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SS - Assignment 2 descriptions" sheetId="1" r:id="rId4"/>
    <sheet state="visible" name="programing_languages" sheetId="2" r:id="rId5"/>
  </sheets>
  <definedNames>
    <definedName name="split9">programing_languages!$K$3:$K$4969</definedName>
    <definedName name="split7">programing_languages!$I$3:$I$5175</definedName>
    <definedName name="splitted_data_10K">programing_languages!$C$2:$L$10001</definedName>
    <definedName name="split6">programing_languages!$H$3:$H$4976</definedName>
    <definedName name="split1">programing_languages!$C$3:$C$4963</definedName>
    <definedName name="split3">programing_languages!$E$3:$E$4987</definedName>
    <definedName name="split8">programing_languages!$J$3:$J$5075</definedName>
    <definedName name="first_10K">programing_languages!$B$3:$B$10002</definedName>
    <definedName name="split4">programing_languages!$F$3:$F$5113</definedName>
    <definedName name="split2">programing_languages!$D$3:$D$5126</definedName>
    <definedName name="split5">programing_languages!$G$3:$G$5174</definedName>
    <definedName name="splitted_data">programing_languages!$C$2:$L$87570</definedName>
    <definedName name="split10">programing_languages!$L$3:$L$4990</definedName>
  </definedNames>
  <calcPr/>
</workbook>
</file>

<file path=xl/sharedStrings.xml><?xml version="1.0" encoding="utf-8"?>
<sst xmlns="http://schemas.openxmlformats.org/spreadsheetml/2006/main" count="50547" uniqueCount="48">
  <si>
    <t>GSS - Assignment 2</t>
  </si>
  <si>
    <t>Let's visualize popular language data. But this time in Google Sheets!</t>
  </si>
  <si>
    <r>
      <rPr>
        <rFont val="Arial"/>
        <color rgb="FF000000"/>
      </rPr>
      <t>First, you have to import the related data with IMPORTRANGE() from the spreadsheet of which the link is "</t>
    </r>
    <r>
      <rPr>
        <rFont val="Arial"/>
        <b/>
        <color rgb="FF000000"/>
      </rPr>
      <t>https://docs.google.com/spreadsheets/d/1CV26C6hAFoNo0dIUngAjDBACOSkIIdkWtINmjqf5TYU/edit#gid=1148160592</t>
    </r>
    <r>
      <rPr>
        <rFont val="Arial"/>
        <color rgb="FF000000"/>
      </rPr>
      <t>", the sheet name is "</t>
    </r>
    <r>
      <rPr>
        <rFont val="Arial"/>
        <b/>
        <color rgb="FF000000"/>
      </rPr>
      <t>programing_languages"</t>
    </r>
    <r>
      <rPr>
        <rFont val="Arial"/>
        <color rgb="FF000000"/>
      </rPr>
      <t xml:space="preserve"> and, the range is "</t>
    </r>
    <r>
      <rPr>
        <rFont val="Arial"/>
        <b/>
        <color rgb="FF000000"/>
      </rPr>
      <t>B1:B10001</t>
    </r>
    <r>
      <rPr>
        <rFont val="Arial"/>
        <color rgb="FF000000"/>
      </rPr>
      <t>". You should import the data into a new Spreadsheet (create your own). Then use some functions to prepare data for getting the chart above (x-axis = language names, y-axis = their counts).</t>
    </r>
  </si>
  <si>
    <t>The dataset has more than 10K rows but we only use the first 10K rows because it may force the limits of both your computer and Google Sheets. If you want to work with complete data, you can extend your range to "B1:B87570".</t>
  </si>
  <si>
    <t>When you finish your study, please submit the Google Sheets file link to your answer. (Do not forget to give appropriate permissions)</t>
  </si>
  <si>
    <t>LanguagesWorkedWith</t>
  </si>
  <si>
    <t>Split1</t>
  </si>
  <si>
    <t>Split2</t>
  </si>
  <si>
    <t>Split3</t>
  </si>
  <si>
    <t>Split4</t>
  </si>
  <si>
    <t>Split5</t>
  </si>
  <si>
    <t>Split6</t>
  </si>
  <si>
    <t>Split7</t>
  </si>
  <si>
    <t>Split8</t>
  </si>
  <si>
    <t>Split9</t>
  </si>
  <si>
    <t>Split10</t>
  </si>
  <si>
    <t>Splitted Data</t>
  </si>
  <si>
    <t>Unique Data</t>
  </si>
  <si>
    <t>Counts of unique data</t>
  </si>
  <si>
    <t>Sorted</t>
  </si>
  <si>
    <t>Java</t>
  </si>
  <si>
    <t>JavaScript</t>
  </si>
  <si>
    <t>Python</t>
  </si>
  <si>
    <t>C++</t>
  </si>
  <si>
    <t>HTML/CSS</t>
  </si>
  <si>
    <t>C</t>
  </si>
  <si>
    <t>C#</t>
  </si>
  <si>
    <t>SQL</t>
  </si>
  <si>
    <t>VBA</t>
  </si>
  <si>
    <t>R</t>
  </si>
  <si>
    <t>Bash/Shell/PowerShell</t>
  </si>
  <si>
    <t>Ruby</t>
  </si>
  <si>
    <t>Rust</t>
  </si>
  <si>
    <t>TypeScript</t>
  </si>
  <si>
    <t>WebAssembly</t>
  </si>
  <si>
    <t>Other(s):</t>
  </si>
  <si>
    <t>Go</t>
  </si>
  <si>
    <t>PHP</t>
  </si>
  <si>
    <t>Assembly</t>
  </si>
  <si>
    <t>Kotlin</t>
  </si>
  <si>
    <t>Swift</t>
  </si>
  <si>
    <t>Objective-C</t>
  </si>
  <si>
    <t>Elixir</t>
  </si>
  <si>
    <t>Erlang</t>
  </si>
  <si>
    <t>Clojure</t>
  </si>
  <si>
    <t>F#</t>
  </si>
  <si>
    <t>Scala</t>
  </si>
  <si>
    <t>Dart</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</si>
</sst>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i/>
      <sz val="13.0"/>
      <color rgb="FF212529"/>
      <name val="-apple-system"/>
    </font>
    <font>
      <sz val="11.0"/>
      <color rgb="FF212529"/>
      <name val="-apple-system"/>
    </font>
    <font>
      <color rgb="FF000000"/>
      <name val="Arial"/>
    </font>
    <font>
      <color rgb="FF212529"/>
      <name val="Arial"/>
    </font>
    <font>
      <b/>
      <color theme="1"/>
      <name val="Arial"/>
      <scheme val="minor"/>
    </font>
    <font>
      <color theme="1"/>
      <name val="Arial"/>
      <scheme val="minor"/>
    </font>
  </fonts>
  <fills count="5">
    <fill>
      <patternFill patternType="none"/>
    </fill>
    <fill>
      <patternFill patternType="lightGray"/>
    </fill>
    <fill>
      <patternFill patternType="solid">
        <fgColor rgb="FFFFFFFF"/>
        <bgColor rgb="FFFFFFFF"/>
      </patternFill>
    </fill>
    <fill>
      <patternFill patternType="solid">
        <fgColor rgb="FFF0F0F0"/>
        <bgColor rgb="FFF0F0F0"/>
      </patternFill>
    </fill>
    <fill>
      <patternFill patternType="solid">
        <fgColor rgb="FFF9CB9C"/>
        <bgColor rgb="FFF9CB9C"/>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2" fontId="2" numFmtId="0" xfId="0" applyAlignment="1" applyFont="1">
      <alignment horizontal="left" readingOrder="0"/>
    </xf>
    <xf borderId="0" fillId="3" fontId="3" numFmtId="0" xfId="0" applyAlignment="1" applyFill="1" applyFont="1">
      <alignment horizontal="left" readingOrder="0" shrinkToFit="0" wrapText="1"/>
    </xf>
    <xf borderId="0" fillId="2" fontId="4" numFmtId="0" xfId="0" applyAlignment="1" applyFont="1">
      <alignment horizontal="left" readingOrder="0" shrinkToFit="0" wrapText="1"/>
    </xf>
    <xf borderId="0" fillId="0" fontId="5" numFmtId="0" xfId="0" applyFont="1"/>
    <xf borderId="0" fillId="4" fontId="5" numFmtId="0" xfId="0" applyFill="1" applyFont="1"/>
    <xf borderId="0" fillId="0" fontId="6" numFmtId="0" xfId="0" applyFont="1"/>
    <xf borderId="0" fillId="0" fontId="5" numFmtId="0" xfId="0" applyAlignment="1" applyFont="1">
      <alignment readingOrder="0"/>
    </xf>
    <xf borderId="0" fillId="0" fontId="6"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programing_languages!$P$2</c:f>
            </c:strRef>
          </c:tx>
          <c:spPr>
            <a:solidFill>
              <a:schemeClr val="accent1"/>
            </a:solidFill>
            <a:ln cmpd="sng">
              <a:solidFill>
                <a:srgbClr val="000000"/>
              </a:solidFill>
            </a:ln>
          </c:spPr>
          <c:cat>
            <c:strRef>
              <c:f>programing_languages!$N$3:$N$30</c:f>
            </c:strRef>
          </c:cat>
          <c:val>
            <c:numRef>
              <c:f>programing_languages!$P$3:$P$30</c:f>
              <c:numCache/>
            </c:numRef>
          </c:val>
        </c:ser>
        <c:axId val="1820491145"/>
        <c:axId val="987824090"/>
      </c:barChart>
      <c:catAx>
        <c:axId val="1820491145"/>
        <c:scaling>
          <c:orientation val="minMax"/>
        </c:scaling>
        <c:delete val="0"/>
        <c:axPos val="b"/>
        <c:title>
          <c:tx>
            <c:rich>
              <a:bodyPr/>
              <a:lstStyle/>
              <a:p>
                <a:pPr lvl="0">
                  <a:defRPr b="0" sz="1200">
                    <a:solidFill>
                      <a:srgbClr val="000000"/>
                    </a:solidFill>
                    <a:latin typeface="+mn-lt"/>
                  </a:defRPr>
                </a:pPr>
                <a:r>
                  <a:rPr b="0" sz="1200">
                    <a:solidFill>
                      <a:srgbClr val="000000"/>
                    </a:solidFill>
                    <a:latin typeface="+mn-lt"/>
                  </a:rPr>
                  <a:t>Programming Languages</a:t>
                </a:r>
              </a:p>
            </c:rich>
          </c:tx>
          <c:overlay val="0"/>
        </c:title>
        <c:numFmt formatCode="General" sourceLinked="1"/>
        <c:majorTickMark val="none"/>
        <c:minorTickMark val="none"/>
        <c:spPr/>
        <c:txPr>
          <a:bodyPr rot="-5400000"/>
          <a:lstStyle/>
          <a:p>
            <a:pPr lvl="0">
              <a:defRPr b="0" sz="1000">
                <a:solidFill>
                  <a:srgbClr val="000000"/>
                </a:solidFill>
                <a:latin typeface="+mn-lt"/>
              </a:defRPr>
            </a:pPr>
          </a:p>
        </c:txPr>
        <c:crossAx val="987824090"/>
      </c:catAx>
      <c:valAx>
        <c:axId val="9878240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0491145"/>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7</xdr:row>
      <xdr:rowOff>9525</xdr:rowOff>
    </xdr:from>
    <xdr:ext cx="6553200" cy="52292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952500</xdr:colOff>
      <xdr:row>2</xdr:row>
      <xdr:rowOff>0</xdr:rowOff>
    </xdr:from>
    <xdr:ext cx="6724650" cy="41910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5.63"/>
  </cols>
  <sheetData>
    <row r="1">
      <c r="A1" s="1" t="s">
        <v>0</v>
      </c>
    </row>
    <row r="3">
      <c r="A3" s="2" t="s">
        <v>1</v>
      </c>
    </row>
    <row r="4" ht="69.75" customHeight="1">
      <c r="A4" s="3" t="s">
        <v>2</v>
      </c>
    </row>
    <row r="5" ht="37.5" customHeight="1">
      <c r="A5" s="4" t="s">
        <v>3</v>
      </c>
    </row>
    <row r="6" ht="27.0" customHeight="1">
      <c r="A6" s="2" t="s">
        <v>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13"/>
    <col customWidth="1" min="2" max="2" width="83.88"/>
    <col customWidth="1" min="3" max="3" width="26.0"/>
    <col customWidth="1" min="4" max="4" width="18.25"/>
    <col customWidth="1" min="5" max="5" width="18.5"/>
    <col customWidth="1" min="6" max="6" width="18.13"/>
    <col customWidth="1" min="7" max="7" width="18.75"/>
    <col customWidth="1" min="8" max="8" width="18.13"/>
    <col customWidth="1" min="9" max="10" width="18.88"/>
    <col customWidth="1" min="11" max="11" width="19.13"/>
    <col customWidth="1" min="12" max="12" width="18.5"/>
    <col customWidth="1" min="13" max="13" width="18.38"/>
    <col customWidth="1" min="14" max="14" width="19.25"/>
    <col customWidth="1" min="15" max="15" width="18.75"/>
  </cols>
  <sheetData>
    <row r="1" ht="15.75" customHeight="1">
      <c r="A1" s="5"/>
      <c r="B1" s="6" t="s">
        <v>5</v>
      </c>
    </row>
    <row r="2" ht="15.75" customHeight="1">
      <c r="A2" s="7"/>
      <c r="B2" s="7" t="str">
        <f>IFERROR(__xludf.DUMMYFUNCTION("IMPORTRANGE(""https://docs.google.com/spreadsheets/d/1CV26C6hAFoNo0dIUngAjDBACOSkIIdkWtINmjqf5TYU/edit#gid=1148160592"", ""programing_languages!B1:B10001"")"),"LanguagesWorkedWith")</f>
        <v>LanguagesWorkedWith</v>
      </c>
      <c r="C2" s="8" t="s">
        <v>6</v>
      </c>
      <c r="D2" s="8" t="s">
        <v>7</v>
      </c>
      <c r="E2" s="8" t="s">
        <v>8</v>
      </c>
      <c r="F2" s="8" t="s">
        <v>9</v>
      </c>
      <c r="G2" s="8" t="s">
        <v>10</v>
      </c>
      <c r="H2" s="8" t="s">
        <v>11</v>
      </c>
      <c r="I2" s="8" t="s">
        <v>12</v>
      </c>
      <c r="J2" s="8" t="s">
        <v>13</v>
      </c>
      <c r="K2" s="8" t="s">
        <v>14</v>
      </c>
      <c r="L2" s="8" t="s">
        <v>15</v>
      </c>
      <c r="M2" s="8" t="s">
        <v>16</v>
      </c>
      <c r="N2" s="8" t="s">
        <v>17</v>
      </c>
      <c r="O2" s="8" t="s">
        <v>18</v>
      </c>
      <c r="P2" s="8" t="s">
        <v>19</v>
      </c>
    </row>
    <row r="3" ht="15.75" customHeight="1">
      <c r="A3" s="7"/>
      <c r="B3" s="7" t="str">
        <f>IFERROR(__xludf.DUMMYFUNCTION("""COMPUTED_VALUE"""),"HTML/CSS;Java;JavaScript;Python")</f>
        <v>HTML/CSS;Java;JavaScript;Python</v>
      </c>
      <c r="C3" s="9" t="str">
        <f>IFERROR(__xludf.DUMMYFUNCTION("flatten(split(TEXTJOIN("";"", 1, $B3:$B1000), "";""))"),"HTML/CSS")</f>
        <v>HTML/CSS</v>
      </c>
      <c r="D3" s="9" t="str">
        <f>IFERROR(__xludf.DUMMYFUNCTION("flatten(split(TEXTJOIN("";"", 1, $B1001:$B2000), "";""))"),"Bash/Shell/PowerShell")</f>
        <v>Bash/Shell/PowerShell</v>
      </c>
      <c r="E3" s="9" t="str">
        <f>IFERROR(__xludf.DUMMYFUNCTION("flatten(split(TEXTJOIN("";"", 1, $B2001:$B3000), "";""))"),"C#")</f>
        <v>C#</v>
      </c>
      <c r="F3" s="9" t="str">
        <f>IFERROR(__xludf.DUMMYFUNCTION("flatten(split(TEXTJOIN("";"", 1, $B3001:$B4000), "";""))"),"HTML/CSS")</f>
        <v>HTML/CSS</v>
      </c>
      <c r="G3" s="9" t="str">
        <f>IFERROR(__xludf.DUMMYFUNCTION("flatten(split(TEXTJOIN("";"", 1, $B4001:$B5000), "";""))"),"Bash/Shell/PowerShell")</f>
        <v>Bash/Shell/PowerShell</v>
      </c>
      <c r="H3" s="9" t="str">
        <f>IFERROR(__xludf.DUMMYFUNCTION("flatten(split(TEXTJOIN("";"", 1, $B5001:$B6000), "";""))"),"Bash/Shell/PowerShell")</f>
        <v>Bash/Shell/PowerShell</v>
      </c>
      <c r="I3" s="9" t="str">
        <f>IFERROR(__xludf.DUMMYFUNCTION("flatten(split(TEXTJOIN("";"", 1, $B6001:$B7000), "";""))"),"HTML/CSS")</f>
        <v>HTML/CSS</v>
      </c>
      <c r="J3" s="9" t="str">
        <f>IFERROR(__xludf.DUMMYFUNCTION("flatten(split(TEXTJOIN("";"", 1, $B7001:$B8000), "";""))"),"Bash/Shell/PowerShell")</f>
        <v>Bash/Shell/PowerShell</v>
      </c>
      <c r="K3" s="9" t="str">
        <f>IFERROR(__xludf.DUMMYFUNCTION("flatten(split(TEXTJOIN("";"", 1, $B8001:$B9000), "";""))"),"JavaScript")</f>
        <v>JavaScript</v>
      </c>
      <c r="L3" s="9" t="str">
        <f>IFERROR(__xludf.DUMMYFUNCTION("flatten(split(TEXTJOIN("";"", 1, $B9001:$B10002), "";""))"),"C")</f>
        <v>C</v>
      </c>
      <c r="M3" s="9" t="str">
        <f>IFERROR(__xludf.DUMMYFUNCTION("FLATTEN(split1,split2,split3,split4,split5,split6,split7,split8,split9,split10)"),"HTML/CSS")</f>
        <v>HTML/CSS</v>
      </c>
      <c r="N3" s="9" t="str">
        <f>IFERROR(__xludf.DUMMYFUNCTION("unique(FLATTEN(split1,split2,split3,split4,split5,split6,split7,split8,split9,split10))"),"HTML/CSS")</f>
        <v>HTML/CSS</v>
      </c>
      <c r="O3" s="9">
        <f>COUNTIF(M3:M50530, $N3)</f>
        <v>6450</v>
      </c>
      <c r="P3" s="9">
        <f t="array" ref="P3:P30">SORT(O3:O30, 1, 0)</f>
        <v>6450</v>
      </c>
    </row>
    <row r="4" ht="15.75" customHeight="1">
      <c r="A4" s="7"/>
      <c r="B4" s="7" t="str">
        <f>IFERROR(__xludf.DUMMYFUNCTION("""COMPUTED_VALUE"""),"C++;HTML/CSS;Python")</f>
        <v>C++;HTML/CSS;Python</v>
      </c>
      <c r="C4" s="9" t="str">
        <f>IFERROR(__xludf.DUMMYFUNCTION("""COMPUTED_VALUE"""),"Java")</f>
        <v>Java</v>
      </c>
      <c r="D4" s="9" t="str">
        <f>IFERROR(__xludf.DUMMYFUNCTION("""COMPUTED_VALUE"""),"Go")</f>
        <v>Go</v>
      </c>
      <c r="E4" s="9" t="str">
        <f>IFERROR(__xludf.DUMMYFUNCTION("""COMPUTED_VALUE"""),"HTML/CSS")</f>
        <v>HTML/CSS</v>
      </c>
      <c r="F4" s="9" t="str">
        <f>IFERROR(__xludf.DUMMYFUNCTION("""COMPUTED_VALUE"""),"Java")</f>
        <v>Java</v>
      </c>
      <c r="G4" s="9" t="str">
        <f>IFERROR(__xludf.DUMMYFUNCTION("""COMPUTED_VALUE"""),"Java")</f>
        <v>Java</v>
      </c>
      <c r="H4" s="9" t="str">
        <f>IFERROR(__xludf.DUMMYFUNCTION("""COMPUTED_VALUE"""),"C#")</f>
        <v>C#</v>
      </c>
      <c r="I4" s="9" t="str">
        <f>IFERROR(__xludf.DUMMYFUNCTION("""COMPUTED_VALUE"""),"JavaScript")</f>
        <v>JavaScript</v>
      </c>
      <c r="J4" s="9" t="str">
        <f>IFERROR(__xludf.DUMMYFUNCTION("""COMPUTED_VALUE"""),"Clojure")</f>
        <v>Clojure</v>
      </c>
      <c r="K4" s="9" t="str">
        <f>IFERROR(__xludf.DUMMYFUNCTION("""COMPUTED_VALUE"""),"PHP")</f>
        <v>PHP</v>
      </c>
      <c r="L4" s="9" t="str">
        <f>IFERROR(__xludf.DUMMYFUNCTION("""COMPUTED_VALUE"""),"Java")</f>
        <v>Java</v>
      </c>
      <c r="M4" s="9" t="s">
        <v>20</v>
      </c>
      <c r="N4" s="9" t="str">
        <f>IFERROR(__xludf.DUMMYFUNCTION("""COMPUTED_VALUE"""),"Java")</f>
        <v>Java</v>
      </c>
      <c r="O4" s="9">
        <f t="shared" ref="O4:O30" si="1">COUNTIF($M$3:$M$45569, $N4)</f>
        <v>3725</v>
      </c>
      <c r="P4" s="9">
        <v>6161.0</v>
      </c>
    </row>
    <row r="5" ht="15.75" customHeight="1">
      <c r="A5" s="7"/>
      <c r="B5" s="7" t="str">
        <f>IFERROR(__xludf.DUMMYFUNCTION("""COMPUTED_VALUE"""),"HTML/CSS")</f>
        <v>HTML/CSS</v>
      </c>
      <c r="C5" s="9" t="str">
        <f>IFERROR(__xludf.DUMMYFUNCTION("""COMPUTED_VALUE"""),"JavaScript")</f>
        <v>JavaScript</v>
      </c>
      <c r="D5" s="9" t="str">
        <f>IFERROR(__xludf.DUMMYFUNCTION("""COMPUTED_VALUE"""),"HTML/CSS")</f>
        <v>HTML/CSS</v>
      </c>
      <c r="E5" s="9" t="str">
        <f>IFERROR(__xludf.DUMMYFUNCTION("""COMPUTED_VALUE"""),"SQL")</f>
        <v>SQL</v>
      </c>
      <c r="F5" s="9" t="str">
        <f>IFERROR(__xludf.DUMMYFUNCTION("""COMPUTED_VALUE"""),"JavaScript")</f>
        <v>JavaScript</v>
      </c>
      <c r="G5" s="9" t="str">
        <f>IFERROR(__xludf.DUMMYFUNCTION("""COMPUTED_VALUE"""),"Python")</f>
        <v>Python</v>
      </c>
      <c r="H5" s="9" t="str">
        <f>IFERROR(__xludf.DUMMYFUNCTION("""COMPUTED_VALUE"""),"Go")</f>
        <v>Go</v>
      </c>
      <c r="I5" s="9" t="str">
        <f>IFERROR(__xludf.DUMMYFUNCTION("""COMPUTED_VALUE"""),"Python")</f>
        <v>Python</v>
      </c>
      <c r="J5" s="9" t="str">
        <f>IFERROR(__xludf.DUMMYFUNCTION("""COMPUTED_VALUE"""),"HTML/CSS")</f>
        <v>HTML/CSS</v>
      </c>
      <c r="K5" s="9" t="str">
        <f>IFERROR(__xludf.DUMMYFUNCTION("""COMPUTED_VALUE"""),"SQL")</f>
        <v>SQL</v>
      </c>
      <c r="L5" s="9" t="str">
        <f>IFERROR(__xludf.DUMMYFUNCTION("""COMPUTED_VALUE"""),"Bash/Shell/PowerShell")</f>
        <v>Bash/Shell/PowerShell</v>
      </c>
      <c r="M5" s="9" t="s">
        <v>21</v>
      </c>
      <c r="N5" s="9" t="str">
        <f>IFERROR(__xludf.DUMMYFUNCTION("""COMPUTED_VALUE"""),"JavaScript")</f>
        <v>JavaScript</v>
      </c>
      <c r="O5" s="9">
        <f t="shared" si="1"/>
        <v>6161</v>
      </c>
      <c r="P5" s="9">
        <v>4872.0</v>
      </c>
    </row>
    <row r="6" ht="15.75" customHeight="1">
      <c r="A6" s="7"/>
      <c r="B6" s="7" t="str">
        <f>IFERROR(__xludf.DUMMYFUNCTION("""COMPUTED_VALUE"""),"C;C++;C#;Python;SQL")</f>
        <v>C;C++;C#;Python;SQL</v>
      </c>
      <c r="C6" s="9" t="str">
        <f>IFERROR(__xludf.DUMMYFUNCTION("""COMPUTED_VALUE"""),"Python")</f>
        <v>Python</v>
      </c>
      <c r="D6" s="9" t="str">
        <f>IFERROR(__xludf.DUMMYFUNCTION("""COMPUTED_VALUE"""),"Java")</f>
        <v>Java</v>
      </c>
      <c r="E6" s="9" t="str">
        <f>IFERROR(__xludf.DUMMYFUNCTION("""COMPUTED_VALUE"""),"Bash/Shell/PowerShell")</f>
        <v>Bash/Shell/PowerShell</v>
      </c>
      <c r="F6" s="9" t="str">
        <f>IFERROR(__xludf.DUMMYFUNCTION("""COMPUTED_VALUE"""),"Objective-C")</f>
        <v>Objective-C</v>
      </c>
      <c r="G6" s="9" t="str">
        <f>IFERROR(__xludf.DUMMYFUNCTION("""COMPUTED_VALUE"""),"Bash/Shell/PowerShell")</f>
        <v>Bash/Shell/PowerShell</v>
      </c>
      <c r="H6" s="9" t="str">
        <f>IFERROR(__xludf.DUMMYFUNCTION("""COMPUTED_VALUE"""),"HTML/CSS")</f>
        <v>HTML/CSS</v>
      </c>
      <c r="I6" s="9" t="str">
        <f>IFERROR(__xludf.DUMMYFUNCTION("""COMPUTED_VALUE"""),"SQL")</f>
        <v>SQL</v>
      </c>
      <c r="J6" s="9" t="str">
        <f>IFERROR(__xludf.DUMMYFUNCTION("""COMPUTED_VALUE"""),"JavaScript")</f>
        <v>JavaScript</v>
      </c>
      <c r="K6" s="9" t="str">
        <f>IFERROR(__xludf.DUMMYFUNCTION("""COMPUTED_VALUE"""),"Bash/Shell/PowerShell")</f>
        <v>Bash/Shell/PowerShell</v>
      </c>
      <c r="L6" s="9" t="str">
        <f>IFERROR(__xludf.DUMMYFUNCTION("""COMPUTED_VALUE"""),"C#")</f>
        <v>C#</v>
      </c>
      <c r="M6" s="9" t="s">
        <v>22</v>
      </c>
      <c r="N6" s="9" t="str">
        <f>IFERROR(__xludf.DUMMYFUNCTION("""COMPUTED_VALUE"""),"Python")</f>
        <v>Python</v>
      </c>
      <c r="O6" s="9">
        <f t="shared" si="1"/>
        <v>3795</v>
      </c>
      <c r="P6" s="9">
        <v>3795.0</v>
      </c>
    </row>
    <row r="7" ht="15.75" customHeight="1">
      <c r="A7" s="7"/>
      <c r="B7" s="7" t="str">
        <f>IFERROR(__xludf.DUMMYFUNCTION("""COMPUTED_VALUE"""),"C++;HTML/CSS;Java;JavaScript;Python;SQL;VBA")</f>
        <v>C++;HTML/CSS;Java;JavaScript;Python;SQL;VBA</v>
      </c>
      <c r="C7" s="9" t="str">
        <f>IFERROR(__xludf.DUMMYFUNCTION("""COMPUTED_VALUE"""),"C++")</f>
        <v>C++</v>
      </c>
      <c r="D7" s="9" t="str">
        <f>IFERROR(__xludf.DUMMYFUNCTION("""COMPUTED_VALUE"""),"JavaScript")</f>
        <v>JavaScript</v>
      </c>
      <c r="E7" s="9" t="str">
        <f>IFERROR(__xludf.DUMMYFUNCTION("""COMPUTED_VALUE"""),"C#")</f>
        <v>C#</v>
      </c>
      <c r="F7" s="9" t="str">
        <f>IFERROR(__xludf.DUMMYFUNCTION("""COMPUTED_VALUE"""),"SQL")</f>
        <v>SQL</v>
      </c>
      <c r="G7" s="9" t="str">
        <f>IFERROR(__xludf.DUMMYFUNCTION("""COMPUTED_VALUE"""),"C#")</f>
        <v>C#</v>
      </c>
      <c r="H7" s="9" t="str">
        <f>IFERROR(__xludf.DUMMYFUNCTION("""COMPUTED_VALUE"""),"JavaScript")</f>
        <v>JavaScript</v>
      </c>
      <c r="I7" s="9" t="str">
        <f>IFERROR(__xludf.DUMMYFUNCTION("""COMPUTED_VALUE"""),"Bash/Shell/PowerShell")</f>
        <v>Bash/Shell/PowerShell</v>
      </c>
      <c r="J7" s="9" t="str">
        <f>IFERROR(__xludf.DUMMYFUNCTION("""COMPUTED_VALUE"""),"HTML/CSS")</f>
        <v>HTML/CSS</v>
      </c>
      <c r="K7" s="9" t="str">
        <f>IFERROR(__xludf.DUMMYFUNCTION("""COMPUTED_VALUE"""),"C++")</f>
        <v>C++</v>
      </c>
      <c r="L7" s="9" t="str">
        <f>IFERROR(__xludf.DUMMYFUNCTION("""COMPUTED_VALUE"""),"HTML/CSS")</f>
        <v>HTML/CSS</v>
      </c>
      <c r="M7" s="9" t="s">
        <v>23</v>
      </c>
      <c r="N7" s="9" t="str">
        <f>IFERROR(__xludf.DUMMYFUNCTION("""COMPUTED_VALUE"""),"C++")</f>
        <v>C++</v>
      </c>
      <c r="O7" s="9">
        <f t="shared" si="1"/>
        <v>2091</v>
      </c>
      <c r="P7" s="9">
        <v>3725.0</v>
      </c>
    </row>
    <row r="8" ht="15.75" customHeight="1">
      <c r="A8" s="7"/>
      <c r="B8" s="7" t="str">
        <f>IFERROR(__xludf.DUMMYFUNCTION("""COMPUTED_VALUE"""),"Java;R;SQL")</f>
        <v>Java;R;SQL</v>
      </c>
      <c r="C8" s="9" t="str">
        <f>IFERROR(__xludf.DUMMYFUNCTION("""COMPUTED_VALUE"""),"HTML/CSS")</f>
        <v>HTML/CSS</v>
      </c>
      <c r="D8" s="9" t="str">
        <f>IFERROR(__xludf.DUMMYFUNCTION("""COMPUTED_VALUE"""),"PHP")</f>
        <v>PHP</v>
      </c>
      <c r="E8" s="9" t="str">
        <f>IFERROR(__xludf.DUMMYFUNCTION("""COMPUTED_VALUE"""),"HTML/CSS")</f>
        <v>HTML/CSS</v>
      </c>
      <c r="F8" s="9" t="str">
        <f>IFERROR(__xludf.DUMMYFUNCTION("""COMPUTED_VALUE"""),"Swift")</f>
        <v>Swift</v>
      </c>
      <c r="G8" s="9" t="str">
        <f>IFERROR(__xludf.DUMMYFUNCTION("""COMPUTED_VALUE"""),"HTML/CSS")</f>
        <v>HTML/CSS</v>
      </c>
      <c r="H8" s="9" t="str">
        <f>IFERROR(__xludf.DUMMYFUNCTION("""COMPUTED_VALUE"""),"Python")</f>
        <v>Python</v>
      </c>
      <c r="I8" s="9" t="str">
        <f>IFERROR(__xludf.DUMMYFUNCTION("""COMPUTED_VALUE"""),"HTML/CSS")</f>
        <v>HTML/CSS</v>
      </c>
      <c r="J8" s="9" t="str">
        <f>IFERROR(__xludf.DUMMYFUNCTION("""COMPUTED_VALUE"""),"Java")</f>
        <v>Java</v>
      </c>
      <c r="K8" s="9" t="str">
        <f>IFERROR(__xludf.DUMMYFUNCTION("""COMPUTED_VALUE"""),"HTML/CSS")</f>
        <v>HTML/CSS</v>
      </c>
      <c r="L8" s="9" t="str">
        <f>IFERROR(__xludf.DUMMYFUNCTION("""COMPUTED_VALUE"""),"JavaScript")</f>
        <v>JavaScript</v>
      </c>
      <c r="M8" s="9" t="s">
        <v>24</v>
      </c>
      <c r="N8" s="9" t="str">
        <f>IFERROR(__xludf.DUMMYFUNCTION("""COMPUTED_VALUE"""),"C")</f>
        <v>C</v>
      </c>
      <c r="O8" s="9">
        <f t="shared" si="1"/>
        <v>1788</v>
      </c>
      <c r="P8" s="9">
        <v>3302.0</v>
      </c>
    </row>
    <row r="9" ht="15.75" customHeight="1">
      <c r="A9" s="7"/>
      <c r="B9" s="7" t="str">
        <f>IFERROR(__xludf.DUMMYFUNCTION("""COMPUTED_VALUE"""),"HTML/CSS;JavaScript")</f>
        <v>HTML/CSS;JavaScript</v>
      </c>
      <c r="C9" s="9" t="str">
        <f>IFERROR(__xludf.DUMMYFUNCTION("""COMPUTED_VALUE"""),"Python")</f>
        <v>Python</v>
      </c>
      <c r="D9" s="9" t="str">
        <f>IFERROR(__xludf.DUMMYFUNCTION("""COMPUTED_VALUE"""),"Python")</f>
        <v>Python</v>
      </c>
      <c r="E9" s="9" t="str">
        <f>IFERROR(__xludf.DUMMYFUNCTION("""COMPUTED_VALUE"""),"JavaScript")</f>
        <v>JavaScript</v>
      </c>
      <c r="F9" s="9" t="str">
        <f>IFERROR(__xludf.DUMMYFUNCTION("""COMPUTED_VALUE"""),"Java")</f>
        <v>Java</v>
      </c>
      <c r="G9" s="9" t="str">
        <f>IFERROR(__xludf.DUMMYFUNCTION("""COMPUTED_VALUE"""),"JavaScript")</f>
        <v>JavaScript</v>
      </c>
      <c r="H9" s="9" t="str">
        <f>IFERROR(__xludf.DUMMYFUNCTION("""COMPUTED_VALUE"""),"SQL")</f>
        <v>SQL</v>
      </c>
      <c r="I9" s="9" t="str">
        <f>IFERROR(__xludf.DUMMYFUNCTION("""COMPUTED_VALUE"""),"JavaScript")</f>
        <v>JavaScript</v>
      </c>
      <c r="J9" s="9" t="str">
        <f>IFERROR(__xludf.DUMMYFUNCTION("""COMPUTED_VALUE"""),"JavaScript")</f>
        <v>JavaScript</v>
      </c>
      <c r="K9" s="9" t="str">
        <f>IFERROR(__xludf.DUMMYFUNCTION("""COMPUTED_VALUE"""),"JavaScript")</f>
        <v>JavaScript</v>
      </c>
      <c r="L9" s="9" t="str">
        <f>IFERROR(__xludf.DUMMYFUNCTION("""COMPUTED_VALUE"""),"Python")</f>
        <v>Python</v>
      </c>
      <c r="M9" s="9" t="s">
        <v>22</v>
      </c>
      <c r="N9" s="9" t="str">
        <f>IFERROR(__xludf.DUMMYFUNCTION("""COMPUTED_VALUE"""),"C#")</f>
        <v>C#</v>
      </c>
      <c r="O9" s="9">
        <f t="shared" si="1"/>
        <v>2788</v>
      </c>
      <c r="P9" s="9">
        <v>2788.0</v>
      </c>
    </row>
    <row r="10" ht="15.75" customHeight="1">
      <c r="A10" s="7"/>
      <c r="B10" s="7" t="str">
        <f>IFERROR(__xludf.DUMMYFUNCTION("""COMPUTED_VALUE"""),"Bash/Shell/PowerShell;C;C++;HTML/CSS;Java;JavaScript;Python;SQL")</f>
        <v>Bash/Shell/PowerShell;C;C++;HTML/CSS;Java;JavaScript;Python;SQL</v>
      </c>
      <c r="C10" s="9" t="str">
        <f>IFERROR(__xludf.DUMMYFUNCTION("""COMPUTED_VALUE"""),"HTML/CSS")</f>
        <v>HTML/CSS</v>
      </c>
      <c r="D10" s="9" t="str">
        <f>IFERROR(__xludf.DUMMYFUNCTION("""COMPUTED_VALUE"""),"SQL")</f>
        <v>SQL</v>
      </c>
      <c r="E10" s="9" t="str">
        <f>IFERROR(__xludf.DUMMYFUNCTION("""COMPUTED_VALUE"""),"SQL")</f>
        <v>SQL</v>
      </c>
      <c r="F10" s="9" t="str">
        <f>IFERROR(__xludf.DUMMYFUNCTION("""COMPUTED_VALUE"""),"Python")</f>
        <v>Python</v>
      </c>
      <c r="G10" s="9" t="str">
        <f>IFERROR(__xludf.DUMMYFUNCTION("""COMPUTED_VALUE"""),"SQL")</f>
        <v>SQL</v>
      </c>
      <c r="H10" s="9" t="str">
        <f>IFERROR(__xludf.DUMMYFUNCTION("""COMPUTED_VALUE"""),"TypeScript")</f>
        <v>TypeScript</v>
      </c>
      <c r="I10" s="9" t="str">
        <f>IFERROR(__xludf.DUMMYFUNCTION("""COMPUTED_VALUE"""),"PHP")</f>
        <v>PHP</v>
      </c>
      <c r="J10" s="9" t="str">
        <f>IFERROR(__xludf.DUMMYFUNCTION("""COMPUTED_VALUE"""),"SQL")</f>
        <v>SQL</v>
      </c>
      <c r="K10" s="9" t="str">
        <f>IFERROR(__xludf.DUMMYFUNCTION("""COMPUTED_VALUE"""),"PHP")</f>
        <v>PHP</v>
      </c>
      <c r="L10" s="9" t="str">
        <f>IFERROR(__xludf.DUMMYFUNCTION("""COMPUTED_VALUE"""),"Ruby")</f>
        <v>Ruby</v>
      </c>
      <c r="M10" s="9" t="s">
        <v>24</v>
      </c>
      <c r="N10" s="9" t="str">
        <f>IFERROR(__xludf.DUMMYFUNCTION("""COMPUTED_VALUE"""),"SQL")</f>
        <v>SQL</v>
      </c>
      <c r="O10" s="9">
        <f t="shared" si="1"/>
        <v>4872</v>
      </c>
      <c r="P10" s="9">
        <v>2330.0</v>
      </c>
    </row>
    <row r="11" ht="15.75" customHeight="1">
      <c r="A11" s="7"/>
      <c r="B11" s="7" t="str">
        <f>IFERROR(__xludf.DUMMYFUNCTION("""COMPUTED_VALUE"""),"Bash/Shell/PowerShell;C#;HTML/CSS;JavaScript;Python;Ruby;Rust;SQL;TypeScript;WebAssembly;Other(s):")</f>
        <v>Bash/Shell/PowerShell;C#;HTML/CSS;JavaScript;Python;Ruby;Rust;SQL;TypeScript;WebAssembly;Other(s):</v>
      </c>
      <c r="C11" s="9" t="str">
        <f>IFERROR(__xludf.DUMMYFUNCTION("""COMPUTED_VALUE"""),"C")</f>
        <v>C</v>
      </c>
      <c r="D11" s="9" t="str">
        <f>IFERROR(__xludf.DUMMYFUNCTION("""COMPUTED_VALUE"""),"Bash/Shell/PowerShell")</f>
        <v>Bash/Shell/PowerShell</v>
      </c>
      <c r="E11" s="9" t="str">
        <f>IFERROR(__xludf.DUMMYFUNCTION("""COMPUTED_VALUE"""),"VBA")</f>
        <v>VBA</v>
      </c>
      <c r="F11" s="9" t="str">
        <f>IFERROR(__xludf.DUMMYFUNCTION("""COMPUTED_VALUE"""),"Java")</f>
        <v>Java</v>
      </c>
      <c r="G11" s="9" t="str">
        <f>IFERROR(__xludf.DUMMYFUNCTION("""COMPUTED_VALUE"""),"TypeScript")</f>
        <v>TypeScript</v>
      </c>
      <c r="H11" s="9" t="str">
        <f>IFERROR(__xludf.DUMMYFUNCTION("""COMPUTED_VALUE"""),"C")</f>
        <v>C</v>
      </c>
      <c r="I11" s="9" t="str">
        <f>IFERROR(__xludf.DUMMYFUNCTION("""COMPUTED_VALUE"""),"Python")</f>
        <v>Python</v>
      </c>
      <c r="J11" s="9" t="str">
        <f>IFERROR(__xludf.DUMMYFUNCTION("""COMPUTED_VALUE"""),"HTML/CSS")</f>
        <v>HTML/CSS</v>
      </c>
      <c r="K11" s="9" t="str">
        <f>IFERROR(__xludf.DUMMYFUNCTION("""COMPUTED_VALUE"""),"C")</f>
        <v>C</v>
      </c>
      <c r="L11" s="9" t="str">
        <f>IFERROR(__xludf.DUMMYFUNCTION("""COMPUTED_VALUE"""),"SQL")</f>
        <v>SQL</v>
      </c>
      <c r="M11" s="9" t="s">
        <v>25</v>
      </c>
      <c r="N11" s="9" t="str">
        <f>IFERROR(__xludf.DUMMYFUNCTION("""COMPUTED_VALUE"""),"VBA")</f>
        <v>VBA</v>
      </c>
      <c r="O11" s="9">
        <f t="shared" si="1"/>
        <v>501</v>
      </c>
      <c r="P11" s="9">
        <v>2091.0</v>
      </c>
    </row>
    <row r="12" ht="15.75" customHeight="1">
      <c r="A12" s="7"/>
      <c r="B12" s="7" t="str">
        <f>IFERROR(__xludf.DUMMYFUNCTION("""COMPUTED_VALUE"""),"C#;Go;JavaScript;Python;R;SQL")</f>
        <v>C#;Go;JavaScript;Python;R;SQL</v>
      </c>
      <c r="C12" s="9" t="str">
        <f>IFERROR(__xludf.DUMMYFUNCTION("""COMPUTED_VALUE"""),"C++")</f>
        <v>C++</v>
      </c>
      <c r="D12" s="9" t="str">
        <f>IFERROR(__xludf.DUMMYFUNCTION("""COMPUTED_VALUE"""),"Go")</f>
        <v>Go</v>
      </c>
      <c r="E12" s="9" t="str">
        <f>IFERROR(__xludf.DUMMYFUNCTION("""COMPUTED_VALUE"""),"C#")</f>
        <v>C#</v>
      </c>
      <c r="F12" s="9" t="str">
        <f>IFERROR(__xludf.DUMMYFUNCTION("""COMPUTED_VALUE"""),"PHP")</f>
        <v>PHP</v>
      </c>
      <c r="G12" s="9" t="str">
        <f>IFERROR(__xludf.DUMMYFUNCTION("""COMPUTED_VALUE"""),"C#")</f>
        <v>C#</v>
      </c>
      <c r="H12" s="9" t="str">
        <f>IFERROR(__xludf.DUMMYFUNCTION("""COMPUTED_VALUE"""),"C++")</f>
        <v>C++</v>
      </c>
      <c r="I12" s="9" t="str">
        <f>IFERROR(__xludf.DUMMYFUNCTION("""COMPUTED_VALUE"""),"SQL")</f>
        <v>SQL</v>
      </c>
      <c r="J12" s="9" t="str">
        <f>IFERROR(__xludf.DUMMYFUNCTION("""COMPUTED_VALUE"""),"JavaScript")</f>
        <v>JavaScript</v>
      </c>
      <c r="K12" s="9" t="str">
        <f>IFERROR(__xludf.DUMMYFUNCTION("""COMPUTED_VALUE"""),"C++")</f>
        <v>C++</v>
      </c>
      <c r="L12" s="9" t="str">
        <f>IFERROR(__xludf.DUMMYFUNCTION("""COMPUTED_VALUE"""),"Java")</f>
        <v>Java</v>
      </c>
      <c r="M12" s="9" t="s">
        <v>23</v>
      </c>
      <c r="N12" s="9" t="str">
        <f>IFERROR(__xludf.DUMMYFUNCTION("""COMPUTED_VALUE"""),"R")</f>
        <v>R</v>
      </c>
      <c r="O12" s="9">
        <f t="shared" si="1"/>
        <v>530</v>
      </c>
      <c r="P12" s="9">
        <v>1931.0</v>
      </c>
    </row>
    <row r="13" ht="15.75" customHeight="1">
      <c r="A13" s="7"/>
      <c r="B13" s="7" t="str">
        <f>IFERROR(__xludf.DUMMYFUNCTION("""COMPUTED_VALUE"""),"Other(s):")</f>
        <v>Other(s):</v>
      </c>
      <c r="C13" s="9" t="str">
        <f>IFERROR(__xludf.DUMMYFUNCTION("""COMPUTED_VALUE"""),"C#")</f>
        <v>C#</v>
      </c>
      <c r="D13" s="9" t="str">
        <f>IFERROR(__xludf.DUMMYFUNCTION("""COMPUTED_VALUE"""),"HTML/CSS")</f>
        <v>HTML/CSS</v>
      </c>
      <c r="E13" s="9" t="str">
        <f>IFERROR(__xludf.DUMMYFUNCTION("""COMPUTED_VALUE"""),"HTML/CSS")</f>
        <v>HTML/CSS</v>
      </c>
      <c r="F13" s="9" t="str">
        <f>IFERROR(__xludf.DUMMYFUNCTION("""COMPUTED_VALUE"""),"Python")</f>
        <v>Python</v>
      </c>
      <c r="G13" s="9" t="str">
        <f>IFERROR(__xludf.DUMMYFUNCTION("""COMPUTED_VALUE"""),"HTML/CSS")</f>
        <v>HTML/CSS</v>
      </c>
      <c r="H13" s="9" t="str">
        <f>IFERROR(__xludf.DUMMYFUNCTION("""COMPUTED_VALUE"""),"Go")</f>
        <v>Go</v>
      </c>
      <c r="I13" s="9" t="str">
        <f>IFERROR(__xludf.DUMMYFUNCTION("""COMPUTED_VALUE"""),"TypeScript")</f>
        <v>TypeScript</v>
      </c>
      <c r="J13" s="9" t="str">
        <f>IFERROR(__xludf.DUMMYFUNCTION("""COMPUTED_VALUE"""),"VBA")</f>
        <v>VBA</v>
      </c>
      <c r="K13" s="9" t="str">
        <f>IFERROR(__xludf.DUMMYFUNCTION("""COMPUTED_VALUE"""),"C#")</f>
        <v>C#</v>
      </c>
      <c r="L13" s="9" t="str">
        <f>IFERROR(__xludf.DUMMYFUNCTION("""COMPUTED_VALUE"""),"Bash/Shell/PowerShell")</f>
        <v>Bash/Shell/PowerShell</v>
      </c>
      <c r="M13" s="9" t="s">
        <v>26</v>
      </c>
      <c r="N13" s="9" t="str">
        <f>IFERROR(__xludf.DUMMYFUNCTION("""COMPUTED_VALUE"""),"Bash/Shell/PowerShell")</f>
        <v>Bash/Shell/PowerShell</v>
      </c>
      <c r="O13" s="9">
        <f t="shared" si="1"/>
        <v>3302</v>
      </c>
      <c r="P13" s="9">
        <v>1788.0</v>
      </c>
    </row>
    <row r="14" ht="15.75" customHeight="1">
      <c r="A14" s="7"/>
      <c r="B14" s="7" t="str">
        <f>IFERROR(__xludf.DUMMYFUNCTION("""COMPUTED_VALUE"""),"Bash/Shell/PowerShell;HTML/CSS;Java;Python;R;SQL")</f>
        <v>Bash/Shell/PowerShell;HTML/CSS;Java;Python;R;SQL</v>
      </c>
      <c r="C14" s="9" t="str">
        <f>IFERROR(__xludf.DUMMYFUNCTION("""COMPUTED_VALUE"""),"Python")</f>
        <v>Python</v>
      </c>
      <c r="D14" s="9" t="str">
        <f>IFERROR(__xludf.DUMMYFUNCTION("""COMPUTED_VALUE"""),"JavaScript")</f>
        <v>JavaScript</v>
      </c>
      <c r="E14" s="9" t="str">
        <f>IFERROR(__xludf.DUMMYFUNCTION("""COMPUTED_VALUE"""),"Java")</f>
        <v>Java</v>
      </c>
      <c r="F14" s="9" t="str">
        <f>IFERROR(__xludf.DUMMYFUNCTION("""COMPUTED_VALUE"""),"SQL")</f>
        <v>SQL</v>
      </c>
      <c r="G14" s="9" t="str">
        <f>IFERROR(__xludf.DUMMYFUNCTION("""COMPUTED_VALUE"""),"JavaScript")</f>
        <v>JavaScript</v>
      </c>
      <c r="H14" s="9" t="str">
        <f>IFERROR(__xludf.DUMMYFUNCTION("""COMPUTED_VALUE"""),"Java")</f>
        <v>Java</v>
      </c>
      <c r="I14" s="9" t="str">
        <f>IFERROR(__xludf.DUMMYFUNCTION("""COMPUTED_VALUE"""),"Bash/Shell/PowerShell")</f>
        <v>Bash/Shell/PowerShell</v>
      </c>
      <c r="J14" s="9" t="str">
        <f>IFERROR(__xludf.DUMMYFUNCTION("""COMPUTED_VALUE"""),"Bash/Shell/PowerShell")</f>
        <v>Bash/Shell/PowerShell</v>
      </c>
      <c r="K14" s="9" t="str">
        <f>IFERROR(__xludf.DUMMYFUNCTION("""COMPUTED_VALUE"""),"HTML/CSS")</f>
        <v>HTML/CSS</v>
      </c>
      <c r="L14" s="9" t="str">
        <f>IFERROR(__xludf.DUMMYFUNCTION("""COMPUTED_VALUE"""),"C++")</f>
        <v>C++</v>
      </c>
      <c r="M14" s="9" t="s">
        <v>22</v>
      </c>
      <c r="N14" s="9" t="str">
        <f>IFERROR(__xludf.DUMMYFUNCTION("""COMPUTED_VALUE"""),"Ruby")</f>
        <v>Ruby</v>
      </c>
      <c r="O14" s="9">
        <f t="shared" si="1"/>
        <v>828</v>
      </c>
      <c r="P14" s="9">
        <v>828.0</v>
      </c>
    </row>
    <row r="15" ht="15.75" customHeight="1">
      <c r="A15" s="7"/>
      <c r="B15" s="7" t="str">
        <f>IFERROR(__xludf.DUMMYFUNCTION("""COMPUTED_VALUE"""),"Bash/Shell/PowerShell;HTML/CSS;JavaScript;PHP;SQL;TypeScript")</f>
        <v>Bash/Shell/PowerShell;HTML/CSS;JavaScript;PHP;SQL;TypeScript</v>
      </c>
      <c r="C15" s="9" t="str">
        <f>IFERROR(__xludf.DUMMYFUNCTION("""COMPUTED_VALUE"""),"SQL")</f>
        <v>SQL</v>
      </c>
      <c r="D15" s="9" t="str">
        <f>IFERROR(__xludf.DUMMYFUNCTION("""COMPUTED_VALUE"""),"PHP")</f>
        <v>PHP</v>
      </c>
      <c r="E15" s="9" t="str">
        <f>IFERROR(__xludf.DUMMYFUNCTION("""COMPUTED_VALUE"""),"JavaScript")</f>
        <v>JavaScript</v>
      </c>
      <c r="F15" s="9" t="str">
        <f>IFERROR(__xludf.DUMMYFUNCTION("""COMPUTED_VALUE"""),"C#")</f>
        <v>C#</v>
      </c>
      <c r="G15" s="9" t="str">
        <f>IFERROR(__xludf.DUMMYFUNCTION("""COMPUTED_VALUE"""),"SQL")</f>
        <v>SQL</v>
      </c>
      <c r="H15" s="9" t="str">
        <f>IFERROR(__xludf.DUMMYFUNCTION("""COMPUTED_VALUE"""),"Ruby")</f>
        <v>Ruby</v>
      </c>
      <c r="I15" s="9" t="str">
        <f>IFERROR(__xludf.DUMMYFUNCTION("""COMPUTED_VALUE"""),"Go")</f>
        <v>Go</v>
      </c>
      <c r="J15" s="9" t="str">
        <f>IFERROR(__xludf.DUMMYFUNCTION("""COMPUTED_VALUE"""),"C#")</f>
        <v>C#</v>
      </c>
      <c r="K15" s="9" t="str">
        <f>IFERROR(__xludf.DUMMYFUNCTION("""COMPUTED_VALUE"""),"Java")</f>
        <v>Java</v>
      </c>
      <c r="L15" s="9" t="str">
        <f>IFERROR(__xludf.DUMMYFUNCTION("""COMPUTED_VALUE"""),"HTML/CSS")</f>
        <v>HTML/CSS</v>
      </c>
      <c r="M15" s="9" t="s">
        <v>27</v>
      </c>
      <c r="N15" s="9" t="str">
        <f>IFERROR(__xludf.DUMMYFUNCTION("""COMPUTED_VALUE"""),"Rust")</f>
        <v>Rust</v>
      </c>
      <c r="O15" s="9">
        <f t="shared" si="1"/>
        <v>287</v>
      </c>
      <c r="P15" s="9">
        <v>797.0</v>
      </c>
    </row>
    <row r="16" ht="15.75" customHeight="1">
      <c r="A16" s="7"/>
      <c r="B16" s="7" t="str">
        <f>IFERROR(__xludf.DUMMYFUNCTION("""COMPUTED_VALUE"""),"C++")</f>
        <v>C++</v>
      </c>
      <c r="C16" s="9" t="str">
        <f>IFERROR(__xludf.DUMMYFUNCTION("""COMPUTED_VALUE"""),"C++")</f>
        <v>C++</v>
      </c>
      <c r="D16" s="9" t="str">
        <f>IFERROR(__xludf.DUMMYFUNCTION("""COMPUTED_VALUE"""),"Python")</f>
        <v>Python</v>
      </c>
      <c r="E16" s="9" t="str">
        <f>IFERROR(__xludf.DUMMYFUNCTION("""COMPUTED_VALUE"""),"SQL")</f>
        <v>SQL</v>
      </c>
      <c r="F16" s="9" t="str">
        <f>IFERROR(__xludf.DUMMYFUNCTION("""COMPUTED_VALUE"""),"HTML/CSS")</f>
        <v>HTML/CSS</v>
      </c>
      <c r="G16" s="9" t="str">
        <f>IFERROR(__xludf.DUMMYFUNCTION("""COMPUTED_VALUE"""),"Bash/Shell/PowerShell")</f>
        <v>Bash/Shell/PowerShell</v>
      </c>
      <c r="H16" s="9" t="str">
        <f>IFERROR(__xludf.DUMMYFUNCTION("""COMPUTED_VALUE"""),"SQL")</f>
        <v>SQL</v>
      </c>
      <c r="I16" s="9" t="str">
        <f>IFERROR(__xludf.DUMMYFUNCTION("""COMPUTED_VALUE"""),"Python")</f>
        <v>Python</v>
      </c>
      <c r="J16" s="9" t="str">
        <f>IFERROR(__xludf.DUMMYFUNCTION("""COMPUTED_VALUE"""),"HTML/CSS")</f>
        <v>HTML/CSS</v>
      </c>
      <c r="K16" s="9" t="str">
        <f>IFERROR(__xludf.DUMMYFUNCTION("""COMPUTED_VALUE"""),"JavaScript")</f>
        <v>JavaScript</v>
      </c>
      <c r="L16" s="9" t="str">
        <f>IFERROR(__xludf.DUMMYFUNCTION("""COMPUTED_VALUE"""),"JavaScript")</f>
        <v>JavaScript</v>
      </c>
      <c r="M16" s="9" t="s">
        <v>23</v>
      </c>
      <c r="N16" s="9" t="str">
        <f>IFERROR(__xludf.DUMMYFUNCTION("""COMPUTED_VALUE"""),"TypeScript")</f>
        <v>TypeScript</v>
      </c>
      <c r="O16" s="9">
        <f t="shared" si="1"/>
        <v>1931</v>
      </c>
      <c r="P16" s="9">
        <v>742.0</v>
      </c>
    </row>
    <row r="17" ht="15.75" customHeight="1">
      <c r="A17" s="7"/>
      <c r="B17" s="7" t="str">
        <f>IFERROR(__xludf.DUMMYFUNCTION("""COMPUTED_VALUE"""),"Assembly;Bash/Shell/PowerShell;C;C++;HTML/CSS;Java;JavaScript;PHP;SQL")</f>
        <v>Assembly;Bash/Shell/PowerShell;C;C++;HTML/CSS;Java;JavaScript;PHP;SQL</v>
      </c>
      <c r="C17" s="9" t="str">
        <f>IFERROR(__xludf.DUMMYFUNCTION("""COMPUTED_VALUE"""),"HTML/CSS")</f>
        <v>HTML/CSS</v>
      </c>
      <c r="D17" s="9" t="str">
        <f>IFERROR(__xludf.DUMMYFUNCTION("""COMPUTED_VALUE"""),"SQL")</f>
        <v>SQL</v>
      </c>
      <c r="E17" s="9" t="str">
        <f>IFERROR(__xludf.DUMMYFUNCTION("""COMPUTED_VALUE"""),"Other(s):")</f>
        <v>Other(s):</v>
      </c>
      <c r="F17" s="9" t="str">
        <f>IFERROR(__xludf.DUMMYFUNCTION("""COMPUTED_VALUE"""),"JavaScript")</f>
        <v>JavaScript</v>
      </c>
      <c r="G17" s="9" t="str">
        <f>IFERROR(__xludf.DUMMYFUNCTION("""COMPUTED_VALUE"""),"C++")</f>
        <v>C++</v>
      </c>
      <c r="H17" s="9" t="str">
        <f>IFERROR(__xludf.DUMMYFUNCTION("""COMPUTED_VALUE"""),"C#")</f>
        <v>C#</v>
      </c>
      <c r="I17" s="9" t="str">
        <f>IFERROR(__xludf.DUMMYFUNCTION("""COMPUTED_VALUE"""),"C#")</f>
        <v>C#</v>
      </c>
      <c r="J17" s="9" t="str">
        <f>IFERROR(__xludf.DUMMYFUNCTION("""COMPUTED_VALUE"""),"JavaScript")</f>
        <v>JavaScript</v>
      </c>
      <c r="K17" s="9" t="str">
        <f>IFERROR(__xludf.DUMMYFUNCTION("""COMPUTED_VALUE"""),"Python")</f>
        <v>Python</v>
      </c>
      <c r="L17" s="9" t="str">
        <f>IFERROR(__xludf.DUMMYFUNCTION("""COMPUTED_VALUE"""),"Python")</f>
        <v>Python</v>
      </c>
      <c r="M17" s="9" t="s">
        <v>24</v>
      </c>
      <c r="N17" s="9" t="str">
        <f>IFERROR(__xludf.DUMMYFUNCTION("""COMPUTED_VALUE"""),"WebAssembly")</f>
        <v>WebAssembly</v>
      </c>
      <c r="O17" s="9">
        <f t="shared" si="1"/>
        <v>112</v>
      </c>
      <c r="P17" s="9">
        <v>609.0</v>
      </c>
    </row>
    <row r="18" ht="15.75" customHeight="1">
      <c r="A18" s="7"/>
      <c r="B18" s="7" t="str">
        <f>IFERROR(__xludf.DUMMYFUNCTION("""COMPUTED_VALUE"""),"Bash/Shell/PowerShell;C#;HTML/CSS;JavaScript;TypeScript;VBA")</f>
        <v>Bash/Shell/PowerShell;C#;HTML/CSS;JavaScript;TypeScript;VBA</v>
      </c>
      <c r="C18" s="9" t="str">
        <f>IFERROR(__xludf.DUMMYFUNCTION("""COMPUTED_VALUE"""),"Java")</f>
        <v>Java</v>
      </c>
      <c r="D18" s="9" t="str">
        <f>IFERROR(__xludf.DUMMYFUNCTION("""COMPUTED_VALUE"""),"HTML/CSS")</f>
        <v>HTML/CSS</v>
      </c>
      <c r="E18" s="9" t="str">
        <f>IFERROR(__xludf.DUMMYFUNCTION("""COMPUTED_VALUE"""),"C#")</f>
        <v>C#</v>
      </c>
      <c r="F18" s="9" t="str">
        <f>IFERROR(__xludf.DUMMYFUNCTION("""COMPUTED_VALUE"""),"Python")</f>
        <v>Python</v>
      </c>
      <c r="G18" s="9" t="str">
        <f>IFERROR(__xludf.DUMMYFUNCTION("""COMPUTED_VALUE"""),"C#")</f>
        <v>C#</v>
      </c>
      <c r="H18" s="9" t="str">
        <f>IFERROR(__xludf.DUMMYFUNCTION("""COMPUTED_VALUE"""),"HTML/CSS")</f>
        <v>HTML/CSS</v>
      </c>
      <c r="I18" s="9" t="str">
        <f>IFERROR(__xludf.DUMMYFUNCTION("""COMPUTED_VALUE"""),"HTML/CSS")</f>
        <v>HTML/CSS</v>
      </c>
      <c r="J18" s="9" t="str">
        <f>IFERROR(__xludf.DUMMYFUNCTION("""COMPUTED_VALUE"""),"PHP")</f>
        <v>PHP</v>
      </c>
      <c r="K18" s="9" t="str">
        <f>IFERROR(__xludf.DUMMYFUNCTION("""COMPUTED_VALUE"""),"SQL")</f>
        <v>SQL</v>
      </c>
      <c r="L18" s="9" t="str">
        <f>IFERROR(__xludf.DUMMYFUNCTION("""COMPUTED_VALUE"""),"R")</f>
        <v>R</v>
      </c>
      <c r="M18" s="9" t="s">
        <v>20</v>
      </c>
      <c r="N18" s="9" t="str">
        <f>IFERROR(__xludf.DUMMYFUNCTION("""COMPUTED_VALUE"""),"Other(s):")</f>
        <v>Other(s):</v>
      </c>
      <c r="O18" s="9">
        <f t="shared" si="1"/>
        <v>797</v>
      </c>
      <c r="P18" s="9">
        <v>583.0</v>
      </c>
    </row>
    <row r="19" ht="15.75" customHeight="1">
      <c r="A19" s="7"/>
      <c r="B19" s="7" t="str">
        <f>IFERROR(__xludf.DUMMYFUNCTION("""COMPUTED_VALUE"""),"Bash/Shell/PowerShell;HTML/CSS;JavaScript;TypeScript")</f>
        <v>Bash/Shell/PowerShell;HTML/CSS;JavaScript;TypeScript</v>
      </c>
      <c r="C19" s="9" t="str">
        <f>IFERROR(__xludf.DUMMYFUNCTION("""COMPUTED_VALUE"""),"JavaScript")</f>
        <v>JavaScript</v>
      </c>
      <c r="D19" s="9" t="str">
        <f>IFERROR(__xludf.DUMMYFUNCTION("""COMPUTED_VALUE"""),"JavaScript")</f>
        <v>JavaScript</v>
      </c>
      <c r="E19" s="9" t="str">
        <f>IFERROR(__xludf.DUMMYFUNCTION("""COMPUTED_VALUE"""),"HTML/CSS")</f>
        <v>HTML/CSS</v>
      </c>
      <c r="F19" s="9" t="str">
        <f>IFERROR(__xludf.DUMMYFUNCTION("""COMPUTED_VALUE"""),"VBA")</f>
        <v>VBA</v>
      </c>
      <c r="G19" s="9" t="str">
        <f>IFERROR(__xludf.DUMMYFUNCTION("""COMPUTED_VALUE"""),"HTML/CSS")</f>
        <v>HTML/CSS</v>
      </c>
      <c r="H19" s="9" t="str">
        <f>IFERROR(__xludf.DUMMYFUNCTION("""COMPUTED_VALUE"""),"JavaScript")</f>
        <v>JavaScript</v>
      </c>
      <c r="I19" s="9" t="str">
        <f>IFERROR(__xludf.DUMMYFUNCTION("""COMPUTED_VALUE"""),"JavaScript")</f>
        <v>JavaScript</v>
      </c>
      <c r="J19" s="9" t="str">
        <f>IFERROR(__xludf.DUMMYFUNCTION("""COMPUTED_VALUE"""),"SQL")</f>
        <v>SQL</v>
      </c>
      <c r="K19" s="9" t="str">
        <f>IFERROR(__xludf.DUMMYFUNCTION("""COMPUTED_VALUE"""),"Other(s):")</f>
        <v>Other(s):</v>
      </c>
      <c r="L19" s="9" t="str">
        <f>IFERROR(__xludf.DUMMYFUNCTION("""COMPUTED_VALUE"""),"HTML/CSS")</f>
        <v>HTML/CSS</v>
      </c>
      <c r="M19" s="9" t="s">
        <v>21</v>
      </c>
      <c r="N19" s="9" t="str">
        <f>IFERROR(__xludf.DUMMYFUNCTION("""COMPUTED_VALUE"""),"Go")</f>
        <v>Go</v>
      </c>
      <c r="O19" s="9">
        <f t="shared" si="1"/>
        <v>742</v>
      </c>
      <c r="P19" s="9">
        <v>563.0</v>
      </c>
    </row>
    <row r="20" ht="15.75" customHeight="1">
      <c r="A20" s="7"/>
      <c r="B20" s="7" t="str">
        <f>IFERROR(__xludf.DUMMYFUNCTION("""COMPUTED_VALUE"""),"Python;R")</f>
        <v>Python;R</v>
      </c>
      <c r="C20" s="9" t="str">
        <f>IFERROR(__xludf.DUMMYFUNCTION("""COMPUTED_VALUE"""),"Python")</f>
        <v>Python</v>
      </c>
      <c r="D20" s="9" t="str">
        <f>IFERROR(__xludf.DUMMYFUNCTION("""COMPUTED_VALUE"""),"PHP")</f>
        <v>PHP</v>
      </c>
      <c r="E20" s="9" t="str">
        <f>IFERROR(__xludf.DUMMYFUNCTION("""COMPUTED_VALUE"""),"JavaScript")</f>
        <v>JavaScript</v>
      </c>
      <c r="F20" s="9" t="str">
        <f>IFERROR(__xludf.DUMMYFUNCTION("""COMPUTED_VALUE"""),"Other(s):")</f>
        <v>Other(s):</v>
      </c>
      <c r="G20" s="9" t="str">
        <f>IFERROR(__xludf.DUMMYFUNCTION("""COMPUTED_VALUE"""),"Java")</f>
        <v>Java</v>
      </c>
      <c r="H20" s="9" t="str">
        <f>IFERROR(__xludf.DUMMYFUNCTION("""COMPUTED_VALUE"""),"SQL")</f>
        <v>SQL</v>
      </c>
      <c r="I20" s="9" t="str">
        <f>IFERROR(__xludf.DUMMYFUNCTION("""COMPUTED_VALUE"""),"SQL")</f>
        <v>SQL</v>
      </c>
      <c r="J20" s="9" t="str">
        <f>IFERROR(__xludf.DUMMYFUNCTION("""COMPUTED_VALUE"""),"HTML/CSS")</f>
        <v>HTML/CSS</v>
      </c>
      <c r="K20" s="9" t="str">
        <f>IFERROR(__xludf.DUMMYFUNCTION("""COMPUTED_VALUE"""),"C#")</f>
        <v>C#</v>
      </c>
      <c r="L20" s="9" t="str">
        <f>IFERROR(__xludf.DUMMYFUNCTION("""COMPUTED_VALUE"""),"JavaScript")</f>
        <v>JavaScript</v>
      </c>
      <c r="M20" s="9" t="s">
        <v>22</v>
      </c>
      <c r="N20" s="9" t="str">
        <f>IFERROR(__xludf.DUMMYFUNCTION("""COMPUTED_VALUE"""),"PHP")</f>
        <v>PHP</v>
      </c>
      <c r="O20" s="9">
        <f t="shared" si="1"/>
        <v>2330</v>
      </c>
      <c r="P20" s="9">
        <v>530.0</v>
      </c>
    </row>
    <row r="21" ht="15.75" customHeight="1">
      <c r="A21" s="7"/>
      <c r="B21" s="7" t="str">
        <f>IFERROR(__xludf.DUMMYFUNCTION("""COMPUTED_VALUE"""),"C#;HTML/CSS;Java;JavaScript;SQL;TypeScript")</f>
        <v>C#;HTML/CSS;Java;JavaScript;SQL;TypeScript</v>
      </c>
      <c r="C21" s="9" t="str">
        <f>IFERROR(__xludf.DUMMYFUNCTION("""COMPUTED_VALUE"""),"SQL")</f>
        <v>SQL</v>
      </c>
      <c r="D21" s="9" t="str">
        <f>IFERROR(__xludf.DUMMYFUNCTION("""COMPUTED_VALUE"""),"Python")</f>
        <v>Python</v>
      </c>
      <c r="E21" s="9" t="str">
        <f>IFERROR(__xludf.DUMMYFUNCTION("""COMPUTED_VALUE"""),"PHP")</f>
        <v>PHP</v>
      </c>
      <c r="F21" s="9" t="str">
        <f>IFERROR(__xludf.DUMMYFUNCTION("""COMPUTED_VALUE"""),"Bash/Shell/PowerShell")</f>
        <v>Bash/Shell/PowerShell</v>
      </c>
      <c r="G21" s="9" t="str">
        <f>IFERROR(__xludf.DUMMYFUNCTION("""COMPUTED_VALUE"""),"JavaScript")</f>
        <v>JavaScript</v>
      </c>
      <c r="H21" s="9" t="str">
        <f>IFERROR(__xludf.DUMMYFUNCTION("""COMPUTED_VALUE"""),"Bash/Shell/PowerShell")</f>
        <v>Bash/Shell/PowerShell</v>
      </c>
      <c r="I21" s="9" t="str">
        <f>IFERROR(__xludf.DUMMYFUNCTION("""COMPUTED_VALUE"""),"TypeScript")</f>
        <v>TypeScript</v>
      </c>
      <c r="J21" s="9" t="str">
        <f>IFERROR(__xludf.DUMMYFUNCTION("""COMPUTED_VALUE"""),"Java")</f>
        <v>Java</v>
      </c>
      <c r="K21" s="9" t="str">
        <f>IFERROR(__xludf.DUMMYFUNCTION("""COMPUTED_VALUE"""),"Python")</f>
        <v>Python</v>
      </c>
      <c r="L21" s="9" t="str">
        <f>IFERROR(__xludf.DUMMYFUNCTION("""COMPUTED_VALUE"""),"Python")</f>
        <v>Python</v>
      </c>
      <c r="M21" s="9" t="s">
        <v>27</v>
      </c>
      <c r="N21" s="9" t="str">
        <f>IFERROR(__xludf.DUMMYFUNCTION("""COMPUTED_VALUE"""),"Assembly")</f>
        <v>Assembly</v>
      </c>
      <c r="O21" s="9">
        <f t="shared" si="1"/>
        <v>609</v>
      </c>
      <c r="P21" s="9">
        <v>501.0</v>
      </c>
    </row>
    <row r="22" ht="15.75" customHeight="1">
      <c r="A22" s="7"/>
      <c r="B22" s="7" t="str">
        <f>IFERROR(__xludf.DUMMYFUNCTION("""COMPUTED_VALUE"""),"Bash/Shell/PowerShell;C#;HTML/CSS;Java;JavaScript;PHP;Python;R;SQL")</f>
        <v>Bash/Shell/PowerShell;C#;HTML/CSS;Java;JavaScript;PHP;Python;R;SQL</v>
      </c>
      <c r="C22" s="9" t="str">
        <f>IFERROR(__xludf.DUMMYFUNCTION("""COMPUTED_VALUE"""),"VBA")</f>
        <v>VBA</v>
      </c>
      <c r="D22" s="9" t="str">
        <f>IFERROR(__xludf.DUMMYFUNCTION("""COMPUTED_VALUE"""),"TypeScript")</f>
        <v>TypeScript</v>
      </c>
      <c r="E22" s="9" t="str">
        <f>IFERROR(__xludf.DUMMYFUNCTION("""COMPUTED_VALUE"""),"SQL")</f>
        <v>SQL</v>
      </c>
      <c r="F22" s="9" t="str">
        <f>IFERROR(__xludf.DUMMYFUNCTION("""COMPUTED_VALUE"""),"C")</f>
        <v>C</v>
      </c>
      <c r="G22" s="9" t="str">
        <f>IFERROR(__xludf.DUMMYFUNCTION("""COMPUTED_VALUE"""),"Python")</f>
        <v>Python</v>
      </c>
      <c r="H22" s="9" t="str">
        <f>IFERROR(__xludf.DUMMYFUNCTION("""COMPUTED_VALUE"""),"C#")</f>
        <v>C#</v>
      </c>
      <c r="I22" s="9" t="str">
        <f>IFERROR(__xludf.DUMMYFUNCTION("""COMPUTED_VALUE"""),"Bash/Shell/PowerShell")</f>
        <v>Bash/Shell/PowerShell</v>
      </c>
      <c r="J22" s="9" t="str">
        <f>IFERROR(__xludf.DUMMYFUNCTION("""COMPUTED_VALUE"""),"JavaScript")</f>
        <v>JavaScript</v>
      </c>
      <c r="K22" s="9" t="str">
        <f>IFERROR(__xludf.DUMMYFUNCTION("""COMPUTED_VALUE"""),"SQL")</f>
        <v>SQL</v>
      </c>
      <c r="L22" s="9" t="str">
        <f>IFERROR(__xludf.DUMMYFUNCTION("""COMPUTED_VALUE"""),"SQL")</f>
        <v>SQL</v>
      </c>
      <c r="M22" s="9" t="s">
        <v>28</v>
      </c>
      <c r="N22" s="9" t="str">
        <f>IFERROR(__xludf.DUMMYFUNCTION("""COMPUTED_VALUE"""),"Kotlin")</f>
        <v>Kotlin</v>
      </c>
      <c r="O22" s="9">
        <f t="shared" si="1"/>
        <v>583</v>
      </c>
      <c r="P22" s="9">
        <v>426.0</v>
      </c>
    </row>
    <row r="23" ht="15.75" customHeight="1">
      <c r="A23" s="7"/>
      <c r="B23" s="7" t="str">
        <f>IFERROR(__xludf.DUMMYFUNCTION("""COMPUTED_VALUE"""),"Assembly;Bash/Shell/PowerShell;C;C++;Go;Java;JavaScript;Kotlin;Python;Rust;SQL;Swift")</f>
        <v>Assembly;Bash/Shell/PowerShell;C;C++;Go;Java;JavaScript;Kotlin;Python;Rust;SQL;Swift</v>
      </c>
      <c r="C23" s="9" t="str">
        <f>IFERROR(__xludf.DUMMYFUNCTION("""COMPUTED_VALUE"""),"Java")</f>
        <v>Java</v>
      </c>
      <c r="D23" s="9" t="str">
        <f>IFERROR(__xludf.DUMMYFUNCTION("""COMPUTED_VALUE"""),"C#")</f>
        <v>C#</v>
      </c>
      <c r="E23" s="9" t="str">
        <f>IFERROR(__xludf.DUMMYFUNCTION("""COMPUTED_VALUE"""),"Other(s):")</f>
        <v>Other(s):</v>
      </c>
      <c r="F23" s="9" t="str">
        <f>IFERROR(__xludf.DUMMYFUNCTION("""COMPUTED_VALUE"""),"C++")</f>
        <v>C++</v>
      </c>
      <c r="G23" s="9" t="str">
        <f>IFERROR(__xludf.DUMMYFUNCTION("""COMPUTED_VALUE"""),"SQL")</f>
        <v>SQL</v>
      </c>
      <c r="H23" s="9" t="str">
        <f>IFERROR(__xludf.DUMMYFUNCTION("""COMPUTED_VALUE"""),"Go")</f>
        <v>Go</v>
      </c>
      <c r="I23" s="9" t="str">
        <f>IFERROR(__xludf.DUMMYFUNCTION("""COMPUTED_VALUE"""),"HTML/CSS")</f>
        <v>HTML/CSS</v>
      </c>
      <c r="J23" s="9" t="str">
        <f>IFERROR(__xludf.DUMMYFUNCTION("""COMPUTED_VALUE"""),"Python")</f>
        <v>Python</v>
      </c>
      <c r="K23" s="9" t="str">
        <f>IFERROR(__xludf.DUMMYFUNCTION("""COMPUTED_VALUE"""),"Bash/Shell/PowerShell")</f>
        <v>Bash/Shell/PowerShell</v>
      </c>
      <c r="L23" s="9" t="str">
        <f>IFERROR(__xludf.DUMMYFUNCTION("""COMPUTED_VALUE"""),"Java")</f>
        <v>Java</v>
      </c>
      <c r="M23" s="9" t="s">
        <v>20</v>
      </c>
      <c r="N23" s="9" t="str">
        <f>IFERROR(__xludf.DUMMYFUNCTION("""COMPUTED_VALUE"""),"Swift")</f>
        <v>Swift</v>
      </c>
      <c r="O23" s="9">
        <f t="shared" si="1"/>
        <v>563</v>
      </c>
      <c r="P23" s="9">
        <v>314.0</v>
      </c>
    </row>
    <row r="24" ht="15.75" customHeight="1">
      <c r="A24" s="7"/>
      <c r="B24" s="7" t="str">
        <f>IFERROR(__xludf.DUMMYFUNCTION("""COMPUTED_VALUE"""),"Bash/Shell/PowerShell;C++;HTML/CSS;JavaScript;Python;Ruby;SQL;TypeScript")</f>
        <v>Bash/Shell/PowerShell;C++;HTML/CSS;JavaScript;Python;Ruby;SQL;TypeScript</v>
      </c>
      <c r="C24" s="9" t="str">
        <f>IFERROR(__xludf.DUMMYFUNCTION("""COMPUTED_VALUE"""),"R")</f>
        <v>R</v>
      </c>
      <c r="D24" s="9" t="str">
        <f>IFERROR(__xludf.DUMMYFUNCTION("""COMPUTED_VALUE"""),"Go")</f>
        <v>Go</v>
      </c>
      <c r="E24" s="9" t="str">
        <f>IFERROR(__xludf.DUMMYFUNCTION("""COMPUTED_VALUE"""),"Objective-C")</f>
        <v>Objective-C</v>
      </c>
      <c r="F24" s="9" t="str">
        <f>IFERROR(__xludf.DUMMYFUNCTION("""COMPUTED_VALUE"""),"C#")</f>
        <v>C#</v>
      </c>
      <c r="G24" s="9" t="str">
        <f>IFERROR(__xludf.DUMMYFUNCTION("""COMPUTED_VALUE"""),"C#")</f>
        <v>C#</v>
      </c>
      <c r="H24" s="9" t="str">
        <f>IFERROR(__xludf.DUMMYFUNCTION("""COMPUTED_VALUE"""),"Scala")</f>
        <v>Scala</v>
      </c>
      <c r="I24" s="9" t="str">
        <f>IFERROR(__xludf.DUMMYFUNCTION("""COMPUTED_VALUE"""),"Java")</f>
        <v>Java</v>
      </c>
      <c r="J24" s="9" t="str">
        <f>IFERROR(__xludf.DUMMYFUNCTION("""COMPUTED_VALUE"""),"SQL")</f>
        <v>SQL</v>
      </c>
      <c r="K24" s="9" t="str">
        <f>IFERROR(__xludf.DUMMYFUNCTION("""COMPUTED_VALUE"""),"C++")</f>
        <v>C++</v>
      </c>
      <c r="L24" s="9" t="str">
        <f>IFERROR(__xludf.DUMMYFUNCTION("""COMPUTED_VALUE"""),"C#")</f>
        <v>C#</v>
      </c>
      <c r="M24" s="9" t="s">
        <v>29</v>
      </c>
      <c r="N24" s="9" t="str">
        <f>IFERROR(__xludf.DUMMYFUNCTION("""COMPUTED_VALUE"""),"Objective-C")</f>
        <v>Objective-C</v>
      </c>
      <c r="O24" s="9">
        <f t="shared" si="1"/>
        <v>426</v>
      </c>
      <c r="P24" s="9">
        <v>287.0</v>
      </c>
    </row>
    <row r="25" ht="15.75" customHeight="1">
      <c r="A25" s="7"/>
      <c r="B25" s="7" t="str">
        <f>IFERROR(__xludf.DUMMYFUNCTION("""COMPUTED_VALUE"""),"Bash/Shell/PowerShell;HTML/CSS;JavaScript;Python;Ruby;SQL")</f>
        <v>Bash/Shell/PowerShell;HTML/CSS;JavaScript;Python;Ruby;SQL</v>
      </c>
      <c r="C25" s="9" t="str">
        <f>IFERROR(__xludf.DUMMYFUNCTION("""COMPUTED_VALUE"""),"SQL")</f>
        <v>SQL</v>
      </c>
      <c r="D25" s="9" t="str">
        <f>IFERROR(__xludf.DUMMYFUNCTION("""COMPUTED_VALUE"""),"JavaScript")</f>
        <v>JavaScript</v>
      </c>
      <c r="E25" s="9" t="str">
        <f>IFERROR(__xludf.DUMMYFUNCTION("""COMPUTED_VALUE"""),"Swift")</f>
        <v>Swift</v>
      </c>
      <c r="F25" s="9" t="str">
        <f>IFERROR(__xludf.DUMMYFUNCTION("""COMPUTED_VALUE"""),"JavaScript")</f>
        <v>JavaScript</v>
      </c>
      <c r="G25" s="9" t="str">
        <f>IFERROR(__xludf.DUMMYFUNCTION("""COMPUTED_VALUE"""),"Python")</f>
        <v>Python</v>
      </c>
      <c r="H25" s="9" t="str">
        <f>IFERROR(__xludf.DUMMYFUNCTION("""COMPUTED_VALUE"""),"TypeScript")</f>
        <v>TypeScript</v>
      </c>
      <c r="I25" s="9" t="str">
        <f>IFERROR(__xludf.DUMMYFUNCTION("""COMPUTED_VALUE"""),"Python")</f>
        <v>Python</v>
      </c>
      <c r="J25" s="9" t="str">
        <f>IFERROR(__xludf.DUMMYFUNCTION("""COMPUTED_VALUE"""),"TypeScript")</f>
        <v>TypeScript</v>
      </c>
      <c r="K25" s="9" t="str">
        <f>IFERROR(__xludf.DUMMYFUNCTION("""COMPUTED_VALUE"""),"Java")</f>
        <v>Java</v>
      </c>
      <c r="L25" s="9" t="str">
        <f>IFERROR(__xludf.DUMMYFUNCTION("""COMPUTED_VALUE"""),"HTML/CSS")</f>
        <v>HTML/CSS</v>
      </c>
      <c r="M25" s="9" t="s">
        <v>27</v>
      </c>
      <c r="N25" s="9" t="str">
        <f>IFERROR(__xludf.DUMMYFUNCTION("""COMPUTED_VALUE"""),"Elixir")</f>
        <v>Elixir</v>
      </c>
      <c r="O25" s="9">
        <f t="shared" si="1"/>
        <v>138</v>
      </c>
      <c r="P25" s="9">
        <v>193.0</v>
      </c>
    </row>
    <row r="26" ht="15.75" customHeight="1">
      <c r="A26" s="7"/>
      <c r="B26" s="7" t="str">
        <f>IFERROR(__xludf.DUMMYFUNCTION("""COMPUTED_VALUE"""),"HTML/CSS;JavaScript;PHP;TypeScript")</f>
        <v>HTML/CSS;JavaScript;PHP;TypeScript</v>
      </c>
      <c r="C26" s="9" t="str">
        <f>IFERROR(__xludf.DUMMYFUNCTION("""COMPUTED_VALUE"""),"HTML/CSS")</f>
        <v>HTML/CSS</v>
      </c>
      <c r="D26" s="9" t="str">
        <f>IFERROR(__xludf.DUMMYFUNCTION("""COMPUTED_VALUE"""),"Bash/Shell/PowerShell")</f>
        <v>Bash/Shell/PowerShell</v>
      </c>
      <c r="E26" s="9" t="str">
        <f>IFERROR(__xludf.DUMMYFUNCTION("""COMPUTED_VALUE"""),"Bash/Shell/PowerShell")</f>
        <v>Bash/Shell/PowerShell</v>
      </c>
      <c r="F26" s="9" t="str">
        <f>IFERROR(__xludf.DUMMYFUNCTION("""COMPUTED_VALUE"""),"PHP")</f>
        <v>PHP</v>
      </c>
      <c r="G26" s="9" t="str">
        <f>IFERROR(__xludf.DUMMYFUNCTION("""COMPUTED_VALUE"""),"R")</f>
        <v>R</v>
      </c>
      <c r="H26" s="9" t="str">
        <f>IFERROR(__xludf.DUMMYFUNCTION("""COMPUTED_VALUE"""),"Bash/Shell/PowerShell")</f>
        <v>Bash/Shell/PowerShell</v>
      </c>
      <c r="I26" s="9" t="str">
        <f>IFERROR(__xludf.DUMMYFUNCTION("""COMPUTED_VALUE"""),"Java")</f>
        <v>Java</v>
      </c>
      <c r="J26" s="9" t="str">
        <f>IFERROR(__xludf.DUMMYFUNCTION("""COMPUTED_VALUE"""),"PHP")</f>
        <v>PHP</v>
      </c>
      <c r="K26" s="9" t="str">
        <f>IFERROR(__xludf.DUMMYFUNCTION("""COMPUTED_VALUE"""),"Python")</f>
        <v>Python</v>
      </c>
      <c r="L26" s="9" t="str">
        <f>IFERROR(__xludf.DUMMYFUNCTION("""COMPUTED_VALUE"""),"JavaScript")</f>
        <v>JavaScript</v>
      </c>
      <c r="M26" s="9" t="s">
        <v>24</v>
      </c>
      <c r="N26" s="9" t="str">
        <f>IFERROR(__xludf.DUMMYFUNCTION("""COMPUTED_VALUE"""),"Erlang")</f>
        <v>Erlang</v>
      </c>
      <c r="O26" s="9">
        <f t="shared" si="1"/>
        <v>84</v>
      </c>
      <c r="P26" s="9">
        <v>138.0</v>
      </c>
    </row>
    <row r="27" ht="15.75" customHeight="1">
      <c r="A27" s="7"/>
      <c r="B27" s="7" t="str">
        <f>IFERROR(__xludf.DUMMYFUNCTION("""COMPUTED_VALUE"""),"HTML/CSS;JavaScript;PHP;SQL;TypeScript")</f>
        <v>HTML/CSS;JavaScript;PHP;SQL;TypeScript</v>
      </c>
      <c r="C27" s="9" t="str">
        <f>IFERROR(__xludf.DUMMYFUNCTION("""COMPUTED_VALUE"""),"JavaScript")</f>
        <v>JavaScript</v>
      </c>
      <c r="D27" s="9" t="str">
        <f>IFERROR(__xludf.DUMMYFUNCTION("""COMPUTED_VALUE"""),"C")</f>
        <v>C</v>
      </c>
      <c r="E27" s="9" t="str">
        <f>IFERROR(__xludf.DUMMYFUNCTION("""COMPUTED_VALUE"""),"C")</f>
        <v>C</v>
      </c>
      <c r="F27" s="9" t="str">
        <f>IFERROR(__xludf.DUMMYFUNCTION("""COMPUTED_VALUE"""),"SQL")</f>
        <v>SQL</v>
      </c>
      <c r="G27" s="9" t="str">
        <f>IFERROR(__xludf.DUMMYFUNCTION("""COMPUTED_VALUE"""),"SQL")</f>
        <v>SQL</v>
      </c>
      <c r="H27" s="9" t="str">
        <f>IFERROR(__xludf.DUMMYFUNCTION("""COMPUTED_VALUE"""),"HTML/CSS")</f>
        <v>HTML/CSS</v>
      </c>
      <c r="I27" s="9" t="str">
        <f>IFERROR(__xludf.DUMMYFUNCTION("""COMPUTED_VALUE"""),"JavaScript")</f>
        <v>JavaScript</v>
      </c>
      <c r="J27" s="9" t="str">
        <f>IFERROR(__xludf.DUMMYFUNCTION("""COMPUTED_VALUE"""),"Ruby")</f>
        <v>Ruby</v>
      </c>
      <c r="K27" s="9" t="str">
        <f>IFERROR(__xludf.DUMMYFUNCTION("""COMPUTED_VALUE"""),"Bash/Shell/PowerShell")</f>
        <v>Bash/Shell/PowerShell</v>
      </c>
      <c r="L27" s="9" t="str">
        <f>IFERROR(__xludf.DUMMYFUNCTION("""COMPUTED_VALUE"""),"TypeScript")</f>
        <v>TypeScript</v>
      </c>
      <c r="M27" s="9" t="s">
        <v>21</v>
      </c>
      <c r="N27" s="9" t="str">
        <f>IFERROR(__xludf.DUMMYFUNCTION("""COMPUTED_VALUE"""),"Clojure")</f>
        <v>Clojure</v>
      </c>
      <c r="O27" s="9">
        <f t="shared" si="1"/>
        <v>136</v>
      </c>
      <c r="P27" s="9">
        <v>136.0</v>
      </c>
    </row>
    <row r="28" ht="15.75" customHeight="1">
      <c r="A28" s="7"/>
      <c r="B28" s="7" t="str">
        <f>IFERROR(__xludf.DUMMYFUNCTION("""COMPUTED_VALUE"""),"Bash/Shell/PowerShell;C++;C#;HTML/CSS;JavaScript;PHP;Python;Ruby;SQL;Swift;TypeScript;VBA")</f>
        <v>Bash/Shell/PowerShell;C++;C#;HTML/CSS;JavaScript;PHP;Python;Ruby;SQL;Swift;TypeScript;VBA</v>
      </c>
      <c r="C28" s="9" t="str">
        <f>IFERROR(__xludf.DUMMYFUNCTION("""COMPUTED_VALUE"""),"Bash/Shell/PowerShell")</f>
        <v>Bash/Shell/PowerShell</v>
      </c>
      <c r="D28" s="9" t="str">
        <f>IFERROR(__xludf.DUMMYFUNCTION("""COMPUTED_VALUE"""),"HTML/CSS")</f>
        <v>HTML/CSS</v>
      </c>
      <c r="E28" s="9" t="str">
        <f>IFERROR(__xludf.DUMMYFUNCTION("""COMPUTED_VALUE"""),"Clojure")</f>
        <v>Clojure</v>
      </c>
      <c r="F28" s="9" t="str">
        <f>IFERROR(__xludf.DUMMYFUNCTION("""COMPUTED_VALUE"""),"HTML/CSS")</f>
        <v>HTML/CSS</v>
      </c>
      <c r="G28" s="9" t="str">
        <f>IFERROR(__xludf.DUMMYFUNCTION("""COMPUTED_VALUE"""),"Bash/Shell/PowerShell")</f>
        <v>Bash/Shell/PowerShell</v>
      </c>
      <c r="H28" s="9" t="str">
        <f>IFERROR(__xludf.DUMMYFUNCTION("""COMPUTED_VALUE"""),"Python")</f>
        <v>Python</v>
      </c>
      <c r="I28" s="9" t="str">
        <f>IFERROR(__xludf.DUMMYFUNCTION("""COMPUTED_VALUE"""),"Python")</f>
        <v>Python</v>
      </c>
      <c r="J28" s="9" t="str">
        <f>IFERROR(__xludf.DUMMYFUNCTION("""COMPUTED_VALUE"""),"Bash/Shell/PowerShell")</f>
        <v>Bash/Shell/PowerShell</v>
      </c>
      <c r="K28" s="9" t="str">
        <f>IFERROR(__xludf.DUMMYFUNCTION("""COMPUTED_VALUE"""),"C#")</f>
        <v>C#</v>
      </c>
      <c r="L28" s="9" t="str">
        <f>IFERROR(__xludf.DUMMYFUNCTION("""COMPUTED_VALUE"""),"Elixir")</f>
        <v>Elixir</v>
      </c>
      <c r="M28" s="9" t="s">
        <v>30</v>
      </c>
      <c r="N28" s="9" t="str">
        <f>IFERROR(__xludf.DUMMYFUNCTION("""COMPUTED_VALUE"""),"F#")</f>
        <v>F#</v>
      </c>
      <c r="O28" s="9">
        <f t="shared" si="1"/>
        <v>114</v>
      </c>
      <c r="P28" s="9">
        <v>114.0</v>
      </c>
    </row>
    <row r="29" ht="15.75" customHeight="1">
      <c r="A29" s="7"/>
      <c r="B29" s="7" t="str">
        <f>IFERROR(__xludf.DUMMYFUNCTION("""COMPUTED_VALUE"""),"C++;JavaScript;Python;Ruby;SQL;TypeScript")</f>
        <v>C++;JavaScript;Python;Ruby;SQL;TypeScript</v>
      </c>
      <c r="C29" s="9" t="str">
        <f>IFERROR(__xludf.DUMMYFUNCTION("""COMPUTED_VALUE"""),"C")</f>
        <v>C</v>
      </c>
      <c r="D29" s="9" t="str">
        <f>IFERROR(__xludf.DUMMYFUNCTION("""COMPUTED_VALUE"""),"Java")</f>
        <v>Java</v>
      </c>
      <c r="E29" s="9" t="str">
        <f>IFERROR(__xludf.DUMMYFUNCTION("""COMPUTED_VALUE"""),"Java")</f>
        <v>Java</v>
      </c>
      <c r="F29" s="9" t="str">
        <f>IFERROR(__xludf.DUMMYFUNCTION("""COMPUTED_VALUE"""),"JavaScript")</f>
        <v>JavaScript</v>
      </c>
      <c r="G29" s="9" t="str">
        <f>IFERROR(__xludf.DUMMYFUNCTION("""COMPUTED_VALUE"""),"HTML/CSS")</f>
        <v>HTML/CSS</v>
      </c>
      <c r="H29" s="9" t="str">
        <f>IFERROR(__xludf.DUMMYFUNCTION("""COMPUTED_VALUE"""),"Rust")</f>
        <v>Rust</v>
      </c>
      <c r="I29" s="9" t="str">
        <f>IFERROR(__xludf.DUMMYFUNCTION("""COMPUTED_VALUE"""),"Swift")</f>
        <v>Swift</v>
      </c>
      <c r="J29" s="9" t="str">
        <f>IFERROR(__xludf.DUMMYFUNCTION("""COMPUTED_VALUE"""),"C#")</f>
        <v>C#</v>
      </c>
      <c r="K29" s="9" t="str">
        <f>IFERROR(__xludf.DUMMYFUNCTION("""COMPUTED_VALUE"""),"HTML/CSS")</f>
        <v>HTML/CSS</v>
      </c>
      <c r="L29" s="9" t="str">
        <f>IFERROR(__xludf.DUMMYFUNCTION("""COMPUTED_VALUE"""),"HTML/CSS")</f>
        <v>HTML/CSS</v>
      </c>
      <c r="M29" s="9" t="s">
        <v>25</v>
      </c>
      <c r="N29" s="9" t="str">
        <f>IFERROR(__xludf.DUMMYFUNCTION("""COMPUTED_VALUE"""),"Scala")</f>
        <v>Scala</v>
      </c>
      <c r="O29" s="9">
        <f t="shared" si="1"/>
        <v>314</v>
      </c>
      <c r="P29" s="9">
        <v>112.0</v>
      </c>
    </row>
    <row r="30" ht="15.75" customHeight="1">
      <c r="A30" s="7"/>
      <c r="B30" s="7" t="str">
        <f>IFERROR(__xludf.DUMMYFUNCTION("""COMPUTED_VALUE"""),"JavaScript;TypeScript")</f>
        <v>JavaScript;TypeScript</v>
      </c>
      <c r="C30" s="9" t="str">
        <f>IFERROR(__xludf.DUMMYFUNCTION("""COMPUTED_VALUE"""),"C++")</f>
        <v>C++</v>
      </c>
      <c r="D30" s="9" t="str">
        <f>IFERROR(__xludf.DUMMYFUNCTION("""COMPUTED_VALUE"""),"JavaScript")</f>
        <v>JavaScript</v>
      </c>
      <c r="E30" s="9" t="str">
        <f>IFERROR(__xludf.DUMMYFUNCTION("""COMPUTED_VALUE"""),"Python")</f>
        <v>Python</v>
      </c>
      <c r="F30" s="9" t="str">
        <f>IFERROR(__xludf.DUMMYFUNCTION("""COMPUTED_VALUE"""),"TypeScript")</f>
        <v>TypeScript</v>
      </c>
      <c r="G30" s="9" t="str">
        <f>IFERROR(__xludf.DUMMYFUNCTION("""COMPUTED_VALUE"""),"JavaScript")</f>
        <v>JavaScript</v>
      </c>
      <c r="H30" s="9" t="str">
        <f>IFERROR(__xludf.DUMMYFUNCTION("""COMPUTED_VALUE"""),"SQL")</f>
        <v>SQL</v>
      </c>
      <c r="I30" s="9" t="str">
        <f>IFERROR(__xludf.DUMMYFUNCTION("""COMPUTED_VALUE"""),"HTML/CSS")</f>
        <v>HTML/CSS</v>
      </c>
      <c r="J30" s="9" t="str">
        <f>IFERROR(__xludf.DUMMYFUNCTION("""COMPUTED_VALUE"""),"HTML/CSS")</f>
        <v>HTML/CSS</v>
      </c>
      <c r="K30" s="9" t="str">
        <f>IFERROR(__xludf.DUMMYFUNCTION("""COMPUTED_VALUE"""),"Java")</f>
        <v>Java</v>
      </c>
      <c r="L30" s="9" t="str">
        <f>IFERROR(__xludf.DUMMYFUNCTION("""COMPUTED_VALUE"""),"JavaScript")</f>
        <v>JavaScript</v>
      </c>
      <c r="M30" s="9" t="s">
        <v>23</v>
      </c>
      <c r="N30" s="9" t="str">
        <f>IFERROR(__xludf.DUMMYFUNCTION("""COMPUTED_VALUE"""),"Dart")</f>
        <v>Dart</v>
      </c>
      <c r="O30" s="9">
        <f t="shared" si="1"/>
        <v>193</v>
      </c>
      <c r="P30" s="9">
        <v>84.0</v>
      </c>
    </row>
    <row r="31" ht="15.75" customHeight="1">
      <c r="A31" s="7"/>
      <c r="B31" s="7" t="str">
        <f>IFERROR(__xludf.DUMMYFUNCTION("""COMPUTED_VALUE"""),"Bash/Shell/PowerShell;JavaScript;SQL")</f>
        <v>Bash/Shell/PowerShell;JavaScript;SQL</v>
      </c>
      <c r="C31" s="9" t="str">
        <f>IFERROR(__xludf.DUMMYFUNCTION("""COMPUTED_VALUE"""),"HTML/CSS")</f>
        <v>HTML/CSS</v>
      </c>
      <c r="D31" s="9" t="str">
        <f>IFERROR(__xludf.DUMMYFUNCTION("""COMPUTED_VALUE"""),"Python")</f>
        <v>Python</v>
      </c>
      <c r="E31" s="9" t="str">
        <f>IFERROR(__xludf.DUMMYFUNCTION("""COMPUTED_VALUE"""),"Rust")</f>
        <v>Rust</v>
      </c>
      <c r="F31" s="9" t="str">
        <f>IFERROR(__xludf.DUMMYFUNCTION("""COMPUTED_VALUE"""),"Other(s):")</f>
        <v>Other(s):</v>
      </c>
      <c r="G31" s="9" t="str">
        <f>IFERROR(__xludf.DUMMYFUNCTION("""COMPUTED_VALUE"""),"PHP")</f>
        <v>PHP</v>
      </c>
      <c r="H31" s="9" t="str">
        <f>IFERROR(__xludf.DUMMYFUNCTION("""COMPUTED_VALUE"""),"JavaScript")</f>
        <v>JavaScript</v>
      </c>
      <c r="I31" s="9" t="str">
        <f>IFERROR(__xludf.DUMMYFUNCTION("""COMPUTED_VALUE"""),"Java")</f>
        <v>Java</v>
      </c>
      <c r="J31" s="9" t="str">
        <f>IFERROR(__xludf.DUMMYFUNCTION("""COMPUTED_VALUE"""),"JavaScript")</f>
        <v>JavaScript</v>
      </c>
      <c r="K31" s="9" t="str">
        <f>IFERROR(__xludf.DUMMYFUNCTION("""COMPUTED_VALUE"""),"JavaScript")</f>
        <v>JavaScript</v>
      </c>
      <c r="L31" s="9" t="str">
        <f>IFERROR(__xludf.DUMMYFUNCTION("""COMPUTED_VALUE"""),"Ruby")</f>
        <v>Ruby</v>
      </c>
      <c r="M31" s="9" t="s">
        <v>24</v>
      </c>
    </row>
    <row r="32" ht="15.75" customHeight="1">
      <c r="A32" s="7"/>
      <c r="B32" s="7" t="str">
        <f>IFERROR(__xludf.DUMMYFUNCTION("""COMPUTED_VALUE"""),"Python")</f>
        <v>Python</v>
      </c>
      <c r="C32" s="9" t="str">
        <f>IFERROR(__xludf.DUMMYFUNCTION("""COMPUTED_VALUE"""),"Java")</f>
        <v>Java</v>
      </c>
      <c r="D32" s="9" t="str">
        <f>IFERROR(__xludf.DUMMYFUNCTION("""COMPUTED_VALUE"""),"Java")</f>
        <v>Java</v>
      </c>
      <c r="E32" s="9" t="str">
        <f>IFERROR(__xludf.DUMMYFUNCTION("""COMPUTED_VALUE"""),"Scala")</f>
        <v>Scala</v>
      </c>
      <c r="F32" s="9" t="str">
        <f>IFERROR(__xludf.DUMMYFUNCTION("""COMPUTED_VALUE"""),"Assembly")</f>
        <v>Assembly</v>
      </c>
      <c r="G32" s="9" t="str">
        <f>IFERROR(__xludf.DUMMYFUNCTION("""COMPUTED_VALUE"""),"SQL")</f>
        <v>SQL</v>
      </c>
      <c r="H32" s="9" t="str">
        <f>IFERROR(__xludf.DUMMYFUNCTION("""COMPUTED_VALUE"""),"Bash/Shell/PowerShell")</f>
        <v>Bash/Shell/PowerShell</v>
      </c>
      <c r="I32" s="9" t="str">
        <f>IFERROR(__xludf.DUMMYFUNCTION("""COMPUTED_VALUE"""),"JavaScript")</f>
        <v>JavaScript</v>
      </c>
      <c r="J32" s="9" t="str">
        <f>IFERROR(__xludf.DUMMYFUNCTION("""COMPUTED_VALUE"""),"SQL")</f>
        <v>SQL</v>
      </c>
      <c r="K32" s="9" t="str">
        <f>IFERROR(__xludf.DUMMYFUNCTION("""COMPUTED_VALUE"""),"PHP")</f>
        <v>PHP</v>
      </c>
      <c r="L32" s="9" t="str">
        <f>IFERROR(__xludf.DUMMYFUNCTION("""COMPUTED_VALUE"""),"Rust")</f>
        <v>Rust</v>
      </c>
      <c r="M32" s="9" t="s">
        <v>20</v>
      </c>
    </row>
    <row r="33" ht="15.75" customHeight="1">
      <c r="A33" s="7"/>
      <c r="B33" s="7" t="str">
        <f>IFERROR(__xludf.DUMMYFUNCTION("""COMPUTED_VALUE"""),"Bash/Shell/PowerShell;HTML/CSS;JavaScript;PHP;Python")</f>
        <v>Bash/Shell/PowerShell;HTML/CSS;JavaScript;PHP;Python</v>
      </c>
      <c r="C33" s="9" t="str">
        <f>IFERROR(__xludf.DUMMYFUNCTION("""COMPUTED_VALUE"""),"JavaScript")</f>
        <v>JavaScript</v>
      </c>
      <c r="D33" s="9" t="str">
        <f>IFERROR(__xludf.DUMMYFUNCTION("""COMPUTED_VALUE"""),"JavaScript")</f>
        <v>JavaScript</v>
      </c>
      <c r="E33" s="9" t="str">
        <f>IFERROR(__xludf.DUMMYFUNCTION("""COMPUTED_VALUE"""),"SQL")</f>
        <v>SQL</v>
      </c>
      <c r="F33" s="9" t="str">
        <f>IFERROR(__xludf.DUMMYFUNCTION("""COMPUTED_VALUE"""),"Bash/Shell/PowerShell")</f>
        <v>Bash/Shell/PowerShell</v>
      </c>
      <c r="G33" s="9" t="str">
        <f>IFERROR(__xludf.DUMMYFUNCTION("""COMPUTED_VALUE"""),"Bash/Shell/PowerShell")</f>
        <v>Bash/Shell/PowerShell</v>
      </c>
      <c r="H33" s="9" t="str">
        <f>IFERROR(__xludf.DUMMYFUNCTION("""COMPUTED_VALUE"""),"Go")</f>
        <v>Go</v>
      </c>
      <c r="I33" s="9" t="str">
        <f>IFERROR(__xludf.DUMMYFUNCTION("""COMPUTED_VALUE"""),"Python")</f>
        <v>Python</v>
      </c>
      <c r="J33" s="9" t="str">
        <f>IFERROR(__xludf.DUMMYFUNCTION("""COMPUTED_VALUE"""),"JavaScript")</f>
        <v>JavaScript</v>
      </c>
      <c r="K33" s="9" t="str">
        <f>IFERROR(__xludf.DUMMYFUNCTION("""COMPUTED_VALUE"""),"SQL")</f>
        <v>SQL</v>
      </c>
      <c r="L33" s="9" t="str">
        <f>IFERROR(__xludf.DUMMYFUNCTION("""COMPUTED_VALUE"""),"SQL")</f>
        <v>SQL</v>
      </c>
      <c r="M33" s="9" t="s">
        <v>21</v>
      </c>
    </row>
    <row r="34" ht="15.75" customHeight="1">
      <c r="A34" s="7"/>
      <c r="B34" s="7" t="str">
        <f>IFERROR(__xludf.DUMMYFUNCTION("""COMPUTED_VALUE"""),"C++;Python;R")</f>
        <v>C++;Python;R</v>
      </c>
      <c r="C34" s="9" t="str">
        <f>IFERROR(__xludf.DUMMYFUNCTION("""COMPUTED_VALUE"""),"Python")</f>
        <v>Python</v>
      </c>
      <c r="D34" s="9" t="str">
        <f>IFERROR(__xludf.DUMMYFUNCTION("""COMPUTED_VALUE"""),"PHP")</f>
        <v>PHP</v>
      </c>
      <c r="E34" s="9" t="str">
        <f>IFERROR(__xludf.DUMMYFUNCTION("""COMPUTED_VALUE"""),"C#")</f>
        <v>C#</v>
      </c>
      <c r="F34" s="9" t="str">
        <f>IFERROR(__xludf.DUMMYFUNCTION("""COMPUTED_VALUE"""),"C")</f>
        <v>C</v>
      </c>
      <c r="G34" s="9" t="str">
        <f>IFERROR(__xludf.DUMMYFUNCTION("""COMPUTED_VALUE"""),"Python")</f>
        <v>Python</v>
      </c>
      <c r="H34" s="9" t="str">
        <f>IFERROR(__xludf.DUMMYFUNCTION("""COMPUTED_VALUE"""),"HTML/CSS")</f>
        <v>HTML/CSS</v>
      </c>
      <c r="I34" s="9" t="str">
        <f>IFERROR(__xludf.DUMMYFUNCTION("""COMPUTED_VALUE"""),"SQL")</f>
        <v>SQL</v>
      </c>
      <c r="J34" s="9" t="str">
        <f>IFERROR(__xludf.DUMMYFUNCTION("""COMPUTED_VALUE"""),"Scala")</f>
        <v>Scala</v>
      </c>
      <c r="K34" s="9" t="str">
        <f>IFERROR(__xludf.DUMMYFUNCTION("""COMPUTED_VALUE"""),"Assembly")</f>
        <v>Assembly</v>
      </c>
      <c r="L34" s="9" t="str">
        <f>IFERROR(__xludf.DUMMYFUNCTION("""COMPUTED_VALUE"""),"TypeScript")</f>
        <v>TypeScript</v>
      </c>
      <c r="M34" s="9" t="s">
        <v>22</v>
      </c>
    </row>
    <row r="35" ht="15.75" customHeight="1">
      <c r="A35" s="7"/>
      <c r="B35" s="7" t="str">
        <f>IFERROR(__xludf.DUMMYFUNCTION("""COMPUTED_VALUE"""),"HTML/CSS;JavaScript")</f>
        <v>HTML/CSS;JavaScript</v>
      </c>
      <c r="C35" s="9" t="str">
        <f>IFERROR(__xludf.DUMMYFUNCTION("""COMPUTED_VALUE"""),"SQL")</f>
        <v>SQL</v>
      </c>
      <c r="D35" s="9" t="str">
        <f>IFERROR(__xludf.DUMMYFUNCTION("""COMPUTED_VALUE"""),"SQL")</f>
        <v>SQL</v>
      </c>
      <c r="E35" s="9" t="str">
        <f>IFERROR(__xludf.DUMMYFUNCTION("""COMPUTED_VALUE"""),"Java")</f>
        <v>Java</v>
      </c>
      <c r="F35" s="9" t="str">
        <f>IFERROR(__xludf.DUMMYFUNCTION("""COMPUTED_VALUE"""),"HTML/CSS")</f>
        <v>HTML/CSS</v>
      </c>
      <c r="G35" s="9" t="str">
        <f>IFERROR(__xludf.DUMMYFUNCTION("""COMPUTED_VALUE"""),"Ruby")</f>
        <v>Ruby</v>
      </c>
      <c r="H35" s="9" t="str">
        <f>IFERROR(__xludf.DUMMYFUNCTION("""COMPUTED_VALUE"""),"Java")</f>
        <v>Java</v>
      </c>
      <c r="I35" s="9" t="str">
        <f>IFERROR(__xludf.DUMMYFUNCTION("""COMPUTED_VALUE"""),"Other(s):")</f>
        <v>Other(s):</v>
      </c>
      <c r="J35" s="9" t="str">
        <f>IFERROR(__xludf.DUMMYFUNCTION("""COMPUTED_VALUE"""),"TypeScript")</f>
        <v>TypeScript</v>
      </c>
      <c r="K35" s="9" t="str">
        <f>IFERROR(__xludf.DUMMYFUNCTION("""COMPUTED_VALUE"""),"C")</f>
        <v>C</v>
      </c>
      <c r="L35" s="9" t="str">
        <f>IFERROR(__xludf.DUMMYFUNCTION("""COMPUTED_VALUE"""),"WebAssembly")</f>
        <v>WebAssembly</v>
      </c>
      <c r="M35" s="9" t="s">
        <v>27</v>
      </c>
    </row>
    <row r="36" ht="15.75" customHeight="1">
      <c r="A36" s="7"/>
      <c r="B36" s="7" t="str">
        <f>IFERROR(__xludf.DUMMYFUNCTION("""COMPUTED_VALUE"""),"HTML/CSS;JavaScript")</f>
        <v>HTML/CSS;JavaScript</v>
      </c>
      <c r="C36" s="9" t="str">
        <f>IFERROR(__xludf.DUMMYFUNCTION("""COMPUTED_VALUE"""),"Bash/Shell/PowerShell")</f>
        <v>Bash/Shell/PowerShell</v>
      </c>
      <c r="D36" s="9" t="str">
        <f>IFERROR(__xludf.DUMMYFUNCTION("""COMPUTED_VALUE"""),"TypeScript")</f>
        <v>TypeScript</v>
      </c>
      <c r="E36" s="9" t="str">
        <f>IFERROR(__xludf.DUMMYFUNCTION("""COMPUTED_VALUE"""),"PHP")</f>
        <v>PHP</v>
      </c>
      <c r="F36" s="9" t="str">
        <f>IFERROR(__xludf.DUMMYFUNCTION("""COMPUTED_VALUE"""),"JavaScript")</f>
        <v>JavaScript</v>
      </c>
      <c r="G36" s="9" t="str">
        <f>IFERROR(__xludf.DUMMYFUNCTION("""COMPUTED_VALUE"""),"Assembly")</f>
        <v>Assembly</v>
      </c>
      <c r="H36" s="9" t="str">
        <f>IFERROR(__xludf.DUMMYFUNCTION("""COMPUTED_VALUE"""),"JavaScript")</f>
        <v>JavaScript</v>
      </c>
      <c r="I36" s="9" t="str">
        <f>IFERROR(__xludf.DUMMYFUNCTION("""COMPUTED_VALUE"""),"Bash/Shell/PowerShell")</f>
        <v>Bash/Shell/PowerShell</v>
      </c>
      <c r="J36" s="9" t="str">
        <f>IFERROR(__xludf.DUMMYFUNCTION("""COMPUTED_VALUE"""),"C")</f>
        <v>C</v>
      </c>
      <c r="K36" s="9" t="str">
        <f>IFERROR(__xludf.DUMMYFUNCTION("""COMPUTED_VALUE"""),"C++")</f>
        <v>C++</v>
      </c>
      <c r="L36" s="9" t="str">
        <f>IFERROR(__xludf.DUMMYFUNCTION("""COMPUTED_VALUE"""),"C#")</f>
        <v>C#</v>
      </c>
      <c r="M36" s="9" t="s">
        <v>30</v>
      </c>
    </row>
    <row r="37" ht="15.75" customHeight="1">
      <c r="A37" s="7"/>
      <c r="B37" s="7" t="str">
        <f>IFERROR(__xludf.DUMMYFUNCTION("""COMPUTED_VALUE"""),"Java;Kotlin;Python")</f>
        <v>Java;Kotlin;Python</v>
      </c>
      <c r="C37" s="9" t="str">
        <f>IFERROR(__xludf.DUMMYFUNCTION("""COMPUTED_VALUE"""),"C#")</f>
        <v>C#</v>
      </c>
      <c r="D37" s="9" t="str">
        <f>IFERROR(__xludf.DUMMYFUNCTION("""COMPUTED_VALUE"""),"HTML/CSS")</f>
        <v>HTML/CSS</v>
      </c>
      <c r="E37" s="9" t="str">
        <f>IFERROR(__xludf.DUMMYFUNCTION("""COMPUTED_VALUE"""),"Python")</f>
        <v>Python</v>
      </c>
      <c r="F37" s="9" t="str">
        <f>IFERROR(__xludf.DUMMYFUNCTION("""COMPUTED_VALUE"""),"PHP")</f>
        <v>PHP</v>
      </c>
      <c r="G37" s="9" t="str">
        <f>IFERROR(__xludf.DUMMYFUNCTION("""COMPUTED_VALUE"""),"Bash/Shell/PowerShell")</f>
        <v>Bash/Shell/PowerShell</v>
      </c>
      <c r="H37" s="9" t="str">
        <f>IFERROR(__xludf.DUMMYFUNCTION("""COMPUTED_VALUE"""),"PHP")</f>
        <v>PHP</v>
      </c>
      <c r="I37" s="9" t="str">
        <f>IFERROR(__xludf.DUMMYFUNCTION("""COMPUTED_VALUE"""),"C#")</f>
        <v>C#</v>
      </c>
      <c r="J37" s="9" t="str">
        <f>IFERROR(__xludf.DUMMYFUNCTION("""COMPUTED_VALUE"""),"HTML/CSS")</f>
        <v>HTML/CSS</v>
      </c>
      <c r="K37" s="9" t="str">
        <f>IFERROR(__xludf.DUMMYFUNCTION("""COMPUTED_VALUE"""),"HTML/CSS")</f>
        <v>HTML/CSS</v>
      </c>
      <c r="L37" s="9" t="str">
        <f>IFERROR(__xludf.DUMMYFUNCTION("""COMPUTED_VALUE"""),"HTML/CSS")</f>
        <v>HTML/CSS</v>
      </c>
      <c r="M37" s="9" t="s">
        <v>26</v>
      </c>
    </row>
    <row r="38" ht="15.75" customHeight="1">
      <c r="A38" s="7"/>
      <c r="B38" s="7" t="str">
        <f>IFERROR(__xludf.DUMMYFUNCTION("""COMPUTED_VALUE"""),"Bash/Shell/PowerShell;JavaScript;Python;Other(s):")</f>
        <v>Bash/Shell/PowerShell;JavaScript;Python;Other(s):</v>
      </c>
      <c r="C38" s="9" t="str">
        <f>IFERROR(__xludf.DUMMYFUNCTION("""COMPUTED_VALUE"""),"HTML/CSS")</f>
        <v>HTML/CSS</v>
      </c>
      <c r="D38" s="9" t="str">
        <f>IFERROR(__xludf.DUMMYFUNCTION("""COMPUTED_VALUE"""),"Java")</f>
        <v>Java</v>
      </c>
      <c r="E38" s="9" t="str">
        <f>IFERROR(__xludf.DUMMYFUNCTION("""COMPUTED_VALUE"""),"Dart")</f>
        <v>Dart</v>
      </c>
      <c r="F38" s="9" t="str">
        <f>IFERROR(__xludf.DUMMYFUNCTION("""COMPUTED_VALUE"""),"Python")</f>
        <v>Python</v>
      </c>
      <c r="G38" s="9" t="str">
        <f>IFERROR(__xludf.DUMMYFUNCTION("""COMPUTED_VALUE"""),"JavaScript")</f>
        <v>JavaScript</v>
      </c>
      <c r="H38" s="9" t="str">
        <f>IFERROR(__xludf.DUMMYFUNCTION("""COMPUTED_VALUE"""),"Python")</f>
        <v>Python</v>
      </c>
      <c r="I38" s="9" t="str">
        <f>IFERROR(__xludf.DUMMYFUNCTION("""COMPUTED_VALUE"""),"HTML/CSS")</f>
        <v>HTML/CSS</v>
      </c>
      <c r="J38" s="9" t="str">
        <f>IFERROR(__xludf.DUMMYFUNCTION("""COMPUTED_VALUE"""),"Java")</f>
        <v>Java</v>
      </c>
      <c r="K38" s="9" t="str">
        <f>IFERROR(__xludf.DUMMYFUNCTION("""COMPUTED_VALUE"""),"PHP")</f>
        <v>PHP</v>
      </c>
      <c r="L38" s="9" t="str">
        <f>IFERROR(__xludf.DUMMYFUNCTION("""COMPUTED_VALUE"""),"JavaScript")</f>
        <v>JavaScript</v>
      </c>
      <c r="M38" s="9" t="s">
        <v>24</v>
      </c>
    </row>
    <row r="39" ht="15.75" customHeight="1">
      <c r="A39" s="7"/>
      <c r="B39" s="7" t="str">
        <f>IFERROR(__xludf.DUMMYFUNCTION("""COMPUTED_VALUE"""),"C#;HTML/CSS;JavaScript;SQL")</f>
        <v>C#;HTML/CSS;JavaScript;SQL</v>
      </c>
      <c r="C39" s="9" t="str">
        <f>IFERROR(__xludf.DUMMYFUNCTION("""COMPUTED_VALUE"""),"JavaScript")</f>
        <v>JavaScript</v>
      </c>
      <c r="D39" s="9" t="str">
        <f>IFERROR(__xludf.DUMMYFUNCTION("""COMPUTED_VALUE"""),"JavaScript")</f>
        <v>JavaScript</v>
      </c>
      <c r="E39" s="9" t="str">
        <f>IFERROR(__xludf.DUMMYFUNCTION("""COMPUTED_VALUE"""),"HTML/CSS")</f>
        <v>HTML/CSS</v>
      </c>
      <c r="F39" s="9" t="str">
        <f>IFERROR(__xludf.DUMMYFUNCTION("""COMPUTED_VALUE"""),"SQL")</f>
        <v>SQL</v>
      </c>
      <c r="G39" s="9" t="str">
        <f>IFERROR(__xludf.DUMMYFUNCTION("""COMPUTED_VALUE"""),"PHP")</f>
        <v>PHP</v>
      </c>
      <c r="H39" s="9" t="str">
        <f>IFERROR(__xludf.DUMMYFUNCTION("""COMPUTED_VALUE"""),"Ruby")</f>
        <v>Ruby</v>
      </c>
      <c r="I39" s="9" t="str">
        <f>IFERROR(__xludf.DUMMYFUNCTION("""COMPUTED_VALUE"""),"JavaScript")</f>
        <v>JavaScript</v>
      </c>
      <c r="J39" s="9" t="str">
        <f>IFERROR(__xludf.DUMMYFUNCTION("""COMPUTED_VALUE"""),"JavaScript")</f>
        <v>JavaScript</v>
      </c>
      <c r="K39" s="9" t="str">
        <f>IFERROR(__xludf.DUMMYFUNCTION("""COMPUTED_VALUE"""),"Python")</f>
        <v>Python</v>
      </c>
      <c r="L39" s="9" t="str">
        <f>IFERROR(__xludf.DUMMYFUNCTION("""COMPUTED_VALUE"""),"SQL")</f>
        <v>SQL</v>
      </c>
      <c r="M39" s="9" t="s">
        <v>21</v>
      </c>
    </row>
    <row r="40" ht="15.75" customHeight="1">
      <c r="A40" s="7"/>
      <c r="B40" s="7" t="str">
        <f>IFERROR(__xludf.DUMMYFUNCTION("""COMPUTED_VALUE"""),"C#;JavaScript;SQL;TypeScript")</f>
        <v>C#;JavaScript;SQL;TypeScript</v>
      </c>
      <c r="C40" s="9" t="str">
        <f>IFERROR(__xludf.DUMMYFUNCTION("""COMPUTED_VALUE"""),"Python")</f>
        <v>Python</v>
      </c>
      <c r="D40" s="9" t="str">
        <f>IFERROR(__xludf.DUMMYFUNCTION("""COMPUTED_VALUE"""),"Kotlin")</f>
        <v>Kotlin</v>
      </c>
      <c r="E40" s="9" t="str">
        <f>IFERROR(__xludf.DUMMYFUNCTION("""COMPUTED_VALUE"""),"Java")</f>
        <v>Java</v>
      </c>
      <c r="F40" s="9" t="str">
        <f>IFERROR(__xludf.DUMMYFUNCTION("""COMPUTED_VALUE"""),"Bash/Shell/PowerShell")</f>
        <v>Bash/Shell/PowerShell</v>
      </c>
      <c r="G40" s="9" t="str">
        <f>IFERROR(__xludf.DUMMYFUNCTION("""COMPUTED_VALUE"""),"SQL")</f>
        <v>SQL</v>
      </c>
      <c r="H40" s="9" t="str">
        <f>IFERROR(__xludf.DUMMYFUNCTION("""COMPUTED_VALUE"""),"SQL")</f>
        <v>SQL</v>
      </c>
      <c r="I40" s="9" t="str">
        <f>IFERROR(__xludf.DUMMYFUNCTION("""COMPUTED_VALUE"""),"PHP")</f>
        <v>PHP</v>
      </c>
      <c r="J40" s="9" t="str">
        <f>IFERROR(__xludf.DUMMYFUNCTION("""COMPUTED_VALUE"""),"Objective-C")</f>
        <v>Objective-C</v>
      </c>
      <c r="K40" s="9" t="str">
        <f>IFERROR(__xludf.DUMMYFUNCTION("""COMPUTED_VALUE"""),"SQL")</f>
        <v>SQL</v>
      </c>
      <c r="L40" s="9" t="str">
        <f>IFERROR(__xludf.DUMMYFUNCTION("""COMPUTED_VALUE"""),"Bash/Shell/PowerShell")</f>
        <v>Bash/Shell/PowerShell</v>
      </c>
      <c r="M40" s="9" t="s">
        <v>22</v>
      </c>
    </row>
    <row r="41" ht="15.75" customHeight="1">
      <c r="A41" s="7"/>
      <c r="B41" s="7" t="str">
        <f>IFERROR(__xludf.DUMMYFUNCTION("""COMPUTED_VALUE"""),"C#;HTML/CSS")</f>
        <v>C#;HTML/CSS</v>
      </c>
      <c r="C41" s="9" t="str">
        <f>IFERROR(__xludf.DUMMYFUNCTION("""COMPUTED_VALUE"""),"Ruby")</f>
        <v>Ruby</v>
      </c>
      <c r="D41" s="9" t="str">
        <f>IFERROR(__xludf.DUMMYFUNCTION("""COMPUTED_VALUE"""),"PHP")</f>
        <v>PHP</v>
      </c>
      <c r="E41" s="9" t="str">
        <f>IFERROR(__xludf.DUMMYFUNCTION("""COMPUTED_VALUE"""),"JavaScript")</f>
        <v>JavaScript</v>
      </c>
      <c r="F41" s="9" t="str">
        <f>IFERROR(__xludf.DUMMYFUNCTION("""COMPUTED_VALUE"""),"Clojure")</f>
        <v>Clojure</v>
      </c>
      <c r="G41" s="9" t="str">
        <f>IFERROR(__xludf.DUMMYFUNCTION("""COMPUTED_VALUE"""),"VBA")</f>
        <v>VBA</v>
      </c>
      <c r="H41" s="9" t="str">
        <f>IFERROR(__xludf.DUMMYFUNCTION("""COMPUTED_VALUE"""),"Bash/Shell/PowerShell")</f>
        <v>Bash/Shell/PowerShell</v>
      </c>
      <c r="I41" s="9" t="str">
        <f>IFERROR(__xludf.DUMMYFUNCTION("""COMPUTED_VALUE"""),"SQL")</f>
        <v>SQL</v>
      </c>
      <c r="J41" s="9" t="str">
        <f>IFERROR(__xludf.DUMMYFUNCTION("""COMPUTED_VALUE"""),"PHP")</f>
        <v>PHP</v>
      </c>
      <c r="K41" s="9" t="str">
        <f>IFERROR(__xludf.DUMMYFUNCTION("""COMPUTED_VALUE"""),"Other(s):")</f>
        <v>Other(s):</v>
      </c>
      <c r="L41" s="9" t="str">
        <f>IFERROR(__xludf.DUMMYFUNCTION("""COMPUTED_VALUE"""),"C++")</f>
        <v>C++</v>
      </c>
      <c r="M41" s="9" t="s">
        <v>31</v>
      </c>
    </row>
    <row r="42" ht="15.75" customHeight="1">
      <c r="A42" s="7"/>
      <c r="B42" s="7" t="str">
        <f>IFERROR(__xludf.DUMMYFUNCTION("""COMPUTED_VALUE"""),"Bash/Shell/PowerShell;C;C++;HTML/CSS;Java;JavaScript;SQL")</f>
        <v>Bash/Shell/PowerShell;C;C++;HTML/CSS;Java;JavaScript;SQL</v>
      </c>
      <c r="C42" s="9" t="str">
        <f>IFERROR(__xludf.DUMMYFUNCTION("""COMPUTED_VALUE"""),"Rust")</f>
        <v>Rust</v>
      </c>
      <c r="D42" s="9" t="str">
        <f>IFERROR(__xludf.DUMMYFUNCTION("""COMPUTED_VALUE"""),"Python")</f>
        <v>Python</v>
      </c>
      <c r="E42" s="9" t="str">
        <f>IFERROR(__xludf.DUMMYFUNCTION("""COMPUTED_VALUE"""),"HTML/CSS")</f>
        <v>HTML/CSS</v>
      </c>
      <c r="F42" s="9" t="str">
        <f>IFERROR(__xludf.DUMMYFUNCTION("""COMPUTED_VALUE"""),"HTML/CSS")</f>
        <v>HTML/CSS</v>
      </c>
      <c r="G42" s="9" t="str">
        <f>IFERROR(__xludf.DUMMYFUNCTION("""COMPUTED_VALUE"""),"C#")</f>
        <v>C#</v>
      </c>
      <c r="H42" s="9" t="str">
        <f>IFERROR(__xludf.DUMMYFUNCTION("""COMPUTED_VALUE"""),"HTML/CSS")</f>
        <v>HTML/CSS</v>
      </c>
      <c r="I42" s="9" t="str">
        <f>IFERROR(__xludf.DUMMYFUNCTION("""COMPUTED_VALUE"""),"Bash/Shell/PowerShell")</f>
        <v>Bash/Shell/PowerShell</v>
      </c>
      <c r="J42" s="9" t="str">
        <f>IFERROR(__xludf.DUMMYFUNCTION("""COMPUTED_VALUE"""),"Python")</f>
        <v>Python</v>
      </c>
      <c r="K42" s="9" t="str">
        <f>IFERROR(__xludf.DUMMYFUNCTION("""COMPUTED_VALUE"""),"C#")</f>
        <v>C#</v>
      </c>
      <c r="L42" s="9" t="str">
        <f>IFERROR(__xludf.DUMMYFUNCTION("""COMPUTED_VALUE"""),"HTML/CSS")</f>
        <v>HTML/CSS</v>
      </c>
      <c r="M42" s="9" t="s">
        <v>32</v>
      </c>
    </row>
    <row r="43" ht="15.75" customHeight="1">
      <c r="A43" s="7"/>
      <c r="B43" s="7" t="str">
        <f>IFERROR(__xludf.DUMMYFUNCTION("""COMPUTED_VALUE"""),"HTML/CSS;JavaScript;PHP;TypeScript")</f>
        <v>HTML/CSS;JavaScript;PHP;TypeScript</v>
      </c>
      <c r="C43" s="9" t="str">
        <f>IFERROR(__xludf.DUMMYFUNCTION("""COMPUTED_VALUE"""),"SQL")</f>
        <v>SQL</v>
      </c>
      <c r="D43" s="9" t="str">
        <f>IFERROR(__xludf.DUMMYFUNCTION("""COMPUTED_VALUE"""),"SQL")</f>
        <v>SQL</v>
      </c>
      <c r="E43" s="9" t="str">
        <f>IFERROR(__xludf.DUMMYFUNCTION("""COMPUTED_VALUE"""),"JavaScript")</f>
        <v>JavaScript</v>
      </c>
      <c r="F43" s="9" t="str">
        <f>IFERROR(__xludf.DUMMYFUNCTION("""COMPUTED_VALUE"""),"Java")</f>
        <v>Java</v>
      </c>
      <c r="G43" s="9" t="str">
        <f>IFERROR(__xludf.DUMMYFUNCTION("""COMPUTED_VALUE"""),"JavaScript")</f>
        <v>JavaScript</v>
      </c>
      <c r="H43" s="9" t="str">
        <f>IFERROR(__xludf.DUMMYFUNCTION("""COMPUTED_VALUE"""),"Java")</f>
        <v>Java</v>
      </c>
      <c r="I43" s="9" t="str">
        <f>IFERROR(__xludf.DUMMYFUNCTION("""COMPUTED_VALUE"""),"C#")</f>
        <v>C#</v>
      </c>
      <c r="J43" s="9" t="str">
        <f>IFERROR(__xludf.DUMMYFUNCTION("""COMPUTED_VALUE"""),"Scala")</f>
        <v>Scala</v>
      </c>
      <c r="K43" s="9" t="str">
        <f>IFERROR(__xludf.DUMMYFUNCTION("""COMPUTED_VALUE"""),"Java")</f>
        <v>Java</v>
      </c>
      <c r="L43" s="9" t="str">
        <f>IFERROR(__xludf.DUMMYFUNCTION("""COMPUTED_VALUE"""),"Python")</f>
        <v>Python</v>
      </c>
      <c r="M43" s="9" t="s">
        <v>27</v>
      </c>
    </row>
    <row r="44" ht="15.75" customHeight="1">
      <c r="A44" s="7"/>
      <c r="B44" s="7" t="str">
        <f>IFERROR(__xludf.DUMMYFUNCTION("""COMPUTED_VALUE"""),"C++;C#;HTML/CSS;Java;JavaScript;Objective-C;SQL")</f>
        <v>C++;C#;HTML/CSS;Java;JavaScript;Objective-C;SQL</v>
      </c>
      <c r="C44" s="9" t="str">
        <f>IFERROR(__xludf.DUMMYFUNCTION("""COMPUTED_VALUE"""),"TypeScript")</f>
        <v>TypeScript</v>
      </c>
      <c r="D44" s="9" t="str">
        <f>IFERROR(__xludf.DUMMYFUNCTION("""COMPUTED_VALUE"""),"Bash/Shell/PowerShell")</f>
        <v>Bash/Shell/PowerShell</v>
      </c>
      <c r="E44" s="9" t="str">
        <f>IFERROR(__xludf.DUMMYFUNCTION("""COMPUTED_VALUE"""),"Python")</f>
        <v>Python</v>
      </c>
      <c r="F44" s="9" t="str">
        <f>IFERROR(__xludf.DUMMYFUNCTION("""COMPUTED_VALUE"""),"JavaScript")</f>
        <v>JavaScript</v>
      </c>
      <c r="G44" s="9" t="str">
        <f>IFERROR(__xludf.DUMMYFUNCTION("""COMPUTED_VALUE"""),"Bash/Shell/PowerShell")</f>
        <v>Bash/Shell/PowerShell</v>
      </c>
      <c r="H44" s="9" t="str">
        <f>IFERROR(__xludf.DUMMYFUNCTION("""COMPUTED_VALUE"""),"JavaScript")</f>
        <v>JavaScript</v>
      </c>
      <c r="I44" s="9" t="str">
        <f>IFERROR(__xludf.DUMMYFUNCTION("""COMPUTED_VALUE"""),"HTML/CSS")</f>
        <v>HTML/CSS</v>
      </c>
      <c r="J44" s="9" t="str">
        <f>IFERROR(__xludf.DUMMYFUNCTION("""COMPUTED_VALUE"""),"Swift")</f>
        <v>Swift</v>
      </c>
      <c r="K44" s="9" t="str">
        <f>IFERROR(__xludf.DUMMYFUNCTION("""COMPUTED_VALUE"""),"SQL")</f>
        <v>SQL</v>
      </c>
      <c r="L44" s="9" t="str">
        <f>IFERROR(__xludf.DUMMYFUNCTION("""COMPUTED_VALUE"""),"HTML/CSS")</f>
        <v>HTML/CSS</v>
      </c>
      <c r="M44" s="9" t="s">
        <v>33</v>
      </c>
    </row>
    <row r="45" ht="15.75" customHeight="1">
      <c r="A45" s="7"/>
      <c r="B45" s="7" t="str">
        <f>IFERROR(__xludf.DUMMYFUNCTION("""COMPUTED_VALUE"""),"Bash/Shell/PowerShell;C#;HTML/CSS;Java;JavaScript;SQL;TypeScript;WebAssembly")</f>
        <v>Bash/Shell/PowerShell;C#;HTML/CSS;Java;JavaScript;SQL;TypeScript;WebAssembly</v>
      </c>
      <c r="C45" s="9" t="str">
        <f>IFERROR(__xludf.DUMMYFUNCTION("""COMPUTED_VALUE"""),"WebAssembly")</f>
        <v>WebAssembly</v>
      </c>
      <c r="D45" s="9" t="str">
        <f>IFERROR(__xludf.DUMMYFUNCTION("""COMPUTED_VALUE"""),"C++")</f>
        <v>C++</v>
      </c>
      <c r="E45" s="9" t="str">
        <f>IFERROR(__xludf.DUMMYFUNCTION("""COMPUTED_VALUE"""),"SQL")</f>
        <v>SQL</v>
      </c>
      <c r="F45" s="9" t="str">
        <f>IFERROR(__xludf.DUMMYFUNCTION("""COMPUTED_VALUE"""),"C++")</f>
        <v>C++</v>
      </c>
      <c r="G45" s="9" t="str">
        <f>IFERROR(__xludf.DUMMYFUNCTION("""COMPUTED_VALUE"""),"HTML/CSS")</f>
        <v>HTML/CSS</v>
      </c>
      <c r="H45" s="9" t="str">
        <f>IFERROR(__xludf.DUMMYFUNCTION("""COMPUTED_VALUE"""),"SQL")</f>
        <v>SQL</v>
      </c>
      <c r="I45" s="9" t="str">
        <f>IFERROR(__xludf.DUMMYFUNCTION("""COMPUTED_VALUE"""),"Java")</f>
        <v>Java</v>
      </c>
      <c r="J45" s="9" t="str">
        <f>IFERROR(__xludf.DUMMYFUNCTION("""COMPUTED_VALUE"""),"HTML/CSS")</f>
        <v>HTML/CSS</v>
      </c>
      <c r="K45" s="9" t="str">
        <f>IFERROR(__xludf.DUMMYFUNCTION("""COMPUTED_VALUE"""),"VBA")</f>
        <v>VBA</v>
      </c>
      <c r="L45" s="9" t="str">
        <f>IFERROR(__xludf.DUMMYFUNCTION("""COMPUTED_VALUE"""),"JavaScript")</f>
        <v>JavaScript</v>
      </c>
      <c r="M45" s="9" t="s">
        <v>34</v>
      </c>
    </row>
    <row r="46" ht="15.75" customHeight="1">
      <c r="A46" s="7"/>
      <c r="B46" s="7" t="str">
        <f>IFERROR(__xludf.DUMMYFUNCTION("""COMPUTED_VALUE"""),"Python")</f>
        <v>Python</v>
      </c>
      <c r="C46" s="9" t="str">
        <f>IFERROR(__xludf.DUMMYFUNCTION("""COMPUTED_VALUE"""),"Other(s):")</f>
        <v>Other(s):</v>
      </c>
      <c r="D46" s="9" t="str">
        <f>IFERROR(__xludf.DUMMYFUNCTION("""COMPUTED_VALUE"""),"HTML/CSS")</f>
        <v>HTML/CSS</v>
      </c>
      <c r="E46" s="9" t="str">
        <f>IFERROR(__xludf.DUMMYFUNCTION("""COMPUTED_VALUE"""),"Assembly")</f>
        <v>Assembly</v>
      </c>
      <c r="F46" s="9" t="str">
        <f>IFERROR(__xludf.DUMMYFUNCTION("""COMPUTED_VALUE"""),"HTML/CSS")</f>
        <v>HTML/CSS</v>
      </c>
      <c r="G46" s="9" t="str">
        <f>IFERROR(__xludf.DUMMYFUNCTION("""COMPUTED_VALUE"""),"Java")</f>
        <v>Java</v>
      </c>
      <c r="H46" s="9" t="str">
        <f>IFERROR(__xludf.DUMMYFUNCTION("""COMPUTED_VALUE"""),"TypeScript")</f>
        <v>TypeScript</v>
      </c>
      <c r="I46" s="9" t="str">
        <f>IFERROR(__xludf.DUMMYFUNCTION("""COMPUTED_VALUE"""),"JavaScript")</f>
        <v>JavaScript</v>
      </c>
      <c r="J46" s="9" t="str">
        <f>IFERROR(__xludf.DUMMYFUNCTION("""COMPUTED_VALUE"""),"JavaScript")</f>
        <v>JavaScript</v>
      </c>
      <c r="K46" s="9" t="str">
        <f>IFERROR(__xludf.DUMMYFUNCTION("""COMPUTED_VALUE"""),"Bash/Shell/PowerShell")</f>
        <v>Bash/Shell/PowerShell</v>
      </c>
      <c r="L46" s="9" t="str">
        <f>IFERROR(__xludf.DUMMYFUNCTION("""COMPUTED_VALUE"""),"SQL")</f>
        <v>SQL</v>
      </c>
      <c r="M46" s="9" t="s">
        <v>35</v>
      </c>
    </row>
    <row r="47" ht="15.75" customHeight="1">
      <c r="A47" s="7"/>
      <c r="B47" s="7" t="str">
        <f>IFERROR(__xludf.DUMMYFUNCTION("""COMPUTED_VALUE"""),"Bash/Shell/PowerShell;C;C#;HTML/CSS;JavaScript;PHP;Python;SQL;Other(s):")</f>
        <v>Bash/Shell/PowerShell;C;C#;HTML/CSS;JavaScript;PHP;Python;SQL;Other(s):</v>
      </c>
      <c r="C47" s="9" t="str">
        <f>IFERROR(__xludf.DUMMYFUNCTION("""COMPUTED_VALUE"""),"C#")</f>
        <v>C#</v>
      </c>
      <c r="D47" s="9" t="str">
        <f>IFERROR(__xludf.DUMMYFUNCTION("""COMPUTED_VALUE"""),"JavaScript")</f>
        <v>JavaScript</v>
      </c>
      <c r="E47" s="9" t="str">
        <f>IFERROR(__xludf.DUMMYFUNCTION("""COMPUTED_VALUE"""),"Bash/Shell/PowerShell")</f>
        <v>Bash/Shell/PowerShell</v>
      </c>
      <c r="F47" s="9" t="str">
        <f>IFERROR(__xludf.DUMMYFUNCTION("""COMPUTED_VALUE"""),"JavaScript")</f>
        <v>JavaScript</v>
      </c>
      <c r="G47" s="9" t="str">
        <f>IFERROR(__xludf.DUMMYFUNCTION("""COMPUTED_VALUE"""),"JavaScript")</f>
        <v>JavaScript</v>
      </c>
      <c r="H47" s="9" t="str">
        <f>IFERROR(__xludf.DUMMYFUNCTION("""COMPUTED_VALUE"""),"Bash/Shell/PowerShell")</f>
        <v>Bash/Shell/PowerShell</v>
      </c>
      <c r="I47" s="9" t="str">
        <f>IFERROR(__xludf.DUMMYFUNCTION("""COMPUTED_VALUE"""),"SQL")</f>
        <v>SQL</v>
      </c>
      <c r="J47" s="9" t="str">
        <f>IFERROR(__xludf.DUMMYFUNCTION("""COMPUTED_VALUE"""),"Bash/Shell/PowerShell")</f>
        <v>Bash/Shell/PowerShell</v>
      </c>
      <c r="K47" s="9" t="str">
        <f>IFERROR(__xludf.DUMMYFUNCTION("""COMPUTED_VALUE"""),"Dart")</f>
        <v>Dart</v>
      </c>
      <c r="L47" s="9" t="str">
        <f>IFERROR(__xludf.DUMMYFUNCTION("""COMPUTED_VALUE"""),"TypeScript")</f>
        <v>TypeScript</v>
      </c>
      <c r="M47" s="9" t="s">
        <v>26</v>
      </c>
    </row>
    <row r="48" ht="15.75" customHeight="1">
      <c r="A48" s="7"/>
      <c r="B48" s="7" t="str">
        <f>IFERROR(__xludf.DUMMYFUNCTION("""COMPUTED_VALUE"""),"Java;PHP;Ruby")</f>
        <v>Java;PHP;Ruby</v>
      </c>
      <c r="C48" s="9" t="str">
        <f>IFERROR(__xludf.DUMMYFUNCTION("""COMPUTED_VALUE"""),"Go")</f>
        <v>Go</v>
      </c>
      <c r="D48" s="9" t="str">
        <f>IFERROR(__xludf.DUMMYFUNCTION("""COMPUTED_VALUE"""),"Python")</f>
        <v>Python</v>
      </c>
      <c r="E48" s="9" t="str">
        <f>IFERROR(__xludf.DUMMYFUNCTION("""COMPUTED_VALUE"""),"C++")</f>
        <v>C++</v>
      </c>
      <c r="F48" s="9" t="str">
        <f>IFERROR(__xludf.DUMMYFUNCTION("""COMPUTED_VALUE"""),"SQL")</f>
        <v>SQL</v>
      </c>
      <c r="G48" s="9" t="str">
        <f>IFERROR(__xludf.DUMMYFUNCTION("""COMPUTED_VALUE"""),"PHP")</f>
        <v>PHP</v>
      </c>
      <c r="H48" s="9" t="str">
        <f>IFERROR(__xludf.DUMMYFUNCTION("""COMPUTED_VALUE"""),"JavaScript")</f>
        <v>JavaScript</v>
      </c>
      <c r="I48" s="9" t="str">
        <f>IFERROR(__xludf.DUMMYFUNCTION("""COMPUTED_VALUE"""),"C++")</f>
        <v>C++</v>
      </c>
      <c r="J48" s="9" t="str">
        <f>IFERROR(__xludf.DUMMYFUNCTION("""COMPUTED_VALUE"""),"Go")</f>
        <v>Go</v>
      </c>
      <c r="K48" s="9" t="str">
        <f>IFERROR(__xludf.DUMMYFUNCTION("""COMPUTED_VALUE"""),"Go")</f>
        <v>Go</v>
      </c>
      <c r="L48" s="9" t="str">
        <f>IFERROR(__xludf.DUMMYFUNCTION("""COMPUTED_VALUE"""),"HTML/CSS")</f>
        <v>HTML/CSS</v>
      </c>
      <c r="M48" s="9" t="s">
        <v>36</v>
      </c>
    </row>
    <row r="49" ht="15.75" customHeight="1">
      <c r="A49" s="7"/>
      <c r="B49" s="7" t="str">
        <f>IFERROR(__xludf.DUMMYFUNCTION("""COMPUTED_VALUE"""),"HTML/CSS;PHP;SQL")</f>
        <v>HTML/CSS;PHP;SQL</v>
      </c>
      <c r="C49" s="9" t="str">
        <f>IFERROR(__xludf.DUMMYFUNCTION("""COMPUTED_VALUE"""),"JavaScript")</f>
        <v>JavaScript</v>
      </c>
      <c r="D49" s="9" t="str">
        <f>IFERROR(__xludf.DUMMYFUNCTION("""COMPUTED_VALUE"""),"SQL")</f>
        <v>SQL</v>
      </c>
      <c r="E49" s="9" t="str">
        <f>IFERROR(__xludf.DUMMYFUNCTION("""COMPUTED_VALUE"""),"C++")</f>
        <v>C++</v>
      </c>
      <c r="F49" s="9" t="str">
        <f>IFERROR(__xludf.DUMMYFUNCTION("""COMPUTED_VALUE"""),"C#")</f>
        <v>C#</v>
      </c>
      <c r="G49" s="9" t="str">
        <f>IFERROR(__xludf.DUMMYFUNCTION("""COMPUTED_VALUE"""),"SQL")</f>
        <v>SQL</v>
      </c>
      <c r="H49" s="9" t="str">
        <f>IFERROR(__xludf.DUMMYFUNCTION("""COMPUTED_VALUE"""),"Python")</f>
        <v>Python</v>
      </c>
      <c r="I49" s="9" t="str">
        <f>IFERROR(__xludf.DUMMYFUNCTION("""COMPUTED_VALUE"""),"Bash/Shell/PowerShell")</f>
        <v>Bash/Shell/PowerShell</v>
      </c>
      <c r="J49" s="9" t="str">
        <f>IFERROR(__xludf.DUMMYFUNCTION("""COMPUTED_VALUE"""),"HTML/CSS")</f>
        <v>HTML/CSS</v>
      </c>
      <c r="K49" s="9" t="str">
        <f>IFERROR(__xludf.DUMMYFUNCTION("""COMPUTED_VALUE"""),"HTML/CSS")</f>
        <v>HTML/CSS</v>
      </c>
      <c r="L49" s="9" t="str">
        <f>IFERROR(__xludf.DUMMYFUNCTION("""COMPUTED_VALUE"""),"Java")</f>
        <v>Java</v>
      </c>
      <c r="M49" s="9" t="s">
        <v>21</v>
      </c>
    </row>
    <row r="50" ht="15.75" customHeight="1">
      <c r="A50" s="7"/>
      <c r="B50" s="7" t="str">
        <f>IFERROR(__xludf.DUMMYFUNCTION("""COMPUTED_VALUE"""),"Bash/Shell/PowerShell;HTML/CSS;Java;JavaScript;PHP;Python;SQL;TypeScript")</f>
        <v>Bash/Shell/PowerShell;HTML/CSS;Java;JavaScript;PHP;Python;SQL;TypeScript</v>
      </c>
      <c r="C50" s="9" t="str">
        <f>IFERROR(__xludf.DUMMYFUNCTION("""COMPUTED_VALUE"""),"Python")</f>
        <v>Python</v>
      </c>
      <c r="D50" s="9" t="str">
        <f>IFERROR(__xludf.DUMMYFUNCTION("""COMPUTED_VALUE"""),"Bash/Shell/PowerShell")</f>
        <v>Bash/Shell/PowerShell</v>
      </c>
      <c r="E50" s="9" t="str">
        <f>IFERROR(__xludf.DUMMYFUNCTION("""COMPUTED_VALUE"""),"C#")</f>
        <v>C#</v>
      </c>
      <c r="F50" s="9" t="str">
        <f>IFERROR(__xludf.DUMMYFUNCTION("""COMPUTED_VALUE"""),"HTML/CSS")</f>
        <v>HTML/CSS</v>
      </c>
      <c r="G50" s="9" t="str">
        <f>IFERROR(__xludf.DUMMYFUNCTION("""COMPUTED_VALUE"""),"Assembly")</f>
        <v>Assembly</v>
      </c>
      <c r="H50" s="9" t="str">
        <f>IFERROR(__xludf.DUMMYFUNCTION("""COMPUTED_VALUE"""),"C")</f>
        <v>C</v>
      </c>
      <c r="I50" s="9" t="str">
        <f>IFERROR(__xludf.DUMMYFUNCTION("""COMPUTED_VALUE"""),"HTML/CSS")</f>
        <v>HTML/CSS</v>
      </c>
      <c r="J50" s="9" t="str">
        <f>IFERROR(__xludf.DUMMYFUNCTION("""COMPUTED_VALUE"""),"JavaScript")</f>
        <v>JavaScript</v>
      </c>
      <c r="K50" s="9" t="str">
        <f>IFERROR(__xludf.DUMMYFUNCTION("""COMPUTED_VALUE"""),"JavaScript")</f>
        <v>JavaScript</v>
      </c>
      <c r="L50" s="9" t="str">
        <f>IFERROR(__xludf.DUMMYFUNCTION("""COMPUTED_VALUE"""),"JavaScript")</f>
        <v>JavaScript</v>
      </c>
      <c r="M50" s="9" t="s">
        <v>22</v>
      </c>
    </row>
    <row r="51" ht="15.75" customHeight="1">
      <c r="A51" s="7"/>
      <c r="B51" s="7" t="str">
        <f>IFERROR(__xludf.DUMMYFUNCTION("""COMPUTED_VALUE"""),"Bash/Shell/PowerShell;C;C++;HTML/CSS;Java;JavaScript;PHP;Python;SQL")</f>
        <v>Bash/Shell/PowerShell;C;C++;HTML/CSS;Java;JavaScript;PHP;Python;SQL</v>
      </c>
      <c r="C51" s="9" t="str">
        <f>IFERROR(__xludf.DUMMYFUNCTION("""COMPUTED_VALUE"""),"R")</f>
        <v>R</v>
      </c>
      <c r="D51" s="9" t="str">
        <f>IFERROR(__xludf.DUMMYFUNCTION("""COMPUTED_VALUE"""),"C#")</f>
        <v>C#</v>
      </c>
      <c r="E51" s="9" t="str">
        <f>IFERROR(__xludf.DUMMYFUNCTION("""COMPUTED_VALUE"""),"HTML/CSS")</f>
        <v>HTML/CSS</v>
      </c>
      <c r="F51" s="9" t="str">
        <f>IFERROR(__xludf.DUMMYFUNCTION("""COMPUTED_VALUE"""),"Java")</f>
        <v>Java</v>
      </c>
      <c r="G51" s="9" t="str">
        <f>IFERROR(__xludf.DUMMYFUNCTION("""COMPUTED_VALUE"""),"Bash/Shell/PowerShell")</f>
        <v>Bash/Shell/PowerShell</v>
      </c>
      <c r="H51" s="9" t="str">
        <f>IFERROR(__xludf.DUMMYFUNCTION("""COMPUTED_VALUE"""),"HTML/CSS")</f>
        <v>HTML/CSS</v>
      </c>
      <c r="I51" s="9" t="str">
        <f>IFERROR(__xludf.DUMMYFUNCTION("""COMPUTED_VALUE"""),"JavaScript")</f>
        <v>JavaScript</v>
      </c>
      <c r="J51" s="9" t="str">
        <f>IFERROR(__xludf.DUMMYFUNCTION("""COMPUTED_VALUE"""),"Python")</f>
        <v>Python</v>
      </c>
      <c r="K51" s="9" t="str">
        <f>IFERROR(__xludf.DUMMYFUNCTION("""COMPUTED_VALUE"""),"Python")</f>
        <v>Python</v>
      </c>
      <c r="L51" s="9" t="str">
        <f>IFERROR(__xludf.DUMMYFUNCTION("""COMPUTED_VALUE"""),"SQL")</f>
        <v>SQL</v>
      </c>
      <c r="M51" s="9" t="s">
        <v>29</v>
      </c>
    </row>
    <row r="52" ht="15.75" customHeight="1">
      <c r="A52" s="7"/>
      <c r="B52" s="7" t="str">
        <f>IFERROR(__xludf.DUMMYFUNCTION("""COMPUTED_VALUE"""),"Bash/Shell/PowerShell;C++;HTML/CSS;Java;JavaScript;Python;R;TypeScript")</f>
        <v>Bash/Shell/PowerShell;C++;HTML/CSS;Java;JavaScript;Python;R;TypeScript</v>
      </c>
      <c r="C52" s="9" t="str">
        <f>IFERROR(__xludf.DUMMYFUNCTION("""COMPUTED_VALUE"""),"SQL")</f>
        <v>SQL</v>
      </c>
      <c r="D52" s="9" t="str">
        <f>IFERROR(__xludf.DUMMYFUNCTION("""COMPUTED_VALUE"""),"HTML/CSS")</f>
        <v>HTML/CSS</v>
      </c>
      <c r="E52" s="9" t="str">
        <f>IFERROR(__xludf.DUMMYFUNCTION("""COMPUTED_VALUE"""),"Python")</f>
        <v>Python</v>
      </c>
      <c r="F52" s="9" t="str">
        <f>IFERROR(__xludf.DUMMYFUNCTION("""COMPUTED_VALUE"""),"JavaScript")</f>
        <v>JavaScript</v>
      </c>
      <c r="G52" s="9" t="str">
        <f>IFERROR(__xludf.DUMMYFUNCTION("""COMPUTED_VALUE"""),"C")</f>
        <v>C</v>
      </c>
      <c r="H52" s="9" t="str">
        <f>IFERROR(__xludf.DUMMYFUNCTION("""COMPUTED_VALUE"""),"Java")</f>
        <v>Java</v>
      </c>
      <c r="I52" s="9" t="str">
        <f>IFERROR(__xludf.DUMMYFUNCTION("""COMPUTED_VALUE"""),"C#")</f>
        <v>C#</v>
      </c>
      <c r="J52" s="9" t="str">
        <f>IFERROR(__xludf.DUMMYFUNCTION("""COMPUTED_VALUE"""),"SQL")</f>
        <v>SQL</v>
      </c>
      <c r="K52" s="9" t="str">
        <f>IFERROR(__xludf.DUMMYFUNCTION("""COMPUTED_VALUE"""),"Ruby")</f>
        <v>Ruby</v>
      </c>
      <c r="L52" s="9" t="str">
        <f>IFERROR(__xludf.DUMMYFUNCTION("""COMPUTED_VALUE"""),"Bash/Shell/PowerShell")</f>
        <v>Bash/Shell/PowerShell</v>
      </c>
      <c r="M52" s="9" t="s">
        <v>27</v>
      </c>
    </row>
    <row r="53" ht="15.75" customHeight="1">
      <c r="A53" s="7"/>
      <c r="B53" s="7" t="str">
        <f>IFERROR(__xludf.DUMMYFUNCTION("""COMPUTED_VALUE"""),"Bash/Shell/PowerShell;C;C++;Elixir;Erlang;Go;HTML/CSS;Java;JavaScript;Kotlin;Python;Ruby;Rust;SQL;TypeScript")</f>
        <v>Bash/Shell/PowerShell;C;C++;Elixir;Erlang;Go;HTML/CSS;Java;JavaScript;Kotlin;Python;Ruby;Rust;SQL;TypeScript</v>
      </c>
      <c r="C53" s="9" t="str">
        <f>IFERROR(__xludf.DUMMYFUNCTION("""COMPUTED_VALUE"""),"Other(s):")</f>
        <v>Other(s):</v>
      </c>
      <c r="D53" s="9" t="str">
        <f>IFERROR(__xludf.DUMMYFUNCTION("""COMPUTED_VALUE"""),"SQL")</f>
        <v>SQL</v>
      </c>
      <c r="E53" s="9" t="str">
        <f>IFERROR(__xludf.DUMMYFUNCTION("""COMPUTED_VALUE"""),"Bash/Shell/PowerShell")</f>
        <v>Bash/Shell/PowerShell</v>
      </c>
      <c r="F53" s="9" t="str">
        <f>IFERROR(__xludf.DUMMYFUNCTION("""COMPUTED_VALUE"""),"PHP")</f>
        <v>PHP</v>
      </c>
      <c r="G53" s="9" t="str">
        <f>IFERROR(__xludf.DUMMYFUNCTION("""COMPUTED_VALUE"""),"C++")</f>
        <v>C++</v>
      </c>
      <c r="H53" s="9" t="str">
        <f>IFERROR(__xludf.DUMMYFUNCTION("""COMPUTED_VALUE"""),"JavaScript")</f>
        <v>JavaScript</v>
      </c>
      <c r="I53" s="9" t="str">
        <f>IFERROR(__xludf.DUMMYFUNCTION("""COMPUTED_VALUE"""),"HTML/CSS")</f>
        <v>HTML/CSS</v>
      </c>
      <c r="J53" s="9" t="str">
        <f>IFERROR(__xludf.DUMMYFUNCTION("""COMPUTED_VALUE"""),"Other(s):")</f>
        <v>Other(s):</v>
      </c>
      <c r="K53" s="9" t="str">
        <f>IFERROR(__xludf.DUMMYFUNCTION("""COMPUTED_VALUE"""),"SQL")</f>
        <v>SQL</v>
      </c>
      <c r="L53" s="9" t="str">
        <f>IFERROR(__xludf.DUMMYFUNCTION("""COMPUTED_VALUE"""),"C")</f>
        <v>C</v>
      </c>
      <c r="M53" s="9" t="s">
        <v>35</v>
      </c>
    </row>
    <row r="54" ht="15.75" customHeight="1">
      <c r="A54" s="7"/>
      <c r="B54" s="7" t="str">
        <f>IFERROR(__xludf.DUMMYFUNCTION("""COMPUTED_VALUE"""),"Bash/Shell/PowerShell;HTML/CSS;Java;JavaScript;PHP;SQL;TypeScript")</f>
        <v>Bash/Shell/PowerShell;HTML/CSS;Java;JavaScript;PHP;SQL;TypeScript</v>
      </c>
      <c r="C54" s="9" t="str">
        <f>IFERROR(__xludf.DUMMYFUNCTION("""COMPUTED_VALUE"""),"Bash/Shell/PowerShell")</f>
        <v>Bash/Shell/PowerShell</v>
      </c>
      <c r="D54" s="9" t="str">
        <f>IFERROR(__xludf.DUMMYFUNCTION("""COMPUTED_VALUE"""),"TypeScript")</f>
        <v>TypeScript</v>
      </c>
      <c r="E54" s="9" t="str">
        <f>IFERROR(__xludf.DUMMYFUNCTION("""COMPUTED_VALUE"""),"C#")</f>
        <v>C#</v>
      </c>
      <c r="F54" s="9" t="str">
        <f>IFERROR(__xludf.DUMMYFUNCTION("""COMPUTED_VALUE"""),"SQL")</f>
        <v>SQL</v>
      </c>
      <c r="G54" s="9" t="str">
        <f>IFERROR(__xludf.DUMMYFUNCTION("""COMPUTED_VALUE"""),"HTML/CSS")</f>
        <v>HTML/CSS</v>
      </c>
      <c r="H54" s="9" t="str">
        <f>IFERROR(__xludf.DUMMYFUNCTION("""COMPUTED_VALUE"""),"Objective-C")</f>
        <v>Objective-C</v>
      </c>
      <c r="I54" s="9" t="str">
        <f>IFERROR(__xludf.DUMMYFUNCTION("""COMPUTED_VALUE"""),"Java")</f>
        <v>Java</v>
      </c>
      <c r="J54" s="9" t="str">
        <f>IFERROR(__xludf.DUMMYFUNCTION("""COMPUTED_VALUE"""),"Bash/Shell/PowerShell")</f>
        <v>Bash/Shell/PowerShell</v>
      </c>
      <c r="K54" s="9" t="str">
        <f>IFERROR(__xludf.DUMMYFUNCTION("""COMPUTED_VALUE"""),"TypeScript")</f>
        <v>TypeScript</v>
      </c>
      <c r="L54" s="9" t="str">
        <f>IFERROR(__xludf.DUMMYFUNCTION("""COMPUTED_VALUE"""),"C++")</f>
        <v>C++</v>
      </c>
      <c r="M54" s="9" t="s">
        <v>30</v>
      </c>
    </row>
    <row r="55" ht="15.75" customHeight="1">
      <c r="A55" s="7"/>
      <c r="B55" s="7" t="str">
        <f>IFERROR(__xludf.DUMMYFUNCTION("""COMPUTED_VALUE"""),"Bash/Shell/PowerShell;HTML/CSS;JavaScript;Python")</f>
        <v>Bash/Shell/PowerShell;HTML/CSS;JavaScript;Python</v>
      </c>
      <c r="C55" s="9" t="str">
        <f>IFERROR(__xludf.DUMMYFUNCTION("""COMPUTED_VALUE"""),"HTML/CSS")</f>
        <v>HTML/CSS</v>
      </c>
      <c r="D55" s="9" t="str">
        <f>IFERROR(__xludf.DUMMYFUNCTION("""COMPUTED_VALUE"""),"C#")</f>
        <v>C#</v>
      </c>
      <c r="E55" s="9" t="str">
        <f>IFERROR(__xludf.DUMMYFUNCTION("""COMPUTED_VALUE"""),"HTML/CSS")</f>
        <v>HTML/CSS</v>
      </c>
      <c r="F55" s="9" t="str">
        <f>IFERROR(__xludf.DUMMYFUNCTION("""COMPUTED_VALUE"""),"VBA")</f>
        <v>VBA</v>
      </c>
      <c r="G55" s="9" t="str">
        <f>IFERROR(__xludf.DUMMYFUNCTION("""COMPUTED_VALUE"""),"Java")</f>
        <v>Java</v>
      </c>
      <c r="H55" s="9" t="str">
        <f>IFERROR(__xludf.DUMMYFUNCTION("""COMPUTED_VALUE"""),"PHP")</f>
        <v>PHP</v>
      </c>
      <c r="I55" s="9" t="str">
        <f>IFERROR(__xludf.DUMMYFUNCTION("""COMPUTED_VALUE"""),"JavaScript")</f>
        <v>JavaScript</v>
      </c>
      <c r="J55" s="9" t="str">
        <f>IFERROR(__xludf.DUMMYFUNCTION("""COMPUTED_VALUE"""),"HTML/CSS")</f>
        <v>HTML/CSS</v>
      </c>
      <c r="K55" s="9" t="str">
        <f>IFERROR(__xludf.DUMMYFUNCTION("""COMPUTED_VALUE"""),"C#")</f>
        <v>C#</v>
      </c>
      <c r="L55" s="9" t="str">
        <f>IFERROR(__xludf.DUMMYFUNCTION("""COMPUTED_VALUE"""),"C#")</f>
        <v>C#</v>
      </c>
      <c r="M55" s="9" t="s">
        <v>24</v>
      </c>
    </row>
    <row r="56" ht="15.75" customHeight="1">
      <c r="A56" s="7"/>
      <c r="B56" s="7" t="str">
        <f>IFERROR(__xludf.DUMMYFUNCTION("""COMPUTED_VALUE"""),"Java;Python;SQL")</f>
        <v>Java;Python;SQL</v>
      </c>
      <c r="C56" s="9" t="str">
        <f>IFERROR(__xludf.DUMMYFUNCTION("""COMPUTED_VALUE"""),"Java")</f>
        <v>Java</v>
      </c>
      <c r="D56" s="9" t="str">
        <f>IFERROR(__xludf.DUMMYFUNCTION("""COMPUTED_VALUE"""),"HTML/CSS")</f>
        <v>HTML/CSS</v>
      </c>
      <c r="E56" s="9" t="str">
        <f>IFERROR(__xludf.DUMMYFUNCTION("""COMPUTED_VALUE"""),"Java")</f>
        <v>Java</v>
      </c>
      <c r="F56" s="9" t="str">
        <f>IFERROR(__xludf.DUMMYFUNCTION("""COMPUTED_VALUE"""),"C")</f>
        <v>C</v>
      </c>
      <c r="G56" s="9" t="str">
        <f>IFERROR(__xludf.DUMMYFUNCTION("""COMPUTED_VALUE"""),"Python")</f>
        <v>Python</v>
      </c>
      <c r="H56" s="9" t="str">
        <f>IFERROR(__xludf.DUMMYFUNCTION("""COMPUTED_VALUE"""),"SQL")</f>
        <v>SQL</v>
      </c>
      <c r="I56" s="9" t="str">
        <f>IFERROR(__xludf.DUMMYFUNCTION("""COMPUTED_VALUE"""),"PHP")</f>
        <v>PHP</v>
      </c>
      <c r="J56" s="9" t="str">
        <f>IFERROR(__xludf.DUMMYFUNCTION("""COMPUTED_VALUE"""),"JavaScript")</f>
        <v>JavaScript</v>
      </c>
      <c r="K56" s="9" t="str">
        <f>IFERROR(__xludf.DUMMYFUNCTION("""COMPUTED_VALUE"""),"HTML/CSS")</f>
        <v>HTML/CSS</v>
      </c>
      <c r="L56" s="9" t="str">
        <f>IFERROR(__xludf.DUMMYFUNCTION("""COMPUTED_VALUE"""),"Java")</f>
        <v>Java</v>
      </c>
      <c r="M56" s="9" t="s">
        <v>20</v>
      </c>
    </row>
    <row r="57" ht="15.75" customHeight="1">
      <c r="A57" s="7"/>
      <c r="B57" s="7" t="str">
        <f>IFERROR(__xludf.DUMMYFUNCTION("""COMPUTED_VALUE"""),"Bash/Shell/PowerShell;HTML/CSS;Java;SQL")</f>
        <v>Bash/Shell/PowerShell;HTML/CSS;Java;SQL</v>
      </c>
      <c r="C57" s="9" t="str">
        <f>IFERROR(__xludf.DUMMYFUNCTION("""COMPUTED_VALUE"""),"Python")</f>
        <v>Python</v>
      </c>
      <c r="D57" s="9" t="str">
        <f>IFERROR(__xludf.DUMMYFUNCTION("""COMPUTED_VALUE"""),"Java")</f>
        <v>Java</v>
      </c>
      <c r="E57" s="9" t="str">
        <f>IFERROR(__xludf.DUMMYFUNCTION("""COMPUTED_VALUE"""),"JavaScript")</f>
        <v>JavaScript</v>
      </c>
      <c r="F57" s="9" t="str">
        <f>IFERROR(__xludf.DUMMYFUNCTION("""COMPUTED_VALUE"""),"C++")</f>
        <v>C++</v>
      </c>
      <c r="G57" s="9" t="str">
        <f>IFERROR(__xludf.DUMMYFUNCTION("""COMPUTED_VALUE"""),"SQL")</f>
        <v>SQL</v>
      </c>
      <c r="H57" s="9" t="str">
        <f>IFERROR(__xludf.DUMMYFUNCTION("""COMPUTED_VALUE"""),"Other(s):")</f>
        <v>Other(s):</v>
      </c>
      <c r="I57" s="9" t="str">
        <f>IFERROR(__xludf.DUMMYFUNCTION("""COMPUTED_VALUE"""),"SQL")</f>
        <v>SQL</v>
      </c>
      <c r="J57" s="9" t="str">
        <f>IFERROR(__xludf.DUMMYFUNCTION("""COMPUTED_VALUE"""),"PHP")</f>
        <v>PHP</v>
      </c>
      <c r="K57" s="9" t="str">
        <f>IFERROR(__xludf.DUMMYFUNCTION("""COMPUTED_VALUE"""),"JavaScript")</f>
        <v>JavaScript</v>
      </c>
      <c r="L57" s="9" t="str">
        <f>IFERROR(__xludf.DUMMYFUNCTION("""COMPUTED_VALUE"""),"Python")</f>
        <v>Python</v>
      </c>
      <c r="M57" s="9" t="s">
        <v>22</v>
      </c>
    </row>
    <row r="58" ht="15.75" customHeight="1">
      <c r="A58" s="7"/>
      <c r="B58" s="7" t="str">
        <f>IFERROR(__xludf.DUMMYFUNCTION("""COMPUTED_VALUE"""),"JavaScript;Python")</f>
        <v>JavaScript;Python</v>
      </c>
      <c r="C58" s="9" t="str">
        <f>IFERROR(__xludf.DUMMYFUNCTION("""COMPUTED_VALUE"""),"R")</f>
        <v>R</v>
      </c>
      <c r="D58" s="9" t="str">
        <f>IFERROR(__xludf.DUMMYFUNCTION("""COMPUTED_VALUE"""),"JavaScript")</f>
        <v>JavaScript</v>
      </c>
      <c r="E58" s="9" t="str">
        <f>IFERROR(__xludf.DUMMYFUNCTION("""COMPUTED_VALUE"""),"PHP")</f>
        <v>PHP</v>
      </c>
      <c r="F58" s="9" t="str">
        <f>IFERROR(__xludf.DUMMYFUNCTION("""COMPUTED_VALUE"""),"C#")</f>
        <v>C#</v>
      </c>
      <c r="G58" s="9" t="str">
        <f>IFERROR(__xludf.DUMMYFUNCTION("""COMPUTED_VALUE"""),"Other(s):")</f>
        <v>Other(s):</v>
      </c>
      <c r="H58" s="9" t="str">
        <f>IFERROR(__xludf.DUMMYFUNCTION("""COMPUTED_VALUE"""),"C++")</f>
        <v>C++</v>
      </c>
      <c r="I58" s="9" t="str">
        <f>IFERROR(__xludf.DUMMYFUNCTION("""COMPUTED_VALUE"""),"HTML/CSS")</f>
        <v>HTML/CSS</v>
      </c>
      <c r="J58" s="9" t="str">
        <f>IFERROR(__xludf.DUMMYFUNCTION("""COMPUTED_VALUE"""),"Bash/Shell/PowerShell")</f>
        <v>Bash/Shell/PowerShell</v>
      </c>
      <c r="K58" s="9" t="str">
        <f>IFERROR(__xludf.DUMMYFUNCTION("""COMPUTED_VALUE"""),"SQL")</f>
        <v>SQL</v>
      </c>
      <c r="L58" s="9" t="str">
        <f>IFERROR(__xludf.DUMMYFUNCTION("""COMPUTED_VALUE"""),"Bash/Shell/PowerShell")</f>
        <v>Bash/Shell/PowerShell</v>
      </c>
      <c r="M58" s="9" t="s">
        <v>29</v>
      </c>
    </row>
    <row r="59" ht="15.75" customHeight="1">
      <c r="A59" s="7"/>
      <c r="B59" s="7" t="str">
        <f>IFERROR(__xludf.DUMMYFUNCTION("""COMPUTED_VALUE"""),"C#;Java;SQL")</f>
        <v>C#;Java;SQL</v>
      </c>
      <c r="C59" s="9" t="str">
        <f>IFERROR(__xludf.DUMMYFUNCTION("""COMPUTED_VALUE"""),"SQL")</f>
        <v>SQL</v>
      </c>
      <c r="D59" s="9" t="str">
        <f>IFERROR(__xludf.DUMMYFUNCTION("""COMPUTED_VALUE"""),"Ruby")</f>
        <v>Ruby</v>
      </c>
      <c r="E59" s="9" t="str">
        <f>IFERROR(__xludf.DUMMYFUNCTION("""COMPUTED_VALUE"""),"SQL")</f>
        <v>SQL</v>
      </c>
      <c r="F59" s="9" t="str">
        <f>IFERROR(__xludf.DUMMYFUNCTION("""COMPUTED_VALUE"""),"HTML/CSS")</f>
        <v>HTML/CSS</v>
      </c>
      <c r="G59" s="9" t="str">
        <f>IFERROR(__xludf.DUMMYFUNCTION("""COMPUTED_VALUE"""),"HTML/CSS")</f>
        <v>HTML/CSS</v>
      </c>
      <c r="H59" s="9" t="str">
        <f>IFERROR(__xludf.DUMMYFUNCTION("""COMPUTED_VALUE"""),"Java")</f>
        <v>Java</v>
      </c>
      <c r="I59" s="9" t="str">
        <f>IFERROR(__xludf.DUMMYFUNCTION("""COMPUTED_VALUE"""),"Java")</f>
        <v>Java</v>
      </c>
      <c r="J59" s="9" t="str">
        <f>IFERROR(__xludf.DUMMYFUNCTION("""COMPUTED_VALUE"""),"HTML/CSS")</f>
        <v>HTML/CSS</v>
      </c>
      <c r="K59" s="9" t="str">
        <f>IFERROR(__xludf.DUMMYFUNCTION("""COMPUTED_VALUE"""),"TypeScript")</f>
        <v>TypeScript</v>
      </c>
      <c r="L59" s="9" t="str">
        <f>IFERROR(__xludf.DUMMYFUNCTION("""COMPUTED_VALUE"""),"HTML/CSS")</f>
        <v>HTML/CSS</v>
      </c>
      <c r="M59" s="9" t="s">
        <v>27</v>
      </c>
    </row>
    <row r="60" ht="15.75" customHeight="1">
      <c r="A60" s="7"/>
      <c r="B60" s="7" t="str">
        <f>IFERROR(__xludf.DUMMYFUNCTION("""COMPUTED_VALUE"""),"HTML/CSS;JavaScript;PHP;SQL")</f>
        <v>HTML/CSS;JavaScript;PHP;SQL</v>
      </c>
      <c r="C60" s="9" t="str">
        <f>IFERROR(__xludf.DUMMYFUNCTION("""COMPUTED_VALUE"""),"Bash/Shell/PowerShell")</f>
        <v>Bash/Shell/PowerShell</v>
      </c>
      <c r="D60" s="9" t="str">
        <f>IFERROR(__xludf.DUMMYFUNCTION("""COMPUTED_VALUE"""),"SQL")</f>
        <v>SQL</v>
      </c>
      <c r="E60" s="9" t="str">
        <f>IFERROR(__xludf.DUMMYFUNCTION("""COMPUTED_VALUE"""),"Java")</f>
        <v>Java</v>
      </c>
      <c r="F60" s="9" t="str">
        <f>IFERROR(__xludf.DUMMYFUNCTION("""COMPUTED_VALUE"""),"Java")</f>
        <v>Java</v>
      </c>
      <c r="G60" s="9" t="str">
        <f>IFERROR(__xludf.DUMMYFUNCTION("""COMPUTED_VALUE"""),"Java")</f>
        <v>Java</v>
      </c>
      <c r="H60" s="9" t="str">
        <f>IFERROR(__xludf.DUMMYFUNCTION("""COMPUTED_VALUE"""),"JavaScript")</f>
        <v>JavaScript</v>
      </c>
      <c r="I60" s="9" t="str">
        <f>IFERROR(__xludf.DUMMYFUNCTION("""COMPUTED_VALUE"""),"Kotlin")</f>
        <v>Kotlin</v>
      </c>
      <c r="J60" s="9" t="str">
        <f>IFERROR(__xludf.DUMMYFUNCTION("""COMPUTED_VALUE"""),"Java")</f>
        <v>Java</v>
      </c>
      <c r="K60" s="9" t="str">
        <f>IFERROR(__xludf.DUMMYFUNCTION("""COMPUTED_VALUE"""),"C")</f>
        <v>C</v>
      </c>
      <c r="L60" s="9" t="str">
        <f>IFERROR(__xludf.DUMMYFUNCTION("""COMPUTED_VALUE"""),"Java")</f>
        <v>Java</v>
      </c>
      <c r="M60" s="9" t="s">
        <v>30</v>
      </c>
    </row>
    <row r="61" ht="15.75" customHeight="1">
      <c r="A61" s="7"/>
      <c r="B61" s="7" t="str">
        <f>IFERROR(__xludf.DUMMYFUNCTION("""COMPUTED_VALUE"""),"Bash/Shell/PowerShell;Go;JavaScript;PHP;Python;Ruby;SQL")</f>
        <v>Bash/Shell/PowerShell;Go;JavaScript;PHP;Python;Ruby;SQL</v>
      </c>
      <c r="C61" s="9" t="str">
        <f>IFERROR(__xludf.DUMMYFUNCTION("""COMPUTED_VALUE"""),"HTML/CSS")</f>
        <v>HTML/CSS</v>
      </c>
      <c r="D61" s="9" t="str">
        <f>IFERROR(__xludf.DUMMYFUNCTION("""COMPUTED_VALUE"""),"TypeScript")</f>
        <v>TypeScript</v>
      </c>
      <c r="E61" s="9" t="str">
        <f>IFERROR(__xludf.DUMMYFUNCTION("""COMPUTED_VALUE"""),"Python")</f>
        <v>Python</v>
      </c>
      <c r="F61" s="9" t="str">
        <f>IFERROR(__xludf.DUMMYFUNCTION("""COMPUTED_VALUE"""),"JavaScript")</f>
        <v>JavaScript</v>
      </c>
      <c r="G61" s="9" t="str">
        <f>IFERROR(__xludf.DUMMYFUNCTION("""COMPUTED_VALUE"""),"JavaScript")</f>
        <v>JavaScript</v>
      </c>
      <c r="H61" s="9" t="str">
        <f>IFERROR(__xludf.DUMMYFUNCTION("""COMPUTED_VALUE"""),"Scala")</f>
        <v>Scala</v>
      </c>
      <c r="I61" s="9" t="str">
        <f>IFERROR(__xludf.DUMMYFUNCTION("""COMPUTED_VALUE"""),"Python")</f>
        <v>Python</v>
      </c>
      <c r="J61" s="9" t="str">
        <f>IFERROR(__xludf.DUMMYFUNCTION("""COMPUTED_VALUE"""),"JavaScript")</f>
        <v>JavaScript</v>
      </c>
      <c r="K61" s="9" t="str">
        <f>IFERROR(__xludf.DUMMYFUNCTION("""COMPUTED_VALUE"""),"C++")</f>
        <v>C++</v>
      </c>
      <c r="L61" s="9" t="str">
        <f>IFERROR(__xludf.DUMMYFUNCTION("""COMPUTED_VALUE"""),"Python")</f>
        <v>Python</v>
      </c>
      <c r="M61" s="9" t="s">
        <v>24</v>
      </c>
    </row>
    <row r="62" ht="15.75" customHeight="1">
      <c r="A62" s="7"/>
      <c r="B62" s="7" t="str">
        <f>IFERROR(__xludf.DUMMYFUNCTION("""COMPUTED_VALUE"""),"C++;C#;HTML/CSS;JavaScript;PHP;Python;SQL;VBA")</f>
        <v>C++;C#;HTML/CSS;JavaScript;PHP;Python;SQL;VBA</v>
      </c>
      <c r="C62" s="9" t="str">
        <f>IFERROR(__xludf.DUMMYFUNCTION("""COMPUTED_VALUE"""),"JavaScript")</f>
        <v>JavaScript</v>
      </c>
      <c r="D62" s="9" t="str">
        <f>IFERROR(__xludf.DUMMYFUNCTION("""COMPUTED_VALUE"""),"C++")</f>
        <v>C++</v>
      </c>
      <c r="E62" s="9" t="str">
        <f>IFERROR(__xludf.DUMMYFUNCTION("""COMPUTED_VALUE"""),"C")</f>
        <v>C</v>
      </c>
      <c r="F62" s="9" t="str">
        <f>IFERROR(__xludf.DUMMYFUNCTION("""COMPUTED_VALUE"""),"SQL")</f>
        <v>SQL</v>
      </c>
      <c r="G62" s="9" t="str">
        <f>IFERROR(__xludf.DUMMYFUNCTION("""COMPUTED_VALUE"""),"PHP")</f>
        <v>PHP</v>
      </c>
      <c r="H62" s="9" t="str">
        <f>IFERROR(__xludf.DUMMYFUNCTION("""COMPUTED_VALUE"""),"SQL")</f>
        <v>SQL</v>
      </c>
      <c r="I62" s="9" t="str">
        <f>IFERROR(__xludf.DUMMYFUNCTION("""COMPUTED_VALUE"""),"Java")</f>
        <v>Java</v>
      </c>
      <c r="J62" s="9" t="str">
        <f>IFERROR(__xludf.DUMMYFUNCTION("""COMPUTED_VALUE"""),"Python")</f>
        <v>Python</v>
      </c>
      <c r="K62" s="9" t="str">
        <f>IFERROR(__xludf.DUMMYFUNCTION("""COMPUTED_VALUE"""),"C#")</f>
        <v>C#</v>
      </c>
      <c r="L62" s="9" t="str">
        <f>IFERROR(__xludf.DUMMYFUNCTION("""COMPUTED_VALUE"""),"HTML/CSS")</f>
        <v>HTML/CSS</v>
      </c>
      <c r="M62" s="9" t="s">
        <v>21</v>
      </c>
    </row>
    <row r="63" ht="15.75" customHeight="1">
      <c r="A63" s="7"/>
      <c r="B63" s="7" t="str">
        <f>IFERROR(__xludf.DUMMYFUNCTION("""COMPUTED_VALUE"""),"Bash/Shell/PowerShell;C++;Go;HTML/CSS;Java;JavaScript;Kotlin;PHP;Python;Ruby;SQL;TypeScript;VBA")</f>
        <v>Bash/Shell/PowerShell;C++;Go;HTML/CSS;Java;JavaScript;Kotlin;PHP;Python;Ruby;SQL;TypeScript;VBA</v>
      </c>
      <c r="C63" s="9" t="str">
        <f>IFERROR(__xludf.DUMMYFUNCTION("""COMPUTED_VALUE"""),"PHP")</f>
        <v>PHP</v>
      </c>
      <c r="D63" s="9" t="str">
        <f>IFERROR(__xludf.DUMMYFUNCTION("""COMPUTED_VALUE"""),"C#")</f>
        <v>C#</v>
      </c>
      <c r="E63" s="9" t="str">
        <f>IFERROR(__xludf.DUMMYFUNCTION("""COMPUTED_VALUE"""),"C++")</f>
        <v>C++</v>
      </c>
      <c r="F63" s="9" t="str">
        <f>IFERROR(__xludf.DUMMYFUNCTION("""COMPUTED_VALUE"""),"WebAssembly")</f>
        <v>WebAssembly</v>
      </c>
      <c r="G63" s="9" t="str">
        <f>IFERROR(__xludf.DUMMYFUNCTION("""COMPUTED_VALUE"""),"Ruby")</f>
        <v>Ruby</v>
      </c>
      <c r="H63" s="9" t="str">
        <f>IFERROR(__xludf.DUMMYFUNCTION("""COMPUTED_VALUE"""),"Bash/Shell/PowerShell")</f>
        <v>Bash/Shell/PowerShell</v>
      </c>
      <c r="I63" s="9" t="str">
        <f>IFERROR(__xludf.DUMMYFUNCTION("""COMPUTED_VALUE"""),"JavaScript")</f>
        <v>JavaScript</v>
      </c>
      <c r="J63" s="9" t="str">
        <f>IFERROR(__xludf.DUMMYFUNCTION("""COMPUTED_VALUE"""),"Ruby")</f>
        <v>Ruby</v>
      </c>
      <c r="K63" s="9" t="str">
        <f>IFERROR(__xludf.DUMMYFUNCTION("""COMPUTED_VALUE"""),"HTML/CSS")</f>
        <v>HTML/CSS</v>
      </c>
      <c r="L63" s="9" t="str">
        <f>IFERROR(__xludf.DUMMYFUNCTION("""COMPUTED_VALUE"""),"JavaScript")</f>
        <v>JavaScript</v>
      </c>
      <c r="M63" s="9" t="s">
        <v>37</v>
      </c>
    </row>
    <row r="64" ht="15.75" customHeight="1">
      <c r="A64" s="7"/>
      <c r="B64" s="7" t="str">
        <f>IFERROR(__xludf.DUMMYFUNCTION("""COMPUTED_VALUE"""),"Bash/Shell/PowerShell;Clojure;Java;Python;Other(s):")</f>
        <v>Bash/Shell/PowerShell;Clojure;Java;Python;Other(s):</v>
      </c>
      <c r="C64" s="9" t="str">
        <f>IFERROR(__xludf.DUMMYFUNCTION("""COMPUTED_VALUE"""),"SQL")</f>
        <v>SQL</v>
      </c>
      <c r="D64" s="9" t="str">
        <f>IFERROR(__xludf.DUMMYFUNCTION("""COMPUTED_VALUE"""),"JavaScript")</f>
        <v>JavaScript</v>
      </c>
      <c r="E64" s="9" t="str">
        <f>IFERROR(__xludf.DUMMYFUNCTION("""COMPUTED_VALUE"""),"C#")</f>
        <v>C#</v>
      </c>
      <c r="F64" s="9" t="str">
        <f>IFERROR(__xludf.DUMMYFUNCTION("""COMPUTED_VALUE"""),"Bash/Shell/PowerShell")</f>
        <v>Bash/Shell/PowerShell</v>
      </c>
      <c r="G64" s="9" t="str">
        <f>IFERROR(__xludf.DUMMYFUNCTION("""COMPUTED_VALUE"""),"Assembly")</f>
        <v>Assembly</v>
      </c>
      <c r="H64" s="9" t="str">
        <f>IFERROR(__xludf.DUMMYFUNCTION("""COMPUTED_VALUE"""),"PHP")</f>
        <v>PHP</v>
      </c>
      <c r="I64" s="9" t="str">
        <f>IFERROR(__xludf.DUMMYFUNCTION("""COMPUTED_VALUE"""),"HTML/CSS")</f>
        <v>HTML/CSS</v>
      </c>
      <c r="J64" s="9" t="str">
        <f>IFERROR(__xludf.DUMMYFUNCTION("""COMPUTED_VALUE"""),"Dart")</f>
        <v>Dart</v>
      </c>
      <c r="K64" s="9" t="str">
        <f>IFERROR(__xludf.DUMMYFUNCTION("""COMPUTED_VALUE"""),"JavaScript")</f>
        <v>JavaScript</v>
      </c>
      <c r="L64" s="9" t="str">
        <f>IFERROR(__xludf.DUMMYFUNCTION("""COMPUTED_VALUE"""),"PHP")</f>
        <v>PHP</v>
      </c>
      <c r="M64" s="9" t="s">
        <v>27</v>
      </c>
    </row>
    <row r="65" ht="15.75" customHeight="1">
      <c r="A65" s="7"/>
      <c r="B65" s="7" t="str">
        <f>IFERROR(__xludf.DUMMYFUNCTION("""COMPUTED_VALUE"""),"Bash/Shell/PowerShell;C;C++;C#")</f>
        <v>Bash/Shell/PowerShell;C;C++;C#</v>
      </c>
      <c r="C65" s="9" t="str">
        <f>IFERROR(__xludf.DUMMYFUNCTION("""COMPUTED_VALUE"""),"TypeScript")</f>
        <v>TypeScript</v>
      </c>
      <c r="D65" s="9" t="str">
        <f>IFERROR(__xludf.DUMMYFUNCTION("""COMPUTED_VALUE"""),"Objective-C")</f>
        <v>Objective-C</v>
      </c>
      <c r="E65" s="9" t="str">
        <f>IFERROR(__xludf.DUMMYFUNCTION("""COMPUTED_VALUE"""),"Go")</f>
        <v>Go</v>
      </c>
      <c r="F65" s="9" t="str">
        <f>IFERROR(__xludf.DUMMYFUNCTION("""COMPUTED_VALUE"""),"HTML/CSS")</f>
        <v>HTML/CSS</v>
      </c>
      <c r="G65" s="9" t="str">
        <f>IFERROR(__xludf.DUMMYFUNCTION("""COMPUTED_VALUE"""),"Bash/Shell/PowerShell")</f>
        <v>Bash/Shell/PowerShell</v>
      </c>
      <c r="H65" s="9" t="str">
        <f>IFERROR(__xludf.DUMMYFUNCTION("""COMPUTED_VALUE"""),"Python")</f>
        <v>Python</v>
      </c>
      <c r="I65" s="9" t="str">
        <f>IFERROR(__xludf.DUMMYFUNCTION("""COMPUTED_VALUE"""),"JavaScript")</f>
        <v>JavaScript</v>
      </c>
      <c r="J65" s="9" t="str">
        <f>IFERROR(__xludf.DUMMYFUNCTION("""COMPUTED_VALUE"""),"Elixir")</f>
        <v>Elixir</v>
      </c>
      <c r="K65" s="9" t="str">
        <f>IFERROR(__xludf.DUMMYFUNCTION("""COMPUTED_VALUE"""),"Python")</f>
        <v>Python</v>
      </c>
      <c r="L65" s="9" t="str">
        <f>IFERROR(__xludf.DUMMYFUNCTION("""COMPUTED_VALUE"""),"TypeScript")</f>
        <v>TypeScript</v>
      </c>
      <c r="M65" s="9" t="s">
        <v>33</v>
      </c>
    </row>
    <row r="66" ht="15.75" customHeight="1">
      <c r="A66" s="7"/>
      <c r="B66" s="7" t="str">
        <f>IFERROR(__xludf.DUMMYFUNCTION("""COMPUTED_VALUE"""),"Assembly;C;C++;C#;HTML/CSS;Java")</f>
        <v>Assembly;C;C++;C#;HTML/CSS;Java</v>
      </c>
      <c r="C66" s="9" t="str">
        <f>IFERROR(__xludf.DUMMYFUNCTION("""COMPUTED_VALUE"""),"C++")</f>
        <v>C++</v>
      </c>
      <c r="D66" s="9" t="str">
        <f>IFERROR(__xludf.DUMMYFUNCTION("""COMPUTED_VALUE"""),"Rust")</f>
        <v>Rust</v>
      </c>
      <c r="E66" s="9" t="str">
        <f>IFERROR(__xludf.DUMMYFUNCTION("""COMPUTED_VALUE"""),"C#")</f>
        <v>C#</v>
      </c>
      <c r="F66" s="9" t="str">
        <f>IFERROR(__xludf.DUMMYFUNCTION("""COMPUTED_VALUE"""),"JavaScript")</f>
        <v>JavaScript</v>
      </c>
      <c r="G66" s="9" t="str">
        <f>IFERROR(__xludf.DUMMYFUNCTION("""COMPUTED_VALUE"""),"C")</f>
        <v>C</v>
      </c>
      <c r="H66" s="9" t="str">
        <f>IFERROR(__xludf.DUMMYFUNCTION("""COMPUTED_VALUE"""),"Bash/Shell/PowerShell")</f>
        <v>Bash/Shell/PowerShell</v>
      </c>
      <c r="I66" s="9" t="str">
        <f>IFERROR(__xludf.DUMMYFUNCTION("""COMPUTED_VALUE"""),"HTML/CSS")</f>
        <v>HTML/CSS</v>
      </c>
      <c r="J66" s="9" t="str">
        <f>IFERROR(__xludf.DUMMYFUNCTION("""COMPUTED_VALUE"""),"Go")</f>
        <v>Go</v>
      </c>
      <c r="K66" s="9" t="str">
        <f>IFERROR(__xludf.DUMMYFUNCTION("""COMPUTED_VALUE"""),"HTML/CSS")</f>
        <v>HTML/CSS</v>
      </c>
      <c r="L66" s="9" t="str">
        <f>IFERROR(__xludf.DUMMYFUNCTION("""COMPUTED_VALUE"""),"Java")</f>
        <v>Java</v>
      </c>
      <c r="M66" s="9" t="s">
        <v>23</v>
      </c>
    </row>
    <row r="67" ht="15.75" customHeight="1">
      <c r="A67" s="7"/>
      <c r="B67" s="7" t="str">
        <f>IFERROR(__xludf.DUMMYFUNCTION("""COMPUTED_VALUE"""),"Clojure;Go;HTML/CSS;Java;JavaScript;R;SQL")</f>
        <v>Clojure;Go;HTML/CSS;Java;JavaScript;R;SQL</v>
      </c>
      <c r="C67" s="9" t="str">
        <f>IFERROR(__xludf.DUMMYFUNCTION("""COMPUTED_VALUE"""),"Assembly")</f>
        <v>Assembly</v>
      </c>
      <c r="D67" s="9" t="str">
        <f>IFERROR(__xludf.DUMMYFUNCTION("""COMPUTED_VALUE"""),"Bash/Shell/PowerShell")</f>
        <v>Bash/Shell/PowerShell</v>
      </c>
      <c r="E67" s="9" t="str">
        <f>IFERROR(__xludf.DUMMYFUNCTION("""COMPUTED_VALUE"""),"SQL")</f>
        <v>SQL</v>
      </c>
      <c r="F67" s="9" t="str">
        <f>IFERROR(__xludf.DUMMYFUNCTION("""COMPUTED_VALUE"""),"PHP")</f>
        <v>PHP</v>
      </c>
      <c r="G67" s="9" t="str">
        <f>IFERROR(__xludf.DUMMYFUNCTION("""COMPUTED_VALUE"""),"HTML/CSS")</f>
        <v>HTML/CSS</v>
      </c>
      <c r="H67" s="9" t="str">
        <f>IFERROR(__xludf.DUMMYFUNCTION("""COMPUTED_VALUE"""),"HTML/CSS")</f>
        <v>HTML/CSS</v>
      </c>
      <c r="I67" s="9" t="str">
        <f>IFERROR(__xludf.DUMMYFUNCTION("""COMPUTED_VALUE"""),"Java")</f>
        <v>Java</v>
      </c>
      <c r="J67" s="9" t="str">
        <f>IFERROR(__xludf.DUMMYFUNCTION("""COMPUTED_VALUE"""),"HTML/CSS")</f>
        <v>HTML/CSS</v>
      </c>
      <c r="K67" s="9" t="str">
        <f>IFERROR(__xludf.DUMMYFUNCTION("""COMPUTED_VALUE"""),"Java")</f>
        <v>Java</v>
      </c>
      <c r="L67" s="9" t="str">
        <f>IFERROR(__xludf.DUMMYFUNCTION("""COMPUTED_VALUE"""),"JavaScript")</f>
        <v>JavaScript</v>
      </c>
      <c r="M67" s="9" t="s">
        <v>38</v>
      </c>
    </row>
    <row r="68" ht="15.75" customHeight="1">
      <c r="A68" s="7"/>
      <c r="B68" s="7" t="str">
        <f>IFERROR(__xludf.DUMMYFUNCTION("""COMPUTED_VALUE"""),"C;C#;HTML/CSS;Java;JavaScript;PHP;Python;SQL;VBA")</f>
        <v>C;C#;HTML/CSS;Java;JavaScript;PHP;Python;SQL;VBA</v>
      </c>
      <c r="C68" s="9" t="str">
        <f>IFERROR(__xludf.DUMMYFUNCTION("""COMPUTED_VALUE"""),"Bash/Shell/PowerShell")</f>
        <v>Bash/Shell/PowerShell</v>
      </c>
      <c r="D68" s="9" t="str">
        <f>IFERROR(__xludf.DUMMYFUNCTION("""COMPUTED_VALUE"""),"Java")</f>
        <v>Java</v>
      </c>
      <c r="E68" s="9" t="str">
        <f>IFERROR(__xludf.DUMMYFUNCTION("""COMPUTED_VALUE"""),"Other(s):")</f>
        <v>Other(s):</v>
      </c>
      <c r="F68" s="9" t="str">
        <f>IFERROR(__xludf.DUMMYFUNCTION("""COMPUTED_VALUE"""),"Python")</f>
        <v>Python</v>
      </c>
      <c r="G68" s="9" t="str">
        <f>IFERROR(__xludf.DUMMYFUNCTION("""COMPUTED_VALUE"""),"Java")</f>
        <v>Java</v>
      </c>
      <c r="H68" s="9" t="str">
        <f>IFERROR(__xludf.DUMMYFUNCTION("""COMPUTED_VALUE"""),"JavaScript")</f>
        <v>JavaScript</v>
      </c>
      <c r="I68" s="9" t="str">
        <f>IFERROR(__xludf.DUMMYFUNCTION("""COMPUTED_VALUE"""),"JavaScript")</f>
        <v>JavaScript</v>
      </c>
      <c r="J68" s="9" t="str">
        <f>IFERROR(__xludf.DUMMYFUNCTION("""COMPUTED_VALUE"""),"JavaScript")</f>
        <v>JavaScript</v>
      </c>
      <c r="K68" s="9" t="str">
        <f>IFERROR(__xludf.DUMMYFUNCTION("""COMPUTED_VALUE"""),"JavaScript")</f>
        <v>JavaScript</v>
      </c>
      <c r="L68" s="9" t="str">
        <f>IFERROR(__xludf.DUMMYFUNCTION("""COMPUTED_VALUE"""),"Python")</f>
        <v>Python</v>
      </c>
      <c r="M68" s="9" t="s">
        <v>30</v>
      </c>
    </row>
    <row r="69" ht="15.75" customHeight="1">
      <c r="A69" s="7"/>
      <c r="B69" s="7" t="str">
        <f>IFERROR(__xludf.DUMMYFUNCTION("""COMPUTED_VALUE"""),"HTML/CSS;Java;JavaScript;Python")</f>
        <v>HTML/CSS;Java;JavaScript;Python</v>
      </c>
      <c r="C69" s="9" t="str">
        <f>IFERROR(__xludf.DUMMYFUNCTION("""COMPUTED_VALUE"""),"C")</f>
        <v>C</v>
      </c>
      <c r="D69" s="9" t="str">
        <f>IFERROR(__xludf.DUMMYFUNCTION("""COMPUTED_VALUE"""),"JavaScript")</f>
        <v>JavaScript</v>
      </c>
      <c r="E69" s="9" t="str">
        <f>IFERROR(__xludf.DUMMYFUNCTION("""COMPUTED_VALUE"""),"C#")</f>
        <v>C#</v>
      </c>
      <c r="F69" s="9" t="str">
        <f>IFERROR(__xludf.DUMMYFUNCTION("""COMPUTED_VALUE"""),"SQL")</f>
        <v>SQL</v>
      </c>
      <c r="G69" s="9" t="str">
        <f>IFERROR(__xludf.DUMMYFUNCTION("""COMPUTED_VALUE"""),"JavaScript")</f>
        <v>JavaScript</v>
      </c>
      <c r="H69" s="9" t="str">
        <f>IFERROR(__xludf.DUMMYFUNCTION("""COMPUTED_VALUE"""),"Objective-C")</f>
        <v>Objective-C</v>
      </c>
      <c r="I69" s="9" t="str">
        <f>IFERROR(__xludf.DUMMYFUNCTION("""COMPUTED_VALUE"""),"PHP")</f>
        <v>PHP</v>
      </c>
      <c r="J69" s="9" t="str">
        <f>IFERROR(__xludf.DUMMYFUNCTION("""COMPUTED_VALUE"""),"Rust")</f>
        <v>Rust</v>
      </c>
      <c r="K69" s="9" t="str">
        <f>IFERROR(__xludf.DUMMYFUNCTION("""COMPUTED_VALUE"""),"Ruby")</f>
        <v>Ruby</v>
      </c>
      <c r="L69" s="9" t="str">
        <f>IFERROR(__xludf.DUMMYFUNCTION("""COMPUTED_VALUE"""),"Rust")</f>
        <v>Rust</v>
      </c>
      <c r="M69" s="9" t="s">
        <v>25</v>
      </c>
    </row>
    <row r="70" ht="15.75" customHeight="1">
      <c r="A70" s="7"/>
      <c r="B70" s="7" t="str">
        <f>IFERROR(__xludf.DUMMYFUNCTION("""COMPUTED_VALUE"""),"C#;HTML/CSS;Java;JavaScript;Objective-C;SQL;TypeScript")</f>
        <v>C#;HTML/CSS;Java;JavaScript;Objective-C;SQL;TypeScript</v>
      </c>
      <c r="C70" s="9" t="str">
        <f>IFERROR(__xludf.DUMMYFUNCTION("""COMPUTED_VALUE"""),"C++")</f>
        <v>C++</v>
      </c>
      <c r="D70" s="9" t="str">
        <f>IFERROR(__xludf.DUMMYFUNCTION("""COMPUTED_VALUE"""),"Python")</f>
        <v>Python</v>
      </c>
      <c r="E70" s="9" t="str">
        <f>IFERROR(__xludf.DUMMYFUNCTION("""COMPUTED_VALUE"""),"HTML/CSS")</f>
        <v>HTML/CSS</v>
      </c>
      <c r="F70" s="9" t="str">
        <f>IFERROR(__xludf.DUMMYFUNCTION("""COMPUTED_VALUE"""),"Swift")</f>
        <v>Swift</v>
      </c>
      <c r="G70" s="9" t="str">
        <f>IFERROR(__xludf.DUMMYFUNCTION("""COMPUTED_VALUE"""),"Kotlin")</f>
        <v>Kotlin</v>
      </c>
      <c r="H70" s="9" t="str">
        <f>IFERROR(__xludf.DUMMYFUNCTION("""COMPUTED_VALUE"""),"Python")</f>
        <v>Python</v>
      </c>
      <c r="I70" s="9" t="str">
        <f>IFERROR(__xludf.DUMMYFUNCTION("""COMPUTED_VALUE"""),"Python")</f>
        <v>Python</v>
      </c>
      <c r="J70" s="9" t="str">
        <f>IFERROR(__xludf.DUMMYFUNCTION("""COMPUTED_VALUE"""),"SQL")</f>
        <v>SQL</v>
      </c>
      <c r="K70" s="9" t="str">
        <f>IFERROR(__xludf.DUMMYFUNCTION("""COMPUTED_VALUE"""),"TypeScript")</f>
        <v>TypeScript</v>
      </c>
      <c r="L70" s="9" t="str">
        <f>IFERROR(__xludf.DUMMYFUNCTION("""COMPUTED_VALUE"""),"SQL")</f>
        <v>SQL</v>
      </c>
      <c r="M70" s="9" t="s">
        <v>23</v>
      </c>
    </row>
    <row r="71" ht="15.75" customHeight="1">
      <c r="A71" s="7"/>
      <c r="B71" s="7" t="str">
        <f>IFERROR(__xludf.DUMMYFUNCTION("""COMPUTED_VALUE"""),"C#;HTML/CSS;JavaScript;SQL")</f>
        <v>C#;HTML/CSS;JavaScript;SQL</v>
      </c>
      <c r="C71" s="9" t="str">
        <f>IFERROR(__xludf.DUMMYFUNCTION("""COMPUTED_VALUE"""),"HTML/CSS")</f>
        <v>HTML/CSS</v>
      </c>
      <c r="D71" s="9" t="str">
        <f>IFERROR(__xludf.DUMMYFUNCTION("""COMPUTED_VALUE"""),"HTML/CSS")</f>
        <v>HTML/CSS</v>
      </c>
      <c r="E71" s="9" t="str">
        <f>IFERROR(__xludf.DUMMYFUNCTION("""COMPUTED_VALUE"""),"JavaScript")</f>
        <v>JavaScript</v>
      </c>
      <c r="F71" s="9" t="str">
        <f>IFERROR(__xludf.DUMMYFUNCTION("""COMPUTED_VALUE"""),"C#")</f>
        <v>C#</v>
      </c>
      <c r="G71" s="9" t="str">
        <f>IFERROR(__xludf.DUMMYFUNCTION("""COMPUTED_VALUE"""),"PHP")</f>
        <v>PHP</v>
      </c>
      <c r="H71" s="9" t="str">
        <f>IFERROR(__xludf.DUMMYFUNCTION("""COMPUTED_VALUE"""),"SQL")</f>
        <v>SQL</v>
      </c>
      <c r="I71" s="9" t="str">
        <f>IFERROR(__xludf.DUMMYFUNCTION("""COMPUTED_VALUE"""),"SQL")</f>
        <v>SQL</v>
      </c>
      <c r="J71" s="9" t="str">
        <f>IFERROR(__xludf.DUMMYFUNCTION("""COMPUTED_VALUE"""),"TypeScript")</f>
        <v>TypeScript</v>
      </c>
      <c r="K71" s="9" t="str">
        <f>IFERROR(__xludf.DUMMYFUNCTION("""COMPUTED_VALUE"""),"HTML/CSS")</f>
        <v>HTML/CSS</v>
      </c>
      <c r="L71" s="9" t="str">
        <f>IFERROR(__xludf.DUMMYFUNCTION("""COMPUTED_VALUE"""),"Assembly")</f>
        <v>Assembly</v>
      </c>
      <c r="M71" s="9" t="s">
        <v>24</v>
      </c>
    </row>
    <row r="72" ht="15.75" customHeight="1">
      <c r="A72" s="7"/>
      <c r="B72" s="7" t="str">
        <f>IFERROR(__xludf.DUMMYFUNCTION("""COMPUTED_VALUE"""),"HTML/CSS;JavaScript;PHP;Python;SQL;VBA")</f>
        <v>HTML/CSS;JavaScript;PHP;Python;SQL;VBA</v>
      </c>
      <c r="C72" s="9" t="str">
        <f>IFERROR(__xludf.DUMMYFUNCTION("""COMPUTED_VALUE"""),"Java")</f>
        <v>Java</v>
      </c>
      <c r="D72" s="9" t="str">
        <f>IFERROR(__xludf.DUMMYFUNCTION("""COMPUTED_VALUE"""),"JavaScript")</f>
        <v>JavaScript</v>
      </c>
      <c r="E72" s="9" t="str">
        <f>IFERROR(__xludf.DUMMYFUNCTION("""COMPUTED_VALUE"""),"SQL")</f>
        <v>SQL</v>
      </c>
      <c r="F72" s="9" t="str">
        <f>IFERROR(__xludf.DUMMYFUNCTION("""COMPUTED_VALUE"""),"HTML/CSS")</f>
        <v>HTML/CSS</v>
      </c>
      <c r="G72" s="9" t="str">
        <f>IFERROR(__xludf.DUMMYFUNCTION("""COMPUTED_VALUE"""),"Python")</f>
        <v>Python</v>
      </c>
      <c r="H72" s="9" t="str">
        <f>IFERROR(__xludf.DUMMYFUNCTION("""COMPUTED_VALUE"""),"TypeScript")</f>
        <v>TypeScript</v>
      </c>
      <c r="I72" s="9" t="str">
        <f>IFERROR(__xludf.DUMMYFUNCTION("""COMPUTED_VALUE"""),"Bash/Shell/PowerShell")</f>
        <v>Bash/Shell/PowerShell</v>
      </c>
      <c r="J72" s="9" t="str">
        <f>IFERROR(__xludf.DUMMYFUNCTION("""COMPUTED_VALUE"""),"Other(s):")</f>
        <v>Other(s):</v>
      </c>
      <c r="K72" s="9" t="str">
        <f>IFERROR(__xludf.DUMMYFUNCTION("""COMPUTED_VALUE"""),"JavaScript")</f>
        <v>JavaScript</v>
      </c>
      <c r="L72" s="9" t="str">
        <f>IFERROR(__xludf.DUMMYFUNCTION("""COMPUTED_VALUE"""),"HTML/CSS")</f>
        <v>HTML/CSS</v>
      </c>
      <c r="M72" s="9" t="s">
        <v>20</v>
      </c>
    </row>
    <row r="73" ht="15.75" customHeight="1">
      <c r="A73" s="7"/>
      <c r="B73" s="7" t="str">
        <f>IFERROR(__xludf.DUMMYFUNCTION("""COMPUTED_VALUE"""),"C#;HTML/CSS;JavaScript;PHP;SQL;TypeScript")</f>
        <v>C#;HTML/CSS;JavaScript;PHP;SQL;TypeScript</v>
      </c>
      <c r="C73" s="9" t="str">
        <f>IFERROR(__xludf.DUMMYFUNCTION("""COMPUTED_VALUE"""),"JavaScript")</f>
        <v>JavaScript</v>
      </c>
      <c r="D73" s="9" t="str">
        <f>IFERROR(__xludf.DUMMYFUNCTION("""COMPUTED_VALUE"""),"C")</f>
        <v>C</v>
      </c>
      <c r="E73" s="9" t="str">
        <f>IFERROR(__xludf.DUMMYFUNCTION("""COMPUTED_VALUE"""),"Bash/Shell/PowerShell")</f>
        <v>Bash/Shell/PowerShell</v>
      </c>
      <c r="F73" s="9" t="str">
        <f>IFERROR(__xludf.DUMMYFUNCTION("""COMPUTED_VALUE"""),"JavaScript")</f>
        <v>JavaScript</v>
      </c>
      <c r="G73" s="9" t="str">
        <f>IFERROR(__xludf.DUMMYFUNCTION("""COMPUTED_VALUE"""),"SQL")</f>
        <v>SQL</v>
      </c>
      <c r="H73" s="9" t="str">
        <f>IFERROR(__xludf.DUMMYFUNCTION("""COMPUTED_VALUE"""),"Go")</f>
        <v>Go</v>
      </c>
      <c r="I73" s="9" t="str">
        <f>IFERROR(__xludf.DUMMYFUNCTION("""COMPUTED_VALUE"""),"HTML/CSS")</f>
        <v>HTML/CSS</v>
      </c>
      <c r="J73" s="9" t="str">
        <f>IFERROR(__xludf.DUMMYFUNCTION("""COMPUTED_VALUE"""),"Bash/Shell/PowerShell")</f>
        <v>Bash/Shell/PowerShell</v>
      </c>
      <c r="K73" s="9" t="str">
        <f>IFERROR(__xludf.DUMMYFUNCTION("""COMPUTED_VALUE"""),"C")</f>
        <v>C</v>
      </c>
      <c r="L73" s="9" t="str">
        <f>IFERROR(__xludf.DUMMYFUNCTION("""COMPUTED_VALUE"""),"JavaScript")</f>
        <v>JavaScript</v>
      </c>
      <c r="M73" s="9" t="s">
        <v>21</v>
      </c>
    </row>
    <row r="74" ht="15.75" customHeight="1">
      <c r="A74" s="7"/>
      <c r="B74" s="7" t="str">
        <f>IFERROR(__xludf.DUMMYFUNCTION("""COMPUTED_VALUE"""),"SQL")</f>
        <v>SQL</v>
      </c>
      <c r="C74" s="9" t="str">
        <f>IFERROR(__xludf.DUMMYFUNCTION("""COMPUTED_VALUE"""),"PHP")</f>
        <v>PHP</v>
      </c>
      <c r="D74" s="9" t="str">
        <f>IFERROR(__xludf.DUMMYFUNCTION("""COMPUTED_VALUE"""),"C++")</f>
        <v>C++</v>
      </c>
      <c r="E74" s="9" t="str">
        <f>IFERROR(__xludf.DUMMYFUNCTION("""COMPUTED_VALUE"""),"C++")</f>
        <v>C++</v>
      </c>
      <c r="F74" s="9" t="str">
        <f>IFERROR(__xludf.DUMMYFUNCTION("""COMPUTED_VALUE"""),"SQL")</f>
        <v>SQL</v>
      </c>
      <c r="G74" s="9" t="str">
        <f>IFERROR(__xludf.DUMMYFUNCTION("""COMPUTED_VALUE"""),"Bash/Shell/PowerShell")</f>
        <v>Bash/Shell/PowerShell</v>
      </c>
      <c r="H74" s="9" t="str">
        <f>IFERROR(__xludf.DUMMYFUNCTION("""COMPUTED_VALUE"""),"HTML/CSS")</f>
        <v>HTML/CSS</v>
      </c>
      <c r="I74" s="9" t="str">
        <f>IFERROR(__xludf.DUMMYFUNCTION("""COMPUTED_VALUE"""),"Java")</f>
        <v>Java</v>
      </c>
      <c r="J74" s="9" t="str">
        <f>IFERROR(__xludf.DUMMYFUNCTION("""COMPUTED_VALUE"""),"C")</f>
        <v>C</v>
      </c>
      <c r="K74" s="9" t="str">
        <f>IFERROR(__xludf.DUMMYFUNCTION("""COMPUTED_VALUE"""),"HTML/CSS")</f>
        <v>HTML/CSS</v>
      </c>
      <c r="L74" s="9" t="str">
        <f>IFERROR(__xludf.DUMMYFUNCTION("""COMPUTED_VALUE"""),"PHP")</f>
        <v>PHP</v>
      </c>
      <c r="M74" s="9" t="s">
        <v>37</v>
      </c>
    </row>
    <row r="75" ht="15.75" customHeight="1">
      <c r="A75" s="7"/>
      <c r="B75" s="7" t="str">
        <f>IFERROR(__xludf.DUMMYFUNCTION("""COMPUTED_VALUE"""),"HTML/CSS;Java;JavaScript;Kotlin;Python;Ruby")</f>
        <v>HTML/CSS;Java;JavaScript;Kotlin;Python;Ruby</v>
      </c>
      <c r="C75" s="9" t="str">
        <f>IFERROR(__xludf.DUMMYFUNCTION("""COMPUTED_VALUE"""),"SQL")</f>
        <v>SQL</v>
      </c>
      <c r="D75" s="9" t="str">
        <f>IFERROR(__xludf.DUMMYFUNCTION("""COMPUTED_VALUE"""),"HTML/CSS")</f>
        <v>HTML/CSS</v>
      </c>
      <c r="E75" s="9" t="str">
        <f>IFERROR(__xludf.DUMMYFUNCTION("""COMPUTED_VALUE"""),"Go")</f>
        <v>Go</v>
      </c>
      <c r="F75" s="9" t="str">
        <f>IFERROR(__xludf.DUMMYFUNCTION("""COMPUTED_VALUE"""),"TypeScript")</f>
        <v>TypeScript</v>
      </c>
      <c r="G75" s="9" t="str">
        <f>IFERROR(__xludf.DUMMYFUNCTION("""COMPUTED_VALUE"""),"HTML/CSS")</f>
        <v>HTML/CSS</v>
      </c>
      <c r="H75" s="9" t="str">
        <f>IFERROR(__xludf.DUMMYFUNCTION("""COMPUTED_VALUE"""),"Java")</f>
        <v>Java</v>
      </c>
      <c r="I75" s="9" t="str">
        <f>IFERROR(__xludf.DUMMYFUNCTION("""COMPUTED_VALUE"""),"JavaScript")</f>
        <v>JavaScript</v>
      </c>
      <c r="J75" s="9" t="str">
        <f>IFERROR(__xludf.DUMMYFUNCTION("""COMPUTED_VALUE"""),"C++")</f>
        <v>C++</v>
      </c>
      <c r="K75" s="9" t="str">
        <f>IFERROR(__xludf.DUMMYFUNCTION("""COMPUTED_VALUE"""),"Python")</f>
        <v>Python</v>
      </c>
      <c r="L75" s="9" t="str">
        <f>IFERROR(__xludf.DUMMYFUNCTION("""COMPUTED_VALUE"""),"SQL")</f>
        <v>SQL</v>
      </c>
      <c r="M75" s="9" t="s">
        <v>27</v>
      </c>
    </row>
    <row r="76" ht="15.75" customHeight="1">
      <c r="A76" s="7"/>
      <c r="B76" s="7" t="str">
        <f>IFERROR(__xludf.DUMMYFUNCTION("""COMPUTED_VALUE"""),"HTML/CSS;JavaScript")</f>
        <v>HTML/CSS;JavaScript</v>
      </c>
      <c r="C76" s="9" t="str">
        <f>IFERROR(__xludf.DUMMYFUNCTION("""COMPUTED_VALUE"""),"Bash/Shell/PowerShell")</f>
        <v>Bash/Shell/PowerShell</v>
      </c>
      <c r="D76" s="9" t="str">
        <f>IFERROR(__xludf.DUMMYFUNCTION("""COMPUTED_VALUE"""),"Java")</f>
        <v>Java</v>
      </c>
      <c r="E76" s="9" t="str">
        <f>IFERROR(__xludf.DUMMYFUNCTION("""COMPUTED_VALUE"""),"HTML/CSS")</f>
        <v>HTML/CSS</v>
      </c>
      <c r="F76" s="9" t="str">
        <f>IFERROR(__xludf.DUMMYFUNCTION("""COMPUTED_VALUE"""),"Bash/Shell/PowerShell")</f>
        <v>Bash/Shell/PowerShell</v>
      </c>
      <c r="G76" s="9" t="str">
        <f>IFERROR(__xludf.DUMMYFUNCTION("""COMPUTED_VALUE"""),"JavaScript")</f>
        <v>JavaScript</v>
      </c>
      <c r="H76" s="9" t="str">
        <f>IFERROR(__xludf.DUMMYFUNCTION("""COMPUTED_VALUE"""),"JavaScript")</f>
        <v>JavaScript</v>
      </c>
      <c r="I76" s="9" t="str">
        <f>IFERROR(__xludf.DUMMYFUNCTION("""COMPUTED_VALUE"""),"Python")</f>
        <v>Python</v>
      </c>
      <c r="J76" s="9" t="str">
        <f>IFERROR(__xludf.DUMMYFUNCTION("""COMPUTED_VALUE"""),"Go")</f>
        <v>Go</v>
      </c>
      <c r="K76" s="9" t="str">
        <f>IFERROR(__xludf.DUMMYFUNCTION("""COMPUTED_VALUE"""),"R")</f>
        <v>R</v>
      </c>
      <c r="L76" s="9" t="str">
        <f>IFERROR(__xludf.DUMMYFUNCTION("""COMPUTED_VALUE"""),"HTML/CSS")</f>
        <v>HTML/CSS</v>
      </c>
      <c r="M76" s="9" t="s">
        <v>30</v>
      </c>
    </row>
    <row r="77" ht="15.75" customHeight="1">
      <c r="A77" s="7"/>
      <c r="B77" s="7" t="str">
        <f>IFERROR(__xludf.DUMMYFUNCTION("""COMPUTED_VALUE"""),"PHP;SQL")</f>
        <v>PHP;SQL</v>
      </c>
      <c r="C77" s="9" t="str">
        <f>IFERROR(__xludf.DUMMYFUNCTION("""COMPUTED_VALUE"""),"C#")</f>
        <v>C#</v>
      </c>
      <c r="D77" s="9" t="str">
        <f>IFERROR(__xludf.DUMMYFUNCTION("""COMPUTED_VALUE"""),"JavaScript")</f>
        <v>JavaScript</v>
      </c>
      <c r="E77" s="9" t="str">
        <f>IFERROR(__xludf.DUMMYFUNCTION("""COMPUTED_VALUE"""),"Java")</f>
        <v>Java</v>
      </c>
      <c r="F77" s="9" t="str">
        <f>IFERROR(__xludf.DUMMYFUNCTION("""COMPUTED_VALUE"""),"HTML/CSS")</f>
        <v>HTML/CSS</v>
      </c>
      <c r="G77" s="9" t="str">
        <f>IFERROR(__xludf.DUMMYFUNCTION("""COMPUTED_VALUE"""),"PHP")</f>
        <v>PHP</v>
      </c>
      <c r="H77" s="9" t="str">
        <f>IFERROR(__xludf.DUMMYFUNCTION("""COMPUTED_VALUE"""),"Rust")</f>
        <v>Rust</v>
      </c>
      <c r="I77" s="9" t="str">
        <f>IFERROR(__xludf.DUMMYFUNCTION("""COMPUTED_VALUE"""),"SQL")</f>
        <v>SQL</v>
      </c>
      <c r="J77" s="9" t="str">
        <f>IFERROR(__xludf.DUMMYFUNCTION("""COMPUTED_VALUE"""),"HTML/CSS")</f>
        <v>HTML/CSS</v>
      </c>
      <c r="K77" s="9" t="str">
        <f>IFERROR(__xludf.DUMMYFUNCTION("""COMPUTED_VALUE"""),"Assembly")</f>
        <v>Assembly</v>
      </c>
      <c r="L77" s="9" t="str">
        <f>IFERROR(__xludf.DUMMYFUNCTION("""COMPUTED_VALUE"""),"JavaScript")</f>
        <v>JavaScript</v>
      </c>
      <c r="M77" s="9" t="s">
        <v>26</v>
      </c>
    </row>
    <row r="78" ht="15.75" customHeight="1">
      <c r="A78" s="7"/>
      <c r="B78" s="7" t="str">
        <f>IFERROR(__xludf.DUMMYFUNCTION("""COMPUTED_VALUE"""),"HTML/CSS;JavaScript;PHP;SQL")</f>
        <v>HTML/CSS;JavaScript;PHP;SQL</v>
      </c>
      <c r="C78" s="9" t="str">
        <f>IFERROR(__xludf.DUMMYFUNCTION("""COMPUTED_VALUE"""),"HTML/CSS")</f>
        <v>HTML/CSS</v>
      </c>
      <c r="D78" s="9" t="str">
        <f>IFERROR(__xludf.DUMMYFUNCTION("""COMPUTED_VALUE"""),"Python")</f>
        <v>Python</v>
      </c>
      <c r="E78" s="9" t="str">
        <f>IFERROR(__xludf.DUMMYFUNCTION("""COMPUTED_VALUE"""),"JavaScript")</f>
        <v>JavaScript</v>
      </c>
      <c r="F78" s="9" t="str">
        <f>IFERROR(__xludf.DUMMYFUNCTION("""COMPUTED_VALUE"""),"Java")</f>
        <v>Java</v>
      </c>
      <c r="G78" s="9" t="str">
        <f>IFERROR(__xludf.DUMMYFUNCTION("""COMPUTED_VALUE"""),"SQL")</f>
        <v>SQL</v>
      </c>
      <c r="H78" s="9" t="str">
        <f>IFERROR(__xludf.DUMMYFUNCTION("""COMPUTED_VALUE"""),"SQL")</f>
        <v>SQL</v>
      </c>
      <c r="I78" s="9" t="str">
        <f>IFERROR(__xludf.DUMMYFUNCTION("""COMPUTED_VALUE"""),"C#")</f>
        <v>C#</v>
      </c>
      <c r="J78" s="9" t="str">
        <f>IFERROR(__xludf.DUMMYFUNCTION("""COMPUTED_VALUE"""),"Java")</f>
        <v>Java</v>
      </c>
      <c r="K78" s="9" t="str">
        <f>IFERROR(__xludf.DUMMYFUNCTION("""COMPUTED_VALUE"""),"Bash/Shell/PowerShell")</f>
        <v>Bash/Shell/PowerShell</v>
      </c>
      <c r="L78" s="9" t="str">
        <f>IFERROR(__xludf.DUMMYFUNCTION("""COMPUTED_VALUE"""),"SQL")</f>
        <v>SQL</v>
      </c>
      <c r="M78" s="9" t="s">
        <v>24</v>
      </c>
    </row>
    <row r="79" ht="15.75" customHeight="1">
      <c r="A79" s="7"/>
      <c r="B79" s="7" t="str">
        <f>IFERROR(__xludf.DUMMYFUNCTION("""COMPUTED_VALUE"""),"HTML/CSS;Java;JavaScript;Kotlin;Python")</f>
        <v>HTML/CSS;Java;JavaScript;Kotlin;Python</v>
      </c>
      <c r="C79" s="9" t="str">
        <f>IFERROR(__xludf.DUMMYFUNCTION("""COMPUTED_VALUE"""),"JavaScript")</f>
        <v>JavaScript</v>
      </c>
      <c r="D79" s="9" t="str">
        <f>IFERROR(__xludf.DUMMYFUNCTION("""COMPUTED_VALUE"""),"SQL")</f>
        <v>SQL</v>
      </c>
      <c r="E79" s="9" t="str">
        <f>IFERROR(__xludf.DUMMYFUNCTION("""COMPUTED_VALUE"""),"PHP")</f>
        <v>PHP</v>
      </c>
      <c r="F79" s="9" t="str">
        <f>IFERROR(__xludf.DUMMYFUNCTION("""COMPUTED_VALUE"""),"JavaScript")</f>
        <v>JavaScript</v>
      </c>
      <c r="G79" s="9" t="str">
        <f>IFERROR(__xludf.DUMMYFUNCTION("""COMPUTED_VALUE"""),"TypeScript")</f>
        <v>TypeScript</v>
      </c>
      <c r="H79" s="9" t="str">
        <f>IFERROR(__xludf.DUMMYFUNCTION("""COMPUTED_VALUE"""),"C")</f>
        <v>C</v>
      </c>
      <c r="I79" s="9" t="str">
        <f>IFERROR(__xludf.DUMMYFUNCTION("""COMPUTED_VALUE"""),"Java")</f>
        <v>Java</v>
      </c>
      <c r="J79" s="9" t="str">
        <f>IFERROR(__xludf.DUMMYFUNCTION("""COMPUTED_VALUE"""),"JavaScript")</f>
        <v>JavaScript</v>
      </c>
      <c r="K79" s="9" t="str">
        <f>IFERROR(__xludf.DUMMYFUNCTION("""COMPUTED_VALUE"""),"C")</f>
        <v>C</v>
      </c>
      <c r="L79" s="9" t="str">
        <f>IFERROR(__xludf.DUMMYFUNCTION("""COMPUTED_VALUE"""),"TypeScript")</f>
        <v>TypeScript</v>
      </c>
      <c r="M79" s="9" t="s">
        <v>21</v>
      </c>
    </row>
    <row r="80" ht="15.75" customHeight="1">
      <c r="A80" s="7"/>
      <c r="B80" s="7" t="str">
        <f>IFERROR(__xludf.DUMMYFUNCTION("""COMPUTED_VALUE"""),"C#;HTML/CSS;JavaScript;TypeScript")</f>
        <v>C#;HTML/CSS;JavaScript;TypeScript</v>
      </c>
      <c r="C80" s="9" t="str">
        <f>IFERROR(__xludf.DUMMYFUNCTION("""COMPUTED_VALUE"""),"TypeScript")</f>
        <v>TypeScript</v>
      </c>
      <c r="D80" s="9" t="str">
        <f>IFERROR(__xludf.DUMMYFUNCTION("""COMPUTED_VALUE"""),"Bash/Shell/PowerShell")</f>
        <v>Bash/Shell/PowerShell</v>
      </c>
      <c r="E80" s="9" t="str">
        <f>IFERROR(__xludf.DUMMYFUNCTION("""COMPUTED_VALUE"""),"SQL")</f>
        <v>SQL</v>
      </c>
      <c r="F80" s="9" t="str">
        <f>IFERROR(__xludf.DUMMYFUNCTION("""COMPUTED_VALUE"""),"Kotlin")</f>
        <v>Kotlin</v>
      </c>
      <c r="G80" s="9" t="str">
        <f>IFERROR(__xludf.DUMMYFUNCTION("""COMPUTED_VALUE"""),"Bash/Shell/PowerShell")</f>
        <v>Bash/Shell/PowerShell</v>
      </c>
      <c r="H80" s="9" t="str">
        <f>IFERROR(__xludf.DUMMYFUNCTION("""COMPUTED_VALUE"""),"Java")</f>
        <v>Java</v>
      </c>
      <c r="I80" s="9" t="str">
        <f>IFERROR(__xludf.DUMMYFUNCTION("""COMPUTED_VALUE"""),"SQL")</f>
        <v>SQL</v>
      </c>
      <c r="J80" s="9" t="str">
        <f>IFERROR(__xludf.DUMMYFUNCTION("""COMPUTED_VALUE"""),"SQL")</f>
        <v>SQL</v>
      </c>
      <c r="K80" s="9" t="str">
        <f>IFERROR(__xludf.DUMMYFUNCTION("""COMPUTED_VALUE"""),"HTML/CSS")</f>
        <v>HTML/CSS</v>
      </c>
      <c r="L80" s="9" t="str">
        <f>IFERROR(__xludf.DUMMYFUNCTION("""COMPUTED_VALUE"""),"C")</f>
        <v>C</v>
      </c>
      <c r="M80" s="9" t="s">
        <v>33</v>
      </c>
    </row>
    <row r="81" ht="15.75" customHeight="1">
      <c r="A81" s="7"/>
      <c r="B81" s="7" t="str">
        <f>IFERROR(__xludf.DUMMYFUNCTION("""COMPUTED_VALUE"""),"Bash/Shell/PowerShell;C#;F#;Go;HTML/CSS;Java;JavaScript;Python;SQL;TypeScript")</f>
        <v>Bash/Shell/PowerShell;C#;F#;Go;HTML/CSS;Java;JavaScript;Python;SQL;TypeScript</v>
      </c>
      <c r="C81" s="9" t="str">
        <f>IFERROR(__xludf.DUMMYFUNCTION("""COMPUTED_VALUE"""),"VBA")</f>
        <v>VBA</v>
      </c>
      <c r="D81" s="9" t="str">
        <f>IFERROR(__xludf.DUMMYFUNCTION("""COMPUTED_VALUE"""),"HTML/CSS")</f>
        <v>HTML/CSS</v>
      </c>
      <c r="E81" s="9" t="str">
        <f>IFERROR(__xludf.DUMMYFUNCTION("""COMPUTED_VALUE"""),"Bash/Shell/PowerShell")</f>
        <v>Bash/Shell/PowerShell</v>
      </c>
      <c r="F81" s="9" t="str">
        <f>IFERROR(__xludf.DUMMYFUNCTION("""COMPUTED_VALUE"""),"C#")</f>
        <v>C#</v>
      </c>
      <c r="G81" s="9" t="str">
        <f>IFERROR(__xludf.DUMMYFUNCTION("""COMPUTED_VALUE"""),"HTML/CSS")</f>
        <v>HTML/CSS</v>
      </c>
      <c r="H81" s="9" t="str">
        <f>IFERROR(__xludf.DUMMYFUNCTION("""COMPUTED_VALUE"""),"Python")</f>
        <v>Python</v>
      </c>
      <c r="I81" s="9" t="str">
        <f>IFERROR(__xludf.DUMMYFUNCTION("""COMPUTED_VALUE"""),"HTML/CSS")</f>
        <v>HTML/CSS</v>
      </c>
      <c r="J81" s="9" t="str">
        <f>IFERROR(__xludf.DUMMYFUNCTION("""COMPUTED_VALUE"""),"HTML/CSS")</f>
        <v>HTML/CSS</v>
      </c>
      <c r="K81" s="9" t="str">
        <f>IFERROR(__xludf.DUMMYFUNCTION("""COMPUTED_VALUE"""),"Java")</f>
        <v>Java</v>
      </c>
      <c r="L81" s="9" t="str">
        <f>IFERROR(__xludf.DUMMYFUNCTION("""COMPUTED_VALUE"""),"Java")</f>
        <v>Java</v>
      </c>
      <c r="M81" s="9" t="s">
        <v>28</v>
      </c>
    </row>
    <row r="82" ht="15.75" customHeight="1">
      <c r="A82" s="7"/>
      <c r="B82" s="7" t="str">
        <f>IFERROR(__xludf.DUMMYFUNCTION("""COMPUTED_VALUE"""),"Assembly;Bash/Shell/PowerShell;C;C++;Python")</f>
        <v>Assembly;Bash/Shell/PowerShell;C;C++;Python</v>
      </c>
      <c r="C82" s="9" t="str">
        <f>IFERROR(__xludf.DUMMYFUNCTION("""COMPUTED_VALUE"""),"Bash/Shell/PowerShell")</f>
        <v>Bash/Shell/PowerShell</v>
      </c>
      <c r="D82" s="9" t="str">
        <f>IFERROR(__xludf.DUMMYFUNCTION("""COMPUTED_VALUE"""),"JavaScript")</f>
        <v>JavaScript</v>
      </c>
      <c r="E82" s="9" t="str">
        <f>IFERROR(__xludf.DUMMYFUNCTION("""COMPUTED_VALUE"""),"HTML/CSS")</f>
        <v>HTML/CSS</v>
      </c>
      <c r="F82" s="9" t="str">
        <f>IFERROR(__xludf.DUMMYFUNCTION("""COMPUTED_VALUE"""),"HTML/CSS")</f>
        <v>HTML/CSS</v>
      </c>
      <c r="G82" s="9" t="str">
        <f>IFERROR(__xludf.DUMMYFUNCTION("""COMPUTED_VALUE"""),"JavaScript")</f>
        <v>JavaScript</v>
      </c>
      <c r="H82" s="9" t="str">
        <f>IFERROR(__xludf.DUMMYFUNCTION("""COMPUTED_VALUE"""),"R")</f>
        <v>R</v>
      </c>
      <c r="I82" s="9" t="str">
        <f>IFERROR(__xludf.DUMMYFUNCTION("""COMPUTED_VALUE"""),"JavaScript")</f>
        <v>JavaScript</v>
      </c>
      <c r="J82" s="9" t="str">
        <f>IFERROR(__xludf.DUMMYFUNCTION("""COMPUTED_VALUE"""),"JavaScript")</f>
        <v>JavaScript</v>
      </c>
      <c r="K82" s="9" t="str">
        <f>IFERROR(__xludf.DUMMYFUNCTION("""COMPUTED_VALUE"""),"PHP")</f>
        <v>PHP</v>
      </c>
      <c r="L82" s="9" t="str">
        <f>IFERROR(__xludf.DUMMYFUNCTION("""COMPUTED_VALUE"""),"Objective-C")</f>
        <v>Objective-C</v>
      </c>
      <c r="M82" s="9" t="s">
        <v>30</v>
      </c>
    </row>
    <row r="83" ht="15.75" customHeight="1">
      <c r="A83" s="7"/>
      <c r="B83" s="7" t="str">
        <f>IFERROR(__xludf.DUMMYFUNCTION("""COMPUTED_VALUE"""),"Bash/Shell/PowerShell;C++;HTML/CSS;Java;JavaScript;Python;Rust")</f>
        <v>Bash/Shell/PowerShell;C++;HTML/CSS;Java;JavaScript;Python;Rust</v>
      </c>
      <c r="C83" s="9" t="str">
        <f>IFERROR(__xludf.DUMMYFUNCTION("""COMPUTED_VALUE"""),"HTML/CSS")</f>
        <v>HTML/CSS</v>
      </c>
      <c r="D83" s="9" t="str">
        <f>IFERROR(__xludf.DUMMYFUNCTION("""COMPUTED_VALUE"""),"PHP")</f>
        <v>PHP</v>
      </c>
      <c r="E83" s="9" t="str">
        <f>IFERROR(__xludf.DUMMYFUNCTION("""COMPUTED_VALUE"""),"JavaScript")</f>
        <v>JavaScript</v>
      </c>
      <c r="F83" s="9" t="str">
        <f>IFERROR(__xludf.DUMMYFUNCTION("""COMPUTED_VALUE"""),"JavaScript")</f>
        <v>JavaScript</v>
      </c>
      <c r="G83" s="9" t="str">
        <f>IFERROR(__xludf.DUMMYFUNCTION("""COMPUTED_VALUE"""),"PHP")</f>
        <v>PHP</v>
      </c>
      <c r="H83" s="9" t="str">
        <f>IFERROR(__xludf.DUMMYFUNCTION("""COMPUTED_VALUE"""),"SQL")</f>
        <v>SQL</v>
      </c>
      <c r="I83" s="9" t="str">
        <f>IFERROR(__xludf.DUMMYFUNCTION("""COMPUTED_VALUE"""),"PHP")</f>
        <v>PHP</v>
      </c>
      <c r="J83" s="9" t="str">
        <f>IFERROR(__xludf.DUMMYFUNCTION("""COMPUTED_VALUE"""),"PHP")</f>
        <v>PHP</v>
      </c>
      <c r="K83" s="9" t="str">
        <f>IFERROR(__xludf.DUMMYFUNCTION("""COMPUTED_VALUE"""),"SQL")</f>
        <v>SQL</v>
      </c>
      <c r="L83" s="9" t="str">
        <f>IFERROR(__xludf.DUMMYFUNCTION("""COMPUTED_VALUE"""),"Python")</f>
        <v>Python</v>
      </c>
      <c r="M83" s="9" t="s">
        <v>24</v>
      </c>
    </row>
    <row r="84" ht="15.75" customHeight="1">
      <c r="A84" s="7"/>
      <c r="B84" s="7" t="str">
        <f>IFERROR(__xludf.DUMMYFUNCTION("""COMPUTED_VALUE"""),"HTML/CSS;JavaScript")</f>
        <v>HTML/CSS;JavaScript</v>
      </c>
      <c r="C84" s="9" t="str">
        <f>IFERROR(__xludf.DUMMYFUNCTION("""COMPUTED_VALUE"""),"JavaScript")</f>
        <v>JavaScript</v>
      </c>
      <c r="D84" s="9" t="str">
        <f>IFERROR(__xludf.DUMMYFUNCTION("""COMPUTED_VALUE"""),"SQL")</f>
        <v>SQL</v>
      </c>
      <c r="E84" s="9" t="str">
        <f>IFERROR(__xludf.DUMMYFUNCTION("""COMPUTED_VALUE"""),"Python")</f>
        <v>Python</v>
      </c>
      <c r="F84" s="9" t="str">
        <f>IFERROR(__xludf.DUMMYFUNCTION("""COMPUTED_VALUE"""),"SQL")</f>
        <v>SQL</v>
      </c>
      <c r="G84" s="9" t="str">
        <f>IFERROR(__xludf.DUMMYFUNCTION("""COMPUTED_VALUE"""),"SQL")</f>
        <v>SQL</v>
      </c>
      <c r="H84" s="9" t="str">
        <f>IFERROR(__xludf.DUMMYFUNCTION("""COMPUTED_VALUE"""),"WebAssembly")</f>
        <v>WebAssembly</v>
      </c>
      <c r="I84" s="9" t="str">
        <f>IFERROR(__xludf.DUMMYFUNCTION("""COMPUTED_VALUE"""),"Python")</f>
        <v>Python</v>
      </c>
      <c r="J84" s="9" t="str">
        <f>IFERROR(__xludf.DUMMYFUNCTION("""COMPUTED_VALUE"""),"Python")</f>
        <v>Python</v>
      </c>
      <c r="K84" s="9" t="str">
        <f>IFERROR(__xludf.DUMMYFUNCTION("""COMPUTED_VALUE"""),"Java")</f>
        <v>Java</v>
      </c>
      <c r="L84" s="9" t="str">
        <f>IFERROR(__xludf.DUMMYFUNCTION("""COMPUTED_VALUE"""),"SQL")</f>
        <v>SQL</v>
      </c>
      <c r="M84" s="9" t="s">
        <v>21</v>
      </c>
    </row>
    <row r="85" ht="15.75" customHeight="1">
      <c r="A85" s="7"/>
      <c r="B85" s="7" t="str">
        <f>IFERROR(__xludf.DUMMYFUNCTION("""COMPUTED_VALUE"""),"C;C++;C#;Java;Kotlin;PHP;SQL")</f>
        <v>C;C++;C#;Java;Kotlin;PHP;SQL</v>
      </c>
      <c r="C85" s="9" t="str">
        <f>IFERROR(__xludf.DUMMYFUNCTION("""COMPUTED_VALUE"""),"TypeScript")</f>
        <v>TypeScript</v>
      </c>
      <c r="D85" s="9" t="str">
        <f>IFERROR(__xludf.DUMMYFUNCTION("""COMPUTED_VALUE"""),"C#")</f>
        <v>C#</v>
      </c>
      <c r="E85" s="9" t="str">
        <f>IFERROR(__xludf.DUMMYFUNCTION("""COMPUTED_VALUE"""),"SQL")</f>
        <v>SQL</v>
      </c>
      <c r="F85" s="9" t="str">
        <f>IFERROR(__xludf.DUMMYFUNCTION("""COMPUTED_VALUE"""),"C")</f>
        <v>C</v>
      </c>
      <c r="G85" s="9" t="str">
        <f>IFERROR(__xludf.DUMMYFUNCTION("""COMPUTED_VALUE"""),"Bash/Shell/PowerShell")</f>
        <v>Bash/Shell/PowerShell</v>
      </c>
      <c r="H85" s="9" t="str">
        <f>IFERROR(__xludf.DUMMYFUNCTION("""COMPUTED_VALUE"""),"Bash/Shell/PowerShell")</f>
        <v>Bash/Shell/PowerShell</v>
      </c>
      <c r="I85" s="9" t="str">
        <f>IFERROR(__xludf.DUMMYFUNCTION("""COMPUTED_VALUE"""),"SQL")</f>
        <v>SQL</v>
      </c>
      <c r="J85" s="9" t="str">
        <f>IFERROR(__xludf.DUMMYFUNCTION("""COMPUTED_VALUE"""),"SQL")</f>
        <v>SQL</v>
      </c>
      <c r="K85" s="9" t="str">
        <f>IFERROR(__xludf.DUMMYFUNCTION("""COMPUTED_VALUE"""),"JavaScript")</f>
        <v>JavaScript</v>
      </c>
      <c r="L85" s="9" t="str">
        <f>IFERROR(__xludf.DUMMYFUNCTION("""COMPUTED_VALUE"""),"HTML/CSS")</f>
        <v>HTML/CSS</v>
      </c>
      <c r="M85" s="9" t="s">
        <v>33</v>
      </c>
    </row>
    <row r="86" ht="15.75" customHeight="1">
      <c r="A86" s="7"/>
      <c r="B86" s="7" t="str">
        <f>IFERROR(__xludf.DUMMYFUNCTION("""COMPUTED_VALUE"""),"Bash/Shell/PowerShell;HTML/CSS;JavaScript;PHP;Python;SQL;TypeScript")</f>
        <v>Bash/Shell/PowerShell;HTML/CSS;JavaScript;PHP;Python;SQL;TypeScript</v>
      </c>
      <c r="C86" s="9" t="str">
        <f>IFERROR(__xludf.DUMMYFUNCTION("""COMPUTED_VALUE"""),"Python")</f>
        <v>Python</v>
      </c>
      <c r="D86" s="9" t="str">
        <f>IFERROR(__xludf.DUMMYFUNCTION("""COMPUTED_VALUE"""),"HTML/CSS")</f>
        <v>HTML/CSS</v>
      </c>
      <c r="E86" s="9" t="str">
        <f>IFERROR(__xludf.DUMMYFUNCTION("""COMPUTED_VALUE"""),"C++")</f>
        <v>C++</v>
      </c>
      <c r="F86" s="9" t="str">
        <f>IFERROR(__xludf.DUMMYFUNCTION("""COMPUTED_VALUE"""),"C++")</f>
        <v>C++</v>
      </c>
      <c r="G86" s="9" t="str">
        <f>IFERROR(__xludf.DUMMYFUNCTION("""COMPUTED_VALUE"""),"Erlang")</f>
        <v>Erlang</v>
      </c>
      <c r="H86" s="9" t="str">
        <f>IFERROR(__xludf.DUMMYFUNCTION("""COMPUTED_VALUE"""),"Clojure")</f>
        <v>Clojure</v>
      </c>
      <c r="I86" s="9" t="str">
        <f>IFERROR(__xludf.DUMMYFUNCTION("""COMPUTED_VALUE"""),"C#")</f>
        <v>C#</v>
      </c>
      <c r="J86" s="9" t="str">
        <f>IFERROR(__xludf.DUMMYFUNCTION("""COMPUTED_VALUE"""),"TypeScript")</f>
        <v>TypeScript</v>
      </c>
      <c r="K86" s="9" t="str">
        <f>IFERROR(__xludf.DUMMYFUNCTION("""COMPUTED_VALUE"""),"TypeScript")</f>
        <v>TypeScript</v>
      </c>
      <c r="L86" s="9" t="str">
        <f>IFERROR(__xludf.DUMMYFUNCTION("""COMPUTED_VALUE"""),"Java")</f>
        <v>Java</v>
      </c>
      <c r="M86" s="9" t="s">
        <v>22</v>
      </c>
    </row>
    <row r="87" ht="15.75" customHeight="1">
      <c r="A87" s="7"/>
      <c r="B87" s="7" t="str">
        <f>IFERROR(__xludf.DUMMYFUNCTION("""COMPUTED_VALUE"""),"Bash/Shell/PowerShell;C#;HTML/CSS;JavaScript;PHP;Python;SQL")</f>
        <v>Bash/Shell/PowerShell;C#;HTML/CSS;JavaScript;PHP;Python;SQL</v>
      </c>
      <c r="C87" s="9" t="str">
        <f>IFERROR(__xludf.DUMMYFUNCTION("""COMPUTED_VALUE"""),"R")</f>
        <v>R</v>
      </c>
      <c r="D87" s="9" t="str">
        <f>IFERROR(__xludf.DUMMYFUNCTION("""COMPUTED_VALUE"""),"JavaScript")</f>
        <v>JavaScript</v>
      </c>
      <c r="E87" s="9" t="str">
        <f>IFERROR(__xludf.DUMMYFUNCTION("""COMPUTED_VALUE"""),"C#")</f>
        <v>C#</v>
      </c>
      <c r="F87" s="9" t="str">
        <f>IFERROR(__xludf.DUMMYFUNCTION("""COMPUTED_VALUE"""),"C#")</f>
        <v>C#</v>
      </c>
      <c r="G87" s="9" t="str">
        <f>IFERROR(__xludf.DUMMYFUNCTION("""COMPUTED_VALUE"""),"Go")</f>
        <v>Go</v>
      </c>
      <c r="H87" s="9" t="str">
        <f>IFERROR(__xludf.DUMMYFUNCTION("""COMPUTED_VALUE"""),"Go")</f>
        <v>Go</v>
      </c>
      <c r="I87" s="9" t="str">
        <f>IFERROR(__xludf.DUMMYFUNCTION("""COMPUTED_VALUE"""),"HTML/CSS")</f>
        <v>HTML/CSS</v>
      </c>
      <c r="J87" s="9" t="str">
        <f>IFERROR(__xludf.DUMMYFUNCTION("""COMPUTED_VALUE"""),"C")</f>
        <v>C</v>
      </c>
      <c r="K87" s="9" t="str">
        <f>IFERROR(__xludf.DUMMYFUNCTION("""COMPUTED_VALUE"""),"C#")</f>
        <v>C#</v>
      </c>
      <c r="L87" s="9" t="str">
        <f>IFERROR(__xludf.DUMMYFUNCTION("""COMPUTED_VALUE"""),"JavaScript")</f>
        <v>JavaScript</v>
      </c>
      <c r="M87" s="9" t="s">
        <v>29</v>
      </c>
    </row>
    <row r="88" ht="15.75" customHeight="1">
      <c r="A88" s="7"/>
      <c r="B88" s="7" t="str">
        <f>IFERROR(__xludf.DUMMYFUNCTION("""COMPUTED_VALUE"""),"Bash/Shell/PowerShell;C;C++;C#;Go;HTML/CSS;Java;JavaScript;Objective-C;Python;SQL")</f>
        <v>Bash/Shell/PowerShell;C;C++;C#;Go;HTML/CSS;Java;JavaScript;Objective-C;Python;SQL</v>
      </c>
      <c r="C88" s="9" t="str">
        <f>IFERROR(__xludf.DUMMYFUNCTION("""COMPUTED_VALUE"""),"C#")</f>
        <v>C#</v>
      </c>
      <c r="D88" s="9" t="str">
        <f>IFERROR(__xludf.DUMMYFUNCTION("""COMPUTED_VALUE"""),"SQL")</f>
        <v>SQL</v>
      </c>
      <c r="E88" s="9" t="str">
        <f>IFERROR(__xludf.DUMMYFUNCTION("""COMPUTED_VALUE"""),"JavaScript")</f>
        <v>JavaScript</v>
      </c>
      <c r="F88" s="9" t="str">
        <f>IFERROR(__xludf.DUMMYFUNCTION("""COMPUTED_VALUE"""),"Java")</f>
        <v>Java</v>
      </c>
      <c r="G88" s="9" t="str">
        <f>IFERROR(__xludf.DUMMYFUNCTION("""COMPUTED_VALUE"""),"Java")</f>
        <v>Java</v>
      </c>
      <c r="H88" s="9" t="str">
        <f>IFERROR(__xludf.DUMMYFUNCTION("""COMPUTED_VALUE"""),"HTML/CSS")</f>
        <v>HTML/CSS</v>
      </c>
      <c r="I88" s="9" t="str">
        <f>IFERROR(__xludf.DUMMYFUNCTION("""COMPUTED_VALUE"""),"Java")</f>
        <v>Java</v>
      </c>
      <c r="J88" s="9" t="str">
        <f>IFERROR(__xludf.DUMMYFUNCTION("""COMPUTED_VALUE"""),"Go")</f>
        <v>Go</v>
      </c>
      <c r="K88" s="9" t="str">
        <f>IFERROR(__xludf.DUMMYFUNCTION("""COMPUTED_VALUE"""),"HTML/CSS")</f>
        <v>HTML/CSS</v>
      </c>
      <c r="L88" s="9" t="str">
        <f>IFERROR(__xludf.DUMMYFUNCTION("""COMPUTED_VALUE"""),"SQL")</f>
        <v>SQL</v>
      </c>
      <c r="M88" s="9" t="s">
        <v>26</v>
      </c>
    </row>
    <row r="89" ht="15.75" customHeight="1">
      <c r="A89" s="7"/>
      <c r="B89" s="7" t="str">
        <f>IFERROR(__xludf.DUMMYFUNCTION("""COMPUTED_VALUE"""),"C++;C#;HTML/CSS;Java;JavaScript;SQL;TypeScript")</f>
        <v>C++;C#;HTML/CSS;Java;JavaScript;SQL;TypeScript</v>
      </c>
      <c r="C89" s="9" t="str">
        <f>IFERROR(__xludf.DUMMYFUNCTION("""COMPUTED_VALUE"""),"HTML/CSS")</f>
        <v>HTML/CSS</v>
      </c>
      <c r="D89" s="9" t="str">
        <f>IFERROR(__xludf.DUMMYFUNCTION("""COMPUTED_VALUE"""),"TypeScript")</f>
        <v>TypeScript</v>
      </c>
      <c r="E89" s="9" t="str">
        <f>IFERROR(__xludf.DUMMYFUNCTION("""COMPUTED_VALUE"""),"TypeScript")</f>
        <v>TypeScript</v>
      </c>
      <c r="F89" s="9" t="str">
        <f>IFERROR(__xludf.DUMMYFUNCTION("""COMPUTED_VALUE"""),"JavaScript")</f>
        <v>JavaScript</v>
      </c>
      <c r="G89" s="9" t="str">
        <f>IFERROR(__xludf.DUMMYFUNCTION("""COMPUTED_VALUE"""),"JavaScript")</f>
        <v>JavaScript</v>
      </c>
      <c r="H89" s="9" t="str">
        <f>IFERROR(__xludf.DUMMYFUNCTION("""COMPUTED_VALUE"""),"Java")</f>
        <v>Java</v>
      </c>
      <c r="I89" s="9" t="str">
        <f>IFERROR(__xludf.DUMMYFUNCTION("""COMPUTED_VALUE"""),"JavaScript")</f>
        <v>JavaScript</v>
      </c>
      <c r="J89" s="9" t="str">
        <f>IFERROR(__xludf.DUMMYFUNCTION("""COMPUTED_VALUE"""),"HTML/CSS")</f>
        <v>HTML/CSS</v>
      </c>
      <c r="K89" s="9" t="str">
        <f>IFERROR(__xludf.DUMMYFUNCTION("""COMPUTED_VALUE"""),"JavaScript")</f>
        <v>JavaScript</v>
      </c>
      <c r="L89" s="9" t="str">
        <f>IFERROR(__xludf.DUMMYFUNCTION("""COMPUTED_VALUE"""),"HTML/CSS")</f>
        <v>HTML/CSS</v>
      </c>
      <c r="M89" s="9" t="s">
        <v>24</v>
      </c>
    </row>
    <row r="90" ht="15.75" customHeight="1">
      <c r="A90" s="7"/>
      <c r="B90" s="7" t="str">
        <f>IFERROR(__xludf.DUMMYFUNCTION("""COMPUTED_VALUE"""),"Bash/Shell/PowerShell;Python")</f>
        <v>Bash/Shell/PowerShell;Python</v>
      </c>
      <c r="C90" s="9" t="str">
        <f>IFERROR(__xludf.DUMMYFUNCTION("""COMPUTED_VALUE"""),"Java")</f>
        <v>Java</v>
      </c>
      <c r="D90" s="9" t="str">
        <f>IFERROR(__xludf.DUMMYFUNCTION("""COMPUTED_VALUE"""),"Bash/Shell/PowerShell")</f>
        <v>Bash/Shell/PowerShell</v>
      </c>
      <c r="E90" s="9" t="str">
        <f>IFERROR(__xludf.DUMMYFUNCTION("""COMPUTED_VALUE"""),"Bash/Shell/PowerShell")</f>
        <v>Bash/Shell/PowerShell</v>
      </c>
      <c r="F90" s="9" t="str">
        <f>IFERROR(__xludf.DUMMYFUNCTION("""COMPUTED_VALUE"""),"Bash/Shell/PowerShell")</f>
        <v>Bash/Shell/PowerShell</v>
      </c>
      <c r="G90" s="9" t="str">
        <f>IFERROR(__xludf.DUMMYFUNCTION("""COMPUTED_VALUE"""),"Python")</f>
        <v>Python</v>
      </c>
      <c r="H90" s="9" t="str">
        <f>IFERROR(__xludf.DUMMYFUNCTION("""COMPUTED_VALUE"""),"JavaScript")</f>
        <v>JavaScript</v>
      </c>
      <c r="I90" s="9" t="str">
        <f>IFERROR(__xludf.DUMMYFUNCTION("""COMPUTED_VALUE"""),"SQL")</f>
        <v>SQL</v>
      </c>
      <c r="J90" s="9" t="str">
        <f>IFERROR(__xludf.DUMMYFUNCTION("""COMPUTED_VALUE"""),"JavaScript")</f>
        <v>JavaScript</v>
      </c>
      <c r="K90" s="9" t="str">
        <f>IFERROR(__xludf.DUMMYFUNCTION("""COMPUTED_VALUE"""),"PHP")</f>
        <v>PHP</v>
      </c>
      <c r="L90" s="9" t="str">
        <f>IFERROR(__xludf.DUMMYFUNCTION("""COMPUTED_VALUE"""),"JavaScript")</f>
        <v>JavaScript</v>
      </c>
      <c r="M90" s="9" t="s">
        <v>20</v>
      </c>
    </row>
    <row r="91" ht="15.75" customHeight="1">
      <c r="A91" s="7"/>
      <c r="B91" s="7" t="str">
        <f>IFERROR(__xludf.DUMMYFUNCTION("""COMPUTED_VALUE"""),"Bash/Shell/PowerShell;C#;HTML/CSS;Java;JavaScript;Objective-C;PHP;Python;Ruby;SQL;Swift;TypeScript")</f>
        <v>Bash/Shell/PowerShell;C#;HTML/CSS;Java;JavaScript;Objective-C;PHP;Python;Ruby;SQL;Swift;TypeScript</v>
      </c>
      <c r="C91" s="9" t="str">
        <f>IFERROR(__xludf.DUMMYFUNCTION("""COMPUTED_VALUE"""),"JavaScript")</f>
        <v>JavaScript</v>
      </c>
      <c r="D91" s="9" t="str">
        <f>IFERROR(__xludf.DUMMYFUNCTION("""COMPUTED_VALUE"""),"C#")</f>
        <v>C#</v>
      </c>
      <c r="E91" s="9" t="str">
        <f>IFERROR(__xludf.DUMMYFUNCTION("""COMPUTED_VALUE"""),"C")</f>
        <v>C</v>
      </c>
      <c r="F91" s="9" t="str">
        <f>IFERROR(__xludf.DUMMYFUNCTION("""COMPUTED_VALUE"""),"C#")</f>
        <v>C#</v>
      </c>
      <c r="G91" s="9" t="str">
        <f>IFERROR(__xludf.DUMMYFUNCTION("""COMPUTED_VALUE"""),"Rust")</f>
        <v>Rust</v>
      </c>
      <c r="H91" s="9" t="str">
        <f>IFERROR(__xludf.DUMMYFUNCTION("""COMPUTED_VALUE"""),"Kotlin")</f>
        <v>Kotlin</v>
      </c>
      <c r="I91" s="9" t="str">
        <f>IFERROR(__xludf.DUMMYFUNCTION("""COMPUTED_VALUE"""),"C#")</f>
        <v>C#</v>
      </c>
      <c r="J91" s="9" t="str">
        <f>IFERROR(__xludf.DUMMYFUNCTION("""COMPUTED_VALUE"""),"PHP")</f>
        <v>PHP</v>
      </c>
      <c r="K91" s="9" t="str">
        <f>IFERROR(__xludf.DUMMYFUNCTION("""COMPUTED_VALUE"""),"Python")</f>
        <v>Python</v>
      </c>
      <c r="L91" s="9" t="str">
        <f>IFERROR(__xludf.DUMMYFUNCTION("""COMPUTED_VALUE"""),"Kotlin")</f>
        <v>Kotlin</v>
      </c>
      <c r="M91" s="9" t="s">
        <v>21</v>
      </c>
    </row>
    <row r="92" ht="15.75" customHeight="1">
      <c r="A92" s="7"/>
      <c r="B92" s="7" t="str">
        <f>IFERROR(__xludf.DUMMYFUNCTION("""COMPUTED_VALUE"""),"HTML/CSS;JavaScript;TypeScript")</f>
        <v>HTML/CSS;JavaScript;TypeScript</v>
      </c>
      <c r="C92" s="9" t="str">
        <f>IFERROR(__xludf.DUMMYFUNCTION("""COMPUTED_VALUE"""),"SQL")</f>
        <v>SQL</v>
      </c>
      <c r="D92" s="9" t="str">
        <f>IFERROR(__xludf.DUMMYFUNCTION("""COMPUTED_VALUE"""),"HTML/CSS")</f>
        <v>HTML/CSS</v>
      </c>
      <c r="E92" s="9" t="str">
        <f>IFERROR(__xludf.DUMMYFUNCTION("""COMPUTED_VALUE"""),"C++")</f>
        <v>C++</v>
      </c>
      <c r="F92" s="9" t="str">
        <f>IFERROR(__xludf.DUMMYFUNCTION("""COMPUTED_VALUE"""),"HTML/CSS")</f>
        <v>HTML/CSS</v>
      </c>
      <c r="G92" s="9" t="str">
        <f>IFERROR(__xludf.DUMMYFUNCTION("""COMPUTED_VALUE"""),"SQL")</f>
        <v>SQL</v>
      </c>
      <c r="H92" s="9" t="str">
        <f>IFERROR(__xludf.DUMMYFUNCTION("""COMPUTED_VALUE"""),"Objective-C")</f>
        <v>Objective-C</v>
      </c>
      <c r="I92" s="9" t="str">
        <f>IFERROR(__xludf.DUMMYFUNCTION("""COMPUTED_VALUE"""),"JavaScript")</f>
        <v>JavaScript</v>
      </c>
      <c r="J92" s="9" t="str">
        <f>IFERROR(__xludf.DUMMYFUNCTION("""COMPUTED_VALUE"""),"Python")</f>
        <v>Python</v>
      </c>
      <c r="K92" s="9" t="str">
        <f>IFERROR(__xludf.DUMMYFUNCTION("""COMPUTED_VALUE"""),"Bash/Shell/PowerShell")</f>
        <v>Bash/Shell/PowerShell</v>
      </c>
      <c r="L92" s="9" t="str">
        <f>IFERROR(__xludf.DUMMYFUNCTION("""COMPUTED_VALUE"""),"Objective-C")</f>
        <v>Objective-C</v>
      </c>
      <c r="M92" s="9" t="s">
        <v>27</v>
      </c>
    </row>
    <row r="93" ht="15.75" customHeight="1">
      <c r="A93" s="7"/>
      <c r="B93" s="7" t="str">
        <f>IFERROR(__xludf.DUMMYFUNCTION("""COMPUTED_VALUE"""),"HTML/CSS;Java;JavaScript;Kotlin;SQL;VBA")</f>
        <v>HTML/CSS;Java;JavaScript;Kotlin;SQL;VBA</v>
      </c>
      <c r="C93" s="9" t="str">
        <f>IFERROR(__xludf.DUMMYFUNCTION("""COMPUTED_VALUE"""),"TypeScript")</f>
        <v>TypeScript</v>
      </c>
      <c r="D93" s="9" t="str">
        <f>IFERROR(__xludf.DUMMYFUNCTION("""COMPUTED_VALUE"""),"JavaScript")</f>
        <v>JavaScript</v>
      </c>
      <c r="E93" s="9" t="str">
        <f>IFERROR(__xludf.DUMMYFUNCTION("""COMPUTED_VALUE"""),"C#")</f>
        <v>C#</v>
      </c>
      <c r="F93" s="9" t="str">
        <f>IFERROR(__xludf.DUMMYFUNCTION("""COMPUTED_VALUE"""),"JavaScript")</f>
        <v>JavaScript</v>
      </c>
      <c r="G93" s="9" t="str">
        <f>IFERROR(__xludf.DUMMYFUNCTION("""COMPUTED_VALUE"""),"C#")</f>
        <v>C#</v>
      </c>
      <c r="H93" s="9" t="str">
        <f>IFERROR(__xludf.DUMMYFUNCTION("""COMPUTED_VALUE"""),"Python")</f>
        <v>Python</v>
      </c>
      <c r="I93" s="9" t="str">
        <f>IFERROR(__xludf.DUMMYFUNCTION("""COMPUTED_VALUE"""),"C")</f>
        <v>C</v>
      </c>
      <c r="J93" s="9" t="str">
        <f>IFERROR(__xludf.DUMMYFUNCTION("""COMPUTED_VALUE"""),"SQL")</f>
        <v>SQL</v>
      </c>
      <c r="K93" s="9" t="str">
        <f>IFERROR(__xludf.DUMMYFUNCTION("""COMPUTED_VALUE"""),"C#")</f>
        <v>C#</v>
      </c>
      <c r="L93" s="9" t="str">
        <f>IFERROR(__xludf.DUMMYFUNCTION("""COMPUTED_VALUE"""),"PHP")</f>
        <v>PHP</v>
      </c>
      <c r="M93" s="9" t="s">
        <v>33</v>
      </c>
    </row>
    <row r="94" ht="15.75" customHeight="1">
      <c r="A94" s="7"/>
      <c r="B94" s="7" t="str">
        <f>IFERROR(__xludf.DUMMYFUNCTION("""COMPUTED_VALUE"""),"Python;SQL")</f>
        <v>Python;SQL</v>
      </c>
      <c r="C94" s="9" t="str">
        <f>IFERROR(__xludf.DUMMYFUNCTION("""COMPUTED_VALUE"""),"Bash/Shell/PowerShell")</f>
        <v>Bash/Shell/PowerShell</v>
      </c>
      <c r="D94" s="9" t="str">
        <f>IFERROR(__xludf.DUMMYFUNCTION("""COMPUTED_VALUE"""),"Java")</f>
        <v>Java</v>
      </c>
      <c r="E94" s="9" t="str">
        <f>IFERROR(__xludf.DUMMYFUNCTION("""COMPUTED_VALUE"""),"Java")</f>
        <v>Java</v>
      </c>
      <c r="F94" s="9" t="str">
        <f>IFERROR(__xludf.DUMMYFUNCTION("""COMPUTED_VALUE"""),"Python")</f>
        <v>Python</v>
      </c>
      <c r="G94" s="9" t="str">
        <f>IFERROR(__xludf.DUMMYFUNCTION("""COMPUTED_VALUE"""),"Java")</f>
        <v>Java</v>
      </c>
      <c r="H94" s="9" t="str">
        <f>IFERROR(__xludf.DUMMYFUNCTION("""COMPUTED_VALUE"""),"Rust")</f>
        <v>Rust</v>
      </c>
      <c r="I94" s="9" t="str">
        <f>IFERROR(__xludf.DUMMYFUNCTION("""COMPUTED_VALUE"""),"C++")</f>
        <v>C++</v>
      </c>
      <c r="J94" s="9" t="str">
        <f>IFERROR(__xludf.DUMMYFUNCTION("""COMPUTED_VALUE"""),"Other(s):")</f>
        <v>Other(s):</v>
      </c>
      <c r="K94" s="9" t="str">
        <f>IFERROR(__xludf.DUMMYFUNCTION("""COMPUTED_VALUE"""),"HTML/CSS")</f>
        <v>HTML/CSS</v>
      </c>
      <c r="L94" s="9" t="str">
        <f>IFERROR(__xludf.DUMMYFUNCTION("""COMPUTED_VALUE"""),"Python")</f>
        <v>Python</v>
      </c>
      <c r="M94" s="9" t="s">
        <v>30</v>
      </c>
    </row>
    <row r="95" ht="15.75" customHeight="1">
      <c r="A95" s="7"/>
      <c r="B95" s="7" t="str">
        <f>IFERROR(__xludf.DUMMYFUNCTION("""COMPUTED_VALUE"""),"C#;HTML/CSS;JavaScript;SQL")</f>
        <v>C#;HTML/CSS;JavaScript;SQL</v>
      </c>
      <c r="C95" s="9" t="str">
        <f>IFERROR(__xludf.DUMMYFUNCTION("""COMPUTED_VALUE"""),"C#")</f>
        <v>C#</v>
      </c>
      <c r="D95" s="9" t="str">
        <f>IFERROR(__xludf.DUMMYFUNCTION("""COMPUTED_VALUE"""),"Kotlin")</f>
        <v>Kotlin</v>
      </c>
      <c r="E95" s="9" t="str">
        <f>IFERROR(__xludf.DUMMYFUNCTION("""COMPUTED_VALUE"""),"JavaScript")</f>
        <v>JavaScript</v>
      </c>
      <c r="F95" s="9" t="str">
        <f>IFERROR(__xludf.DUMMYFUNCTION("""COMPUTED_VALUE"""),"Bash/Shell/PowerShell")</f>
        <v>Bash/Shell/PowerShell</v>
      </c>
      <c r="G95" s="9" t="str">
        <f>IFERROR(__xludf.DUMMYFUNCTION("""COMPUTED_VALUE"""),"Python")</f>
        <v>Python</v>
      </c>
      <c r="H95" s="9" t="str">
        <f>IFERROR(__xludf.DUMMYFUNCTION("""COMPUTED_VALUE"""),"SQL")</f>
        <v>SQL</v>
      </c>
      <c r="I95" s="9" t="str">
        <f>IFERROR(__xludf.DUMMYFUNCTION("""COMPUTED_VALUE"""),"C#")</f>
        <v>C#</v>
      </c>
      <c r="J95" s="9" t="str">
        <f>IFERROR(__xludf.DUMMYFUNCTION("""COMPUTED_VALUE"""),"JavaScript")</f>
        <v>JavaScript</v>
      </c>
      <c r="K95" s="9" t="str">
        <f>IFERROR(__xludf.DUMMYFUNCTION("""COMPUTED_VALUE"""),"JavaScript")</f>
        <v>JavaScript</v>
      </c>
      <c r="L95" s="9" t="str">
        <f>IFERROR(__xludf.DUMMYFUNCTION("""COMPUTED_VALUE"""),"SQL")</f>
        <v>SQL</v>
      </c>
      <c r="M95" s="9" t="s">
        <v>26</v>
      </c>
    </row>
    <row r="96" ht="15.75" customHeight="1">
      <c r="A96" s="7"/>
      <c r="B96" s="7" t="str">
        <f>IFERROR(__xludf.DUMMYFUNCTION("""COMPUTED_VALUE"""),"C#;HTML/CSS;JavaScript;Python;R;SQL")</f>
        <v>C#;HTML/CSS;JavaScript;Python;R;SQL</v>
      </c>
      <c r="C96" s="9" t="str">
        <f>IFERROR(__xludf.DUMMYFUNCTION("""COMPUTED_VALUE"""),"HTML/CSS")</f>
        <v>HTML/CSS</v>
      </c>
      <c r="D96" s="9" t="str">
        <f>IFERROR(__xludf.DUMMYFUNCTION("""COMPUTED_VALUE"""),"Swift")</f>
        <v>Swift</v>
      </c>
      <c r="E96" s="9" t="str">
        <f>IFERROR(__xludf.DUMMYFUNCTION("""COMPUTED_VALUE"""),"PHP")</f>
        <v>PHP</v>
      </c>
      <c r="F96" s="9" t="str">
        <f>IFERROR(__xludf.DUMMYFUNCTION("""COMPUTED_VALUE"""),"Java")</f>
        <v>Java</v>
      </c>
      <c r="G96" s="9" t="str">
        <f>IFERROR(__xludf.DUMMYFUNCTION("""COMPUTED_VALUE"""),"C#")</f>
        <v>C#</v>
      </c>
      <c r="H96" s="9" t="str">
        <f>IFERROR(__xludf.DUMMYFUNCTION("""COMPUTED_VALUE"""),"Swift")</f>
        <v>Swift</v>
      </c>
      <c r="I96" s="9" t="str">
        <f>IFERROR(__xludf.DUMMYFUNCTION("""COMPUTED_VALUE"""),"HTML/CSS")</f>
        <v>HTML/CSS</v>
      </c>
      <c r="J96" s="9" t="str">
        <f>IFERROR(__xludf.DUMMYFUNCTION("""COMPUTED_VALUE"""),"PHP")</f>
        <v>PHP</v>
      </c>
      <c r="K96" s="9" t="str">
        <f>IFERROR(__xludf.DUMMYFUNCTION("""COMPUTED_VALUE"""),"SQL")</f>
        <v>SQL</v>
      </c>
      <c r="L96" s="9" t="str">
        <f>IFERROR(__xludf.DUMMYFUNCTION("""COMPUTED_VALUE"""),"HTML/CSS")</f>
        <v>HTML/CSS</v>
      </c>
      <c r="M96" s="9" t="s">
        <v>24</v>
      </c>
    </row>
    <row r="97" ht="15.75" customHeight="1">
      <c r="A97" s="7"/>
      <c r="B97" s="7" t="str">
        <f>IFERROR(__xludf.DUMMYFUNCTION("""COMPUTED_VALUE"""),"C;C++;Java;Python;R;Scala;SQL")</f>
        <v>C;C++;Java;Python;R;Scala;SQL</v>
      </c>
      <c r="C97" s="9" t="str">
        <f>IFERROR(__xludf.DUMMYFUNCTION("""COMPUTED_VALUE"""),"Java")</f>
        <v>Java</v>
      </c>
      <c r="D97" s="9" t="str">
        <f>IFERROR(__xludf.DUMMYFUNCTION("""COMPUTED_VALUE"""),"C#")</f>
        <v>C#</v>
      </c>
      <c r="E97" s="9" t="str">
        <f>IFERROR(__xludf.DUMMYFUNCTION("""COMPUTED_VALUE"""),"Python")</f>
        <v>Python</v>
      </c>
      <c r="F97" s="9" t="str">
        <f>IFERROR(__xludf.DUMMYFUNCTION("""COMPUTED_VALUE"""),"Kotlin")</f>
        <v>Kotlin</v>
      </c>
      <c r="G97" s="9" t="str">
        <f>IFERROR(__xludf.DUMMYFUNCTION("""COMPUTED_VALUE"""),"HTML/CSS")</f>
        <v>HTML/CSS</v>
      </c>
      <c r="H97" s="9" t="str">
        <f>IFERROR(__xludf.DUMMYFUNCTION("""COMPUTED_VALUE"""),"TypeScript")</f>
        <v>TypeScript</v>
      </c>
      <c r="I97" s="9" t="str">
        <f>IFERROR(__xludf.DUMMYFUNCTION("""COMPUTED_VALUE"""),"Java")</f>
        <v>Java</v>
      </c>
      <c r="J97" s="9" t="str">
        <f>IFERROR(__xludf.DUMMYFUNCTION("""COMPUTED_VALUE"""),"SQL")</f>
        <v>SQL</v>
      </c>
      <c r="K97" s="9" t="str">
        <f>IFERROR(__xludf.DUMMYFUNCTION("""COMPUTED_VALUE"""),"TypeScript")</f>
        <v>TypeScript</v>
      </c>
      <c r="L97" s="9" t="str">
        <f>IFERROR(__xludf.DUMMYFUNCTION("""COMPUTED_VALUE"""),"JavaScript")</f>
        <v>JavaScript</v>
      </c>
      <c r="M97" s="9" t="s">
        <v>20</v>
      </c>
    </row>
    <row r="98" ht="15.75" customHeight="1">
      <c r="A98" s="7"/>
      <c r="B98" s="7" t="str">
        <f>IFERROR(__xludf.DUMMYFUNCTION("""COMPUTED_VALUE"""),"Bash/Shell/PowerShell;JavaScript;Python;R;SQL")</f>
        <v>Bash/Shell/PowerShell;JavaScript;Python;R;SQL</v>
      </c>
      <c r="C98" s="9" t="str">
        <f>IFERROR(__xludf.DUMMYFUNCTION("""COMPUTED_VALUE"""),"JavaScript")</f>
        <v>JavaScript</v>
      </c>
      <c r="D98" s="9" t="str">
        <f>IFERROR(__xludf.DUMMYFUNCTION("""COMPUTED_VALUE"""),"HTML/CSS")</f>
        <v>HTML/CSS</v>
      </c>
      <c r="E98" s="9" t="str">
        <f>IFERROR(__xludf.DUMMYFUNCTION("""COMPUTED_VALUE"""),"SQL")</f>
        <v>SQL</v>
      </c>
      <c r="F98" s="9" t="str">
        <f>IFERROR(__xludf.DUMMYFUNCTION("""COMPUTED_VALUE"""),"Python")</f>
        <v>Python</v>
      </c>
      <c r="G98" s="9" t="str">
        <f>IFERROR(__xludf.DUMMYFUNCTION("""COMPUTED_VALUE"""),"Java")</f>
        <v>Java</v>
      </c>
      <c r="H98" s="9" t="str">
        <f>IFERROR(__xludf.DUMMYFUNCTION("""COMPUTED_VALUE"""),"C")</f>
        <v>C</v>
      </c>
      <c r="I98" s="9" t="str">
        <f>IFERROR(__xludf.DUMMYFUNCTION("""COMPUTED_VALUE"""),"JavaScript")</f>
        <v>JavaScript</v>
      </c>
      <c r="J98" s="9" t="str">
        <f>IFERROR(__xludf.DUMMYFUNCTION("""COMPUTED_VALUE"""),"TypeScript")</f>
        <v>TypeScript</v>
      </c>
      <c r="K98" s="9" t="str">
        <f>IFERROR(__xludf.DUMMYFUNCTION("""COMPUTED_VALUE"""),"Bash/Shell/PowerShell")</f>
        <v>Bash/Shell/PowerShell</v>
      </c>
      <c r="L98" s="9" t="str">
        <f>IFERROR(__xludf.DUMMYFUNCTION("""COMPUTED_VALUE"""),"PHP")</f>
        <v>PHP</v>
      </c>
      <c r="M98" s="9" t="s">
        <v>21</v>
      </c>
    </row>
    <row r="99" ht="15.75" customHeight="1">
      <c r="A99" s="7"/>
      <c r="B99" s="7" t="str">
        <f>IFERROR(__xludf.DUMMYFUNCTION("""COMPUTED_VALUE"""),"HTML/CSS;Java;JavaScript;SQL")</f>
        <v>HTML/CSS;Java;JavaScript;SQL</v>
      </c>
      <c r="C99" s="9" t="str">
        <f>IFERROR(__xludf.DUMMYFUNCTION("""COMPUTED_VALUE"""),"PHP")</f>
        <v>PHP</v>
      </c>
      <c r="D99" s="9" t="str">
        <f>IFERROR(__xludf.DUMMYFUNCTION("""COMPUTED_VALUE"""),"JavaScript")</f>
        <v>JavaScript</v>
      </c>
      <c r="E99" s="9" t="str">
        <f>IFERROR(__xludf.DUMMYFUNCTION("""COMPUTED_VALUE"""),"Bash/Shell/PowerShell")</f>
        <v>Bash/Shell/PowerShell</v>
      </c>
      <c r="F99" s="9" t="str">
        <f>IFERROR(__xludf.DUMMYFUNCTION("""COMPUTED_VALUE"""),"Bash/Shell/PowerShell")</f>
        <v>Bash/Shell/PowerShell</v>
      </c>
      <c r="G99" s="9" t="str">
        <f>IFERROR(__xludf.DUMMYFUNCTION("""COMPUTED_VALUE"""),"JavaScript")</f>
        <v>JavaScript</v>
      </c>
      <c r="H99" s="9" t="str">
        <f>IFERROR(__xludf.DUMMYFUNCTION("""COMPUTED_VALUE"""),"C++")</f>
        <v>C++</v>
      </c>
      <c r="I99" s="9" t="str">
        <f>IFERROR(__xludf.DUMMYFUNCTION("""COMPUTED_VALUE"""),"Kotlin")</f>
        <v>Kotlin</v>
      </c>
      <c r="J99" s="9" t="str">
        <f>IFERROR(__xludf.DUMMYFUNCTION("""COMPUTED_VALUE"""),"Python")</f>
        <v>Python</v>
      </c>
      <c r="K99" s="9" t="str">
        <f>IFERROR(__xludf.DUMMYFUNCTION("""COMPUTED_VALUE"""),"HTML/CSS")</f>
        <v>HTML/CSS</v>
      </c>
      <c r="L99" s="9" t="str">
        <f>IFERROR(__xludf.DUMMYFUNCTION("""COMPUTED_VALUE"""),"SQL")</f>
        <v>SQL</v>
      </c>
      <c r="M99" s="9" t="s">
        <v>37</v>
      </c>
    </row>
    <row r="100" ht="15.75" customHeight="1">
      <c r="A100" s="7"/>
      <c r="B100" s="7" t="str">
        <f>IFERROR(__xludf.DUMMYFUNCTION("""COMPUTED_VALUE"""),"C;C++;HTML/CSS;Java;JavaScript;Kotlin;PHP;Python;SQL")</f>
        <v>C;C++;HTML/CSS;Java;JavaScript;Kotlin;PHP;Python;SQL</v>
      </c>
      <c r="C100" s="9" t="str">
        <f>IFERROR(__xludf.DUMMYFUNCTION("""COMPUTED_VALUE"""),"Python")</f>
        <v>Python</v>
      </c>
      <c r="D100" s="9" t="str">
        <f>IFERROR(__xludf.DUMMYFUNCTION("""COMPUTED_VALUE"""),"SQL")</f>
        <v>SQL</v>
      </c>
      <c r="E100" s="9" t="str">
        <f>IFERROR(__xludf.DUMMYFUNCTION("""COMPUTED_VALUE"""),"Java")</f>
        <v>Java</v>
      </c>
      <c r="F100" s="9" t="str">
        <f>IFERROR(__xludf.DUMMYFUNCTION("""COMPUTED_VALUE"""),"HTML/CSS")</f>
        <v>HTML/CSS</v>
      </c>
      <c r="G100" s="9" t="str">
        <f>IFERROR(__xludf.DUMMYFUNCTION("""COMPUTED_VALUE"""),"PHP")</f>
        <v>PHP</v>
      </c>
      <c r="H100" s="9" t="str">
        <f>IFERROR(__xludf.DUMMYFUNCTION("""COMPUTED_VALUE"""),"C#")</f>
        <v>C#</v>
      </c>
      <c r="I100" s="9" t="str">
        <f>IFERROR(__xludf.DUMMYFUNCTION("""COMPUTED_VALUE"""),"SQL")</f>
        <v>SQL</v>
      </c>
      <c r="J100" s="9" t="str">
        <f>IFERROR(__xludf.DUMMYFUNCTION("""COMPUTED_VALUE"""),"Bash/Shell/PowerShell")</f>
        <v>Bash/Shell/PowerShell</v>
      </c>
      <c r="K100" s="9" t="str">
        <f>IFERROR(__xludf.DUMMYFUNCTION("""COMPUTED_VALUE"""),"Java")</f>
        <v>Java</v>
      </c>
      <c r="L100" s="9" t="str">
        <f>IFERROR(__xludf.DUMMYFUNCTION("""COMPUTED_VALUE"""),"C")</f>
        <v>C</v>
      </c>
      <c r="M100" s="9" t="s">
        <v>22</v>
      </c>
    </row>
    <row r="101" ht="15.75" customHeight="1">
      <c r="A101" s="7"/>
      <c r="B101" s="7" t="str">
        <f>IFERROR(__xludf.DUMMYFUNCTION("""COMPUTED_VALUE"""),"HTML/CSS;JavaScript;Ruby;SQL;TypeScript")</f>
        <v>HTML/CSS;JavaScript;Ruby;SQL;TypeScript</v>
      </c>
      <c r="C101" s="9" t="str">
        <f>IFERROR(__xludf.DUMMYFUNCTION("""COMPUTED_VALUE"""),"R")</f>
        <v>R</v>
      </c>
      <c r="D101" s="9" t="str">
        <f>IFERROR(__xludf.DUMMYFUNCTION("""COMPUTED_VALUE"""),"Python")</f>
        <v>Python</v>
      </c>
      <c r="E101" s="9" t="str">
        <f>IFERROR(__xludf.DUMMYFUNCTION("""COMPUTED_VALUE"""),"JavaScript")</f>
        <v>JavaScript</v>
      </c>
      <c r="F101" s="9" t="str">
        <f>IFERROR(__xludf.DUMMYFUNCTION("""COMPUTED_VALUE"""),"JavaScript")</f>
        <v>JavaScript</v>
      </c>
      <c r="G101" s="9" t="str">
        <f>IFERROR(__xludf.DUMMYFUNCTION("""COMPUTED_VALUE"""),"TypeScript")</f>
        <v>TypeScript</v>
      </c>
      <c r="H101" s="9" t="str">
        <f>IFERROR(__xludf.DUMMYFUNCTION("""COMPUTED_VALUE"""),"Python")</f>
        <v>Python</v>
      </c>
      <c r="I101" s="9" t="str">
        <f>IFERROR(__xludf.DUMMYFUNCTION("""COMPUTED_VALUE"""),"Bash/Shell/PowerShell")</f>
        <v>Bash/Shell/PowerShell</v>
      </c>
      <c r="J101" s="9" t="str">
        <f>IFERROR(__xludf.DUMMYFUNCTION("""COMPUTED_VALUE"""),"HTML/CSS")</f>
        <v>HTML/CSS</v>
      </c>
      <c r="K101" s="9" t="str">
        <f>IFERROR(__xludf.DUMMYFUNCTION("""COMPUTED_VALUE"""),"JavaScript")</f>
        <v>JavaScript</v>
      </c>
      <c r="L101" s="9" t="str">
        <f>IFERROR(__xludf.DUMMYFUNCTION("""COMPUTED_VALUE"""),"HTML/CSS")</f>
        <v>HTML/CSS</v>
      </c>
      <c r="M101" s="9" t="s">
        <v>29</v>
      </c>
    </row>
    <row r="102" ht="15.75" customHeight="1">
      <c r="A102" s="7"/>
      <c r="B102" s="7" t="str">
        <f>IFERROR(__xludf.DUMMYFUNCTION("""COMPUTED_VALUE"""),"Bash/Shell/PowerShell;HTML/CSS;JavaScript;SQL")</f>
        <v>Bash/Shell/PowerShell;HTML/CSS;JavaScript;SQL</v>
      </c>
      <c r="C102" s="9" t="str">
        <f>IFERROR(__xludf.DUMMYFUNCTION("""COMPUTED_VALUE"""),"SQL")</f>
        <v>SQL</v>
      </c>
      <c r="D102" s="9" t="str">
        <f>IFERROR(__xludf.DUMMYFUNCTION("""COMPUTED_VALUE"""),"Ruby")</f>
        <v>Ruby</v>
      </c>
      <c r="E102" s="9" t="str">
        <f>IFERROR(__xludf.DUMMYFUNCTION("""COMPUTED_VALUE"""),"Python")</f>
        <v>Python</v>
      </c>
      <c r="F102" s="9" t="str">
        <f>IFERROR(__xludf.DUMMYFUNCTION("""COMPUTED_VALUE"""),"Ruby")</f>
        <v>Ruby</v>
      </c>
      <c r="G102" s="9" t="str">
        <f>IFERROR(__xludf.DUMMYFUNCTION("""COMPUTED_VALUE"""),"Java")</f>
        <v>Java</v>
      </c>
      <c r="H102" s="9" t="str">
        <f>IFERROR(__xludf.DUMMYFUNCTION("""COMPUTED_VALUE"""),"Other(s):")</f>
        <v>Other(s):</v>
      </c>
      <c r="I102" s="9" t="str">
        <f>IFERROR(__xludf.DUMMYFUNCTION("""COMPUTED_VALUE"""),"C#")</f>
        <v>C#</v>
      </c>
      <c r="J102" s="9" t="str">
        <f>IFERROR(__xludf.DUMMYFUNCTION("""COMPUTED_VALUE"""),"JavaScript")</f>
        <v>JavaScript</v>
      </c>
      <c r="K102" s="9" t="str">
        <f>IFERROR(__xludf.DUMMYFUNCTION("""COMPUTED_VALUE"""),"Python")</f>
        <v>Python</v>
      </c>
      <c r="L102" s="9" t="str">
        <f>IFERROR(__xludf.DUMMYFUNCTION("""COMPUTED_VALUE"""),"Java")</f>
        <v>Java</v>
      </c>
      <c r="M102" s="9" t="s">
        <v>27</v>
      </c>
    </row>
    <row r="103" ht="15.75" customHeight="1">
      <c r="A103" s="7"/>
      <c r="B103" s="7" t="str">
        <f>IFERROR(__xludf.DUMMYFUNCTION("""COMPUTED_VALUE"""),"C#;HTML/CSS;JavaScript;SQL;TypeScript")</f>
        <v>C#;HTML/CSS;JavaScript;SQL;TypeScript</v>
      </c>
      <c r="C103" s="9" t="str">
        <f>IFERROR(__xludf.DUMMYFUNCTION("""COMPUTED_VALUE"""),"Assembly")</f>
        <v>Assembly</v>
      </c>
      <c r="D103" s="9" t="str">
        <f>IFERROR(__xludf.DUMMYFUNCTION("""COMPUTED_VALUE"""),"SQL")</f>
        <v>SQL</v>
      </c>
      <c r="E103" s="9" t="str">
        <f>IFERROR(__xludf.DUMMYFUNCTION("""COMPUTED_VALUE"""),"SQL")</f>
        <v>SQL</v>
      </c>
      <c r="F103" s="9" t="str">
        <f>IFERROR(__xludf.DUMMYFUNCTION("""COMPUTED_VALUE"""),"Assembly")</f>
        <v>Assembly</v>
      </c>
      <c r="G103" s="9" t="str">
        <f>IFERROR(__xludf.DUMMYFUNCTION("""COMPUTED_VALUE"""),"JavaScript")</f>
        <v>JavaScript</v>
      </c>
      <c r="H103" s="9" t="str">
        <f>IFERROR(__xludf.DUMMYFUNCTION("""COMPUTED_VALUE"""),"Assembly")</f>
        <v>Assembly</v>
      </c>
      <c r="I103" s="9" t="str">
        <f>IFERROR(__xludf.DUMMYFUNCTION("""COMPUTED_VALUE"""),"HTML/CSS")</f>
        <v>HTML/CSS</v>
      </c>
      <c r="J103" s="9" t="str">
        <f>IFERROR(__xludf.DUMMYFUNCTION("""COMPUTED_VALUE"""),"Kotlin")</f>
        <v>Kotlin</v>
      </c>
      <c r="K103" s="9" t="str">
        <f>IFERROR(__xludf.DUMMYFUNCTION("""COMPUTED_VALUE"""),"SQL")</f>
        <v>SQL</v>
      </c>
      <c r="L103" s="9" t="str">
        <f>IFERROR(__xludf.DUMMYFUNCTION("""COMPUTED_VALUE"""),"JavaScript")</f>
        <v>JavaScript</v>
      </c>
      <c r="M103" s="9" t="s">
        <v>38</v>
      </c>
    </row>
    <row r="104" ht="15.75" customHeight="1">
      <c r="A104" s="7"/>
      <c r="B104" s="7" t="str">
        <f>IFERROR(__xludf.DUMMYFUNCTION("""COMPUTED_VALUE"""),"Clojure;Go;Java;Kotlin")</f>
        <v>Clojure;Go;Java;Kotlin</v>
      </c>
      <c r="C104" s="9" t="str">
        <f>IFERROR(__xludf.DUMMYFUNCTION("""COMPUTED_VALUE"""),"Bash/Shell/PowerShell")</f>
        <v>Bash/Shell/PowerShell</v>
      </c>
      <c r="D104" s="9" t="str">
        <f>IFERROR(__xludf.DUMMYFUNCTION("""COMPUTED_VALUE"""),"HTML/CSS")</f>
        <v>HTML/CSS</v>
      </c>
      <c r="E104" s="9" t="str">
        <f>IFERROR(__xludf.DUMMYFUNCTION("""COMPUTED_VALUE"""),"Bash/Shell/PowerShell")</f>
        <v>Bash/Shell/PowerShell</v>
      </c>
      <c r="F104" s="9" t="str">
        <f>IFERROR(__xludf.DUMMYFUNCTION("""COMPUTED_VALUE"""),"Bash/Shell/PowerShell")</f>
        <v>Bash/Shell/PowerShell</v>
      </c>
      <c r="G104" s="9" t="str">
        <f>IFERROR(__xludf.DUMMYFUNCTION("""COMPUTED_VALUE"""),"TypeScript")</f>
        <v>TypeScript</v>
      </c>
      <c r="H104" s="9" t="str">
        <f>IFERROR(__xludf.DUMMYFUNCTION("""COMPUTED_VALUE"""),"Bash/Shell/PowerShell")</f>
        <v>Bash/Shell/PowerShell</v>
      </c>
      <c r="I104" s="9" t="str">
        <f>IFERROR(__xludf.DUMMYFUNCTION("""COMPUTED_VALUE"""),"JavaScript")</f>
        <v>JavaScript</v>
      </c>
      <c r="J104" s="9" t="str">
        <f>IFERROR(__xludf.DUMMYFUNCTION("""COMPUTED_VALUE"""),"PHP")</f>
        <v>PHP</v>
      </c>
      <c r="K104" s="9" t="str">
        <f>IFERROR(__xludf.DUMMYFUNCTION("""COMPUTED_VALUE"""),"Bash/Shell/PowerShell")</f>
        <v>Bash/Shell/PowerShell</v>
      </c>
      <c r="L104" s="9" t="str">
        <f>IFERROR(__xludf.DUMMYFUNCTION("""COMPUTED_VALUE"""),"PHP")</f>
        <v>PHP</v>
      </c>
      <c r="M104" s="9" t="s">
        <v>30</v>
      </c>
    </row>
    <row r="105" ht="15.75" customHeight="1">
      <c r="A105" s="7"/>
      <c r="B105" s="7" t="str">
        <f>IFERROR(__xludf.DUMMYFUNCTION("""COMPUTED_VALUE"""),"C#;HTML/CSS;TypeScript")</f>
        <v>C#;HTML/CSS;TypeScript</v>
      </c>
      <c r="C105" s="9" t="str">
        <f>IFERROR(__xludf.DUMMYFUNCTION("""COMPUTED_VALUE"""),"C")</f>
        <v>C</v>
      </c>
      <c r="D105" s="9" t="str">
        <f>IFERROR(__xludf.DUMMYFUNCTION("""COMPUTED_VALUE"""),"Java")</f>
        <v>Java</v>
      </c>
      <c r="E105" s="9" t="str">
        <f>IFERROR(__xludf.DUMMYFUNCTION("""COMPUTED_VALUE"""),"HTML/CSS")</f>
        <v>HTML/CSS</v>
      </c>
      <c r="F105" s="9" t="str">
        <f>IFERROR(__xludf.DUMMYFUNCTION("""COMPUTED_VALUE"""),"C")</f>
        <v>C</v>
      </c>
      <c r="G105" s="9" t="str">
        <f>IFERROR(__xludf.DUMMYFUNCTION("""COMPUTED_VALUE"""),"Bash/Shell/PowerShell")</f>
        <v>Bash/Shell/PowerShell</v>
      </c>
      <c r="H105" s="9" t="str">
        <f>IFERROR(__xludf.DUMMYFUNCTION("""COMPUTED_VALUE"""),"C")</f>
        <v>C</v>
      </c>
      <c r="I105" s="9" t="str">
        <f>IFERROR(__xludf.DUMMYFUNCTION("""COMPUTED_VALUE"""),"SQL")</f>
        <v>SQL</v>
      </c>
      <c r="J105" s="9" t="str">
        <f>IFERROR(__xludf.DUMMYFUNCTION("""COMPUTED_VALUE"""),"Python")</f>
        <v>Python</v>
      </c>
      <c r="K105" s="9" t="str">
        <f>IFERROR(__xludf.DUMMYFUNCTION("""COMPUTED_VALUE"""),"C")</f>
        <v>C</v>
      </c>
      <c r="L105" s="9" t="str">
        <f>IFERROR(__xludf.DUMMYFUNCTION("""COMPUTED_VALUE"""),"SQL")</f>
        <v>SQL</v>
      </c>
      <c r="M105" s="9" t="s">
        <v>25</v>
      </c>
    </row>
    <row r="106" ht="15.75" customHeight="1">
      <c r="A106" s="7"/>
      <c r="B106" s="7" t="str">
        <f>IFERROR(__xludf.DUMMYFUNCTION("""COMPUTED_VALUE"""),"Bash/Shell/PowerShell;HTML/CSS;JavaScript;SQL")</f>
        <v>Bash/Shell/PowerShell;HTML/CSS;JavaScript;SQL</v>
      </c>
      <c r="C106" s="9" t="str">
        <f>IFERROR(__xludf.DUMMYFUNCTION("""COMPUTED_VALUE"""),"C++")</f>
        <v>C++</v>
      </c>
      <c r="D106" s="9" t="str">
        <f>IFERROR(__xludf.DUMMYFUNCTION("""COMPUTED_VALUE"""),"JavaScript")</f>
        <v>JavaScript</v>
      </c>
      <c r="E106" s="9" t="str">
        <f>IFERROR(__xludf.DUMMYFUNCTION("""COMPUTED_VALUE"""),"JavaScript")</f>
        <v>JavaScript</v>
      </c>
      <c r="F106" s="9" t="str">
        <f>IFERROR(__xludf.DUMMYFUNCTION("""COMPUTED_VALUE"""),"C++")</f>
        <v>C++</v>
      </c>
      <c r="G106" s="9" t="str">
        <f>IFERROR(__xludf.DUMMYFUNCTION("""COMPUTED_VALUE"""),"C#")</f>
        <v>C#</v>
      </c>
      <c r="H106" s="9" t="str">
        <f>IFERROR(__xludf.DUMMYFUNCTION("""COMPUTED_VALUE"""),"C++")</f>
        <v>C++</v>
      </c>
      <c r="I106" s="9" t="str">
        <f>IFERROR(__xludf.DUMMYFUNCTION("""COMPUTED_VALUE"""),"WebAssembly")</f>
        <v>WebAssembly</v>
      </c>
      <c r="J106" s="9" t="str">
        <f>IFERROR(__xludf.DUMMYFUNCTION("""COMPUTED_VALUE"""),"SQL")</f>
        <v>SQL</v>
      </c>
      <c r="K106" s="9" t="str">
        <f>IFERROR(__xludf.DUMMYFUNCTION("""COMPUTED_VALUE"""),"C++")</f>
        <v>C++</v>
      </c>
      <c r="L106" s="9" t="str">
        <f>IFERROR(__xludf.DUMMYFUNCTION("""COMPUTED_VALUE"""),"PHP")</f>
        <v>PHP</v>
      </c>
      <c r="M106" s="9" t="s">
        <v>23</v>
      </c>
    </row>
    <row r="107" ht="15.75" customHeight="1">
      <c r="A107" s="7"/>
      <c r="B107" s="7" t="str">
        <f>IFERROR(__xludf.DUMMYFUNCTION("""COMPUTED_VALUE"""),"Bash/Shell/PowerShell;HTML/CSS;Java;JavaScript;Python;SQL")</f>
        <v>Bash/Shell/PowerShell;HTML/CSS;Java;JavaScript;Python;SQL</v>
      </c>
      <c r="C107" s="9" t="str">
        <f>IFERROR(__xludf.DUMMYFUNCTION("""COMPUTED_VALUE"""),"Go")</f>
        <v>Go</v>
      </c>
      <c r="D107" s="9" t="str">
        <f>IFERROR(__xludf.DUMMYFUNCTION("""COMPUTED_VALUE"""),"SQL")</f>
        <v>SQL</v>
      </c>
      <c r="E107" s="9" t="str">
        <f>IFERROR(__xludf.DUMMYFUNCTION("""COMPUTED_VALUE"""),"SQL")</f>
        <v>SQL</v>
      </c>
      <c r="F107" s="9" t="str">
        <f>IFERROR(__xludf.DUMMYFUNCTION("""COMPUTED_VALUE"""),"Java")</f>
        <v>Java</v>
      </c>
      <c r="G107" s="9" t="str">
        <f>IFERROR(__xludf.DUMMYFUNCTION("""COMPUTED_VALUE"""),"Go")</f>
        <v>Go</v>
      </c>
      <c r="H107" s="9" t="str">
        <f>IFERROR(__xludf.DUMMYFUNCTION("""COMPUTED_VALUE"""),"HTML/CSS")</f>
        <v>HTML/CSS</v>
      </c>
      <c r="I107" s="9" t="str">
        <f>IFERROR(__xludf.DUMMYFUNCTION("""COMPUTED_VALUE"""),"HTML/CSS")</f>
        <v>HTML/CSS</v>
      </c>
      <c r="J107" s="9" t="str">
        <f>IFERROR(__xludf.DUMMYFUNCTION("""COMPUTED_VALUE"""),"TypeScript")</f>
        <v>TypeScript</v>
      </c>
      <c r="K107" s="9" t="str">
        <f>IFERROR(__xludf.DUMMYFUNCTION("""COMPUTED_VALUE"""),"HTML/CSS")</f>
        <v>HTML/CSS</v>
      </c>
      <c r="L107" s="9" t="str">
        <f>IFERROR(__xludf.DUMMYFUNCTION("""COMPUTED_VALUE"""),"Python")</f>
        <v>Python</v>
      </c>
      <c r="M107" s="9" t="s">
        <v>36</v>
      </c>
    </row>
    <row r="108" ht="15.75" customHeight="1">
      <c r="A108" s="7"/>
      <c r="B108" s="7" t="str">
        <f>IFERROR(__xludf.DUMMYFUNCTION("""COMPUTED_VALUE"""),"HTML/CSS;Java;Python")</f>
        <v>HTML/CSS;Java;Python</v>
      </c>
      <c r="C108" s="9" t="str">
        <f>IFERROR(__xludf.DUMMYFUNCTION("""COMPUTED_VALUE"""),"Java")</f>
        <v>Java</v>
      </c>
      <c r="D108" s="9" t="str">
        <f>IFERROR(__xludf.DUMMYFUNCTION("""COMPUTED_VALUE"""),"TypeScript")</f>
        <v>TypeScript</v>
      </c>
      <c r="E108" s="9" t="str">
        <f>IFERROR(__xludf.DUMMYFUNCTION("""COMPUTED_VALUE"""),"Swift")</f>
        <v>Swift</v>
      </c>
      <c r="F108" s="9" t="str">
        <f>IFERROR(__xludf.DUMMYFUNCTION("""COMPUTED_VALUE"""),"SQL")</f>
        <v>SQL</v>
      </c>
      <c r="G108" s="9" t="str">
        <f>IFERROR(__xludf.DUMMYFUNCTION("""COMPUTED_VALUE"""),"HTML/CSS")</f>
        <v>HTML/CSS</v>
      </c>
      <c r="H108" s="9" t="str">
        <f>IFERROR(__xludf.DUMMYFUNCTION("""COMPUTED_VALUE"""),"Java")</f>
        <v>Java</v>
      </c>
      <c r="I108" s="9" t="str">
        <f>IFERROR(__xludf.DUMMYFUNCTION("""COMPUTED_VALUE"""),"JavaScript")</f>
        <v>JavaScript</v>
      </c>
      <c r="J108" s="9" t="str">
        <f>IFERROR(__xludf.DUMMYFUNCTION("""COMPUTED_VALUE"""),"Other(s):")</f>
        <v>Other(s):</v>
      </c>
      <c r="K108" s="9" t="str">
        <f>IFERROR(__xludf.DUMMYFUNCTION("""COMPUTED_VALUE"""),"Python")</f>
        <v>Python</v>
      </c>
      <c r="L108" s="9" t="str">
        <f>IFERROR(__xludf.DUMMYFUNCTION("""COMPUTED_VALUE"""),"SQL")</f>
        <v>SQL</v>
      </c>
      <c r="M108" s="9" t="s">
        <v>20</v>
      </c>
    </row>
    <row r="109" ht="15.75" customHeight="1">
      <c r="A109" s="7"/>
      <c r="B109" s="7" t="str">
        <f>IFERROR(__xludf.DUMMYFUNCTION("""COMPUTED_VALUE"""),"C++;Python")</f>
        <v>C++;Python</v>
      </c>
      <c r="C109" s="9" t="str">
        <f>IFERROR(__xludf.DUMMYFUNCTION("""COMPUTED_VALUE"""),"JavaScript")</f>
        <v>JavaScript</v>
      </c>
      <c r="D109" s="9" t="str">
        <f>IFERROR(__xludf.DUMMYFUNCTION("""COMPUTED_VALUE"""),"Java")</f>
        <v>Java</v>
      </c>
      <c r="E109" s="9" t="str">
        <f>IFERROR(__xludf.DUMMYFUNCTION("""COMPUTED_VALUE"""),"JavaScript")</f>
        <v>JavaScript</v>
      </c>
      <c r="F109" s="9" t="str">
        <f>IFERROR(__xludf.DUMMYFUNCTION("""COMPUTED_VALUE"""),"Bash/Shell/PowerShell")</f>
        <v>Bash/Shell/PowerShell</v>
      </c>
      <c r="G109" s="9" t="str">
        <f>IFERROR(__xludf.DUMMYFUNCTION("""COMPUTED_VALUE"""),"JavaScript")</f>
        <v>JavaScript</v>
      </c>
      <c r="H109" s="9" t="str">
        <f>IFERROR(__xludf.DUMMYFUNCTION("""COMPUTED_VALUE"""),"JavaScript")</f>
        <v>JavaScript</v>
      </c>
      <c r="I109" s="9" t="str">
        <f>IFERROR(__xludf.DUMMYFUNCTION("""COMPUTED_VALUE"""),"PHP")</f>
        <v>PHP</v>
      </c>
      <c r="J109" s="9" t="str">
        <f>IFERROR(__xludf.DUMMYFUNCTION("""COMPUTED_VALUE"""),"HTML/CSS")</f>
        <v>HTML/CSS</v>
      </c>
      <c r="K109" s="9" t="str">
        <f>IFERROR(__xludf.DUMMYFUNCTION("""COMPUTED_VALUE"""),"HTML/CSS")</f>
        <v>HTML/CSS</v>
      </c>
      <c r="L109" s="9" t="str">
        <f>IFERROR(__xludf.DUMMYFUNCTION("""COMPUTED_VALUE"""),"C#")</f>
        <v>C#</v>
      </c>
      <c r="M109" s="9" t="s">
        <v>21</v>
      </c>
    </row>
    <row r="110" ht="15.75" customHeight="1">
      <c r="A110" s="7"/>
      <c r="B110" s="7" t="str">
        <f>IFERROR(__xludf.DUMMYFUNCTION("""COMPUTED_VALUE"""),"C#;HTML/CSS;JavaScript;SQL")</f>
        <v>C#;HTML/CSS;JavaScript;SQL</v>
      </c>
      <c r="C110" s="9" t="str">
        <f>IFERROR(__xludf.DUMMYFUNCTION("""COMPUTED_VALUE"""),"Kotlin")</f>
        <v>Kotlin</v>
      </c>
      <c r="D110" s="9" t="str">
        <f>IFERROR(__xludf.DUMMYFUNCTION("""COMPUTED_VALUE"""),"SQL")</f>
        <v>SQL</v>
      </c>
      <c r="E110" s="9" t="str">
        <f>IFERROR(__xludf.DUMMYFUNCTION("""COMPUTED_VALUE"""),"PHP")</f>
        <v>PHP</v>
      </c>
      <c r="F110" s="9" t="str">
        <f>IFERROR(__xludf.DUMMYFUNCTION("""COMPUTED_VALUE"""),"Go")</f>
        <v>Go</v>
      </c>
      <c r="G110" s="9" t="str">
        <f>IFERROR(__xludf.DUMMYFUNCTION("""COMPUTED_VALUE"""),"SQL")</f>
        <v>SQL</v>
      </c>
      <c r="H110" s="9" t="str">
        <f>IFERROR(__xludf.DUMMYFUNCTION("""COMPUTED_VALUE"""),"PHP")</f>
        <v>PHP</v>
      </c>
      <c r="I110" s="9" t="str">
        <f>IFERROR(__xludf.DUMMYFUNCTION("""COMPUTED_VALUE"""),"TypeScript")</f>
        <v>TypeScript</v>
      </c>
      <c r="J110" s="9" t="str">
        <f>IFERROR(__xludf.DUMMYFUNCTION("""COMPUTED_VALUE"""),"JavaScript")</f>
        <v>JavaScript</v>
      </c>
      <c r="K110" s="9" t="str">
        <f>IFERROR(__xludf.DUMMYFUNCTION("""COMPUTED_VALUE"""),"Ruby")</f>
        <v>Ruby</v>
      </c>
      <c r="L110" s="9" t="str">
        <f>IFERROR(__xludf.DUMMYFUNCTION("""COMPUTED_VALUE"""),"HTML/CSS")</f>
        <v>HTML/CSS</v>
      </c>
      <c r="M110" s="9" t="s">
        <v>39</v>
      </c>
    </row>
    <row r="111" ht="15.75" customHeight="1">
      <c r="A111" s="7"/>
      <c r="B111" s="7" t="str">
        <f>IFERROR(__xludf.DUMMYFUNCTION("""COMPUTED_VALUE"""),"Python;SQL")</f>
        <v>Python;SQL</v>
      </c>
      <c r="C111" s="9" t="str">
        <f>IFERROR(__xludf.DUMMYFUNCTION("""COMPUTED_VALUE"""),"Python")</f>
        <v>Python</v>
      </c>
      <c r="D111" s="9" t="str">
        <f>IFERROR(__xludf.DUMMYFUNCTION("""COMPUTED_VALUE"""),"Bash/Shell/PowerShell")</f>
        <v>Bash/Shell/PowerShell</v>
      </c>
      <c r="E111" s="9" t="str">
        <f>IFERROR(__xludf.DUMMYFUNCTION("""COMPUTED_VALUE"""),"C#")</f>
        <v>C#</v>
      </c>
      <c r="F111" s="9" t="str">
        <f>IFERROR(__xludf.DUMMYFUNCTION("""COMPUTED_VALUE"""),"HTML/CSS")</f>
        <v>HTML/CSS</v>
      </c>
      <c r="G111" s="9" t="str">
        <f>IFERROR(__xludf.DUMMYFUNCTION("""COMPUTED_VALUE"""),"TypeScript")</f>
        <v>TypeScript</v>
      </c>
      <c r="H111" s="9" t="str">
        <f>IFERROR(__xludf.DUMMYFUNCTION("""COMPUTED_VALUE"""),"Python")</f>
        <v>Python</v>
      </c>
      <c r="I111" s="9" t="str">
        <f>IFERROR(__xludf.DUMMYFUNCTION("""COMPUTED_VALUE"""),"Bash/Shell/PowerShell")</f>
        <v>Bash/Shell/PowerShell</v>
      </c>
      <c r="J111" s="9" t="str">
        <f>IFERROR(__xludf.DUMMYFUNCTION("""COMPUTED_VALUE"""),"PHP")</f>
        <v>PHP</v>
      </c>
      <c r="K111" s="9" t="str">
        <f>IFERROR(__xludf.DUMMYFUNCTION("""COMPUTED_VALUE"""),"SQL")</f>
        <v>SQL</v>
      </c>
      <c r="L111" s="9" t="str">
        <f>IFERROR(__xludf.DUMMYFUNCTION("""COMPUTED_VALUE"""),"JavaScript")</f>
        <v>JavaScript</v>
      </c>
      <c r="M111" s="9" t="s">
        <v>22</v>
      </c>
    </row>
    <row r="112" ht="15.75" customHeight="1">
      <c r="A112" s="7"/>
      <c r="B112" s="7" t="str">
        <f>IFERROR(__xludf.DUMMYFUNCTION("""COMPUTED_VALUE"""),"Bash/Shell/PowerShell;C#;HTML/CSS;JavaScript;Python;SQL;VBA")</f>
        <v>Bash/Shell/PowerShell;C#;HTML/CSS;JavaScript;Python;SQL;VBA</v>
      </c>
      <c r="C112" s="9" t="str">
        <f>IFERROR(__xludf.DUMMYFUNCTION("""COMPUTED_VALUE"""),"Rust")</f>
        <v>Rust</v>
      </c>
      <c r="D112" s="9" t="str">
        <f>IFERROR(__xludf.DUMMYFUNCTION("""COMPUTED_VALUE"""),"C#")</f>
        <v>C#</v>
      </c>
      <c r="E112" s="9" t="str">
        <f>IFERROR(__xludf.DUMMYFUNCTION("""COMPUTED_VALUE"""),"HTML/CSS")</f>
        <v>HTML/CSS</v>
      </c>
      <c r="F112" s="9" t="str">
        <f>IFERROR(__xludf.DUMMYFUNCTION("""COMPUTED_VALUE"""),"JavaScript")</f>
        <v>JavaScript</v>
      </c>
      <c r="G112" s="9" t="str">
        <f>IFERROR(__xludf.DUMMYFUNCTION("""COMPUTED_VALUE"""),"HTML/CSS")</f>
        <v>HTML/CSS</v>
      </c>
      <c r="H112" s="9" t="str">
        <f>IFERROR(__xludf.DUMMYFUNCTION("""COMPUTED_VALUE"""),"SQL")</f>
        <v>SQL</v>
      </c>
      <c r="I112" s="9" t="str">
        <f>IFERROR(__xludf.DUMMYFUNCTION("""COMPUTED_VALUE"""),"C#")</f>
        <v>C#</v>
      </c>
      <c r="J112" s="9" t="str">
        <f>IFERROR(__xludf.DUMMYFUNCTION("""COMPUTED_VALUE"""),"HTML/CSS")</f>
        <v>HTML/CSS</v>
      </c>
      <c r="K112" s="9" t="str">
        <f>IFERROR(__xludf.DUMMYFUNCTION("""COMPUTED_VALUE"""),"HTML/CSS")</f>
        <v>HTML/CSS</v>
      </c>
      <c r="L112" s="9" t="str">
        <f>IFERROR(__xludf.DUMMYFUNCTION("""COMPUTED_VALUE"""),"PHP")</f>
        <v>PHP</v>
      </c>
      <c r="M112" s="9" t="s">
        <v>32</v>
      </c>
    </row>
    <row r="113" ht="15.75" customHeight="1">
      <c r="A113" s="7"/>
      <c r="B113" s="7" t="str">
        <f>IFERROR(__xludf.DUMMYFUNCTION("""COMPUTED_VALUE"""),"Assembly;C;C++;C#;HTML/CSS;Java;JavaScript;Python;VBA")</f>
        <v>Assembly;C;C++;C#;HTML/CSS;Java;JavaScript;Python;VBA</v>
      </c>
      <c r="C113" s="9" t="str">
        <f>IFERROR(__xludf.DUMMYFUNCTION("""COMPUTED_VALUE"""),"SQL")</f>
        <v>SQL</v>
      </c>
      <c r="D113" s="9" t="str">
        <f>IFERROR(__xludf.DUMMYFUNCTION("""COMPUTED_VALUE"""),"Dart")</f>
        <v>Dart</v>
      </c>
      <c r="E113" s="9" t="str">
        <f>IFERROR(__xludf.DUMMYFUNCTION("""COMPUTED_VALUE"""),"Java")</f>
        <v>Java</v>
      </c>
      <c r="F113" s="9" t="str">
        <f>IFERROR(__xludf.DUMMYFUNCTION("""COMPUTED_VALUE"""),"SQL")</f>
        <v>SQL</v>
      </c>
      <c r="G113" s="9" t="str">
        <f>IFERROR(__xludf.DUMMYFUNCTION("""COMPUTED_VALUE"""),"Java")</f>
        <v>Java</v>
      </c>
      <c r="H113" s="9" t="str">
        <f>IFERROR(__xludf.DUMMYFUNCTION("""COMPUTED_VALUE"""),"C#")</f>
        <v>C#</v>
      </c>
      <c r="I113" s="9" t="str">
        <f>IFERROR(__xludf.DUMMYFUNCTION("""COMPUTED_VALUE"""),"Java")</f>
        <v>Java</v>
      </c>
      <c r="J113" s="9" t="str">
        <f>IFERROR(__xludf.DUMMYFUNCTION("""COMPUTED_VALUE"""),"Java")</f>
        <v>Java</v>
      </c>
      <c r="K113" s="9" t="str">
        <f>IFERROR(__xludf.DUMMYFUNCTION("""COMPUTED_VALUE"""),"Java")</f>
        <v>Java</v>
      </c>
      <c r="L113" s="9" t="str">
        <f>IFERROR(__xludf.DUMMYFUNCTION("""COMPUTED_VALUE"""),"SQL")</f>
        <v>SQL</v>
      </c>
      <c r="M113" s="9" t="s">
        <v>27</v>
      </c>
    </row>
    <row r="114" ht="15.75" customHeight="1">
      <c r="A114" s="7"/>
      <c r="B114" s="7" t="str">
        <f>IFERROR(__xludf.DUMMYFUNCTION("""COMPUTED_VALUE"""),"Bash/Shell/PowerShell;C;C++")</f>
        <v>Bash/Shell/PowerShell;C;C++</v>
      </c>
      <c r="C114" s="9" t="str">
        <f>IFERROR(__xludf.DUMMYFUNCTION("""COMPUTED_VALUE"""),"Swift")</f>
        <v>Swift</v>
      </c>
      <c r="D114" s="9" t="str">
        <f>IFERROR(__xludf.DUMMYFUNCTION("""COMPUTED_VALUE"""),"HTML/CSS")</f>
        <v>HTML/CSS</v>
      </c>
      <c r="E114" s="9" t="str">
        <f>IFERROR(__xludf.DUMMYFUNCTION("""COMPUTED_VALUE"""),"JavaScript")</f>
        <v>JavaScript</v>
      </c>
      <c r="F114" s="9" t="str">
        <f>IFERROR(__xludf.DUMMYFUNCTION("""COMPUTED_VALUE"""),"C#")</f>
        <v>C#</v>
      </c>
      <c r="G114" s="9" t="str">
        <f>IFERROR(__xludf.DUMMYFUNCTION("""COMPUTED_VALUE"""),"JavaScript")</f>
        <v>JavaScript</v>
      </c>
      <c r="H114" s="9" t="str">
        <f>IFERROR(__xludf.DUMMYFUNCTION("""COMPUTED_VALUE"""),"SQL")</f>
        <v>SQL</v>
      </c>
      <c r="I114" s="9" t="str">
        <f>IFERROR(__xludf.DUMMYFUNCTION("""COMPUTED_VALUE"""),"JavaScript")</f>
        <v>JavaScript</v>
      </c>
      <c r="J114" s="9" t="str">
        <f>IFERROR(__xludf.DUMMYFUNCTION("""COMPUTED_VALUE"""),"JavaScript")</f>
        <v>JavaScript</v>
      </c>
      <c r="K114" s="9" t="str">
        <f>IFERROR(__xludf.DUMMYFUNCTION("""COMPUTED_VALUE"""),"PHP")</f>
        <v>PHP</v>
      </c>
      <c r="L114" s="9" t="str">
        <f>IFERROR(__xludf.DUMMYFUNCTION("""COMPUTED_VALUE"""),"TypeScript")</f>
        <v>TypeScript</v>
      </c>
      <c r="M114" s="9" t="s">
        <v>40</v>
      </c>
    </row>
    <row r="115" ht="15.75" customHeight="1">
      <c r="A115" s="7"/>
      <c r="B115" s="7" t="str">
        <f>IFERROR(__xludf.DUMMYFUNCTION("""COMPUTED_VALUE"""),"Bash/Shell/PowerShell;C++;Erlang;JavaScript;PHP;Python")</f>
        <v>Bash/Shell/PowerShell;C++;Erlang;JavaScript;PHP;Python</v>
      </c>
      <c r="C115" s="9" t="str">
        <f>IFERROR(__xludf.DUMMYFUNCTION("""COMPUTED_VALUE"""),"Bash/Shell/PowerShell")</f>
        <v>Bash/Shell/PowerShell</v>
      </c>
      <c r="D115" s="9" t="str">
        <f>IFERROR(__xludf.DUMMYFUNCTION("""COMPUTED_VALUE"""),"Java")</f>
        <v>Java</v>
      </c>
      <c r="E115" s="9" t="str">
        <f>IFERROR(__xludf.DUMMYFUNCTION("""COMPUTED_VALUE"""),"PHP")</f>
        <v>PHP</v>
      </c>
      <c r="F115" s="9" t="str">
        <f>IFERROR(__xludf.DUMMYFUNCTION("""COMPUTED_VALUE"""),"JavaScript")</f>
        <v>JavaScript</v>
      </c>
      <c r="G115" s="9" t="str">
        <f>IFERROR(__xludf.DUMMYFUNCTION("""COMPUTED_VALUE"""),"SQL")</f>
        <v>SQL</v>
      </c>
      <c r="H115" s="9" t="str">
        <f>IFERROR(__xludf.DUMMYFUNCTION("""COMPUTED_VALUE"""),"Bash/Shell/PowerShell")</f>
        <v>Bash/Shell/PowerShell</v>
      </c>
      <c r="I115" s="9" t="str">
        <f>IFERROR(__xludf.DUMMYFUNCTION("""COMPUTED_VALUE"""),"Python")</f>
        <v>Python</v>
      </c>
      <c r="J115" s="9" t="str">
        <f>IFERROR(__xludf.DUMMYFUNCTION("""COMPUTED_VALUE"""),"PHP")</f>
        <v>PHP</v>
      </c>
      <c r="K115" s="9" t="str">
        <f>IFERROR(__xludf.DUMMYFUNCTION("""COMPUTED_VALUE"""),"SQL")</f>
        <v>SQL</v>
      </c>
      <c r="L115" s="9" t="str">
        <f>IFERROR(__xludf.DUMMYFUNCTION("""COMPUTED_VALUE"""),"C#")</f>
        <v>C#</v>
      </c>
      <c r="M115" s="9" t="s">
        <v>30</v>
      </c>
    </row>
    <row r="116" ht="15.75" customHeight="1">
      <c r="A116" s="7"/>
      <c r="B116" s="7" t="str">
        <f>IFERROR(__xludf.DUMMYFUNCTION("""COMPUTED_VALUE"""),"Assembly;C#;HTML/CSS;Java;JavaScript;SQL;Swift")</f>
        <v>Assembly;C#;HTML/CSS;Java;JavaScript;SQL;Swift</v>
      </c>
      <c r="C116" s="9" t="str">
        <f>IFERROR(__xludf.DUMMYFUNCTION("""COMPUTED_VALUE"""),"C++")</f>
        <v>C++</v>
      </c>
      <c r="D116" s="9" t="str">
        <f>IFERROR(__xludf.DUMMYFUNCTION("""COMPUTED_VALUE"""),"JavaScript")</f>
        <v>JavaScript</v>
      </c>
      <c r="E116" s="9" t="str">
        <f>IFERROR(__xludf.DUMMYFUNCTION("""COMPUTED_VALUE"""),"SQL")</f>
        <v>SQL</v>
      </c>
      <c r="F116" s="9" t="str">
        <f>IFERROR(__xludf.DUMMYFUNCTION("""COMPUTED_VALUE"""),"Kotlin")</f>
        <v>Kotlin</v>
      </c>
      <c r="G116" s="9" t="str">
        <f>IFERROR(__xludf.DUMMYFUNCTION("""COMPUTED_VALUE"""),"C#")</f>
        <v>C#</v>
      </c>
      <c r="H116" s="9" t="str">
        <f>IFERROR(__xludf.DUMMYFUNCTION("""COMPUTED_VALUE"""),"C++")</f>
        <v>C++</v>
      </c>
      <c r="I116" s="9" t="str">
        <f>IFERROR(__xludf.DUMMYFUNCTION("""COMPUTED_VALUE"""),"C++")</f>
        <v>C++</v>
      </c>
      <c r="J116" s="9" t="str">
        <f>IFERROR(__xludf.DUMMYFUNCTION("""COMPUTED_VALUE"""),"Python")</f>
        <v>Python</v>
      </c>
      <c r="K116" s="9" t="str">
        <f>IFERROR(__xludf.DUMMYFUNCTION("""COMPUTED_VALUE"""),"C")</f>
        <v>C</v>
      </c>
      <c r="L116" s="9" t="str">
        <f>IFERROR(__xludf.DUMMYFUNCTION("""COMPUTED_VALUE"""),"HTML/CSS")</f>
        <v>HTML/CSS</v>
      </c>
      <c r="M116" s="9" t="s">
        <v>23</v>
      </c>
    </row>
    <row r="117" ht="15.75" customHeight="1">
      <c r="A117" s="7"/>
      <c r="B117" s="7" t="str">
        <f>IFERROR(__xludf.DUMMYFUNCTION("""COMPUTED_VALUE"""),"Scala;Other(s):")</f>
        <v>Scala;Other(s):</v>
      </c>
      <c r="C117" s="9" t="str">
        <f>IFERROR(__xludf.DUMMYFUNCTION("""COMPUTED_VALUE"""),"HTML/CSS")</f>
        <v>HTML/CSS</v>
      </c>
      <c r="D117" s="9" t="str">
        <f>IFERROR(__xludf.DUMMYFUNCTION("""COMPUTED_VALUE"""),"Objective-C")</f>
        <v>Objective-C</v>
      </c>
      <c r="E117" s="9" t="str">
        <f>IFERROR(__xludf.DUMMYFUNCTION("""COMPUTED_VALUE"""),"Bash/Shell/PowerShell")</f>
        <v>Bash/Shell/PowerShell</v>
      </c>
      <c r="F117" s="9" t="str">
        <f>IFERROR(__xludf.DUMMYFUNCTION("""COMPUTED_VALUE"""),"TypeScript")</f>
        <v>TypeScript</v>
      </c>
      <c r="G117" s="9" t="str">
        <f>IFERROR(__xludf.DUMMYFUNCTION("""COMPUTED_VALUE"""),"Go")</f>
        <v>Go</v>
      </c>
      <c r="H117" s="9" t="str">
        <f>IFERROR(__xludf.DUMMYFUNCTION("""COMPUTED_VALUE"""),"C#")</f>
        <v>C#</v>
      </c>
      <c r="I117" s="9" t="str">
        <f>IFERROR(__xludf.DUMMYFUNCTION("""COMPUTED_VALUE"""),"C#")</f>
        <v>C#</v>
      </c>
      <c r="J117" s="9" t="str">
        <f>IFERROR(__xludf.DUMMYFUNCTION("""COMPUTED_VALUE"""),"Go")</f>
        <v>Go</v>
      </c>
      <c r="K117" s="9" t="str">
        <f>IFERROR(__xludf.DUMMYFUNCTION("""COMPUTED_VALUE"""),"Java")</f>
        <v>Java</v>
      </c>
      <c r="L117" s="9" t="str">
        <f>IFERROR(__xludf.DUMMYFUNCTION("""COMPUTED_VALUE"""),"JavaScript")</f>
        <v>JavaScript</v>
      </c>
      <c r="M117" s="9" t="s">
        <v>24</v>
      </c>
    </row>
    <row r="118" ht="15.75" customHeight="1">
      <c r="A118" s="7"/>
      <c r="B118" s="7" t="str">
        <f>IFERROR(__xludf.DUMMYFUNCTION("""COMPUTED_VALUE"""),"C#;HTML/CSS;JavaScript;SQL;TypeScript")</f>
        <v>C#;HTML/CSS;JavaScript;SQL;TypeScript</v>
      </c>
      <c r="C118" s="9" t="str">
        <f>IFERROR(__xludf.DUMMYFUNCTION("""COMPUTED_VALUE"""),"JavaScript")</f>
        <v>JavaScript</v>
      </c>
      <c r="D118" s="9" t="str">
        <f>IFERROR(__xludf.DUMMYFUNCTION("""COMPUTED_VALUE"""),"Python")</f>
        <v>Python</v>
      </c>
      <c r="E118" s="9" t="str">
        <f>IFERROR(__xludf.DUMMYFUNCTION("""COMPUTED_VALUE"""),"HTML/CSS")</f>
        <v>HTML/CSS</v>
      </c>
      <c r="F118" s="9" t="str">
        <f>IFERROR(__xludf.DUMMYFUNCTION("""COMPUTED_VALUE"""),"C++")</f>
        <v>C++</v>
      </c>
      <c r="G118" s="9" t="str">
        <f>IFERROR(__xludf.DUMMYFUNCTION("""COMPUTED_VALUE"""),"Java")</f>
        <v>Java</v>
      </c>
      <c r="H118" s="9" t="str">
        <f>IFERROR(__xludf.DUMMYFUNCTION("""COMPUTED_VALUE"""),"HTML/CSS")</f>
        <v>HTML/CSS</v>
      </c>
      <c r="I118" s="9" t="str">
        <f>IFERROR(__xludf.DUMMYFUNCTION("""COMPUTED_VALUE"""),"Java")</f>
        <v>Java</v>
      </c>
      <c r="J118" s="9" t="str">
        <f>IFERROR(__xludf.DUMMYFUNCTION("""COMPUTED_VALUE"""),"Java")</f>
        <v>Java</v>
      </c>
      <c r="K118" s="9" t="str">
        <f>IFERROR(__xludf.DUMMYFUNCTION("""COMPUTED_VALUE"""),"HTML/CSS")</f>
        <v>HTML/CSS</v>
      </c>
      <c r="L118" s="9" t="str">
        <f>IFERROR(__xludf.DUMMYFUNCTION("""COMPUTED_VALUE"""),"Python")</f>
        <v>Python</v>
      </c>
      <c r="M118" s="9" t="s">
        <v>21</v>
      </c>
    </row>
    <row r="119" ht="15.75" customHeight="1">
      <c r="A119" s="7"/>
      <c r="B119" s="7" t="str">
        <f>IFERROR(__xludf.DUMMYFUNCTION("""COMPUTED_VALUE"""),"Bash/Shell/PowerShell;C;C++")</f>
        <v>Bash/Shell/PowerShell;C;C++</v>
      </c>
      <c r="C119" s="9" t="str">
        <f>IFERROR(__xludf.DUMMYFUNCTION("""COMPUTED_VALUE"""),"Python")</f>
        <v>Python</v>
      </c>
      <c r="D119" s="9" t="str">
        <f>IFERROR(__xludf.DUMMYFUNCTION("""COMPUTED_VALUE"""),"SQL")</f>
        <v>SQL</v>
      </c>
      <c r="E119" s="9" t="str">
        <f>IFERROR(__xludf.DUMMYFUNCTION("""COMPUTED_VALUE"""),"Java")</f>
        <v>Java</v>
      </c>
      <c r="F119" s="9" t="str">
        <f>IFERROR(__xludf.DUMMYFUNCTION("""COMPUTED_VALUE"""),"C#")</f>
        <v>C#</v>
      </c>
      <c r="G119" s="9" t="str">
        <f>IFERROR(__xludf.DUMMYFUNCTION("""COMPUTED_VALUE"""),"JavaScript")</f>
        <v>JavaScript</v>
      </c>
      <c r="H119" s="9" t="str">
        <f>IFERROR(__xludf.DUMMYFUNCTION("""COMPUTED_VALUE"""),"JavaScript")</f>
        <v>JavaScript</v>
      </c>
      <c r="I119" s="9" t="str">
        <f>IFERROR(__xludf.DUMMYFUNCTION("""COMPUTED_VALUE"""),"PHP")</f>
        <v>PHP</v>
      </c>
      <c r="J119" s="9" t="str">
        <f>IFERROR(__xludf.DUMMYFUNCTION("""COMPUTED_VALUE"""),"PHP")</f>
        <v>PHP</v>
      </c>
      <c r="K119" s="9" t="str">
        <f>IFERROR(__xludf.DUMMYFUNCTION("""COMPUTED_VALUE"""),"JavaScript")</f>
        <v>JavaScript</v>
      </c>
      <c r="L119" s="9" t="str">
        <f>IFERROR(__xludf.DUMMYFUNCTION("""COMPUTED_VALUE"""),"SQL")</f>
        <v>SQL</v>
      </c>
      <c r="M119" s="9" t="s">
        <v>22</v>
      </c>
    </row>
    <row r="120" ht="15.75" customHeight="1">
      <c r="A120" s="7"/>
      <c r="B120" s="7" t="str">
        <f>IFERROR(__xludf.DUMMYFUNCTION("""COMPUTED_VALUE"""),"C;C++;C#;HTML/CSS;Java;JavaScript;SQL")</f>
        <v>C;C++;C#;HTML/CSS;Java;JavaScript;SQL</v>
      </c>
      <c r="C120" s="9" t="str">
        <f>IFERROR(__xludf.DUMMYFUNCTION("""COMPUTED_VALUE"""),"Ruby")</f>
        <v>Ruby</v>
      </c>
      <c r="D120" s="9" t="str">
        <f>IFERROR(__xludf.DUMMYFUNCTION("""COMPUTED_VALUE"""),"Swift")</f>
        <v>Swift</v>
      </c>
      <c r="E120" s="9" t="str">
        <f>IFERROR(__xludf.DUMMYFUNCTION("""COMPUTED_VALUE"""),"JavaScript")</f>
        <v>JavaScript</v>
      </c>
      <c r="F120" s="9" t="str">
        <f>IFERROR(__xludf.DUMMYFUNCTION("""COMPUTED_VALUE"""),"HTML/CSS")</f>
        <v>HTML/CSS</v>
      </c>
      <c r="G120" s="9" t="str">
        <f>IFERROR(__xludf.DUMMYFUNCTION("""COMPUTED_VALUE"""),"Ruby")</f>
        <v>Ruby</v>
      </c>
      <c r="H120" s="9" t="str">
        <f>IFERROR(__xludf.DUMMYFUNCTION("""COMPUTED_VALUE"""),"SQL")</f>
        <v>SQL</v>
      </c>
      <c r="I120" s="9" t="str">
        <f>IFERROR(__xludf.DUMMYFUNCTION("""COMPUTED_VALUE"""),"Python")</f>
        <v>Python</v>
      </c>
      <c r="J120" s="9" t="str">
        <f>IFERROR(__xludf.DUMMYFUNCTION("""COMPUTED_VALUE"""),"Scala")</f>
        <v>Scala</v>
      </c>
      <c r="K120" s="9" t="str">
        <f>IFERROR(__xludf.DUMMYFUNCTION("""COMPUTED_VALUE"""),"PHP")</f>
        <v>PHP</v>
      </c>
      <c r="L120" s="9" t="str">
        <f>IFERROR(__xludf.DUMMYFUNCTION("""COMPUTED_VALUE"""),"TypeScript")</f>
        <v>TypeScript</v>
      </c>
      <c r="M120" s="9" t="s">
        <v>31</v>
      </c>
    </row>
    <row r="121" ht="15.75" customHeight="1">
      <c r="A121" s="7"/>
      <c r="B121" s="7" t="str">
        <f>IFERROR(__xludf.DUMMYFUNCTION("""COMPUTED_VALUE"""),"Elixir;HTML/CSS;JavaScript;Python;Ruby;SQL")</f>
        <v>Elixir;HTML/CSS;JavaScript;Python;Ruby;SQL</v>
      </c>
      <c r="C121" s="9" t="str">
        <f>IFERROR(__xludf.DUMMYFUNCTION("""COMPUTED_VALUE"""),"SQL")</f>
        <v>SQL</v>
      </c>
      <c r="D121" s="9" t="str">
        <f>IFERROR(__xludf.DUMMYFUNCTION("""COMPUTED_VALUE"""),"C")</f>
        <v>C</v>
      </c>
      <c r="E121" s="9" t="str">
        <f>IFERROR(__xludf.DUMMYFUNCTION("""COMPUTED_VALUE"""),"PHP")</f>
        <v>PHP</v>
      </c>
      <c r="F121" s="9" t="str">
        <f>IFERROR(__xludf.DUMMYFUNCTION("""COMPUTED_VALUE"""),"JavaScript")</f>
        <v>JavaScript</v>
      </c>
      <c r="G121" s="9" t="str">
        <f>IFERROR(__xludf.DUMMYFUNCTION("""COMPUTED_VALUE"""),"SQL")</f>
        <v>SQL</v>
      </c>
      <c r="H121" s="9" t="str">
        <f>IFERROR(__xludf.DUMMYFUNCTION("""COMPUTED_VALUE"""),"TypeScript")</f>
        <v>TypeScript</v>
      </c>
      <c r="I121" s="9" t="str">
        <f>IFERROR(__xludf.DUMMYFUNCTION("""COMPUTED_VALUE"""),"Ruby")</f>
        <v>Ruby</v>
      </c>
      <c r="J121" s="9" t="str">
        <f>IFERROR(__xludf.DUMMYFUNCTION("""COMPUTED_VALUE"""),"SQL")</f>
        <v>SQL</v>
      </c>
      <c r="K121" s="9" t="str">
        <f>IFERROR(__xludf.DUMMYFUNCTION("""COMPUTED_VALUE"""),"SQL")</f>
        <v>SQL</v>
      </c>
      <c r="L121" s="9" t="str">
        <f>IFERROR(__xludf.DUMMYFUNCTION("""COMPUTED_VALUE"""),"HTML/CSS")</f>
        <v>HTML/CSS</v>
      </c>
      <c r="M121" s="9" t="s">
        <v>27</v>
      </c>
    </row>
    <row r="122" ht="15.75" customHeight="1">
      <c r="A122" s="7"/>
      <c r="B122" s="7" t="str">
        <f>IFERROR(__xludf.DUMMYFUNCTION("""COMPUTED_VALUE"""),"Bash/Shell/PowerShell;C;C++;HTML/CSS;JavaScript;Python")</f>
        <v>Bash/Shell/PowerShell;C;C++;HTML/CSS;JavaScript;Python</v>
      </c>
      <c r="C122" s="9" t="str">
        <f>IFERROR(__xludf.DUMMYFUNCTION("""COMPUTED_VALUE"""),"TypeScript")</f>
        <v>TypeScript</v>
      </c>
      <c r="D122" s="9" t="str">
        <f>IFERROR(__xludf.DUMMYFUNCTION("""COMPUTED_VALUE"""),"HTML/CSS")</f>
        <v>HTML/CSS</v>
      </c>
      <c r="E122" s="9" t="str">
        <f>IFERROR(__xludf.DUMMYFUNCTION("""COMPUTED_VALUE"""),"SQL")</f>
        <v>SQL</v>
      </c>
      <c r="F122" s="9" t="str">
        <f>IFERROR(__xludf.DUMMYFUNCTION("""COMPUTED_VALUE"""),"SQL")</f>
        <v>SQL</v>
      </c>
      <c r="G122" s="9" t="str">
        <f>IFERROR(__xludf.DUMMYFUNCTION("""COMPUTED_VALUE"""),"TypeScript")</f>
        <v>TypeScript</v>
      </c>
      <c r="H122" s="9" t="str">
        <f>IFERROR(__xludf.DUMMYFUNCTION("""COMPUTED_VALUE"""),"Bash/Shell/PowerShell")</f>
        <v>Bash/Shell/PowerShell</v>
      </c>
      <c r="I122" s="9" t="str">
        <f>IFERROR(__xludf.DUMMYFUNCTION("""COMPUTED_VALUE"""),"TypeScript")</f>
        <v>TypeScript</v>
      </c>
      <c r="J122" s="9" t="str">
        <f>IFERROR(__xludf.DUMMYFUNCTION("""COMPUTED_VALUE"""),"Bash/Shell/PowerShell")</f>
        <v>Bash/Shell/PowerShell</v>
      </c>
      <c r="K122" s="9" t="str">
        <f>IFERROR(__xludf.DUMMYFUNCTION("""COMPUTED_VALUE"""),"Java")</f>
        <v>Java</v>
      </c>
      <c r="L122" s="9" t="str">
        <f>IFERROR(__xludf.DUMMYFUNCTION("""COMPUTED_VALUE"""),"Java")</f>
        <v>Java</v>
      </c>
      <c r="M122" s="9" t="s">
        <v>33</v>
      </c>
    </row>
    <row r="123" ht="15.75" customHeight="1">
      <c r="A123" s="7"/>
      <c r="B123" s="7" t="str">
        <f>IFERROR(__xludf.DUMMYFUNCTION("""COMPUTED_VALUE"""),"Assembly;Bash/Shell/PowerShell;C++;Python;SQL")</f>
        <v>Assembly;Bash/Shell/PowerShell;C++;Python;SQL</v>
      </c>
      <c r="C123" s="9" t="str">
        <f>IFERROR(__xludf.DUMMYFUNCTION("""COMPUTED_VALUE"""),"Bash/Shell/PowerShell")</f>
        <v>Bash/Shell/PowerShell</v>
      </c>
      <c r="D123" s="9" t="str">
        <f>IFERROR(__xludf.DUMMYFUNCTION("""COMPUTED_VALUE"""),"JavaScript")</f>
        <v>JavaScript</v>
      </c>
      <c r="E123" s="9" t="str">
        <f>IFERROR(__xludf.DUMMYFUNCTION("""COMPUTED_VALUE"""),"VBA")</f>
        <v>VBA</v>
      </c>
      <c r="F123" s="9" t="str">
        <f>IFERROR(__xludf.DUMMYFUNCTION("""COMPUTED_VALUE"""),"TypeScript")</f>
        <v>TypeScript</v>
      </c>
      <c r="G123" s="9" t="str">
        <f>IFERROR(__xludf.DUMMYFUNCTION("""COMPUTED_VALUE"""),"Java")</f>
        <v>Java</v>
      </c>
      <c r="H123" s="9" t="str">
        <f>IFERROR(__xludf.DUMMYFUNCTION("""COMPUTED_VALUE"""),"C#")</f>
        <v>C#</v>
      </c>
      <c r="I123" s="9" t="str">
        <f>IFERROR(__xludf.DUMMYFUNCTION("""COMPUTED_VALUE"""),"HTML/CSS")</f>
        <v>HTML/CSS</v>
      </c>
      <c r="J123" s="9" t="str">
        <f>IFERROR(__xludf.DUMMYFUNCTION("""COMPUTED_VALUE"""),"SQL")</f>
        <v>SQL</v>
      </c>
      <c r="K123" s="9" t="str">
        <f>IFERROR(__xludf.DUMMYFUNCTION("""COMPUTED_VALUE"""),"SQL")</f>
        <v>SQL</v>
      </c>
      <c r="L123" s="9" t="str">
        <f>IFERROR(__xludf.DUMMYFUNCTION("""COMPUTED_VALUE"""),"Python")</f>
        <v>Python</v>
      </c>
      <c r="M123" s="9" t="s">
        <v>30</v>
      </c>
    </row>
    <row r="124" ht="15.75" customHeight="1">
      <c r="A124" s="7"/>
      <c r="B124" s="7" t="str">
        <f>IFERROR(__xludf.DUMMYFUNCTION("""COMPUTED_VALUE"""),"HTML/CSS;JavaScript;TypeScript")</f>
        <v>HTML/CSS;JavaScript;TypeScript</v>
      </c>
      <c r="C124" s="9" t="str">
        <f>IFERROR(__xludf.DUMMYFUNCTION("""COMPUTED_VALUE"""),"HTML/CSS")</f>
        <v>HTML/CSS</v>
      </c>
      <c r="D124" s="9" t="str">
        <f>IFERROR(__xludf.DUMMYFUNCTION("""COMPUTED_VALUE"""),"Python")</f>
        <v>Python</v>
      </c>
      <c r="E124" s="9" t="str">
        <f>IFERROR(__xludf.DUMMYFUNCTION("""COMPUTED_VALUE"""),"HTML/CSS")</f>
        <v>HTML/CSS</v>
      </c>
      <c r="F124" s="9" t="str">
        <f>IFERROR(__xludf.DUMMYFUNCTION("""COMPUTED_VALUE"""),"Bash/Shell/PowerShell")</f>
        <v>Bash/Shell/PowerShell</v>
      </c>
      <c r="G124" s="9" t="str">
        <f>IFERROR(__xludf.DUMMYFUNCTION("""COMPUTED_VALUE"""),"JavaScript")</f>
        <v>JavaScript</v>
      </c>
      <c r="H124" s="9" t="str">
        <f>IFERROR(__xludf.DUMMYFUNCTION("""COMPUTED_VALUE"""),"HTML/CSS")</f>
        <v>HTML/CSS</v>
      </c>
      <c r="I124" s="9" t="str">
        <f>IFERROR(__xludf.DUMMYFUNCTION("""COMPUTED_VALUE"""),"Java")</f>
        <v>Java</v>
      </c>
      <c r="J124" s="9" t="str">
        <f>IFERROR(__xludf.DUMMYFUNCTION("""COMPUTED_VALUE"""),"Assembly")</f>
        <v>Assembly</v>
      </c>
      <c r="K124" s="9" t="str">
        <f>IFERROR(__xludf.DUMMYFUNCTION("""COMPUTED_VALUE"""),"Assembly")</f>
        <v>Assembly</v>
      </c>
      <c r="L124" s="9" t="str">
        <f>IFERROR(__xludf.DUMMYFUNCTION("""COMPUTED_VALUE"""),"R")</f>
        <v>R</v>
      </c>
      <c r="M124" s="9" t="s">
        <v>24</v>
      </c>
    </row>
    <row r="125" ht="15.75" customHeight="1">
      <c r="A125" s="7"/>
      <c r="B125" s="7" t="str">
        <f>IFERROR(__xludf.DUMMYFUNCTION("""COMPUTED_VALUE"""),"HTML/CSS;Java;SQL")</f>
        <v>HTML/CSS;Java;SQL</v>
      </c>
      <c r="C125" s="9" t="str">
        <f>IFERROR(__xludf.DUMMYFUNCTION("""COMPUTED_VALUE"""),"JavaScript")</f>
        <v>JavaScript</v>
      </c>
      <c r="D125" s="9" t="str">
        <f>IFERROR(__xludf.DUMMYFUNCTION("""COMPUTED_VALUE"""),"Ruby")</f>
        <v>Ruby</v>
      </c>
      <c r="E125" s="9" t="str">
        <f>IFERROR(__xludf.DUMMYFUNCTION("""COMPUTED_VALUE"""),"Java")</f>
        <v>Java</v>
      </c>
      <c r="F125" s="9" t="str">
        <f>IFERROR(__xludf.DUMMYFUNCTION("""COMPUTED_VALUE"""),"C")</f>
        <v>C</v>
      </c>
      <c r="G125" s="9" t="str">
        <f>IFERROR(__xludf.DUMMYFUNCTION("""COMPUTED_VALUE"""),"C#")</f>
        <v>C#</v>
      </c>
      <c r="H125" s="9" t="str">
        <f>IFERROR(__xludf.DUMMYFUNCTION("""COMPUTED_VALUE"""),"JavaScript")</f>
        <v>JavaScript</v>
      </c>
      <c r="I125" s="9" t="str">
        <f>IFERROR(__xludf.DUMMYFUNCTION("""COMPUTED_VALUE"""),"JavaScript")</f>
        <v>JavaScript</v>
      </c>
      <c r="J125" s="9" t="str">
        <f>IFERROR(__xludf.DUMMYFUNCTION("""COMPUTED_VALUE"""),"C++")</f>
        <v>C++</v>
      </c>
      <c r="K125" s="9" t="str">
        <f>IFERROR(__xludf.DUMMYFUNCTION("""COMPUTED_VALUE"""),"Bash/Shell/PowerShell")</f>
        <v>Bash/Shell/PowerShell</v>
      </c>
      <c r="L125" s="9" t="str">
        <f>IFERROR(__xludf.DUMMYFUNCTION("""COMPUTED_VALUE"""),"SQL")</f>
        <v>SQL</v>
      </c>
      <c r="M125" s="9" t="s">
        <v>21</v>
      </c>
    </row>
    <row r="126" ht="15.75" customHeight="1">
      <c r="A126" s="7"/>
      <c r="B126" s="7" t="str">
        <f>IFERROR(__xludf.DUMMYFUNCTION("""COMPUTED_VALUE"""),"Bash/Shell/PowerShell;Dart;HTML/CSS;Java;JavaScript;Scala")</f>
        <v>Bash/Shell/PowerShell;Dart;HTML/CSS;Java;JavaScript;Scala</v>
      </c>
      <c r="C126" s="9" t="str">
        <f>IFERROR(__xludf.DUMMYFUNCTION("""COMPUTED_VALUE"""),"Python")</f>
        <v>Python</v>
      </c>
      <c r="D126" s="9" t="str">
        <f>IFERROR(__xludf.DUMMYFUNCTION("""COMPUTED_VALUE"""),"SQL")</f>
        <v>SQL</v>
      </c>
      <c r="E126" s="9" t="str">
        <f>IFERROR(__xludf.DUMMYFUNCTION("""COMPUTED_VALUE"""),"JavaScript")</f>
        <v>JavaScript</v>
      </c>
      <c r="F126" s="9" t="str">
        <f>IFERROR(__xludf.DUMMYFUNCTION("""COMPUTED_VALUE"""),"HTML/CSS")</f>
        <v>HTML/CSS</v>
      </c>
      <c r="G126" s="9" t="str">
        <f>IFERROR(__xludf.DUMMYFUNCTION("""COMPUTED_VALUE"""),"Go")</f>
        <v>Go</v>
      </c>
      <c r="H126" s="9" t="str">
        <f>IFERROR(__xludf.DUMMYFUNCTION("""COMPUTED_VALUE"""),"PHP")</f>
        <v>PHP</v>
      </c>
      <c r="I126" s="9" t="str">
        <f>IFERROR(__xludf.DUMMYFUNCTION("""COMPUTED_VALUE"""),"Scala")</f>
        <v>Scala</v>
      </c>
      <c r="J126" s="9" t="str">
        <f>IFERROR(__xludf.DUMMYFUNCTION("""COMPUTED_VALUE"""),"Java")</f>
        <v>Java</v>
      </c>
      <c r="K126" s="9" t="str">
        <f>IFERROR(__xludf.DUMMYFUNCTION("""COMPUTED_VALUE"""),"C")</f>
        <v>C</v>
      </c>
      <c r="L126" s="9" t="str">
        <f>IFERROR(__xludf.DUMMYFUNCTION("""COMPUTED_VALUE"""),"HTML/CSS")</f>
        <v>HTML/CSS</v>
      </c>
      <c r="M126" s="9" t="s">
        <v>22</v>
      </c>
    </row>
    <row r="127" ht="15.75" customHeight="1">
      <c r="A127" s="7"/>
      <c r="B127" s="7" t="str">
        <f>IFERROR(__xludf.DUMMYFUNCTION("""COMPUTED_VALUE"""),"C#;SQL")</f>
        <v>C#;SQL</v>
      </c>
      <c r="C127" s="9" t="str">
        <f>IFERROR(__xludf.DUMMYFUNCTION("""COMPUTED_VALUE"""),"Ruby")</f>
        <v>Ruby</v>
      </c>
      <c r="D127" s="9" t="str">
        <f>IFERROR(__xludf.DUMMYFUNCTION("""COMPUTED_VALUE"""),"VBA")</f>
        <v>VBA</v>
      </c>
      <c r="E127" s="9" t="str">
        <f>IFERROR(__xludf.DUMMYFUNCTION("""COMPUTED_VALUE"""),"TypeScript")</f>
        <v>TypeScript</v>
      </c>
      <c r="F127" s="9" t="str">
        <f>IFERROR(__xludf.DUMMYFUNCTION("""COMPUTED_VALUE"""),"Java")</f>
        <v>Java</v>
      </c>
      <c r="G127" s="9" t="str">
        <f>IFERROR(__xludf.DUMMYFUNCTION("""COMPUTED_VALUE"""),"Java")</f>
        <v>Java</v>
      </c>
      <c r="H127" s="9" t="str">
        <f>IFERROR(__xludf.DUMMYFUNCTION("""COMPUTED_VALUE"""),"Ruby")</f>
        <v>Ruby</v>
      </c>
      <c r="I127" s="9" t="str">
        <f>IFERROR(__xludf.DUMMYFUNCTION("""COMPUTED_VALUE"""),"SQL")</f>
        <v>SQL</v>
      </c>
      <c r="J127" s="9" t="str">
        <f>IFERROR(__xludf.DUMMYFUNCTION("""COMPUTED_VALUE"""),"Python")</f>
        <v>Python</v>
      </c>
      <c r="K127" s="9" t="str">
        <f>IFERROR(__xludf.DUMMYFUNCTION("""COMPUTED_VALUE"""),"C++")</f>
        <v>C++</v>
      </c>
      <c r="L127" s="9" t="str">
        <f>IFERROR(__xludf.DUMMYFUNCTION("""COMPUTED_VALUE"""),"JavaScript")</f>
        <v>JavaScript</v>
      </c>
      <c r="M127" s="9" t="s">
        <v>31</v>
      </c>
    </row>
    <row r="128" ht="15.75" customHeight="1">
      <c r="A128" s="7"/>
      <c r="B128" s="7" t="str">
        <f>IFERROR(__xludf.DUMMYFUNCTION("""COMPUTED_VALUE"""),"Bash/Shell/PowerShell;C;Python")</f>
        <v>Bash/Shell/PowerShell;C;Python</v>
      </c>
      <c r="C128" s="9" t="str">
        <f>IFERROR(__xludf.DUMMYFUNCTION("""COMPUTED_VALUE"""),"SQL")</f>
        <v>SQL</v>
      </c>
      <c r="D128" s="9" t="str">
        <f>IFERROR(__xludf.DUMMYFUNCTION("""COMPUTED_VALUE"""),"C")</f>
        <v>C</v>
      </c>
      <c r="E128" s="9" t="str">
        <f>IFERROR(__xludf.DUMMYFUNCTION("""COMPUTED_VALUE"""),"Assembly")</f>
        <v>Assembly</v>
      </c>
      <c r="F128" s="9" t="str">
        <f>IFERROR(__xludf.DUMMYFUNCTION("""COMPUTED_VALUE"""),"Python")</f>
        <v>Python</v>
      </c>
      <c r="G128" s="9" t="str">
        <f>IFERROR(__xludf.DUMMYFUNCTION("""COMPUTED_VALUE"""),"Python")</f>
        <v>Python</v>
      </c>
      <c r="H128" s="9" t="str">
        <f>IFERROR(__xludf.DUMMYFUNCTION("""COMPUTED_VALUE"""),"SQL")</f>
        <v>SQL</v>
      </c>
      <c r="I128" s="9" t="str">
        <f>IFERROR(__xludf.DUMMYFUNCTION("""COMPUTED_VALUE"""),"Python")</f>
        <v>Python</v>
      </c>
      <c r="J128" s="9" t="str">
        <f>IFERROR(__xludf.DUMMYFUNCTION("""COMPUTED_VALUE"""),"Bash/Shell/PowerShell")</f>
        <v>Bash/Shell/PowerShell</v>
      </c>
      <c r="K128" s="9" t="str">
        <f>IFERROR(__xludf.DUMMYFUNCTION("""COMPUTED_VALUE"""),"C#")</f>
        <v>C#</v>
      </c>
      <c r="L128" s="9" t="str">
        <f>IFERROR(__xludf.DUMMYFUNCTION("""COMPUTED_VALUE"""),"Python")</f>
        <v>Python</v>
      </c>
      <c r="M128" s="9" t="s">
        <v>27</v>
      </c>
    </row>
    <row r="129" ht="15.75" customHeight="1">
      <c r="A129" s="7"/>
      <c r="B129" s="7" t="str">
        <f>IFERROR(__xludf.DUMMYFUNCTION("""COMPUTED_VALUE"""),"Bash/Shell/PowerShell;Go;Ruby")</f>
        <v>Bash/Shell/PowerShell;Go;Ruby</v>
      </c>
      <c r="C129" s="9" t="str">
        <f>IFERROR(__xludf.DUMMYFUNCTION("""COMPUTED_VALUE"""),"HTML/CSS")</f>
        <v>HTML/CSS</v>
      </c>
      <c r="D129" s="9" t="str">
        <f>IFERROR(__xludf.DUMMYFUNCTION("""COMPUTED_VALUE"""),"C++")</f>
        <v>C++</v>
      </c>
      <c r="E129" s="9" t="str">
        <f>IFERROR(__xludf.DUMMYFUNCTION("""COMPUTED_VALUE"""),"Bash/Shell/PowerShell")</f>
        <v>Bash/Shell/PowerShell</v>
      </c>
      <c r="F129" s="9" t="str">
        <f>IFERROR(__xludf.DUMMYFUNCTION("""COMPUTED_VALUE"""),"Bash/Shell/PowerShell")</f>
        <v>Bash/Shell/PowerShell</v>
      </c>
      <c r="G129" s="9" t="str">
        <f>IFERROR(__xludf.DUMMYFUNCTION("""COMPUTED_VALUE"""),"TypeScript")</f>
        <v>TypeScript</v>
      </c>
      <c r="H129" s="9" t="str">
        <f>IFERROR(__xludf.DUMMYFUNCTION("""COMPUTED_VALUE"""),"VBA")</f>
        <v>VBA</v>
      </c>
      <c r="I129" s="9" t="str">
        <f>IFERROR(__xludf.DUMMYFUNCTION("""COMPUTED_VALUE"""),"Bash/Shell/PowerShell")</f>
        <v>Bash/Shell/PowerShell</v>
      </c>
      <c r="J129" s="9" t="str">
        <f>IFERROR(__xludf.DUMMYFUNCTION("""COMPUTED_VALUE"""),"C++")</f>
        <v>C++</v>
      </c>
      <c r="K129" s="9" t="str">
        <f>IFERROR(__xludf.DUMMYFUNCTION("""COMPUTED_VALUE"""),"HTML/CSS")</f>
        <v>HTML/CSS</v>
      </c>
      <c r="L129" s="9" t="str">
        <f>IFERROR(__xludf.DUMMYFUNCTION("""COMPUTED_VALUE"""),"Java")</f>
        <v>Java</v>
      </c>
      <c r="M129" s="9" t="s">
        <v>24</v>
      </c>
    </row>
    <row r="130" ht="15.75" customHeight="1">
      <c r="A130" s="7"/>
      <c r="B130" s="7" t="str">
        <f>IFERROR(__xludf.DUMMYFUNCTION("""COMPUTED_VALUE"""),"C++;Python;R")</f>
        <v>C++;Python;R</v>
      </c>
      <c r="C130" s="9" t="str">
        <f>IFERROR(__xludf.DUMMYFUNCTION("""COMPUTED_VALUE"""),"JavaScript")</f>
        <v>JavaScript</v>
      </c>
      <c r="D130" s="9" t="str">
        <f>IFERROR(__xludf.DUMMYFUNCTION("""COMPUTED_VALUE"""),"C#")</f>
        <v>C#</v>
      </c>
      <c r="E130" s="9" t="str">
        <f>IFERROR(__xludf.DUMMYFUNCTION("""COMPUTED_VALUE"""),"Java")</f>
        <v>Java</v>
      </c>
      <c r="F130" s="9" t="str">
        <f>IFERROR(__xludf.DUMMYFUNCTION("""COMPUTED_VALUE"""),"C")</f>
        <v>C</v>
      </c>
      <c r="G130" s="9" t="str">
        <f>IFERROR(__xludf.DUMMYFUNCTION("""COMPUTED_VALUE"""),"JavaScript")</f>
        <v>JavaScript</v>
      </c>
      <c r="H130" s="9" t="str">
        <f>IFERROR(__xludf.DUMMYFUNCTION("""COMPUTED_VALUE"""),"Bash/Shell/PowerShell")</f>
        <v>Bash/Shell/PowerShell</v>
      </c>
      <c r="I130" s="9" t="str">
        <f>IFERROR(__xludf.DUMMYFUNCTION("""COMPUTED_VALUE"""),"HTML/CSS")</f>
        <v>HTML/CSS</v>
      </c>
      <c r="J130" s="9" t="str">
        <f>IFERROR(__xludf.DUMMYFUNCTION("""COMPUTED_VALUE"""),"C#")</f>
        <v>C#</v>
      </c>
      <c r="K130" s="9" t="str">
        <f>IFERROR(__xludf.DUMMYFUNCTION("""COMPUTED_VALUE"""),"Java")</f>
        <v>Java</v>
      </c>
      <c r="L130" s="9" t="str">
        <f>IFERROR(__xludf.DUMMYFUNCTION("""COMPUTED_VALUE"""),"Kotlin")</f>
        <v>Kotlin</v>
      </c>
      <c r="M130" s="9" t="s">
        <v>21</v>
      </c>
    </row>
    <row r="131" ht="15.75" customHeight="1">
      <c r="A131" s="7"/>
      <c r="B131" s="7" t="str">
        <f>IFERROR(__xludf.DUMMYFUNCTION("""COMPUTED_VALUE"""),"Bash/Shell/PowerShell;C++;Clojure;HTML/CSS;Java;Python;Ruby;SQL")</f>
        <v>Bash/Shell/PowerShell;C++;Clojure;HTML/CSS;Java;Python;Ruby;SQL</v>
      </c>
      <c r="C131" s="9" t="str">
        <f>IFERROR(__xludf.DUMMYFUNCTION("""COMPUTED_VALUE"""),"PHP")</f>
        <v>PHP</v>
      </c>
      <c r="D131" s="9" t="str">
        <f>IFERROR(__xludf.DUMMYFUNCTION("""COMPUTED_VALUE"""),"HTML/CSS")</f>
        <v>HTML/CSS</v>
      </c>
      <c r="E131" s="9" t="str">
        <f>IFERROR(__xludf.DUMMYFUNCTION("""COMPUTED_VALUE"""),"JavaScript")</f>
        <v>JavaScript</v>
      </c>
      <c r="F131" s="9" t="str">
        <f>IFERROR(__xludf.DUMMYFUNCTION("""COMPUTED_VALUE"""),"Clojure")</f>
        <v>Clojure</v>
      </c>
      <c r="G131" s="9" t="str">
        <f>IFERROR(__xludf.DUMMYFUNCTION("""COMPUTED_VALUE"""),"Python")</f>
        <v>Python</v>
      </c>
      <c r="H131" s="9" t="str">
        <f>IFERROR(__xludf.DUMMYFUNCTION("""COMPUTED_VALUE"""),"C")</f>
        <v>C</v>
      </c>
      <c r="I131" s="9" t="str">
        <f>IFERROR(__xludf.DUMMYFUNCTION("""COMPUTED_VALUE"""),"JavaScript")</f>
        <v>JavaScript</v>
      </c>
      <c r="J131" s="9" t="str">
        <f>IFERROR(__xludf.DUMMYFUNCTION("""COMPUTED_VALUE"""),"HTML/CSS")</f>
        <v>HTML/CSS</v>
      </c>
      <c r="K131" s="9" t="str">
        <f>IFERROR(__xludf.DUMMYFUNCTION("""COMPUTED_VALUE"""),"JavaScript")</f>
        <v>JavaScript</v>
      </c>
      <c r="L131" s="9" t="str">
        <f>IFERROR(__xludf.DUMMYFUNCTION("""COMPUTED_VALUE"""),"Python")</f>
        <v>Python</v>
      </c>
      <c r="M131" s="9" t="s">
        <v>37</v>
      </c>
    </row>
    <row r="132" ht="15.75" customHeight="1">
      <c r="A132" s="7"/>
      <c r="B132" s="7" t="str">
        <f>IFERROR(__xludf.DUMMYFUNCTION("""COMPUTED_VALUE"""),"Java")</f>
        <v>Java</v>
      </c>
      <c r="C132" s="9" t="str">
        <f>IFERROR(__xludf.DUMMYFUNCTION("""COMPUTED_VALUE"""),"TypeScript")</f>
        <v>TypeScript</v>
      </c>
      <c r="D132" s="9" t="str">
        <f>IFERROR(__xludf.DUMMYFUNCTION("""COMPUTED_VALUE"""),"Java")</f>
        <v>Java</v>
      </c>
      <c r="E132" s="9" t="str">
        <f>IFERROR(__xludf.DUMMYFUNCTION("""COMPUTED_VALUE"""),"Python")</f>
        <v>Python</v>
      </c>
      <c r="F132" s="9" t="str">
        <f>IFERROR(__xludf.DUMMYFUNCTION("""COMPUTED_VALUE"""),"Elixir")</f>
        <v>Elixir</v>
      </c>
      <c r="G132" s="9" t="str">
        <f>IFERROR(__xludf.DUMMYFUNCTION("""COMPUTED_VALUE"""),"Ruby")</f>
        <v>Ruby</v>
      </c>
      <c r="H132" s="9" t="str">
        <f>IFERROR(__xludf.DUMMYFUNCTION("""COMPUTED_VALUE"""),"C++")</f>
        <v>C++</v>
      </c>
      <c r="I132" s="9" t="str">
        <f>IFERROR(__xludf.DUMMYFUNCTION("""COMPUTED_VALUE"""),"Python")</f>
        <v>Python</v>
      </c>
      <c r="J132" s="9" t="str">
        <f>IFERROR(__xludf.DUMMYFUNCTION("""COMPUTED_VALUE"""),"JavaScript")</f>
        <v>JavaScript</v>
      </c>
      <c r="K132" s="9" t="str">
        <f>IFERROR(__xludf.DUMMYFUNCTION("""COMPUTED_VALUE"""),"PHP")</f>
        <v>PHP</v>
      </c>
      <c r="L132" s="9" t="str">
        <f>IFERROR(__xludf.DUMMYFUNCTION("""COMPUTED_VALUE"""),"Swift")</f>
        <v>Swift</v>
      </c>
      <c r="M132" s="9" t="s">
        <v>33</v>
      </c>
    </row>
    <row r="133" ht="15.75" customHeight="1">
      <c r="A133" s="7"/>
      <c r="B133" s="7" t="str">
        <f>IFERROR(__xludf.DUMMYFUNCTION("""COMPUTED_VALUE"""),"Bash/Shell/PowerShell;C++;C#;HTML/CSS;Java;JavaScript;Objective-C;Python;TypeScript")</f>
        <v>Bash/Shell/PowerShell;C++;C#;HTML/CSS;Java;JavaScript;Objective-C;Python;TypeScript</v>
      </c>
      <c r="C133" s="9" t="str">
        <f>IFERROR(__xludf.DUMMYFUNCTION("""COMPUTED_VALUE"""),"HTML/CSS")</f>
        <v>HTML/CSS</v>
      </c>
      <c r="D133" s="9" t="str">
        <f>IFERROR(__xludf.DUMMYFUNCTION("""COMPUTED_VALUE"""),"JavaScript")</f>
        <v>JavaScript</v>
      </c>
      <c r="E133" s="9" t="str">
        <f>IFERROR(__xludf.DUMMYFUNCTION("""COMPUTED_VALUE"""),"SQL")</f>
        <v>SQL</v>
      </c>
      <c r="F133" s="9" t="str">
        <f>IFERROR(__xludf.DUMMYFUNCTION("""COMPUTED_VALUE"""),"HTML/CSS")</f>
        <v>HTML/CSS</v>
      </c>
      <c r="G133" s="9" t="str">
        <f>IFERROR(__xludf.DUMMYFUNCTION("""COMPUTED_VALUE"""),"SQL")</f>
        <v>SQL</v>
      </c>
      <c r="H133" s="9" t="str">
        <f>IFERROR(__xludf.DUMMYFUNCTION("""COMPUTED_VALUE"""),"HTML/CSS")</f>
        <v>HTML/CSS</v>
      </c>
      <c r="I133" s="9" t="str">
        <f>IFERROR(__xludf.DUMMYFUNCTION("""COMPUTED_VALUE"""),"TypeScript")</f>
        <v>TypeScript</v>
      </c>
      <c r="J133" s="9" t="str">
        <f>IFERROR(__xludf.DUMMYFUNCTION("""COMPUTED_VALUE"""),"SQL")</f>
        <v>SQL</v>
      </c>
      <c r="K133" s="9" t="str">
        <f>IFERROR(__xludf.DUMMYFUNCTION("""COMPUTED_VALUE"""),"SQL")</f>
        <v>SQL</v>
      </c>
      <c r="L133" s="9" t="str">
        <f>IFERROR(__xludf.DUMMYFUNCTION("""COMPUTED_VALUE"""),"HTML/CSS")</f>
        <v>HTML/CSS</v>
      </c>
      <c r="M133" s="9" t="s">
        <v>24</v>
      </c>
    </row>
    <row r="134" ht="15.75" customHeight="1">
      <c r="A134" s="7"/>
      <c r="B134" s="7" t="str">
        <f>IFERROR(__xludf.DUMMYFUNCTION("""COMPUTED_VALUE"""),"JavaScript;PHP;SQL")</f>
        <v>JavaScript;PHP;SQL</v>
      </c>
      <c r="C134" s="9" t="str">
        <f>IFERROR(__xludf.DUMMYFUNCTION("""COMPUTED_VALUE"""),"JavaScript")</f>
        <v>JavaScript</v>
      </c>
      <c r="D134" s="9" t="str">
        <f>IFERROR(__xludf.DUMMYFUNCTION("""COMPUTED_VALUE"""),"Python")</f>
        <v>Python</v>
      </c>
      <c r="E134" s="9" t="str">
        <f>IFERROR(__xludf.DUMMYFUNCTION("""COMPUTED_VALUE"""),"Java")</f>
        <v>Java</v>
      </c>
      <c r="F134" s="9" t="str">
        <f>IFERROR(__xludf.DUMMYFUNCTION("""COMPUTED_VALUE"""),"Java")</f>
        <v>Java</v>
      </c>
      <c r="G134" s="9" t="str">
        <f>IFERROR(__xludf.DUMMYFUNCTION("""COMPUTED_VALUE"""),"Bash/Shell/PowerShell")</f>
        <v>Bash/Shell/PowerShell</v>
      </c>
      <c r="H134" s="9" t="str">
        <f>IFERROR(__xludf.DUMMYFUNCTION("""COMPUTED_VALUE"""),"Java")</f>
        <v>Java</v>
      </c>
      <c r="I134" s="9" t="str">
        <f>IFERROR(__xludf.DUMMYFUNCTION("""COMPUTED_VALUE"""),"Bash/Shell/PowerShell")</f>
        <v>Bash/Shell/PowerShell</v>
      </c>
      <c r="J134" s="9" t="str">
        <f>IFERROR(__xludf.DUMMYFUNCTION("""COMPUTED_VALUE"""),"Bash/Shell/PowerShell")</f>
        <v>Bash/Shell/PowerShell</v>
      </c>
      <c r="K134" s="9" t="str">
        <f>IFERROR(__xludf.DUMMYFUNCTION("""COMPUTED_VALUE"""),"TypeScript")</f>
        <v>TypeScript</v>
      </c>
      <c r="L134" s="9" t="str">
        <f>IFERROR(__xludf.DUMMYFUNCTION("""COMPUTED_VALUE"""),"Java")</f>
        <v>Java</v>
      </c>
      <c r="M134" s="9" t="s">
        <v>21</v>
      </c>
    </row>
    <row r="135" ht="15.75" customHeight="1">
      <c r="A135" s="7"/>
      <c r="B135" s="7" t="str">
        <f>IFERROR(__xludf.DUMMYFUNCTION("""COMPUTED_VALUE"""),"C;C++;HTML/CSS;JavaScript;SQL")</f>
        <v>C;C++;HTML/CSS;JavaScript;SQL</v>
      </c>
      <c r="C135" s="9" t="str">
        <f>IFERROR(__xludf.DUMMYFUNCTION("""COMPUTED_VALUE"""),"PHP")</f>
        <v>PHP</v>
      </c>
      <c r="D135" s="9" t="str">
        <f>IFERROR(__xludf.DUMMYFUNCTION("""COMPUTED_VALUE"""),"SQL")</f>
        <v>SQL</v>
      </c>
      <c r="E135" s="9" t="str">
        <f>IFERROR(__xludf.DUMMYFUNCTION("""COMPUTED_VALUE"""),"JavaScript")</f>
        <v>JavaScript</v>
      </c>
      <c r="F135" s="9" t="str">
        <f>IFERROR(__xludf.DUMMYFUNCTION("""COMPUTED_VALUE"""),"JavaScript")</f>
        <v>JavaScript</v>
      </c>
      <c r="G135" s="9" t="str">
        <f>IFERROR(__xludf.DUMMYFUNCTION("""COMPUTED_VALUE"""),"HTML/CSS")</f>
        <v>HTML/CSS</v>
      </c>
      <c r="H135" s="9" t="str">
        <f>IFERROR(__xludf.DUMMYFUNCTION("""COMPUTED_VALUE"""),"JavaScript")</f>
        <v>JavaScript</v>
      </c>
      <c r="I135" s="9" t="str">
        <f>IFERROR(__xludf.DUMMYFUNCTION("""COMPUTED_VALUE"""),"C#")</f>
        <v>C#</v>
      </c>
      <c r="J135" s="9" t="str">
        <f>IFERROR(__xludf.DUMMYFUNCTION("""COMPUTED_VALUE"""),"Python")</f>
        <v>Python</v>
      </c>
      <c r="K135" s="9" t="str">
        <f>IFERROR(__xludf.DUMMYFUNCTION("""COMPUTED_VALUE"""),"VBA")</f>
        <v>VBA</v>
      </c>
      <c r="L135" s="9" t="str">
        <f>IFERROR(__xludf.DUMMYFUNCTION("""COMPUTED_VALUE"""),"JavaScript")</f>
        <v>JavaScript</v>
      </c>
      <c r="M135" s="9" t="s">
        <v>37</v>
      </c>
    </row>
    <row r="136" ht="15.75" customHeight="1">
      <c r="A136" s="7"/>
      <c r="B136" s="7" t="str">
        <f>IFERROR(__xludf.DUMMYFUNCTION("""COMPUTED_VALUE"""),"Go;HTML/CSS;JavaScript;TypeScript")</f>
        <v>Go;HTML/CSS;JavaScript;TypeScript</v>
      </c>
      <c r="C136" s="9" t="str">
        <f>IFERROR(__xludf.DUMMYFUNCTION("""COMPUTED_VALUE"""),"SQL")</f>
        <v>SQL</v>
      </c>
      <c r="D136" s="9" t="str">
        <f>IFERROR(__xludf.DUMMYFUNCTION("""COMPUTED_VALUE"""),"TypeScript")</f>
        <v>TypeScript</v>
      </c>
      <c r="E136" s="9" t="str">
        <f>IFERROR(__xludf.DUMMYFUNCTION("""COMPUTED_VALUE"""),"SQL")</f>
        <v>SQL</v>
      </c>
      <c r="F136" s="9" t="str">
        <f>IFERROR(__xludf.DUMMYFUNCTION("""COMPUTED_VALUE"""),"Python")</f>
        <v>Python</v>
      </c>
      <c r="G136" s="9" t="str">
        <f>IFERROR(__xludf.DUMMYFUNCTION("""COMPUTED_VALUE"""),"JavaScript")</f>
        <v>JavaScript</v>
      </c>
      <c r="H136" s="9" t="str">
        <f>IFERROR(__xludf.DUMMYFUNCTION("""COMPUTED_VALUE"""),"SQL")</f>
        <v>SQL</v>
      </c>
      <c r="I136" s="9" t="str">
        <f>IFERROR(__xludf.DUMMYFUNCTION("""COMPUTED_VALUE"""),"HTML/CSS")</f>
        <v>HTML/CSS</v>
      </c>
      <c r="J136" s="9" t="str">
        <f>IFERROR(__xludf.DUMMYFUNCTION("""COMPUTED_VALUE"""),"R")</f>
        <v>R</v>
      </c>
      <c r="K136" s="9" t="str">
        <f>IFERROR(__xludf.DUMMYFUNCTION("""COMPUTED_VALUE"""),"JavaScript")</f>
        <v>JavaScript</v>
      </c>
      <c r="L136" s="9" t="str">
        <f>IFERROR(__xludf.DUMMYFUNCTION("""COMPUTED_VALUE"""),"Bash/Shell/PowerShell")</f>
        <v>Bash/Shell/PowerShell</v>
      </c>
      <c r="M136" s="9" t="s">
        <v>27</v>
      </c>
    </row>
    <row r="137" ht="15.75" customHeight="1">
      <c r="A137" s="7"/>
      <c r="B137" s="7" t="str">
        <f>IFERROR(__xludf.DUMMYFUNCTION("""COMPUTED_VALUE"""),"C#;Java;PHP;Python")</f>
        <v>C#;Java;PHP;Python</v>
      </c>
      <c r="C137" s="9" t="str">
        <f>IFERROR(__xludf.DUMMYFUNCTION("""COMPUTED_VALUE"""),"TypeScript")</f>
        <v>TypeScript</v>
      </c>
      <c r="D137" s="9" t="str">
        <f>IFERROR(__xludf.DUMMYFUNCTION("""COMPUTED_VALUE"""),"HTML/CSS")</f>
        <v>HTML/CSS</v>
      </c>
      <c r="E137" s="9" t="str">
        <f>IFERROR(__xludf.DUMMYFUNCTION("""COMPUTED_VALUE"""),"C")</f>
        <v>C</v>
      </c>
      <c r="F137" s="9" t="str">
        <f>IFERROR(__xludf.DUMMYFUNCTION("""COMPUTED_VALUE"""),"R")</f>
        <v>R</v>
      </c>
      <c r="G137" s="9" t="str">
        <f>IFERROR(__xludf.DUMMYFUNCTION("""COMPUTED_VALUE"""),"Python")</f>
        <v>Python</v>
      </c>
      <c r="H137" s="9" t="str">
        <f>IFERROR(__xludf.DUMMYFUNCTION("""COMPUTED_VALUE"""),"TypeScript")</f>
        <v>TypeScript</v>
      </c>
      <c r="I137" s="9" t="str">
        <f>IFERROR(__xludf.DUMMYFUNCTION("""COMPUTED_VALUE"""),"JavaScript")</f>
        <v>JavaScript</v>
      </c>
      <c r="J137" s="9" t="str">
        <f>IFERROR(__xludf.DUMMYFUNCTION("""COMPUTED_VALUE"""),"SQL")</f>
        <v>SQL</v>
      </c>
      <c r="K137" s="9" t="str">
        <f>IFERROR(__xludf.DUMMYFUNCTION("""COMPUTED_VALUE"""),"Python")</f>
        <v>Python</v>
      </c>
      <c r="L137" s="9" t="str">
        <f>IFERROR(__xludf.DUMMYFUNCTION("""COMPUTED_VALUE"""),"C++")</f>
        <v>C++</v>
      </c>
      <c r="M137" s="9" t="s">
        <v>33</v>
      </c>
    </row>
    <row r="138" ht="15.75" customHeight="1">
      <c r="A138" s="7"/>
      <c r="B138" s="7" t="str">
        <f>IFERROR(__xludf.DUMMYFUNCTION("""COMPUTED_VALUE"""),"HTML/CSS;Java;JavaScript;PHP;SQL")</f>
        <v>HTML/CSS;Java;JavaScript;PHP;SQL</v>
      </c>
      <c r="C138" s="9" t="str">
        <f>IFERROR(__xludf.DUMMYFUNCTION("""COMPUTED_VALUE"""),"Bash/Shell/PowerShell")</f>
        <v>Bash/Shell/PowerShell</v>
      </c>
      <c r="D138" s="9" t="str">
        <f>IFERROR(__xludf.DUMMYFUNCTION("""COMPUTED_VALUE"""),"Java")</f>
        <v>Java</v>
      </c>
      <c r="E138" s="9" t="str">
        <f>IFERROR(__xludf.DUMMYFUNCTION("""COMPUTED_VALUE"""),"C++")</f>
        <v>C++</v>
      </c>
      <c r="F138" s="9" t="str">
        <f>IFERROR(__xludf.DUMMYFUNCTION("""COMPUTED_VALUE"""),"Rust")</f>
        <v>Rust</v>
      </c>
      <c r="G138" s="9" t="str">
        <f>IFERROR(__xludf.DUMMYFUNCTION("""COMPUTED_VALUE"""),"SQL")</f>
        <v>SQL</v>
      </c>
      <c r="H138" s="9" t="str">
        <f>IFERROR(__xludf.DUMMYFUNCTION("""COMPUTED_VALUE"""),"Other(s):")</f>
        <v>Other(s):</v>
      </c>
      <c r="I138" s="9" t="str">
        <f>IFERROR(__xludf.DUMMYFUNCTION("""COMPUTED_VALUE"""),"SQL")</f>
        <v>SQL</v>
      </c>
      <c r="J138" s="9" t="str">
        <f>IFERROR(__xludf.DUMMYFUNCTION("""COMPUTED_VALUE"""),"Other(s):")</f>
        <v>Other(s):</v>
      </c>
      <c r="K138" s="9" t="str">
        <f>IFERROR(__xludf.DUMMYFUNCTION("""COMPUTED_VALUE"""),"Ruby")</f>
        <v>Ruby</v>
      </c>
      <c r="L138" s="9" t="str">
        <f>IFERROR(__xludf.DUMMYFUNCTION("""COMPUTED_VALUE"""),"Java")</f>
        <v>Java</v>
      </c>
      <c r="M138" s="9" t="s">
        <v>30</v>
      </c>
    </row>
    <row r="139" ht="15.75" customHeight="1">
      <c r="A139" s="7"/>
      <c r="B139" s="7" t="str">
        <f>IFERROR(__xludf.DUMMYFUNCTION("""COMPUTED_VALUE"""),"Bash/Shell/PowerShell;HTML/CSS;JavaScript;PHP;Python;SQL")</f>
        <v>Bash/Shell/PowerShell;HTML/CSS;JavaScript;PHP;Python;SQL</v>
      </c>
      <c r="C139" s="9" t="str">
        <f>IFERROR(__xludf.DUMMYFUNCTION("""COMPUTED_VALUE"""),"C++")</f>
        <v>C++</v>
      </c>
      <c r="D139" s="9" t="str">
        <f>IFERROR(__xludf.DUMMYFUNCTION("""COMPUTED_VALUE"""),"Bash/Shell/PowerShell")</f>
        <v>Bash/Shell/PowerShell</v>
      </c>
      <c r="E139" s="9" t="str">
        <f>IFERROR(__xludf.DUMMYFUNCTION("""COMPUTED_VALUE"""),"C#")</f>
        <v>C#</v>
      </c>
      <c r="F139" s="9" t="str">
        <f>IFERROR(__xludf.DUMMYFUNCTION("""COMPUTED_VALUE"""),"Other(s):")</f>
        <v>Other(s):</v>
      </c>
      <c r="G139" s="9" t="str">
        <f>IFERROR(__xludf.DUMMYFUNCTION("""COMPUTED_VALUE"""),"C")</f>
        <v>C</v>
      </c>
      <c r="H139" s="9" t="str">
        <f>IFERROR(__xludf.DUMMYFUNCTION("""COMPUTED_VALUE"""),"Bash/Shell/PowerShell")</f>
        <v>Bash/Shell/PowerShell</v>
      </c>
      <c r="I139" s="9" t="str">
        <f>IFERROR(__xludf.DUMMYFUNCTION("""COMPUTED_VALUE"""),"Bash/Shell/PowerShell")</f>
        <v>Bash/Shell/PowerShell</v>
      </c>
      <c r="J139" s="9" t="str">
        <f>IFERROR(__xludf.DUMMYFUNCTION("""COMPUTED_VALUE"""),"Assembly")</f>
        <v>Assembly</v>
      </c>
      <c r="K139" s="9" t="str">
        <f>IFERROR(__xludf.DUMMYFUNCTION("""COMPUTED_VALUE"""),"JavaScript")</f>
        <v>JavaScript</v>
      </c>
      <c r="L139" s="9" t="str">
        <f>IFERROR(__xludf.DUMMYFUNCTION("""COMPUTED_VALUE"""),"Scala")</f>
        <v>Scala</v>
      </c>
      <c r="M139" s="9" t="s">
        <v>23</v>
      </c>
    </row>
    <row r="140" ht="15.75" customHeight="1">
      <c r="A140" s="7"/>
      <c r="B140" s="7" t="str">
        <f>IFERROR(__xludf.DUMMYFUNCTION("""COMPUTED_VALUE"""),"Java;JavaScript;Kotlin;PHP;SQL")</f>
        <v>Java;JavaScript;Kotlin;PHP;SQL</v>
      </c>
      <c r="C140" s="9" t="str">
        <f>IFERROR(__xludf.DUMMYFUNCTION("""COMPUTED_VALUE"""),"C#")</f>
        <v>C#</v>
      </c>
      <c r="D140" s="9" t="str">
        <f>IFERROR(__xludf.DUMMYFUNCTION("""COMPUTED_VALUE"""),"Python")</f>
        <v>Python</v>
      </c>
      <c r="E140" s="9" t="str">
        <f>IFERROR(__xludf.DUMMYFUNCTION("""COMPUTED_VALUE"""),"HTML/CSS")</f>
        <v>HTML/CSS</v>
      </c>
      <c r="F140" s="9" t="str">
        <f>IFERROR(__xludf.DUMMYFUNCTION("""COMPUTED_VALUE"""),"Clojure")</f>
        <v>Clojure</v>
      </c>
      <c r="G140" s="9" t="str">
        <f>IFERROR(__xludf.DUMMYFUNCTION("""COMPUTED_VALUE"""),"C++")</f>
        <v>C++</v>
      </c>
      <c r="H140" s="9" t="str">
        <f>IFERROR(__xludf.DUMMYFUNCTION("""COMPUTED_VALUE"""),"JavaScript")</f>
        <v>JavaScript</v>
      </c>
      <c r="I140" s="9" t="str">
        <f>IFERROR(__xludf.DUMMYFUNCTION("""COMPUTED_VALUE"""),"JavaScript")</f>
        <v>JavaScript</v>
      </c>
      <c r="J140" s="9" t="str">
        <f>IFERROR(__xludf.DUMMYFUNCTION("""COMPUTED_VALUE"""),"Bash/Shell/PowerShell")</f>
        <v>Bash/Shell/PowerShell</v>
      </c>
      <c r="K140" s="9" t="str">
        <f>IFERROR(__xludf.DUMMYFUNCTION("""COMPUTED_VALUE"""),"Python")</f>
        <v>Python</v>
      </c>
      <c r="L140" s="9" t="str">
        <f>IFERROR(__xludf.DUMMYFUNCTION("""COMPUTED_VALUE"""),"JavaScript")</f>
        <v>JavaScript</v>
      </c>
      <c r="M140" s="9" t="s">
        <v>26</v>
      </c>
    </row>
    <row r="141" ht="15.75" customHeight="1">
      <c r="A141" s="7"/>
      <c r="B141" s="7" t="str">
        <f>IFERROR(__xludf.DUMMYFUNCTION("""COMPUTED_VALUE"""),"Assembly;Bash/Shell/PowerShell;C;C++;HTML/CSS;Java;JavaScript;Python;SQL;TypeScript")</f>
        <v>Assembly;Bash/Shell/PowerShell;C;C++;HTML/CSS;Java;JavaScript;Python;SQL;TypeScript</v>
      </c>
      <c r="C141" s="9" t="str">
        <f>IFERROR(__xludf.DUMMYFUNCTION("""COMPUTED_VALUE"""),"HTML/CSS")</f>
        <v>HTML/CSS</v>
      </c>
      <c r="D141" s="9" t="str">
        <f>IFERROR(__xludf.DUMMYFUNCTION("""COMPUTED_VALUE"""),"SQL")</f>
        <v>SQL</v>
      </c>
      <c r="E141" s="9" t="str">
        <f>IFERROR(__xludf.DUMMYFUNCTION("""COMPUTED_VALUE"""),"Java")</f>
        <v>Java</v>
      </c>
      <c r="F141" s="9" t="str">
        <f>IFERROR(__xludf.DUMMYFUNCTION("""COMPUTED_VALUE"""),"Java")</f>
        <v>Java</v>
      </c>
      <c r="G141" s="9" t="str">
        <f>IFERROR(__xludf.DUMMYFUNCTION("""COMPUTED_VALUE"""),"C#")</f>
        <v>C#</v>
      </c>
      <c r="H141" s="9" t="str">
        <f>IFERROR(__xludf.DUMMYFUNCTION("""COMPUTED_VALUE"""),"PHP")</f>
        <v>PHP</v>
      </c>
      <c r="I141" s="9" t="str">
        <f>IFERROR(__xludf.DUMMYFUNCTION("""COMPUTED_VALUE"""),"Ruby")</f>
        <v>Ruby</v>
      </c>
      <c r="J141" s="9" t="str">
        <f>IFERROR(__xludf.DUMMYFUNCTION("""COMPUTED_VALUE"""),"C")</f>
        <v>C</v>
      </c>
      <c r="K141" s="9" t="str">
        <f>IFERROR(__xludf.DUMMYFUNCTION("""COMPUTED_VALUE"""),"Java")</f>
        <v>Java</v>
      </c>
      <c r="L141" s="9" t="str">
        <f>IFERROR(__xludf.DUMMYFUNCTION("""COMPUTED_VALUE"""),"HTML/CSS")</f>
        <v>HTML/CSS</v>
      </c>
      <c r="M141" s="9" t="s">
        <v>24</v>
      </c>
    </row>
    <row r="142" ht="15.75" customHeight="1">
      <c r="A142" s="7"/>
      <c r="B142" s="7" t="str">
        <f>IFERROR(__xludf.DUMMYFUNCTION("""COMPUTED_VALUE"""),"Bash/Shell/PowerShell;C#")</f>
        <v>Bash/Shell/PowerShell;C#</v>
      </c>
      <c r="C142" s="9" t="str">
        <f>IFERROR(__xludf.DUMMYFUNCTION("""COMPUTED_VALUE"""),"JavaScript")</f>
        <v>JavaScript</v>
      </c>
      <c r="D142" s="9" t="str">
        <f>IFERROR(__xludf.DUMMYFUNCTION("""COMPUTED_VALUE"""),"HTML/CSS")</f>
        <v>HTML/CSS</v>
      </c>
      <c r="E142" s="9" t="str">
        <f>IFERROR(__xludf.DUMMYFUNCTION("""COMPUTED_VALUE"""),"JavaScript")</f>
        <v>JavaScript</v>
      </c>
      <c r="F142" s="9" t="str">
        <f>IFERROR(__xludf.DUMMYFUNCTION("""COMPUTED_VALUE"""),"C")</f>
        <v>C</v>
      </c>
      <c r="G142" s="9" t="str">
        <f>IFERROR(__xludf.DUMMYFUNCTION("""COMPUTED_VALUE"""),"HTML/CSS")</f>
        <v>HTML/CSS</v>
      </c>
      <c r="H142" s="9" t="str">
        <f>IFERROR(__xludf.DUMMYFUNCTION("""COMPUTED_VALUE"""),"Python")</f>
        <v>Python</v>
      </c>
      <c r="I142" s="9" t="str">
        <f>IFERROR(__xludf.DUMMYFUNCTION("""COMPUTED_VALUE"""),"SQL")</f>
        <v>SQL</v>
      </c>
      <c r="J142" s="9" t="str">
        <f>IFERROR(__xludf.DUMMYFUNCTION("""COMPUTED_VALUE"""),"HTML/CSS")</f>
        <v>HTML/CSS</v>
      </c>
      <c r="K142" s="9" t="str">
        <f>IFERROR(__xludf.DUMMYFUNCTION("""COMPUTED_VALUE"""),"Bash/Shell/PowerShell")</f>
        <v>Bash/Shell/PowerShell</v>
      </c>
      <c r="L142" s="9" t="str">
        <f>IFERROR(__xludf.DUMMYFUNCTION("""COMPUTED_VALUE"""),"JavaScript")</f>
        <v>JavaScript</v>
      </c>
      <c r="M142" s="9" t="s">
        <v>21</v>
      </c>
    </row>
    <row r="143" ht="15.75" customHeight="1">
      <c r="A143" s="7"/>
      <c r="B143" s="7" t="str">
        <f>IFERROR(__xludf.DUMMYFUNCTION("""COMPUTED_VALUE"""),"C;HTML/CSS;Java;JavaScript;Python;SQL;TypeScript")</f>
        <v>C;HTML/CSS;Java;JavaScript;Python;SQL;TypeScript</v>
      </c>
      <c r="C143" s="9" t="str">
        <f>IFERROR(__xludf.DUMMYFUNCTION("""COMPUTED_VALUE"""),"PHP")</f>
        <v>PHP</v>
      </c>
      <c r="D143" s="9" t="str">
        <f>IFERROR(__xludf.DUMMYFUNCTION("""COMPUTED_VALUE"""),"JavaScript")</f>
        <v>JavaScript</v>
      </c>
      <c r="E143" s="9" t="str">
        <f>IFERROR(__xludf.DUMMYFUNCTION("""COMPUTED_VALUE"""),"PHP")</f>
        <v>PHP</v>
      </c>
      <c r="F143" s="9" t="str">
        <f>IFERROR(__xludf.DUMMYFUNCTION("""COMPUTED_VALUE"""),"HTML/CSS")</f>
        <v>HTML/CSS</v>
      </c>
      <c r="G143" s="9" t="str">
        <f>IFERROR(__xludf.DUMMYFUNCTION("""COMPUTED_VALUE"""),"JavaScript")</f>
        <v>JavaScript</v>
      </c>
      <c r="H143" s="9" t="str">
        <f>IFERROR(__xludf.DUMMYFUNCTION("""COMPUTED_VALUE"""),"SQL")</f>
        <v>SQL</v>
      </c>
      <c r="I143" s="9" t="str">
        <f>IFERROR(__xludf.DUMMYFUNCTION("""COMPUTED_VALUE"""),"TypeScript")</f>
        <v>TypeScript</v>
      </c>
      <c r="J143" s="9" t="str">
        <f>IFERROR(__xludf.DUMMYFUNCTION("""COMPUTED_VALUE"""),"Java")</f>
        <v>Java</v>
      </c>
      <c r="K143" s="9" t="str">
        <f>IFERROR(__xludf.DUMMYFUNCTION("""COMPUTED_VALUE"""),"C")</f>
        <v>C</v>
      </c>
      <c r="L143" s="9" t="str">
        <f>IFERROR(__xludf.DUMMYFUNCTION("""COMPUTED_VALUE"""),"PHP")</f>
        <v>PHP</v>
      </c>
      <c r="M143" s="9" t="s">
        <v>37</v>
      </c>
    </row>
    <row r="144" ht="15.75" customHeight="1">
      <c r="A144" s="7"/>
      <c r="B144" s="7" t="str">
        <f>IFERROR(__xludf.DUMMYFUNCTION("""COMPUTED_VALUE"""),"Java;SQL")</f>
        <v>Java;SQL</v>
      </c>
      <c r="C144" s="9" t="str">
        <f>IFERROR(__xludf.DUMMYFUNCTION("""COMPUTED_VALUE"""),"Python")</f>
        <v>Python</v>
      </c>
      <c r="D144" s="9" t="str">
        <f>IFERROR(__xludf.DUMMYFUNCTION("""COMPUTED_VALUE"""),"TypeScript")</f>
        <v>TypeScript</v>
      </c>
      <c r="E144" s="9" t="str">
        <f>IFERROR(__xludf.DUMMYFUNCTION("""COMPUTED_VALUE"""),"Python")</f>
        <v>Python</v>
      </c>
      <c r="F144" s="9" t="str">
        <f>IFERROR(__xludf.DUMMYFUNCTION("""COMPUTED_VALUE"""),"Java")</f>
        <v>Java</v>
      </c>
      <c r="G144" s="9" t="str">
        <f>IFERROR(__xludf.DUMMYFUNCTION("""COMPUTED_VALUE"""),"PHP")</f>
        <v>PHP</v>
      </c>
      <c r="H144" s="9" t="str">
        <f>IFERROR(__xludf.DUMMYFUNCTION("""COMPUTED_VALUE"""),"Other(s):")</f>
        <v>Other(s):</v>
      </c>
      <c r="I144" s="9" t="str">
        <f>IFERROR(__xludf.DUMMYFUNCTION("""COMPUTED_VALUE"""),"Bash/Shell/PowerShell")</f>
        <v>Bash/Shell/PowerShell</v>
      </c>
      <c r="J144" s="9" t="str">
        <f>IFERROR(__xludf.DUMMYFUNCTION("""COMPUTED_VALUE"""),"JavaScript")</f>
        <v>JavaScript</v>
      </c>
      <c r="K144" s="9" t="str">
        <f>IFERROR(__xludf.DUMMYFUNCTION("""COMPUTED_VALUE"""),"Java")</f>
        <v>Java</v>
      </c>
      <c r="L144" s="9" t="str">
        <f>IFERROR(__xludf.DUMMYFUNCTION("""COMPUTED_VALUE"""),"HTML/CSS")</f>
        <v>HTML/CSS</v>
      </c>
      <c r="M144" s="9" t="s">
        <v>22</v>
      </c>
    </row>
    <row r="145" ht="15.75" customHeight="1">
      <c r="A145" s="7"/>
      <c r="B145" s="7" t="str">
        <f>IFERROR(__xludf.DUMMYFUNCTION("""COMPUTED_VALUE"""),"Assembly;C++;Python;VBA")</f>
        <v>Assembly;C++;Python;VBA</v>
      </c>
      <c r="C145" s="9" t="str">
        <f>IFERROR(__xludf.DUMMYFUNCTION("""COMPUTED_VALUE"""),"Ruby")</f>
        <v>Ruby</v>
      </c>
      <c r="D145" s="9" t="str">
        <f>IFERROR(__xludf.DUMMYFUNCTION("""COMPUTED_VALUE"""),"Python")</f>
        <v>Python</v>
      </c>
      <c r="E145" s="9" t="str">
        <f>IFERROR(__xludf.DUMMYFUNCTION("""COMPUTED_VALUE"""),"SQL")</f>
        <v>SQL</v>
      </c>
      <c r="F145" s="9" t="str">
        <f>IFERROR(__xludf.DUMMYFUNCTION("""COMPUTED_VALUE"""),"JavaScript")</f>
        <v>JavaScript</v>
      </c>
      <c r="G145" s="9" t="str">
        <f>IFERROR(__xludf.DUMMYFUNCTION("""COMPUTED_VALUE"""),"SQL")</f>
        <v>SQL</v>
      </c>
      <c r="H145" s="9" t="str">
        <f>IFERROR(__xludf.DUMMYFUNCTION("""COMPUTED_VALUE"""),"C++")</f>
        <v>C++</v>
      </c>
      <c r="I145" s="9" t="str">
        <f>IFERROR(__xludf.DUMMYFUNCTION("""COMPUTED_VALUE"""),"HTML/CSS")</f>
        <v>HTML/CSS</v>
      </c>
      <c r="J145" s="9" t="str">
        <f>IFERROR(__xludf.DUMMYFUNCTION("""COMPUTED_VALUE"""),"Python")</f>
        <v>Python</v>
      </c>
      <c r="K145" s="9" t="str">
        <f>IFERROR(__xludf.DUMMYFUNCTION("""COMPUTED_VALUE"""),"Python")</f>
        <v>Python</v>
      </c>
      <c r="L145" s="9" t="str">
        <f>IFERROR(__xludf.DUMMYFUNCTION("""COMPUTED_VALUE"""),"Java")</f>
        <v>Java</v>
      </c>
      <c r="M145" s="9" t="s">
        <v>31</v>
      </c>
    </row>
    <row r="146" ht="15.75" customHeight="1">
      <c r="A146" s="7"/>
      <c r="B146" s="7" t="str">
        <f>IFERROR(__xludf.DUMMYFUNCTION("""COMPUTED_VALUE"""),"Bash/Shell/PowerShell;C;Python;Scala")</f>
        <v>Bash/Shell/PowerShell;C;Python;Scala</v>
      </c>
      <c r="C146" s="9" t="str">
        <f>IFERROR(__xludf.DUMMYFUNCTION("""COMPUTED_VALUE"""),"SQL")</f>
        <v>SQL</v>
      </c>
      <c r="D146" s="9" t="str">
        <f>IFERROR(__xludf.DUMMYFUNCTION("""COMPUTED_VALUE"""),"Rust")</f>
        <v>Rust</v>
      </c>
      <c r="E146" s="9" t="str">
        <f>IFERROR(__xludf.DUMMYFUNCTION("""COMPUTED_VALUE"""),"C#")</f>
        <v>C#</v>
      </c>
      <c r="F146" s="9" t="str">
        <f>IFERROR(__xludf.DUMMYFUNCTION("""COMPUTED_VALUE"""),"Python")</f>
        <v>Python</v>
      </c>
      <c r="G146" s="9" t="str">
        <f>IFERROR(__xludf.DUMMYFUNCTION("""COMPUTED_VALUE"""),"Other(s):")</f>
        <v>Other(s):</v>
      </c>
      <c r="H146" s="9" t="str">
        <f>IFERROR(__xludf.DUMMYFUNCTION("""COMPUTED_VALUE"""),"JavaScript")</f>
        <v>JavaScript</v>
      </c>
      <c r="I146" s="9" t="str">
        <f>IFERROR(__xludf.DUMMYFUNCTION("""COMPUTED_VALUE"""),"JavaScript")</f>
        <v>JavaScript</v>
      </c>
      <c r="J146" s="9" t="str">
        <f>IFERROR(__xludf.DUMMYFUNCTION("""COMPUTED_VALUE"""),"Scala")</f>
        <v>Scala</v>
      </c>
      <c r="K146" s="9" t="str">
        <f>IFERROR(__xludf.DUMMYFUNCTION("""COMPUTED_VALUE"""),"Swift")</f>
        <v>Swift</v>
      </c>
      <c r="L146" s="9" t="str">
        <f>IFERROR(__xludf.DUMMYFUNCTION("""COMPUTED_VALUE"""),"JavaScript")</f>
        <v>JavaScript</v>
      </c>
      <c r="M146" s="9" t="s">
        <v>27</v>
      </c>
    </row>
    <row r="147" ht="15.75" customHeight="1">
      <c r="A147" s="7"/>
      <c r="B147" s="7" t="str">
        <f>IFERROR(__xludf.DUMMYFUNCTION("""COMPUTED_VALUE"""),"HTML/CSS;Java;JavaScript;Kotlin")</f>
        <v>HTML/CSS;Java;JavaScript;Kotlin</v>
      </c>
      <c r="C147" s="9" t="str">
        <f>IFERROR(__xludf.DUMMYFUNCTION("""COMPUTED_VALUE"""),"Swift")</f>
        <v>Swift</v>
      </c>
      <c r="D147" s="9" t="str">
        <f>IFERROR(__xludf.DUMMYFUNCTION("""COMPUTED_VALUE"""),"C++")</f>
        <v>C++</v>
      </c>
      <c r="E147" s="9" t="str">
        <f>IFERROR(__xludf.DUMMYFUNCTION("""COMPUTED_VALUE"""),"Bash/Shell/PowerShell")</f>
        <v>Bash/Shell/PowerShell</v>
      </c>
      <c r="F147" s="9" t="str">
        <f>IFERROR(__xludf.DUMMYFUNCTION("""COMPUTED_VALUE"""),"Bash/Shell/PowerShell")</f>
        <v>Bash/Shell/PowerShell</v>
      </c>
      <c r="G147" s="9" t="str">
        <f>IFERROR(__xludf.DUMMYFUNCTION("""COMPUTED_VALUE"""),"Assembly")</f>
        <v>Assembly</v>
      </c>
      <c r="H147" s="9" t="str">
        <f>IFERROR(__xludf.DUMMYFUNCTION("""COMPUTED_VALUE"""),"Bash/Shell/PowerShell")</f>
        <v>Bash/Shell/PowerShell</v>
      </c>
      <c r="I147" s="9" t="str">
        <f>IFERROR(__xludf.DUMMYFUNCTION("""COMPUTED_VALUE"""),"PHP")</f>
        <v>PHP</v>
      </c>
      <c r="J147" s="9" t="str">
        <f>IFERROR(__xludf.DUMMYFUNCTION("""COMPUTED_VALUE"""),"SQL")</f>
        <v>SQL</v>
      </c>
      <c r="K147" s="9" t="str">
        <f>IFERROR(__xludf.DUMMYFUNCTION("""COMPUTED_VALUE"""),"Other(s):")</f>
        <v>Other(s):</v>
      </c>
      <c r="L147" s="9" t="str">
        <f>IFERROR(__xludf.DUMMYFUNCTION("""COMPUTED_VALUE"""),"SQL")</f>
        <v>SQL</v>
      </c>
      <c r="M147" s="9" t="s">
        <v>40</v>
      </c>
    </row>
    <row r="148" ht="15.75" customHeight="1">
      <c r="A148" s="7"/>
      <c r="B148" s="7" t="str">
        <f>IFERROR(__xludf.DUMMYFUNCTION("""COMPUTED_VALUE"""),"HTML/CSS;JavaScript;TypeScript")</f>
        <v>HTML/CSS;JavaScript;TypeScript</v>
      </c>
      <c r="C148" s="9" t="str">
        <f>IFERROR(__xludf.DUMMYFUNCTION("""COMPUTED_VALUE"""),"TypeScript")</f>
        <v>TypeScript</v>
      </c>
      <c r="D148" s="9" t="str">
        <f>IFERROR(__xludf.DUMMYFUNCTION("""COMPUTED_VALUE"""),"C#")</f>
        <v>C#</v>
      </c>
      <c r="E148" s="9" t="str">
        <f>IFERROR(__xludf.DUMMYFUNCTION("""COMPUTED_VALUE"""),"C")</f>
        <v>C</v>
      </c>
      <c r="F148" s="9" t="str">
        <f>IFERROR(__xludf.DUMMYFUNCTION("""COMPUTED_VALUE"""),"C#")</f>
        <v>C#</v>
      </c>
      <c r="G148" s="9" t="str">
        <f>IFERROR(__xludf.DUMMYFUNCTION("""COMPUTED_VALUE"""),"Bash/Shell/PowerShell")</f>
        <v>Bash/Shell/PowerShell</v>
      </c>
      <c r="H148" s="9" t="str">
        <f>IFERROR(__xludf.DUMMYFUNCTION("""COMPUTED_VALUE"""),"HTML/CSS")</f>
        <v>HTML/CSS</v>
      </c>
      <c r="I148" s="9" t="str">
        <f>IFERROR(__xludf.DUMMYFUNCTION("""COMPUTED_VALUE"""),"Python")</f>
        <v>Python</v>
      </c>
      <c r="J148" s="9" t="str">
        <f>IFERROR(__xludf.DUMMYFUNCTION("""COMPUTED_VALUE"""),"HTML/CSS")</f>
        <v>HTML/CSS</v>
      </c>
      <c r="K148" s="9" t="str">
        <f>IFERROR(__xludf.DUMMYFUNCTION("""COMPUTED_VALUE"""),"C++")</f>
        <v>C++</v>
      </c>
      <c r="L148" s="9" t="str">
        <f>IFERROR(__xludf.DUMMYFUNCTION("""COMPUTED_VALUE"""),"Assembly")</f>
        <v>Assembly</v>
      </c>
      <c r="M148" s="9" t="s">
        <v>33</v>
      </c>
    </row>
    <row r="149" ht="15.75" customHeight="1">
      <c r="A149" s="7"/>
      <c r="B149" s="7" t="str">
        <f>IFERROR(__xludf.DUMMYFUNCTION("""COMPUTED_VALUE"""),"Bash/Shell/PowerShell;HTML/CSS;JavaScript;Python;SQL")</f>
        <v>Bash/Shell/PowerShell;HTML/CSS;JavaScript;Python;SQL</v>
      </c>
      <c r="C149" s="9" t="str">
        <f>IFERROR(__xludf.DUMMYFUNCTION("""COMPUTED_VALUE"""),"VBA")</f>
        <v>VBA</v>
      </c>
      <c r="D149" s="9" t="str">
        <f>IFERROR(__xludf.DUMMYFUNCTION("""COMPUTED_VALUE"""),"Java")</f>
        <v>Java</v>
      </c>
      <c r="E149" s="9" t="str">
        <f>IFERROR(__xludf.DUMMYFUNCTION("""COMPUTED_VALUE"""),"C++")</f>
        <v>C++</v>
      </c>
      <c r="F149" s="9" t="str">
        <f>IFERROR(__xludf.DUMMYFUNCTION("""COMPUTED_VALUE"""),"HTML/CSS")</f>
        <v>HTML/CSS</v>
      </c>
      <c r="G149" s="9" t="str">
        <f>IFERROR(__xludf.DUMMYFUNCTION("""COMPUTED_VALUE"""),"C")</f>
        <v>C</v>
      </c>
      <c r="H149" s="9" t="str">
        <f>IFERROR(__xludf.DUMMYFUNCTION("""COMPUTED_VALUE"""),"JavaScript")</f>
        <v>JavaScript</v>
      </c>
      <c r="I149" s="9" t="str">
        <f>IFERROR(__xludf.DUMMYFUNCTION("""COMPUTED_VALUE"""),"SQL")</f>
        <v>SQL</v>
      </c>
      <c r="J149" s="9" t="str">
        <f>IFERROR(__xludf.DUMMYFUNCTION("""COMPUTED_VALUE"""),"Java")</f>
        <v>Java</v>
      </c>
      <c r="K149" s="9" t="str">
        <f>IFERROR(__xludf.DUMMYFUNCTION("""COMPUTED_VALUE"""),"HTML/CSS")</f>
        <v>HTML/CSS</v>
      </c>
      <c r="L149" s="9" t="str">
        <f>IFERROR(__xludf.DUMMYFUNCTION("""COMPUTED_VALUE"""),"Bash/Shell/PowerShell")</f>
        <v>Bash/Shell/PowerShell</v>
      </c>
      <c r="M149" s="9" t="s">
        <v>28</v>
      </c>
    </row>
    <row r="150" ht="15.75" customHeight="1">
      <c r="A150" s="7"/>
      <c r="B150" s="7" t="str">
        <f>IFERROR(__xludf.DUMMYFUNCTION("""COMPUTED_VALUE"""),"Bash/Shell/PowerShell;C#;HTML/CSS;Java;JavaScript;Python;SQL")</f>
        <v>Bash/Shell/PowerShell;C#;HTML/CSS;Java;JavaScript;Python;SQL</v>
      </c>
      <c r="C150" s="9" t="str">
        <f>IFERROR(__xludf.DUMMYFUNCTION("""COMPUTED_VALUE"""),"C++")</f>
        <v>C++</v>
      </c>
      <c r="D150" s="9" t="str">
        <f>IFERROR(__xludf.DUMMYFUNCTION("""COMPUTED_VALUE"""),"Python")</f>
        <v>Python</v>
      </c>
      <c r="E150" s="9" t="str">
        <f>IFERROR(__xludf.DUMMYFUNCTION("""COMPUTED_VALUE"""),"Go")</f>
        <v>Go</v>
      </c>
      <c r="F150" s="9" t="str">
        <f>IFERROR(__xludf.DUMMYFUNCTION("""COMPUTED_VALUE"""),"Java")</f>
        <v>Java</v>
      </c>
      <c r="G150" s="9" t="str">
        <f>IFERROR(__xludf.DUMMYFUNCTION("""COMPUTED_VALUE"""),"C++")</f>
        <v>C++</v>
      </c>
      <c r="H150" s="9" t="str">
        <f>IFERROR(__xludf.DUMMYFUNCTION("""COMPUTED_VALUE"""),"PHP")</f>
        <v>PHP</v>
      </c>
      <c r="I150" s="9" t="str">
        <f>IFERROR(__xludf.DUMMYFUNCTION("""COMPUTED_VALUE"""),"VBA")</f>
        <v>VBA</v>
      </c>
      <c r="J150" s="9" t="str">
        <f>IFERROR(__xludf.DUMMYFUNCTION("""COMPUTED_VALUE"""),"JavaScript")</f>
        <v>JavaScript</v>
      </c>
      <c r="K150" s="9" t="str">
        <f>IFERROR(__xludf.DUMMYFUNCTION("""COMPUTED_VALUE"""),"JavaScript")</f>
        <v>JavaScript</v>
      </c>
      <c r="L150" s="9" t="str">
        <f>IFERROR(__xludf.DUMMYFUNCTION("""COMPUTED_VALUE"""),"C")</f>
        <v>C</v>
      </c>
      <c r="M150" s="9" t="s">
        <v>23</v>
      </c>
    </row>
    <row r="151" ht="15.75" customHeight="1">
      <c r="A151" s="7"/>
      <c r="B151" s="7" t="str">
        <f>IFERROR(__xludf.DUMMYFUNCTION("""COMPUTED_VALUE"""),"Bash/Shell/PowerShell;C++;C#;HTML/CSS;Java;JavaScript;SQL;TypeScript")</f>
        <v>Bash/Shell/PowerShell;C++;C#;HTML/CSS;Java;JavaScript;SQL;TypeScript</v>
      </c>
      <c r="C151" s="9" t="str">
        <f>IFERROR(__xludf.DUMMYFUNCTION("""COMPUTED_VALUE"""),"JavaScript")</f>
        <v>JavaScript</v>
      </c>
      <c r="D151" s="9" t="str">
        <f>IFERROR(__xludf.DUMMYFUNCTION("""COMPUTED_VALUE"""),"C#")</f>
        <v>C#</v>
      </c>
      <c r="E151" s="9" t="str">
        <f>IFERROR(__xludf.DUMMYFUNCTION("""COMPUTED_VALUE"""),"Kotlin")</f>
        <v>Kotlin</v>
      </c>
      <c r="F151" s="9" t="str">
        <f>IFERROR(__xludf.DUMMYFUNCTION("""COMPUTED_VALUE"""),"JavaScript")</f>
        <v>JavaScript</v>
      </c>
      <c r="G151" s="9" t="str">
        <f>IFERROR(__xludf.DUMMYFUNCTION("""COMPUTED_VALUE"""),"HTML/CSS")</f>
        <v>HTML/CSS</v>
      </c>
      <c r="H151" s="9" t="str">
        <f>IFERROR(__xludf.DUMMYFUNCTION("""COMPUTED_VALUE"""),"SQL")</f>
        <v>SQL</v>
      </c>
      <c r="I151" s="9" t="str">
        <f>IFERROR(__xludf.DUMMYFUNCTION("""COMPUTED_VALUE"""),"Python")</f>
        <v>Python</v>
      </c>
      <c r="J151" s="9" t="str">
        <f>IFERROR(__xludf.DUMMYFUNCTION("""COMPUTED_VALUE"""),"PHP")</f>
        <v>PHP</v>
      </c>
      <c r="K151" s="9" t="str">
        <f>IFERROR(__xludf.DUMMYFUNCTION("""COMPUTED_VALUE"""),"Python")</f>
        <v>Python</v>
      </c>
      <c r="L151" s="9" t="str">
        <f>IFERROR(__xludf.DUMMYFUNCTION("""COMPUTED_VALUE"""),"C++")</f>
        <v>C++</v>
      </c>
      <c r="M151" s="9" t="s">
        <v>21</v>
      </c>
    </row>
    <row r="152" ht="15.75" customHeight="1">
      <c r="A152" s="7"/>
      <c r="B152" s="7" t="str">
        <f>IFERROR(__xludf.DUMMYFUNCTION("""COMPUTED_VALUE"""),"HTML/CSS;Java;JavaScript;Kotlin;Objective-C;Python;Swift;Other(s):")</f>
        <v>HTML/CSS;Java;JavaScript;Kotlin;Objective-C;Python;Swift;Other(s):</v>
      </c>
      <c r="C152" s="9" t="str">
        <f>IFERROR(__xludf.DUMMYFUNCTION("""COMPUTED_VALUE"""),"Python")</f>
        <v>Python</v>
      </c>
      <c r="D152" s="9" t="str">
        <f>IFERROR(__xludf.DUMMYFUNCTION("""COMPUTED_VALUE"""),"JavaScript")</f>
        <v>JavaScript</v>
      </c>
      <c r="E152" s="9" t="str">
        <f>IFERROR(__xludf.DUMMYFUNCTION("""COMPUTED_VALUE"""),"Python")</f>
        <v>Python</v>
      </c>
      <c r="F152" s="9" t="str">
        <f>IFERROR(__xludf.DUMMYFUNCTION("""COMPUTED_VALUE"""),"SQL")</f>
        <v>SQL</v>
      </c>
      <c r="G152" s="9" t="str">
        <f>IFERROR(__xludf.DUMMYFUNCTION("""COMPUTED_VALUE"""),"Java")</f>
        <v>Java</v>
      </c>
      <c r="H152" s="9" t="str">
        <f>IFERROR(__xludf.DUMMYFUNCTION("""COMPUTED_VALUE"""),"VBA")</f>
        <v>VBA</v>
      </c>
      <c r="I152" s="9" t="str">
        <f>IFERROR(__xludf.DUMMYFUNCTION("""COMPUTED_VALUE"""),"HTML/CSS")</f>
        <v>HTML/CSS</v>
      </c>
      <c r="J152" s="9" t="str">
        <f>IFERROR(__xludf.DUMMYFUNCTION("""COMPUTED_VALUE"""),"Python")</f>
        <v>Python</v>
      </c>
      <c r="K152" s="9" t="str">
        <f>IFERROR(__xludf.DUMMYFUNCTION("""COMPUTED_VALUE"""),"Assembly")</f>
        <v>Assembly</v>
      </c>
      <c r="L152" s="9" t="str">
        <f>IFERROR(__xludf.DUMMYFUNCTION("""COMPUTED_VALUE"""),"Go")</f>
        <v>Go</v>
      </c>
      <c r="M152" s="9" t="s">
        <v>22</v>
      </c>
    </row>
    <row r="153" ht="15.75" customHeight="1">
      <c r="A153" s="7"/>
      <c r="B153" s="7" t="str">
        <f>IFERROR(__xludf.DUMMYFUNCTION("""COMPUTED_VALUE"""),"C;C++;Python")</f>
        <v>C;C++;Python</v>
      </c>
      <c r="C153" s="9" t="str">
        <f>IFERROR(__xludf.DUMMYFUNCTION("""COMPUTED_VALUE"""),"Ruby")</f>
        <v>Ruby</v>
      </c>
      <c r="D153" s="9" t="str">
        <f>IFERROR(__xludf.DUMMYFUNCTION("""COMPUTED_VALUE"""),"TypeScript")</f>
        <v>TypeScript</v>
      </c>
      <c r="E153" s="9" t="str">
        <f>IFERROR(__xludf.DUMMYFUNCTION("""COMPUTED_VALUE"""),"Bash/Shell/PowerShell")</f>
        <v>Bash/Shell/PowerShell</v>
      </c>
      <c r="F153" s="9" t="str">
        <f>IFERROR(__xludf.DUMMYFUNCTION("""COMPUTED_VALUE"""),"VBA")</f>
        <v>VBA</v>
      </c>
      <c r="G153" s="9" t="str">
        <f>IFERROR(__xludf.DUMMYFUNCTION("""COMPUTED_VALUE"""),"JavaScript")</f>
        <v>JavaScript</v>
      </c>
      <c r="H153" s="9" t="str">
        <f>IFERROR(__xludf.DUMMYFUNCTION("""COMPUTED_VALUE"""),"Bash/Shell/PowerShell")</f>
        <v>Bash/Shell/PowerShell</v>
      </c>
      <c r="I153" s="9" t="str">
        <f>IFERROR(__xludf.DUMMYFUNCTION("""COMPUTED_VALUE"""),"Java")</f>
        <v>Java</v>
      </c>
      <c r="J153" s="9" t="str">
        <f>IFERROR(__xludf.DUMMYFUNCTION("""COMPUTED_VALUE"""),"SQL")</f>
        <v>SQL</v>
      </c>
      <c r="K153" s="9" t="str">
        <f>IFERROR(__xludf.DUMMYFUNCTION("""COMPUTED_VALUE"""),"Bash/Shell/PowerShell")</f>
        <v>Bash/Shell/PowerShell</v>
      </c>
      <c r="L153" s="9" t="str">
        <f>IFERROR(__xludf.DUMMYFUNCTION("""COMPUTED_VALUE"""),"Python")</f>
        <v>Python</v>
      </c>
      <c r="M153" s="9" t="s">
        <v>31</v>
      </c>
    </row>
    <row r="154" ht="15.75" customHeight="1">
      <c r="A154" s="7"/>
      <c r="B154" s="7" t="str">
        <f>IFERROR(__xludf.DUMMYFUNCTION("""COMPUTED_VALUE"""),"HTML/CSS;Java;JavaScript;PHP;SQL;VBA")</f>
        <v>HTML/CSS;Java;JavaScript;PHP;SQL;VBA</v>
      </c>
      <c r="C154" s="9" t="str">
        <f>IFERROR(__xludf.DUMMYFUNCTION("""COMPUTED_VALUE"""),"SQL")</f>
        <v>SQL</v>
      </c>
      <c r="D154" s="9" t="str">
        <f>IFERROR(__xludf.DUMMYFUNCTION("""COMPUTED_VALUE"""),"C++")</f>
        <v>C++</v>
      </c>
      <c r="E154" s="9" t="str">
        <f>IFERROR(__xludf.DUMMYFUNCTION("""COMPUTED_VALUE"""),"HTML/CSS")</f>
        <v>HTML/CSS</v>
      </c>
      <c r="F154" s="9" t="str">
        <f>IFERROR(__xludf.DUMMYFUNCTION("""COMPUTED_VALUE"""),"Elixir")</f>
        <v>Elixir</v>
      </c>
      <c r="G154" s="9" t="str">
        <f>IFERROR(__xludf.DUMMYFUNCTION("""COMPUTED_VALUE"""),"Kotlin")</f>
        <v>Kotlin</v>
      </c>
      <c r="H154" s="9" t="str">
        <f>IFERROR(__xludf.DUMMYFUNCTION("""COMPUTED_VALUE"""),"HTML/CSS")</f>
        <v>HTML/CSS</v>
      </c>
      <c r="I154" s="9" t="str">
        <f>IFERROR(__xludf.DUMMYFUNCTION("""COMPUTED_VALUE"""),"JavaScript")</f>
        <v>JavaScript</v>
      </c>
      <c r="J154" s="9" t="str">
        <f>IFERROR(__xludf.DUMMYFUNCTION("""COMPUTED_VALUE"""),"HTML/CSS")</f>
        <v>HTML/CSS</v>
      </c>
      <c r="K154" s="9" t="str">
        <f>IFERROR(__xludf.DUMMYFUNCTION("""COMPUTED_VALUE"""),"C")</f>
        <v>C</v>
      </c>
      <c r="L154" s="9" t="str">
        <f>IFERROR(__xludf.DUMMYFUNCTION("""COMPUTED_VALUE"""),"SQL")</f>
        <v>SQL</v>
      </c>
      <c r="M154" s="9" t="s">
        <v>27</v>
      </c>
    </row>
    <row r="155" ht="15.75" customHeight="1">
      <c r="A155" s="7"/>
      <c r="B155" s="7" t="str">
        <f>IFERROR(__xludf.DUMMYFUNCTION("""COMPUTED_VALUE"""),"Bash/Shell/PowerShell;HTML/CSS;JavaScript;TypeScript")</f>
        <v>Bash/Shell/PowerShell;HTML/CSS;JavaScript;TypeScript</v>
      </c>
      <c r="C155" s="9" t="str">
        <f>IFERROR(__xludf.DUMMYFUNCTION("""COMPUTED_VALUE"""),"TypeScript")</f>
        <v>TypeScript</v>
      </c>
      <c r="D155" s="9" t="str">
        <f>IFERROR(__xludf.DUMMYFUNCTION("""COMPUTED_VALUE"""),"HTML/CSS")</f>
        <v>HTML/CSS</v>
      </c>
      <c r="E155" s="9" t="str">
        <f>IFERROR(__xludf.DUMMYFUNCTION("""COMPUTED_VALUE"""),"JavaScript")</f>
        <v>JavaScript</v>
      </c>
      <c r="F155" s="9" t="str">
        <f>IFERROR(__xludf.DUMMYFUNCTION("""COMPUTED_VALUE"""),"Objective-C")</f>
        <v>Objective-C</v>
      </c>
      <c r="G155" s="9" t="str">
        <f>IFERROR(__xludf.DUMMYFUNCTION("""COMPUTED_VALUE"""),"PHP")</f>
        <v>PHP</v>
      </c>
      <c r="H155" s="9" t="str">
        <f>IFERROR(__xludf.DUMMYFUNCTION("""COMPUTED_VALUE"""),"Java")</f>
        <v>Java</v>
      </c>
      <c r="I155" s="9" t="str">
        <f>IFERROR(__xludf.DUMMYFUNCTION("""COMPUTED_VALUE"""),"Kotlin")</f>
        <v>Kotlin</v>
      </c>
      <c r="J155" s="9" t="str">
        <f>IFERROR(__xludf.DUMMYFUNCTION("""COMPUTED_VALUE"""),"JavaScript")</f>
        <v>JavaScript</v>
      </c>
      <c r="K155" s="9" t="str">
        <f>IFERROR(__xludf.DUMMYFUNCTION("""COMPUTED_VALUE"""),"C++")</f>
        <v>C++</v>
      </c>
      <c r="L155" s="9" t="str">
        <f>IFERROR(__xludf.DUMMYFUNCTION("""COMPUTED_VALUE"""),"Bash/Shell/PowerShell")</f>
        <v>Bash/Shell/PowerShell</v>
      </c>
      <c r="M155" s="9" t="s">
        <v>33</v>
      </c>
    </row>
    <row r="156" ht="15.75" customHeight="1">
      <c r="A156" s="7"/>
      <c r="B156" s="7" t="str">
        <f>IFERROR(__xludf.DUMMYFUNCTION("""COMPUTED_VALUE"""),"Bash/Shell/PowerShell;Python")</f>
        <v>Bash/Shell/PowerShell;Python</v>
      </c>
      <c r="C156" s="9" t="str">
        <f>IFERROR(__xludf.DUMMYFUNCTION("""COMPUTED_VALUE"""),"JavaScript")</f>
        <v>JavaScript</v>
      </c>
      <c r="D156" s="9" t="str">
        <f>IFERROR(__xludf.DUMMYFUNCTION("""COMPUTED_VALUE"""),"Java")</f>
        <v>Java</v>
      </c>
      <c r="E156" s="9" t="str">
        <f>IFERROR(__xludf.DUMMYFUNCTION("""COMPUTED_VALUE"""),"PHP")</f>
        <v>PHP</v>
      </c>
      <c r="F156" s="9" t="str">
        <f>IFERROR(__xludf.DUMMYFUNCTION("""COMPUTED_VALUE"""),"Swift")</f>
        <v>Swift</v>
      </c>
      <c r="G156" s="9" t="str">
        <f>IFERROR(__xludf.DUMMYFUNCTION("""COMPUTED_VALUE"""),"Python")</f>
        <v>Python</v>
      </c>
      <c r="H156" s="9" t="str">
        <f>IFERROR(__xludf.DUMMYFUNCTION("""COMPUTED_VALUE"""),"JavaScript")</f>
        <v>JavaScript</v>
      </c>
      <c r="I156" s="9" t="str">
        <f>IFERROR(__xludf.DUMMYFUNCTION("""COMPUTED_VALUE"""),"Python")</f>
        <v>Python</v>
      </c>
      <c r="J156" s="9" t="str">
        <f>IFERROR(__xludf.DUMMYFUNCTION("""COMPUTED_VALUE"""),"TypeScript")</f>
        <v>TypeScript</v>
      </c>
      <c r="K156" s="9" t="str">
        <f>IFERROR(__xludf.DUMMYFUNCTION("""COMPUTED_VALUE"""),"Objective-C")</f>
        <v>Objective-C</v>
      </c>
      <c r="L156" s="9" t="str">
        <f>IFERROR(__xludf.DUMMYFUNCTION("""COMPUTED_VALUE"""),"C++")</f>
        <v>C++</v>
      </c>
      <c r="M156" s="9" t="s">
        <v>21</v>
      </c>
    </row>
    <row r="157" ht="15.75" customHeight="1">
      <c r="A157" s="7"/>
      <c r="B157" s="7" t="str">
        <f>IFERROR(__xludf.DUMMYFUNCTION("""COMPUTED_VALUE"""),"Bash/Shell/PowerShell;C#;HTML/CSS;JavaScript;SQL")</f>
        <v>Bash/Shell/PowerShell;C#;HTML/CSS;JavaScript;SQL</v>
      </c>
      <c r="C157" s="9" t="str">
        <f>IFERROR(__xludf.DUMMYFUNCTION("""COMPUTED_VALUE"""),"TypeScript")</f>
        <v>TypeScript</v>
      </c>
      <c r="D157" s="9" t="str">
        <f>IFERROR(__xludf.DUMMYFUNCTION("""COMPUTED_VALUE"""),"Python")</f>
        <v>Python</v>
      </c>
      <c r="E157" s="9" t="str">
        <f>IFERROR(__xludf.DUMMYFUNCTION("""COMPUTED_VALUE"""),"SQL")</f>
        <v>SQL</v>
      </c>
      <c r="F157" s="9" t="str">
        <f>IFERROR(__xludf.DUMMYFUNCTION("""COMPUTED_VALUE"""),"PHP")</f>
        <v>PHP</v>
      </c>
      <c r="G157" s="9" t="str">
        <f>IFERROR(__xludf.DUMMYFUNCTION("""COMPUTED_VALUE"""),"SQL")</f>
        <v>SQL</v>
      </c>
      <c r="H157" s="9" t="str">
        <f>IFERROR(__xludf.DUMMYFUNCTION("""COMPUTED_VALUE"""),"Ruby")</f>
        <v>Ruby</v>
      </c>
      <c r="I157" s="9" t="str">
        <f>IFERROR(__xludf.DUMMYFUNCTION("""COMPUTED_VALUE"""),"SQL")</f>
        <v>SQL</v>
      </c>
      <c r="J157" s="9" t="str">
        <f>IFERROR(__xludf.DUMMYFUNCTION("""COMPUTED_VALUE"""),"Bash/Shell/PowerShell")</f>
        <v>Bash/Shell/PowerShell</v>
      </c>
      <c r="K157" s="9" t="str">
        <f>IFERROR(__xludf.DUMMYFUNCTION("""COMPUTED_VALUE"""),"Other(s):")</f>
        <v>Other(s):</v>
      </c>
      <c r="L157" s="9" t="str">
        <f>IFERROR(__xludf.DUMMYFUNCTION("""COMPUTED_VALUE"""),"Go")</f>
        <v>Go</v>
      </c>
      <c r="M157" s="9" t="s">
        <v>33</v>
      </c>
    </row>
    <row r="158" ht="15.75" customHeight="1">
      <c r="A158" s="7"/>
      <c r="B158" s="7" t="str">
        <f>IFERROR(__xludf.DUMMYFUNCTION("""COMPUTED_VALUE"""),"Java;SQL;Other(s):")</f>
        <v>Java;SQL;Other(s):</v>
      </c>
      <c r="C158" s="9" t="str">
        <f>IFERROR(__xludf.DUMMYFUNCTION("""COMPUTED_VALUE"""),"Bash/Shell/PowerShell")</f>
        <v>Bash/Shell/PowerShell</v>
      </c>
      <c r="D158" s="9" t="str">
        <f>IFERROR(__xludf.DUMMYFUNCTION("""COMPUTED_VALUE"""),"Scala")</f>
        <v>Scala</v>
      </c>
      <c r="E158" s="9" t="str">
        <f>IFERROR(__xludf.DUMMYFUNCTION("""COMPUTED_VALUE"""),"C#")</f>
        <v>C#</v>
      </c>
      <c r="F158" s="9" t="str">
        <f>IFERROR(__xludf.DUMMYFUNCTION("""COMPUTED_VALUE"""),"SQL")</f>
        <v>SQL</v>
      </c>
      <c r="G158" s="9" t="str">
        <f>IFERROR(__xludf.DUMMYFUNCTION("""COMPUTED_VALUE"""),"TypeScript")</f>
        <v>TypeScript</v>
      </c>
      <c r="H158" s="9" t="str">
        <f>IFERROR(__xludf.DUMMYFUNCTION("""COMPUTED_VALUE"""),"SQL")</f>
        <v>SQL</v>
      </c>
      <c r="I158" s="9" t="str">
        <f>IFERROR(__xludf.DUMMYFUNCTION("""COMPUTED_VALUE"""),"TypeScript")</f>
        <v>TypeScript</v>
      </c>
      <c r="J158" s="9" t="str">
        <f>IFERROR(__xludf.DUMMYFUNCTION("""COMPUTED_VALUE"""),"C")</f>
        <v>C</v>
      </c>
      <c r="K158" s="9" t="str">
        <f>IFERROR(__xludf.DUMMYFUNCTION("""COMPUTED_VALUE"""),"Bash/Shell/PowerShell")</f>
        <v>Bash/Shell/PowerShell</v>
      </c>
      <c r="L158" s="9" t="str">
        <f>IFERROR(__xludf.DUMMYFUNCTION("""COMPUTED_VALUE"""),"Python")</f>
        <v>Python</v>
      </c>
      <c r="M158" s="9" t="s">
        <v>30</v>
      </c>
    </row>
    <row r="159" ht="15.75" customHeight="1">
      <c r="A159" s="7"/>
      <c r="B159" s="7" t="str">
        <f>IFERROR(__xludf.DUMMYFUNCTION("""COMPUTED_VALUE"""),"Bash/Shell/PowerShell;HTML/CSS;JavaScript;Python")</f>
        <v>Bash/Shell/PowerShell;HTML/CSS;JavaScript;Python</v>
      </c>
      <c r="C159" s="9" t="str">
        <f>IFERROR(__xludf.DUMMYFUNCTION("""COMPUTED_VALUE"""),"JavaScript")</f>
        <v>JavaScript</v>
      </c>
      <c r="D159" s="9" t="str">
        <f>IFERROR(__xludf.DUMMYFUNCTION("""COMPUTED_VALUE"""),"SQL")</f>
        <v>SQL</v>
      </c>
      <c r="E159" s="9" t="str">
        <f>IFERROR(__xludf.DUMMYFUNCTION("""COMPUTED_VALUE"""),"JavaScript")</f>
        <v>JavaScript</v>
      </c>
      <c r="F159" s="9" t="str">
        <f>IFERROR(__xludf.DUMMYFUNCTION("""COMPUTED_VALUE"""),"Other(s):")</f>
        <v>Other(s):</v>
      </c>
      <c r="G159" s="9" t="str">
        <f>IFERROR(__xludf.DUMMYFUNCTION("""COMPUTED_VALUE"""),"Java")</f>
        <v>Java</v>
      </c>
      <c r="H159" s="9" t="str">
        <f>IFERROR(__xludf.DUMMYFUNCTION("""COMPUTED_VALUE"""),"TypeScript")</f>
        <v>TypeScript</v>
      </c>
      <c r="I159" s="9" t="str">
        <f>IFERROR(__xludf.DUMMYFUNCTION("""COMPUTED_VALUE"""),"C#")</f>
        <v>C#</v>
      </c>
      <c r="J159" s="9" t="str">
        <f>IFERROR(__xludf.DUMMYFUNCTION("""COMPUTED_VALUE"""),"Go")</f>
        <v>Go</v>
      </c>
      <c r="K159" s="9" t="str">
        <f>IFERROR(__xludf.DUMMYFUNCTION("""COMPUTED_VALUE"""),"C")</f>
        <v>C</v>
      </c>
      <c r="L159" s="9" t="str">
        <f>IFERROR(__xludf.DUMMYFUNCTION("""COMPUTED_VALUE"""),"Assembly")</f>
        <v>Assembly</v>
      </c>
      <c r="M159" s="9" t="s">
        <v>21</v>
      </c>
    </row>
    <row r="160" ht="15.75" customHeight="1">
      <c r="A160" s="7"/>
      <c r="B160" s="7" t="str">
        <f>IFERROR(__xludf.DUMMYFUNCTION("""COMPUTED_VALUE"""),"C#")</f>
        <v>C#</v>
      </c>
      <c r="C160" s="9" t="str">
        <f>IFERROR(__xludf.DUMMYFUNCTION("""COMPUTED_VALUE"""),"SQL")</f>
        <v>SQL</v>
      </c>
      <c r="D160" s="9" t="str">
        <f>IFERROR(__xludf.DUMMYFUNCTION("""COMPUTED_VALUE"""),"TypeScript")</f>
        <v>TypeScript</v>
      </c>
      <c r="E160" s="9" t="str">
        <f>IFERROR(__xludf.DUMMYFUNCTION("""COMPUTED_VALUE"""),"Python")</f>
        <v>Python</v>
      </c>
      <c r="F160" s="9" t="str">
        <f>IFERROR(__xludf.DUMMYFUNCTION("""COMPUTED_VALUE"""),"Assembly")</f>
        <v>Assembly</v>
      </c>
      <c r="G160" s="9" t="str">
        <f>IFERROR(__xludf.DUMMYFUNCTION("""COMPUTED_VALUE"""),"JavaScript")</f>
        <v>JavaScript</v>
      </c>
      <c r="H160" s="9" t="str">
        <f>IFERROR(__xludf.DUMMYFUNCTION("""COMPUTED_VALUE"""),"Bash/Shell/PowerShell")</f>
        <v>Bash/Shell/PowerShell</v>
      </c>
      <c r="I160" s="9" t="str">
        <f>IFERROR(__xludf.DUMMYFUNCTION("""COMPUTED_VALUE"""),"HTML/CSS")</f>
        <v>HTML/CSS</v>
      </c>
      <c r="J160" s="9" t="str">
        <f>IFERROR(__xludf.DUMMYFUNCTION("""COMPUTED_VALUE"""),"HTML/CSS")</f>
        <v>HTML/CSS</v>
      </c>
      <c r="K160" s="9" t="str">
        <f>IFERROR(__xludf.DUMMYFUNCTION("""COMPUTED_VALUE"""),"HTML/CSS")</f>
        <v>HTML/CSS</v>
      </c>
      <c r="L160" s="9" t="str">
        <f>IFERROR(__xludf.DUMMYFUNCTION("""COMPUTED_VALUE"""),"Bash/Shell/PowerShell")</f>
        <v>Bash/Shell/PowerShell</v>
      </c>
      <c r="M160" s="9" t="s">
        <v>27</v>
      </c>
    </row>
    <row r="161" ht="15.75" customHeight="1">
      <c r="A161" s="7"/>
      <c r="B161" s="7" t="str">
        <f>IFERROR(__xludf.DUMMYFUNCTION("""COMPUTED_VALUE"""),"HTML/CSS;JavaScript;PHP")</f>
        <v>HTML/CSS;JavaScript;PHP</v>
      </c>
      <c r="C161" s="9" t="str">
        <f>IFERROR(__xludf.DUMMYFUNCTION("""COMPUTED_VALUE"""),"Python")</f>
        <v>Python</v>
      </c>
      <c r="D161" s="9" t="str">
        <f>IFERROR(__xludf.DUMMYFUNCTION("""COMPUTED_VALUE"""),"C")</f>
        <v>C</v>
      </c>
      <c r="E161" s="9" t="str">
        <f>IFERROR(__xludf.DUMMYFUNCTION("""COMPUTED_VALUE"""),"C#")</f>
        <v>C#</v>
      </c>
      <c r="F161" s="9" t="str">
        <f>IFERROR(__xludf.DUMMYFUNCTION("""COMPUTED_VALUE"""),"Bash/Shell/PowerShell")</f>
        <v>Bash/Shell/PowerShell</v>
      </c>
      <c r="G161" s="9" t="str">
        <f>IFERROR(__xludf.DUMMYFUNCTION("""COMPUTED_VALUE"""),"R")</f>
        <v>R</v>
      </c>
      <c r="H161" s="9" t="str">
        <f>IFERROR(__xludf.DUMMYFUNCTION("""COMPUTED_VALUE"""),"C#")</f>
        <v>C#</v>
      </c>
      <c r="I161" s="9" t="str">
        <f>IFERROR(__xludf.DUMMYFUNCTION("""COMPUTED_VALUE"""),"JavaScript")</f>
        <v>JavaScript</v>
      </c>
      <c r="J161" s="9" t="str">
        <f>IFERROR(__xludf.DUMMYFUNCTION("""COMPUTED_VALUE"""),"Java")</f>
        <v>Java</v>
      </c>
      <c r="K161" s="9" t="str">
        <f>IFERROR(__xludf.DUMMYFUNCTION("""COMPUTED_VALUE"""),"JavaScript")</f>
        <v>JavaScript</v>
      </c>
      <c r="L161" s="9" t="str">
        <f>IFERROR(__xludf.DUMMYFUNCTION("""COMPUTED_VALUE"""),"C")</f>
        <v>C</v>
      </c>
      <c r="M161" s="9" t="s">
        <v>22</v>
      </c>
    </row>
    <row r="162" ht="15.75" customHeight="1">
      <c r="A162" s="7"/>
      <c r="B162" s="7" t="str">
        <f>IFERROR(__xludf.DUMMYFUNCTION("""COMPUTED_VALUE"""),"Bash/Shell/PowerShell;C++;HTML/CSS;Java;JavaScript;PHP;SQL")</f>
        <v>Bash/Shell/PowerShell;C++;HTML/CSS;Java;JavaScript;PHP;SQL</v>
      </c>
      <c r="C162" s="9" t="str">
        <f>IFERROR(__xludf.DUMMYFUNCTION("""COMPUTED_VALUE"""),"Bash/Shell/PowerShell")</f>
        <v>Bash/Shell/PowerShell</v>
      </c>
      <c r="D162" s="9" t="str">
        <f>IFERROR(__xludf.DUMMYFUNCTION("""COMPUTED_VALUE"""),"Python")</f>
        <v>Python</v>
      </c>
      <c r="E162" s="9" t="str">
        <f>IFERROR(__xludf.DUMMYFUNCTION("""COMPUTED_VALUE"""),"Bash/Shell/PowerShell")</f>
        <v>Bash/Shell/PowerShell</v>
      </c>
      <c r="F162" s="9" t="str">
        <f>IFERROR(__xludf.DUMMYFUNCTION("""COMPUTED_VALUE"""),"C++")</f>
        <v>C++</v>
      </c>
      <c r="G162" s="9" t="str">
        <f>IFERROR(__xludf.DUMMYFUNCTION("""COMPUTED_VALUE"""),"Assembly")</f>
        <v>Assembly</v>
      </c>
      <c r="H162" s="9" t="str">
        <f>IFERROR(__xludf.DUMMYFUNCTION("""COMPUTED_VALUE"""),"HTML/CSS")</f>
        <v>HTML/CSS</v>
      </c>
      <c r="I162" s="9" t="str">
        <f>IFERROR(__xludf.DUMMYFUNCTION("""COMPUTED_VALUE"""),"TypeScript")</f>
        <v>TypeScript</v>
      </c>
      <c r="J162" s="9" t="str">
        <f>IFERROR(__xludf.DUMMYFUNCTION("""COMPUTED_VALUE"""),"JavaScript")</f>
        <v>JavaScript</v>
      </c>
      <c r="K162" s="9" t="str">
        <f>IFERROR(__xludf.DUMMYFUNCTION("""COMPUTED_VALUE"""),"PHP")</f>
        <v>PHP</v>
      </c>
      <c r="L162" s="9" t="str">
        <f>IFERROR(__xludf.DUMMYFUNCTION("""COMPUTED_VALUE"""),"C++")</f>
        <v>C++</v>
      </c>
      <c r="M162" s="9" t="s">
        <v>30</v>
      </c>
    </row>
    <row r="163" ht="15.75" customHeight="1">
      <c r="A163" s="7"/>
      <c r="B163" s="7" t="str">
        <f>IFERROR(__xludf.DUMMYFUNCTION("""COMPUTED_VALUE"""),"C#;HTML/CSS;JavaScript;SQL;Other(s):")</f>
        <v>C#;HTML/CSS;JavaScript;SQL;Other(s):</v>
      </c>
      <c r="C163" s="9" t="str">
        <f>IFERROR(__xludf.DUMMYFUNCTION("""COMPUTED_VALUE"""),"HTML/CSS")</f>
        <v>HTML/CSS</v>
      </c>
      <c r="D163" s="9" t="str">
        <f>IFERROR(__xludf.DUMMYFUNCTION("""COMPUTED_VALUE"""),"HTML/CSS")</f>
        <v>HTML/CSS</v>
      </c>
      <c r="E163" s="9" t="str">
        <f>IFERROR(__xludf.DUMMYFUNCTION("""COMPUTED_VALUE"""),"C#")</f>
        <v>C#</v>
      </c>
      <c r="F163" s="9" t="str">
        <f>IFERROR(__xludf.DUMMYFUNCTION("""COMPUTED_VALUE"""),"C#")</f>
        <v>C#</v>
      </c>
      <c r="G163" s="9" t="str">
        <f>IFERROR(__xludf.DUMMYFUNCTION("""COMPUTED_VALUE"""),"C++")</f>
        <v>C++</v>
      </c>
      <c r="H163" s="9" t="str">
        <f>IFERROR(__xludf.DUMMYFUNCTION("""COMPUTED_VALUE"""),"JavaScript")</f>
        <v>JavaScript</v>
      </c>
      <c r="I163" s="9" t="str">
        <f>IFERROR(__xludf.DUMMYFUNCTION("""COMPUTED_VALUE"""),"VBA")</f>
        <v>VBA</v>
      </c>
      <c r="J163" s="9" t="str">
        <f>IFERROR(__xludf.DUMMYFUNCTION("""COMPUTED_VALUE"""),"PHP")</f>
        <v>PHP</v>
      </c>
      <c r="K163" s="9" t="str">
        <f>IFERROR(__xludf.DUMMYFUNCTION("""COMPUTED_VALUE"""),"Python")</f>
        <v>Python</v>
      </c>
      <c r="L163" s="9" t="str">
        <f>IFERROR(__xludf.DUMMYFUNCTION("""COMPUTED_VALUE"""),"C#")</f>
        <v>C#</v>
      </c>
      <c r="M163" s="9" t="s">
        <v>24</v>
      </c>
    </row>
    <row r="164" ht="15.75" customHeight="1">
      <c r="A164" s="7"/>
      <c r="B164" s="7" t="str">
        <f>IFERROR(__xludf.DUMMYFUNCTION("""COMPUTED_VALUE"""),"C#;HTML/CSS;JavaScript;SQL")</f>
        <v>C#;HTML/CSS;JavaScript;SQL</v>
      </c>
      <c r="C164" s="9" t="str">
        <f>IFERROR(__xludf.DUMMYFUNCTION("""COMPUTED_VALUE"""),"JavaScript")</f>
        <v>JavaScript</v>
      </c>
      <c r="D164" s="9" t="str">
        <f>IFERROR(__xludf.DUMMYFUNCTION("""COMPUTED_VALUE"""),"JavaScript")</f>
        <v>JavaScript</v>
      </c>
      <c r="E164" s="9" t="str">
        <f>IFERROR(__xludf.DUMMYFUNCTION("""COMPUTED_VALUE"""),"HTML/CSS")</f>
        <v>HTML/CSS</v>
      </c>
      <c r="F164" s="9" t="str">
        <f>IFERROR(__xludf.DUMMYFUNCTION("""COMPUTED_VALUE"""),"F#")</f>
        <v>F#</v>
      </c>
      <c r="G164" s="9" t="str">
        <f>IFERROR(__xludf.DUMMYFUNCTION("""COMPUTED_VALUE"""),"Java")</f>
        <v>Java</v>
      </c>
      <c r="H164" s="9" t="str">
        <f>IFERROR(__xludf.DUMMYFUNCTION("""COMPUTED_VALUE"""),"SQL")</f>
        <v>SQL</v>
      </c>
      <c r="I164" s="9" t="str">
        <f>IFERROR(__xludf.DUMMYFUNCTION("""COMPUTED_VALUE"""),"Bash/Shell/PowerShell")</f>
        <v>Bash/Shell/PowerShell</v>
      </c>
      <c r="J164" s="9" t="str">
        <f>IFERROR(__xludf.DUMMYFUNCTION("""COMPUTED_VALUE"""),"Python")</f>
        <v>Python</v>
      </c>
      <c r="K164" s="9" t="str">
        <f>IFERROR(__xludf.DUMMYFUNCTION("""COMPUTED_VALUE"""),"Ruby")</f>
        <v>Ruby</v>
      </c>
      <c r="L164" s="9" t="str">
        <f>IFERROR(__xludf.DUMMYFUNCTION("""COMPUTED_VALUE"""),"Elixir")</f>
        <v>Elixir</v>
      </c>
      <c r="M164" s="9" t="s">
        <v>21</v>
      </c>
    </row>
    <row r="165" ht="15.75" customHeight="1">
      <c r="A165" s="7"/>
      <c r="B165" s="7" t="str">
        <f>IFERROR(__xludf.DUMMYFUNCTION("""COMPUTED_VALUE"""),"Assembly;Bash/Shell/PowerShell;C;C++;C#;JavaScript;Python;SQL")</f>
        <v>Assembly;Bash/Shell/PowerShell;C;C++;C#;JavaScript;Python;SQL</v>
      </c>
      <c r="C165" s="9" t="str">
        <f>IFERROR(__xludf.DUMMYFUNCTION("""COMPUTED_VALUE"""),"PHP")</f>
        <v>PHP</v>
      </c>
      <c r="D165" s="9" t="str">
        <f>IFERROR(__xludf.DUMMYFUNCTION("""COMPUTED_VALUE"""),"Python")</f>
        <v>Python</v>
      </c>
      <c r="E165" s="9" t="str">
        <f>IFERROR(__xludf.DUMMYFUNCTION("""COMPUTED_VALUE"""),"Java")</f>
        <v>Java</v>
      </c>
      <c r="F165" s="9" t="str">
        <f>IFERROR(__xludf.DUMMYFUNCTION("""COMPUTED_VALUE"""),"HTML/CSS")</f>
        <v>HTML/CSS</v>
      </c>
      <c r="G165" s="9" t="str">
        <f>IFERROR(__xludf.DUMMYFUNCTION("""COMPUTED_VALUE"""),"JavaScript")</f>
        <v>JavaScript</v>
      </c>
      <c r="H165" s="9" t="str">
        <f>IFERROR(__xludf.DUMMYFUNCTION("""COMPUTED_VALUE"""),"TypeScript")</f>
        <v>TypeScript</v>
      </c>
      <c r="I165" s="9" t="str">
        <f>IFERROR(__xludf.DUMMYFUNCTION("""COMPUTED_VALUE"""),"Java")</f>
        <v>Java</v>
      </c>
      <c r="J165" s="9" t="str">
        <f>IFERROR(__xludf.DUMMYFUNCTION("""COMPUTED_VALUE"""),"SQL")</f>
        <v>SQL</v>
      </c>
      <c r="K165" s="9" t="str">
        <f>IFERROR(__xludf.DUMMYFUNCTION("""COMPUTED_VALUE"""),"Other(s):")</f>
        <v>Other(s):</v>
      </c>
      <c r="L165" s="9" t="str">
        <f>IFERROR(__xludf.DUMMYFUNCTION("""COMPUTED_VALUE"""),"HTML/CSS")</f>
        <v>HTML/CSS</v>
      </c>
      <c r="M165" s="9" t="s">
        <v>37</v>
      </c>
    </row>
    <row r="166" ht="15.75" customHeight="1">
      <c r="A166" s="7"/>
      <c r="B166" s="7" t="str">
        <f>IFERROR(__xludf.DUMMYFUNCTION("""COMPUTED_VALUE"""),"Bash/Shell/PowerShell;Go;HTML/CSS;Java;JavaScript;Ruby;SQL")</f>
        <v>Bash/Shell/PowerShell;Go;HTML/CSS;Java;JavaScript;Ruby;SQL</v>
      </c>
      <c r="C166" s="9" t="str">
        <f>IFERROR(__xludf.DUMMYFUNCTION("""COMPUTED_VALUE"""),"Python")</f>
        <v>Python</v>
      </c>
      <c r="D166" s="9" t="str">
        <f>IFERROR(__xludf.DUMMYFUNCTION("""COMPUTED_VALUE"""),"SQL")</f>
        <v>SQL</v>
      </c>
      <c r="E166" s="9" t="str">
        <f>IFERROR(__xludf.DUMMYFUNCTION("""COMPUTED_VALUE"""),"JavaScript")</f>
        <v>JavaScript</v>
      </c>
      <c r="F166" s="9" t="str">
        <f>IFERROR(__xludf.DUMMYFUNCTION("""COMPUTED_VALUE"""),"JavaScript")</f>
        <v>JavaScript</v>
      </c>
      <c r="G166" s="9" t="str">
        <f>IFERROR(__xludf.DUMMYFUNCTION("""COMPUTED_VALUE"""),"VBA")</f>
        <v>VBA</v>
      </c>
      <c r="H166" s="9" t="str">
        <f>IFERROR(__xludf.DUMMYFUNCTION("""COMPUTED_VALUE"""),"C")</f>
        <v>C</v>
      </c>
      <c r="I166" s="9" t="str">
        <f>IFERROR(__xludf.DUMMYFUNCTION("""COMPUTED_VALUE"""),"JavaScript")</f>
        <v>JavaScript</v>
      </c>
      <c r="J166" s="9" t="str">
        <f>IFERROR(__xludf.DUMMYFUNCTION("""COMPUTED_VALUE"""),"HTML/CSS")</f>
        <v>HTML/CSS</v>
      </c>
      <c r="K166" s="9" t="str">
        <f>IFERROR(__xludf.DUMMYFUNCTION("""COMPUTED_VALUE"""),"C#")</f>
        <v>C#</v>
      </c>
      <c r="L166" s="9" t="str">
        <f>IFERROR(__xludf.DUMMYFUNCTION("""COMPUTED_VALUE"""),"Java")</f>
        <v>Java</v>
      </c>
      <c r="M166" s="9" t="s">
        <v>22</v>
      </c>
    </row>
    <row r="167" ht="15.75" customHeight="1">
      <c r="A167" s="7"/>
      <c r="B167" s="7" t="str">
        <f>IFERROR(__xludf.DUMMYFUNCTION("""COMPUTED_VALUE"""),"HTML/CSS;Java;JavaScript;PHP;Python;SQL")</f>
        <v>HTML/CSS;Java;JavaScript;PHP;Python;SQL</v>
      </c>
      <c r="C167" s="9" t="str">
        <f>IFERROR(__xludf.DUMMYFUNCTION("""COMPUTED_VALUE"""),"C++")</f>
        <v>C++</v>
      </c>
      <c r="D167" s="9" t="str">
        <f>IFERROR(__xludf.DUMMYFUNCTION("""COMPUTED_VALUE"""),"Bash/Shell/PowerShell")</f>
        <v>Bash/Shell/PowerShell</v>
      </c>
      <c r="E167" s="9" t="str">
        <f>IFERROR(__xludf.DUMMYFUNCTION("""COMPUTED_VALUE"""),"PHP")</f>
        <v>PHP</v>
      </c>
      <c r="F167" s="9" t="str">
        <f>IFERROR(__xludf.DUMMYFUNCTION("""COMPUTED_VALUE"""),"SQL")</f>
        <v>SQL</v>
      </c>
      <c r="G167" s="9" t="str">
        <f>IFERROR(__xludf.DUMMYFUNCTION("""COMPUTED_VALUE"""),"Other(s):")</f>
        <v>Other(s):</v>
      </c>
      <c r="H167" s="9" t="str">
        <f>IFERROR(__xludf.DUMMYFUNCTION("""COMPUTED_VALUE"""),"C++")</f>
        <v>C++</v>
      </c>
      <c r="I167" s="9" t="str">
        <f>IFERROR(__xludf.DUMMYFUNCTION("""COMPUTED_VALUE"""),"TypeScript")</f>
        <v>TypeScript</v>
      </c>
      <c r="J167" s="9" t="str">
        <f>IFERROR(__xludf.DUMMYFUNCTION("""COMPUTED_VALUE"""),"Java")</f>
        <v>Java</v>
      </c>
      <c r="K167" s="9" t="str">
        <f>IFERROR(__xludf.DUMMYFUNCTION("""COMPUTED_VALUE"""),"HTML/CSS")</f>
        <v>HTML/CSS</v>
      </c>
      <c r="L167" s="9" t="str">
        <f>IFERROR(__xludf.DUMMYFUNCTION("""COMPUTED_VALUE"""),"JavaScript")</f>
        <v>JavaScript</v>
      </c>
      <c r="M167" s="9" t="s">
        <v>23</v>
      </c>
    </row>
    <row r="168" ht="15.75" customHeight="1">
      <c r="A168" s="7"/>
      <c r="B168" s="7" t="str">
        <f>IFERROR(__xludf.DUMMYFUNCTION("""COMPUTED_VALUE"""),"Bash/Shell/PowerShell;Python")</f>
        <v>Bash/Shell/PowerShell;Python</v>
      </c>
      <c r="C168" s="9" t="str">
        <f>IFERROR(__xludf.DUMMYFUNCTION("""COMPUTED_VALUE"""),"Python")</f>
        <v>Python</v>
      </c>
      <c r="D168" s="9" t="str">
        <f>IFERROR(__xludf.DUMMYFUNCTION("""COMPUTED_VALUE"""),"C++")</f>
        <v>C++</v>
      </c>
      <c r="E168" s="9" t="str">
        <f>IFERROR(__xludf.DUMMYFUNCTION("""COMPUTED_VALUE"""),"Python")</f>
        <v>Python</v>
      </c>
      <c r="F168" s="9" t="str">
        <f>IFERROR(__xludf.DUMMYFUNCTION("""COMPUTED_VALUE"""),"TypeScript")</f>
        <v>TypeScript</v>
      </c>
      <c r="G168" s="9" t="str">
        <f>IFERROR(__xludf.DUMMYFUNCTION("""COMPUTED_VALUE"""),"HTML/CSS")</f>
        <v>HTML/CSS</v>
      </c>
      <c r="H168" s="9" t="str">
        <f>IFERROR(__xludf.DUMMYFUNCTION("""COMPUTED_VALUE"""),"Objective-C")</f>
        <v>Objective-C</v>
      </c>
      <c r="I168" s="9" t="str">
        <f>IFERROR(__xludf.DUMMYFUNCTION("""COMPUTED_VALUE"""),"Bash/Shell/PowerShell")</f>
        <v>Bash/Shell/PowerShell</v>
      </c>
      <c r="J168" s="9" t="str">
        <f>IFERROR(__xludf.DUMMYFUNCTION("""COMPUTED_VALUE"""),"JavaScript")</f>
        <v>JavaScript</v>
      </c>
      <c r="K168" s="9" t="str">
        <f>IFERROR(__xludf.DUMMYFUNCTION("""COMPUTED_VALUE"""),"JavaScript")</f>
        <v>JavaScript</v>
      </c>
      <c r="L168" s="9" t="str">
        <f>IFERROR(__xludf.DUMMYFUNCTION("""COMPUTED_VALUE"""),"PHP")</f>
        <v>PHP</v>
      </c>
      <c r="M168" s="9" t="s">
        <v>22</v>
      </c>
    </row>
    <row r="169" ht="15.75" customHeight="1">
      <c r="A169" s="7"/>
      <c r="B169" s="7" t="str">
        <f>IFERROR(__xludf.DUMMYFUNCTION("""COMPUTED_VALUE"""),"C;C++;HTML/CSS;Java;JavaScript;PHP;Python;SQL")</f>
        <v>C;C++;HTML/CSS;Java;JavaScript;PHP;Python;SQL</v>
      </c>
      <c r="C169" s="9" t="str">
        <f>IFERROR(__xludf.DUMMYFUNCTION("""COMPUTED_VALUE"""),"R")</f>
        <v>R</v>
      </c>
      <c r="D169" s="9" t="str">
        <f>IFERROR(__xludf.DUMMYFUNCTION("""COMPUTED_VALUE"""),"HTML/CSS")</f>
        <v>HTML/CSS</v>
      </c>
      <c r="E169" s="9" t="str">
        <f>IFERROR(__xludf.DUMMYFUNCTION("""COMPUTED_VALUE"""),"R")</f>
        <v>R</v>
      </c>
      <c r="F169" s="9" t="str">
        <f>IFERROR(__xludf.DUMMYFUNCTION("""COMPUTED_VALUE"""),"WebAssembly")</f>
        <v>WebAssembly</v>
      </c>
      <c r="G169" s="9" t="str">
        <f>IFERROR(__xludf.DUMMYFUNCTION("""COMPUTED_VALUE"""),"JavaScript")</f>
        <v>JavaScript</v>
      </c>
      <c r="H169" s="9" t="str">
        <f>IFERROR(__xludf.DUMMYFUNCTION("""COMPUTED_VALUE"""),"C")</f>
        <v>C</v>
      </c>
      <c r="I169" s="9" t="str">
        <f>IFERROR(__xludf.DUMMYFUNCTION("""COMPUTED_VALUE"""),"HTML/CSS")</f>
        <v>HTML/CSS</v>
      </c>
      <c r="J169" s="9" t="str">
        <f>IFERROR(__xludf.DUMMYFUNCTION("""COMPUTED_VALUE"""),"SQL")</f>
        <v>SQL</v>
      </c>
      <c r="K169" s="9" t="str">
        <f>IFERROR(__xludf.DUMMYFUNCTION("""COMPUTED_VALUE"""),"PHP")</f>
        <v>PHP</v>
      </c>
      <c r="L169" s="9" t="str">
        <f>IFERROR(__xludf.DUMMYFUNCTION("""COMPUTED_VALUE"""),"Python")</f>
        <v>Python</v>
      </c>
      <c r="M169" s="9" t="s">
        <v>29</v>
      </c>
    </row>
    <row r="170" ht="15.75" customHeight="1">
      <c r="A170" s="7"/>
      <c r="B170" s="7" t="str">
        <f>IFERROR(__xludf.DUMMYFUNCTION("""COMPUTED_VALUE"""),"Clojure;Go;HTML/CSS;Java;JavaScript;Python;Ruby;TypeScript")</f>
        <v>Clojure;Go;HTML/CSS;Java;JavaScript;Python;Ruby;TypeScript</v>
      </c>
      <c r="C170" s="9" t="str">
        <f>IFERROR(__xludf.DUMMYFUNCTION("""COMPUTED_VALUE"""),"HTML/CSS")</f>
        <v>HTML/CSS</v>
      </c>
      <c r="D170" s="9" t="str">
        <f>IFERROR(__xludf.DUMMYFUNCTION("""COMPUTED_VALUE"""),"Python")</f>
        <v>Python</v>
      </c>
      <c r="E170" s="9" t="str">
        <f>IFERROR(__xludf.DUMMYFUNCTION("""COMPUTED_VALUE"""),"SQL")</f>
        <v>SQL</v>
      </c>
      <c r="F170" s="9" t="str">
        <f>IFERROR(__xludf.DUMMYFUNCTION("""COMPUTED_VALUE"""),"JavaScript")</f>
        <v>JavaScript</v>
      </c>
      <c r="G170" s="9" t="str">
        <f>IFERROR(__xludf.DUMMYFUNCTION("""COMPUTED_VALUE"""),"PHP")</f>
        <v>PHP</v>
      </c>
      <c r="H170" s="9" t="str">
        <f>IFERROR(__xludf.DUMMYFUNCTION("""COMPUTED_VALUE"""),"Python")</f>
        <v>Python</v>
      </c>
      <c r="I170" s="9" t="str">
        <f>IFERROR(__xludf.DUMMYFUNCTION("""COMPUTED_VALUE"""),"JavaScript")</f>
        <v>JavaScript</v>
      </c>
      <c r="J170" s="9" t="str">
        <f>IFERROR(__xludf.DUMMYFUNCTION("""COMPUTED_VALUE"""),"TypeScript")</f>
        <v>TypeScript</v>
      </c>
      <c r="K170" s="9" t="str">
        <f>IFERROR(__xludf.DUMMYFUNCTION("""COMPUTED_VALUE"""),"SQL")</f>
        <v>SQL</v>
      </c>
      <c r="L170" s="9" t="str">
        <f>IFERROR(__xludf.DUMMYFUNCTION("""COMPUTED_VALUE"""),"SQL")</f>
        <v>SQL</v>
      </c>
      <c r="M170" s="9" t="s">
        <v>24</v>
      </c>
    </row>
    <row r="171" ht="15.75" customHeight="1">
      <c r="A171" s="7"/>
      <c r="B171" s="7" t="str">
        <f>IFERROR(__xludf.DUMMYFUNCTION("""COMPUTED_VALUE"""),"Assembly;C;C++;C#;HTML/CSS;Java;Objective-C;PHP;Python;R;SQL;Swift")</f>
        <v>Assembly;C;C++;C#;HTML/CSS;Java;Objective-C;PHP;Python;R;SQL;Swift</v>
      </c>
      <c r="C171" s="9" t="str">
        <f>IFERROR(__xludf.DUMMYFUNCTION("""COMPUTED_VALUE"""),"JavaScript")</f>
        <v>JavaScript</v>
      </c>
      <c r="D171" s="9" t="str">
        <f>IFERROR(__xludf.DUMMYFUNCTION("""COMPUTED_VALUE"""),"HTML/CSS")</f>
        <v>HTML/CSS</v>
      </c>
      <c r="E171" s="9" t="str">
        <f>IFERROR(__xludf.DUMMYFUNCTION("""COMPUTED_VALUE"""),"C")</f>
        <v>C</v>
      </c>
      <c r="F171" s="9" t="str">
        <f>IFERROR(__xludf.DUMMYFUNCTION("""COMPUTED_VALUE"""),"Python")</f>
        <v>Python</v>
      </c>
      <c r="G171" s="9" t="str">
        <f>IFERROR(__xludf.DUMMYFUNCTION("""COMPUTED_VALUE"""),"Python")</f>
        <v>Python</v>
      </c>
      <c r="H171" s="9" t="str">
        <f>IFERROR(__xludf.DUMMYFUNCTION("""COMPUTED_VALUE"""),"Other(s):")</f>
        <v>Other(s):</v>
      </c>
      <c r="I171" s="9" t="str">
        <f>IFERROR(__xludf.DUMMYFUNCTION("""COMPUTED_VALUE"""),"Python")</f>
        <v>Python</v>
      </c>
      <c r="J171" s="9" t="str">
        <f>IFERROR(__xludf.DUMMYFUNCTION("""COMPUTED_VALUE"""),"C#")</f>
        <v>C#</v>
      </c>
      <c r="K171" s="9" t="str">
        <f>IFERROR(__xludf.DUMMYFUNCTION("""COMPUTED_VALUE"""),"Bash/Shell/PowerShell")</f>
        <v>Bash/Shell/PowerShell</v>
      </c>
      <c r="L171" s="9" t="str">
        <f>IFERROR(__xludf.DUMMYFUNCTION("""COMPUTED_VALUE"""),"VBA")</f>
        <v>VBA</v>
      </c>
      <c r="M171" s="9" t="s">
        <v>21</v>
      </c>
    </row>
    <row r="172" ht="15.75" customHeight="1">
      <c r="A172" s="7"/>
      <c r="B172" s="7" t="str">
        <f>IFERROR(__xludf.DUMMYFUNCTION("""COMPUTED_VALUE"""),"HTML/CSS;JavaScript;Objective-C;SQL")</f>
        <v>HTML/CSS;JavaScript;Objective-C;SQL</v>
      </c>
      <c r="C172" s="9" t="str">
        <f>IFERROR(__xludf.DUMMYFUNCTION("""COMPUTED_VALUE"""),"HTML/CSS")</f>
        <v>HTML/CSS</v>
      </c>
      <c r="D172" s="9" t="str">
        <f>IFERROR(__xludf.DUMMYFUNCTION("""COMPUTED_VALUE"""),"JavaScript")</f>
        <v>JavaScript</v>
      </c>
      <c r="E172" s="9" t="str">
        <f>IFERROR(__xludf.DUMMYFUNCTION("""COMPUTED_VALUE"""),"HTML/CSS")</f>
        <v>HTML/CSS</v>
      </c>
      <c r="F172" s="9" t="str">
        <f>IFERROR(__xludf.DUMMYFUNCTION("""COMPUTED_VALUE"""),"Elixir")</f>
        <v>Elixir</v>
      </c>
      <c r="G172" s="9" t="str">
        <f>IFERROR(__xludf.DUMMYFUNCTION("""COMPUTED_VALUE"""),"SQL")</f>
        <v>SQL</v>
      </c>
      <c r="H172" s="9" t="str">
        <f>IFERROR(__xludf.DUMMYFUNCTION("""COMPUTED_VALUE"""),"C#")</f>
        <v>C#</v>
      </c>
      <c r="I172" s="9" t="str">
        <f>IFERROR(__xludf.DUMMYFUNCTION("""COMPUTED_VALUE"""),"HTML/CSS")</f>
        <v>HTML/CSS</v>
      </c>
      <c r="J172" s="9" t="str">
        <f>IFERROR(__xludf.DUMMYFUNCTION("""COMPUTED_VALUE"""),"Go")</f>
        <v>Go</v>
      </c>
      <c r="K172" s="9" t="str">
        <f>IFERROR(__xludf.DUMMYFUNCTION("""COMPUTED_VALUE"""),"C#")</f>
        <v>C#</v>
      </c>
      <c r="L172" s="9" t="str">
        <f>IFERROR(__xludf.DUMMYFUNCTION("""COMPUTED_VALUE"""),"Java")</f>
        <v>Java</v>
      </c>
      <c r="M172" s="9" t="s">
        <v>24</v>
      </c>
    </row>
    <row r="173" ht="15.75" customHeight="1">
      <c r="A173" s="7"/>
      <c r="B173" s="7" t="str">
        <f>IFERROR(__xludf.DUMMYFUNCTION("""COMPUTED_VALUE"""),"HTML/CSS;JavaScript;PHP;SQL;TypeScript")</f>
        <v>HTML/CSS;JavaScript;PHP;SQL;TypeScript</v>
      </c>
      <c r="C173" s="9" t="str">
        <f>IFERROR(__xludf.DUMMYFUNCTION("""COMPUTED_VALUE"""),"JavaScript")</f>
        <v>JavaScript</v>
      </c>
      <c r="D173" s="9" t="str">
        <f>IFERROR(__xludf.DUMMYFUNCTION("""COMPUTED_VALUE"""),"SQL")</f>
        <v>SQL</v>
      </c>
      <c r="E173" s="9" t="str">
        <f>IFERROR(__xludf.DUMMYFUNCTION("""COMPUTED_VALUE"""),"JavaScript")</f>
        <v>JavaScript</v>
      </c>
      <c r="F173" s="9" t="str">
        <f>IFERROR(__xludf.DUMMYFUNCTION("""COMPUTED_VALUE"""),"HTML/CSS")</f>
        <v>HTML/CSS</v>
      </c>
      <c r="G173" s="9" t="str">
        <f>IFERROR(__xludf.DUMMYFUNCTION("""COMPUTED_VALUE"""),"R")</f>
        <v>R</v>
      </c>
      <c r="H173" s="9" t="str">
        <f>IFERROR(__xludf.DUMMYFUNCTION("""COMPUTED_VALUE"""),"Go")</f>
        <v>Go</v>
      </c>
      <c r="I173" s="9" t="str">
        <f>IFERROR(__xludf.DUMMYFUNCTION("""COMPUTED_VALUE"""),"Java")</f>
        <v>Java</v>
      </c>
      <c r="J173" s="9" t="str">
        <f>IFERROR(__xludf.DUMMYFUNCTION("""COMPUTED_VALUE"""),"HTML/CSS")</f>
        <v>HTML/CSS</v>
      </c>
      <c r="K173" s="9" t="str">
        <f>IFERROR(__xludf.DUMMYFUNCTION("""COMPUTED_VALUE"""),"Java")</f>
        <v>Java</v>
      </c>
      <c r="L173" s="9" t="str">
        <f>IFERROR(__xludf.DUMMYFUNCTION("""COMPUTED_VALUE"""),"PHP")</f>
        <v>PHP</v>
      </c>
      <c r="M173" s="9" t="s">
        <v>21</v>
      </c>
    </row>
    <row r="174" ht="15.75" customHeight="1">
      <c r="A174" s="7"/>
      <c r="B174" s="7" t="str">
        <f>IFERROR(__xludf.DUMMYFUNCTION("""COMPUTED_VALUE"""),"Bash/Shell/PowerShell;C;C++;HTML/CSS;Java;JavaScript;PHP;Python;R")</f>
        <v>Bash/Shell/PowerShell;C;C++;HTML/CSS;Java;JavaScript;PHP;Python;R</v>
      </c>
      <c r="C174" s="9" t="str">
        <f>IFERROR(__xludf.DUMMYFUNCTION("""COMPUTED_VALUE"""),"Java")</f>
        <v>Java</v>
      </c>
      <c r="D174" s="9" t="str">
        <f>IFERROR(__xludf.DUMMYFUNCTION("""COMPUTED_VALUE"""),"TypeScript")</f>
        <v>TypeScript</v>
      </c>
      <c r="E174" s="9" t="str">
        <f>IFERROR(__xludf.DUMMYFUNCTION("""COMPUTED_VALUE"""),"Python")</f>
        <v>Python</v>
      </c>
      <c r="F174" s="9" t="str">
        <f>IFERROR(__xludf.DUMMYFUNCTION("""COMPUTED_VALUE"""),"JavaScript")</f>
        <v>JavaScript</v>
      </c>
      <c r="G174" s="9" t="str">
        <f>IFERROR(__xludf.DUMMYFUNCTION("""COMPUTED_VALUE"""),"SQL")</f>
        <v>SQL</v>
      </c>
      <c r="H174" s="9" t="str">
        <f>IFERROR(__xludf.DUMMYFUNCTION("""COMPUTED_VALUE"""),"Java")</f>
        <v>Java</v>
      </c>
      <c r="I174" s="9" t="str">
        <f>IFERROR(__xludf.DUMMYFUNCTION("""COMPUTED_VALUE"""),"JavaScript")</f>
        <v>JavaScript</v>
      </c>
      <c r="J174" s="9" t="str">
        <f>IFERROR(__xludf.DUMMYFUNCTION("""COMPUTED_VALUE"""),"Java")</f>
        <v>Java</v>
      </c>
      <c r="K174" s="9" t="str">
        <f>IFERROR(__xludf.DUMMYFUNCTION("""COMPUTED_VALUE"""),"Python")</f>
        <v>Python</v>
      </c>
      <c r="L174" s="9" t="str">
        <f>IFERROR(__xludf.DUMMYFUNCTION("""COMPUTED_VALUE"""),"Assembly")</f>
        <v>Assembly</v>
      </c>
      <c r="M174" s="9" t="s">
        <v>20</v>
      </c>
    </row>
    <row r="175" ht="15.75" customHeight="1">
      <c r="A175" s="7"/>
      <c r="B175" s="7" t="str">
        <f>IFERROR(__xludf.DUMMYFUNCTION("""COMPUTED_VALUE"""),"Assembly;Bash/Shell/PowerShell;C;C++;HTML/CSS;Java;JavaScript;PHP;Python;SQL")</f>
        <v>Assembly;Bash/Shell/PowerShell;C;C++;HTML/CSS;Java;JavaScript;PHP;Python;SQL</v>
      </c>
      <c r="C175" s="9" t="str">
        <f>IFERROR(__xludf.DUMMYFUNCTION("""COMPUTED_VALUE"""),"Kotlin")</f>
        <v>Kotlin</v>
      </c>
      <c r="D175" s="9" t="str">
        <f>IFERROR(__xludf.DUMMYFUNCTION("""COMPUTED_VALUE"""),"C#")</f>
        <v>C#</v>
      </c>
      <c r="E175" s="9" t="str">
        <f>IFERROR(__xludf.DUMMYFUNCTION("""COMPUTED_VALUE"""),"SQL")</f>
        <v>SQL</v>
      </c>
      <c r="F175" s="9" t="str">
        <f>IFERROR(__xludf.DUMMYFUNCTION("""COMPUTED_VALUE"""),"Ruby")</f>
        <v>Ruby</v>
      </c>
      <c r="G175" s="9" t="str">
        <f>IFERROR(__xludf.DUMMYFUNCTION("""COMPUTED_VALUE"""),"C#")</f>
        <v>C#</v>
      </c>
      <c r="H175" s="9" t="str">
        <f>IFERROR(__xludf.DUMMYFUNCTION("""COMPUTED_VALUE"""),"JavaScript")</f>
        <v>JavaScript</v>
      </c>
      <c r="I175" s="9" t="str">
        <f>IFERROR(__xludf.DUMMYFUNCTION("""COMPUTED_VALUE"""),"Python")</f>
        <v>Python</v>
      </c>
      <c r="J175" s="9" t="str">
        <f>IFERROR(__xludf.DUMMYFUNCTION("""COMPUTED_VALUE"""),"JavaScript")</f>
        <v>JavaScript</v>
      </c>
      <c r="K175" s="9" t="str">
        <f>IFERROR(__xludf.DUMMYFUNCTION("""COMPUTED_VALUE"""),"Scala")</f>
        <v>Scala</v>
      </c>
      <c r="L175" s="9" t="str">
        <f>IFERROR(__xludf.DUMMYFUNCTION("""COMPUTED_VALUE"""),"Bash/Shell/PowerShell")</f>
        <v>Bash/Shell/PowerShell</v>
      </c>
      <c r="M175" s="9" t="s">
        <v>39</v>
      </c>
    </row>
    <row r="176" ht="15.75" customHeight="1">
      <c r="A176" s="7"/>
      <c r="B176" s="7" t="str">
        <f>IFERROR(__xludf.DUMMYFUNCTION("""COMPUTED_VALUE"""),"C;C++;C#;HTML/CSS;Java;JavaScript;Python;SQL")</f>
        <v>C;C++;C#;HTML/CSS;Java;JavaScript;Python;SQL</v>
      </c>
      <c r="C176" s="9" t="str">
        <f>IFERROR(__xludf.DUMMYFUNCTION("""COMPUTED_VALUE"""),"Python")</f>
        <v>Python</v>
      </c>
      <c r="D176" s="9" t="str">
        <f>IFERROR(__xludf.DUMMYFUNCTION("""COMPUTED_VALUE"""),"HTML/CSS")</f>
        <v>HTML/CSS</v>
      </c>
      <c r="E176" s="9" t="str">
        <f>IFERROR(__xludf.DUMMYFUNCTION("""COMPUTED_VALUE"""),"Bash/Shell/PowerShell")</f>
        <v>Bash/Shell/PowerShell</v>
      </c>
      <c r="F176" s="9" t="str">
        <f>IFERROR(__xludf.DUMMYFUNCTION("""COMPUTED_VALUE"""),"SQL")</f>
        <v>SQL</v>
      </c>
      <c r="G176" s="9" t="str">
        <f>IFERROR(__xludf.DUMMYFUNCTION("""COMPUTED_VALUE"""),"Java")</f>
        <v>Java</v>
      </c>
      <c r="H176" s="9" t="str">
        <f>IFERROR(__xludf.DUMMYFUNCTION("""COMPUTED_VALUE"""),"Python")</f>
        <v>Python</v>
      </c>
      <c r="I176" s="9" t="str">
        <f>IFERROR(__xludf.DUMMYFUNCTION("""COMPUTED_VALUE"""),"SQL")</f>
        <v>SQL</v>
      </c>
      <c r="J176" s="9" t="str">
        <f>IFERROR(__xludf.DUMMYFUNCTION("""COMPUTED_VALUE"""),"Kotlin")</f>
        <v>Kotlin</v>
      </c>
      <c r="K176" s="9" t="str">
        <f>IFERROR(__xludf.DUMMYFUNCTION("""COMPUTED_VALUE"""),"SQL")</f>
        <v>SQL</v>
      </c>
      <c r="L176" s="9" t="str">
        <f>IFERROR(__xludf.DUMMYFUNCTION("""COMPUTED_VALUE"""),"C")</f>
        <v>C</v>
      </c>
      <c r="M176" s="9" t="s">
        <v>22</v>
      </c>
    </row>
    <row r="177" ht="15.75" customHeight="1">
      <c r="A177" s="7"/>
      <c r="B177" s="7" t="str">
        <f>IFERROR(__xludf.DUMMYFUNCTION("""COMPUTED_VALUE"""),"C#;Python;SQL")</f>
        <v>C#;Python;SQL</v>
      </c>
      <c r="C177" s="9" t="str">
        <f>IFERROR(__xludf.DUMMYFUNCTION("""COMPUTED_VALUE"""),"Bash/Shell/PowerShell")</f>
        <v>Bash/Shell/PowerShell</v>
      </c>
      <c r="D177" s="9" t="str">
        <f>IFERROR(__xludf.DUMMYFUNCTION("""COMPUTED_VALUE"""),"JavaScript")</f>
        <v>JavaScript</v>
      </c>
      <c r="E177" s="9" t="str">
        <f>IFERROR(__xludf.DUMMYFUNCTION("""COMPUTED_VALUE"""),"HTML/CSS")</f>
        <v>HTML/CSS</v>
      </c>
      <c r="F177" s="9" t="str">
        <f>IFERROR(__xludf.DUMMYFUNCTION("""COMPUTED_VALUE"""),"C")</f>
        <v>C</v>
      </c>
      <c r="G177" s="9" t="str">
        <f>IFERROR(__xludf.DUMMYFUNCTION("""COMPUTED_VALUE"""),"JavaScript")</f>
        <v>JavaScript</v>
      </c>
      <c r="H177" s="9" t="str">
        <f>IFERROR(__xludf.DUMMYFUNCTION("""COMPUTED_VALUE"""),"SQL")</f>
        <v>SQL</v>
      </c>
      <c r="I177" s="9" t="str">
        <f>IFERROR(__xludf.DUMMYFUNCTION("""COMPUTED_VALUE"""),"C")</f>
        <v>C</v>
      </c>
      <c r="J177" s="9" t="str">
        <f>IFERROR(__xludf.DUMMYFUNCTION("""COMPUTED_VALUE"""),"PHP")</f>
        <v>PHP</v>
      </c>
      <c r="K177" s="9" t="str">
        <f>IFERROR(__xludf.DUMMYFUNCTION("""COMPUTED_VALUE"""),"Swift")</f>
        <v>Swift</v>
      </c>
      <c r="L177" s="9" t="str">
        <f>IFERROR(__xludf.DUMMYFUNCTION("""COMPUTED_VALUE"""),"HTML/CSS")</f>
        <v>HTML/CSS</v>
      </c>
      <c r="M177" s="9" t="s">
        <v>30</v>
      </c>
    </row>
    <row r="178" ht="15.75" customHeight="1">
      <c r="A178" s="7"/>
      <c r="B178" s="7" t="str">
        <f>IFERROR(__xludf.DUMMYFUNCTION("""COMPUTED_VALUE"""),"JavaScript;PHP;Python;Ruby;SQL;TypeScript")</f>
        <v>JavaScript;PHP;Python;Ruby;SQL;TypeScript</v>
      </c>
      <c r="C178" s="9" t="str">
        <f>IFERROR(__xludf.DUMMYFUNCTION("""COMPUTED_VALUE"""),"JavaScript")</f>
        <v>JavaScript</v>
      </c>
      <c r="D178" s="9" t="str">
        <f>IFERROR(__xludf.DUMMYFUNCTION("""COMPUTED_VALUE"""),"TypeScript")</f>
        <v>TypeScript</v>
      </c>
      <c r="E178" s="9" t="str">
        <f>IFERROR(__xludf.DUMMYFUNCTION("""COMPUTED_VALUE"""),"JavaScript")</f>
        <v>JavaScript</v>
      </c>
      <c r="F178" s="9" t="str">
        <f>IFERROR(__xludf.DUMMYFUNCTION("""COMPUTED_VALUE"""),"C++")</f>
        <v>C++</v>
      </c>
      <c r="G178" s="9" t="str">
        <f>IFERROR(__xludf.DUMMYFUNCTION("""COMPUTED_VALUE"""),"SQL")</f>
        <v>SQL</v>
      </c>
      <c r="H178" s="9" t="str">
        <f>IFERROR(__xludf.DUMMYFUNCTION("""COMPUTED_VALUE"""),"Bash/Shell/PowerShell")</f>
        <v>Bash/Shell/PowerShell</v>
      </c>
      <c r="I178" s="9" t="str">
        <f>IFERROR(__xludf.DUMMYFUNCTION("""COMPUTED_VALUE"""),"HTML/CSS")</f>
        <v>HTML/CSS</v>
      </c>
      <c r="J178" s="9" t="str">
        <f>IFERROR(__xludf.DUMMYFUNCTION("""COMPUTED_VALUE"""),"Python")</f>
        <v>Python</v>
      </c>
      <c r="K178" s="9" t="str">
        <f>IFERROR(__xludf.DUMMYFUNCTION("""COMPUTED_VALUE"""),"Other(s):")</f>
        <v>Other(s):</v>
      </c>
      <c r="L178" s="9" t="str">
        <f>IFERROR(__xludf.DUMMYFUNCTION("""COMPUTED_VALUE"""),"JavaScript")</f>
        <v>JavaScript</v>
      </c>
      <c r="M178" s="9" t="s">
        <v>21</v>
      </c>
    </row>
    <row r="179" ht="15.75" customHeight="1">
      <c r="A179" s="7"/>
      <c r="B179" s="7" t="str">
        <f>IFERROR(__xludf.DUMMYFUNCTION("""COMPUTED_VALUE"""),"HTML/CSS;Java;JavaScript;Objective-C;SQL;Swift")</f>
        <v>HTML/CSS;Java;JavaScript;Objective-C;SQL;Swift</v>
      </c>
      <c r="C179" s="9" t="str">
        <f>IFERROR(__xludf.DUMMYFUNCTION("""COMPUTED_VALUE"""),"Python")</f>
        <v>Python</v>
      </c>
      <c r="D179" s="9" t="str">
        <f>IFERROR(__xludf.DUMMYFUNCTION("""COMPUTED_VALUE"""),"HTML/CSS")</f>
        <v>HTML/CSS</v>
      </c>
      <c r="E179" s="9" t="str">
        <f>IFERROR(__xludf.DUMMYFUNCTION("""COMPUTED_VALUE"""),"Ruby")</f>
        <v>Ruby</v>
      </c>
      <c r="F179" s="9" t="str">
        <f>IFERROR(__xludf.DUMMYFUNCTION("""COMPUTED_VALUE"""),"C++")</f>
        <v>C++</v>
      </c>
      <c r="G179" s="9" t="str">
        <f>IFERROR(__xludf.DUMMYFUNCTION("""COMPUTED_VALUE"""),"TypeScript")</f>
        <v>TypeScript</v>
      </c>
      <c r="H179" s="9" t="str">
        <f>IFERROR(__xludf.DUMMYFUNCTION("""COMPUTED_VALUE"""),"C")</f>
        <v>C</v>
      </c>
      <c r="I179" s="9" t="str">
        <f>IFERROR(__xludf.DUMMYFUNCTION("""COMPUTED_VALUE"""),"Java")</f>
        <v>Java</v>
      </c>
      <c r="J179" s="9" t="str">
        <f>IFERROR(__xludf.DUMMYFUNCTION("""COMPUTED_VALUE"""),"SQL")</f>
        <v>SQL</v>
      </c>
      <c r="K179" s="9" t="str">
        <f>IFERROR(__xludf.DUMMYFUNCTION("""COMPUTED_VALUE"""),"Python")</f>
        <v>Python</v>
      </c>
      <c r="L179" s="9" t="str">
        <f>IFERROR(__xludf.DUMMYFUNCTION("""COMPUTED_VALUE"""),"Python")</f>
        <v>Python</v>
      </c>
      <c r="M179" s="9" t="s">
        <v>22</v>
      </c>
    </row>
    <row r="180" ht="15.75" customHeight="1">
      <c r="A180" s="7"/>
      <c r="B180" s="7" t="str">
        <f>IFERROR(__xludf.DUMMYFUNCTION("""COMPUTED_VALUE"""),"HTML/CSS;JavaScript")</f>
        <v>HTML/CSS;JavaScript</v>
      </c>
      <c r="C180" s="9" t="str">
        <f>IFERROR(__xludf.DUMMYFUNCTION("""COMPUTED_VALUE"""),"Other(s):")</f>
        <v>Other(s):</v>
      </c>
      <c r="D180" s="9" t="str">
        <f>IFERROR(__xludf.DUMMYFUNCTION("""COMPUTED_VALUE"""),"JavaScript")</f>
        <v>JavaScript</v>
      </c>
      <c r="E180" s="9" t="str">
        <f>IFERROR(__xludf.DUMMYFUNCTION("""COMPUTED_VALUE"""),"SQL")</f>
        <v>SQL</v>
      </c>
      <c r="F180" s="9" t="str">
        <f>IFERROR(__xludf.DUMMYFUNCTION("""COMPUTED_VALUE"""),"Python")</f>
        <v>Python</v>
      </c>
      <c r="G180" s="9" t="str">
        <f>IFERROR(__xludf.DUMMYFUNCTION("""COMPUTED_VALUE"""),"Bash/Shell/PowerShell")</f>
        <v>Bash/Shell/PowerShell</v>
      </c>
      <c r="H180" s="9" t="str">
        <f>IFERROR(__xludf.DUMMYFUNCTION("""COMPUTED_VALUE"""),"HTML/CSS")</f>
        <v>HTML/CSS</v>
      </c>
      <c r="I180" s="9" t="str">
        <f>IFERROR(__xludf.DUMMYFUNCTION("""COMPUTED_VALUE"""),"JavaScript")</f>
        <v>JavaScript</v>
      </c>
      <c r="J180" s="9" t="str">
        <f>IFERROR(__xludf.DUMMYFUNCTION("""COMPUTED_VALUE"""),"HTML/CSS")</f>
        <v>HTML/CSS</v>
      </c>
      <c r="K180" s="9" t="str">
        <f>IFERROR(__xludf.DUMMYFUNCTION("""COMPUTED_VALUE"""),"SQL")</f>
        <v>SQL</v>
      </c>
      <c r="L180" s="9" t="str">
        <f>IFERROR(__xludf.DUMMYFUNCTION("""COMPUTED_VALUE"""),"SQL")</f>
        <v>SQL</v>
      </c>
      <c r="M180" s="9" t="s">
        <v>35</v>
      </c>
    </row>
    <row r="181" ht="15.75" customHeight="1">
      <c r="A181" s="7"/>
      <c r="B181" s="7" t="str">
        <f>IFERROR(__xludf.DUMMYFUNCTION("""COMPUTED_VALUE"""),"Bash/Shell/PowerShell;C;C++;Go;HTML/CSS;Java;JavaScript;PHP;Python;Rust;SQL;TypeScript")</f>
        <v>Bash/Shell/PowerShell;C;C++;Go;HTML/CSS;Java;JavaScript;PHP;Python;Rust;SQL;TypeScript</v>
      </c>
      <c r="C181" s="9" t="str">
        <f>IFERROR(__xludf.DUMMYFUNCTION("""COMPUTED_VALUE"""),"C#")</f>
        <v>C#</v>
      </c>
      <c r="D181" s="9" t="str">
        <f>IFERROR(__xludf.DUMMYFUNCTION("""COMPUTED_VALUE"""),"TypeScript")</f>
        <v>TypeScript</v>
      </c>
      <c r="E181" s="9" t="str">
        <f>IFERROR(__xludf.DUMMYFUNCTION("""COMPUTED_VALUE"""),"JavaScript")</f>
        <v>JavaScript</v>
      </c>
      <c r="F181" s="9" t="str">
        <f>IFERROR(__xludf.DUMMYFUNCTION("""COMPUTED_VALUE"""),"Python")</f>
        <v>Python</v>
      </c>
      <c r="G181" s="9" t="str">
        <f>IFERROR(__xludf.DUMMYFUNCTION("""COMPUTED_VALUE"""),"HTML/CSS")</f>
        <v>HTML/CSS</v>
      </c>
      <c r="H181" s="9" t="str">
        <f>IFERROR(__xludf.DUMMYFUNCTION("""COMPUTED_VALUE"""),"Java")</f>
        <v>Java</v>
      </c>
      <c r="I181" s="9" t="str">
        <f>IFERROR(__xludf.DUMMYFUNCTION("""COMPUTED_VALUE"""),"PHP")</f>
        <v>PHP</v>
      </c>
      <c r="J181" s="9" t="str">
        <f>IFERROR(__xludf.DUMMYFUNCTION("""COMPUTED_VALUE"""),"Java")</f>
        <v>Java</v>
      </c>
      <c r="K181" s="9" t="str">
        <f>IFERROR(__xludf.DUMMYFUNCTION("""COMPUTED_VALUE"""),"Bash/Shell/PowerShell")</f>
        <v>Bash/Shell/PowerShell</v>
      </c>
      <c r="L181" s="9" t="str">
        <f>IFERROR(__xludf.DUMMYFUNCTION("""COMPUTED_VALUE"""),"Other(s):")</f>
        <v>Other(s):</v>
      </c>
      <c r="M181" s="9" t="s">
        <v>26</v>
      </c>
    </row>
    <row r="182" ht="15.75" customHeight="1">
      <c r="A182" s="7"/>
      <c r="B182" s="7" t="str">
        <f>IFERROR(__xludf.DUMMYFUNCTION("""COMPUTED_VALUE"""),"Dart;Go;Java;Kotlin;Swift")</f>
        <v>Dart;Go;Java;Kotlin;Swift</v>
      </c>
      <c r="C182" s="9" t="str">
        <f>IFERROR(__xludf.DUMMYFUNCTION("""COMPUTED_VALUE"""),"HTML/CSS")</f>
        <v>HTML/CSS</v>
      </c>
      <c r="D182" s="9" t="str">
        <f>IFERROR(__xludf.DUMMYFUNCTION("""COMPUTED_VALUE"""),"Java")</f>
        <v>Java</v>
      </c>
      <c r="E182" s="9" t="str">
        <f>IFERROR(__xludf.DUMMYFUNCTION("""COMPUTED_VALUE"""),"Other(s):")</f>
        <v>Other(s):</v>
      </c>
      <c r="F182" s="9" t="str">
        <f>IFERROR(__xludf.DUMMYFUNCTION("""COMPUTED_VALUE"""),"SQL")</f>
        <v>SQL</v>
      </c>
      <c r="G182" s="9" t="str">
        <f>IFERROR(__xludf.DUMMYFUNCTION("""COMPUTED_VALUE"""),"JavaScript")</f>
        <v>JavaScript</v>
      </c>
      <c r="H182" s="9" t="str">
        <f>IFERROR(__xludf.DUMMYFUNCTION("""COMPUTED_VALUE"""),"JavaScript")</f>
        <v>JavaScript</v>
      </c>
      <c r="I182" s="9" t="str">
        <f>IFERROR(__xludf.DUMMYFUNCTION("""COMPUTED_VALUE"""),"TypeScript")</f>
        <v>TypeScript</v>
      </c>
      <c r="J182" s="9" t="str">
        <f>IFERROR(__xludf.DUMMYFUNCTION("""COMPUTED_VALUE"""),"JavaScript")</f>
        <v>JavaScript</v>
      </c>
      <c r="K182" s="9" t="str">
        <f>IFERROR(__xludf.DUMMYFUNCTION("""COMPUTED_VALUE"""),"Go")</f>
        <v>Go</v>
      </c>
      <c r="L182" s="9" t="str">
        <f>IFERROR(__xludf.DUMMYFUNCTION("""COMPUTED_VALUE"""),"Bash/Shell/PowerShell")</f>
        <v>Bash/Shell/PowerShell</v>
      </c>
      <c r="M182" s="9" t="s">
        <v>24</v>
      </c>
    </row>
    <row r="183" ht="15.75" customHeight="1">
      <c r="A183" s="7"/>
      <c r="B183" s="7" t="str">
        <f>IFERROR(__xludf.DUMMYFUNCTION("""COMPUTED_VALUE"""),"Bash/Shell/PowerShell;C;C++;Java;JavaScript;Kotlin;Objective-C;Python;Rust;Swift")</f>
        <v>Bash/Shell/PowerShell;C;C++;Java;JavaScript;Kotlin;Objective-C;Python;Rust;Swift</v>
      </c>
      <c r="C183" s="9" t="str">
        <f>IFERROR(__xludf.DUMMYFUNCTION("""COMPUTED_VALUE"""),"JavaScript")</f>
        <v>JavaScript</v>
      </c>
      <c r="D183" s="9" t="str">
        <f>IFERROR(__xludf.DUMMYFUNCTION("""COMPUTED_VALUE"""),"JavaScript")</f>
        <v>JavaScript</v>
      </c>
      <c r="E183" s="9" t="str">
        <f>IFERROR(__xludf.DUMMYFUNCTION("""COMPUTED_VALUE"""),"Bash/Shell/PowerShell")</f>
        <v>Bash/Shell/PowerShell</v>
      </c>
      <c r="F183" s="9" t="str">
        <f>IFERROR(__xludf.DUMMYFUNCTION("""COMPUTED_VALUE"""),"C#")</f>
        <v>C#</v>
      </c>
      <c r="G183" s="9" t="str">
        <f>IFERROR(__xludf.DUMMYFUNCTION("""COMPUTED_VALUE"""),"Python")</f>
        <v>Python</v>
      </c>
      <c r="H183" s="9" t="str">
        <f>IFERROR(__xludf.DUMMYFUNCTION("""COMPUTED_VALUE"""),"Objective-C")</f>
        <v>Objective-C</v>
      </c>
      <c r="I183" s="9" t="str">
        <f>IFERROR(__xludf.DUMMYFUNCTION("""COMPUTED_VALUE"""),"C++")</f>
        <v>C++</v>
      </c>
      <c r="J183" s="9" t="str">
        <f>IFERROR(__xludf.DUMMYFUNCTION("""COMPUTED_VALUE"""),"Ruby")</f>
        <v>Ruby</v>
      </c>
      <c r="K183" s="9" t="str">
        <f>IFERROR(__xludf.DUMMYFUNCTION("""COMPUTED_VALUE"""),"HTML/CSS")</f>
        <v>HTML/CSS</v>
      </c>
      <c r="L183" s="9" t="str">
        <f>IFERROR(__xludf.DUMMYFUNCTION("""COMPUTED_VALUE"""),"Go")</f>
        <v>Go</v>
      </c>
      <c r="M183" s="9" t="s">
        <v>21</v>
      </c>
    </row>
    <row r="184" ht="15.75" customHeight="1">
      <c r="A184" s="7"/>
      <c r="B184" s="7" t="str">
        <f>IFERROR(__xludf.DUMMYFUNCTION("""COMPUTED_VALUE"""),"Bash/Shell/PowerShell;Java;Kotlin")</f>
        <v>Bash/Shell/PowerShell;Java;Kotlin</v>
      </c>
      <c r="C184" s="9" t="str">
        <f>IFERROR(__xludf.DUMMYFUNCTION("""COMPUTED_VALUE"""),"SQL")</f>
        <v>SQL</v>
      </c>
      <c r="D184" s="9" t="str">
        <f>IFERROR(__xludf.DUMMYFUNCTION("""COMPUTED_VALUE"""),"C#")</f>
        <v>C#</v>
      </c>
      <c r="E184" s="9" t="str">
        <f>IFERROR(__xludf.DUMMYFUNCTION("""COMPUTED_VALUE"""),"C#")</f>
        <v>C#</v>
      </c>
      <c r="F184" s="9" t="str">
        <f>IFERROR(__xludf.DUMMYFUNCTION("""COMPUTED_VALUE"""),"HTML/CSS")</f>
        <v>HTML/CSS</v>
      </c>
      <c r="G184" s="9" t="str">
        <f>IFERROR(__xludf.DUMMYFUNCTION("""COMPUTED_VALUE"""),"SQL")</f>
        <v>SQL</v>
      </c>
      <c r="H184" s="9" t="str">
        <f>IFERROR(__xludf.DUMMYFUNCTION("""COMPUTED_VALUE"""),"HTML/CSS")</f>
        <v>HTML/CSS</v>
      </c>
      <c r="I184" s="9" t="str">
        <f>IFERROR(__xludf.DUMMYFUNCTION("""COMPUTED_VALUE"""),"C#")</f>
        <v>C#</v>
      </c>
      <c r="J184" s="9" t="str">
        <f>IFERROR(__xludf.DUMMYFUNCTION("""COMPUTED_VALUE"""),"HTML/CSS")</f>
        <v>HTML/CSS</v>
      </c>
      <c r="K184" s="9" t="str">
        <f>IFERROR(__xludf.DUMMYFUNCTION("""COMPUTED_VALUE"""),"Java")</f>
        <v>Java</v>
      </c>
      <c r="L184" s="9" t="str">
        <f>IFERROR(__xludf.DUMMYFUNCTION("""COMPUTED_VALUE"""),"Java")</f>
        <v>Java</v>
      </c>
      <c r="M184" s="9" t="s">
        <v>27</v>
      </c>
    </row>
    <row r="185" ht="15.75" customHeight="1">
      <c r="A185" s="7"/>
      <c r="B185" s="7" t="str">
        <f>IFERROR(__xludf.DUMMYFUNCTION("""COMPUTED_VALUE"""),"Assembly;C;C++;HTML/CSS;Java;JavaScript;Python")</f>
        <v>Assembly;C;C++;HTML/CSS;Java;JavaScript;Python</v>
      </c>
      <c r="C185" s="9" t="str">
        <f>IFERROR(__xludf.DUMMYFUNCTION("""COMPUTED_VALUE"""),"C#")</f>
        <v>C#</v>
      </c>
      <c r="D185" s="9" t="str">
        <f>IFERROR(__xludf.DUMMYFUNCTION("""COMPUTED_VALUE"""),"HTML/CSS")</f>
        <v>HTML/CSS</v>
      </c>
      <c r="E185" s="9" t="str">
        <f>IFERROR(__xludf.DUMMYFUNCTION("""COMPUTED_VALUE"""),"HTML/CSS")</f>
        <v>HTML/CSS</v>
      </c>
      <c r="F185" s="9" t="str">
        <f>IFERROR(__xludf.DUMMYFUNCTION("""COMPUTED_VALUE"""),"Java")</f>
        <v>Java</v>
      </c>
      <c r="G185" s="9" t="str">
        <f>IFERROR(__xludf.DUMMYFUNCTION("""COMPUTED_VALUE"""),"C#")</f>
        <v>C#</v>
      </c>
      <c r="H185" s="9" t="str">
        <f>IFERROR(__xludf.DUMMYFUNCTION("""COMPUTED_VALUE"""),"Python")</f>
        <v>Python</v>
      </c>
      <c r="I185" s="9" t="str">
        <f>IFERROR(__xludf.DUMMYFUNCTION("""COMPUTED_VALUE"""),"PHP")</f>
        <v>PHP</v>
      </c>
      <c r="J185" s="9" t="str">
        <f>IFERROR(__xludf.DUMMYFUNCTION("""COMPUTED_VALUE"""),"Java")</f>
        <v>Java</v>
      </c>
      <c r="K185" s="9" t="str">
        <f>IFERROR(__xludf.DUMMYFUNCTION("""COMPUTED_VALUE"""),"JavaScript")</f>
        <v>JavaScript</v>
      </c>
      <c r="L185" s="9" t="str">
        <f>IFERROR(__xludf.DUMMYFUNCTION("""COMPUTED_VALUE"""),"JavaScript")</f>
        <v>JavaScript</v>
      </c>
      <c r="M185" s="9" t="s">
        <v>26</v>
      </c>
    </row>
    <row r="186" ht="15.75" customHeight="1">
      <c r="A186" s="7"/>
      <c r="B186" s="7" t="str">
        <f>IFERROR(__xludf.DUMMYFUNCTION("""COMPUTED_VALUE"""),"HTML/CSS;JavaScript;Ruby;Scala;SQL")</f>
        <v>HTML/CSS;JavaScript;Ruby;Scala;SQL</v>
      </c>
      <c r="C186" s="9" t="str">
        <f>IFERROR(__xludf.DUMMYFUNCTION("""COMPUTED_VALUE"""),"JavaScript")</f>
        <v>JavaScript</v>
      </c>
      <c r="D186" s="9" t="str">
        <f>IFERROR(__xludf.DUMMYFUNCTION("""COMPUTED_VALUE"""),"JavaScript")</f>
        <v>JavaScript</v>
      </c>
      <c r="E186" s="9" t="str">
        <f>IFERROR(__xludf.DUMMYFUNCTION("""COMPUTED_VALUE"""),"JavaScript")</f>
        <v>JavaScript</v>
      </c>
      <c r="F186" s="9" t="str">
        <f>IFERROR(__xludf.DUMMYFUNCTION("""COMPUTED_VALUE"""),"JavaScript")</f>
        <v>JavaScript</v>
      </c>
      <c r="G186" s="9" t="str">
        <f>IFERROR(__xludf.DUMMYFUNCTION("""COMPUTED_VALUE"""),"Java")</f>
        <v>Java</v>
      </c>
      <c r="H186" s="9" t="str">
        <f>IFERROR(__xludf.DUMMYFUNCTION("""COMPUTED_VALUE"""),"HTML/CSS")</f>
        <v>HTML/CSS</v>
      </c>
      <c r="I186" s="9" t="str">
        <f>IFERROR(__xludf.DUMMYFUNCTION("""COMPUTED_VALUE"""),"Rust")</f>
        <v>Rust</v>
      </c>
      <c r="J186" s="9" t="str">
        <f>IFERROR(__xludf.DUMMYFUNCTION("""COMPUTED_VALUE"""),"JavaScript")</f>
        <v>JavaScript</v>
      </c>
      <c r="K186" s="9" t="str">
        <f>IFERROR(__xludf.DUMMYFUNCTION("""COMPUTED_VALUE"""),"Python")</f>
        <v>Python</v>
      </c>
      <c r="L186" s="9" t="str">
        <f>IFERROR(__xludf.DUMMYFUNCTION("""COMPUTED_VALUE"""),"PHP")</f>
        <v>PHP</v>
      </c>
      <c r="M186" s="9" t="s">
        <v>21</v>
      </c>
    </row>
    <row r="187" ht="15.75" customHeight="1">
      <c r="A187" s="7"/>
      <c r="B187" s="7" t="str">
        <f>IFERROR(__xludf.DUMMYFUNCTION("""COMPUTED_VALUE"""),"C#;Python;R;SQL;VBA")</f>
        <v>C#;Python;R;SQL;VBA</v>
      </c>
      <c r="C187" s="9" t="str">
        <f>IFERROR(__xludf.DUMMYFUNCTION("""COMPUTED_VALUE"""),"SQL")</f>
        <v>SQL</v>
      </c>
      <c r="D187" s="9" t="str">
        <f>IFERROR(__xludf.DUMMYFUNCTION("""COMPUTED_VALUE"""),"Kotlin")</f>
        <v>Kotlin</v>
      </c>
      <c r="E187" s="9" t="str">
        <f>IFERROR(__xludf.DUMMYFUNCTION("""COMPUTED_VALUE"""),"Ruby")</f>
        <v>Ruby</v>
      </c>
      <c r="F187" s="9" t="str">
        <f>IFERROR(__xludf.DUMMYFUNCTION("""COMPUTED_VALUE"""),"Kotlin")</f>
        <v>Kotlin</v>
      </c>
      <c r="G187" s="9" t="str">
        <f>IFERROR(__xludf.DUMMYFUNCTION("""COMPUTED_VALUE"""),"SQL")</f>
        <v>SQL</v>
      </c>
      <c r="H187" s="9" t="str">
        <f>IFERROR(__xludf.DUMMYFUNCTION("""COMPUTED_VALUE"""),"JavaScript")</f>
        <v>JavaScript</v>
      </c>
      <c r="I187" s="9" t="str">
        <f>IFERROR(__xludf.DUMMYFUNCTION("""COMPUTED_VALUE"""),"SQL")</f>
        <v>SQL</v>
      </c>
      <c r="J187" s="9" t="str">
        <f>IFERROR(__xludf.DUMMYFUNCTION("""COMPUTED_VALUE"""),"Java")</f>
        <v>Java</v>
      </c>
      <c r="K187" s="9" t="str">
        <f>IFERROR(__xludf.DUMMYFUNCTION("""COMPUTED_VALUE"""),"Ruby")</f>
        <v>Ruby</v>
      </c>
      <c r="L187" s="9" t="str">
        <f>IFERROR(__xludf.DUMMYFUNCTION("""COMPUTED_VALUE"""),"Python")</f>
        <v>Python</v>
      </c>
      <c r="M187" s="9" t="s">
        <v>27</v>
      </c>
    </row>
    <row r="188" ht="15.75" customHeight="1">
      <c r="A188" s="7"/>
      <c r="B188" s="7" t="str">
        <f>IFERROR(__xludf.DUMMYFUNCTION("""COMPUTED_VALUE"""),"C++;HTML/CSS;JavaScript;Python;SQL")</f>
        <v>C++;HTML/CSS;JavaScript;Python;SQL</v>
      </c>
      <c r="C188" s="9" t="str">
        <f>IFERROR(__xludf.DUMMYFUNCTION("""COMPUTED_VALUE"""),"TypeScript")</f>
        <v>TypeScript</v>
      </c>
      <c r="D188" s="9" t="str">
        <f>IFERROR(__xludf.DUMMYFUNCTION("""COMPUTED_VALUE"""),"SQL")</f>
        <v>SQL</v>
      </c>
      <c r="E188" s="9" t="str">
        <f>IFERROR(__xludf.DUMMYFUNCTION("""COMPUTED_VALUE"""),"SQL")</f>
        <v>SQL</v>
      </c>
      <c r="F188" s="9" t="str">
        <f>IFERROR(__xludf.DUMMYFUNCTION("""COMPUTED_VALUE"""),"Objective-C")</f>
        <v>Objective-C</v>
      </c>
      <c r="G188" s="9" t="str">
        <f>IFERROR(__xludf.DUMMYFUNCTION("""COMPUTED_VALUE"""),"Assembly")</f>
        <v>Assembly</v>
      </c>
      <c r="H188" s="9" t="str">
        <f>IFERROR(__xludf.DUMMYFUNCTION("""COMPUTED_VALUE"""),"PHP")</f>
        <v>PHP</v>
      </c>
      <c r="I188" s="9" t="str">
        <f>IFERROR(__xludf.DUMMYFUNCTION("""COMPUTED_VALUE"""),"Assembly")</f>
        <v>Assembly</v>
      </c>
      <c r="J188" s="9" t="str">
        <f>IFERROR(__xludf.DUMMYFUNCTION("""COMPUTED_VALUE"""),"SQL")</f>
        <v>SQL</v>
      </c>
      <c r="K188" s="9" t="str">
        <f>IFERROR(__xludf.DUMMYFUNCTION("""COMPUTED_VALUE"""),"TypeScript")</f>
        <v>TypeScript</v>
      </c>
      <c r="L188" s="9" t="str">
        <f>IFERROR(__xludf.DUMMYFUNCTION("""COMPUTED_VALUE"""),"SQL")</f>
        <v>SQL</v>
      </c>
      <c r="M188" s="9" t="s">
        <v>33</v>
      </c>
    </row>
    <row r="189" ht="15.75" customHeight="1">
      <c r="A189" s="7"/>
      <c r="B189" s="7" t="str">
        <f>IFERROR(__xludf.DUMMYFUNCTION("""COMPUTED_VALUE"""),"Java;Scala;SQL;TypeScript")</f>
        <v>Java;Scala;SQL;TypeScript</v>
      </c>
      <c r="C189" s="9" t="str">
        <f>IFERROR(__xludf.DUMMYFUNCTION("""COMPUTED_VALUE"""),"C#")</f>
        <v>C#</v>
      </c>
      <c r="D189" s="9" t="str">
        <f>IFERROR(__xludf.DUMMYFUNCTION("""COMPUTED_VALUE"""),"Swift")</f>
        <v>Swift</v>
      </c>
      <c r="E189" s="9" t="str">
        <f>IFERROR(__xludf.DUMMYFUNCTION("""COMPUTED_VALUE"""),"Bash/Shell/PowerShell")</f>
        <v>Bash/Shell/PowerShell</v>
      </c>
      <c r="F189" s="9" t="str">
        <f>IFERROR(__xludf.DUMMYFUNCTION("""COMPUTED_VALUE"""),"SQL")</f>
        <v>SQL</v>
      </c>
      <c r="G189" s="9" t="str">
        <f>IFERROR(__xludf.DUMMYFUNCTION("""COMPUTED_VALUE"""),"Bash/Shell/PowerShell")</f>
        <v>Bash/Shell/PowerShell</v>
      </c>
      <c r="H189" s="9" t="str">
        <f>IFERROR(__xludf.DUMMYFUNCTION("""COMPUTED_VALUE"""),"SQL")</f>
        <v>SQL</v>
      </c>
      <c r="I189" s="9" t="str">
        <f>IFERROR(__xludf.DUMMYFUNCTION("""COMPUTED_VALUE"""),"Bash/Shell/PowerShell")</f>
        <v>Bash/Shell/PowerShell</v>
      </c>
      <c r="J189" s="9" t="str">
        <f>IFERROR(__xludf.DUMMYFUNCTION("""COMPUTED_VALUE"""),"C#")</f>
        <v>C#</v>
      </c>
      <c r="K189" s="9" t="str">
        <f>IFERROR(__xludf.DUMMYFUNCTION("""COMPUTED_VALUE"""),"Assembly")</f>
        <v>Assembly</v>
      </c>
      <c r="L189" s="9" t="str">
        <f>IFERROR(__xludf.DUMMYFUNCTION("""COMPUTED_VALUE"""),"HTML/CSS")</f>
        <v>HTML/CSS</v>
      </c>
      <c r="M189" s="9" t="s">
        <v>26</v>
      </c>
    </row>
    <row r="190" ht="15.75" customHeight="1">
      <c r="A190" s="7"/>
      <c r="B190" s="7" t="str">
        <f>IFERROR(__xludf.DUMMYFUNCTION("""COMPUTED_VALUE"""),"C#;HTML/CSS;JavaScript;SQL;TypeScript")</f>
        <v>C#;HTML/CSS;JavaScript;SQL;TypeScript</v>
      </c>
      <c r="C190" s="9" t="str">
        <f>IFERROR(__xludf.DUMMYFUNCTION("""COMPUTED_VALUE"""),"HTML/CSS")</f>
        <v>HTML/CSS</v>
      </c>
      <c r="D190" s="9" t="str">
        <f>IFERROR(__xludf.DUMMYFUNCTION("""COMPUTED_VALUE"""),"TypeScript")</f>
        <v>TypeScript</v>
      </c>
      <c r="E190" s="9" t="str">
        <f>IFERROR(__xludf.DUMMYFUNCTION("""COMPUTED_VALUE"""),"C++")</f>
        <v>C++</v>
      </c>
      <c r="F190" s="9" t="str">
        <f>IFERROR(__xludf.DUMMYFUNCTION("""COMPUTED_VALUE"""),"Swift")</f>
        <v>Swift</v>
      </c>
      <c r="G190" s="9" t="str">
        <f>IFERROR(__xludf.DUMMYFUNCTION("""COMPUTED_VALUE"""),"C")</f>
        <v>C</v>
      </c>
      <c r="H190" s="9" t="str">
        <f>IFERROR(__xludf.DUMMYFUNCTION("""COMPUTED_VALUE"""),"C#")</f>
        <v>C#</v>
      </c>
      <c r="I190" s="9" t="str">
        <f>IFERROR(__xludf.DUMMYFUNCTION("""COMPUTED_VALUE"""),"C")</f>
        <v>C</v>
      </c>
      <c r="J190" s="9" t="str">
        <f>IFERROR(__xludf.DUMMYFUNCTION("""COMPUTED_VALUE"""),"HTML/CSS")</f>
        <v>HTML/CSS</v>
      </c>
      <c r="K190" s="9" t="str">
        <f>IFERROR(__xludf.DUMMYFUNCTION("""COMPUTED_VALUE"""),"Bash/Shell/PowerShell")</f>
        <v>Bash/Shell/PowerShell</v>
      </c>
      <c r="L190" s="9" t="str">
        <f>IFERROR(__xludf.DUMMYFUNCTION("""COMPUTED_VALUE"""),"JavaScript")</f>
        <v>JavaScript</v>
      </c>
      <c r="M190" s="9" t="s">
        <v>24</v>
      </c>
    </row>
    <row r="191" ht="15.75" customHeight="1">
      <c r="A191" s="7"/>
      <c r="B191" s="7" t="str">
        <f>IFERROR(__xludf.DUMMYFUNCTION("""COMPUTED_VALUE"""),"Bash/Shell/PowerShell;JavaScript;Python")</f>
        <v>Bash/Shell/PowerShell;JavaScript;Python</v>
      </c>
      <c r="C191" s="9" t="str">
        <f>IFERROR(__xludf.DUMMYFUNCTION("""COMPUTED_VALUE"""),"Bash/Shell/PowerShell")</f>
        <v>Bash/Shell/PowerShell</v>
      </c>
      <c r="D191" s="9" t="str">
        <f>IFERROR(__xludf.DUMMYFUNCTION("""COMPUTED_VALUE"""),"Dart")</f>
        <v>Dart</v>
      </c>
      <c r="E191" s="9" t="str">
        <f>IFERROR(__xludf.DUMMYFUNCTION("""COMPUTED_VALUE"""),"Dart")</f>
        <v>Dart</v>
      </c>
      <c r="F191" s="9" t="str">
        <f>IFERROR(__xludf.DUMMYFUNCTION("""COMPUTED_VALUE"""),"Go")</f>
        <v>Go</v>
      </c>
      <c r="G191" s="9" t="str">
        <f>IFERROR(__xludf.DUMMYFUNCTION("""COMPUTED_VALUE"""),"HTML/CSS")</f>
        <v>HTML/CSS</v>
      </c>
      <c r="H191" s="9" t="str">
        <f>IFERROR(__xludf.DUMMYFUNCTION("""COMPUTED_VALUE"""),"HTML/CSS")</f>
        <v>HTML/CSS</v>
      </c>
      <c r="I191" s="9" t="str">
        <f>IFERROR(__xludf.DUMMYFUNCTION("""COMPUTED_VALUE"""),"C++")</f>
        <v>C++</v>
      </c>
      <c r="J191" s="9" t="str">
        <f>IFERROR(__xludf.DUMMYFUNCTION("""COMPUTED_VALUE"""),"JavaScript")</f>
        <v>JavaScript</v>
      </c>
      <c r="K191" s="9" t="str">
        <f>IFERROR(__xludf.DUMMYFUNCTION("""COMPUTED_VALUE"""),"C")</f>
        <v>C</v>
      </c>
      <c r="L191" s="9" t="str">
        <f>IFERROR(__xludf.DUMMYFUNCTION("""COMPUTED_VALUE"""),"PHP")</f>
        <v>PHP</v>
      </c>
      <c r="M191" s="9" t="s">
        <v>30</v>
      </c>
    </row>
    <row r="192" ht="15.75" customHeight="1">
      <c r="A192" s="7"/>
      <c r="B192" s="7" t="str">
        <f>IFERROR(__xludf.DUMMYFUNCTION("""COMPUTED_VALUE"""),"Bash/Shell/PowerShell;HTML/CSS;JavaScript;Ruby;SQL")</f>
        <v>Bash/Shell/PowerShell;HTML/CSS;JavaScript;Ruby;SQL</v>
      </c>
      <c r="C192" s="9" t="str">
        <f>IFERROR(__xludf.DUMMYFUNCTION("""COMPUTED_VALUE"""),"C")</f>
        <v>C</v>
      </c>
      <c r="D192" s="9" t="str">
        <f>IFERROR(__xludf.DUMMYFUNCTION("""COMPUTED_VALUE"""),"JavaScript")</f>
        <v>JavaScript</v>
      </c>
      <c r="E192" s="9" t="str">
        <f>IFERROR(__xludf.DUMMYFUNCTION("""COMPUTED_VALUE"""),"Python")</f>
        <v>Python</v>
      </c>
      <c r="F192" s="9" t="str">
        <f>IFERROR(__xludf.DUMMYFUNCTION("""COMPUTED_VALUE"""),"Ruby")</f>
        <v>Ruby</v>
      </c>
      <c r="G192" s="9" t="str">
        <f>IFERROR(__xludf.DUMMYFUNCTION("""COMPUTED_VALUE"""),"Java")</f>
        <v>Java</v>
      </c>
      <c r="H192" s="9" t="str">
        <f>IFERROR(__xludf.DUMMYFUNCTION("""COMPUTED_VALUE"""),"Java")</f>
        <v>Java</v>
      </c>
      <c r="I192" s="9" t="str">
        <f>IFERROR(__xludf.DUMMYFUNCTION("""COMPUTED_VALUE"""),"HTML/CSS")</f>
        <v>HTML/CSS</v>
      </c>
      <c r="J192" s="9" t="str">
        <f>IFERROR(__xludf.DUMMYFUNCTION("""COMPUTED_VALUE"""),"TypeScript")</f>
        <v>TypeScript</v>
      </c>
      <c r="K192" s="9" t="str">
        <f>IFERROR(__xludf.DUMMYFUNCTION("""COMPUTED_VALUE"""),"C++")</f>
        <v>C++</v>
      </c>
      <c r="L192" s="9" t="str">
        <f>IFERROR(__xludf.DUMMYFUNCTION("""COMPUTED_VALUE"""),"Python")</f>
        <v>Python</v>
      </c>
      <c r="M192" s="9" t="s">
        <v>25</v>
      </c>
    </row>
    <row r="193" ht="15.75" customHeight="1">
      <c r="A193" s="7"/>
      <c r="B193" s="7" t="str">
        <f>IFERROR(__xludf.DUMMYFUNCTION("""COMPUTED_VALUE"""),"Assembly;Bash/Shell/PowerShell;C;HTML/CSS;Java;JavaScript;PHP")</f>
        <v>Assembly;Bash/Shell/PowerShell;C;HTML/CSS;Java;JavaScript;PHP</v>
      </c>
      <c r="C193" s="9" t="str">
        <f>IFERROR(__xludf.DUMMYFUNCTION("""COMPUTED_VALUE"""),"C++")</f>
        <v>C++</v>
      </c>
      <c r="D193" s="9" t="str">
        <f>IFERROR(__xludf.DUMMYFUNCTION("""COMPUTED_VALUE"""),"Kotlin")</f>
        <v>Kotlin</v>
      </c>
      <c r="E193" s="9" t="str">
        <f>IFERROR(__xludf.DUMMYFUNCTION("""COMPUTED_VALUE"""),"Bash/Shell/PowerShell")</f>
        <v>Bash/Shell/PowerShell</v>
      </c>
      <c r="F193" s="9" t="str">
        <f>IFERROR(__xludf.DUMMYFUNCTION("""COMPUTED_VALUE"""),"Scala")</f>
        <v>Scala</v>
      </c>
      <c r="G193" s="9" t="str">
        <f>IFERROR(__xludf.DUMMYFUNCTION("""COMPUTED_VALUE"""),"JavaScript")</f>
        <v>JavaScript</v>
      </c>
      <c r="H193" s="9" t="str">
        <f>IFERROR(__xludf.DUMMYFUNCTION("""COMPUTED_VALUE"""),"JavaScript")</f>
        <v>JavaScript</v>
      </c>
      <c r="I193" s="9" t="str">
        <f>IFERROR(__xludf.DUMMYFUNCTION("""COMPUTED_VALUE"""),"PHP")</f>
        <v>PHP</v>
      </c>
      <c r="J193" s="9" t="str">
        <f>IFERROR(__xludf.DUMMYFUNCTION("""COMPUTED_VALUE"""),"C#")</f>
        <v>C#</v>
      </c>
      <c r="K193" s="9" t="str">
        <f>IFERROR(__xludf.DUMMYFUNCTION("""COMPUTED_VALUE"""),"SQL")</f>
        <v>SQL</v>
      </c>
      <c r="L193" s="9" t="str">
        <f>IFERROR(__xludf.DUMMYFUNCTION("""COMPUTED_VALUE"""),"C++")</f>
        <v>C++</v>
      </c>
      <c r="M193" s="9" t="s">
        <v>23</v>
      </c>
    </row>
    <row r="194" ht="15.75" customHeight="1">
      <c r="A194" s="7"/>
      <c r="B194" s="7" t="str">
        <f>IFERROR(__xludf.DUMMYFUNCTION("""COMPUTED_VALUE"""),"C#;TypeScript;Other(s):")</f>
        <v>C#;TypeScript;Other(s):</v>
      </c>
      <c r="C194" s="9" t="str">
        <f>IFERROR(__xludf.DUMMYFUNCTION("""COMPUTED_VALUE"""),"HTML/CSS")</f>
        <v>HTML/CSS</v>
      </c>
      <c r="D194" s="9" t="str">
        <f>IFERROR(__xludf.DUMMYFUNCTION("""COMPUTED_VALUE"""),"Swift")</f>
        <v>Swift</v>
      </c>
      <c r="E194" s="9" t="str">
        <f>IFERROR(__xludf.DUMMYFUNCTION("""COMPUTED_VALUE"""),"Java")</f>
        <v>Java</v>
      </c>
      <c r="F194" s="9" t="str">
        <f>IFERROR(__xludf.DUMMYFUNCTION("""COMPUTED_VALUE"""),"JavaScript")</f>
        <v>JavaScript</v>
      </c>
      <c r="G194" s="9" t="str">
        <f>IFERROR(__xludf.DUMMYFUNCTION("""COMPUTED_VALUE"""),"Kotlin")</f>
        <v>Kotlin</v>
      </c>
      <c r="H194" s="9" t="str">
        <f>IFERROR(__xludf.DUMMYFUNCTION("""COMPUTED_VALUE"""),"SQL")</f>
        <v>SQL</v>
      </c>
      <c r="I194" s="9" t="str">
        <f>IFERROR(__xludf.DUMMYFUNCTION("""COMPUTED_VALUE"""),"Python")</f>
        <v>Python</v>
      </c>
      <c r="J194" s="9" t="str">
        <f>IFERROR(__xludf.DUMMYFUNCTION("""COMPUTED_VALUE"""),"SQL")</f>
        <v>SQL</v>
      </c>
      <c r="K194" s="9" t="str">
        <f>IFERROR(__xludf.DUMMYFUNCTION("""COMPUTED_VALUE"""),"C#")</f>
        <v>C#</v>
      </c>
      <c r="L194" s="9" t="str">
        <f>IFERROR(__xludf.DUMMYFUNCTION("""COMPUTED_VALUE"""),"C#")</f>
        <v>C#</v>
      </c>
      <c r="M194" s="9" t="s">
        <v>24</v>
      </c>
    </row>
    <row r="195" ht="15.75" customHeight="1">
      <c r="A195" s="7"/>
      <c r="B195" s="7" t="str">
        <f>IFERROR(__xludf.DUMMYFUNCTION("""COMPUTED_VALUE"""),"C#;HTML/CSS;JavaScript;SQL;TypeScript")</f>
        <v>C#;HTML/CSS;JavaScript;SQL;TypeScript</v>
      </c>
      <c r="C195" s="9" t="str">
        <f>IFERROR(__xludf.DUMMYFUNCTION("""COMPUTED_VALUE"""),"Java")</f>
        <v>Java</v>
      </c>
      <c r="D195" s="9" t="str">
        <f>IFERROR(__xludf.DUMMYFUNCTION("""COMPUTED_VALUE"""),"C#")</f>
        <v>C#</v>
      </c>
      <c r="E195" s="9" t="str">
        <f>IFERROR(__xludf.DUMMYFUNCTION("""COMPUTED_VALUE"""),"JavaScript")</f>
        <v>JavaScript</v>
      </c>
      <c r="F195" s="9" t="str">
        <f>IFERROR(__xludf.DUMMYFUNCTION("""COMPUTED_VALUE"""),"C#")</f>
        <v>C#</v>
      </c>
      <c r="G195" s="9" t="str">
        <f>IFERROR(__xludf.DUMMYFUNCTION("""COMPUTED_VALUE"""),"Python")</f>
        <v>Python</v>
      </c>
      <c r="H195" s="9" t="str">
        <f>IFERROR(__xludf.DUMMYFUNCTION("""COMPUTED_VALUE"""),"C#")</f>
        <v>C#</v>
      </c>
      <c r="I195" s="9" t="str">
        <f>IFERROR(__xludf.DUMMYFUNCTION("""COMPUTED_VALUE"""),"SQL")</f>
        <v>SQL</v>
      </c>
      <c r="J195" s="9" t="str">
        <f>IFERROR(__xludf.DUMMYFUNCTION("""COMPUTED_VALUE"""),"Bash/Shell/PowerShell")</f>
        <v>Bash/Shell/PowerShell</v>
      </c>
      <c r="K195" s="9" t="str">
        <f>IFERROR(__xludf.DUMMYFUNCTION("""COMPUTED_VALUE"""),"HTML/CSS")</f>
        <v>HTML/CSS</v>
      </c>
      <c r="L195" s="9" t="str">
        <f>IFERROR(__xludf.DUMMYFUNCTION("""COMPUTED_VALUE"""),"HTML/CSS")</f>
        <v>HTML/CSS</v>
      </c>
      <c r="M195" s="9" t="s">
        <v>20</v>
      </c>
    </row>
    <row r="196" ht="15.75" customHeight="1">
      <c r="A196" s="7"/>
      <c r="B196" s="7" t="str">
        <f>IFERROR(__xludf.DUMMYFUNCTION("""COMPUTED_VALUE"""),"HTML/CSS;R;VBA")</f>
        <v>HTML/CSS;R;VBA</v>
      </c>
      <c r="C196" s="9" t="str">
        <f>IFERROR(__xludf.DUMMYFUNCTION("""COMPUTED_VALUE"""),"JavaScript")</f>
        <v>JavaScript</v>
      </c>
      <c r="D196" s="9" t="str">
        <f>IFERROR(__xludf.DUMMYFUNCTION("""COMPUTED_VALUE"""),"HTML/CSS")</f>
        <v>HTML/CSS</v>
      </c>
      <c r="E196" s="9" t="str">
        <f>IFERROR(__xludf.DUMMYFUNCTION("""COMPUTED_VALUE"""),"SQL")</f>
        <v>SQL</v>
      </c>
      <c r="F196" s="9" t="str">
        <f>IFERROR(__xludf.DUMMYFUNCTION("""COMPUTED_VALUE"""),"Java")</f>
        <v>Java</v>
      </c>
      <c r="G196" s="9" t="str">
        <f>IFERROR(__xludf.DUMMYFUNCTION("""COMPUTED_VALUE"""),"Ruby")</f>
        <v>Ruby</v>
      </c>
      <c r="H196" s="9" t="str">
        <f>IFERROR(__xludf.DUMMYFUNCTION("""COMPUTED_VALUE"""),"HTML/CSS")</f>
        <v>HTML/CSS</v>
      </c>
      <c r="I196" s="9" t="str">
        <f>IFERROR(__xludf.DUMMYFUNCTION("""COMPUTED_VALUE"""),"C")</f>
        <v>C</v>
      </c>
      <c r="J196" s="9" t="str">
        <f>IFERROR(__xludf.DUMMYFUNCTION("""COMPUTED_VALUE"""),"C")</f>
        <v>C</v>
      </c>
      <c r="K196" s="9" t="str">
        <f>IFERROR(__xludf.DUMMYFUNCTION("""COMPUTED_VALUE"""),"TypeScript")</f>
        <v>TypeScript</v>
      </c>
      <c r="L196" s="9" t="str">
        <f>IFERROR(__xludf.DUMMYFUNCTION("""COMPUTED_VALUE"""),"SQL")</f>
        <v>SQL</v>
      </c>
      <c r="M196" s="9" t="s">
        <v>21</v>
      </c>
    </row>
    <row r="197" ht="15.75" customHeight="1">
      <c r="A197" s="7"/>
      <c r="B197" s="7" t="str">
        <f>IFERROR(__xludf.DUMMYFUNCTION("""COMPUTED_VALUE"""),"HTML/CSS;Java;JavaScript;Python;SQL")</f>
        <v>HTML/CSS;Java;JavaScript;Python;SQL</v>
      </c>
      <c r="C197" s="9" t="str">
        <f>IFERROR(__xludf.DUMMYFUNCTION("""COMPUTED_VALUE"""),"SQL")</f>
        <v>SQL</v>
      </c>
      <c r="D197" s="9" t="str">
        <f>IFERROR(__xludf.DUMMYFUNCTION("""COMPUTED_VALUE"""),"JavaScript")</f>
        <v>JavaScript</v>
      </c>
      <c r="E197" s="9" t="str">
        <f>IFERROR(__xludf.DUMMYFUNCTION("""COMPUTED_VALUE"""),"Swift")</f>
        <v>Swift</v>
      </c>
      <c r="F197" s="9" t="str">
        <f>IFERROR(__xludf.DUMMYFUNCTION("""COMPUTED_VALUE"""),"JavaScript")</f>
        <v>JavaScript</v>
      </c>
      <c r="G197" s="9" t="str">
        <f>IFERROR(__xludf.DUMMYFUNCTION("""COMPUTED_VALUE"""),"Rust")</f>
        <v>Rust</v>
      </c>
      <c r="H197" s="9" t="str">
        <f>IFERROR(__xludf.DUMMYFUNCTION("""COMPUTED_VALUE"""),"JavaScript")</f>
        <v>JavaScript</v>
      </c>
      <c r="I197" s="9" t="str">
        <f>IFERROR(__xludf.DUMMYFUNCTION("""COMPUTED_VALUE"""),"C++")</f>
        <v>C++</v>
      </c>
      <c r="J197" s="9" t="str">
        <f>IFERROR(__xludf.DUMMYFUNCTION("""COMPUTED_VALUE"""),"C++")</f>
        <v>C++</v>
      </c>
      <c r="K197" s="9" t="str">
        <f>IFERROR(__xludf.DUMMYFUNCTION("""COMPUTED_VALUE"""),"C")</f>
        <v>C</v>
      </c>
      <c r="L197" s="9" t="str">
        <f>IFERROR(__xludf.DUMMYFUNCTION("""COMPUTED_VALUE"""),"TypeScript")</f>
        <v>TypeScript</v>
      </c>
      <c r="M197" s="9" t="s">
        <v>27</v>
      </c>
    </row>
    <row r="198" ht="15.75" customHeight="1">
      <c r="A198" s="7"/>
      <c r="B198" s="7" t="str">
        <f>IFERROR(__xludf.DUMMYFUNCTION("""COMPUTED_VALUE"""),"R;SQL")</f>
        <v>R;SQL</v>
      </c>
      <c r="C198" s="9" t="str">
        <f>IFERROR(__xludf.DUMMYFUNCTION("""COMPUTED_VALUE"""),"HTML/CSS")</f>
        <v>HTML/CSS</v>
      </c>
      <c r="D198" s="9" t="str">
        <f>IFERROR(__xludf.DUMMYFUNCTION("""COMPUTED_VALUE"""),"SQL")</f>
        <v>SQL</v>
      </c>
      <c r="E198" s="9" t="str">
        <f>IFERROR(__xludf.DUMMYFUNCTION("""COMPUTED_VALUE"""),"TypeScript")</f>
        <v>TypeScript</v>
      </c>
      <c r="F198" s="9" t="str">
        <f>IFERROR(__xludf.DUMMYFUNCTION("""COMPUTED_VALUE"""),"Python")</f>
        <v>Python</v>
      </c>
      <c r="G198" s="9" t="str">
        <f>IFERROR(__xludf.DUMMYFUNCTION("""COMPUTED_VALUE"""),"C#")</f>
        <v>C#</v>
      </c>
      <c r="H198" s="9" t="str">
        <f>IFERROR(__xludf.DUMMYFUNCTION("""COMPUTED_VALUE"""),"SQL")</f>
        <v>SQL</v>
      </c>
      <c r="I198" s="9" t="str">
        <f>IFERROR(__xludf.DUMMYFUNCTION("""COMPUTED_VALUE"""),"C#")</f>
        <v>C#</v>
      </c>
      <c r="J198" s="9" t="str">
        <f>IFERROR(__xludf.DUMMYFUNCTION("""COMPUTED_VALUE"""),"C#")</f>
        <v>C#</v>
      </c>
      <c r="K198" s="9" t="str">
        <f>IFERROR(__xludf.DUMMYFUNCTION("""COMPUTED_VALUE"""),"C++")</f>
        <v>C++</v>
      </c>
      <c r="L198" s="9" t="str">
        <f>IFERROR(__xludf.DUMMYFUNCTION("""COMPUTED_VALUE"""),"Bash/Shell/PowerShell")</f>
        <v>Bash/Shell/PowerShell</v>
      </c>
      <c r="M198" s="9" t="s">
        <v>24</v>
      </c>
    </row>
    <row r="199" ht="15.75" customHeight="1">
      <c r="A199" s="7"/>
      <c r="B199" s="7" t="str">
        <f>IFERROR(__xludf.DUMMYFUNCTION("""COMPUTED_VALUE"""),"Java;JavaScript;SQL;VBA")</f>
        <v>Java;JavaScript;SQL;VBA</v>
      </c>
      <c r="C199" s="9" t="str">
        <f>IFERROR(__xludf.DUMMYFUNCTION("""COMPUTED_VALUE"""),"JavaScript")</f>
        <v>JavaScript</v>
      </c>
      <c r="D199" s="9" t="str">
        <f>IFERROR(__xludf.DUMMYFUNCTION("""COMPUTED_VALUE"""),"Bash/Shell/PowerShell")</f>
        <v>Bash/Shell/PowerShell</v>
      </c>
      <c r="E199" s="9" t="str">
        <f>IFERROR(__xludf.DUMMYFUNCTION("""COMPUTED_VALUE"""),"C#")</f>
        <v>C#</v>
      </c>
      <c r="F199" s="9" t="str">
        <f>IFERROR(__xludf.DUMMYFUNCTION("""COMPUTED_VALUE"""),"Scala")</f>
        <v>Scala</v>
      </c>
      <c r="G199" s="9" t="str">
        <f>IFERROR(__xludf.DUMMYFUNCTION("""COMPUTED_VALUE"""),"HTML/CSS")</f>
        <v>HTML/CSS</v>
      </c>
      <c r="H199" s="9" t="str">
        <f>IFERROR(__xludf.DUMMYFUNCTION("""COMPUTED_VALUE"""),"Bash/Shell/PowerShell")</f>
        <v>Bash/Shell/PowerShell</v>
      </c>
      <c r="I199" s="9" t="str">
        <f>IFERROR(__xludf.DUMMYFUNCTION("""COMPUTED_VALUE"""),"HTML/CSS")</f>
        <v>HTML/CSS</v>
      </c>
      <c r="J199" s="9" t="str">
        <f>IFERROR(__xludf.DUMMYFUNCTION("""COMPUTED_VALUE"""),"HTML/CSS")</f>
        <v>HTML/CSS</v>
      </c>
      <c r="K199" s="9" t="str">
        <f>IFERROR(__xludf.DUMMYFUNCTION("""COMPUTED_VALUE"""),"HTML/CSS")</f>
        <v>HTML/CSS</v>
      </c>
      <c r="L199" s="9" t="str">
        <f>IFERROR(__xludf.DUMMYFUNCTION("""COMPUTED_VALUE"""),"Go")</f>
        <v>Go</v>
      </c>
      <c r="M199" s="9" t="s">
        <v>21</v>
      </c>
    </row>
    <row r="200" ht="15.75" customHeight="1">
      <c r="A200" s="7"/>
      <c r="B200" s="7" t="str">
        <f>IFERROR(__xludf.DUMMYFUNCTION("""COMPUTED_VALUE"""),"Bash/Shell/PowerShell;Go;HTML/CSS;Java;JavaScript;Python;Scala")</f>
        <v>Bash/Shell/PowerShell;Go;HTML/CSS;Java;JavaScript;Python;Scala</v>
      </c>
      <c r="C200" s="9" t="str">
        <f>IFERROR(__xludf.DUMMYFUNCTION("""COMPUTED_VALUE"""),"PHP")</f>
        <v>PHP</v>
      </c>
      <c r="D200" s="9" t="str">
        <f>IFERROR(__xludf.DUMMYFUNCTION("""COMPUTED_VALUE"""),"HTML/CSS")</f>
        <v>HTML/CSS</v>
      </c>
      <c r="E200" s="9" t="str">
        <f>IFERROR(__xludf.DUMMYFUNCTION("""COMPUTED_VALUE"""),"HTML/CSS")</f>
        <v>HTML/CSS</v>
      </c>
      <c r="F200" s="9" t="str">
        <f>IFERROR(__xludf.DUMMYFUNCTION("""COMPUTED_VALUE"""),"SQL")</f>
        <v>SQL</v>
      </c>
      <c r="G200" s="9" t="str">
        <f>IFERROR(__xludf.DUMMYFUNCTION("""COMPUTED_VALUE"""),"Java")</f>
        <v>Java</v>
      </c>
      <c r="H200" s="9" t="str">
        <f>IFERROR(__xludf.DUMMYFUNCTION("""COMPUTED_VALUE"""),"C#")</f>
        <v>C#</v>
      </c>
      <c r="I200" s="9" t="str">
        <f>IFERROR(__xludf.DUMMYFUNCTION("""COMPUTED_VALUE"""),"JavaScript")</f>
        <v>JavaScript</v>
      </c>
      <c r="J200" s="9" t="str">
        <f>IFERROR(__xludf.DUMMYFUNCTION("""COMPUTED_VALUE"""),"Java")</f>
        <v>Java</v>
      </c>
      <c r="K200" s="9" t="str">
        <f>IFERROR(__xludf.DUMMYFUNCTION("""COMPUTED_VALUE"""),"Java")</f>
        <v>Java</v>
      </c>
      <c r="L200" s="9" t="str">
        <f>IFERROR(__xludf.DUMMYFUNCTION("""COMPUTED_VALUE"""),"HTML/CSS")</f>
        <v>HTML/CSS</v>
      </c>
      <c r="M200" s="9" t="s">
        <v>37</v>
      </c>
    </row>
    <row r="201" ht="15.75" customHeight="1">
      <c r="A201" s="7"/>
      <c r="B201" s="7" t="str">
        <f>IFERROR(__xludf.DUMMYFUNCTION("""COMPUTED_VALUE"""),"Bash/Shell/PowerShell;C;C++;C#;HTML/CSS;Java;JavaScript;Objective-C;Python;SQL;TypeScript")</f>
        <v>Bash/Shell/PowerShell;C;C++;C#;HTML/CSS;Java;JavaScript;Objective-C;Python;SQL;TypeScript</v>
      </c>
      <c r="C201" s="9" t="str">
        <f>IFERROR(__xludf.DUMMYFUNCTION("""COMPUTED_VALUE"""),"TypeScript")</f>
        <v>TypeScript</v>
      </c>
      <c r="D201" s="9" t="str">
        <f>IFERROR(__xludf.DUMMYFUNCTION("""COMPUTED_VALUE"""),"Java")</f>
        <v>Java</v>
      </c>
      <c r="E201" s="9" t="str">
        <f>IFERROR(__xludf.DUMMYFUNCTION("""COMPUTED_VALUE"""),"JavaScript")</f>
        <v>JavaScript</v>
      </c>
      <c r="F201" s="9" t="str">
        <f>IFERROR(__xludf.DUMMYFUNCTION("""COMPUTED_VALUE"""),"C++")</f>
        <v>C++</v>
      </c>
      <c r="G201" s="9" t="str">
        <f>IFERROR(__xludf.DUMMYFUNCTION("""COMPUTED_VALUE"""),"JavaScript")</f>
        <v>JavaScript</v>
      </c>
      <c r="H201" s="9" t="str">
        <f>IFERROR(__xludf.DUMMYFUNCTION("""COMPUTED_VALUE"""),"HTML/CSS")</f>
        <v>HTML/CSS</v>
      </c>
      <c r="I201" s="9" t="str">
        <f>IFERROR(__xludf.DUMMYFUNCTION("""COMPUTED_VALUE"""),"SQL")</f>
        <v>SQL</v>
      </c>
      <c r="J201" s="9" t="str">
        <f>IFERROR(__xludf.DUMMYFUNCTION("""COMPUTED_VALUE"""),"JavaScript")</f>
        <v>JavaScript</v>
      </c>
      <c r="K201" s="9" t="str">
        <f>IFERROR(__xludf.DUMMYFUNCTION("""COMPUTED_VALUE"""),"Kotlin")</f>
        <v>Kotlin</v>
      </c>
      <c r="L201" s="9" t="str">
        <f>IFERROR(__xludf.DUMMYFUNCTION("""COMPUTED_VALUE"""),"Java")</f>
        <v>Java</v>
      </c>
      <c r="M201" s="9" t="s">
        <v>33</v>
      </c>
    </row>
    <row r="202" ht="15.75" customHeight="1">
      <c r="A202" s="7"/>
      <c r="B202" s="7" t="str">
        <f>IFERROR(__xludf.DUMMYFUNCTION("""COMPUTED_VALUE"""),"C;C++;HTML/CSS;JavaScript;PHP;SQL")</f>
        <v>C;C++;HTML/CSS;JavaScript;PHP;SQL</v>
      </c>
      <c r="C202" s="9" t="str">
        <f>IFERROR(__xludf.DUMMYFUNCTION("""COMPUTED_VALUE"""),"C++")</f>
        <v>C++</v>
      </c>
      <c r="D202" s="9" t="str">
        <f>IFERROR(__xludf.DUMMYFUNCTION("""COMPUTED_VALUE"""),"JavaScript")</f>
        <v>JavaScript</v>
      </c>
      <c r="E202" s="9" t="str">
        <f>IFERROR(__xludf.DUMMYFUNCTION("""COMPUTED_VALUE"""),"SQL")</f>
        <v>SQL</v>
      </c>
      <c r="F202" s="9" t="str">
        <f>IFERROR(__xludf.DUMMYFUNCTION("""COMPUTED_VALUE"""),"Python")</f>
        <v>Python</v>
      </c>
      <c r="G202" s="9" t="str">
        <f>IFERROR(__xludf.DUMMYFUNCTION("""COMPUTED_VALUE"""),"SQL")</f>
        <v>SQL</v>
      </c>
      <c r="H202" s="9" t="str">
        <f>IFERROR(__xludf.DUMMYFUNCTION("""COMPUTED_VALUE"""),"JavaScript")</f>
        <v>JavaScript</v>
      </c>
      <c r="I202" s="9" t="str">
        <f>IFERROR(__xludf.DUMMYFUNCTION("""COMPUTED_VALUE"""),"VBA")</f>
        <v>VBA</v>
      </c>
      <c r="J202" s="9" t="str">
        <f>IFERROR(__xludf.DUMMYFUNCTION("""COMPUTED_VALUE"""),"PHP")</f>
        <v>PHP</v>
      </c>
      <c r="K202" s="9" t="str">
        <f>IFERROR(__xludf.DUMMYFUNCTION("""COMPUTED_VALUE"""),"Assembly")</f>
        <v>Assembly</v>
      </c>
      <c r="L202" s="9" t="str">
        <f>IFERROR(__xludf.DUMMYFUNCTION("""COMPUTED_VALUE"""),"JavaScript")</f>
        <v>JavaScript</v>
      </c>
      <c r="M202" s="9" t="s">
        <v>23</v>
      </c>
    </row>
    <row r="203" ht="15.75" customHeight="1">
      <c r="A203" s="7"/>
      <c r="B203" s="7" t="str">
        <f>IFERROR(__xludf.DUMMYFUNCTION("""COMPUTED_VALUE"""),"Python;Other(s):")</f>
        <v>Python;Other(s):</v>
      </c>
      <c r="C203" s="9" t="str">
        <f>IFERROR(__xludf.DUMMYFUNCTION("""COMPUTED_VALUE"""),"C#")</f>
        <v>C#</v>
      </c>
      <c r="D203" s="9" t="str">
        <f>IFERROR(__xludf.DUMMYFUNCTION("""COMPUTED_VALUE"""),"PHP")</f>
        <v>PHP</v>
      </c>
      <c r="E203" s="9" t="str">
        <f>IFERROR(__xludf.DUMMYFUNCTION("""COMPUTED_VALUE"""),"C#")</f>
        <v>C#</v>
      </c>
      <c r="F203" s="9" t="str">
        <f>IFERROR(__xludf.DUMMYFUNCTION("""COMPUTED_VALUE"""),"Other(s):")</f>
        <v>Other(s):</v>
      </c>
      <c r="G203" s="9" t="str">
        <f>IFERROR(__xludf.DUMMYFUNCTION("""COMPUTED_VALUE"""),"Swift")</f>
        <v>Swift</v>
      </c>
      <c r="H203" s="9" t="str">
        <f>IFERROR(__xludf.DUMMYFUNCTION("""COMPUTED_VALUE"""),"SQL")</f>
        <v>SQL</v>
      </c>
      <c r="I203" s="9" t="str">
        <f>IFERROR(__xludf.DUMMYFUNCTION("""COMPUTED_VALUE"""),"Java")</f>
        <v>Java</v>
      </c>
      <c r="J203" s="9" t="str">
        <f>IFERROR(__xludf.DUMMYFUNCTION("""COMPUTED_VALUE"""),"SQL")</f>
        <v>SQL</v>
      </c>
      <c r="K203" s="9" t="str">
        <f>IFERROR(__xludf.DUMMYFUNCTION("""COMPUTED_VALUE"""),"C")</f>
        <v>C</v>
      </c>
      <c r="L203" s="9" t="str">
        <f>IFERROR(__xludf.DUMMYFUNCTION("""COMPUTED_VALUE"""),"Python")</f>
        <v>Python</v>
      </c>
      <c r="M203" s="9" t="s">
        <v>26</v>
      </c>
    </row>
    <row r="204" ht="15.75" customHeight="1">
      <c r="A204" s="7"/>
      <c r="B204" s="7" t="str">
        <f>IFERROR(__xludf.DUMMYFUNCTION("""COMPUTED_VALUE"""),"C#;HTML/CSS;JavaScript;PHP")</f>
        <v>C#;HTML/CSS;JavaScript;PHP</v>
      </c>
      <c r="C204" s="9" t="str">
        <f>IFERROR(__xludf.DUMMYFUNCTION("""COMPUTED_VALUE"""),"HTML/CSS")</f>
        <v>HTML/CSS</v>
      </c>
      <c r="D204" s="9" t="str">
        <f>IFERROR(__xludf.DUMMYFUNCTION("""COMPUTED_VALUE"""),"Python")</f>
        <v>Python</v>
      </c>
      <c r="E204" s="9" t="str">
        <f>IFERROR(__xludf.DUMMYFUNCTION("""COMPUTED_VALUE"""),"HTML/CSS")</f>
        <v>HTML/CSS</v>
      </c>
      <c r="F204" s="9" t="str">
        <f>IFERROR(__xludf.DUMMYFUNCTION("""COMPUTED_VALUE"""),"Python")</f>
        <v>Python</v>
      </c>
      <c r="G204" s="9" t="str">
        <f>IFERROR(__xludf.DUMMYFUNCTION("""COMPUTED_VALUE"""),"C++")</f>
        <v>C++</v>
      </c>
      <c r="H204" s="9" t="str">
        <f>IFERROR(__xludf.DUMMYFUNCTION("""COMPUTED_VALUE"""),"Assembly")</f>
        <v>Assembly</v>
      </c>
      <c r="I204" s="9" t="str">
        <f>IFERROR(__xludf.DUMMYFUNCTION("""COMPUTED_VALUE"""),"JavaScript")</f>
        <v>JavaScript</v>
      </c>
      <c r="J204" s="9" t="str">
        <f>IFERROR(__xludf.DUMMYFUNCTION("""COMPUTED_VALUE"""),"Other(s):")</f>
        <v>Other(s):</v>
      </c>
      <c r="K204" s="9" t="str">
        <f>IFERROR(__xludf.DUMMYFUNCTION("""COMPUTED_VALUE"""),"C++")</f>
        <v>C++</v>
      </c>
      <c r="L204" s="9" t="str">
        <f>IFERROR(__xludf.DUMMYFUNCTION("""COMPUTED_VALUE"""),"TypeScript")</f>
        <v>TypeScript</v>
      </c>
      <c r="M204" s="9" t="s">
        <v>24</v>
      </c>
    </row>
    <row r="205" ht="15.75" customHeight="1">
      <c r="A205" s="7"/>
      <c r="B205" s="7" t="str">
        <f>IFERROR(__xludf.DUMMYFUNCTION("""COMPUTED_VALUE"""),"Scala;SQL")</f>
        <v>Scala;SQL</v>
      </c>
      <c r="C205" s="9" t="str">
        <f>IFERROR(__xludf.DUMMYFUNCTION("""COMPUTED_VALUE"""),"Java")</f>
        <v>Java</v>
      </c>
      <c r="D205" s="9" t="str">
        <f>IFERROR(__xludf.DUMMYFUNCTION("""COMPUTED_VALUE"""),"SQL")</f>
        <v>SQL</v>
      </c>
      <c r="E205" s="9" t="str">
        <f>IFERROR(__xludf.DUMMYFUNCTION("""COMPUTED_VALUE"""),"JavaScript")</f>
        <v>JavaScript</v>
      </c>
      <c r="F205" s="9" t="str">
        <f>IFERROR(__xludf.DUMMYFUNCTION("""COMPUTED_VALUE"""),"R")</f>
        <v>R</v>
      </c>
      <c r="G205" s="9" t="str">
        <f>IFERROR(__xludf.DUMMYFUNCTION("""COMPUTED_VALUE"""),"C#")</f>
        <v>C#</v>
      </c>
      <c r="H205" s="9" t="str">
        <f>IFERROR(__xludf.DUMMYFUNCTION("""COMPUTED_VALUE"""),"C")</f>
        <v>C</v>
      </c>
      <c r="I205" s="9" t="str">
        <f>IFERROR(__xludf.DUMMYFUNCTION("""COMPUTED_VALUE"""),"PHP")</f>
        <v>PHP</v>
      </c>
      <c r="J205" s="9" t="str">
        <f>IFERROR(__xludf.DUMMYFUNCTION("""COMPUTED_VALUE"""),"JavaScript")</f>
        <v>JavaScript</v>
      </c>
      <c r="K205" s="9" t="str">
        <f>IFERROR(__xludf.DUMMYFUNCTION("""COMPUTED_VALUE"""),"Elixir")</f>
        <v>Elixir</v>
      </c>
      <c r="L205" s="9" t="str">
        <f>IFERROR(__xludf.DUMMYFUNCTION("""COMPUTED_VALUE"""),"C")</f>
        <v>C</v>
      </c>
      <c r="M205" s="9" t="s">
        <v>20</v>
      </c>
    </row>
    <row r="206" ht="15.75" customHeight="1">
      <c r="A206" s="7"/>
      <c r="B206" s="7" t="str">
        <f>IFERROR(__xludf.DUMMYFUNCTION("""COMPUTED_VALUE"""),"Java")</f>
        <v>Java</v>
      </c>
      <c r="C206" s="9" t="str">
        <f>IFERROR(__xludf.DUMMYFUNCTION("""COMPUTED_VALUE"""),"JavaScript")</f>
        <v>JavaScript</v>
      </c>
      <c r="D206" s="9" t="str">
        <f>IFERROR(__xludf.DUMMYFUNCTION("""COMPUTED_VALUE"""),"Bash/Shell/PowerShell")</f>
        <v>Bash/Shell/PowerShell</v>
      </c>
      <c r="E206" s="9" t="str">
        <f>IFERROR(__xludf.DUMMYFUNCTION("""COMPUTED_VALUE"""),"SQL")</f>
        <v>SQL</v>
      </c>
      <c r="F206" s="9" t="str">
        <f>IFERROR(__xludf.DUMMYFUNCTION("""COMPUTED_VALUE"""),"SQL")</f>
        <v>SQL</v>
      </c>
      <c r="G206" s="9" t="str">
        <f>IFERROR(__xludf.DUMMYFUNCTION("""COMPUTED_VALUE"""),"Go")</f>
        <v>Go</v>
      </c>
      <c r="H206" s="9" t="str">
        <f>IFERROR(__xludf.DUMMYFUNCTION("""COMPUTED_VALUE"""),"C++")</f>
        <v>C++</v>
      </c>
      <c r="I206" s="9" t="str">
        <f>IFERROR(__xludf.DUMMYFUNCTION("""COMPUTED_VALUE"""),"SQL")</f>
        <v>SQL</v>
      </c>
      <c r="J206" s="9" t="str">
        <f>IFERROR(__xludf.DUMMYFUNCTION("""COMPUTED_VALUE"""),"Python")</f>
        <v>Python</v>
      </c>
      <c r="K206" s="9" t="str">
        <f>IFERROR(__xludf.DUMMYFUNCTION("""COMPUTED_VALUE"""),"Go")</f>
        <v>Go</v>
      </c>
      <c r="L206" s="9" t="str">
        <f>IFERROR(__xludf.DUMMYFUNCTION("""COMPUTED_VALUE"""),"C++")</f>
        <v>C++</v>
      </c>
      <c r="M206" s="9" t="s">
        <v>21</v>
      </c>
    </row>
    <row r="207" ht="15.75" customHeight="1">
      <c r="A207" s="7"/>
      <c r="B207" s="7" t="str">
        <f>IFERROR(__xludf.DUMMYFUNCTION("""COMPUTED_VALUE"""),"Other(s):")</f>
        <v>Other(s):</v>
      </c>
      <c r="C207" s="9" t="str">
        <f>IFERROR(__xludf.DUMMYFUNCTION("""COMPUTED_VALUE"""),"Objective-C")</f>
        <v>Objective-C</v>
      </c>
      <c r="D207" s="9" t="str">
        <f>IFERROR(__xludf.DUMMYFUNCTION("""COMPUTED_VALUE"""),"C")</f>
        <v>C</v>
      </c>
      <c r="E207" s="9" t="str">
        <f>IFERROR(__xludf.DUMMYFUNCTION("""COMPUTED_VALUE"""),"Bash/Shell/PowerShell")</f>
        <v>Bash/Shell/PowerShell</v>
      </c>
      <c r="F207" s="9" t="str">
        <f>IFERROR(__xludf.DUMMYFUNCTION("""COMPUTED_VALUE"""),"Bash/Shell/PowerShell")</f>
        <v>Bash/Shell/PowerShell</v>
      </c>
      <c r="G207" s="9" t="str">
        <f>IFERROR(__xludf.DUMMYFUNCTION("""COMPUTED_VALUE"""),"HTML/CSS")</f>
        <v>HTML/CSS</v>
      </c>
      <c r="H207" s="9" t="str">
        <f>IFERROR(__xludf.DUMMYFUNCTION("""COMPUTED_VALUE"""),"C#")</f>
        <v>C#</v>
      </c>
      <c r="I207" s="9" t="str">
        <f>IFERROR(__xludf.DUMMYFUNCTION("""COMPUTED_VALUE"""),"Bash/Shell/PowerShell")</f>
        <v>Bash/Shell/PowerShell</v>
      </c>
      <c r="J207" s="9" t="str">
        <f>IFERROR(__xludf.DUMMYFUNCTION("""COMPUTED_VALUE"""),"SQL")</f>
        <v>SQL</v>
      </c>
      <c r="K207" s="9" t="str">
        <f>IFERROR(__xludf.DUMMYFUNCTION("""COMPUTED_VALUE"""),"HTML/CSS")</f>
        <v>HTML/CSS</v>
      </c>
      <c r="L207" s="9" t="str">
        <f>IFERROR(__xludf.DUMMYFUNCTION("""COMPUTED_VALUE"""),"Java")</f>
        <v>Java</v>
      </c>
      <c r="M207" s="9" t="s">
        <v>41</v>
      </c>
    </row>
    <row r="208" ht="15.75" customHeight="1">
      <c r="A208" s="7"/>
      <c r="B208" s="7" t="str">
        <f>IFERROR(__xludf.DUMMYFUNCTION("""COMPUTED_VALUE"""),"Bash/Shell/PowerShell;HTML/CSS;JavaScript;PHP;Python;SQL")</f>
        <v>Bash/Shell/PowerShell;HTML/CSS;JavaScript;PHP;Python;SQL</v>
      </c>
      <c r="C208" s="9" t="str">
        <f>IFERROR(__xludf.DUMMYFUNCTION("""COMPUTED_VALUE"""),"SQL")</f>
        <v>SQL</v>
      </c>
      <c r="D208" s="9" t="str">
        <f>IFERROR(__xludf.DUMMYFUNCTION("""COMPUTED_VALUE"""),"C++")</f>
        <v>C++</v>
      </c>
      <c r="E208" s="9" t="str">
        <f>IFERROR(__xludf.DUMMYFUNCTION("""COMPUTED_VALUE"""),"Dart")</f>
        <v>Dart</v>
      </c>
      <c r="F208" s="9" t="str">
        <f>IFERROR(__xludf.DUMMYFUNCTION("""COMPUTED_VALUE"""),"C")</f>
        <v>C</v>
      </c>
      <c r="G208" s="9" t="str">
        <f>IFERROR(__xludf.DUMMYFUNCTION("""COMPUTED_VALUE"""),"JavaScript")</f>
        <v>JavaScript</v>
      </c>
      <c r="H208" s="9" t="str">
        <f>IFERROR(__xludf.DUMMYFUNCTION("""COMPUTED_VALUE"""),"HTML/CSS")</f>
        <v>HTML/CSS</v>
      </c>
      <c r="I208" s="9" t="str">
        <f>IFERROR(__xludf.DUMMYFUNCTION("""COMPUTED_VALUE"""),"C")</f>
        <v>C</v>
      </c>
      <c r="J208" s="9" t="str">
        <f>IFERROR(__xludf.DUMMYFUNCTION("""COMPUTED_VALUE"""),"Bash/Shell/PowerShell")</f>
        <v>Bash/Shell/PowerShell</v>
      </c>
      <c r="K208" s="9" t="str">
        <f>IFERROR(__xludf.DUMMYFUNCTION("""COMPUTED_VALUE"""),"Java")</f>
        <v>Java</v>
      </c>
      <c r="L208" s="9" t="str">
        <f>IFERROR(__xludf.DUMMYFUNCTION("""COMPUTED_VALUE"""),"Assembly")</f>
        <v>Assembly</v>
      </c>
      <c r="M208" s="9" t="s">
        <v>27</v>
      </c>
    </row>
    <row r="209" ht="15.75" customHeight="1">
      <c r="A209" s="7"/>
      <c r="B209" s="7" t="str">
        <f>IFERROR(__xludf.DUMMYFUNCTION("""COMPUTED_VALUE"""),"C++;Go;Java;JavaScript;Python;Rust;WebAssembly")</f>
        <v>C++;Go;Java;JavaScript;Python;Rust;WebAssembly</v>
      </c>
      <c r="C209" s="9" t="str">
        <f>IFERROR(__xludf.DUMMYFUNCTION("""COMPUTED_VALUE"""),"Bash/Shell/PowerShell")</f>
        <v>Bash/Shell/PowerShell</v>
      </c>
      <c r="D209" s="9" t="str">
        <f>IFERROR(__xludf.DUMMYFUNCTION("""COMPUTED_VALUE"""),"Java")</f>
        <v>Java</v>
      </c>
      <c r="E209" s="9" t="str">
        <f>IFERROR(__xludf.DUMMYFUNCTION("""COMPUTED_VALUE"""),"Java")</f>
        <v>Java</v>
      </c>
      <c r="F209" s="9" t="str">
        <f>IFERROR(__xludf.DUMMYFUNCTION("""COMPUTED_VALUE"""),"C++")</f>
        <v>C++</v>
      </c>
      <c r="G209" s="9" t="str">
        <f>IFERROR(__xludf.DUMMYFUNCTION("""COMPUTED_VALUE"""),"Python")</f>
        <v>Python</v>
      </c>
      <c r="H209" s="9" t="str">
        <f>IFERROR(__xludf.DUMMYFUNCTION("""COMPUTED_VALUE"""),"Java")</f>
        <v>Java</v>
      </c>
      <c r="I209" s="9" t="str">
        <f>IFERROR(__xludf.DUMMYFUNCTION("""COMPUTED_VALUE"""),"HTML/CSS")</f>
        <v>HTML/CSS</v>
      </c>
      <c r="J209" s="9" t="str">
        <f>IFERROR(__xludf.DUMMYFUNCTION("""COMPUTED_VALUE"""),"HTML/CSS")</f>
        <v>HTML/CSS</v>
      </c>
      <c r="K209" s="9" t="str">
        <f>IFERROR(__xludf.DUMMYFUNCTION("""COMPUTED_VALUE"""),"Objective-C")</f>
        <v>Objective-C</v>
      </c>
      <c r="L209" s="9" t="str">
        <f>IFERROR(__xludf.DUMMYFUNCTION("""COMPUTED_VALUE"""),"Bash/Shell/PowerShell")</f>
        <v>Bash/Shell/PowerShell</v>
      </c>
      <c r="M209" s="9" t="s">
        <v>30</v>
      </c>
    </row>
    <row r="210" ht="15.75" customHeight="1">
      <c r="A210" s="7"/>
      <c r="B210" s="7" t="str">
        <f>IFERROR(__xludf.DUMMYFUNCTION("""COMPUTED_VALUE"""),"C#;HTML/CSS;Java;JavaScript;Objective-C;SQL")</f>
        <v>C#;HTML/CSS;Java;JavaScript;Objective-C;SQL</v>
      </c>
      <c r="C210" s="9" t="str">
        <f>IFERROR(__xludf.DUMMYFUNCTION("""COMPUTED_VALUE"""),"C#")</f>
        <v>C#</v>
      </c>
      <c r="D210" s="9" t="str">
        <f>IFERROR(__xludf.DUMMYFUNCTION("""COMPUTED_VALUE"""),"JavaScript")</f>
        <v>JavaScript</v>
      </c>
      <c r="E210" s="9" t="str">
        <f>IFERROR(__xludf.DUMMYFUNCTION("""COMPUTED_VALUE"""),"JavaScript")</f>
        <v>JavaScript</v>
      </c>
      <c r="F210" s="9" t="str">
        <f>IFERROR(__xludf.DUMMYFUNCTION("""COMPUTED_VALUE"""),"HTML/CSS")</f>
        <v>HTML/CSS</v>
      </c>
      <c r="G210" s="9" t="str">
        <f>IFERROR(__xludf.DUMMYFUNCTION("""COMPUTED_VALUE"""),"Ruby")</f>
        <v>Ruby</v>
      </c>
      <c r="H210" s="9" t="str">
        <f>IFERROR(__xludf.DUMMYFUNCTION("""COMPUTED_VALUE"""),"JavaScript")</f>
        <v>JavaScript</v>
      </c>
      <c r="I210" s="9" t="str">
        <f>IFERROR(__xludf.DUMMYFUNCTION("""COMPUTED_VALUE"""),"Java")</f>
        <v>Java</v>
      </c>
      <c r="J210" s="9" t="str">
        <f>IFERROR(__xludf.DUMMYFUNCTION("""COMPUTED_VALUE"""),"JavaScript")</f>
        <v>JavaScript</v>
      </c>
      <c r="K210" s="9" t="str">
        <f>IFERROR(__xludf.DUMMYFUNCTION("""COMPUTED_VALUE"""),"Python")</f>
        <v>Python</v>
      </c>
      <c r="L210" s="9" t="str">
        <f>IFERROR(__xludf.DUMMYFUNCTION("""COMPUTED_VALUE"""),"Go")</f>
        <v>Go</v>
      </c>
      <c r="M210" s="9" t="s">
        <v>26</v>
      </c>
    </row>
    <row r="211" ht="15.75" customHeight="1">
      <c r="A211" s="7"/>
      <c r="B211" s="7" t="str">
        <f>IFERROR(__xludf.DUMMYFUNCTION("""COMPUTED_VALUE"""),"C#;HTML/CSS;Java;JavaScript;PHP")</f>
        <v>C#;HTML/CSS;Java;JavaScript;PHP</v>
      </c>
      <c r="C211" s="9" t="str">
        <f>IFERROR(__xludf.DUMMYFUNCTION("""COMPUTED_VALUE"""),"HTML/CSS")</f>
        <v>HTML/CSS</v>
      </c>
      <c r="D211" s="9" t="str">
        <f>IFERROR(__xludf.DUMMYFUNCTION("""COMPUTED_VALUE"""),"Python")</f>
        <v>Python</v>
      </c>
      <c r="E211" s="9" t="str">
        <f>IFERROR(__xludf.DUMMYFUNCTION("""COMPUTED_VALUE"""),"Java")</f>
        <v>Java</v>
      </c>
      <c r="F211" s="9" t="str">
        <f>IFERROR(__xludf.DUMMYFUNCTION("""COMPUTED_VALUE"""),"Java")</f>
        <v>Java</v>
      </c>
      <c r="G211" s="9" t="str">
        <f>IFERROR(__xludf.DUMMYFUNCTION("""COMPUTED_VALUE"""),"Rust")</f>
        <v>Rust</v>
      </c>
      <c r="H211" s="9" t="str">
        <f>IFERROR(__xludf.DUMMYFUNCTION("""COMPUTED_VALUE"""),"PHP")</f>
        <v>PHP</v>
      </c>
      <c r="I211" s="9" t="str">
        <f>IFERROR(__xludf.DUMMYFUNCTION("""COMPUTED_VALUE"""),"JavaScript")</f>
        <v>JavaScript</v>
      </c>
      <c r="J211" s="9" t="str">
        <f>IFERROR(__xludf.DUMMYFUNCTION("""COMPUTED_VALUE"""),"PHP")</f>
        <v>PHP</v>
      </c>
      <c r="K211" s="9" t="str">
        <f>IFERROR(__xludf.DUMMYFUNCTION("""COMPUTED_VALUE"""),"Swift")</f>
        <v>Swift</v>
      </c>
      <c r="L211" s="9" t="str">
        <f>IFERROR(__xludf.DUMMYFUNCTION("""COMPUTED_VALUE"""),"HTML/CSS")</f>
        <v>HTML/CSS</v>
      </c>
      <c r="M211" s="9" t="s">
        <v>24</v>
      </c>
    </row>
    <row r="212" ht="15.75" customHeight="1">
      <c r="A212" s="7"/>
      <c r="B212" s="7" t="str">
        <f>IFERROR(__xludf.DUMMYFUNCTION("""COMPUTED_VALUE"""),"Go;Python")</f>
        <v>Go;Python</v>
      </c>
      <c r="C212" s="9" t="str">
        <f>IFERROR(__xludf.DUMMYFUNCTION("""COMPUTED_VALUE"""),"Java")</f>
        <v>Java</v>
      </c>
      <c r="D212" s="9" t="str">
        <f>IFERROR(__xludf.DUMMYFUNCTION("""COMPUTED_VALUE"""),"Rust")</f>
        <v>Rust</v>
      </c>
      <c r="E212" s="9" t="str">
        <f>IFERROR(__xludf.DUMMYFUNCTION("""COMPUTED_VALUE"""),"Python")</f>
        <v>Python</v>
      </c>
      <c r="F212" s="9" t="str">
        <f>IFERROR(__xludf.DUMMYFUNCTION("""COMPUTED_VALUE"""),"JavaScript")</f>
        <v>JavaScript</v>
      </c>
      <c r="G212" s="9" t="str">
        <f>IFERROR(__xludf.DUMMYFUNCTION("""COMPUTED_VALUE"""),"TypeScript")</f>
        <v>TypeScript</v>
      </c>
      <c r="H212" s="9" t="str">
        <f>IFERROR(__xludf.DUMMYFUNCTION("""COMPUTED_VALUE"""),"Python")</f>
        <v>Python</v>
      </c>
      <c r="I212" s="9" t="str">
        <f>IFERROR(__xludf.DUMMYFUNCTION("""COMPUTED_VALUE"""),"Python")</f>
        <v>Python</v>
      </c>
      <c r="J212" s="9" t="str">
        <f>IFERROR(__xludf.DUMMYFUNCTION("""COMPUTED_VALUE"""),"Ruby")</f>
        <v>Ruby</v>
      </c>
      <c r="K212" s="9" t="str">
        <f>IFERROR(__xludf.DUMMYFUNCTION("""COMPUTED_VALUE"""),"Assembly")</f>
        <v>Assembly</v>
      </c>
      <c r="L212" s="9" t="str">
        <f>IFERROR(__xludf.DUMMYFUNCTION("""COMPUTED_VALUE"""),"Java")</f>
        <v>Java</v>
      </c>
      <c r="M212" s="9" t="s">
        <v>20</v>
      </c>
    </row>
    <row r="213" ht="15.75" customHeight="1">
      <c r="A213" s="7"/>
      <c r="B213" s="7" t="str">
        <f>IFERROR(__xludf.DUMMYFUNCTION("""COMPUTED_VALUE"""),"R;Other(s):")</f>
        <v>R;Other(s):</v>
      </c>
      <c r="C213" s="9" t="str">
        <f>IFERROR(__xludf.DUMMYFUNCTION("""COMPUTED_VALUE"""),"JavaScript")</f>
        <v>JavaScript</v>
      </c>
      <c r="D213" s="9" t="str">
        <f>IFERROR(__xludf.DUMMYFUNCTION("""COMPUTED_VALUE"""),"TypeScript")</f>
        <v>TypeScript</v>
      </c>
      <c r="E213" s="9" t="str">
        <f>IFERROR(__xludf.DUMMYFUNCTION("""COMPUTED_VALUE"""),"HTML/CSS")</f>
        <v>HTML/CSS</v>
      </c>
      <c r="F213" s="9" t="str">
        <f>IFERROR(__xludf.DUMMYFUNCTION("""COMPUTED_VALUE"""),"PHP")</f>
        <v>PHP</v>
      </c>
      <c r="G213" s="9" t="str">
        <f>IFERROR(__xludf.DUMMYFUNCTION("""COMPUTED_VALUE"""),"Java")</f>
        <v>Java</v>
      </c>
      <c r="H213" s="9" t="str">
        <f>IFERROR(__xludf.DUMMYFUNCTION("""COMPUTED_VALUE"""),"Ruby")</f>
        <v>Ruby</v>
      </c>
      <c r="I213" s="9" t="str">
        <f>IFERROR(__xludf.DUMMYFUNCTION("""COMPUTED_VALUE"""),"Ruby")</f>
        <v>Ruby</v>
      </c>
      <c r="J213" s="9" t="str">
        <f>IFERROR(__xludf.DUMMYFUNCTION("""COMPUTED_VALUE"""),"Swift")</f>
        <v>Swift</v>
      </c>
      <c r="K213" s="9" t="str">
        <f>IFERROR(__xludf.DUMMYFUNCTION("""COMPUTED_VALUE"""),"Bash/Shell/PowerShell")</f>
        <v>Bash/Shell/PowerShell</v>
      </c>
      <c r="L213" s="9" t="str">
        <f>IFERROR(__xludf.DUMMYFUNCTION("""COMPUTED_VALUE"""),"JavaScript")</f>
        <v>JavaScript</v>
      </c>
      <c r="M213" s="9" t="s">
        <v>21</v>
      </c>
    </row>
    <row r="214" ht="15.75" customHeight="1">
      <c r="A214" s="7"/>
      <c r="B214" s="7" t="str">
        <f>IFERROR(__xludf.DUMMYFUNCTION("""COMPUTED_VALUE"""),"Python;Rust")</f>
        <v>Python;Rust</v>
      </c>
      <c r="C214" s="9" t="str">
        <f>IFERROR(__xludf.DUMMYFUNCTION("""COMPUTED_VALUE"""),"SQL")</f>
        <v>SQL</v>
      </c>
      <c r="D214" s="9" t="str">
        <f>IFERROR(__xludf.DUMMYFUNCTION("""COMPUTED_VALUE"""),"JavaScript")</f>
        <v>JavaScript</v>
      </c>
      <c r="E214" s="9" t="str">
        <f>IFERROR(__xludf.DUMMYFUNCTION("""COMPUTED_VALUE"""),"JavaScript")</f>
        <v>JavaScript</v>
      </c>
      <c r="F214" s="9" t="str">
        <f>IFERROR(__xludf.DUMMYFUNCTION("""COMPUTED_VALUE"""),"Python")</f>
        <v>Python</v>
      </c>
      <c r="G214" s="9" t="str">
        <f>IFERROR(__xludf.DUMMYFUNCTION("""COMPUTED_VALUE"""),"JavaScript")</f>
        <v>JavaScript</v>
      </c>
      <c r="H214" s="9" t="str">
        <f>IFERROR(__xludf.DUMMYFUNCTION("""COMPUTED_VALUE"""),"SQL")</f>
        <v>SQL</v>
      </c>
      <c r="I214" s="9" t="str">
        <f>IFERROR(__xludf.DUMMYFUNCTION("""COMPUTED_VALUE"""),"Bash/Shell/PowerShell")</f>
        <v>Bash/Shell/PowerShell</v>
      </c>
      <c r="J214" s="9" t="str">
        <f>IFERROR(__xludf.DUMMYFUNCTION("""COMPUTED_VALUE"""),"TypeScript")</f>
        <v>TypeScript</v>
      </c>
      <c r="K214" s="9" t="str">
        <f>IFERROR(__xludf.DUMMYFUNCTION("""COMPUTED_VALUE"""),"C")</f>
        <v>C</v>
      </c>
      <c r="L214" s="9" t="str">
        <f>IFERROR(__xludf.DUMMYFUNCTION("""COMPUTED_VALUE"""),"Python")</f>
        <v>Python</v>
      </c>
      <c r="M214" s="9" t="s">
        <v>27</v>
      </c>
    </row>
    <row r="215" ht="15.75" customHeight="1">
      <c r="A215" s="7"/>
      <c r="B215" s="7" t="str">
        <f>IFERROR(__xludf.DUMMYFUNCTION("""COMPUTED_VALUE"""),"Go;Java;Python")</f>
        <v>Go;Java;Python</v>
      </c>
      <c r="C215" s="9" t="str">
        <f>IFERROR(__xludf.DUMMYFUNCTION("""COMPUTED_VALUE"""),"TypeScript")</f>
        <v>TypeScript</v>
      </c>
      <c r="D215" s="9" t="str">
        <f>IFERROR(__xludf.DUMMYFUNCTION("""COMPUTED_VALUE"""),"Python")</f>
        <v>Python</v>
      </c>
      <c r="E215" s="9" t="str">
        <f>IFERROR(__xludf.DUMMYFUNCTION("""COMPUTED_VALUE"""),"PHP")</f>
        <v>PHP</v>
      </c>
      <c r="F215" s="9" t="str">
        <f>IFERROR(__xludf.DUMMYFUNCTION("""COMPUTED_VALUE"""),"C#")</f>
        <v>C#</v>
      </c>
      <c r="G215" s="9" t="str">
        <f>IFERROR(__xludf.DUMMYFUNCTION("""COMPUTED_VALUE"""),"Kotlin")</f>
        <v>Kotlin</v>
      </c>
      <c r="H215" s="9" t="str">
        <f>IFERROR(__xludf.DUMMYFUNCTION("""COMPUTED_VALUE"""),"TypeScript")</f>
        <v>TypeScript</v>
      </c>
      <c r="I215" s="9" t="str">
        <f>IFERROR(__xludf.DUMMYFUNCTION("""COMPUTED_VALUE"""),"C#")</f>
        <v>C#</v>
      </c>
      <c r="J215" s="9" t="str">
        <f>IFERROR(__xludf.DUMMYFUNCTION("""COMPUTED_VALUE"""),"Swift")</f>
        <v>Swift</v>
      </c>
      <c r="K215" s="9" t="str">
        <f>IFERROR(__xludf.DUMMYFUNCTION("""COMPUTED_VALUE"""),"C++")</f>
        <v>C++</v>
      </c>
      <c r="L215" s="9" t="str">
        <f>IFERROR(__xludf.DUMMYFUNCTION("""COMPUTED_VALUE"""),"TypeScript")</f>
        <v>TypeScript</v>
      </c>
      <c r="M215" s="9" t="s">
        <v>33</v>
      </c>
    </row>
    <row r="216" ht="15.75" customHeight="1">
      <c r="A216" s="7"/>
      <c r="B216" s="7" t="str">
        <f>IFERROR(__xludf.DUMMYFUNCTION("""COMPUTED_VALUE"""),"Go;HTML/CSS;JavaScript;PHP;TypeScript")</f>
        <v>Go;HTML/CSS;JavaScript;PHP;TypeScript</v>
      </c>
      <c r="C216" s="9" t="str">
        <f>IFERROR(__xludf.DUMMYFUNCTION("""COMPUTED_VALUE"""),"WebAssembly")</f>
        <v>WebAssembly</v>
      </c>
      <c r="D216" s="9" t="str">
        <f>IFERROR(__xludf.DUMMYFUNCTION("""COMPUTED_VALUE"""),"C#")</f>
        <v>C#</v>
      </c>
      <c r="E216" s="9" t="str">
        <f>IFERROR(__xludf.DUMMYFUNCTION("""COMPUTED_VALUE"""),"Python")</f>
        <v>Python</v>
      </c>
      <c r="F216" s="9" t="str">
        <f>IFERROR(__xludf.DUMMYFUNCTION("""COMPUTED_VALUE"""),"HTML/CSS")</f>
        <v>HTML/CSS</v>
      </c>
      <c r="G216" s="9" t="str">
        <f>IFERROR(__xludf.DUMMYFUNCTION("""COMPUTED_VALUE"""),"Bash/Shell/PowerShell")</f>
        <v>Bash/Shell/PowerShell</v>
      </c>
      <c r="H216" s="9" t="str">
        <f>IFERROR(__xludf.DUMMYFUNCTION("""COMPUTED_VALUE"""),"Python")</f>
        <v>Python</v>
      </c>
      <c r="I216" s="9" t="str">
        <f>IFERROR(__xludf.DUMMYFUNCTION("""COMPUTED_VALUE"""),"HTML/CSS")</f>
        <v>HTML/CSS</v>
      </c>
      <c r="J216" s="9" t="str">
        <f>IFERROR(__xludf.DUMMYFUNCTION("""COMPUTED_VALUE"""),"C#")</f>
        <v>C#</v>
      </c>
      <c r="K216" s="9" t="str">
        <f>IFERROR(__xludf.DUMMYFUNCTION("""COMPUTED_VALUE"""),"Other(s):")</f>
        <v>Other(s):</v>
      </c>
      <c r="L216" s="9" t="str">
        <f>IFERROR(__xludf.DUMMYFUNCTION("""COMPUTED_VALUE"""),"Python")</f>
        <v>Python</v>
      </c>
      <c r="M216" s="9" t="s">
        <v>34</v>
      </c>
    </row>
    <row r="217" ht="15.75" customHeight="1">
      <c r="A217" s="7"/>
      <c r="B217" s="7" t="str">
        <f>IFERROR(__xludf.DUMMYFUNCTION("""COMPUTED_VALUE"""),"HTML/CSS;JavaScript;PHP;SQL")</f>
        <v>HTML/CSS;JavaScript;PHP;SQL</v>
      </c>
      <c r="C217" s="9" t="str">
        <f>IFERROR(__xludf.DUMMYFUNCTION("""COMPUTED_VALUE"""),"Python")</f>
        <v>Python</v>
      </c>
      <c r="D217" s="9" t="str">
        <f>IFERROR(__xludf.DUMMYFUNCTION("""COMPUTED_VALUE"""),"SQL")</f>
        <v>SQL</v>
      </c>
      <c r="E217" s="9" t="str">
        <f>IFERROR(__xludf.DUMMYFUNCTION("""COMPUTED_VALUE"""),"Java")</f>
        <v>Java</v>
      </c>
      <c r="F217" s="9" t="str">
        <f>IFERROR(__xludf.DUMMYFUNCTION("""COMPUTED_VALUE"""),"JavaScript")</f>
        <v>JavaScript</v>
      </c>
      <c r="G217" s="9" t="str">
        <f>IFERROR(__xludf.DUMMYFUNCTION("""COMPUTED_VALUE"""),"C")</f>
        <v>C</v>
      </c>
      <c r="H217" s="9" t="str">
        <f>IFERROR(__xludf.DUMMYFUNCTION("""COMPUTED_VALUE"""),"SQL")</f>
        <v>SQL</v>
      </c>
      <c r="I217" s="9" t="str">
        <f>IFERROR(__xludf.DUMMYFUNCTION("""COMPUTED_VALUE"""),"JavaScript")</f>
        <v>JavaScript</v>
      </c>
      <c r="J217" s="9" t="str">
        <f>IFERROR(__xludf.DUMMYFUNCTION("""COMPUTED_VALUE"""),"HTML/CSS")</f>
        <v>HTML/CSS</v>
      </c>
      <c r="K217" s="9" t="str">
        <f>IFERROR(__xludf.DUMMYFUNCTION("""COMPUTED_VALUE"""),"C++")</f>
        <v>C++</v>
      </c>
      <c r="L217" s="9" t="str">
        <f>IFERROR(__xludf.DUMMYFUNCTION("""COMPUTED_VALUE"""),"SQL")</f>
        <v>SQL</v>
      </c>
      <c r="M217" s="9" t="s">
        <v>22</v>
      </c>
    </row>
    <row r="218" ht="15.75" customHeight="1">
      <c r="A218" s="7"/>
      <c r="B218" s="7" t="str">
        <f>IFERROR(__xludf.DUMMYFUNCTION("""COMPUTED_VALUE"""),"C#;HTML/CSS;JavaScript;SQL")</f>
        <v>C#;HTML/CSS;JavaScript;SQL</v>
      </c>
      <c r="C218" s="9" t="str">
        <f>IFERROR(__xludf.DUMMYFUNCTION("""COMPUTED_VALUE"""),"Bash/Shell/PowerShell")</f>
        <v>Bash/Shell/PowerShell</v>
      </c>
      <c r="D218" s="9" t="str">
        <f>IFERROR(__xludf.DUMMYFUNCTION("""COMPUTED_VALUE"""),"HTML/CSS")</f>
        <v>HTML/CSS</v>
      </c>
      <c r="E218" s="9" t="str">
        <f>IFERROR(__xludf.DUMMYFUNCTION("""COMPUTED_VALUE"""),"HTML/CSS")</f>
        <v>HTML/CSS</v>
      </c>
      <c r="F218" s="9" t="str">
        <f>IFERROR(__xludf.DUMMYFUNCTION("""COMPUTED_VALUE"""),"SQL")</f>
        <v>SQL</v>
      </c>
      <c r="G218" s="9" t="str">
        <f>IFERROR(__xludf.DUMMYFUNCTION("""COMPUTED_VALUE"""),"C++")</f>
        <v>C++</v>
      </c>
      <c r="H218" s="9" t="str">
        <f>IFERROR(__xludf.DUMMYFUNCTION("""COMPUTED_VALUE"""),"Bash/Shell/PowerShell")</f>
        <v>Bash/Shell/PowerShell</v>
      </c>
      <c r="I218" s="9" t="str">
        <f>IFERROR(__xludf.DUMMYFUNCTION("""COMPUTED_VALUE"""),"SQL")</f>
        <v>SQL</v>
      </c>
      <c r="J218" s="9" t="str">
        <f>IFERROR(__xludf.DUMMYFUNCTION("""COMPUTED_VALUE"""),"JavaScript")</f>
        <v>JavaScript</v>
      </c>
      <c r="K218" s="9" t="str">
        <f>IFERROR(__xludf.DUMMYFUNCTION("""COMPUTED_VALUE"""),"HTML/CSS")</f>
        <v>HTML/CSS</v>
      </c>
      <c r="L218" s="9" t="str">
        <f>IFERROR(__xludf.DUMMYFUNCTION("""COMPUTED_VALUE"""),"VBA")</f>
        <v>VBA</v>
      </c>
      <c r="M218" s="9" t="s">
        <v>30</v>
      </c>
    </row>
    <row r="219" ht="15.75" customHeight="1">
      <c r="A219" s="7"/>
      <c r="B219" s="7" t="str">
        <f>IFERROR(__xludf.DUMMYFUNCTION("""COMPUTED_VALUE"""),"C#;HTML/CSS;JavaScript;SQL")</f>
        <v>C#;HTML/CSS;JavaScript;SQL</v>
      </c>
      <c r="C219" s="9" t="str">
        <f>IFERROR(__xludf.DUMMYFUNCTION("""COMPUTED_VALUE"""),"C")</f>
        <v>C</v>
      </c>
      <c r="D219" s="9" t="str">
        <f>IFERROR(__xludf.DUMMYFUNCTION("""COMPUTED_VALUE"""),"JavaScript")</f>
        <v>JavaScript</v>
      </c>
      <c r="E219" s="9" t="str">
        <f>IFERROR(__xludf.DUMMYFUNCTION("""COMPUTED_VALUE"""),"JavaScript")</f>
        <v>JavaScript</v>
      </c>
      <c r="F219" s="9" t="str">
        <f>IFERROR(__xludf.DUMMYFUNCTION("""COMPUTED_VALUE"""),"C++")</f>
        <v>C++</v>
      </c>
      <c r="G219" s="9" t="str">
        <f>IFERROR(__xludf.DUMMYFUNCTION("""COMPUTED_VALUE"""),"C#")</f>
        <v>C#</v>
      </c>
      <c r="H219" s="9" t="str">
        <f>IFERROR(__xludf.DUMMYFUNCTION("""COMPUTED_VALUE"""),"C")</f>
        <v>C</v>
      </c>
      <c r="I219" s="9" t="str">
        <f>IFERROR(__xludf.DUMMYFUNCTION("""COMPUTED_VALUE"""),"TypeScript")</f>
        <v>TypeScript</v>
      </c>
      <c r="J219" s="9" t="str">
        <f>IFERROR(__xludf.DUMMYFUNCTION("""COMPUTED_VALUE"""),"SQL")</f>
        <v>SQL</v>
      </c>
      <c r="K219" s="9" t="str">
        <f>IFERROR(__xludf.DUMMYFUNCTION("""COMPUTED_VALUE"""),"Java")</f>
        <v>Java</v>
      </c>
      <c r="L219" s="9" t="str">
        <f>IFERROR(__xludf.DUMMYFUNCTION("""COMPUTED_VALUE"""),"Java")</f>
        <v>Java</v>
      </c>
      <c r="M219" s="9" t="s">
        <v>25</v>
      </c>
    </row>
    <row r="220" ht="15.75" customHeight="1">
      <c r="A220" s="7"/>
      <c r="B220" s="7" t="str">
        <f>IFERROR(__xludf.DUMMYFUNCTION("""COMPUTED_VALUE"""),"C;C++;HTML/CSS;Java;JavaScript;PHP;SQL")</f>
        <v>C;C++;HTML/CSS;Java;JavaScript;PHP;SQL</v>
      </c>
      <c r="C220" s="9" t="str">
        <f>IFERROR(__xludf.DUMMYFUNCTION("""COMPUTED_VALUE"""),"C#")</f>
        <v>C#</v>
      </c>
      <c r="D220" s="9" t="str">
        <f>IFERROR(__xludf.DUMMYFUNCTION("""COMPUTED_VALUE"""),"Bash/Shell/PowerShell")</f>
        <v>Bash/Shell/PowerShell</v>
      </c>
      <c r="E220" s="9" t="str">
        <f>IFERROR(__xludf.DUMMYFUNCTION("""COMPUTED_VALUE"""),"Ruby")</f>
        <v>Ruby</v>
      </c>
      <c r="F220" s="9" t="str">
        <f>IFERROR(__xludf.DUMMYFUNCTION("""COMPUTED_VALUE"""),"C#")</f>
        <v>C#</v>
      </c>
      <c r="G220" s="9" t="str">
        <f>IFERROR(__xludf.DUMMYFUNCTION("""COMPUTED_VALUE"""),"HTML/CSS")</f>
        <v>HTML/CSS</v>
      </c>
      <c r="H220" s="9" t="str">
        <f>IFERROR(__xludf.DUMMYFUNCTION("""COMPUTED_VALUE"""),"HTML/CSS")</f>
        <v>HTML/CSS</v>
      </c>
      <c r="I220" s="9" t="str">
        <f>IFERROR(__xludf.DUMMYFUNCTION("""COMPUTED_VALUE"""),"Bash/Shell/PowerShell")</f>
        <v>Bash/Shell/PowerShell</v>
      </c>
      <c r="J220" s="9" t="str">
        <f>IFERROR(__xludf.DUMMYFUNCTION("""COMPUTED_VALUE"""),"Objective-C")</f>
        <v>Objective-C</v>
      </c>
      <c r="K220" s="9" t="str">
        <f>IFERROR(__xludf.DUMMYFUNCTION("""COMPUTED_VALUE"""),"JavaScript")</f>
        <v>JavaScript</v>
      </c>
      <c r="L220" s="9" t="str">
        <f>IFERROR(__xludf.DUMMYFUNCTION("""COMPUTED_VALUE"""),"C#")</f>
        <v>C#</v>
      </c>
      <c r="M220" s="9" t="s">
        <v>26</v>
      </c>
    </row>
    <row r="221" ht="15.75" customHeight="1">
      <c r="A221" s="7"/>
      <c r="B221" s="7" t="str">
        <f>IFERROR(__xludf.DUMMYFUNCTION("""COMPUTED_VALUE"""),"Assembly;Bash/Shell/PowerShell;C;HTML/CSS;JavaScript;Other(s):")</f>
        <v>Assembly;Bash/Shell/PowerShell;C;HTML/CSS;JavaScript;Other(s):</v>
      </c>
      <c r="C221" s="9" t="str">
        <f>IFERROR(__xludf.DUMMYFUNCTION("""COMPUTED_VALUE"""),"HTML/CSS")</f>
        <v>HTML/CSS</v>
      </c>
      <c r="D221" s="9" t="str">
        <f>IFERROR(__xludf.DUMMYFUNCTION("""COMPUTED_VALUE"""),"Python")</f>
        <v>Python</v>
      </c>
      <c r="E221" s="9" t="str">
        <f>IFERROR(__xludf.DUMMYFUNCTION("""COMPUTED_VALUE"""),"SQL")</f>
        <v>SQL</v>
      </c>
      <c r="F221" s="9" t="str">
        <f>IFERROR(__xludf.DUMMYFUNCTION("""COMPUTED_VALUE"""),"JavaScript")</f>
        <v>JavaScript</v>
      </c>
      <c r="G221" s="9" t="str">
        <f>IFERROR(__xludf.DUMMYFUNCTION("""COMPUTED_VALUE"""),"JavaScript")</f>
        <v>JavaScript</v>
      </c>
      <c r="H221" s="9" t="str">
        <f>IFERROR(__xludf.DUMMYFUNCTION("""COMPUTED_VALUE"""),"JavaScript")</f>
        <v>JavaScript</v>
      </c>
      <c r="I221" s="9" t="str">
        <f>IFERROR(__xludf.DUMMYFUNCTION("""COMPUTED_VALUE"""),"HTML/CSS")</f>
        <v>HTML/CSS</v>
      </c>
      <c r="J221" s="9" t="str">
        <f>IFERROR(__xludf.DUMMYFUNCTION("""COMPUTED_VALUE"""),"Python")</f>
        <v>Python</v>
      </c>
      <c r="K221" s="9" t="str">
        <f>IFERROR(__xludf.DUMMYFUNCTION("""COMPUTED_VALUE"""),"PHP")</f>
        <v>PHP</v>
      </c>
      <c r="L221" s="9" t="str">
        <f>IFERROR(__xludf.DUMMYFUNCTION("""COMPUTED_VALUE"""),"HTML/CSS")</f>
        <v>HTML/CSS</v>
      </c>
      <c r="M221" s="9" t="s">
        <v>24</v>
      </c>
    </row>
    <row r="222" ht="15.75" customHeight="1">
      <c r="A222" s="7"/>
      <c r="B222" s="7" t="str">
        <f>IFERROR(__xludf.DUMMYFUNCTION("""COMPUTED_VALUE"""),"Java;Kotlin")</f>
        <v>Java;Kotlin</v>
      </c>
      <c r="C222" s="9" t="str">
        <f>IFERROR(__xludf.DUMMYFUNCTION("""COMPUTED_VALUE"""),"JavaScript")</f>
        <v>JavaScript</v>
      </c>
      <c r="D222" s="9" t="str">
        <f>IFERROR(__xludf.DUMMYFUNCTION("""COMPUTED_VALUE"""),"Ruby")</f>
        <v>Ruby</v>
      </c>
      <c r="E222" s="9" t="str">
        <f>IFERROR(__xludf.DUMMYFUNCTION("""COMPUTED_VALUE"""),"C#")</f>
        <v>C#</v>
      </c>
      <c r="F222" s="9" t="str">
        <f>IFERROR(__xludf.DUMMYFUNCTION("""COMPUTED_VALUE"""),"Bash/Shell/PowerShell")</f>
        <v>Bash/Shell/PowerShell</v>
      </c>
      <c r="G222" s="9" t="str">
        <f>IFERROR(__xludf.DUMMYFUNCTION("""COMPUTED_VALUE"""),"SQL")</f>
        <v>SQL</v>
      </c>
      <c r="H222" s="9" t="str">
        <f>IFERROR(__xludf.DUMMYFUNCTION("""COMPUTED_VALUE"""),"Python")</f>
        <v>Python</v>
      </c>
      <c r="I222" s="9" t="str">
        <f>IFERROR(__xludf.DUMMYFUNCTION("""COMPUTED_VALUE"""),"Python")</f>
        <v>Python</v>
      </c>
      <c r="J222" s="9" t="str">
        <f>IFERROR(__xludf.DUMMYFUNCTION("""COMPUTED_VALUE"""),"Swift")</f>
        <v>Swift</v>
      </c>
      <c r="K222" s="9" t="str">
        <f>IFERROR(__xludf.DUMMYFUNCTION("""COMPUTED_VALUE"""),"Python")</f>
        <v>Python</v>
      </c>
      <c r="L222" s="9" t="str">
        <f>IFERROR(__xludf.DUMMYFUNCTION("""COMPUTED_VALUE"""),"JavaScript")</f>
        <v>JavaScript</v>
      </c>
      <c r="M222" s="9" t="s">
        <v>21</v>
      </c>
    </row>
    <row r="223" ht="15.75" customHeight="1">
      <c r="A223" s="7"/>
      <c r="B223" s="7" t="str">
        <f>IFERROR(__xludf.DUMMYFUNCTION("""COMPUTED_VALUE"""),"Go")</f>
        <v>Go</v>
      </c>
      <c r="C223" s="9" t="str">
        <f>IFERROR(__xludf.DUMMYFUNCTION("""COMPUTED_VALUE"""),"PHP")</f>
        <v>PHP</v>
      </c>
      <c r="D223" s="9" t="str">
        <f>IFERROR(__xludf.DUMMYFUNCTION("""COMPUTED_VALUE"""),"SQL")</f>
        <v>SQL</v>
      </c>
      <c r="E223" s="9" t="str">
        <f>IFERROR(__xludf.DUMMYFUNCTION("""COMPUTED_VALUE"""),"HTML/CSS")</f>
        <v>HTML/CSS</v>
      </c>
      <c r="F223" s="9" t="str">
        <f>IFERROR(__xludf.DUMMYFUNCTION("""COMPUTED_VALUE"""),"C#")</f>
        <v>C#</v>
      </c>
      <c r="G223" s="9" t="str">
        <f>IFERROR(__xludf.DUMMYFUNCTION("""COMPUTED_VALUE"""),"TypeScript")</f>
        <v>TypeScript</v>
      </c>
      <c r="H223" s="9" t="str">
        <f>IFERROR(__xludf.DUMMYFUNCTION("""COMPUTED_VALUE"""),"SQL")</f>
        <v>SQL</v>
      </c>
      <c r="I223" s="9" t="str">
        <f>IFERROR(__xludf.DUMMYFUNCTION("""COMPUTED_VALUE"""),"SQL")</f>
        <v>SQL</v>
      </c>
      <c r="J223" s="9" t="str">
        <f>IFERROR(__xludf.DUMMYFUNCTION("""COMPUTED_VALUE"""),"JavaScript")</f>
        <v>JavaScript</v>
      </c>
      <c r="K223" s="9" t="str">
        <f>IFERROR(__xludf.DUMMYFUNCTION("""COMPUTED_VALUE"""),"SQL")</f>
        <v>SQL</v>
      </c>
      <c r="L223" s="9" t="str">
        <f>IFERROR(__xludf.DUMMYFUNCTION("""COMPUTED_VALUE"""),"SQL")</f>
        <v>SQL</v>
      </c>
      <c r="M223" s="9" t="s">
        <v>37</v>
      </c>
    </row>
    <row r="224" ht="15.75" customHeight="1">
      <c r="A224" s="7"/>
      <c r="B224" s="7" t="str">
        <f>IFERROR(__xludf.DUMMYFUNCTION("""COMPUTED_VALUE"""),"Bash/Shell/PowerShell;C;C++;C#;HTML/CSS;Java;JavaScript;PHP;Python;R;SQL")</f>
        <v>Bash/Shell/PowerShell;C;C++;C#;HTML/CSS;Java;JavaScript;PHP;Python;R;SQL</v>
      </c>
      <c r="C224" s="9" t="str">
        <f>IFERROR(__xludf.DUMMYFUNCTION("""COMPUTED_VALUE"""),"Python")</f>
        <v>Python</v>
      </c>
      <c r="D224" s="9" t="str">
        <f>IFERROR(__xludf.DUMMYFUNCTION("""COMPUTED_VALUE"""),"Java")</f>
        <v>Java</v>
      </c>
      <c r="E224" s="9" t="str">
        <f>IFERROR(__xludf.DUMMYFUNCTION("""COMPUTED_VALUE"""),"JavaScript")</f>
        <v>JavaScript</v>
      </c>
      <c r="F224" s="9" t="str">
        <f>IFERROR(__xludf.DUMMYFUNCTION("""COMPUTED_VALUE"""),"HTML/CSS")</f>
        <v>HTML/CSS</v>
      </c>
      <c r="G224" s="9" t="str">
        <f>IFERROR(__xludf.DUMMYFUNCTION("""COMPUTED_VALUE"""),"C#")</f>
        <v>C#</v>
      </c>
      <c r="H224" s="9" t="str">
        <f>IFERROR(__xludf.DUMMYFUNCTION("""COMPUTED_VALUE"""),"Swift")</f>
        <v>Swift</v>
      </c>
      <c r="I224" s="9" t="str">
        <f>IFERROR(__xludf.DUMMYFUNCTION("""COMPUTED_VALUE"""),"VBA")</f>
        <v>VBA</v>
      </c>
      <c r="J224" s="9" t="str">
        <f>IFERROR(__xludf.DUMMYFUNCTION("""COMPUTED_VALUE"""),"PHP")</f>
        <v>PHP</v>
      </c>
      <c r="K224" s="9" t="str">
        <f>IFERROR(__xludf.DUMMYFUNCTION("""COMPUTED_VALUE"""),"Swift")</f>
        <v>Swift</v>
      </c>
      <c r="L224" s="9" t="str">
        <f>IFERROR(__xludf.DUMMYFUNCTION("""COMPUTED_VALUE"""),"Go")</f>
        <v>Go</v>
      </c>
      <c r="M224" s="9" t="s">
        <v>22</v>
      </c>
    </row>
    <row r="225" ht="15.75" customHeight="1">
      <c r="A225" s="7"/>
      <c r="B225" s="7" t="str">
        <f>IFERROR(__xludf.DUMMYFUNCTION("""COMPUTED_VALUE"""),"HTML/CSS;JavaScript;PHP;Python;SQL")</f>
        <v>HTML/CSS;JavaScript;PHP;Python;SQL</v>
      </c>
      <c r="C225" s="9" t="str">
        <f>IFERROR(__xludf.DUMMYFUNCTION("""COMPUTED_VALUE"""),"SQL")</f>
        <v>SQL</v>
      </c>
      <c r="D225" s="9" t="str">
        <f>IFERROR(__xludf.DUMMYFUNCTION("""COMPUTED_VALUE"""),"C#")</f>
        <v>C#</v>
      </c>
      <c r="E225" s="9" t="str">
        <f>IFERROR(__xludf.DUMMYFUNCTION("""COMPUTED_VALUE"""),"Kotlin")</f>
        <v>Kotlin</v>
      </c>
      <c r="F225" s="9" t="str">
        <f>IFERROR(__xludf.DUMMYFUNCTION("""COMPUTED_VALUE"""),"Java")</f>
        <v>Java</v>
      </c>
      <c r="G225" s="9" t="str">
        <f>IFERROR(__xludf.DUMMYFUNCTION("""COMPUTED_VALUE"""),"HTML/CSS")</f>
        <v>HTML/CSS</v>
      </c>
      <c r="H225" s="9" t="str">
        <f>IFERROR(__xludf.DUMMYFUNCTION("""COMPUTED_VALUE"""),"C#")</f>
        <v>C#</v>
      </c>
      <c r="I225" s="9" t="str">
        <f>IFERROR(__xludf.DUMMYFUNCTION("""COMPUTED_VALUE"""),"HTML/CSS")</f>
        <v>HTML/CSS</v>
      </c>
      <c r="J225" s="9" t="str">
        <f>IFERROR(__xludf.DUMMYFUNCTION("""COMPUTED_VALUE"""),"SQL")</f>
        <v>SQL</v>
      </c>
      <c r="K225" s="9" t="str">
        <f>IFERROR(__xludf.DUMMYFUNCTION("""COMPUTED_VALUE"""),"C")</f>
        <v>C</v>
      </c>
      <c r="L225" s="9" t="str">
        <f>IFERROR(__xludf.DUMMYFUNCTION("""COMPUTED_VALUE"""),"Java")</f>
        <v>Java</v>
      </c>
      <c r="M225" s="9" t="s">
        <v>27</v>
      </c>
    </row>
    <row r="226" ht="15.75" customHeight="1">
      <c r="A226" s="7"/>
      <c r="B226" s="7" t="str">
        <f>IFERROR(__xludf.DUMMYFUNCTION("""COMPUTED_VALUE"""),"Bash/Shell/PowerShell;HTML/CSS;JavaScript;Python;SQL")</f>
        <v>Bash/Shell/PowerShell;HTML/CSS;JavaScript;Python;SQL</v>
      </c>
      <c r="C226" s="9" t="str">
        <f>IFERROR(__xludf.DUMMYFUNCTION("""COMPUTED_VALUE"""),"Other(s):")</f>
        <v>Other(s):</v>
      </c>
      <c r="D226" s="9" t="str">
        <f>IFERROR(__xludf.DUMMYFUNCTION("""COMPUTED_VALUE"""),"HTML/CSS")</f>
        <v>HTML/CSS</v>
      </c>
      <c r="E226" s="9" t="str">
        <f>IFERROR(__xludf.DUMMYFUNCTION("""COMPUTED_VALUE"""),"SQL")</f>
        <v>SQL</v>
      </c>
      <c r="F226" s="9" t="str">
        <f>IFERROR(__xludf.DUMMYFUNCTION("""COMPUTED_VALUE"""),"JavaScript")</f>
        <v>JavaScript</v>
      </c>
      <c r="G226" s="9" t="str">
        <f>IFERROR(__xludf.DUMMYFUNCTION("""COMPUTED_VALUE"""),"JavaScript")</f>
        <v>JavaScript</v>
      </c>
      <c r="H226" s="9" t="str">
        <f>IFERROR(__xludf.DUMMYFUNCTION("""COMPUTED_VALUE"""),"Rust")</f>
        <v>Rust</v>
      </c>
      <c r="I226" s="9" t="str">
        <f>IFERROR(__xludf.DUMMYFUNCTION("""COMPUTED_VALUE"""),"JavaScript")</f>
        <v>JavaScript</v>
      </c>
      <c r="J226" s="9" t="str">
        <f>IFERROR(__xludf.DUMMYFUNCTION("""COMPUTED_VALUE"""),"Other(s):")</f>
        <v>Other(s):</v>
      </c>
      <c r="K226" s="9" t="str">
        <f>IFERROR(__xludf.DUMMYFUNCTION("""COMPUTED_VALUE"""),"HTML/CSS")</f>
        <v>HTML/CSS</v>
      </c>
      <c r="L226" s="9" t="str">
        <f>IFERROR(__xludf.DUMMYFUNCTION("""COMPUTED_VALUE"""),"JavaScript")</f>
        <v>JavaScript</v>
      </c>
      <c r="M226" s="9" t="s">
        <v>35</v>
      </c>
    </row>
    <row r="227" ht="15.75" customHeight="1">
      <c r="A227" s="7"/>
      <c r="B227" s="7" t="str">
        <f>IFERROR(__xludf.DUMMYFUNCTION("""COMPUTED_VALUE"""),"HTML/CSS;Java;JavaScript;Python;Scala;SQL")</f>
        <v>HTML/CSS;Java;JavaScript;Python;Scala;SQL</v>
      </c>
      <c r="C227" s="9" t="str">
        <f>IFERROR(__xludf.DUMMYFUNCTION("""COMPUTED_VALUE"""),"Java")</f>
        <v>Java</v>
      </c>
      <c r="D227" s="9" t="str">
        <f>IFERROR(__xludf.DUMMYFUNCTION("""COMPUTED_VALUE"""),"Java")</f>
        <v>Java</v>
      </c>
      <c r="E227" s="9" t="str">
        <f>IFERROR(__xludf.DUMMYFUNCTION("""COMPUTED_VALUE"""),"Swift")</f>
        <v>Swift</v>
      </c>
      <c r="F227" s="9" t="str">
        <f>IFERROR(__xludf.DUMMYFUNCTION("""COMPUTED_VALUE"""),"PHP")</f>
        <v>PHP</v>
      </c>
      <c r="G227" s="9" t="str">
        <f>IFERROR(__xludf.DUMMYFUNCTION("""COMPUTED_VALUE"""),"PHP")</f>
        <v>PHP</v>
      </c>
      <c r="H227" s="9" t="str">
        <f>IFERROR(__xludf.DUMMYFUNCTION("""COMPUTED_VALUE"""),"C++")</f>
        <v>C++</v>
      </c>
      <c r="I227" s="9" t="str">
        <f>IFERROR(__xludf.DUMMYFUNCTION("""COMPUTED_VALUE"""),"Rust")</f>
        <v>Rust</v>
      </c>
      <c r="J227" s="9" t="str">
        <f>IFERROR(__xludf.DUMMYFUNCTION("""COMPUTED_VALUE"""),"Assembly")</f>
        <v>Assembly</v>
      </c>
      <c r="K227" s="9" t="str">
        <f>IFERROR(__xludf.DUMMYFUNCTION("""COMPUTED_VALUE"""),"JavaScript")</f>
        <v>JavaScript</v>
      </c>
      <c r="L227" s="9" t="str">
        <f>IFERROR(__xludf.DUMMYFUNCTION("""COMPUTED_VALUE"""),"Ruby")</f>
        <v>Ruby</v>
      </c>
      <c r="M227" s="9" t="s">
        <v>20</v>
      </c>
    </row>
    <row r="228" ht="15.75" customHeight="1">
      <c r="A228" s="7"/>
      <c r="B228" s="7" t="str">
        <f>IFERROR(__xludf.DUMMYFUNCTION("""COMPUTED_VALUE"""),"HTML/CSS;Java;JavaScript;Python;TypeScript")</f>
        <v>HTML/CSS;Java;JavaScript;Python;TypeScript</v>
      </c>
      <c r="C228" s="9" t="str">
        <f>IFERROR(__xludf.DUMMYFUNCTION("""COMPUTED_VALUE"""),"PHP")</f>
        <v>PHP</v>
      </c>
      <c r="D228" s="9" t="str">
        <f>IFERROR(__xludf.DUMMYFUNCTION("""COMPUTED_VALUE"""),"JavaScript")</f>
        <v>JavaScript</v>
      </c>
      <c r="E228" s="9" t="str">
        <f>IFERROR(__xludf.DUMMYFUNCTION("""COMPUTED_VALUE"""),"TypeScript")</f>
        <v>TypeScript</v>
      </c>
      <c r="F228" s="9" t="str">
        <f>IFERROR(__xludf.DUMMYFUNCTION("""COMPUTED_VALUE"""),"Python")</f>
        <v>Python</v>
      </c>
      <c r="G228" s="9" t="str">
        <f>IFERROR(__xludf.DUMMYFUNCTION("""COMPUTED_VALUE"""),"SQL")</f>
        <v>SQL</v>
      </c>
      <c r="H228" s="9" t="str">
        <f>IFERROR(__xludf.DUMMYFUNCTION("""COMPUTED_VALUE"""),"C#")</f>
        <v>C#</v>
      </c>
      <c r="I228" s="9" t="str">
        <f>IFERROR(__xludf.DUMMYFUNCTION("""COMPUTED_VALUE"""),"Swift")</f>
        <v>Swift</v>
      </c>
      <c r="J228" s="9" t="str">
        <f>IFERROR(__xludf.DUMMYFUNCTION("""COMPUTED_VALUE"""),"Bash/Shell/PowerShell")</f>
        <v>Bash/Shell/PowerShell</v>
      </c>
      <c r="K228" s="9" t="str">
        <f>IFERROR(__xludf.DUMMYFUNCTION("""COMPUTED_VALUE"""),"PHP")</f>
        <v>PHP</v>
      </c>
      <c r="L228" s="9" t="str">
        <f>IFERROR(__xludf.DUMMYFUNCTION("""COMPUTED_VALUE"""),"SQL")</f>
        <v>SQL</v>
      </c>
      <c r="M228" s="9" t="s">
        <v>37</v>
      </c>
    </row>
    <row r="229" ht="15.75" customHeight="1">
      <c r="A229" s="7"/>
      <c r="B229" s="7" t="str">
        <f>IFERROR(__xludf.DUMMYFUNCTION("""COMPUTED_VALUE"""),"Bash/Shell/PowerShell;Go;Python")</f>
        <v>Bash/Shell/PowerShell;Go;Python</v>
      </c>
      <c r="C229" s="9" t="str">
        <f>IFERROR(__xludf.DUMMYFUNCTION("""COMPUTED_VALUE"""),"Ruby")</f>
        <v>Ruby</v>
      </c>
      <c r="D229" s="9" t="str">
        <f>IFERROR(__xludf.DUMMYFUNCTION("""COMPUTED_VALUE"""),"TypeScript")</f>
        <v>TypeScript</v>
      </c>
      <c r="E229" s="9" t="str">
        <f>IFERROR(__xludf.DUMMYFUNCTION("""COMPUTED_VALUE"""),"C")</f>
        <v>C</v>
      </c>
      <c r="F229" s="9" t="str">
        <f>IFERROR(__xludf.DUMMYFUNCTION("""COMPUTED_VALUE"""),"SQL")</f>
        <v>SQL</v>
      </c>
      <c r="G229" s="9" t="str">
        <f>IFERROR(__xludf.DUMMYFUNCTION("""COMPUTED_VALUE"""),"Other(s):")</f>
        <v>Other(s):</v>
      </c>
      <c r="H229" s="9" t="str">
        <f>IFERROR(__xludf.DUMMYFUNCTION("""COMPUTED_VALUE"""),"SQL")</f>
        <v>SQL</v>
      </c>
      <c r="I229" s="9" t="str">
        <f>IFERROR(__xludf.DUMMYFUNCTION("""COMPUTED_VALUE"""),"TypeScript")</f>
        <v>TypeScript</v>
      </c>
      <c r="J229" s="9" t="str">
        <f>IFERROR(__xludf.DUMMYFUNCTION("""COMPUTED_VALUE"""),"C")</f>
        <v>C</v>
      </c>
      <c r="K229" s="9" t="str">
        <f>IFERROR(__xludf.DUMMYFUNCTION("""COMPUTED_VALUE"""),"Python")</f>
        <v>Python</v>
      </c>
      <c r="L229" s="9" t="str">
        <f>IFERROR(__xludf.DUMMYFUNCTION("""COMPUTED_VALUE"""),"Java")</f>
        <v>Java</v>
      </c>
      <c r="M229" s="9" t="s">
        <v>31</v>
      </c>
    </row>
    <row r="230" ht="15.75" customHeight="1">
      <c r="A230" s="7"/>
      <c r="B230" s="7" t="str">
        <f>IFERROR(__xludf.DUMMYFUNCTION("""COMPUTED_VALUE"""),"Elixir;Go;JavaScript;Ruby;SQL")</f>
        <v>Elixir;Go;JavaScript;Ruby;SQL</v>
      </c>
      <c r="C230" s="9" t="str">
        <f>IFERROR(__xludf.DUMMYFUNCTION("""COMPUTED_VALUE"""),"HTML/CSS")</f>
        <v>HTML/CSS</v>
      </c>
      <c r="D230" s="9" t="str">
        <f>IFERROR(__xludf.DUMMYFUNCTION("""COMPUTED_VALUE"""),"Java")</f>
        <v>Java</v>
      </c>
      <c r="E230" s="9" t="str">
        <f>IFERROR(__xludf.DUMMYFUNCTION("""COMPUTED_VALUE"""),"C++")</f>
        <v>C++</v>
      </c>
      <c r="F230" s="9" t="str">
        <f>IFERROR(__xludf.DUMMYFUNCTION("""COMPUTED_VALUE"""),"Bash/Shell/PowerShell")</f>
        <v>Bash/Shell/PowerShell</v>
      </c>
      <c r="G230" s="9" t="str">
        <f>IFERROR(__xludf.DUMMYFUNCTION("""COMPUTED_VALUE"""),"Bash/Shell/PowerShell")</f>
        <v>Bash/Shell/PowerShell</v>
      </c>
      <c r="H230" s="9" t="str">
        <f>IFERROR(__xludf.DUMMYFUNCTION("""COMPUTED_VALUE"""),"Bash/Shell/PowerShell")</f>
        <v>Bash/Shell/PowerShell</v>
      </c>
      <c r="I230" s="9" t="str">
        <f>IFERROR(__xludf.DUMMYFUNCTION("""COMPUTED_VALUE"""),"WebAssembly")</f>
        <v>WebAssembly</v>
      </c>
      <c r="J230" s="9" t="str">
        <f>IFERROR(__xludf.DUMMYFUNCTION("""COMPUTED_VALUE"""),"C++")</f>
        <v>C++</v>
      </c>
      <c r="K230" s="9" t="str">
        <f>IFERROR(__xludf.DUMMYFUNCTION("""COMPUTED_VALUE"""),"Ruby")</f>
        <v>Ruby</v>
      </c>
      <c r="L230" s="9" t="str">
        <f>IFERROR(__xludf.DUMMYFUNCTION("""COMPUTED_VALUE"""),"JavaScript")</f>
        <v>JavaScript</v>
      </c>
      <c r="M230" s="9" t="s">
        <v>24</v>
      </c>
    </row>
    <row r="231" ht="15.75" customHeight="1">
      <c r="A231" s="7"/>
      <c r="B231" s="7" t="str">
        <f>IFERROR(__xludf.DUMMYFUNCTION("""COMPUTED_VALUE"""),"Bash/Shell/PowerShell;C#;Dart;HTML/CSS;JavaScript")</f>
        <v>Bash/Shell/PowerShell;C#;Dart;HTML/CSS;JavaScript</v>
      </c>
      <c r="C231" s="9" t="str">
        <f>IFERROR(__xludf.DUMMYFUNCTION("""COMPUTED_VALUE"""),"PHP")</f>
        <v>PHP</v>
      </c>
      <c r="D231" s="9" t="str">
        <f>IFERROR(__xludf.DUMMYFUNCTION("""COMPUTED_VALUE"""),"Kotlin")</f>
        <v>Kotlin</v>
      </c>
      <c r="E231" s="9" t="str">
        <f>IFERROR(__xludf.DUMMYFUNCTION("""COMPUTED_VALUE"""),"HTML/CSS")</f>
        <v>HTML/CSS</v>
      </c>
      <c r="F231" s="9" t="str">
        <f>IFERROR(__xludf.DUMMYFUNCTION("""COMPUTED_VALUE"""),"JavaScript")</f>
        <v>JavaScript</v>
      </c>
      <c r="G231" s="9" t="str">
        <f>IFERROR(__xludf.DUMMYFUNCTION("""COMPUTED_VALUE"""),"Elixir")</f>
        <v>Elixir</v>
      </c>
      <c r="H231" s="9" t="str">
        <f>IFERROR(__xludf.DUMMYFUNCTION("""COMPUTED_VALUE"""),"C")</f>
        <v>C</v>
      </c>
      <c r="I231" s="9" t="str">
        <f>IFERROR(__xludf.DUMMYFUNCTION("""COMPUTED_VALUE"""),"Assembly")</f>
        <v>Assembly</v>
      </c>
      <c r="J231" s="9" t="str">
        <f>IFERROR(__xludf.DUMMYFUNCTION("""COMPUTED_VALUE"""),"C#")</f>
        <v>C#</v>
      </c>
      <c r="K231" s="9" t="str">
        <f>IFERROR(__xludf.DUMMYFUNCTION("""COMPUTED_VALUE"""),"Elixir")</f>
        <v>Elixir</v>
      </c>
      <c r="L231" s="9" t="str">
        <f>IFERROR(__xludf.DUMMYFUNCTION("""COMPUTED_VALUE"""),"Bash/Shell/PowerShell")</f>
        <v>Bash/Shell/PowerShell</v>
      </c>
      <c r="M231" s="9" t="s">
        <v>37</v>
      </c>
    </row>
    <row r="232" ht="15.75" customHeight="1">
      <c r="A232" s="7"/>
      <c r="B232" s="7" t="str">
        <f>IFERROR(__xludf.DUMMYFUNCTION("""COMPUTED_VALUE"""),"C++;Python")</f>
        <v>C++;Python</v>
      </c>
      <c r="C232" s="9" t="str">
        <f>IFERROR(__xludf.DUMMYFUNCTION("""COMPUTED_VALUE"""),"SQL")</f>
        <v>SQL</v>
      </c>
      <c r="D232" s="9" t="str">
        <f>IFERROR(__xludf.DUMMYFUNCTION("""COMPUTED_VALUE"""),"Bash/Shell/PowerShell")</f>
        <v>Bash/Shell/PowerShell</v>
      </c>
      <c r="E232" s="9" t="str">
        <f>IFERROR(__xludf.DUMMYFUNCTION("""COMPUTED_VALUE"""),"Java")</f>
        <v>Java</v>
      </c>
      <c r="F232" s="9" t="str">
        <f>IFERROR(__xludf.DUMMYFUNCTION("""COMPUTED_VALUE"""),"PHP")</f>
        <v>PHP</v>
      </c>
      <c r="G232" s="9" t="str">
        <f>IFERROR(__xludf.DUMMYFUNCTION("""COMPUTED_VALUE"""),"Erlang")</f>
        <v>Erlang</v>
      </c>
      <c r="H232" s="9" t="str">
        <f>IFERROR(__xludf.DUMMYFUNCTION("""COMPUTED_VALUE"""),"C++")</f>
        <v>C++</v>
      </c>
      <c r="I232" s="9" t="str">
        <f>IFERROR(__xludf.DUMMYFUNCTION("""COMPUTED_VALUE"""),"Bash/Shell/PowerShell")</f>
        <v>Bash/Shell/PowerShell</v>
      </c>
      <c r="J232" s="9" t="str">
        <f>IFERROR(__xludf.DUMMYFUNCTION("""COMPUTED_VALUE"""),"Python")</f>
        <v>Python</v>
      </c>
      <c r="K232" s="9" t="str">
        <f>IFERROR(__xludf.DUMMYFUNCTION("""COMPUTED_VALUE"""),"HTML/CSS")</f>
        <v>HTML/CSS</v>
      </c>
      <c r="L232" s="9" t="str">
        <f>IFERROR(__xludf.DUMMYFUNCTION("""COMPUTED_VALUE"""),"C#")</f>
        <v>C#</v>
      </c>
      <c r="M232" s="9" t="s">
        <v>27</v>
      </c>
    </row>
    <row r="233" ht="15.75" customHeight="1">
      <c r="A233" s="7"/>
      <c r="B233" s="7" t="str">
        <f>IFERROR(__xludf.DUMMYFUNCTION("""COMPUTED_VALUE"""),"Bash/Shell/PowerShell;C;Python")</f>
        <v>Bash/Shell/PowerShell;C;Python</v>
      </c>
      <c r="C233" s="9" t="str">
        <f>IFERROR(__xludf.DUMMYFUNCTION("""COMPUTED_VALUE"""),"Bash/Shell/PowerShell")</f>
        <v>Bash/Shell/PowerShell</v>
      </c>
      <c r="D233" s="9" t="str">
        <f>IFERROR(__xludf.DUMMYFUNCTION("""COMPUTED_VALUE"""),"Go")</f>
        <v>Go</v>
      </c>
      <c r="E233" s="9" t="str">
        <f>IFERROR(__xludf.DUMMYFUNCTION("""COMPUTED_VALUE"""),"JavaScript")</f>
        <v>JavaScript</v>
      </c>
      <c r="F233" s="9" t="str">
        <f>IFERROR(__xludf.DUMMYFUNCTION("""COMPUTED_VALUE"""),"Python")</f>
        <v>Python</v>
      </c>
      <c r="G233" s="9" t="str">
        <f>IFERROR(__xludf.DUMMYFUNCTION("""COMPUTED_VALUE"""),"HTML/CSS")</f>
        <v>HTML/CSS</v>
      </c>
      <c r="H233" s="9" t="str">
        <f>IFERROR(__xludf.DUMMYFUNCTION("""COMPUTED_VALUE"""),"Erlang")</f>
        <v>Erlang</v>
      </c>
      <c r="I233" s="9" t="str">
        <f>IFERROR(__xludf.DUMMYFUNCTION("""COMPUTED_VALUE"""),"C")</f>
        <v>C</v>
      </c>
      <c r="J233" s="9" t="str">
        <f>IFERROR(__xludf.DUMMYFUNCTION("""COMPUTED_VALUE"""),"Scala")</f>
        <v>Scala</v>
      </c>
      <c r="K233" s="9" t="str">
        <f>IFERROR(__xludf.DUMMYFUNCTION("""COMPUTED_VALUE"""),"Java")</f>
        <v>Java</v>
      </c>
      <c r="L233" s="9" t="str">
        <f>IFERROR(__xludf.DUMMYFUNCTION("""COMPUTED_VALUE"""),"HTML/CSS")</f>
        <v>HTML/CSS</v>
      </c>
      <c r="M233" s="9" t="s">
        <v>30</v>
      </c>
    </row>
    <row r="234" ht="15.75" customHeight="1">
      <c r="A234" s="7"/>
      <c r="B234" s="7" t="str">
        <f>IFERROR(__xludf.DUMMYFUNCTION("""COMPUTED_VALUE"""),"HTML/CSS;Java;Python;SQL")</f>
        <v>HTML/CSS;Java;Python;SQL</v>
      </c>
      <c r="C234" s="9" t="str">
        <f>IFERROR(__xludf.DUMMYFUNCTION("""COMPUTED_VALUE"""),"HTML/CSS")</f>
        <v>HTML/CSS</v>
      </c>
      <c r="D234" s="9" t="str">
        <f>IFERROR(__xludf.DUMMYFUNCTION("""COMPUTED_VALUE"""),"Java")</f>
        <v>Java</v>
      </c>
      <c r="E234" s="9" t="str">
        <f>IFERROR(__xludf.DUMMYFUNCTION("""COMPUTED_VALUE"""),"PHP")</f>
        <v>PHP</v>
      </c>
      <c r="F234" s="9" t="str">
        <f>IFERROR(__xludf.DUMMYFUNCTION("""COMPUTED_VALUE"""),"SQL")</f>
        <v>SQL</v>
      </c>
      <c r="G234" s="9" t="str">
        <f>IFERROR(__xludf.DUMMYFUNCTION("""COMPUTED_VALUE"""),"JavaScript")</f>
        <v>JavaScript</v>
      </c>
      <c r="H234" s="9" t="str">
        <f>IFERROR(__xludf.DUMMYFUNCTION("""COMPUTED_VALUE"""),"HTML/CSS")</f>
        <v>HTML/CSS</v>
      </c>
      <c r="I234" s="9" t="str">
        <f>IFERROR(__xludf.DUMMYFUNCTION("""COMPUTED_VALUE"""),"C++")</f>
        <v>C++</v>
      </c>
      <c r="J234" s="9" t="str">
        <f>IFERROR(__xludf.DUMMYFUNCTION("""COMPUTED_VALUE"""),"SQL")</f>
        <v>SQL</v>
      </c>
      <c r="K234" s="9" t="str">
        <f>IFERROR(__xludf.DUMMYFUNCTION("""COMPUTED_VALUE"""),"JavaScript")</f>
        <v>JavaScript</v>
      </c>
      <c r="L234" s="9" t="str">
        <f>IFERROR(__xludf.DUMMYFUNCTION("""COMPUTED_VALUE"""),"Java")</f>
        <v>Java</v>
      </c>
      <c r="M234" s="9" t="s">
        <v>24</v>
      </c>
    </row>
    <row r="235" ht="15.75" customHeight="1">
      <c r="A235" s="7"/>
      <c r="B235" s="7" t="str">
        <f>IFERROR(__xludf.DUMMYFUNCTION("""COMPUTED_VALUE"""),"HTML/CSS;JavaScript")</f>
        <v>HTML/CSS;JavaScript</v>
      </c>
      <c r="C235" s="9" t="str">
        <f>IFERROR(__xludf.DUMMYFUNCTION("""COMPUTED_VALUE"""),"Java")</f>
        <v>Java</v>
      </c>
      <c r="D235" s="9" t="str">
        <f>IFERROR(__xludf.DUMMYFUNCTION("""COMPUTED_VALUE"""),"JavaScript")</f>
        <v>JavaScript</v>
      </c>
      <c r="E235" s="9" t="str">
        <f>IFERROR(__xludf.DUMMYFUNCTION("""COMPUTED_VALUE"""),"Python")</f>
        <v>Python</v>
      </c>
      <c r="F235" s="9" t="str">
        <f>IFERROR(__xludf.DUMMYFUNCTION("""COMPUTED_VALUE"""),"C++")</f>
        <v>C++</v>
      </c>
      <c r="G235" s="9" t="str">
        <f>IFERROR(__xludf.DUMMYFUNCTION("""COMPUTED_VALUE"""),"Python")</f>
        <v>Python</v>
      </c>
      <c r="H235" s="9" t="str">
        <f>IFERROR(__xludf.DUMMYFUNCTION("""COMPUTED_VALUE"""),"Java")</f>
        <v>Java</v>
      </c>
      <c r="I235" s="9" t="str">
        <f>IFERROR(__xludf.DUMMYFUNCTION("""COMPUTED_VALUE"""),"HTML/CSS")</f>
        <v>HTML/CSS</v>
      </c>
      <c r="J235" s="9" t="str">
        <f>IFERROR(__xludf.DUMMYFUNCTION("""COMPUTED_VALUE"""),"Bash/Shell/PowerShell")</f>
        <v>Bash/Shell/PowerShell</v>
      </c>
      <c r="K235" s="9" t="str">
        <f>IFERROR(__xludf.DUMMYFUNCTION("""COMPUTED_VALUE"""),"Python")</f>
        <v>Python</v>
      </c>
      <c r="L235" s="9" t="str">
        <f>IFERROR(__xludf.DUMMYFUNCTION("""COMPUTED_VALUE"""),"JavaScript")</f>
        <v>JavaScript</v>
      </c>
      <c r="M235" s="9" t="s">
        <v>20</v>
      </c>
    </row>
    <row r="236" ht="15.75" customHeight="1">
      <c r="A236" s="7"/>
      <c r="B236" s="7" t="str">
        <f>IFERROR(__xludf.DUMMYFUNCTION("""COMPUTED_VALUE"""),"C++;JavaScript;Rust")</f>
        <v>C++;JavaScript;Rust</v>
      </c>
      <c r="C236" s="9" t="str">
        <f>IFERROR(__xludf.DUMMYFUNCTION("""COMPUTED_VALUE"""),"JavaScript")</f>
        <v>JavaScript</v>
      </c>
      <c r="D236" s="9" t="str">
        <f>IFERROR(__xludf.DUMMYFUNCTION("""COMPUTED_VALUE"""),"Python")</f>
        <v>Python</v>
      </c>
      <c r="E236" s="9" t="str">
        <f>IFERROR(__xludf.DUMMYFUNCTION("""COMPUTED_VALUE"""),"Ruby")</f>
        <v>Ruby</v>
      </c>
      <c r="F236" s="9" t="str">
        <f>IFERROR(__xludf.DUMMYFUNCTION("""COMPUTED_VALUE"""),"HTML/CSS")</f>
        <v>HTML/CSS</v>
      </c>
      <c r="G236" s="9" t="str">
        <f>IFERROR(__xludf.DUMMYFUNCTION("""COMPUTED_VALUE"""),"SQL")</f>
        <v>SQL</v>
      </c>
      <c r="H236" s="9" t="str">
        <f>IFERROR(__xludf.DUMMYFUNCTION("""COMPUTED_VALUE"""),"JavaScript")</f>
        <v>JavaScript</v>
      </c>
      <c r="I236" s="9" t="str">
        <f>IFERROR(__xludf.DUMMYFUNCTION("""COMPUTED_VALUE"""),"Java")</f>
        <v>Java</v>
      </c>
      <c r="J236" s="9" t="str">
        <f>IFERROR(__xludf.DUMMYFUNCTION("""COMPUTED_VALUE"""),"C")</f>
        <v>C</v>
      </c>
      <c r="K236" s="9" t="str">
        <f>IFERROR(__xludf.DUMMYFUNCTION("""COMPUTED_VALUE"""),"R")</f>
        <v>R</v>
      </c>
      <c r="L236" s="9" t="str">
        <f>IFERROR(__xludf.DUMMYFUNCTION("""COMPUTED_VALUE"""),"PHP")</f>
        <v>PHP</v>
      </c>
      <c r="M236" s="9" t="s">
        <v>21</v>
      </c>
    </row>
    <row r="237" ht="15.75" customHeight="1">
      <c r="A237" s="7"/>
      <c r="B237" s="7" t="str">
        <f>IFERROR(__xludf.DUMMYFUNCTION("""COMPUTED_VALUE"""),"HTML/CSS;JavaScript;Objective-C;PHP;Python")</f>
        <v>HTML/CSS;JavaScript;Objective-C;PHP;Python</v>
      </c>
      <c r="C237" s="9" t="str">
        <f>IFERROR(__xludf.DUMMYFUNCTION("""COMPUTED_VALUE"""),"PHP")</f>
        <v>PHP</v>
      </c>
      <c r="D237" s="9" t="str">
        <f>IFERROR(__xludf.DUMMYFUNCTION("""COMPUTED_VALUE"""),"Other(s):")</f>
        <v>Other(s):</v>
      </c>
      <c r="E237" s="9" t="str">
        <f>IFERROR(__xludf.DUMMYFUNCTION("""COMPUTED_VALUE"""),"SQL")</f>
        <v>SQL</v>
      </c>
      <c r="F237" s="9" t="str">
        <f>IFERROR(__xludf.DUMMYFUNCTION("""COMPUTED_VALUE"""),"JavaScript")</f>
        <v>JavaScript</v>
      </c>
      <c r="G237" s="9" t="str">
        <f>IFERROR(__xludf.DUMMYFUNCTION("""COMPUTED_VALUE"""),"Bash/Shell/PowerShell")</f>
        <v>Bash/Shell/PowerShell</v>
      </c>
      <c r="H237" s="9" t="str">
        <f>IFERROR(__xludf.DUMMYFUNCTION("""COMPUTED_VALUE"""),"Python")</f>
        <v>Python</v>
      </c>
      <c r="I237" s="9" t="str">
        <f>IFERROR(__xludf.DUMMYFUNCTION("""COMPUTED_VALUE"""),"JavaScript")</f>
        <v>JavaScript</v>
      </c>
      <c r="J237" s="9" t="str">
        <f>IFERROR(__xludf.DUMMYFUNCTION("""COMPUTED_VALUE"""),"C++")</f>
        <v>C++</v>
      </c>
      <c r="K237" s="9" t="str">
        <f>IFERROR(__xludf.DUMMYFUNCTION("""COMPUTED_VALUE"""),"C")</f>
        <v>C</v>
      </c>
      <c r="L237" s="9" t="str">
        <f>IFERROR(__xludf.DUMMYFUNCTION("""COMPUTED_VALUE"""),"Python")</f>
        <v>Python</v>
      </c>
      <c r="M237" s="9" t="s">
        <v>37</v>
      </c>
    </row>
    <row r="238" ht="15.75" customHeight="1">
      <c r="A238" s="7"/>
      <c r="B238" s="7" t="str">
        <f>IFERROR(__xludf.DUMMYFUNCTION("""COMPUTED_VALUE"""),"C#;HTML/CSS;JavaScript;TypeScript")</f>
        <v>C#;HTML/CSS;JavaScript;TypeScript</v>
      </c>
      <c r="C238" s="9" t="str">
        <f>IFERROR(__xludf.DUMMYFUNCTION("""COMPUTED_VALUE"""),"Python")</f>
        <v>Python</v>
      </c>
      <c r="D238" s="9" t="str">
        <f>IFERROR(__xludf.DUMMYFUNCTION("""COMPUTED_VALUE"""),"HTML/CSS")</f>
        <v>HTML/CSS</v>
      </c>
      <c r="E238" s="9" t="str">
        <f>IFERROR(__xludf.DUMMYFUNCTION("""COMPUTED_VALUE"""),"Swift")</f>
        <v>Swift</v>
      </c>
      <c r="F238" s="9" t="str">
        <f>IFERROR(__xludf.DUMMYFUNCTION("""COMPUTED_VALUE"""),"PHP")</f>
        <v>PHP</v>
      </c>
      <c r="G238" s="9" t="str">
        <f>IFERROR(__xludf.DUMMYFUNCTION("""COMPUTED_VALUE"""),"C++")</f>
        <v>C++</v>
      </c>
      <c r="H238" s="9" t="str">
        <f>IFERROR(__xludf.DUMMYFUNCTION("""COMPUTED_VALUE"""),"TypeScript")</f>
        <v>TypeScript</v>
      </c>
      <c r="I238" s="9" t="str">
        <f>IFERROR(__xludf.DUMMYFUNCTION("""COMPUTED_VALUE"""),"Python")</f>
        <v>Python</v>
      </c>
      <c r="J238" s="9" t="str">
        <f>IFERROR(__xludf.DUMMYFUNCTION("""COMPUTED_VALUE"""),"HTML/CSS")</f>
        <v>HTML/CSS</v>
      </c>
      <c r="K238" s="9" t="str">
        <f>IFERROR(__xludf.DUMMYFUNCTION("""COMPUTED_VALUE"""),"C++")</f>
        <v>C++</v>
      </c>
      <c r="L238" s="9" t="str">
        <f>IFERROR(__xludf.DUMMYFUNCTION("""COMPUTED_VALUE"""),"TypeScript")</f>
        <v>TypeScript</v>
      </c>
      <c r="M238" s="9" t="s">
        <v>22</v>
      </c>
    </row>
    <row r="239" ht="15.75" customHeight="1">
      <c r="A239" s="7"/>
      <c r="B239" s="7" t="str">
        <f>IFERROR(__xludf.DUMMYFUNCTION("""COMPUTED_VALUE"""),"Bash/Shell/PowerShell;HTML/CSS;Java;JavaScript;Python;SQL")</f>
        <v>Bash/Shell/PowerShell;HTML/CSS;Java;JavaScript;Python;SQL</v>
      </c>
      <c r="C239" s="9" t="str">
        <f>IFERROR(__xludf.DUMMYFUNCTION("""COMPUTED_VALUE"""),"SQL")</f>
        <v>SQL</v>
      </c>
      <c r="D239" s="9" t="str">
        <f>IFERROR(__xludf.DUMMYFUNCTION("""COMPUTED_VALUE"""),"JavaScript")</f>
        <v>JavaScript</v>
      </c>
      <c r="E239" s="9" t="str">
        <f>IFERROR(__xludf.DUMMYFUNCTION("""COMPUTED_VALUE"""),"Go")</f>
        <v>Go</v>
      </c>
      <c r="F239" s="9" t="str">
        <f>IFERROR(__xludf.DUMMYFUNCTION("""COMPUTED_VALUE"""),"Python")</f>
        <v>Python</v>
      </c>
      <c r="G239" s="9" t="str">
        <f>IFERROR(__xludf.DUMMYFUNCTION("""COMPUTED_VALUE"""),"JavaScript")</f>
        <v>JavaScript</v>
      </c>
      <c r="H239" s="9" t="str">
        <f>IFERROR(__xludf.DUMMYFUNCTION("""COMPUTED_VALUE"""),"C")</f>
        <v>C</v>
      </c>
      <c r="I239" s="9" t="str">
        <f>IFERROR(__xludf.DUMMYFUNCTION("""COMPUTED_VALUE"""),"SQL")</f>
        <v>SQL</v>
      </c>
      <c r="J239" s="9" t="str">
        <f>IFERROR(__xludf.DUMMYFUNCTION("""COMPUTED_VALUE"""),"Java")</f>
        <v>Java</v>
      </c>
      <c r="K239" s="9" t="str">
        <f>IFERROR(__xludf.DUMMYFUNCTION("""COMPUTED_VALUE"""),"C#")</f>
        <v>C#</v>
      </c>
      <c r="L239" s="9" t="str">
        <f>IFERROR(__xludf.DUMMYFUNCTION("""COMPUTED_VALUE"""),"C")</f>
        <v>C</v>
      </c>
      <c r="M239" s="9" t="s">
        <v>27</v>
      </c>
    </row>
    <row r="240" ht="15.75" customHeight="1">
      <c r="A240" s="7"/>
      <c r="B240" s="7" t="str">
        <f>IFERROR(__xludf.DUMMYFUNCTION("""COMPUTED_VALUE"""),"Bash/Shell/PowerShell;C#;HTML/CSS;JavaScript;SQL")</f>
        <v>Bash/Shell/PowerShell;C#;HTML/CSS;JavaScript;SQL</v>
      </c>
      <c r="C240" s="9" t="str">
        <f>IFERROR(__xludf.DUMMYFUNCTION("""COMPUTED_VALUE"""),"TypeScript")</f>
        <v>TypeScript</v>
      </c>
      <c r="D240" s="9" t="str">
        <f>IFERROR(__xludf.DUMMYFUNCTION("""COMPUTED_VALUE"""),"Python")</f>
        <v>Python</v>
      </c>
      <c r="E240" s="9" t="str">
        <f>IFERROR(__xludf.DUMMYFUNCTION("""COMPUTED_VALUE"""),"Java")</f>
        <v>Java</v>
      </c>
      <c r="F240" s="9" t="str">
        <f>IFERROR(__xludf.DUMMYFUNCTION("""COMPUTED_VALUE"""),"SQL")</f>
        <v>SQL</v>
      </c>
      <c r="G240" s="9" t="str">
        <f>IFERROR(__xludf.DUMMYFUNCTION("""COMPUTED_VALUE"""),"Python")</f>
        <v>Python</v>
      </c>
      <c r="H240" s="9" t="str">
        <f>IFERROR(__xludf.DUMMYFUNCTION("""COMPUTED_VALUE"""),"C++")</f>
        <v>C++</v>
      </c>
      <c r="I240" s="9" t="str">
        <f>IFERROR(__xludf.DUMMYFUNCTION("""COMPUTED_VALUE"""),"VBA")</f>
        <v>VBA</v>
      </c>
      <c r="J240" s="9" t="str">
        <f>IFERROR(__xludf.DUMMYFUNCTION("""COMPUTED_VALUE"""),"JavaScript")</f>
        <v>JavaScript</v>
      </c>
      <c r="K240" s="9" t="str">
        <f>IFERROR(__xludf.DUMMYFUNCTION("""COMPUTED_VALUE"""),"HTML/CSS")</f>
        <v>HTML/CSS</v>
      </c>
      <c r="L240" s="9" t="str">
        <f>IFERROR(__xludf.DUMMYFUNCTION("""COMPUTED_VALUE"""),"Java")</f>
        <v>Java</v>
      </c>
      <c r="M240" s="9" t="s">
        <v>33</v>
      </c>
    </row>
    <row r="241" ht="15.75" customHeight="1">
      <c r="A241" s="7"/>
      <c r="B241" s="7" t="str">
        <f>IFERROR(__xludf.DUMMYFUNCTION("""COMPUTED_VALUE"""),"HTML/CSS;Java;JavaScript;SQL;TypeScript")</f>
        <v>HTML/CSS;Java;JavaScript;SQL;TypeScript</v>
      </c>
      <c r="C241" s="9" t="str">
        <f>IFERROR(__xludf.DUMMYFUNCTION("""COMPUTED_VALUE"""),"Bash/Shell/PowerShell")</f>
        <v>Bash/Shell/PowerShell</v>
      </c>
      <c r="D241" s="9" t="str">
        <f>IFERROR(__xludf.DUMMYFUNCTION("""COMPUTED_VALUE"""),"SQL")</f>
        <v>SQL</v>
      </c>
      <c r="E241" s="9" t="str">
        <f>IFERROR(__xludf.DUMMYFUNCTION("""COMPUTED_VALUE"""),"Python")</f>
        <v>Python</v>
      </c>
      <c r="F241" s="9" t="str">
        <f>IFERROR(__xludf.DUMMYFUNCTION("""COMPUTED_VALUE"""),"TypeScript")</f>
        <v>TypeScript</v>
      </c>
      <c r="G241" s="9" t="str">
        <f>IFERROR(__xludf.DUMMYFUNCTION("""COMPUTED_VALUE"""),"R")</f>
        <v>R</v>
      </c>
      <c r="H241" s="9" t="str">
        <f>IFERROR(__xludf.DUMMYFUNCTION("""COMPUTED_VALUE"""),"HTML/CSS")</f>
        <v>HTML/CSS</v>
      </c>
      <c r="I241" s="9" t="str">
        <f>IFERROR(__xludf.DUMMYFUNCTION("""COMPUTED_VALUE"""),"Assembly")</f>
        <v>Assembly</v>
      </c>
      <c r="J241" s="9" t="str">
        <f>IFERROR(__xludf.DUMMYFUNCTION("""COMPUTED_VALUE"""),"PHP")</f>
        <v>PHP</v>
      </c>
      <c r="K241" s="9" t="str">
        <f>IFERROR(__xludf.DUMMYFUNCTION("""COMPUTED_VALUE"""),"JavaScript")</f>
        <v>JavaScript</v>
      </c>
      <c r="L241" s="9" t="str">
        <f>IFERROR(__xludf.DUMMYFUNCTION("""COMPUTED_VALUE"""),"Python")</f>
        <v>Python</v>
      </c>
      <c r="M241" s="9" t="s">
        <v>30</v>
      </c>
    </row>
    <row r="242" ht="15.75" customHeight="1">
      <c r="A242" s="7"/>
      <c r="B242" s="7" t="str">
        <f>IFERROR(__xludf.DUMMYFUNCTION("""COMPUTED_VALUE"""),"C;C++;C#;HTML/CSS;Java;JavaScript;Objective-C;PHP;Python;Swift")</f>
        <v>C;C++;C#;HTML/CSS;Java;JavaScript;Objective-C;PHP;Python;Swift</v>
      </c>
      <c r="C242" s="9" t="str">
        <f>IFERROR(__xludf.DUMMYFUNCTION("""COMPUTED_VALUE"""),"C")</f>
        <v>C</v>
      </c>
      <c r="D242" s="9" t="str">
        <f>IFERROR(__xludf.DUMMYFUNCTION("""COMPUTED_VALUE"""),"C#")</f>
        <v>C#</v>
      </c>
      <c r="E242" s="9" t="str">
        <f>IFERROR(__xludf.DUMMYFUNCTION("""COMPUTED_VALUE"""),"HTML/CSS")</f>
        <v>HTML/CSS</v>
      </c>
      <c r="F242" s="9" t="str">
        <f>IFERROR(__xludf.DUMMYFUNCTION("""COMPUTED_VALUE"""),"HTML/CSS")</f>
        <v>HTML/CSS</v>
      </c>
      <c r="G242" s="9" t="str">
        <f>IFERROR(__xludf.DUMMYFUNCTION("""COMPUTED_VALUE"""),"SQL")</f>
        <v>SQL</v>
      </c>
      <c r="H242" s="9" t="str">
        <f>IFERROR(__xludf.DUMMYFUNCTION("""COMPUTED_VALUE"""),"Java")</f>
        <v>Java</v>
      </c>
      <c r="I242" s="9" t="str">
        <f>IFERROR(__xludf.DUMMYFUNCTION("""COMPUTED_VALUE"""),"Bash/Shell/PowerShell")</f>
        <v>Bash/Shell/PowerShell</v>
      </c>
      <c r="J242" s="9" t="str">
        <f>IFERROR(__xludf.DUMMYFUNCTION("""COMPUTED_VALUE"""),"Python")</f>
        <v>Python</v>
      </c>
      <c r="K242" s="9" t="str">
        <f>IFERROR(__xludf.DUMMYFUNCTION("""COMPUTED_VALUE"""),"SQL")</f>
        <v>SQL</v>
      </c>
      <c r="L242" s="9" t="str">
        <f>IFERROR(__xludf.DUMMYFUNCTION("""COMPUTED_VALUE"""),"HTML/CSS")</f>
        <v>HTML/CSS</v>
      </c>
      <c r="M242" s="9" t="s">
        <v>25</v>
      </c>
    </row>
    <row r="243" ht="15.75" customHeight="1">
      <c r="A243" s="7"/>
      <c r="B243" s="7" t="str">
        <f>IFERROR(__xludf.DUMMYFUNCTION("""COMPUTED_VALUE"""),"Assembly;Bash/Shell/PowerShell;C;Python;VBA")</f>
        <v>Assembly;Bash/Shell/PowerShell;C;Python;VBA</v>
      </c>
      <c r="C243" s="9" t="str">
        <f>IFERROR(__xludf.DUMMYFUNCTION("""COMPUTED_VALUE"""),"C++")</f>
        <v>C++</v>
      </c>
      <c r="D243" s="9" t="str">
        <f>IFERROR(__xludf.DUMMYFUNCTION("""COMPUTED_VALUE"""),"SQL")</f>
        <v>SQL</v>
      </c>
      <c r="E243" s="9" t="str">
        <f>IFERROR(__xludf.DUMMYFUNCTION("""COMPUTED_VALUE"""),"JavaScript")</f>
        <v>JavaScript</v>
      </c>
      <c r="F243" s="9" t="str">
        <f>IFERROR(__xludf.DUMMYFUNCTION("""COMPUTED_VALUE"""),"JavaScript")</f>
        <v>JavaScript</v>
      </c>
      <c r="G243" s="9" t="str">
        <f>IFERROR(__xludf.DUMMYFUNCTION("""COMPUTED_VALUE"""),"Bash/Shell/PowerShell")</f>
        <v>Bash/Shell/PowerShell</v>
      </c>
      <c r="H243" s="9" t="str">
        <f>IFERROR(__xludf.DUMMYFUNCTION("""COMPUTED_VALUE"""),"JavaScript")</f>
        <v>JavaScript</v>
      </c>
      <c r="I243" s="9" t="str">
        <f>IFERROR(__xludf.DUMMYFUNCTION("""COMPUTED_VALUE"""),"C")</f>
        <v>C</v>
      </c>
      <c r="J243" s="9" t="str">
        <f>IFERROR(__xludf.DUMMYFUNCTION("""COMPUTED_VALUE"""),"R")</f>
        <v>R</v>
      </c>
      <c r="K243" s="9" t="str">
        <f>IFERROR(__xludf.DUMMYFUNCTION("""COMPUTED_VALUE"""),"R")</f>
        <v>R</v>
      </c>
      <c r="L243" s="9" t="str">
        <f>IFERROR(__xludf.DUMMYFUNCTION("""COMPUTED_VALUE"""),"JavaScript")</f>
        <v>JavaScript</v>
      </c>
      <c r="M243" s="9" t="s">
        <v>23</v>
      </c>
    </row>
    <row r="244" ht="15.75" customHeight="1">
      <c r="A244" s="7"/>
      <c r="B244" s="7" t="str">
        <f>IFERROR(__xludf.DUMMYFUNCTION("""COMPUTED_VALUE"""),"C#;JavaScript;TypeScript")</f>
        <v>C#;JavaScript;TypeScript</v>
      </c>
      <c r="C244" s="9" t="str">
        <f>IFERROR(__xludf.DUMMYFUNCTION("""COMPUTED_VALUE"""),"HTML/CSS")</f>
        <v>HTML/CSS</v>
      </c>
      <c r="D244" s="9" t="str">
        <f>IFERROR(__xludf.DUMMYFUNCTION("""COMPUTED_VALUE"""),"C#")</f>
        <v>C#</v>
      </c>
      <c r="E244" s="9" t="str">
        <f>IFERROR(__xludf.DUMMYFUNCTION("""COMPUTED_VALUE"""),"TypeScript")</f>
        <v>TypeScript</v>
      </c>
      <c r="F244" s="9" t="str">
        <f>IFERROR(__xludf.DUMMYFUNCTION("""COMPUTED_VALUE"""),"PHP")</f>
        <v>PHP</v>
      </c>
      <c r="G244" s="9" t="str">
        <f>IFERROR(__xludf.DUMMYFUNCTION("""COMPUTED_VALUE"""),"C#")</f>
        <v>C#</v>
      </c>
      <c r="H244" s="9" t="str">
        <f>IFERROR(__xludf.DUMMYFUNCTION("""COMPUTED_VALUE"""),"PHP")</f>
        <v>PHP</v>
      </c>
      <c r="I244" s="9" t="str">
        <f>IFERROR(__xludf.DUMMYFUNCTION("""COMPUTED_VALUE"""),"C++")</f>
        <v>C++</v>
      </c>
      <c r="J244" s="9" t="str">
        <f>IFERROR(__xludf.DUMMYFUNCTION("""COMPUTED_VALUE"""),"SQL")</f>
        <v>SQL</v>
      </c>
      <c r="K244" s="9" t="str">
        <f>IFERROR(__xludf.DUMMYFUNCTION("""COMPUTED_VALUE"""),"SQL")</f>
        <v>SQL</v>
      </c>
      <c r="L244" s="9" t="str">
        <f>IFERROR(__xludf.DUMMYFUNCTION("""COMPUTED_VALUE"""),"PHP")</f>
        <v>PHP</v>
      </c>
      <c r="M244" s="9" t="s">
        <v>24</v>
      </c>
    </row>
    <row r="245" ht="15.75" customHeight="1">
      <c r="A245" s="7"/>
      <c r="B245" s="7" t="str">
        <f>IFERROR(__xludf.DUMMYFUNCTION("""COMPUTED_VALUE"""),"C#;HTML/CSS;JavaScript;SQL;TypeScript")</f>
        <v>C#;HTML/CSS;JavaScript;SQL;TypeScript</v>
      </c>
      <c r="C245" s="9" t="str">
        <f>IFERROR(__xludf.DUMMYFUNCTION("""COMPUTED_VALUE"""),"Java")</f>
        <v>Java</v>
      </c>
      <c r="D245" s="9" t="str">
        <f>IFERROR(__xludf.DUMMYFUNCTION("""COMPUTED_VALUE"""),"F#")</f>
        <v>F#</v>
      </c>
      <c r="E245" s="9" t="str">
        <f>IFERROR(__xludf.DUMMYFUNCTION("""COMPUTED_VALUE"""),"Assembly")</f>
        <v>Assembly</v>
      </c>
      <c r="F245" s="9" t="str">
        <f>IFERROR(__xludf.DUMMYFUNCTION("""COMPUTED_VALUE"""),"HTML/CSS")</f>
        <v>HTML/CSS</v>
      </c>
      <c r="G245" s="9" t="str">
        <f>IFERROR(__xludf.DUMMYFUNCTION("""COMPUTED_VALUE"""),"HTML/CSS")</f>
        <v>HTML/CSS</v>
      </c>
      <c r="H245" s="9" t="str">
        <f>IFERROR(__xludf.DUMMYFUNCTION("""COMPUTED_VALUE"""),"Python")</f>
        <v>Python</v>
      </c>
      <c r="I245" s="9" t="str">
        <f>IFERROR(__xludf.DUMMYFUNCTION("""COMPUTED_VALUE"""),"HTML/CSS")</f>
        <v>HTML/CSS</v>
      </c>
      <c r="J245" s="9" t="str">
        <f>IFERROR(__xludf.DUMMYFUNCTION("""COMPUTED_VALUE"""),"VBA")</f>
        <v>VBA</v>
      </c>
      <c r="K245" s="9" t="str">
        <f>IFERROR(__xludf.DUMMYFUNCTION("""COMPUTED_VALUE"""),"C#")</f>
        <v>C#</v>
      </c>
      <c r="L245" s="9" t="str">
        <f>IFERROR(__xludf.DUMMYFUNCTION("""COMPUTED_VALUE"""),"C#")</f>
        <v>C#</v>
      </c>
      <c r="M245" s="9" t="s">
        <v>20</v>
      </c>
    </row>
    <row r="246" ht="15.75" customHeight="1">
      <c r="A246" s="7"/>
      <c r="B246" s="7" t="str">
        <f>IFERROR(__xludf.DUMMYFUNCTION("""COMPUTED_VALUE"""),"C++;C#")</f>
        <v>C++;C#</v>
      </c>
      <c r="C246" s="9" t="str">
        <f>IFERROR(__xludf.DUMMYFUNCTION("""COMPUTED_VALUE"""),"JavaScript")</f>
        <v>JavaScript</v>
      </c>
      <c r="D246" s="9" t="str">
        <f>IFERROR(__xludf.DUMMYFUNCTION("""COMPUTED_VALUE"""),"HTML/CSS")</f>
        <v>HTML/CSS</v>
      </c>
      <c r="E246" s="9" t="str">
        <f>IFERROR(__xludf.DUMMYFUNCTION("""COMPUTED_VALUE"""),"C")</f>
        <v>C</v>
      </c>
      <c r="F246" s="9" t="str">
        <f>IFERROR(__xludf.DUMMYFUNCTION("""COMPUTED_VALUE"""),"JavaScript")</f>
        <v>JavaScript</v>
      </c>
      <c r="G246" s="9" t="str">
        <f>IFERROR(__xludf.DUMMYFUNCTION("""COMPUTED_VALUE"""),"JavaScript")</f>
        <v>JavaScript</v>
      </c>
      <c r="H246" s="9" t="str">
        <f>IFERROR(__xludf.DUMMYFUNCTION("""COMPUTED_VALUE"""),"Go")</f>
        <v>Go</v>
      </c>
      <c r="I246" s="9" t="str">
        <f>IFERROR(__xludf.DUMMYFUNCTION("""COMPUTED_VALUE"""),"JavaScript")</f>
        <v>JavaScript</v>
      </c>
      <c r="J246" s="9" t="str">
        <f>IFERROR(__xludf.DUMMYFUNCTION("""COMPUTED_VALUE"""),"Assembly")</f>
        <v>Assembly</v>
      </c>
      <c r="K246" s="9" t="str">
        <f>IFERROR(__xludf.DUMMYFUNCTION("""COMPUTED_VALUE"""),"HTML/CSS")</f>
        <v>HTML/CSS</v>
      </c>
      <c r="L246" s="9" t="str">
        <f>IFERROR(__xludf.DUMMYFUNCTION("""COMPUTED_VALUE"""),"HTML/CSS")</f>
        <v>HTML/CSS</v>
      </c>
      <c r="M246" s="9" t="s">
        <v>21</v>
      </c>
    </row>
    <row r="247" ht="15.75" customHeight="1">
      <c r="A247" s="7"/>
      <c r="B247" s="7" t="str">
        <f>IFERROR(__xludf.DUMMYFUNCTION("""COMPUTED_VALUE"""),"HTML/CSS;Java;JavaScript;Python;SQL")</f>
        <v>HTML/CSS;Java;JavaScript;Python;SQL</v>
      </c>
      <c r="C247" s="9" t="str">
        <f>IFERROR(__xludf.DUMMYFUNCTION("""COMPUTED_VALUE"""),"PHP")</f>
        <v>PHP</v>
      </c>
      <c r="D247" s="9" t="str">
        <f>IFERROR(__xludf.DUMMYFUNCTION("""COMPUTED_VALUE"""),"JavaScript")</f>
        <v>JavaScript</v>
      </c>
      <c r="E247" s="9" t="str">
        <f>IFERROR(__xludf.DUMMYFUNCTION("""COMPUTED_VALUE"""),"C++")</f>
        <v>C++</v>
      </c>
      <c r="F247" s="9" t="str">
        <f>IFERROR(__xludf.DUMMYFUNCTION("""COMPUTED_VALUE"""),"PHP")</f>
        <v>PHP</v>
      </c>
      <c r="G247" s="9" t="str">
        <f>IFERROR(__xludf.DUMMYFUNCTION("""COMPUTED_VALUE"""),"Swift")</f>
        <v>Swift</v>
      </c>
      <c r="H247" s="9" t="str">
        <f>IFERROR(__xludf.DUMMYFUNCTION("""COMPUTED_VALUE"""),"HTML/CSS")</f>
        <v>HTML/CSS</v>
      </c>
      <c r="I247" s="9" t="str">
        <f>IFERROR(__xludf.DUMMYFUNCTION("""COMPUTED_VALUE"""),"Other(s):")</f>
        <v>Other(s):</v>
      </c>
      <c r="J247" s="9" t="str">
        <f>IFERROR(__xludf.DUMMYFUNCTION("""COMPUTED_VALUE"""),"Bash/Shell/PowerShell")</f>
        <v>Bash/Shell/PowerShell</v>
      </c>
      <c r="K247" s="9" t="str">
        <f>IFERROR(__xludf.DUMMYFUNCTION("""COMPUTED_VALUE"""),"JavaScript")</f>
        <v>JavaScript</v>
      </c>
      <c r="L247" s="9" t="str">
        <f>IFERROR(__xludf.DUMMYFUNCTION("""COMPUTED_VALUE"""),"JavaScript")</f>
        <v>JavaScript</v>
      </c>
      <c r="M247" s="9" t="s">
        <v>37</v>
      </c>
    </row>
    <row r="248" ht="15.75" customHeight="1">
      <c r="A248" s="7"/>
      <c r="B248" s="7" t="str">
        <f>IFERROR(__xludf.DUMMYFUNCTION("""COMPUTED_VALUE"""),"Bash/Shell/PowerShell;C#;HTML/CSS;Java;Python;SQL")</f>
        <v>Bash/Shell/PowerShell;C#;HTML/CSS;Java;Python;SQL</v>
      </c>
      <c r="C248" s="9" t="str">
        <f>IFERROR(__xludf.DUMMYFUNCTION("""COMPUTED_VALUE"""),"Python")</f>
        <v>Python</v>
      </c>
      <c r="D248" s="9" t="str">
        <f>IFERROR(__xludf.DUMMYFUNCTION("""COMPUTED_VALUE"""),"Python")</f>
        <v>Python</v>
      </c>
      <c r="E248" s="9" t="str">
        <f>IFERROR(__xludf.DUMMYFUNCTION("""COMPUTED_VALUE"""),"HTML/CSS")</f>
        <v>HTML/CSS</v>
      </c>
      <c r="F248" s="9" t="str">
        <f>IFERROR(__xludf.DUMMYFUNCTION("""COMPUTED_VALUE"""),"SQL")</f>
        <v>SQL</v>
      </c>
      <c r="G248" s="9" t="str">
        <f>IFERROR(__xludf.DUMMYFUNCTION("""COMPUTED_VALUE"""),"TypeScript")</f>
        <v>TypeScript</v>
      </c>
      <c r="H248" s="9" t="str">
        <f>IFERROR(__xludf.DUMMYFUNCTION("""COMPUTED_VALUE"""),"JavaScript")</f>
        <v>JavaScript</v>
      </c>
      <c r="I248" s="9" t="str">
        <f>IFERROR(__xludf.DUMMYFUNCTION("""COMPUTED_VALUE"""),"HTML/CSS")</f>
        <v>HTML/CSS</v>
      </c>
      <c r="J248" s="9" t="str">
        <f>IFERROR(__xludf.DUMMYFUNCTION("""COMPUTED_VALUE"""),"C")</f>
        <v>C</v>
      </c>
      <c r="K248" s="9" t="str">
        <f>IFERROR(__xludf.DUMMYFUNCTION("""COMPUTED_VALUE"""),"SQL")</f>
        <v>SQL</v>
      </c>
      <c r="L248" s="9" t="str">
        <f>IFERROR(__xludf.DUMMYFUNCTION("""COMPUTED_VALUE"""),"SQL")</f>
        <v>SQL</v>
      </c>
      <c r="M248" s="9" t="s">
        <v>22</v>
      </c>
    </row>
    <row r="249" ht="15.75" customHeight="1">
      <c r="A249" s="7"/>
      <c r="B249" s="7" t="str">
        <f>IFERROR(__xludf.DUMMYFUNCTION("""COMPUTED_VALUE"""),"Python;Other(s):")</f>
        <v>Python;Other(s):</v>
      </c>
      <c r="C249" s="9" t="str">
        <f>IFERROR(__xludf.DUMMYFUNCTION("""COMPUTED_VALUE"""),"SQL")</f>
        <v>SQL</v>
      </c>
      <c r="D249" s="9" t="str">
        <f>IFERROR(__xludf.DUMMYFUNCTION("""COMPUTED_VALUE"""),"R")</f>
        <v>R</v>
      </c>
      <c r="E249" s="9" t="str">
        <f>IFERROR(__xludf.DUMMYFUNCTION("""COMPUTED_VALUE"""),"JavaScript")</f>
        <v>JavaScript</v>
      </c>
      <c r="F249" s="9" t="str">
        <f>IFERROR(__xludf.DUMMYFUNCTION("""COMPUTED_VALUE"""),"Bash/Shell/PowerShell")</f>
        <v>Bash/Shell/PowerShell</v>
      </c>
      <c r="G249" s="9" t="str">
        <f>IFERROR(__xludf.DUMMYFUNCTION("""COMPUTED_VALUE"""),"C#")</f>
        <v>C#</v>
      </c>
      <c r="H249" s="9" t="str">
        <f>IFERROR(__xludf.DUMMYFUNCTION("""COMPUTED_VALUE"""),"Python")</f>
        <v>Python</v>
      </c>
      <c r="I249" s="9" t="str">
        <f>IFERROR(__xludf.DUMMYFUNCTION("""COMPUTED_VALUE"""),"JavaScript")</f>
        <v>JavaScript</v>
      </c>
      <c r="J249" s="9" t="str">
        <f>IFERROR(__xludf.DUMMYFUNCTION("""COMPUTED_VALUE"""),"C++")</f>
        <v>C++</v>
      </c>
      <c r="K249" s="9" t="str">
        <f>IFERROR(__xludf.DUMMYFUNCTION("""COMPUTED_VALUE"""),"C++")</f>
        <v>C++</v>
      </c>
      <c r="L249" s="9" t="str">
        <f>IFERROR(__xludf.DUMMYFUNCTION("""COMPUTED_VALUE"""),"TypeScript")</f>
        <v>TypeScript</v>
      </c>
      <c r="M249" s="9" t="s">
        <v>27</v>
      </c>
    </row>
    <row r="250" ht="15.75" customHeight="1">
      <c r="A250" s="7"/>
      <c r="B250" s="7" t="str">
        <f>IFERROR(__xludf.DUMMYFUNCTION("""COMPUTED_VALUE"""),"Assembly;C;C++;C#;HTML/CSS;JavaScript;Python;VBA")</f>
        <v>Assembly;C;C++;C#;HTML/CSS;JavaScript;Python;VBA</v>
      </c>
      <c r="C250" s="9" t="str">
        <f>IFERROR(__xludf.DUMMYFUNCTION("""COMPUTED_VALUE"""),"Bash/Shell/PowerShell")</f>
        <v>Bash/Shell/PowerShell</v>
      </c>
      <c r="D250" s="9" t="str">
        <f>IFERROR(__xludf.DUMMYFUNCTION("""COMPUTED_VALUE"""),"SQL")</f>
        <v>SQL</v>
      </c>
      <c r="E250" s="9" t="str">
        <f>IFERROR(__xludf.DUMMYFUNCTION("""COMPUTED_VALUE"""),"Bash/Shell/PowerShell")</f>
        <v>Bash/Shell/PowerShell</v>
      </c>
      <c r="F250" s="9" t="str">
        <f>IFERROR(__xludf.DUMMYFUNCTION("""COMPUTED_VALUE"""),"C++")</f>
        <v>C++</v>
      </c>
      <c r="G250" s="9" t="str">
        <f>IFERROR(__xludf.DUMMYFUNCTION("""COMPUTED_VALUE"""),"HTML/CSS")</f>
        <v>HTML/CSS</v>
      </c>
      <c r="H250" s="9" t="str">
        <f>IFERROR(__xludf.DUMMYFUNCTION("""COMPUTED_VALUE"""),"R")</f>
        <v>R</v>
      </c>
      <c r="I250" s="9" t="str">
        <f>IFERROR(__xludf.DUMMYFUNCTION("""COMPUTED_VALUE"""),"Ruby")</f>
        <v>Ruby</v>
      </c>
      <c r="J250" s="9" t="str">
        <f>IFERROR(__xludf.DUMMYFUNCTION("""COMPUTED_VALUE"""),"Java")</f>
        <v>Java</v>
      </c>
      <c r="K250" s="9" t="str">
        <f>IFERROR(__xludf.DUMMYFUNCTION("""COMPUTED_VALUE"""),"C#")</f>
        <v>C#</v>
      </c>
      <c r="L250" s="9" t="str">
        <f>IFERROR(__xludf.DUMMYFUNCTION("""COMPUTED_VALUE"""),"Bash/Shell/PowerShell")</f>
        <v>Bash/Shell/PowerShell</v>
      </c>
      <c r="M250" s="9" t="s">
        <v>30</v>
      </c>
    </row>
    <row r="251" ht="15.75" customHeight="1">
      <c r="A251" s="7"/>
      <c r="B251" s="7" t="str">
        <f>IFERROR(__xludf.DUMMYFUNCTION("""COMPUTED_VALUE"""),"HTML/CSS;JavaScript;Rust;Swift;Other(s):")</f>
        <v>HTML/CSS;JavaScript;Rust;Swift;Other(s):</v>
      </c>
      <c r="C251" s="9" t="str">
        <f>IFERROR(__xludf.DUMMYFUNCTION("""COMPUTED_VALUE"""),"C++")</f>
        <v>C++</v>
      </c>
      <c r="D251" s="9" t="str">
        <f>IFERROR(__xludf.DUMMYFUNCTION("""COMPUTED_VALUE"""),"TypeScript")</f>
        <v>TypeScript</v>
      </c>
      <c r="E251" s="9" t="str">
        <f>IFERROR(__xludf.DUMMYFUNCTION("""COMPUTED_VALUE"""),"HTML/CSS")</f>
        <v>HTML/CSS</v>
      </c>
      <c r="F251" s="9" t="str">
        <f>IFERROR(__xludf.DUMMYFUNCTION("""COMPUTED_VALUE"""),"C#")</f>
        <v>C#</v>
      </c>
      <c r="G251" s="9" t="str">
        <f>IFERROR(__xludf.DUMMYFUNCTION("""COMPUTED_VALUE"""),"JavaScript")</f>
        <v>JavaScript</v>
      </c>
      <c r="H251" s="9" t="str">
        <f>IFERROR(__xludf.DUMMYFUNCTION("""COMPUTED_VALUE"""),"SQL")</f>
        <v>SQL</v>
      </c>
      <c r="I251" s="9" t="str">
        <f>IFERROR(__xludf.DUMMYFUNCTION("""COMPUTED_VALUE"""),"SQL")</f>
        <v>SQL</v>
      </c>
      <c r="J251" s="9" t="str">
        <f>IFERROR(__xludf.DUMMYFUNCTION("""COMPUTED_VALUE"""),"Kotlin")</f>
        <v>Kotlin</v>
      </c>
      <c r="K251" s="9" t="str">
        <f>IFERROR(__xludf.DUMMYFUNCTION("""COMPUTED_VALUE"""),"HTML/CSS")</f>
        <v>HTML/CSS</v>
      </c>
      <c r="L251" s="9" t="str">
        <f>IFERROR(__xludf.DUMMYFUNCTION("""COMPUTED_VALUE"""),"HTML/CSS")</f>
        <v>HTML/CSS</v>
      </c>
      <c r="M251" s="9" t="s">
        <v>23</v>
      </c>
    </row>
    <row r="252" ht="15.75" customHeight="1">
      <c r="A252" s="7"/>
      <c r="B252" s="7" t="str">
        <f>IFERROR(__xludf.DUMMYFUNCTION("""COMPUTED_VALUE"""),"Bash/Shell/PowerShell;HTML/CSS;JavaScript;PHP;Ruby;SQL")</f>
        <v>Bash/Shell/PowerShell;HTML/CSS;JavaScript;PHP;Ruby;SQL</v>
      </c>
      <c r="C252" s="9" t="str">
        <f>IFERROR(__xludf.DUMMYFUNCTION("""COMPUTED_VALUE"""),"HTML/CSS")</f>
        <v>HTML/CSS</v>
      </c>
      <c r="D252" s="9" t="str">
        <f>IFERROR(__xludf.DUMMYFUNCTION("""COMPUTED_VALUE"""),"VBA")</f>
        <v>VBA</v>
      </c>
      <c r="E252" s="9" t="str">
        <f>IFERROR(__xludf.DUMMYFUNCTION("""COMPUTED_VALUE"""),"Java")</f>
        <v>Java</v>
      </c>
      <c r="F252" s="9" t="str">
        <f>IFERROR(__xludf.DUMMYFUNCTION("""COMPUTED_VALUE"""),"F#")</f>
        <v>F#</v>
      </c>
      <c r="G252" s="9" t="str">
        <f>IFERROR(__xludf.DUMMYFUNCTION("""COMPUTED_VALUE"""),"SQL")</f>
        <v>SQL</v>
      </c>
      <c r="H252" s="9" t="str">
        <f>IFERROR(__xludf.DUMMYFUNCTION("""COMPUTED_VALUE"""),"C#")</f>
        <v>C#</v>
      </c>
      <c r="I252" s="9" t="str">
        <f>IFERROR(__xludf.DUMMYFUNCTION("""COMPUTED_VALUE"""),"C++")</f>
        <v>C++</v>
      </c>
      <c r="J252" s="9" t="str">
        <f>IFERROR(__xludf.DUMMYFUNCTION("""COMPUTED_VALUE"""),"Python")</f>
        <v>Python</v>
      </c>
      <c r="K252" s="9" t="str">
        <f>IFERROR(__xludf.DUMMYFUNCTION("""COMPUTED_VALUE"""),"JavaScript")</f>
        <v>JavaScript</v>
      </c>
      <c r="L252" s="9" t="str">
        <f>IFERROR(__xludf.DUMMYFUNCTION("""COMPUTED_VALUE"""),"Java")</f>
        <v>Java</v>
      </c>
      <c r="M252" s="9" t="s">
        <v>24</v>
      </c>
    </row>
    <row r="253" ht="15.75" customHeight="1">
      <c r="A253" s="7"/>
      <c r="B253" s="7" t="str">
        <f>IFERROR(__xludf.DUMMYFUNCTION("""COMPUTED_VALUE"""),"C#;Python;SQL;TypeScript")</f>
        <v>C#;Python;SQL;TypeScript</v>
      </c>
      <c r="C253" s="9" t="str">
        <f>IFERROR(__xludf.DUMMYFUNCTION("""COMPUTED_VALUE"""),"Java")</f>
        <v>Java</v>
      </c>
      <c r="D253" s="9" t="str">
        <f>IFERROR(__xludf.DUMMYFUNCTION("""COMPUTED_VALUE"""),"C#")</f>
        <v>C#</v>
      </c>
      <c r="E253" s="9" t="str">
        <f>IFERROR(__xludf.DUMMYFUNCTION("""COMPUTED_VALUE"""),"JavaScript")</f>
        <v>JavaScript</v>
      </c>
      <c r="F253" s="9" t="str">
        <f>IFERROR(__xludf.DUMMYFUNCTION("""COMPUTED_VALUE"""),"HTML/CSS")</f>
        <v>HTML/CSS</v>
      </c>
      <c r="G253" s="9" t="str">
        <f>IFERROR(__xludf.DUMMYFUNCTION("""COMPUTED_VALUE"""),"TypeScript")</f>
        <v>TypeScript</v>
      </c>
      <c r="H253" s="9" t="str">
        <f>IFERROR(__xludf.DUMMYFUNCTION("""COMPUTED_VALUE"""),"HTML/CSS")</f>
        <v>HTML/CSS</v>
      </c>
      <c r="I253" s="9" t="str">
        <f>IFERROR(__xludf.DUMMYFUNCTION("""COMPUTED_VALUE"""),"HTML/CSS")</f>
        <v>HTML/CSS</v>
      </c>
      <c r="J253" s="9" t="str">
        <f>IFERROR(__xludf.DUMMYFUNCTION("""COMPUTED_VALUE"""),"Bash/Shell/PowerShell")</f>
        <v>Bash/Shell/PowerShell</v>
      </c>
      <c r="K253" s="9" t="str">
        <f>IFERROR(__xludf.DUMMYFUNCTION("""COMPUTED_VALUE"""),"Python")</f>
        <v>Python</v>
      </c>
      <c r="L253" s="9" t="str">
        <f>IFERROR(__xludf.DUMMYFUNCTION("""COMPUTED_VALUE"""),"JavaScript")</f>
        <v>JavaScript</v>
      </c>
      <c r="M253" s="9" t="s">
        <v>20</v>
      </c>
    </row>
    <row r="254" ht="15.75" customHeight="1">
      <c r="A254" s="7"/>
      <c r="B254" s="7" t="str">
        <f>IFERROR(__xludf.DUMMYFUNCTION("""COMPUTED_VALUE"""),"Bash/Shell/PowerShell;C;HTML/CSS;Java;JavaScript;Python;TypeScript;Other(s):")</f>
        <v>Bash/Shell/PowerShell;C;HTML/CSS;Java;JavaScript;Python;TypeScript;Other(s):</v>
      </c>
      <c r="C254" s="9" t="str">
        <f>IFERROR(__xludf.DUMMYFUNCTION("""COMPUTED_VALUE"""),"JavaScript")</f>
        <v>JavaScript</v>
      </c>
      <c r="D254" s="9" t="str">
        <f>IFERROR(__xludf.DUMMYFUNCTION("""COMPUTED_VALUE"""),"SQL")</f>
        <v>SQL</v>
      </c>
      <c r="E254" s="9" t="str">
        <f>IFERROR(__xludf.DUMMYFUNCTION("""COMPUTED_VALUE"""),"PHP")</f>
        <v>PHP</v>
      </c>
      <c r="F254" s="9" t="str">
        <f>IFERROR(__xludf.DUMMYFUNCTION("""COMPUTED_VALUE"""),"SQL")</f>
        <v>SQL</v>
      </c>
      <c r="G254" s="9" t="str">
        <f>IFERROR(__xludf.DUMMYFUNCTION("""COMPUTED_VALUE"""),"C")</f>
        <v>C</v>
      </c>
      <c r="H254" s="9" t="str">
        <f>IFERROR(__xludf.DUMMYFUNCTION("""COMPUTED_VALUE"""),"Java")</f>
        <v>Java</v>
      </c>
      <c r="I254" s="9" t="str">
        <f>IFERROR(__xludf.DUMMYFUNCTION("""COMPUTED_VALUE"""),"Java")</f>
        <v>Java</v>
      </c>
      <c r="J254" s="9" t="str">
        <f>IFERROR(__xludf.DUMMYFUNCTION("""COMPUTED_VALUE"""),"HTML/CSS")</f>
        <v>HTML/CSS</v>
      </c>
      <c r="K254" s="9" t="str">
        <f>IFERROR(__xludf.DUMMYFUNCTION("""COMPUTED_VALUE"""),"R")</f>
        <v>R</v>
      </c>
      <c r="L254" s="9" t="str">
        <f>IFERROR(__xludf.DUMMYFUNCTION("""COMPUTED_VALUE"""),"SQL")</f>
        <v>SQL</v>
      </c>
      <c r="M254" s="9" t="s">
        <v>21</v>
      </c>
    </row>
    <row r="255" ht="15.75" customHeight="1">
      <c r="A255" s="7"/>
      <c r="B255" s="7" t="str">
        <f>IFERROR(__xludf.DUMMYFUNCTION("""COMPUTED_VALUE"""),"C;C++;Java")</f>
        <v>C;C++;Java</v>
      </c>
      <c r="C255" s="9" t="str">
        <f>IFERROR(__xludf.DUMMYFUNCTION("""COMPUTED_VALUE"""),"Python")</f>
        <v>Python</v>
      </c>
      <c r="D255" s="9" t="str">
        <f>IFERROR(__xludf.DUMMYFUNCTION("""COMPUTED_VALUE"""),"C++")</f>
        <v>C++</v>
      </c>
      <c r="E255" s="9" t="str">
        <f>IFERROR(__xludf.DUMMYFUNCTION("""COMPUTED_VALUE"""),"SQL")</f>
        <v>SQL</v>
      </c>
      <c r="F255" s="9" t="str">
        <f>IFERROR(__xludf.DUMMYFUNCTION("""COMPUTED_VALUE"""),"TypeScript")</f>
        <v>TypeScript</v>
      </c>
      <c r="G255" s="9" t="str">
        <f>IFERROR(__xludf.DUMMYFUNCTION("""COMPUTED_VALUE"""),"C++")</f>
        <v>C++</v>
      </c>
      <c r="H255" s="9" t="str">
        <f>IFERROR(__xludf.DUMMYFUNCTION("""COMPUTED_VALUE"""),"JavaScript")</f>
        <v>JavaScript</v>
      </c>
      <c r="I255" s="9" t="str">
        <f>IFERROR(__xludf.DUMMYFUNCTION("""COMPUTED_VALUE"""),"Python")</f>
        <v>Python</v>
      </c>
      <c r="J255" s="9" t="str">
        <f>IFERROR(__xludf.DUMMYFUNCTION("""COMPUTED_VALUE"""),"JavaScript")</f>
        <v>JavaScript</v>
      </c>
      <c r="K255" s="9" t="str">
        <f>IFERROR(__xludf.DUMMYFUNCTION("""COMPUTED_VALUE"""),"SQL")</f>
        <v>SQL</v>
      </c>
      <c r="L255" s="9" t="str">
        <f>IFERROR(__xludf.DUMMYFUNCTION("""COMPUTED_VALUE"""),"Bash/Shell/PowerShell")</f>
        <v>Bash/Shell/PowerShell</v>
      </c>
      <c r="M255" s="9" t="s">
        <v>22</v>
      </c>
    </row>
    <row r="256" ht="15.75" customHeight="1">
      <c r="A256" s="7"/>
      <c r="B256" s="7" t="str">
        <f>IFERROR(__xludf.DUMMYFUNCTION("""COMPUTED_VALUE"""),"Bash/Shell/PowerShell;Other(s):")</f>
        <v>Bash/Shell/PowerShell;Other(s):</v>
      </c>
      <c r="C256" s="9" t="str">
        <f>IFERROR(__xludf.DUMMYFUNCTION("""COMPUTED_VALUE"""),"R")</f>
        <v>R</v>
      </c>
      <c r="D256" s="9" t="str">
        <f>IFERROR(__xludf.DUMMYFUNCTION("""COMPUTED_VALUE"""),"Bash/Shell/PowerShell")</f>
        <v>Bash/Shell/PowerShell</v>
      </c>
      <c r="E256" s="9" t="str">
        <f>IFERROR(__xludf.DUMMYFUNCTION("""COMPUTED_VALUE"""),"Bash/Shell/PowerShell")</f>
        <v>Bash/Shell/PowerShell</v>
      </c>
      <c r="F256" s="9" t="str">
        <f>IFERROR(__xludf.DUMMYFUNCTION("""COMPUTED_VALUE"""),"C#")</f>
        <v>C#</v>
      </c>
      <c r="G256" s="9" t="str">
        <f>IFERROR(__xludf.DUMMYFUNCTION("""COMPUTED_VALUE"""),"HTML/CSS")</f>
        <v>HTML/CSS</v>
      </c>
      <c r="H256" s="9" t="str">
        <f>IFERROR(__xludf.DUMMYFUNCTION("""COMPUTED_VALUE"""),"PHP")</f>
        <v>PHP</v>
      </c>
      <c r="I256" s="9" t="str">
        <f>IFERROR(__xludf.DUMMYFUNCTION("""COMPUTED_VALUE"""),"HTML/CSS")</f>
        <v>HTML/CSS</v>
      </c>
      <c r="J256" s="9" t="str">
        <f>IFERROR(__xludf.DUMMYFUNCTION("""COMPUTED_VALUE"""),"HTML/CSS")</f>
        <v>HTML/CSS</v>
      </c>
      <c r="K256" s="9" t="str">
        <f>IFERROR(__xludf.DUMMYFUNCTION("""COMPUTED_VALUE"""),"Other(s):")</f>
        <v>Other(s):</v>
      </c>
      <c r="L256" s="9" t="str">
        <f>IFERROR(__xludf.DUMMYFUNCTION("""COMPUTED_VALUE"""),"C#")</f>
        <v>C#</v>
      </c>
      <c r="M256" s="9" t="s">
        <v>29</v>
      </c>
    </row>
    <row r="257" ht="15.75" customHeight="1">
      <c r="A257" s="7"/>
      <c r="B257" s="7" t="str">
        <f>IFERROR(__xludf.DUMMYFUNCTION("""COMPUTED_VALUE"""),"C;HTML/CSS;Java;JavaScript;PHP;Python")</f>
        <v>C;HTML/CSS;Java;JavaScript;PHP;Python</v>
      </c>
      <c r="C257" s="9" t="str">
        <f>IFERROR(__xludf.DUMMYFUNCTION("""COMPUTED_VALUE"""),"TypeScript")</f>
        <v>TypeScript</v>
      </c>
      <c r="D257" s="9" t="str">
        <f>IFERROR(__xludf.DUMMYFUNCTION("""COMPUTED_VALUE"""),"C#")</f>
        <v>C#</v>
      </c>
      <c r="E257" s="9" t="str">
        <f>IFERROR(__xludf.DUMMYFUNCTION("""COMPUTED_VALUE"""),"C")</f>
        <v>C</v>
      </c>
      <c r="F257" s="9" t="str">
        <f>IFERROR(__xludf.DUMMYFUNCTION("""COMPUTED_VALUE"""),"HTML/CSS")</f>
        <v>HTML/CSS</v>
      </c>
      <c r="G257" s="9" t="str">
        <f>IFERROR(__xludf.DUMMYFUNCTION("""COMPUTED_VALUE"""),"JavaScript")</f>
        <v>JavaScript</v>
      </c>
      <c r="H257" s="9" t="str">
        <f>IFERROR(__xludf.DUMMYFUNCTION("""COMPUTED_VALUE"""),"SQL")</f>
        <v>SQL</v>
      </c>
      <c r="I257" s="9" t="str">
        <f>IFERROR(__xludf.DUMMYFUNCTION("""COMPUTED_VALUE"""),"JavaScript")</f>
        <v>JavaScript</v>
      </c>
      <c r="J257" s="9" t="str">
        <f>IFERROR(__xludf.DUMMYFUNCTION("""COMPUTED_VALUE"""),"Java")</f>
        <v>Java</v>
      </c>
      <c r="K257" s="9" t="str">
        <f>IFERROR(__xludf.DUMMYFUNCTION("""COMPUTED_VALUE"""),"C++")</f>
        <v>C++</v>
      </c>
      <c r="L257" s="9" t="str">
        <f>IFERROR(__xludf.DUMMYFUNCTION("""COMPUTED_VALUE"""),"HTML/CSS")</f>
        <v>HTML/CSS</v>
      </c>
      <c r="M257" s="9" t="s">
        <v>33</v>
      </c>
    </row>
    <row r="258" ht="15.75" customHeight="1">
      <c r="A258" s="7"/>
      <c r="B258" s="7" t="str">
        <f>IFERROR(__xludf.DUMMYFUNCTION("""COMPUTED_VALUE"""),"C#;HTML/CSS;Java;JavaScript;Python;SQL;TypeScript")</f>
        <v>C#;HTML/CSS;Java;JavaScript;Python;SQL;TypeScript</v>
      </c>
      <c r="C258" s="9" t="str">
        <f>IFERROR(__xludf.DUMMYFUNCTION("""COMPUTED_VALUE"""),"Bash/Shell/PowerShell")</f>
        <v>Bash/Shell/PowerShell</v>
      </c>
      <c r="D258" s="9" t="str">
        <f>IFERROR(__xludf.DUMMYFUNCTION("""COMPUTED_VALUE"""),"HTML/CSS")</f>
        <v>HTML/CSS</v>
      </c>
      <c r="E258" s="9" t="str">
        <f>IFERROR(__xludf.DUMMYFUNCTION("""COMPUTED_VALUE"""),"C++")</f>
        <v>C++</v>
      </c>
      <c r="F258" s="9" t="str">
        <f>IFERROR(__xludf.DUMMYFUNCTION("""COMPUTED_VALUE"""),"JavaScript")</f>
        <v>JavaScript</v>
      </c>
      <c r="G258" s="9" t="str">
        <f>IFERROR(__xludf.DUMMYFUNCTION("""COMPUTED_VALUE"""),"Ruby")</f>
        <v>Ruby</v>
      </c>
      <c r="H258" s="9" t="str">
        <f>IFERROR(__xludf.DUMMYFUNCTION("""COMPUTED_VALUE"""),"TypeScript")</f>
        <v>TypeScript</v>
      </c>
      <c r="I258" s="9" t="str">
        <f>IFERROR(__xludf.DUMMYFUNCTION("""COMPUTED_VALUE"""),"C++")</f>
        <v>C++</v>
      </c>
      <c r="J258" s="9" t="str">
        <f>IFERROR(__xludf.DUMMYFUNCTION("""COMPUTED_VALUE"""),"JavaScript")</f>
        <v>JavaScript</v>
      </c>
      <c r="K258" s="9" t="str">
        <f>IFERROR(__xludf.DUMMYFUNCTION("""COMPUTED_VALUE"""),"JavaScript")</f>
        <v>JavaScript</v>
      </c>
      <c r="L258" s="9" t="str">
        <f>IFERROR(__xludf.DUMMYFUNCTION("""COMPUTED_VALUE"""),"Java")</f>
        <v>Java</v>
      </c>
      <c r="M258" s="9" t="s">
        <v>30</v>
      </c>
    </row>
    <row r="259" ht="15.75" customHeight="1">
      <c r="A259" s="7"/>
      <c r="B259" s="7" t="str">
        <f>IFERROR(__xludf.DUMMYFUNCTION("""COMPUTED_VALUE"""),"Bash/Shell/PowerShell;HTML/CSS;Java;JavaScript;PHP;SQL")</f>
        <v>Bash/Shell/PowerShell;HTML/CSS;Java;JavaScript;PHP;SQL</v>
      </c>
      <c r="C259" s="9" t="str">
        <f>IFERROR(__xludf.DUMMYFUNCTION("""COMPUTED_VALUE"""),"C")</f>
        <v>C</v>
      </c>
      <c r="D259" s="9" t="str">
        <f>IFERROR(__xludf.DUMMYFUNCTION("""COMPUTED_VALUE"""),"JavaScript")</f>
        <v>JavaScript</v>
      </c>
      <c r="E259" s="9" t="str">
        <f>IFERROR(__xludf.DUMMYFUNCTION("""COMPUTED_VALUE"""),"HTML/CSS")</f>
        <v>HTML/CSS</v>
      </c>
      <c r="F259" s="9" t="str">
        <f>IFERROR(__xludf.DUMMYFUNCTION("""COMPUTED_VALUE"""),"SQL")</f>
        <v>SQL</v>
      </c>
      <c r="G259" s="9" t="str">
        <f>IFERROR(__xludf.DUMMYFUNCTION("""COMPUTED_VALUE"""),"TypeScript")</f>
        <v>TypeScript</v>
      </c>
      <c r="H259" s="9" t="str">
        <f>IFERROR(__xludf.DUMMYFUNCTION("""COMPUTED_VALUE"""),"VBA")</f>
        <v>VBA</v>
      </c>
      <c r="I259" s="9" t="str">
        <f>IFERROR(__xludf.DUMMYFUNCTION("""COMPUTED_VALUE"""),"HTML/CSS")</f>
        <v>HTML/CSS</v>
      </c>
      <c r="J259" s="9" t="str">
        <f>IFERROR(__xludf.DUMMYFUNCTION("""COMPUTED_VALUE"""),"PHP")</f>
        <v>PHP</v>
      </c>
      <c r="K259" s="9" t="str">
        <f>IFERROR(__xludf.DUMMYFUNCTION("""COMPUTED_VALUE"""),"Python")</f>
        <v>Python</v>
      </c>
      <c r="L259" s="9" t="str">
        <f>IFERROR(__xludf.DUMMYFUNCTION("""COMPUTED_VALUE"""),"JavaScript")</f>
        <v>JavaScript</v>
      </c>
      <c r="M259" s="9" t="s">
        <v>25</v>
      </c>
    </row>
    <row r="260" ht="15.75" customHeight="1">
      <c r="A260" s="7"/>
      <c r="B260" s="7" t="str">
        <f>IFERROR(__xludf.DUMMYFUNCTION("""COMPUTED_VALUE"""),"HTML/CSS;JavaScript")</f>
        <v>HTML/CSS;JavaScript</v>
      </c>
      <c r="C260" s="9" t="str">
        <f>IFERROR(__xludf.DUMMYFUNCTION("""COMPUTED_VALUE"""),"C++")</f>
        <v>C++</v>
      </c>
      <c r="D260" s="9" t="str">
        <f>IFERROR(__xludf.DUMMYFUNCTION("""COMPUTED_VALUE"""),"SQL")</f>
        <v>SQL</v>
      </c>
      <c r="E260" s="9" t="str">
        <f>IFERROR(__xludf.DUMMYFUNCTION("""COMPUTED_VALUE"""),"JavaScript")</f>
        <v>JavaScript</v>
      </c>
      <c r="F260" s="9" t="str">
        <f>IFERROR(__xludf.DUMMYFUNCTION("""COMPUTED_VALUE"""),"TypeScript")</f>
        <v>TypeScript</v>
      </c>
      <c r="G260" s="9" t="str">
        <f>IFERROR(__xludf.DUMMYFUNCTION("""COMPUTED_VALUE"""),"C")</f>
        <v>C</v>
      </c>
      <c r="H260" s="9" t="str">
        <f>IFERROR(__xludf.DUMMYFUNCTION("""COMPUTED_VALUE"""),"Bash/Shell/PowerShell")</f>
        <v>Bash/Shell/PowerShell</v>
      </c>
      <c r="I260" s="9" t="str">
        <f>IFERROR(__xludf.DUMMYFUNCTION("""COMPUTED_VALUE"""),"Java")</f>
        <v>Java</v>
      </c>
      <c r="J260" s="9" t="str">
        <f>IFERROR(__xludf.DUMMYFUNCTION("""COMPUTED_VALUE"""),"SQL")</f>
        <v>SQL</v>
      </c>
      <c r="K260" s="9" t="str">
        <f>IFERROR(__xludf.DUMMYFUNCTION("""COMPUTED_VALUE"""),"TypeScript")</f>
        <v>TypeScript</v>
      </c>
      <c r="L260" s="9" t="str">
        <f>IFERROR(__xludf.DUMMYFUNCTION("""COMPUTED_VALUE"""),"PHP")</f>
        <v>PHP</v>
      </c>
      <c r="M260" s="9" t="s">
        <v>23</v>
      </c>
    </row>
    <row r="261" ht="15.75" customHeight="1">
      <c r="A261" s="7"/>
      <c r="B261" s="7" t="str">
        <f>IFERROR(__xludf.DUMMYFUNCTION("""COMPUTED_VALUE"""),"C++;C#;HTML/CSS;Java;JavaScript;PHP;Python;SQL;TypeScript")</f>
        <v>C++;C#;HTML/CSS;Java;JavaScript;PHP;Python;SQL;TypeScript</v>
      </c>
      <c r="C261" s="9" t="str">
        <f>IFERROR(__xludf.DUMMYFUNCTION("""COMPUTED_VALUE"""),"Elixir")</f>
        <v>Elixir</v>
      </c>
      <c r="D261" s="9" t="str">
        <f>IFERROR(__xludf.DUMMYFUNCTION("""COMPUTED_VALUE"""),"C#")</f>
        <v>C#</v>
      </c>
      <c r="E261" s="9" t="str">
        <f>IFERROR(__xludf.DUMMYFUNCTION("""COMPUTED_VALUE"""),"Python")</f>
        <v>Python</v>
      </c>
      <c r="F261" s="9" t="str">
        <f>IFERROR(__xludf.DUMMYFUNCTION("""COMPUTED_VALUE"""),"Bash/Shell/PowerShell")</f>
        <v>Bash/Shell/PowerShell</v>
      </c>
      <c r="G261" s="9" t="str">
        <f>IFERROR(__xludf.DUMMYFUNCTION("""COMPUTED_VALUE"""),"HTML/CSS")</f>
        <v>HTML/CSS</v>
      </c>
      <c r="H261" s="9" t="str">
        <f>IFERROR(__xludf.DUMMYFUNCTION("""COMPUTED_VALUE"""),"C#")</f>
        <v>C#</v>
      </c>
      <c r="I261" s="9" t="str">
        <f>IFERROR(__xludf.DUMMYFUNCTION("""COMPUTED_VALUE"""),"Assembly")</f>
        <v>Assembly</v>
      </c>
      <c r="J261" s="9" t="str">
        <f>IFERROR(__xludf.DUMMYFUNCTION("""COMPUTED_VALUE"""),"Java")</f>
        <v>Java</v>
      </c>
      <c r="K261" s="9" t="str">
        <f>IFERROR(__xludf.DUMMYFUNCTION("""COMPUTED_VALUE"""),"WebAssembly")</f>
        <v>WebAssembly</v>
      </c>
      <c r="L261" s="9" t="str">
        <f>IFERROR(__xludf.DUMMYFUNCTION("""COMPUTED_VALUE"""),"Python")</f>
        <v>Python</v>
      </c>
      <c r="M261" s="9" t="s">
        <v>42</v>
      </c>
    </row>
    <row r="262" ht="15.75" customHeight="1">
      <c r="A262" s="7"/>
      <c r="B262" s="7" t="str">
        <f>IFERROR(__xludf.DUMMYFUNCTION("""COMPUTED_VALUE"""),"HTML/CSS;JavaScript;Kotlin;Python")</f>
        <v>HTML/CSS;JavaScript;Kotlin;Python</v>
      </c>
      <c r="C262" s="9" t="str">
        <f>IFERROR(__xludf.DUMMYFUNCTION("""COMPUTED_VALUE"""),"Erlang")</f>
        <v>Erlang</v>
      </c>
      <c r="D262" s="9" t="str">
        <f>IFERROR(__xludf.DUMMYFUNCTION("""COMPUTED_VALUE"""),"JavaScript")</f>
        <v>JavaScript</v>
      </c>
      <c r="E262" s="9" t="str">
        <f>IFERROR(__xludf.DUMMYFUNCTION("""COMPUTED_VALUE"""),"R")</f>
        <v>R</v>
      </c>
      <c r="F262" s="9" t="str">
        <f>IFERROR(__xludf.DUMMYFUNCTION("""COMPUTED_VALUE"""),"C#")</f>
        <v>C#</v>
      </c>
      <c r="G262" s="9" t="str">
        <f>IFERROR(__xludf.DUMMYFUNCTION("""COMPUTED_VALUE"""),"Java")</f>
        <v>Java</v>
      </c>
      <c r="H262" s="9" t="str">
        <f>IFERROR(__xludf.DUMMYFUNCTION("""COMPUTED_VALUE"""),"Elixir")</f>
        <v>Elixir</v>
      </c>
      <c r="I262" s="9" t="str">
        <f>IFERROR(__xludf.DUMMYFUNCTION("""COMPUTED_VALUE"""),"C")</f>
        <v>C</v>
      </c>
      <c r="J262" s="9" t="str">
        <f>IFERROR(__xludf.DUMMYFUNCTION("""COMPUTED_VALUE"""),"Python")</f>
        <v>Python</v>
      </c>
      <c r="K262" s="9" t="str">
        <f>IFERROR(__xludf.DUMMYFUNCTION("""COMPUTED_VALUE"""),"C")</f>
        <v>C</v>
      </c>
      <c r="L262" s="9" t="str">
        <f>IFERROR(__xludf.DUMMYFUNCTION("""COMPUTED_VALUE"""),"SQL")</f>
        <v>SQL</v>
      </c>
      <c r="M262" s="9" t="s">
        <v>43</v>
      </c>
    </row>
    <row r="263" ht="15.75" customHeight="1">
      <c r="A263" s="7"/>
      <c r="B263" s="7" t="str">
        <f>IFERROR(__xludf.DUMMYFUNCTION("""COMPUTED_VALUE"""),"HTML/CSS;Java;JavaScript;Python;SQL;Other(s):")</f>
        <v>HTML/CSS;Java;JavaScript;Python;SQL;Other(s):</v>
      </c>
      <c r="C263" s="9" t="str">
        <f>IFERROR(__xludf.DUMMYFUNCTION("""COMPUTED_VALUE"""),"Go")</f>
        <v>Go</v>
      </c>
      <c r="D263" s="9" t="str">
        <f>IFERROR(__xludf.DUMMYFUNCTION("""COMPUTED_VALUE"""),"SQL")</f>
        <v>SQL</v>
      </c>
      <c r="E263" s="9" t="str">
        <f>IFERROR(__xludf.DUMMYFUNCTION("""COMPUTED_VALUE"""),"SQL")</f>
        <v>SQL</v>
      </c>
      <c r="F263" s="9" t="str">
        <f>IFERROR(__xludf.DUMMYFUNCTION("""COMPUTED_VALUE"""),"JavaScript")</f>
        <v>JavaScript</v>
      </c>
      <c r="G263" s="9" t="str">
        <f>IFERROR(__xludf.DUMMYFUNCTION("""COMPUTED_VALUE"""),"JavaScript")</f>
        <v>JavaScript</v>
      </c>
      <c r="H263" s="9" t="str">
        <f>IFERROR(__xludf.DUMMYFUNCTION("""COMPUTED_VALUE"""),"Kotlin")</f>
        <v>Kotlin</v>
      </c>
      <c r="I263" s="9" t="str">
        <f>IFERROR(__xludf.DUMMYFUNCTION("""COMPUTED_VALUE"""),"C++")</f>
        <v>C++</v>
      </c>
      <c r="J263" s="9" t="str">
        <f>IFERROR(__xludf.DUMMYFUNCTION("""COMPUTED_VALUE"""),"C#")</f>
        <v>C#</v>
      </c>
      <c r="K263" s="9" t="str">
        <f>IFERROR(__xludf.DUMMYFUNCTION("""COMPUTED_VALUE"""),"C++")</f>
        <v>C++</v>
      </c>
      <c r="L263" s="9" t="str">
        <f>IFERROR(__xludf.DUMMYFUNCTION("""COMPUTED_VALUE"""),"Swift")</f>
        <v>Swift</v>
      </c>
      <c r="M263" s="9" t="s">
        <v>36</v>
      </c>
    </row>
    <row r="264" ht="15.75" customHeight="1">
      <c r="A264" s="7"/>
      <c r="B264" s="7" t="str">
        <f>IFERROR(__xludf.DUMMYFUNCTION("""COMPUTED_VALUE"""),"HTML/CSS;JavaScript")</f>
        <v>HTML/CSS;JavaScript</v>
      </c>
      <c r="C264" s="9" t="str">
        <f>IFERROR(__xludf.DUMMYFUNCTION("""COMPUTED_VALUE"""),"HTML/CSS")</f>
        <v>HTML/CSS</v>
      </c>
      <c r="D264" s="9" t="str">
        <f>IFERROR(__xludf.DUMMYFUNCTION("""COMPUTED_VALUE"""),"TypeScript")</f>
        <v>TypeScript</v>
      </c>
      <c r="E264" s="9" t="str">
        <f>IFERROR(__xludf.DUMMYFUNCTION("""COMPUTED_VALUE"""),"Other(s):")</f>
        <v>Other(s):</v>
      </c>
      <c r="F264" s="9" t="str">
        <f>IFERROR(__xludf.DUMMYFUNCTION("""COMPUTED_VALUE"""),"PHP")</f>
        <v>PHP</v>
      </c>
      <c r="G264" s="9" t="str">
        <f>IFERROR(__xludf.DUMMYFUNCTION("""COMPUTED_VALUE"""),"Python")</f>
        <v>Python</v>
      </c>
      <c r="H264" s="9" t="str">
        <f>IFERROR(__xludf.DUMMYFUNCTION("""COMPUTED_VALUE"""),"Ruby")</f>
        <v>Ruby</v>
      </c>
      <c r="I264" s="9" t="str">
        <f>IFERROR(__xludf.DUMMYFUNCTION("""COMPUTED_VALUE"""),"C#")</f>
        <v>C#</v>
      </c>
      <c r="J264" s="9" t="str">
        <f>IFERROR(__xludf.DUMMYFUNCTION("""COMPUTED_VALUE"""),"HTML/CSS")</f>
        <v>HTML/CSS</v>
      </c>
      <c r="K264" s="9" t="str">
        <f>IFERROR(__xludf.DUMMYFUNCTION("""COMPUTED_VALUE"""),"C#")</f>
        <v>C#</v>
      </c>
      <c r="L264" s="9" t="str">
        <f>IFERROR(__xludf.DUMMYFUNCTION("""COMPUTED_VALUE"""),"TypeScript")</f>
        <v>TypeScript</v>
      </c>
      <c r="M264" s="9" t="s">
        <v>24</v>
      </c>
    </row>
    <row r="265" ht="15.75" customHeight="1">
      <c r="A265" s="7"/>
      <c r="B265" s="7" t="str">
        <f>IFERROR(__xludf.DUMMYFUNCTION("""COMPUTED_VALUE"""),"HTML/CSS;JavaScript;TypeScript;Other(s):")</f>
        <v>HTML/CSS;JavaScript;TypeScript;Other(s):</v>
      </c>
      <c r="C265" s="9" t="str">
        <f>IFERROR(__xludf.DUMMYFUNCTION("""COMPUTED_VALUE"""),"Java")</f>
        <v>Java</v>
      </c>
      <c r="D265" s="9" t="str">
        <f>IFERROR(__xludf.DUMMYFUNCTION("""COMPUTED_VALUE"""),"HTML/CSS")</f>
        <v>HTML/CSS</v>
      </c>
      <c r="E265" s="9" t="str">
        <f>IFERROR(__xludf.DUMMYFUNCTION("""COMPUTED_VALUE"""),"C#")</f>
        <v>C#</v>
      </c>
      <c r="F265" s="9" t="str">
        <f>IFERROR(__xludf.DUMMYFUNCTION("""COMPUTED_VALUE"""),"SQL")</f>
        <v>SQL</v>
      </c>
      <c r="G265" s="9" t="str">
        <f>IFERROR(__xludf.DUMMYFUNCTION("""COMPUTED_VALUE"""),"Swift")</f>
        <v>Swift</v>
      </c>
      <c r="H265" s="9" t="str">
        <f>IFERROR(__xludf.DUMMYFUNCTION("""COMPUTED_VALUE"""),"SQL")</f>
        <v>SQL</v>
      </c>
      <c r="I265" s="9" t="str">
        <f>IFERROR(__xludf.DUMMYFUNCTION("""COMPUTED_VALUE"""),"Java")</f>
        <v>Java</v>
      </c>
      <c r="J265" s="9" t="str">
        <f>IFERROR(__xludf.DUMMYFUNCTION("""COMPUTED_VALUE"""),"Java")</f>
        <v>Java</v>
      </c>
      <c r="K265" s="9" t="str">
        <f>IFERROR(__xludf.DUMMYFUNCTION("""COMPUTED_VALUE"""),"HTML/CSS")</f>
        <v>HTML/CSS</v>
      </c>
      <c r="L265" s="9" t="str">
        <f>IFERROR(__xludf.DUMMYFUNCTION("""COMPUTED_VALUE"""),"Bash/Shell/PowerShell")</f>
        <v>Bash/Shell/PowerShell</v>
      </c>
      <c r="M265" s="9" t="s">
        <v>20</v>
      </c>
    </row>
    <row r="266" ht="15.75" customHeight="1">
      <c r="A266" s="7"/>
      <c r="B266" s="7" t="str">
        <f>IFERROR(__xludf.DUMMYFUNCTION("""COMPUTED_VALUE"""),"HTML/CSS;JavaScript;Python;Ruby")</f>
        <v>HTML/CSS;JavaScript;Python;Ruby</v>
      </c>
      <c r="C266" s="9" t="str">
        <f>IFERROR(__xludf.DUMMYFUNCTION("""COMPUTED_VALUE"""),"JavaScript")</f>
        <v>JavaScript</v>
      </c>
      <c r="D266" s="9" t="str">
        <f>IFERROR(__xludf.DUMMYFUNCTION("""COMPUTED_VALUE"""),"JavaScript")</f>
        <v>JavaScript</v>
      </c>
      <c r="E266" s="9" t="str">
        <f>IFERROR(__xludf.DUMMYFUNCTION("""COMPUTED_VALUE"""),"HTML/CSS")</f>
        <v>HTML/CSS</v>
      </c>
      <c r="F266" s="9" t="str">
        <f>IFERROR(__xludf.DUMMYFUNCTION("""COMPUTED_VALUE"""),"VBA")</f>
        <v>VBA</v>
      </c>
      <c r="G266" s="9" t="str">
        <f>IFERROR(__xludf.DUMMYFUNCTION("""COMPUTED_VALUE"""),"C#")</f>
        <v>C#</v>
      </c>
      <c r="H266" s="9" t="str">
        <f>IFERROR(__xludf.DUMMYFUNCTION("""COMPUTED_VALUE"""),"C++")</f>
        <v>C++</v>
      </c>
      <c r="I266" s="9" t="str">
        <f>IFERROR(__xludf.DUMMYFUNCTION("""COMPUTED_VALUE"""),"Scala")</f>
        <v>Scala</v>
      </c>
      <c r="J266" s="9" t="str">
        <f>IFERROR(__xludf.DUMMYFUNCTION("""COMPUTED_VALUE"""),"JavaScript")</f>
        <v>JavaScript</v>
      </c>
      <c r="K266" s="9" t="str">
        <f>IFERROR(__xludf.DUMMYFUNCTION("""COMPUTED_VALUE"""),"Java")</f>
        <v>Java</v>
      </c>
      <c r="L266" s="9" t="str">
        <f>IFERROR(__xludf.DUMMYFUNCTION("""COMPUTED_VALUE"""),"Java")</f>
        <v>Java</v>
      </c>
      <c r="M266" s="9" t="s">
        <v>21</v>
      </c>
    </row>
    <row r="267" ht="15.75" customHeight="1">
      <c r="A267" s="7"/>
      <c r="B267" s="7" t="str">
        <f>IFERROR(__xludf.DUMMYFUNCTION("""COMPUTED_VALUE"""),"C;Java;PHP;Ruby")</f>
        <v>C;Java;PHP;Ruby</v>
      </c>
      <c r="C267" s="9" t="str">
        <f>IFERROR(__xludf.DUMMYFUNCTION("""COMPUTED_VALUE"""),"Kotlin")</f>
        <v>Kotlin</v>
      </c>
      <c r="D267" s="9" t="str">
        <f>IFERROR(__xludf.DUMMYFUNCTION("""COMPUTED_VALUE"""),"TypeScript")</f>
        <v>TypeScript</v>
      </c>
      <c r="E267" s="9" t="str">
        <f>IFERROR(__xludf.DUMMYFUNCTION("""COMPUTED_VALUE"""),"JavaScript")</f>
        <v>JavaScript</v>
      </c>
      <c r="F267" s="9" t="str">
        <f>IFERROR(__xludf.DUMMYFUNCTION("""COMPUTED_VALUE"""),"C")</f>
        <v>C</v>
      </c>
      <c r="G267" s="9" t="str">
        <f>IFERROR(__xludf.DUMMYFUNCTION("""COMPUTED_VALUE"""),"HTML/CSS")</f>
        <v>HTML/CSS</v>
      </c>
      <c r="H267" s="9" t="str">
        <f>IFERROR(__xludf.DUMMYFUNCTION("""COMPUTED_VALUE"""),"C#")</f>
        <v>C#</v>
      </c>
      <c r="I267" s="9" t="str">
        <f>IFERROR(__xludf.DUMMYFUNCTION("""COMPUTED_VALUE"""),"SQL")</f>
        <v>SQL</v>
      </c>
      <c r="J267" s="9" t="str">
        <f>IFERROR(__xludf.DUMMYFUNCTION("""COMPUTED_VALUE"""),"Kotlin")</f>
        <v>Kotlin</v>
      </c>
      <c r="K267" s="9" t="str">
        <f>IFERROR(__xludf.DUMMYFUNCTION("""COMPUTED_VALUE"""),"JavaScript")</f>
        <v>JavaScript</v>
      </c>
      <c r="L267" s="9" t="str">
        <f>IFERROR(__xludf.DUMMYFUNCTION("""COMPUTED_VALUE"""),"Objective-C")</f>
        <v>Objective-C</v>
      </c>
      <c r="M267" s="9" t="s">
        <v>39</v>
      </c>
    </row>
    <row r="268" ht="15.75" customHeight="1">
      <c r="A268" s="7"/>
      <c r="B268" s="7" t="str">
        <f>IFERROR(__xludf.DUMMYFUNCTION("""COMPUTED_VALUE"""),"C#;HTML/CSS;Java;JavaScript;SQL;Swift")</f>
        <v>C#;HTML/CSS;Java;JavaScript;SQL;Swift</v>
      </c>
      <c r="C268" s="9" t="str">
        <f>IFERROR(__xludf.DUMMYFUNCTION("""COMPUTED_VALUE"""),"Python")</f>
        <v>Python</v>
      </c>
      <c r="D268" s="9" t="str">
        <f>IFERROR(__xludf.DUMMYFUNCTION("""COMPUTED_VALUE"""),"Bash/Shell/PowerShell")</f>
        <v>Bash/Shell/PowerShell</v>
      </c>
      <c r="E268" s="9" t="str">
        <f>IFERROR(__xludf.DUMMYFUNCTION("""COMPUTED_VALUE"""),"Bash/Shell/PowerShell")</f>
        <v>Bash/Shell/PowerShell</v>
      </c>
      <c r="F268" s="9" t="str">
        <f>IFERROR(__xludf.DUMMYFUNCTION("""COMPUTED_VALUE"""),"C++")</f>
        <v>C++</v>
      </c>
      <c r="G268" s="9" t="str">
        <f>IFERROR(__xludf.DUMMYFUNCTION("""COMPUTED_VALUE"""),"JavaScript")</f>
        <v>JavaScript</v>
      </c>
      <c r="H268" s="9" t="str">
        <f>IFERROR(__xludf.DUMMYFUNCTION("""COMPUTED_VALUE"""),"HTML/CSS")</f>
        <v>HTML/CSS</v>
      </c>
      <c r="I268" s="9" t="str">
        <f>IFERROR(__xludf.DUMMYFUNCTION("""COMPUTED_VALUE"""),"Java")</f>
        <v>Java</v>
      </c>
      <c r="J268" s="9" t="str">
        <f>IFERROR(__xludf.DUMMYFUNCTION("""COMPUTED_VALUE"""),"SQL")</f>
        <v>SQL</v>
      </c>
      <c r="K268" s="9" t="str">
        <f>IFERROR(__xludf.DUMMYFUNCTION("""COMPUTED_VALUE"""),"PHP")</f>
        <v>PHP</v>
      </c>
      <c r="L268" s="9" t="str">
        <f>IFERROR(__xludf.DUMMYFUNCTION("""COMPUTED_VALUE"""),"Python")</f>
        <v>Python</v>
      </c>
      <c r="M268" s="9" t="s">
        <v>22</v>
      </c>
    </row>
    <row r="269" ht="15.75" customHeight="1">
      <c r="A269" s="7"/>
      <c r="B269" s="7" t="str">
        <f>IFERROR(__xludf.DUMMYFUNCTION("""COMPUTED_VALUE"""),"C++;HTML/CSS;JavaScript")</f>
        <v>C++;HTML/CSS;JavaScript</v>
      </c>
      <c r="C269" s="9" t="str">
        <f>IFERROR(__xludf.DUMMYFUNCTION("""COMPUTED_VALUE"""),"Ruby")</f>
        <v>Ruby</v>
      </c>
      <c r="D269" s="9" t="str">
        <f>IFERROR(__xludf.DUMMYFUNCTION("""COMPUTED_VALUE"""),"C#")</f>
        <v>C#</v>
      </c>
      <c r="E269" s="9" t="str">
        <f>IFERROR(__xludf.DUMMYFUNCTION("""COMPUTED_VALUE"""),"C")</f>
        <v>C</v>
      </c>
      <c r="F269" s="9" t="str">
        <f>IFERROR(__xludf.DUMMYFUNCTION("""COMPUTED_VALUE"""),"C#")</f>
        <v>C#</v>
      </c>
      <c r="G269" s="9" t="str">
        <f>IFERROR(__xludf.DUMMYFUNCTION("""COMPUTED_VALUE"""),"TypeScript")</f>
        <v>TypeScript</v>
      </c>
      <c r="H269" s="9" t="str">
        <f>IFERROR(__xludf.DUMMYFUNCTION("""COMPUTED_VALUE"""),"Java")</f>
        <v>Java</v>
      </c>
      <c r="I269" s="9" t="str">
        <f>IFERROR(__xludf.DUMMYFUNCTION("""COMPUTED_VALUE"""),"JavaScript")</f>
        <v>JavaScript</v>
      </c>
      <c r="J269" s="9" t="str">
        <f>IFERROR(__xludf.DUMMYFUNCTION("""COMPUTED_VALUE"""),"HTML/CSS")</f>
        <v>HTML/CSS</v>
      </c>
      <c r="K269" s="9" t="str">
        <f>IFERROR(__xludf.DUMMYFUNCTION("""COMPUTED_VALUE"""),"R")</f>
        <v>R</v>
      </c>
      <c r="L269" s="9" t="str">
        <f>IFERROR(__xludf.DUMMYFUNCTION("""COMPUTED_VALUE"""),"C#")</f>
        <v>C#</v>
      </c>
      <c r="M269" s="9" t="s">
        <v>31</v>
      </c>
    </row>
    <row r="270" ht="15.75" customHeight="1">
      <c r="A270" s="7"/>
      <c r="B270" s="7" t="str">
        <f>IFERROR(__xludf.DUMMYFUNCTION("""COMPUTED_VALUE"""),"C#;JavaScript;SQL")</f>
        <v>C#;JavaScript;SQL</v>
      </c>
      <c r="C270" s="9" t="str">
        <f>IFERROR(__xludf.DUMMYFUNCTION("""COMPUTED_VALUE"""),"Rust")</f>
        <v>Rust</v>
      </c>
      <c r="D270" s="9" t="str">
        <f>IFERROR(__xludf.DUMMYFUNCTION("""COMPUTED_VALUE"""),"HTML/CSS")</f>
        <v>HTML/CSS</v>
      </c>
      <c r="E270" s="9" t="str">
        <f>IFERROR(__xludf.DUMMYFUNCTION("""COMPUTED_VALUE"""),"Python")</f>
        <v>Python</v>
      </c>
      <c r="F270" s="9" t="str">
        <f>IFERROR(__xludf.DUMMYFUNCTION("""COMPUTED_VALUE"""),"Java")</f>
        <v>Java</v>
      </c>
      <c r="G270" s="9" t="str">
        <f>IFERROR(__xludf.DUMMYFUNCTION("""COMPUTED_VALUE"""),"C#")</f>
        <v>C#</v>
      </c>
      <c r="H270" s="9" t="str">
        <f>IFERROR(__xludf.DUMMYFUNCTION("""COMPUTED_VALUE"""),"JavaScript")</f>
        <v>JavaScript</v>
      </c>
      <c r="I270" s="9" t="str">
        <f>IFERROR(__xludf.DUMMYFUNCTION("""COMPUTED_VALUE"""),"Kotlin")</f>
        <v>Kotlin</v>
      </c>
      <c r="J270" s="9" t="str">
        <f>IFERROR(__xludf.DUMMYFUNCTION("""COMPUTED_VALUE"""),"Java")</f>
        <v>Java</v>
      </c>
      <c r="K270" s="9" t="str">
        <f>IFERROR(__xludf.DUMMYFUNCTION("""COMPUTED_VALUE"""),"Ruby")</f>
        <v>Ruby</v>
      </c>
      <c r="L270" s="9" t="str">
        <f>IFERROR(__xludf.DUMMYFUNCTION("""COMPUTED_VALUE"""),"HTML/CSS")</f>
        <v>HTML/CSS</v>
      </c>
      <c r="M270" s="9" t="s">
        <v>32</v>
      </c>
    </row>
    <row r="271" ht="15.75" customHeight="1">
      <c r="A271" s="7"/>
      <c r="B271" s="7" t="str">
        <f>IFERROR(__xludf.DUMMYFUNCTION("""COMPUTED_VALUE"""),"HTML/CSS;JavaScript;PHP")</f>
        <v>HTML/CSS;JavaScript;PHP</v>
      </c>
      <c r="C271" s="9" t="str">
        <f>IFERROR(__xludf.DUMMYFUNCTION("""COMPUTED_VALUE"""),"SQL")</f>
        <v>SQL</v>
      </c>
      <c r="D271" s="9" t="str">
        <f>IFERROR(__xludf.DUMMYFUNCTION("""COMPUTED_VALUE"""),"JavaScript")</f>
        <v>JavaScript</v>
      </c>
      <c r="E271" s="9" t="str">
        <f>IFERROR(__xludf.DUMMYFUNCTION("""COMPUTED_VALUE"""),"Bash/Shell/PowerShell")</f>
        <v>Bash/Shell/PowerShell</v>
      </c>
      <c r="F271" s="9" t="str">
        <f>IFERROR(__xludf.DUMMYFUNCTION("""COMPUTED_VALUE"""),"Python")</f>
        <v>Python</v>
      </c>
      <c r="G271" s="9" t="str">
        <f>IFERROR(__xludf.DUMMYFUNCTION("""COMPUTED_VALUE"""),"HTML/CSS")</f>
        <v>HTML/CSS</v>
      </c>
      <c r="H271" s="9" t="str">
        <f>IFERROR(__xludf.DUMMYFUNCTION("""COMPUTED_VALUE"""),"SQL")</f>
        <v>SQL</v>
      </c>
      <c r="I271" s="9" t="str">
        <f>IFERROR(__xludf.DUMMYFUNCTION("""COMPUTED_VALUE"""),"C#")</f>
        <v>C#</v>
      </c>
      <c r="J271" s="9" t="str">
        <f>IFERROR(__xludf.DUMMYFUNCTION("""COMPUTED_VALUE"""),"JavaScript")</f>
        <v>JavaScript</v>
      </c>
      <c r="K271" s="9" t="str">
        <f>IFERROR(__xludf.DUMMYFUNCTION("""COMPUTED_VALUE"""),"SQL")</f>
        <v>SQL</v>
      </c>
      <c r="L271" s="9" t="str">
        <f>IFERROR(__xludf.DUMMYFUNCTION("""COMPUTED_VALUE"""),"JavaScript")</f>
        <v>JavaScript</v>
      </c>
      <c r="M271" s="9" t="s">
        <v>27</v>
      </c>
    </row>
    <row r="272" ht="15.75" customHeight="1">
      <c r="A272" s="7"/>
      <c r="B272" s="7" t="str">
        <f>IFERROR(__xludf.DUMMYFUNCTION("""COMPUTED_VALUE"""),"Bash/Shell/PowerShell;C++;Clojure;Erlang;HTML/CSS;Java;JavaScript;Ruby;Scala")</f>
        <v>Bash/Shell/PowerShell;C++;Clojure;Erlang;HTML/CSS;Java;JavaScript;Ruby;Scala</v>
      </c>
      <c r="C272" s="9" t="str">
        <f>IFERROR(__xludf.DUMMYFUNCTION("""COMPUTED_VALUE"""),"TypeScript")</f>
        <v>TypeScript</v>
      </c>
      <c r="D272" s="9" t="str">
        <f>IFERROR(__xludf.DUMMYFUNCTION("""COMPUTED_VALUE"""),"PHP")</f>
        <v>PHP</v>
      </c>
      <c r="E272" s="9" t="str">
        <f>IFERROR(__xludf.DUMMYFUNCTION("""COMPUTED_VALUE"""),"HTML/CSS")</f>
        <v>HTML/CSS</v>
      </c>
      <c r="F272" s="9" t="str">
        <f>IFERROR(__xludf.DUMMYFUNCTION("""COMPUTED_VALUE"""),"R")</f>
        <v>R</v>
      </c>
      <c r="G272" s="9" t="str">
        <f>IFERROR(__xludf.DUMMYFUNCTION("""COMPUTED_VALUE"""),"JavaScript")</f>
        <v>JavaScript</v>
      </c>
      <c r="H272" s="9" t="str">
        <f>IFERROR(__xludf.DUMMYFUNCTION("""COMPUTED_VALUE"""),"Scala")</f>
        <v>Scala</v>
      </c>
      <c r="I272" s="9" t="str">
        <f>IFERROR(__xludf.DUMMYFUNCTION("""COMPUTED_VALUE"""),"HTML/CSS")</f>
        <v>HTML/CSS</v>
      </c>
      <c r="J272" s="9" t="str">
        <f>IFERROR(__xludf.DUMMYFUNCTION("""COMPUTED_VALUE"""),"SQL")</f>
        <v>SQL</v>
      </c>
      <c r="K272" s="9" t="str">
        <f>IFERROR(__xludf.DUMMYFUNCTION("""COMPUTED_VALUE"""),"TypeScript")</f>
        <v>TypeScript</v>
      </c>
      <c r="L272" s="9" t="str">
        <f>IFERROR(__xludf.DUMMYFUNCTION("""COMPUTED_VALUE"""),"Python")</f>
        <v>Python</v>
      </c>
      <c r="M272" s="9" t="s">
        <v>33</v>
      </c>
    </row>
    <row r="273" ht="15.75" customHeight="1">
      <c r="A273" s="7"/>
      <c r="B273" s="7" t="str">
        <f>IFERROR(__xludf.DUMMYFUNCTION("""COMPUTED_VALUE"""),"Java;JavaScript")</f>
        <v>Java;JavaScript</v>
      </c>
      <c r="C273" s="9" t="str">
        <f>IFERROR(__xludf.DUMMYFUNCTION("""COMPUTED_VALUE"""),"Bash/Shell/PowerShell")</f>
        <v>Bash/Shell/PowerShell</v>
      </c>
      <c r="D273" s="9" t="str">
        <f>IFERROR(__xludf.DUMMYFUNCTION("""COMPUTED_VALUE"""),"SQL")</f>
        <v>SQL</v>
      </c>
      <c r="E273" s="9" t="str">
        <f>IFERROR(__xludf.DUMMYFUNCTION("""COMPUTED_VALUE"""),"Python")</f>
        <v>Python</v>
      </c>
      <c r="F273" s="9" t="str">
        <f>IFERROR(__xludf.DUMMYFUNCTION("""COMPUTED_VALUE"""),"Clojure")</f>
        <v>Clojure</v>
      </c>
      <c r="G273" s="9" t="str">
        <f>IFERROR(__xludf.DUMMYFUNCTION("""COMPUTED_VALUE"""),"Python")</f>
        <v>Python</v>
      </c>
      <c r="H273" s="9" t="str">
        <f>IFERROR(__xludf.DUMMYFUNCTION("""COMPUTED_VALUE"""),"Other(s):")</f>
        <v>Other(s):</v>
      </c>
      <c r="I273" s="9" t="str">
        <f>IFERROR(__xludf.DUMMYFUNCTION("""COMPUTED_VALUE"""),"JavaScript")</f>
        <v>JavaScript</v>
      </c>
      <c r="J273" s="9" t="str">
        <f>IFERROR(__xludf.DUMMYFUNCTION("""COMPUTED_VALUE"""),"Bash/Shell/PowerShell")</f>
        <v>Bash/Shell/PowerShell</v>
      </c>
      <c r="K273" s="9" t="str">
        <f>IFERROR(__xludf.DUMMYFUNCTION("""COMPUTED_VALUE"""),"Bash/Shell/PowerShell")</f>
        <v>Bash/Shell/PowerShell</v>
      </c>
      <c r="L273" s="9" t="str">
        <f>IFERROR(__xludf.DUMMYFUNCTION("""COMPUTED_VALUE"""),"SQL")</f>
        <v>SQL</v>
      </c>
      <c r="M273" s="9" t="s">
        <v>30</v>
      </c>
    </row>
    <row r="274" ht="15.75" customHeight="1">
      <c r="A274" s="7"/>
      <c r="B274" s="7" t="str">
        <f>IFERROR(__xludf.DUMMYFUNCTION("""COMPUTED_VALUE"""),"C#;HTML/CSS;Java;JavaScript;Objective-C;Python;Ruby;Rust;SQL;TypeScript")</f>
        <v>C#;HTML/CSS;Java;JavaScript;Objective-C;Python;Ruby;Rust;SQL;TypeScript</v>
      </c>
      <c r="C274" s="9" t="str">
        <f>IFERROR(__xludf.DUMMYFUNCTION("""COMPUTED_VALUE"""),"HTML/CSS")</f>
        <v>HTML/CSS</v>
      </c>
      <c r="D274" s="9" t="str">
        <f>IFERROR(__xludf.DUMMYFUNCTION("""COMPUTED_VALUE"""),"C#")</f>
        <v>C#</v>
      </c>
      <c r="E274" s="9" t="str">
        <f>IFERROR(__xludf.DUMMYFUNCTION("""COMPUTED_VALUE"""),"SQL")</f>
        <v>SQL</v>
      </c>
      <c r="F274" s="9" t="str">
        <f>IFERROR(__xludf.DUMMYFUNCTION("""COMPUTED_VALUE"""),"Erlang")</f>
        <v>Erlang</v>
      </c>
      <c r="G274" s="9" t="str">
        <f>IFERROR(__xludf.DUMMYFUNCTION("""COMPUTED_VALUE"""),"SQL")</f>
        <v>SQL</v>
      </c>
      <c r="H274" s="9" t="str">
        <f>IFERROR(__xludf.DUMMYFUNCTION("""COMPUTED_VALUE"""),"Java")</f>
        <v>Java</v>
      </c>
      <c r="I274" s="9" t="str">
        <f>IFERROR(__xludf.DUMMYFUNCTION("""COMPUTED_VALUE"""),"Bash/Shell/PowerShell")</f>
        <v>Bash/Shell/PowerShell</v>
      </c>
      <c r="J274" s="9" t="str">
        <f>IFERROR(__xludf.DUMMYFUNCTION("""COMPUTED_VALUE"""),"C#")</f>
        <v>C#</v>
      </c>
      <c r="K274" s="9" t="str">
        <f>IFERROR(__xludf.DUMMYFUNCTION("""COMPUTED_VALUE"""),"C")</f>
        <v>C</v>
      </c>
      <c r="L274" s="9" t="str">
        <f>IFERROR(__xludf.DUMMYFUNCTION("""COMPUTED_VALUE"""),"Go")</f>
        <v>Go</v>
      </c>
      <c r="M274" s="9" t="s">
        <v>24</v>
      </c>
    </row>
    <row r="275" ht="15.75" customHeight="1">
      <c r="A275" s="7"/>
      <c r="B275" s="7" t="str">
        <f>IFERROR(__xludf.DUMMYFUNCTION("""COMPUTED_VALUE"""),"HTML/CSS;Java;JavaScript;Scala;SQL")</f>
        <v>HTML/CSS;Java;JavaScript;Scala;SQL</v>
      </c>
      <c r="C275" s="9" t="str">
        <f>IFERROR(__xludf.DUMMYFUNCTION("""COMPUTED_VALUE"""),"Java")</f>
        <v>Java</v>
      </c>
      <c r="D275" s="9" t="str">
        <f>IFERROR(__xludf.DUMMYFUNCTION("""COMPUTED_VALUE"""),"HTML/CSS")</f>
        <v>HTML/CSS</v>
      </c>
      <c r="E275" s="9" t="str">
        <f>IFERROR(__xludf.DUMMYFUNCTION("""COMPUTED_VALUE"""),"Bash/Shell/PowerShell")</f>
        <v>Bash/Shell/PowerShell</v>
      </c>
      <c r="F275" s="9" t="str">
        <f>IFERROR(__xludf.DUMMYFUNCTION("""COMPUTED_VALUE"""),"Python")</f>
        <v>Python</v>
      </c>
      <c r="G275" s="9" t="str">
        <f>IFERROR(__xludf.DUMMYFUNCTION("""COMPUTED_VALUE"""),"VBA")</f>
        <v>VBA</v>
      </c>
      <c r="H275" s="9" t="str">
        <f>IFERROR(__xludf.DUMMYFUNCTION("""COMPUTED_VALUE"""),"JavaScript")</f>
        <v>JavaScript</v>
      </c>
      <c r="I275" s="9" t="str">
        <f>IFERROR(__xludf.DUMMYFUNCTION("""COMPUTED_VALUE"""),"C++")</f>
        <v>C++</v>
      </c>
      <c r="J275" s="9" t="str">
        <f>IFERROR(__xludf.DUMMYFUNCTION("""COMPUTED_VALUE"""),"HTML/CSS")</f>
        <v>HTML/CSS</v>
      </c>
      <c r="K275" s="9" t="str">
        <f>IFERROR(__xludf.DUMMYFUNCTION("""COMPUTED_VALUE"""),"C++")</f>
        <v>C++</v>
      </c>
      <c r="L275" s="9" t="str">
        <f>IFERROR(__xludf.DUMMYFUNCTION("""COMPUTED_VALUE"""),"Python")</f>
        <v>Python</v>
      </c>
      <c r="M275" s="9" t="s">
        <v>20</v>
      </c>
    </row>
    <row r="276" ht="15.75" customHeight="1">
      <c r="A276" s="7"/>
      <c r="B276" s="7" t="str">
        <f>IFERROR(__xludf.DUMMYFUNCTION("""COMPUTED_VALUE"""),"Bash/Shell/PowerShell;C;C++;Python")</f>
        <v>Bash/Shell/PowerShell;C;C++;Python</v>
      </c>
      <c r="C276" s="9" t="str">
        <f>IFERROR(__xludf.DUMMYFUNCTION("""COMPUTED_VALUE"""),"JavaScript")</f>
        <v>JavaScript</v>
      </c>
      <c r="D276" s="9" t="str">
        <f>IFERROR(__xludf.DUMMYFUNCTION("""COMPUTED_VALUE"""),"Java")</f>
        <v>Java</v>
      </c>
      <c r="E276" s="9" t="str">
        <f>IFERROR(__xludf.DUMMYFUNCTION("""COMPUTED_VALUE"""),"C++")</f>
        <v>C++</v>
      </c>
      <c r="F276" s="9" t="str">
        <f>IFERROR(__xludf.DUMMYFUNCTION("""COMPUTED_VALUE"""),"Other(s):")</f>
        <v>Other(s):</v>
      </c>
      <c r="G276" s="9" t="str">
        <f>IFERROR(__xludf.DUMMYFUNCTION("""COMPUTED_VALUE"""),"Bash/Shell/PowerShell")</f>
        <v>Bash/Shell/PowerShell</v>
      </c>
      <c r="H276" s="9" t="str">
        <f>IFERROR(__xludf.DUMMYFUNCTION("""COMPUTED_VALUE"""),"SQL")</f>
        <v>SQL</v>
      </c>
      <c r="I276" s="9" t="str">
        <f>IFERROR(__xludf.DUMMYFUNCTION("""COMPUTED_VALUE"""),"C#")</f>
        <v>C#</v>
      </c>
      <c r="J276" s="9" t="str">
        <f>IFERROR(__xludf.DUMMYFUNCTION("""COMPUTED_VALUE"""),"JavaScript")</f>
        <v>JavaScript</v>
      </c>
      <c r="K276" s="9" t="str">
        <f>IFERROR(__xludf.DUMMYFUNCTION("""COMPUTED_VALUE"""),"C#")</f>
        <v>C#</v>
      </c>
      <c r="L276" s="9" t="str">
        <f>IFERROR(__xludf.DUMMYFUNCTION("""COMPUTED_VALUE"""),"Rust")</f>
        <v>Rust</v>
      </c>
      <c r="M276" s="9" t="s">
        <v>21</v>
      </c>
    </row>
    <row r="277" ht="15.75" customHeight="1">
      <c r="A277" s="7"/>
      <c r="B277" s="7" t="str">
        <f>IFERROR(__xludf.DUMMYFUNCTION("""COMPUTED_VALUE"""),"Bash/Shell/PowerShell;C#;HTML/CSS;JavaScript;PHP;Python;SQL")</f>
        <v>Bash/Shell/PowerShell;C#;HTML/CSS;JavaScript;PHP;Python;SQL</v>
      </c>
      <c r="C277" s="9" t="str">
        <f>IFERROR(__xludf.DUMMYFUNCTION("""COMPUTED_VALUE"""),"PHP")</f>
        <v>PHP</v>
      </c>
      <c r="D277" s="9" t="str">
        <f>IFERROR(__xludf.DUMMYFUNCTION("""COMPUTED_VALUE"""),"JavaScript")</f>
        <v>JavaScript</v>
      </c>
      <c r="E277" s="9" t="str">
        <f>IFERROR(__xludf.DUMMYFUNCTION("""COMPUTED_VALUE"""),"JavaScript")</f>
        <v>JavaScript</v>
      </c>
      <c r="F277" s="9" t="str">
        <f>IFERROR(__xludf.DUMMYFUNCTION("""COMPUTED_VALUE"""),"Java")</f>
        <v>Java</v>
      </c>
      <c r="G277" s="9" t="str">
        <f>IFERROR(__xludf.DUMMYFUNCTION("""COMPUTED_VALUE"""),"C#")</f>
        <v>C#</v>
      </c>
      <c r="H277" s="9" t="str">
        <f>IFERROR(__xludf.DUMMYFUNCTION("""COMPUTED_VALUE"""),"C#")</f>
        <v>C#</v>
      </c>
      <c r="I277" s="9" t="str">
        <f>IFERROR(__xludf.DUMMYFUNCTION("""COMPUTED_VALUE"""),"HTML/CSS")</f>
        <v>HTML/CSS</v>
      </c>
      <c r="J277" s="9" t="str">
        <f>IFERROR(__xludf.DUMMYFUNCTION("""COMPUTED_VALUE"""),"TypeScript")</f>
        <v>TypeScript</v>
      </c>
      <c r="K277" s="9" t="str">
        <f>IFERROR(__xludf.DUMMYFUNCTION("""COMPUTED_VALUE"""),"HTML/CSS")</f>
        <v>HTML/CSS</v>
      </c>
      <c r="L277" s="9" t="str">
        <f>IFERROR(__xludf.DUMMYFUNCTION("""COMPUTED_VALUE"""),"Java")</f>
        <v>Java</v>
      </c>
      <c r="M277" s="9" t="s">
        <v>37</v>
      </c>
    </row>
    <row r="278" ht="15.75" customHeight="1">
      <c r="A278" s="7"/>
      <c r="B278" s="7" t="str">
        <f>IFERROR(__xludf.DUMMYFUNCTION("""COMPUTED_VALUE"""),"HTML/CSS;Java;JavaScript;PHP;Python;SQL")</f>
        <v>HTML/CSS;Java;JavaScript;PHP;Python;SQL</v>
      </c>
      <c r="C278" s="9" t="str">
        <f>IFERROR(__xludf.DUMMYFUNCTION("""COMPUTED_VALUE"""),"SQL")</f>
        <v>SQL</v>
      </c>
      <c r="D278" s="9" t="str">
        <f>IFERROR(__xludf.DUMMYFUNCTION("""COMPUTED_VALUE"""),"TypeScript")</f>
        <v>TypeScript</v>
      </c>
      <c r="E278" s="9" t="str">
        <f>IFERROR(__xludf.DUMMYFUNCTION("""COMPUTED_VALUE"""),"Python")</f>
        <v>Python</v>
      </c>
      <c r="F278" s="9" t="str">
        <f>IFERROR(__xludf.DUMMYFUNCTION("""COMPUTED_VALUE"""),"Python")</f>
        <v>Python</v>
      </c>
      <c r="G278" s="9" t="str">
        <f>IFERROR(__xludf.DUMMYFUNCTION("""COMPUTED_VALUE"""),"Java")</f>
        <v>Java</v>
      </c>
      <c r="H278" s="9" t="str">
        <f>IFERROR(__xludf.DUMMYFUNCTION("""COMPUTED_VALUE"""),"HTML/CSS")</f>
        <v>HTML/CSS</v>
      </c>
      <c r="I278" s="9" t="str">
        <f>IFERROR(__xludf.DUMMYFUNCTION("""COMPUTED_VALUE"""),"Java")</f>
        <v>Java</v>
      </c>
      <c r="J278" s="9" t="str">
        <f>IFERROR(__xludf.DUMMYFUNCTION("""COMPUTED_VALUE"""),"Bash/Shell/PowerShell")</f>
        <v>Bash/Shell/PowerShell</v>
      </c>
      <c r="K278" s="9" t="str">
        <f>IFERROR(__xludf.DUMMYFUNCTION("""COMPUTED_VALUE"""),"Java")</f>
        <v>Java</v>
      </c>
      <c r="L278" s="9" t="str">
        <f>IFERROR(__xludf.DUMMYFUNCTION("""COMPUTED_VALUE"""),"Kotlin")</f>
        <v>Kotlin</v>
      </c>
      <c r="M278" s="9" t="s">
        <v>27</v>
      </c>
    </row>
    <row r="279" ht="15.75" customHeight="1">
      <c r="A279" s="7"/>
      <c r="B279" s="7" t="str">
        <f>IFERROR(__xludf.DUMMYFUNCTION("""COMPUTED_VALUE"""),"C#;HTML/CSS;JavaScript;SQL;TypeScript")</f>
        <v>C#;HTML/CSS;JavaScript;SQL;TypeScript</v>
      </c>
      <c r="C279" s="9" t="str">
        <f>IFERROR(__xludf.DUMMYFUNCTION("""COMPUTED_VALUE"""),"TypeScript")</f>
        <v>TypeScript</v>
      </c>
      <c r="D279" s="9" t="str">
        <f>IFERROR(__xludf.DUMMYFUNCTION("""COMPUTED_VALUE"""),"C#")</f>
        <v>C#</v>
      </c>
      <c r="E279" s="9" t="str">
        <f>IFERROR(__xludf.DUMMYFUNCTION("""COMPUTED_VALUE"""),"Bash/Shell/PowerShell")</f>
        <v>Bash/Shell/PowerShell</v>
      </c>
      <c r="F279" s="9" t="str">
        <f>IFERROR(__xludf.DUMMYFUNCTION("""COMPUTED_VALUE"""),"SQL")</f>
        <v>SQL</v>
      </c>
      <c r="G279" s="9" t="str">
        <f>IFERROR(__xludf.DUMMYFUNCTION("""COMPUTED_VALUE"""),"JavaScript")</f>
        <v>JavaScript</v>
      </c>
      <c r="H279" s="9" t="str">
        <f>IFERROR(__xludf.DUMMYFUNCTION("""COMPUTED_VALUE"""),"JavaScript")</f>
        <v>JavaScript</v>
      </c>
      <c r="I279" s="9" t="str">
        <f>IFERROR(__xludf.DUMMYFUNCTION("""COMPUTED_VALUE"""),"JavaScript")</f>
        <v>JavaScript</v>
      </c>
      <c r="J279" s="9" t="str">
        <f>IFERROR(__xludf.DUMMYFUNCTION("""COMPUTED_VALUE"""),"Go")</f>
        <v>Go</v>
      </c>
      <c r="K279" s="9" t="str">
        <f>IFERROR(__xludf.DUMMYFUNCTION("""COMPUTED_VALUE"""),"JavaScript")</f>
        <v>JavaScript</v>
      </c>
      <c r="L279" s="9" t="str">
        <f>IFERROR(__xludf.DUMMYFUNCTION("""COMPUTED_VALUE"""),"JavaScript")</f>
        <v>JavaScript</v>
      </c>
      <c r="M279" s="9" t="s">
        <v>33</v>
      </c>
    </row>
    <row r="280" ht="15.75" customHeight="1">
      <c r="A280" s="7"/>
      <c r="B280" s="7" t="str">
        <f>IFERROR(__xludf.DUMMYFUNCTION("""COMPUTED_VALUE"""),"C#;HTML/CSS;Java;JavaScript;TypeScript")</f>
        <v>C#;HTML/CSS;Java;JavaScript;TypeScript</v>
      </c>
      <c r="C280" s="9" t="str">
        <f>IFERROR(__xludf.DUMMYFUNCTION("""COMPUTED_VALUE"""),"Bash/Shell/PowerShell")</f>
        <v>Bash/Shell/PowerShell</v>
      </c>
      <c r="D280" s="9" t="str">
        <f>IFERROR(__xludf.DUMMYFUNCTION("""COMPUTED_VALUE"""),"HTML/CSS")</f>
        <v>HTML/CSS</v>
      </c>
      <c r="E280" s="9" t="str">
        <f>IFERROR(__xludf.DUMMYFUNCTION("""COMPUTED_VALUE"""),"C#")</f>
        <v>C#</v>
      </c>
      <c r="F280" s="9" t="str">
        <f>IFERROR(__xludf.DUMMYFUNCTION("""COMPUTED_VALUE"""),"Assembly")</f>
        <v>Assembly</v>
      </c>
      <c r="G280" s="9" t="str">
        <f>IFERROR(__xludf.DUMMYFUNCTION("""COMPUTED_VALUE"""),"SQL")</f>
        <v>SQL</v>
      </c>
      <c r="H280" s="9" t="str">
        <f>IFERROR(__xludf.DUMMYFUNCTION("""COMPUTED_VALUE"""),"Bash/Shell/PowerShell")</f>
        <v>Bash/Shell/PowerShell</v>
      </c>
      <c r="I280" s="9" t="str">
        <f>IFERROR(__xludf.DUMMYFUNCTION("""COMPUTED_VALUE"""),"Python")</f>
        <v>Python</v>
      </c>
      <c r="J280" s="9" t="str">
        <f>IFERROR(__xludf.DUMMYFUNCTION("""COMPUTED_VALUE"""),"HTML/CSS")</f>
        <v>HTML/CSS</v>
      </c>
      <c r="K280" s="9" t="str">
        <f>IFERROR(__xludf.DUMMYFUNCTION("""COMPUTED_VALUE"""),"Objective-C")</f>
        <v>Objective-C</v>
      </c>
      <c r="L280" s="9" t="str">
        <f>IFERROR(__xludf.DUMMYFUNCTION("""COMPUTED_VALUE"""),"PHP")</f>
        <v>PHP</v>
      </c>
      <c r="M280" s="9" t="s">
        <v>30</v>
      </c>
    </row>
    <row r="281" ht="15.75" customHeight="1">
      <c r="A281" s="7"/>
      <c r="B281" s="7" t="str">
        <f>IFERROR(__xludf.DUMMYFUNCTION("""COMPUTED_VALUE"""),"Python;SQL;Swift")</f>
        <v>Python;SQL;Swift</v>
      </c>
      <c r="C281" s="9" t="str">
        <f>IFERROR(__xludf.DUMMYFUNCTION("""COMPUTED_VALUE"""),"HTML/CSS")</f>
        <v>HTML/CSS</v>
      </c>
      <c r="D281" s="9" t="str">
        <f>IFERROR(__xludf.DUMMYFUNCTION("""COMPUTED_VALUE"""),"JavaScript")</f>
        <v>JavaScript</v>
      </c>
      <c r="E281" s="9" t="str">
        <f>IFERROR(__xludf.DUMMYFUNCTION("""COMPUTED_VALUE"""),"HTML/CSS")</f>
        <v>HTML/CSS</v>
      </c>
      <c r="F281" s="9" t="str">
        <f>IFERROR(__xludf.DUMMYFUNCTION("""COMPUTED_VALUE"""),"C")</f>
        <v>C</v>
      </c>
      <c r="G281" s="9" t="str">
        <f>IFERROR(__xludf.DUMMYFUNCTION("""COMPUTED_VALUE"""),"TypeScript")</f>
        <v>TypeScript</v>
      </c>
      <c r="H281" s="9" t="str">
        <f>IFERROR(__xludf.DUMMYFUNCTION("""COMPUTED_VALUE"""),"Clojure")</f>
        <v>Clojure</v>
      </c>
      <c r="I281" s="9" t="str">
        <f>IFERROR(__xludf.DUMMYFUNCTION("""COMPUTED_VALUE"""),"SQL")</f>
        <v>SQL</v>
      </c>
      <c r="J281" s="9" t="str">
        <f>IFERROR(__xludf.DUMMYFUNCTION("""COMPUTED_VALUE"""),"JavaScript")</f>
        <v>JavaScript</v>
      </c>
      <c r="K281" s="9" t="str">
        <f>IFERROR(__xludf.DUMMYFUNCTION("""COMPUTED_VALUE"""),"Python")</f>
        <v>Python</v>
      </c>
      <c r="L281" s="9" t="str">
        <f>IFERROR(__xludf.DUMMYFUNCTION("""COMPUTED_VALUE"""),"Python")</f>
        <v>Python</v>
      </c>
      <c r="M281" s="9" t="s">
        <v>24</v>
      </c>
    </row>
    <row r="282" ht="15.75" customHeight="1">
      <c r="A282" s="7"/>
      <c r="B282" s="7" t="str">
        <f>IFERROR(__xludf.DUMMYFUNCTION("""COMPUTED_VALUE"""),"HTML/CSS;JavaScript;TypeScript")</f>
        <v>HTML/CSS;JavaScript;TypeScript</v>
      </c>
      <c r="C282" s="9" t="str">
        <f>IFERROR(__xludf.DUMMYFUNCTION("""COMPUTED_VALUE"""),"JavaScript")</f>
        <v>JavaScript</v>
      </c>
      <c r="D282" s="9" t="str">
        <f>IFERROR(__xludf.DUMMYFUNCTION("""COMPUTED_VALUE"""),"SQL")</f>
        <v>SQL</v>
      </c>
      <c r="E282" s="9" t="str">
        <f>IFERROR(__xludf.DUMMYFUNCTION("""COMPUTED_VALUE"""),"JavaScript")</f>
        <v>JavaScript</v>
      </c>
      <c r="F282" s="9" t="str">
        <f>IFERROR(__xludf.DUMMYFUNCTION("""COMPUTED_VALUE"""),"C#")</f>
        <v>C#</v>
      </c>
      <c r="G282" s="9" t="str">
        <f>IFERROR(__xludf.DUMMYFUNCTION("""COMPUTED_VALUE"""),"Other(s):")</f>
        <v>Other(s):</v>
      </c>
      <c r="H282" s="9" t="str">
        <f>IFERROR(__xludf.DUMMYFUNCTION("""COMPUTED_VALUE"""),"HTML/CSS")</f>
        <v>HTML/CSS</v>
      </c>
      <c r="I282" s="9" t="str">
        <f>IFERROR(__xludf.DUMMYFUNCTION("""COMPUTED_VALUE"""),"Assembly")</f>
        <v>Assembly</v>
      </c>
      <c r="J282" s="9" t="str">
        <f>IFERROR(__xludf.DUMMYFUNCTION("""COMPUTED_VALUE"""),"Ruby")</f>
        <v>Ruby</v>
      </c>
      <c r="K282" s="9" t="str">
        <f>IFERROR(__xludf.DUMMYFUNCTION("""COMPUTED_VALUE"""),"Swift")</f>
        <v>Swift</v>
      </c>
      <c r="L282" s="9" t="str">
        <f>IFERROR(__xludf.DUMMYFUNCTION("""COMPUTED_VALUE"""),"SQL")</f>
        <v>SQL</v>
      </c>
      <c r="M282" s="9" t="s">
        <v>21</v>
      </c>
    </row>
    <row r="283" ht="15.75" customHeight="1">
      <c r="A283" s="7"/>
      <c r="B283" s="7" t="str">
        <f>IFERROR(__xludf.DUMMYFUNCTION("""COMPUTED_VALUE"""),"Assembly;Bash/Shell/PowerShell;C;C++;C#;Java")</f>
        <v>Assembly;Bash/Shell/PowerShell;C;C++;C#;Java</v>
      </c>
      <c r="C283" s="9" t="str">
        <f>IFERROR(__xludf.DUMMYFUNCTION("""COMPUTED_VALUE"""),"Python")</f>
        <v>Python</v>
      </c>
      <c r="D283" s="9" t="str">
        <f>IFERROR(__xludf.DUMMYFUNCTION("""COMPUTED_VALUE"""),"Other(s):")</f>
        <v>Other(s):</v>
      </c>
      <c r="E283" s="9" t="str">
        <f>IFERROR(__xludf.DUMMYFUNCTION("""COMPUTED_VALUE"""),"SQL")</f>
        <v>SQL</v>
      </c>
      <c r="F283" s="9" t="str">
        <f>IFERROR(__xludf.DUMMYFUNCTION("""COMPUTED_VALUE"""),"HTML/CSS")</f>
        <v>HTML/CSS</v>
      </c>
      <c r="G283" s="9" t="str">
        <f>IFERROR(__xludf.DUMMYFUNCTION("""COMPUTED_VALUE"""),"HTML/CSS")</f>
        <v>HTML/CSS</v>
      </c>
      <c r="H283" s="9" t="str">
        <f>IFERROR(__xludf.DUMMYFUNCTION("""COMPUTED_VALUE"""),"JavaScript")</f>
        <v>JavaScript</v>
      </c>
      <c r="I283" s="9" t="str">
        <f>IFERROR(__xludf.DUMMYFUNCTION("""COMPUTED_VALUE"""),"Bash/Shell/PowerShell")</f>
        <v>Bash/Shell/PowerShell</v>
      </c>
      <c r="J283" s="9" t="str">
        <f>IFERROR(__xludf.DUMMYFUNCTION("""COMPUTED_VALUE"""),"C#")</f>
        <v>C#</v>
      </c>
      <c r="K283" s="9" t="str">
        <f>IFERROR(__xludf.DUMMYFUNCTION("""COMPUTED_VALUE"""),"TypeScript")</f>
        <v>TypeScript</v>
      </c>
      <c r="L283" s="9" t="str">
        <f>IFERROR(__xludf.DUMMYFUNCTION("""COMPUTED_VALUE"""),"Bash/Shell/PowerShell")</f>
        <v>Bash/Shell/PowerShell</v>
      </c>
      <c r="M283" s="9" t="s">
        <v>22</v>
      </c>
    </row>
    <row r="284" ht="15.75" customHeight="1">
      <c r="A284" s="7"/>
      <c r="B284" s="7" t="str">
        <f>IFERROR(__xludf.DUMMYFUNCTION("""COMPUTED_VALUE"""),"C#;HTML/CSS;JavaScript;PHP;SQL")</f>
        <v>C#;HTML/CSS;JavaScript;PHP;SQL</v>
      </c>
      <c r="C284" s="9" t="str">
        <f>IFERROR(__xludf.DUMMYFUNCTION("""COMPUTED_VALUE"""),"Java")</f>
        <v>Java</v>
      </c>
      <c r="D284" s="9" t="str">
        <f>IFERROR(__xludf.DUMMYFUNCTION("""COMPUTED_VALUE"""),"HTML/CSS")</f>
        <v>HTML/CSS</v>
      </c>
      <c r="E284" s="9" t="str">
        <f>IFERROR(__xludf.DUMMYFUNCTION("""COMPUTED_VALUE"""),"TypeScript")</f>
        <v>TypeScript</v>
      </c>
      <c r="F284" s="9" t="str">
        <f>IFERROR(__xludf.DUMMYFUNCTION("""COMPUTED_VALUE"""),"JavaScript")</f>
        <v>JavaScript</v>
      </c>
      <c r="G284" s="9" t="str">
        <f>IFERROR(__xludf.DUMMYFUNCTION("""COMPUTED_VALUE"""),"JavaScript")</f>
        <v>JavaScript</v>
      </c>
      <c r="H284" s="9" t="str">
        <f>IFERROR(__xludf.DUMMYFUNCTION("""COMPUTED_VALUE"""),"Python")</f>
        <v>Python</v>
      </c>
      <c r="I284" s="9" t="str">
        <f>IFERROR(__xludf.DUMMYFUNCTION("""COMPUTED_VALUE"""),"C")</f>
        <v>C</v>
      </c>
      <c r="J284" s="9" t="str">
        <f>IFERROR(__xludf.DUMMYFUNCTION("""COMPUTED_VALUE"""),"Java")</f>
        <v>Java</v>
      </c>
      <c r="K284" s="9" t="str">
        <f>IFERROR(__xludf.DUMMYFUNCTION("""COMPUTED_VALUE"""),"Bash/Shell/PowerShell")</f>
        <v>Bash/Shell/PowerShell</v>
      </c>
      <c r="L284" s="9" t="str">
        <f>IFERROR(__xludf.DUMMYFUNCTION("""COMPUTED_VALUE"""),"C#")</f>
        <v>C#</v>
      </c>
      <c r="M284" s="9" t="s">
        <v>20</v>
      </c>
    </row>
    <row r="285" ht="15.75" customHeight="1">
      <c r="A285" s="7"/>
      <c r="B285" s="7" t="str">
        <f>IFERROR(__xludf.DUMMYFUNCTION("""COMPUTED_VALUE"""),"Dart;HTML/CSS;JavaScript;Python;TypeScript;Other(s):")</f>
        <v>Dart;HTML/CSS;JavaScript;Python;TypeScript;Other(s):</v>
      </c>
      <c r="C285" s="9" t="str">
        <f>IFERROR(__xludf.DUMMYFUNCTION("""COMPUTED_VALUE"""),"Python")</f>
        <v>Python</v>
      </c>
      <c r="D285" s="9" t="str">
        <f>IFERROR(__xludf.DUMMYFUNCTION("""COMPUTED_VALUE"""),"Java")</f>
        <v>Java</v>
      </c>
      <c r="E285" s="9" t="str">
        <f>IFERROR(__xludf.DUMMYFUNCTION("""COMPUTED_VALUE"""),"Bash/Shell/PowerShell")</f>
        <v>Bash/Shell/PowerShell</v>
      </c>
      <c r="F285" s="9" t="str">
        <f>IFERROR(__xludf.DUMMYFUNCTION("""COMPUTED_VALUE"""),"SQL")</f>
        <v>SQL</v>
      </c>
      <c r="G285" s="9" t="str">
        <f>IFERROR(__xludf.DUMMYFUNCTION("""COMPUTED_VALUE"""),"PHP")</f>
        <v>PHP</v>
      </c>
      <c r="H285" s="9" t="str">
        <f>IFERROR(__xludf.DUMMYFUNCTION("""COMPUTED_VALUE"""),"SQL")</f>
        <v>SQL</v>
      </c>
      <c r="I285" s="9" t="str">
        <f>IFERROR(__xludf.DUMMYFUNCTION("""COMPUTED_VALUE"""),"C++")</f>
        <v>C++</v>
      </c>
      <c r="J285" s="9" t="str">
        <f>IFERROR(__xludf.DUMMYFUNCTION("""COMPUTED_VALUE"""),"JavaScript")</f>
        <v>JavaScript</v>
      </c>
      <c r="K285" s="9" t="str">
        <f>IFERROR(__xludf.DUMMYFUNCTION("""COMPUTED_VALUE"""),"HTML/CSS")</f>
        <v>HTML/CSS</v>
      </c>
      <c r="L285" s="9" t="str">
        <f>IFERROR(__xludf.DUMMYFUNCTION("""COMPUTED_VALUE"""),"HTML/CSS")</f>
        <v>HTML/CSS</v>
      </c>
      <c r="M285" s="9" t="s">
        <v>22</v>
      </c>
    </row>
    <row r="286" ht="15.75" customHeight="1">
      <c r="A286" s="7"/>
      <c r="B286" s="7" t="str">
        <f>IFERROR(__xludf.DUMMYFUNCTION("""COMPUTED_VALUE"""),"Java;Kotlin")</f>
        <v>Java;Kotlin</v>
      </c>
      <c r="C286" s="9" t="str">
        <f>IFERROR(__xludf.DUMMYFUNCTION("""COMPUTED_VALUE"""),"SQL")</f>
        <v>SQL</v>
      </c>
      <c r="D286" s="9" t="str">
        <f>IFERROR(__xludf.DUMMYFUNCTION("""COMPUTED_VALUE"""),"JavaScript")</f>
        <v>JavaScript</v>
      </c>
      <c r="E286" s="9" t="str">
        <f>IFERROR(__xludf.DUMMYFUNCTION("""COMPUTED_VALUE"""),"C++")</f>
        <v>C++</v>
      </c>
      <c r="F286" s="9" t="str">
        <f>IFERROR(__xludf.DUMMYFUNCTION("""COMPUTED_VALUE"""),"Bash/Shell/PowerShell")</f>
        <v>Bash/Shell/PowerShell</v>
      </c>
      <c r="G286" s="9" t="str">
        <f>IFERROR(__xludf.DUMMYFUNCTION("""COMPUTED_VALUE"""),"SQL")</f>
        <v>SQL</v>
      </c>
      <c r="H286" s="9" t="str">
        <f>IFERROR(__xludf.DUMMYFUNCTION("""COMPUTED_VALUE"""),"Bash/Shell/PowerShell")</f>
        <v>Bash/Shell/PowerShell</v>
      </c>
      <c r="I286" s="9" t="str">
        <f>IFERROR(__xludf.DUMMYFUNCTION("""COMPUTED_VALUE"""),"C#")</f>
        <v>C#</v>
      </c>
      <c r="J286" s="9" t="str">
        <f>IFERROR(__xludf.DUMMYFUNCTION("""COMPUTED_VALUE"""),"VBA")</f>
        <v>VBA</v>
      </c>
      <c r="K286" s="9" t="str">
        <f>IFERROR(__xludf.DUMMYFUNCTION("""COMPUTED_VALUE"""),"Java")</f>
        <v>Java</v>
      </c>
      <c r="L286" s="9" t="str">
        <f>IFERROR(__xludf.DUMMYFUNCTION("""COMPUTED_VALUE"""),"JavaScript")</f>
        <v>JavaScript</v>
      </c>
      <c r="M286" s="9" t="s">
        <v>27</v>
      </c>
    </row>
    <row r="287" ht="15.75" customHeight="1">
      <c r="A287" s="7"/>
      <c r="B287" s="7" t="str">
        <f>IFERROR(__xludf.DUMMYFUNCTION("""COMPUTED_VALUE"""),"HTML/CSS;JavaScript;PHP;SQL")</f>
        <v>HTML/CSS;JavaScript;PHP;SQL</v>
      </c>
      <c r="C287" s="9" t="str">
        <f>IFERROR(__xludf.DUMMYFUNCTION("""COMPUTED_VALUE"""),"Bash/Shell/PowerShell")</f>
        <v>Bash/Shell/PowerShell</v>
      </c>
      <c r="D287" s="9" t="str">
        <f>IFERROR(__xludf.DUMMYFUNCTION("""COMPUTED_VALUE"""),"C++")</f>
        <v>C++</v>
      </c>
      <c r="E287" s="9" t="str">
        <f>IFERROR(__xludf.DUMMYFUNCTION("""COMPUTED_VALUE"""),"Python")</f>
        <v>Python</v>
      </c>
      <c r="F287" s="9" t="str">
        <f>IFERROR(__xludf.DUMMYFUNCTION("""COMPUTED_VALUE"""),"C")</f>
        <v>C</v>
      </c>
      <c r="G287" s="9" t="str">
        <f>IFERROR(__xludf.DUMMYFUNCTION("""COMPUTED_VALUE"""),"HTML/CSS")</f>
        <v>HTML/CSS</v>
      </c>
      <c r="H287" s="9" t="str">
        <f>IFERROR(__xludf.DUMMYFUNCTION("""COMPUTED_VALUE"""),"C")</f>
        <v>C</v>
      </c>
      <c r="I287" s="9" t="str">
        <f>IFERROR(__xludf.DUMMYFUNCTION("""COMPUTED_VALUE"""),"HTML/CSS")</f>
        <v>HTML/CSS</v>
      </c>
      <c r="J287" s="9" t="str">
        <f>IFERROR(__xludf.DUMMYFUNCTION("""COMPUTED_VALUE"""),"C++")</f>
        <v>C++</v>
      </c>
      <c r="K287" s="9" t="str">
        <f>IFERROR(__xludf.DUMMYFUNCTION("""COMPUTED_VALUE"""),"JavaScript")</f>
        <v>JavaScript</v>
      </c>
      <c r="L287" s="9" t="str">
        <f>IFERROR(__xludf.DUMMYFUNCTION("""COMPUTED_VALUE"""),"Python")</f>
        <v>Python</v>
      </c>
      <c r="M287" s="9" t="s">
        <v>30</v>
      </c>
    </row>
    <row r="288" ht="15.75" customHeight="1">
      <c r="A288" s="7"/>
      <c r="B288" s="7" t="str">
        <f>IFERROR(__xludf.DUMMYFUNCTION("""COMPUTED_VALUE"""),"C++;C#;PHP;Rust;TypeScript")</f>
        <v>C++;C#;PHP;Rust;TypeScript</v>
      </c>
      <c r="C288" s="9" t="str">
        <f>IFERROR(__xludf.DUMMYFUNCTION("""COMPUTED_VALUE"""),"HTML/CSS")</f>
        <v>HTML/CSS</v>
      </c>
      <c r="D288" s="9" t="str">
        <f>IFERROR(__xludf.DUMMYFUNCTION("""COMPUTED_VALUE"""),"C#")</f>
        <v>C#</v>
      </c>
      <c r="E288" s="9" t="str">
        <f>IFERROR(__xludf.DUMMYFUNCTION("""COMPUTED_VALUE"""),"R")</f>
        <v>R</v>
      </c>
      <c r="F288" s="9" t="str">
        <f>IFERROR(__xludf.DUMMYFUNCTION("""COMPUTED_VALUE"""),"C#")</f>
        <v>C#</v>
      </c>
      <c r="G288" s="9" t="str">
        <f>IFERROR(__xludf.DUMMYFUNCTION("""COMPUTED_VALUE"""),"JavaScript")</f>
        <v>JavaScript</v>
      </c>
      <c r="H288" s="9" t="str">
        <f>IFERROR(__xludf.DUMMYFUNCTION("""COMPUTED_VALUE"""),"Java")</f>
        <v>Java</v>
      </c>
      <c r="I288" s="9" t="str">
        <f>IFERROR(__xludf.DUMMYFUNCTION("""COMPUTED_VALUE"""),"Other(s):")</f>
        <v>Other(s):</v>
      </c>
      <c r="J288" s="9" t="str">
        <f>IFERROR(__xludf.DUMMYFUNCTION("""COMPUTED_VALUE"""),"R")</f>
        <v>R</v>
      </c>
      <c r="K288" s="9" t="str">
        <f>IFERROR(__xludf.DUMMYFUNCTION("""COMPUTED_VALUE"""),"Kotlin")</f>
        <v>Kotlin</v>
      </c>
      <c r="L288" s="9" t="str">
        <f>IFERROR(__xludf.DUMMYFUNCTION("""COMPUTED_VALUE"""),"SQL")</f>
        <v>SQL</v>
      </c>
      <c r="M288" s="9" t="s">
        <v>24</v>
      </c>
    </row>
    <row r="289" ht="15.75" customHeight="1">
      <c r="A289" s="7"/>
      <c r="B289" s="7" t="str">
        <f>IFERROR(__xludf.DUMMYFUNCTION("""COMPUTED_VALUE"""),"HTML/CSS;PHP;Python")</f>
        <v>HTML/CSS;PHP;Python</v>
      </c>
      <c r="C289" s="9" t="str">
        <f>IFERROR(__xludf.DUMMYFUNCTION("""COMPUTED_VALUE"""),"Java")</f>
        <v>Java</v>
      </c>
      <c r="D289" s="9" t="str">
        <f>IFERROR(__xludf.DUMMYFUNCTION("""COMPUTED_VALUE"""),"Java")</f>
        <v>Java</v>
      </c>
      <c r="E289" s="9" t="str">
        <f>IFERROR(__xludf.DUMMYFUNCTION("""COMPUTED_VALUE"""),"HTML/CSS")</f>
        <v>HTML/CSS</v>
      </c>
      <c r="F289" s="9" t="str">
        <f>IFERROR(__xludf.DUMMYFUNCTION("""COMPUTED_VALUE"""),"Go")</f>
        <v>Go</v>
      </c>
      <c r="G289" s="9" t="str">
        <f>IFERROR(__xludf.DUMMYFUNCTION("""COMPUTED_VALUE"""),"Ruby")</f>
        <v>Ruby</v>
      </c>
      <c r="H289" s="9" t="str">
        <f>IFERROR(__xludf.DUMMYFUNCTION("""COMPUTED_VALUE"""),"JavaScript")</f>
        <v>JavaScript</v>
      </c>
      <c r="I289" s="9" t="str">
        <f>IFERROR(__xludf.DUMMYFUNCTION("""COMPUTED_VALUE"""),"Bash/Shell/PowerShell")</f>
        <v>Bash/Shell/PowerShell</v>
      </c>
      <c r="J289" s="9" t="str">
        <f>IFERROR(__xludf.DUMMYFUNCTION("""COMPUTED_VALUE"""),"C#")</f>
        <v>C#</v>
      </c>
      <c r="K289" s="9" t="str">
        <f>IFERROR(__xludf.DUMMYFUNCTION("""COMPUTED_VALUE"""),"Rust")</f>
        <v>Rust</v>
      </c>
      <c r="L289" s="9" t="str">
        <f>IFERROR(__xludf.DUMMYFUNCTION("""COMPUTED_VALUE"""),"TypeScript")</f>
        <v>TypeScript</v>
      </c>
      <c r="M289" s="9" t="s">
        <v>20</v>
      </c>
    </row>
    <row r="290" ht="15.75" customHeight="1">
      <c r="A290" s="7"/>
      <c r="B290" s="7" t="str">
        <f>IFERROR(__xludf.DUMMYFUNCTION("""COMPUTED_VALUE"""),"Go;HTML/CSS;Python;SQL;TypeScript")</f>
        <v>Go;HTML/CSS;Python;SQL;TypeScript</v>
      </c>
      <c r="C290" s="9" t="str">
        <f>IFERROR(__xludf.DUMMYFUNCTION("""COMPUTED_VALUE"""),"SQL")</f>
        <v>SQL</v>
      </c>
      <c r="D290" s="9" t="str">
        <f>IFERROR(__xludf.DUMMYFUNCTION("""COMPUTED_VALUE"""),"JavaScript")</f>
        <v>JavaScript</v>
      </c>
      <c r="E290" s="9" t="str">
        <f>IFERROR(__xludf.DUMMYFUNCTION("""COMPUTED_VALUE"""),"JavaScript")</f>
        <v>JavaScript</v>
      </c>
      <c r="F290" s="9" t="str">
        <f>IFERROR(__xludf.DUMMYFUNCTION("""COMPUTED_VALUE"""),"JavaScript")</f>
        <v>JavaScript</v>
      </c>
      <c r="G290" s="9" t="str">
        <f>IFERROR(__xludf.DUMMYFUNCTION("""COMPUTED_VALUE"""),"HTML/CSS")</f>
        <v>HTML/CSS</v>
      </c>
      <c r="H290" s="9" t="str">
        <f>IFERROR(__xludf.DUMMYFUNCTION("""COMPUTED_VALUE"""),"Python")</f>
        <v>Python</v>
      </c>
      <c r="I290" s="9" t="str">
        <f>IFERROR(__xludf.DUMMYFUNCTION("""COMPUTED_VALUE"""),"HTML/CSS")</f>
        <v>HTML/CSS</v>
      </c>
      <c r="J290" s="9" t="str">
        <f>IFERROR(__xludf.DUMMYFUNCTION("""COMPUTED_VALUE"""),"HTML/CSS")</f>
        <v>HTML/CSS</v>
      </c>
      <c r="K290" s="9" t="str">
        <f>IFERROR(__xludf.DUMMYFUNCTION("""COMPUTED_VALUE"""),"C")</f>
        <v>C</v>
      </c>
      <c r="L290" s="9" t="str">
        <f>IFERROR(__xludf.DUMMYFUNCTION("""COMPUTED_VALUE"""),"Bash/Shell/PowerShell")</f>
        <v>Bash/Shell/PowerShell</v>
      </c>
      <c r="M290" s="9" t="s">
        <v>27</v>
      </c>
    </row>
    <row r="291" ht="15.75" customHeight="1">
      <c r="A291" s="7"/>
      <c r="B291" s="7" t="str">
        <f>IFERROR(__xludf.DUMMYFUNCTION("""COMPUTED_VALUE"""),"Bash/Shell/PowerShell;C#;HTML/CSS;JavaScript;SQL;TypeScript")</f>
        <v>Bash/Shell/PowerShell;C#;HTML/CSS;JavaScript;SQL;TypeScript</v>
      </c>
      <c r="C291" s="9" t="str">
        <f>IFERROR(__xludf.DUMMYFUNCTION("""COMPUTED_VALUE"""),"JavaScript")</f>
        <v>JavaScript</v>
      </c>
      <c r="D291" s="9" t="str">
        <f>IFERROR(__xludf.DUMMYFUNCTION("""COMPUTED_VALUE"""),"SQL")</f>
        <v>SQL</v>
      </c>
      <c r="E291" s="9" t="str">
        <f>IFERROR(__xludf.DUMMYFUNCTION("""COMPUTED_VALUE"""),"HTML/CSS")</f>
        <v>HTML/CSS</v>
      </c>
      <c r="F291" s="9" t="str">
        <f>IFERROR(__xludf.DUMMYFUNCTION("""COMPUTED_VALUE"""),"Python")</f>
        <v>Python</v>
      </c>
      <c r="G291" s="9" t="str">
        <f>IFERROR(__xludf.DUMMYFUNCTION("""COMPUTED_VALUE"""),"JavaScript")</f>
        <v>JavaScript</v>
      </c>
      <c r="H291" s="9" t="str">
        <f>IFERROR(__xludf.DUMMYFUNCTION("""COMPUTED_VALUE"""),"Scala")</f>
        <v>Scala</v>
      </c>
      <c r="I291" s="9" t="str">
        <f>IFERROR(__xludf.DUMMYFUNCTION("""COMPUTED_VALUE"""),"JavaScript")</f>
        <v>JavaScript</v>
      </c>
      <c r="J291" s="9" t="str">
        <f>IFERROR(__xludf.DUMMYFUNCTION("""COMPUTED_VALUE"""),"JavaScript")</f>
        <v>JavaScript</v>
      </c>
      <c r="K291" s="9" t="str">
        <f>IFERROR(__xludf.DUMMYFUNCTION("""COMPUTED_VALUE"""),"C++")</f>
        <v>C++</v>
      </c>
      <c r="L291" s="9" t="str">
        <f>IFERROR(__xludf.DUMMYFUNCTION("""COMPUTED_VALUE"""),"HTML/CSS")</f>
        <v>HTML/CSS</v>
      </c>
      <c r="M291" s="9" t="s">
        <v>21</v>
      </c>
    </row>
    <row r="292" ht="15.75" customHeight="1">
      <c r="A292" s="7"/>
      <c r="B292" s="7" t="str">
        <f>IFERROR(__xludf.DUMMYFUNCTION("""COMPUTED_VALUE"""),"HTML/CSS;Java;JavaScript;SQL")</f>
        <v>HTML/CSS;Java;JavaScript;SQL</v>
      </c>
      <c r="C292" s="9" t="str">
        <f>IFERROR(__xludf.DUMMYFUNCTION("""COMPUTED_VALUE"""),"Python")</f>
        <v>Python</v>
      </c>
      <c r="D292" s="9" t="str">
        <f>IFERROR(__xludf.DUMMYFUNCTION("""COMPUTED_VALUE"""),"Bash/Shell/PowerShell")</f>
        <v>Bash/Shell/PowerShell</v>
      </c>
      <c r="E292" s="9" t="str">
        <f>IFERROR(__xludf.DUMMYFUNCTION("""COMPUTED_VALUE"""),"Java")</f>
        <v>Java</v>
      </c>
      <c r="F292" s="9" t="str">
        <f>IFERROR(__xludf.DUMMYFUNCTION("""COMPUTED_VALUE"""),"Ruby")</f>
        <v>Ruby</v>
      </c>
      <c r="G292" s="9" t="str">
        <f>IFERROR(__xludf.DUMMYFUNCTION("""COMPUTED_VALUE"""),"PHP")</f>
        <v>PHP</v>
      </c>
      <c r="H292" s="9" t="str">
        <f>IFERROR(__xludf.DUMMYFUNCTION("""COMPUTED_VALUE"""),"SQL")</f>
        <v>SQL</v>
      </c>
      <c r="I292" s="9" t="str">
        <f>IFERROR(__xludf.DUMMYFUNCTION("""COMPUTED_VALUE"""),"Python")</f>
        <v>Python</v>
      </c>
      <c r="J292" s="9" t="str">
        <f>IFERROR(__xludf.DUMMYFUNCTION("""COMPUTED_VALUE"""),"SQL")</f>
        <v>SQL</v>
      </c>
      <c r="K292" s="9" t="str">
        <f>IFERROR(__xludf.DUMMYFUNCTION("""COMPUTED_VALUE"""),"HTML/CSS")</f>
        <v>HTML/CSS</v>
      </c>
      <c r="L292" s="9" t="str">
        <f>IFERROR(__xludf.DUMMYFUNCTION("""COMPUTED_VALUE"""),"Java")</f>
        <v>Java</v>
      </c>
      <c r="M292" s="9" t="s">
        <v>22</v>
      </c>
    </row>
    <row r="293" ht="15.75" customHeight="1">
      <c r="A293" s="7"/>
      <c r="B293" s="7" t="str">
        <f>IFERROR(__xludf.DUMMYFUNCTION("""COMPUTED_VALUE"""),"C;C++;C#;HTML/CSS;Java;JavaScript;Kotlin;PHP;Python;Ruby;SQL;TypeScript;WebAssembly")</f>
        <v>C;C++;C#;HTML/CSS;Java;JavaScript;Kotlin;PHP;Python;Ruby;SQL;TypeScript;WebAssembly</v>
      </c>
      <c r="C293" s="9" t="str">
        <f>IFERROR(__xludf.DUMMYFUNCTION("""COMPUTED_VALUE"""),"C#")</f>
        <v>C#</v>
      </c>
      <c r="D293" s="9" t="str">
        <f>IFERROR(__xludf.DUMMYFUNCTION("""COMPUTED_VALUE"""),"Elixir")</f>
        <v>Elixir</v>
      </c>
      <c r="E293" s="9" t="str">
        <f>IFERROR(__xludf.DUMMYFUNCTION("""COMPUTED_VALUE"""),"JavaScript")</f>
        <v>JavaScript</v>
      </c>
      <c r="F293" s="9" t="str">
        <f>IFERROR(__xludf.DUMMYFUNCTION("""COMPUTED_VALUE"""),"C")</f>
        <v>C</v>
      </c>
      <c r="G293" s="9" t="str">
        <f>IFERROR(__xludf.DUMMYFUNCTION("""COMPUTED_VALUE"""),"SQL")</f>
        <v>SQL</v>
      </c>
      <c r="H293" s="9" t="str">
        <f>IFERROR(__xludf.DUMMYFUNCTION("""COMPUTED_VALUE"""),"TypeScript")</f>
        <v>TypeScript</v>
      </c>
      <c r="I293" s="9" t="str">
        <f>IFERROR(__xludf.DUMMYFUNCTION("""COMPUTED_VALUE"""),"C#")</f>
        <v>C#</v>
      </c>
      <c r="J293" s="9" t="str">
        <f>IFERROR(__xludf.DUMMYFUNCTION("""COMPUTED_VALUE"""),"TypeScript")</f>
        <v>TypeScript</v>
      </c>
      <c r="K293" s="9" t="str">
        <f>IFERROR(__xludf.DUMMYFUNCTION("""COMPUTED_VALUE"""),"JavaScript")</f>
        <v>JavaScript</v>
      </c>
      <c r="L293" s="9" t="str">
        <f>IFERROR(__xludf.DUMMYFUNCTION("""COMPUTED_VALUE"""),"JavaScript")</f>
        <v>JavaScript</v>
      </c>
      <c r="M293" s="9" t="s">
        <v>26</v>
      </c>
    </row>
    <row r="294" ht="15.75" customHeight="1">
      <c r="A294" s="7"/>
      <c r="B294" s="7" t="str">
        <f>IFERROR(__xludf.DUMMYFUNCTION("""COMPUTED_VALUE"""),"HTML/CSS;Java;JavaScript;SQL")</f>
        <v>HTML/CSS;Java;JavaScript;SQL</v>
      </c>
      <c r="C294" s="9" t="str">
        <f>IFERROR(__xludf.DUMMYFUNCTION("""COMPUTED_VALUE"""),"Java")</f>
        <v>Java</v>
      </c>
      <c r="D294" s="9" t="str">
        <f>IFERROR(__xludf.DUMMYFUNCTION("""COMPUTED_VALUE"""),"JavaScript")</f>
        <v>JavaScript</v>
      </c>
      <c r="E294" s="9" t="str">
        <f>IFERROR(__xludf.DUMMYFUNCTION("""COMPUTED_VALUE"""),"PHP")</f>
        <v>PHP</v>
      </c>
      <c r="F294" s="9" t="str">
        <f>IFERROR(__xludf.DUMMYFUNCTION("""COMPUTED_VALUE"""),"HTML/CSS")</f>
        <v>HTML/CSS</v>
      </c>
      <c r="G294" s="9" t="str">
        <f>IFERROR(__xludf.DUMMYFUNCTION("""COMPUTED_VALUE"""),"TypeScript")</f>
        <v>TypeScript</v>
      </c>
      <c r="H294" s="9" t="str">
        <f>IFERROR(__xludf.DUMMYFUNCTION("""COMPUTED_VALUE"""),"HTML/CSS")</f>
        <v>HTML/CSS</v>
      </c>
      <c r="I294" s="9" t="str">
        <f>IFERROR(__xludf.DUMMYFUNCTION("""COMPUTED_VALUE"""),"HTML/CSS")</f>
        <v>HTML/CSS</v>
      </c>
      <c r="J294" s="9" t="str">
        <f>IFERROR(__xludf.DUMMYFUNCTION("""COMPUTED_VALUE"""),"C++")</f>
        <v>C++</v>
      </c>
      <c r="K294" s="9" t="str">
        <f>IFERROR(__xludf.DUMMYFUNCTION("""COMPUTED_VALUE"""),"PHP")</f>
        <v>PHP</v>
      </c>
      <c r="L294" s="9" t="str">
        <f>IFERROR(__xludf.DUMMYFUNCTION("""COMPUTED_VALUE"""),"SQL")</f>
        <v>SQL</v>
      </c>
      <c r="M294" s="9" t="s">
        <v>20</v>
      </c>
    </row>
    <row r="295" ht="15.75" customHeight="1">
      <c r="A295" s="7"/>
      <c r="B295" s="7" t="str">
        <f>IFERROR(__xludf.DUMMYFUNCTION("""COMPUTED_VALUE"""),"HTML/CSS;Java;JavaScript;SQL;TypeScript")</f>
        <v>HTML/CSS;Java;JavaScript;SQL;TypeScript</v>
      </c>
      <c r="C295" s="9" t="str">
        <f>IFERROR(__xludf.DUMMYFUNCTION("""COMPUTED_VALUE"""),"SQL")</f>
        <v>SQL</v>
      </c>
      <c r="D295" s="9" t="str">
        <f>IFERROR(__xludf.DUMMYFUNCTION("""COMPUTED_VALUE"""),"Python")</f>
        <v>Python</v>
      </c>
      <c r="E295" s="9" t="str">
        <f>IFERROR(__xludf.DUMMYFUNCTION("""COMPUTED_VALUE"""),"Ruby")</f>
        <v>Ruby</v>
      </c>
      <c r="F295" s="9" t="str">
        <f>IFERROR(__xludf.DUMMYFUNCTION("""COMPUTED_VALUE"""),"Java")</f>
        <v>Java</v>
      </c>
      <c r="G295" s="9" t="str">
        <f>IFERROR(__xludf.DUMMYFUNCTION("""COMPUTED_VALUE"""),"Other(s):")</f>
        <v>Other(s):</v>
      </c>
      <c r="H295" s="9" t="str">
        <f>IFERROR(__xludf.DUMMYFUNCTION("""COMPUTED_VALUE"""),"Java")</f>
        <v>Java</v>
      </c>
      <c r="I295" s="9" t="str">
        <f>IFERROR(__xludf.DUMMYFUNCTION("""COMPUTED_VALUE"""),"JavaScript")</f>
        <v>JavaScript</v>
      </c>
      <c r="J295" s="9" t="str">
        <f>IFERROR(__xludf.DUMMYFUNCTION("""COMPUTED_VALUE"""),"HTML/CSS")</f>
        <v>HTML/CSS</v>
      </c>
      <c r="K295" s="9" t="str">
        <f>IFERROR(__xludf.DUMMYFUNCTION("""COMPUTED_VALUE"""),"Python")</f>
        <v>Python</v>
      </c>
      <c r="L295" s="9" t="str">
        <f>IFERROR(__xludf.DUMMYFUNCTION("""COMPUTED_VALUE"""),"C#")</f>
        <v>C#</v>
      </c>
      <c r="M295" s="9" t="s">
        <v>27</v>
      </c>
    </row>
    <row r="296" ht="15.75" customHeight="1">
      <c r="A296" s="7"/>
      <c r="B296" s="7" t="str">
        <f>IFERROR(__xludf.DUMMYFUNCTION("""COMPUTED_VALUE"""),"HTML/CSS;JavaScript;PHP;SQL;Other(s):")</f>
        <v>HTML/CSS;JavaScript;PHP;SQL;Other(s):</v>
      </c>
      <c r="C296" s="9" t="str">
        <f>IFERROR(__xludf.DUMMYFUNCTION("""COMPUTED_VALUE"""),"HTML/CSS")</f>
        <v>HTML/CSS</v>
      </c>
      <c r="D296" s="9" t="str">
        <f>IFERROR(__xludf.DUMMYFUNCTION("""COMPUTED_VALUE"""),"SQL")</f>
        <v>SQL</v>
      </c>
      <c r="E296" s="9" t="str">
        <f>IFERROR(__xludf.DUMMYFUNCTION("""COMPUTED_VALUE"""),"SQL")</f>
        <v>SQL</v>
      </c>
      <c r="F296" s="9" t="str">
        <f>IFERROR(__xludf.DUMMYFUNCTION("""COMPUTED_VALUE"""),"JavaScript")</f>
        <v>JavaScript</v>
      </c>
      <c r="G296" s="9" t="str">
        <f>IFERROR(__xludf.DUMMYFUNCTION("""COMPUTED_VALUE"""),"Bash/Shell/PowerShell")</f>
        <v>Bash/Shell/PowerShell</v>
      </c>
      <c r="H296" s="9" t="str">
        <f>IFERROR(__xludf.DUMMYFUNCTION("""COMPUTED_VALUE"""),"SQL")</f>
        <v>SQL</v>
      </c>
      <c r="I296" s="9" t="str">
        <f>IFERROR(__xludf.DUMMYFUNCTION("""COMPUTED_VALUE"""),"Ruby")</f>
        <v>Ruby</v>
      </c>
      <c r="J296" s="9" t="str">
        <f>IFERROR(__xludf.DUMMYFUNCTION("""COMPUTED_VALUE"""),"JavaScript")</f>
        <v>JavaScript</v>
      </c>
      <c r="K296" s="9" t="str">
        <f>IFERROR(__xludf.DUMMYFUNCTION("""COMPUTED_VALUE"""),"Bash/Shell/PowerShell")</f>
        <v>Bash/Shell/PowerShell</v>
      </c>
      <c r="L296" s="9" t="str">
        <f>IFERROR(__xludf.DUMMYFUNCTION("""COMPUTED_VALUE"""),"Clojure")</f>
        <v>Clojure</v>
      </c>
      <c r="M296" s="9" t="s">
        <v>24</v>
      </c>
    </row>
    <row r="297" ht="15.75" customHeight="1">
      <c r="A297" s="7"/>
      <c r="B297" s="7" t="str">
        <f>IFERROR(__xludf.DUMMYFUNCTION("""COMPUTED_VALUE"""),"Assembly;C;C++;Java;Python;SQL")</f>
        <v>Assembly;C;C++;Java;Python;SQL</v>
      </c>
      <c r="C297" s="9" t="str">
        <f>IFERROR(__xludf.DUMMYFUNCTION("""COMPUTED_VALUE"""),"JavaScript")</f>
        <v>JavaScript</v>
      </c>
      <c r="D297" s="9" t="str">
        <f>IFERROR(__xludf.DUMMYFUNCTION("""COMPUTED_VALUE"""),"Bash/Shell/PowerShell")</f>
        <v>Bash/Shell/PowerShell</v>
      </c>
      <c r="E297" s="9" t="str">
        <f>IFERROR(__xludf.DUMMYFUNCTION("""COMPUTED_VALUE"""),"C++")</f>
        <v>C++</v>
      </c>
      <c r="F297" s="9" t="str">
        <f>IFERROR(__xludf.DUMMYFUNCTION("""COMPUTED_VALUE"""),"Python")</f>
        <v>Python</v>
      </c>
      <c r="G297" s="9" t="str">
        <f>IFERROR(__xludf.DUMMYFUNCTION("""COMPUTED_VALUE"""),"C#")</f>
        <v>C#</v>
      </c>
      <c r="H297" s="9" t="str">
        <f>IFERROR(__xludf.DUMMYFUNCTION("""COMPUTED_VALUE"""),"TypeScript")</f>
        <v>TypeScript</v>
      </c>
      <c r="I297" s="9" t="str">
        <f>IFERROR(__xludf.DUMMYFUNCTION("""COMPUTED_VALUE"""),"C#")</f>
        <v>C#</v>
      </c>
      <c r="J297" s="9" t="str">
        <f>IFERROR(__xludf.DUMMYFUNCTION("""COMPUTED_VALUE"""),"PHP")</f>
        <v>PHP</v>
      </c>
      <c r="K297" s="9" t="str">
        <f>IFERROR(__xludf.DUMMYFUNCTION("""COMPUTED_VALUE"""),"Python")</f>
        <v>Python</v>
      </c>
      <c r="L297" s="9" t="str">
        <f>IFERROR(__xludf.DUMMYFUNCTION("""COMPUTED_VALUE"""),"Dart")</f>
        <v>Dart</v>
      </c>
      <c r="M297" s="9" t="s">
        <v>21</v>
      </c>
    </row>
    <row r="298" ht="15.75" customHeight="1">
      <c r="A298" s="7"/>
      <c r="B298" s="7" t="str">
        <f>IFERROR(__xludf.DUMMYFUNCTION("""COMPUTED_VALUE"""),"HTML/CSS;Java;JavaScript;SQL")</f>
        <v>HTML/CSS;Java;JavaScript;SQL</v>
      </c>
      <c r="C298" s="9" t="str">
        <f>IFERROR(__xludf.DUMMYFUNCTION("""COMPUTED_VALUE"""),"PHP")</f>
        <v>PHP</v>
      </c>
      <c r="D298" s="9" t="str">
        <f>IFERROR(__xludf.DUMMYFUNCTION("""COMPUTED_VALUE"""),"C")</f>
        <v>C</v>
      </c>
      <c r="E298" s="9" t="str">
        <f>IFERROR(__xludf.DUMMYFUNCTION("""COMPUTED_VALUE"""),"HTML/CSS")</f>
        <v>HTML/CSS</v>
      </c>
      <c r="F298" s="9" t="str">
        <f>IFERROR(__xludf.DUMMYFUNCTION("""COMPUTED_VALUE"""),"TypeScript")</f>
        <v>TypeScript</v>
      </c>
      <c r="G298" s="9" t="str">
        <f>IFERROR(__xludf.DUMMYFUNCTION("""COMPUTED_VALUE"""),"HTML/CSS")</f>
        <v>HTML/CSS</v>
      </c>
      <c r="H298" s="9" t="str">
        <f>IFERROR(__xludf.DUMMYFUNCTION("""COMPUTED_VALUE"""),"C#")</f>
        <v>C#</v>
      </c>
      <c r="I298" s="9" t="str">
        <f>IFERROR(__xludf.DUMMYFUNCTION("""COMPUTED_VALUE"""),"HTML/CSS")</f>
        <v>HTML/CSS</v>
      </c>
      <c r="J298" s="9" t="str">
        <f>IFERROR(__xludf.DUMMYFUNCTION("""COMPUTED_VALUE"""),"SQL")</f>
        <v>SQL</v>
      </c>
      <c r="K298" s="9" t="str">
        <f>IFERROR(__xludf.DUMMYFUNCTION("""COMPUTED_VALUE"""),"Assembly")</f>
        <v>Assembly</v>
      </c>
      <c r="L298" s="9" t="str">
        <f>IFERROR(__xludf.DUMMYFUNCTION("""COMPUTED_VALUE"""),"HTML/CSS")</f>
        <v>HTML/CSS</v>
      </c>
      <c r="M298" s="9" t="s">
        <v>37</v>
      </c>
    </row>
    <row r="299" ht="15.75" customHeight="1">
      <c r="A299" s="7"/>
      <c r="B299" s="7" t="str">
        <f>IFERROR(__xludf.DUMMYFUNCTION("""COMPUTED_VALUE"""),"C++;C#;Clojure;JavaScript;PHP;Python;SQL;VBA")</f>
        <v>C++;C#;Clojure;JavaScript;PHP;Python;SQL;VBA</v>
      </c>
      <c r="C299" s="9" t="str">
        <f>IFERROR(__xludf.DUMMYFUNCTION("""COMPUTED_VALUE"""),"SQL")</f>
        <v>SQL</v>
      </c>
      <c r="D299" s="9" t="str">
        <f>IFERROR(__xludf.DUMMYFUNCTION("""COMPUTED_VALUE"""),"C++")</f>
        <v>C++</v>
      </c>
      <c r="E299" s="9" t="str">
        <f>IFERROR(__xludf.DUMMYFUNCTION("""COMPUTED_VALUE"""),"Java")</f>
        <v>Java</v>
      </c>
      <c r="F299" s="9" t="str">
        <f>IFERROR(__xludf.DUMMYFUNCTION("""COMPUTED_VALUE"""),"C")</f>
        <v>C</v>
      </c>
      <c r="G299" s="9" t="str">
        <f>IFERROR(__xludf.DUMMYFUNCTION("""COMPUTED_VALUE"""),"JavaScript")</f>
        <v>JavaScript</v>
      </c>
      <c r="H299" s="9" t="str">
        <f>IFERROR(__xludf.DUMMYFUNCTION("""COMPUTED_VALUE"""),"HTML/CSS")</f>
        <v>HTML/CSS</v>
      </c>
      <c r="I299" s="9" t="str">
        <f>IFERROR(__xludf.DUMMYFUNCTION("""COMPUTED_VALUE"""),"Java")</f>
        <v>Java</v>
      </c>
      <c r="J299" s="9" t="str">
        <f>IFERROR(__xludf.DUMMYFUNCTION("""COMPUTED_VALUE"""),"TypeScript")</f>
        <v>TypeScript</v>
      </c>
      <c r="K299" s="9" t="str">
        <f>IFERROR(__xludf.DUMMYFUNCTION("""COMPUTED_VALUE"""),"Bash/Shell/PowerShell")</f>
        <v>Bash/Shell/PowerShell</v>
      </c>
      <c r="L299" s="9" t="str">
        <f>IFERROR(__xludf.DUMMYFUNCTION("""COMPUTED_VALUE"""),"JavaScript")</f>
        <v>JavaScript</v>
      </c>
      <c r="M299" s="9" t="s">
        <v>27</v>
      </c>
    </row>
    <row r="300" ht="15.75" customHeight="1">
      <c r="A300" s="7"/>
      <c r="B300" s="7" t="str">
        <f>IFERROR(__xludf.DUMMYFUNCTION("""COMPUTED_VALUE"""),"Bash/Shell/PowerShell;C#;Python;Other(s):")</f>
        <v>Bash/Shell/PowerShell;C#;Python;Other(s):</v>
      </c>
      <c r="C300" s="9" t="str">
        <f>IFERROR(__xludf.DUMMYFUNCTION("""COMPUTED_VALUE"""),"Bash/Shell/PowerShell")</f>
        <v>Bash/Shell/PowerShell</v>
      </c>
      <c r="D300" s="9" t="str">
        <f>IFERROR(__xludf.DUMMYFUNCTION("""COMPUTED_VALUE"""),"C#")</f>
        <v>C#</v>
      </c>
      <c r="E300" s="9" t="str">
        <f>IFERROR(__xludf.DUMMYFUNCTION("""COMPUTED_VALUE"""),"JavaScript")</f>
        <v>JavaScript</v>
      </c>
      <c r="F300" s="9" t="str">
        <f>IFERROR(__xludf.DUMMYFUNCTION("""COMPUTED_VALUE"""),"C++")</f>
        <v>C++</v>
      </c>
      <c r="G300" s="9" t="str">
        <f>IFERROR(__xludf.DUMMYFUNCTION("""COMPUTED_VALUE"""),"SQL")</f>
        <v>SQL</v>
      </c>
      <c r="H300" s="9" t="str">
        <f>IFERROR(__xludf.DUMMYFUNCTION("""COMPUTED_VALUE"""),"JavaScript")</f>
        <v>JavaScript</v>
      </c>
      <c r="I300" s="9" t="str">
        <f>IFERROR(__xludf.DUMMYFUNCTION("""COMPUTED_VALUE"""),"JavaScript")</f>
        <v>JavaScript</v>
      </c>
      <c r="J300" s="9" t="str">
        <f>IFERROR(__xludf.DUMMYFUNCTION("""COMPUTED_VALUE"""),"Bash/Shell/PowerShell")</f>
        <v>Bash/Shell/PowerShell</v>
      </c>
      <c r="K300" s="9" t="str">
        <f>IFERROR(__xludf.DUMMYFUNCTION("""COMPUTED_VALUE"""),"C")</f>
        <v>C</v>
      </c>
      <c r="L300" s="9" t="str">
        <f>IFERROR(__xludf.DUMMYFUNCTION("""COMPUTED_VALUE"""),"Rust")</f>
        <v>Rust</v>
      </c>
      <c r="M300" s="9" t="s">
        <v>30</v>
      </c>
    </row>
    <row r="301" ht="15.75" customHeight="1">
      <c r="A301" s="7"/>
      <c r="B301" s="7" t="str">
        <f>IFERROR(__xludf.DUMMYFUNCTION("""COMPUTED_VALUE"""),"JavaScript")</f>
        <v>JavaScript</v>
      </c>
      <c r="C301" s="9" t="str">
        <f>IFERROR(__xludf.DUMMYFUNCTION("""COMPUTED_VALUE"""),"Go")</f>
        <v>Go</v>
      </c>
      <c r="D301" s="9" t="str">
        <f>IFERROR(__xludf.DUMMYFUNCTION("""COMPUTED_VALUE"""),"HTML/CSS")</f>
        <v>HTML/CSS</v>
      </c>
      <c r="E301" s="9" t="str">
        <f>IFERROR(__xludf.DUMMYFUNCTION("""COMPUTED_VALUE"""),"Python")</f>
        <v>Python</v>
      </c>
      <c r="F301" s="9" t="str">
        <f>IFERROR(__xludf.DUMMYFUNCTION("""COMPUTED_VALUE"""),"Java")</f>
        <v>Java</v>
      </c>
      <c r="G301" s="9" t="str">
        <f>IFERROR(__xludf.DUMMYFUNCTION("""COMPUTED_VALUE"""),"TypeScript")</f>
        <v>TypeScript</v>
      </c>
      <c r="H301" s="9" t="str">
        <f>IFERROR(__xludf.DUMMYFUNCTION("""COMPUTED_VALUE"""),"Python")</f>
        <v>Python</v>
      </c>
      <c r="I301" s="9" t="str">
        <f>IFERROR(__xludf.DUMMYFUNCTION("""COMPUTED_VALUE"""),"Kotlin")</f>
        <v>Kotlin</v>
      </c>
      <c r="J301" s="9" t="str">
        <f>IFERROR(__xludf.DUMMYFUNCTION("""COMPUTED_VALUE"""),"Dart")</f>
        <v>Dart</v>
      </c>
      <c r="K301" s="9" t="str">
        <f>IFERROR(__xludf.DUMMYFUNCTION("""COMPUTED_VALUE"""),"C++")</f>
        <v>C++</v>
      </c>
      <c r="L301" s="9" t="str">
        <f>IFERROR(__xludf.DUMMYFUNCTION("""COMPUTED_VALUE"""),"TypeScript")</f>
        <v>TypeScript</v>
      </c>
      <c r="M301" s="9" t="s">
        <v>36</v>
      </c>
    </row>
    <row r="302" ht="15.75" customHeight="1">
      <c r="A302" s="7"/>
      <c r="B302" s="7" t="str">
        <f>IFERROR(__xludf.DUMMYFUNCTION("""COMPUTED_VALUE"""),"Bash/Shell/PowerShell;Go;HTML/CSS;JavaScript;Python;Rust;SQL")</f>
        <v>Bash/Shell/PowerShell;Go;HTML/CSS;JavaScript;Python;Rust;SQL</v>
      </c>
      <c r="C302" s="9" t="str">
        <f>IFERROR(__xludf.DUMMYFUNCTION("""COMPUTED_VALUE"""),"JavaScript")</f>
        <v>JavaScript</v>
      </c>
      <c r="D302" s="9" t="str">
        <f>IFERROR(__xludf.DUMMYFUNCTION("""COMPUTED_VALUE"""),"Java")</f>
        <v>Java</v>
      </c>
      <c r="E302" s="9" t="str">
        <f>IFERROR(__xludf.DUMMYFUNCTION("""COMPUTED_VALUE"""),"C#")</f>
        <v>C#</v>
      </c>
      <c r="F302" s="9" t="str">
        <f>IFERROR(__xludf.DUMMYFUNCTION("""COMPUTED_VALUE"""),"Kotlin")</f>
        <v>Kotlin</v>
      </c>
      <c r="G302" s="9" t="str">
        <f>IFERROR(__xludf.DUMMYFUNCTION("""COMPUTED_VALUE"""),"Python")</f>
        <v>Python</v>
      </c>
      <c r="H302" s="9" t="str">
        <f>IFERROR(__xludf.DUMMYFUNCTION("""COMPUTED_VALUE"""),"Ruby")</f>
        <v>Ruby</v>
      </c>
      <c r="I302" s="9" t="str">
        <f>IFERROR(__xludf.DUMMYFUNCTION("""COMPUTED_VALUE"""),"PHP")</f>
        <v>PHP</v>
      </c>
      <c r="J302" s="9" t="str">
        <f>IFERROR(__xludf.DUMMYFUNCTION("""COMPUTED_VALUE"""),"HTML/CSS")</f>
        <v>HTML/CSS</v>
      </c>
      <c r="K302" s="9" t="str">
        <f>IFERROR(__xludf.DUMMYFUNCTION("""COMPUTED_VALUE"""),"HTML/CSS")</f>
        <v>HTML/CSS</v>
      </c>
      <c r="L302" s="9" t="str">
        <f>IFERROR(__xludf.DUMMYFUNCTION("""COMPUTED_VALUE"""),"WebAssembly")</f>
        <v>WebAssembly</v>
      </c>
      <c r="M302" s="9" t="s">
        <v>21</v>
      </c>
    </row>
    <row r="303" ht="15.75" customHeight="1">
      <c r="A303" s="7"/>
      <c r="B303" s="7" t="str">
        <f>IFERROR(__xludf.DUMMYFUNCTION("""COMPUTED_VALUE"""),"C#;HTML/CSS;JavaScript;SQL")</f>
        <v>C#;HTML/CSS;JavaScript;SQL</v>
      </c>
      <c r="C303" s="9" t="str">
        <f>IFERROR(__xludf.DUMMYFUNCTION("""COMPUTED_VALUE"""),"PHP")</f>
        <v>PHP</v>
      </c>
      <c r="D303" s="9" t="str">
        <f>IFERROR(__xludf.DUMMYFUNCTION("""COMPUTED_VALUE"""),"JavaScript")</f>
        <v>JavaScript</v>
      </c>
      <c r="E303" s="9" t="str">
        <f>IFERROR(__xludf.DUMMYFUNCTION("""COMPUTED_VALUE"""),"HTML/CSS")</f>
        <v>HTML/CSS</v>
      </c>
      <c r="F303" s="9" t="str">
        <f>IFERROR(__xludf.DUMMYFUNCTION("""COMPUTED_VALUE"""),"Objective-C")</f>
        <v>Objective-C</v>
      </c>
      <c r="G303" s="9" t="str">
        <f>IFERROR(__xludf.DUMMYFUNCTION("""COMPUTED_VALUE"""),"Bash/Shell/PowerShell")</f>
        <v>Bash/Shell/PowerShell</v>
      </c>
      <c r="H303" s="9" t="str">
        <f>IFERROR(__xludf.DUMMYFUNCTION("""COMPUTED_VALUE"""),"Bash/Shell/PowerShell")</f>
        <v>Bash/Shell/PowerShell</v>
      </c>
      <c r="I303" s="9" t="str">
        <f>IFERROR(__xludf.DUMMYFUNCTION("""COMPUTED_VALUE"""),"SQL")</f>
        <v>SQL</v>
      </c>
      <c r="J303" s="9" t="str">
        <f>IFERROR(__xludf.DUMMYFUNCTION("""COMPUTED_VALUE"""),"JavaScript")</f>
        <v>JavaScript</v>
      </c>
      <c r="K303" s="9" t="str">
        <f>IFERROR(__xludf.DUMMYFUNCTION("""COMPUTED_VALUE"""),"JavaScript")</f>
        <v>JavaScript</v>
      </c>
      <c r="L303" s="9" t="str">
        <f>IFERROR(__xludf.DUMMYFUNCTION("""COMPUTED_VALUE"""),"C")</f>
        <v>C</v>
      </c>
      <c r="M303" s="9" t="s">
        <v>37</v>
      </c>
    </row>
    <row r="304" ht="15.75" customHeight="1">
      <c r="A304" s="7"/>
      <c r="B304" s="7" t="str">
        <f>IFERROR(__xludf.DUMMYFUNCTION("""COMPUTED_VALUE"""),"C;HTML/CSS;JavaScript;Python;SQL;TypeScript")</f>
        <v>C;HTML/CSS;JavaScript;Python;SQL;TypeScript</v>
      </c>
      <c r="C304" s="9" t="str">
        <f>IFERROR(__xludf.DUMMYFUNCTION("""COMPUTED_VALUE"""),"Python")</f>
        <v>Python</v>
      </c>
      <c r="D304" s="9" t="str">
        <f>IFERROR(__xludf.DUMMYFUNCTION("""COMPUTED_VALUE"""),"Ruby")</f>
        <v>Ruby</v>
      </c>
      <c r="E304" s="9" t="str">
        <f>IFERROR(__xludf.DUMMYFUNCTION("""COMPUTED_VALUE"""),"JavaScript")</f>
        <v>JavaScript</v>
      </c>
      <c r="F304" s="9" t="str">
        <f>IFERROR(__xludf.DUMMYFUNCTION("""COMPUTED_VALUE"""),"Python")</f>
        <v>Python</v>
      </c>
      <c r="G304" s="9" t="str">
        <f>IFERROR(__xludf.DUMMYFUNCTION("""COMPUTED_VALUE"""),"C#")</f>
        <v>C#</v>
      </c>
      <c r="H304" s="9" t="str">
        <f>IFERROR(__xludf.DUMMYFUNCTION("""COMPUTED_VALUE"""),"C#")</f>
        <v>C#</v>
      </c>
      <c r="I304" s="9" t="str">
        <f>IFERROR(__xludf.DUMMYFUNCTION("""COMPUTED_VALUE"""),"Swift")</f>
        <v>Swift</v>
      </c>
      <c r="J304" s="9" t="str">
        <f>IFERROR(__xludf.DUMMYFUNCTION("""COMPUTED_VALUE"""),"Python")</f>
        <v>Python</v>
      </c>
      <c r="K304" s="9" t="str">
        <f>IFERROR(__xludf.DUMMYFUNCTION("""COMPUTED_VALUE"""),"Python")</f>
        <v>Python</v>
      </c>
      <c r="L304" s="9" t="str">
        <f>IFERROR(__xludf.DUMMYFUNCTION("""COMPUTED_VALUE"""),"C++")</f>
        <v>C++</v>
      </c>
      <c r="M304" s="9" t="s">
        <v>22</v>
      </c>
    </row>
    <row r="305" ht="15.75" customHeight="1">
      <c r="A305" s="7"/>
      <c r="B305" s="7" t="str">
        <f>IFERROR(__xludf.DUMMYFUNCTION("""COMPUTED_VALUE"""),"Assembly;Bash/Shell/PowerShell;C;HTML/CSS;Java;PHP;Python;R;SQL")</f>
        <v>Assembly;Bash/Shell/PowerShell;C;HTML/CSS;Java;PHP;Python;R;SQL</v>
      </c>
      <c r="C305" s="9" t="str">
        <f>IFERROR(__xludf.DUMMYFUNCTION("""COMPUTED_VALUE"""),"Ruby")</f>
        <v>Ruby</v>
      </c>
      <c r="D305" s="9" t="str">
        <f>IFERROR(__xludf.DUMMYFUNCTION("""COMPUTED_VALUE"""),"SQL")</f>
        <v>SQL</v>
      </c>
      <c r="E305" s="9" t="str">
        <f>IFERROR(__xludf.DUMMYFUNCTION("""COMPUTED_VALUE"""),"TypeScript")</f>
        <v>TypeScript</v>
      </c>
      <c r="F305" s="9" t="str">
        <f>IFERROR(__xludf.DUMMYFUNCTION("""COMPUTED_VALUE"""),"Swift")</f>
        <v>Swift</v>
      </c>
      <c r="G305" s="9" t="str">
        <f>IFERROR(__xludf.DUMMYFUNCTION("""COMPUTED_VALUE"""),"Go")</f>
        <v>Go</v>
      </c>
      <c r="H305" s="9" t="str">
        <f>IFERROR(__xludf.DUMMYFUNCTION("""COMPUTED_VALUE"""),"HTML/CSS")</f>
        <v>HTML/CSS</v>
      </c>
      <c r="I305" s="9" t="str">
        <f>IFERROR(__xludf.DUMMYFUNCTION("""COMPUTED_VALUE"""),"VBA")</f>
        <v>VBA</v>
      </c>
      <c r="J305" s="9" t="str">
        <f>IFERROR(__xludf.DUMMYFUNCTION("""COMPUTED_VALUE"""),"Ruby")</f>
        <v>Ruby</v>
      </c>
      <c r="K305" s="9" t="str">
        <f>IFERROR(__xludf.DUMMYFUNCTION("""COMPUTED_VALUE"""),"Rust")</f>
        <v>Rust</v>
      </c>
      <c r="L305" s="9" t="str">
        <f>IFERROR(__xludf.DUMMYFUNCTION("""COMPUTED_VALUE"""),"Java")</f>
        <v>Java</v>
      </c>
      <c r="M305" s="9" t="s">
        <v>31</v>
      </c>
    </row>
    <row r="306" ht="15.75" customHeight="1">
      <c r="A306" s="7"/>
      <c r="B306" s="7" t="str">
        <f>IFERROR(__xludf.DUMMYFUNCTION("""COMPUTED_VALUE"""),"HTML/CSS;JavaScript;Ruby")</f>
        <v>HTML/CSS;JavaScript;Ruby</v>
      </c>
      <c r="C306" s="9" t="str">
        <f>IFERROR(__xludf.DUMMYFUNCTION("""COMPUTED_VALUE"""),"SQL")</f>
        <v>SQL</v>
      </c>
      <c r="D306" s="9" t="str">
        <f>IFERROR(__xludf.DUMMYFUNCTION("""COMPUTED_VALUE"""),"TypeScript")</f>
        <v>TypeScript</v>
      </c>
      <c r="E306" s="9" t="str">
        <f>IFERROR(__xludf.DUMMYFUNCTION("""COMPUTED_VALUE"""),"Objective-C")</f>
        <v>Objective-C</v>
      </c>
      <c r="F306" s="9" t="str">
        <f>IFERROR(__xludf.DUMMYFUNCTION("""COMPUTED_VALUE"""),"Objective-C")</f>
        <v>Objective-C</v>
      </c>
      <c r="G306" s="9" t="str">
        <f>IFERROR(__xludf.DUMMYFUNCTION("""COMPUTED_VALUE"""),"HTML/CSS")</f>
        <v>HTML/CSS</v>
      </c>
      <c r="H306" s="9" t="str">
        <f>IFERROR(__xludf.DUMMYFUNCTION("""COMPUTED_VALUE"""),"JavaScript")</f>
        <v>JavaScript</v>
      </c>
      <c r="I306" s="9" t="str">
        <f>IFERROR(__xludf.DUMMYFUNCTION("""COMPUTED_VALUE"""),"Other(s):")</f>
        <v>Other(s):</v>
      </c>
      <c r="J306" s="9" t="str">
        <f>IFERROR(__xludf.DUMMYFUNCTION("""COMPUTED_VALUE"""),"C++")</f>
        <v>C++</v>
      </c>
      <c r="K306" s="9" t="str">
        <f>IFERROR(__xludf.DUMMYFUNCTION("""COMPUTED_VALUE"""),"HTML/CSS")</f>
        <v>HTML/CSS</v>
      </c>
      <c r="L306" s="9" t="str">
        <f>IFERROR(__xludf.DUMMYFUNCTION("""COMPUTED_VALUE"""),"Scala")</f>
        <v>Scala</v>
      </c>
      <c r="M306" s="9" t="s">
        <v>27</v>
      </c>
    </row>
    <row r="307" ht="15.75" customHeight="1">
      <c r="A307" s="7"/>
      <c r="B307" s="7" t="str">
        <f>IFERROR(__xludf.DUMMYFUNCTION("""COMPUTED_VALUE"""),"Java")</f>
        <v>Java</v>
      </c>
      <c r="C307" s="9" t="str">
        <f>IFERROR(__xludf.DUMMYFUNCTION("""COMPUTED_VALUE"""),"C++")</f>
        <v>C++</v>
      </c>
      <c r="D307" s="9" t="str">
        <f>IFERROR(__xludf.DUMMYFUNCTION("""COMPUTED_VALUE"""),"Other(s):")</f>
        <v>Other(s):</v>
      </c>
      <c r="E307" s="9" t="str">
        <f>IFERROR(__xludf.DUMMYFUNCTION("""COMPUTED_VALUE"""),"Swift")</f>
        <v>Swift</v>
      </c>
      <c r="F307" s="9" t="str">
        <f>IFERROR(__xludf.DUMMYFUNCTION("""COMPUTED_VALUE"""),"Swift")</f>
        <v>Swift</v>
      </c>
      <c r="G307" s="9" t="str">
        <f>IFERROR(__xludf.DUMMYFUNCTION("""COMPUTED_VALUE"""),"JavaScript")</f>
        <v>JavaScript</v>
      </c>
      <c r="H307" s="9" t="str">
        <f>IFERROR(__xludf.DUMMYFUNCTION("""COMPUTED_VALUE"""),"SQL")</f>
        <v>SQL</v>
      </c>
      <c r="I307" s="9" t="str">
        <f>IFERROR(__xludf.DUMMYFUNCTION("""COMPUTED_VALUE"""),"C#")</f>
        <v>C#</v>
      </c>
      <c r="J307" s="9" t="str">
        <f>IFERROR(__xludf.DUMMYFUNCTION("""COMPUTED_VALUE"""),"C#")</f>
        <v>C#</v>
      </c>
      <c r="K307" s="9" t="str">
        <f>IFERROR(__xludf.DUMMYFUNCTION("""COMPUTED_VALUE"""),"Java")</f>
        <v>Java</v>
      </c>
      <c r="L307" s="9" t="str">
        <f>IFERROR(__xludf.DUMMYFUNCTION("""COMPUTED_VALUE"""),"Bash/Shell/PowerShell")</f>
        <v>Bash/Shell/PowerShell</v>
      </c>
      <c r="M307" s="9" t="s">
        <v>23</v>
      </c>
    </row>
    <row r="308" ht="15.75" customHeight="1">
      <c r="A308" s="7"/>
      <c r="B308" s="7" t="str">
        <f>IFERROR(__xludf.DUMMYFUNCTION("""COMPUTED_VALUE"""),"C#;HTML/CSS;JavaScript;SQL;Swift")</f>
        <v>C#;HTML/CSS;JavaScript;SQL;Swift</v>
      </c>
      <c r="C308" s="9" t="str">
        <f>IFERROR(__xludf.DUMMYFUNCTION("""COMPUTED_VALUE"""),"C#")</f>
        <v>C#</v>
      </c>
      <c r="D308" s="9" t="str">
        <f>IFERROR(__xludf.DUMMYFUNCTION("""COMPUTED_VALUE"""),"JavaScript")</f>
        <v>JavaScript</v>
      </c>
      <c r="E308" s="9" t="str">
        <f>IFERROR(__xludf.DUMMYFUNCTION("""COMPUTED_VALUE"""),"HTML/CSS")</f>
        <v>HTML/CSS</v>
      </c>
      <c r="F308" s="9" t="str">
        <f>IFERROR(__xludf.DUMMYFUNCTION("""COMPUTED_VALUE"""),"Bash/Shell/PowerShell")</f>
        <v>Bash/Shell/PowerShell</v>
      </c>
      <c r="G308" s="9" t="str">
        <f>IFERROR(__xludf.DUMMYFUNCTION("""COMPUTED_VALUE"""),"SQL")</f>
        <v>SQL</v>
      </c>
      <c r="H308" s="9" t="str">
        <f>IFERROR(__xludf.DUMMYFUNCTION("""COMPUTED_VALUE"""),"C")</f>
        <v>C</v>
      </c>
      <c r="I308" s="9" t="str">
        <f>IFERROR(__xludf.DUMMYFUNCTION("""COMPUTED_VALUE"""),"Go")</f>
        <v>Go</v>
      </c>
      <c r="J308" s="9" t="str">
        <f>IFERROR(__xludf.DUMMYFUNCTION("""COMPUTED_VALUE"""),"HTML/CSS")</f>
        <v>HTML/CSS</v>
      </c>
      <c r="K308" s="9" t="str">
        <f>IFERROR(__xludf.DUMMYFUNCTION("""COMPUTED_VALUE"""),"Python")</f>
        <v>Python</v>
      </c>
      <c r="L308" s="9" t="str">
        <f>IFERROR(__xludf.DUMMYFUNCTION("""COMPUTED_VALUE"""),"C")</f>
        <v>C</v>
      </c>
      <c r="M308" s="9" t="s">
        <v>26</v>
      </c>
    </row>
    <row r="309" ht="15.75" customHeight="1">
      <c r="A309" s="7"/>
      <c r="B309" s="7" t="str">
        <f>IFERROR(__xludf.DUMMYFUNCTION("""COMPUTED_VALUE"""),"Assembly;C;C++;C#;HTML/CSS;Java;Python;Scala;SQL")</f>
        <v>Assembly;C;C++;C#;HTML/CSS;Java;Python;Scala;SQL</v>
      </c>
      <c r="C309" s="9" t="str">
        <f>IFERROR(__xludf.DUMMYFUNCTION("""COMPUTED_VALUE"""),"HTML/CSS")</f>
        <v>HTML/CSS</v>
      </c>
      <c r="D309" s="9" t="str">
        <f>IFERROR(__xludf.DUMMYFUNCTION("""COMPUTED_VALUE"""),"PHP")</f>
        <v>PHP</v>
      </c>
      <c r="E309" s="9" t="str">
        <f>IFERROR(__xludf.DUMMYFUNCTION("""COMPUTED_VALUE"""),"JavaScript")</f>
        <v>JavaScript</v>
      </c>
      <c r="F309" s="9" t="str">
        <f>IFERROR(__xludf.DUMMYFUNCTION("""COMPUTED_VALUE"""),"C")</f>
        <v>C</v>
      </c>
      <c r="G309" s="9" t="str">
        <f>IFERROR(__xludf.DUMMYFUNCTION("""COMPUTED_VALUE"""),"TypeScript")</f>
        <v>TypeScript</v>
      </c>
      <c r="H309" s="9" t="str">
        <f>IFERROR(__xludf.DUMMYFUNCTION("""COMPUTED_VALUE"""),"C++")</f>
        <v>C++</v>
      </c>
      <c r="I309" s="9" t="str">
        <f>IFERROR(__xludf.DUMMYFUNCTION("""COMPUTED_VALUE"""),"Java")</f>
        <v>Java</v>
      </c>
      <c r="J309" s="9" t="str">
        <f>IFERROR(__xludf.DUMMYFUNCTION("""COMPUTED_VALUE"""),"JavaScript")</f>
        <v>JavaScript</v>
      </c>
      <c r="K309" s="9" t="str">
        <f>IFERROR(__xludf.DUMMYFUNCTION("""COMPUTED_VALUE"""),"C++")</f>
        <v>C++</v>
      </c>
      <c r="L309" s="9" t="str">
        <f>IFERROR(__xludf.DUMMYFUNCTION("""COMPUTED_VALUE"""),"HTML/CSS")</f>
        <v>HTML/CSS</v>
      </c>
      <c r="M309" s="9" t="s">
        <v>24</v>
      </c>
    </row>
    <row r="310" ht="15.75" customHeight="1">
      <c r="A310" s="7"/>
      <c r="B310" s="7" t="str">
        <f>IFERROR(__xludf.DUMMYFUNCTION("""COMPUTED_VALUE"""),"Bash/Shell/PowerShell;Python;Ruby;SQL")</f>
        <v>Bash/Shell/PowerShell;Python;Ruby;SQL</v>
      </c>
      <c r="C310" s="9" t="str">
        <f>IFERROR(__xludf.DUMMYFUNCTION("""COMPUTED_VALUE"""),"JavaScript")</f>
        <v>JavaScript</v>
      </c>
      <c r="D310" s="9" t="str">
        <f>IFERROR(__xludf.DUMMYFUNCTION("""COMPUTED_VALUE"""),"Python")</f>
        <v>Python</v>
      </c>
      <c r="E310" s="9" t="str">
        <f>IFERROR(__xludf.DUMMYFUNCTION("""COMPUTED_VALUE"""),"Assembly")</f>
        <v>Assembly</v>
      </c>
      <c r="F310" s="9" t="str">
        <f>IFERROR(__xludf.DUMMYFUNCTION("""COMPUTED_VALUE"""),"HTML/CSS")</f>
        <v>HTML/CSS</v>
      </c>
      <c r="G310" s="9" t="str">
        <f>IFERROR(__xludf.DUMMYFUNCTION("""COMPUTED_VALUE"""),"C#")</f>
        <v>C#</v>
      </c>
      <c r="H310" s="9" t="str">
        <f>IFERROR(__xludf.DUMMYFUNCTION("""COMPUTED_VALUE"""),"C#")</f>
        <v>C#</v>
      </c>
      <c r="I310" s="9" t="str">
        <f>IFERROR(__xludf.DUMMYFUNCTION("""COMPUTED_VALUE"""),"JavaScript")</f>
        <v>JavaScript</v>
      </c>
      <c r="J310" s="9" t="str">
        <f>IFERROR(__xludf.DUMMYFUNCTION("""COMPUTED_VALUE"""),"PHP")</f>
        <v>PHP</v>
      </c>
      <c r="K310" s="9" t="str">
        <f>IFERROR(__xludf.DUMMYFUNCTION("""COMPUTED_VALUE"""),"HTML/CSS")</f>
        <v>HTML/CSS</v>
      </c>
      <c r="L310" s="9" t="str">
        <f>IFERROR(__xludf.DUMMYFUNCTION("""COMPUTED_VALUE"""),"Java")</f>
        <v>Java</v>
      </c>
      <c r="M310" s="9" t="s">
        <v>21</v>
      </c>
    </row>
    <row r="311" ht="15.75" customHeight="1">
      <c r="A311" s="7"/>
      <c r="B311" s="7" t="str">
        <f>IFERROR(__xludf.DUMMYFUNCTION("""COMPUTED_VALUE"""),"C;C#;HTML/CSS;PHP;Python")</f>
        <v>C;C#;HTML/CSS;PHP;Python</v>
      </c>
      <c r="C311" s="9" t="str">
        <f>IFERROR(__xludf.DUMMYFUNCTION("""COMPUTED_VALUE"""),"PHP")</f>
        <v>PHP</v>
      </c>
      <c r="D311" s="9" t="str">
        <f>IFERROR(__xludf.DUMMYFUNCTION("""COMPUTED_VALUE"""),"Objective-C")</f>
        <v>Objective-C</v>
      </c>
      <c r="E311" s="9" t="str">
        <f>IFERROR(__xludf.DUMMYFUNCTION("""COMPUTED_VALUE"""),"Bash/Shell/PowerShell")</f>
        <v>Bash/Shell/PowerShell</v>
      </c>
      <c r="F311" s="9" t="str">
        <f>IFERROR(__xludf.DUMMYFUNCTION("""COMPUTED_VALUE"""),"Java")</f>
        <v>Java</v>
      </c>
      <c r="G311" s="9" t="str">
        <f>IFERROR(__xludf.DUMMYFUNCTION("""COMPUTED_VALUE"""),"Erlang")</f>
        <v>Erlang</v>
      </c>
      <c r="H311" s="9" t="str">
        <f>IFERROR(__xludf.DUMMYFUNCTION("""COMPUTED_VALUE"""),"HTML/CSS")</f>
        <v>HTML/CSS</v>
      </c>
      <c r="I311" s="9" t="str">
        <f>IFERROR(__xludf.DUMMYFUNCTION("""COMPUTED_VALUE"""),"PHP")</f>
        <v>PHP</v>
      </c>
      <c r="J311" s="9" t="str">
        <f>IFERROR(__xludf.DUMMYFUNCTION("""COMPUTED_VALUE"""),"Python")</f>
        <v>Python</v>
      </c>
      <c r="K311" s="9" t="str">
        <f>IFERROR(__xludf.DUMMYFUNCTION("""COMPUTED_VALUE"""),"JavaScript")</f>
        <v>JavaScript</v>
      </c>
      <c r="L311" s="9" t="str">
        <f>IFERROR(__xludf.DUMMYFUNCTION("""COMPUTED_VALUE"""),"JavaScript")</f>
        <v>JavaScript</v>
      </c>
      <c r="M311" s="9" t="s">
        <v>37</v>
      </c>
    </row>
    <row r="312" ht="15.75" customHeight="1">
      <c r="A312" s="7"/>
      <c r="B312" s="7" t="str">
        <f>IFERROR(__xludf.DUMMYFUNCTION("""COMPUTED_VALUE"""),"C;Python")</f>
        <v>C;Python</v>
      </c>
      <c r="C312" s="9" t="str">
        <f>IFERROR(__xludf.DUMMYFUNCTION("""COMPUTED_VALUE"""),"Python")</f>
        <v>Python</v>
      </c>
      <c r="D312" s="9" t="str">
        <f>IFERROR(__xludf.DUMMYFUNCTION("""COMPUTED_VALUE"""),"Swift")</f>
        <v>Swift</v>
      </c>
      <c r="E312" s="9" t="str">
        <f>IFERROR(__xludf.DUMMYFUNCTION("""COMPUTED_VALUE"""),"HTML/CSS")</f>
        <v>HTML/CSS</v>
      </c>
      <c r="F312" s="9" t="str">
        <f>IFERROR(__xludf.DUMMYFUNCTION("""COMPUTED_VALUE"""),"JavaScript")</f>
        <v>JavaScript</v>
      </c>
      <c r="G312" s="9" t="str">
        <f>IFERROR(__xludf.DUMMYFUNCTION("""COMPUTED_VALUE"""),"HTML/CSS")</f>
        <v>HTML/CSS</v>
      </c>
      <c r="H312" s="9" t="str">
        <f>IFERROR(__xludf.DUMMYFUNCTION("""COMPUTED_VALUE"""),"Assembly")</f>
        <v>Assembly</v>
      </c>
      <c r="I312" s="9" t="str">
        <f>IFERROR(__xludf.DUMMYFUNCTION("""COMPUTED_VALUE"""),"SQL")</f>
        <v>SQL</v>
      </c>
      <c r="J312" s="9" t="str">
        <f>IFERROR(__xludf.DUMMYFUNCTION("""COMPUTED_VALUE"""),"SQL")</f>
        <v>SQL</v>
      </c>
      <c r="K312" s="9" t="str">
        <f>IFERROR(__xludf.DUMMYFUNCTION("""COMPUTED_VALUE"""),"PHP")</f>
        <v>PHP</v>
      </c>
      <c r="L312" s="9" t="str">
        <f>IFERROR(__xludf.DUMMYFUNCTION("""COMPUTED_VALUE"""),"Objective-C")</f>
        <v>Objective-C</v>
      </c>
      <c r="M312" s="9" t="s">
        <v>22</v>
      </c>
    </row>
    <row r="313" ht="15.75" customHeight="1">
      <c r="A313" s="7"/>
      <c r="B313" s="7" t="str">
        <f>IFERROR(__xludf.DUMMYFUNCTION("""COMPUTED_VALUE"""),"C++;HTML/CSS;Java;JavaScript;Python;SQL;Other(s):")</f>
        <v>C++;HTML/CSS;Java;JavaScript;Python;SQL;Other(s):</v>
      </c>
      <c r="C313" s="9" t="str">
        <f>IFERROR(__xludf.DUMMYFUNCTION("""COMPUTED_VALUE"""),"SQL")</f>
        <v>SQL</v>
      </c>
      <c r="D313" s="9" t="str">
        <f>IFERROR(__xludf.DUMMYFUNCTION("""COMPUTED_VALUE"""),"HTML/CSS")</f>
        <v>HTML/CSS</v>
      </c>
      <c r="E313" s="9" t="str">
        <f>IFERROR(__xludf.DUMMYFUNCTION("""COMPUTED_VALUE"""),"JavaScript")</f>
        <v>JavaScript</v>
      </c>
      <c r="F313" s="9" t="str">
        <f>IFERROR(__xludf.DUMMYFUNCTION("""COMPUTED_VALUE"""),"Python")</f>
        <v>Python</v>
      </c>
      <c r="G313" s="9" t="str">
        <f>IFERROR(__xludf.DUMMYFUNCTION("""COMPUTED_VALUE"""),"JavaScript")</f>
        <v>JavaScript</v>
      </c>
      <c r="H313" s="9" t="str">
        <f>IFERROR(__xludf.DUMMYFUNCTION("""COMPUTED_VALUE"""),"C")</f>
        <v>C</v>
      </c>
      <c r="I313" s="9" t="str">
        <f>IFERROR(__xludf.DUMMYFUNCTION("""COMPUTED_VALUE"""),"Other(s):")</f>
        <v>Other(s):</v>
      </c>
      <c r="J313" s="9" t="str">
        <f>IFERROR(__xludf.DUMMYFUNCTION("""COMPUTED_VALUE"""),"Other(s):")</f>
        <v>Other(s):</v>
      </c>
      <c r="K313" s="9" t="str">
        <f>IFERROR(__xludf.DUMMYFUNCTION("""COMPUTED_VALUE"""),"SQL")</f>
        <v>SQL</v>
      </c>
      <c r="L313" s="9" t="str">
        <f>IFERROR(__xludf.DUMMYFUNCTION("""COMPUTED_VALUE"""),"PHP")</f>
        <v>PHP</v>
      </c>
      <c r="M313" s="9" t="s">
        <v>27</v>
      </c>
    </row>
    <row r="314" ht="15.75" customHeight="1">
      <c r="A314" s="7"/>
      <c r="B314" s="7" t="str">
        <f>IFERROR(__xludf.DUMMYFUNCTION("""COMPUTED_VALUE"""),"Bash/Shell/PowerShell;C++;HTML/CSS;Java;JavaScript;Python")</f>
        <v>Bash/Shell/PowerShell;C++;HTML/CSS;Java;JavaScript;Python</v>
      </c>
      <c r="C314" s="9" t="str">
        <f>IFERROR(__xludf.DUMMYFUNCTION("""COMPUTED_VALUE"""),"VBA")</f>
        <v>VBA</v>
      </c>
      <c r="D314" s="9" t="str">
        <f>IFERROR(__xludf.DUMMYFUNCTION("""COMPUTED_VALUE"""),"JavaScript")</f>
        <v>JavaScript</v>
      </c>
      <c r="E314" s="9" t="str">
        <f>IFERROR(__xludf.DUMMYFUNCTION("""COMPUTED_VALUE"""),"PHP")</f>
        <v>PHP</v>
      </c>
      <c r="F314" s="9" t="str">
        <f>IFERROR(__xludf.DUMMYFUNCTION("""COMPUTED_VALUE"""),"SQL")</f>
        <v>SQL</v>
      </c>
      <c r="G314" s="9" t="str">
        <f>IFERROR(__xludf.DUMMYFUNCTION("""COMPUTED_VALUE"""),"Ruby")</f>
        <v>Ruby</v>
      </c>
      <c r="H314" s="9" t="str">
        <f>IFERROR(__xludf.DUMMYFUNCTION("""COMPUTED_VALUE"""),"C++")</f>
        <v>C++</v>
      </c>
      <c r="I314" s="9" t="str">
        <f>IFERROR(__xludf.DUMMYFUNCTION("""COMPUTED_VALUE"""),"Bash/Shell/PowerShell")</f>
        <v>Bash/Shell/PowerShell</v>
      </c>
      <c r="J314" s="9" t="str">
        <f>IFERROR(__xludf.DUMMYFUNCTION("""COMPUTED_VALUE"""),"JavaScript")</f>
        <v>JavaScript</v>
      </c>
      <c r="K314" s="9" t="str">
        <f>IFERROR(__xludf.DUMMYFUNCTION("""COMPUTED_VALUE"""),"Bash/Shell/PowerShell")</f>
        <v>Bash/Shell/PowerShell</v>
      </c>
      <c r="L314" s="9" t="str">
        <f>IFERROR(__xludf.DUMMYFUNCTION("""COMPUTED_VALUE"""),"Python")</f>
        <v>Python</v>
      </c>
      <c r="M314" s="9" t="s">
        <v>28</v>
      </c>
    </row>
    <row r="315" ht="15.75" customHeight="1">
      <c r="A315" s="7"/>
      <c r="B315" s="7" t="str">
        <f>IFERROR(__xludf.DUMMYFUNCTION("""COMPUTED_VALUE"""),"Java;SQL")</f>
        <v>Java;SQL</v>
      </c>
      <c r="C315" s="9" t="str">
        <f>IFERROR(__xludf.DUMMYFUNCTION("""COMPUTED_VALUE"""),"Bash/Shell/PowerShell")</f>
        <v>Bash/Shell/PowerShell</v>
      </c>
      <c r="D315" s="9" t="str">
        <f>IFERROR(__xludf.DUMMYFUNCTION("""COMPUTED_VALUE"""),"Bash/Shell/PowerShell")</f>
        <v>Bash/Shell/PowerShell</v>
      </c>
      <c r="E315" s="9" t="str">
        <f>IFERROR(__xludf.DUMMYFUNCTION("""COMPUTED_VALUE"""),"SQL")</f>
        <v>SQL</v>
      </c>
      <c r="F315" s="9" t="str">
        <f>IFERROR(__xludf.DUMMYFUNCTION("""COMPUTED_VALUE"""),"C#")</f>
        <v>C#</v>
      </c>
      <c r="G315" s="9" t="str">
        <f>IFERROR(__xludf.DUMMYFUNCTION("""COMPUTED_VALUE"""),"SQL")</f>
        <v>SQL</v>
      </c>
      <c r="H315" s="9" t="str">
        <f>IFERROR(__xludf.DUMMYFUNCTION("""COMPUTED_VALUE"""),"C#")</f>
        <v>C#</v>
      </c>
      <c r="I315" s="9" t="str">
        <f>IFERROR(__xludf.DUMMYFUNCTION("""COMPUTED_VALUE"""),"HTML/CSS")</f>
        <v>HTML/CSS</v>
      </c>
      <c r="J315" s="9" t="str">
        <f>IFERROR(__xludf.DUMMYFUNCTION("""COMPUTED_VALUE"""),"PHP")</f>
        <v>PHP</v>
      </c>
      <c r="K315" s="9" t="str">
        <f>IFERROR(__xludf.DUMMYFUNCTION("""COMPUTED_VALUE"""),"C#")</f>
        <v>C#</v>
      </c>
      <c r="L315" s="9" t="str">
        <f>IFERROR(__xludf.DUMMYFUNCTION("""COMPUTED_VALUE"""),"SQL")</f>
        <v>SQL</v>
      </c>
      <c r="M315" s="9" t="s">
        <v>30</v>
      </c>
    </row>
    <row r="316" ht="15.75" customHeight="1">
      <c r="A316" s="7"/>
      <c r="B316" s="7" t="str">
        <f>IFERROR(__xludf.DUMMYFUNCTION("""COMPUTED_VALUE"""),"Bash/Shell/PowerShell;Java")</f>
        <v>Bash/Shell/PowerShell;Java</v>
      </c>
      <c r="C316" s="9" t="str">
        <f>IFERROR(__xludf.DUMMYFUNCTION("""COMPUTED_VALUE"""),"C++")</f>
        <v>C++</v>
      </c>
      <c r="D316" s="9" t="str">
        <f>IFERROR(__xludf.DUMMYFUNCTION("""COMPUTED_VALUE"""),"C")</f>
        <v>C</v>
      </c>
      <c r="E316" s="9" t="str">
        <f>IFERROR(__xludf.DUMMYFUNCTION("""COMPUTED_VALUE"""),"Java")</f>
        <v>Java</v>
      </c>
      <c r="F316" s="9" t="str">
        <f>IFERROR(__xludf.DUMMYFUNCTION("""COMPUTED_VALUE"""),"HTML/CSS")</f>
        <v>HTML/CSS</v>
      </c>
      <c r="G316" s="9" t="str">
        <f>IFERROR(__xludf.DUMMYFUNCTION("""COMPUTED_VALUE"""),"TypeScript")</f>
        <v>TypeScript</v>
      </c>
      <c r="H316" s="9" t="str">
        <f>IFERROR(__xludf.DUMMYFUNCTION("""COMPUTED_VALUE"""),"HTML/CSS")</f>
        <v>HTML/CSS</v>
      </c>
      <c r="I316" s="9" t="str">
        <f>IFERROR(__xludf.DUMMYFUNCTION("""COMPUTED_VALUE"""),"JavaScript")</f>
        <v>JavaScript</v>
      </c>
      <c r="J316" s="9" t="str">
        <f>IFERROR(__xludf.DUMMYFUNCTION("""COMPUTED_VALUE"""),"Python")</f>
        <v>Python</v>
      </c>
      <c r="K316" s="9" t="str">
        <f>IFERROR(__xludf.DUMMYFUNCTION("""COMPUTED_VALUE"""),"HTML/CSS")</f>
        <v>HTML/CSS</v>
      </c>
      <c r="L316" s="9" t="str">
        <f>IFERROR(__xludf.DUMMYFUNCTION("""COMPUTED_VALUE"""),"Assembly")</f>
        <v>Assembly</v>
      </c>
      <c r="M316" s="9" t="s">
        <v>23</v>
      </c>
    </row>
    <row r="317" ht="15.75" customHeight="1">
      <c r="A317" s="7"/>
      <c r="B317" s="7" t="str">
        <f>IFERROR(__xludf.DUMMYFUNCTION("""COMPUTED_VALUE"""),"Bash/Shell/PowerShell;HTML/CSS;JavaScript;PHP;TypeScript")</f>
        <v>Bash/Shell/PowerShell;HTML/CSS;JavaScript;PHP;TypeScript</v>
      </c>
      <c r="C317" s="9" t="str">
        <f>IFERROR(__xludf.DUMMYFUNCTION("""COMPUTED_VALUE"""),"Go")</f>
        <v>Go</v>
      </c>
      <c r="D317" s="9" t="str">
        <f>IFERROR(__xludf.DUMMYFUNCTION("""COMPUTED_VALUE"""),"C++")</f>
        <v>C++</v>
      </c>
      <c r="E317" s="9" t="str">
        <f>IFERROR(__xludf.DUMMYFUNCTION("""COMPUTED_VALUE"""),"JavaScript")</f>
        <v>JavaScript</v>
      </c>
      <c r="F317" s="9" t="str">
        <f>IFERROR(__xludf.DUMMYFUNCTION("""COMPUTED_VALUE"""),"Java")</f>
        <v>Java</v>
      </c>
      <c r="G317" s="9" t="str">
        <f>IFERROR(__xludf.DUMMYFUNCTION("""COMPUTED_VALUE"""),"Assembly")</f>
        <v>Assembly</v>
      </c>
      <c r="H317" s="9" t="str">
        <f>IFERROR(__xludf.DUMMYFUNCTION("""COMPUTED_VALUE"""),"Java")</f>
        <v>Java</v>
      </c>
      <c r="I317" s="9" t="str">
        <f>IFERROR(__xludf.DUMMYFUNCTION("""COMPUTED_VALUE"""),"VBA")</f>
        <v>VBA</v>
      </c>
      <c r="J317" s="9" t="str">
        <f>IFERROR(__xludf.DUMMYFUNCTION("""COMPUTED_VALUE"""),"SQL")</f>
        <v>SQL</v>
      </c>
      <c r="K317" s="9" t="str">
        <f>IFERROR(__xludf.DUMMYFUNCTION("""COMPUTED_VALUE"""),"JavaScript")</f>
        <v>JavaScript</v>
      </c>
      <c r="L317" s="9" t="str">
        <f>IFERROR(__xludf.DUMMYFUNCTION("""COMPUTED_VALUE"""),"HTML/CSS")</f>
        <v>HTML/CSS</v>
      </c>
      <c r="M317" s="9" t="s">
        <v>36</v>
      </c>
    </row>
    <row r="318" ht="15.75" customHeight="1">
      <c r="A318" s="7"/>
      <c r="B318" s="7" t="str">
        <f>IFERROR(__xludf.DUMMYFUNCTION("""COMPUTED_VALUE"""),"C#;HTML/CSS;JavaScript;SQL;TypeScript")</f>
        <v>C#;HTML/CSS;JavaScript;SQL;TypeScript</v>
      </c>
      <c r="C318" s="9" t="str">
        <f>IFERROR(__xludf.DUMMYFUNCTION("""COMPUTED_VALUE"""),"HTML/CSS")</f>
        <v>HTML/CSS</v>
      </c>
      <c r="D318" s="9" t="str">
        <f>IFERROR(__xludf.DUMMYFUNCTION("""COMPUTED_VALUE"""),"C#")</f>
        <v>C#</v>
      </c>
      <c r="E318" s="9" t="str">
        <f>IFERROR(__xludf.DUMMYFUNCTION("""COMPUTED_VALUE"""),"Python")</f>
        <v>Python</v>
      </c>
      <c r="F318" s="9" t="str">
        <f>IFERROR(__xludf.DUMMYFUNCTION("""COMPUTED_VALUE"""),"JavaScript")</f>
        <v>JavaScript</v>
      </c>
      <c r="G318" s="9" t="str">
        <f>IFERROR(__xludf.DUMMYFUNCTION("""COMPUTED_VALUE"""),"Bash/Shell/PowerShell")</f>
        <v>Bash/Shell/PowerShell</v>
      </c>
      <c r="H318" s="9" t="str">
        <f>IFERROR(__xludf.DUMMYFUNCTION("""COMPUTED_VALUE"""),"JavaScript")</f>
        <v>JavaScript</v>
      </c>
      <c r="I318" s="9" t="str">
        <f>IFERROR(__xludf.DUMMYFUNCTION("""COMPUTED_VALUE"""),"C")</f>
        <v>C</v>
      </c>
      <c r="J318" s="9" t="str">
        <f>IFERROR(__xludf.DUMMYFUNCTION("""COMPUTED_VALUE"""),"TypeScript")</f>
        <v>TypeScript</v>
      </c>
      <c r="K318" s="9" t="str">
        <f>IFERROR(__xludf.DUMMYFUNCTION("""COMPUTED_VALUE"""),"SQL")</f>
        <v>SQL</v>
      </c>
      <c r="L318" s="9" t="str">
        <f>IFERROR(__xludf.DUMMYFUNCTION("""COMPUTED_VALUE"""),"Java")</f>
        <v>Java</v>
      </c>
      <c r="M318" s="9" t="s">
        <v>24</v>
      </c>
    </row>
    <row r="319" ht="15.75" customHeight="1">
      <c r="A319" s="7"/>
      <c r="B319" s="7" t="str">
        <f>IFERROR(__xludf.DUMMYFUNCTION("""COMPUTED_VALUE"""),"HTML/CSS;Java;JavaScript;Ruby;SQL;TypeScript")</f>
        <v>HTML/CSS;Java;JavaScript;Ruby;SQL;TypeScript</v>
      </c>
      <c r="C319" s="9" t="str">
        <f>IFERROR(__xludf.DUMMYFUNCTION("""COMPUTED_VALUE"""),"Java")</f>
        <v>Java</v>
      </c>
      <c r="D319" s="9" t="str">
        <f>IFERROR(__xludf.DUMMYFUNCTION("""COMPUTED_VALUE"""),"HTML/CSS")</f>
        <v>HTML/CSS</v>
      </c>
      <c r="E319" s="9" t="str">
        <f>IFERROR(__xludf.DUMMYFUNCTION("""COMPUTED_VALUE"""),"Other(s):")</f>
        <v>Other(s):</v>
      </c>
      <c r="F319" s="9" t="str">
        <f>IFERROR(__xludf.DUMMYFUNCTION("""COMPUTED_VALUE"""),"Scala")</f>
        <v>Scala</v>
      </c>
      <c r="G319" s="9" t="str">
        <f>IFERROR(__xludf.DUMMYFUNCTION("""COMPUTED_VALUE"""),"C")</f>
        <v>C</v>
      </c>
      <c r="H319" s="9" t="str">
        <f>IFERROR(__xludf.DUMMYFUNCTION("""COMPUTED_VALUE"""),"PHP")</f>
        <v>PHP</v>
      </c>
      <c r="I319" s="9" t="str">
        <f>IFERROR(__xludf.DUMMYFUNCTION("""COMPUTED_VALUE"""),"C++")</f>
        <v>C++</v>
      </c>
      <c r="J319" s="9" t="str">
        <f>IFERROR(__xludf.DUMMYFUNCTION("""COMPUTED_VALUE"""),"Java")</f>
        <v>Java</v>
      </c>
      <c r="K319" s="9" t="str">
        <f>IFERROR(__xludf.DUMMYFUNCTION("""COMPUTED_VALUE"""),"Other(s):")</f>
        <v>Other(s):</v>
      </c>
      <c r="L319" s="9" t="str">
        <f>IFERROR(__xludf.DUMMYFUNCTION("""COMPUTED_VALUE"""),"Swift")</f>
        <v>Swift</v>
      </c>
      <c r="M319" s="9" t="s">
        <v>20</v>
      </c>
    </row>
    <row r="320" ht="15.75" customHeight="1">
      <c r="A320" s="7"/>
      <c r="B320" s="7" t="str">
        <f>IFERROR(__xludf.DUMMYFUNCTION("""COMPUTED_VALUE"""),"C#;HTML/CSS;Java;Python")</f>
        <v>C#;HTML/CSS;Java;Python</v>
      </c>
      <c r="C320" s="9" t="str">
        <f>IFERROR(__xludf.DUMMYFUNCTION("""COMPUTED_VALUE"""),"JavaScript")</f>
        <v>JavaScript</v>
      </c>
      <c r="D320" s="9" t="str">
        <f>IFERROR(__xludf.DUMMYFUNCTION("""COMPUTED_VALUE"""),"Java")</f>
        <v>Java</v>
      </c>
      <c r="E320" s="9" t="str">
        <f>IFERROR(__xludf.DUMMYFUNCTION("""COMPUTED_VALUE"""),"Java")</f>
        <v>Java</v>
      </c>
      <c r="F320" s="9" t="str">
        <f>IFERROR(__xludf.DUMMYFUNCTION("""COMPUTED_VALUE"""),"SQL")</f>
        <v>SQL</v>
      </c>
      <c r="G320" s="9" t="str">
        <f>IFERROR(__xludf.DUMMYFUNCTION("""COMPUTED_VALUE"""),"C++")</f>
        <v>C++</v>
      </c>
      <c r="H320" s="9" t="str">
        <f>IFERROR(__xludf.DUMMYFUNCTION("""COMPUTED_VALUE"""),"Python")</f>
        <v>Python</v>
      </c>
      <c r="I320" s="9" t="str">
        <f>IFERROR(__xludf.DUMMYFUNCTION("""COMPUTED_VALUE"""),"C#")</f>
        <v>C#</v>
      </c>
      <c r="J320" s="9" t="str">
        <f>IFERROR(__xludf.DUMMYFUNCTION("""COMPUTED_VALUE"""),"JavaScript")</f>
        <v>JavaScript</v>
      </c>
      <c r="K320" s="9" t="str">
        <f>IFERROR(__xludf.DUMMYFUNCTION("""COMPUTED_VALUE"""),"HTML/CSS")</f>
        <v>HTML/CSS</v>
      </c>
      <c r="L320" s="9" t="str">
        <f>IFERROR(__xludf.DUMMYFUNCTION("""COMPUTED_VALUE"""),"HTML/CSS")</f>
        <v>HTML/CSS</v>
      </c>
      <c r="M320" s="9" t="s">
        <v>21</v>
      </c>
    </row>
    <row r="321" ht="15.75" customHeight="1">
      <c r="A321" s="7"/>
      <c r="B321" s="7" t="str">
        <f>IFERROR(__xludf.DUMMYFUNCTION("""COMPUTED_VALUE"""),"Bash/Shell/PowerShell;C#;HTML/CSS;JavaScript;SQL")</f>
        <v>Bash/Shell/PowerShell;C#;HTML/CSS;JavaScript;SQL</v>
      </c>
      <c r="C321" s="9" t="str">
        <f>IFERROR(__xludf.DUMMYFUNCTION("""COMPUTED_VALUE"""),"Kotlin")</f>
        <v>Kotlin</v>
      </c>
      <c r="D321" s="9" t="str">
        <f>IFERROR(__xludf.DUMMYFUNCTION("""COMPUTED_VALUE"""),"JavaScript")</f>
        <v>JavaScript</v>
      </c>
      <c r="E321" s="9" t="str">
        <f>IFERROR(__xludf.DUMMYFUNCTION("""COMPUTED_VALUE"""),"JavaScript")</f>
        <v>JavaScript</v>
      </c>
      <c r="F321" s="9" t="str">
        <f>IFERROR(__xludf.DUMMYFUNCTION("""COMPUTED_VALUE"""),"Bash/Shell/PowerShell")</f>
        <v>Bash/Shell/PowerShell</v>
      </c>
      <c r="G321" s="9" t="str">
        <f>IFERROR(__xludf.DUMMYFUNCTION("""COMPUTED_VALUE"""),"Go")</f>
        <v>Go</v>
      </c>
      <c r="H321" s="9" t="str">
        <f>IFERROR(__xludf.DUMMYFUNCTION("""COMPUTED_VALUE"""),"R")</f>
        <v>R</v>
      </c>
      <c r="I321" s="9" t="str">
        <f>IFERROR(__xludf.DUMMYFUNCTION("""COMPUTED_VALUE"""),"HTML/CSS")</f>
        <v>HTML/CSS</v>
      </c>
      <c r="J321" s="9" t="str">
        <f>IFERROR(__xludf.DUMMYFUNCTION("""COMPUTED_VALUE"""),"SQL")</f>
        <v>SQL</v>
      </c>
      <c r="K321" s="9" t="str">
        <f>IFERROR(__xludf.DUMMYFUNCTION("""COMPUTED_VALUE"""),"Java")</f>
        <v>Java</v>
      </c>
      <c r="L321" s="9" t="str">
        <f>IFERROR(__xludf.DUMMYFUNCTION("""COMPUTED_VALUE"""),"JavaScript")</f>
        <v>JavaScript</v>
      </c>
      <c r="M321" s="9" t="s">
        <v>39</v>
      </c>
    </row>
    <row r="322" ht="15.75" customHeight="1">
      <c r="A322" s="7"/>
      <c r="B322" s="7" t="str">
        <f>IFERROR(__xludf.DUMMYFUNCTION("""COMPUTED_VALUE"""),"C#;HTML/CSS;JavaScript;SQL;TypeScript")</f>
        <v>C#;HTML/CSS;JavaScript;SQL;TypeScript</v>
      </c>
      <c r="C322" s="9" t="str">
        <f>IFERROR(__xludf.DUMMYFUNCTION("""COMPUTED_VALUE"""),"PHP")</f>
        <v>PHP</v>
      </c>
      <c r="D322" s="9" t="str">
        <f>IFERROR(__xludf.DUMMYFUNCTION("""COMPUTED_VALUE"""),"HTML/CSS")</f>
        <v>HTML/CSS</v>
      </c>
      <c r="E322" s="9" t="str">
        <f>IFERROR(__xludf.DUMMYFUNCTION("""COMPUTED_VALUE"""),"SQL")</f>
        <v>SQL</v>
      </c>
      <c r="F322" s="9" t="str">
        <f>IFERROR(__xludf.DUMMYFUNCTION("""COMPUTED_VALUE"""),"C")</f>
        <v>C</v>
      </c>
      <c r="G322" s="9" t="str">
        <f>IFERROR(__xludf.DUMMYFUNCTION("""COMPUTED_VALUE"""),"Java")</f>
        <v>Java</v>
      </c>
      <c r="H322" s="9" t="str">
        <f>IFERROR(__xludf.DUMMYFUNCTION("""COMPUTED_VALUE"""),"SQL")</f>
        <v>SQL</v>
      </c>
      <c r="I322" s="9" t="str">
        <f>IFERROR(__xludf.DUMMYFUNCTION("""COMPUTED_VALUE"""),"Java")</f>
        <v>Java</v>
      </c>
      <c r="J322" s="9" t="str">
        <f>IFERROR(__xludf.DUMMYFUNCTION("""COMPUTED_VALUE"""),"HTML/CSS")</f>
        <v>HTML/CSS</v>
      </c>
      <c r="K322" s="9" t="str">
        <f>IFERROR(__xludf.DUMMYFUNCTION("""COMPUTED_VALUE"""),"JavaScript")</f>
        <v>JavaScript</v>
      </c>
      <c r="L322" s="9" t="str">
        <f>IFERROR(__xludf.DUMMYFUNCTION("""COMPUTED_VALUE"""),"TypeScript")</f>
        <v>TypeScript</v>
      </c>
      <c r="M322" s="9" t="s">
        <v>37</v>
      </c>
    </row>
    <row r="323" ht="15.75" customHeight="1">
      <c r="A323" s="7"/>
      <c r="B323" s="7" t="str">
        <f>IFERROR(__xludf.DUMMYFUNCTION("""COMPUTED_VALUE"""),"Assembly;Bash/Shell/PowerShell;C;C++;C#;HTML/CSS;Java;JavaScript;PHP;Python")</f>
        <v>Assembly;Bash/Shell/PowerShell;C;C++;C#;HTML/CSS;Java;JavaScript;PHP;Python</v>
      </c>
      <c r="C323" s="9" t="str">
        <f>IFERROR(__xludf.DUMMYFUNCTION("""COMPUTED_VALUE"""),"Python")</f>
        <v>Python</v>
      </c>
      <c r="D323" s="9" t="str">
        <f>IFERROR(__xludf.DUMMYFUNCTION("""COMPUTED_VALUE"""),"Java")</f>
        <v>Java</v>
      </c>
      <c r="E323" s="9" t="str">
        <f>IFERROR(__xludf.DUMMYFUNCTION("""COMPUTED_VALUE"""),"C")</f>
        <v>C</v>
      </c>
      <c r="F323" s="9" t="str">
        <f>IFERROR(__xludf.DUMMYFUNCTION("""COMPUTED_VALUE"""),"C++")</f>
        <v>C++</v>
      </c>
      <c r="G323" s="9" t="str">
        <f>IFERROR(__xludf.DUMMYFUNCTION("""COMPUTED_VALUE"""),"JavaScript")</f>
        <v>JavaScript</v>
      </c>
      <c r="H323" s="9" t="str">
        <f>IFERROR(__xludf.DUMMYFUNCTION("""COMPUTED_VALUE"""),"Bash/Shell/PowerShell")</f>
        <v>Bash/Shell/PowerShell</v>
      </c>
      <c r="I323" s="9" t="str">
        <f>IFERROR(__xludf.DUMMYFUNCTION("""COMPUTED_VALUE"""),"JavaScript")</f>
        <v>JavaScript</v>
      </c>
      <c r="J323" s="9" t="str">
        <f>IFERROR(__xludf.DUMMYFUNCTION("""COMPUTED_VALUE"""),"JavaScript")</f>
        <v>JavaScript</v>
      </c>
      <c r="K323" s="9" t="str">
        <f>IFERROR(__xludf.DUMMYFUNCTION("""COMPUTED_VALUE"""),"SQL")</f>
        <v>SQL</v>
      </c>
      <c r="L323" s="9" t="str">
        <f>IFERROR(__xludf.DUMMYFUNCTION("""COMPUTED_VALUE"""),"C")</f>
        <v>C</v>
      </c>
      <c r="M323" s="9" t="s">
        <v>22</v>
      </c>
    </row>
    <row r="324" ht="15.75" customHeight="1">
      <c r="A324" s="7"/>
      <c r="B324" s="7" t="str">
        <f>IFERROR(__xludf.DUMMYFUNCTION("""COMPUTED_VALUE"""),"Bash/Shell/PowerShell;HTML/CSS;Java;JavaScript;PHP;Python;SQL;TypeScript")</f>
        <v>Bash/Shell/PowerShell;HTML/CSS;Java;JavaScript;PHP;Python;SQL;TypeScript</v>
      </c>
      <c r="C324" s="9" t="str">
        <f>IFERROR(__xludf.DUMMYFUNCTION("""COMPUTED_VALUE"""),"Ruby")</f>
        <v>Ruby</v>
      </c>
      <c r="D324" s="9" t="str">
        <f>IFERROR(__xludf.DUMMYFUNCTION("""COMPUTED_VALUE"""),"JavaScript")</f>
        <v>JavaScript</v>
      </c>
      <c r="E324" s="9" t="str">
        <f>IFERROR(__xludf.DUMMYFUNCTION("""COMPUTED_VALUE"""),"R")</f>
        <v>R</v>
      </c>
      <c r="F324" s="9" t="str">
        <f>IFERROR(__xludf.DUMMYFUNCTION("""COMPUTED_VALUE"""),"Go")</f>
        <v>Go</v>
      </c>
      <c r="G324" s="9" t="str">
        <f>IFERROR(__xludf.DUMMYFUNCTION("""COMPUTED_VALUE"""),"Objective-C")</f>
        <v>Objective-C</v>
      </c>
      <c r="H324" s="9" t="str">
        <f>IFERROR(__xludf.DUMMYFUNCTION("""COMPUTED_VALUE"""),"C#")</f>
        <v>C#</v>
      </c>
      <c r="I324" s="9" t="str">
        <f>IFERROR(__xludf.DUMMYFUNCTION("""COMPUTED_VALUE"""),"Python")</f>
        <v>Python</v>
      </c>
      <c r="J324" s="9" t="str">
        <f>IFERROR(__xludf.DUMMYFUNCTION("""COMPUTED_VALUE"""),"PHP")</f>
        <v>PHP</v>
      </c>
      <c r="K324" s="9" t="str">
        <f>IFERROR(__xludf.DUMMYFUNCTION("""COMPUTED_VALUE"""),"C")</f>
        <v>C</v>
      </c>
      <c r="L324" s="9" t="str">
        <f>IFERROR(__xludf.DUMMYFUNCTION("""COMPUTED_VALUE"""),"C#")</f>
        <v>C#</v>
      </c>
      <c r="M324" s="9" t="s">
        <v>31</v>
      </c>
    </row>
    <row r="325" ht="15.75" customHeight="1">
      <c r="A325" s="7"/>
      <c r="B325" s="7" t="str">
        <f>IFERROR(__xludf.DUMMYFUNCTION("""COMPUTED_VALUE"""),"HTML/CSS;Java;JavaScript;PHP;Python;SQL")</f>
        <v>HTML/CSS;Java;JavaScript;PHP;Python;SQL</v>
      </c>
      <c r="C325" s="9" t="str">
        <f>IFERROR(__xludf.DUMMYFUNCTION("""COMPUTED_VALUE"""),"SQL")</f>
        <v>SQL</v>
      </c>
      <c r="D325" s="9" t="str">
        <f>IFERROR(__xludf.DUMMYFUNCTION("""COMPUTED_VALUE"""),"Python")</f>
        <v>Python</v>
      </c>
      <c r="E325" s="9" t="str">
        <f>IFERROR(__xludf.DUMMYFUNCTION("""COMPUTED_VALUE"""),"C")</f>
        <v>C</v>
      </c>
      <c r="F325" s="9" t="str">
        <f>IFERROR(__xludf.DUMMYFUNCTION("""COMPUTED_VALUE"""),"HTML/CSS")</f>
        <v>HTML/CSS</v>
      </c>
      <c r="G325" s="9" t="str">
        <f>IFERROR(__xludf.DUMMYFUNCTION("""COMPUTED_VALUE"""),"Python")</f>
        <v>Python</v>
      </c>
      <c r="H325" s="9" t="str">
        <f>IFERROR(__xludf.DUMMYFUNCTION("""COMPUTED_VALUE"""),"HTML/CSS")</f>
        <v>HTML/CSS</v>
      </c>
      <c r="I325" s="9" t="str">
        <f>IFERROR(__xludf.DUMMYFUNCTION("""COMPUTED_VALUE"""),"SQL")</f>
        <v>SQL</v>
      </c>
      <c r="J325" s="9" t="str">
        <f>IFERROR(__xludf.DUMMYFUNCTION("""COMPUTED_VALUE"""),"SQL")</f>
        <v>SQL</v>
      </c>
      <c r="K325" s="9" t="str">
        <f>IFERROR(__xludf.DUMMYFUNCTION("""COMPUTED_VALUE"""),"C++")</f>
        <v>C++</v>
      </c>
      <c r="L325" s="9" t="str">
        <f>IFERROR(__xludf.DUMMYFUNCTION("""COMPUTED_VALUE"""),"Python")</f>
        <v>Python</v>
      </c>
      <c r="M325" s="9" t="s">
        <v>27</v>
      </c>
    </row>
    <row r="326" ht="15.75" customHeight="1">
      <c r="A326" s="7"/>
      <c r="B326" s="7" t="str">
        <f>IFERROR(__xludf.DUMMYFUNCTION("""COMPUTED_VALUE"""),"HTML/CSS;Java;JavaScript;TypeScript")</f>
        <v>HTML/CSS;Java;JavaScript;TypeScript</v>
      </c>
      <c r="C326" s="9" t="str">
        <f>IFERROR(__xludf.DUMMYFUNCTION("""COMPUTED_VALUE"""),"TypeScript")</f>
        <v>TypeScript</v>
      </c>
      <c r="D326" s="9" t="str">
        <f>IFERROR(__xludf.DUMMYFUNCTION("""COMPUTED_VALUE"""),"Assembly")</f>
        <v>Assembly</v>
      </c>
      <c r="E326" s="9" t="str">
        <f>IFERROR(__xludf.DUMMYFUNCTION("""COMPUTED_VALUE"""),"C++")</f>
        <v>C++</v>
      </c>
      <c r="F326" s="9" t="str">
        <f>IFERROR(__xludf.DUMMYFUNCTION("""COMPUTED_VALUE"""),"Java")</f>
        <v>Java</v>
      </c>
      <c r="G326" s="9" t="str">
        <f>IFERROR(__xludf.DUMMYFUNCTION("""COMPUTED_VALUE"""),"SQL")</f>
        <v>SQL</v>
      </c>
      <c r="H326" s="9" t="str">
        <f>IFERROR(__xludf.DUMMYFUNCTION("""COMPUTED_VALUE"""),"JavaScript")</f>
        <v>JavaScript</v>
      </c>
      <c r="I326" s="9" t="str">
        <f>IFERROR(__xludf.DUMMYFUNCTION("""COMPUTED_VALUE"""),"Python")</f>
        <v>Python</v>
      </c>
      <c r="J326" s="9" t="str">
        <f>IFERROR(__xludf.DUMMYFUNCTION("""COMPUTED_VALUE"""),"TypeScript")</f>
        <v>TypeScript</v>
      </c>
      <c r="K326" s="9" t="str">
        <f>IFERROR(__xludf.DUMMYFUNCTION("""COMPUTED_VALUE"""),"C#")</f>
        <v>C#</v>
      </c>
      <c r="L326" s="9" t="str">
        <f>IFERROR(__xludf.DUMMYFUNCTION("""COMPUTED_VALUE"""),"Swift")</f>
        <v>Swift</v>
      </c>
      <c r="M326" s="9" t="s">
        <v>33</v>
      </c>
    </row>
    <row r="327" ht="15.75" customHeight="1">
      <c r="A327" s="7"/>
      <c r="B327" s="7" t="str">
        <f>IFERROR(__xludf.DUMMYFUNCTION("""COMPUTED_VALUE"""),"C;C++;C#;F#;HTML/CSS;JavaScript;Rust;SQL;TypeScript;Other(s):")</f>
        <v>C;C++;C#;F#;HTML/CSS;JavaScript;Rust;SQL;TypeScript;Other(s):</v>
      </c>
      <c r="C327" s="9" t="str">
        <f>IFERROR(__xludf.DUMMYFUNCTION("""COMPUTED_VALUE"""),"VBA")</f>
        <v>VBA</v>
      </c>
      <c r="D327" s="9" t="str">
        <f>IFERROR(__xludf.DUMMYFUNCTION("""COMPUTED_VALUE"""),"Bash/Shell/PowerShell")</f>
        <v>Bash/Shell/PowerShell</v>
      </c>
      <c r="E327" s="9" t="str">
        <f>IFERROR(__xludf.DUMMYFUNCTION("""COMPUTED_VALUE"""),"VBA")</f>
        <v>VBA</v>
      </c>
      <c r="F327" s="9" t="str">
        <f>IFERROR(__xludf.DUMMYFUNCTION("""COMPUTED_VALUE"""),"JavaScript")</f>
        <v>JavaScript</v>
      </c>
      <c r="G327" s="9" t="str">
        <f>IFERROR(__xludf.DUMMYFUNCTION("""COMPUTED_VALUE"""),"Bash/Shell/PowerShell")</f>
        <v>Bash/Shell/PowerShell</v>
      </c>
      <c r="H327" s="9" t="str">
        <f>IFERROR(__xludf.DUMMYFUNCTION("""COMPUTED_VALUE"""),"PHP")</f>
        <v>PHP</v>
      </c>
      <c r="I327" s="9" t="str">
        <f>IFERROR(__xludf.DUMMYFUNCTION("""COMPUTED_VALUE"""),"Other(s):")</f>
        <v>Other(s):</v>
      </c>
      <c r="J327" s="9" t="str">
        <f>IFERROR(__xludf.DUMMYFUNCTION("""COMPUTED_VALUE"""),"C")</f>
        <v>C</v>
      </c>
      <c r="K327" s="9" t="str">
        <f>IFERROR(__xludf.DUMMYFUNCTION("""COMPUTED_VALUE"""),"JavaScript")</f>
        <v>JavaScript</v>
      </c>
      <c r="L327" s="9" t="str">
        <f>IFERROR(__xludf.DUMMYFUNCTION("""COMPUTED_VALUE"""),"Bash/Shell/PowerShell")</f>
        <v>Bash/Shell/PowerShell</v>
      </c>
      <c r="M327" s="9" t="s">
        <v>28</v>
      </c>
    </row>
    <row r="328" ht="15.75" customHeight="1">
      <c r="A328" s="7"/>
      <c r="B328" s="7" t="str">
        <f>IFERROR(__xludf.DUMMYFUNCTION("""COMPUTED_VALUE"""),"Java;Kotlin")</f>
        <v>Java;Kotlin</v>
      </c>
      <c r="C328" s="9" t="str">
        <f>IFERROR(__xludf.DUMMYFUNCTION("""COMPUTED_VALUE"""),"Bash/Shell/PowerShell")</f>
        <v>Bash/Shell/PowerShell</v>
      </c>
      <c r="D328" s="9" t="str">
        <f>IFERROR(__xludf.DUMMYFUNCTION("""COMPUTED_VALUE"""),"C")</f>
        <v>C</v>
      </c>
      <c r="E328" s="9" t="str">
        <f>IFERROR(__xludf.DUMMYFUNCTION("""COMPUTED_VALUE"""),"Assembly")</f>
        <v>Assembly</v>
      </c>
      <c r="F328" s="9" t="str">
        <f>IFERROR(__xludf.DUMMYFUNCTION("""COMPUTED_VALUE"""),"Python")</f>
        <v>Python</v>
      </c>
      <c r="G328" s="9" t="str">
        <f>IFERROR(__xludf.DUMMYFUNCTION("""COMPUTED_VALUE"""),"C")</f>
        <v>C</v>
      </c>
      <c r="H328" s="9" t="str">
        <f>IFERROR(__xludf.DUMMYFUNCTION("""COMPUTED_VALUE"""),"Python")</f>
        <v>Python</v>
      </c>
      <c r="I328" s="9" t="str">
        <f>IFERROR(__xludf.DUMMYFUNCTION("""COMPUTED_VALUE"""),"Bash/Shell/PowerShell")</f>
        <v>Bash/Shell/PowerShell</v>
      </c>
      <c r="J328" s="9" t="str">
        <f>IFERROR(__xludf.DUMMYFUNCTION("""COMPUTED_VALUE"""),"C++")</f>
        <v>C++</v>
      </c>
      <c r="K328" s="9" t="str">
        <f>IFERROR(__xludf.DUMMYFUNCTION("""COMPUTED_VALUE"""),"Objective-C")</f>
        <v>Objective-C</v>
      </c>
      <c r="L328" s="9" t="str">
        <f>IFERROR(__xludf.DUMMYFUNCTION("""COMPUTED_VALUE"""),"C")</f>
        <v>C</v>
      </c>
      <c r="M328" s="9" t="s">
        <v>30</v>
      </c>
    </row>
    <row r="329" ht="15.75" customHeight="1">
      <c r="A329" s="7"/>
      <c r="B329" s="7" t="str">
        <f>IFERROR(__xludf.DUMMYFUNCTION("""COMPUTED_VALUE"""),"Bash/Shell/PowerShell;C++;C#;Python")</f>
        <v>Bash/Shell/PowerShell;C++;C#;Python</v>
      </c>
      <c r="C329" s="9" t="str">
        <f>IFERROR(__xludf.DUMMYFUNCTION("""COMPUTED_VALUE"""),"Clojure")</f>
        <v>Clojure</v>
      </c>
      <c r="D329" s="9" t="str">
        <f>IFERROR(__xludf.DUMMYFUNCTION("""COMPUTED_VALUE"""),"C++")</f>
        <v>C++</v>
      </c>
      <c r="E329" s="9" t="str">
        <f>IFERROR(__xludf.DUMMYFUNCTION("""COMPUTED_VALUE"""),"Bash/Shell/PowerShell")</f>
        <v>Bash/Shell/PowerShell</v>
      </c>
      <c r="F329" s="9" t="str">
        <f>IFERROR(__xludf.DUMMYFUNCTION("""COMPUTED_VALUE"""),"SQL")</f>
        <v>SQL</v>
      </c>
      <c r="G329" s="9" t="str">
        <f>IFERROR(__xludf.DUMMYFUNCTION("""COMPUTED_VALUE"""),"C++")</f>
        <v>C++</v>
      </c>
      <c r="H329" s="9" t="str">
        <f>IFERROR(__xludf.DUMMYFUNCTION("""COMPUTED_VALUE"""),"HTML/CSS")</f>
        <v>HTML/CSS</v>
      </c>
      <c r="I329" s="9" t="str">
        <f>IFERROR(__xludf.DUMMYFUNCTION("""COMPUTED_VALUE"""),"C")</f>
        <v>C</v>
      </c>
      <c r="J329" s="9" t="str">
        <f>IFERROR(__xludf.DUMMYFUNCTION("""COMPUTED_VALUE"""),"Go")</f>
        <v>Go</v>
      </c>
      <c r="K329" s="9" t="str">
        <f>IFERROR(__xludf.DUMMYFUNCTION("""COMPUTED_VALUE"""),"Other(s):")</f>
        <v>Other(s):</v>
      </c>
      <c r="L329" s="9" t="str">
        <f>IFERROR(__xludf.DUMMYFUNCTION("""COMPUTED_VALUE"""),"C++")</f>
        <v>C++</v>
      </c>
      <c r="M329" s="9" t="s">
        <v>44</v>
      </c>
    </row>
    <row r="330" ht="15.75" customHeight="1">
      <c r="A330" s="7"/>
      <c r="B330" s="7" t="str">
        <f>IFERROR(__xludf.DUMMYFUNCTION("""COMPUTED_VALUE"""),"Bash/Shell/PowerShell;HTML/CSS;JavaScript;Objective-C;Python;SQL;Swift;TypeScript")</f>
        <v>Bash/Shell/PowerShell;HTML/CSS;JavaScript;Objective-C;Python;SQL;Swift;TypeScript</v>
      </c>
      <c r="C330" s="9" t="str">
        <f>IFERROR(__xludf.DUMMYFUNCTION("""COMPUTED_VALUE"""),"Java")</f>
        <v>Java</v>
      </c>
      <c r="D330" s="9" t="str">
        <f>IFERROR(__xludf.DUMMYFUNCTION("""COMPUTED_VALUE"""),"C#")</f>
        <v>C#</v>
      </c>
      <c r="E330" s="9" t="str">
        <f>IFERROR(__xludf.DUMMYFUNCTION("""COMPUTED_VALUE"""),"Java")</f>
        <v>Java</v>
      </c>
      <c r="F330" s="9" t="str">
        <f>IFERROR(__xludf.DUMMYFUNCTION("""COMPUTED_VALUE"""),"Assembly")</f>
        <v>Assembly</v>
      </c>
      <c r="G330" s="9" t="str">
        <f>IFERROR(__xludf.DUMMYFUNCTION("""COMPUTED_VALUE"""),"HTML/CSS")</f>
        <v>HTML/CSS</v>
      </c>
      <c r="H330" s="9" t="str">
        <f>IFERROR(__xludf.DUMMYFUNCTION("""COMPUTED_VALUE"""),"JavaScript")</f>
        <v>JavaScript</v>
      </c>
      <c r="I330" s="9" t="str">
        <f>IFERROR(__xludf.DUMMYFUNCTION("""COMPUTED_VALUE"""),"C++")</f>
        <v>C++</v>
      </c>
      <c r="J330" s="9" t="str">
        <f>IFERROR(__xludf.DUMMYFUNCTION("""COMPUTED_VALUE"""),"Java")</f>
        <v>Java</v>
      </c>
      <c r="K330" s="9" t="str">
        <f>IFERROR(__xludf.DUMMYFUNCTION("""COMPUTED_VALUE"""),"Assembly")</f>
        <v>Assembly</v>
      </c>
      <c r="L330" s="9" t="str">
        <f>IFERROR(__xludf.DUMMYFUNCTION("""COMPUTED_VALUE"""),"C#")</f>
        <v>C#</v>
      </c>
      <c r="M330" s="9" t="s">
        <v>20</v>
      </c>
    </row>
    <row r="331" ht="15.75" customHeight="1">
      <c r="A331" s="7"/>
      <c r="B331" s="7" t="str">
        <f>IFERROR(__xludf.DUMMYFUNCTION("""COMPUTED_VALUE"""),"Python;Rust;Scala")</f>
        <v>Python;Rust;Scala</v>
      </c>
      <c r="C331" s="9" t="str">
        <f>IFERROR(__xludf.DUMMYFUNCTION("""COMPUTED_VALUE"""),"Python")</f>
        <v>Python</v>
      </c>
      <c r="D331" s="9" t="str">
        <f>IFERROR(__xludf.DUMMYFUNCTION("""COMPUTED_VALUE"""),"HTML/CSS")</f>
        <v>HTML/CSS</v>
      </c>
      <c r="E331" s="9" t="str">
        <f>IFERROR(__xludf.DUMMYFUNCTION("""COMPUTED_VALUE"""),"Bash/Shell/PowerShell")</f>
        <v>Bash/Shell/PowerShell</v>
      </c>
      <c r="F331" s="9" t="str">
        <f>IFERROR(__xludf.DUMMYFUNCTION("""COMPUTED_VALUE"""),"Bash/Shell/PowerShell")</f>
        <v>Bash/Shell/PowerShell</v>
      </c>
      <c r="G331" s="9" t="str">
        <f>IFERROR(__xludf.DUMMYFUNCTION("""COMPUTED_VALUE"""),"Java")</f>
        <v>Java</v>
      </c>
      <c r="H331" s="9" t="str">
        <f>IFERROR(__xludf.DUMMYFUNCTION("""COMPUTED_VALUE"""),"Python")</f>
        <v>Python</v>
      </c>
      <c r="I331" s="9" t="str">
        <f>IFERROR(__xludf.DUMMYFUNCTION("""COMPUTED_VALUE"""),"HTML/CSS")</f>
        <v>HTML/CSS</v>
      </c>
      <c r="J331" s="9" t="str">
        <f>IFERROR(__xludf.DUMMYFUNCTION("""COMPUTED_VALUE"""),"JavaScript")</f>
        <v>JavaScript</v>
      </c>
      <c r="K331" s="9" t="str">
        <f>IFERROR(__xludf.DUMMYFUNCTION("""COMPUTED_VALUE"""),"Bash/Shell/PowerShell")</f>
        <v>Bash/Shell/PowerShell</v>
      </c>
      <c r="L331" s="9" t="str">
        <f>IFERROR(__xludf.DUMMYFUNCTION("""COMPUTED_VALUE"""),"HTML/CSS")</f>
        <v>HTML/CSS</v>
      </c>
      <c r="M331" s="9" t="s">
        <v>22</v>
      </c>
    </row>
    <row r="332" ht="15.75" customHeight="1">
      <c r="A332" s="7"/>
      <c r="B332" s="7" t="str">
        <f>IFERROR(__xludf.DUMMYFUNCTION("""COMPUTED_VALUE"""),"Bash/Shell/PowerShell;C;C++;Python")</f>
        <v>Bash/Shell/PowerShell;C;C++;Python</v>
      </c>
      <c r="C332" s="9" t="str">
        <f>IFERROR(__xludf.DUMMYFUNCTION("""COMPUTED_VALUE"""),"Other(s):")</f>
        <v>Other(s):</v>
      </c>
      <c r="D332" s="9" t="str">
        <f>IFERROR(__xludf.DUMMYFUNCTION("""COMPUTED_VALUE"""),"JavaScript")</f>
        <v>JavaScript</v>
      </c>
      <c r="E332" s="9" t="str">
        <f>IFERROR(__xludf.DUMMYFUNCTION("""COMPUTED_VALUE"""),"C#")</f>
        <v>C#</v>
      </c>
      <c r="F332" s="9" t="str">
        <f>IFERROR(__xludf.DUMMYFUNCTION("""COMPUTED_VALUE"""),"C")</f>
        <v>C</v>
      </c>
      <c r="G332" s="9" t="str">
        <f>IFERROR(__xludf.DUMMYFUNCTION("""COMPUTED_VALUE"""),"JavaScript")</f>
        <v>JavaScript</v>
      </c>
      <c r="H332" s="9" t="str">
        <f>IFERROR(__xludf.DUMMYFUNCTION("""COMPUTED_VALUE"""),"SQL")</f>
        <v>SQL</v>
      </c>
      <c r="I332" s="9" t="str">
        <f>IFERROR(__xludf.DUMMYFUNCTION("""COMPUTED_VALUE"""),"Java")</f>
        <v>Java</v>
      </c>
      <c r="J332" s="9" t="str">
        <f>IFERROR(__xludf.DUMMYFUNCTION("""COMPUTED_VALUE"""),"Python")</f>
        <v>Python</v>
      </c>
      <c r="K332" s="9" t="str">
        <f>IFERROR(__xludf.DUMMYFUNCTION("""COMPUTED_VALUE"""),"C")</f>
        <v>C</v>
      </c>
      <c r="L332" s="9" t="str">
        <f>IFERROR(__xludf.DUMMYFUNCTION("""COMPUTED_VALUE"""),"JavaScript")</f>
        <v>JavaScript</v>
      </c>
      <c r="M332" s="9" t="s">
        <v>35</v>
      </c>
    </row>
    <row r="333" ht="15.75" customHeight="1">
      <c r="A333" s="7"/>
      <c r="B333" s="7" t="str">
        <f>IFERROR(__xludf.DUMMYFUNCTION("""COMPUTED_VALUE"""),"C#;HTML/CSS;Java;JavaScript;Python;SQL;Swift")</f>
        <v>C#;HTML/CSS;Java;JavaScript;Python;SQL;Swift</v>
      </c>
      <c r="C333" s="9" t="str">
        <f>IFERROR(__xludf.DUMMYFUNCTION("""COMPUTED_VALUE"""),"Bash/Shell/PowerShell")</f>
        <v>Bash/Shell/PowerShell</v>
      </c>
      <c r="D333" s="9" t="str">
        <f>IFERROR(__xludf.DUMMYFUNCTION("""COMPUTED_VALUE"""),"PHP")</f>
        <v>PHP</v>
      </c>
      <c r="E333" s="9" t="str">
        <f>IFERROR(__xludf.DUMMYFUNCTION("""COMPUTED_VALUE"""),"JavaScript")</f>
        <v>JavaScript</v>
      </c>
      <c r="F333" s="9" t="str">
        <f>IFERROR(__xludf.DUMMYFUNCTION("""COMPUTED_VALUE"""),"C++")</f>
        <v>C++</v>
      </c>
      <c r="G333" s="9" t="str">
        <f>IFERROR(__xludf.DUMMYFUNCTION("""COMPUTED_VALUE"""),"Kotlin")</f>
        <v>Kotlin</v>
      </c>
      <c r="H333" s="9" t="str">
        <f>IFERROR(__xludf.DUMMYFUNCTION("""COMPUTED_VALUE"""),"Bash/Shell/PowerShell")</f>
        <v>Bash/Shell/PowerShell</v>
      </c>
      <c r="I333" s="9" t="str">
        <f>IFERROR(__xludf.DUMMYFUNCTION("""COMPUTED_VALUE"""),"JavaScript")</f>
        <v>JavaScript</v>
      </c>
      <c r="J333" s="9" t="str">
        <f>IFERROR(__xludf.DUMMYFUNCTION("""COMPUTED_VALUE"""),"SQL")</f>
        <v>SQL</v>
      </c>
      <c r="K333" s="9" t="str">
        <f>IFERROR(__xludf.DUMMYFUNCTION("""COMPUTED_VALUE"""),"Java")</f>
        <v>Java</v>
      </c>
      <c r="L333" s="9" t="str">
        <f>IFERROR(__xludf.DUMMYFUNCTION("""COMPUTED_VALUE"""),"Python")</f>
        <v>Python</v>
      </c>
      <c r="M333" s="9" t="s">
        <v>30</v>
      </c>
    </row>
    <row r="334" ht="15.75" customHeight="1">
      <c r="A334" s="7"/>
      <c r="B334" s="7" t="str">
        <f>IFERROR(__xludf.DUMMYFUNCTION("""COMPUTED_VALUE"""),"Bash/Shell/PowerShell;JavaScript;Python;Rust;SQL;TypeScript")</f>
        <v>Bash/Shell/PowerShell;JavaScript;Python;Rust;SQL;TypeScript</v>
      </c>
      <c r="C334" s="9" t="str">
        <f>IFERROR(__xludf.DUMMYFUNCTION("""COMPUTED_VALUE"""),"C")</f>
        <v>C</v>
      </c>
      <c r="D334" s="9" t="str">
        <f>IFERROR(__xludf.DUMMYFUNCTION("""COMPUTED_VALUE"""),"SQL")</f>
        <v>SQL</v>
      </c>
      <c r="E334" s="9" t="str">
        <f>IFERROR(__xludf.DUMMYFUNCTION("""COMPUTED_VALUE"""),"SQL")</f>
        <v>SQL</v>
      </c>
      <c r="F334" s="9" t="str">
        <f>IFERROR(__xludf.DUMMYFUNCTION("""COMPUTED_VALUE"""),"C#")</f>
        <v>C#</v>
      </c>
      <c r="G334" s="9" t="str">
        <f>IFERROR(__xludf.DUMMYFUNCTION("""COMPUTED_VALUE"""),"PHP")</f>
        <v>PHP</v>
      </c>
      <c r="H334" s="9" t="str">
        <f>IFERROR(__xludf.DUMMYFUNCTION("""COMPUTED_VALUE"""),"C#")</f>
        <v>C#</v>
      </c>
      <c r="I334" s="9" t="str">
        <f>IFERROR(__xludf.DUMMYFUNCTION("""COMPUTED_VALUE"""),"PHP")</f>
        <v>PHP</v>
      </c>
      <c r="J334" s="9" t="str">
        <f>IFERROR(__xludf.DUMMYFUNCTION("""COMPUTED_VALUE"""),"Other(s):")</f>
        <v>Other(s):</v>
      </c>
      <c r="K334" s="9" t="str">
        <f>IFERROR(__xludf.DUMMYFUNCTION("""COMPUTED_VALUE"""),"Python")</f>
        <v>Python</v>
      </c>
      <c r="L334" s="9" t="str">
        <f>IFERROR(__xludf.DUMMYFUNCTION("""COMPUTED_VALUE"""),"Rust")</f>
        <v>Rust</v>
      </c>
      <c r="M334" s="9" t="s">
        <v>25</v>
      </c>
    </row>
    <row r="335" ht="15.75" customHeight="1">
      <c r="A335" s="7"/>
      <c r="B335" s="7" t="str">
        <f>IFERROR(__xludf.DUMMYFUNCTION("""COMPUTED_VALUE"""),"Python;R")</f>
        <v>Python;R</v>
      </c>
      <c r="C335" s="9" t="str">
        <f>IFERROR(__xludf.DUMMYFUNCTION("""COMPUTED_VALUE"""),"C++")</f>
        <v>C++</v>
      </c>
      <c r="D335" s="9" t="str">
        <f>IFERROR(__xludf.DUMMYFUNCTION("""COMPUTED_VALUE"""),"TypeScript")</f>
        <v>TypeScript</v>
      </c>
      <c r="E335" s="9" t="str">
        <f>IFERROR(__xludf.DUMMYFUNCTION("""COMPUTED_VALUE"""),"TypeScript")</f>
        <v>TypeScript</v>
      </c>
      <c r="F335" s="9" t="str">
        <f>IFERROR(__xludf.DUMMYFUNCTION("""COMPUTED_VALUE"""),"HTML/CSS")</f>
        <v>HTML/CSS</v>
      </c>
      <c r="G335" s="9" t="str">
        <f>IFERROR(__xludf.DUMMYFUNCTION("""COMPUTED_VALUE"""),"Python")</f>
        <v>Python</v>
      </c>
      <c r="H335" s="9" t="str">
        <f>IFERROR(__xludf.DUMMYFUNCTION("""COMPUTED_VALUE"""),"HTML/CSS")</f>
        <v>HTML/CSS</v>
      </c>
      <c r="I335" s="9" t="str">
        <f>IFERROR(__xludf.DUMMYFUNCTION("""COMPUTED_VALUE"""),"Python")</f>
        <v>Python</v>
      </c>
      <c r="J335" s="9" t="str">
        <f>IFERROR(__xludf.DUMMYFUNCTION("""COMPUTED_VALUE"""),"C")</f>
        <v>C</v>
      </c>
      <c r="K335" s="9" t="str">
        <f>IFERROR(__xludf.DUMMYFUNCTION("""COMPUTED_VALUE"""),"Ruby")</f>
        <v>Ruby</v>
      </c>
      <c r="L335" s="9" t="str">
        <f>IFERROR(__xludf.DUMMYFUNCTION("""COMPUTED_VALUE"""),"WebAssembly")</f>
        <v>WebAssembly</v>
      </c>
      <c r="M335" s="9" t="s">
        <v>23</v>
      </c>
    </row>
    <row r="336" ht="15.75" customHeight="1">
      <c r="A336" s="7"/>
      <c r="B336" s="7" t="str">
        <f>IFERROR(__xludf.DUMMYFUNCTION("""COMPUTED_VALUE"""),"Bash/Shell/PowerShell;HTML/CSS;Java;Python;SQL")</f>
        <v>Bash/Shell/PowerShell;HTML/CSS;Java;Python;SQL</v>
      </c>
      <c r="C336" s="9" t="str">
        <f>IFERROR(__xludf.DUMMYFUNCTION("""COMPUTED_VALUE"""),"C#")</f>
        <v>C#</v>
      </c>
      <c r="D336" s="9" t="str">
        <f>IFERROR(__xludf.DUMMYFUNCTION("""COMPUTED_VALUE"""),"WebAssembly")</f>
        <v>WebAssembly</v>
      </c>
      <c r="E336" s="9" t="str">
        <f>IFERROR(__xludf.DUMMYFUNCTION("""COMPUTED_VALUE"""),"HTML/CSS")</f>
        <v>HTML/CSS</v>
      </c>
      <c r="F336" s="9" t="str">
        <f>IFERROR(__xludf.DUMMYFUNCTION("""COMPUTED_VALUE"""),"Java")</f>
        <v>Java</v>
      </c>
      <c r="G336" s="9" t="str">
        <f>IFERROR(__xludf.DUMMYFUNCTION("""COMPUTED_VALUE"""),"SQL")</f>
        <v>SQL</v>
      </c>
      <c r="H336" s="9" t="str">
        <f>IFERROR(__xludf.DUMMYFUNCTION("""COMPUTED_VALUE"""),"TypeScript")</f>
        <v>TypeScript</v>
      </c>
      <c r="I336" s="9" t="str">
        <f>IFERROR(__xludf.DUMMYFUNCTION("""COMPUTED_VALUE"""),"Rust")</f>
        <v>Rust</v>
      </c>
      <c r="J336" s="9" t="str">
        <f>IFERROR(__xludf.DUMMYFUNCTION("""COMPUTED_VALUE"""),"C++")</f>
        <v>C++</v>
      </c>
      <c r="K336" s="9" t="str">
        <f>IFERROR(__xludf.DUMMYFUNCTION("""COMPUTED_VALUE"""),"C#")</f>
        <v>C#</v>
      </c>
      <c r="L336" s="9" t="str">
        <f>IFERROR(__xludf.DUMMYFUNCTION("""COMPUTED_VALUE"""),"C#")</f>
        <v>C#</v>
      </c>
      <c r="M336" s="9" t="s">
        <v>26</v>
      </c>
    </row>
    <row r="337" ht="15.75" customHeight="1">
      <c r="A337" s="7"/>
      <c r="B337" s="7" t="str">
        <f>IFERROR(__xludf.DUMMYFUNCTION("""COMPUTED_VALUE"""),"Bash/Shell/PowerShell;Dart;Go;HTML/CSS;Java;JavaScript;Python;Rust;SQL;Swift")</f>
        <v>Bash/Shell/PowerShell;Dart;Go;HTML/CSS;Java;JavaScript;Python;Rust;SQL;Swift</v>
      </c>
      <c r="C337" s="9" t="str">
        <f>IFERROR(__xludf.DUMMYFUNCTION("""COMPUTED_VALUE"""),"Assembly")</f>
        <v>Assembly</v>
      </c>
      <c r="D337" s="9" t="str">
        <f>IFERROR(__xludf.DUMMYFUNCTION("""COMPUTED_VALUE"""),"HTML/CSS")</f>
        <v>HTML/CSS</v>
      </c>
      <c r="E337" s="9" t="str">
        <f>IFERROR(__xludf.DUMMYFUNCTION("""COMPUTED_VALUE"""),"Java")</f>
        <v>Java</v>
      </c>
      <c r="F337" s="9" t="str">
        <f>IFERROR(__xludf.DUMMYFUNCTION("""COMPUTED_VALUE"""),"JavaScript")</f>
        <v>JavaScript</v>
      </c>
      <c r="G337" s="9" t="str">
        <f>IFERROR(__xludf.DUMMYFUNCTION("""COMPUTED_VALUE"""),"C#")</f>
        <v>C#</v>
      </c>
      <c r="H337" s="9" t="str">
        <f>IFERROR(__xludf.DUMMYFUNCTION("""COMPUTED_VALUE"""),"HTML/CSS")</f>
        <v>HTML/CSS</v>
      </c>
      <c r="I337" s="9" t="str">
        <f>IFERROR(__xludf.DUMMYFUNCTION("""COMPUTED_VALUE"""),"SQL")</f>
        <v>SQL</v>
      </c>
      <c r="J337" s="9" t="str">
        <f>IFERROR(__xludf.DUMMYFUNCTION("""COMPUTED_VALUE"""),"Java")</f>
        <v>Java</v>
      </c>
      <c r="K337" s="9" t="str">
        <f>IFERROR(__xludf.DUMMYFUNCTION("""COMPUTED_VALUE"""),"HTML/CSS")</f>
        <v>HTML/CSS</v>
      </c>
      <c r="L337" s="9" t="str">
        <f>IFERROR(__xludf.DUMMYFUNCTION("""COMPUTED_VALUE"""),"Java")</f>
        <v>Java</v>
      </c>
      <c r="M337" s="9" t="s">
        <v>38</v>
      </c>
    </row>
    <row r="338" ht="15.75" customHeight="1">
      <c r="A338" s="7"/>
      <c r="B338" s="7" t="str">
        <f>IFERROR(__xludf.DUMMYFUNCTION("""COMPUTED_VALUE"""),"C#;HTML/CSS;SQL")</f>
        <v>C#;HTML/CSS;SQL</v>
      </c>
      <c r="C338" s="9" t="str">
        <f>IFERROR(__xludf.DUMMYFUNCTION("""COMPUTED_VALUE"""),"C")</f>
        <v>C</v>
      </c>
      <c r="D338" s="9" t="str">
        <f>IFERROR(__xludf.DUMMYFUNCTION("""COMPUTED_VALUE"""),"JavaScript")</f>
        <v>JavaScript</v>
      </c>
      <c r="E338" s="9" t="str">
        <f>IFERROR(__xludf.DUMMYFUNCTION("""COMPUTED_VALUE"""),"JavaScript")</f>
        <v>JavaScript</v>
      </c>
      <c r="F338" s="9" t="str">
        <f>IFERROR(__xludf.DUMMYFUNCTION("""COMPUTED_VALUE"""),"Python")</f>
        <v>Python</v>
      </c>
      <c r="G338" s="9" t="str">
        <f>IFERROR(__xludf.DUMMYFUNCTION("""COMPUTED_VALUE"""),"HTML/CSS")</f>
        <v>HTML/CSS</v>
      </c>
      <c r="H338" s="9" t="str">
        <f>IFERROR(__xludf.DUMMYFUNCTION("""COMPUTED_VALUE"""),"Java")</f>
        <v>Java</v>
      </c>
      <c r="I338" s="9" t="str">
        <f>IFERROR(__xludf.DUMMYFUNCTION("""COMPUTED_VALUE"""),"TypeScript")</f>
        <v>TypeScript</v>
      </c>
      <c r="J338" s="9" t="str">
        <f>IFERROR(__xludf.DUMMYFUNCTION("""COMPUTED_VALUE"""),"SQL")</f>
        <v>SQL</v>
      </c>
      <c r="K338" s="9" t="str">
        <f>IFERROR(__xludf.DUMMYFUNCTION("""COMPUTED_VALUE"""),"Java")</f>
        <v>Java</v>
      </c>
      <c r="L338" s="9" t="str">
        <f>IFERROR(__xludf.DUMMYFUNCTION("""COMPUTED_VALUE"""),"JavaScript")</f>
        <v>JavaScript</v>
      </c>
      <c r="M338" s="9" t="s">
        <v>25</v>
      </c>
    </row>
    <row r="339" ht="15.75" customHeight="1">
      <c r="A339" s="7"/>
      <c r="B339" s="7" t="str">
        <f>IFERROR(__xludf.DUMMYFUNCTION("""COMPUTED_VALUE"""),"C++;C#;SQL")</f>
        <v>C++;C#;SQL</v>
      </c>
      <c r="C339" s="9" t="str">
        <f>IFERROR(__xludf.DUMMYFUNCTION("""COMPUTED_VALUE"""),"C++")</f>
        <v>C++</v>
      </c>
      <c r="D339" s="9" t="str">
        <f>IFERROR(__xludf.DUMMYFUNCTION("""COMPUTED_VALUE"""),"PHP")</f>
        <v>PHP</v>
      </c>
      <c r="E339" s="9" t="str">
        <f>IFERROR(__xludf.DUMMYFUNCTION("""COMPUTED_VALUE"""),"TypeScript")</f>
        <v>TypeScript</v>
      </c>
      <c r="F339" s="9" t="str">
        <f>IFERROR(__xludf.DUMMYFUNCTION("""COMPUTED_VALUE"""),"Bash/Shell/PowerShell")</f>
        <v>Bash/Shell/PowerShell</v>
      </c>
      <c r="G339" s="9" t="str">
        <f>IFERROR(__xludf.DUMMYFUNCTION("""COMPUTED_VALUE"""),"Java")</f>
        <v>Java</v>
      </c>
      <c r="H339" s="9" t="str">
        <f>IFERROR(__xludf.DUMMYFUNCTION("""COMPUTED_VALUE"""),"JavaScript")</f>
        <v>JavaScript</v>
      </c>
      <c r="I339" s="9" t="str">
        <f>IFERROR(__xludf.DUMMYFUNCTION("""COMPUTED_VALUE"""),"C#")</f>
        <v>C#</v>
      </c>
      <c r="J339" s="9" t="str">
        <f>IFERROR(__xludf.DUMMYFUNCTION("""COMPUTED_VALUE"""),"HTML/CSS")</f>
        <v>HTML/CSS</v>
      </c>
      <c r="K339" s="9" t="str">
        <f>IFERROR(__xludf.DUMMYFUNCTION("""COMPUTED_VALUE"""),"JavaScript")</f>
        <v>JavaScript</v>
      </c>
      <c r="L339" s="9" t="str">
        <f>IFERROR(__xludf.DUMMYFUNCTION("""COMPUTED_VALUE"""),"TypeScript")</f>
        <v>TypeScript</v>
      </c>
      <c r="M339" s="9" t="s">
        <v>23</v>
      </c>
    </row>
    <row r="340" ht="15.75" customHeight="1">
      <c r="A340" s="7"/>
      <c r="B340" s="7" t="str">
        <f>IFERROR(__xludf.DUMMYFUNCTION("""COMPUTED_VALUE"""),"HTML/CSS;Java;JavaScript;Python;SQL;TypeScript")</f>
        <v>HTML/CSS;Java;JavaScript;Python;SQL;TypeScript</v>
      </c>
      <c r="C340" s="9" t="str">
        <f>IFERROR(__xludf.DUMMYFUNCTION("""COMPUTED_VALUE"""),"C#")</f>
        <v>C#</v>
      </c>
      <c r="D340" s="9" t="str">
        <f>IFERROR(__xludf.DUMMYFUNCTION("""COMPUTED_VALUE"""),"Assembly")</f>
        <v>Assembly</v>
      </c>
      <c r="E340" s="9" t="str">
        <f>IFERROR(__xludf.DUMMYFUNCTION("""COMPUTED_VALUE"""),"Go")</f>
        <v>Go</v>
      </c>
      <c r="F340" s="9" t="str">
        <f>IFERROR(__xludf.DUMMYFUNCTION("""COMPUTED_VALUE"""),"HTML/CSS")</f>
        <v>HTML/CSS</v>
      </c>
      <c r="G340" s="9" t="str">
        <f>IFERROR(__xludf.DUMMYFUNCTION("""COMPUTED_VALUE"""),"JavaScript")</f>
        <v>JavaScript</v>
      </c>
      <c r="H340" s="9" t="str">
        <f>IFERROR(__xludf.DUMMYFUNCTION("""COMPUTED_VALUE"""),"Python")</f>
        <v>Python</v>
      </c>
      <c r="I340" s="9" t="str">
        <f>IFERROR(__xludf.DUMMYFUNCTION("""COMPUTED_VALUE"""),"HTML/CSS")</f>
        <v>HTML/CSS</v>
      </c>
      <c r="J340" s="9" t="str">
        <f>IFERROR(__xludf.DUMMYFUNCTION("""COMPUTED_VALUE"""),"Java")</f>
        <v>Java</v>
      </c>
      <c r="K340" s="9" t="str">
        <f>IFERROR(__xludf.DUMMYFUNCTION("""COMPUTED_VALUE"""),"Kotlin")</f>
        <v>Kotlin</v>
      </c>
      <c r="L340" s="9" t="str">
        <f>IFERROR(__xludf.DUMMYFUNCTION("""COMPUTED_VALUE"""),"Bash/Shell/PowerShell")</f>
        <v>Bash/Shell/PowerShell</v>
      </c>
      <c r="M340" s="9" t="s">
        <v>26</v>
      </c>
    </row>
    <row r="341" ht="15.75" customHeight="1">
      <c r="A341" s="7"/>
      <c r="B341" s="7" t="str">
        <f>IFERROR(__xludf.DUMMYFUNCTION("""COMPUTED_VALUE"""),"C++")</f>
        <v>C++</v>
      </c>
      <c r="C341" s="9" t="str">
        <f>IFERROR(__xludf.DUMMYFUNCTION("""COMPUTED_VALUE"""),"HTML/CSS")</f>
        <v>HTML/CSS</v>
      </c>
      <c r="D341" s="9" t="str">
        <f>IFERROR(__xludf.DUMMYFUNCTION("""COMPUTED_VALUE"""),"Bash/Shell/PowerShell")</f>
        <v>Bash/Shell/PowerShell</v>
      </c>
      <c r="E341" s="9" t="str">
        <f>IFERROR(__xludf.DUMMYFUNCTION("""COMPUTED_VALUE"""),"Java")</f>
        <v>Java</v>
      </c>
      <c r="F341" s="9" t="str">
        <f>IFERROR(__xludf.DUMMYFUNCTION("""COMPUTED_VALUE"""),"JavaScript")</f>
        <v>JavaScript</v>
      </c>
      <c r="G341" s="9" t="str">
        <f>IFERROR(__xludf.DUMMYFUNCTION("""COMPUTED_VALUE"""),"Python")</f>
        <v>Python</v>
      </c>
      <c r="H341" s="9" t="str">
        <f>IFERROR(__xludf.DUMMYFUNCTION("""COMPUTED_VALUE"""),"SQL")</f>
        <v>SQL</v>
      </c>
      <c r="I341" s="9" t="str">
        <f>IFERROR(__xludf.DUMMYFUNCTION("""COMPUTED_VALUE"""),"JavaScript")</f>
        <v>JavaScript</v>
      </c>
      <c r="J341" s="9" t="str">
        <f>IFERROR(__xludf.DUMMYFUNCTION("""COMPUTED_VALUE"""),"JavaScript")</f>
        <v>JavaScript</v>
      </c>
      <c r="K341" s="9" t="str">
        <f>IFERROR(__xludf.DUMMYFUNCTION("""COMPUTED_VALUE"""),"PHP")</f>
        <v>PHP</v>
      </c>
      <c r="L341" s="9" t="str">
        <f>IFERROR(__xludf.DUMMYFUNCTION("""COMPUTED_VALUE"""),"Java")</f>
        <v>Java</v>
      </c>
      <c r="M341" s="9" t="s">
        <v>24</v>
      </c>
    </row>
    <row r="342" ht="15.75" customHeight="1">
      <c r="A342" s="7"/>
      <c r="B342" s="7" t="str">
        <f>IFERROR(__xludf.DUMMYFUNCTION("""COMPUTED_VALUE"""),"Assembly;C#;HTML/CSS;JavaScript;SQL")</f>
        <v>Assembly;C#;HTML/CSS;JavaScript;SQL</v>
      </c>
      <c r="C342" s="9" t="str">
        <f>IFERROR(__xludf.DUMMYFUNCTION("""COMPUTED_VALUE"""),"Java")</f>
        <v>Java</v>
      </c>
      <c r="D342" s="9" t="str">
        <f>IFERROR(__xludf.DUMMYFUNCTION("""COMPUTED_VALUE"""),"C")</f>
        <v>C</v>
      </c>
      <c r="E342" s="9" t="str">
        <f>IFERROR(__xludf.DUMMYFUNCTION("""COMPUTED_VALUE"""),"JavaScript")</f>
        <v>JavaScript</v>
      </c>
      <c r="F342" s="9" t="str">
        <f>IFERROR(__xludf.DUMMYFUNCTION("""COMPUTED_VALUE"""),"PHP")</f>
        <v>PHP</v>
      </c>
      <c r="G342" s="9" t="str">
        <f>IFERROR(__xludf.DUMMYFUNCTION("""COMPUTED_VALUE"""),"SQL")</f>
        <v>SQL</v>
      </c>
      <c r="H342" s="9" t="str">
        <f>IFERROR(__xludf.DUMMYFUNCTION("""COMPUTED_VALUE"""),"WebAssembly")</f>
        <v>WebAssembly</v>
      </c>
      <c r="I342" s="9" t="str">
        <f>IFERROR(__xludf.DUMMYFUNCTION("""COMPUTED_VALUE"""),"SQL")</f>
        <v>SQL</v>
      </c>
      <c r="J342" s="9" t="str">
        <f>IFERROR(__xludf.DUMMYFUNCTION("""COMPUTED_VALUE"""),"SQL")</f>
        <v>SQL</v>
      </c>
      <c r="K342" s="9" t="str">
        <f>IFERROR(__xludf.DUMMYFUNCTION("""COMPUTED_VALUE"""),"Python")</f>
        <v>Python</v>
      </c>
      <c r="L342" s="9" t="str">
        <f>IFERROR(__xludf.DUMMYFUNCTION("""COMPUTED_VALUE"""),"SQL")</f>
        <v>SQL</v>
      </c>
      <c r="M342" s="9" t="s">
        <v>20</v>
      </c>
    </row>
    <row r="343" ht="15.75" customHeight="1">
      <c r="A343" s="7"/>
      <c r="B343" s="7" t="str">
        <f>IFERROR(__xludf.DUMMYFUNCTION("""COMPUTED_VALUE"""),"Java;JavaScript")</f>
        <v>Java;JavaScript</v>
      </c>
      <c r="C343" s="9" t="str">
        <f>IFERROR(__xludf.DUMMYFUNCTION("""COMPUTED_VALUE"""),"Clojure")</f>
        <v>Clojure</v>
      </c>
      <c r="D343" s="9" t="str">
        <f>IFERROR(__xludf.DUMMYFUNCTION("""COMPUTED_VALUE"""),"C++")</f>
        <v>C++</v>
      </c>
      <c r="E343" s="9" t="str">
        <f>IFERROR(__xludf.DUMMYFUNCTION("""COMPUTED_VALUE"""),"PHP")</f>
        <v>PHP</v>
      </c>
      <c r="F343" s="9" t="str">
        <f>IFERROR(__xludf.DUMMYFUNCTION("""COMPUTED_VALUE"""),"Python")</f>
        <v>Python</v>
      </c>
      <c r="G343" s="9" t="str">
        <f>IFERROR(__xludf.DUMMYFUNCTION("""COMPUTED_VALUE"""),"TypeScript")</f>
        <v>TypeScript</v>
      </c>
      <c r="H343" s="9" t="str">
        <f>IFERROR(__xludf.DUMMYFUNCTION("""COMPUTED_VALUE"""),"HTML/CSS")</f>
        <v>HTML/CSS</v>
      </c>
      <c r="I343" s="9" t="str">
        <f>IFERROR(__xludf.DUMMYFUNCTION("""COMPUTED_VALUE"""),"Bash/Shell/PowerShell")</f>
        <v>Bash/Shell/PowerShell</v>
      </c>
      <c r="J343" s="9" t="str">
        <f>IFERROR(__xludf.DUMMYFUNCTION("""COMPUTED_VALUE"""),"C#")</f>
        <v>C#</v>
      </c>
      <c r="K343" s="9" t="str">
        <f>IFERROR(__xludf.DUMMYFUNCTION("""COMPUTED_VALUE"""),"SQL")</f>
        <v>SQL</v>
      </c>
      <c r="L343" s="9" t="str">
        <f>IFERROR(__xludf.DUMMYFUNCTION("""COMPUTED_VALUE"""),"Assembly")</f>
        <v>Assembly</v>
      </c>
      <c r="M343" s="9" t="s">
        <v>44</v>
      </c>
    </row>
    <row r="344" ht="15.75" customHeight="1">
      <c r="A344" s="7"/>
      <c r="B344" s="7" t="str">
        <f>IFERROR(__xludf.DUMMYFUNCTION("""COMPUTED_VALUE"""),"Java")</f>
        <v>Java</v>
      </c>
      <c r="C344" s="9" t="str">
        <f>IFERROR(__xludf.DUMMYFUNCTION("""COMPUTED_VALUE"""),"Go")</f>
        <v>Go</v>
      </c>
      <c r="D344" s="9" t="str">
        <f>IFERROR(__xludf.DUMMYFUNCTION("""COMPUTED_VALUE"""),"C#")</f>
        <v>C#</v>
      </c>
      <c r="E344" s="9" t="str">
        <f>IFERROR(__xludf.DUMMYFUNCTION("""COMPUTED_VALUE"""),"Python")</f>
        <v>Python</v>
      </c>
      <c r="F344" s="9" t="str">
        <f>IFERROR(__xludf.DUMMYFUNCTION("""COMPUTED_VALUE"""),"SQL")</f>
        <v>SQL</v>
      </c>
      <c r="G344" s="9" t="str">
        <f>IFERROR(__xludf.DUMMYFUNCTION("""COMPUTED_VALUE"""),"Java")</f>
        <v>Java</v>
      </c>
      <c r="H344" s="9" t="str">
        <f>IFERROR(__xludf.DUMMYFUNCTION("""COMPUTED_VALUE"""),"JavaScript")</f>
        <v>JavaScript</v>
      </c>
      <c r="I344" s="9" t="str">
        <f>IFERROR(__xludf.DUMMYFUNCTION("""COMPUTED_VALUE"""),"Python")</f>
        <v>Python</v>
      </c>
      <c r="J344" s="9" t="str">
        <f>IFERROR(__xludf.DUMMYFUNCTION("""COMPUTED_VALUE"""),"Go")</f>
        <v>Go</v>
      </c>
      <c r="K344" s="9" t="str">
        <f>IFERROR(__xludf.DUMMYFUNCTION("""COMPUTED_VALUE"""),"TypeScript")</f>
        <v>TypeScript</v>
      </c>
      <c r="L344" s="9" t="str">
        <f>IFERROR(__xludf.DUMMYFUNCTION("""COMPUTED_VALUE"""),"C++")</f>
        <v>C++</v>
      </c>
      <c r="M344" s="9" t="s">
        <v>36</v>
      </c>
    </row>
    <row r="345" ht="15.75" customHeight="1">
      <c r="A345" s="7"/>
      <c r="B345" s="7" t="str">
        <f>IFERROR(__xludf.DUMMYFUNCTION("""COMPUTED_VALUE"""),"Java")</f>
        <v>Java</v>
      </c>
      <c r="C345" s="9" t="str">
        <f>IFERROR(__xludf.DUMMYFUNCTION("""COMPUTED_VALUE"""),"HTML/CSS")</f>
        <v>HTML/CSS</v>
      </c>
      <c r="D345" s="9" t="str">
        <f>IFERROR(__xludf.DUMMYFUNCTION("""COMPUTED_VALUE"""),"Python")</f>
        <v>Python</v>
      </c>
      <c r="E345" s="9" t="str">
        <f>IFERROR(__xludf.DUMMYFUNCTION("""COMPUTED_VALUE"""),"Bash/Shell/PowerShell")</f>
        <v>Bash/Shell/PowerShell</v>
      </c>
      <c r="F345" s="9" t="str">
        <f>IFERROR(__xludf.DUMMYFUNCTION("""COMPUTED_VALUE"""),"C#")</f>
        <v>C#</v>
      </c>
      <c r="G345" s="9" t="str">
        <f>IFERROR(__xludf.DUMMYFUNCTION("""COMPUTED_VALUE"""),"JavaScript")</f>
        <v>JavaScript</v>
      </c>
      <c r="H345" s="9" t="str">
        <f>IFERROR(__xludf.DUMMYFUNCTION("""COMPUTED_VALUE"""),"PHP")</f>
        <v>PHP</v>
      </c>
      <c r="I345" s="9" t="str">
        <f>IFERROR(__xludf.DUMMYFUNCTION("""COMPUTED_VALUE"""),"SQL")</f>
        <v>SQL</v>
      </c>
      <c r="J345" s="9" t="str">
        <f>IFERROR(__xludf.DUMMYFUNCTION("""COMPUTED_VALUE"""),"HTML/CSS")</f>
        <v>HTML/CSS</v>
      </c>
      <c r="K345" s="9" t="str">
        <f>IFERROR(__xludf.DUMMYFUNCTION("""COMPUTED_VALUE"""),"HTML/CSS")</f>
        <v>HTML/CSS</v>
      </c>
      <c r="L345" s="9" t="str">
        <f>IFERROR(__xludf.DUMMYFUNCTION("""COMPUTED_VALUE"""),"HTML/CSS")</f>
        <v>HTML/CSS</v>
      </c>
      <c r="M345" s="9" t="s">
        <v>24</v>
      </c>
    </row>
    <row r="346" ht="15.75" customHeight="1">
      <c r="A346" s="7"/>
      <c r="B346" s="7" t="str">
        <f>IFERROR(__xludf.DUMMYFUNCTION("""COMPUTED_VALUE"""),"HTML/CSS;PHP")</f>
        <v>HTML/CSS;PHP</v>
      </c>
      <c r="C346" s="9" t="str">
        <f>IFERROR(__xludf.DUMMYFUNCTION("""COMPUTED_VALUE"""),"Java")</f>
        <v>Java</v>
      </c>
      <c r="D346" s="9" t="str">
        <f>IFERROR(__xludf.DUMMYFUNCTION("""COMPUTED_VALUE"""),"WebAssembly")</f>
        <v>WebAssembly</v>
      </c>
      <c r="E346" s="9" t="str">
        <f>IFERROR(__xludf.DUMMYFUNCTION("""COMPUTED_VALUE"""),"Go")</f>
        <v>Go</v>
      </c>
      <c r="F346" s="9" t="str">
        <f>IFERROR(__xludf.DUMMYFUNCTION("""COMPUTED_VALUE"""),"HTML/CSS")</f>
        <v>HTML/CSS</v>
      </c>
      <c r="G346" s="9" t="str">
        <f>IFERROR(__xludf.DUMMYFUNCTION("""COMPUTED_VALUE"""),"Python")</f>
        <v>Python</v>
      </c>
      <c r="H346" s="9" t="str">
        <f>IFERROR(__xludf.DUMMYFUNCTION("""COMPUTED_VALUE"""),"Python")</f>
        <v>Python</v>
      </c>
      <c r="I346" s="9" t="str">
        <f>IFERROR(__xludf.DUMMYFUNCTION("""COMPUTED_VALUE"""),"Bash/Shell/PowerShell")</f>
        <v>Bash/Shell/PowerShell</v>
      </c>
      <c r="J346" s="9" t="str">
        <f>IFERROR(__xludf.DUMMYFUNCTION("""COMPUTED_VALUE"""),"JavaScript")</f>
        <v>JavaScript</v>
      </c>
      <c r="K346" s="9" t="str">
        <f>IFERROR(__xludf.DUMMYFUNCTION("""COMPUTED_VALUE"""),"Java")</f>
        <v>Java</v>
      </c>
      <c r="L346" s="9" t="str">
        <f>IFERROR(__xludf.DUMMYFUNCTION("""COMPUTED_VALUE"""),"JavaScript")</f>
        <v>JavaScript</v>
      </c>
      <c r="M346" s="9" t="s">
        <v>20</v>
      </c>
    </row>
    <row r="347" ht="15.75" customHeight="1">
      <c r="A347" s="7"/>
      <c r="B347" s="7" t="str">
        <f>IFERROR(__xludf.DUMMYFUNCTION("""COMPUTED_VALUE"""),"C;C++;HTML/CSS;Python")</f>
        <v>C;C++;HTML/CSS;Python</v>
      </c>
      <c r="C347" s="9" t="str">
        <f>IFERROR(__xludf.DUMMYFUNCTION("""COMPUTED_VALUE"""),"JavaScript")</f>
        <v>JavaScript</v>
      </c>
      <c r="D347" s="9" t="str">
        <f>IFERROR(__xludf.DUMMYFUNCTION("""COMPUTED_VALUE"""),"Assembly")</f>
        <v>Assembly</v>
      </c>
      <c r="E347" s="9" t="str">
        <f>IFERROR(__xludf.DUMMYFUNCTION("""COMPUTED_VALUE"""),"HTML/CSS")</f>
        <v>HTML/CSS</v>
      </c>
      <c r="F347" s="9" t="str">
        <f>IFERROR(__xludf.DUMMYFUNCTION("""COMPUTED_VALUE"""),"Java")</f>
        <v>Java</v>
      </c>
      <c r="G347" s="9" t="str">
        <f>IFERROR(__xludf.DUMMYFUNCTION("""COMPUTED_VALUE"""),"SQL")</f>
        <v>SQL</v>
      </c>
      <c r="H347" s="9" t="str">
        <f>IFERROR(__xludf.DUMMYFUNCTION("""COMPUTED_VALUE"""),"TypeScript")</f>
        <v>TypeScript</v>
      </c>
      <c r="I347" s="9" t="str">
        <f>IFERROR(__xludf.DUMMYFUNCTION("""COMPUTED_VALUE"""),"HTML/CSS")</f>
        <v>HTML/CSS</v>
      </c>
      <c r="J347" s="9" t="str">
        <f>IFERROR(__xludf.DUMMYFUNCTION("""COMPUTED_VALUE"""),"Kotlin")</f>
        <v>Kotlin</v>
      </c>
      <c r="K347" s="9" t="str">
        <f>IFERROR(__xludf.DUMMYFUNCTION("""COMPUTED_VALUE"""),"JavaScript")</f>
        <v>JavaScript</v>
      </c>
      <c r="L347" s="9" t="str">
        <f>IFERROR(__xludf.DUMMYFUNCTION("""COMPUTED_VALUE"""),"Python")</f>
        <v>Python</v>
      </c>
      <c r="M347" s="9" t="s">
        <v>21</v>
      </c>
    </row>
    <row r="348" ht="15.75" customHeight="1">
      <c r="A348" s="7"/>
      <c r="B348" s="7" t="str">
        <f>IFERROR(__xludf.DUMMYFUNCTION("""COMPUTED_VALUE"""),"C;C++;Elixir;HTML/CSS;Java;Kotlin;PHP;Ruby;SQL;Other(s):")</f>
        <v>C;C++;Elixir;HTML/CSS;Java;Kotlin;PHP;Ruby;SQL;Other(s):</v>
      </c>
      <c r="C348" s="9" t="str">
        <f>IFERROR(__xludf.DUMMYFUNCTION("""COMPUTED_VALUE"""),"R")</f>
        <v>R</v>
      </c>
      <c r="D348" s="9" t="str">
        <f>IFERROR(__xludf.DUMMYFUNCTION("""COMPUTED_VALUE"""),"C")</f>
        <v>C</v>
      </c>
      <c r="E348" s="9" t="str">
        <f>IFERROR(__xludf.DUMMYFUNCTION("""COMPUTED_VALUE"""),"JavaScript")</f>
        <v>JavaScript</v>
      </c>
      <c r="F348" s="9" t="str">
        <f>IFERROR(__xludf.DUMMYFUNCTION("""COMPUTED_VALUE"""),"JavaScript")</f>
        <v>JavaScript</v>
      </c>
      <c r="G348" s="9" t="str">
        <f>IFERROR(__xludf.DUMMYFUNCTION("""COMPUTED_VALUE"""),"Java")</f>
        <v>Java</v>
      </c>
      <c r="H348" s="9" t="str">
        <f>IFERROR(__xludf.DUMMYFUNCTION("""COMPUTED_VALUE"""),"HTML/CSS")</f>
        <v>HTML/CSS</v>
      </c>
      <c r="I348" s="9" t="str">
        <f>IFERROR(__xludf.DUMMYFUNCTION("""COMPUTED_VALUE"""),"JavaScript")</f>
        <v>JavaScript</v>
      </c>
      <c r="J348" s="9" t="str">
        <f>IFERROR(__xludf.DUMMYFUNCTION("""COMPUTED_VALUE"""),"Python")</f>
        <v>Python</v>
      </c>
      <c r="K348" s="9" t="str">
        <f>IFERROR(__xludf.DUMMYFUNCTION("""COMPUTED_VALUE"""),"Python")</f>
        <v>Python</v>
      </c>
      <c r="L348" s="9" t="str">
        <f>IFERROR(__xludf.DUMMYFUNCTION("""COMPUTED_VALUE"""),"Swift")</f>
        <v>Swift</v>
      </c>
      <c r="M348" s="9" t="s">
        <v>29</v>
      </c>
    </row>
    <row r="349" ht="15.75" customHeight="1">
      <c r="A349" s="7"/>
      <c r="B349" s="7" t="str">
        <f>IFERROR(__xludf.DUMMYFUNCTION("""COMPUTED_VALUE"""),"Assembly;C;C++;Java;JavaScript;Python;SQL")</f>
        <v>Assembly;C;C++;Java;JavaScript;Python;SQL</v>
      </c>
      <c r="C349" s="9" t="str">
        <f>IFERROR(__xludf.DUMMYFUNCTION("""COMPUTED_VALUE"""),"SQL")</f>
        <v>SQL</v>
      </c>
      <c r="D349" s="9" t="str">
        <f>IFERROR(__xludf.DUMMYFUNCTION("""COMPUTED_VALUE"""),"C#")</f>
        <v>C#</v>
      </c>
      <c r="E349" s="9" t="str">
        <f>IFERROR(__xludf.DUMMYFUNCTION("""COMPUTED_VALUE"""),"C#")</f>
        <v>C#</v>
      </c>
      <c r="F349" s="9" t="str">
        <f>IFERROR(__xludf.DUMMYFUNCTION("""COMPUTED_VALUE"""),"PHP")</f>
        <v>PHP</v>
      </c>
      <c r="G349" s="9" t="str">
        <f>IFERROR(__xludf.DUMMYFUNCTION("""COMPUTED_VALUE"""),"JavaScript")</f>
        <v>JavaScript</v>
      </c>
      <c r="H349" s="9" t="str">
        <f>IFERROR(__xludf.DUMMYFUNCTION("""COMPUTED_VALUE"""),"JavaScript")</f>
        <v>JavaScript</v>
      </c>
      <c r="I349" s="9" t="str">
        <f>IFERROR(__xludf.DUMMYFUNCTION("""COMPUTED_VALUE"""),"Python")</f>
        <v>Python</v>
      </c>
      <c r="J349" s="9" t="str">
        <f>IFERROR(__xludf.DUMMYFUNCTION("""COMPUTED_VALUE"""),"Ruby")</f>
        <v>Ruby</v>
      </c>
      <c r="K349" s="9" t="str">
        <f>IFERROR(__xludf.DUMMYFUNCTION("""COMPUTED_VALUE"""),"SQL")</f>
        <v>SQL</v>
      </c>
      <c r="L349" s="9" t="str">
        <f>IFERROR(__xludf.DUMMYFUNCTION("""COMPUTED_VALUE"""),"Bash/Shell/PowerShell")</f>
        <v>Bash/Shell/PowerShell</v>
      </c>
      <c r="M349" s="9" t="s">
        <v>27</v>
      </c>
    </row>
    <row r="350" ht="15.75" customHeight="1">
      <c r="A350" s="7"/>
      <c r="B350" s="7" t="str">
        <f>IFERROR(__xludf.DUMMYFUNCTION("""COMPUTED_VALUE"""),"HTML/CSS;JavaScript;Ruby;TypeScript")</f>
        <v>HTML/CSS;JavaScript;Ruby;TypeScript</v>
      </c>
      <c r="C350" s="9" t="str">
        <f>IFERROR(__xludf.DUMMYFUNCTION("""COMPUTED_VALUE"""),"C")</f>
        <v>C</v>
      </c>
      <c r="D350" s="9" t="str">
        <f>IFERROR(__xludf.DUMMYFUNCTION("""COMPUTED_VALUE"""),"Java")</f>
        <v>Java</v>
      </c>
      <c r="E350" s="9" t="str">
        <f>IFERROR(__xludf.DUMMYFUNCTION("""COMPUTED_VALUE"""),"HTML/CSS")</f>
        <v>HTML/CSS</v>
      </c>
      <c r="F350" s="9" t="str">
        <f>IFERROR(__xludf.DUMMYFUNCTION("""COMPUTED_VALUE"""),"SQL")</f>
        <v>SQL</v>
      </c>
      <c r="G350" s="9" t="str">
        <f>IFERROR(__xludf.DUMMYFUNCTION("""COMPUTED_VALUE"""),"PHP")</f>
        <v>PHP</v>
      </c>
      <c r="H350" s="9" t="str">
        <f>IFERROR(__xludf.DUMMYFUNCTION("""COMPUTED_VALUE"""),"PHP")</f>
        <v>PHP</v>
      </c>
      <c r="I350" s="9" t="str">
        <f>IFERROR(__xludf.DUMMYFUNCTION("""COMPUTED_VALUE"""),"Ruby")</f>
        <v>Ruby</v>
      </c>
      <c r="J350" s="9" t="str">
        <f>IFERROR(__xludf.DUMMYFUNCTION("""COMPUTED_VALUE"""),"SQL")</f>
        <v>SQL</v>
      </c>
      <c r="K350" s="9" t="str">
        <f>IFERROR(__xludf.DUMMYFUNCTION("""COMPUTED_VALUE"""),"Swift")</f>
        <v>Swift</v>
      </c>
      <c r="L350" s="9" t="str">
        <f>IFERROR(__xludf.DUMMYFUNCTION("""COMPUTED_VALUE"""),"Clojure")</f>
        <v>Clojure</v>
      </c>
      <c r="M350" s="9" t="s">
        <v>25</v>
      </c>
    </row>
    <row r="351" ht="15.75" customHeight="1">
      <c r="A351" s="7"/>
      <c r="B351" s="7" t="str">
        <f>IFERROR(__xludf.DUMMYFUNCTION("""COMPUTED_VALUE"""),"HTML/CSS;JavaScript;TypeScript")</f>
        <v>HTML/CSS;JavaScript;TypeScript</v>
      </c>
      <c r="C351" s="9" t="str">
        <f>IFERROR(__xludf.DUMMYFUNCTION("""COMPUTED_VALUE"""),"C#")</f>
        <v>C#</v>
      </c>
      <c r="D351" s="9" t="str">
        <f>IFERROR(__xludf.DUMMYFUNCTION("""COMPUTED_VALUE"""),"Ruby")</f>
        <v>Ruby</v>
      </c>
      <c r="E351" s="9" t="str">
        <f>IFERROR(__xludf.DUMMYFUNCTION("""COMPUTED_VALUE"""),"JavaScript")</f>
        <v>JavaScript</v>
      </c>
      <c r="F351" s="9" t="str">
        <f>IFERROR(__xludf.DUMMYFUNCTION("""COMPUTED_VALUE"""),"C#")</f>
        <v>C#</v>
      </c>
      <c r="G351" s="9" t="str">
        <f>IFERROR(__xludf.DUMMYFUNCTION("""COMPUTED_VALUE"""),"SQL")</f>
        <v>SQL</v>
      </c>
      <c r="H351" s="9" t="str">
        <f>IFERROR(__xludf.DUMMYFUNCTION("""COMPUTED_VALUE"""),"SQL")</f>
        <v>SQL</v>
      </c>
      <c r="I351" s="9" t="str">
        <f>IFERROR(__xludf.DUMMYFUNCTION("""COMPUTED_VALUE"""),"SQL")</f>
        <v>SQL</v>
      </c>
      <c r="J351" s="9" t="str">
        <f>IFERROR(__xludf.DUMMYFUNCTION("""COMPUTED_VALUE"""),"TypeScript")</f>
        <v>TypeScript</v>
      </c>
      <c r="K351" s="9" t="str">
        <f>IFERROR(__xludf.DUMMYFUNCTION("""COMPUTED_VALUE"""),"Go")</f>
        <v>Go</v>
      </c>
      <c r="L351" s="9" t="str">
        <f>IFERROR(__xludf.DUMMYFUNCTION("""COMPUTED_VALUE"""),"HTML/CSS")</f>
        <v>HTML/CSS</v>
      </c>
      <c r="M351" s="9" t="s">
        <v>26</v>
      </c>
    </row>
    <row r="352" ht="15.75" customHeight="1">
      <c r="A352" s="7"/>
      <c r="B352" s="7" t="str">
        <f>IFERROR(__xludf.DUMMYFUNCTION("""COMPUTED_VALUE"""),"HTML/CSS;Java;JavaScript;Kotlin;TypeScript")</f>
        <v>HTML/CSS;Java;JavaScript;Kotlin;TypeScript</v>
      </c>
      <c r="C352" s="9" t="str">
        <f>IFERROR(__xludf.DUMMYFUNCTION("""COMPUTED_VALUE"""),"HTML/CSS")</f>
        <v>HTML/CSS</v>
      </c>
      <c r="D352" s="9" t="str">
        <f>IFERROR(__xludf.DUMMYFUNCTION("""COMPUTED_VALUE"""),"TypeScript")</f>
        <v>TypeScript</v>
      </c>
      <c r="E352" s="9" t="str">
        <f>IFERROR(__xludf.DUMMYFUNCTION("""COMPUTED_VALUE"""),"SQL")</f>
        <v>SQL</v>
      </c>
      <c r="F352" s="9" t="str">
        <f>IFERROR(__xludf.DUMMYFUNCTION("""COMPUTED_VALUE"""),"C++")</f>
        <v>C++</v>
      </c>
      <c r="G352" s="9" t="str">
        <f>IFERROR(__xludf.DUMMYFUNCTION("""COMPUTED_VALUE"""),"C#")</f>
        <v>C#</v>
      </c>
      <c r="H352" s="9" t="str">
        <f>IFERROR(__xludf.DUMMYFUNCTION("""COMPUTED_VALUE"""),"HTML/CSS")</f>
        <v>HTML/CSS</v>
      </c>
      <c r="I352" s="9" t="str">
        <f>IFERROR(__xludf.DUMMYFUNCTION("""COMPUTED_VALUE"""),"Bash/Shell/PowerShell")</f>
        <v>Bash/Shell/PowerShell</v>
      </c>
      <c r="J352" s="9" t="str">
        <f>IFERROR(__xludf.DUMMYFUNCTION("""COMPUTED_VALUE"""),"C#")</f>
        <v>C#</v>
      </c>
      <c r="K352" s="9" t="str">
        <f>IFERROR(__xludf.DUMMYFUNCTION("""COMPUTED_VALUE"""),"HTML/CSS")</f>
        <v>HTML/CSS</v>
      </c>
      <c r="L352" s="9" t="str">
        <f>IFERROR(__xludf.DUMMYFUNCTION("""COMPUTED_VALUE"""),"JavaScript")</f>
        <v>JavaScript</v>
      </c>
      <c r="M352" s="9" t="s">
        <v>24</v>
      </c>
    </row>
    <row r="353" ht="15.75" customHeight="1">
      <c r="A353" s="7"/>
      <c r="B353" s="7" t="str">
        <f>IFERROR(__xludf.DUMMYFUNCTION("""COMPUTED_VALUE"""),"Bash/Shell/PowerShell;Go;HTML/CSS;Java;JavaScript;Kotlin;TypeScript")</f>
        <v>Bash/Shell/PowerShell;Go;HTML/CSS;Java;JavaScript;Kotlin;TypeScript</v>
      </c>
      <c r="C353" s="9" t="str">
        <f>IFERROR(__xludf.DUMMYFUNCTION("""COMPUTED_VALUE"""),"Java")</f>
        <v>Java</v>
      </c>
      <c r="D353" s="9" t="str">
        <f>IFERROR(__xludf.DUMMYFUNCTION("""COMPUTED_VALUE"""),"C++")</f>
        <v>C++</v>
      </c>
      <c r="E353" s="9" t="str">
        <f>IFERROR(__xludf.DUMMYFUNCTION("""COMPUTED_VALUE"""),"HTML/CSS")</f>
        <v>HTML/CSS</v>
      </c>
      <c r="F353" s="9" t="str">
        <f>IFERROR(__xludf.DUMMYFUNCTION("""COMPUTED_VALUE"""),"C#")</f>
        <v>C#</v>
      </c>
      <c r="G353" s="9" t="str">
        <f>IFERROR(__xludf.DUMMYFUNCTION("""COMPUTED_VALUE"""),"HTML/CSS")</f>
        <v>HTML/CSS</v>
      </c>
      <c r="H353" s="9" t="str">
        <f>IFERROR(__xludf.DUMMYFUNCTION("""COMPUTED_VALUE"""),"JavaScript")</f>
        <v>JavaScript</v>
      </c>
      <c r="I353" s="9" t="str">
        <f>IFERROR(__xludf.DUMMYFUNCTION("""COMPUTED_VALUE"""),"C++")</f>
        <v>C++</v>
      </c>
      <c r="J353" s="9" t="str">
        <f>IFERROR(__xludf.DUMMYFUNCTION("""COMPUTED_VALUE"""),"HTML/CSS")</f>
        <v>HTML/CSS</v>
      </c>
      <c r="K353" s="9" t="str">
        <f>IFERROR(__xludf.DUMMYFUNCTION("""COMPUTED_VALUE"""),"JavaScript")</f>
        <v>JavaScript</v>
      </c>
      <c r="L353" s="9" t="str">
        <f>IFERROR(__xludf.DUMMYFUNCTION("""COMPUTED_VALUE"""),"PHP")</f>
        <v>PHP</v>
      </c>
      <c r="M353" s="9" t="s">
        <v>20</v>
      </c>
    </row>
    <row r="354" ht="15.75" customHeight="1">
      <c r="A354" s="7"/>
      <c r="B354" s="7" t="str">
        <f>IFERROR(__xludf.DUMMYFUNCTION("""COMPUTED_VALUE"""),"HTML/CSS;JavaScript;PHP;Python;SQL")</f>
        <v>HTML/CSS;JavaScript;PHP;Python;SQL</v>
      </c>
      <c r="C354" s="9" t="str">
        <f>IFERROR(__xludf.DUMMYFUNCTION("""COMPUTED_VALUE"""),"JavaScript")</f>
        <v>JavaScript</v>
      </c>
      <c r="D354" s="9" t="str">
        <f>IFERROR(__xludf.DUMMYFUNCTION("""COMPUTED_VALUE"""),"HTML/CSS")</f>
        <v>HTML/CSS</v>
      </c>
      <c r="E354" s="9" t="str">
        <f>IFERROR(__xludf.DUMMYFUNCTION("""COMPUTED_VALUE"""),"JavaScript")</f>
        <v>JavaScript</v>
      </c>
      <c r="F354" s="9" t="str">
        <f>IFERROR(__xludf.DUMMYFUNCTION("""COMPUTED_VALUE"""),"HTML/CSS")</f>
        <v>HTML/CSS</v>
      </c>
      <c r="G354" s="9" t="str">
        <f>IFERROR(__xludf.DUMMYFUNCTION("""COMPUTED_VALUE"""),"Python")</f>
        <v>Python</v>
      </c>
      <c r="H354" s="9" t="str">
        <f>IFERROR(__xludf.DUMMYFUNCTION("""COMPUTED_VALUE"""),"PHP")</f>
        <v>PHP</v>
      </c>
      <c r="I354" s="9" t="str">
        <f>IFERROR(__xludf.DUMMYFUNCTION("""COMPUTED_VALUE"""),"C#")</f>
        <v>C#</v>
      </c>
      <c r="J354" s="9" t="str">
        <f>IFERROR(__xludf.DUMMYFUNCTION("""COMPUTED_VALUE"""),"Java")</f>
        <v>Java</v>
      </c>
      <c r="K354" s="9" t="str">
        <f>IFERROR(__xludf.DUMMYFUNCTION("""COMPUTED_VALUE"""),"PHP")</f>
        <v>PHP</v>
      </c>
      <c r="L354" s="9" t="str">
        <f>IFERROR(__xludf.DUMMYFUNCTION("""COMPUTED_VALUE"""),"Python")</f>
        <v>Python</v>
      </c>
      <c r="M354" s="9" t="s">
        <v>21</v>
      </c>
    </row>
    <row r="355" ht="15.75" customHeight="1">
      <c r="A355" s="7"/>
      <c r="B355" s="7" t="str">
        <f>IFERROR(__xludf.DUMMYFUNCTION("""COMPUTED_VALUE"""),"HTML/CSS;TypeScript")</f>
        <v>HTML/CSS;TypeScript</v>
      </c>
      <c r="C355" s="9" t="str">
        <f>IFERROR(__xludf.DUMMYFUNCTION("""COMPUTED_VALUE"""),"PHP")</f>
        <v>PHP</v>
      </c>
      <c r="D355" s="9" t="str">
        <f>IFERROR(__xludf.DUMMYFUNCTION("""COMPUTED_VALUE"""),"Java")</f>
        <v>Java</v>
      </c>
      <c r="E355" s="9" t="str">
        <f>IFERROR(__xludf.DUMMYFUNCTION("""COMPUTED_VALUE"""),"Other(s):")</f>
        <v>Other(s):</v>
      </c>
      <c r="F355" s="9" t="str">
        <f>IFERROR(__xludf.DUMMYFUNCTION("""COMPUTED_VALUE"""),"Java")</f>
        <v>Java</v>
      </c>
      <c r="G355" s="9" t="str">
        <f>IFERROR(__xludf.DUMMYFUNCTION("""COMPUTED_VALUE"""),"SQL")</f>
        <v>SQL</v>
      </c>
      <c r="H355" s="9" t="str">
        <f>IFERROR(__xludf.DUMMYFUNCTION("""COMPUTED_VALUE"""),"Python")</f>
        <v>Python</v>
      </c>
      <c r="I355" s="9" t="str">
        <f>IFERROR(__xludf.DUMMYFUNCTION("""COMPUTED_VALUE"""),"JavaScript")</f>
        <v>JavaScript</v>
      </c>
      <c r="J355" s="9" t="str">
        <f>IFERROR(__xludf.DUMMYFUNCTION("""COMPUTED_VALUE"""),"JavaScript")</f>
        <v>JavaScript</v>
      </c>
      <c r="K355" s="9" t="str">
        <f>IFERROR(__xludf.DUMMYFUNCTION("""COMPUTED_VALUE"""),"SQL")</f>
        <v>SQL</v>
      </c>
      <c r="L355" s="9" t="str">
        <f>IFERROR(__xludf.DUMMYFUNCTION("""COMPUTED_VALUE"""),"R")</f>
        <v>R</v>
      </c>
      <c r="M355" s="9" t="s">
        <v>37</v>
      </c>
    </row>
    <row r="356" ht="15.75" customHeight="1">
      <c r="A356" s="7"/>
      <c r="B356" s="7" t="str">
        <f>IFERROR(__xludf.DUMMYFUNCTION("""COMPUTED_VALUE"""),"C;C++;C#;HTML/CSS;JavaScript;PHP;SQL;TypeScript")</f>
        <v>C;C++;C#;HTML/CSS;JavaScript;PHP;SQL;TypeScript</v>
      </c>
      <c r="C356" s="9" t="str">
        <f>IFERROR(__xludf.DUMMYFUNCTION("""COMPUTED_VALUE"""),"Python")</f>
        <v>Python</v>
      </c>
      <c r="D356" s="9" t="str">
        <f>IFERROR(__xludf.DUMMYFUNCTION("""COMPUTED_VALUE"""),"JavaScript")</f>
        <v>JavaScript</v>
      </c>
      <c r="E356" s="9" t="str">
        <f>IFERROR(__xludf.DUMMYFUNCTION("""COMPUTED_VALUE"""),"Bash/Shell/PowerShell")</f>
        <v>Bash/Shell/PowerShell</v>
      </c>
      <c r="F356" s="9" t="str">
        <f>IFERROR(__xludf.DUMMYFUNCTION("""COMPUTED_VALUE"""),"JavaScript")</f>
        <v>JavaScript</v>
      </c>
      <c r="G356" s="9" t="str">
        <f>IFERROR(__xludf.DUMMYFUNCTION("""COMPUTED_VALUE"""),"TypeScript")</f>
        <v>TypeScript</v>
      </c>
      <c r="H356" s="9" t="str">
        <f>IFERROR(__xludf.DUMMYFUNCTION("""COMPUTED_VALUE"""),"SQL")</f>
        <v>SQL</v>
      </c>
      <c r="I356" s="9" t="str">
        <f>IFERROR(__xludf.DUMMYFUNCTION("""COMPUTED_VALUE"""),"Python")</f>
        <v>Python</v>
      </c>
      <c r="J356" s="9" t="str">
        <f>IFERROR(__xludf.DUMMYFUNCTION("""COMPUTED_VALUE"""),"SQL")</f>
        <v>SQL</v>
      </c>
      <c r="K356" s="9" t="str">
        <f>IFERROR(__xludf.DUMMYFUNCTION("""COMPUTED_VALUE"""),"C")</f>
        <v>C</v>
      </c>
      <c r="L356" s="9" t="str">
        <f>IFERROR(__xludf.DUMMYFUNCTION("""COMPUTED_VALUE"""),"SQL")</f>
        <v>SQL</v>
      </c>
      <c r="M356" s="9" t="s">
        <v>22</v>
      </c>
    </row>
    <row r="357" ht="15.75" customHeight="1">
      <c r="A357" s="7"/>
      <c r="B357" s="7" t="str">
        <f>IFERROR(__xludf.DUMMYFUNCTION("""COMPUTED_VALUE"""),"Java;JavaScript;Python")</f>
        <v>Java;JavaScript;Python</v>
      </c>
      <c r="C357" s="9" t="str">
        <f>IFERROR(__xludf.DUMMYFUNCTION("""COMPUTED_VALUE"""),"SQL")</f>
        <v>SQL</v>
      </c>
      <c r="D357" s="9" t="str">
        <f>IFERROR(__xludf.DUMMYFUNCTION("""COMPUTED_VALUE"""),"Python")</f>
        <v>Python</v>
      </c>
      <c r="E357" s="9" t="str">
        <f>IFERROR(__xludf.DUMMYFUNCTION("""COMPUTED_VALUE"""),"HTML/CSS")</f>
        <v>HTML/CSS</v>
      </c>
      <c r="F357" s="9" t="str">
        <f>IFERROR(__xludf.DUMMYFUNCTION("""COMPUTED_VALUE"""),"PHP")</f>
        <v>PHP</v>
      </c>
      <c r="G357" s="9" t="str">
        <f>IFERROR(__xludf.DUMMYFUNCTION("""COMPUTED_VALUE"""),"Java")</f>
        <v>Java</v>
      </c>
      <c r="H357" s="9" t="str">
        <f>IFERROR(__xludf.DUMMYFUNCTION("""COMPUTED_VALUE"""),"Bash/Shell/PowerShell")</f>
        <v>Bash/Shell/PowerShell</v>
      </c>
      <c r="I357" s="9" t="str">
        <f>IFERROR(__xludf.DUMMYFUNCTION("""COMPUTED_VALUE"""),"C#")</f>
        <v>C#</v>
      </c>
      <c r="J357" s="9" t="str">
        <f>IFERROR(__xludf.DUMMYFUNCTION("""COMPUTED_VALUE"""),"VBA")</f>
        <v>VBA</v>
      </c>
      <c r="K357" s="9" t="str">
        <f>IFERROR(__xludf.DUMMYFUNCTION("""COMPUTED_VALUE"""),"C#")</f>
        <v>C#</v>
      </c>
      <c r="L357" s="9" t="str">
        <f>IFERROR(__xludf.DUMMYFUNCTION("""COMPUTED_VALUE"""),"HTML/CSS")</f>
        <v>HTML/CSS</v>
      </c>
      <c r="M357" s="9" t="s">
        <v>27</v>
      </c>
    </row>
    <row r="358" ht="15.75" customHeight="1">
      <c r="A358" s="7"/>
      <c r="B358" s="7" t="str">
        <f>IFERROR(__xludf.DUMMYFUNCTION("""COMPUTED_VALUE"""),"Bash/Shell/PowerShell;HTML/CSS;JavaScript;Python;TypeScript")</f>
        <v>Bash/Shell/PowerShell;HTML/CSS;JavaScript;Python;TypeScript</v>
      </c>
      <c r="C358" s="9" t="str">
        <f>IFERROR(__xludf.DUMMYFUNCTION("""COMPUTED_VALUE"""),"VBA")</f>
        <v>VBA</v>
      </c>
      <c r="D358" s="9" t="str">
        <f>IFERROR(__xludf.DUMMYFUNCTION("""COMPUTED_VALUE"""),"Bash/Shell/PowerShell")</f>
        <v>Bash/Shell/PowerShell</v>
      </c>
      <c r="E358" s="9" t="str">
        <f>IFERROR(__xludf.DUMMYFUNCTION("""COMPUTED_VALUE"""),"Java")</f>
        <v>Java</v>
      </c>
      <c r="F358" s="9" t="str">
        <f>IFERROR(__xludf.DUMMYFUNCTION("""COMPUTED_VALUE"""),"Python")</f>
        <v>Python</v>
      </c>
      <c r="G358" s="9" t="str">
        <f>IFERROR(__xludf.DUMMYFUNCTION("""COMPUTED_VALUE"""),"JavaScript")</f>
        <v>JavaScript</v>
      </c>
      <c r="H358" s="9" t="str">
        <f>IFERROR(__xludf.DUMMYFUNCTION("""COMPUTED_VALUE"""),"C#")</f>
        <v>C#</v>
      </c>
      <c r="I358" s="9" t="str">
        <f>IFERROR(__xludf.DUMMYFUNCTION("""COMPUTED_VALUE"""),"HTML/CSS")</f>
        <v>HTML/CSS</v>
      </c>
      <c r="J358" s="9" t="str">
        <f>IFERROR(__xludf.DUMMYFUNCTION("""COMPUTED_VALUE"""),"Java")</f>
        <v>Java</v>
      </c>
      <c r="K358" s="9" t="str">
        <f>IFERROR(__xludf.DUMMYFUNCTION("""COMPUTED_VALUE"""),"HTML/CSS")</f>
        <v>HTML/CSS</v>
      </c>
      <c r="L358" s="9" t="str">
        <f>IFERROR(__xludf.DUMMYFUNCTION("""COMPUTED_VALUE"""),"JavaScript")</f>
        <v>JavaScript</v>
      </c>
      <c r="M358" s="9" t="s">
        <v>28</v>
      </c>
    </row>
    <row r="359" ht="15.75" customHeight="1">
      <c r="A359" s="7"/>
      <c r="B359" s="7" t="str">
        <f>IFERROR(__xludf.DUMMYFUNCTION("""COMPUTED_VALUE"""),"Elixir;Erlang;F#;Go;HTML/CSS;JavaScript;PHP;SQL")</f>
        <v>Elixir;Erlang;F#;Go;HTML/CSS;JavaScript;PHP;SQL</v>
      </c>
      <c r="C359" s="9" t="str">
        <f>IFERROR(__xludf.DUMMYFUNCTION("""COMPUTED_VALUE"""),"HTML/CSS")</f>
        <v>HTML/CSS</v>
      </c>
      <c r="D359" s="9" t="str">
        <f>IFERROR(__xludf.DUMMYFUNCTION("""COMPUTED_VALUE"""),"C#")</f>
        <v>C#</v>
      </c>
      <c r="E359" s="9" t="str">
        <f>IFERROR(__xludf.DUMMYFUNCTION("""COMPUTED_VALUE"""),"JavaScript")</f>
        <v>JavaScript</v>
      </c>
      <c r="F359" s="9" t="str">
        <f>IFERROR(__xludf.DUMMYFUNCTION("""COMPUTED_VALUE"""),"Ruby")</f>
        <v>Ruby</v>
      </c>
      <c r="G359" s="9" t="str">
        <f>IFERROR(__xludf.DUMMYFUNCTION("""COMPUTED_VALUE"""),"Python")</f>
        <v>Python</v>
      </c>
      <c r="H359" s="9" t="str">
        <f>IFERROR(__xludf.DUMMYFUNCTION("""COMPUTED_VALUE"""),"HTML/CSS")</f>
        <v>HTML/CSS</v>
      </c>
      <c r="I359" s="9" t="str">
        <f>IFERROR(__xludf.DUMMYFUNCTION("""COMPUTED_VALUE"""),"Java")</f>
        <v>Java</v>
      </c>
      <c r="J359" s="9" t="str">
        <f>IFERROR(__xludf.DUMMYFUNCTION("""COMPUTED_VALUE"""),"JavaScript")</f>
        <v>JavaScript</v>
      </c>
      <c r="K359" s="9" t="str">
        <f>IFERROR(__xludf.DUMMYFUNCTION("""COMPUTED_VALUE"""),"Java")</f>
        <v>Java</v>
      </c>
      <c r="L359" s="9" t="str">
        <f>IFERROR(__xludf.DUMMYFUNCTION("""COMPUTED_VALUE"""),"Python")</f>
        <v>Python</v>
      </c>
      <c r="M359" s="9" t="s">
        <v>24</v>
      </c>
    </row>
    <row r="360" ht="15.75" customHeight="1">
      <c r="A360" s="7"/>
      <c r="B360" s="7" t="str">
        <f>IFERROR(__xludf.DUMMYFUNCTION("""COMPUTED_VALUE"""),"HTML/CSS;Java;JavaScript;SQL")</f>
        <v>HTML/CSS;Java;JavaScript;SQL</v>
      </c>
      <c r="C360" s="9" t="str">
        <f>IFERROR(__xludf.DUMMYFUNCTION("""COMPUTED_VALUE"""),"Java")</f>
        <v>Java</v>
      </c>
      <c r="D360" s="9" t="str">
        <f>IFERROR(__xludf.DUMMYFUNCTION("""COMPUTED_VALUE"""),"HTML/CSS")</f>
        <v>HTML/CSS</v>
      </c>
      <c r="E360" s="9" t="str">
        <f>IFERROR(__xludf.DUMMYFUNCTION("""COMPUTED_VALUE"""),"PHP")</f>
        <v>PHP</v>
      </c>
      <c r="F360" s="9" t="str">
        <f>IFERROR(__xludf.DUMMYFUNCTION("""COMPUTED_VALUE"""),"SQL")</f>
        <v>SQL</v>
      </c>
      <c r="G360" s="9" t="str">
        <f>IFERROR(__xludf.DUMMYFUNCTION("""COMPUTED_VALUE"""),"SQL")</f>
        <v>SQL</v>
      </c>
      <c r="H360" s="9" t="str">
        <f>IFERROR(__xludf.DUMMYFUNCTION("""COMPUTED_VALUE"""),"Java")</f>
        <v>Java</v>
      </c>
      <c r="I360" s="9" t="str">
        <f>IFERROR(__xludf.DUMMYFUNCTION("""COMPUTED_VALUE"""),"JavaScript")</f>
        <v>JavaScript</v>
      </c>
      <c r="J360" s="9" t="str">
        <f>IFERROR(__xludf.DUMMYFUNCTION("""COMPUTED_VALUE"""),"Other(s):")</f>
        <v>Other(s):</v>
      </c>
      <c r="K360" s="9" t="str">
        <f>IFERROR(__xludf.DUMMYFUNCTION("""COMPUTED_VALUE"""),"Kotlin")</f>
        <v>Kotlin</v>
      </c>
      <c r="L360" s="9" t="str">
        <f>IFERROR(__xludf.DUMMYFUNCTION("""COMPUTED_VALUE"""),"Bash/Shell/PowerShell")</f>
        <v>Bash/Shell/PowerShell</v>
      </c>
      <c r="M360" s="9" t="s">
        <v>20</v>
      </c>
    </row>
    <row r="361" ht="15.75" customHeight="1">
      <c r="A361" s="7"/>
      <c r="B361" s="7" t="str">
        <f>IFERROR(__xludf.DUMMYFUNCTION("""COMPUTED_VALUE"""),"Bash/Shell/PowerShell;HTML/CSS;Java;JavaScript;Objective-C;Python;SQL;TypeScript")</f>
        <v>Bash/Shell/PowerShell;HTML/CSS;Java;JavaScript;Objective-C;Python;SQL;TypeScript</v>
      </c>
      <c r="C361" s="9" t="str">
        <f>IFERROR(__xludf.DUMMYFUNCTION("""COMPUTED_VALUE"""),"JavaScript")</f>
        <v>JavaScript</v>
      </c>
      <c r="D361" s="9" t="str">
        <f>IFERROR(__xludf.DUMMYFUNCTION("""COMPUTED_VALUE"""),"Java")</f>
        <v>Java</v>
      </c>
      <c r="E361" s="9" t="str">
        <f>IFERROR(__xludf.DUMMYFUNCTION("""COMPUTED_VALUE"""),"Python")</f>
        <v>Python</v>
      </c>
      <c r="F361" s="9" t="str">
        <f>IFERROR(__xludf.DUMMYFUNCTION("""COMPUTED_VALUE"""),"JavaScript")</f>
        <v>JavaScript</v>
      </c>
      <c r="G361" s="9" t="str">
        <f>IFERROR(__xludf.DUMMYFUNCTION("""COMPUTED_VALUE"""),"Assembly")</f>
        <v>Assembly</v>
      </c>
      <c r="H361" s="9" t="str">
        <f>IFERROR(__xludf.DUMMYFUNCTION("""COMPUTED_VALUE"""),"JavaScript")</f>
        <v>JavaScript</v>
      </c>
      <c r="I361" s="9" t="str">
        <f>IFERROR(__xludf.DUMMYFUNCTION("""COMPUTED_VALUE"""),"Kotlin")</f>
        <v>Kotlin</v>
      </c>
      <c r="J361" s="9" t="str">
        <f>IFERROR(__xludf.DUMMYFUNCTION("""COMPUTED_VALUE"""),"Bash/Shell/PowerShell")</f>
        <v>Bash/Shell/PowerShell</v>
      </c>
      <c r="K361" s="9" t="str">
        <f>IFERROR(__xludf.DUMMYFUNCTION("""COMPUTED_VALUE"""),"Python")</f>
        <v>Python</v>
      </c>
      <c r="L361" s="9" t="str">
        <f>IFERROR(__xludf.DUMMYFUNCTION("""COMPUTED_VALUE"""),"Elixir")</f>
        <v>Elixir</v>
      </c>
      <c r="M361" s="9" t="s">
        <v>21</v>
      </c>
    </row>
    <row r="362" ht="15.75" customHeight="1">
      <c r="A362" s="7"/>
      <c r="B362" s="7" t="str">
        <f>IFERROR(__xludf.DUMMYFUNCTION("""COMPUTED_VALUE"""),"Bash/Shell/PowerShell;HTML/CSS;JavaScript;PHP;Python;SQL;TypeScript")</f>
        <v>Bash/Shell/PowerShell;HTML/CSS;JavaScript;PHP;Python;SQL;TypeScript</v>
      </c>
      <c r="C362" s="9" t="str">
        <f>IFERROR(__xludf.DUMMYFUNCTION("""COMPUTED_VALUE"""),"Python")</f>
        <v>Python</v>
      </c>
      <c r="D362" s="9" t="str">
        <f>IFERROR(__xludf.DUMMYFUNCTION("""COMPUTED_VALUE"""),"JavaScript")</f>
        <v>JavaScript</v>
      </c>
      <c r="E362" s="9" t="str">
        <f>IFERROR(__xludf.DUMMYFUNCTION("""COMPUTED_VALUE"""),"SQL")</f>
        <v>SQL</v>
      </c>
      <c r="F362" s="9" t="str">
        <f>IFERROR(__xludf.DUMMYFUNCTION("""COMPUTED_VALUE"""),"Python")</f>
        <v>Python</v>
      </c>
      <c r="G362" s="9" t="str">
        <f>IFERROR(__xludf.DUMMYFUNCTION("""COMPUTED_VALUE"""),"Bash/Shell/PowerShell")</f>
        <v>Bash/Shell/PowerShell</v>
      </c>
      <c r="H362" s="9" t="str">
        <f>IFERROR(__xludf.DUMMYFUNCTION("""COMPUTED_VALUE"""),"Python")</f>
        <v>Python</v>
      </c>
      <c r="I362" s="9" t="str">
        <f>IFERROR(__xludf.DUMMYFUNCTION("""COMPUTED_VALUE"""),"Assembly")</f>
        <v>Assembly</v>
      </c>
      <c r="J362" s="9" t="str">
        <f>IFERROR(__xludf.DUMMYFUNCTION("""COMPUTED_VALUE"""),"C#")</f>
        <v>C#</v>
      </c>
      <c r="K362" s="9" t="str">
        <f>IFERROR(__xludf.DUMMYFUNCTION("""COMPUTED_VALUE"""),"Swift")</f>
        <v>Swift</v>
      </c>
      <c r="L362" s="9" t="str">
        <f>IFERROR(__xludf.DUMMYFUNCTION("""COMPUTED_VALUE"""),"PHP")</f>
        <v>PHP</v>
      </c>
      <c r="M362" s="9" t="s">
        <v>22</v>
      </c>
    </row>
    <row r="363" ht="15.75" customHeight="1">
      <c r="A363" s="7"/>
      <c r="B363" s="7" t="str">
        <f>IFERROR(__xludf.DUMMYFUNCTION("""COMPUTED_VALUE"""),"Java;SQL")</f>
        <v>Java;SQL</v>
      </c>
      <c r="C363" s="9" t="str">
        <f>IFERROR(__xludf.DUMMYFUNCTION("""COMPUTED_VALUE"""),"C#")</f>
        <v>C#</v>
      </c>
      <c r="D363" s="9" t="str">
        <f>IFERROR(__xludf.DUMMYFUNCTION("""COMPUTED_VALUE"""),"Python")</f>
        <v>Python</v>
      </c>
      <c r="E363" s="9" t="str">
        <f>IFERROR(__xludf.DUMMYFUNCTION("""COMPUTED_VALUE"""),"Bash/Shell/PowerShell")</f>
        <v>Bash/Shell/PowerShell</v>
      </c>
      <c r="F363" s="9" t="str">
        <f>IFERROR(__xludf.DUMMYFUNCTION("""COMPUTED_VALUE"""),"C")</f>
        <v>C</v>
      </c>
      <c r="G363" s="9" t="str">
        <f>IFERROR(__xludf.DUMMYFUNCTION("""COMPUTED_VALUE"""),"C")</f>
        <v>C</v>
      </c>
      <c r="H363" s="9" t="str">
        <f>IFERROR(__xludf.DUMMYFUNCTION("""COMPUTED_VALUE"""),"SQL")</f>
        <v>SQL</v>
      </c>
      <c r="I363" s="9" t="str">
        <f>IFERROR(__xludf.DUMMYFUNCTION("""COMPUTED_VALUE"""),"Bash/Shell/PowerShell")</f>
        <v>Bash/Shell/PowerShell</v>
      </c>
      <c r="J363" s="9" t="str">
        <f>IFERROR(__xludf.DUMMYFUNCTION("""COMPUTED_VALUE"""),"Go")</f>
        <v>Go</v>
      </c>
      <c r="K363" s="9" t="str">
        <f>IFERROR(__xludf.DUMMYFUNCTION("""COMPUTED_VALUE"""),"C")</f>
        <v>C</v>
      </c>
      <c r="L363" s="9" t="str">
        <f>IFERROR(__xludf.DUMMYFUNCTION("""COMPUTED_VALUE"""),"Python")</f>
        <v>Python</v>
      </c>
      <c r="M363" s="9" t="s">
        <v>26</v>
      </c>
    </row>
    <row r="364" ht="15.75" customHeight="1">
      <c r="A364" s="7"/>
      <c r="B364" s="7" t="str">
        <f>IFERROR(__xludf.DUMMYFUNCTION("""COMPUTED_VALUE"""),"HTML/CSS;PHP;SQL")</f>
        <v>HTML/CSS;PHP;SQL</v>
      </c>
      <c r="C364" s="9" t="str">
        <f>IFERROR(__xludf.DUMMYFUNCTION("""COMPUTED_VALUE"""),"HTML/CSS")</f>
        <v>HTML/CSS</v>
      </c>
      <c r="D364" s="9" t="str">
        <f>IFERROR(__xludf.DUMMYFUNCTION("""COMPUTED_VALUE"""),"SQL")</f>
        <v>SQL</v>
      </c>
      <c r="E364" s="9" t="str">
        <f>IFERROR(__xludf.DUMMYFUNCTION("""COMPUTED_VALUE"""),"Go")</f>
        <v>Go</v>
      </c>
      <c r="F364" s="9" t="str">
        <f>IFERROR(__xludf.DUMMYFUNCTION("""COMPUTED_VALUE"""),"C++")</f>
        <v>C++</v>
      </c>
      <c r="G364" s="9" t="str">
        <f>IFERROR(__xludf.DUMMYFUNCTION("""COMPUTED_VALUE"""),"C++")</f>
        <v>C++</v>
      </c>
      <c r="H364" s="9" t="str">
        <f>IFERROR(__xludf.DUMMYFUNCTION("""COMPUTED_VALUE"""),"Bash/Shell/PowerShell")</f>
        <v>Bash/Shell/PowerShell</v>
      </c>
      <c r="I364" s="9" t="str">
        <f>IFERROR(__xludf.DUMMYFUNCTION("""COMPUTED_VALUE"""),"C++")</f>
        <v>C++</v>
      </c>
      <c r="J364" s="9" t="str">
        <f>IFERROR(__xludf.DUMMYFUNCTION("""COMPUTED_VALUE"""),"HTML/CSS")</f>
        <v>HTML/CSS</v>
      </c>
      <c r="K364" s="9" t="str">
        <f>IFERROR(__xludf.DUMMYFUNCTION("""COMPUTED_VALUE"""),"C++")</f>
        <v>C++</v>
      </c>
      <c r="L364" s="9" t="str">
        <f>IFERROR(__xludf.DUMMYFUNCTION("""COMPUTED_VALUE"""),"Ruby")</f>
        <v>Ruby</v>
      </c>
      <c r="M364" s="9" t="s">
        <v>24</v>
      </c>
    </row>
    <row r="365" ht="15.75" customHeight="1">
      <c r="A365" s="7"/>
      <c r="B365" s="7" t="str">
        <f>IFERROR(__xludf.DUMMYFUNCTION("""COMPUTED_VALUE"""),"HTML/CSS;JavaScript")</f>
        <v>HTML/CSS;JavaScript</v>
      </c>
      <c r="C365" s="9" t="str">
        <f>IFERROR(__xludf.DUMMYFUNCTION("""COMPUTED_VALUE"""),"Java")</f>
        <v>Java</v>
      </c>
      <c r="D365" s="9" t="str">
        <f>IFERROR(__xludf.DUMMYFUNCTION("""COMPUTED_VALUE"""),"Bash/Shell/PowerShell")</f>
        <v>Bash/Shell/PowerShell</v>
      </c>
      <c r="E365" s="9" t="str">
        <f>IFERROR(__xludf.DUMMYFUNCTION("""COMPUTED_VALUE"""),"HTML/CSS")</f>
        <v>HTML/CSS</v>
      </c>
      <c r="F365" s="9" t="str">
        <f>IFERROR(__xludf.DUMMYFUNCTION("""COMPUTED_VALUE"""),"HTML/CSS")</f>
        <v>HTML/CSS</v>
      </c>
      <c r="G365" s="9" t="str">
        <f>IFERROR(__xludf.DUMMYFUNCTION("""COMPUTED_VALUE"""),"Python")</f>
        <v>Python</v>
      </c>
      <c r="H365" s="9" t="str">
        <f>IFERROR(__xludf.DUMMYFUNCTION("""COMPUTED_VALUE"""),"Go")</f>
        <v>Go</v>
      </c>
      <c r="I365" s="9" t="str">
        <f>IFERROR(__xludf.DUMMYFUNCTION("""COMPUTED_VALUE"""),"Java")</f>
        <v>Java</v>
      </c>
      <c r="J365" s="9" t="str">
        <f>IFERROR(__xludf.DUMMYFUNCTION("""COMPUTED_VALUE"""),"JavaScript")</f>
        <v>JavaScript</v>
      </c>
      <c r="K365" s="9" t="str">
        <f>IFERROR(__xludf.DUMMYFUNCTION("""COMPUTED_VALUE"""),"HTML/CSS")</f>
        <v>HTML/CSS</v>
      </c>
      <c r="L365" s="9" t="str">
        <f>IFERROR(__xludf.DUMMYFUNCTION("""COMPUTED_VALUE"""),"Rust")</f>
        <v>Rust</v>
      </c>
      <c r="M365" s="9" t="s">
        <v>20</v>
      </c>
    </row>
    <row r="366" ht="15.75" customHeight="1">
      <c r="A366" s="7"/>
      <c r="B366" s="7" t="str">
        <f>IFERROR(__xludf.DUMMYFUNCTION("""COMPUTED_VALUE"""),"Go;HTML/CSS;JavaScript;PHP;Python;SQL;TypeScript")</f>
        <v>Go;HTML/CSS;JavaScript;PHP;Python;SQL;TypeScript</v>
      </c>
      <c r="C366" s="9" t="str">
        <f>IFERROR(__xludf.DUMMYFUNCTION("""COMPUTED_VALUE"""),"JavaScript")</f>
        <v>JavaScript</v>
      </c>
      <c r="D366" s="9" t="str">
        <f>IFERROR(__xludf.DUMMYFUNCTION("""COMPUTED_VALUE"""),"C#")</f>
        <v>C#</v>
      </c>
      <c r="E366" s="9" t="str">
        <f>IFERROR(__xludf.DUMMYFUNCTION("""COMPUTED_VALUE"""),"JavaScript")</f>
        <v>JavaScript</v>
      </c>
      <c r="F366" s="9" t="str">
        <f>IFERROR(__xludf.DUMMYFUNCTION("""COMPUTED_VALUE"""),"JavaScript")</f>
        <v>JavaScript</v>
      </c>
      <c r="G366" s="9" t="str">
        <f>IFERROR(__xludf.DUMMYFUNCTION("""COMPUTED_VALUE"""),"C#")</f>
        <v>C#</v>
      </c>
      <c r="H366" s="9" t="str">
        <f>IFERROR(__xludf.DUMMYFUNCTION("""COMPUTED_VALUE"""),"JavaScript")</f>
        <v>JavaScript</v>
      </c>
      <c r="I366" s="9" t="str">
        <f>IFERROR(__xludf.DUMMYFUNCTION("""COMPUTED_VALUE"""),"Python")</f>
        <v>Python</v>
      </c>
      <c r="J366" s="9" t="str">
        <f>IFERROR(__xludf.DUMMYFUNCTION("""COMPUTED_VALUE"""),"Ruby")</f>
        <v>Ruby</v>
      </c>
      <c r="K366" s="9" t="str">
        <f>IFERROR(__xludf.DUMMYFUNCTION("""COMPUTED_VALUE"""),"JavaScript")</f>
        <v>JavaScript</v>
      </c>
      <c r="L366" s="9" t="str">
        <f>IFERROR(__xludf.DUMMYFUNCTION("""COMPUTED_VALUE"""),"SQL")</f>
        <v>SQL</v>
      </c>
      <c r="M366" s="9" t="s">
        <v>21</v>
      </c>
    </row>
    <row r="367" ht="15.75" customHeight="1">
      <c r="A367" s="7"/>
      <c r="B367" s="7" t="str">
        <f>IFERROR(__xludf.DUMMYFUNCTION("""COMPUTED_VALUE"""),"Python")</f>
        <v>Python</v>
      </c>
      <c r="C367" s="9" t="str">
        <f>IFERROR(__xludf.DUMMYFUNCTION("""COMPUTED_VALUE"""),"Objective-C")</f>
        <v>Objective-C</v>
      </c>
      <c r="D367" s="9" t="str">
        <f>IFERROR(__xludf.DUMMYFUNCTION("""COMPUTED_VALUE"""),"HTML/CSS")</f>
        <v>HTML/CSS</v>
      </c>
      <c r="E367" s="9" t="str">
        <f>IFERROR(__xludf.DUMMYFUNCTION("""COMPUTED_VALUE"""),"Python")</f>
        <v>Python</v>
      </c>
      <c r="F367" s="9" t="str">
        <f>IFERROR(__xludf.DUMMYFUNCTION("""COMPUTED_VALUE"""),"SQL")</f>
        <v>SQL</v>
      </c>
      <c r="G367" s="9" t="str">
        <f>IFERROR(__xludf.DUMMYFUNCTION("""COMPUTED_VALUE"""),"HTML/CSS")</f>
        <v>HTML/CSS</v>
      </c>
      <c r="H367" s="9" t="str">
        <f>IFERROR(__xludf.DUMMYFUNCTION("""COMPUTED_VALUE"""),"PHP")</f>
        <v>PHP</v>
      </c>
      <c r="I367" s="9" t="str">
        <f>IFERROR(__xludf.DUMMYFUNCTION("""COMPUTED_VALUE"""),"SQL")</f>
        <v>SQL</v>
      </c>
      <c r="J367" s="9" t="str">
        <f>IFERROR(__xludf.DUMMYFUNCTION("""COMPUTED_VALUE"""),"SQL")</f>
        <v>SQL</v>
      </c>
      <c r="K367" s="9" t="str">
        <f>IFERROR(__xludf.DUMMYFUNCTION("""COMPUTED_VALUE"""),"JavaScript")</f>
        <v>JavaScript</v>
      </c>
      <c r="L367" s="9" t="str">
        <f>IFERROR(__xludf.DUMMYFUNCTION("""COMPUTED_VALUE"""),"Java")</f>
        <v>Java</v>
      </c>
      <c r="M367" s="9" t="s">
        <v>41</v>
      </c>
    </row>
    <row r="368" ht="15.75" customHeight="1">
      <c r="A368" s="7"/>
      <c r="B368" s="7" t="str">
        <f>IFERROR(__xludf.DUMMYFUNCTION("""COMPUTED_VALUE"""),"R;SQL")</f>
        <v>R;SQL</v>
      </c>
      <c r="C368" s="9" t="str">
        <f>IFERROR(__xludf.DUMMYFUNCTION("""COMPUTED_VALUE"""),"SQL")</f>
        <v>SQL</v>
      </c>
      <c r="D368" s="9" t="str">
        <f>IFERROR(__xludf.DUMMYFUNCTION("""COMPUTED_VALUE"""),"JavaScript")</f>
        <v>JavaScript</v>
      </c>
      <c r="E368" s="9" t="str">
        <f>IFERROR(__xludf.DUMMYFUNCTION("""COMPUTED_VALUE"""),"Ruby")</f>
        <v>Ruby</v>
      </c>
      <c r="F368" s="9" t="str">
        <f>IFERROR(__xludf.DUMMYFUNCTION("""COMPUTED_VALUE"""),"Swift")</f>
        <v>Swift</v>
      </c>
      <c r="G368" s="9" t="str">
        <f>IFERROR(__xludf.DUMMYFUNCTION("""COMPUTED_VALUE"""),"Java")</f>
        <v>Java</v>
      </c>
      <c r="H368" s="9" t="str">
        <f>IFERROR(__xludf.DUMMYFUNCTION("""COMPUTED_VALUE"""),"Python")</f>
        <v>Python</v>
      </c>
      <c r="I368" s="9" t="str">
        <f>IFERROR(__xludf.DUMMYFUNCTION("""COMPUTED_VALUE"""),"Kotlin")</f>
        <v>Kotlin</v>
      </c>
      <c r="J368" s="9" t="str">
        <f>IFERROR(__xludf.DUMMYFUNCTION("""COMPUTED_VALUE"""),"TypeScript")</f>
        <v>TypeScript</v>
      </c>
      <c r="K368" s="9" t="str">
        <f>IFERROR(__xludf.DUMMYFUNCTION("""COMPUTED_VALUE"""),"PHP")</f>
        <v>PHP</v>
      </c>
      <c r="L368" s="9" t="str">
        <f>IFERROR(__xludf.DUMMYFUNCTION("""COMPUTED_VALUE"""),"JavaScript")</f>
        <v>JavaScript</v>
      </c>
      <c r="M368" s="9" t="s">
        <v>27</v>
      </c>
    </row>
    <row r="369" ht="15.75" customHeight="1">
      <c r="A369" s="7"/>
      <c r="B369" s="7" t="str">
        <f>IFERROR(__xludf.DUMMYFUNCTION("""COMPUTED_VALUE"""),"Bash/Shell/PowerShell;SQL")</f>
        <v>Bash/Shell/PowerShell;SQL</v>
      </c>
      <c r="C369" s="9" t="str">
        <f>IFERROR(__xludf.DUMMYFUNCTION("""COMPUTED_VALUE"""),"TypeScript")</f>
        <v>TypeScript</v>
      </c>
      <c r="D369" s="9" t="str">
        <f>IFERROR(__xludf.DUMMYFUNCTION("""COMPUTED_VALUE"""),"SQL")</f>
        <v>SQL</v>
      </c>
      <c r="E369" s="9" t="str">
        <f>IFERROR(__xludf.DUMMYFUNCTION("""COMPUTED_VALUE"""),"SQL")</f>
        <v>SQL</v>
      </c>
      <c r="F369" s="9" t="str">
        <f>IFERROR(__xludf.DUMMYFUNCTION("""COMPUTED_VALUE"""),"C++")</f>
        <v>C++</v>
      </c>
      <c r="G369" s="9" t="str">
        <f>IFERROR(__xludf.DUMMYFUNCTION("""COMPUTED_VALUE"""),"JavaScript")</f>
        <v>JavaScript</v>
      </c>
      <c r="H369" s="9" t="str">
        <f>IFERROR(__xludf.DUMMYFUNCTION("""COMPUTED_VALUE"""),"Ruby")</f>
        <v>Ruby</v>
      </c>
      <c r="I369" s="9" t="str">
        <f>IFERROR(__xludf.DUMMYFUNCTION("""COMPUTED_VALUE"""),"Objective-C")</f>
        <v>Objective-C</v>
      </c>
      <c r="J369" s="9" t="str">
        <f>IFERROR(__xludf.DUMMYFUNCTION("""COMPUTED_VALUE"""),"Other(s):")</f>
        <v>Other(s):</v>
      </c>
      <c r="K369" s="9" t="str">
        <f>IFERROR(__xludf.DUMMYFUNCTION("""COMPUTED_VALUE"""),"SQL")</f>
        <v>SQL</v>
      </c>
      <c r="L369" s="9" t="str">
        <f>IFERROR(__xludf.DUMMYFUNCTION("""COMPUTED_VALUE"""),"HTML/CSS")</f>
        <v>HTML/CSS</v>
      </c>
      <c r="M369" s="9" t="s">
        <v>33</v>
      </c>
    </row>
    <row r="370" ht="15.75" customHeight="1">
      <c r="A370" s="7"/>
      <c r="B370" s="7" t="str">
        <f>IFERROR(__xludf.DUMMYFUNCTION("""COMPUTED_VALUE"""),"Bash/Shell/PowerShell;C#;HTML/CSS;Java;Python;SQL")</f>
        <v>Bash/Shell/PowerShell;C#;HTML/CSS;Java;Python;SQL</v>
      </c>
      <c r="C370" s="9" t="str">
        <f>IFERROR(__xludf.DUMMYFUNCTION("""COMPUTED_VALUE"""),"C#")</f>
        <v>C#</v>
      </c>
      <c r="D370" s="9" t="str">
        <f>IFERROR(__xludf.DUMMYFUNCTION("""COMPUTED_VALUE"""),"TypeScript")</f>
        <v>TypeScript</v>
      </c>
      <c r="E370" s="9" t="str">
        <f>IFERROR(__xludf.DUMMYFUNCTION("""COMPUTED_VALUE"""),"JavaScript")</f>
        <v>JavaScript</v>
      </c>
      <c r="F370" s="9" t="str">
        <f>IFERROR(__xludf.DUMMYFUNCTION("""COMPUTED_VALUE"""),"Bash/Shell/PowerShell")</f>
        <v>Bash/Shell/PowerShell</v>
      </c>
      <c r="G370" s="9" t="str">
        <f>IFERROR(__xludf.DUMMYFUNCTION("""COMPUTED_VALUE"""),"PHP")</f>
        <v>PHP</v>
      </c>
      <c r="H370" s="9" t="str">
        <f>IFERROR(__xludf.DUMMYFUNCTION("""COMPUTED_VALUE"""),"Swift")</f>
        <v>Swift</v>
      </c>
      <c r="I370" s="9" t="str">
        <f>IFERROR(__xludf.DUMMYFUNCTION("""COMPUTED_VALUE"""),"C#")</f>
        <v>C#</v>
      </c>
      <c r="J370" s="9" t="str">
        <f>IFERROR(__xludf.DUMMYFUNCTION("""COMPUTED_VALUE"""),"C")</f>
        <v>C</v>
      </c>
      <c r="K370" s="9" t="str">
        <f>IFERROR(__xludf.DUMMYFUNCTION("""COMPUTED_VALUE"""),"Other(s):")</f>
        <v>Other(s):</v>
      </c>
      <c r="L370" s="9" t="str">
        <f>IFERROR(__xludf.DUMMYFUNCTION("""COMPUTED_VALUE"""),"Java")</f>
        <v>Java</v>
      </c>
      <c r="M370" s="9" t="s">
        <v>26</v>
      </c>
    </row>
    <row r="371" ht="15.75" customHeight="1">
      <c r="A371" s="7"/>
      <c r="B371" s="7" t="str">
        <f>IFERROR(__xludf.DUMMYFUNCTION("""COMPUTED_VALUE"""),"C#;HTML/CSS;Java;JavaScript;Python")</f>
        <v>C#;HTML/CSS;Java;JavaScript;Python</v>
      </c>
      <c r="C371" s="9" t="str">
        <f>IFERROR(__xludf.DUMMYFUNCTION("""COMPUTED_VALUE"""),"HTML/CSS")</f>
        <v>HTML/CSS</v>
      </c>
      <c r="D371" s="9" t="str">
        <f>IFERROR(__xludf.DUMMYFUNCTION("""COMPUTED_VALUE"""),"VBA")</f>
        <v>VBA</v>
      </c>
      <c r="E371" s="9" t="str">
        <f>IFERROR(__xludf.DUMMYFUNCTION("""COMPUTED_VALUE"""),"R")</f>
        <v>R</v>
      </c>
      <c r="F371" s="9" t="str">
        <f>IFERROR(__xludf.DUMMYFUNCTION("""COMPUTED_VALUE"""),"C#")</f>
        <v>C#</v>
      </c>
      <c r="G371" s="9" t="str">
        <f>IFERROR(__xludf.DUMMYFUNCTION("""COMPUTED_VALUE"""),"Ruby")</f>
        <v>Ruby</v>
      </c>
      <c r="H371" s="9" t="str">
        <f>IFERROR(__xludf.DUMMYFUNCTION("""COMPUTED_VALUE"""),"TypeScript")</f>
        <v>TypeScript</v>
      </c>
      <c r="I371" s="9" t="str">
        <f>IFERROR(__xludf.DUMMYFUNCTION("""COMPUTED_VALUE"""),"Clojure")</f>
        <v>Clojure</v>
      </c>
      <c r="J371" s="9" t="str">
        <f>IFERROR(__xludf.DUMMYFUNCTION("""COMPUTED_VALUE"""),"C++")</f>
        <v>C++</v>
      </c>
      <c r="K371" s="9" t="str">
        <f>IFERROR(__xludf.DUMMYFUNCTION("""COMPUTED_VALUE"""),"HTML/CSS")</f>
        <v>HTML/CSS</v>
      </c>
      <c r="L371" s="9" t="str">
        <f>IFERROR(__xludf.DUMMYFUNCTION("""COMPUTED_VALUE"""),"JavaScript")</f>
        <v>JavaScript</v>
      </c>
      <c r="M371" s="9" t="s">
        <v>24</v>
      </c>
    </row>
    <row r="372" ht="15.75" customHeight="1">
      <c r="A372" s="7"/>
      <c r="B372" s="7" t="str">
        <f>IFERROR(__xludf.DUMMYFUNCTION("""COMPUTED_VALUE"""),"HTML/CSS;Python;SQL;TypeScript")</f>
        <v>HTML/CSS;Python;SQL;TypeScript</v>
      </c>
      <c r="C372" s="9" t="str">
        <f>IFERROR(__xludf.DUMMYFUNCTION("""COMPUTED_VALUE"""),"JavaScript")</f>
        <v>JavaScript</v>
      </c>
      <c r="D372" s="9" t="str">
        <f>IFERROR(__xludf.DUMMYFUNCTION("""COMPUTED_VALUE"""),"HTML/CSS")</f>
        <v>HTML/CSS</v>
      </c>
      <c r="E372" s="9" t="str">
        <f>IFERROR(__xludf.DUMMYFUNCTION("""COMPUTED_VALUE"""),"SQL")</f>
        <v>SQL</v>
      </c>
      <c r="F372" s="9" t="str">
        <f>IFERROR(__xludf.DUMMYFUNCTION("""COMPUTED_VALUE"""),"HTML/CSS")</f>
        <v>HTML/CSS</v>
      </c>
      <c r="G372" s="9" t="str">
        <f>IFERROR(__xludf.DUMMYFUNCTION("""COMPUTED_VALUE"""),"SQL")</f>
        <v>SQL</v>
      </c>
      <c r="H372" s="9" t="str">
        <f>IFERROR(__xludf.DUMMYFUNCTION("""COMPUTED_VALUE"""),"Bash/Shell/PowerShell")</f>
        <v>Bash/Shell/PowerShell</v>
      </c>
      <c r="I372" s="9" t="str">
        <f>IFERROR(__xludf.DUMMYFUNCTION("""COMPUTED_VALUE"""),"Go")</f>
        <v>Go</v>
      </c>
      <c r="J372" s="9" t="str">
        <f>IFERROR(__xludf.DUMMYFUNCTION("""COMPUTED_VALUE"""),"HTML/CSS")</f>
        <v>HTML/CSS</v>
      </c>
      <c r="K372" s="9" t="str">
        <f>IFERROR(__xludf.DUMMYFUNCTION("""COMPUTED_VALUE"""),"JavaScript")</f>
        <v>JavaScript</v>
      </c>
      <c r="L372" s="9" t="str">
        <f>IFERROR(__xludf.DUMMYFUNCTION("""COMPUTED_VALUE"""),"PHP")</f>
        <v>PHP</v>
      </c>
      <c r="M372" s="9" t="s">
        <v>21</v>
      </c>
    </row>
    <row r="373" ht="15.75" customHeight="1">
      <c r="A373" s="7"/>
      <c r="B373" s="7" t="str">
        <f>IFERROR(__xludf.DUMMYFUNCTION("""COMPUTED_VALUE"""),"Bash/Shell/PowerShell;HTML/CSS;Java;JavaScript;Python;SQL")</f>
        <v>Bash/Shell/PowerShell;HTML/CSS;Java;JavaScript;Python;SQL</v>
      </c>
      <c r="C373" s="9" t="str">
        <f>IFERROR(__xludf.DUMMYFUNCTION("""COMPUTED_VALUE"""),"SQL")</f>
        <v>SQL</v>
      </c>
      <c r="D373" s="9" t="str">
        <f>IFERROR(__xludf.DUMMYFUNCTION("""COMPUTED_VALUE"""),"JavaScript")</f>
        <v>JavaScript</v>
      </c>
      <c r="E373" s="9" t="str">
        <f>IFERROR(__xludf.DUMMYFUNCTION("""COMPUTED_VALUE"""),"VBA")</f>
        <v>VBA</v>
      </c>
      <c r="F373" s="9" t="str">
        <f>IFERROR(__xludf.DUMMYFUNCTION("""COMPUTED_VALUE"""),"Java")</f>
        <v>Java</v>
      </c>
      <c r="G373" s="9" t="str">
        <f>IFERROR(__xludf.DUMMYFUNCTION("""COMPUTED_VALUE"""),"TypeScript")</f>
        <v>TypeScript</v>
      </c>
      <c r="H373" s="9" t="str">
        <f>IFERROR(__xludf.DUMMYFUNCTION("""COMPUTED_VALUE"""),"C++")</f>
        <v>C++</v>
      </c>
      <c r="I373" s="9" t="str">
        <f>IFERROR(__xludf.DUMMYFUNCTION("""COMPUTED_VALUE"""),"HTML/CSS")</f>
        <v>HTML/CSS</v>
      </c>
      <c r="J373" s="9" t="str">
        <f>IFERROR(__xludf.DUMMYFUNCTION("""COMPUTED_VALUE"""),"Java")</f>
        <v>Java</v>
      </c>
      <c r="K373" s="9" t="str">
        <f>IFERROR(__xludf.DUMMYFUNCTION("""COMPUTED_VALUE"""),"PHP")</f>
        <v>PHP</v>
      </c>
      <c r="L373" s="9" t="str">
        <f>IFERROR(__xludf.DUMMYFUNCTION("""COMPUTED_VALUE"""),"SQL")</f>
        <v>SQL</v>
      </c>
      <c r="M373" s="9" t="s">
        <v>27</v>
      </c>
    </row>
    <row r="374" ht="15.75" customHeight="1">
      <c r="A374" s="7"/>
      <c r="B374" s="7" t="str">
        <f>IFERROR(__xludf.DUMMYFUNCTION("""COMPUTED_VALUE"""),"C++;Python")</f>
        <v>C++;Python</v>
      </c>
      <c r="C374" s="9" t="str">
        <f>IFERROR(__xludf.DUMMYFUNCTION("""COMPUTED_VALUE"""),"HTML/CSS")</f>
        <v>HTML/CSS</v>
      </c>
      <c r="D374" s="9" t="str">
        <f>IFERROR(__xludf.DUMMYFUNCTION("""COMPUTED_VALUE"""),"Python")</f>
        <v>Python</v>
      </c>
      <c r="E374" s="9" t="str">
        <f>IFERROR(__xludf.DUMMYFUNCTION("""COMPUTED_VALUE"""),"C")</f>
        <v>C</v>
      </c>
      <c r="F374" s="9" t="str">
        <f>IFERROR(__xludf.DUMMYFUNCTION("""COMPUTED_VALUE"""),"JavaScript")</f>
        <v>JavaScript</v>
      </c>
      <c r="G374" s="9" t="str">
        <f>IFERROR(__xludf.DUMMYFUNCTION("""COMPUTED_VALUE"""),"C++")</f>
        <v>C++</v>
      </c>
      <c r="H374" s="9" t="str">
        <f>IFERROR(__xludf.DUMMYFUNCTION("""COMPUTED_VALUE"""),"C")</f>
        <v>C</v>
      </c>
      <c r="I374" s="9" t="str">
        <f>IFERROR(__xludf.DUMMYFUNCTION("""COMPUTED_VALUE"""),"JavaScript")</f>
        <v>JavaScript</v>
      </c>
      <c r="J374" s="9" t="str">
        <f>IFERROR(__xludf.DUMMYFUNCTION("""COMPUTED_VALUE"""),"JavaScript")</f>
        <v>JavaScript</v>
      </c>
      <c r="K374" s="9" t="str">
        <f>IFERROR(__xludf.DUMMYFUNCTION("""COMPUTED_VALUE"""),"Python")</f>
        <v>Python</v>
      </c>
      <c r="L374" s="9" t="str">
        <f>IFERROR(__xludf.DUMMYFUNCTION("""COMPUTED_VALUE"""),"TypeScript")</f>
        <v>TypeScript</v>
      </c>
      <c r="M374" s="9" t="s">
        <v>24</v>
      </c>
    </row>
    <row r="375" ht="15.75" customHeight="1">
      <c r="A375" s="7"/>
      <c r="B375" s="7" t="str">
        <f>IFERROR(__xludf.DUMMYFUNCTION("""COMPUTED_VALUE"""),"HTML/CSS;JavaScript;PHP;SQL")</f>
        <v>HTML/CSS;JavaScript;PHP;SQL</v>
      </c>
      <c r="C375" s="9" t="str">
        <f>IFERROR(__xludf.DUMMYFUNCTION("""COMPUTED_VALUE"""),"JavaScript")</f>
        <v>JavaScript</v>
      </c>
      <c r="D375" s="9" t="str">
        <f>IFERROR(__xludf.DUMMYFUNCTION("""COMPUTED_VALUE"""),"Bash/Shell/PowerShell")</f>
        <v>Bash/Shell/PowerShell</v>
      </c>
      <c r="E375" s="9" t="str">
        <f>IFERROR(__xludf.DUMMYFUNCTION("""COMPUTED_VALUE"""),"C++")</f>
        <v>C++</v>
      </c>
      <c r="F375" s="9" t="str">
        <f>IFERROR(__xludf.DUMMYFUNCTION("""COMPUTED_VALUE"""),"Ruby")</f>
        <v>Ruby</v>
      </c>
      <c r="G375" s="9" t="str">
        <f>IFERROR(__xludf.DUMMYFUNCTION("""COMPUTED_VALUE"""),"JavaScript")</f>
        <v>JavaScript</v>
      </c>
      <c r="H375" s="9" t="str">
        <f>IFERROR(__xludf.DUMMYFUNCTION("""COMPUTED_VALUE"""),"C++")</f>
        <v>C++</v>
      </c>
      <c r="I375" s="9" t="str">
        <f>IFERROR(__xludf.DUMMYFUNCTION("""COMPUTED_VALUE"""),"SQL")</f>
        <v>SQL</v>
      </c>
      <c r="J375" s="9" t="str">
        <f>IFERROR(__xludf.DUMMYFUNCTION("""COMPUTED_VALUE"""),"PHP")</f>
        <v>PHP</v>
      </c>
      <c r="K375" s="9" t="str">
        <f>IFERROR(__xludf.DUMMYFUNCTION("""COMPUTED_VALUE"""),"Bash/Shell/PowerShell")</f>
        <v>Bash/Shell/PowerShell</v>
      </c>
      <c r="L375" s="9" t="str">
        <f>IFERROR(__xludf.DUMMYFUNCTION("""COMPUTED_VALUE"""),"C++")</f>
        <v>C++</v>
      </c>
      <c r="M375" s="9" t="s">
        <v>21</v>
      </c>
    </row>
    <row r="376" ht="15.75" customHeight="1">
      <c r="A376" s="7"/>
      <c r="B376" s="7" t="str">
        <f>IFERROR(__xludf.DUMMYFUNCTION("""COMPUTED_VALUE"""),"C#;HTML/CSS;JavaScript;SQL;TypeScript")</f>
        <v>C#;HTML/CSS;JavaScript;SQL;TypeScript</v>
      </c>
      <c r="C376" s="9" t="str">
        <f>IFERROR(__xludf.DUMMYFUNCTION("""COMPUTED_VALUE"""),"PHP")</f>
        <v>PHP</v>
      </c>
      <c r="D376" s="9" t="str">
        <f>IFERROR(__xludf.DUMMYFUNCTION("""COMPUTED_VALUE"""),"C")</f>
        <v>C</v>
      </c>
      <c r="E376" s="9" t="str">
        <f>IFERROR(__xludf.DUMMYFUNCTION("""COMPUTED_VALUE"""),"JavaScript")</f>
        <v>JavaScript</v>
      </c>
      <c r="F376" s="9" t="str">
        <f>IFERROR(__xludf.DUMMYFUNCTION("""COMPUTED_VALUE"""),"Bash/Shell/PowerShell")</f>
        <v>Bash/Shell/PowerShell</v>
      </c>
      <c r="G376" s="9" t="str">
        <f>IFERROR(__xludf.DUMMYFUNCTION("""COMPUTED_VALUE"""),"SQL")</f>
        <v>SQL</v>
      </c>
      <c r="H376" s="9" t="str">
        <f>IFERROR(__xludf.DUMMYFUNCTION("""COMPUTED_VALUE"""),"HTML/CSS")</f>
        <v>HTML/CSS</v>
      </c>
      <c r="I376" s="9" t="str">
        <f>IFERROR(__xludf.DUMMYFUNCTION("""COMPUTED_VALUE"""),"Bash/Shell/PowerShell")</f>
        <v>Bash/Shell/PowerShell</v>
      </c>
      <c r="J376" s="9" t="str">
        <f>IFERROR(__xludf.DUMMYFUNCTION("""COMPUTED_VALUE"""),"Python")</f>
        <v>Python</v>
      </c>
      <c r="K376" s="9" t="str">
        <f>IFERROR(__xludf.DUMMYFUNCTION("""COMPUTED_VALUE"""),"SQL")</f>
        <v>SQL</v>
      </c>
      <c r="L376" s="9" t="str">
        <f>IFERROR(__xludf.DUMMYFUNCTION("""COMPUTED_VALUE"""),"Python")</f>
        <v>Python</v>
      </c>
      <c r="M376" s="9" t="s">
        <v>37</v>
      </c>
    </row>
    <row r="377" ht="15.75" customHeight="1">
      <c r="A377" s="7"/>
      <c r="B377" s="7" t="str">
        <f>IFERROR(__xludf.DUMMYFUNCTION("""COMPUTED_VALUE"""),"Bash/Shell/PowerShell;C;C#;Java;Python")</f>
        <v>Bash/Shell/PowerShell;C;C#;Java;Python</v>
      </c>
      <c r="C377" s="9" t="str">
        <f>IFERROR(__xludf.DUMMYFUNCTION("""COMPUTED_VALUE"""),"Python")</f>
        <v>Python</v>
      </c>
      <c r="D377" s="9" t="str">
        <f>IFERROR(__xludf.DUMMYFUNCTION("""COMPUTED_VALUE"""),"C++")</f>
        <v>C++</v>
      </c>
      <c r="E377" s="9" t="str">
        <f>IFERROR(__xludf.DUMMYFUNCTION("""COMPUTED_VALUE"""),"Python")</f>
        <v>Python</v>
      </c>
      <c r="F377" s="9" t="str">
        <f>IFERROR(__xludf.DUMMYFUNCTION("""COMPUTED_VALUE"""),"Clojure")</f>
        <v>Clojure</v>
      </c>
      <c r="G377" s="9" t="str">
        <f>IFERROR(__xludf.DUMMYFUNCTION("""COMPUTED_VALUE"""),"Bash/Shell/PowerShell")</f>
        <v>Bash/Shell/PowerShell</v>
      </c>
      <c r="H377" s="9" t="str">
        <f>IFERROR(__xludf.DUMMYFUNCTION("""COMPUTED_VALUE"""),"Java")</f>
        <v>Java</v>
      </c>
      <c r="I377" s="9" t="str">
        <f>IFERROR(__xludf.DUMMYFUNCTION("""COMPUTED_VALUE"""),"C++")</f>
        <v>C++</v>
      </c>
      <c r="J377" s="9" t="str">
        <f>IFERROR(__xludf.DUMMYFUNCTION("""COMPUTED_VALUE"""),"VBA")</f>
        <v>VBA</v>
      </c>
      <c r="K377" s="9" t="str">
        <f>IFERROR(__xludf.DUMMYFUNCTION("""COMPUTED_VALUE"""),"Other(s):")</f>
        <v>Other(s):</v>
      </c>
      <c r="L377" s="9" t="str">
        <f>IFERROR(__xludf.DUMMYFUNCTION("""COMPUTED_VALUE"""),"Java")</f>
        <v>Java</v>
      </c>
      <c r="M377" s="9" t="s">
        <v>22</v>
      </c>
    </row>
    <row r="378" ht="15.75" customHeight="1">
      <c r="A378" s="7"/>
      <c r="B378" s="7" t="str">
        <f>IFERROR(__xludf.DUMMYFUNCTION("""COMPUTED_VALUE"""),"Bash/Shell/PowerShell;JavaScript;Python")</f>
        <v>Bash/Shell/PowerShell;JavaScript;Python</v>
      </c>
      <c r="C378" s="9" t="str">
        <f>IFERROR(__xludf.DUMMYFUNCTION("""COMPUTED_VALUE"""),"SQL")</f>
        <v>SQL</v>
      </c>
      <c r="D378" s="9" t="str">
        <f>IFERROR(__xludf.DUMMYFUNCTION("""COMPUTED_VALUE"""),"Dart")</f>
        <v>Dart</v>
      </c>
      <c r="E378" s="9" t="str">
        <f>IFERROR(__xludf.DUMMYFUNCTION("""COMPUTED_VALUE"""),"Rust")</f>
        <v>Rust</v>
      </c>
      <c r="F378" s="9" t="str">
        <f>IFERROR(__xludf.DUMMYFUNCTION("""COMPUTED_VALUE"""),"HTML/CSS")</f>
        <v>HTML/CSS</v>
      </c>
      <c r="G378" s="9" t="str">
        <f>IFERROR(__xludf.DUMMYFUNCTION("""COMPUTED_VALUE"""),"C#")</f>
        <v>C#</v>
      </c>
      <c r="H378" s="9" t="str">
        <f>IFERROR(__xludf.DUMMYFUNCTION("""COMPUTED_VALUE"""),"JavaScript")</f>
        <v>JavaScript</v>
      </c>
      <c r="I378" s="9" t="str">
        <f>IFERROR(__xludf.DUMMYFUNCTION("""COMPUTED_VALUE"""),"Java")</f>
        <v>Java</v>
      </c>
      <c r="J378" s="9" t="str">
        <f>IFERROR(__xludf.DUMMYFUNCTION("""COMPUTED_VALUE"""),"HTML/CSS")</f>
        <v>HTML/CSS</v>
      </c>
      <c r="K378" s="9" t="str">
        <f>IFERROR(__xludf.DUMMYFUNCTION("""COMPUTED_VALUE"""),"Bash/Shell/PowerShell")</f>
        <v>Bash/Shell/PowerShell</v>
      </c>
      <c r="L378" s="9" t="str">
        <f>IFERROR(__xludf.DUMMYFUNCTION("""COMPUTED_VALUE"""),"JavaScript")</f>
        <v>JavaScript</v>
      </c>
      <c r="M378" s="9" t="s">
        <v>27</v>
      </c>
    </row>
    <row r="379" ht="15.75" customHeight="1">
      <c r="A379" s="7"/>
      <c r="B379" s="7" t="str">
        <f>IFERROR(__xludf.DUMMYFUNCTION("""COMPUTED_VALUE"""),"C#;Go;HTML/CSS;Java;JavaScript;Python;R;SQL")</f>
        <v>C#;Go;HTML/CSS;Java;JavaScript;Python;R;SQL</v>
      </c>
      <c r="C379" s="9" t="str">
        <f>IFERROR(__xludf.DUMMYFUNCTION("""COMPUTED_VALUE"""),"VBA")</f>
        <v>VBA</v>
      </c>
      <c r="D379" s="9" t="str">
        <f>IFERROR(__xludf.DUMMYFUNCTION("""COMPUTED_VALUE"""),"HTML/CSS")</f>
        <v>HTML/CSS</v>
      </c>
      <c r="E379" s="9" t="str">
        <f>IFERROR(__xludf.DUMMYFUNCTION("""COMPUTED_VALUE"""),"HTML/CSS")</f>
        <v>HTML/CSS</v>
      </c>
      <c r="F379" s="9" t="str">
        <f>IFERROR(__xludf.DUMMYFUNCTION("""COMPUTED_VALUE"""),"Java")</f>
        <v>Java</v>
      </c>
      <c r="G379" s="9" t="str">
        <f>IFERROR(__xludf.DUMMYFUNCTION("""COMPUTED_VALUE"""),"HTML/CSS")</f>
        <v>HTML/CSS</v>
      </c>
      <c r="H379" s="9" t="str">
        <f>IFERROR(__xludf.DUMMYFUNCTION("""COMPUTED_VALUE"""),"SQL")</f>
        <v>SQL</v>
      </c>
      <c r="I379" s="9" t="str">
        <f>IFERROR(__xludf.DUMMYFUNCTION("""COMPUTED_VALUE"""),"Python")</f>
        <v>Python</v>
      </c>
      <c r="J379" s="9" t="str">
        <f>IFERROR(__xludf.DUMMYFUNCTION("""COMPUTED_VALUE"""),"JavaScript")</f>
        <v>JavaScript</v>
      </c>
      <c r="K379" s="9" t="str">
        <f>IFERROR(__xludf.DUMMYFUNCTION("""COMPUTED_VALUE"""),"HTML/CSS")</f>
        <v>HTML/CSS</v>
      </c>
      <c r="L379" s="9" t="str">
        <f>IFERROR(__xludf.DUMMYFUNCTION("""COMPUTED_VALUE"""),"PHP")</f>
        <v>PHP</v>
      </c>
      <c r="M379" s="9" t="s">
        <v>28</v>
      </c>
    </row>
    <row r="380" ht="15.75" customHeight="1">
      <c r="A380" s="7"/>
      <c r="B380" s="7" t="str">
        <f>IFERROR(__xludf.DUMMYFUNCTION("""COMPUTED_VALUE"""),"C#;HTML/CSS;Java;JavaScript;PHP;Python;SQL")</f>
        <v>C#;HTML/CSS;Java;JavaScript;PHP;Python;SQL</v>
      </c>
      <c r="C380" s="9" t="str">
        <f>IFERROR(__xludf.DUMMYFUNCTION("""COMPUTED_VALUE"""),"C#")</f>
        <v>C#</v>
      </c>
      <c r="D380" s="9" t="str">
        <f>IFERROR(__xludf.DUMMYFUNCTION("""COMPUTED_VALUE"""),"Java")</f>
        <v>Java</v>
      </c>
      <c r="E380" s="9" t="str">
        <f>IFERROR(__xludf.DUMMYFUNCTION("""COMPUTED_VALUE"""),"Java")</f>
        <v>Java</v>
      </c>
      <c r="F380" s="9" t="str">
        <f>IFERROR(__xludf.DUMMYFUNCTION("""COMPUTED_VALUE"""),"JavaScript")</f>
        <v>JavaScript</v>
      </c>
      <c r="G380" s="9" t="str">
        <f>IFERROR(__xludf.DUMMYFUNCTION("""COMPUTED_VALUE"""),"JavaScript")</f>
        <v>JavaScript</v>
      </c>
      <c r="H380" s="9" t="str">
        <f>IFERROR(__xludf.DUMMYFUNCTION("""COMPUTED_VALUE"""),"C#")</f>
        <v>C#</v>
      </c>
      <c r="I380" s="9" t="str">
        <f>IFERROR(__xludf.DUMMYFUNCTION("""COMPUTED_VALUE"""),"JavaScript")</f>
        <v>JavaScript</v>
      </c>
      <c r="J380" s="9" t="str">
        <f>IFERROR(__xludf.DUMMYFUNCTION("""COMPUTED_VALUE"""),"SQL")</f>
        <v>SQL</v>
      </c>
      <c r="K380" s="9" t="str">
        <f>IFERROR(__xludf.DUMMYFUNCTION("""COMPUTED_VALUE"""),"JavaScript")</f>
        <v>JavaScript</v>
      </c>
      <c r="L380" s="9" t="str">
        <f>IFERROR(__xludf.DUMMYFUNCTION("""COMPUTED_VALUE"""),"SQL")</f>
        <v>SQL</v>
      </c>
      <c r="M380" s="9" t="s">
        <v>26</v>
      </c>
    </row>
    <row r="381" ht="15.75" customHeight="1">
      <c r="A381" s="7"/>
      <c r="B381" s="7" t="str">
        <f>IFERROR(__xludf.DUMMYFUNCTION("""COMPUTED_VALUE"""),"Bash/Shell/PowerShell")</f>
        <v>Bash/Shell/PowerShell</v>
      </c>
      <c r="C381" s="9" t="str">
        <f>IFERROR(__xludf.DUMMYFUNCTION("""COMPUTED_VALUE"""),"HTML/CSS")</f>
        <v>HTML/CSS</v>
      </c>
      <c r="D381" s="9" t="str">
        <f>IFERROR(__xludf.DUMMYFUNCTION("""COMPUTED_VALUE"""),"JavaScript")</f>
        <v>JavaScript</v>
      </c>
      <c r="E381" s="9" t="str">
        <f>IFERROR(__xludf.DUMMYFUNCTION("""COMPUTED_VALUE"""),"JavaScript")</f>
        <v>JavaScript</v>
      </c>
      <c r="F381" s="9" t="str">
        <f>IFERROR(__xludf.DUMMYFUNCTION("""COMPUTED_VALUE"""),"Python")</f>
        <v>Python</v>
      </c>
      <c r="G381" s="9" t="str">
        <f>IFERROR(__xludf.DUMMYFUNCTION("""COMPUTED_VALUE"""),"Ruby")</f>
        <v>Ruby</v>
      </c>
      <c r="H381" s="9" t="str">
        <f>IFERROR(__xludf.DUMMYFUNCTION("""COMPUTED_VALUE"""),"HTML/CSS")</f>
        <v>HTML/CSS</v>
      </c>
      <c r="I381" s="9" t="str">
        <f>IFERROR(__xludf.DUMMYFUNCTION("""COMPUTED_VALUE"""),"PHP")</f>
        <v>PHP</v>
      </c>
      <c r="J381" s="9" t="str">
        <f>IFERROR(__xludf.DUMMYFUNCTION("""COMPUTED_VALUE"""),"TypeScript")</f>
        <v>TypeScript</v>
      </c>
      <c r="K381" s="9" t="str">
        <f>IFERROR(__xludf.DUMMYFUNCTION("""COMPUTED_VALUE"""),"Python")</f>
        <v>Python</v>
      </c>
      <c r="L381" s="9" t="str">
        <f>IFERROR(__xludf.DUMMYFUNCTION("""COMPUTED_VALUE"""),"HTML/CSS")</f>
        <v>HTML/CSS</v>
      </c>
      <c r="M381" s="9" t="s">
        <v>24</v>
      </c>
    </row>
    <row r="382" ht="15.75" customHeight="1">
      <c r="A382" s="7"/>
      <c r="B382" s="7" t="str">
        <f>IFERROR(__xludf.DUMMYFUNCTION("""COMPUTED_VALUE"""),"Bash/Shell/PowerShell;Go;SQL;TypeScript")</f>
        <v>Bash/Shell/PowerShell;Go;SQL;TypeScript</v>
      </c>
      <c r="C382" s="9" t="str">
        <f>IFERROR(__xludf.DUMMYFUNCTION("""COMPUTED_VALUE"""),"JavaScript")</f>
        <v>JavaScript</v>
      </c>
      <c r="D382" s="9" t="str">
        <f>IFERROR(__xludf.DUMMYFUNCTION("""COMPUTED_VALUE"""),"Kotlin")</f>
        <v>Kotlin</v>
      </c>
      <c r="E382" s="9" t="str">
        <f>IFERROR(__xludf.DUMMYFUNCTION("""COMPUTED_VALUE"""),"SQL")</f>
        <v>SQL</v>
      </c>
      <c r="F382" s="9" t="str">
        <f>IFERROR(__xludf.DUMMYFUNCTION("""COMPUTED_VALUE"""),"Ruby")</f>
        <v>Ruby</v>
      </c>
      <c r="G382" s="9" t="str">
        <f>IFERROR(__xludf.DUMMYFUNCTION("""COMPUTED_VALUE"""),"SQL")</f>
        <v>SQL</v>
      </c>
      <c r="H382" s="9" t="str">
        <f>IFERROR(__xludf.DUMMYFUNCTION("""COMPUTED_VALUE"""),"JavaScript")</f>
        <v>JavaScript</v>
      </c>
      <c r="I382" s="9" t="str">
        <f>IFERROR(__xludf.DUMMYFUNCTION("""COMPUTED_VALUE"""),"SQL")</f>
        <v>SQL</v>
      </c>
      <c r="J382" s="9" t="str">
        <f>IFERROR(__xludf.DUMMYFUNCTION("""COMPUTED_VALUE"""),"Bash/Shell/PowerShell")</f>
        <v>Bash/Shell/PowerShell</v>
      </c>
      <c r="K382" s="9" t="str">
        <f>IFERROR(__xludf.DUMMYFUNCTION("""COMPUTED_VALUE"""),"SQL")</f>
        <v>SQL</v>
      </c>
      <c r="L382" s="9" t="str">
        <f>IFERROR(__xludf.DUMMYFUNCTION("""COMPUTED_VALUE"""),"PHP")</f>
        <v>PHP</v>
      </c>
      <c r="M382" s="9" t="s">
        <v>21</v>
      </c>
    </row>
    <row r="383" ht="15.75" customHeight="1">
      <c r="A383" s="7"/>
      <c r="B383" s="7" t="str">
        <f>IFERROR(__xludf.DUMMYFUNCTION("""COMPUTED_VALUE"""),"HTML/CSS;Java;JavaScript;Python;R;SQL;VBA")</f>
        <v>HTML/CSS;Java;JavaScript;Python;R;SQL;VBA</v>
      </c>
      <c r="C383" s="9" t="str">
        <f>IFERROR(__xludf.DUMMYFUNCTION("""COMPUTED_VALUE"""),"PHP")</f>
        <v>PHP</v>
      </c>
      <c r="D383" s="9" t="str">
        <f>IFERROR(__xludf.DUMMYFUNCTION("""COMPUTED_VALUE"""),"Scala")</f>
        <v>Scala</v>
      </c>
      <c r="E383" s="9" t="str">
        <f>IFERROR(__xludf.DUMMYFUNCTION("""COMPUTED_VALUE"""),"TypeScript")</f>
        <v>TypeScript</v>
      </c>
      <c r="F383" s="9" t="str">
        <f>IFERROR(__xludf.DUMMYFUNCTION("""COMPUTED_VALUE"""),"SQL")</f>
        <v>SQL</v>
      </c>
      <c r="G383" s="9" t="str">
        <f>IFERROR(__xludf.DUMMYFUNCTION("""COMPUTED_VALUE"""),"Bash/Shell/PowerShell")</f>
        <v>Bash/Shell/PowerShell</v>
      </c>
      <c r="H383" s="9" t="str">
        <f>IFERROR(__xludf.DUMMYFUNCTION("""COMPUTED_VALUE"""),"SQL")</f>
        <v>SQL</v>
      </c>
      <c r="I383" s="9" t="str">
        <f>IFERROR(__xludf.DUMMYFUNCTION("""COMPUTED_VALUE"""),"Bash/Shell/PowerShell")</f>
        <v>Bash/Shell/PowerShell</v>
      </c>
      <c r="J383" s="9" t="str">
        <f>IFERROR(__xludf.DUMMYFUNCTION("""COMPUTED_VALUE"""),"C")</f>
        <v>C</v>
      </c>
      <c r="K383" s="9" t="str">
        <f>IFERROR(__xludf.DUMMYFUNCTION("""COMPUTED_VALUE"""),"Bash/Shell/PowerShell")</f>
        <v>Bash/Shell/PowerShell</v>
      </c>
      <c r="L383" s="9" t="str">
        <f>IFERROR(__xludf.DUMMYFUNCTION("""COMPUTED_VALUE"""),"Python")</f>
        <v>Python</v>
      </c>
      <c r="M383" s="9" t="s">
        <v>37</v>
      </c>
    </row>
    <row r="384" ht="15.75" customHeight="1">
      <c r="A384" s="7"/>
      <c r="B384" s="7" t="str">
        <f>IFERROR(__xludf.DUMMYFUNCTION("""COMPUTED_VALUE"""),"HTML/CSS;JavaScript;PHP")</f>
        <v>HTML/CSS;JavaScript;PHP</v>
      </c>
      <c r="C384" s="9" t="str">
        <f>IFERROR(__xludf.DUMMYFUNCTION("""COMPUTED_VALUE"""),"SQL")</f>
        <v>SQL</v>
      </c>
      <c r="D384" s="9" t="str">
        <f>IFERROR(__xludf.DUMMYFUNCTION("""COMPUTED_VALUE"""),"Go")</f>
        <v>Go</v>
      </c>
      <c r="E384" s="9" t="str">
        <f>IFERROR(__xludf.DUMMYFUNCTION("""COMPUTED_VALUE"""),"Other(s):")</f>
        <v>Other(s):</v>
      </c>
      <c r="F384" s="9" t="str">
        <f>IFERROR(__xludf.DUMMYFUNCTION("""COMPUTED_VALUE"""),"C")</f>
        <v>C</v>
      </c>
      <c r="G384" s="9" t="str">
        <f>IFERROR(__xludf.DUMMYFUNCTION("""COMPUTED_VALUE"""),"Python")</f>
        <v>Python</v>
      </c>
      <c r="H384" s="9" t="str">
        <f>IFERROR(__xludf.DUMMYFUNCTION("""COMPUTED_VALUE"""),"Bash/Shell/PowerShell")</f>
        <v>Bash/Shell/PowerShell</v>
      </c>
      <c r="I384" s="9" t="str">
        <f>IFERROR(__xludf.DUMMYFUNCTION("""COMPUTED_VALUE"""),"HTML/CSS")</f>
        <v>HTML/CSS</v>
      </c>
      <c r="J384" s="9" t="str">
        <f>IFERROR(__xludf.DUMMYFUNCTION("""COMPUTED_VALUE"""),"HTML/CSS")</f>
        <v>HTML/CSS</v>
      </c>
      <c r="K384" s="9" t="str">
        <f>IFERROR(__xludf.DUMMYFUNCTION("""COMPUTED_VALUE"""),"C#")</f>
        <v>C#</v>
      </c>
      <c r="L384" s="9" t="str">
        <f>IFERROR(__xludf.DUMMYFUNCTION("""COMPUTED_VALUE"""),"SQL")</f>
        <v>SQL</v>
      </c>
      <c r="M384" s="9" t="s">
        <v>27</v>
      </c>
    </row>
    <row r="385" ht="15.75" customHeight="1">
      <c r="A385" s="7"/>
      <c r="B385" s="7" t="str">
        <f>IFERROR(__xludf.DUMMYFUNCTION("""COMPUTED_VALUE"""),"Java;Python")</f>
        <v>Java;Python</v>
      </c>
      <c r="C385" s="9" t="str">
        <f>IFERROR(__xludf.DUMMYFUNCTION("""COMPUTED_VALUE"""),"TypeScript")</f>
        <v>TypeScript</v>
      </c>
      <c r="D385" s="9" t="str">
        <f>IFERROR(__xludf.DUMMYFUNCTION("""COMPUTED_VALUE"""),"JavaScript")</f>
        <v>JavaScript</v>
      </c>
      <c r="E385" s="9" t="str">
        <f>IFERROR(__xludf.DUMMYFUNCTION("""COMPUTED_VALUE"""),"Bash/Shell/PowerShell")</f>
        <v>Bash/Shell/PowerShell</v>
      </c>
      <c r="F385" s="9" t="str">
        <f>IFERROR(__xludf.DUMMYFUNCTION("""COMPUTED_VALUE"""),"C#")</f>
        <v>C#</v>
      </c>
      <c r="G385" s="9" t="str">
        <f>IFERROR(__xludf.DUMMYFUNCTION("""COMPUTED_VALUE"""),"Other(s):")</f>
        <v>Other(s):</v>
      </c>
      <c r="H385" s="9" t="str">
        <f>IFERROR(__xludf.DUMMYFUNCTION("""COMPUTED_VALUE"""),"C")</f>
        <v>C</v>
      </c>
      <c r="I385" s="9" t="str">
        <f>IFERROR(__xludf.DUMMYFUNCTION("""COMPUTED_VALUE"""),"JavaScript")</f>
        <v>JavaScript</v>
      </c>
      <c r="J385" s="9" t="str">
        <f>IFERROR(__xludf.DUMMYFUNCTION("""COMPUTED_VALUE"""),"JavaScript")</f>
        <v>JavaScript</v>
      </c>
      <c r="K385" s="9" t="str">
        <f>IFERROR(__xludf.DUMMYFUNCTION("""COMPUTED_VALUE"""),"Python")</f>
        <v>Python</v>
      </c>
      <c r="L385" s="9" t="str">
        <f>IFERROR(__xludf.DUMMYFUNCTION("""COMPUTED_VALUE"""),"VBA")</f>
        <v>VBA</v>
      </c>
      <c r="M385" s="9" t="s">
        <v>33</v>
      </c>
    </row>
    <row r="386" ht="15.75" customHeight="1">
      <c r="A386" s="7"/>
      <c r="B386" s="7" t="str">
        <f>IFERROR(__xludf.DUMMYFUNCTION("""COMPUTED_VALUE"""),"C;HTML/CSS;Java;JavaScript;PHP;SQL;TypeScript")</f>
        <v>C;HTML/CSS;Java;JavaScript;PHP;SQL;TypeScript</v>
      </c>
      <c r="C386" s="9" t="str">
        <f>IFERROR(__xludf.DUMMYFUNCTION("""COMPUTED_VALUE"""),"SQL")</f>
        <v>SQL</v>
      </c>
      <c r="D386" s="9" t="str">
        <f>IFERROR(__xludf.DUMMYFUNCTION("""COMPUTED_VALUE"""),"Python")</f>
        <v>Python</v>
      </c>
      <c r="E386" s="9" t="str">
        <f>IFERROR(__xludf.DUMMYFUNCTION("""COMPUTED_VALUE"""),"Java")</f>
        <v>Java</v>
      </c>
      <c r="F386" s="9" t="str">
        <f>IFERROR(__xludf.DUMMYFUNCTION("""COMPUTED_VALUE"""),"HTML/CSS")</f>
        <v>HTML/CSS</v>
      </c>
      <c r="G386" s="9" t="str">
        <f>IFERROR(__xludf.DUMMYFUNCTION("""COMPUTED_VALUE"""),"C#")</f>
        <v>C#</v>
      </c>
      <c r="H386" s="9" t="str">
        <f>IFERROR(__xludf.DUMMYFUNCTION("""COMPUTED_VALUE"""),"C++")</f>
        <v>C++</v>
      </c>
      <c r="I386" s="9" t="str">
        <f>IFERROR(__xludf.DUMMYFUNCTION("""COMPUTED_VALUE"""),"PHP")</f>
        <v>PHP</v>
      </c>
      <c r="J386" s="9" t="str">
        <f>IFERROR(__xludf.DUMMYFUNCTION("""COMPUTED_VALUE"""),"PHP")</f>
        <v>PHP</v>
      </c>
      <c r="K386" s="9" t="str">
        <f>IFERROR(__xludf.DUMMYFUNCTION("""COMPUTED_VALUE"""),"Rust")</f>
        <v>Rust</v>
      </c>
      <c r="L386" s="9" t="str">
        <f>IFERROR(__xludf.DUMMYFUNCTION("""COMPUTED_VALUE"""),"Assembly")</f>
        <v>Assembly</v>
      </c>
      <c r="M386" s="9" t="s">
        <v>27</v>
      </c>
    </row>
    <row r="387" ht="15.75" customHeight="1">
      <c r="A387" s="7"/>
      <c r="B387" s="7" t="str">
        <f>IFERROR(__xludf.DUMMYFUNCTION("""COMPUTED_VALUE"""),"Bash/Shell/PowerShell;JavaScript;Objective-C;Ruby;Swift")</f>
        <v>Bash/Shell/PowerShell;JavaScript;Objective-C;Ruby;Swift</v>
      </c>
      <c r="C387" s="9" t="str">
        <f>IFERROR(__xludf.DUMMYFUNCTION("""COMPUTED_VALUE"""),"HTML/CSS")</f>
        <v>HTML/CSS</v>
      </c>
      <c r="D387" s="9" t="str">
        <f>IFERROR(__xludf.DUMMYFUNCTION("""COMPUTED_VALUE"""),"SQL")</f>
        <v>SQL</v>
      </c>
      <c r="E387" s="9" t="str">
        <f>IFERROR(__xludf.DUMMYFUNCTION("""COMPUTED_VALUE"""),"JavaScript")</f>
        <v>JavaScript</v>
      </c>
      <c r="F387" s="9" t="str">
        <f>IFERROR(__xludf.DUMMYFUNCTION("""COMPUTED_VALUE"""),"Python")</f>
        <v>Python</v>
      </c>
      <c r="G387" s="9" t="str">
        <f>IFERROR(__xludf.DUMMYFUNCTION("""COMPUTED_VALUE"""),"HTML/CSS")</f>
        <v>HTML/CSS</v>
      </c>
      <c r="H387" s="9" t="str">
        <f>IFERROR(__xludf.DUMMYFUNCTION("""COMPUTED_VALUE"""),"Java")</f>
        <v>Java</v>
      </c>
      <c r="I387" s="9" t="str">
        <f>IFERROR(__xludf.DUMMYFUNCTION("""COMPUTED_VALUE"""),"SQL")</f>
        <v>SQL</v>
      </c>
      <c r="J387" s="9" t="str">
        <f>IFERROR(__xludf.DUMMYFUNCTION("""COMPUTED_VALUE"""),"Ruby")</f>
        <v>Ruby</v>
      </c>
      <c r="K387" s="9" t="str">
        <f>IFERROR(__xludf.DUMMYFUNCTION("""COMPUTED_VALUE"""),"SQL")</f>
        <v>SQL</v>
      </c>
      <c r="L387" s="9" t="str">
        <f>IFERROR(__xludf.DUMMYFUNCTION("""COMPUTED_VALUE"""),"Go")</f>
        <v>Go</v>
      </c>
      <c r="M387" s="9" t="s">
        <v>24</v>
      </c>
    </row>
    <row r="388" ht="15.75" customHeight="1">
      <c r="A388" s="7"/>
      <c r="B388" s="7" t="str">
        <f>IFERROR(__xludf.DUMMYFUNCTION("""COMPUTED_VALUE"""),"Bash/Shell/PowerShell;HTML/CSS;Java;Kotlin;Python;Scala")</f>
        <v>Bash/Shell/PowerShell;HTML/CSS;Java;Kotlin;Python;Scala</v>
      </c>
      <c r="C388" s="9" t="str">
        <f>IFERROR(__xludf.DUMMYFUNCTION("""COMPUTED_VALUE"""),"Java")</f>
        <v>Java</v>
      </c>
      <c r="D388" s="9" t="str">
        <f>IFERROR(__xludf.DUMMYFUNCTION("""COMPUTED_VALUE"""),"TypeScript")</f>
        <v>TypeScript</v>
      </c>
      <c r="E388" s="9" t="str">
        <f>IFERROR(__xludf.DUMMYFUNCTION("""COMPUTED_VALUE"""),"PHP")</f>
        <v>PHP</v>
      </c>
      <c r="F388" s="9" t="str">
        <f>IFERROR(__xludf.DUMMYFUNCTION("""COMPUTED_VALUE"""),"R")</f>
        <v>R</v>
      </c>
      <c r="G388" s="9" t="str">
        <f>IFERROR(__xludf.DUMMYFUNCTION("""COMPUTED_VALUE"""),"JavaScript")</f>
        <v>JavaScript</v>
      </c>
      <c r="H388" s="9" t="str">
        <f>IFERROR(__xludf.DUMMYFUNCTION("""COMPUTED_VALUE"""),"Python")</f>
        <v>Python</v>
      </c>
      <c r="I388" s="9" t="str">
        <f>IFERROR(__xludf.DUMMYFUNCTION("""COMPUTED_VALUE"""),"Python")</f>
        <v>Python</v>
      </c>
      <c r="J388" s="9" t="str">
        <f>IFERROR(__xludf.DUMMYFUNCTION("""COMPUTED_VALUE"""),"SQL")</f>
        <v>SQL</v>
      </c>
      <c r="K388" s="9" t="str">
        <f>IFERROR(__xludf.DUMMYFUNCTION("""COMPUTED_VALUE"""),"Bash/Shell/PowerShell")</f>
        <v>Bash/Shell/PowerShell</v>
      </c>
      <c r="L388" s="9" t="str">
        <f>IFERROR(__xludf.DUMMYFUNCTION("""COMPUTED_VALUE"""),"C#")</f>
        <v>C#</v>
      </c>
      <c r="M388" s="9" t="s">
        <v>20</v>
      </c>
    </row>
    <row r="389" ht="15.75" customHeight="1">
      <c r="A389" s="7"/>
      <c r="B389" s="7" t="str">
        <f>IFERROR(__xludf.DUMMYFUNCTION("""COMPUTED_VALUE"""),"Bash/Shell/PowerShell;HTML/CSS;JavaScript;PHP;Python;SQL")</f>
        <v>Bash/Shell/PowerShell;HTML/CSS;JavaScript;PHP;Python;SQL</v>
      </c>
      <c r="C389" s="9" t="str">
        <f>IFERROR(__xludf.DUMMYFUNCTION("""COMPUTED_VALUE"""),"JavaScript")</f>
        <v>JavaScript</v>
      </c>
      <c r="D389" s="9" t="str">
        <f>IFERROR(__xludf.DUMMYFUNCTION("""COMPUTED_VALUE"""),"JavaScript")</f>
        <v>JavaScript</v>
      </c>
      <c r="E389" s="9" t="str">
        <f>IFERROR(__xludf.DUMMYFUNCTION("""COMPUTED_VALUE"""),"SQL")</f>
        <v>SQL</v>
      </c>
      <c r="F389" s="9" t="str">
        <f>IFERROR(__xludf.DUMMYFUNCTION("""COMPUTED_VALUE"""),"SQL")</f>
        <v>SQL</v>
      </c>
      <c r="G389" s="9" t="str">
        <f>IFERROR(__xludf.DUMMYFUNCTION("""COMPUTED_VALUE"""),"SQL")</f>
        <v>SQL</v>
      </c>
      <c r="H389" s="9" t="str">
        <f>IFERROR(__xludf.DUMMYFUNCTION("""COMPUTED_VALUE"""),"C#")</f>
        <v>C#</v>
      </c>
      <c r="I389" s="9" t="str">
        <f>IFERROR(__xludf.DUMMYFUNCTION("""COMPUTED_VALUE"""),"Ruby")</f>
        <v>Ruby</v>
      </c>
      <c r="J389" s="9" t="str">
        <f>IFERROR(__xludf.DUMMYFUNCTION("""COMPUTED_VALUE"""),"Other(s):")</f>
        <v>Other(s):</v>
      </c>
      <c r="K389" s="9" t="str">
        <f>IFERROR(__xludf.DUMMYFUNCTION("""COMPUTED_VALUE"""),"C")</f>
        <v>C</v>
      </c>
      <c r="L389" s="9" t="str">
        <f>IFERROR(__xludf.DUMMYFUNCTION("""COMPUTED_VALUE"""),"HTML/CSS")</f>
        <v>HTML/CSS</v>
      </c>
      <c r="M389" s="9" t="s">
        <v>21</v>
      </c>
    </row>
    <row r="390" ht="15.75" customHeight="1">
      <c r="A390" s="7"/>
      <c r="B390" s="7" t="str">
        <f>IFERROR(__xludf.DUMMYFUNCTION("""COMPUTED_VALUE"""),"Bash/Shell/PowerShell;C#;HTML/CSS;JavaScript;Python;SQL;TypeScript;VBA")</f>
        <v>Bash/Shell/PowerShell;C#;HTML/CSS;JavaScript;Python;SQL;TypeScript;VBA</v>
      </c>
      <c r="C390" s="9" t="str">
        <f>IFERROR(__xludf.DUMMYFUNCTION("""COMPUTED_VALUE"""),"Kotlin")</f>
        <v>Kotlin</v>
      </c>
      <c r="D390" s="9" t="str">
        <f>IFERROR(__xludf.DUMMYFUNCTION("""COMPUTED_VALUE"""),"Python")</f>
        <v>Python</v>
      </c>
      <c r="E390" s="9" t="str">
        <f>IFERROR(__xludf.DUMMYFUNCTION("""COMPUTED_VALUE"""),"Bash/Shell/PowerShell")</f>
        <v>Bash/Shell/PowerShell</v>
      </c>
      <c r="F390" s="9" t="str">
        <f>IFERROR(__xludf.DUMMYFUNCTION("""COMPUTED_VALUE"""),"WebAssembly")</f>
        <v>WebAssembly</v>
      </c>
      <c r="G390" s="9" t="str">
        <f>IFERROR(__xludf.DUMMYFUNCTION("""COMPUTED_VALUE"""),"TypeScript")</f>
        <v>TypeScript</v>
      </c>
      <c r="H390" s="9" t="str">
        <f>IFERROR(__xludf.DUMMYFUNCTION("""COMPUTED_VALUE"""),"HTML/CSS")</f>
        <v>HTML/CSS</v>
      </c>
      <c r="I390" s="9" t="str">
        <f>IFERROR(__xludf.DUMMYFUNCTION("""COMPUTED_VALUE"""),"SQL")</f>
        <v>SQL</v>
      </c>
      <c r="J390" s="9" t="str">
        <f>IFERROR(__xludf.DUMMYFUNCTION("""COMPUTED_VALUE"""),"Java")</f>
        <v>Java</v>
      </c>
      <c r="K390" s="9" t="str">
        <f>IFERROR(__xludf.DUMMYFUNCTION("""COMPUTED_VALUE"""),"Go")</f>
        <v>Go</v>
      </c>
      <c r="L390" s="9" t="str">
        <f>IFERROR(__xludf.DUMMYFUNCTION("""COMPUTED_VALUE"""),"JavaScript")</f>
        <v>JavaScript</v>
      </c>
      <c r="M390" s="9" t="s">
        <v>39</v>
      </c>
    </row>
    <row r="391" ht="15.75" customHeight="1">
      <c r="A391" s="7"/>
      <c r="B391" s="7" t="str">
        <f>IFERROR(__xludf.DUMMYFUNCTION("""COMPUTED_VALUE"""),"Java;Kotlin;PHP;SQL")</f>
        <v>Java;Kotlin;PHP;SQL</v>
      </c>
      <c r="C391" s="9" t="str">
        <f>IFERROR(__xludf.DUMMYFUNCTION("""COMPUTED_VALUE"""),"Python")</f>
        <v>Python</v>
      </c>
      <c r="D391" s="9" t="str">
        <f>IFERROR(__xludf.DUMMYFUNCTION("""COMPUTED_VALUE"""),"Bash/Shell/PowerShell")</f>
        <v>Bash/Shell/PowerShell</v>
      </c>
      <c r="E391" s="9" t="str">
        <f>IFERROR(__xludf.DUMMYFUNCTION("""COMPUTED_VALUE"""),"C")</f>
        <v>C</v>
      </c>
      <c r="F391" s="9" t="str">
        <f>IFERROR(__xludf.DUMMYFUNCTION("""COMPUTED_VALUE"""),"C")</f>
        <v>C</v>
      </c>
      <c r="G391" s="9" t="str">
        <f>IFERROR(__xludf.DUMMYFUNCTION("""COMPUTED_VALUE"""),"Bash/Shell/PowerShell")</f>
        <v>Bash/Shell/PowerShell</v>
      </c>
      <c r="H391" s="9" t="str">
        <f>IFERROR(__xludf.DUMMYFUNCTION("""COMPUTED_VALUE"""),"JavaScript")</f>
        <v>JavaScript</v>
      </c>
      <c r="I391" s="9" t="str">
        <f>IFERROR(__xludf.DUMMYFUNCTION("""COMPUTED_VALUE"""),"Bash/Shell/PowerShell")</f>
        <v>Bash/Shell/PowerShell</v>
      </c>
      <c r="J391" s="9" t="str">
        <f>IFERROR(__xludf.DUMMYFUNCTION("""COMPUTED_VALUE"""),"R")</f>
        <v>R</v>
      </c>
      <c r="K391" s="9" t="str">
        <f>IFERROR(__xludf.DUMMYFUNCTION("""COMPUTED_VALUE"""),"HTML/CSS")</f>
        <v>HTML/CSS</v>
      </c>
      <c r="L391" s="9" t="str">
        <f>IFERROR(__xludf.DUMMYFUNCTION("""COMPUTED_VALUE"""),"SQL")</f>
        <v>SQL</v>
      </c>
      <c r="M391" s="9" t="s">
        <v>22</v>
      </c>
    </row>
    <row r="392" ht="15.75" customHeight="1">
      <c r="A392" s="7"/>
      <c r="B392" s="7" t="str">
        <f>IFERROR(__xludf.DUMMYFUNCTION("""COMPUTED_VALUE"""),"C#;HTML/CSS;TypeScript;Other(s):")</f>
        <v>C#;HTML/CSS;TypeScript;Other(s):</v>
      </c>
      <c r="C392" s="9" t="str">
        <f>IFERROR(__xludf.DUMMYFUNCTION("""COMPUTED_VALUE"""),"Ruby")</f>
        <v>Ruby</v>
      </c>
      <c r="D392" s="9" t="str">
        <f>IFERROR(__xludf.DUMMYFUNCTION("""COMPUTED_VALUE"""),"C#")</f>
        <v>C#</v>
      </c>
      <c r="E392" s="9" t="str">
        <f>IFERROR(__xludf.DUMMYFUNCTION("""COMPUTED_VALUE"""),"HTML/CSS")</f>
        <v>HTML/CSS</v>
      </c>
      <c r="F392" s="9" t="str">
        <f>IFERROR(__xludf.DUMMYFUNCTION("""COMPUTED_VALUE"""),"C++")</f>
        <v>C++</v>
      </c>
      <c r="G392" s="9" t="str">
        <f>IFERROR(__xludf.DUMMYFUNCTION("""COMPUTED_VALUE"""),"HTML/CSS")</f>
        <v>HTML/CSS</v>
      </c>
      <c r="H392" s="9" t="str">
        <f>IFERROR(__xludf.DUMMYFUNCTION("""COMPUTED_VALUE"""),"Python")</f>
        <v>Python</v>
      </c>
      <c r="I392" s="9" t="str">
        <f>IFERROR(__xludf.DUMMYFUNCTION("""COMPUTED_VALUE"""),"HTML/CSS")</f>
        <v>HTML/CSS</v>
      </c>
      <c r="J392" s="9" t="str">
        <f>IFERROR(__xludf.DUMMYFUNCTION("""COMPUTED_VALUE"""),"Python")</f>
        <v>Python</v>
      </c>
      <c r="K392" s="9" t="str">
        <f>IFERROR(__xludf.DUMMYFUNCTION("""COMPUTED_VALUE"""),"JavaScript")</f>
        <v>JavaScript</v>
      </c>
      <c r="L392" s="9" t="str">
        <f>IFERROR(__xludf.DUMMYFUNCTION("""COMPUTED_VALUE"""),"TypeScript")</f>
        <v>TypeScript</v>
      </c>
      <c r="M392" s="9" t="s">
        <v>31</v>
      </c>
    </row>
    <row r="393" ht="15.75" customHeight="1">
      <c r="A393" s="7"/>
      <c r="B393" s="7" t="str">
        <f>IFERROR(__xludf.DUMMYFUNCTION("""COMPUTED_VALUE"""),"HTML/CSS;Java;JavaScript;SQL")</f>
        <v>HTML/CSS;Java;JavaScript;SQL</v>
      </c>
      <c r="C393" s="9" t="str">
        <f>IFERROR(__xludf.DUMMYFUNCTION("""COMPUTED_VALUE"""),"HTML/CSS")</f>
        <v>HTML/CSS</v>
      </c>
      <c r="D393" s="9" t="str">
        <f>IFERROR(__xludf.DUMMYFUNCTION("""COMPUTED_VALUE"""),"HTML/CSS")</f>
        <v>HTML/CSS</v>
      </c>
      <c r="E393" s="9" t="str">
        <f>IFERROR(__xludf.DUMMYFUNCTION("""COMPUTED_VALUE"""),"JavaScript")</f>
        <v>JavaScript</v>
      </c>
      <c r="F393" s="9" t="str">
        <f>IFERROR(__xludf.DUMMYFUNCTION("""COMPUTED_VALUE"""),"JavaScript")</f>
        <v>JavaScript</v>
      </c>
      <c r="G393" s="9" t="str">
        <f>IFERROR(__xludf.DUMMYFUNCTION("""COMPUTED_VALUE"""),"Java")</f>
        <v>Java</v>
      </c>
      <c r="H393" s="9" t="str">
        <f>IFERROR(__xludf.DUMMYFUNCTION("""COMPUTED_VALUE"""),"TypeScript")</f>
        <v>TypeScript</v>
      </c>
      <c r="I393" s="9" t="str">
        <f>IFERROR(__xludf.DUMMYFUNCTION("""COMPUTED_VALUE"""),"Java")</f>
        <v>Java</v>
      </c>
      <c r="J393" s="9" t="str">
        <f>IFERROR(__xludf.DUMMYFUNCTION("""COMPUTED_VALUE"""),"R")</f>
        <v>R</v>
      </c>
      <c r="K393" s="9" t="str">
        <f>IFERROR(__xludf.DUMMYFUNCTION("""COMPUTED_VALUE"""),"Python")</f>
        <v>Python</v>
      </c>
      <c r="L393" s="9" t="str">
        <f>IFERROR(__xludf.DUMMYFUNCTION("""COMPUTED_VALUE"""),"VBA")</f>
        <v>VBA</v>
      </c>
      <c r="M393" s="9" t="s">
        <v>24</v>
      </c>
    </row>
    <row r="394" ht="15.75" customHeight="1">
      <c r="A394" s="7"/>
      <c r="B394" s="7" t="str">
        <f>IFERROR(__xludf.DUMMYFUNCTION("""COMPUTED_VALUE"""),"HTML/CSS;JavaScript")</f>
        <v>HTML/CSS;JavaScript</v>
      </c>
      <c r="C394" s="9" t="str">
        <f>IFERROR(__xludf.DUMMYFUNCTION("""COMPUTED_VALUE"""),"JavaScript")</f>
        <v>JavaScript</v>
      </c>
      <c r="D394" s="9" t="str">
        <f>IFERROR(__xludf.DUMMYFUNCTION("""COMPUTED_VALUE"""),"JavaScript")</f>
        <v>JavaScript</v>
      </c>
      <c r="E394" s="9" t="str">
        <f>IFERROR(__xludf.DUMMYFUNCTION("""COMPUTED_VALUE"""),"PHP")</f>
        <v>PHP</v>
      </c>
      <c r="F394" s="9" t="str">
        <f>IFERROR(__xludf.DUMMYFUNCTION("""COMPUTED_VALUE"""),"Objective-C")</f>
        <v>Objective-C</v>
      </c>
      <c r="G394" s="9" t="str">
        <f>IFERROR(__xludf.DUMMYFUNCTION("""COMPUTED_VALUE"""),"JavaScript")</f>
        <v>JavaScript</v>
      </c>
      <c r="H394" s="9" t="str">
        <f>IFERROR(__xludf.DUMMYFUNCTION("""COMPUTED_VALUE"""),"Bash/Shell/PowerShell")</f>
        <v>Bash/Shell/PowerShell</v>
      </c>
      <c r="I394" s="9" t="str">
        <f>IFERROR(__xludf.DUMMYFUNCTION("""COMPUTED_VALUE"""),"JavaScript")</f>
        <v>JavaScript</v>
      </c>
      <c r="J394" s="9" t="str">
        <f>IFERROR(__xludf.DUMMYFUNCTION("""COMPUTED_VALUE"""),"VBA")</f>
        <v>VBA</v>
      </c>
      <c r="K394" s="9" t="str">
        <f>IFERROR(__xludf.DUMMYFUNCTION("""COMPUTED_VALUE"""),"Scala")</f>
        <v>Scala</v>
      </c>
      <c r="L394" s="9" t="str">
        <f>IFERROR(__xludf.DUMMYFUNCTION("""COMPUTED_VALUE"""),"C")</f>
        <v>C</v>
      </c>
      <c r="M394" s="9" t="s">
        <v>21</v>
      </c>
    </row>
    <row r="395" ht="15.75" customHeight="1">
      <c r="A395" s="7"/>
      <c r="B395" s="7" t="str">
        <f>IFERROR(__xludf.DUMMYFUNCTION("""COMPUTED_VALUE"""),"HTML/CSS;JavaScript;PHP;Ruby;Rust;SQL")</f>
        <v>HTML/CSS;JavaScript;PHP;Ruby;Rust;SQL</v>
      </c>
      <c r="C395" s="9" t="str">
        <f>IFERROR(__xludf.DUMMYFUNCTION("""COMPUTED_VALUE"""),"PHP")</f>
        <v>PHP</v>
      </c>
      <c r="D395" s="9" t="str">
        <f>IFERROR(__xludf.DUMMYFUNCTION("""COMPUTED_VALUE"""),"Python")</f>
        <v>Python</v>
      </c>
      <c r="E395" s="9" t="str">
        <f>IFERROR(__xludf.DUMMYFUNCTION("""COMPUTED_VALUE"""),"Python")</f>
        <v>Python</v>
      </c>
      <c r="F395" s="9" t="str">
        <f>IFERROR(__xludf.DUMMYFUNCTION("""COMPUTED_VALUE"""),"Swift")</f>
        <v>Swift</v>
      </c>
      <c r="G395" s="9" t="str">
        <f>IFERROR(__xludf.DUMMYFUNCTION("""COMPUTED_VALUE"""),"PHP")</f>
        <v>PHP</v>
      </c>
      <c r="H395" s="9" t="str">
        <f>IFERROR(__xludf.DUMMYFUNCTION("""COMPUTED_VALUE"""),"C")</f>
        <v>C</v>
      </c>
      <c r="I395" s="9" t="str">
        <f>IFERROR(__xludf.DUMMYFUNCTION("""COMPUTED_VALUE"""),"SQL")</f>
        <v>SQL</v>
      </c>
      <c r="J395" s="9" t="str">
        <f>IFERROR(__xludf.DUMMYFUNCTION("""COMPUTED_VALUE"""),"Bash/Shell/PowerShell")</f>
        <v>Bash/Shell/PowerShell</v>
      </c>
      <c r="K395" s="9" t="str">
        <f>IFERROR(__xludf.DUMMYFUNCTION("""COMPUTED_VALUE"""),"Ruby")</f>
        <v>Ruby</v>
      </c>
      <c r="L395" s="9" t="str">
        <f>IFERROR(__xludf.DUMMYFUNCTION("""COMPUTED_VALUE"""),"C++")</f>
        <v>C++</v>
      </c>
      <c r="M395" s="9" t="s">
        <v>37</v>
      </c>
    </row>
    <row r="396" ht="15.75" customHeight="1">
      <c r="A396" s="7"/>
      <c r="B396" s="7" t="str">
        <f>IFERROR(__xludf.DUMMYFUNCTION("""COMPUTED_VALUE"""),"Bash/Shell/PowerShell;C;C++;HTML/CSS;Java;JavaScript;Python;SQL;VBA")</f>
        <v>Bash/Shell/PowerShell;C;C++;HTML/CSS;Java;JavaScript;Python;SQL;VBA</v>
      </c>
      <c r="C396" s="9" t="str">
        <f>IFERROR(__xludf.DUMMYFUNCTION("""COMPUTED_VALUE"""),"SQL")</f>
        <v>SQL</v>
      </c>
      <c r="D396" s="9" t="str">
        <f>IFERROR(__xludf.DUMMYFUNCTION("""COMPUTED_VALUE"""),"SQL")</f>
        <v>SQL</v>
      </c>
      <c r="E396" s="9" t="str">
        <f>IFERROR(__xludf.DUMMYFUNCTION("""COMPUTED_VALUE"""),"HTML/CSS")</f>
        <v>HTML/CSS</v>
      </c>
      <c r="F396" s="9" t="str">
        <f>IFERROR(__xludf.DUMMYFUNCTION("""COMPUTED_VALUE"""),"TypeScript")</f>
        <v>TypeScript</v>
      </c>
      <c r="G396" s="9" t="str">
        <f>IFERROR(__xludf.DUMMYFUNCTION("""COMPUTED_VALUE"""),"Ruby")</f>
        <v>Ruby</v>
      </c>
      <c r="H396" s="9" t="str">
        <f>IFERROR(__xludf.DUMMYFUNCTION("""COMPUTED_VALUE"""),"C#")</f>
        <v>C#</v>
      </c>
      <c r="I396" s="9" t="str">
        <f>IFERROR(__xludf.DUMMYFUNCTION("""COMPUTED_VALUE"""),"Bash/Shell/PowerShell")</f>
        <v>Bash/Shell/PowerShell</v>
      </c>
      <c r="J396" s="9" t="str">
        <f>IFERROR(__xludf.DUMMYFUNCTION("""COMPUTED_VALUE"""),"C++")</f>
        <v>C++</v>
      </c>
      <c r="K396" s="9" t="str">
        <f>IFERROR(__xludf.DUMMYFUNCTION("""COMPUTED_VALUE"""),"Scala")</f>
        <v>Scala</v>
      </c>
      <c r="L396" s="9" t="str">
        <f>IFERROR(__xludf.DUMMYFUNCTION("""COMPUTED_VALUE"""),"C#")</f>
        <v>C#</v>
      </c>
      <c r="M396" s="9" t="s">
        <v>27</v>
      </c>
    </row>
    <row r="397" ht="15.75" customHeight="1">
      <c r="A397" s="7"/>
      <c r="B397" s="7" t="str">
        <f>IFERROR(__xludf.DUMMYFUNCTION("""COMPUTED_VALUE"""),"C++")</f>
        <v>C++</v>
      </c>
      <c r="C397" s="9" t="str">
        <f>IFERROR(__xludf.DUMMYFUNCTION("""COMPUTED_VALUE"""),"HTML/CSS")</f>
        <v>HTML/CSS</v>
      </c>
      <c r="D397" s="9" t="str">
        <f>IFERROR(__xludf.DUMMYFUNCTION("""COMPUTED_VALUE"""),"TypeScript")</f>
        <v>TypeScript</v>
      </c>
      <c r="E397" s="9" t="str">
        <f>IFERROR(__xludf.DUMMYFUNCTION("""COMPUTED_VALUE"""),"JavaScript")</f>
        <v>JavaScript</v>
      </c>
      <c r="F397" s="9" t="str">
        <f>IFERROR(__xludf.DUMMYFUNCTION("""COMPUTED_VALUE"""),"Bash/Shell/PowerShell")</f>
        <v>Bash/Shell/PowerShell</v>
      </c>
      <c r="G397" s="9" t="str">
        <f>IFERROR(__xludf.DUMMYFUNCTION("""COMPUTED_VALUE"""),"Scala")</f>
        <v>Scala</v>
      </c>
      <c r="H397" s="9" t="str">
        <f>IFERROR(__xludf.DUMMYFUNCTION("""COMPUTED_VALUE"""),"HTML/CSS")</f>
        <v>HTML/CSS</v>
      </c>
      <c r="I397" s="9" t="str">
        <f>IFERROR(__xludf.DUMMYFUNCTION("""COMPUTED_VALUE"""),"C#")</f>
        <v>C#</v>
      </c>
      <c r="J397" s="9" t="str">
        <f>IFERROR(__xludf.DUMMYFUNCTION("""COMPUTED_VALUE"""),"C#")</f>
        <v>C#</v>
      </c>
      <c r="K397" s="9" t="str">
        <f>IFERROR(__xludf.DUMMYFUNCTION("""COMPUTED_VALUE"""),"Python")</f>
        <v>Python</v>
      </c>
      <c r="L397" s="9" t="str">
        <f>IFERROR(__xludf.DUMMYFUNCTION("""COMPUTED_VALUE"""),"HTML/CSS")</f>
        <v>HTML/CSS</v>
      </c>
      <c r="M397" s="9" t="s">
        <v>24</v>
      </c>
    </row>
    <row r="398" ht="15.75" customHeight="1">
      <c r="A398" s="7"/>
      <c r="B398" s="7" t="str">
        <f>IFERROR(__xludf.DUMMYFUNCTION("""COMPUTED_VALUE"""),"Bash/Shell/PowerShell;C++;Java;Kotlin;PHP")</f>
        <v>Bash/Shell/PowerShell;C++;Java;Kotlin;PHP</v>
      </c>
      <c r="C398" s="9" t="str">
        <f>IFERROR(__xludf.DUMMYFUNCTION("""COMPUTED_VALUE"""),"JavaScript")</f>
        <v>JavaScript</v>
      </c>
      <c r="D398" s="9" t="str">
        <f>IFERROR(__xludf.DUMMYFUNCTION("""COMPUTED_VALUE"""),"HTML/CSS")</f>
        <v>HTML/CSS</v>
      </c>
      <c r="E398" s="9" t="str">
        <f>IFERROR(__xludf.DUMMYFUNCTION("""COMPUTED_VALUE"""),"PHP")</f>
        <v>PHP</v>
      </c>
      <c r="F398" s="9" t="str">
        <f>IFERROR(__xludf.DUMMYFUNCTION("""COMPUTED_VALUE"""),"C")</f>
        <v>C</v>
      </c>
      <c r="G398" s="9" t="str">
        <f>IFERROR(__xludf.DUMMYFUNCTION("""COMPUTED_VALUE"""),"TypeScript")</f>
        <v>TypeScript</v>
      </c>
      <c r="H398" s="9" t="str">
        <f>IFERROR(__xludf.DUMMYFUNCTION("""COMPUTED_VALUE"""),"JavaScript")</f>
        <v>JavaScript</v>
      </c>
      <c r="I398" s="9" t="str">
        <f>IFERROR(__xludf.DUMMYFUNCTION("""COMPUTED_VALUE"""),"F#")</f>
        <v>F#</v>
      </c>
      <c r="J398" s="9" t="str">
        <f>IFERROR(__xludf.DUMMYFUNCTION("""COMPUTED_VALUE"""),"HTML/CSS")</f>
        <v>HTML/CSS</v>
      </c>
      <c r="K398" s="9" t="str">
        <f>IFERROR(__xludf.DUMMYFUNCTION("""COMPUTED_VALUE"""),"VBA")</f>
        <v>VBA</v>
      </c>
      <c r="L398" s="9" t="str">
        <f>IFERROR(__xludf.DUMMYFUNCTION("""COMPUTED_VALUE"""),"Java")</f>
        <v>Java</v>
      </c>
      <c r="M398" s="9" t="s">
        <v>21</v>
      </c>
    </row>
    <row r="399" ht="15.75" customHeight="1">
      <c r="A399" s="7"/>
      <c r="B399" s="7" t="str">
        <f>IFERROR(__xludf.DUMMYFUNCTION("""COMPUTED_VALUE"""),"JavaScript;Python;Ruby;SQL;TypeScript")</f>
        <v>JavaScript;Python;Ruby;SQL;TypeScript</v>
      </c>
      <c r="C399" s="9" t="str">
        <f>IFERROR(__xludf.DUMMYFUNCTION("""COMPUTED_VALUE"""),"PHP")</f>
        <v>PHP</v>
      </c>
      <c r="D399" s="9" t="str">
        <f>IFERROR(__xludf.DUMMYFUNCTION("""COMPUTED_VALUE"""),"JavaScript")</f>
        <v>JavaScript</v>
      </c>
      <c r="E399" s="9" t="str">
        <f>IFERROR(__xludf.DUMMYFUNCTION("""COMPUTED_VALUE"""),"Java")</f>
        <v>Java</v>
      </c>
      <c r="F399" s="9" t="str">
        <f>IFERROR(__xludf.DUMMYFUNCTION("""COMPUTED_VALUE"""),"C++")</f>
        <v>C++</v>
      </c>
      <c r="G399" s="9" t="str">
        <f>IFERROR(__xludf.DUMMYFUNCTION("""COMPUTED_VALUE"""),"C++")</f>
        <v>C++</v>
      </c>
      <c r="H399" s="9" t="str">
        <f>IFERROR(__xludf.DUMMYFUNCTION("""COMPUTED_VALUE"""),"Python")</f>
        <v>Python</v>
      </c>
      <c r="I399" s="9" t="str">
        <f>IFERROR(__xludf.DUMMYFUNCTION("""COMPUTED_VALUE"""),"HTML/CSS")</f>
        <v>HTML/CSS</v>
      </c>
      <c r="J399" s="9" t="str">
        <f>IFERROR(__xludf.DUMMYFUNCTION("""COMPUTED_VALUE"""),"JavaScript")</f>
        <v>JavaScript</v>
      </c>
      <c r="K399" s="9" t="str">
        <f>IFERROR(__xludf.DUMMYFUNCTION("""COMPUTED_VALUE"""),"Bash/Shell/PowerShell")</f>
        <v>Bash/Shell/PowerShell</v>
      </c>
      <c r="L399" s="9" t="str">
        <f>IFERROR(__xludf.DUMMYFUNCTION("""COMPUTED_VALUE"""),"JavaScript")</f>
        <v>JavaScript</v>
      </c>
      <c r="M399" s="9" t="s">
        <v>37</v>
      </c>
    </row>
    <row r="400" ht="15.75" customHeight="1">
      <c r="A400" s="7"/>
      <c r="B400" s="7" t="str">
        <f>IFERROR(__xludf.DUMMYFUNCTION("""COMPUTED_VALUE"""),"C#")</f>
        <v>C#</v>
      </c>
      <c r="C400" s="9" t="str">
        <f>IFERROR(__xludf.DUMMYFUNCTION("""COMPUTED_VALUE"""),"SQL")</f>
        <v>SQL</v>
      </c>
      <c r="D400" s="9" t="str">
        <f>IFERROR(__xludf.DUMMYFUNCTION("""COMPUTED_VALUE"""),"TypeScript")</f>
        <v>TypeScript</v>
      </c>
      <c r="E400" s="9" t="str">
        <f>IFERROR(__xludf.DUMMYFUNCTION("""COMPUTED_VALUE"""),"Kotlin")</f>
        <v>Kotlin</v>
      </c>
      <c r="F400" s="9" t="str">
        <f>IFERROR(__xludf.DUMMYFUNCTION("""COMPUTED_VALUE"""),"HTML/CSS")</f>
        <v>HTML/CSS</v>
      </c>
      <c r="G400" s="9" t="str">
        <f>IFERROR(__xludf.DUMMYFUNCTION("""COMPUTED_VALUE"""),"HTML/CSS")</f>
        <v>HTML/CSS</v>
      </c>
      <c r="H400" s="9" t="str">
        <f>IFERROR(__xludf.DUMMYFUNCTION("""COMPUTED_VALUE"""),"R")</f>
        <v>R</v>
      </c>
      <c r="I400" s="9" t="str">
        <f>IFERROR(__xludf.DUMMYFUNCTION("""COMPUTED_VALUE"""),"JavaScript")</f>
        <v>JavaScript</v>
      </c>
      <c r="J400" s="9" t="str">
        <f>IFERROR(__xludf.DUMMYFUNCTION("""COMPUTED_VALUE"""),"PHP")</f>
        <v>PHP</v>
      </c>
      <c r="K400" s="9" t="str">
        <f>IFERROR(__xludf.DUMMYFUNCTION("""COMPUTED_VALUE"""),"C")</f>
        <v>C</v>
      </c>
      <c r="L400" s="9" t="str">
        <f>IFERROR(__xludf.DUMMYFUNCTION("""COMPUTED_VALUE"""),"PHP")</f>
        <v>PHP</v>
      </c>
      <c r="M400" s="9" t="s">
        <v>27</v>
      </c>
    </row>
    <row r="401" ht="15.75" customHeight="1">
      <c r="A401" s="7"/>
      <c r="B401" s="7" t="str">
        <f>IFERROR(__xludf.DUMMYFUNCTION("""COMPUTED_VALUE"""),"Bash/Shell/PowerShell;C;C#;F#;HTML/CSS;JavaScript;PHP;Python;SQL")</f>
        <v>Bash/Shell/PowerShell;C;C#;F#;HTML/CSS;JavaScript;PHP;Python;SQL</v>
      </c>
      <c r="C401" s="9" t="str">
        <f>IFERROR(__xludf.DUMMYFUNCTION("""COMPUTED_VALUE"""),"HTML/CSS")</f>
        <v>HTML/CSS</v>
      </c>
      <c r="D401" s="9" t="str">
        <f>IFERROR(__xludf.DUMMYFUNCTION("""COMPUTED_VALUE"""),"HTML/CSS")</f>
        <v>HTML/CSS</v>
      </c>
      <c r="E401" s="9" t="str">
        <f>IFERROR(__xludf.DUMMYFUNCTION("""COMPUTED_VALUE"""),"C")</f>
        <v>C</v>
      </c>
      <c r="F401" s="9" t="str">
        <f>IFERROR(__xludf.DUMMYFUNCTION("""COMPUTED_VALUE"""),"Java")</f>
        <v>Java</v>
      </c>
      <c r="G401" s="9" t="str">
        <f>IFERROR(__xludf.DUMMYFUNCTION("""COMPUTED_VALUE"""),"JavaScript")</f>
        <v>JavaScript</v>
      </c>
      <c r="H401" s="9" t="str">
        <f>IFERROR(__xludf.DUMMYFUNCTION("""COMPUTED_VALUE"""),"SQL")</f>
        <v>SQL</v>
      </c>
      <c r="I401" s="9" t="str">
        <f>IFERROR(__xludf.DUMMYFUNCTION("""COMPUTED_VALUE"""),"Python")</f>
        <v>Python</v>
      </c>
      <c r="J401" s="9" t="str">
        <f>IFERROR(__xludf.DUMMYFUNCTION("""COMPUTED_VALUE"""),"SQL")</f>
        <v>SQL</v>
      </c>
      <c r="K401" s="9" t="str">
        <f>IFERROR(__xludf.DUMMYFUNCTION("""COMPUTED_VALUE"""),"C++")</f>
        <v>C++</v>
      </c>
      <c r="L401" s="9" t="str">
        <f>IFERROR(__xludf.DUMMYFUNCTION("""COMPUTED_VALUE"""),"Python")</f>
        <v>Python</v>
      </c>
      <c r="M401" s="9" t="s">
        <v>24</v>
      </c>
    </row>
    <row r="402" ht="15.75" customHeight="1">
      <c r="A402" s="7"/>
      <c r="B402" s="7" t="str">
        <f>IFERROR(__xludf.DUMMYFUNCTION("""COMPUTED_VALUE"""),"C#;SQL;TypeScript")</f>
        <v>C#;SQL;TypeScript</v>
      </c>
      <c r="C402" s="9" t="str">
        <f>IFERROR(__xludf.DUMMYFUNCTION("""COMPUTED_VALUE"""),"Java")</f>
        <v>Java</v>
      </c>
      <c r="D402" s="9" t="str">
        <f>IFERROR(__xludf.DUMMYFUNCTION("""COMPUTED_VALUE"""),"JavaScript")</f>
        <v>JavaScript</v>
      </c>
      <c r="E402" s="9" t="str">
        <f>IFERROR(__xludf.DUMMYFUNCTION("""COMPUTED_VALUE"""),"Java")</f>
        <v>Java</v>
      </c>
      <c r="F402" s="9" t="str">
        <f>IFERROR(__xludf.DUMMYFUNCTION("""COMPUTED_VALUE"""),"JavaScript")</f>
        <v>JavaScript</v>
      </c>
      <c r="G402" s="9" t="str">
        <f>IFERROR(__xludf.DUMMYFUNCTION("""COMPUTED_VALUE"""),"Assembly")</f>
        <v>Assembly</v>
      </c>
      <c r="H402" s="9" t="str">
        <f>IFERROR(__xludf.DUMMYFUNCTION("""COMPUTED_VALUE"""),"VBA")</f>
        <v>VBA</v>
      </c>
      <c r="I402" s="9" t="str">
        <f>IFERROR(__xludf.DUMMYFUNCTION("""COMPUTED_VALUE"""),"R")</f>
        <v>R</v>
      </c>
      <c r="J402" s="9" t="str">
        <f>IFERROR(__xludf.DUMMYFUNCTION("""COMPUTED_VALUE"""),"Swift")</f>
        <v>Swift</v>
      </c>
      <c r="K402" s="9" t="str">
        <f>IFERROR(__xludf.DUMMYFUNCTION("""COMPUTED_VALUE"""),"HTML/CSS")</f>
        <v>HTML/CSS</v>
      </c>
      <c r="L402" s="9" t="str">
        <f>IFERROR(__xludf.DUMMYFUNCTION("""COMPUTED_VALUE"""),"Scala")</f>
        <v>Scala</v>
      </c>
      <c r="M402" s="9" t="s">
        <v>20</v>
      </c>
    </row>
    <row r="403" ht="15.75" customHeight="1">
      <c r="A403" s="7"/>
      <c r="B403" s="7" t="str">
        <f>IFERROR(__xludf.DUMMYFUNCTION("""COMPUTED_VALUE"""),"Java;JavaScript;TypeScript")</f>
        <v>Java;JavaScript;TypeScript</v>
      </c>
      <c r="C403" s="9" t="str">
        <f>IFERROR(__xludf.DUMMYFUNCTION("""COMPUTED_VALUE"""),"JavaScript")</f>
        <v>JavaScript</v>
      </c>
      <c r="D403" s="9" t="str">
        <f>IFERROR(__xludf.DUMMYFUNCTION("""COMPUTED_VALUE"""),"HTML/CSS")</f>
        <v>HTML/CSS</v>
      </c>
      <c r="E403" s="9" t="str">
        <f>IFERROR(__xludf.DUMMYFUNCTION("""COMPUTED_VALUE"""),"JavaScript")</f>
        <v>JavaScript</v>
      </c>
      <c r="F403" s="9" t="str">
        <f>IFERROR(__xludf.DUMMYFUNCTION("""COMPUTED_VALUE"""),"PHP")</f>
        <v>PHP</v>
      </c>
      <c r="G403" s="9" t="str">
        <f>IFERROR(__xludf.DUMMYFUNCTION("""COMPUTED_VALUE"""),"Bash/Shell/PowerShell")</f>
        <v>Bash/Shell/PowerShell</v>
      </c>
      <c r="H403" s="9" t="str">
        <f>IFERROR(__xludf.DUMMYFUNCTION("""COMPUTED_VALUE"""),"C")</f>
        <v>C</v>
      </c>
      <c r="I403" s="9" t="str">
        <f>IFERROR(__xludf.DUMMYFUNCTION("""COMPUTED_VALUE"""),"SQL")</f>
        <v>SQL</v>
      </c>
      <c r="J403" s="9" t="str">
        <f>IFERROR(__xludf.DUMMYFUNCTION("""COMPUTED_VALUE"""),"TypeScript")</f>
        <v>TypeScript</v>
      </c>
      <c r="K403" s="9" t="str">
        <f>IFERROR(__xludf.DUMMYFUNCTION("""COMPUTED_VALUE"""),"Java")</f>
        <v>Java</v>
      </c>
      <c r="L403" s="9" t="str">
        <f>IFERROR(__xludf.DUMMYFUNCTION("""COMPUTED_VALUE"""),"SQL")</f>
        <v>SQL</v>
      </c>
      <c r="M403" s="9" t="s">
        <v>21</v>
      </c>
    </row>
    <row r="404" ht="15.75" customHeight="1">
      <c r="A404" s="7"/>
      <c r="B404" s="7" t="str">
        <f>IFERROR(__xludf.DUMMYFUNCTION("""COMPUTED_VALUE"""),"HTML/CSS;Java;JavaScript;PHP;SQL;TypeScript")</f>
        <v>HTML/CSS;Java;JavaScript;PHP;SQL;TypeScript</v>
      </c>
      <c r="C404" s="9" t="str">
        <f>IFERROR(__xludf.DUMMYFUNCTION("""COMPUTED_VALUE"""),"Kotlin")</f>
        <v>Kotlin</v>
      </c>
      <c r="D404" s="9" t="str">
        <f>IFERROR(__xludf.DUMMYFUNCTION("""COMPUTED_VALUE"""),"JavaScript")</f>
        <v>JavaScript</v>
      </c>
      <c r="E404" s="9" t="str">
        <f>IFERROR(__xludf.DUMMYFUNCTION("""COMPUTED_VALUE"""),"PHP")</f>
        <v>PHP</v>
      </c>
      <c r="F404" s="9" t="str">
        <f>IFERROR(__xludf.DUMMYFUNCTION("""COMPUTED_VALUE"""),"Python")</f>
        <v>Python</v>
      </c>
      <c r="G404" s="9" t="str">
        <f>IFERROR(__xludf.DUMMYFUNCTION("""COMPUTED_VALUE"""),"C++")</f>
        <v>C++</v>
      </c>
      <c r="H404" s="9" t="str">
        <f>IFERROR(__xludf.DUMMYFUNCTION("""COMPUTED_VALUE"""),"C++")</f>
        <v>C++</v>
      </c>
      <c r="I404" s="9" t="str">
        <f>IFERROR(__xludf.DUMMYFUNCTION("""COMPUTED_VALUE"""),"TypeScript")</f>
        <v>TypeScript</v>
      </c>
      <c r="J404" s="9" t="str">
        <f>IFERROR(__xludf.DUMMYFUNCTION("""COMPUTED_VALUE"""),"HTML/CSS")</f>
        <v>HTML/CSS</v>
      </c>
      <c r="K404" s="9" t="str">
        <f>IFERROR(__xludf.DUMMYFUNCTION("""COMPUTED_VALUE"""),"JavaScript")</f>
        <v>JavaScript</v>
      </c>
      <c r="L404" s="9" t="str">
        <f>IFERROR(__xludf.DUMMYFUNCTION("""COMPUTED_VALUE"""),"Bash/Shell/PowerShell")</f>
        <v>Bash/Shell/PowerShell</v>
      </c>
      <c r="M404" s="9" t="s">
        <v>39</v>
      </c>
    </row>
    <row r="405" ht="15.75" customHeight="1">
      <c r="A405" s="7"/>
      <c r="B405" s="7" t="str">
        <f>IFERROR(__xludf.DUMMYFUNCTION("""COMPUTED_VALUE"""),"C;C++;HTML/CSS;Java;JavaScript;Python;SQL")</f>
        <v>C;C++;HTML/CSS;Java;JavaScript;Python;SQL</v>
      </c>
      <c r="C405" s="9" t="str">
        <f>IFERROR(__xludf.DUMMYFUNCTION("""COMPUTED_VALUE"""),"Python")</f>
        <v>Python</v>
      </c>
      <c r="D405" s="9" t="str">
        <f>IFERROR(__xludf.DUMMYFUNCTION("""COMPUTED_VALUE"""),"PHP")</f>
        <v>PHP</v>
      </c>
      <c r="E405" s="9" t="str">
        <f>IFERROR(__xludf.DUMMYFUNCTION("""COMPUTED_VALUE"""),"Bash/Shell/PowerShell")</f>
        <v>Bash/Shell/PowerShell</v>
      </c>
      <c r="F405" s="9" t="str">
        <f>IFERROR(__xludf.DUMMYFUNCTION("""COMPUTED_VALUE"""),"SQL")</f>
        <v>SQL</v>
      </c>
      <c r="G405" s="9" t="str">
        <f>IFERROR(__xludf.DUMMYFUNCTION("""COMPUTED_VALUE"""),"HTML/CSS")</f>
        <v>HTML/CSS</v>
      </c>
      <c r="H405" s="9" t="str">
        <f>IFERROR(__xludf.DUMMYFUNCTION("""COMPUTED_VALUE"""),"C#")</f>
        <v>C#</v>
      </c>
      <c r="I405" s="9" t="str">
        <f>IFERROR(__xludf.DUMMYFUNCTION("""COMPUTED_VALUE"""),"Bash/Shell/PowerShell")</f>
        <v>Bash/Shell/PowerShell</v>
      </c>
      <c r="J405" s="9" t="str">
        <f>IFERROR(__xludf.DUMMYFUNCTION("""COMPUTED_VALUE"""),"Java")</f>
        <v>Java</v>
      </c>
      <c r="K405" s="9" t="str">
        <f>IFERROR(__xludf.DUMMYFUNCTION("""COMPUTED_VALUE"""),"SQL")</f>
        <v>SQL</v>
      </c>
      <c r="L405" s="9" t="str">
        <f>IFERROR(__xludf.DUMMYFUNCTION("""COMPUTED_VALUE"""),"C#")</f>
        <v>C#</v>
      </c>
      <c r="M405" s="9" t="s">
        <v>22</v>
      </c>
    </row>
    <row r="406" ht="15.75" customHeight="1">
      <c r="A406" s="7"/>
      <c r="B406" s="7" t="str">
        <f>IFERROR(__xludf.DUMMYFUNCTION("""COMPUTED_VALUE"""),"Assembly;Bash/Shell/PowerShell;C;C++;Go;HTML/CSS;Java;JavaScript;Python;R;Rust;SQL;TypeScript;WebAssembly")</f>
        <v>Assembly;Bash/Shell/PowerShell;C;C++;Go;HTML/CSS;Java;JavaScript;Python;R;Rust;SQL;TypeScript;WebAssembly</v>
      </c>
      <c r="C406" s="9" t="str">
        <f>IFERROR(__xludf.DUMMYFUNCTION("""COMPUTED_VALUE"""),"C#")</f>
        <v>C#</v>
      </c>
      <c r="D406" s="9" t="str">
        <f>IFERROR(__xludf.DUMMYFUNCTION("""COMPUTED_VALUE"""),"VBA")</f>
        <v>VBA</v>
      </c>
      <c r="E406" s="9" t="str">
        <f>IFERROR(__xludf.DUMMYFUNCTION("""COMPUTED_VALUE"""),"HTML/CSS")</f>
        <v>HTML/CSS</v>
      </c>
      <c r="F406" s="9" t="str">
        <f>IFERROR(__xludf.DUMMYFUNCTION("""COMPUTED_VALUE"""),"VBA")</f>
        <v>VBA</v>
      </c>
      <c r="G406" s="9" t="str">
        <f>IFERROR(__xludf.DUMMYFUNCTION("""COMPUTED_VALUE"""),"Java")</f>
        <v>Java</v>
      </c>
      <c r="H406" s="9" t="str">
        <f>IFERROR(__xludf.DUMMYFUNCTION("""COMPUTED_VALUE"""),"Java")</f>
        <v>Java</v>
      </c>
      <c r="I406" s="9" t="str">
        <f>IFERROR(__xludf.DUMMYFUNCTION("""COMPUTED_VALUE"""),"Python")</f>
        <v>Python</v>
      </c>
      <c r="J406" s="9" t="str">
        <f>IFERROR(__xludf.DUMMYFUNCTION("""COMPUTED_VALUE"""),"JavaScript")</f>
        <v>JavaScript</v>
      </c>
      <c r="K406" s="9" t="str">
        <f>IFERROR(__xludf.DUMMYFUNCTION("""COMPUTED_VALUE"""),"C#")</f>
        <v>C#</v>
      </c>
      <c r="L406" s="9" t="str">
        <f>IFERROR(__xludf.DUMMYFUNCTION("""COMPUTED_VALUE"""),"HTML/CSS")</f>
        <v>HTML/CSS</v>
      </c>
      <c r="M406" s="9" t="s">
        <v>26</v>
      </c>
    </row>
    <row r="407" ht="15.75" customHeight="1">
      <c r="A407" s="7"/>
      <c r="B407" s="7" t="str">
        <f>IFERROR(__xludf.DUMMYFUNCTION("""COMPUTED_VALUE"""),"Bash/Shell/PowerShell;C#;Go;HTML/CSS;JavaScript;PHP")</f>
        <v>Bash/Shell/PowerShell;C#;Go;HTML/CSS;JavaScript;PHP</v>
      </c>
      <c r="C407" s="9" t="str">
        <f>IFERROR(__xludf.DUMMYFUNCTION("""COMPUTED_VALUE"""),"HTML/CSS")</f>
        <v>HTML/CSS</v>
      </c>
      <c r="D407" s="9" t="str">
        <f>IFERROR(__xludf.DUMMYFUNCTION("""COMPUTED_VALUE"""),"C++")</f>
        <v>C++</v>
      </c>
      <c r="E407" s="9" t="str">
        <f>IFERROR(__xludf.DUMMYFUNCTION("""COMPUTED_VALUE"""),"Java")</f>
        <v>Java</v>
      </c>
      <c r="F407" s="9" t="str">
        <f>IFERROR(__xludf.DUMMYFUNCTION("""COMPUTED_VALUE"""),"Elixir")</f>
        <v>Elixir</v>
      </c>
      <c r="G407" s="9" t="str">
        <f>IFERROR(__xludf.DUMMYFUNCTION("""COMPUTED_VALUE"""),"JavaScript")</f>
        <v>JavaScript</v>
      </c>
      <c r="H407" s="9" t="str">
        <f>IFERROR(__xludf.DUMMYFUNCTION("""COMPUTED_VALUE"""),"Kotlin")</f>
        <v>Kotlin</v>
      </c>
      <c r="I407" s="9" t="str">
        <f>IFERROR(__xludf.DUMMYFUNCTION("""COMPUTED_VALUE"""),"R")</f>
        <v>R</v>
      </c>
      <c r="J407" s="9" t="str">
        <f>IFERROR(__xludf.DUMMYFUNCTION("""COMPUTED_VALUE"""),"PHP")</f>
        <v>PHP</v>
      </c>
      <c r="K407" s="9" t="str">
        <f>IFERROR(__xludf.DUMMYFUNCTION("""COMPUTED_VALUE"""),"Java")</f>
        <v>Java</v>
      </c>
      <c r="L407" s="9" t="str">
        <f>IFERROR(__xludf.DUMMYFUNCTION("""COMPUTED_VALUE"""),"JavaScript")</f>
        <v>JavaScript</v>
      </c>
      <c r="M407" s="9" t="s">
        <v>24</v>
      </c>
    </row>
    <row r="408" ht="15.75" customHeight="1">
      <c r="A408" s="7"/>
      <c r="B408" s="7" t="str">
        <f>IFERROR(__xludf.DUMMYFUNCTION("""COMPUTED_VALUE"""),"Bash/Shell/PowerShell;C#;HTML/CSS;JavaScript;SQL")</f>
        <v>Bash/Shell/PowerShell;C#;HTML/CSS;JavaScript;SQL</v>
      </c>
      <c r="C408" s="9" t="str">
        <f>IFERROR(__xludf.DUMMYFUNCTION("""COMPUTED_VALUE"""),"JavaScript")</f>
        <v>JavaScript</v>
      </c>
      <c r="D408" s="9" t="str">
        <f>IFERROR(__xludf.DUMMYFUNCTION("""COMPUTED_VALUE"""),"C#")</f>
        <v>C#</v>
      </c>
      <c r="E408" s="9" t="str">
        <f>IFERROR(__xludf.DUMMYFUNCTION("""COMPUTED_VALUE"""),"JavaScript")</f>
        <v>JavaScript</v>
      </c>
      <c r="F408" s="9" t="str">
        <f>IFERROR(__xludf.DUMMYFUNCTION("""COMPUTED_VALUE"""),"Erlang")</f>
        <v>Erlang</v>
      </c>
      <c r="G408" s="9" t="str">
        <f>IFERROR(__xludf.DUMMYFUNCTION("""COMPUTED_VALUE"""),"Kotlin")</f>
        <v>Kotlin</v>
      </c>
      <c r="H408" s="9" t="str">
        <f>IFERROR(__xludf.DUMMYFUNCTION("""COMPUTED_VALUE"""),"SQL")</f>
        <v>SQL</v>
      </c>
      <c r="I408" s="9" t="str">
        <f>IFERROR(__xludf.DUMMYFUNCTION("""COMPUTED_VALUE"""),"SQL")</f>
        <v>SQL</v>
      </c>
      <c r="J408" s="9" t="str">
        <f>IFERROR(__xludf.DUMMYFUNCTION("""COMPUTED_VALUE"""),"SQL")</f>
        <v>SQL</v>
      </c>
      <c r="K408" s="9" t="str">
        <f>IFERROR(__xludf.DUMMYFUNCTION("""COMPUTED_VALUE"""),"JavaScript")</f>
        <v>JavaScript</v>
      </c>
      <c r="L408" s="9" t="str">
        <f>IFERROR(__xludf.DUMMYFUNCTION("""COMPUTED_VALUE"""),"SQL")</f>
        <v>SQL</v>
      </c>
      <c r="M408" s="9" t="s">
        <v>21</v>
      </c>
    </row>
    <row r="409" ht="15.75" customHeight="1">
      <c r="A409" s="7"/>
      <c r="B409" s="7" t="str">
        <f>IFERROR(__xludf.DUMMYFUNCTION("""COMPUTED_VALUE"""),"C;C++;JavaScript;Python;R;SQL")</f>
        <v>C;C++;JavaScript;Python;R;SQL</v>
      </c>
      <c r="C409" s="9" t="str">
        <f>IFERROR(__xludf.DUMMYFUNCTION("""COMPUTED_VALUE"""),"TypeScript")</f>
        <v>TypeScript</v>
      </c>
      <c r="D409" s="9" t="str">
        <f>IFERROR(__xludf.DUMMYFUNCTION("""COMPUTED_VALUE"""),"JavaScript")</f>
        <v>JavaScript</v>
      </c>
      <c r="E409" s="9" t="str">
        <f>IFERROR(__xludf.DUMMYFUNCTION("""COMPUTED_VALUE"""),"Python")</f>
        <v>Python</v>
      </c>
      <c r="F409" s="9" t="str">
        <f>IFERROR(__xludf.DUMMYFUNCTION("""COMPUTED_VALUE"""),"Go")</f>
        <v>Go</v>
      </c>
      <c r="G409" s="9" t="str">
        <f>IFERROR(__xludf.DUMMYFUNCTION("""COMPUTED_VALUE"""),"SQL")</f>
        <v>SQL</v>
      </c>
      <c r="H409" s="9" t="str">
        <f>IFERROR(__xludf.DUMMYFUNCTION("""COMPUTED_VALUE"""),"Swift")</f>
        <v>Swift</v>
      </c>
      <c r="I409" s="9" t="str">
        <f>IFERROR(__xludf.DUMMYFUNCTION("""COMPUTED_VALUE"""),"VBA")</f>
        <v>VBA</v>
      </c>
      <c r="J409" s="9" t="str">
        <f>IFERROR(__xludf.DUMMYFUNCTION("""COMPUTED_VALUE"""),"Bash/Shell/PowerShell")</f>
        <v>Bash/Shell/PowerShell</v>
      </c>
      <c r="K409" s="9" t="str">
        <f>IFERROR(__xludf.DUMMYFUNCTION("""COMPUTED_VALUE"""),"Python")</f>
        <v>Python</v>
      </c>
      <c r="L409" s="9" t="str">
        <f>IFERROR(__xludf.DUMMYFUNCTION("""COMPUTED_VALUE"""),"TypeScript")</f>
        <v>TypeScript</v>
      </c>
      <c r="M409" s="9" t="s">
        <v>33</v>
      </c>
    </row>
    <row r="410" ht="15.75" customHeight="1">
      <c r="A410" s="7"/>
      <c r="B410" s="7" t="str">
        <f>IFERROR(__xludf.DUMMYFUNCTION("""COMPUTED_VALUE"""),"HTML/CSS;JavaScript;PHP;Python;SQL")</f>
        <v>HTML/CSS;JavaScript;PHP;Python;SQL</v>
      </c>
      <c r="C410" s="9" t="str">
        <f>IFERROR(__xludf.DUMMYFUNCTION("""COMPUTED_VALUE"""),"Bash/Shell/PowerShell")</f>
        <v>Bash/Shell/PowerShell</v>
      </c>
      <c r="D410" s="9" t="str">
        <f>IFERROR(__xludf.DUMMYFUNCTION("""COMPUTED_VALUE"""),"Other(s):")</f>
        <v>Other(s):</v>
      </c>
      <c r="E410" s="9" t="str">
        <f>IFERROR(__xludf.DUMMYFUNCTION("""COMPUTED_VALUE"""),"SQL")</f>
        <v>SQL</v>
      </c>
      <c r="F410" s="9" t="str">
        <f>IFERROR(__xludf.DUMMYFUNCTION("""COMPUTED_VALUE"""),"Python")</f>
        <v>Python</v>
      </c>
      <c r="G410" s="9" t="str">
        <f>IFERROR(__xludf.DUMMYFUNCTION("""COMPUTED_VALUE"""),"TypeScript")</f>
        <v>TypeScript</v>
      </c>
      <c r="H410" s="9" t="str">
        <f>IFERROR(__xludf.DUMMYFUNCTION("""COMPUTED_VALUE"""),"Java")</f>
        <v>Java</v>
      </c>
      <c r="I410" s="9" t="str">
        <f>IFERROR(__xludf.DUMMYFUNCTION("""COMPUTED_VALUE"""),"Bash/Shell/PowerShell")</f>
        <v>Bash/Shell/PowerShell</v>
      </c>
      <c r="J410" s="9" t="str">
        <f>IFERROR(__xludf.DUMMYFUNCTION("""COMPUTED_VALUE"""),"C")</f>
        <v>C</v>
      </c>
      <c r="K410" s="9" t="str">
        <f>IFERROR(__xludf.DUMMYFUNCTION("""COMPUTED_VALUE"""),"TypeScript")</f>
        <v>TypeScript</v>
      </c>
      <c r="L410" s="9" t="str">
        <f>IFERROR(__xludf.DUMMYFUNCTION("""COMPUTED_VALUE"""),"VBA")</f>
        <v>VBA</v>
      </c>
      <c r="M410" s="9" t="s">
        <v>30</v>
      </c>
    </row>
    <row r="411" ht="15.75" customHeight="1">
      <c r="A411" s="7"/>
      <c r="B411" s="7" t="str">
        <f>IFERROR(__xludf.DUMMYFUNCTION("""COMPUTED_VALUE"""),"Bash/Shell/PowerShell;HTML/CSS;JavaScript;PHP;SQL;TypeScript")</f>
        <v>Bash/Shell/PowerShell;HTML/CSS;JavaScript;PHP;SQL;TypeScript</v>
      </c>
      <c r="C411" s="9" t="str">
        <f>IFERROR(__xludf.DUMMYFUNCTION("""COMPUTED_VALUE"""),"C#")</f>
        <v>C#</v>
      </c>
      <c r="D411" s="9" t="str">
        <f>IFERROR(__xludf.DUMMYFUNCTION("""COMPUTED_VALUE"""),"C")</f>
        <v>C</v>
      </c>
      <c r="E411" s="9" t="str">
        <f>IFERROR(__xludf.DUMMYFUNCTION("""COMPUTED_VALUE"""),"TypeScript")</f>
        <v>TypeScript</v>
      </c>
      <c r="F411" s="9" t="str">
        <f>IFERROR(__xludf.DUMMYFUNCTION("""COMPUTED_VALUE"""),"Rust")</f>
        <v>Rust</v>
      </c>
      <c r="G411" s="9" t="str">
        <f>IFERROR(__xludf.DUMMYFUNCTION("""COMPUTED_VALUE"""),"Java")</f>
        <v>Java</v>
      </c>
      <c r="H411" s="9" t="str">
        <f>IFERROR(__xludf.DUMMYFUNCTION("""COMPUTED_VALUE"""),"JavaScript")</f>
        <v>JavaScript</v>
      </c>
      <c r="I411" s="9" t="str">
        <f>IFERROR(__xludf.DUMMYFUNCTION("""COMPUTED_VALUE"""),"HTML/CSS")</f>
        <v>HTML/CSS</v>
      </c>
      <c r="J411" s="9" t="str">
        <f>IFERROR(__xludf.DUMMYFUNCTION("""COMPUTED_VALUE"""),"C++")</f>
        <v>C++</v>
      </c>
      <c r="K411" s="9" t="str">
        <f>IFERROR(__xludf.DUMMYFUNCTION("""COMPUTED_VALUE"""),"C#")</f>
        <v>C#</v>
      </c>
      <c r="L411" s="9" t="str">
        <f>IFERROR(__xludf.DUMMYFUNCTION("""COMPUTED_VALUE"""),"C#")</f>
        <v>C#</v>
      </c>
      <c r="M411" s="9" t="s">
        <v>26</v>
      </c>
    </row>
    <row r="412" ht="15.75" customHeight="1">
      <c r="A412" s="7"/>
      <c r="B412" s="7" t="str">
        <f>IFERROR(__xludf.DUMMYFUNCTION("""COMPUTED_VALUE"""),"Bash/Shell/PowerShell;JavaScript;Python;SQL")</f>
        <v>Bash/Shell/PowerShell;JavaScript;Python;SQL</v>
      </c>
      <c r="C412" s="9" t="str">
        <f>IFERROR(__xludf.DUMMYFUNCTION("""COMPUTED_VALUE"""),"F#")</f>
        <v>F#</v>
      </c>
      <c r="D412" s="9" t="str">
        <f>IFERROR(__xludf.DUMMYFUNCTION("""COMPUTED_VALUE"""),"C++")</f>
        <v>C++</v>
      </c>
      <c r="E412" s="9" t="str">
        <f>IFERROR(__xludf.DUMMYFUNCTION("""COMPUTED_VALUE"""),"C")</f>
        <v>C</v>
      </c>
      <c r="F412" s="9" t="str">
        <f>IFERROR(__xludf.DUMMYFUNCTION("""COMPUTED_VALUE"""),"C#")</f>
        <v>C#</v>
      </c>
      <c r="G412" s="9" t="str">
        <f>IFERROR(__xludf.DUMMYFUNCTION("""COMPUTED_VALUE"""),"TypeScript")</f>
        <v>TypeScript</v>
      </c>
      <c r="H412" s="9" t="str">
        <f>IFERROR(__xludf.DUMMYFUNCTION("""COMPUTED_VALUE"""),"Kotlin")</f>
        <v>Kotlin</v>
      </c>
      <c r="I412" s="9" t="str">
        <f>IFERROR(__xludf.DUMMYFUNCTION("""COMPUTED_VALUE"""),"Java")</f>
        <v>Java</v>
      </c>
      <c r="J412" s="9" t="str">
        <f>IFERROR(__xludf.DUMMYFUNCTION("""COMPUTED_VALUE"""),"C#")</f>
        <v>C#</v>
      </c>
      <c r="K412" s="9" t="str">
        <f>IFERROR(__xludf.DUMMYFUNCTION("""COMPUTED_VALUE"""),"HTML/CSS")</f>
        <v>HTML/CSS</v>
      </c>
      <c r="L412" s="9" t="str">
        <f>IFERROR(__xludf.DUMMYFUNCTION("""COMPUTED_VALUE"""),"Java")</f>
        <v>Java</v>
      </c>
      <c r="M412" s="9" t="s">
        <v>45</v>
      </c>
    </row>
    <row r="413" ht="15.75" customHeight="1">
      <c r="A413" s="7"/>
      <c r="B413" s="7" t="str">
        <f>IFERROR(__xludf.DUMMYFUNCTION("""COMPUTED_VALUE"""),"HTML/CSS;JavaScript;Ruby")</f>
        <v>HTML/CSS;JavaScript;Ruby</v>
      </c>
      <c r="C413" s="9" t="str">
        <f>IFERROR(__xludf.DUMMYFUNCTION("""COMPUTED_VALUE"""),"Go")</f>
        <v>Go</v>
      </c>
      <c r="D413" s="9" t="str">
        <f>IFERROR(__xludf.DUMMYFUNCTION("""COMPUTED_VALUE"""),"HTML/CSS")</f>
        <v>HTML/CSS</v>
      </c>
      <c r="E413" s="9" t="str">
        <f>IFERROR(__xludf.DUMMYFUNCTION("""COMPUTED_VALUE"""),"C++")</f>
        <v>C++</v>
      </c>
      <c r="F413" s="9" t="str">
        <f>IFERROR(__xludf.DUMMYFUNCTION("""COMPUTED_VALUE"""),"HTML/CSS")</f>
        <v>HTML/CSS</v>
      </c>
      <c r="G413" s="9" t="str">
        <f>IFERROR(__xludf.DUMMYFUNCTION("""COMPUTED_VALUE"""),"C")</f>
        <v>C</v>
      </c>
      <c r="H413" s="9" t="str">
        <f>IFERROR(__xludf.DUMMYFUNCTION("""COMPUTED_VALUE"""),"SQL")</f>
        <v>SQL</v>
      </c>
      <c r="I413" s="9" t="str">
        <f>IFERROR(__xludf.DUMMYFUNCTION("""COMPUTED_VALUE"""),"JavaScript")</f>
        <v>JavaScript</v>
      </c>
      <c r="J413" s="9" t="str">
        <f>IFERROR(__xludf.DUMMYFUNCTION("""COMPUTED_VALUE"""),"Go")</f>
        <v>Go</v>
      </c>
      <c r="K413" s="9" t="str">
        <f>IFERROR(__xludf.DUMMYFUNCTION("""COMPUTED_VALUE"""),"JavaScript")</f>
        <v>JavaScript</v>
      </c>
      <c r="L413" s="9" t="str">
        <f>IFERROR(__xludf.DUMMYFUNCTION("""COMPUTED_VALUE"""),"Kotlin")</f>
        <v>Kotlin</v>
      </c>
      <c r="M413" s="9" t="s">
        <v>36</v>
      </c>
    </row>
    <row r="414" ht="15.75" customHeight="1">
      <c r="A414" s="7"/>
      <c r="B414" s="7" t="str">
        <f>IFERROR(__xludf.DUMMYFUNCTION("""COMPUTED_VALUE"""),"C;C++;C#;HTML/CSS;JavaScript;SQL;TypeScript")</f>
        <v>C;C++;C#;HTML/CSS;JavaScript;SQL;TypeScript</v>
      </c>
      <c r="C414" s="9" t="str">
        <f>IFERROR(__xludf.DUMMYFUNCTION("""COMPUTED_VALUE"""),"HTML/CSS")</f>
        <v>HTML/CSS</v>
      </c>
      <c r="D414" s="9" t="str">
        <f>IFERROR(__xludf.DUMMYFUNCTION("""COMPUTED_VALUE"""),"Java")</f>
        <v>Java</v>
      </c>
      <c r="E414" s="9" t="str">
        <f>IFERROR(__xludf.DUMMYFUNCTION("""COMPUTED_VALUE"""),"HTML/CSS")</f>
        <v>HTML/CSS</v>
      </c>
      <c r="F414" s="9" t="str">
        <f>IFERROR(__xludf.DUMMYFUNCTION("""COMPUTED_VALUE"""),"JavaScript")</f>
        <v>JavaScript</v>
      </c>
      <c r="G414" s="9" t="str">
        <f>IFERROR(__xludf.DUMMYFUNCTION("""COMPUTED_VALUE"""),"C++")</f>
        <v>C++</v>
      </c>
      <c r="H414" s="9" t="str">
        <f>IFERROR(__xludf.DUMMYFUNCTION("""COMPUTED_VALUE"""),"Bash/Shell/PowerShell")</f>
        <v>Bash/Shell/PowerShell</v>
      </c>
      <c r="I414" s="9" t="str">
        <f>IFERROR(__xludf.DUMMYFUNCTION("""COMPUTED_VALUE"""),"PHP")</f>
        <v>PHP</v>
      </c>
      <c r="J414" s="9" t="str">
        <f>IFERROR(__xludf.DUMMYFUNCTION("""COMPUTED_VALUE"""),"HTML/CSS")</f>
        <v>HTML/CSS</v>
      </c>
      <c r="K414" s="9" t="str">
        <f>IFERROR(__xludf.DUMMYFUNCTION("""COMPUTED_VALUE"""),"SQL")</f>
        <v>SQL</v>
      </c>
      <c r="L414" s="9" t="str">
        <f>IFERROR(__xludf.DUMMYFUNCTION("""COMPUTED_VALUE"""),"Swift")</f>
        <v>Swift</v>
      </c>
      <c r="M414" s="9" t="s">
        <v>24</v>
      </c>
    </row>
    <row r="415" ht="15.75" customHeight="1">
      <c r="A415" s="7"/>
      <c r="B415" s="7" t="str">
        <f>IFERROR(__xludf.DUMMYFUNCTION("""COMPUTED_VALUE"""),"HTML/CSS;JavaScript")</f>
        <v>HTML/CSS;JavaScript</v>
      </c>
      <c r="C415" s="9" t="str">
        <f>IFERROR(__xludf.DUMMYFUNCTION("""COMPUTED_VALUE"""),"Java")</f>
        <v>Java</v>
      </c>
      <c r="D415" s="9" t="str">
        <f>IFERROR(__xludf.DUMMYFUNCTION("""COMPUTED_VALUE"""),"JavaScript")</f>
        <v>JavaScript</v>
      </c>
      <c r="E415" s="9" t="str">
        <f>IFERROR(__xludf.DUMMYFUNCTION("""COMPUTED_VALUE"""),"Java")</f>
        <v>Java</v>
      </c>
      <c r="F415" s="9" t="str">
        <f>IFERROR(__xludf.DUMMYFUNCTION("""COMPUTED_VALUE"""),"Python")</f>
        <v>Python</v>
      </c>
      <c r="G415" s="9" t="str">
        <f>IFERROR(__xludf.DUMMYFUNCTION("""COMPUTED_VALUE"""),"HTML/CSS")</f>
        <v>HTML/CSS</v>
      </c>
      <c r="H415" s="9" t="str">
        <f>IFERROR(__xludf.DUMMYFUNCTION("""COMPUTED_VALUE"""),"Java")</f>
        <v>Java</v>
      </c>
      <c r="I415" s="9" t="str">
        <f>IFERROR(__xludf.DUMMYFUNCTION("""COMPUTED_VALUE"""),"Python")</f>
        <v>Python</v>
      </c>
      <c r="J415" s="9" t="str">
        <f>IFERROR(__xludf.DUMMYFUNCTION("""COMPUTED_VALUE"""),"Java")</f>
        <v>Java</v>
      </c>
      <c r="K415" s="9" t="str">
        <f>IFERROR(__xludf.DUMMYFUNCTION("""COMPUTED_VALUE"""),"VBA")</f>
        <v>VBA</v>
      </c>
      <c r="L415" s="9" t="str">
        <f>IFERROR(__xludf.DUMMYFUNCTION("""COMPUTED_VALUE"""),"Assembly")</f>
        <v>Assembly</v>
      </c>
      <c r="M415" s="9" t="s">
        <v>20</v>
      </c>
    </row>
    <row r="416" ht="15.75" customHeight="1">
      <c r="A416" s="7"/>
      <c r="B416" s="7" t="str">
        <f>IFERROR(__xludf.DUMMYFUNCTION("""COMPUTED_VALUE"""),"HTML/CSS;JavaScript;SQL;VBA")</f>
        <v>HTML/CSS;JavaScript;SQL;VBA</v>
      </c>
      <c r="C416" s="9" t="str">
        <f>IFERROR(__xludf.DUMMYFUNCTION("""COMPUTED_VALUE"""),"JavaScript")</f>
        <v>JavaScript</v>
      </c>
      <c r="D416" s="9" t="str">
        <f>IFERROR(__xludf.DUMMYFUNCTION("""COMPUTED_VALUE"""),"PHP")</f>
        <v>PHP</v>
      </c>
      <c r="E416" s="9" t="str">
        <f>IFERROR(__xludf.DUMMYFUNCTION("""COMPUTED_VALUE"""),"JavaScript")</f>
        <v>JavaScript</v>
      </c>
      <c r="F416" s="9" t="str">
        <f>IFERROR(__xludf.DUMMYFUNCTION("""COMPUTED_VALUE"""),"C#")</f>
        <v>C#</v>
      </c>
      <c r="G416" s="9" t="str">
        <f>IFERROR(__xludf.DUMMYFUNCTION("""COMPUTED_VALUE"""),"Java")</f>
        <v>Java</v>
      </c>
      <c r="H416" s="9" t="str">
        <f>IFERROR(__xludf.DUMMYFUNCTION("""COMPUTED_VALUE"""),"C")</f>
        <v>C</v>
      </c>
      <c r="I416" s="9" t="str">
        <f>IFERROR(__xludf.DUMMYFUNCTION("""COMPUTED_VALUE"""),"SQL")</f>
        <v>SQL</v>
      </c>
      <c r="J416" s="9" t="str">
        <f>IFERROR(__xludf.DUMMYFUNCTION("""COMPUTED_VALUE"""),"JavaScript")</f>
        <v>JavaScript</v>
      </c>
      <c r="K416" s="9" t="str">
        <f>IFERROR(__xludf.DUMMYFUNCTION("""COMPUTED_VALUE"""),"Other(s):")</f>
        <v>Other(s):</v>
      </c>
      <c r="L416" s="9" t="str">
        <f>IFERROR(__xludf.DUMMYFUNCTION("""COMPUTED_VALUE"""),"C")</f>
        <v>C</v>
      </c>
      <c r="M416" s="9" t="s">
        <v>21</v>
      </c>
    </row>
    <row r="417" ht="15.75" customHeight="1">
      <c r="A417" s="7"/>
      <c r="B417" s="7" t="str">
        <f>IFERROR(__xludf.DUMMYFUNCTION("""COMPUTED_VALUE"""),"C;C++;C#;HTML/CSS;Java;JavaScript;PHP;Python;R;SQL")</f>
        <v>C;C++;C#;HTML/CSS;Java;JavaScript;PHP;Python;R;SQL</v>
      </c>
      <c r="C417" s="9" t="str">
        <f>IFERROR(__xludf.DUMMYFUNCTION("""COMPUTED_VALUE"""),"Python")</f>
        <v>Python</v>
      </c>
      <c r="D417" s="9" t="str">
        <f>IFERROR(__xludf.DUMMYFUNCTION("""COMPUTED_VALUE"""),"SQL")</f>
        <v>SQL</v>
      </c>
      <c r="E417" s="9" t="str">
        <f>IFERROR(__xludf.DUMMYFUNCTION("""COMPUTED_VALUE"""),"PHP")</f>
        <v>PHP</v>
      </c>
      <c r="F417" s="9" t="str">
        <f>IFERROR(__xludf.DUMMYFUNCTION("""COMPUTED_VALUE"""),"HTML/CSS")</f>
        <v>HTML/CSS</v>
      </c>
      <c r="G417" s="9" t="str">
        <f>IFERROR(__xludf.DUMMYFUNCTION("""COMPUTED_VALUE"""),"JavaScript")</f>
        <v>JavaScript</v>
      </c>
      <c r="H417" s="9" t="str">
        <f>IFERROR(__xludf.DUMMYFUNCTION("""COMPUTED_VALUE"""),"Dart")</f>
        <v>Dart</v>
      </c>
      <c r="I417" s="9" t="str">
        <f>IFERROR(__xludf.DUMMYFUNCTION("""COMPUTED_VALUE"""),"TypeScript")</f>
        <v>TypeScript</v>
      </c>
      <c r="J417" s="9" t="str">
        <f>IFERROR(__xludf.DUMMYFUNCTION("""COMPUTED_VALUE"""),"Kotlin")</f>
        <v>Kotlin</v>
      </c>
      <c r="K417" s="9" t="str">
        <f>IFERROR(__xludf.DUMMYFUNCTION("""COMPUTED_VALUE"""),"Bash/Shell/PowerShell")</f>
        <v>Bash/Shell/PowerShell</v>
      </c>
      <c r="L417" s="9" t="str">
        <f>IFERROR(__xludf.DUMMYFUNCTION("""COMPUTED_VALUE"""),"C++")</f>
        <v>C++</v>
      </c>
      <c r="M417" s="9" t="s">
        <v>22</v>
      </c>
    </row>
    <row r="418" ht="15.75" customHeight="1">
      <c r="A418" s="7"/>
      <c r="B418" s="7" t="str">
        <f>IFERROR(__xludf.DUMMYFUNCTION("""COMPUTED_VALUE"""),"HTML/CSS;JavaScript;Python")</f>
        <v>HTML/CSS;JavaScript;Python</v>
      </c>
      <c r="C418" s="9" t="str">
        <f>IFERROR(__xludf.DUMMYFUNCTION("""COMPUTED_VALUE"""),"SQL")</f>
        <v>SQL</v>
      </c>
      <c r="D418" s="9" t="str">
        <f>IFERROR(__xludf.DUMMYFUNCTION("""COMPUTED_VALUE"""),"C")</f>
        <v>C</v>
      </c>
      <c r="E418" s="9" t="str">
        <f>IFERROR(__xludf.DUMMYFUNCTION("""COMPUTED_VALUE"""),"Python")</f>
        <v>Python</v>
      </c>
      <c r="F418" s="9" t="str">
        <f>IFERROR(__xludf.DUMMYFUNCTION("""COMPUTED_VALUE"""),"Java")</f>
        <v>Java</v>
      </c>
      <c r="G418" s="9" t="str">
        <f>IFERROR(__xludf.DUMMYFUNCTION("""COMPUTED_VALUE"""),"Python")</f>
        <v>Python</v>
      </c>
      <c r="H418" s="9" t="str">
        <f>IFERROR(__xludf.DUMMYFUNCTION("""COMPUTED_VALUE"""),"HTML/CSS")</f>
        <v>HTML/CSS</v>
      </c>
      <c r="I418" s="9" t="str">
        <f>IFERROR(__xludf.DUMMYFUNCTION("""COMPUTED_VALUE"""),"C++")</f>
        <v>C++</v>
      </c>
      <c r="J418" s="9" t="str">
        <f>IFERROR(__xludf.DUMMYFUNCTION("""COMPUTED_VALUE"""),"PHP")</f>
        <v>PHP</v>
      </c>
      <c r="K418" s="9" t="str">
        <f>IFERROR(__xludf.DUMMYFUNCTION("""COMPUTED_VALUE"""),"HTML/CSS")</f>
        <v>HTML/CSS</v>
      </c>
      <c r="L418" s="9" t="str">
        <f>IFERROR(__xludf.DUMMYFUNCTION("""COMPUTED_VALUE"""),"HTML/CSS")</f>
        <v>HTML/CSS</v>
      </c>
      <c r="M418" s="9" t="s">
        <v>27</v>
      </c>
    </row>
    <row r="419" ht="15.75" customHeight="1">
      <c r="A419" s="7"/>
      <c r="B419" s="7" t="str">
        <f>IFERROR(__xludf.DUMMYFUNCTION("""COMPUTED_VALUE"""),"Bash/Shell/PowerShell;HTML/CSS;JavaScript;TypeScript")</f>
        <v>Bash/Shell/PowerShell;HTML/CSS;JavaScript;TypeScript</v>
      </c>
      <c r="C419" s="9" t="str">
        <f>IFERROR(__xludf.DUMMYFUNCTION("""COMPUTED_VALUE"""),"TypeScript")</f>
        <v>TypeScript</v>
      </c>
      <c r="D419" s="9" t="str">
        <f>IFERROR(__xludf.DUMMYFUNCTION("""COMPUTED_VALUE"""),"HTML/CSS")</f>
        <v>HTML/CSS</v>
      </c>
      <c r="E419" s="9" t="str">
        <f>IFERROR(__xludf.DUMMYFUNCTION("""COMPUTED_VALUE"""),"C#")</f>
        <v>C#</v>
      </c>
      <c r="F419" s="9" t="str">
        <f>IFERROR(__xludf.DUMMYFUNCTION("""COMPUTED_VALUE"""),"JavaScript")</f>
        <v>JavaScript</v>
      </c>
      <c r="G419" s="9" t="str">
        <f>IFERROR(__xludf.DUMMYFUNCTION("""COMPUTED_VALUE"""),"HTML/CSS")</f>
        <v>HTML/CSS</v>
      </c>
      <c r="H419" s="9" t="str">
        <f>IFERROR(__xludf.DUMMYFUNCTION("""COMPUTED_VALUE"""),"JavaScript")</f>
        <v>JavaScript</v>
      </c>
      <c r="I419" s="9" t="str">
        <f>IFERROR(__xludf.DUMMYFUNCTION("""COMPUTED_VALUE"""),"HTML/CSS")</f>
        <v>HTML/CSS</v>
      </c>
      <c r="J419" s="9" t="str">
        <f>IFERROR(__xludf.DUMMYFUNCTION("""COMPUTED_VALUE"""),"Python")</f>
        <v>Python</v>
      </c>
      <c r="K419" s="9" t="str">
        <f>IFERROR(__xludf.DUMMYFUNCTION("""COMPUTED_VALUE"""),"Java")</f>
        <v>Java</v>
      </c>
      <c r="L419" s="9" t="str">
        <f>IFERROR(__xludf.DUMMYFUNCTION("""COMPUTED_VALUE"""),"Java")</f>
        <v>Java</v>
      </c>
      <c r="M419" s="9" t="s">
        <v>33</v>
      </c>
    </row>
    <row r="420" ht="15.75" customHeight="1">
      <c r="A420" s="7"/>
      <c r="B420" s="7" t="str">
        <f>IFERROR(__xludf.DUMMYFUNCTION("""COMPUTED_VALUE"""),"Bash/Shell/PowerShell;C;C#;HTML/CSS;JavaScript;Python;Other(s):")</f>
        <v>Bash/Shell/PowerShell;C;C#;HTML/CSS;JavaScript;Python;Other(s):</v>
      </c>
      <c r="C420" s="9" t="str">
        <f>IFERROR(__xludf.DUMMYFUNCTION("""COMPUTED_VALUE"""),"Assembly")</f>
        <v>Assembly</v>
      </c>
      <c r="D420" s="9" t="str">
        <f>IFERROR(__xludf.DUMMYFUNCTION("""COMPUTED_VALUE"""),"JavaScript")</f>
        <v>JavaScript</v>
      </c>
      <c r="E420" s="9" t="str">
        <f>IFERROR(__xludf.DUMMYFUNCTION("""COMPUTED_VALUE"""),"HTML/CSS")</f>
        <v>HTML/CSS</v>
      </c>
      <c r="F420" s="9" t="str">
        <f>IFERROR(__xludf.DUMMYFUNCTION("""COMPUTED_VALUE"""),"Java")</f>
        <v>Java</v>
      </c>
      <c r="G420" s="9" t="str">
        <f>IFERROR(__xludf.DUMMYFUNCTION("""COMPUTED_VALUE"""),"Java")</f>
        <v>Java</v>
      </c>
      <c r="H420" s="9" t="str">
        <f>IFERROR(__xludf.DUMMYFUNCTION("""COMPUTED_VALUE"""),"PHP")</f>
        <v>PHP</v>
      </c>
      <c r="I420" s="9" t="str">
        <f>IFERROR(__xludf.DUMMYFUNCTION("""COMPUTED_VALUE"""),"JavaScript")</f>
        <v>JavaScript</v>
      </c>
      <c r="J420" s="9" t="str">
        <f>IFERROR(__xludf.DUMMYFUNCTION("""COMPUTED_VALUE"""),"R")</f>
        <v>R</v>
      </c>
      <c r="K420" s="9" t="str">
        <f>IFERROR(__xludf.DUMMYFUNCTION("""COMPUTED_VALUE"""),"JavaScript")</f>
        <v>JavaScript</v>
      </c>
      <c r="L420" s="9" t="str">
        <f>IFERROR(__xludf.DUMMYFUNCTION("""COMPUTED_VALUE"""),"JavaScript")</f>
        <v>JavaScript</v>
      </c>
      <c r="M420" s="9" t="s">
        <v>38</v>
      </c>
    </row>
    <row r="421" ht="15.75" customHeight="1">
      <c r="A421" s="7"/>
      <c r="B421" s="7" t="str">
        <f>IFERROR(__xludf.DUMMYFUNCTION("""COMPUTED_VALUE"""),"C++;C#")</f>
        <v>C++;C#</v>
      </c>
      <c r="C421" s="9" t="str">
        <f>IFERROR(__xludf.DUMMYFUNCTION("""COMPUTED_VALUE"""),"Bash/Shell/PowerShell")</f>
        <v>Bash/Shell/PowerShell</v>
      </c>
      <c r="D421" s="9" t="str">
        <f>IFERROR(__xludf.DUMMYFUNCTION("""COMPUTED_VALUE"""),"PHP")</f>
        <v>PHP</v>
      </c>
      <c r="E421" s="9" t="str">
        <f>IFERROR(__xludf.DUMMYFUNCTION("""COMPUTED_VALUE"""),"JavaScript")</f>
        <v>JavaScript</v>
      </c>
      <c r="F421" s="9" t="str">
        <f>IFERROR(__xludf.DUMMYFUNCTION("""COMPUTED_VALUE"""),"SQL")</f>
        <v>SQL</v>
      </c>
      <c r="G421" s="9" t="str">
        <f>IFERROR(__xludf.DUMMYFUNCTION("""COMPUTED_VALUE"""),"JavaScript")</f>
        <v>JavaScript</v>
      </c>
      <c r="H421" s="9" t="str">
        <f>IFERROR(__xludf.DUMMYFUNCTION("""COMPUTED_VALUE"""),"SQL")</f>
        <v>SQL</v>
      </c>
      <c r="I421" s="9" t="str">
        <f>IFERROR(__xludf.DUMMYFUNCTION("""COMPUTED_VALUE"""),"PHP")</f>
        <v>PHP</v>
      </c>
      <c r="J421" s="9" t="str">
        <f>IFERROR(__xludf.DUMMYFUNCTION("""COMPUTED_VALUE"""),"Ruby")</f>
        <v>Ruby</v>
      </c>
      <c r="K421" s="9" t="str">
        <f>IFERROR(__xludf.DUMMYFUNCTION("""COMPUTED_VALUE"""),"PHP")</f>
        <v>PHP</v>
      </c>
      <c r="L421" s="9" t="str">
        <f>IFERROR(__xludf.DUMMYFUNCTION("""COMPUTED_VALUE"""),"TypeScript")</f>
        <v>TypeScript</v>
      </c>
      <c r="M421" s="9" t="s">
        <v>30</v>
      </c>
    </row>
    <row r="422" ht="15.75" customHeight="1">
      <c r="A422" s="7"/>
      <c r="B422" s="7" t="str">
        <f>IFERROR(__xludf.DUMMYFUNCTION("""COMPUTED_VALUE"""),"C;C++")</f>
        <v>C;C++</v>
      </c>
      <c r="C422" s="9" t="str">
        <f>IFERROR(__xludf.DUMMYFUNCTION("""COMPUTED_VALUE"""),"C")</f>
        <v>C</v>
      </c>
      <c r="D422" s="9" t="str">
        <f>IFERROR(__xludf.DUMMYFUNCTION("""COMPUTED_VALUE"""),"Python")</f>
        <v>Python</v>
      </c>
      <c r="E422" s="9" t="str">
        <f>IFERROR(__xludf.DUMMYFUNCTION("""COMPUTED_VALUE"""),"Python")</f>
        <v>Python</v>
      </c>
      <c r="F422" s="9" t="str">
        <f>IFERROR(__xludf.DUMMYFUNCTION("""COMPUTED_VALUE"""),"Dart")</f>
        <v>Dart</v>
      </c>
      <c r="G422" s="9" t="str">
        <f>IFERROR(__xludf.DUMMYFUNCTION("""COMPUTED_VALUE"""),"SQL")</f>
        <v>SQL</v>
      </c>
      <c r="H422" s="9" t="str">
        <f>IFERROR(__xludf.DUMMYFUNCTION("""COMPUTED_VALUE"""),"C#")</f>
        <v>C#</v>
      </c>
      <c r="I422" s="9" t="str">
        <f>IFERROR(__xludf.DUMMYFUNCTION("""COMPUTED_VALUE"""),"Ruby")</f>
        <v>Ruby</v>
      </c>
      <c r="J422" s="9" t="str">
        <f>IFERROR(__xludf.DUMMYFUNCTION("""COMPUTED_VALUE"""),"Scala")</f>
        <v>Scala</v>
      </c>
      <c r="K422" s="9" t="str">
        <f>IFERROR(__xludf.DUMMYFUNCTION("""COMPUTED_VALUE"""),"SQL")</f>
        <v>SQL</v>
      </c>
      <c r="L422" s="9" t="str">
        <f>IFERROR(__xludf.DUMMYFUNCTION("""COMPUTED_VALUE"""),"Go")</f>
        <v>Go</v>
      </c>
      <c r="M422" s="9" t="s">
        <v>25</v>
      </c>
    </row>
    <row r="423" ht="15.75" customHeight="1">
      <c r="A423" s="7"/>
      <c r="B423" s="7" t="str">
        <f>IFERROR(__xludf.DUMMYFUNCTION("""COMPUTED_VALUE"""),"Bash/Shell/PowerShell;C;HTML/CSS;JavaScript;PHP;SQL;VBA")</f>
        <v>Bash/Shell/PowerShell;C;HTML/CSS;JavaScript;PHP;SQL;VBA</v>
      </c>
      <c r="C423" s="9" t="str">
        <f>IFERROR(__xludf.DUMMYFUNCTION("""COMPUTED_VALUE"""),"C++")</f>
        <v>C++</v>
      </c>
      <c r="D423" s="9" t="str">
        <f>IFERROR(__xludf.DUMMYFUNCTION("""COMPUTED_VALUE"""),"SQL")</f>
        <v>SQL</v>
      </c>
      <c r="E423" s="9" t="str">
        <f>IFERROR(__xludf.DUMMYFUNCTION("""COMPUTED_VALUE"""),"SQL")</f>
        <v>SQL</v>
      </c>
      <c r="F423" s="9" t="str">
        <f>IFERROR(__xludf.DUMMYFUNCTION("""COMPUTED_VALUE"""),"Java")</f>
        <v>Java</v>
      </c>
      <c r="G423" s="9" t="str">
        <f>IFERROR(__xludf.DUMMYFUNCTION("""COMPUTED_VALUE"""),"Assembly")</f>
        <v>Assembly</v>
      </c>
      <c r="H423" s="9" t="str">
        <f>IFERROR(__xludf.DUMMYFUNCTION("""COMPUTED_VALUE"""),"HTML/CSS")</f>
        <v>HTML/CSS</v>
      </c>
      <c r="I423" s="9" t="str">
        <f>IFERROR(__xludf.DUMMYFUNCTION("""COMPUTED_VALUE"""),"SQL")</f>
        <v>SQL</v>
      </c>
      <c r="J423" s="9" t="str">
        <f>IFERROR(__xludf.DUMMYFUNCTION("""COMPUTED_VALUE"""),"SQL")</f>
        <v>SQL</v>
      </c>
      <c r="K423" s="9" t="str">
        <f>IFERROR(__xludf.DUMMYFUNCTION("""COMPUTED_VALUE"""),"Java")</f>
        <v>Java</v>
      </c>
      <c r="L423" s="9" t="str">
        <f>IFERROR(__xludf.DUMMYFUNCTION("""COMPUTED_VALUE"""),"HTML/CSS")</f>
        <v>HTML/CSS</v>
      </c>
      <c r="M423" s="9" t="s">
        <v>23</v>
      </c>
    </row>
    <row r="424" ht="15.75" customHeight="1">
      <c r="A424" s="7"/>
      <c r="B424" s="7" t="str">
        <f>IFERROR(__xludf.DUMMYFUNCTION("""COMPUTED_VALUE"""),"Java")</f>
        <v>Java</v>
      </c>
      <c r="C424" s="9" t="str">
        <f>IFERROR(__xludf.DUMMYFUNCTION("""COMPUTED_VALUE"""),"Python")</f>
        <v>Python</v>
      </c>
      <c r="D424" s="9" t="str">
        <f>IFERROR(__xludf.DUMMYFUNCTION("""COMPUTED_VALUE"""),"Assembly")</f>
        <v>Assembly</v>
      </c>
      <c r="E424" s="9" t="str">
        <f>IFERROR(__xludf.DUMMYFUNCTION("""COMPUTED_VALUE"""),"HTML/CSS")</f>
        <v>HTML/CSS</v>
      </c>
      <c r="F424" s="9" t="str">
        <f>IFERROR(__xludf.DUMMYFUNCTION("""COMPUTED_VALUE"""),"Kotlin")</f>
        <v>Kotlin</v>
      </c>
      <c r="G424" s="9" t="str">
        <f>IFERROR(__xludf.DUMMYFUNCTION("""COMPUTED_VALUE"""),"C")</f>
        <v>C</v>
      </c>
      <c r="H424" s="9" t="str">
        <f>IFERROR(__xludf.DUMMYFUNCTION("""COMPUTED_VALUE"""),"JavaScript")</f>
        <v>JavaScript</v>
      </c>
      <c r="I424" s="9" t="str">
        <f>IFERROR(__xludf.DUMMYFUNCTION("""COMPUTED_VALUE"""),"Bash/Shell/PowerShell")</f>
        <v>Bash/Shell/PowerShell</v>
      </c>
      <c r="J424" s="9" t="str">
        <f>IFERROR(__xludf.DUMMYFUNCTION("""COMPUTED_VALUE"""),"HTML/CSS")</f>
        <v>HTML/CSS</v>
      </c>
      <c r="K424" s="9" t="str">
        <f>IFERROR(__xludf.DUMMYFUNCTION("""COMPUTED_VALUE"""),"SQL")</f>
        <v>SQL</v>
      </c>
      <c r="L424" s="9" t="str">
        <f>IFERROR(__xludf.DUMMYFUNCTION("""COMPUTED_VALUE"""),"JavaScript")</f>
        <v>JavaScript</v>
      </c>
      <c r="M424" s="9" t="s">
        <v>22</v>
      </c>
    </row>
    <row r="425" ht="15.75" customHeight="1">
      <c r="A425" s="7"/>
      <c r="B425" s="7" t="str">
        <f>IFERROR(__xludf.DUMMYFUNCTION("""COMPUTED_VALUE"""),"C#;HTML/CSS;JavaScript;SQL;TypeScript")</f>
        <v>C#;HTML/CSS;JavaScript;SQL;TypeScript</v>
      </c>
      <c r="C425" s="9" t="str">
        <f>IFERROR(__xludf.DUMMYFUNCTION("""COMPUTED_VALUE"""),"Bash/Shell/PowerShell")</f>
        <v>Bash/Shell/PowerShell</v>
      </c>
      <c r="D425" s="9" t="str">
        <f>IFERROR(__xludf.DUMMYFUNCTION("""COMPUTED_VALUE"""),"C#")</f>
        <v>C#</v>
      </c>
      <c r="E425" s="9" t="str">
        <f>IFERROR(__xludf.DUMMYFUNCTION("""COMPUTED_VALUE"""),"PHP")</f>
        <v>PHP</v>
      </c>
      <c r="F425" s="9" t="str">
        <f>IFERROR(__xludf.DUMMYFUNCTION("""COMPUTED_VALUE"""),"Objective-C")</f>
        <v>Objective-C</v>
      </c>
      <c r="G425" s="9" t="str">
        <f>IFERROR(__xludf.DUMMYFUNCTION("""COMPUTED_VALUE"""),"C#")</f>
        <v>C#</v>
      </c>
      <c r="H425" s="9" t="str">
        <f>IFERROR(__xludf.DUMMYFUNCTION("""COMPUTED_VALUE"""),"PHP")</f>
        <v>PHP</v>
      </c>
      <c r="I425" s="9" t="str">
        <f>IFERROR(__xludf.DUMMYFUNCTION("""COMPUTED_VALUE"""),"C")</f>
        <v>C</v>
      </c>
      <c r="J425" s="9" t="str">
        <f>IFERROR(__xludf.DUMMYFUNCTION("""COMPUTED_VALUE"""),"JavaScript")</f>
        <v>JavaScript</v>
      </c>
      <c r="K425" s="9" t="str">
        <f>IFERROR(__xludf.DUMMYFUNCTION("""COMPUTED_VALUE"""),"C")</f>
        <v>C</v>
      </c>
      <c r="L425" s="9" t="str">
        <f>IFERROR(__xludf.DUMMYFUNCTION("""COMPUTED_VALUE"""),"Python")</f>
        <v>Python</v>
      </c>
      <c r="M425" s="9" t="s">
        <v>30</v>
      </c>
    </row>
    <row r="426" ht="15.75" customHeight="1">
      <c r="A426" s="7"/>
      <c r="B426" s="7" t="str">
        <f>IFERROR(__xludf.DUMMYFUNCTION("""COMPUTED_VALUE"""),"Bash/Shell/PowerShell;Java;Python")</f>
        <v>Bash/Shell/PowerShell;Java;Python</v>
      </c>
      <c r="C426" s="9" t="str">
        <f>IFERROR(__xludf.DUMMYFUNCTION("""COMPUTED_VALUE"""),"C++")</f>
        <v>C++</v>
      </c>
      <c r="D426" s="9" t="str">
        <f>IFERROR(__xludf.DUMMYFUNCTION("""COMPUTED_VALUE"""),"HTML/CSS")</f>
        <v>HTML/CSS</v>
      </c>
      <c r="E426" s="9" t="str">
        <f>IFERROR(__xludf.DUMMYFUNCTION("""COMPUTED_VALUE"""),"Python")</f>
        <v>Python</v>
      </c>
      <c r="F426" s="9" t="str">
        <f>IFERROR(__xludf.DUMMYFUNCTION("""COMPUTED_VALUE"""),"Python")</f>
        <v>Python</v>
      </c>
      <c r="G426" s="9" t="str">
        <f>IFERROR(__xludf.DUMMYFUNCTION("""COMPUTED_VALUE"""),"F#")</f>
        <v>F#</v>
      </c>
      <c r="H426" s="9" t="str">
        <f>IFERROR(__xludf.DUMMYFUNCTION("""COMPUTED_VALUE"""),"SQL")</f>
        <v>SQL</v>
      </c>
      <c r="I426" s="9" t="str">
        <f>IFERROR(__xludf.DUMMYFUNCTION("""COMPUTED_VALUE"""),"C++")</f>
        <v>C++</v>
      </c>
      <c r="J426" s="9" t="str">
        <f>IFERROR(__xludf.DUMMYFUNCTION("""COMPUTED_VALUE"""),"PHP")</f>
        <v>PHP</v>
      </c>
      <c r="K426" s="9" t="str">
        <f>IFERROR(__xludf.DUMMYFUNCTION("""COMPUTED_VALUE"""),"C++")</f>
        <v>C++</v>
      </c>
      <c r="L426" s="9" t="str">
        <f>IFERROR(__xludf.DUMMYFUNCTION("""COMPUTED_VALUE"""),"TypeScript")</f>
        <v>TypeScript</v>
      </c>
      <c r="M426" s="9" t="s">
        <v>23</v>
      </c>
    </row>
    <row r="427" ht="15.75" customHeight="1">
      <c r="A427" s="7"/>
      <c r="B427" s="7" t="str">
        <f>IFERROR(__xludf.DUMMYFUNCTION("""COMPUTED_VALUE"""),"C#")</f>
        <v>C#</v>
      </c>
      <c r="C427" s="9" t="str">
        <f>IFERROR(__xludf.DUMMYFUNCTION("""COMPUTED_VALUE"""),"HTML/CSS")</f>
        <v>HTML/CSS</v>
      </c>
      <c r="D427" s="9" t="str">
        <f>IFERROR(__xludf.DUMMYFUNCTION("""COMPUTED_VALUE"""),"JavaScript")</f>
        <v>JavaScript</v>
      </c>
      <c r="E427" s="9" t="str">
        <f>IFERROR(__xludf.DUMMYFUNCTION("""COMPUTED_VALUE"""),"SQL")</f>
        <v>SQL</v>
      </c>
      <c r="F427" s="9" t="str">
        <f>IFERROR(__xludf.DUMMYFUNCTION("""COMPUTED_VALUE"""),"Swift")</f>
        <v>Swift</v>
      </c>
      <c r="G427" s="9" t="str">
        <f>IFERROR(__xludf.DUMMYFUNCTION("""COMPUTED_VALUE"""),"Objective-C")</f>
        <v>Objective-C</v>
      </c>
      <c r="H427" s="9" t="str">
        <f>IFERROR(__xludf.DUMMYFUNCTION("""COMPUTED_VALUE"""),"VBA")</f>
        <v>VBA</v>
      </c>
      <c r="I427" s="9" t="str">
        <f>IFERROR(__xludf.DUMMYFUNCTION("""COMPUTED_VALUE"""),"HTML/CSS")</f>
        <v>HTML/CSS</v>
      </c>
      <c r="J427" s="9" t="str">
        <f>IFERROR(__xludf.DUMMYFUNCTION("""COMPUTED_VALUE"""),"Bash/Shell/PowerShell")</f>
        <v>Bash/Shell/PowerShell</v>
      </c>
      <c r="K427" s="9" t="str">
        <f>IFERROR(__xludf.DUMMYFUNCTION("""COMPUTED_VALUE"""),"C#")</f>
        <v>C#</v>
      </c>
      <c r="L427" s="9" t="str">
        <f>IFERROR(__xludf.DUMMYFUNCTION("""COMPUTED_VALUE"""),"WebAssembly")</f>
        <v>WebAssembly</v>
      </c>
      <c r="M427" s="9" t="s">
        <v>24</v>
      </c>
    </row>
    <row r="428" ht="15.75" customHeight="1">
      <c r="A428" s="7"/>
      <c r="B428" s="7" t="str">
        <f>IFERROR(__xludf.DUMMYFUNCTION("""COMPUTED_VALUE"""),"Assembly;C++;C#;HTML/CSS;Java;JavaScript;Objective-C;PHP;SQL;Other(s):")</f>
        <v>Assembly;C++;C#;HTML/CSS;Java;JavaScript;Objective-C;PHP;SQL;Other(s):</v>
      </c>
      <c r="C428" s="9" t="str">
        <f>IFERROR(__xludf.DUMMYFUNCTION("""COMPUTED_VALUE"""),"Java")</f>
        <v>Java</v>
      </c>
      <c r="D428" s="9" t="str">
        <f>IFERROR(__xludf.DUMMYFUNCTION("""COMPUTED_VALUE"""),"Python")</f>
        <v>Python</v>
      </c>
      <c r="E428" s="9" t="str">
        <f>IFERROR(__xludf.DUMMYFUNCTION("""COMPUTED_VALUE"""),"VBA")</f>
        <v>VBA</v>
      </c>
      <c r="F428" s="9" t="str">
        <f>IFERROR(__xludf.DUMMYFUNCTION("""COMPUTED_VALUE"""),"JavaScript")</f>
        <v>JavaScript</v>
      </c>
      <c r="G428" s="9" t="str">
        <f>IFERROR(__xludf.DUMMYFUNCTION("""COMPUTED_VALUE"""),"C")</f>
        <v>C</v>
      </c>
      <c r="H428" s="9" t="str">
        <f>IFERROR(__xludf.DUMMYFUNCTION("""COMPUTED_VALUE"""),"C#")</f>
        <v>C#</v>
      </c>
      <c r="I428" s="9" t="str">
        <f>IFERROR(__xludf.DUMMYFUNCTION("""COMPUTED_VALUE"""),"JavaScript")</f>
        <v>JavaScript</v>
      </c>
      <c r="J428" s="9" t="str">
        <f>IFERROR(__xludf.DUMMYFUNCTION("""COMPUTED_VALUE"""),"C++")</f>
        <v>C++</v>
      </c>
      <c r="K428" s="9" t="str">
        <f>IFERROR(__xludf.DUMMYFUNCTION("""COMPUTED_VALUE"""),"HTML/CSS")</f>
        <v>HTML/CSS</v>
      </c>
      <c r="L428" s="9" t="str">
        <f>IFERROR(__xludf.DUMMYFUNCTION("""COMPUTED_VALUE"""),"C#")</f>
        <v>C#</v>
      </c>
      <c r="M428" s="9" t="s">
        <v>20</v>
      </c>
    </row>
    <row r="429" ht="15.75" customHeight="1">
      <c r="A429" s="7"/>
      <c r="B429" s="7" t="str">
        <f>IFERROR(__xludf.DUMMYFUNCTION("""COMPUTED_VALUE"""),"VBA;Other(s):")</f>
        <v>VBA;Other(s):</v>
      </c>
      <c r="C429" s="9" t="str">
        <f>IFERROR(__xludf.DUMMYFUNCTION("""COMPUTED_VALUE"""),"JavaScript")</f>
        <v>JavaScript</v>
      </c>
      <c r="D429" s="9" t="str">
        <f>IFERROR(__xludf.DUMMYFUNCTION("""COMPUTED_VALUE"""),"SQL")</f>
        <v>SQL</v>
      </c>
      <c r="E429" s="9" t="str">
        <f>IFERROR(__xludf.DUMMYFUNCTION("""COMPUTED_VALUE"""),"HTML/CSS")</f>
        <v>HTML/CSS</v>
      </c>
      <c r="F429" s="9" t="str">
        <f>IFERROR(__xludf.DUMMYFUNCTION("""COMPUTED_VALUE"""),"PHP")</f>
        <v>PHP</v>
      </c>
      <c r="G429" s="9" t="str">
        <f>IFERROR(__xludf.DUMMYFUNCTION("""COMPUTED_VALUE"""),"C++")</f>
        <v>C++</v>
      </c>
      <c r="H429" s="9" t="str">
        <f>IFERROR(__xludf.DUMMYFUNCTION("""COMPUTED_VALUE"""),"Java")</f>
        <v>Java</v>
      </c>
      <c r="I429" s="9" t="str">
        <f>IFERROR(__xludf.DUMMYFUNCTION("""COMPUTED_VALUE"""),"Python")</f>
        <v>Python</v>
      </c>
      <c r="J429" s="9" t="str">
        <f>IFERROR(__xludf.DUMMYFUNCTION("""COMPUTED_VALUE"""),"Python")</f>
        <v>Python</v>
      </c>
      <c r="K429" s="9" t="str">
        <f>IFERROR(__xludf.DUMMYFUNCTION("""COMPUTED_VALUE"""),"JavaScript")</f>
        <v>JavaScript</v>
      </c>
      <c r="L429" s="9" t="str">
        <f>IFERROR(__xludf.DUMMYFUNCTION("""COMPUTED_VALUE"""),"HTML/CSS")</f>
        <v>HTML/CSS</v>
      </c>
      <c r="M429" s="9" t="s">
        <v>21</v>
      </c>
    </row>
    <row r="430" ht="15.75" customHeight="1">
      <c r="A430" s="7"/>
      <c r="B430" s="7" t="str">
        <f>IFERROR(__xludf.DUMMYFUNCTION("""COMPUTED_VALUE"""),"HTML/CSS;Java;JavaScript;SQL;TypeScript;VBA;Other(s):")</f>
        <v>HTML/CSS;Java;JavaScript;SQL;TypeScript;VBA;Other(s):</v>
      </c>
      <c r="C430" s="9" t="str">
        <f>IFERROR(__xludf.DUMMYFUNCTION("""COMPUTED_VALUE"""),"Python")</f>
        <v>Python</v>
      </c>
      <c r="D430" s="9" t="str">
        <f>IFERROR(__xludf.DUMMYFUNCTION("""COMPUTED_VALUE"""),"VBA")</f>
        <v>VBA</v>
      </c>
      <c r="E430" s="9" t="str">
        <f>IFERROR(__xludf.DUMMYFUNCTION("""COMPUTED_VALUE"""),"JavaScript")</f>
        <v>JavaScript</v>
      </c>
      <c r="F430" s="9" t="str">
        <f>IFERROR(__xludf.DUMMYFUNCTION("""COMPUTED_VALUE"""),"HTML/CSS")</f>
        <v>HTML/CSS</v>
      </c>
      <c r="G430" s="9" t="str">
        <f>IFERROR(__xludf.DUMMYFUNCTION("""COMPUTED_VALUE"""),"HTML/CSS")</f>
        <v>HTML/CSS</v>
      </c>
      <c r="H430" s="9" t="str">
        <f>IFERROR(__xludf.DUMMYFUNCTION("""COMPUTED_VALUE"""),"Kotlin")</f>
        <v>Kotlin</v>
      </c>
      <c r="I430" s="9" t="str">
        <f>IFERROR(__xludf.DUMMYFUNCTION("""COMPUTED_VALUE"""),"Ruby")</f>
        <v>Ruby</v>
      </c>
      <c r="J430" s="9" t="str">
        <f>IFERROR(__xludf.DUMMYFUNCTION("""COMPUTED_VALUE"""),"Java")</f>
        <v>Java</v>
      </c>
      <c r="K430" s="9" t="str">
        <f>IFERROR(__xludf.DUMMYFUNCTION("""COMPUTED_VALUE"""),"Other(s):")</f>
        <v>Other(s):</v>
      </c>
      <c r="L430" s="9" t="str">
        <f>IFERROR(__xludf.DUMMYFUNCTION("""COMPUTED_VALUE"""),"JavaScript")</f>
        <v>JavaScript</v>
      </c>
      <c r="M430" s="9" t="s">
        <v>22</v>
      </c>
    </row>
    <row r="431" ht="15.75" customHeight="1">
      <c r="A431" s="7"/>
      <c r="B431" s="7" t="str">
        <f>IFERROR(__xludf.DUMMYFUNCTION("""COMPUTED_VALUE"""),"Bash/Shell/PowerShell;C;C++;HTML/CSS;Java;JavaScript;Python")</f>
        <v>Bash/Shell/PowerShell;C;C++;HTML/CSS;Java;JavaScript;Python</v>
      </c>
      <c r="C431" s="9" t="str">
        <f>IFERROR(__xludf.DUMMYFUNCTION("""COMPUTED_VALUE"""),"Rust")</f>
        <v>Rust</v>
      </c>
      <c r="D431" s="9" t="str">
        <f>IFERROR(__xludf.DUMMYFUNCTION("""COMPUTED_VALUE"""),"HTML/CSS")</f>
        <v>HTML/CSS</v>
      </c>
      <c r="E431" s="9" t="str">
        <f>IFERROR(__xludf.DUMMYFUNCTION("""COMPUTED_VALUE"""),"TypeScript")</f>
        <v>TypeScript</v>
      </c>
      <c r="F431" s="9" t="str">
        <f>IFERROR(__xludf.DUMMYFUNCTION("""COMPUTED_VALUE"""),"JavaScript")</f>
        <v>JavaScript</v>
      </c>
      <c r="G431" s="9" t="str">
        <f>IFERROR(__xludf.DUMMYFUNCTION("""COMPUTED_VALUE"""),"Java")</f>
        <v>Java</v>
      </c>
      <c r="H431" s="9" t="str">
        <f>IFERROR(__xludf.DUMMYFUNCTION("""COMPUTED_VALUE"""),"Java")</f>
        <v>Java</v>
      </c>
      <c r="I431" s="9" t="str">
        <f>IFERROR(__xludf.DUMMYFUNCTION("""COMPUTED_VALUE"""),"Go")</f>
        <v>Go</v>
      </c>
      <c r="J431" s="9" t="str">
        <f>IFERROR(__xludf.DUMMYFUNCTION("""COMPUTED_VALUE"""),"Kotlin")</f>
        <v>Kotlin</v>
      </c>
      <c r="K431" s="9" t="str">
        <f>IFERROR(__xludf.DUMMYFUNCTION("""COMPUTED_VALUE"""),"Bash/Shell/PowerShell")</f>
        <v>Bash/Shell/PowerShell</v>
      </c>
      <c r="L431" s="9" t="str">
        <f>IFERROR(__xludf.DUMMYFUNCTION("""COMPUTED_VALUE"""),"SQL")</f>
        <v>SQL</v>
      </c>
      <c r="M431" s="9" t="s">
        <v>32</v>
      </c>
    </row>
    <row r="432" ht="15.75" customHeight="1">
      <c r="A432" s="7"/>
      <c r="B432" s="7" t="str">
        <f>IFERROR(__xludf.DUMMYFUNCTION("""COMPUTED_VALUE"""),"Bash/Shell/PowerShell;C#;HTML/CSS;JavaScript;SQL")</f>
        <v>Bash/Shell/PowerShell;C#;HTML/CSS;JavaScript;SQL</v>
      </c>
      <c r="C432" s="9" t="str">
        <f>IFERROR(__xludf.DUMMYFUNCTION("""COMPUTED_VALUE"""),"HTML/CSS")</f>
        <v>HTML/CSS</v>
      </c>
      <c r="D432" s="9" t="str">
        <f>IFERROR(__xludf.DUMMYFUNCTION("""COMPUTED_VALUE"""),"Java")</f>
        <v>Java</v>
      </c>
      <c r="E432" s="9" t="str">
        <f>IFERROR(__xludf.DUMMYFUNCTION("""COMPUTED_VALUE"""),"C#")</f>
        <v>C#</v>
      </c>
      <c r="F432" s="9" t="str">
        <f>IFERROR(__xludf.DUMMYFUNCTION("""COMPUTED_VALUE"""),"Bash/Shell/PowerShell")</f>
        <v>Bash/Shell/PowerShell</v>
      </c>
      <c r="G432" s="9" t="str">
        <f>IFERROR(__xludf.DUMMYFUNCTION("""COMPUTED_VALUE"""),"JavaScript")</f>
        <v>JavaScript</v>
      </c>
      <c r="H432" s="9" t="str">
        <f>IFERROR(__xludf.DUMMYFUNCTION("""COMPUTED_VALUE"""),"Python")</f>
        <v>Python</v>
      </c>
      <c r="I432" s="9" t="str">
        <f>IFERROR(__xludf.DUMMYFUNCTION("""COMPUTED_VALUE"""),"Java")</f>
        <v>Java</v>
      </c>
      <c r="J432" s="9" t="str">
        <f>IFERROR(__xludf.DUMMYFUNCTION("""COMPUTED_VALUE"""),"Ruby")</f>
        <v>Ruby</v>
      </c>
      <c r="K432" s="9" t="str">
        <f>IFERROR(__xludf.DUMMYFUNCTION("""COMPUTED_VALUE"""),"HTML/CSS")</f>
        <v>HTML/CSS</v>
      </c>
      <c r="L432" s="9" t="str">
        <f>IFERROR(__xludf.DUMMYFUNCTION("""COMPUTED_VALUE"""),"TypeScript")</f>
        <v>TypeScript</v>
      </c>
      <c r="M432" s="9" t="s">
        <v>24</v>
      </c>
    </row>
    <row r="433" ht="15.75" customHeight="1">
      <c r="A433" s="7"/>
      <c r="B433" s="7" t="str">
        <f>IFERROR(__xludf.DUMMYFUNCTION("""COMPUTED_VALUE"""),"Bash/Shell/PowerShell;C#;HTML/CSS;JavaScript;Python;SQL;Swift")</f>
        <v>Bash/Shell/PowerShell;C#;HTML/CSS;JavaScript;Python;SQL;Swift</v>
      </c>
      <c r="C433" s="9" t="str">
        <f>IFERROR(__xludf.DUMMYFUNCTION("""COMPUTED_VALUE"""),"JavaScript")</f>
        <v>JavaScript</v>
      </c>
      <c r="D433" s="9" t="str">
        <f>IFERROR(__xludf.DUMMYFUNCTION("""COMPUTED_VALUE"""),"JavaScript")</f>
        <v>JavaScript</v>
      </c>
      <c r="E433" s="9" t="str">
        <f>IFERROR(__xludf.DUMMYFUNCTION("""COMPUTED_VALUE"""),"Bash/Shell/PowerShell")</f>
        <v>Bash/Shell/PowerShell</v>
      </c>
      <c r="F433" s="9" t="str">
        <f>IFERROR(__xludf.DUMMYFUNCTION("""COMPUTED_VALUE"""),"Go")</f>
        <v>Go</v>
      </c>
      <c r="G433" s="9" t="str">
        <f>IFERROR(__xludf.DUMMYFUNCTION("""COMPUTED_VALUE"""),"PHP")</f>
        <v>PHP</v>
      </c>
      <c r="H433" s="9" t="str">
        <f>IFERROR(__xludf.DUMMYFUNCTION("""COMPUTED_VALUE"""),"R")</f>
        <v>R</v>
      </c>
      <c r="I433" s="9" t="str">
        <f>IFERROR(__xludf.DUMMYFUNCTION("""COMPUTED_VALUE"""),"Python")</f>
        <v>Python</v>
      </c>
      <c r="J433" s="9" t="str">
        <f>IFERROR(__xludf.DUMMYFUNCTION("""COMPUTED_VALUE"""),"C#")</f>
        <v>C#</v>
      </c>
      <c r="K433" s="9" t="str">
        <f>IFERROR(__xludf.DUMMYFUNCTION("""COMPUTED_VALUE"""),"Java")</f>
        <v>Java</v>
      </c>
      <c r="L433" s="9" t="str">
        <f>IFERROR(__xludf.DUMMYFUNCTION("""COMPUTED_VALUE"""),"HTML/CSS")</f>
        <v>HTML/CSS</v>
      </c>
      <c r="M433" s="9" t="s">
        <v>21</v>
      </c>
    </row>
    <row r="434" ht="15.75" customHeight="1">
      <c r="A434" s="7"/>
      <c r="B434" s="7" t="str">
        <f>IFERROR(__xludf.DUMMYFUNCTION("""COMPUTED_VALUE"""),"Bash/Shell/PowerShell;HTML/CSS;Java;JavaScript;PHP;Python;SQL")</f>
        <v>Bash/Shell/PowerShell;HTML/CSS;Java;JavaScript;PHP;Python;SQL</v>
      </c>
      <c r="C434" s="9" t="str">
        <f>IFERROR(__xludf.DUMMYFUNCTION("""COMPUTED_VALUE"""),"C")</f>
        <v>C</v>
      </c>
      <c r="D434" s="9" t="str">
        <f>IFERROR(__xludf.DUMMYFUNCTION("""COMPUTED_VALUE"""),"R")</f>
        <v>R</v>
      </c>
      <c r="E434" s="9" t="str">
        <f>IFERROR(__xludf.DUMMYFUNCTION("""COMPUTED_VALUE"""),"C")</f>
        <v>C</v>
      </c>
      <c r="F434" s="9" t="str">
        <f>IFERROR(__xludf.DUMMYFUNCTION("""COMPUTED_VALUE"""),"HTML/CSS")</f>
        <v>HTML/CSS</v>
      </c>
      <c r="G434" s="9" t="str">
        <f>IFERROR(__xludf.DUMMYFUNCTION("""COMPUTED_VALUE"""),"Python")</f>
        <v>Python</v>
      </c>
      <c r="H434" s="9" t="str">
        <f>IFERROR(__xludf.DUMMYFUNCTION("""COMPUTED_VALUE"""),"Scala")</f>
        <v>Scala</v>
      </c>
      <c r="I434" s="9" t="str">
        <f>IFERROR(__xludf.DUMMYFUNCTION("""COMPUTED_VALUE"""),"TypeScript")</f>
        <v>TypeScript</v>
      </c>
      <c r="J434" s="9" t="str">
        <f>IFERROR(__xludf.DUMMYFUNCTION("""COMPUTED_VALUE"""),"HTML/CSS")</f>
        <v>HTML/CSS</v>
      </c>
      <c r="K434" s="9" t="str">
        <f>IFERROR(__xludf.DUMMYFUNCTION("""COMPUTED_VALUE"""),"JavaScript")</f>
        <v>JavaScript</v>
      </c>
      <c r="L434" s="9" t="str">
        <f>IFERROR(__xludf.DUMMYFUNCTION("""COMPUTED_VALUE"""),"JavaScript")</f>
        <v>JavaScript</v>
      </c>
      <c r="M434" s="9" t="s">
        <v>25</v>
      </c>
    </row>
    <row r="435" ht="15.75" customHeight="1">
      <c r="A435" s="7"/>
      <c r="B435" s="7" t="str">
        <f>IFERROR(__xludf.DUMMYFUNCTION("""COMPUTED_VALUE"""),"Bash/Shell/PowerShell;C;C++;Go;HTML/CSS;JavaScript;R;SQL")</f>
        <v>Bash/Shell/PowerShell;C;C++;Go;HTML/CSS;JavaScript;R;SQL</v>
      </c>
      <c r="C435" s="9" t="str">
        <f>IFERROR(__xludf.DUMMYFUNCTION("""COMPUTED_VALUE"""),"C++")</f>
        <v>C++</v>
      </c>
      <c r="D435" s="9" t="str">
        <f>IFERROR(__xludf.DUMMYFUNCTION("""COMPUTED_VALUE"""),"Ruby")</f>
        <v>Ruby</v>
      </c>
      <c r="E435" s="9" t="str">
        <f>IFERROR(__xludf.DUMMYFUNCTION("""COMPUTED_VALUE"""),"Java")</f>
        <v>Java</v>
      </c>
      <c r="F435" s="9" t="str">
        <f>IFERROR(__xludf.DUMMYFUNCTION("""COMPUTED_VALUE"""),"JavaScript")</f>
        <v>JavaScript</v>
      </c>
      <c r="G435" s="9" t="str">
        <f>IFERROR(__xludf.DUMMYFUNCTION("""COMPUTED_VALUE"""),"SQL")</f>
        <v>SQL</v>
      </c>
      <c r="H435" s="9" t="str">
        <f>IFERROR(__xludf.DUMMYFUNCTION("""COMPUTED_VALUE"""),"SQL")</f>
        <v>SQL</v>
      </c>
      <c r="I435" s="9" t="str">
        <f>IFERROR(__xludf.DUMMYFUNCTION("""COMPUTED_VALUE"""),"Bash/Shell/PowerShell")</f>
        <v>Bash/Shell/PowerShell</v>
      </c>
      <c r="J435" s="9" t="str">
        <f>IFERROR(__xludf.DUMMYFUNCTION("""COMPUTED_VALUE"""),"JavaScript")</f>
        <v>JavaScript</v>
      </c>
      <c r="K435" s="9" t="str">
        <f>IFERROR(__xludf.DUMMYFUNCTION("""COMPUTED_VALUE"""),"PHP")</f>
        <v>PHP</v>
      </c>
      <c r="L435" s="9" t="str">
        <f>IFERROR(__xludf.DUMMYFUNCTION("""COMPUTED_VALUE"""),"Ruby")</f>
        <v>Ruby</v>
      </c>
      <c r="M435" s="9" t="s">
        <v>23</v>
      </c>
    </row>
    <row r="436" ht="15.75" customHeight="1">
      <c r="A436" s="7"/>
      <c r="B436" s="7" t="str">
        <f>IFERROR(__xludf.DUMMYFUNCTION("""COMPUTED_VALUE"""),"Bash/Shell/PowerShell;C#;HTML/CSS;Java;JavaScript;PHP;Python;SQL;TypeScript")</f>
        <v>Bash/Shell/PowerShell;C#;HTML/CSS;Java;JavaScript;PHP;Python;SQL;TypeScript</v>
      </c>
      <c r="C436" s="9" t="str">
        <f>IFERROR(__xludf.DUMMYFUNCTION("""COMPUTED_VALUE"""),"C#")</f>
        <v>C#</v>
      </c>
      <c r="D436" s="9" t="str">
        <f>IFERROR(__xludf.DUMMYFUNCTION("""COMPUTED_VALUE"""),"SQL")</f>
        <v>SQL</v>
      </c>
      <c r="E436" s="9" t="str">
        <f>IFERROR(__xludf.DUMMYFUNCTION("""COMPUTED_VALUE"""),"Python")</f>
        <v>Python</v>
      </c>
      <c r="F436" s="9" t="str">
        <f>IFERROR(__xludf.DUMMYFUNCTION("""COMPUTED_VALUE"""),"Python")</f>
        <v>Python</v>
      </c>
      <c r="G436" s="9" t="str">
        <f>IFERROR(__xludf.DUMMYFUNCTION("""COMPUTED_VALUE"""),"C++")</f>
        <v>C++</v>
      </c>
      <c r="H436" s="9" t="str">
        <f>IFERROR(__xludf.DUMMYFUNCTION("""COMPUTED_VALUE"""),"Bash/Shell/PowerShell")</f>
        <v>Bash/Shell/PowerShell</v>
      </c>
      <c r="I436" s="9" t="str">
        <f>IFERROR(__xludf.DUMMYFUNCTION("""COMPUTED_VALUE"""),"HTML/CSS")</f>
        <v>HTML/CSS</v>
      </c>
      <c r="J436" s="9" t="str">
        <f>IFERROR(__xludf.DUMMYFUNCTION("""COMPUTED_VALUE"""),"C")</f>
        <v>C</v>
      </c>
      <c r="K436" s="9" t="str">
        <f>IFERROR(__xludf.DUMMYFUNCTION("""COMPUTED_VALUE"""),"SQL")</f>
        <v>SQL</v>
      </c>
      <c r="L436" s="9" t="str">
        <f>IFERROR(__xludf.DUMMYFUNCTION("""COMPUTED_VALUE"""),"SQL")</f>
        <v>SQL</v>
      </c>
      <c r="M436" s="9" t="s">
        <v>26</v>
      </c>
    </row>
    <row r="437" ht="15.75" customHeight="1">
      <c r="A437" s="7"/>
      <c r="B437" s="7" t="str">
        <f>IFERROR(__xludf.DUMMYFUNCTION("""COMPUTED_VALUE"""),"Bash/Shell/PowerShell;C++;HTML/CSS;Java;PHP;SQL")</f>
        <v>Bash/Shell/PowerShell;C++;HTML/CSS;Java;PHP;SQL</v>
      </c>
      <c r="C437" s="9" t="str">
        <f>IFERROR(__xludf.DUMMYFUNCTION("""COMPUTED_VALUE"""),"Java")</f>
        <v>Java</v>
      </c>
      <c r="D437" s="9" t="str">
        <f>IFERROR(__xludf.DUMMYFUNCTION("""COMPUTED_VALUE"""),"TypeScript")</f>
        <v>TypeScript</v>
      </c>
      <c r="E437" s="9" t="str">
        <f>IFERROR(__xludf.DUMMYFUNCTION("""COMPUTED_VALUE"""),"JavaScript")</f>
        <v>JavaScript</v>
      </c>
      <c r="F437" s="9" t="str">
        <f>IFERROR(__xludf.DUMMYFUNCTION("""COMPUTED_VALUE"""),"Rust")</f>
        <v>Rust</v>
      </c>
      <c r="G437" s="9" t="str">
        <f>IFERROR(__xludf.DUMMYFUNCTION("""COMPUTED_VALUE"""),"Python")</f>
        <v>Python</v>
      </c>
      <c r="H437" s="9" t="str">
        <f>IFERROR(__xludf.DUMMYFUNCTION("""COMPUTED_VALUE"""),"C#")</f>
        <v>C#</v>
      </c>
      <c r="I437" s="9" t="str">
        <f>IFERROR(__xludf.DUMMYFUNCTION("""COMPUTED_VALUE"""),"JavaScript")</f>
        <v>JavaScript</v>
      </c>
      <c r="J437" s="9" t="str">
        <f>IFERROR(__xludf.DUMMYFUNCTION("""COMPUTED_VALUE"""),"C++")</f>
        <v>C++</v>
      </c>
      <c r="K437" s="9" t="str">
        <f>IFERROR(__xludf.DUMMYFUNCTION("""COMPUTED_VALUE"""),"TypeScript")</f>
        <v>TypeScript</v>
      </c>
      <c r="L437" s="9" t="str">
        <f>IFERROR(__xludf.DUMMYFUNCTION("""COMPUTED_VALUE"""),"Bash/Shell/PowerShell")</f>
        <v>Bash/Shell/PowerShell</v>
      </c>
      <c r="M437" s="9" t="s">
        <v>20</v>
      </c>
    </row>
    <row r="438" ht="15.75" customHeight="1">
      <c r="A438" s="7"/>
      <c r="B438" s="7" t="str">
        <f>IFERROR(__xludf.DUMMYFUNCTION("""COMPUTED_VALUE"""),"C#;HTML/CSS;Java;JavaScript;PHP")</f>
        <v>C#;HTML/CSS;Java;JavaScript;PHP</v>
      </c>
      <c r="C438" s="9" t="str">
        <f>IFERROR(__xludf.DUMMYFUNCTION("""COMPUTED_VALUE"""),"Kotlin")</f>
        <v>Kotlin</v>
      </c>
      <c r="D438" s="9" t="str">
        <f>IFERROR(__xludf.DUMMYFUNCTION("""COMPUTED_VALUE"""),"C++")</f>
        <v>C++</v>
      </c>
      <c r="E438" s="9" t="str">
        <f>IFERROR(__xludf.DUMMYFUNCTION("""COMPUTED_VALUE"""),"Python")</f>
        <v>Python</v>
      </c>
      <c r="F438" s="9" t="str">
        <f>IFERROR(__xludf.DUMMYFUNCTION("""COMPUTED_VALUE"""),"SQL")</f>
        <v>SQL</v>
      </c>
      <c r="G438" s="9" t="str">
        <f>IFERROR(__xludf.DUMMYFUNCTION("""COMPUTED_VALUE"""),"HTML/CSS")</f>
        <v>HTML/CSS</v>
      </c>
      <c r="H438" s="9" t="str">
        <f>IFERROR(__xludf.DUMMYFUNCTION("""COMPUTED_VALUE"""),"HTML/CSS")</f>
        <v>HTML/CSS</v>
      </c>
      <c r="I438" s="9" t="str">
        <f>IFERROR(__xludf.DUMMYFUNCTION("""COMPUTED_VALUE"""),"PHP")</f>
        <v>PHP</v>
      </c>
      <c r="J438" s="9" t="str">
        <f>IFERROR(__xludf.DUMMYFUNCTION("""COMPUTED_VALUE"""),"JavaScript")</f>
        <v>JavaScript</v>
      </c>
      <c r="K438" s="9" t="str">
        <f>IFERROR(__xludf.DUMMYFUNCTION("""COMPUTED_VALUE"""),"Java")</f>
        <v>Java</v>
      </c>
      <c r="L438" s="9" t="str">
        <f>IFERROR(__xludf.DUMMYFUNCTION("""COMPUTED_VALUE"""),"HTML/CSS")</f>
        <v>HTML/CSS</v>
      </c>
      <c r="M438" s="9" t="s">
        <v>39</v>
      </c>
    </row>
    <row r="439" ht="15.75" customHeight="1">
      <c r="A439" s="7"/>
      <c r="B439" s="7" t="str">
        <f>IFERROR(__xludf.DUMMYFUNCTION("""COMPUTED_VALUE"""),"HTML/CSS;JavaScript")</f>
        <v>HTML/CSS;JavaScript</v>
      </c>
      <c r="C439" s="9" t="str">
        <f>IFERROR(__xludf.DUMMYFUNCTION("""COMPUTED_VALUE"""),"PHP")</f>
        <v>PHP</v>
      </c>
      <c r="D439" s="9" t="str">
        <f>IFERROR(__xludf.DUMMYFUNCTION("""COMPUTED_VALUE"""),"C#")</f>
        <v>C#</v>
      </c>
      <c r="E439" s="9" t="str">
        <f>IFERROR(__xludf.DUMMYFUNCTION("""COMPUTED_VALUE"""),"HTML/CSS")</f>
        <v>HTML/CSS</v>
      </c>
      <c r="F439" s="9" t="str">
        <f>IFERROR(__xludf.DUMMYFUNCTION("""COMPUTED_VALUE"""),"Python")</f>
        <v>Python</v>
      </c>
      <c r="G439" s="9" t="str">
        <f>IFERROR(__xludf.DUMMYFUNCTION("""COMPUTED_VALUE"""),"Java")</f>
        <v>Java</v>
      </c>
      <c r="H439" s="9" t="str">
        <f>IFERROR(__xludf.DUMMYFUNCTION("""COMPUTED_VALUE"""),"Java")</f>
        <v>Java</v>
      </c>
      <c r="I439" s="9" t="str">
        <f>IFERROR(__xludf.DUMMYFUNCTION("""COMPUTED_VALUE"""),"SQL")</f>
        <v>SQL</v>
      </c>
      <c r="J439" s="9" t="str">
        <f>IFERROR(__xludf.DUMMYFUNCTION("""COMPUTED_VALUE"""),"Python")</f>
        <v>Python</v>
      </c>
      <c r="K439" s="9" t="str">
        <f>IFERROR(__xludf.DUMMYFUNCTION("""COMPUTED_VALUE"""),"JavaScript")</f>
        <v>JavaScript</v>
      </c>
      <c r="L439" s="9" t="str">
        <f>IFERROR(__xludf.DUMMYFUNCTION("""COMPUTED_VALUE"""),"JavaScript")</f>
        <v>JavaScript</v>
      </c>
      <c r="M439" s="9" t="s">
        <v>37</v>
      </c>
    </row>
    <row r="440" ht="15.75" customHeight="1">
      <c r="A440" s="7"/>
      <c r="B440" s="7" t="str">
        <f>IFERROR(__xludf.DUMMYFUNCTION("""COMPUTED_VALUE"""),"HTML/CSS;JavaScript;TypeScript")</f>
        <v>HTML/CSS;JavaScript;TypeScript</v>
      </c>
      <c r="C440" s="9" t="str">
        <f>IFERROR(__xludf.DUMMYFUNCTION("""COMPUTED_VALUE"""),"SQL")</f>
        <v>SQL</v>
      </c>
      <c r="D440" s="9" t="str">
        <f>IFERROR(__xludf.DUMMYFUNCTION("""COMPUTED_VALUE"""),"Java")</f>
        <v>Java</v>
      </c>
      <c r="E440" s="9" t="str">
        <f>IFERROR(__xludf.DUMMYFUNCTION("""COMPUTED_VALUE"""),"JavaScript")</f>
        <v>JavaScript</v>
      </c>
      <c r="F440" s="9" t="str">
        <f>IFERROR(__xludf.DUMMYFUNCTION("""COMPUTED_VALUE"""),"R")</f>
        <v>R</v>
      </c>
      <c r="G440" s="9" t="str">
        <f>IFERROR(__xludf.DUMMYFUNCTION("""COMPUTED_VALUE"""),"JavaScript")</f>
        <v>JavaScript</v>
      </c>
      <c r="H440" s="9" t="str">
        <f>IFERROR(__xludf.DUMMYFUNCTION("""COMPUTED_VALUE"""),"JavaScript")</f>
        <v>JavaScript</v>
      </c>
      <c r="I440" s="9" t="str">
        <f>IFERROR(__xludf.DUMMYFUNCTION("""COMPUTED_VALUE"""),"Bash/Shell/PowerShell")</f>
        <v>Bash/Shell/PowerShell</v>
      </c>
      <c r="J440" s="9" t="str">
        <f>IFERROR(__xludf.DUMMYFUNCTION("""COMPUTED_VALUE"""),"TypeScript")</f>
        <v>TypeScript</v>
      </c>
      <c r="K440" s="9" t="str">
        <f>IFERROR(__xludf.DUMMYFUNCTION("""COMPUTED_VALUE"""),"Ruby")</f>
        <v>Ruby</v>
      </c>
      <c r="L440" s="9" t="str">
        <f>IFERROR(__xludf.DUMMYFUNCTION("""COMPUTED_VALUE"""),"PHP")</f>
        <v>PHP</v>
      </c>
      <c r="M440" s="9" t="s">
        <v>27</v>
      </c>
    </row>
    <row r="441" ht="15.75" customHeight="1">
      <c r="A441" s="7"/>
      <c r="B441" s="7" t="str">
        <f>IFERROR(__xludf.DUMMYFUNCTION("""COMPUTED_VALUE"""),"Bash/Shell/PowerShell;C;C++;HTML/CSS;Python")</f>
        <v>Bash/Shell/PowerShell;C;C++;HTML/CSS;Python</v>
      </c>
      <c r="C441" s="9" t="str">
        <f>IFERROR(__xludf.DUMMYFUNCTION("""COMPUTED_VALUE"""),"Bash/Shell/PowerShell")</f>
        <v>Bash/Shell/PowerShell</v>
      </c>
      <c r="D441" s="9" t="str">
        <f>IFERROR(__xludf.DUMMYFUNCTION("""COMPUTED_VALUE"""),"SQL")</f>
        <v>SQL</v>
      </c>
      <c r="E441" s="9" t="str">
        <f>IFERROR(__xludf.DUMMYFUNCTION("""COMPUTED_VALUE"""),"PHP")</f>
        <v>PHP</v>
      </c>
      <c r="F441" s="9" t="str">
        <f>IFERROR(__xludf.DUMMYFUNCTION("""COMPUTED_VALUE"""),"SQL")</f>
        <v>SQL</v>
      </c>
      <c r="G441" s="9" t="str">
        <f>IFERROR(__xludf.DUMMYFUNCTION("""COMPUTED_VALUE"""),"SQL")</f>
        <v>SQL</v>
      </c>
      <c r="H441" s="9" t="str">
        <f>IFERROR(__xludf.DUMMYFUNCTION("""COMPUTED_VALUE"""),"PHP")</f>
        <v>PHP</v>
      </c>
      <c r="I441" s="9" t="str">
        <f>IFERROR(__xludf.DUMMYFUNCTION("""COMPUTED_VALUE"""),"Go")</f>
        <v>Go</v>
      </c>
      <c r="J441" s="9" t="str">
        <f>IFERROR(__xludf.DUMMYFUNCTION("""COMPUTED_VALUE"""),"C#")</f>
        <v>C#</v>
      </c>
      <c r="K441" s="9" t="str">
        <f>IFERROR(__xludf.DUMMYFUNCTION("""COMPUTED_VALUE"""),"SQL")</f>
        <v>SQL</v>
      </c>
      <c r="L441" s="9" t="str">
        <f>IFERROR(__xludf.DUMMYFUNCTION("""COMPUTED_VALUE"""),"SQL")</f>
        <v>SQL</v>
      </c>
      <c r="M441" s="9" t="s">
        <v>30</v>
      </c>
    </row>
    <row r="442" ht="15.75" customHeight="1">
      <c r="A442" s="7"/>
      <c r="B442" s="7" t="str">
        <f>IFERROR(__xludf.DUMMYFUNCTION("""COMPUTED_VALUE"""),"C#;SQL")</f>
        <v>C#;SQL</v>
      </c>
      <c r="C442" s="9" t="str">
        <f>IFERROR(__xludf.DUMMYFUNCTION("""COMPUTED_VALUE"""),"HTML/CSS")</f>
        <v>HTML/CSS</v>
      </c>
      <c r="D442" s="9" t="str">
        <f>IFERROR(__xludf.DUMMYFUNCTION("""COMPUTED_VALUE"""),"HTML/CSS")</f>
        <v>HTML/CSS</v>
      </c>
      <c r="E442" s="9" t="str">
        <f>IFERROR(__xludf.DUMMYFUNCTION("""COMPUTED_VALUE"""),"SQL")</f>
        <v>SQL</v>
      </c>
      <c r="F442" s="9" t="str">
        <f>IFERROR(__xludf.DUMMYFUNCTION("""COMPUTED_VALUE"""),"Bash/Shell/PowerShell")</f>
        <v>Bash/Shell/PowerShell</v>
      </c>
      <c r="G442" s="9" t="str">
        <f>IFERROR(__xludf.DUMMYFUNCTION("""COMPUTED_VALUE"""),"C#")</f>
        <v>C#</v>
      </c>
      <c r="H442" s="9" t="str">
        <f>IFERROR(__xludf.DUMMYFUNCTION("""COMPUTED_VALUE"""),"SQL")</f>
        <v>SQL</v>
      </c>
      <c r="I442" s="9" t="str">
        <f>IFERROR(__xludf.DUMMYFUNCTION("""COMPUTED_VALUE"""),"HTML/CSS")</f>
        <v>HTML/CSS</v>
      </c>
      <c r="J442" s="9" t="str">
        <f>IFERROR(__xludf.DUMMYFUNCTION("""COMPUTED_VALUE"""),"HTML/CSS")</f>
        <v>HTML/CSS</v>
      </c>
      <c r="K442" s="9" t="str">
        <f>IFERROR(__xludf.DUMMYFUNCTION("""COMPUTED_VALUE"""),"TypeScript")</f>
        <v>TypeScript</v>
      </c>
      <c r="L442" s="9" t="str">
        <f>IFERROR(__xludf.DUMMYFUNCTION("""COMPUTED_VALUE"""),"HTML/CSS")</f>
        <v>HTML/CSS</v>
      </c>
      <c r="M442" s="9" t="s">
        <v>24</v>
      </c>
    </row>
    <row r="443" ht="15.75" customHeight="1">
      <c r="A443" s="7"/>
      <c r="B443" s="7" t="str">
        <f>IFERROR(__xludf.DUMMYFUNCTION("""COMPUTED_VALUE"""),"Bash/Shell/PowerShell;HTML/CSS;Java;JavaScript;Python")</f>
        <v>Bash/Shell/PowerShell;HTML/CSS;Java;JavaScript;Python</v>
      </c>
      <c r="C443" s="9" t="str">
        <f>IFERROR(__xludf.DUMMYFUNCTION("""COMPUTED_VALUE"""),"JavaScript")</f>
        <v>JavaScript</v>
      </c>
      <c r="D443" s="9" t="str">
        <f>IFERROR(__xludf.DUMMYFUNCTION("""COMPUTED_VALUE"""),"JavaScript")</f>
        <v>JavaScript</v>
      </c>
      <c r="E443" s="9" t="str">
        <f>IFERROR(__xludf.DUMMYFUNCTION("""COMPUTED_VALUE"""),"Assembly")</f>
        <v>Assembly</v>
      </c>
      <c r="F443" s="9" t="str">
        <f>IFERROR(__xludf.DUMMYFUNCTION("""COMPUTED_VALUE"""),"HTML/CSS")</f>
        <v>HTML/CSS</v>
      </c>
      <c r="G443" s="9" t="str">
        <f>IFERROR(__xludf.DUMMYFUNCTION("""COMPUTED_VALUE"""),"HTML/CSS")</f>
        <v>HTML/CSS</v>
      </c>
      <c r="H443" s="9" t="str">
        <f>IFERROR(__xludf.DUMMYFUNCTION("""COMPUTED_VALUE"""),"TypeScript")</f>
        <v>TypeScript</v>
      </c>
      <c r="I443" s="9" t="str">
        <f>IFERROR(__xludf.DUMMYFUNCTION("""COMPUTED_VALUE"""),"Java")</f>
        <v>Java</v>
      </c>
      <c r="J443" s="9" t="str">
        <f>IFERROR(__xludf.DUMMYFUNCTION("""COMPUTED_VALUE"""),"Java")</f>
        <v>Java</v>
      </c>
      <c r="K443" s="9" t="str">
        <f>IFERROR(__xludf.DUMMYFUNCTION("""COMPUTED_VALUE"""),"C++")</f>
        <v>C++</v>
      </c>
      <c r="L443" s="9" t="str">
        <f>IFERROR(__xludf.DUMMYFUNCTION("""COMPUTED_VALUE"""),"JavaScript")</f>
        <v>JavaScript</v>
      </c>
      <c r="M443" s="9" t="s">
        <v>21</v>
      </c>
    </row>
    <row r="444" ht="15.75" customHeight="1">
      <c r="A444" s="7"/>
      <c r="B444" s="7" t="str">
        <f>IFERROR(__xludf.DUMMYFUNCTION("""COMPUTED_VALUE"""),"Bash/Shell/PowerShell;Java;Python")</f>
        <v>Bash/Shell/PowerShell;Java;Python</v>
      </c>
      <c r="C444" s="9" t="str">
        <f>IFERROR(__xludf.DUMMYFUNCTION("""COMPUTED_VALUE"""),"PHP")</f>
        <v>PHP</v>
      </c>
      <c r="D444" s="9" t="str">
        <f>IFERROR(__xludf.DUMMYFUNCTION("""COMPUTED_VALUE"""),"PHP")</f>
        <v>PHP</v>
      </c>
      <c r="E444" s="9" t="str">
        <f>IFERROR(__xludf.DUMMYFUNCTION("""COMPUTED_VALUE"""),"Bash/Shell/PowerShell")</f>
        <v>Bash/Shell/PowerShell</v>
      </c>
      <c r="F444" s="9" t="str">
        <f>IFERROR(__xludf.DUMMYFUNCTION("""COMPUTED_VALUE"""),"JavaScript")</f>
        <v>JavaScript</v>
      </c>
      <c r="G444" s="9" t="str">
        <f>IFERROR(__xludf.DUMMYFUNCTION("""COMPUTED_VALUE"""),"JavaScript")</f>
        <v>JavaScript</v>
      </c>
      <c r="H444" s="9" t="str">
        <f>IFERROR(__xludf.DUMMYFUNCTION("""COMPUTED_VALUE"""),"Java")</f>
        <v>Java</v>
      </c>
      <c r="I444" s="9" t="str">
        <f>IFERROR(__xludf.DUMMYFUNCTION("""COMPUTED_VALUE"""),"JavaScript")</f>
        <v>JavaScript</v>
      </c>
      <c r="J444" s="9" t="str">
        <f>IFERROR(__xludf.DUMMYFUNCTION("""COMPUTED_VALUE"""),"JavaScript")</f>
        <v>JavaScript</v>
      </c>
      <c r="K444" s="9" t="str">
        <f>IFERROR(__xludf.DUMMYFUNCTION("""COMPUTED_VALUE"""),"HTML/CSS")</f>
        <v>HTML/CSS</v>
      </c>
      <c r="L444" s="9" t="str">
        <f>IFERROR(__xludf.DUMMYFUNCTION("""COMPUTED_VALUE"""),"PHP")</f>
        <v>PHP</v>
      </c>
      <c r="M444" s="9" t="s">
        <v>37</v>
      </c>
    </row>
    <row r="445" ht="15.75" customHeight="1">
      <c r="A445" s="7"/>
      <c r="B445" s="7" t="str">
        <f>IFERROR(__xludf.DUMMYFUNCTION("""COMPUTED_VALUE"""),"Bash/Shell/PowerShell;Java;SQL;Other(s):")</f>
        <v>Bash/Shell/PowerShell;Java;SQL;Other(s):</v>
      </c>
      <c r="C445" s="9" t="str">
        <f>IFERROR(__xludf.DUMMYFUNCTION("""COMPUTED_VALUE"""),"Python")</f>
        <v>Python</v>
      </c>
      <c r="D445" s="9" t="str">
        <f>IFERROR(__xludf.DUMMYFUNCTION("""COMPUTED_VALUE"""),"SQL")</f>
        <v>SQL</v>
      </c>
      <c r="E445" s="9" t="str">
        <f>IFERROR(__xludf.DUMMYFUNCTION("""COMPUTED_VALUE"""),"C")</f>
        <v>C</v>
      </c>
      <c r="F445" s="9" t="str">
        <f>IFERROR(__xludf.DUMMYFUNCTION("""COMPUTED_VALUE"""),"PHP")</f>
        <v>PHP</v>
      </c>
      <c r="G445" s="9" t="str">
        <f>IFERROR(__xludf.DUMMYFUNCTION("""COMPUTED_VALUE"""),"SQL")</f>
        <v>SQL</v>
      </c>
      <c r="H445" s="9" t="str">
        <f>IFERROR(__xludf.DUMMYFUNCTION("""COMPUTED_VALUE"""),"JavaScript")</f>
        <v>JavaScript</v>
      </c>
      <c r="I445" s="9" t="str">
        <f>IFERROR(__xludf.DUMMYFUNCTION("""COMPUTED_VALUE"""),"Objective-C")</f>
        <v>Objective-C</v>
      </c>
      <c r="J445" s="9" t="str">
        <f>IFERROR(__xludf.DUMMYFUNCTION("""COMPUTED_VALUE"""),"SQL")</f>
        <v>SQL</v>
      </c>
      <c r="K445" s="9" t="str">
        <f>IFERROR(__xludf.DUMMYFUNCTION("""COMPUTED_VALUE"""),"Java")</f>
        <v>Java</v>
      </c>
      <c r="L445" s="9" t="str">
        <f>IFERROR(__xludf.DUMMYFUNCTION("""COMPUTED_VALUE"""),"SQL")</f>
        <v>SQL</v>
      </c>
      <c r="M445" s="9" t="s">
        <v>22</v>
      </c>
    </row>
    <row r="446" ht="15.75" customHeight="1">
      <c r="A446" s="7"/>
      <c r="B446" s="7" t="str">
        <f>IFERROR(__xludf.DUMMYFUNCTION("""COMPUTED_VALUE"""),"Bash/Shell/PowerShell;C#;HTML/CSS;Java;JavaScript;TypeScript;Other(s):")</f>
        <v>Bash/Shell/PowerShell;C#;HTML/CSS;Java;JavaScript;TypeScript;Other(s):</v>
      </c>
      <c r="C446" s="9" t="str">
        <f>IFERROR(__xludf.DUMMYFUNCTION("""COMPUTED_VALUE"""),"SQL")</f>
        <v>SQL</v>
      </c>
      <c r="D446" s="9" t="str">
        <f>IFERROR(__xludf.DUMMYFUNCTION("""COMPUTED_VALUE"""),"HTML/CSS")</f>
        <v>HTML/CSS</v>
      </c>
      <c r="E446" s="9" t="str">
        <f>IFERROR(__xludf.DUMMYFUNCTION("""COMPUTED_VALUE"""),"C++")</f>
        <v>C++</v>
      </c>
      <c r="F446" s="9" t="str">
        <f>IFERROR(__xludf.DUMMYFUNCTION("""COMPUTED_VALUE"""),"Python")</f>
        <v>Python</v>
      </c>
      <c r="G446" s="9" t="str">
        <f>IFERROR(__xludf.DUMMYFUNCTION("""COMPUTED_VALUE"""),"Bash/Shell/PowerShell")</f>
        <v>Bash/Shell/PowerShell</v>
      </c>
      <c r="H446" s="9" t="str">
        <f>IFERROR(__xludf.DUMMYFUNCTION("""COMPUTED_VALUE"""),"Bash/Shell/PowerShell")</f>
        <v>Bash/Shell/PowerShell</v>
      </c>
      <c r="I446" s="9" t="str">
        <f>IFERROR(__xludf.DUMMYFUNCTION("""COMPUTED_VALUE"""),"PHP")</f>
        <v>PHP</v>
      </c>
      <c r="J446" s="9" t="str">
        <f>IFERROR(__xludf.DUMMYFUNCTION("""COMPUTED_VALUE"""),"Bash/Shell/PowerShell")</f>
        <v>Bash/Shell/PowerShell</v>
      </c>
      <c r="K446" s="9" t="str">
        <f>IFERROR(__xludf.DUMMYFUNCTION("""COMPUTED_VALUE"""),"JavaScript")</f>
        <v>JavaScript</v>
      </c>
      <c r="L446" s="9" t="str">
        <f>IFERROR(__xludf.DUMMYFUNCTION("""COMPUTED_VALUE"""),"Go")</f>
        <v>Go</v>
      </c>
      <c r="M446" s="9" t="s">
        <v>27</v>
      </c>
    </row>
    <row r="447" ht="15.75" customHeight="1">
      <c r="A447" s="7"/>
      <c r="B447" s="7" t="str">
        <f>IFERROR(__xludf.DUMMYFUNCTION("""COMPUTED_VALUE"""),"C#;HTML/CSS;JavaScript;TypeScript")</f>
        <v>C#;HTML/CSS;JavaScript;TypeScript</v>
      </c>
      <c r="C447" s="9" t="str">
        <f>IFERROR(__xludf.DUMMYFUNCTION("""COMPUTED_VALUE"""),"TypeScript")</f>
        <v>TypeScript</v>
      </c>
      <c r="D447" s="9" t="str">
        <f>IFERROR(__xludf.DUMMYFUNCTION("""COMPUTED_VALUE"""),"JavaScript")</f>
        <v>JavaScript</v>
      </c>
      <c r="E447" s="9" t="str">
        <f>IFERROR(__xludf.DUMMYFUNCTION("""COMPUTED_VALUE"""),"HTML/CSS")</f>
        <v>HTML/CSS</v>
      </c>
      <c r="F447" s="9" t="str">
        <f>IFERROR(__xludf.DUMMYFUNCTION("""COMPUTED_VALUE"""),"SQL")</f>
        <v>SQL</v>
      </c>
      <c r="G447" s="9" t="str">
        <f>IFERROR(__xludf.DUMMYFUNCTION("""COMPUTED_VALUE"""),"C")</f>
        <v>C</v>
      </c>
      <c r="H447" s="9" t="str">
        <f>IFERROR(__xludf.DUMMYFUNCTION("""COMPUTED_VALUE"""),"C")</f>
        <v>C</v>
      </c>
      <c r="I447" s="9" t="str">
        <f>IFERROR(__xludf.DUMMYFUNCTION("""COMPUTED_VALUE"""),"Ruby")</f>
        <v>Ruby</v>
      </c>
      <c r="J447" s="9" t="str">
        <f>IFERROR(__xludf.DUMMYFUNCTION("""COMPUTED_VALUE"""),"Dart")</f>
        <v>Dart</v>
      </c>
      <c r="K447" s="9" t="str">
        <f>IFERROR(__xludf.DUMMYFUNCTION("""COMPUTED_VALUE"""),"TypeScript")</f>
        <v>TypeScript</v>
      </c>
      <c r="L447" s="9" t="str">
        <f>IFERROR(__xludf.DUMMYFUNCTION("""COMPUTED_VALUE"""),"HTML/CSS")</f>
        <v>HTML/CSS</v>
      </c>
      <c r="M447" s="9" t="s">
        <v>33</v>
      </c>
    </row>
    <row r="448" ht="15.75" customHeight="1">
      <c r="A448" s="7"/>
      <c r="B448" s="7" t="str">
        <f>IFERROR(__xludf.DUMMYFUNCTION("""COMPUTED_VALUE"""),"Bash/Shell/PowerShell;C;C++;C#;Java;Python;Rust")</f>
        <v>Bash/Shell/PowerShell;C;C++;C#;Java;Python;Rust</v>
      </c>
      <c r="C448" s="9" t="str">
        <f>IFERROR(__xludf.DUMMYFUNCTION("""COMPUTED_VALUE"""),"Bash/Shell/PowerShell")</f>
        <v>Bash/Shell/PowerShell</v>
      </c>
      <c r="D448" s="9" t="str">
        <f>IFERROR(__xludf.DUMMYFUNCTION("""COMPUTED_VALUE"""),"PHP")</f>
        <v>PHP</v>
      </c>
      <c r="E448" s="9" t="str">
        <f>IFERROR(__xludf.DUMMYFUNCTION("""COMPUTED_VALUE"""),"Java")</f>
        <v>Java</v>
      </c>
      <c r="F448" s="9" t="str">
        <f>IFERROR(__xludf.DUMMYFUNCTION("""COMPUTED_VALUE"""),"Bash/Shell/PowerShell")</f>
        <v>Bash/Shell/PowerShell</v>
      </c>
      <c r="G448" s="9" t="str">
        <f>IFERROR(__xludf.DUMMYFUNCTION("""COMPUTED_VALUE"""),"C++")</f>
        <v>C++</v>
      </c>
      <c r="H448" s="9" t="str">
        <f>IFERROR(__xludf.DUMMYFUNCTION("""COMPUTED_VALUE"""),"C++")</f>
        <v>C++</v>
      </c>
      <c r="I448" s="9" t="str">
        <f>IFERROR(__xludf.DUMMYFUNCTION("""COMPUTED_VALUE"""),"SQL")</f>
        <v>SQL</v>
      </c>
      <c r="J448" s="9" t="str">
        <f>IFERROR(__xludf.DUMMYFUNCTION("""COMPUTED_VALUE"""),"Go")</f>
        <v>Go</v>
      </c>
      <c r="K448" s="9" t="str">
        <f>IFERROR(__xludf.DUMMYFUNCTION("""COMPUTED_VALUE"""),"C")</f>
        <v>C</v>
      </c>
      <c r="L448" s="9" t="str">
        <f>IFERROR(__xludf.DUMMYFUNCTION("""COMPUTED_VALUE"""),"JavaScript")</f>
        <v>JavaScript</v>
      </c>
      <c r="M448" s="9" t="s">
        <v>30</v>
      </c>
    </row>
    <row r="449" ht="15.75" customHeight="1">
      <c r="A449" s="7"/>
      <c r="B449" s="7" t="str">
        <f>IFERROR(__xludf.DUMMYFUNCTION("""COMPUTED_VALUE"""),"SQL;VBA")</f>
        <v>SQL;VBA</v>
      </c>
      <c r="C449" s="9" t="str">
        <f>IFERROR(__xludf.DUMMYFUNCTION("""COMPUTED_VALUE"""),"C#")</f>
        <v>C#</v>
      </c>
      <c r="D449" s="9" t="str">
        <f>IFERROR(__xludf.DUMMYFUNCTION("""COMPUTED_VALUE"""),"SQL")</f>
        <v>SQL</v>
      </c>
      <c r="E449" s="9" t="str">
        <f>IFERROR(__xludf.DUMMYFUNCTION("""COMPUTED_VALUE"""),"JavaScript")</f>
        <v>JavaScript</v>
      </c>
      <c r="F449" s="9" t="str">
        <f>IFERROR(__xludf.DUMMYFUNCTION("""COMPUTED_VALUE"""),"C++")</f>
        <v>C++</v>
      </c>
      <c r="G449" s="9" t="str">
        <f>IFERROR(__xludf.DUMMYFUNCTION("""COMPUTED_VALUE"""),"Java")</f>
        <v>Java</v>
      </c>
      <c r="H449" s="9" t="str">
        <f>IFERROR(__xludf.DUMMYFUNCTION("""COMPUTED_VALUE"""),"Go")</f>
        <v>Go</v>
      </c>
      <c r="I449" s="9" t="str">
        <f>IFERROR(__xludf.DUMMYFUNCTION("""COMPUTED_VALUE"""),"HTML/CSS")</f>
        <v>HTML/CSS</v>
      </c>
      <c r="J449" s="9" t="str">
        <f>IFERROR(__xludf.DUMMYFUNCTION("""COMPUTED_VALUE"""),"HTML/CSS")</f>
        <v>HTML/CSS</v>
      </c>
      <c r="K449" s="9" t="str">
        <f>IFERROR(__xludf.DUMMYFUNCTION("""COMPUTED_VALUE"""),"C++")</f>
        <v>C++</v>
      </c>
      <c r="L449" s="9" t="str">
        <f>IFERROR(__xludf.DUMMYFUNCTION("""COMPUTED_VALUE"""),"Ruby")</f>
        <v>Ruby</v>
      </c>
      <c r="M449" s="9" t="s">
        <v>26</v>
      </c>
    </row>
    <row r="450" ht="15.75" customHeight="1">
      <c r="A450" s="7"/>
      <c r="B450" s="7" t="str">
        <f>IFERROR(__xludf.DUMMYFUNCTION("""COMPUTED_VALUE"""),"C++;C#;SQL")</f>
        <v>C++;C#;SQL</v>
      </c>
      <c r="C450" s="9" t="str">
        <f>IFERROR(__xludf.DUMMYFUNCTION("""COMPUTED_VALUE"""),"HTML/CSS")</f>
        <v>HTML/CSS</v>
      </c>
      <c r="D450" s="9" t="str">
        <f>IFERROR(__xludf.DUMMYFUNCTION("""COMPUTED_VALUE"""),"C#")</f>
        <v>C#</v>
      </c>
      <c r="E450" s="9" t="str">
        <f>IFERROR(__xludf.DUMMYFUNCTION("""COMPUTED_VALUE"""),"PHP")</f>
        <v>PHP</v>
      </c>
      <c r="F450" s="9" t="str">
        <f>IFERROR(__xludf.DUMMYFUNCTION("""COMPUTED_VALUE"""),"HTML/CSS")</f>
        <v>HTML/CSS</v>
      </c>
      <c r="G450" s="9" t="str">
        <f>IFERROR(__xludf.DUMMYFUNCTION("""COMPUTED_VALUE"""),"Objective-C")</f>
        <v>Objective-C</v>
      </c>
      <c r="H450" s="9" t="str">
        <f>IFERROR(__xludf.DUMMYFUNCTION("""COMPUTED_VALUE"""),"HTML/CSS")</f>
        <v>HTML/CSS</v>
      </c>
      <c r="I450" s="9" t="str">
        <f>IFERROR(__xludf.DUMMYFUNCTION("""COMPUTED_VALUE"""),"JavaScript")</f>
        <v>JavaScript</v>
      </c>
      <c r="J450" s="9" t="str">
        <f>IFERROR(__xludf.DUMMYFUNCTION("""COMPUTED_VALUE"""),"Java")</f>
        <v>Java</v>
      </c>
      <c r="K450" s="9" t="str">
        <f>IFERROR(__xludf.DUMMYFUNCTION("""COMPUTED_VALUE"""),"HTML/CSS")</f>
        <v>HTML/CSS</v>
      </c>
      <c r="L450" s="9" t="str">
        <f>IFERROR(__xludf.DUMMYFUNCTION("""COMPUTED_VALUE"""),"Bash/Shell/PowerShell")</f>
        <v>Bash/Shell/PowerShell</v>
      </c>
      <c r="M450" s="9" t="s">
        <v>24</v>
      </c>
    </row>
    <row r="451" ht="15.75" customHeight="1">
      <c r="A451" s="7"/>
      <c r="B451" s="7" t="str">
        <f>IFERROR(__xludf.DUMMYFUNCTION("""COMPUTED_VALUE"""),"Bash/Shell/PowerShell;Elixir;HTML/CSS;JavaScript;Ruby;SQL;Other(s):")</f>
        <v>Bash/Shell/PowerShell;Elixir;HTML/CSS;JavaScript;Ruby;SQL;Other(s):</v>
      </c>
      <c r="C451" s="9" t="str">
        <f>IFERROR(__xludf.DUMMYFUNCTION("""COMPUTED_VALUE"""),"JavaScript")</f>
        <v>JavaScript</v>
      </c>
      <c r="D451" s="9" t="str">
        <f>IFERROR(__xludf.DUMMYFUNCTION("""COMPUTED_VALUE"""),"JavaScript")</f>
        <v>JavaScript</v>
      </c>
      <c r="E451" s="9" t="str">
        <f>IFERROR(__xludf.DUMMYFUNCTION("""COMPUTED_VALUE"""),"Python")</f>
        <v>Python</v>
      </c>
      <c r="F451" s="9" t="str">
        <f>IFERROR(__xludf.DUMMYFUNCTION("""COMPUTED_VALUE"""),"Java")</f>
        <v>Java</v>
      </c>
      <c r="G451" s="9" t="str">
        <f>IFERROR(__xludf.DUMMYFUNCTION("""COMPUTED_VALUE"""),"PHP")</f>
        <v>PHP</v>
      </c>
      <c r="H451" s="9" t="str">
        <f>IFERROR(__xludf.DUMMYFUNCTION("""COMPUTED_VALUE"""),"Java")</f>
        <v>Java</v>
      </c>
      <c r="I451" s="9" t="str">
        <f>IFERROR(__xludf.DUMMYFUNCTION("""COMPUTED_VALUE"""),"SQL")</f>
        <v>SQL</v>
      </c>
      <c r="J451" s="9" t="str">
        <f>IFERROR(__xludf.DUMMYFUNCTION("""COMPUTED_VALUE"""),"JavaScript")</f>
        <v>JavaScript</v>
      </c>
      <c r="K451" s="9" t="str">
        <f>IFERROR(__xludf.DUMMYFUNCTION("""COMPUTED_VALUE"""),"JavaScript")</f>
        <v>JavaScript</v>
      </c>
      <c r="L451" s="9" t="str">
        <f>IFERROR(__xludf.DUMMYFUNCTION("""COMPUTED_VALUE"""),"C#")</f>
        <v>C#</v>
      </c>
      <c r="M451" s="9" t="s">
        <v>21</v>
      </c>
    </row>
    <row r="452" ht="15.75" customHeight="1">
      <c r="A452" s="7"/>
      <c r="B452" s="7" t="str">
        <f>IFERROR(__xludf.DUMMYFUNCTION("""COMPUTED_VALUE"""),"C++;Python;Ruby")</f>
        <v>C++;Python;Ruby</v>
      </c>
      <c r="C452" s="9" t="str">
        <f>IFERROR(__xludf.DUMMYFUNCTION("""COMPUTED_VALUE"""),"PHP")</f>
        <v>PHP</v>
      </c>
      <c r="D452" s="9" t="str">
        <f>IFERROR(__xludf.DUMMYFUNCTION("""COMPUTED_VALUE"""),"Python")</f>
        <v>Python</v>
      </c>
      <c r="E452" s="9" t="str">
        <f>IFERROR(__xludf.DUMMYFUNCTION("""COMPUTED_VALUE"""),"SQL")</f>
        <v>SQL</v>
      </c>
      <c r="F452" s="9" t="str">
        <f>IFERROR(__xludf.DUMMYFUNCTION("""COMPUTED_VALUE"""),"JavaScript")</f>
        <v>JavaScript</v>
      </c>
      <c r="G452" s="9" t="str">
        <f>IFERROR(__xludf.DUMMYFUNCTION("""COMPUTED_VALUE"""),"Python")</f>
        <v>Python</v>
      </c>
      <c r="H452" s="9" t="str">
        <f>IFERROR(__xludf.DUMMYFUNCTION("""COMPUTED_VALUE"""),"JavaScript")</f>
        <v>JavaScript</v>
      </c>
      <c r="I452" s="9" t="str">
        <f>IFERROR(__xludf.DUMMYFUNCTION("""COMPUTED_VALUE"""),"Other(s):")</f>
        <v>Other(s):</v>
      </c>
      <c r="J452" s="9" t="str">
        <f>IFERROR(__xludf.DUMMYFUNCTION("""COMPUTED_VALUE"""),"Kotlin")</f>
        <v>Kotlin</v>
      </c>
      <c r="K452" s="9" t="str">
        <f>IFERROR(__xludf.DUMMYFUNCTION("""COMPUTED_VALUE"""),"Python")</f>
        <v>Python</v>
      </c>
      <c r="L452" s="9" t="str">
        <f>IFERROR(__xludf.DUMMYFUNCTION("""COMPUTED_VALUE"""),"HTML/CSS")</f>
        <v>HTML/CSS</v>
      </c>
      <c r="M452" s="9" t="s">
        <v>37</v>
      </c>
    </row>
    <row r="453" ht="15.75" customHeight="1">
      <c r="A453" s="7"/>
      <c r="B453" s="7" t="str">
        <f>IFERROR(__xludf.DUMMYFUNCTION("""COMPUTED_VALUE"""),"Bash/Shell/PowerShell;JavaScript;Python;SQL")</f>
        <v>Bash/Shell/PowerShell;JavaScript;Python;SQL</v>
      </c>
      <c r="C453" s="9" t="str">
        <f>IFERROR(__xludf.DUMMYFUNCTION("""COMPUTED_VALUE"""),"Python")</f>
        <v>Python</v>
      </c>
      <c r="D453" s="9" t="str">
        <f>IFERROR(__xludf.DUMMYFUNCTION("""COMPUTED_VALUE"""),"Bash/Shell/PowerShell")</f>
        <v>Bash/Shell/PowerShell</v>
      </c>
      <c r="E453" s="9" t="str">
        <f>IFERROR(__xludf.DUMMYFUNCTION("""COMPUTED_VALUE"""),"Other(s):")</f>
        <v>Other(s):</v>
      </c>
      <c r="F453" s="9" t="str">
        <f>IFERROR(__xludf.DUMMYFUNCTION("""COMPUTED_VALUE"""),"PHP")</f>
        <v>PHP</v>
      </c>
      <c r="G453" s="9" t="str">
        <f>IFERROR(__xludf.DUMMYFUNCTION("""COMPUTED_VALUE"""),"Assembly")</f>
        <v>Assembly</v>
      </c>
      <c r="H453" s="9" t="str">
        <f>IFERROR(__xludf.DUMMYFUNCTION("""COMPUTED_VALUE"""),"Kotlin")</f>
        <v>Kotlin</v>
      </c>
      <c r="I453" s="9" t="str">
        <f>IFERROR(__xludf.DUMMYFUNCTION("""COMPUTED_VALUE"""),"C++")</f>
        <v>C++</v>
      </c>
      <c r="J453" s="9" t="str">
        <f>IFERROR(__xludf.DUMMYFUNCTION("""COMPUTED_VALUE"""),"Swift")</f>
        <v>Swift</v>
      </c>
      <c r="K453" s="9" t="str">
        <f>IFERROR(__xludf.DUMMYFUNCTION("""COMPUTED_VALUE"""),"Java")</f>
        <v>Java</v>
      </c>
      <c r="L453" s="9" t="str">
        <f>IFERROR(__xludf.DUMMYFUNCTION("""COMPUTED_VALUE"""),"JavaScript")</f>
        <v>JavaScript</v>
      </c>
      <c r="M453" s="9" t="s">
        <v>22</v>
      </c>
    </row>
    <row r="454" ht="15.75" customHeight="1">
      <c r="A454" s="7"/>
      <c r="B454" s="7" t="str">
        <f>IFERROR(__xludf.DUMMYFUNCTION("""COMPUTED_VALUE"""),"HTML/CSS;JavaScript")</f>
        <v>HTML/CSS;JavaScript</v>
      </c>
      <c r="C454" s="9" t="str">
        <f>IFERROR(__xludf.DUMMYFUNCTION("""COMPUTED_VALUE"""),"SQL")</f>
        <v>SQL</v>
      </c>
      <c r="D454" s="9" t="str">
        <f>IFERROR(__xludf.DUMMYFUNCTION("""COMPUTED_VALUE"""),"HTML/CSS")</f>
        <v>HTML/CSS</v>
      </c>
      <c r="E454" s="9" t="str">
        <f>IFERROR(__xludf.DUMMYFUNCTION("""COMPUTED_VALUE"""),"Java")</f>
        <v>Java</v>
      </c>
      <c r="F454" s="9" t="str">
        <f>IFERROR(__xludf.DUMMYFUNCTION("""COMPUTED_VALUE"""),"SQL")</f>
        <v>SQL</v>
      </c>
      <c r="G454" s="9" t="str">
        <f>IFERROR(__xludf.DUMMYFUNCTION("""COMPUTED_VALUE"""),"C")</f>
        <v>C</v>
      </c>
      <c r="H454" s="9" t="str">
        <f>IFERROR(__xludf.DUMMYFUNCTION("""COMPUTED_VALUE"""),"Ruby")</f>
        <v>Ruby</v>
      </c>
      <c r="I454" s="9" t="str">
        <f>IFERROR(__xludf.DUMMYFUNCTION("""COMPUTED_VALUE"""),"Java")</f>
        <v>Java</v>
      </c>
      <c r="J454" s="9" t="str">
        <f>IFERROR(__xludf.DUMMYFUNCTION("""COMPUTED_VALUE"""),"C++")</f>
        <v>C++</v>
      </c>
      <c r="K454" s="9" t="str">
        <f>IFERROR(__xludf.DUMMYFUNCTION("""COMPUTED_VALUE"""),"Python")</f>
        <v>Python</v>
      </c>
      <c r="L454" s="9" t="str">
        <f>IFERROR(__xludf.DUMMYFUNCTION("""COMPUTED_VALUE"""),"Objective-C")</f>
        <v>Objective-C</v>
      </c>
      <c r="M454" s="9" t="s">
        <v>27</v>
      </c>
    </row>
    <row r="455" ht="15.75" customHeight="1">
      <c r="A455" s="7"/>
      <c r="B455" s="7" t="str">
        <f>IFERROR(__xludf.DUMMYFUNCTION("""COMPUTED_VALUE"""),"Assembly;C;Python;Rust")</f>
        <v>Assembly;C;Python;Rust</v>
      </c>
      <c r="C455" s="9" t="str">
        <f>IFERROR(__xludf.DUMMYFUNCTION("""COMPUTED_VALUE"""),"Bash/Shell/PowerShell")</f>
        <v>Bash/Shell/PowerShell</v>
      </c>
      <c r="D455" s="9" t="str">
        <f>IFERROR(__xludf.DUMMYFUNCTION("""COMPUTED_VALUE"""),"JavaScript")</f>
        <v>JavaScript</v>
      </c>
      <c r="E455" s="9" t="str">
        <f>IFERROR(__xludf.DUMMYFUNCTION("""COMPUTED_VALUE"""),"JavaScript")</f>
        <v>JavaScript</v>
      </c>
      <c r="F455" s="9" t="str">
        <f>IFERROR(__xludf.DUMMYFUNCTION("""COMPUTED_VALUE"""),"HTML/CSS")</f>
        <v>HTML/CSS</v>
      </c>
      <c r="G455" s="9" t="str">
        <f>IFERROR(__xludf.DUMMYFUNCTION("""COMPUTED_VALUE"""),"C#")</f>
        <v>C#</v>
      </c>
      <c r="H455" s="9" t="str">
        <f>IFERROR(__xludf.DUMMYFUNCTION("""COMPUTED_VALUE"""),"SQL")</f>
        <v>SQL</v>
      </c>
      <c r="I455" s="9" t="str">
        <f>IFERROR(__xludf.DUMMYFUNCTION("""COMPUTED_VALUE"""),"JavaScript")</f>
        <v>JavaScript</v>
      </c>
      <c r="J455" s="9" t="str">
        <f>IFERROR(__xludf.DUMMYFUNCTION("""COMPUTED_VALUE"""),"C#")</f>
        <v>C#</v>
      </c>
      <c r="K455" s="9" t="str">
        <f>IFERROR(__xludf.DUMMYFUNCTION("""COMPUTED_VALUE"""),"Ruby")</f>
        <v>Ruby</v>
      </c>
      <c r="L455" s="9" t="str">
        <f>IFERROR(__xludf.DUMMYFUNCTION("""COMPUTED_VALUE"""),"SQL")</f>
        <v>SQL</v>
      </c>
      <c r="M455" s="9" t="s">
        <v>30</v>
      </c>
    </row>
    <row r="456" ht="15.75" customHeight="1">
      <c r="A456" s="7"/>
      <c r="B456" s="7" t="str">
        <f>IFERROR(__xludf.DUMMYFUNCTION("""COMPUTED_VALUE"""),"C#;SQL")</f>
        <v>C#;SQL</v>
      </c>
      <c r="C456" s="9" t="str">
        <f>IFERROR(__xludf.DUMMYFUNCTION("""COMPUTED_VALUE"""),"C")</f>
        <v>C</v>
      </c>
      <c r="D456" s="9" t="str">
        <f>IFERROR(__xludf.DUMMYFUNCTION("""COMPUTED_VALUE"""),"PHP")</f>
        <v>PHP</v>
      </c>
      <c r="E456" s="9" t="str">
        <f>IFERROR(__xludf.DUMMYFUNCTION("""COMPUTED_VALUE"""),"PHP")</f>
        <v>PHP</v>
      </c>
      <c r="F456" s="9" t="str">
        <f>IFERROR(__xludf.DUMMYFUNCTION("""COMPUTED_VALUE"""),"Java")</f>
        <v>Java</v>
      </c>
      <c r="G456" s="9" t="str">
        <f>IFERROR(__xludf.DUMMYFUNCTION("""COMPUTED_VALUE"""),"Dart")</f>
        <v>Dart</v>
      </c>
      <c r="H456" s="9" t="str">
        <f>IFERROR(__xludf.DUMMYFUNCTION("""COMPUTED_VALUE"""),"Swift")</f>
        <v>Swift</v>
      </c>
      <c r="I456" s="9" t="str">
        <f>IFERROR(__xludf.DUMMYFUNCTION("""COMPUTED_VALUE"""),"Kotlin")</f>
        <v>Kotlin</v>
      </c>
      <c r="J456" s="9" t="str">
        <f>IFERROR(__xludf.DUMMYFUNCTION("""COMPUTED_VALUE"""),"HTML/CSS")</f>
        <v>HTML/CSS</v>
      </c>
      <c r="K456" s="9" t="str">
        <f>IFERROR(__xludf.DUMMYFUNCTION("""COMPUTED_VALUE"""),"SQL")</f>
        <v>SQL</v>
      </c>
      <c r="L456" s="9" t="str">
        <f>IFERROR(__xludf.DUMMYFUNCTION("""COMPUTED_VALUE"""),"Bash/Shell/PowerShell")</f>
        <v>Bash/Shell/PowerShell</v>
      </c>
      <c r="M456" s="9" t="s">
        <v>25</v>
      </c>
    </row>
    <row r="457" ht="15.75" customHeight="1">
      <c r="A457" s="7"/>
      <c r="B457" s="7" t="str">
        <f>IFERROR(__xludf.DUMMYFUNCTION("""COMPUTED_VALUE"""),"Bash/Shell/PowerShell;C#;HTML/CSS;JavaScript;PHP;Python")</f>
        <v>Bash/Shell/PowerShell;C#;HTML/CSS;JavaScript;PHP;Python</v>
      </c>
      <c r="C457" s="9" t="str">
        <f>IFERROR(__xludf.DUMMYFUNCTION("""COMPUTED_VALUE"""),"C++")</f>
        <v>C++</v>
      </c>
      <c r="D457" s="9" t="str">
        <f>IFERROR(__xludf.DUMMYFUNCTION("""COMPUTED_VALUE"""),"Python")</f>
        <v>Python</v>
      </c>
      <c r="E457" s="9" t="str">
        <f>IFERROR(__xludf.DUMMYFUNCTION("""COMPUTED_VALUE"""),"SQL")</f>
        <v>SQL</v>
      </c>
      <c r="F457" s="9" t="str">
        <f>IFERROR(__xludf.DUMMYFUNCTION("""COMPUTED_VALUE"""),"JavaScript")</f>
        <v>JavaScript</v>
      </c>
      <c r="G457" s="9" t="str">
        <f>IFERROR(__xludf.DUMMYFUNCTION("""COMPUTED_VALUE"""),"Erlang")</f>
        <v>Erlang</v>
      </c>
      <c r="H457" s="9" t="str">
        <f>IFERROR(__xludf.DUMMYFUNCTION("""COMPUTED_VALUE"""),"HTML/CSS")</f>
        <v>HTML/CSS</v>
      </c>
      <c r="I457" s="9" t="str">
        <f>IFERROR(__xludf.DUMMYFUNCTION("""COMPUTED_VALUE"""),"Objective-C")</f>
        <v>Objective-C</v>
      </c>
      <c r="J457" s="9" t="str">
        <f>IFERROR(__xludf.DUMMYFUNCTION("""COMPUTED_VALUE"""),"JavaScript")</f>
        <v>JavaScript</v>
      </c>
      <c r="K457" s="9" t="str">
        <f>IFERROR(__xludf.DUMMYFUNCTION("""COMPUTED_VALUE"""),"C#")</f>
        <v>C#</v>
      </c>
      <c r="L457" s="9" t="str">
        <f>IFERROR(__xludf.DUMMYFUNCTION("""COMPUTED_VALUE"""),"Clojure")</f>
        <v>Clojure</v>
      </c>
      <c r="M457" s="9" t="s">
        <v>23</v>
      </c>
    </row>
    <row r="458" ht="15.75" customHeight="1">
      <c r="A458" s="7"/>
      <c r="B458" s="7" t="str">
        <f>IFERROR(__xludf.DUMMYFUNCTION("""COMPUTED_VALUE"""),"HTML/CSS;JavaScript;PHP;SQL")</f>
        <v>HTML/CSS;JavaScript;PHP;SQL</v>
      </c>
      <c r="C458" s="9" t="str">
        <f>IFERROR(__xludf.DUMMYFUNCTION("""COMPUTED_VALUE"""),"C#")</f>
        <v>C#</v>
      </c>
      <c r="D458" s="9" t="str">
        <f>IFERROR(__xludf.DUMMYFUNCTION("""COMPUTED_VALUE"""),"SQL")</f>
        <v>SQL</v>
      </c>
      <c r="E458" s="9" t="str">
        <f>IFERROR(__xludf.DUMMYFUNCTION("""COMPUTED_VALUE"""),"Other(s):")</f>
        <v>Other(s):</v>
      </c>
      <c r="F458" s="9" t="str">
        <f>IFERROR(__xludf.DUMMYFUNCTION("""COMPUTED_VALUE"""),"SQL")</f>
        <v>SQL</v>
      </c>
      <c r="G458" s="9" t="str">
        <f>IFERROR(__xludf.DUMMYFUNCTION("""COMPUTED_VALUE"""),"HTML/CSS")</f>
        <v>HTML/CSS</v>
      </c>
      <c r="H458" s="9" t="str">
        <f>IFERROR(__xludf.DUMMYFUNCTION("""COMPUTED_VALUE"""),"JavaScript")</f>
        <v>JavaScript</v>
      </c>
      <c r="I458" s="9" t="str">
        <f>IFERROR(__xludf.DUMMYFUNCTION("""COMPUTED_VALUE"""),"Python")</f>
        <v>Python</v>
      </c>
      <c r="J458" s="9" t="str">
        <f>IFERROR(__xludf.DUMMYFUNCTION("""COMPUTED_VALUE"""),"Python")</f>
        <v>Python</v>
      </c>
      <c r="K458" s="9" t="str">
        <f>IFERROR(__xludf.DUMMYFUNCTION("""COMPUTED_VALUE"""),"SQL")</f>
        <v>SQL</v>
      </c>
      <c r="L458" s="9" t="str">
        <f>IFERROR(__xludf.DUMMYFUNCTION("""COMPUTED_VALUE"""),"HTML/CSS")</f>
        <v>HTML/CSS</v>
      </c>
      <c r="M458" s="9" t="s">
        <v>26</v>
      </c>
    </row>
    <row r="459" ht="15.75" customHeight="1">
      <c r="A459" s="7"/>
      <c r="B459" s="7" t="str">
        <f>IFERROR(__xludf.DUMMYFUNCTION("""COMPUTED_VALUE"""),"Bash/Shell/PowerShell;C#;HTML/CSS;JavaScript;Python;SQL")</f>
        <v>Bash/Shell/PowerShell;C#;HTML/CSS;JavaScript;Python;SQL</v>
      </c>
      <c r="C459" s="9" t="str">
        <f>IFERROR(__xludf.DUMMYFUNCTION("""COMPUTED_VALUE"""),"Go")</f>
        <v>Go</v>
      </c>
      <c r="D459" s="9" t="str">
        <f>IFERROR(__xludf.DUMMYFUNCTION("""COMPUTED_VALUE"""),"Bash/Shell/PowerShell")</f>
        <v>Bash/Shell/PowerShell</v>
      </c>
      <c r="E459" s="9" t="str">
        <f>IFERROR(__xludf.DUMMYFUNCTION("""COMPUTED_VALUE"""),"HTML/CSS")</f>
        <v>HTML/CSS</v>
      </c>
      <c r="F459" s="9" t="str">
        <f>IFERROR(__xludf.DUMMYFUNCTION("""COMPUTED_VALUE"""),"Bash/Shell/PowerShell")</f>
        <v>Bash/Shell/PowerShell</v>
      </c>
      <c r="G459" s="9" t="str">
        <f>IFERROR(__xludf.DUMMYFUNCTION("""COMPUTED_VALUE"""),"Java")</f>
        <v>Java</v>
      </c>
      <c r="H459" s="9" t="str">
        <f>IFERROR(__xludf.DUMMYFUNCTION("""COMPUTED_VALUE"""),"Kotlin")</f>
        <v>Kotlin</v>
      </c>
      <c r="I459" s="9" t="str">
        <f>IFERROR(__xludf.DUMMYFUNCTION("""COMPUTED_VALUE"""),"Scala")</f>
        <v>Scala</v>
      </c>
      <c r="J459" s="9" t="str">
        <f>IFERROR(__xludf.DUMMYFUNCTION("""COMPUTED_VALUE"""),"TypeScript")</f>
        <v>TypeScript</v>
      </c>
      <c r="K459" s="9" t="str">
        <f>IFERROR(__xludf.DUMMYFUNCTION("""COMPUTED_VALUE"""),"HTML/CSS")</f>
        <v>HTML/CSS</v>
      </c>
      <c r="L459" s="9" t="str">
        <f>IFERROR(__xludf.DUMMYFUNCTION("""COMPUTED_VALUE"""),"SQL")</f>
        <v>SQL</v>
      </c>
      <c r="M459" s="9" t="s">
        <v>36</v>
      </c>
    </row>
    <row r="460" ht="15.75" customHeight="1">
      <c r="A460" s="7"/>
      <c r="B460" s="7" t="str">
        <f>IFERROR(__xludf.DUMMYFUNCTION("""COMPUTED_VALUE"""),"HTML/CSS;Java;JavaScript;PHP;SQL;Other(s):")</f>
        <v>HTML/CSS;Java;JavaScript;PHP;SQL;Other(s):</v>
      </c>
      <c r="C460" s="9" t="str">
        <f>IFERROR(__xludf.DUMMYFUNCTION("""COMPUTED_VALUE"""),"HTML/CSS")</f>
        <v>HTML/CSS</v>
      </c>
      <c r="D460" s="9" t="str">
        <f>IFERROR(__xludf.DUMMYFUNCTION("""COMPUTED_VALUE"""),"HTML/CSS")</f>
        <v>HTML/CSS</v>
      </c>
      <c r="E460" s="9" t="str">
        <f>IFERROR(__xludf.DUMMYFUNCTION("""COMPUTED_VALUE"""),"JavaScript")</f>
        <v>JavaScript</v>
      </c>
      <c r="F460" s="9" t="str">
        <f>IFERROR(__xludf.DUMMYFUNCTION("""COMPUTED_VALUE"""),"C")</f>
        <v>C</v>
      </c>
      <c r="G460" s="9" t="str">
        <f>IFERROR(__xludf.DUMMYFUNCTION("""COMPUTED_VALUE"""),"Kotlin")</f>
        <v>Kotlin</v>
      </c>
      <c r="H460" s="9" t="str">
        <f>IFERROR(__xludf.DUMMYFUNCTION("""COMPUTED_VALUE"""),"PHP")</f>
        <v>PHP</v>
      </c>
      <c r="I460" s="9" t="str">
        <f>IFERROR(__xludf.DUMMYFUNCTION("""COMPUTED_VALUE"""),"TypeScript")</f>
        <v>TypeScript</v>
      </c>
      <c r="J460" s="9" t="str">
        <f>IFERROR(__xludf.DUMMYFUNCTION("""COMPUTED_VALUE"""),"Bash/Shell/PowerShell")</f>
        <v>Bash/Shell/PowerShell</v>
      </c>
      <c r="K460" s="9" t="str">
        <f>IFERROR(__xludf.DUMMYFUNCTION("""COMPUTED_VALUE"""),"Java")</f>
        <v>Java</v>
      </c>
      <c r="L460" s="9" t="str">
        <f>IFERROR(__xludf.DUMMYFUNCTION("""COMPUTED_VALUE"""),"Bash/Shell/PowerShell")</f>
        <v>Bash/Shell/PowerShell</v>
      </c>
      <c r="M460" s="9" t="s">
        <v>24</v>
      </c>
    </row>
    <row r="461" ht="15.75" customHeight="1">
      <c r="A461" s="7"/>
      <c r="B461" s="7" t="str">
        <f>IFERROR(__xludf.DUMMYFUNCTION("""COMPUTED_VALUE"""),"C;Python")</f>
        <v>C;Python</v>
      </c>
      <c r="C461" s="9" t="str">
        <f>IFERROR(__xludf.DUMMYFUNCTION("""COMPUTED_VALUE"""),"Java")</f>
        <v>Java</v>
      </c>
      <c r="D461" s="9" t="str">
        <f>IFERROR(__xludf.DUMMYFUNCTION("""COMPUTED_VALUE"""),"JavaScript")</f>
        <v>JavaScript</v>
      </c>
      <c r="E461" s="9" t="str">
        <f>IFERROR(__xludf.DUMMYFUNCTION("""COMPUTED_VALUE"""),"PHP")</f>
        <v>PHP</v>
      </c>
      <c r="F461" s="9" t="str">
        <f>IFERROR(__xludf.DUMMYFUNCTION("""COMPUTED_VALUE"""),"PHP")</f>
        <v>PHP</v>
      </c>
      <c r="G461" s="9" t="str">
        <f>IFERROR(__xludf.DUMMYFUNCTION("""COMPUTED_VALUE"""),"PHP")</f>
        <v>PHP</v>
      </c>
      <c r="H461" s="9" t="str">
        <f>IFERROR(__xludf.DUMMYFUNCTION("""COMPUTED_VALUE"""),"SQL")</f>
        <v>SQL</v>
      </c>
      <c r="I461" s="9" t="str">
        <f>IFERROR(__xludf.DUMMYFUNCTION("""COMPUTED_VALUE"""),"Bash/Shell/PowerShell")</f>
        <v>Bash/Shell/PowerShell</v>
      </c>
      <c r="J461" s="9" t="str">
        <f>IFERROR(__xludf.DUMMYFUNCTION("""COMPUTED_VALUE"""),"HTML/CSS")</f>
        <v>HTML/CSS</v>
      </c>
      <c r="K461" s="9" t="str">
        <f>IFERROR(__xludf.DUMMYFUNCTION("""COMPUTED_VALUE"""),"SQL")</f>
        <v>SQL</v>
      </c>
      <c r="L461" s="9" t="str">
        <f>IFERROR(__xludf.DUMMYFUNCTION("""COMPUTED_VALUE"""),"C#")</f>
        <v>C#</v>
      </c>
      <c r="M461" s="9" t="s">
        <v>20</v>
      </c>
    </row>
    <row r="462" ht="15.75" customHeight="1">
      <c r="A462" s="7"/>
      <c r="B462" s="7" t="str">
        <f>IFERROR(__xludf.DUMMYFUNCTION("""COMPUTED_VALUE"""),"Bash/Shell/PowerShell;C#;HTML/CSS;JavaScript;SQL;TypeScript")</f>
        <v>Bash/Shell/PowerShell;C#;HTML/CSS;JavaScript;SQL;TypeScript</v>
      </c>
      <c r="C462" s="9" t="str">
        <f>IFERROR(__xludf.DUMMYFUNCTION("""COMPUTED_VALUE"""),"JavaScript")</f>
        <v>JavaScript</v>
      </c>
      <c r="D462" s="9" t="str">
        <f>IFERROR(__xludf.DUMMYFUNCTION("""COMPUTED_VALUE"""),"Ruby")</f>
        <v>Ruby</v>
      </c>
      <c r="E462" s="9" t="str">
        <f>IFERROR(__xludf.DUMMYFUNCTION("""COMPUTED_VALUE"""),"C#")</f>
        <v>C#</v>
      </c>
      <c r="F462" s="9" t="str">
        <f>IFERROR(__xludf.DUMMYFUNCTION("""COMPUTED_VALUE"""),"Bash/Shell/PowerShell")</f>
        <v>Bash/Shell/PowerShell</v>
      </c>
      <c r="G462" s="9" t="str">
        <f>IFERROR(__xludf.DUMMYFUNCTION("""COMPUTED_VALUE"""),"R")</f>
        <v>R</v>
      </c>
      <c r="H462" s="9" t="str">
        <f>IFERROR(__xludf.DUMMYFUNCTION("""COMPUTED_VALUE"""),"C++")</f>
        <v>C++</v>
      </c>
      <c r="I462" s="9" t="str">
        <f>IFERROR(__xludf.DUMMYFUNCTION("""COMPUTED_VALUE"""),"HTML/CSS")</f>
        <v>HTML/CSS</v>
      </c>
      <c r="J462" s="9" t="str">
        <f>IFERROR(__xludf.DUMMYFUNCTION("""COMPUTED_VALUE"""),"Java")</f>
        <v>Java</v>
      </c>
      <c r="K462" s="9" t="str">
        <f>IFERROR(__xludf.DUMMYFUNCTION("""COMPUTED_VALUE"""),"TypeScript")</f>
        <v>TypeScript</v>
      </c>
      <c r="L462" s="9" t="str">
        <f>IFERROR(__xludf.DUMMYFUNCTION("""COMPUTED_VALUE"""),"HTML/CSS")</f>
        <v>HTML/CSS</v>
      </c>
      <c r="M462" s="9" t="s">
        <v>21</v>
      </c>
    </row>
    <row r="463" ht="15.75" customHeight="1">
      <c r="A463" s="7"/>
      <c r="B463" s="7" t="str">
        <f>IFERROR(__xludf.DUMMYFUNCTION("""COMPUTED_VALUE"""),"HTML/CSS;JavaScript;TypeScript")</f>
        <v>HTML/CSS;JavaScript;TypeScript</v>
      </c>
      <c r="C463" s="9" t="str">
        <f>IFERROR(__xludf.DUMMYFUNCTION("""COMPUTED_VALUE"""),"Objective-C")</f>
        <v>Objective-C</v>
      </c>
      <c r="D463" s="9" t="str">
        <f>IFERROR(__xludf.DUMMYFUNCTION("""COMPUTED_VALUE"""),"SQL")</f>
        <v>SQL</v>
      </c>
      <c r="E463" s="9" t="str">
        <f>IFERROR(__xludf.DUMMYFUNCTION("""COMPUTED_VALUE"""),"F#")</f>
        <v>F#</v>
      </c>
      <c r="F463" s="9" t="str">
        <f>IFERROR(__xludf.DUMMYFUNCTION("""COMPUTED_VALUE"""),"C")</f>
        <v>C</v>
      </c>
      <c r="G463" s="9" t="str">
        <f>IFERROR(__xludf.DUMMYFUNCTION("""COMPUTED_VALUE"""),"Rust")</f>
        <v>Rust</v>
      </c>
      <c r="H463" s="9" t="str">
        <f>IFERROR(__xludf.DUMMYFUNCTION("""COMPUTED_VALUE"""),"HTML/CSS")</f>
        <v>HTML/CSS</v>
      </c>
      <c r="I463" s="9" t="str">
        <f>IFERROR(__xludf.DUMMYFUNCTION("""COMPUTED_VALUE"""),"Java")</f>
        <v>Java</v>
      </c>
      <c r="J463" s="9" t="str">
        <f>IFERROR(__xludf.DUMMYFUNCTION("""COMPUTED_VALUE"""),"JavaScript")</f>
        <v>JavaScript</v>
      </c>
      <c r="K463" s="9" t="str">
        <f>IFERROR(__xludf.DUMMYFUNCTION("""COMPUTED_VALUE"""),"HTML/CSS")</f>
        <v>HTML/CSS</v>
      </c>
      <c r="L463" s="9" t="str">
        <f>IFERROR(__xludf.DUMMYFUNCTION("""COMPUTED_VALUE"""),"JavaScript")</f>
        <v>JavaScript</v>
      </c>
      <c r="M463" s="9" t="s">
        <v>41</v>
      </c>
    </row>
    <row r="464" ht="15.75" customHeight="1">
      <c r="A464" s="7"/>
      <c r="B464" s="7" t="str">
        <f>IFERROR(__xludf.DUMMYFUNCTION("""COMPUTED_VALUE"""),"Java;Kotlin;Python;SQL")</f>
        <v>Java;Kotlin;Python;SQL</v>
      </c>
      <c r="C464" s="9" t="str">
        <f>IFERROR(__xludf.DUMMYFUNCTION("""COMPUTED_VALUE"""),"Python")</f>
        <v>Python</v>
      </c>
      <c r="D464" s="9" t="str">
        <f>IFERROR(__xludf.DUMMYFUNCTION("""COMPUTED_VALUE"""),"HTML/CSS")</f>
        <v>HTML/CSS</v>
      </c>
      <c r="E464" s="9" t="str">
        <f>IFERROR(__xludf.DUMMYFUNCTION("""COMPUTED_VALUE"""),"Python")</f>
        <v>Python</v>
      </c>
      <c r="F464" s="9" t="str">
        <f>IFERROR(__xludf.DUMMYFUNCTION("""COMPUTED_VALUE"""),"C++")</f>
        <v>C++</v>
      </c>
      <c r="G464" s="9" t="str">
        <f>IFERROR(__xludf.DUMMYFUNCTION("""COMPUTED_VALUE"""),"SQL")</f>
        <v>SQL</v>
      </c>
      <c r="H464" s="9" t="str">
        <f>IFERROR(__xludf.DUMMYFUNCTION("""COMPUTED_VALUE"""),"JavaScript")</f>
        <v>JavaScript</v>
      </c>
      <c r="I464" s="9" t="str">
        <f>IFERROR(__xludf.DUMMYFUNCTION("""COMPUTED_VALUE"""),"JavaScript")</f>
        <v>JavaScript</v>
      </c>
      <c r="J464" s="9" t="str">
        <f>IFERROR(__xludf.DUMMYFUNCTION("""COMPUTED_VALUE"""),"Objective-C")</f>
        <v>Objective-C</v>
      </c>
      <c r="K464" s="9" t="str">
        <f>IFERROR(__xludf.DUMMYFUNCTION("""COMPUTED_VALUE"""),"Java")</f>
        <v>Java</v>
      </c>
      <c r="L464" s="9" t="str">
        <f>IFERROR(__xludf.DUMMYFUNCTION("""COMPUTED_VALUE"""),"SQL")</f>
        <v>SQL</v>
      </c>
      <c r="M464" s="9" t="s">
        <v>22</v>
      </c>
    </row>
    <row r="465" ht="15.75" customHeight="1">
      <c r="A465" s="7"/>
      <c r="B465" s="7" t="str">
        <f>IFERROR(__xludf.DUMMYFUNCTION("""COMPUTED_VALUE"""),"Bash/Shell/PowerShell;C#;HTML/CSS;Java;JavaScript;Kotlin;SQL;Other(s):")</f>
        <v>Bash/Shell/PowerShell;C#;HTML/CSS;Java;JavaScript;Kotlin;SQL;Other(s):</v>
      </c>
      <c r="C465" s="9" t="str">
        <f>IFERROR(__xludf.DUMMYFUNCTION("""COMPUTED_VALUE"""),"SQL")</f>
        <v>SQL</v>
      </c>
      <c r="D465" s="9" t="str">
        <f>IFERROR(__xludf.DUMMYFUNCTION("""COMPUTED_VALUE"""),"Java")</f>
        <v>Java</v>
      </c>
      <c r="E465" s="9" t="str">
        <f>IFERROR(__xludf.DUMMYFUNCTION("""COMPUTED_VALUE"""),"Other(s):")</f>
        <v>Other(s):</v>
      </c>
      <c r="F465" s="9" t="str">
        <f>IFERROR(__xludf.DUMMYFUNCTION("""COMPUTED_VALUE"""),"Java")</f>
        <v>Java</v>
      </c>
      <c r="G465" s="9" t="str">
        <f>IFERROR(__xludf.DUMMYFUNCTION("""COMPUTED_VALUE"""),"TypeScript")</f>
        <v>TypeScript</v>
      </c>
      <c r="H465" s="9" t="str">
        <f>IFERROR(__xludf.DUMMYFUNCTION("""COMPUTED_VALUE"""),"Python")</f>
        <v>Python</v>
      </c>
      <c r="I465" s="9" t="str">
        <f>IFERROR(__xludf.DUMMYFUNCTION("""COMPUTED_VALUE"""),"TypeScript")</f>
        <v>TypeScript</v>
      </c>
      <c r="J465" s="9" t="str">
        <f>IFERROR(__xludf.DUMMYFUNCTION("""COMPUTED_VALUE"""),"PHP")</f>
        <v>PHP</v>
      </c>
      <c r="K465" s="9" t="str">
        <f>IFERROR(__xludf.DUMMYFUNCTION("""COMPUTED_VALUE"""),"JavaScript")</f>
        <v>JavaScript</v>
      </c>
      <c r="L465" s="9" t="str">
        <f>IFERROR(__xludf.DUMMYFUNCTION("""COMPUTED_VALUE"""),"TypeScript")</f>
        <v>TypeScript</v>
      </c>
      <c r="M465" s="9" t="s">
        <v>27</v>
      </c>
    </row>
    <row r="466" ht="15.75" customHeight="1">
      <c r="A466" s="7"/>
      <c r="B466" s="7" t="str">
        <f>IFERROR(__xludf.DUMMYFUNCTION("""COMPUTED_VALUE"""),"Bash/Shell/PowerShell;JavaScript;PHP;SQL")</f>
        <v>Bash/Shell/PowerShell;JavaScript;PHP;SQL</v>
      </c>
      <c r="C466" s="9" t="str">
        <f>IFERROR(__xludf.DUMMYFUNCTION("""COMPUTED_VALUE"""),"C++")</f>
        <v>C++</v>
      </c>
      <c r="D466" s="9" t="str">
        <f>IFERROR(__xludf.DUMMYFUNCTION("""COMPUTED_VALUE"""),"PHP")</f>
        <v>PHP</v>
      </c>
      <c r="E466" s="9" t="str">
        <f>IFERROR(__xludf.DUMMYFUNCTION("""COMPUTED_VALUE"""),"JavaScript")</f>
        <v>JavaScript</v>
      </c>
      <c r="F466" s="9" t="str">
        <f>IFERROR(__xludf.DUMMYFUNCTION("""COMPUTED_VALUE"""),"Python")</f>
        <v>Python</v>
      </c>
      <c r="G466" s="9" t="str">
        <f>IFERROR(__xludf.DUMMYFUNCTION("""COMPUTED_VALUE"""),"WebAssembly")</f>
        <v>WebAssembly</v>
      </c>
      <c r="H466" s="9" t="str">
        <f>IFERROR(__xludf.DUMMYFUNCTION("""COMPUTED_VALUE"""),"Bash/Shell/PowerShell")</f>
        <v>Bash/Shell/PowerShell</v>
      </c>
      <c r="I466" s="9" t="str">
        <f>IFERROR(__xludf.DUMMYFUNCTION("""COMPUTED_VALUE"""),"Bash/Shell/PowerShell")</f>
        <v>Bash/Shell/PowerShell</v>
      </c>
      <c r="J466" s="9" t="str">
        <f>IFERROR(__xludf.DUMMYFUNCTION("""COMPUTED_VALUE"""),"SQL")</f>
        <v>SQL</v>
      </c>
      <c r="K466" s="9" t="str">
        <f>IFERROR(__xludf.DUMMYFUNCTION("""COMPUTED_VALUE"""),"PHP")</f>
        <v>PHP</v>
      </c>
      <c r="L466" s="9" t="str">
        <f>IFERROR(__xludf.DUMMYFUNCTION("""COMPUTED_VALUE"""),"Bash/Shell/PowerShell")</f>
        <v>Bash/Shell/PowerShell</v>
      </c>
      <c r="M466" s="9" t="s">
        <v>23</v>
      </c>
    </row>
    <row r="467" ht="15.75" customHeight="1">
      <c r="A467" s="7"/>
      <c r="B467" s="7" t="str">
        <f>IFERROR(__xludf.DUMMYFUNCTION("""COMPUTED_VALUE"""),"HTML/CSS;Java;JavaScript;PHP;SQL;TypeScript;Other(s):")</f>
        <v>HTML/CSS;Java;JavaScript;PHP;SQL;TypeScript;Other(s):</v>
      </c>
      <c r="C467" s="9" t="str">
        <f>IFERROR(__xludf.DUMMYFUNCTION("""COMPUTED_VALUE"""),"C#")</f>
        <v>C#</v>
      </c>
      <c r="D467" s="9" t="str">
        <f>IFERROR(__xludf.DUMMYFUNCTION("""COMPUTED_VALUE"""),"SQL")</f>
        <v>SQL</v>
      </c>
      <c r="E467" s="9" t="str">
        <f>IFERROR(__xludf.DUMMYFUNCTION("""COMPUTED_VALUE"""),"Ruby")</f>
        <v>Ruby</v>
      </c>
      <c r="F467" s="9" t="str">
        <f>IFERROR(__xludf.DUMMYFUNCTION("""COMPUTED_VALUE"""),"Scala")</f>
        <v>Scala</v>
      </c>
      <c r="G467" s="9" t="str">
        <f>IFERROR(__xludf.DUMMYFUNCTION("""COMPUTED_VALUE"""),"Java")</f>
        <v>Java</v>
      </c>
      <c r="H467" s="9" t="str">
        <f>IFERROR(__xludf.DUMMYFUNCTION("""COMPUTED_VALUE"""),"HTML/CSS")</f>
        <v>HTML/CSS</v>
      </c>
      <c r="I467" s="9" t="str">
        <f>IFERROR(__xludf.DUMMYFUNCTION("""COMPUTED_VALUE"""),"HTML/CSS")</f>
        <v>HTML/CSS</v>
      </c>
      <c r="J467" s="9" t="str">
        <f>IFERROR(__xludf.DUMMYFUNCTION("""COMPUTED_VALUE"""),"HTML/CSS")</f>
        <v>HTML/CSS</v>
      </c>
      <c r="K467" s="9" t="str">
        <f>IFERROR(__xludf.DUMMYFUNCTION("""COMPUTED_VALUE"""),"SQL")</f>
        <v>SQL</v>
      </c>
      <c r="L467" s="9" t="str">
        <f>IFERROR(__xludf.DUMMYFUNCTION("""COMPUTED_VALUE"""),"HTML/CSS")</f>
        <v>HTML/CSS</v>
      </c>
      <c r="M467" s="9" t="s">
        <v>26</v>
      </c>
    </row>
    <row r="468" ht="15.75" customHeight="1">
      <c r="A468" s="7"/>
      <c r="B468" s="7" t="str">
        <f>IFERROR(__xludf.DUMMYFUNCTION("""COMPUTED_VALUE"""),"Java;JavaScript")</f>
        <v>Java;JavaScript</v>
      </c>
      <c r="C468" s="9" t="str">
        <f>IFERROR(__xludf.DUMMYFUNCTION("""COMPUTED_VALUE"""),"HTML/CSS")</f>
        <v>HTML/CSS</v>
      </c>
      <c r="D468" s="9" t="str">
        <f>IFERROR(__xludf.DUMMYFUNCTION("""COMPUTED_VALUE"""),"HTML/CSS")</f>
        <v>HTML/CSS</v>
      </c>
      <c r="E468" s="9" t="str">
        <f>IFERROR(__xludf.DUMMYFUNCTION("""COMPUTED_VALUE"""),"SQL")</f>
        <v>SQL</v>
      </c>
      <c r="F468" s="9" t="str">
        <f>IFERROR(__xludf.DUMMYFUNCTION("""COMPUTED_VALUE"""),"HTML/CSS")</f>
        <v>HTML/CSS</v>
      </c>
      <c r="G468" s="9" t="str">
        <f>IFERROR(__xludf.DUMMYFUNCTION("""COMPUTED_VALUE"""),"JavaScript")</f>
        <v>JavaScript</v>
      </c>
      <c r="H468" s="9" t="str">
        <f>IFERROR(__xludf.DUMMYFUNCTION("""COMPUTED_VALUE"""),"JavaScript")</f>
        <v>JavaScript</v>
      </c>
      <c r="I468" s="9" t="str">
        <f>IFERROR(__xludf.DUMMYFUNCTION("""COMPUTED_VALUE"""),"Java")</f>
        <v>Java</v>
      </c>
      <c r="J468" s="9" t="str">
        <f>IFERROR(__xludf.DUMMYFUNCTION("""COMPUTED_VALUE"""),"JavaScript")</f>
        <v>JavaScript</v>
      </c>
      <c r="K468" s="9" t="str">
        <f>IFERROR(__xludf.DUMMYFUNCTION("""COMPUTED_VALUE"""),"VBA")</f>
        <v>VBA</v>
      </c>
      <c r="L468" s="9" t="str">
        <f>IFERROR(__xludf.DUMMYFUNCTION("""COMPUTED_VALUE"""),"JavaScript")</f>
        <v>JavaScript</v>
      </c>
      <c r="M468" s="9" t="s">
        <v>24</v>
      </c>
    </row>
    <row r="469" ht="15.75" customHeight="1">
      <c r="A469" s="7"/>
      <c r="B469" s="7" t="str">
        <f>IFERROR(__xludf.DUMMYFUNCTION("""COMPUTED_VALUE"""),"HTML/CSS;JavaScript;PHP;Python;SQL")</f>
        <v>HTML/CSS;JavaScript;PHP;Python;SQL</v>
      </c>
      <c r="C469" s="9" t="str">
        <f>IFERROR(__xludf.DUMMYFUNCTION("""COMPUTED_VALUE"""),"Java")</f>
        <v>Java</v>
      </c>
      <c r="D469" s="9" t="str">
        <f>IFERROR(__xludf.DUMMYFUNCTION("""COMPUTED_VALUE"""),"JavaScript")</f>
        <v>JavaScript</v>
      </c>
      <c r="E469" s="9" t="str">
        <f>IFERROR(__xludf.DUMMYFUNCTION("""COMPUTED_VALUE"""),"Assembly")</f>
        <v>Assembly</v>
      </c>
      <c r="F469" s="9" t="str">
        <f>IFERROR(__xludf.DUMMYFUNCTION("""COMPUTED_VALUE"""),"Java")</f>
        <v>Java</v>
      </c>
      <c r="G469" s="9" t="str">
        <f>IFERROR(__xludf.DUMMYFUNCTION("""COMPUTED_VALUE"""),"HTML/CSS")</f>
        <v>HTML/CSS</v>
      </c>
      <c r="H469" s="9" t="str">
        <f>IFERROR(__xludf.DUMMYFUNCTION("""COMPUTED_VALUE"""),"PHP")</f>
        <v>PHP</v>
      </c>
      <c r="I469" s="9" t="str">
        <f>IFERROR(__xludf.DUMMYFUNCTION("""COMPUTED_VALUE"""),"Rust")</f>
        <v>Rust</v>
      </c>
      <c r="J469" s="9" t="str">
        <f>IFERROR(__xludf.DUMMYFUNCTION("""COMPUTED_VALUE"""),"PHP")</f>
        <v>PHP</v>
      </c>
      <c r="K469" s="9" t="str">
        <f>IFERROR(__xludf.DUMMYFUNCTION("""COMPUTED_VALUE"""),"Java")</f>
        <v>Java</v>
      </c>
      <c r="L469" s="9" t="str">
        <f>IFERROR(__xludf.DUMMYFUNCTION("""COMPUTED_VALUE"""),"Python")</f>
        <v>Python</v>
      </c>
      <c r="M469" s="9" t="s">
        <v>20</v>
      </c>
    </row>
    <row r="470" ht="15.75" customHeight="1">
      <c r="A470" s="7"/>
      <c r="B470" s="7" t="str">
        <f>IFERROR(__xludf.DUMMYFUNCTION("""COMPUTED_VALUE"""),"C#;JavaScript")</f>
        <v>C#;JavaScript</v>
      </c>
      <c r="C470" s="9" t="str">
        <f>IFERROR(__xludf.DUMMYFUNCTION("""COMPUTED_VALUE"""),"JavaScript")</f>
        <v>JavaScript</v>
      </c>
      <c r="D470" s="9" t="str">
        <f>IFERROR(__xludf.DUMMYFUNCTION("""COMPUTED_VALUE"""),"Assembly")</f>
        <v>Assembly</v>
      </c>
      <c r="E470" s="9" t="str">
        <f>IFERROR(__xludf.DUMMYFUNCTION("""COMPUTED_VALUE"""),"Bash/Shell/PowerShell")</f>
        <v>Bash/Shell/PowerShell</v>
      </c>
      <c r="F470" s="9" t="str">
        <f>IFERROR(__xludf.DUMMYFUNCTION("""COMPUTED_VALUE"""),"JavaScript")</f>
        <v>JavaScript</v>
      </c>
      <c r="G470" s="9" t="str">
        <f>IFERROR(__xludf.DUMMYFUNCTION("""COMPUTED_VALUE"""),"JavaScript")</f>
        <v>JavaScript</v>
      </c>
      <c r="H470" s="9" t="str">
        <f>IFERROR(__xludf.DUMMYFUNCTION("""COMPUTED_VALUE"""),"TypeScript")</f>
        <v>TypeScript</v>
      </c>
      <c r="I470" s="9" t="str">
        <f>IFERROR(__xludf.DUMMYFUNCTION("""COMPUTED_VALUE"""),"Assembly")</f>
        <v>Assembly</v>
      </c>
      <c r="J470" s="9" t="str">
        <f>IFERROR(__xludf.DUMMYFUNCTION("""COMPUTED_VALUE"""),"SQL")</f>
        <v>SQL</v>
      </c>
      <c r="K470" s="9" t="str">
        <f>IFERROR(__xludf.DUMMYFUNCTION("""COMPUTED_VALUE"""),"Kotlin")</f>
        <v>Kotlin</v>
      </c>
      <c r="L470" s="9" t="str">
        <f>IFERROR(__xludf.DUMMYFUNCTION("""COMPUTED_VALUE"""),"SQL")</f>
        <v>SQL</v>
      </c>
      <c r="M470" s="9" t="s">
        <v>21</v>
      </c>
    </row>
    <row r="471" ht="15.75" customHeight="1">
      <c r="A471" s="7"/>
      <c r="B471" s="7" t="str">
        <f>IFERROR(__xludf.DUMMYFUNCTION("""COMPUTED_VALUE"""),"Java;JavaScript;Other(s):")</f>
        <v>Java;JavaScript;Other(s):</v>
      </c>
      <c r="C471" s="9" t="str">
        <f>IFERROR(__xludf.DUMMYFUNCTION("""COMPUTED_VALUE"""),"SQL")</f>
        <v>SQL</v>
      </c>
      <c r="D471" s="9" t="str">
        <f>IFERROR(__xludf.DUMMYFUNCTION("""COMPUTED_VALUE"""),"Bash/Shell/PowerShell")</f>
        <v>Bash/Shell/PowerShell</v>
      </c>
      <c r="E471" s="9" t="str">
        <f>IFERROR(__xludf.DUMMYFUNCTION("""COMPUTED_VALUE"""),"C")</f>
        <v>C</v>
      </c>
      <c r="F471" s="9" t="str">
        <f>IFERROR(__xludf.DUMMYFUNCTION("""COMPUTED_VALUE"""),"HTML/CSS")</f>
        <v>HTML/CSS</v>
      </c>
      <c r="G471" s="9" t="str">
        <f>IFERROR(__xludf.DUMMYFUNCTION("""COMPUTED_VALUE"""),"Python")</f>
        <v>Python</v>
      </c>
      <c r="H471" s="9" t="str">
        <f>IFERROR(__xludf.DUMMYFUNCTION("""COMPUTED_VALUE"""),"HTML/CSS")</f>
        <v>HTML/CSS</v>
      </c>
      <c r="I471" s="9" t="str">
        <f>IFERROR(__xludf.DUMMYFUNCTION("""COMPUTED_VALUE"""),"Python")</f>
        <v>Python</v>
      </c>
      <c r="J471" s="9" t="str">
        <f>IFERROR(__xludf.DUMMYFUNCTION("""COMPUTED_VALUE"""),"HTML/CSS")</f>
        <v>HTML/CSS</v>
      </c>
      <c r="K471" s="9" t="str">
        <f>IFERROR(__xludf.DUMMYFUNCTION("""COMPUTED_VALUE"""),"HTML/CSS")</f>
        <v>HTML/CSS</v>
      </c>
      <c r="L471" s="9" t="str">
        <f>IFERROR(__xludf.DUMMYFUNCTION("""COMPUTED_VALUE"""),"Bash/Shell/PowerShell")</f>
        <v>Bash/Shell/PowerShell</v>
      </c>
      <c r="M471" s="9" t="s">
        <v>27</v>
      </c>
    </row>
    <row r="472" ht="15.75" customHeight="1">
      <c r="A472" s="7"/>
      <c r="B472" s="7" t="str">
        <f>IFERROR(__xludf.DUMMYFUNCTION("""COMPUTED_VALUE"""),"C#;HTML/CSS;JavaScript;PHP;TypeScript")</f>
        <v>C#;HTML/CSS;JavaScript;PHP;TypeScript</v>
      </c>
      <c r="C472" s="9" t="str">
        <f>IFERROR(__xludf.DUMMYFUNCTION("""COMPUTED_VALUE"""),"TypeScript")</f>
        <v>TypeScript</v>
      </c>
      <c r="D472" s="9" t="str">
        <f>IFERROR(__xludf.DUMMYFUNCTION("""COMPUTED_VALUE"""),"C")</f>
        <v>C</v>
      </c>
      <c r="E472" s="9" t="str">
        <f>IFERROR(__xludf.DUMMYFUNCTION("""COMPUTED_VALUE"""),"C++")</f>
        <v>C++</v>
      </c>
      <c r="F472" s="9" t="str">
        <f>IFERROR(__xludf.DUMMYFUNCTION("""COMPUTED_VALUE"""),"Java")</f>
        <v>Java</v>
      </c>
      <c r="G472" s="9" t="str">
        <f>IFERROR(__xludf.DUMMYFUNCTION("""COMPUTED_VALUE"""),"SQL")</f>
        <v>SQL</v>
      </c>
      <c r="H472" s="9" t="str">
        <f>IFERROR(__xludf.DUMMYFUNCTION("""COMPUTED_VALUE"""),"Java")</f>
        <v>Java</v>
      </c>
      <c r="I472" s="9" t="str">
        <f>IFERROR(__xludf.DUMMYFUNCTION("""COMPUTED_VALUE"""),"R")</f>
        <v>R</v>
      </c>
      <c r="J472" s="9" t="str">
        <f>IFERROR(__xludf.DUMMYFUNCTION("""COMPUTED_VALUE"""),"Java")</f>
        <v>Java</v>
      </c>
      <c r="K472" s="9" t="str">
        <f>IFERROR(__xludf.DUMMYFUNCTION("""COMPUTED_VALUE"""),"JavaScript")</f>
        <v>JavaScript</v>
      </c>
      <c r="L472" s="9" t="str">
        <f>IFERROR(__xludf.DUMMYFUNCTION("""COMPUTED_VALUE"""),"C#")</f>
        <v>C#</v>
      </c>
      <c r="M472" s="9" t="s">
        <v>33</v>
      </c>
    </row>
    <row r="473" ht="15.75" customHeight="1">
      <c r="A473" s="7"/>
      <c r="B473" s="7" t="str">
        <f>IFERROR(__xludf.DUMMYFUNCTION("""COMPUTED_VALUE"""),"HTML/CSS;JavaScript;PHP;Scala")</f>
        <v>HTML/CSS;JavaScript;PHP;Scala</v>
      </c>
      <c r="C473" s="9" t="str">
        <f>IFERROR(__xludf.DUMMYFUNCTION("""COMPUTED_VALUE"""),"Bash/Shell/PowerShell")</f>
        <v>Bash/Shell/PowerShell</v>
      </c>
      <c r="D473" s="9" t="str">
        <f>IFERROR(__xludf.DUMMYFUNCTION("""COMPUTED_VALUE"""),"HTML/CSS")</f>
        <v>HTML/CSS</v>
      </c>
      <c r="E473" s="9" t="str">
        <f>IFERROR(__xludf.DUMMYFUNCTION("""COMPUTED_VALUE"""),"C#")</f>
        <v>C#</v>
      </c>
      <c r="F473" s="9" t="str">
        <f>IFERROR(__xludf.DUMMYFUNCTION("""COMPUTED_VALUE"""),"JavaScript")</f>
        <v>JavaScript</v>
      </c>
      <c r="G473" s="9" t="str">
        <f>IFERROR(__xludf.DUMMYFUNCTION("""COMPUTED_VALUE"""),"Go")</f>
        <v>Go</v>
      </c>
      <c r="H473" s="9" t="str">
        <f>IFERROR(__xludf.DUMMYFUNCTION("""COMPUTED_VALUE"""),"PHP")</f>
        <v>PHP</v>
      </c>
      <c r="I473" s="9" t="str">
        <f>IFERROR(__xludf.DUMMYFUNCTION("""COMPUTED_VALUE"""),"VBA")</f>
        <v>VBA</v>
      </c>
      <c r="J473" s="9" t="str">
        <f>IFERROR(__xludf.DUMMYFUNCTION("""COMPUTED_VALUE"""),"JavaScript")</f>
        <v>JavaScript</v>
      </c>
      <c r="K473" s="9" t="str">
        <f>IFERROR(__xludf.DUMMYFUNCTION("""COMPUTED_VALUE"""),"PHP")</f>
        <v>PHP</v>
      </c>
      <c r="L473" s="9" t="str">
        <f>IFERROR(__xludf.DUMMYFUNCTION("""COMPUTED_VALUE"""),"SQL")</f>
        <v>SQL</v>
      </c>
      <c r="M473" s="9" t="s">
        <v>30</v>
      </c>
    </row>
    <row r="474" ht="15.75" customHeight="1">
      <c r="A474" s="7"/>
      <c r="B474" s="7" t="str">
        <f>IFERROR(__xludf.DUMMYFUNCTION("""COMPUTED_VALUE"""),"Bash/Shell/PowerShell;HTML/CSS;JavaScript;PHP;SQL;TypeScript")</f>
        <v>Bash/Shell/PowerShell;HTML/CSS;JavaScript;PHP;SQL;TypeScript</v>
      </c>
      <c r="C474" s="9" t="str">
        <f>IFERROR(__xludf.DUMMYFUNCTION("""COMPUTED_VALUE"""),"Python")</f>
        <v>Python</v>
      </c>
      <c r="D474" s="9" t="str">
        <f>IFERROR(__xludf.DUMMYFUNCTION("""COMPUTED_VALUE"""),"JavaScript")</f>
        <v>JavaScript</v>
      </c>
      <c r="E474" s="9" t="str">
        <f>IFERROR(__xludf.DUMMYFUNCTION("""COMPUTED_VALUE"""),"Erlang")</f>
        <v>Erlang</v>
      </c>
      <c r="F474" s="9" t="str">
        <f>IFERROR(__xludf.DUMMYFUNCTION("""COMPUTED_VALUE"""),"PHP")</f>
        <v>PHP</v>
      </c>
      <c r="G474" s="9" t="str">
        <f>IFERROR(__xludf.DUMMYFUNCTION("""COMPUTED_VALUE"""),"PHP")</f>
        <v>PHP</v>
      </c>
      <c r="H474" s="9" t="str">
        <f>IFERROR(__xludf.DUMMYFUNCTION("""COMPUTED_VALUE"""),"SQL")</f>
        <v>SQL</v>
      </c>
      <c r="I474" s="9" t="str">
        <f>IFERROR(__xludf.DUMMYFUNCTION("""COMPUTED_VALUE"""),"Bash/Shell/PowerShell")</f>
        <v>Bash/Shell/PowerShell</v>
      </c>
      <c r="J474" s="9" t="str">
        <f>IFERROR(__xludf.DUMMYFUNCTION("""COMPUTED_VALUE"""),"PHP")</f>
        <v>PHP</v>
      </c>
      <c r="K474" s="9" t="str">
        <f>IFERROR(__xludf.DUMMYFUNCTION("""COMPUTED_VALUE"""),"SQL")</f>
        <v>SQL</v>
      </c>
      <c r="L474" s="9" t="str">
        <f>IFERROR(__xludf.DUMMYFUNCTION("""COMPUTED_VALUE"""),"C#")</f>
        <v>C#</v>
      </c>
      <c r="M474" s="9" t="s">
        <v>22</v>
      </c>
    </row>
    <row r="475" ht="15.75" customHeight="1">
      <c r="A475" s="7"/>
      <c r="B475" s="7" t="str">
        <f>IFERROR(__xludf.DUMMYFUNCTION("""COMPUTED_VALUE"""),"C++;HTML/CSS;JavaScript;PHP;Python;Ruby;SQL")</f>
        <v>C++;HTML/CSS;JavaScript;PHP;Python;Ruby;SQL</v>
      </c>
      <c r="C475" s="9" t="str">
        <f>IFERROR(__xludf.DUMMYFUNCTION("""COMPUTED_VALUE"""),"Bash/Shell/PowerShell")</f>
        <v>Bash/Shell/PowerShell</v>
      </c>
      <c r="D475" s="9" t="str">
        <f>IFERROR(__xludf.DUMMYFUNCTION("""COMPUTED_VALUE"""),"PHP")</f>
        <v>PHP</v>
      </c>
      <c r="E475" s="9" t="str">
        <f>IFERROR(__xludf.DUMMYFUNCTION("""COMPUTED_VALUE"""),"F#")</f>
        <v>F#</v>
      </c>
      <c r="F475" s="9" t="str">
        <f>IFERROR(__xludf.DUMMYFUNCTION("""COMPUTED_VALUE"""),"Swift")</f>
        <v>Swift</v>
      </c>
      <c r="G475" s="9" t="str">
        <f>IFERROR(__xludf.DUMMYFUNCTION("""COMPUTED_VALUE"""),"Assembly")</f>
        <v>Assembly</v>
      </c>
      <c r="H475" s="9" t="str">
        <f>IFERROR(__xludf.DUMMYFUNCTION("""COMPUTED_VALUE"""),"Bash/Shell/PowerShell")</f>
        <v>Bash/Shell/PowerShell</v>
      </c>
      <c r="I475" s="9" t="str">
        <f>IFERROR(__xludf.DUMMYFUNCTION("""COMPUTED_VALUE"""),"C#")</f>
        <v>C#</v>
      </c>
      <c r="J475" s="9" t="str">
        <f>IFERROR(__xludf.DUMMYFUNCTION("""COMPUTED_VALUE"""),"C")</f>
        <v>C</v>
      </c>
      <c r="K475" s="9" t="str">
        <f>IFERROR(__xludf.DUMMYFUNCTION("""COMPUTED_VALUE"""),"C#")</f>
        <v>C#</v>
      </c>
      <c r="L475" s="9" t="str">
        <f>IFERROR(__xludf.DUMMYFUNCTION("""COMPUTED_VALUE"""),"HTML/CSS")</f>
        <v>HTML/CSS</v>
      </c>
      <c r="M475" s="9" t="s">
        <v>30</v>
      </c>
    </row>
    <row r="476" ht="15.75" customHeight="1">
      <c r="A476" s="7"/>
      <c r="B476" s="7" t="str">
        <f>IFERROR(__xludf.DUMMYFUNCTION("""COMPUTED_VALUE"""),"C#;HTML/CSS;JavaScript;SQL;Other(s):")</f>
        <v>C#;HTML/CSS;JavaScript;SQL;Other(s):</v>
      </c>
      <c r="C476" s="9" t="str">
        <f>IFERROR(__xludf.DUMMYFUNCTION("""COMPUTED_VALUE"""),"C#")</f>
        <v>C#</v>
      </c>
      <c r="D476" s="9" t="str">
        <f>IFERROR(__xludf.DUMMYFUNCTION("""COMPUTED_VALUE"""),"Python")</f>
        <v>Python</v>
      </c>
      <c r="E476" s="9" t="str">
        <f>IFERROR(__xludf.DUMMYFUNCTION("""COMPUTED_VALUE"""),"Go")</f>
        <v>Go</v>
      </c>
      <c r="F476" s="9" t="str">
        <f>IFERROR(__xludf.DUMMYFUNCTION("""COMPUTED_VALUE"""),"HTML/CSS")</f>
        <v>HTML/CSS</v>
      </c>
      <c r="G476" s="9" t="str">
        <f>IFERROR(__xludf.DUMMYFUNCTION("""COMPUTED_VALUE"""),"Bash/Shell/PowerShell")</f>
        <v>Bash/Shell/PowerShell</v>
      </c>
      <c r="H476" s="9" t="str">
        <f>IFERROR(__xludf.DUMMYFUNCTION("""COMPUTED_VALUE"""),"HTML/CSS")</f>
        <v>HTML/CSS</v>
      </c>
      <c r="I476" s="9" t="str">
        <f>IFERROR(__xludf.DUMMYFUNCTION("""COMPUTED_VALUE"""),"Go")</f>
        <v>Go</v>
      </c>
      <c r="J476" s="9" t="str">
        <f>IFERROR(__xludf.DUMMYFUNCTION("""COMPUTED_VALUE"""),"HTML/CSS")</f>
        <v>HTML/CSS</v>
      </c>
      <c r="K476" s="9" t="str">
        <f>IFERROR(__xludf.DUMMYFUNCTION("""COMPUTED_VALUE"""),"HTML/CSS")</f>
        <v>HTML/CSS</v>
      </c>
      <c r="L476" s="9" t="str">
        <f>IFERROR(__xludf.DUMMYFUNCTION("""COMPUTED_VALUE"""),"PHP")</f>
        <v>PHP</v>
      </c>
      <c r="M476" s="9" t="s">
        <v>26</v>
      </c>
    </row>
    <row r="477" ht="15.75" customHeight="1">
      <c r="A477" s="7"/>
      <c r="B477" s="7" t="str">
        <f>IFERROR(__xludf.DUMMYFUNCTION("""COMPUTED_VALUE"""),"C;C++;Dart;Java;Python")</f>
        <v>C;C++;Dart;Java;Python</v>
      </c>
      <c r="C477" s="9" t="str">
        <f>IFERROR(__xludf.DUMMYFUNCTION("""COMPUTED_VALUE"""),"HTML/CSS")</f>
        <v>HTML/CSS</v>
      </c>
      <c r="D477" s="9" t="str">
        <f>IFERROR(__xludf.DUMMYFUNCTION("""COMPUTED_VALUE"""),"SQL")</f>
        <v>SQL</v>
      </c>
      <c r="E477" s="9" t="str">
        <f>IFERROR(__xludf.DUMMYFUNCTION("""COMPUTED_VALUE"""),"HTML/CSS")</f>
        <v>HTML/CSS</v>
      </c>
      <c r="F477" s="9" t="str">
        <f>IFERROR(__xludf.DUMMYFUNCTION("""COMPUTED_VALUE"""),"Java")</f>
        <v>Java</v>
      </c>
      <c r="G477" s="9" t="str">
        <f>IFERROR(__xludf.DUMMYFUNCTION("""COMPUTED_VALUE"""),"C")</f>
        <v>C</v>
      </c>
      <c r="H477" s="9" t="str">
        <f>IFERROR(__xludf.DUMMYFUNCTION("""COMPUTED_VALUE"""),"JavaScript")</f>
        <v>JavaScript</v>
      </c>
      <c r="I477" s="9" t="str">
        <f>IFERROR(__xludf.DUMMYFUNCTION("""COMPUTED_VALUE"""),"JavaScript")</f>
        <v>JavaScript</v>
      </c>
      <c r="J477" s="9" t="str">
        <f>IFERROR(__xludf.DUMMYFUNCTION("""COMPUTED_VALUE"""),"Java")</f>
        <v>Java</v>
      </c>
      <c r="K477" s="9" t="str">
        <f>IFERROR(__xludf.DUMMYFUNCTION("""COMPUTED_VALUE"""),"JavaScript")</f>
        <v>JavaScript</v>
      </c>
      <c r="L477" s="9" t="str">
        <f>IFERROR(__xludf.DUMMYFUNCTION("""COMPUTED_VALUE"""),"SQL")</f>
        <v>SQL</v>
      </c>
      <c r="M477" s="9" t="s">
        <v>24</v>
      </c>
    </row>
    <row r="478" ht="15.75" customHeight="1">
      <c r="A478" s="7"/>
      <c r="B478" s="7" t="str">
        <f>IFERROR(__xludf.DUMMYFUNCTION("""COMPUTED_VALUE"""),"Bash/Shell/PowerShell;Kotlin")</f>
        <v>Bash/Shell/PowerShell;Kotlin</v>
      </c>
      <c r="C478" s="9" t="str">
        <f>IFERROR(__xludf.DUMMYFUNCTION("""COMPUTED_VALUE"""),"Java")</f>
        <v>Java</v>
      </c>
      <c r="D478" s="9" t="str">
        <f>IFERROR(__xludf.DUMMYFUNCTION("""COMPUTED_VALUE"""),"Other(s):")</f>
        <v>Other(s):</v>
      </c>
      <c r="E478" s="9" t="str">
        <f>IFERROR(__xludf.DUMMYFUNCTION("""COMPUTED_VALUE"""),"Java")</f>
        <v>Java</v>
      </c>
      <c r="F478" s="9" t="str">
        <f>IFERROR(__xludf.DUMMYFUNCTION("""COMPUTED_VALUE"""),"JavaScript")</f>
        <v>JavaScript</v>
      </c>
      <c r="G478" s="9" t="str">
        <f>IFERROR(__xludf.DUMMYFUNCTION("""COMPUTED_VALUE"""),"C#")</f>
        <v>C#</v>
      </c>
      <c r="H478" s="9" t="str">
        <f>IFERROR(__xludf.DUMMYFUNCTION("""COMPUTED_VALUE"""),"Python")</f>
        <v>Python</v>
      </c>
      <c r="I478" s="9" t="str">
        <f>IFERROR(__xludf.DUMMYFUNCTION("""COMPUTED_VALUE"""),"SQL")</f>
        <v>SQL</v>
      </c>
      <c r="J478" s="9" t="str">
        <f>IFERROR(__xludf.DUMMYFUNCTION("""COMPUTED_VALUE"""),"JavaScript")</f>
        <v>JavaScript</v>
      </c>
      <c r="K478" s="9" t="str">
        <f>IFERROR(__xludf.DUMMYFUNCTION("""COMPUTED_VALUE"""),"Python")</f>
        <v>Python</v>
      </c>
      <c r="L478" s="9" t="str">
        <f>IFERROR(__xludf.DUMMYFUNCTION("""COMPUTED_VALUE"""),"Other(s):")</f>
        <v>Other(s):</v>
      </c>
      <c r="M478" s="9" t="s">
        <v>20</v>
      </c>
    </row>
    <row r="479" ht="15.75" customHeight="1">
      <c r="A479" s="7"/>
      <c r="B479" s="7" t="str">
        <f>IFERROR(__xludf.DUMMYFUNCTION("""COMPUTED_VALUE"""),"Bash/Shell/PowerShell;HTML/CSS;PHP")</f>
        <v>Bash/Shell/PowerShell;HTML/CSS;PHP</v>
      </c>
      <c r="C479" s="9" t="str">
        <f>IFERROR(__xludf.DUMMYFUNCTION("""COMPUTED_VALUE"""),"JavaScript")</f>
        <v>JavaScript</v>
      </c>
      <c r="D479" s="9" t="str">
        <f>IFERROR(__xludf.DUMMYFUNCTION("""COMPUTED_VALUE"""),"Bash/Shell/PowerShell")</f>
        <v>Bash/Shell/PowerShell</v>
      </c>
      <c r="E479" s="9" t="str">
        <f>IFERROR(__xludf.DUMMYFUNCTION("""COMPUTED_VALUE"""),"JavaScript")</f>
        <v>JavaScript</v>
      </c>
      <c r="F479" s="9" t="str">
        <f>IFERROR(__xludf.DUMMYFUNCTION("""COMPUTED_VALUE"""),"Python")</f>
        <v>Python</v>
      </c>
      <c r="G479" s="9" t="str">
        <f>IFERROR(__xludf.DUMMYFUNCTION("""COMPUTED_VALUE"""),"HTML/CSS")</f>
        <v>HTML/CSS</v>
      </c>
      <c r="H479" s="9" t="str">
        <f>IFERROR(__xludf.DUMMYFUNCTION("""COMPUTED_VALUE"""),"SQL")</f>
        <v>SQL</v>
      </c>
      <c r="I479" s="9" t="str">
        <f>IFERROR(__xludf.DUMMYFUNCTION("""COMPUTED_VALUE"""),"TypeScript")</f>
        <v>TypeScript</v>
      </c>
      <c r="J479" s="9" t="str">
        <f>IFERROR(__xludf.DUMMYFUNCTION("""COMPUTED_VALUE"""),"PHP")</f>
        <v>PHP</v>
      </c>
      <c r="K479" s="9" t="str">
        <f>IFERROR(__xludf.DUMMYFUNCTION("""COMPUTED_VALUE"""),"SQL")</f>
        <v>SQL</v>
      </c>
      <c r="L479" s="9" t="str">
        <f>IFERROR(__xludf.DUMMYFUNCTION("""COMPUTED_VALUE"""),"C")</f>
        <v>C</v>
      </c>
      <c r="M479" s="9" t="s">
        <v>21</v>
      </c>
    </row>
    <row r="480" ht="15.75" customHeight="1">
      <c r="A480" s="7"/>
      <c r="B480" s="7" t="str">
        <f>IFERROR(__xludf.DUMMYFUNCTION("""COMPUTED_VALUE"""),"Bash/Shell/PowerShell;C#;HTML/CSS;Java;JavaScript;PHP;Python;SQL")</f>
        <v>Bash/Shell/PowerShell;C#;HTML/CSS;Java;JavaScript;PHP;Python;SQL</v>
      </c>
      <c r="C480" s="9" t="str">
        <f>IFERROR(__xludf.DUMMYFUNCTION("""COMPUTED_VALUE"""),"Objective-C")</f>
        <v>Objective-C</v>
      </c>
      <c r="D480" s="9" t="str">
        <f>IFERROR(__xludf.DUMMYFUNCTION("""COMPUTED_VALUE"""),"HTML/CSS")</f>
        <v>HTML/CSS</v>
      </c>
      <c r="E480" s="9" t="str">
        <f>IFERROR(__xludf.DUMMYFUNCTION("""COMPUTED_VALUE"""),"Kotlin")</f>
        <v>Kotlin</v>
      </c>
      <c r="F480" s="9" t="str">
        <f>IFERROR(__xludf.DUMMYFUNCTION("""COMPUTED_VALUE"""),"Python")</f>
        <v>Python</v>
      </c>
      <c r="G480" s="9" t="str">
        <f>IFERROR(__xludf.DUMMYFUNCTION("""COMPUTED_VALUE"""),"Java")</f>
        <v>Java</v>
      </c>
      <c r="H480" s="9" t="str">
        <f>IFERROR(__xludf.DUMMYFUNCTION("""COMPUTED_VALUE"""),"C#")</f>
        <v>C#</v>
      </c>
      <c r="I480" s="9" t="str">
        <f>IFERROR(__xludf.DUMMYFUNCTION("""COMPUTED_VALUE"""),"Java")</f>
        <v>Java</v>
      </c>
      <c r="J480" s="9" t="str">
        <f>IFERROR(__xludf.DUMMYFUNCTION("""COMPUTED_VALUE"""),"Python")</f>
        <v>Python</v>
      </c>
      <c r="K480" s="9" t="str">
        <f>IFERROR(__xludf.DUMMYFUNCTION("""COMPUTED_VALUE"""),"C++")</f>
        <v>C++</v>
      </c>
      <c r="L480" s="9" t="str">
        <f>IFERROR(__xludf.DUMMYFUNCTION("""COMPUTED_VALUE"""),"C#")</f>
        <v>C#</v>
      </c>
      <c r="M480" s="9" t="s">
        <v>41</v>
      </c>
    </row>
    <row r="481" ht="15.75" customHeight="1">
      <c r="A481" s="7"/>
      <c r="B481" s="7" t="str">
        <f>IFERROR(__xludf.DUMMYFUNCTION("""COMPUTED_VALUE"""),"HTML/CSS;Java;PHP;Python;SQL")</f>
        <v>HTML/CSS;Java;PHP;Python;SQL</v>
      </c>
      <c r="C481" s="9" t="str">
        <f>IFERROR(__xludf.DUMMYFUNCTION("""COMPUTED_VALUE"""),"PHP")</f>
        <v>PHP</v>
      </c>
      <c r="D481" s="9" t="str">
        <f>IFERROR(__xludf.DUMMYFUNCTION("""COMPUTED_VALUE"""),"Java")</f>
        <v>Java</v>
      </c>
      <c r="E481" s="9" t="str">
        <f>IFERROR(__xludf.DUMMYFUNCTION("""COMPUTED_VALUE"""),"Python")</f>
        <v>Python</v>
      </c>
      <c r="F481" s="9" t="str">
        <f>IFERROR(__xludf.DUMMYFUNCTION("""COMPUTED_VALUE"""),"SQL")</f>
        <v>SQL</v>
      </c>
      <c r="G481" s="9" t="str">
        <f>IFERROR(__xludf.DUMMYFUNCTION("""COMPUTED_VALUE"""),"Python")</f>
        <v>Python</v>
      </c>
      <c r="H481" s="9" t="str">
        <f>IFERROR(__xludf.DUMMYFUNCTION("""COMPUTED_VALUE"""),"HTML/CSS")</f>
        <v>HTML/CSS</v>
      </c>
      <c r="I481" s="9" t="str">
        <f>IFERROR(__xludf.DUMMYFUNCTION("""COMPUTED_VALUE"""),"Python")</f>
        <v>Python</v>
      </c>
      <c r="J481" s="9" t="str">
        <f>IFERROR(__xludf.DUMMYFUNCTION("""COMPUTED_VALUE"""),"C")</f>
        <v>C</v>
      </c>
      <c r="K481" s="9" t="str">
        <f>IFERROR(__xludf.DUMMYFUNCTION("""COMPUTED_VALUE"""),"HTML/CSS")</f>
        <v>HTML/CSS</v>
      </c>
      <c r="L481" s="9" t="str">
        <f>IFERROR(__xludf.DUMMYFUNCTION("""COMPUTED_VALUE"""),"HTML/CSS")</f>
        <v>HTML/CSS</v>
      </c>
      <c r="M481" s="9" t="s">
        <v>37</v>
      </c>
    </row>
    <row r="482" ht="15.75" customHeight="1">
      <c r="A482" s="7"/>
      <c r="B482" s="7" t="str">
        <f>IFERROR(__xludf.DUMMYFUNCTION("""COMPUTED_VALUE"""),"Java;JavaScript;Scala")</f>
        <v>Java;JavaScript;Scala</v>
      </c>
      <c r="C482" s="9" t="str">
        <f>IFERROR(__xludf.DUMMYFUNCTION("""COMPUTED_VALUE"""),"Python")</f>
        <v>Python</v>
      </c>
      <c r="D482" s="9" t="str">
        <f>IFERROR(__xludf.DUMMYFUNCTION("""COMPUTED_VALUE"""),"JavaScript")</f>
        <v>JavaScript</v>
      </c>
      <c r="E482" s="9" t="str">
        <f>IFERROR(__xludf.DUMMYFUNCTION("""COMPUTED_VALUE"""),"R")</f>
        <v>R</v>
      </c>
      <c r="F482" s="9" t="str">
        <f>IFERROR(__xludf.DUMMYFUNCTION("""COMPUTED_VALUE"""),"C")</f>
        <v>C</v>
      </c>
      <c r="G482" s="9" t="str">
        <f>IFERROR(__xludf.DUMMYFUNCTION("""COMPUTED_VALUE"""),"C#")</f>
        <v>C#</v>
      </c>
      <c r="H482" s="9" t="str">
        <f>IFERROR(__xludf.DUMMYFUNCTION("""COMPUTED_VALUE"""),"JavaScript")</f>
        <v>JavaScript</v>
      </c>
      <c r="I482" s="9" t="str">
        <f>IFERROR(__xludf.DUMMYFUNCTION("""COMPUTED_VALUE"""),"C#")</f>
        <v>C#</v>
      </c>
      <c r="J482" s="9" t="str">
        <f>IFERROR(__xludf.DUMMYFUNCTION("""COMPUTED_VALUE"""),"C++")</f>
        <v>C++</v>
      </c>
      <c r="K482" s="9" t="str">
        <f>IFERROR(__xludf.DUMMYFUNCTION("""COMPUTED_VALUE"""),"Java")</f>
        <v>Java</v>
      </c>
      <c r="L482" s="9" t="str">
        <f>IFERROR(__xludf.DUMMYFUNCTION("""COMPUTED_VALUE"""),"JavaScript")</f>
        <v>JavaScript</v>
      </c>
      <c r="M482" s="9" t="s">
        <v>22</v>
      </c>
    </row>
    <row r="483" ht="15.75" customHeight="1">
      <c r="A483" s="7"/>
      <c r="B483" s="7" t="str">
        <f>IFERROR(__xludf.DUMMYFUNCTION("""COMPUTED_VALUE"""),"Bash/Shell/PowerShell;HTML/CSS;JavaScript;TypeScript")</f>
        <v>Bash/Shell/PowerShell;HTML/CSS;JavaScript;TypeScript</v>
      </c>
      <c r="C483" s="9" t="str">
        <f>IFERROR(__xludf.DUMMYFUNCTION("""COMPUTED_VALUE"""),"Ruby")</f>
        <v>Ruby</v>
      </c>
      <c r="D483" s="9" t="str">
        <f>IFERROR(__xludf.DUMMYFUNCTION("""COMPUTED_VALUE"""),"Objective-C")</f>
        <v>Objective-C</v>
      </c>
      <c r="E483" s="9" t="str">
        <f>IFERROR(__xludf.DUMMYFUNCTION("""COMPUTED_VALUE"""),"Rust")</f>
        <v>Rust</v>
      </c>
      <c r="F483" s="9" t="str">
        <f>IFERROR(__xludf.DUMMYFUNCTION("""COMPUTED_VALUE"""),"C++")</f>
        <v>C++</v>
      </c>
      <c r="G483" s="9" t="str">
        <f>IFERROR(__xludf.DUMMYFUNCTION("""COMPUTED_VALUE"""),"HTML/CSS")</f>
        <v>HTML/CSS</v>
      </c>
      <c r="H483" s="9" t="str">
        <f>IFERROR(__xludf.DUMMYFUNCTION("""COMPUTED_VALUE"""),"SQL")</f>
        <v>SQL</v>
      </c>
      <c r="I483" s="9" t="str">
        <f>IFERROR(__xludf.DUMMYFUNCTION("""COMPUTED_VALUE"""),"Java")</f>
        <v>Java</v>
      </c>
      <c r="J483" s="9" t="str">
        <f>IFERROR(__xludf.DUMMYFUNCTION("""COMPUTED_VALUE"""),"C#")</f>
        <v>C#</v>
      </c>
      <c r="K483" s="9" t="str">
        <f>IFERROR(__xludf.DUMMYFUNCTION("""COMPUTED_VALUE"""),"JavaScript")</f>
        <v>JavaScript</v>
      </c>
      <c r="L483" s="9" t="str">
        <f>IFERROR(__xludf.DUMMYFUNCTION("""COMPUTED_VALUE"""),"PHP")</f>
        <v>PHP</v>
      </c>
      <c r="M483" s="9" t="s">
        <v>31</v>
      </c>
    </row>
    <row r="484" ht="15.75" customHeight="1">
      <c r="A484" s="7"/>
      <c r="B484" s="7" t="str">
        <f>IFERROR(__xludf.DUMMYFUNCTION("""COMPUTED_VALUE"""),"Bash/Shell/PowerShell;C++;C#;HTML/CSS;JavaScript;PHP;SQL;TypeScript")</f>
        <v>Bash/Shell/PowerShell;C++;C#;HTML/CSS;JavaScript;PHP;SQL;TypeScript</v>
      </c>
      <c r="C484" s="9" t="str">
        <f>IFERROR(__xludf.DUMMYFUNCTION("""COMPUTED_VALUE"""),"SQL")</f>
        <v>SQL</v>
      </c>
      <c r="D484" s="9" t="str">
        <f>IFERROR(__xludf.DUMMYFUNCTION("""COMPUTED_VALUE"""),"Bash/Shell/PowerShell")</f>
        <v>Bash/Shell/PowerShell</v>
      </c>
      <c r="E484" s="9" t="str">
        <f>IFERROR(__xludf.DUMMYFUNCTION("""COMPUTED_VALUE"""),"Swift")</f>
        <v>Swift</v>
      </c>
      <c r="F484" s="9" t="str">
        <f>IFERROR(__xludf.DUMMYFUNCTION("""COMPUTED_VALUE"""),"HTML/CSS")</f>
        <v>HTML/CSS</v>
      </c>
      <c r="G484" s="9" t="str">
        <f>IFERROR(__xludf.DUMMYFUNCTION("""COMPUTED_VALUE"""),"JavaScript")</f>
        <v>JavaScript</v>
      </c>
      <c r="H484" s="9" t="str">
        <f>IFERROR(__xludf.DUMMYFUNCTION("""COMPUTED_VALUE"""),"C++")</f>
        <v>C++</v>
      </c>
      <c r="I484" s="9" t="str">
        <f>IFERROR(__xludf.DUMMYFUNCTION("""COMPUTED_VALUE"""),"Python")</f>
        <v>Python</v>
      </c>
      <c r="J484" s="9" t="str">
        <f>IFERROR(__xludf.DUMMYFUNCTION("""COMPUTED_VALUE"""),"HTML/CSS")</f>
        <v>HTML/CSS</v>
      </c>
      <c r="K484" s="9" t="str">
        <f>IFERROR(__xludf.DUMMYFUNCTION("""COMPUTED_VALUE"""),"HTML/CSS")</f>
        <v>HTML/CSS</v>
      </c>
      <c r="L484" s="9" t="str">
        <f>IFERROR(__xludf.DUMMYFUNCTION("""COMPUTED_VALUE"""),"Python")</f>
        <v>Python</v>
      </c>
      <c r="M484" s="9" t="s">
        <v>27</v>
      </c>
    </row>
    <row r="485" ht="15.75" customHeight="1">
      <c r="A485" s="7"/>
      <c r="B485" s="7" t="str">
        <f>IFERROR(__xludf.DUMMYFUNCTION("""COMPUTED_VALUE"""),"C;C++;C#;Java")</f>
        <v>C;C++;C#;Java</v>
      </c>
      <c r="C485" s="9" t="str">
        <f>IFERROR(__xludf.DUMMYFUNCTION("""COMPUTED_VALUE"""),"Swift")</f>
        <v>Swift</v>
      </c>
      <c r="D485" s="9" t="str">
        <f>IFERROR(__xludf.DUMMYFUNCTION("""COMPUTED_VALUE"""),"C#")</f>
        <v>C#</v>
      </c>
      <c r="E485" s="9" t="str">
        <f>IFERROR(__xludf.DUMMYFUNCTION("""COMPUTED_VALUE"""),"TypeScript")</f>
        <v>TypeScript</v>
      </c>
      <c r="F485" s="9" t="str">
        <f>IFERROR(__xludf.DUMMYFUNCTION("""COMPUTED_VALUE"""),"Java")</f>
        <v>Java</v>
      </c>
      <c r="G485" s="9" t="str">
        <f>IFERROR(__xludf.DUMMYFUNCTION("""COMPUTED_VALUE"""),"TypeScript")</f>
        <v>TypeScript</v>
      </c>
      <c r="H485" s="9" t="str">
        <f>IFERROR(__xludf.DUMMYFUNCTION("""COMPUTED_VALUE"""),"Go")</f>
        <v>Go</v>
      </c>
      <c r="I485" s="9" t="str">
        <f>IFERROR(__xludf.DUMMYFUNCTION("""COMPUTED_VALUE"""),"HTML/CSS")</f>
        <v>HTML/CSS</v>
      </c>
      <c r="J485" s="9" t="str">
        <f>IFERROR(__xludf.DUMMYFUNCTION("""COMPUTED_VALUE"""),"JavaScript")</f>
        <v>JavaScript</v>
      </c>
      <c r="K485" s="9" t="str">
        <f>IFERROR(__xludf.DUMMYFUNCTION("""COMPUTED_VALUE"""),"JavaScript")</f>
        <v>JavaScript</v>
      </c>
      <c r="L485" s="9" t="str">
        <f>IFERROR(__xludf.DUMMYFUNCTION("""COMPUTED_VALUE"""),"SQL")</f>
        <v>SQL</v>
      </c>
      <c r="M485" s="9" t="s">
        <v>40</v>
      </c>
    </row>
    <row r="486" ht="15.75" customHeight="1">
      <c r="A486" s="7"/>
      <c r="B486" s="7" t="str">
        <f>IFERROR(__xludf.DUMMYFUNCTION("""COMPUTED_VALUE"""),"C++;Python")</f>
        <v>C++;Python</v>
      </c>
      <c r="C486" s="9" t="str">
        <f>IFERROR(__xludf.DUMMYFUNCTION("""COMPUTED_VALUE"""),"TypeScript")</f>
        <v>TypeScript</v>
      </c>
      <c r="D486" s="9" t="str">
        <f>IFERROR(__xludf.DUMMYFUNCTION("""COMPUTED_VALUE"""),"HTML/CSS")</f>
        <v>HTML/CSS</v>
      </c>
      <c r="E486" s="9" t="str">
        <f>IFERROR(__xludf.DUMMYFUNCTION("""COMPUTED_VALUE"""),"VBA")</f>
        <v>VBA</v>
      </c>
      <c r="F486" s="9" t="str">
        <f>IFERROR(__xludf.DUMMYFUNCTION("""COMPUTED_VALUE"""),"JavaScript")</f>
        <v>JavaScript</v>
      </c>
      <c r="G486" s="9" t="str">
        <f>IFERROR(__xludf.DUMMYFUNCTION("""COMPUTED_VALUE"""),"Bash/Shell/PowerShell")</f>
        <v>Bash/Shell/PowerShell</v>
      </c>
      <c r="H486" s="9" t="str">
        <f>IFERROR(__xludf.DUMMYFUNCTION("""COMPUTED_VALUE"""),"Java")</f>
        <v>Java</v>
      </c>
      <c r="I486" s="9" t="str">
        <f>IFERROR(__xludf.DUMMYFUNCTION("""COMPUTED_VALUE"""),"JavaScript")</f>
        <v>JavaScript</v>
      </c>
      <c r="J486" s="9" t="str">
        <f>IFERROR(__xludf.DUMMYFUNCTION("""COMPUTED_VALUE"""),"Python")</f>
        <v>Python</v>
      </c>
      <c r="K486" s="9" t="str">
        <f>IFERROR(__xludf.DUMMYFUNCTION("""COMPUTED_VALUE"""),"PHP")</f>
        <v>PHP</v>
      </c>
      <c r="L486" s="9" t="str">
        <f>IFERROR(__xludf.DUMMYFUNCTION("""COMPUTED_VALUE"""),"Go")</f>
        <v>Go</v>
      </c>
      <c r="M486" s="9" t="s">
        <v>33</v>
      </c>
    </row>
    <row r="487" ht="15.75" customHeight="1">
      <c r="A487" s="7"/>
      <c r="B487" s="7" t="str">
        <f>IFERROR(__xludf.DUMMYFUNCTION("""COMPUTED_VALUE"""),"HTML/CSS;JavaScript;Ruby")</f>
        <v>HTML/CSS;JavaScript;Ruby</v>
      </c>
      <c r="C487" s="9" t="str">
        <f>IFERROR(__xludf.DUMMYFUNCTION("""COMPUTED_VALUE"""),"HTML/CSS")</f>
        <v>HTML/CSS</v>
      </c>
      <c r="D487" s="9" t="str">
        <f>IFERROR(__xludf.DUMMYFUNCTION("""COMPUTED_VALUE"""),"JavaScript")</f>
        <v>JavaScript</v>
      </c>
      <c r="E487" s="9" t="str">
        <f>IFERROR(__xludf.DUMMYFUNCTION("""COMPUTED_VALUE"""),"WebAssembly")</f>
        <v>WebAssembly</v>
      </c>
      <c r="F487" s="9" t="str">
        <f>IFERROR(__xludf.DUMMYFUNCTION("""COMPUTED_VALUE"""),"PHP")</f>
        <v>PHP</v>
      </c>
      <c r="G487" s="9" t="str">
        <f>IFERROR(__xludf.DUMMYFUNCTION("""COMPUTED_VALUE"""),"HTML/CSS")</f>
        <v>HTML/CSS</v>
      </c>
      <c r="H487" s="9" t="str">
        <f>IFERROR(__xludf.DUMMYFUNCTION("""COMPUTED_VALUE"""),"JavaScript")</f>
        <v>JavaScript</v>
      </c>
      <c r="I487" s="9" t="str">
        <f>IFERROR(__xludf.DUMMYFUNCTION("""COMPUTED_VALUE"""),"Python")</f>
        <v>Python</v>
      </c>
      <c r="J487" s="9" t="str">
        <f>IFERROR(__xludf.DUMMYFUNCTION("""COMPUTED_VALUE"""),"Ruby")</f>
        <v>Ruby</v>
      </c>
      <c r="K487" s="9" t="str">
        <f>IFERROR(__xludf.DUMMYFUNCTION("""COMPUTED_VALUE"""),"SQL")</f>
        <v>SQL</v>
      </c>
      <c r="L487" s="9" t="str">
        <f>IFERROR(__xludf.DUMMYFUNCTION("""COMPUTED_VALUE"""),"HTML/CSS")</f>
        <v>HTML/CSS</v>
      </c>
      <c r="M487" s="9" t="s">
        <v>24</v>
      </c>
    </row>
    <row r="488" ht="15.75" customHeight="1">
      <c r="A488" s="7"/>
      <c r="B488" s="7" t="str">
        <f>IFERROR(__xludf.DUMMYFUNCTION("""COMPUTED_VALUE"""),"Java;Objective-C")</f>
        <v>Java;Objective-C</v>
      </c>
      <c r="C488" s="9" t="str">
        <f>IFERROR(__xludf.DUMMYFUNCTION("""COMPUTED_VALUE"""),"JavaScript")</f>
        <v>JavaScript</v>
      </c>
      <c r="D488" s="9" t="str">
        <f>IFERROR(__xludf.DUMMYFUNCTION("""COMPUTED_VALUE"""),"PHP")</f>
        <v>PHP</v>
      </c>
      <c r="E488" s="9" t="str">
        <f>IFERROR(__xludf.DUMMYFUNCTION("""COMPUTED_VALUE"""),"HTML/CSS")</f>
        <v>HTML/CSS</v>
      </c>
      <c r="F488" s="9" t="str">
        <f>IFERROR(__xludf.DUMMYFUNCTION("""COMPUTED_VALUE"""),"Python")</f>
        <v>Python</v>
      </c>
      <c r="G488" s="9" t="str">
        <f>IFERROR(__xludf.DUMMYFUNCTION("""COMPUTED_VALUE"""),"Java")</f>
        <v>Java</v>
      </c>
      <c r="H488" s="9" t="str">
        <f>IFERROR(__xludf.DUMMYFUNCTION("""COMPUTED_VALUE"""),"Python")</f>
        <v>Python</v>
      </c>
      <c r="I488" s="9" t="str">
        <f>IFERROR(__xludf.DUMMYFUNCTION("""COMPUTED_VALUE"""),"SQL")</f>
        <v>SQL</v>
      </c>
      <c r="J488" s="9" t="str">
        <f>IFERROR(__xludf.DUMMYFUNCTION("""COMPUTED_VALUE"""),"SQL")</f>
        <v>SQL</v>
      </c>
      <c r="K488" s="9" t="str">
        <f>IFERROR(__xludf.DUMMYFUNCTION("""COMPUTED_VALUE"""),"C")</f>
        <v>C</v>
      </c>
      <c r="L488" s="9" t="str">
        <f>IFERROR(__xludf.DUMMYFUNCTION("""COMPUTED_VALUE"""),"JavaScript")</f>
        <v>JavaScript</v>
      </c>
      <c r="M488" s="9" t="s">
        <v>21</v>
      </c>
    </row>
    <row r="489" ht="15.75" customHeight="1">
      <c r="A489" s="7"/>
      <c r="B489" s="7" t="str">
        <f>IFERROR(__xludf.DUMMYFUNCTION("""COMPUTED_VALUE"""),"Bash/Shell/PowerShell;Go;HTML/CSS;JavaScript")</f>
        <v>Bash/Shell/PowerShell;Go;HTML/CSS;JavaScript</v>
      </c>
      <c r="C489" s="9" t="str">
        <f>IFERROR(__xludf.DUMMYFUNCTION("""COMPUTED_VALUE"""),"TypeScript")</f>
        <v>TypeScript</v>
      </c>
      <c r="D489" s="9" t="str">
        <f>IFERROR(__xludf.DUMMYFUNCTION("""COMPUTED_VALUE"""),"Python")</f>
        <v>Python</v>
      </c>
      <c r="E489" s="9" t="str">
        <f>IFERROR(__xludf.DUMMYFUNCTION("""COMPUTED_VALUE"""),"JavaScript")</f>
        <v>JavaScript</v>
      </c>
      <c r="F489" s="9" t="str">
        <f>IFERROR(__xludf.DUMMYFUNCTION("""COMPUTED_VALUE"""),"Ruby")</f>
        <v>Ruby</v>
      </c>
      <c r="G489" s="9" t="str">
        <f>IFERROR(__xludf.DUMMYFUNCTION("""COMPUTED_VALUE"""),"JavaScript")</f>
        <v>JavaScript</v>
      </c>
      <c r="H489" s="9" t="str">
        <f>IFERROR(__xludf.DUMMYFUNCTION("""COMPUTED_VALUE"""),"Ruby")</f>
        <v>Ruby</v>
      </c>
      <c r="I489" s="9" t="str">
        <f>IFERROR(__xludf.DUMMYFUNCTION("""COMPUTED_VALUE"""),"HTML/CSS")</f>
        <v>HTML/CSS</v>
      </c>
      <c r="J489" s="9" t="str">
        <f>IFERROR(__xludf.DUMMYFUNCTION("""COMPUTED_VALUE"""),"Other(s):")</f>
        <v>Other(s):</v>
      </c>
      <c r="K489" s="9" t="str">
        <f>IFERROR(__xludf.DUMMYFUNCTION("""COMPUTED_VALUE"""),"Elixir")</f>
        <v>Elixir</v>
      </c>
      <c r="L489" s="9" t="str">
        <f>IFERROR(__xludf.DUMMYFUNCTION("""COMPUTED_VALUE"""),"PHP")</f>
        <v>PHP</v>
      </c>
      <c r="M489" s="9" t="s">
        <v>33</v>
      </c>
    </row>
    <row r="490" ht="15.75" customHeight="1">
      <c r="A490" s="7"/>
      <c r="B490" s="7" t="str">
        <f>IFERROR(__xludf.DUMMYFUNCTION("""COMPUTED_VALUE"""),"C#;Java;SQL;Other(s):")</f>
        <v>C#;Java;SQL;Other(s):</v>
      </c>
      <c r="C490" s="9" t="str">
        <f>IFERROR(__xludf.DUMMYFUNCTION("""COMPUTED_VALUE"""),"HTML/CSS")</f>
        <v>HTML/CSS</v>
      </c>
      <c r="D490" s="9" t="str">
        <f>IFERROR(__xludf.DUMMYFUNCTION("""COMPUTED_VALUE"""),"C")</f>
        <v>C</v>
      </c>
      <c r="E490" s="9" t="str">
        <f>IFERROR(__xludf.DUMMYFUNCTION("""COMPUTED_VALUE"""),"PHP")</f>
        <v>PHP</v>
      </c>
      <c r="F490" s="9" t="str">
        <f>IFERROR(__xludf.DUMMYFUNCTION("""COMPUTED_VALUE"""),"SQL")</f>
        <v>SQL</v>
      </c>
      <c r="G490" s="9" t="str">
        <f>IFERROR(__xludf.DUMMYFUNCTION("""COMPUTED_VALUE"""),"Ruby")</f>
        <v>Ruby</v>
      </c>
      <c r="H490" s="9" t="str">
        <f>IFERROR(__xludf.DUMMYFUNCTION("""COMPUTED_VALUE"""),"Rust")</f>
        <v>Rust</v>
      </c>
      <c r="I490" s="9" t="str">
        <f>IFERROR(__xludf.DUMMYFUNCTION("""COMPUTED_VALUE"""),"JavaScript")</f>
        <v>JavaScript</v>
      </c>
      <c r="J490" s="9" t="str">
        <f>IFERROR(__xludf.DUMMYFUNCTION("""COMPUTED_VALUE"""),"Go")</f>
        <v>Go</v>
      </c>
      <c r="K490" s="9" t="str">
        <f>IFERROR(__xludf.DUMMYFUNCTION("""COMPUTED_VALUE"""),"HTML/CSS")</f>
        <v>HTML/CSS</v>
      </c>
      <c r="L490" s="9" t="str">
        <f>IFERROR(__xludf.DUMMYFUNCTION("""COMPUTED_VALUE"""),"Python")</f>
        <v>Python</v>
      </c>
      <c r="M490" s="9" t="s">
        <v>24</v>
      </c>
    </row>
    <row r="491" ht="15.75" customHeight="1">
      <c r="A491" s="7"/>
      <c r="B491" s="7" t="str">
        <f>IFERROR(__xludf.DUMMYFUNCTION("""COMPUTED_VALUE"""),"Assembly;C;Erlang;HTML/CSS;Java;JavaScript;Python;SQL")</f>
        <v>Assembly;C;Erlang;HTML/CSS;Java;JavaScript;Python;SQL</v>
      </c>
      <c r="C491" s="9" t="str">
        <f>IFERROR(__xludf.DUMMYFUNCTION("""COMPUTED_VALUE"""),"Java")</f>
        <v>Java</v>
      </c>
      <c r="D491" s="9" t="str">
        <f>IFERROR(__xludf.DUMMYFUNCTION("""COMPUTED_VALUE"""),"C#")</f>
        <v>C#</v>
      </c>
      <c r="E491" s="9" t="str">
        <f>IFERROR(__xludf.DUMMYFUNCTION("""COMPUTED_VALUE"""),"SQL")</f>
        <v>SQL</v>
      </c>
      <c r="F491" s="9" t="str">
        <f>IFERROR(__xludf.DUMMYFUNCTION("""COMPUTED_VALUE"""),"Bash/Shell/PowerShell")</f>
        <v>Bash/Shell/PowerShell</v>
      </c>
      <c r="G491" s="9" t="str">
        <f>IFERROR(__xludf.DUMMYFUNCTION("""COMPUTED_VALUE"""),"SQL")</f>
        <v>SQL</v>
      </c>
      <c r="H491" s="9" t="str">
        <f>IFERROR(__xludf.DUMMYFUNCTION("""COMPUTED_VALUE"""),"Bash/Shell/PowerShell")</f>
        <v>Bash/Shell/PowerShell</v>
      </c>
      <c r="I491" s="9" t="str">
        <f>IFERROR(__xludf.DUMMYFUNCTION("""COMPUTED_VALUE"""),"PHP")</f>
        <v>PHP</v>
      </c>
      <c r="J491" s="9" t="str">
        <f>IFERROR(__xludf.DUMMYFUNCTION("""COMPUTED_VALUE"""),"HTML/CSS")</f>
        <v>HTML/CSS</v>
      </c>
      <c r="K491" s="9" t="str">
        <f>IFERROR(__xludf.DUMMYFUNCTION("""COMPUTED_VALUE"""),"JavaScript")</f>
        <v>JavaScript</v>
      </c>
      <c r="L491" s="9" t="str">
        <f>IFERROR(__xludf.DUMMYFUNCTION("""COMPUTED_VALUE"""),"SQL")</f>
        <v>SQL</v>
      </c>
      <c r="M491" s="9" t="s">
        <v>20</v>
      </c>
    </row>
    <row r="492" ht="15.75" customHeight="1">
      <c r="A492" s="7"/>
      <c r="B492" s="7" t="str">
        <f>IFERROR(__xludf.DUMMYFUNCTION("""COMPUTED_VALUE"""),"R")</f>
        <v>R</v>
      </c>
      <c r="C492" s="9" t="str">
        <f>IFERROR(__xludf.DUMMYFUNCTION("""COMPUTED_VALUE"""),"JavaScript")</f>
        <v>JavaScript</v>
      </c>
      <c r="D492" s="9" t="str">
        <f>IFERROR(__xludf.DUMMYFUNCTION("""COMPUTED_VALUE"""),"HTML/CSS")</f>
        <v>HTML/CSS</v>
      </c>
      <c r="E492" s="9" t="str">
        <f>IFERROR(__xludf.DUMMYFUNCTION("""COMPUTED_VALUE"""),"HTML/CSS")</f>
        <v>HTML/CSS</v>
      </c>
      <c r="F492" s="9" t="str">
        <f>IFERROR(__xludf.DUMMYFUNCTION("""COMPUTED_VALUE"""),"C#")</f>
        <v>C#</v>
      </c>
      <c r="G492" s="9" t="str">
        <f>IFERROR(__xludf.DUMMYFUNCTION("""COMPUTED_VALUE"""),"Java")</f>
        <v>Java</v>
      </c>
      <c r="H492" s="9" t="str">
        <f>IFERROR(__xludf.DUMMYFUNCTION("""COMPUTED_VALUE"""),"Java")</f>
        <v>Java</v>
      </c>
      <c r="I492" s="9" t="str">
        <f>IFERROR(__xludf.DUMMYFUNCTION("""COMPUTED_VALUE"""),"C")</f>
        <v>C</v>
      </c>
      <c r="J492" s="9" t="str">
        <f>IFERROR(__xludf.DUMMYFUNCTION("""COMPUTED_VALUE"""),"JavaScript")</f>
        <v>JavaScript</v>
      </c>
      <c r="K492" s="9" t="str">
        <f>IFERROR(__xludf.DUMMYFUNCTION("""COMPUTED_VALUE"""),"PHP")</f>
        <v>PHP</v>
      </c>
      <c r="L492" s="9" t="str">
        <f>IFERROR(__xludf.DUMMYFUNCTION("""COMPUTED_VALUE"""),"TypeScript")</f>
        <v>TypeScript</v>
      </c>
      <c r="M492" s="9" t="s">
        <v>21</v>
      </c>
    </row>
    <row r="493" ht="15.75" customHeight="1">
      <c r="A493" s="7"/>
      <c r="B493" s="7" t="str">
        <f>IFERROR(__xludf.DUMMYFUNCTION("""COMPUTED_VALUE"""),"Bash/Shell/PowerShell;Python;SQL")</f>
        <v>Bash/Shell/PowerShell;Python;SQL</v>
      </c>
      <c r="C493" s="9" t="str">
        <f>IFERROR(__xludf.DUMMYFUNCTION("""COMPUTED_VALUE"""),"Kotlin")</f>
        <v>Kotlin</v>
      </c>
      <c r="D493" s="9" t="str">
        <f>IFERROR(__xludf.DUMMYFUNCTION("""COMPUTED_VALUE"""),"Java")</f>
        <v>Java</v>
      </c>
      <c r="E493" s="9" t="str">
        <f>IFERROR(__xludf.DUMMYFUNCTION("""COMPUTED_VALUE"""),"JavaScript")</f>
        <v>JavaScript</v>
      </c>
      <c r="F493" s="9" t="str">
        <f>IFERROR(__xludf.DUMMYFUNCTION("""COMPUTED_VALUE"""),"HTML/CSS")</f>
        <v>HTML/CSS</v>
      </c>
      <c r="G493" s="9" t="str">
        <f>IFERROR(__xludf.DUMMYFUNCTION("""COMPUTED_VALUE"""),"Swift")</f>
        <v>Swift</v>
      </c>
      <c r="H493" s="9" t="str">
        <f>IFERROR(__xludf.DUMMYFUNCTION("""COMPUTED_VALUE"""),"Python")</f>
        <v>Python</v>
      </c>
      <c r="I493" s="9" t="str">
        <f>IFERROR(__xludf.DUMMYFUNCTION("""COMPUTED_VALUE"""),"C++")</f>
        <v>C++</v>
      </c>
      <c r="J493" s="9" t="str">
        <f>IFERROR(__xludf.DUMMYFUNCTION("""COMPUTED_VALUE"""),"PHP")</f>
        <v>PHP</v>
      </c>
      <c r="K493" s="9" t="str">
        <f>IFERROR(__xludf.DUMMYFUNCTION("""COMPUTED_VALUE"""),"Rust")</f>
        <v>Rust</v>
      </c>
      <c r="L493" s="9" t="str">
        <f>IFERROR(__xludf.DUMMYFUNCTION("""COMPUTED_VALUE"""),"Bash/Shell/PowerShell")</f>
        <v>Bash/Shell/PowerShell</v>
      </c>
      <c r="M493" s="9" t="s">
        <v>39</v>
      </c>
    </row>
    <row r="494" ht="15.75" customHeight="1">
      <c r="A494" s="7"/>
      <c r="B494" s="7" t="str">
        <f>IFERROR(__xludf.DUMMYFUNCTION("""COMPUTED_VALUE"""),"Dart;JavaScript;Kotlin;PHP;SQL;Swift;TypeScript")</f>
        <v>Dart;JavaScript;Kotlin;PHP;SQL;Swift;TypeScript</v>
      </c>
      <c r="C494" s="9" t="str">
        <f>IFERROR(__xludf.DUMMYFUNCTION("""COMPUTED_VALUE"""),"SQL")</f>
        <v>SQL</v>
      </c>
      <c r="D494" s="9" t="str">
        <f>IFERROR(__xludf.DUMMYFUNCTION("""COMPUTED_VALUE"""),"JavaScript")</f>
        <v>JavaScript</v>
      </c>
      <c r="E494" s="9" t="str">
        <f>IFERROR(__xludf.DUMMYFUNCTION("""COMPUTED_VALUE"""),"Python")</f>
        <v>Python</v>
      </c>
      <c r="F494" s="9" t="str">
        <f>IFERROR(__xludf.DUMMYFUNCTION("""COMPUTED_VALUE"""),"JavaScript")</f>
        <v>JavaScript</v>
      </c>
      <c r="G494" s="9" t="str">
        <f>IFERROR(__xludf.DUMMYFUNCTION("""COMPUTED_VALUE"""),"C#")</f>
        <v>C#</v>
      </c>
      <c r="H494" s="9" t="str">
        <f>IFERROR(__xludf.DUMMYFUNCTION("""COMPUTED_VALUE"""),"R")</f>
        <v>R</v>
      </c>
      <c r="I494" s="9" t="str">
        <f>IFERROR(__xludf.DUMMYFUNCTION("""COMPUTED_VALUE"""),"Objective-C")</f>
        <v>Objective-C</v>
      </c>
      <c r="J494" s="9" t="str">
        <f>IFERROR(__xludf.DUMMYFUNCTION("""COMPUTED_VALUE"""),"SQL")</f>
        <v>SQL</v>
      </c>
      <c r="K494" s="9" t="str">
        <f>IFERROR(__xludf.DUMMYFUNCTION("""COMPUTED_VALUE"""),"SQL")</f>
        <v>SQL</v>
      </c>
      <c r="L494" s="9" t="str">
        <f>IFERROR(__xludf.DUMMYFUNCTION("""COMPUTED_VALUE"""),"Go")</f>
        <v>Go</v>
      </c>
      <c r="M494" s="9" t="s">
        <v>27</v>
      </c>
    </row>
    <row r="495" ht="15.75" customHeight="1">
      <c r="A495" s="7"/>
      <c r="B495" s="7" t="str">
        <f>IFERROR(__xludf.DUMMYFUNCTION("""COMPUTED_VALUE"""),"C++;HTML/CSS;JavaScript;Python")</f>
        <v>C++;HTML/CSS;JavaScript;Python</v>
      </c>
      <c r="C495" s="9" t="str">
        <f>IFERROR(__xludf.DUMMYFUNCTION("""COMPUTED_VALUE"""),"VBA")</f>
        <v>VBA</v>
      </c>
      <c r="D495" s="9" t="str">
        <f>IFERROR(__xludf.DUMMYFUNCTION("""COMPUTED_VALUE"""),"Objective-C")</f>
        <v>Objective-C</v>
      </c>
      <c r="E495" s="9" t="str">
        <f>IFERROR(__xludf.DUMMYFUNCTION("""COMPUTED_VALUE"""),"Bash/Shell/PowerShell")</f>
        <v>Bash/Shell/PowerShell</v>
      </c>
      <c r="F495" s="9" t="str">
        <f>IFERROR(__xludf.DUMMYFUNCTION("""COMPUTED_VALUE"""),"Python")</f>
        <v>Python</v>
      </c>
      <c r="G495" s="9" t="str">
        <f>IFERROR(__xludf.DUMMYFUNCTION("""COMPUTED_VALUE"""),"Python")</f>
        <v>Python</v>
      </c>
      <c r="H495" s="9" t="str">
        <f>IFERROR(__xludf.DUMMYFUNCTION("""COMPUTED_VALUE"""),"SQL")</f>
        <v>SQL</v>
      </c>
      <c r="I495" s="9" t="str">
        <f>IFERROR(__xludf.DUMMYFUNCTION("""COMPUTED_VALUE"""),"SQL")</f>
        <v>SQL</v>
      </c>
      <c r="J495" s="9" t="str">
        <f>IFERROR(__xludf.DUMMYFUNCTION("""COMPUTED_VALUE"""),"HTML/CSS")</f>
        <v>HTML/CSS</v>
      </c>
      <c r="K495" s="9" t="str">
        <f>IFERROR(__xludf.DUMMYFUNCTION("""COMPUTED_VALUE"""),"Swift")</f>
        <v>Swift</v>
      </c>
      <c r="L495" s="9" t="str">
        <f>IFERROR(__xludf.DUMMYFUNCTION("""COMPUTED_VALUE"""),"Java")</f>
        <v>Java</v>
      </c>
      <c r="M495" s="9" t="s">
        <v>28</v>
      </c>
    </row>
    <row r="496" ht="15.75" customHeight="1">
      <c r="A496" s="7"/>
      <c r="B496" s="7" t="str">
        <f>IFERROR(__xludf.DUMMYFUNCTION("""COMPUTED_VALUE"""),"Bash/Shell/PowerShell;HTML/CSS;Java;JavaScript;PHP;Ruby;SQL;VBA")</f>
        <v>Bash/Shell/PowerShell;HTML/CSS;Java;JavaScript;PHP;Ruby;SQL;VBA</v>
      </c>
      <c r="C496" s="9" t="str">
        <f>IFERROR(__xludf.DUMMYFUNCTION("""COMPUTED_VALUE"""),"Python")</f>
        <v>Python</v>
      </c>
      <c r="D496" s="9" t="str">
        <f>IFERROR(__xludf.DUMMYFUNCTION("""COMPUTED_VALUE"""),"PHP")</f>
        <v>PHP</v>
      </c>
      <c r="E496" s="9" t="str">
        <f>IFERROR(__xludf.DUMMYFUNCTION("""COMPUTED_VALUE"""),"HTML/CSS")</f>
        <v>HTML/CSS</v>
      </c>
      <c r="F496" s="9" t="str">
        <f>IFERROR(__xludf.DUMMYFUNCTION("""COMPUTED_VALUE"""),"SQL")</f>
        <v>SQL</v>
      </c>
      <c r="G496" s="9" t="str">
        <f>IFERROR(__xludf.DUMMYFUNCTION("""COMPUTED_VALUE"""),"SQL")</f>
        <v>SQL</v>
      </c>
      <c r="H496" s="9" t="str">
        <f>IFERROR(__xludf.DUMMYFUNCTION("""COMPUTED_VALUE"""),"C#")</f>
        <v>C#</v>
      </c>
      <c r="I496" s="9" t="str">
        <f>IFERROR(__xludf.DUMMYFUNCTION("""COMPUTED_VALUE"""),"Swift")</f>
        <v>Swift</v>
      </c>
      <c r="J496" s="9" t="str">
        <f>IFERROR(__xludf.DUMMYFUNCTION("""COMPUTED_VALUE"""),"Java")</f>
        <v>Java</v>
      </c>
      <c r="K496" s="9" t="str">
        <f>IFERROR(__xludf.DUMMYFUNCTION("""COMPUTED_VALUE"""),"TypeScript")</f>
        <v>TypeScript</v>
      </c>
      <c r="L496" s="9" t="str">
        <f>IFERROR(__xludf.DUMMYFUNCTION("""COMPUTED_VALUE"""),"Python")</f>
        <v>Python</v>
      </c>
      <c r="M496" s="9" t="s">
        <v>22</v>
      </c>
    </row>
    <row r="497" ht="15.75" customHeight="1">
      <c r="A497" s="7"/>
      <c r="B497" s="7" t="str">
        <f>IFERROR(__xludf.DUMMYFUNCTION("""COMPUTED_VALUE"""),"C++;C#")</f>
        <v>C++;C#</v>
      </c>
      <c r="C497" s="9" t="str">
        <f>IFERROR(__xludf.DUMMYFUNCTION("""COMPUTED_VALUE"""),"SQL")</f>
        <v>SQL</v>
      </c>
      <c r="D497" s="9" t="str">
        <f>IFERROR(__xludf.DUMMYFUNCTION("""COMPUTED_VALUE"""),"Python")</f>
        <v>Python</v>
      </c>
      <c r="E497" s="9" t="str">
        <f>IFERROR(__xludf.DUMMYFUNCTION("""COMPUTED_VALUE"""),"JavaScript")</f>
        <v>JavaScript</v>
      </c>
      <c r="F497" s="9" t="str">
        <f>IFERROR(__xludf.DUMMYFUNCTION("""COMPUTED_VALUE"""),"TypeScript")</f>
        <v>TypeScript</v>
      </c>
      <c r="G497" s="9" t="str">
        <f>IFERROR(__xludf.DUMMYFUNCTION("""COMPUTED_VALUE"""),"VBA")</f>
        <v>VBA</v>
      </c>
      <c r="H497" s="9" t="str">
        <f>IFERROR(__xludf.DUMMYFUNCTION("""COMPUTED_VALUE"""),"Go")</f>
        <v>Go</v>
      </c>
      <c r="I497" s="9" t="str">
        <f>IFERROR(__xludf.DUMMYFUNCTION("""COMPUTED_VALUE"""),"C#")</f>
        <v>C#</v>
      </c>
      <c r="J497" s="9" t="str">
        <f>IFERROR(__xludf.DUMMYFUNCTION("""COMPUTED_VALUE"""),"JavaScript")</f>
        <v>JavaScript</v>
      </c>
      <c r="K497" s="9" t="str">
        <f>IFERROR(__xludf.DUMMYFUNCTION("""COMPUTED_VALUE"""),"WebAssembly")</f>
        <v>WebAssembly</v>
      </c>
      <c r="L497" s="9" t="str">
        <f>IFERROR(__xludf.DUMMYFUNCTION("""COMPUTED_VALUE"""),"C++")</f>
        <v>C++</v>
      </c>
      <c r="M497" s="9" t="s">
        <v>27</v>
      </c>
    </row>
    <row r="498" ht="15.75" customHeight="1">
      <c r="A498" s="7"/>
      <c r="B498" s="7" t="str">
        <f>IFERROR(__xludf.DUMMYFUNCTION("""COMPUTED_VALUE"""),"HTML/CSS")</f>
        <v>HTML/CSS</v>
      </c>
      <c r="C498" s="9" t="str">
        <f>IFERROR(__xludf.DUMMYFUNCTION("""COMPUTED_VALUE"""),"C#")</f>
        <v>C#</v>
      </c>
      <c r="D498" s="9" t="str">
        <f>IFERROR(__xludf.DUMMYFUNCTION("""COMPUTED_VALUE"""),"SQL")</f>
        <v>SQL</v>
      </c>
      <c r="E498" s="9" t="str">
        <f>IFERROR(__xludf.DUMMYFUNCTION("""COMPUTED_VALUE"""),"PHP")</f>
        <v>PHP</v>
      </c>
      <c r="F498" s="9" t="str">
        <f>IFERROR(__xludf.DUMMYFUNCTION("""COMPUTED_VALUE"""),"HTML/CSS")</f>
        <v>HTML/CSS</v>
      </c>
      <c r="G498" s="9" t="str">
        <f>IFERROR(__xludf.DUMMYFUNCTION("""COMPUTED_VALUE"""),"HTML/CSS")</f>
        <v>HTML/CSS</v>
      </c>
      <c r="H498" s="9" t="str">
        <f>IFERROR(__xludf.DUMMYFUNCTION("""COMPUTED_VALUE"""),"HTML/CSS")</f>
        <v>HTML/CSS</v>
      </c>
      <c r="I498" s="9" t="str">
        <f>IFERROR(__xludf.DUMMYFUNCTION("""COMPUTED_VALUE"""),"HTML/CSS")</f>
        <v>HTML/CSS</v>
      </c>
      <c r="J498" s="9" t="str">
        <f>IFERROR(__xludf.DUMMYFUNCTION("""COMPUTED_VALUE"""),"PHP")</f>
        <v>PHP</v>
      </c>
      <c r="K498" s="9" t="str">
        <f>IFERROR(__xludf.DUMMYFUNCTION("""COMPUTED_VALUE"""),"Java")</f>
        <v>Java</v>
      </c>
      <c r="L498" s="9" t="str">
        <f>IFERROR(__xludf.DUMMYFUNCTION("""COMPUTED_VALUE"""),"JavaScript")</f>
        <v>JavaScript</v>
      </c>
      <c r="M498" s="9" t="s">
        <v>26</v>
      </c>
    </row>
    <row r="499" ht="15.75" customHeight="1">
      <c r="A499" s="7"/>
      <c r="B499" s="7" t="str">
        <f>IFERROR(__xludf.DUMMYFUNCTION("""COMPUTED_VALUE"""),"C++;C#")</f>
        <v>C++;C#</v>
      </c>
      <c r="C499" s="9" t="str">
        <f>IFERROR(__xludf.DUMMYFUNCTION("""COMPUTED_VALUE"""),"HTML/CSS")</f>
        <v>HTML/CSS</v>
      </c>
      <c r="D499" s="9" t="str">
        <f>IFERROR(__xludf.DUMMYFUNCTION("""COMPUTED_VALUE"""),"Swift")</f>
        <v>Swift</v>
      </c>
      <c r="E499" s="9" t="str">
        <f>IFERROR(__xludf.DUMMYFUNCTION("""COMPUTED_VALUE"""),"TypeScript")</f>
        <v>TypeScript</v>
      </c>
      <c r="F499" s="9" t="str">
        <f>IFERROR(__xludf.DUMMYFUNCTION("""COMPUTED_VALUE"""),"JavaScript")</f>
        <v>JavaScript</v>
      </c>
      <c r="G499" s="9" t="str">
        <f>IFERROR(__xludf.DUMMYFUNCTION("""COMPUTED_VALUE"""),"PHP")</f>
        <v>PHP</v>
      </c>
      <c r="H499" s="9" t="str">
        <f>IFERROR(__xludf.DUMMYFUNCTION("""COMPUTED_VALUE"""),"JavaScript")</f>
        <v>JavaScript</v>
      </c>
      <c r="I499" s="9" t="str">
        <f>IFERROR(__xludf.DUMMYFUNCTION("""COMPUTED_VALUE"""),"JavaScript")</f>
        <v>JavaScript</v>
      </c>
      <c r="J499" s="9" t="str">
        <f>IFERROR(__xludf.DUMMYFUNCTION("""COMPUTED_VALUE"""),"Python")</f>
        <v>Python</v>
      </c>
      <c r="K499" s="9" t="str">
        <f>IFERROR(__xludf.DUMMYFUNCTION("""COMPUTED_VALUE"""),"HTML/CSS")</f>
        <v>HTML/CSS</v>
      </c>
      <c r="L499" s="9" t="str">
        <f>IFERROR(__xludf.DUMMYFUNCTION("""COMPUTED_VALUE"""),"SQL")</f>
        <v>SQL</v>
      </c>
      <c r="M499" s="9" t="s">
        <v>24</v>
      </c>
    </row>
    <row r="500" ht="15.75" customHeight="1">
      <c r="A500" s="7"/>
      <c r="B500" s="7" t="str">
        <f>IFERROR(__xludf.DUMMYFUNCTION("""COMPUTED_VALUE"""),"Bash/Shell/PowerShell;HTML/CSS;JavaScript;PHP;SQL;TypeScript")</f>
        <v>Bash/Shell/PowerShell;HTML/CSS;JavaScript;PHP;SQL;TypeScript</v>
      </c>
      <c r="C500" s="9" t="str">
        <f>IFERROR(__xludf.DUMMYFUNCTION("""COMPUTED_VALUE"""),"JavaScript")</f>
        <v>JavaScript</v>
      </c>
      <c r="D500" s="9" t="str">
        <f>IFERROR(__xludf.DUMMYFUNCTION("""COMPUTED_VALUE"""),"C++")</f>
        <v>C++</v>
      </c>
      <c r="E500" s="9" t="str">
        <f>IFERROR(__xludf.DUMMYFUNCTION("""COMPUTED_VALUE"""),"Bash/Shell/PowerShell")</f>
        <v>Bash/Shell/PowerShell</v>
      </c>
      <c r="F500" s="9" t="str">
        <f>IFERROR(__xludf.DUMMYFUNCTION("""COMPUTED_VALUE"""),"Ruby")</f>
        <v>Ruby</v>
      </c>
      <c r="G500" s="9" t="str">
        <f>IFERROR(__xludf.DUMMYFUNCTION("""COMPUTED_VALUE"""),"SQL")</f>
        <v>SQL</v>
      </c>
      <c r="H500" s="9" t="str">
        <f>IFERROR(__xludf.DUMMYFUNCTION("""COMPUTED_VALUE"""),"Python")</f>
        <v>Python</v>
      </c>
      <c r="I500" s="9" t="str">
        <f>IFERROR(__xludf.DUMMYFUNCTION("""COMPUTED_VALUE"""),"SQL")</f>
        <v>SQL</v>
      </c>
      <c r="J500" s="9" t="str">
        <f>IFERROR(__xludf.DUMMYFUNCTION("""COMPUTED_VALUE"""),"SQL")</f>
        <v>SQL</v>
      </c>
      <c r="K500" s="9" t="str">
        <f>IFERROR(__xludf.DUMMYFUNCTION("""COMPUTED_VALUE"""),"JavaScript")</f>
        <v>JavaScript</v>
      </c>
      <c r="L500" s="9" t="str">
        <f>IFERROR(__xludf.DUMMYFUNCTION("""COMPUTED_VALUE"""),"TypeScript")</f>
        <v>TypeScript</v>
      </c>
      <c r="M500" s="9" t="s">
        <v>21</v>
      </c>
    </row>
    <row r="501" ht="15.75" customHeight="1">
      <c r="A501" s="7"/>
      <c r="B501" s="7" t="str">
        <f>IFERROR(__xludf.DUMMYFUNCTION("""COMPUTED_VALUE"""),"Bash/Shell/PowerShell;Python;SQL")</f>
        <v>Bash/Shell/PowerShell;Python;SQL</v>
      </c>
      <c r="C501" s="9" t="str">
        <f>IFERROR(__xludf.DUMMYFUNCTION("""COMPUTED_VALUE"""),"SQL")</f>
        <v>SQL</v>
      </c>
      <c r="D501" s="9" t="str">
        <f>IFERROR(__xludf.DUMMYFUNCTION("""COMPUTED_VALUE"""),"C#")</f>
        <v>C#</v>
      </c>
      <c r="E501" s="9" t="str">
        <f>IFERROR(__xludf.DUMMYFUNCTION("""COMPUTED_VALUE"""),"Java")</f>
        <v>Java</v>
      </c>
      <c r="F501" s="9" t="str">
        <f>IFERROR(__xludf.DUMMYFUNCTION("""COMPUTED_VALUE"""),"Bash/Shell/PowerShell")</f>
        <v>Bash/Shell/PowerShell</v>
      </c>
      <c r="G501" s="9" t="str">
        <f>IFERROR(__xludf.DUMMYFUNCTION("""COMPUTED_VALUE"""),"Bash/Shell/PowerShell")</f>
        <v>Bash/Shell/PowerShell</v>
      </c>
      <c r="H501" s="9" t="str">
        <f>IFERROR(__xludf.DUMMYFUNCTION("""COMPUTED_VALUE"""),"SQL")</f>
        <v>SQL</v>
      </c>
      <c r="I501" s="9" t="str">
        <f>IFERROR(__xludf.DUMMYFUNCTION("""COMPUTED_VALUE"""),"Assembly")</f>
        <v>Assembly</v>
      </c>
      <c r="J501" s="9" t="str">
        <f>IFERROR(__xludf.DUMMYFUNCTION("""COMPUTED_VALUE"""),"C")</f>
        <v>C</v>
      </c>
      <c r="K501" s="9" t="str">
        <f>IFERROR(__xludf.DUMMYFUNCTION("""COMPUTED_VALUE"""),"C")</f>
        <v>C</v>
      </c>
      <c r="L501" s="9" t="str">
        <f>IFERROR(__xludf.DUMMYFUNCTION("""COMPUTED_VALUE"""),"Bash/Shell/PowerShell")</f>
        <v>Bash/Shell/PowerShell</v>
      </c>
      <c r="M501" s="9" t="s">
        <v>27</v>
      </c>
    </row>
    <row r="502" ht="15.75" customHeight="1">
      <c r="A502" s="7"/>
      <c r="B502" s="7" t="str">
        <f>IFERROR(__xludf.DUMMYFUNCTION("""COMPUTED_VALUE"""),"C;C++;HTML/CSS;Java;SQL")</f>
        <v>C;C++;HTML/CSS;Java;SQL</v>
      </c>
      <c r="C502" s="9" t="str">
        <f>IFERROR(__xludf.DUMMYFUNCTION("""COMPUTED_VALUE"""),"C#")</f>
        <v>C#</v>
      </c>
      <c r="D502" s="9" t="str">
        <f>IFERROR(__xludf.DUMMYFUNCTION("""COMPUTED_VALUE"""),"Dart")</f>
        <v>Dart</v>
      </c>
      <c r="E502" s="9" t="str">
        <f>IFERROR(__xludf.DUMMYFUNCTION("""COMPUTED_VALUE"""),"Python")</f>
        <v>Python</v>
      </c>
      <c r="F502" s="9" t="str">
        <f>IFERROR(__xludf.DUMMYFUNCTION("""COMPUTED_VALUE"""),"C++")</f>
        <v>C++</v>
      </c>
      <c r="G502" s="9" t="str">
        <f>IFERROR(__xludf.DUMMYFUNCTION("""COMPUTED_VALUE"""),"C")</f>
        <v>C</v>
      </c>
      <c r="H502" s="9" t="str">
        <f>IFERROR(__xludf.DUMMYFUNCTION("""COMPUTED_VALUE"""),"Assembly")</f>
        <v>Assembly</v>
      </c>
      <c r="I502" s="9" t="str">
        <f>IFERROR(__xludf.DUMMYFUNCTION("""COMPUTED_VALUE"""),"C++")</f>
        <v>C++</v>
      </c>
      <c r="J502" s="9" t="str">
        <f>IFERROR(__xludf.DUMMYFUNCTION("""COMPUTED_VALUE"""),"C++")</f>
        <v>C++</v>
      </c>
      <c r="K502" s="9" t="str">
        <f>IFERROR(__xludf.DUMMYFUNCTION("""COMPUTED_VALUE"""),"C++")</f>
        <v>C++</v>
      </c>
      <c r="L502" s="9" t="str">
        <f>IFERROR(__xludf.DUMMYFUNCTION("""COMPUTED_VALUE"""),"Java")</f>
        <v>Java</v>
      </c>
      <c r="M502" s="9" t="s">
        <v>26</v>
      </c>
    </row>
    <row r="503" ht="15.75" customHeight="1">
      <c r="A503" s="7"/>
      <c r="B503" s="7" t="str">
        <f>IFERROR(__xludf.DUMMYFUNCTION("""COMPUTED_VALUE"""),"Java")</f>
        <v>Java</v>
      </c>
      <c r="C503" s="9" t="str">
        <f>IFERROR(__xludf.DUMMYFUNCTION("""COMPUTED_VALUE"""),"HTML/CSS")</f>
        <v>HTML/CSS</v>
      </c>
      <c r="D503" s="9" t="str">
        <f>IFERROR(__xludf.DUMMYFUNCTION("""COMPUTED_VALUE"""),"HTML/CSS")</f>
        <v>HTML/CSS</v>
      </c>
      <c r="E503" s="9" t="str">
        <f>IFERROR(__xludf.DUMMYFUNCTION("""COMPUTED_VALUE"""),"SQL")</f>
        <v>SQL</v>
      </c>
      <c r="F503" s="9" t="str">
        <f>IFERROR(__xludf.DUMMYFUNCTION("""COMPUTED_VALUE"""),"Python")</f>
        <v>Python</v>
      </c>
      <c r="G503" s="9" t="str">
        <f>IFERROR(__xludf.DUMMYFUNCTION("""COMPUTED_VALUE"""),"HTML/CSS")</f>
        <v>HTML/CSS</v>
      </c>
      <c r="H503" s="9" t="str">
        <f>IFERROR(__xludf.DUMMYFUNCTION("""COMPUTED_VALUE"""),"Bash/Shell/PowerShell")</f>
        <v>Bash/Shell/PowerShell</v>
      </c>
      <c r="I503" s="9" t="str">
        <f>IFERROR(__xludf.DUMMYFUNCTION("""COMPUTED_VALUE"""),"C#")</f>
        <v>C#</v>
      </c>
      <c r="J503" s="9" t="str">
        <f>IFERROR(__xludf.DUMMYFUNCTION("""COMPUTED_VALUE"""),"C#")</f>
        <v>C#</v>
      </c>
      <c r="K503" s="9" t="str">
        <f>IFERROR(__xludf.DUMMYFUNCTION("""COMPUTED_VALUE"""),"C#")</f>
        <v>C#</v>
      </c>
      <c r="L503" s="9" t="str">
        <f>IFERROR(__xludf.DUMMYFUNCTION("""COMPUTED_VALUE"""),"Python")</f>
        <v>Python</v>
      </c>
      <c r="M503" s="9" t="s">
        <v>24</v>
      </c>
    </row>
    <row r="504" ht="15.75" customHeight="1">
      <c r="A504" s="7"/>
      <c r="B504" s="7" t="str">
        <f>IFERROR(__xludf.DUMMYFUNCTION("""COMPUTED_VALUE"""),"Go;HTML/CSS;Java;JavaScript;PHP;Python;SQL;TypeScript")</f>
        <v>Go;HTML/CSS;Java;JavaScript;PHP;Python;SQL;TypeScript</v>
      </c>
      <c r="C504" s="9" t="str">
        <f>IFERROR(__xludf.DUMMYFUNCTION("""COMPUTED_VALUE"""),"JavaScript")</f>
        <v>JavaScript</v>
      </c>
      <c r="D504" s="9" t="str">
        <f>IFERROR(__xludf.DUMMYFUNCTION("""COMPUTED_VALUE"""),"Java")</f>
        <v>Java</v>
      </c>
      <c r="E504" s="9" t="str">
        <f>IFERROR(__xludf.DUMMYFUNCTION("""COMPUTED_VALUE"""),"Java")</f>
        <v>Java</v>
      </c>
      <c r="F504" s="9" t="str">
        <f>IFERROR(__xludf.DUMMYFUNCTION("""COMPUTED_VALUE"""),"Other(s):")</f>
        <v>Other(s):</v>
      </c>
      <c r="G504" s="9" t="str">
        <f>IFERROR(__xludf.DUMMYFUNCTION("""COMPUTED_VALUE"""),"Python")</f>
        <v>Python</v>
      </c>
      <c r="H504" s="9" t="str">
        <f>IFERROR(__xludf.DUMMYFUNCTION("""COMPUTED_VALUE"""),"C")</f>
        <v>C</v>
      </c>
      <c r="I504" s="9" t="str">
        <f>IFERROR(__xludf.DUMMYFUNCTION("""COMPUTED_VALUE"""),"JavaScript")</f>
        <v>JavaScript</v>
      </c>
      <c r="J504" s="9" t="str">
        <f>IFERROR(__xludf.DUMMYFUNCTION("""COMPUTED_VALUE"""),"C++")</f>
        <v>C++</v>
      </c>
      <c r="K504" s="9" t="str">
        <f>IFERROR(__xludf.DUMMYFUNCTION("""COMPUTED_VALUE"""),"Java")</f>
        <v>Java</v>
      </c>
      <c r="L504" s="9" t="str">
        <f>IFERROR(__xludf.DUMMYFUNCTION("""COMPUTED_VALUE"""),"Scala")</f>
        <v>Scala</v>
      </c>
      <c r="M504" s="9" t="s">
        <v>21</v>
      </c>
    </row>
    <row r="505" ht="15.75" customHeight="1">
      <c r="A505" s="7"/>
      <c r="B505" s="7" t="str">
        <f>IFERROR(__xludf.DUMMYFUNCTION("""COMPUTED_VALUE"""),"C;C++;HTML/CSS;JavaScript")</f>
        <v>C;C++;HTML/CSS;JavaScript</v>
      </c>
      <c r="C505" s="9" t="str">
        <f>IFERROR(__xludf.DUMMYFUNCTION("""COMPUTED_VALUE"""),"Python")</f>
        <v>Python</v>
      </c>
      <c r="D505" s="9" t="str">
        <f>IFERROR(__xludf.DUMMYFUNCTION("""COMPUTED_VALUE"""),"JavaScript")</f>
        <v>JavaScript</v>
      </c>
      <c r="E505" s="9" t="str">
        <f>IFERROR(__xludf.DUMMYFUNCTION("""COMPUTED_VALUE"""),"SQL")</f>
        <v>SQL</v>
      </c>
      <c r="F505" s="9" t="str">
        <f>IFERROR(__xludf.DUMMYFUNCTION("""COMPUTED_VALUE"""),"C#")</f>
        <v>C#</v>
      </c>
      <c r="G505" s="9" t="str">
        <f>IFERROR(__xludf.DUMMYFUNCTION("""COMPUTED_VALUE"""),"Bash/Shell/PowerShell")</f>
        <v>Bash/Shell/PowerShell</v>
      </c>
      <c r="H505" s="9" t="str">
        <f>IFERROR(__xludf.DUMMYFUNCTION("""COMPUTED_VALUE"""),"HTML/CSS")</f>
        <v>HTML/CSS</v>
      </c>
      <c r="I505" s="9" t="str">
        <f>IFERROR(__xludf.DUMMYFUNCTION("""COMPUTED_VALUE"""),"SQL")</f>
        <v>SQL</v>
      </c>
      <c r="J505" s="9" t="str">
        <f>IFERROR(__xludf.DUMMYFUNCTION("""COMPUTED_VALUE"""),"C")</f>
        <v>C</v>
      </c>
      <c r="K505" s="9" t="str">
        <f>IFERROR(__xludf.DUMMYFUNCTION("""COMPUTED_VALUE"""),"JavaScript")</f>
        <v>JavaScript</v>
      </c>
      <c r="L505" s="9" t="str">
        <f>IFERROR(__xludf.DUMMYFUNCTION("""COMPUTED_VALUE"""),"SQL")</f>
        <v>SQL</v>
      </c>
      <c r="M505" s="9" t="s">
        <v>22</v>
      </c>
    </row>
    <row r="506" ht="15.75" customHeight="1">
      <c r="A506" s="7"/>
      <c r="B506" s="7" t="str">
        <f>IFERROR(__xludf.DUMMYFUNCTION("""COMPUTED_VALUE"""),"Bash/Shell/PowerShell;HTML/CSS;JavaScript;PHP;Python;SQL")</f>
        <v>Bash/Shell/PowerShell;HTML/CSS;JavaScript;PHP;Python;SQL</v>
      </c>
      <c r="C506" s="9" t="str">
        <f>IFERROR(__xludf.DUMMYFUNCTION("""COMPUTED_VALUE"""),"R")</f>
        <v>R</v>
      </c>
      <c r="D506" s="9" t="str">
        <f>IFERROR(__xludf.DUMMYFUNCTION("""COMPUTED_VALUE"""),"PHP")</f>
        <v>PHP</v>
      </c>
      <c r="E506" s="9" t="str">
        <f>IFERROR(__xludf.DUMMYFUNCTION("""COMPUTED_VALUE"""),"Bash/Shell/PowerShell")</f>
        <v>Bash/Shell/PowerShell</v>
      </c>
      <c r="F506" s="9" t="str">
        <f>IFERROR(__xludf.DUMMYFUNCTION("""COMPUTED_VALUE"""),"SQL")</f>
        <v>SQL</v>
      </c>
      <c r="G506" s="9" t="str">
        <f>IFERROR(__xludf.DUMMYFUNCTION("""COMPUTED_VALUE"""),"C")</f>
        <v>C</v>
      </c>
      <c r="H506" s="9" t="str">
        <f>IFERROR(__xludf.DUMMYFUNCTION("""COMPUTED_VALUE"""),"Java")</f>
        <v>Java</v>
      </c>
      <c r="I506" s="9" t="str">
        <f>IFERROR(__xludf.DUMMYFUNCTION("""COMPUTED_VALUE"""),"HTML/CSS")</f>
        <v>HTML/CSS</v>
      </c>
      <c r="J506" s="9" t="str">
        <f>IFERROR(__xludf.DUMMYFUNCTION("""COMPUTED_VALUE"""),"C++")</f>
        <v>C++</v>
      </c>
      <c r="K506" s="9" t="str">
        <f>IFERROR(__xludf.DUMMYFUNCTION("""COMPUTED_VALUE"""),"Objective-C")</f>
        <v>Objective-C</v>
      </c>
      <c r="L506" s="9" t="str">
        <f>IFERROR(__xludf.DUMMYFUNCTION("""COMPUTED_VALUE"""),"Bash/Shell/PowerShell")</f>
        <v>Bash/Shell/PowerShell</v>
      </c>
      <c r="M506" s="9" t="s">
        <v>29</v>
      </c>
    </row>
    <row r="507" ht="15.75" customHeight="1">
      <c r="A507" s="7"/>
      <c r="B507" s="7" t="str">
        <f>IFERROR(__xludf.DUMMYFUNCTION("""COMPUTED_VALUE"""),"Python")</f>
        <v>Python</v>
      </c>
      <c r="C507" s="9" t="str">
        <f>IFERROR(__xludf.DUMMYFUNCTION("""COMPUTED_VALUE"""),"SQL")</f>
        <v>SQL</v>
      </c>
      <c r="D507" s="9" t="str">
        <f>IFERROR(__xludf.DUMMYFUNCTION("""COMPUTED_VALUE"""),"Python")</f>
        <v>Python</v>
      </c>
      <c r="E507" s="9" t="str">
        <f>IFERROR(__xludf.DUMMYFUNCTION("""COMPUTED_VALUE"""),"C++")</f>
        <v>C++</v>
      </c>
      <c r="F507" s="9" t="str">
        <f>IFERROR(__xludf.DUMMYFUNCTION("""COMPUTED_VALUE"""),"VBA")</f>
        <v>VBA</v>
      </c>
      <c r="G507" s="9" t="str">
        <f>IFERROR(__xludf.DUMMYFUNCTION("""COMPUTED_VALUE"""),"Ruby")</f>
        <v>Ruby</v>
      </c>
      <c r="H507" s="9" t="str">
        <f>IFERROR(__xludf.DUMMYFUNCTION("""COMPUTED_VALUE"""),"JavaScript")</f>
        <v>JavaScript</v>
      </c>
      <c r="I507" s="9" t="str">
        <f>IFERROR(__xludf.DUMMYFUNCTION("""COMPUTED_VALUE"""),"Java")</f>
        <v>Java</v>
      </c>
      <c r="J507" s="9" t="str">
        <f>IFERROR(__xludf.DUMMYFUNCTION("""COMPUTED_VALUE"""),"C#")</f>
        <v>C#</v>
      </c>
      <c r="K507" s="9" t="str">
        <f>IFERROR(__xludf.DUMMYFUNCTION("""COMPUTED_VALUE"""),"Swift")</f>
        <v>Swift</v>
      </c>
      <c r="L507" s="9" t="str">
        <f>IFERROR(__xludf.DUMMYFUNCTION("""COMPUTED_VALUE"""),"Erlang")</f>
        <v>Erlang</v>
      </c>
      <c r="M507" s="9" t="s">
        <v>27</v>
      </c>
    </row>
    <row r="508" ht="15.75" customHeight="1">
      <c r="A508" s="7"/>
      <c r="B508" s="7" t="str">
        <f>IFERROR(__xludf.DUMMYFUNCTION("""COMPUTED_VALUE"""),"HTML/CSS;JavaScript;Ruby;SQL;TypeScript")</f>
        <v>HTML/CSS;JavaScript;Ruby;SQL;TypeScript</v>
      </c>
      <c r="C508" s="9" t="str">
        <f>IFERROR(__xludf.DUMMYFUNCTION("""COMPUTED_VALUE"""),"C")</f>
        <v>C</v>
      </c>
      <c r="D508" s="9" t="str">
        <f>IFERROR(__xludf.DUMMYFUNCTION("""COMPUTED_VALUE"""),"PHP")</f>
        <v>PHP</v>
      </c>
      <c r="E508" s="9" t="str">
        <f>IFERROR(__xludf.DUMMYFUNCTION("""COMPUTED_VALUE"""),"Python")</f>
        <v>Python</v>
      </c>
      <c r="F508" s="9" t="str">
        <f>IFERROR(__xludf.DUMMYFUNCTION("""COMPUTED_VALUE"""),"Other(s):")</f>
        <v>Other(s):</v>
      </c>
      <c r="G508" s="9" t="str">
        <f>IFERROR(__xludf.DUMMYFUNCTION("""COMPUTED_VALUE"""),"Bash/Shell/PowerShell")</f>
        <v>Bash/Shell/PowerShell</v>
      </c>
      <c r="H508" s="9" t="str">
        <f>IFERROR(__xludf.DUMMYFUNCTION("""COMPUTED_VALUE"""),"PHP")</f>
        <v>PHP</v>
      </c>
      <c r="I508" s="9" t="str">
        <f>IFERROR(__xludf.DUMMYFUNCTION("""COMPUTED_VALUE"""),"JavaScript")</f>
        <v>JavaScript</v>
      </c>
      <c r="J508" s="9" t="str">
        <f>IFERROR(__xludf.DUMMYFUNCTION("""COMPUTED_VALUE"""),"JavaScript")</f>
        <v>JavaScript</v>
      </c>
      <c r="K508" s="9" t="str">
        <f>IFERROR(__xludf.DUMMYFUNCTION("""COMPUTED_VALUE"""),"Assembly")</f>
        <v>Assembly</v>
      </c>
      <c r="L508" s="9" t="str">
        <f>IFERROR(__xludf.DUMMYFUNCTION("""COMPUTED_VALUE"""),"Go")</f>
        <v>Go</v>
      </c>
      <c r="M508" s="9" t="s">
        <v>25</v>
      </c>
    </row>
    <row r="509" ht="15.75" customHeight="1">
      <c r="A509" s="7"/>
      <c r="B509" s="7" t="str">
        <f>IFERROR(__xludf.DUMMYFUNCTION("""COMPUTED_VALUE"""),"Bash/Shell/PowerShell;Python;Other(s):")</f>
        <v>Bash/Shell/PowerShell;Python;Other(s):</v>
      </c>
      <c r="C509" s="9" t="str">
        <f>IFERROR(__xludf.DUMMYFUNCTION("""COMPUTED_VALUE"""),"C++")</f>
        <v>C++</v>
      </c>
      <c r="D509" s="9" t="str">
        <f>IFERROR(__xludf.DUMMYFUNCTION("""COMPUTED_VALUE"""),"Python")</f>
        <v>Python</v>
      </c>
      <c r="E509" s="9" t="str">
        <f>IFERROR(__xludf.DUMMYFUNCTION("""COMPUTED_VALUE"""),"C#")</f>
        <v>C#</v>
      </c>
      <c r="F509" s="9" t="str">
        <f>IFERROR(__xludf.DUMMYFUNCTION("""COMPUTED_VALUE"""),"C")</f>
        <v>C</v>
      </c>
      <c r="G509" s="9" t="str">
        <f>IFERROR(__xludf.DUMMYFUNCTION("""COMPUTED_VALUE"""),"Go")</f>
        <v>Go</v>
      </c>
      <c r="H509" s="9" t="str">
        <f>IFERROR(__xludf.DUMMYFUNCTION("""COMPUTED_VALUE"""),"Python")</f>
        <v>Python</v>
      </c>
      <c r="I509" s="9" t="str">
        <f>IFERROR(__xludf.DUMMYFUNCTION("""COMPUTED_VALUE"""),"Python")</f>
        <v>Python</v>
      </c>
      <c r="J509" s="9" t="str">
        <f>IFERROR(__xludf.DUMMYFUNCTION("""COMPUTED_VALUE"""),"Python")</f>
        <v>Python</v>
      </c>
      <c r="K509" s="9" t="str">
        <f>IFERROR(__xludf.DUMMYFUNCTION("""COMPUTED_VALUE"""),"Python")</f>
        <v>Python</v>
      </c>
      <c r="L509" s="9" t="str">
        <f>IFERROR(__xludf.DUMMYFUNCTION("""COMPUTED_VALUE"""),"HTML/CSS")</f>
        <v>HTML/CSS</v>
      </c>
      <c r="M509" s="9" t="s">
        <v>23</v>
      </c>
    </row>
    <row r="510" ht="15.75" customHeight="1">
      <c r="A510" s="7"/>
      <c r="B510" s="7" t="str">
        <f>IFERROR(__xludf.DUMMYFUNCTION("""COMPUTED_VALUE"""),"C++;Rust")</f>
        <v>C++;Rust</v>
      </c>
      <c r="C510" s="9" t="str">
        <f>IFERROR(__xludf.DUMMYFUNCTION("""COMPUTED_VALUE"""),"Java")</f>
        <v>Java</v>
      </c>
      <c r="D510" s="9" t="str">
        <f>IFERROR(__xludf.DUMMYFUNCTION("""COMPUTED_VALUE"""),"SQL")</f>
        <v>SQL</v>
      </c>
      <c r="E510" s="9" t="str">
        <f>IFERROR(__xludf.DUMMYFUNCTION("""COMPUTED_VALUE"""),"HTML/CSS")</f>
        <v>HTML/CSS</v>
      </c>
      <c r="F510" s="9" t="str">
        <f>IFERROR(__xludf.DUMMYFUNCTION("""COMPUTED_VALUE"""),"C++")</f>
        <v>C++</v>
      </c>
      <c r="G510" s="9" t="str">
        <f>IFERROR(__xludf.DUMMYFUNCTION("""COMPUTED_VALUE"""),"JavaScript")</f>
        <v>JavaScript</v>
      </c>
      <c r="H510" s="9" t="str">
        <f>IFERROR(__xludf.DUMMYFUNCTION("""COMPUTED_VALUE"""),"SQL")</f>
        <v>SQL</v>
      </c>
      <c r="I510" s="9" t="str">
        <f>IFERROR(__xludf.DUMMYFUNCTION("""COMPUTED_VALUE"""),"Java")</f>
        <v>Java</v>
      </c>
      <c r="J510" s="9" t="str">
        <f>IFERROR(__xludf.DUMMYFUNCTION("""COMPUTED_VALUE"""),"HTML/CSS")</f>
        <v>HTML/CSS</v>
      </c>
      <c r="K510" s="9" t="str">
        <f>IFERROR(__xludf.DUMMYFUNCTION("""COMPUTED_VALUE"""),"R")</f>
        <v>R</v>
      </c>
      <c r="L510" s="9" t="str">
        <f>IFERROR(__xludf.DUMMYFUNCTION("""COMPUTED_VALUE"""),"JavaScript")</f>
        <v>JavaScript</v>
      </c>
      <c r="M510" s="9" t="s">
        <v>20</v>
      </c>
    </row>
    <row r="511" ht="15.75" customHeight="1">
      <c r="A511" s="7"/>
      <c r="B511" s="7" t="str">
        <f>IFERROR(__xludf.DUMMYFUNCTION("""COMPUTED_VALUE"""),"HTML/CSS;JavaScript;Python;Ruby;TypeScript")</f>
        <v>HTML/CSS;JavaScript;Python;Ruby;TypeScript</v>
      </c>
      <c r="C511" s="9" t="str">
        <f>IFERROR(__xludf.DUMMYFUNCTION("""COMPUTED_VALUE"""),"Python")</f>
        <v>Python</v>
      </c>
      <c r="D511" s="9" t="str">
        <f>IFERROR(__xludf.DUMMYFUNCTION("""COMPUTED_VALUE"""),"HTML/CSS")</f>
        <v>HTML/CSS</v>
      </c>
      <c r="E511" s="9" t="str">
        <f>IFERROR(__xludf.DUMMYFUNCTION("""COMPUTED_VALUE"""),"JavaScript")</f>
        <v>JavaScript</v>
      </c>
      <c r="F511" s="9" t="str">
        <f>IFERROR(__xludf.DUMMYFUNCTION("""COMPUTED_VALUE"""),"HTML/CSS")</f>
        <v>HTML/CSS</v>
      </c>
      <c r="G511" s="9" t="str">
        <f>IFERROR(__xludf.DUMMYFUNCTION("""COMPUTED_VALUE"""),"Python")</f>
        <v>Python</v>
      </c>
      <c r="H511" s="9" t="str">
        <f>IFERROR(__xludf.DUMMYFUNCTION("""COMPUTED_VALUE"""),"TypeScript")</f>
        <v>TypeScript</v>
      </c>
      <c r="I511" s="9" t="str">
        <f>IFERROR(__xludf.DUMMYFUNCTION("""COMPUTED_VALUE"""),"SQL")</f>
        <v>SQL</v>
      </c>
      <c r="J511" s="9" t="str">
        <f>IFERROR(__xludf.DUMMYFUNCTION("""COMPUTED_VALUE"""),"Java")</f>
        <v>Java</v>
      </c>
      <c r="K511" s="9" t="str">
        <f>IFERROR(__xludf.DUMMYFUNCTION("""COMPUTED_VALUE"""),"JavaScript")</f>
        <v>JavaScript</v>
      </c>
      <c r="L511" s="9" t="str">
        <f>IFERROR(__xludf.DUMMYFUNCTION("""COMPUTED_VALUE"""),"PHP")</f>
        <v>PHP</v>
      </c>
      <c r="M511" s="9" t="s">
        <v>22</v>
      </c>
    </row>
    <row r="512" ht="15.75" customHeight="1">
      <c r="A512" s="7"/>
      <c r="B512" s="7" t="str">
        <f>IFERROR(__xludf.DUMMYFUNCTION("""COMPUTED_VALUE"""),"C++;HTML/CSS;Java;JavaScript;PHP;Python;SQL")</f>
        <v>C++;HTML/CSS;Java;JavaScript;PHP;Python;SQL</v>
      </c>
      <c r="C512" s="9" t="str">
        <f>IFERROR(__xludf.DUMMYFUNCTION("""COMPUTED_VALUE"""),"R")</f>
        <v>R</v>
      </c>
      <c r="D512" s="9" t="str">
        <f>IFERROR(__xludf.DUMMYFUNCTION("""COMPUTED_VALUE"""),"Java")</f>
        <v>Java</v>
      </c>
      <c r="E512" s="9" t="str">
        <f>IFERROR(__xludf.DUMMYFUNCTION("""COMPUTED_VALUE"""),"PHP")</f>
        <v>PHP</v>
      </c>
      <c r="F512" s="9" t="str">
        <f>IFERROR(__xludf.DUMMYFUNCTION("""COMPUTED_VALUE"""),"Java")</f>
        <v>Java</v>
      </c>
      <c r="G512" s="9" t="str">
        <f>IFERROR(__xludf.DUMMYFUNCTION("""COMPUTED_VALUE"""),"SQL")</f>
        <v>SQL</v>
      </c>
      <c r="H512" s="9" t="str">
        <f>IFERROR(__xludf.DUMMYFUNCTION("""COMPUTED_VALUE"""),"HTML/CSS")</f>
        <v>HTML/CSS</v>
      </c>
      <c r="I512" s="9" t="str">
        <f>IFERROR(__xludf.DUMMYFUNCTION("""COMPUTED_VALUE"""),"C")</f>
        <v>C</v>
      </c>
      <c r="J512" s="9" t="str">
        <f>IFERROR(__xludf.DUMMYFUNCTION("""COMPUTED_VALUE"""),"JavaScript")</f>
        <v>JavaScript</v>
      </c>
      <c r="K512" s="9" t="str">
        <f>IFERROR(__xludf.DUMMYFUNCTION("""COMPUTED_VALUE"""),"Python")</f>
        <v>Python</v>
      </c>
      <c r="L512" s="9" t="str">
        <f>IFERROR(__xludf.DUMMYFUNCTION("""COMPUTED_VALUE"""),"Python")</f>
        <v>Python</v>
      </c>
      <c r="M512" s="9" t="s">
        <v>29</v>
      </c>
    </row>
    <row r="513" ht="15.75" customHeight="1">
      <c r="A513" s="7"/>
      <c r="B513" s="7" t="str">
        <f>IFERROR(__xludf.DUMMYFUNCTION("""COMPUTED_VALUE"""),"Bash/Shell/PowerShell;C++;Python")</f>
        <v>Bash/Shell/PowerShell;C++;Python</v>
      </c>
      <c r="C513" s="9" t="str">
        <f>IFERROR(__xludf.DUMMYFUNCTION("""COMPUTED_VALUE"""),"Scala")</f>
        <v>Scala</v>
      </c>
      <c r="D513" s="9" t="str">
        <f>IFERROR(__xludf.DUMMYFUNCTION("""COMPUTED_VALUE"""),"SQL")</f>
        <v>SQL</v>
      </c>
      <c r="E513" s="9" t="str">
        <f>IFERROR(__xludf.DUMMYFUNCTION("""COMPUTED_VALUE"""),"HTML/CSS")</f>
        <v>HTML/CSS</v>
      </c>
      <c r="F513" s="9" t="str">
        <f>IFERROR(__xludf.DUMMYFUNCTION("""COMPUTED_VALUE"""),"C")</f>
        <v>C</v>
      </c>
      <c r="G513" s="9" t="str">
        <f>IFERROR(__xludf.DUMMYFUNCTION("""COMPUTED_VALUE"""),"HTML/CSS")</f>
        <v>HTML/CSS</v>
      </c>
      <c r="H513" s="9" t="str">
        <f>IFERROR(__xludf.DUMMYFUNCTION("""COMPUTED_VALUE"""),"Python")</f>
        <v>Python</v>
      </c>
      <c r="I513" s="9" t="str">
        <f>IFERROR(__xludf.DUMMYFUNCTION("""COMPUTED_VALUE"""),"C++")</f>
        <v>C++</v>
      </c>
      <c r="J513" s="9" t="str">
        <f>IFERROR(__xludf.DUMMYFUNCTION("""COMPUTED_VALUE"""),"PHP")</f>
        <v>PHP</v>
      </c>
      <c r="K513" s="9" t="str">
        <f>IFERROR(__xludf.DUMMYFUNCTION("""COMPUTED_VALUE"""),"R")</f>
        <v>R</v>
      </c>
      <c r="L513" s="9" t="str">
        <f>IFERROR(__xludf.DUMMYFUNCTION("""COMPUTED_VALUE"""),"SQL")</f>
        <v>SQL</v>
      </c>
      <c r="M513" s="9" t="s">
        <v>46</v>
      </c>
    </row>
    <row r="514" ht="15.75" customHeight="1">
      <c r="A514" s="7"/>
      <c r="B514" s="7" t="str">
        <f>IFERROR(__xludf.DUMMYFUNCTION("""COMPUTED_VALUE"""),"Assembly;C++;F#;HTML/CSS;PHP;Python;R;Rust;TypeScript;Other(s):")</f>
        <v>Assembly;C++;F#;HTML/CSS;PHP;Python;R;Rust;TypeScript;Other(s):</v>
      </c>
      <c r="C514" s="9" t="str">
        <f>IFERROR(__xludf.DUMMYFUNCTION("""COMPUTED_VALUE"""),"SQL")</f>
        <v>SQL</v>
      </c>
      <c r="D514" s="9" t="str">
        <f>IFERROR(__xludf.DUMMYFUNCTION("""COMPUTED_VALUE"""),"C")</f>
        <v>C</v>
      </c>
      <c r="E514" s="9" t="str">
        <f>IFERROR(__xludf.DUMMYFUNCTION("""COMPUTED_VALUE"""),"JavaScript")</f>
        <v>JavaScript</v>
      </c>
      <c r="F514" s="9" t="str">
        <f>IFERROR(__xludf.DUMMYFUNCTION("""COMPUTED_VALUE"""),"C++")</f>
        <v>C++</v>
      </c>
      <c r="G514" s="9" t="str">
        <f>IFERROR(__xludf.DUMMYFUNCTION("""COMPUTED_VALUE"""),"JavaScript")</f>
        <v>JavaScript</v>
      </c>
      <c r="H514" s="9" t="str">
        <f>IFERROR(__xludf.DUMMYFUNCTION("""COMPUTED_VALUE"""),"R")</f>
        <v>R</v>
      </c>
      <c r="I514" s="9" t="str">
        <f>IFERROR(__xludf.DUMMYFUNCTION("""COMPUTED_VALUE"""),"HTML/CSS")</f>
        <v>HTML/CSS</v>
      </c>
      <c r="J514" s="9" t="str">
        <f>IFERROR(__xludf.DUMMYFUNCTION("""COMPUTED_VALUE"""),"Ruby")</f>
        <v>Ruby</v>
      </c>
      <c r="K514" s="9" t="str">
        <f>IFERROR(__xludf.DUMMYFUNCTION("""COMPUTED_VALUE"""),"HTML/CSS")</f>
        <v>HTML/CSS</v>
      </c>
      <c r="L514" s="9" t="str">
        <f>IFERROR(__xludf.DUMMYFUNCTION("""COMPUTED_VALUE"""),"Bash/Shell/PowerShell")</f>
        <v>Bash/Shell/PowerShell</v>
      </c>
      <c r="M514" s="9" t="s">
        <v>27</v>
      </c>
    </row>
    <row r="515" ht="15.75" customHeight="1">
      <c r="A515" s="7"/>
      <c r="B515" s="7" t="str">
        <f>IFERROR(__xludf.DUMMYFUNCTION("""COMPUTED_VALUE"""),"C;HTML/CSS;Java;JavaScript;SQL")</f>
        <v>C;HTML/CSS;Java;JavaScript;SQL</v>
      </c>
      <c r="C515" s="9" t="str">
        <f>IFERROR(__xludf.DUMMYFUNCTION("""COMPUTED_VALUE"""),"Bash/Shell/PowerShell")</f>
        <v>Bash/Shell/PowerShell</v>
      </c>
      <c r="D515" s="9" t="str">
        <f>IFERROR(__xludf.DUMMYFUNCTION("""COMPUTED_VALUE"""),"C++")</f>
        <v>C++</v>
      </c>
      <c r="E515" s="9" t="str">
        <f>IFERROR(__xludf.DUMMYFUNCTION("""COMPUTED_VALUE"""),"PHP")</f>
        <v>PHP</v>
      </c>
      <c r="F515" s="9" t="str">
        <f>IFERROR(__xludf.DUMMYFUNCTION("""COMPUTED_VALUE"""),"HTML/CSS")</f>
        <v>HTML/CSS</v>
      </c>
      <c r="G515" s="9" t="str">
        <f>IFERROR(__xludf.DUMMYFUNCTION("""COMPUTED_VALUE"""),"Python")</f>
        <v>Python</v>
      </c>
      <c r="H515" s="9" t="str">
        <f>IFERROR(__xludf.DUMMYFUNCTION("""COMPUTED_VALUE"""),"SQL")</f>
        <v>SQL</v>
      </c>
      <c r="I515" s="9" t="str">
        <f>IFERROR(__xludf.DUMMYFUNCTION("""COMPUTED_VALUE"""),"JavaScript")</f>
        <v>JavaScript</v>
      </c>
      <c r="J515" s="9" t="str">
        <f>IFERROR(__xludf.DUMMYFUNCTION("""COMPUTED_VALUE"""),"SQL")</f>
        <v>SQL</v>
      </c>
      <c r="K515" s="9" t="str">
        <f>IFERROR(__xludf.DUMMYFUNCTION("""COMPUTED_VALUE"""),"Python")</f>
        <v>Python</v>
      </c>
      <c r="L515" s="9" t="str">
        <f>IFERROR(__xludf.DUMMYFUNCTION("""COMPUTED_VALUE"""),"C")</f>
        <v>C</v>
      </c>
      <c r="M515" s="9" t="s">
        <v>30</v>
      </c>
    </row>
    <row r="516" ht="15.75" customHeight="1">
      <c r="A516" s="7"/>
      <c r="B516" s="7" t="str">
        <f>IFERROR(__xludf.DUMMYFUNCTION("""COMPUTED_VALUE"""),"HTML/CSS;PHP")</f>
        <v>HTML/CSS;PHP</v>
      </c>
      <c r="C516" s="9" t="str">
        <f>IFERROR(__xludf.DUMMYFUNCTION("""COMPUTED_VALUE"""),"JavaScript")</f>
        <v>JavaScript</v>
      </c>
      <c r="D516" s="9" t="str">
        <f>IFERROR(__xludf.DUMMYFUNCTION("""COMPUTED_VALUE"""),"JavaScript")</f>
        <v>JavaScript</v>
      </c>
      <c r="E516" s="9" t="str">
        <f>IFERROR(__xludf.DUMMYFUNCTION("""COMPUTED_VALUE"""),"SQL")</f>
        <v>SQL</v>
      </c>
      <c r="F516" s="9" t="str">
        <f>IFERROR(__xludf.DUMMYFUNCTION("""COMPUTED_VALUE"""),"JavaScript")</f>
        <v>JavaScript</v>
      </c>
      <c r="G516" s="9" t="str">
        <f>IFERROR(__xludf.DUMMYFUNCTION("""COMPUTED_VALUE"""),"Bash/Shell/PowerShell")</f>
        <v>Bash/Shell/PowerShell</v>
      </c>
      <c r="H516" s="9" t="str">
        <f>IFERROR(__xludf.DUMMYFUNCTION("""COMPUTED_VALUE"""),"Bash/Shell/PowerShell")</f>
        <v>Bash/Shell/PowerShell</v>
      </c>
      <c r="I516" s="9" t="str">
        <f>IFERROR(__xludf.DUMMYFUNCTION("""COMPUTED_VALUE"""),"PHP")</f>
        <v>PHP</v>
      </c>
      <c r="J516" s="9" t="str">
        <f>IFERROR(__xludf.DUMMYFUNCTION("""COMPUTED_VALUE"""),"Bash/Shell/PowerShell")</f>
        <v>Bash/Shell/PowerShell</v>
      </c>
      <c r="K516" s="9" t="str">
        <f>IFERROR(__xludf.DUMMYFUNCTION("""COMPUTED_VALUE"""),"SQL")</f>
        <v>SQL</v>
      </c>
      <c r="L516" s="9" t="str">
        <f>IFERROR(__xludf.DUMMYFUNCTION("""COMPUTED_VALUE"""),"Go")</f>
        <v>Go</v>
      </c>
      <c r="M516" s="9" t="s">
        <v>21</v>
      </c>
    </row>
    <row r="517" ht="15.75" customHeight="1">
      <c r="A517" s="7"/>
      <c r="B517" s="7" t="str">
        <f>IFERROR(__xludf.DUMMYFUNCTION("""COMPUTED_VALUE"""),"HTML/CSS;Java;JavaScript;Python;SQL;TypeScript")</f>
        <v>HTML/CSS;Java;JavaScript;Python;SQL;TypeScript</v>
      </c>
      <c r="C517" s="9" t="str">
        <f>IFERROR(__xludf.DUMMYFUNCTION("""COMPUTED_VALUE"""),"Python")</f>
        <v>Python</v>
      </c>
      <c r="D517" s="9" t="str">
        <f>IFERROR(__xludf.DUMMYFUNCTION("""COMPUTED_VALUE"""),"TypeScript")</f>
        <v>TypeScript</v>
      </c>
      <c r="E517" s="9" t="str">
        <f>IFERROR(__xludf.DUMMYFUNCTION("""COMPUTED_VALUE"""),"Bash/Shell/PowerShell")</f>
        <v>Bash/Shell/PowerShell</v>
      </c>
      <c r="F517" s="9" t="str">
        <f>IFERROR(__xludf.DUMMYFUNCTION("""COMPUTED_VALUE"""),"Other(s):")</f>
        <v>Other(s):</v>
      </c>
      <c r="G517" s="9" t="str">
        <f>IFERROR(__xludf.DUMMYFUNCTION("""COMPUTED_VALUE"""),"HTML/CSS")</f>
        <v>HTML/CSS</v>
      </c>
      <c r="H517" s="9" t="str">
        <f>IFERROR(__xludf.DUMMYFUNCTION("""COMPUTED_VALUE"""),"C#")</f>
        <v>C#</v>
      </c>
      <c r="I517" s="9" t="str">
        <f>IFERROR(__xludf.DUMMYFUNCTION("""COMPUTED_VALUE"""),"SQL")</f>
        <v>SQL</v>
      </c>
      <c r="J517" s="9" t="str">
        <f>IFERROR(__xludf.DUMMYFUNCTION("""COMPUTED_VALUE"""),"Java")</f>
        <v>Java</v>
      </c>
      <c r="K517" s="9" t="str">
        <f>IFERROR(__xludf.DUMMYFUNCTION("""COMPUTED_VALUE"""),"Swift")</f>
        <v>Swift</v>
      </c>
      <c r="L517" s="9" t="str">
        <f>IFERROR(__xludf.DUMMYFUNCTION("""COMPUTED_VALUE"""),"HTML/CSS")</f>
        <v>HTML/CSS</v>
      </c>
      <c r="M517" s="9" t="s">
        <v>22</v>
      </c>
    </row>
    <row r="518" ht="15.75" customHeight="1">
      <c r="A518" s="7"/>
      <c r="B518" s="7" t="str">
        <f>IFERROR(__xludf.DUMMYFUNCTION("""COMPUTED_VALUE"""),"HTML/CSS;JavaScript")</f>
        <v>HTML/CSS;JavaScript</v>
      </c>
      <c r="C518" s="9" t="str">
        <f>IFERROR(__xludf.DUMMYFUNCTION("""COMPUTED_VALUE"""),"R")</f>
        <v>R</v>
      </c>
      <c r="D518" s="9" t="str">
        <f>IFERROR(__xludf.DUMMYFUNCTION("""COMPUTED_VALUE"""),"Other(s):")</f>
        <v>Other(s):</v>
      </c>
      <c r="E518" s="9" t="str">
        <f>IFERROR(__xludf.DUMMYFUNCTION("""COMPUTED_VALUE"""),"C")</f>
        <v>C</v>
      </c>
      <c r="F518" s="9" t="str">
        <f>IFERROR(__xludf.DUMMYFUNCTION("""COMPUTED_VALUE"""),"Bash/Shell/PowerShell")</f>
        <v>Bash/Shell/PowerShell</v>
      </c>
      <c r="G518" s="9" t="str">
        <f>IFERROR(__xludf.DUMMYFUNCTION("""COMPUTED_VALUE"""),"Java")</f>
        <v>Java</v>
      </c>
      <c r="H518" s="9" t="str">
        <f>IFERROR(__xludf.DUMMYFUNCTION("""COMPUTED_VALUE"""),"HTML/CSS")</f>
        <v>HTML/CSS</v>
      </c>
      <c r="I518" s="9" t="str">
        <f>IFERROR(__xludf.DUMMYFUNCTION("""COMPUTED_VALUE"""),"TypeScript")</f>
        <v>TypeScript</v>
      </c>
      <c r="J518" s="9" t="str">
        <f>IFERROR(__xludf.DUMMYFUNCTION("""COMPUTED_VALUE"""),"JavaScript")</f>
        <v>JavaScript</v>
      </c>
      <c r="K518" s="9" t="str">
        <f>IFERROR(__xludf.DUMMYFUNCTION("""COMPUTED_VALUE"""),"Bash/Shell/PowerShell")</f>
        <v>Bash/Shell/PowerShell</v>
      </c>
      <c r="L518" s="9" t="str">
        <f>IFERROR(__xludf.DUMMYFUNCTION("""COMPUTED_VALUE"""),"JavaScript")</f>
        <v>JavaScript</v>
      </c>
      <c r="M518" s="9" t="s">
        <v>29</v>
      </c>
    </row>
    <row r="519" ht="15.75" customHeight="1">
      <c r="A519" s="7"/>
      <c r="B519" s="7" t="str">
        <f>IFERROR(__xludf.DUMMYFUNCTION("""COMPUTED_VALUE"""),"HTML/CSS;Python")</f>
        <v>HTML/CSS;Python</v>
      </c>
      <c r="C519" s="9" t="str">
        <f>IFERROR(__xludf.DUMMYFUNCTION("""COMPUTED_VALUE"""),"SQL")</f>
        <v>SQL</v>
      </c>
      <c r="D519" s="9" t="str">
        <f>IFERROR(__xludf.DUMMYFUNCTION("""COMPUTED_VALUE"""),"Bash/Shell/PowerShell")</f>
        <v>Bash/Shell/PowerShell</v>
      </c>
      <c r="E519" s="9" t="str">
        <f>IFERROR(__xludf.DUMMYFUNCTION("""COMPUTED_VALUE"""),"C++")</f>
        <v>C++</v>
      </c>
      <c r="F519" s="9" t="str">
        <f>IFERROR(__xludf.DUMMYFUNCTION("""COMPUTED_VALUE"""),"C#")</f>
        <v>C#</v>
      </c>
      <c r="G519" s="9" t="str">
        <f>IFERROR(__xludf.DUMMYFUNCTION("""COMPUTED_VALUE"""),"JavaScript")</f>
        <v>JavaScript</v>
      </c>
      <c r="H519" s="9" t="str">
        <f>IFERROR(__xludf.DUMMYFUNCTION("""COMPUTED_VALUE"""),"PHP")</f>
        <v>PHP</v>
      </c>
      <c r="I519" s="9" t="str">
        <f>IFERROR(__xludf.DUMMYFUNCTION("""COMPUTED_VALUE"""),"Bash/Shell/PowerShell")</f>
        <v>Bash/Shell/PowerShell</v>
      </c>
      <c r="J519" s="9" t="str">
        <f>IFERROR(__xludf.DUMMYFUNCTION("""COMPUTED_VALUE"""),"Python")</f>
        <v>Python</v>
      </c>
      <c r="K519" s="9" t="str">
        <f>IFERROR(__xludf.DUMMYFUNCTION("""COMPUTED_VALUE"""),"HTML/CSS")</f>
        <v>HTML/CSS</v>
      </c>
      <c r="L519" s="9" t="str">
        <f>IFERROR(__xludf.DUMMYFUNCTION("""COMPUTED_VALUE"""),"Python")</f>
        <v>Python</v>
      </c>
      <c r="M519" s="9" t="s">
        <v>27</v>
      </c>
    </row>
    <row r="520" ht="15.75" customHeight="1">
      <c r="A520" s="7"/>
      <c r="B520" s="7" t="str">
        <f>IFERROR(__xludf.DUMMYFUNCTION("""COMPUTED_VALUE"""),"Bash/Shell/PowerShell;HTML/CSS;JavaScript;Python;R")</f>
        <v>Bash/Shell/PowerShell;HTML/CSS;JavaScript;Python;R</v>
      </c>
      <c r="C520" s="9" t="str">
        <f>IFERROR(__xludf.DUMMYFUNCTION("""COMPUTED_VALUE"""),"HTML/CSS")</f>
        <v>HTML/CSS</v>
      </c>
      <c r="D520" s="9" t="str">
        <f>IFERROR(__xludf.DUMMYFUNCTION("""COMPUTED_VALUE"""),"C#")</f>
        <v>C#</v>
      </c>
      <c r="E520" s="9" t="str">
        <f>IFERROR(__xludf.DUMMYFUNCTION("""COMPUTED_VALUE"""),"C#")</f>
        <v>C#</v>
      </c>
      <c r="F520" s="9" t="str">
        <f>IFERROR(__xludf.DUMMYFUNCTION("""COMPUTED_VALUE"""),"HTML/CSS")</f>
        <v>HTML/CSS</v>
      </c>
      <c r="G520" s="9" t="str">
        <f>IFERROR(__xludf.DUMMYFUNCTION("""COMPUTED_VALUE"""),"Kotlin")</f>
        <v>Kotlin</v>
      </c>
      <c r="H520" s="9" t="str">
        <f>IFERROR(__xludf.DUMMYFUNCTION("""COMPUTED_VALUE"""),"Rust")</f>
        <v>Rust</v>
      </c>
      <c r="I520" s="9" t="str">
        <f>IFERROR(__xludf.DUMMYFUNCTION("""COMPUTED_VALUE"""),"C#")</f>
        <v>C#</v>
      </c>
      <c r="J520" s="9" t="str">
        <f>IFERROR(__xludf.DUMMYFUNCTION("""COMPUTED_VALUE"""),"Scala")</f>
        <v>Scala</v>
      </c>
      <c r="K520" s="9" t="str">
        <f>IFERROR(__xludf.DUMMYFUNCTION("""COMPUTED_VALUE"""),"SQL")</f>
        <v>SQL</v>
      </c>
      <c r="L520" s="9" t="str">
        <f>IFERROR(__xludf.DUMMYFUNCTION("""COMPUTED_VALUE"""),"SQL")</f>
        <v>SQL</v>
      </c>
      <c r="M520" s="9" t="s">
        <v>24</v>
      </c>
    </row>
    <row r="521" ht="15.75" customHeight="1">
      <c r="A521" s="7"/>
      <c r="B521" s="7" t="str">
        <f>IFERROR(__xludf.DUMMYFUNCTION("""COMPUTED_VALUE"""),"Python;Other(s):")</f>
        <v>Python;Other(s):</v>
      </c>
      <c r="C521" s="9" t="str">
        <f>IFERROR(__xludf.DUMMYFUNCTION("""COMPUTED_VALUE"""),"Java")</f>
        <v>Java</v>
      </c>
      <c r="D521" s="9" t="str">
        <f>IFERROR(__xludf.DUMMYFUNCTION("""COMPUTED_VALUE"""),"Go")</f>
        <v>Go</v>
      </c>
      <c r="E521" s="9" t="str">
        <f>IFERROR(__xludf.DUMMYFUNCTION("""COMPUTED_VALUE"""),"Java")</f>
        <v>Java</v>
      </c>
      <c r="F521" s="9" t="str">
        <f>IFERROR(__xludf.DUMMYFUNCTION("""COMPUTED_VALUE"""),"JavaScript")</f>
        <v>JavaScript</v>
      </c>
      <c r="G521" s="9" t="str">
        <f>IFERROR(__xludf.DUMMYFUNCTION("""COMPUTED_VALUE"""),"SQL")</f>
        <v>SQL</v>
      </c>
      <c r="H521" s="9" t="str">
        <f>IFERROR(__xludf.DUMMYFUNCTION("""COMPUTED_VALUE"""),"SQL")</f>
        <v>SQL</v>
      </c>
      <c r="I521" s="9" t="str">
        <f>IFERROR(__xludf.DUMMYFUNCTION("""COMPUTED_VALUE"""),"HTML/CSS")</f>
        <v>HTML/CSS</v>
      </c>
      <c r="J521" s="9" t="str">
        <f>IFERROR(__xludf.DUMMYFUNCTION("""COMPUTED_VALUE"""),"SQL")</f>
        <v>SQL</v>
      </c>
      <c r="K521" s="9" t="str">
        <f>IFERROR(__xludf.DUMMYFUNCTION("""COMPUTED_VALUE"""),"Bash/Shell/PowerShell")</f>
        <v>Bash/Shell/PowerShell</v>
      </c>
      <c r="L521" s="9" t="str">
        <f>IFERROR(__xludf.DUMMYFUNCTION("""COMPUTED_VALUE"""),"Bash/Shell/PowerShell")</f>
        <v>Bash/Shell/PowerShell</v>
      </c>
      <c r="M521" s="9" t="s">
        <v>20</v>
      </c>
    </row>
    <row r="522" ht="15.75" customHeight="1">
      <c r="A522" s="7"/>
      <c r="B522" s="7" t="str">
        <f>IFERROR(__xludf.DUMMYFUNCTION("""COMPUTED_VALUE"""),"C#;SQL;VBA")</f>
        <v>C#;SQL;VBA</v>
      </c>
      <c r="C522" s="9" t="str">
        <f>IFERROR(__xludf.DUMMYFUNCTION("""COMPUTED_VALUE"""),"JavaScript")</f>
        <v>JavaScript</v>
      </c>
      <c r="D522" s="9" t="str">
        <f>IFERROR(__xludf.DUMMYFUNCTION("""COMPUTED_VALUE"""),"Java")</f>
        <v>Java</v>
      </c>
      <c r="E522" s="9" t="str">
        <f>IFERROR(__xludf.DUMMYFUNCTION("""COMPUTED_VALUE"""),"HTML/CSS")</f>
        <v>HTML/CSS</v>
      </c>
      <c r="F522" s="9" t="str">
        <f>IFERROR(__xludf.DUMMYFUNCTION("""COMPUTED_VALUE"""),"SQL")</f>
        <v>SQL</v>
      </c>
      <c r="G522" s="9" t="str">
        <f>IFERROR(__xludf.DUMMYFUNCTION("""COMPUTED_VALUE"""),"C")</f>
        <v>C</v>
      </c>
      <c r="H522" s="9" t="str">
        <f>IFERROR(__xludf.DUMMYFUNCTION("""COMPUTED_VALUE"""),"TypeScript")</f>
        <v>TypeScript</v>
      </c>
      <c r="I522" s="9" t="str">
        <f>IFERROR(__xludf.DUMMYFUNCTION("""COMPUTED_VALUE"""),"Java")</f>
        <v>Java</v>
      </c>
      <c r="J522" s="9" t="str">
        <f>IFERROR(__xludf.DUMMYFUNCTION("""COMPUTED_VALUE"""),"HTML/CSS")</f>
        <v>HTML/CSS</v>
      </c>
      <c r="K522" s="9" t="str">
        <f>IFERROR(__xludf.DUMMYFUNCTION("""COMPUTED_VALUE"""),"C++")</f>
        <v>C++</v>
      </c>
      <c r="L522" s="9" t="str">
        <f>IFERROR(__xludf.DUMMYFUNCTION("""COMPUTED_VALUE"""),"Go")</f>
        <v>Go</v>
      </c>
      <c r="M522" s="9" t="s">
        <v>21</v>
      </c>
    </row>
    <row r="523" ht="15.75" customHeight="1">
      <c r="A523" s="7"/>
      <c r="B523" s="7" t="str">
        <f>IFERROR(__xludf.DUMMYFUNCTION("""COMPUTED_VALUE"""),"Bash/Shell/PowerShell;C#;HTML/CSS;JavaScript;SQL")</f>
        <v>Bash/Shell/PowerShell;C#;HTML/CSS;JavaScript;SQL</v>
      </c>
      <c r="C523" s="9" t="str">
        <f>IFERROR(__xludf.DUMMYFUNCTION("""COMPUTED_VALUE"""),"SQL")</f>
        <v>SQL</v>
      </c>
      <c r="D523" s="9" t="str">
        <f>IFERROR(__xludf.DUMMYFUNCTION("""COMPUTED_VALUE"""),"Python")</f>
        <v>Python</v>
      </c>
      <c r="E523" s="9" t="str">
        <f>IFERROR(__xludf.DUMMYFUNCTION("""COMPUTED_VALUE"""),"Java")</f>
        <v>Java</v>
      </c>
      <c r="F523" s="9" t="str">
        <f>IFERROR(__xludf.DUMMYFUNCTION("""COMPUTED_VALUE"""),"Java")</f>
        <v>Java</v>
      </c>
      <c r="G523" s="9" t="str">
        <f>IFERROR(__xludf.DUMMYFUNCTION("""COMPUTED_VALUE"""),"Python")</f>
        <v>Python</v>
      </c>
      <c r="H523" s="9" t="str">
        <f>IFERROR(__xludf.DUMMYFUNCTION("""COMPUTED_VALUE"""),"HTML/CSS")</f>
        <v>HTML/CSS</v>
      </c>
      <c r="I523" s="9" t="str">
        <f>IFERROR(__xludf.DUMMYFUNCTION("""COMPUTED_VALUE"""),"JavaScript")</f>
        <v>JavaScript</v>
      </c>
      <c r="J523" s="9" t="str">
        <f>IFERROR(__xludf.DUMMYFUNCTION("""COMPUTED_VALUE"""),"JavaScript")</f>
        <v>JavaScript</v>
      </c>
      <c r="K523" s="9" t="str">
        <f>IFERROR(__xludf.DUMMYFUNCTION("""COMPUTED_VALUE"""),"C#")</f>
        <v>C#</v>
      </c>
      <c r="L523" s="9" t="str">
        <f>IFERROR(__xludf.DUMMYFUNCTION("""COMPUTED_VALUE"""),"Java")</f>
        <v>Java</v>
      </c>
      <c r="M523" s="9" t="s">
        <v>27</v>
      </c>
    </row>
    <row r="524" ht="15.75" customHeight="1">
      <c r="A524" s="7"/>
      <c r="B524" s="7" t="str">
        <f>IFERROR(__xludf.DUMMYFUNCTION("""COMPUTED_VALUE"""),"HTML/CSS;JavaScript;Objective-C;Swift")</f>
        <v>HTML/CSS;JavaScript;Objective-C;Swift</v>
      </c>
      <c r="C524" s="9" t="str">
        <f>IFERROR(__xludf.DUMMYFUNCTION("""COMPUTED_VALUE"""),"C")</f>
        <v>C</v>
      </c>
      <c r="D524" s="9" t="str">
        <f>IFERROR(__xludf.DUMMYFUNCTION("""COMPUTED_VALUE"""),"Bash/Shell/PowerShell")</f>
        <v>Bash/Shell/PowerShell</v>
      </c>
      <c r="E524" s="9" t="str">
        <f>IFERROR(__xludf.DUMMYFUNCTION("""COMPUTED_VALUE"""),"JavaScript")</f>
        <v>JavaScript</v>
      </c>
      <c r="F524" s="9" t="str">
        <f>IFERROR(__xludf.DUMMYFUNCTION("""COMPUTED_VALUE"""),"JavaScript")</f>
        <v>JavaScript</v>
      </c>
      <c r="G524" s="9" t="str">
        <f>IFERROR(__xludf.DUMMYFUNCTION("""COMPUTED_VALUE"""),"Bash/Shell/PowerShell")</f>
        <v>Bash/Shell/PowerShell</v>
      </c>
      <c r="H524" s="9" t="str">
        <f>IFERROR(__xludf.DUMMYFUNCTION("""COMPUTED_VALUE"""),"JavaScript")</f>
        <v>JavaScript</v>
      </c>
      <c r="I524" s="9" t="str">
        <f>IFERROR(__xludf.DUMMYFUNCTION("""COMPUTED_VALUE"""),"SQL")</f>
        <v>SQL</v>
      </c>
      <c r="J524" s="9" t="str">
        <f>IFERROR(__xludf.DUMMYFUNCTION("""COMPUTED_VALUE"""),"Python")</f>
        <v>Python</v>
      </c>
      <c r="K524" s="9" t="str">
        <f>IFERROR(__xludf.DUMMYFUNCTION("""COMPUTED_VALUE"""),"Go")</f>
        <v>Go</v>
      </c>
      <c r="L524" s="9" t="str">
        <f>IFERROR(__xludf.DUMMYFUNCTION("""COMPUTED_VALUE"""),"Python")</f>
        <v>Python</v>
      </c>
      <c r="M524" s="9" t="s">
        <v>25</v>
      </c>
    </row>
    <row r="525" ht="15.75" customHeight="1">
      <c r="A525" s="7"/>
      <c r="B525" s="7" t="str">
        <f>IFERROR(__xludf.DUMMYFUNCTION("""COMPUTED_VALUE"""),"Bash/Shell/PowerShell;Java;JavaScript;Python;SQL")</f>
        <v>Bash/Shell/PowerShell;Java;JavaScript;Python;SQL</v>
      </c>
      <c r="C525" s="9" t="str">
        <f>IFERROR(__xludf.DUMMYFUNCTION("""COMPUTED_VALUE"""),"C++")</f>
        <v>C++</v>
      </c>
      <c r="D525" s="9" t="str">
        <f>IFERROR(__xludf.DUMMYFUNCTION("""COMPUTED_VALUE"""),"C++")</f>
        <v>C++</v>
      </c>
      <c r="E525" s="9" t="str">
        <f>IFERROR(__xludf.DUMMYFUNCTION("""COMPUTED_VALUE"""),"Kotlin")</f>
        <v>Kotlin</v>
      </c>
      <c r="F525" s="9" t="str">
        <f>IFERROR(__xludf.DUMMYFUNCTION("""COMPUTED_VALUE"""),"Bash/Shell/PowerShell")</f>
        <v>Bash/Shell/PowerShell</v>
      </c>
      <c r="G525" s="9" t="str">
        <f>IFERROR(__xludf.DUMMYFUNCTION("""COMPUTED_VALUE"""),"C")</f>
        <v>C</v>
      </c>
      <c r="H525" s="9" t="str">
        <f>IFERROR(__xludf.DUMMYFUNCTION("""COMPUTED_VALUE"""),"PHP")</f>
        <v>PHP</v>
      </c>
      <c r="I525" s="9" t="str">
        <f>IFERROR(__xludf.DUMMYFUNCTION("""COMPUTED_VALUE"""),"Assembly")</f>
        <v>Assembly</v>
      </c>
      <c r="J525" s="9" t="str">
        <f>IFERROR(__xludf.DUMMYFUNCTION("""COMPUTED_VALUE"""),"SQL")</f>
        <v>SQL</v>
      </c>
      <c r="K525" s="9" t="str">
        <f>IFERROR(__xludf.DUMMYFUNCTION("""COMPUTED_VALUE"""),"HTML/CSS")</f>
        <v>HTML/CSS</v>
      </c>
      <c r="L525" s="9" t="str">
        <f>IFERROR(__xludf.DUMMYFUNCTION("""COMPUTED_VALUE"""),"SQL")</f>
        <v>SQL</v>
      </c>
      <c r="M525" s="9" t="s">
        <v>23</v>
      </c>
    </row>
    <row r="526" ht="15.75" customHeight="1">
      <c r="A526" s="7"/>
      <c r="B526" s="7" t="str">
        <f>IFERROR(__xludf.DUMMYFUNCTION("""COMPUTED_VALUE"""),"Bash/Shell/PowerShell;HTML/CSS;Java;JavaScript;PHP;Python;SQL;TypeScript")</f>
        <v>Bash/Shell/PowerShell;HTML/CSS;Java;JavaScript;PHP;Python;SQL;TypeScript</v>
      </c>
      <c r="C526" s="9" t="str">
        <f>IFERROR(__xludf.DUMMYFUNCTION("""COMPUTED_VALUE"""),"HTML/CSS")</f>
        <v>HTML/CSS</v>
      </c>
      <c r="D526" s="9" t="str">
        <f>IFERROR(__xludf.DUMMYFUNCTION("""COMPUTED_VALUE"""),"C#")</f>
        <v>C#</v>
      </c>
      <c r="E526" s="9" t="str">
        <f>IFERROR(__xludf.DUMMYFUNCTION("""COMPUTED_VALUE"""),"Python")</f>
        <v>Python</v>
      </c>
      <c r="F526" s="9" t="str">
        <f>IFERROR(__xludf.DUMMYFUNCTION("""COMPUTED_VALUE"""),"C")</f>
        <v>C</v>
      </c>
      <c r="G526" s="9" t="str">
        <f>IFERROR(__xludf.DUMMYFUNCTION("""COMPUTED_VALUE"""),"C++")</f>
        <v>C++</v>
      </c>
      <c r="H526" s="9" t="str">
        <f>IFERROR(__xludf.DUMMYFUNCTION("""COMPUTED_VALUE"""),"SQL")</f>
        <v>SQL</v>
      </c>
      <c r="I526" s="9" t="str">
        <f>IFERROR(__xludf.DUMMYFUNCTION("""COMPUTED_VALUE"""),"Bash/Shell/PowerShell")</f>
        <v>Bash/Shell/PowerShell</v>
      </c>
      <c r="J526" s="9" t="str">
        <f>IFERROR(__xludf.DUMMYFUNCTION("""COMPUTED_VALUE"""),"HTML/CSS")</f>
        <v>HTML/CSS</v>
      </c>
      <c r="K526" s="9" t="str">
        <f>IFERROR(__xludf.DUMMYFUNCTION("""COMPUTED_VALUE"""),"JavaScript")</f>
        <v>JavaScript</v>
      </c>
      <c r="L526" s="9" t="str">
        <f>IFERROR(__xludf.DUMMYFUNCTION("""COMPUTED_VALUE"""),"HTML/CSS")</f>
        <v>HTML/CSS</v>
      </c>
      <c r="M526" s="9" t="s">
        <v>24</v>
      </c>
    </row>
    <row r="527" ht="15.75" customHeight="1">
      <c r="A527" s="7"/>
      <c r="B527" s="7" t="str">
        <f>IFERROR(__xludf.DUMMYFUNCTION("""COMPUTED_VALUE"""),"C;C++;C#")</f>
        <v>C;C++;C#</v>
      </c>
      <c r="C527" s="9" t="str">
        <f>IFERROR(__xludf.DUMMYFUNCTION("""COMPUTED_VALUE"""),"Java")</f>
        <v>Java</v>
      </c>
      <c r="D527" s="9" t="str">
        <f>IFERROR(__xludf.DUMMYFUNCTION("""COMPUTED_VALUE"""),"HTML/CSS")</f>
        <v>HTML/CSS</v>
      </c>
      <c r="E527" s="9" t="str">
        <f>IFERROR(__xludf.DUMMYFUNCTION("""COMPUTED_VALUE"""),"SQL")</f>
        <v>SQL</v>
      </c>
      <c r="F527" s="9" t="str">
        <f>IFERROR(__xludf.DUMMYFUNCTION("""COMPUTED_VALUE"""),"HTML/CSS")</f>
        <v>HTML/CSS</v>
      </c>
      <c r="G527" s="9" t="str">
        <f>IFERROR(__xludf.DUMMYFUNCTION("""COMPUTED_VALUE"""),"C#")</f>
        <v>C#</v>
      </c>
      <c r="H527" s="9" t="str">
        <f>IFERROR(__xludf.DUMMYFUNCTION("""COMPUTED_VALUE"""),"TypeScript")</f>
        <v>TypeScript</v>
      </c>
      <c r="I527" s="9" t="str">
        <f>IFERROR(__xludf.DUMMYFUNCTION("""COMPUTED_VALUE"""),"C")</f>
        <v>C</v>
      </c>
      <c r="J527" s="9" t="str">
        <f>IFERROR(__xludf.DUMMYFUNCTION("""COMPUTED_VALUE"""),"JavaScript")</f>
        <v>JavaScript</v>
      </c>
      <c r="K527" s="9" t="str">
        <f>IFERROR(__xludf.DUMMYFUNCTION("""COMPUTED_VALUE"""),"PHP")</f>
        <v>PHP</v>
      </c>
      <c r="L527" s="9" t="str">
        <f>IFERROR(__xludf.DUMMYFUNCTION("""COMPUTED_VALUE"""),"JavaScript")</f>
        <v>JavaScript</v>
      </c>
      <c r="M527" s="9" t="s">
        <v>20</v>
      </c>
    </row>
    <row r="528" ht="15.75" customHeight="1">
      <c r="A528" s="7"/>
      <c r="B528" s="7" t="str">
        <f>IFERROR(__xludf.DUMMYFUNCTION("""COMPUTED_VALUE"""),"C#")</f>
        <v>C#</v>
      </c>
      <c r="C528" s="9" t="str">
        <f>IFERROR(__xludf.DUMMYFUNCTION("""COMPUTED_VALUE"""),"JavaScript")</f>
        <v>JavaScript</v>
      </c>
      <c r="D528" s="9" t="str">
        <f>IFERROR(__xludf.DUMMYFUNCTION("""COMPUTED_VALUE"""),"JavaScript")</f>
        <v>JavaScript</v>
      </c>
      <c r="E528" s="9" t="str">
        <f>IFERROR(__xludf.DUMMYFUNCTION("""COMPUTED_VALUE"""),"C#")</f>
        <v>C#</v>
      </c>
      <c r="F528" s="9" t="str">
        <f>IFERROR(__xludf.DUMMYFUNCTION("""COMPUTED_VALUE"""),"Java")</f>
        <v>Java</v>
      </c>
      <c r="G528" s="9" t="str">
        <f>IFERROR(__xludf.DUMMYFUNCTION("""COMPUTED_VALUE"""),"F#")</f>
        <v>F#</v>
      </c>
      <c r="H528" s="9" t="str">
        <f>IFERROR(__xludf.DUMMYFUNCTION("""COMPUTED_VALUE"""),"HTML/CSS")</f>
        <v>HTML/CSS</v>
      </c>
      <c r="I528" s="9" t="str">
        <f>IFERROR(__xludf.DUMMYFUNCTION("""COMPUTED_VALUE"""),"C++")</f>
        <v>C++</v>
      </c>
      <c r="J528" s="9" t="str">
        <f>IFERROR(__xludf.DUMMYFUNCTION("""COMPUTED_VALUE"""),"Python")</f>
        <v>Python</v>
      </c>
      <c r="K528" s="9" t="str">
        <f>IFERROR(__xludf.DUMMYFUNCTION("""COMPUTED_VALUE"""),"Python")</f>
        <v>Python</v>
      </c>
      <c r="L528" s="9" t="str">
        <f>IFERROR(__xludf.DUMMYFUNCTION("""COMPUTED_VALUE"""),"PHP")</f>
        <v>PHP</v>
      </c>
      <c r="M528" s="9" t="s">
        <v>21</v>
      </c>
    </row>
    <row r="529" ht="15.75" customHeight="1">
      <c r="A529" s="7"/>
      <c r="B529" s="7" t="str">
        <f>IFERROR(__xludf.DUMMYFUNCTION("""COMPUTED_VALUE"""),"Bash/Shell/PowerShell;C;C++;Java;Python")</f>
        <v>Bash/Shell/PowerShell;C;C++;Java;Python</v>
      </c>
      <c r="C529" s="9" t="str">
        <f>IFERROR(__xludf.DUMMYFUNCTION("""COMPUTED_VALUE"""),"Kotlin")</f>
        <v>Kotlin</v>
      </c>
      <c r="D529" s="9" t="str">
        <f>IFERROR(__xludf.DUMMYFUNCTION("""COMPUTED_VALUE"""),"Python")</f>
        <v>Python</v>
      </c>
      <c r="E529" s="9" t="str">
        <f>IFERROR(__xludf.DUMMYFUNCTION("""COMPUTED_VALUE"""),"HTML/CSS")</f>
        <v>HTML/CSS</v>
      </c>
      <c r="F529" s="9" t="str">
        <f>IFERROR(__xludf.DUMMYFUNCTION("""COMPUTED_VALUE"""),"JavaScript")</f>
        <v>JavaScript</v>
      </c>
      <c r="G529" s="9" t="str">
        <f>IFERROR(__xludf.DUMMYFUNCTION("""COMPUTED_VALUE"""),"HTML/CSS")</f>
        <v>HTML/CSS</v>
      </c>
      <c r="H529" s="9" t="str">
        <f>IFERROR(__xludf.DUMMYFUNCTION("""COMPUTED_VALUE"""),"JavaScript")</f>
        <v>JavaScript</v>
      </c>
      <c r="I529" s="9" t="str">
        <f>IFERROR(__xludf.DUMMYFUNCTION("""COMPUTED_VALUE"""),"Python")</f>
        <v>Python</v>
      </c>
      <c r="J529" s="9" t="str">
        <f>IFERROR(__xludf.DUMMYFUNCTION("""COMPUTED_VALUE"""),"SQL")</f>
        <v>SQL</v>
      </c>
      <c r="K529" s="9" t="str">
        <f>IFERROR(__xludf.DUMMYFUNCTION("""COMPUTED_VALUE"""),"SQL")</f>
        <v>SQL</v>
      </c>
      <c r="L529" s="9" t="str">
        <f>IFERROR(__xludf.DUMMYFUNCTION("""COMPUTED_VALUE"""),"SQL")</f>
        <v>SQL</v>
      </c>
      <c r="M529" s="9" t="s">
        <v>39</v>
      </c>
    </row>
    <row r="530" ht="15.75" customHeight="1">
      <c r="A530" s="7"/>
      <c r="B530" s="7" t="str">
        <f>IFERROR(__xludf.DUMMYFUNCTION("""COMPUTED_VALUE"""),"C#;Java;JavaScript;SQL")</f>
        <v>C#;Java;JavaScript;SQL</v>
      </c>
      <c r="C530" s="9" t="str">
        <f>IFERROR(__xludf.DUMMYFUNCTION("""COMPUTED_VALUE"""),"PHP")</f>
        <v>PHP</v>
      </c>
      <c r="D530" s="9" t="str">
        <f>IFERROR(__xludf.DUMMYFUNCTION("""COMPUTED_VALUE"""),"SQL")</f>
        <v>SQL</v>
      </c>
      <c r="E530" s="9" t="str">
        <f>IFERROR(__xludf.DUMMYFUNCTION("""COMPUTED_VALUE"""),"JavaScript")</f>
        <v>JavaScript</v>
      </c>
      <c r="F530" s="9" t="str">
        <f>IFERROR(__xludf.DUMMYFUNCTION("""COMPUTED_VALUE"""),"PHP")</f>
        <v>PHP</v>
      </c>
      <c r="G530" s="9" t="str">
        <f>IFERROR(__xludf.DUMMYFUNCTION("""COMPUTED_VALUE"""),"Java")</f>
        <v>Java</v>
      </c>
      <c r="H530" s="9" t="str">
        <f>IFERROR(__xludf.DUMMYFUNCTION("""COMPUTED_VALUE"""),"PHP")</f>
        <v>PHP</v>
      </c>
      <c r="I530" s="9" t="str">
        <f>IFERROR(__xludf.DUMMYFUNCTION("""COMPUTED_VALUE"""),"Rust")</f>
        <v>Rust</v>
      </c>
      <c r="J530" s="9" t="str">
        <f>IFERROR(__xludf.DUMMYFUNCTION("""COMPUTED_VALUE"""),"C#")</f>
        <v>C#</v>
      </c>
      <c r="K530" s="9" t="str">
        <f>IFERROR(__xludf.DUMMYFUNCTION("""COMPUTED_VALUE"""),"TypeScript")</f>
        <v>TypeScript</v>
      </c>
      <c r="L530" s="9" t="str">
        <f>IFERROR(__xludf.DUMMYFUNCTION("""COMPUTED_VALUE"""),"TypeScript")</f>
        <v>TypeScript</v>
      </c>
      <c r="M530" s="9" t="s">
        <v>37</v>
      </c>
    </row>
    <row r="531" ht="15.75" customHeight="1">
      <c r="A531" s="7"/>
      <c r="B531" s="7" t="str">
        <f>IFERROR(__xludf.DUMMYFUNCTION("""COMPUTED_VALUE"""),"Elixir;VBA")</f>
        <v>Elixir;VBA</v>
      </c>
      <c r="C531" s="9" t="str">
        <f>IFERROR(__xludf.DUMMYFUNCTION("""COMPUTED_VALUE"""),"Python")</f>
        <v>Python</v>
      </c>
      <c r="D531" s="9" t="str">
        <f>IFERROR(__xludf.DUMMYFUNCTION("""COMPUTED_VALUE"""),"Other(s):")</f>
        <v>Other(s):</v>
      </c>
      <c r="E531" s="9" t="str">
        <f>IFERROR(__xludf.DUMMYFUNCTION("""COMPUTED_VALUE"""),"C#")</f>
        <v>C#</v>
      </c>
      <c r="F531" s="9" t="str">
        <f>IFERROR(__xludf.DUMMYFUNCTION("""COMPUTED_VALUE"""),"Python")</f>
        <v>Python</v>
      </c>
      <c r="G531" s="9" t="str">
        <f>IFERROR(__xludf.DUMMYFUNCTION("""COMPUTED_VALUE"""),"JavaScript")</f>
        <v>JavaScript</v>
      </c>
      <c r="H531" s="9" t="str">
        <f>IFERROR(__xludf.DUMMYFUNCTION("""COMPUTED_VALUE"""),"HTML/CSS")</f>
        <v>HTML/CSS</v>
      </c>
      <c r="I531" s="9" t="str">
        <f>IFERROR(__xludf.DUMMYFUNCTION("""COMPUTED_VALUE"""),"Java")</f>
        <v>Java</v>
      </c>
      <c r="J531" s="9" t="str">
        <f>IFERROR(__xludf.DUMMYFUNCTION("""COMPUTED_VALUE"""),"HTML/CSS")</f>
        <v>HTML/CSS</v>
      </c>
      <c r="K531" s="9" t="str">
        <f>IFERROR(__xludf.DUMMYFUNCTION("""COMPUTED_VALUE"""),"Bash/Shell/PowerShell")</f>
        <v>Bash/Shell/PowerShell</v>
      </c>
      <c r="L531" s="9" t="str">
        <f>IFERROR(__xludf.DUMMYFUNCTION("""COMPUTED_VALUE"""),"Bash/Shell/PowerShell")</f>
        <v>Bash/Shell/PowerShell</v>
      </c>
      <c r="M531" s="9" t="s">
        <v>22</v>
      </c>
    </row>
    <row r="532" ht="15.75" customHeight="1">
      <c r="A532" s="7"/>
      <c r="B532" s="7" t="str">
        <f>IFERROR(__xludf.DUMMYFUNCTION("""COMPUTED_VALUE"""),"C#;HTML/CSS;Java;JavaScript;PHP;Python;SQL")</f>
        <v>C#;HTML/CSS;Java;JavaScript;PHP;Python;SQL</v>
      </c>
      <c r="C532" s="9" t="str">
        <f>IFERROR(__xludf.DUMMYFUNCTION("""COMPUTED_VALUE"""),"SQL")</f>
        <v>SQL</v>
      </c>
      <c r="D532" s="9" t="str">
        <f>IFERROR(__xludf.DUMMYFUNCTION("""COMPUTED_VALUE"""),"C++")</f>
        <v>C++</v>
      </c>
      <c r="E532" s="9" t="str">
        <f>IFERROR(__xludf.DUMMYFUNCTION("""COMPUTED_VALUE"""),"HTML/CSS")</f>
        <v>HTML/CSS</v>
      </c>
      <c r="F532" s="9" t="str">
        <f>IFERROR(__xludf.DUMMYFUNCTION("""COMPUTED_VALUE"""),"TypeScript")</f>
        <v>TypeScript</v>
      </c>
      <c r="G532" s="9" t="str">
        <f>IFERROR(__xludf.DUMMYFUNCTION("""COMPUTED_VALUE"""),"Python")</f>
        <v>Python</v>
      </c>
      <c r="H532" s="9" t="str">
        <f>IFERROR(__xludf.DUMMYFUNCTION("""COMPUTED_VALUE"""),"Python")</f>
        <v>Python</v>
      </c>
      <c r="I532" s="9" t="str">
        <f>IFERROR(__xludf.DUMMYFUNCTION("""COMPUTED_VALUE"""),"JavaScript")</f>
        <v>JavaScript</v>
      </c>
      <c r="J532" s="9" t="str">
        <f>IFERROR(__xludf.DUMMYFUNCTION("""COMPUTED_VALUE"""),"JavaScript")</f>
        <v>JavaScript</v>
      </c>
      <c r="K532" s="9" t="str">
        <f>IFERROR(__xludf.DUMMYFUNCTION("""COMPUTED_VALUE"""),"HTML/CSS")</f>
        <v>HTML/CSS</v>
      </c>
      <c r="L532" s="9" t="str">
        <f>IFERROR(__xludf.DUMMYFUNCTION("""COMPUTED_VALUE"""),"HTML/CSS")</f>
        <v>HTML/CSS</v>
      </c>
      <c r="M532" s="9" t="s">
        <v>27</v>
      </c>
    </row>
    <row r="533" ht="15.75" customHeight="1">
      <c r="A533" s="7"/>
      <c r="B533" s="7" t="str">
        <f>IFERROR(__xludf.DUMMYFUNCTION("""COMPUTED_VALUE"""),"C#;HTML/CSS;JavaScript;SQL;TypeScript;Other(s):")</f>
        <v>C#;HTML/CSS;JavaScript;SQL;TypeScript;Other(s):</v>
      </c>
      <c r="C533" s="9" t="str">
        <f>IFERROR(__xludf.DUMMYFUNCTION("""COMPUTED_VALUE"""),"HTML/CSS")</f>
        <v>HTML/CSS</v>
      </c>
      <c r="D533" s="9" t="str">
        <f>IFERROR(__xludf.DUMMYFUNCTION("""COMPUTED_VALUE"""),"Python")</f>
        <v>Python</v>
      </c>
      <c r="E533" s="9" t="str">
        <f>IFERROR(__xludf.DUMMYFUNCTION("""COMPUTED_VALUE"""),"JavaScript")</f>
        <v>JavaScript</v>
      </c>
      <c r="F533" s="9" t="str">
        <f>IFERROR(__xludf.DUMMYFUNCTION("""COMPUTED_VALUE"""),"HTML/CSS")</f>
        <v>HTML/CSS</v>
      </c>
      <c r="G533" s="9" t="str">
        <f>IFERROR(__xludf.DUMMYFUNCTION("""COMPUTED_VALUE"""),"SQL")</f>
        <v>SQL</v>
      </c>
      <c r="H533" s="9" t="str">
        <f>IFERROR(__xludf.DUMMYFUNCTION("""COMPUTED_VALUE"""),"Bash/Shell/PowerShell")</f>
        <v>Bash/Shell/PowerShell</v>
      </c>
      <c r="I533" s="9" t="str">
        <f>IFERROR(__xludf.DUMMYFUNCTION("""COMPUTED_VALUE"""),"Kotlin")</f>
        <v>Kotlin</v>
      </c>
      <c r="J533" s="9" t="str">
        <f>IFERROR(__xludf.DUMMYFUNCTION("""COMPUTED_VALUE"""),"SQL")</f>
        <v>SQL</v>
      </c>
      <c r="K533" s="9" t="str">
        <f>IFERROR(__xludf.DUMMYFUNCTION("""COMPUTED_VALUE"""),"Java")</f>
        <v>Java</v>
      </c>
      <c r="L533" s="9" t="str">
        <f>IFERROR(__xludf.DUMMYFUNCTION("""COMPUTED_VALUE"""),"Java")</f>
        <v>Java</v>
      </c>
      <c r="M533" s="9" t="s">
        <v>24</v>
      </c>
    </row>
    <row r="534" ht="15.75" customHeight="1">
      <c r="A534" s="7"/>
      <c r="B534" s="7" t="str">
        <f>IFERROR(__xludf.DUMMYFUNCTION("""COMPUTED_VALUE"""),"HTML/CSS;Java;JavaScript;PHP;R;SQL;TypeScript")</f>
        <v>HTML/CSS;Java;JavaScript;PHP;R;SQL;TypeScript</v>
      </c>
      <c r="C534" s="9" t="str">
        <f>IFERROR(__xludf.DUMMYFUNCTION("""COMPUTED_VALUE"""),"JavaScript")</f>
        <v>JavaScript</v>
      </c>
      <c r="D534" s="9" t="str">
        <f>IFERROR(__xludf.DUMMYFUNCTION("""COMPUTED_VALUE"""),"HTML/CSS")</f>
        <v>HTML/CSS</v>
      </c>
      <c r="E534" s="9" t="str">
        <f>IFERROR(__xludf.DUMMYFUNCTION("""COMPUTED_VALUE"""),"SQL")</f>
        <v>SQL</v>
      </c>
      <c r="F534" s="9" t="str">
        <f>IFERROR(__xludf.DUMMYFUNCTION("""COMPUTED_VALUE"""),"JavaScript")</f>
        <v>JavaScript</v>
      </c>
      <c r="G534" s="9" t="str">
        <f>IFERROR(__xludf.DUMMYFUNCTION("""COMPUTED_VALUE"""),"HTML/CSS")</f>
        <v>HTML/CSS</v>
      </c>
      <c r="H534" s="9" t="str">
        <f>IFERROR(__xludf.DUMMYFUNCTION("""COMPUTED_VALUE"""),"Java")</f>
        <v>Java</v>
      </c>
      <c r="I534" s="9" t="str">
        <f>IFERROR(__xludf.DUMMYFUNCTION("""COMPUTED_VALUE"""),"Objective-C")</f>
        <v>Objective-C</v>
      </c>
      <c r="J534" s="9" t="str">
        <f>IFERROR(__xludf.DUMMYFUNCTION("""COMPUTED_VALUE"""),"VBA")</f>
        <v>VBA</v>
      </c>
      <c r="K534" s="9" t="str">
        <f>IFERROR(__xludf.DUMMYFUNCTION("""COMPUTED_VALUE"""),"JavaScript")</f>
        <v>JavaScript</v>
      </c>
      <c r="L534" s="9" t="str">
        <f>IFERROR(__xludf.DUMMYFUNCTION("""COMPUTED_VALUE"""),"JavaScript")</f>
        <v>JavaScript</v>
      </c>
      <c r="M534" s="9" t="s">
        <v>21</v>
      </c>
    </row>
    <row r="535" ht="15.75" customHeight="1">
      <c r="A535" s="7"/>
      <c r="B535" s="7" t="str">
        <f>IFERROR(__xludf.DUMMYFUNCTION("""COMPUTED_VALUE"""),"Bash/Shell/PowerShell;JavaScript;Python;SQL")</f>
        <v>Bash/Shell/PowerShell;JavaScript;Python;SQL</v>
      </c>
      <c r="C535" s="9" t="str">
        <f>IFERROR(__xludf.DUMMYFUNCTION("""COMPUTED_VALUE"""),"Ruby")</f>
        <v>Ruby</v>
      </c>
      <c r="D535" s="9" t="str">
        <f>IFERROR(__xludf.DUMMYFUNCTION("""COMPUTED_VALUE"""),"Java")</f>
        <v>Java</v>
      </c>
      <c r="E535" s="9" t="str">
        <f>IFERROR(__xludf.DUMMYFUNCTION("""COMPUTED_VALUE"""),"TypeScript")</f>
        <v>TypeScript</v>
      </c>
      <c r="F535" s="9" t="str">
        <f>IFERROR(__xludf.DUMMYFUNCTION("""COMPUTED_VALUE"""),"Python")</f>
        <v>Python</v>
      </c>
      <c r="G535" s="9" t="str">
        <f>IFERROR(__xludf.DUMMYFUNCTION("""COMPUTED_VALUE"""),"Java")</f>
        <v>Java</v>
      </c>
      <c r="H535" s="9" t="str">
        <f>IFERROR(__xludf.DUMMYFUNCTION("""COMPUTED_VALUE"""),"Python")</f>
        <v>Python</v>
      </c>
      <c r="I535" s="9" t="str">
        <f>IFERROR(__xludf.DUMMYFUNCTION("""COMPUTED_VALUE"""),"Swift")</f>
        <v>Swift</v>
      </c>
      <c r="J535" s="9" t="str">
        <f>IFERROR(__xludf.DUMMYFUNCTION("""COMPUTED_VALUE"""),"C#")</f>
        <v>C#</v>
      </c>
      <c r="K535" s="9" t="str">
        <f>IFERROR(__xludf.DUMMYFUNCTION("""COMPUTED_VALUE"""),"SQL")</f>
        <v>SQL</v>
      </c>
      <c r="L535" s="9" t="str">
        <f>IFERROR(__xludf.DUMMYFUNCTION("""COMPUTED_VALUE"""),"SQL")</f>
        <v>SQL</v>
      </c>
      <c r="M535" s="9" t="s">
        <v>31</v>
      </c>
    </row>
    <row r="536" ht="15.75" customHeight="1">
      <c r="A536" s="7"/>
      <c r="B536" s="7" t="str">
        <f>IFERROR(__xludf.DUMMYFUNCTION("""COMPUTED_VALUE"""),"JavaScript;Python")</f>
        <v>JavaScript;Python</v>
      </c>
      <c r="C536" s="9" t="str">
        <f>IFERROR(__xludf.DUMMYFUNCTION("""COMPUTED_VALUE"""),"SQL")</f>
        <v>SQL</v>
      </c>
      <c r="D536" s="9" t="str">
        <f>IFERROR(__xludf.DUMMYFUNCTION("""COMPUTED_VALUE"""),"JavaScript")</f>
        <v>JavaScript</v>
      </c>
      <c r="E536" s="9" t="str">
        <f>IFERROR(__xludf.DUMMYFUNCTION("""COMPUTED_VALUE"""),"Go")</f>
        <v>Go</v>
      </c>
      <c r="F536" s="9" t="str">
        <f>IFERROR(__xludf.DUMMYFUNCTION("""COMPUTED_VALUE"""),"Other(s):")</f>
        <v>Other(s):</v>
      </c>
      <c r="G536" s="9" t="str">
        <f>IFERROR(__xludf.DUMMYFUNCTION("""COMPUTED_VALUE"""),"JavaScript")</f>
        <v>JavaScript</v>
      </c>
      <c r="H536" s="9" t="str">
        <f>IFERROR(__xludf.DUMMYFUNCTION("""COMPUTED_VALUE"""),"C")</f>
        <v>C</v>
      </c>
      <c r="I536" s="9" t="str">
        <f>IFERROR(__xludf.DUMMYFUNCTION("""COMPUTED_VALUE"""),"Bash/Shell/PowerShell")</f>
        <v>Bash/Shell/PowerShell</v>
      </c>
      <c r="J536" s="9" t="str">
        <f>IFERROR(__xludf.DUMMYFUNCTION("""COMPUTED_VALUE"""),"Dart")</f>
        <v>Dart</v>
      </c>
      <c r="K536" s="9" t="str">
        <f>IFERROR(__xludf.DUMMYFUNCTION("""COMPUTED_VALUE"""),"TypeScript")</f>
        <v>TypeScript</v>
      </c>
      <c r="L536" s="9" t="str">
        <f>IFERROR(__xludf.DUMMYFUNCTION("""COMPUTED_VALUE"""),"TypeScript")</f>
        <v>TypeScript</v>
      </c>
      <c r="M536" s="9" t="s">
        <v>27</v>
      </c>
    </row>
    <row r="537" ht="15.75" customHeight="1">
      <c r="A537" s="7"/>
      <c r="B537" s="7" t="str">
        <f>IFERROR(__xludf.DUMMYFUNCTION("""COMPUTED_VALUE"""),"Bash/Shell/PowerShell;C#;HTML/CSS;JavaScript;Python;SQL;TypeScript;Other(s):")</f>
        <v>Bash/Shell/PowerShell;C#;HTML/CSS;JavaScript;Python;SQL;TypeScript;Other(s):</v>
      </c>
      <c r="C537" s="9" t="str">
        <f>IFERROR(__xludf.DUMMYFUNCTION("""COMPUTED_VALUE"""),"TypeScript")</f>
        <v>TypeScript</v>
      </c>
      <c r="D537" s="9" t="str">
        <f>IFERROR(__xludf.DUMMYFUNCTION("""COMPUTED_VALUE"""),"TypeScript")</f>
        <v>TypeScript</v>
      </c>
      <c r="E537" s="9" t="str">
        <f>IFERROR(__xludf.DUMMYFUNCTION("""COMPUTED_VALUE"""),"Objective-C")</f>
        <v>Objective-C</v>
      </c>
      <c r="F537" s="9" t="str">
        <f>IFERROR(__xludf.DUMMYFUNCTION("""COMPUTED_VALUE"""),"Bash/Shell/PowerShell")</f>
        <v>Bash/Shell/PowerShell</v>
      </c>
      <c r="G537" s="9" t="str">
        <f>IFERROR(__xludf.DUMMYFUNCTION("""COMPUTED_VALUE"""),"PHP")</f>
        <v>PHP</v>
      </c>
      <c r="H537" s="9" t="str">
        <f>IFERROR(__xludf.DUMMYFUNCTION("""COMPUTED_VALUE"""),"HTML/CSS")</f>
        <v>HTML/CSS</v>
      </c>
      <c r="I537" s="9" t="str">
        <f>IFERROR(__xludf.DUMMYFUNCTION("""COMPUTED_VALUE"""),"C")</f>
        <v>C</v>
      </c>
      <c r="J537" s="9" t="str">
        <f>IFERROR(__xludf.DUMMYFUNCTION("""COMPUTED_VALUE"""),"F#")</f>
        <v>F#</v>
      </c>
      <c r="K537" s="9" t="str">
        <f>IFERROR(__xludf.DUMMYFUNCTION("""COMPUTED_VALUE"""),"Java")</f>
        <v>Java</v>
      </c>
      <c r="L537" s="9" t="str">
        <f>IFERROR(__xludf.DUMMYFUNCTION("""COMPUTED_VALUE"""),"C++")</f>
        <v>C++</v>
      </c>
      <c r="M537" s="9" t="s">
        <v>33</v>
      </c>
    </row>
    <row r="538" ht="15.75" customHeight="1">
      <c r="A538" s="7"/>
      <c r="B538" s="7" t="str">
        <f>IFERROR(__xludf.DUMMYFUNCTION("""COMPUTED_VALUE"""),"Bash/Shell/PowerShell;C#;HTML/CSS;Java;JavaScript;Python;R;SQL")</f>
        <v>Bash/Shell/PowerShell;C#;HTML/CSS;Java;JavaScript;Python;R;SQL</v>
      </c>
      <c r="C538" s="9" t="str">
        <f>IFERROR(__xludf.DUMMYFUNCTION("""COMPUTED_VALUE"""),"Bash/Shell/PowerShell")</f>
        <v>Bash/Shell/PowerShell</v>
      </c>
      <c r="D538" s="9" t="str">
        <f>IFERROR(__xludf.DUMMYFUNCTION("""COMPUTED_VALUE"""),"HTML/CSS")</f>
        <v>HTML/CSS</v>
      </c>
      <c r="E538" s="9" t="str">
        <f>IFERROR(__xludf.DUMMYFUNCTION("""COMPUTED_VALUE"""),"Swift")</f>
        <v>Swift</v>
      </c>
      <c r="F538" s="9" t="str">
        <f>IFERROR(__xludf.DUMMYFUNCTION("""COMPUTED_VALUE"""),"C#")</f>
        <v>C#</v>
      </c>
      <c r="G538" s="9" t="str">
        <f>IFERROR(__xludf.DUMMYFUNCTION("""COMPUTED_VALUE"""),"SQL")</f>
        <v>SQL</v>
      </c>
      <c r="H538" s="9" t="str">
        <f>IFERROR(__xludf.DUMMYFUNCTION("""COMPUTED_VALUE"""),"Java")</f>
        <v>Java</v>
      </c>
      <c r="I538" s="9" t="str">
        <f>IFERROR(__xludf.DUMMYFUNCTION("""COMPUTED_VALUE"""),"HTML/CSS")</f>
        <v>HTML/CSS</v>
      </c>
      <c r="J538" s="9" t="str">
        <f>IFERROR(__xludf.DUMMYFUNCTION("""COMPUTED_VALUE"""),"HTML/CSS")</f>
        <v>HTML/CSS</v>
      </c>
      <c r="K538" s="9" t="str">
        <f>IFERROR(__xludf.DUMMYFUNCTION("""COMPUTED_VALUE"""),"JavaScript")</f>
        <v>JavaScript</v>
      </c>
      <c r="L538" s="9" t="str">
        <f>IFERROR(__xludf.DUMMYFUNCTION("""COMPUTED_VALUE"""),"C#")</f>
        <v>C#</v>
      </c>
      <c r="M538" s="9" t="s">
        <v>30</v>
      </c>
    </row>
    <row r="539" ht="15.75" customHeight="1">
      <c r="A539" s="7"/>
      <c r="B539" s="7" t="str">
        <f>IFERROR(__xludf.DUMMYFUNCTION("""COMPUTED_VALUE"""),"C;C#;HTML/CSS;Java;JavaScript;Kotlin;PHP;TypeScript")</f>
        <v>C;C#;HTML/CSS;Java;JavaScript;Kotlin;PHP;TypeScript</v>
      </c>
      <c r="C539" s="9" t="str">
        <f>IFERROR(__xludf.DUMMYFUNCTION("""COMPUTED_VALUE"""),"HTML/CSS")</f>
        <v>HTML/CSS</v>
      </c>
      <c r="D539" s="9" t="str">
        <f>IFERROR(__xludf.DUMMYFUNCTION("""COMPUTED_VALUE"""),"JavaScript")</f>
        <v>JavaScript</v>
      </c>
      <c r="E539" s="9" t="str">
        <f>IFERROR(__xludf.DUMMYFUNCTION("""COMPUTED_VALUE"""),"TypeScript")</f>
        <v>TypeScript</v>
      </c>
      <c r="F539" s="9" t="str">
        <f>IFERROR(__xludf.DUMMYFUNCTION("""COMPUTED_VALUE"""),"HTML/CSS")</f>
        <v>HTML/CSS</v>
      </c>
      <c r="G539" s="9" t="str">
        <f>IFERROR(__xludf.DUMMYFUNCTION("""COMPUTED_VALUE"""),"TypeScript")</f>
        <v>TypeScript</v>
      </c>
      <c r="H539" s="9" t="str">
        <f>IFERROR(__xludf.DUMMYFUNCTION("""COMPUTED_VALUE"""),"JavaScript")</f>
        <v>JavaScript</v>
      </c>
      <c r="I539" s="9" t="str">
        <f>IFERROR(__xludf.DUMMYFUNCTION("""COMPUTED_VALUE"""),"JavaScript")</f>
        <v>JavaScript</v>
      </c>
      <c r="J539" s="9" t="str">
        <f>IFERROR(__xludf.DUMMYFUNCTION("""COMPUTED_VALUE"""),"JavaScript")</f>
        <v>JavaScript</v>
      </c>
      <c r="K539" s="9" t="str">
        <f>IFERROR(__xludf.DUMMYFUNCTION("""COMPUTED_VALUE"""),"SQL")</f>
        <v>SQL</v>
      </c>
      <c r="L539" s="9" t="str">
        <f>IFERROR(__xludf.DUMMYFUNCTION("""COMPUTED_VALUE"""),"HTML/CSS")</f>
        <v>HTML/CSS</v>
      </c>
      <c r="M539" s="9" t="s">
        <v>24</v>
      </c>
    </row>
    <row r="540" ht="15.75" customHeight="1">
      <c r="A540" s="7"/>
      <c r="B540" s="7" t="str">
        <f>IFERROR(__xludf.DUMMYFUNCTION("""COMPUTED_VALUE"""),"Assembly;Bash/Shell/PowerShell;C;C++;Go;HTML/CSS;JavaScript;Objective-C;PHP;Python;SQL")</f>
        <v>Assembly;Bash/Shell/PowerShell;C;C++;Go;HTML/CSS;JavaScript;Objective-C;PHP;Python;SQL</v>
      </c>
      <c r="C540" s="9" t="str">
        <f>IFERROR(__xludf.DUMMYFUNCTION("""COMPUTED_VALUE"""),"JavaScript")</f>
        <v>JavaScript</v>
      </c>
      <c r="D540" s="9" t="str">
        <f>IFERROR(__xludf.DUMMYFUNCTION("""COMPUTED_VALUE"""),"PHP")</f>
        <v>PHP</v>
      </c>
      <c r="E540" s="9" t="str">
        <f>IFERROR(__xludf.DUMMYFUNCTION("""COMPUTED_VALUE"""),"Bash/Shell/PowerShell")</f>
        <v>Bash/Shell/PowerShell</v>
      </c>
      <c r="F540" s="9" t="str">
        <f>IFERROR(__xludf.DUMMYFUNCTION("""COMPUTED_VALUE"""),"JavaScript")</f>
        <v>JavaScript</v>
      </c>
      <c r="G540" s="9" t="str">
        <f>IFERROR(__xludf.DUMMYFUNCTION("""COMPUTED_VALUE"""),"C#")</f>
        <v>C#</v>
      </c>
      <c r="H540" s="9" t="str">
        <f>IFERROR(__xludf.DUMMYFUNCTION("""COMPUTED_VALUE"""),"PHP")</f>
        <v>PHP</v>
      </c>
      <c r="I540" s="9" t="str">
        <f>IFERROR(__xludf.DUMMYFUNCTION("""COMPUTED_VALUE"""),"PHP")</f>
        <v>PHP</v>
      </c>
      <c r="J540" s="9" t="str">
        <f>IFERROR(__xludf.DUMMYFUNCTION("""COMPUTED_VALUE"""),"PHP")</f>
        <v>PHP</v>
      </c>
      <c r="K540" s="9" t="str">
        <f>IFERROR(__xludf.DUMMYFUNCTION("""COMPUTED_VALUE"""),"C#")</f>
        <v>C#</v>
      </c>
      <c r="L540" s="9" t="str">
        <f>IFERROR(__xludf.DUMMYFUNCTION("""COMPUTED_VALUE"""),"Java")</f>
        <v>Java</v>
      </c>
      <c r="M540" s="9" t="s">
        <v>21</v>
      </c>
    </row>
    <row r="541" ht="15.75" customHeight="1">
      <c r="A541" s="7"/>
      <c r="B541" s="7" t="str">
        <f>IFERROR(__xludf.DUMMYFUNCTION("""COMPUTED_VALUE"""),"Bash/Shell/PowerShell;C++;C#;Go;HTML/CSS;JavaScript;PHP;Python;SQL;TypeScript;Other(s):")</f>
        <v>Bash/Shell/PowerShell;C++;C#;Go;HTML/CSS;JavaScript;PHP;Python;SQL;TypeScript;Other(s):</v>
      </c>
      <c r="C541" s="9" t="str">
        <f>IFERROR(__xludf.DUMMYFUNCTION("""COMPUTED_VALUE"""),"SQL")</f>
        <v>SQL</v>
      </c>
      <c r="D541" s="9" t="str">
        <f>IFERROR(__xludf.DUMMYFUNCTION("""COMPUTED_VALUE"""),"SQL")</f>
        <v>SQL</v>
      </c>
      <c r="E541" s="9" t="str">
        <f>IFERROR(__xludf.DUMMYFUNCTION("""COMPUTED_VALUE"""),"Elixir")</f>
        <v>Elixir</v>
      </c>
      <c r="F541" s="9" t="str">
        <f>IFERROR(__xludf.DUMMYFUNCTION("""COMPUTED_VALUE"""),"Assembly")</f>
        <v>Assembly</v>
      </c>
      <c r="G541" s="9" t="str">
        <f>IFERROR(__xludf.DUMMYFUNCTION("""COMPUTED_VALUE"""),"HTML/CSS")</f>
        <v>HTML/CSS</v>
      </c>
      <c r="H541" s="9" t="str">
        <f>IFERROR(__xludf.DUMMYFUNCTION("""COMPUTED_VALUE"""),"SQL")</f>
        <v>SQL</v>
      </c>
      <c r="I541" s="9" t="str">
        <f>IFERROR(__xludf.DUMMYFUNCTION("""COMPUTED_VALUE"""),"Python")</f>
        <v>Python</v>
      </c>
      <c r="J541" s="9" t="str">
        <f>IFERROR(__xludf.DUMMYFUNCTION("""COMPUTED_VALUE"""),"Python")</f>
        <v>Python</v>
      </c>
      <c r="K541" s="9" t="str">
        <f>IFERROR(__xludf.DUMMYFUNCTION("""COMPUTED_VALUE"""),"Java")</f>
        <v>Java</v>
      </c>
      <c r="L541" s="9" t="str">
        <f>IFERROR(__xludf.DUMMYFUNCTION("""COMPUTED_VALUE"""),"Bash/Shell/PowerShell")</f>
        <v>Bash/Shell/PowerShell</v>
      </c>
      <c r="M541" s="9" t="s">
        <v>27</v>
      </c>
    </row>
    <row r="542" ht="15.75" customHeight="1">
      <c r="A542" s="7"/>
      <c r="B542" s="7" t="str">
        <f>IFERROR(__xludf.DUMMYFUNCTION("""COMPUTED_VALUE"""),"C;Java;SQL")</f>
        <v>C;Java;SQL</v>
      </c>
      <c r="C542" s="9" t="str">
        <f>IFERROR(__xludf.DUMMYFUNCTION("""COMPUTED_VALUE"""),"C#")</f>
        <v>C#</v>
      </c>
      <c r="D542" s="9" t="str">
        <f>IFERROR(__xludf.DUMMYFUNCTION("""COMPUTED_VALUE"""),"TypeScript")</f>
        <v>TypeScript</v>
      </c>
      <c r="E542" s="9" t="str">
        <f>IFERROR(__xludf.DUMMYFUNCTION("""COMPUTED_VALUE"""),"HTML/CSS")</f>
        <v>HTML/CSS</v>
      </c>
      <c r="F542" s="9" t="str">
        <f>IFERROR(__xludf.DUMMYFUNCTION("""COMPUTED_VALUE"""),"Bash/Shell/PowerShell")</f>
        <v>Bash/Shell/PowerShell</v>
      </c>
      <c r="G542" s="9" t="str">
        <f>IFERROR(__xludf.DUMMYFUNCTION("""COMPUTED_VALUE"""),"JavaScript")</f>
        <v>JavaScript</v>
      </c>
      <c r="H542" s="9" t="str">
        <f>IFERROR(__xludf.DUMMYFUNCTION("""COMPUTED_VALUE"""),"C++")</f>
        <v>C++</v>
      </c>
      <c r="I542" s="9" t="str">
        <f>IFERROR(__xludf.DUMMYFUNCTION("""COMPUTED_VALUE"""),"SQL")</f>
        <v>SQL</v>
      </c>
      <c r="J542" s="9" t="str">
        <f>IFERROR(__xludf.DUMMYFUNCTION("""COMPUTED_VALUE"""),"R")</f>
        <v>R</v>
      </c>
      <c r="K542" s="9" t="str">
        <f>IFERROR(__xludf.DUMMYFUNCTION("""COMPUTED_VALUE"""),"JavaScript")</f>
        <v>JavaScript</v>
      </c>
      <c r="L542" s="9" t="str">
        <f>IFERROR(__xludf.DUMMYFUNCTION("""COMPUTED_VALUE"""),"C")</f>
        <v>C</v>
      </c>
      <c r="M542" s="9" t="s">
        <v>26</v>
      </c>
    </row>
    <row r="543" ht="15.75" customHeight="1">
      <c r="A543" s="7"/>
      <c r="B543" s="7" t="str">
        <f>IFERROR(__xludf.DUMMYFUNCTION("""COMPUTED_VALUE"""),"C#;HTML/CSS;JavaScript;SQL")</f>
        <v>C#;HTML/CSS;JavaScript;SQL</v>
      </c>
      <c r="C543" s="9" t="str">
        <f>IFERROR(__xludf.DUMMYFUNCTION("""COMPUTED_VALUE"""),"HTML/CSS")</f>
        <v>HTML/CSS</v>
      </c>
      <c r="D543" s="9" t="str">
        <f>IFERROR(__xludf.DUMMYFUNCTION("""COMPUTED_VALUE"""),"HTML/CSS")</f>
        <v>HTML/CSS</v>
      </c>
      <c r="E543" s="9" t="str">
        <f>IFERROR(__xludf.DUMMYFUNCTION("""COMPUTED_VALUE"""),"JavaScript")</f>
        <v>JavaScript</v>
      </c>
      <c r="F543" s="9" t="str">
        <f>IFERROR(__xludf.DUMMYFUNCTION("""COMPUTED_VALUE"""),"C")</f>
        <v>C</v>
      </c>
      <c r="G543" s="9" t="str">
        <f>IFERROR(__xludf.DUMMYFUNCTION("""COMPUTED_VALUE"""),"SQL")</f>
        <v>SQL</v>
      </c>
      <c r="H543" s="9" t="str">
        <f>IFERROR(__xludf.DUMMYFUNCTION("""COMPUTED_VALUE"""),"HTML/CSS")</f>
        <v>HTML/CSS</v>
      </c>
      <c r="I543" s="9" t="str">
        <f>IFERROR(__xludf.DUMMYFUNCTION("""COMPUTED_VALUE"""),"HTML/CSS")</f>
        <v>HTML/CSS</v>
      </c>
      <c r="J543" s="9" t="str">
        <f>IFERROR(__xludf.DUMMYFUNCTION("""COMPUTED_VALUE"""),"SQL")</f>
        <v>SQL</v>
      </c>
      <c r="K543" s="9" t="str">
        <f>IFERROR(__xludf.DUMMYFUNCTION("""COMPUTED_VALUE"""),"Objective-C")</f>
        <v>Objective-C</v>
      </c>
      <c r="L543" s="9" t="str">
        <f>IFERROR(__xludf.DUMMYFUNCTION("""COMPUTED_VALUE"""),"C++")</f>
        <v>C++</v>
      </c>
      <c r="M543" s="9" t="s">
        <v>24</v>
      </c>
    </row>
    <row r="544" ht="15.75" customHeight="1">
      <c r="A544" s="7"/>
      <c r="B544" s="7" t="str">
        <f>IFERROR(__xludf.DUMMYFUNCTION("""COMPUTED_VALUE"""),"Python;SQL;VBA")</f>
        <v>Python;SQL;VBA</v>
      </c>
      <c r="C544" s="9" t="str">
        <f>IFERROR(__xludf.DUMMYFUNCTION("""COMPUTED_VALUE"""),"JavaScript")</f>
        <v>JavaScript</v>
      </c>
      <c r="D544" s="9" t="str">
        <f>IFERROR(__xludf.DUMMYFUNCTION("""COMPUTED_VALUE"""),"JavaScript")</f>
        <v>JavaScript</v>
      </c>
      <c r="E544" s="9" t="str">
        <f>IFERROR(__xludf.DUMMYFUNCTION("""COMPUTED_VALUE"""),"Ruby")</f>
        <v>Ruby</v>
      </c>
      <c r="F544" s="9" t="str">
        <f>IFERROR(__xludf.DUMMYFUNCTION("""COMPUTED_VALUE"""),"C++")</f>
        <v>C++</v>
      </c>
      <c r="G544" s="9" t="str">
        <f>IFERROR(__xludf.DUMMYFUNCTION("""COMPUTED_VALUE"""),"TypeScript")</f>
        <v>TypeScript</v>
      </c>
      <c r="H544" s="9" t="str">
        <f>IFERROR(__xludf.DUMMYFUNCTION("""COMPUTED_VALUE"""),"JavaScript")</f>
        <v>JavaScript</v>
      </c>
      <c r="I544" s="9" t="str">
        <f>IFERROR(__xludf.DUMMYFUNCTION("""COMPUTED_VALUE"""),"Java")</f>
        <v>Java</v>
      </c>
      <c r="J544" s="9" t="str">
        <f>IFERROR(__xludf.DUMMYFUNCTION("""COMPUTED_VALUE"""),"VBA")</f>
        <v>VBA</v>
      </c>
      <c r="K544" s="9" t="str">
        <f>IFERROR(__xludf.DUMMYFUNCTION("""COMPUTED_VALUE"""),"SQL")</f>
        <v>SQL</v>
      </c>
      <c r="L544" s="9" t="str">
        <f>IFERROR(__xludf.DUMMYFUNCTION("""COMPUTED_VALUE"""),"C#")</f>
        <v>C#</v>
      </c>
      <c r="M544" s="9" t="s">
        <v>21</v>
      </c>
    </row>
    <row r="545" ht="15.75" customHeight="1">
      <c r="A545" s="7"/>
      <c r="B545" s="7" t="str">
        <f>IFERROR(__xludf.DUMMYFUNCTION("""COMPUTED_VALUE"""),"C#;HTML/CSS;JavaScript;SQL")</f>
        <v>C#;HTML/CSS;JavaScript;SQL</v>
      </c>
      <c r="C545" s="9" t="str">
        <f>IFERROR(__xludf.DUMMYFUNCTION("""COMPUTED_VALUE"""),"SQL")</f>
        <v>SQL</v>
      </c>
      <c r="D545" s="9" t="str">
        <f>IFERROR(__xludf.DUMMYFUNCTION("""COMPUTED_VALUE"""),"PHP")</f>
        <v>PHP</v>
      </c>
      <c r="E545" s="9" t="str">
        <f>IFERROR(__xludf.DUMMYFUNCTION("""COMPUTED_VALUE"""),"C")</f>
        <v>C</v>
      </c>
      <c r="F545" s="9" t="str">
        <f>IFERROR(__xludf.DUMMYFUNCTION("""COMPUTED_VALUE"""),"C#")</f>
        <v>C#</v>
      </c>
      <c r="G545" s="9" t="str">
        <f>IFERROR(__xludf.DUMMYFUNCTION("""COMPUTED_VALUE"""),"Bash/Shell/PowerShell")</f>
        <v>Bash/Shell/PowerShell</v>
      </c>
      <c r="H545" s="9" t="str">
        <f>IFERROR(__xludf.DUMMYFUNCTION("""COMPUTED_VALUE"""),"Python")</f>
        <v>Python</v>
      </c>
      <c r="I545" s="9" t="str">
        <f>IFERROR(__xludf.DUMMYFUNCTION("""COMPUTED_VALUE"""),"JavaScript")</f>
        <v>JavaScript</v>
      </c>
      <c r="J545" s="9" t="str">
        <f>IFERROR(__xludf.DUMMYFUNCTION("""COMPUTED_VALUE"""),"HTML/CSS")</f>
        <v>HTML/CSS</v>
      </c>
      <c r="K545" s="9" t="str">
        <f>IFERROR(__xludf.DUMMYFUNCTION("""COMPUTED_VALUE"""),"HTML/CSS")</f>
        <v>HTML/CSS</v>
      </c>
      <c r="L545" s="9" t="str">
        <f>IFERROR(__xludf.DUMMYFUNCTION("""COMPUTED_VALUE"""),"Java")</f>
        <v>Java</v>
      </c>
      <c r="M545" s="9" t="s">
        <v>27</v>
      </c>
    </row>
    <row r="546" ht="15.75" customHeight="1">
      <c r="A546" s="7"/>
      <c r="B546" s="7" t="str">
        <f>IFERROR(__xludf.DUMMYFUNCTION("""COMPUTED_VALUE"""),"Assembly;Bash/Shell/PowerShell;C;C++;HTML/CSS;Java;JavaScript;Python;R;Scala;SQL")</f>
        <v>Assembly;Bash/Shell/PowerShell;C;C++;HTML/CSS;Java;JavaScript;Python;R;Scala;SQL</v>
      </c>
      <c r="C546" s="9" t="str">
        <f>IFERROR(__xludf.DUMMYFUNCTION("""COMPUTED_VALUE"""),"TypeScript")</f>
        <v>TypeScript</v>
      </c>
      <c r="D546" s="9" t="str">
        <f>IFERROR(__xludf.DUMMYFUNCTION("""COMPUTED_VALUE"""),"Bash/Shell/PowerShell")</f>
        <v>Bash/Shell/PowerShell</v>
      </c>
      <c r="E546" s="9" t="str">
        <f>IFERROR(__xludf.DUMMYFUNCTION("""COMPUTED_VALUE"""),"C++")</f>
        <v>C++</v>
      </c>
      <c r="F546" s="9" t="str">
        <f>IFERROR(__xludf.DUMMYFUNCTION("""COMPUTED_VALUE"""),"HTML/CSS")</f>
        <v>HTML/CSS</v>
      </c>
      <c r="G546" s="9" t="str">
        <f>IFERROR(__xludf.DUMMYFUNCTION("""COMPUTED_VALUE"""),"C++")</f>
        <v>C++</v>
      </c>
      <c r="H546" s="9" t="str">
        <f>IFERROR(__xludf.DUMMYFUNCTION("""COMPUTED_VALUE"""),"Assembly")</f>
        <v>Assembly</v>
      </c>
      <c r="I546" s="9" t="str">
        <f>IFERROR(__xludf.DUMMYFUNCTION("""COMPUTED_VALUE"""),"Scala")</f>
        <v>Scala</v>
      </c>
      <c r="J546" s="9" t="str">
        <f>IFERROR(__xludf.DUMMYFUNCTION("""COMPUTED_VALUE"""),"Java")</f>
        <v>Java</v>
      </c>
      <c r="K546" s="9" t="str">
        <f>IFERROR(__xludf.DUMMYFUNCTION("""COMPUTED_VALUE"""),"JavaScript")</f>
        <v>JavaScript</v>
      </c>
      <c r="L546" s="9" t="str">
        <f>IFERROR(__xludf.DUMMYFUNCTION("""COMPUTED_VALUE"""),"JavaScript")</f>
        <v>JavaScript</v>
      </c>
      <c r="M546" s="9" t="s">
        <v>33</v>
      </c>
    </row>
    <row r="547" ht="15.75" customHeight="1">
      <c r="A547" s="7"/>
      <c r="B547" s="7" t="str">
        <f>IFERROR(__xludf.DUMMYFUNCTION("""COMPUTED_VALUE"""),"HTML/CSS;Java;JavaScript;PHP")</f>
        <v>HTML/CSS;Java;JavaScript;PHP</v>
      </c>
      <c r="C547" s="9" t="str">
        <f>IFERROR(__xludf.DUMMYFUNCTION("""COMPUTED_VALUE"""),"Clojure")</f>
        <v>Clojure</v>
      </c>
      <c r="D547" s="9" t="str">
        <f>IFERROR(__xludf.DUMMYFUNCTION("""COMPUTED_VALUE"""),"HTML/CSS")</f>
        <v>HTML/CSS</v>
      </c>
      <c r="E547" s="9" t="str">
        <f>IFERROR(__xludf.DUMMYFUNCTION("""COMPUTED_VALUE"""),"Java")</f>
        <v>Java</v>
      </c>
      <c r="F547" s="9" t="str">
        <f>IFERROR(__xludf.DUMMYFUNCTION("""COMPUTED_VALUE"""),"JavaScript")</f>
        <v>JavaScript</v>
      </c>
      <c r="G547" s="9" t="str">
        <f>IFERROR(__xludf.DUMMYFUNCTION("""COMPUTED_VALUE"""),"HTML/CSS")</f>
        <v>HTML/CSS</v>
      </c>
      <c r="H547" s="9" t="str">
        <f>IFERROR(__xludf.DUMMYFUNCTION("""COMPUTED_VALUE"""),"Bash/Shell/PowerShell")</f>
        <v>Bash/Shell/PowerShell</v>
      </c>
      <c r="I547" s="9" t="str">
        <f>IFERROR(__xludf.DUMMYFUNCTION("""COMPUTED_VALUE"""),"SQL")</f>
        <v>SQL</v>
      </c>
      <c r="J547" s="9" t="str">
        <f>IFERROR(__xludf.DUMMYFUNCTION("""COMPUTED_VALUE"""),"JavaScript")</f>
        <v>JavaScript</v>
      </c>
      <c r="K547" s="9" t="str">
        <f>IFERROR(__xludf.DUMMYFUNCTION("""COMPUTED_VALUE"""),"PHP")</f>
        <v>PHP</v>
      </c>
      <c r="L547" s="9" t="str">
        <f>IFERROR(__xludf.DUMMYFUNCTION("""COMPUTED_VALUE"""),"PHP")</f>
        <v>PHP</v>
      </c>
      <c r="M547" s="9" t="s">
        <v>44</v>
      </c>
    </row>
    <row r="548" ht="15.75" customHeight="1">
      <c r="A548" s="7"/>
      <c r="B548" s="7" t="str">
        <f>IFERROR(__xludf.DUMMYFUNCTION("""COMPUTED_VALUE"""),"C#;HTML/CSS;JavaScript;Python;SQL;TypeScript")</f>
        <v>C#;HTML/CSS;JavaScript;Python;SQL;TypeScript</v>
      </c>
      <c r="C548" s="9" t="str">
        <f>IFERROR(__xludf.DUMMYFUNCTION("""COMPUTED_VALUE"""),"Go")</f>
        <v>Go</v>
      </c>
      <c r="D548" s="9" t="str">
        <f>IFERROR(__xludf.DUMMYFUNCTION("""COMPUTED_VALUE"""),"JavaScript")</f>
        <v>JavaScript</v>
      </c>
      <c r="E548" s="9" t="str">
        <f>IFERROR(__xludf.DUMMYFUNCTION("""COMPUTED_VALUE"""),"PHP")</f>
        <v>PHP</v>
      </c>
      <c r="F548" s="9" t="str">
        <f>IFERROR(__xludf.DUMMYFUNCTION("""COMPUTED_VALUE"""),"SQL")</f>
        <v>SQL</v>
      </c>
      <c r="G548" s="9" t="str">
        <f>IFERROR(__xludf.DUMMYFUNCTION("""COMPUTED_VALUE"""),"JavaScript")</f>
        <v>JavaScript</v>
      </c>
      <c r="H548" s="9" t="str">
        <f>IFERROR(__xludf.DUMMYFUNCTION("""COMPUTED_VALUE"""),"HTML/CSS")</f>
        <v>HTML/CSS</v>
      </c>
      <c r="I548" s="9" t="str">
        <f>IFERROR(__xludf.DUMMYFUNCTION("""COMPUTED_VALUE"""),"HTML/CSS")</f>
        <v>HTML/CSS</v>
      </c>
      <c r="J548" s="9" t="str">
        <f>IFERROR(__xludf.DUMMYFUNCTION("""COMPUTED_VALUE"""),"SQL")</f>
        <v>SQL</v>
      </c>
      <c r="K548" s="9" t="str">
        <f>IFERROR(__xludf.DUMMYFUNCTION("""COMPUTED_VALUE"""),"HTML/CSS")</f>
        <v>HTML/CSS</v>
      </c>
      <c r="L548" s="9" t="str">
        <f>IFERROR(__xludf.DUMMYFUNCTION("""COMPUTED_VALUE"""),"Python")</f>
        <v>Python</v>
      </c>
      <c r="M548" s="9" t="s">
        <v>36</v>
      </c>
    </row>
    <row r="549" ht="15.75" customHeight="1">
      <c r="A549" s="7"/>
      <c r="B549" s="7" t="str">
        <f>IFERROR(__xludf.DUMMYFUNCTION("""COMPUTED_VALUE"""),"Go;JavaScript;PHP;Ruby;SQL;TypeScript")</f>
        <v>Go;JavaScript;PHP;Ruby;SQL;TypeScript</v>
      </c>
      <c r="C549" s="9" t="str">
        <f>IFERROR(__xludf.DUMMYFUNCTION("""COMPUTED_VALUE"""),"Java")</f>
        <v>Java</v>
      </c>
      <c r="D549" s="9" t="str">
        <f>IFERROR(__xludf.DUMMYFUNCTION("""COMPUTED_VALUE"""),"TypeScript")</f>
        <v>TypeScript</v>
      </c>
      <c r="E549" s="9" t="str">
        <f>IFERROR(__xludf.DUMMYFUNCTION("""COMPUTED_VALUE"""),"SQL")</f>
        <v>SQL</v>
      </c>
      <c r="F549" s="9" t="str">
        <f>IFERROR(__xludf.DUMMYFUNCTION("""COMPUTED_VALUE"""),"TypeScript")</f>
        <v>TypeScript</v>
      </c>
      <c r="G549" s="9" t="str">
        <f>IFERROR(__xludf.DUMMYFUNCTION("""COMPUTED_VALUE"""),"Python")</f>
        <v>Python</v>
      </c>
      <c r="H549" s="9" t="str">
        <f>IFERROR(__xludf.DUMMYFUNCTION("""COMPUTED_VALUE"""),"Java")</f>
        <v>Java</v>
      </c>
      <c r="I549" s="9" t="str">
        <f>IFERROR(__xludf.DUMMYFUNCTION("""COMPUTED_VALUE"""),"JavaScript")</f>
        <v>JavaScript</v>
      </c>
      <c r="J549" s="9" t="str">
        <f>IFERROR(__xludf.DUMMYFUNCTION("""COMPUTED_VALUE"""),"Bash/Shell/PowerShell")</f>
        <v>Bash/Shell/PowerShell</v>
      </c>
      <c r="K549" s="9" t="str">
        <f>IFERROR(__xludf.DUMMYFUNCTION("""COMPUTED_VALUE"""),"JavaScript")</f>
        <v>JavaScript</v>
      </c>
      <c r="L549" s="9" t="str">
        <f>IFERROR(__xludf.DUMMYFUNCTION("""COMPUTED_VALUE"""),"SQL")</f>
        <v>SQL</v>
      </c>
      <c r="M549" s="9" t="s">
        <v>20</v>
      </c>
    </row>
    <row r="550" ht="15.75" customHeight="1">
      <c r="A550" s="7"/>
      <c r="B550" s="7" t="str">
        <f>IFERROR(__xludf.DUMMYFUNCTION("""COMPUTED_VALUE"""),"C#;HTML/CSS;JavaScript;SQL")</f>
        <v>C#;HTML/CSS;JavaScript;SQL</v>
      </c>
      <c r="C550" s="9" t="str">
        <f>IFERROR(__xludf.DUMMYFUNCTION("""COMPUTED_VALUE"""),"Kotlin")</f>
        <v>Kotlin</v>
      </c>
      <c r="D550" s="9" t="str">
        <f>IFERROR(__xludf.DUMMYFUNCTION("""COMPUTED_VALUE"""),"C#")</f>
        <v>C#</v>
      </c>
      <c r="E550" s="9" t="str">
        <f>IFERROR(__xludf.DUMMYFUNCTION("""COMPUTED_VALUE"""),"JavaScript")</f>
        <v>JavaScript</v>
      </c>
      <c r="F550" s="9" t="str">
        <f>IFERROR(__xludf.DUMMYFUNCTION("""COMPUTED_VALUE"""),"Bash/Shell/PowerShell")</f>
        <v>Bash/Shell/PowerShell</v>
      </c>
      <c r="G550" s="9" t="str">
        <f>IFERROR(__xludf.DUMMYFUNCTION("""COMPUTED_VALUE"""),"HTML/CSS")</f>
        <v>HTML/CSS</v>
      </c>
      <c r="H550" s="9" t="str">
        <f>IFERROR(__xludf.DUMMYFUNCTION("""COMPUTED_VALUE"""),"JavaScript")</f>
        <v>JavaScript</v>
      </c>
      <c r="I550" s="9" t="str">
        <f>IFERROR(__xludf.DUMMYFUNCTION("""COMPUTED_VALUE"""),"Objective-C")</f>
        <v>Objective-C</v>
      </c>
      <c r="J550" s="9" t="str">
        <f>IFERROR(__xludf.DUMMYFUNCTION("""COMPUTED_VALUE"""),"C++")</f>
        <v>C++</v>
      </c>
      <c r="K550" s="9" t="str">
        <f>IFERROR(__xludf.DUMMYFUNCTION("""COMPUTED_VALUE"""),"Python")</f>
        <v>Python</v>
      </c>
      <c r="L550" s="9" t="str">
        <f>IFERROR(__xludf.DUMMYFUNCTION("""COMPUTED_VALUE"""),"Bash/Shell/PowerShell")</f>
        <v>Bash/Shell/PowerShell</v>
      </c>
      <c r="M550" s="9" t="s">
        <v>39</v>
      </c>
    </row>
    <row r="551" ht="15.75" customHeight="1">
      <c r="A551" s="7"/>
      <c r="B551" s="7" t="str">
        <f>IFERROR(__xludf.DUMMYFUNCTION("""COMPUTED_VALUE"""),"Bash/Shell/PowerShell;HTML/CSS;Java;JavaScript;Python;SQL")</f>
        <v>Bash/Shell/PowerShell;HTML/CSS;Java;JavaScript;Python;SQL</v>
      </c>
      <c r="C551" s="9" t="str">
        <f>IFERROR(__xludf.DUMMYFUNCTION("""COMPUTED_VALUE"""),"C#")</f>
        <v>C#</v>
      </c>
      <c r="D551" s="9" t="str">
        <f>IFERROR(__xludf.DUMMYFUNCTION("""COMPUTED_VALUE"""),"HTML/CSS")</f>
        <v>HTML/CSS</v>
      </c>
      <c r="E551" s="9" t="str">
        <f>IFERROR(__xludf.DUMMYFUNCTION("""COMPUTED_VALUE"""),"TypeScript")</f>
        <v>TypeScript</v>
      </c>
      <c r="F551" s="9" t="str">
        <f>IFERROR(__xludf.DUMMYFUNCTION("""COMPUTED_VALUE"""),"C++")</f>
        <v>C++</v>
      </c>
      <c r="G551" s="9" t="str">
        <f>IFERROR(__xludf.DUMMYFUNCTION("""COMPUTED_VALUE"""),"Java")</f>
        <v>Java</v>
      </c>
      <c r="H551" s="9" t="str">
        <f>IFERROR(__xludf.DUMMYFUNCTION("""COMPUTED_VALUE"""),"Ruby")</f>
        <v>Ruby</v>
      </c>
      <c r="I551" s="9" t="str">
        <f>IFERROR(__xludf.DUMMYFUNCTION("""COMPUTED_VALUE"""),"PHP")</f>
        <v>PHP</v>
      </c>
      <c r="J551" s="9" t="str">
        <f>IFERROR(__xludf.DUMMYFUNCTION("""COMPUTED_VALUE"""),"JavaScript")</f>
        <v>JavaScript</v>
      </c>
      <c r="K551" s="9" t="str">
        <f>IFERROR(__xludf.DUMMYFUNCTION("""COMPUTED_VALUE"""),"SQL")</f>
        <v>SQL</v>
      </c>
      <c r="L551" s="9" t="str">
        <f>IFERROR(__xludf.DUMMYFUNCTION("""COMPUTED_VALUE"""),"C")</f>
        <v>C</v>
      </c>
      <c r="M551" s="9" t="s">
        <v>26</v>
      </c>
    </row>
    <row r="552" ht="15.75" customHeight="1">
      <c r="A552" s="7"/>
      <c r="B552" s="7" t="str">
        <f>IFERROR(__xludf.DUMMYFUNCTION("""COMPUTED_VALUE"""),"C;C++;PHP;Python;SQL;VBA")</f>
        <v>C;C++;PHP;Python;SQL;VBA</v>
      </c>
      <c r="C552" s="9" t="str">
        <f>IFERROR(__xludf.DUMMYFUNCTION("""COMPUTED_VALUE"""),"HTML/CSS")</f>
        <v>HTML/CSS</v>
      </c>
      <c r="D552" s="9" t="str">
        <f>IFERROR(__xludf.DUMMYFUNCTION("""COMPUTED_VALUE"""),"Java")</f>
        <v>Java</v>
      </c>
      <c r="E552" s="9" t="str">
        <f>IFERROR(__xludf.DUMMYFUNCTION("""COMPUTED_VALUE"""),"Bash/Shell/PowerShell")</f>
        <v>Bash/Shell/PowerShell</v>
      </c>
      <c r="F552" s="9" t="str">
        <f>IFERROR(__xludf.DUMMYFUNCTION("""COMPUTED_VALUE"""),"C#")</f>
        <v>C#</v>
      </c>
      <c r="G552" s="9" t="str">
        <f>IFERROR(__xludf.DUMMYFUNCTION("""COMPUTED_VALUE"""),"JavaScript")</f>
        <v>JavaScript</v>
      </c>
      <c r="H552" s="9" t="str">
        <f>IFERROR(__xludf.DUMMYFUNCTION("""COMPUTED_VALUE"""),"SQL")</f>
        <v>SQL</v>
      </c>
      <c r="I552" s="9" t="str">
        <f>IFERROR(__xludf.DUMMYFUNCTION("""COMPUTED_VALUE"""),"SQL")</f>
        <v>SQL</v>
      </c>
      <c r="J552" s="9" t="str">
        <f>IFERROR(__xludf.DUMMYFUNCTION("""COMPUTED_VALUE"""),"Python")</f>
        <v>Python</v>
      </c>
      <c r="K552" s="9" t="str">
        <f>IFERROR(__xludf.DUMMYFUNCTION("""COMPUTED_VALUE"""),"JavaScript")</f>
        <v>JavaScript</v>
      </c>
      <c r="L552" s="9" t="str">
        <f>IFERROR(__xludf.DUMMYFUNCTION("""COMPUTED_VALUE"""),"C++")</f>
        <v>C++</v>
      </c>
      <c r="M552" s="9" t="s">
        <v>24</v>
      </c>
    </row>
    <row r="553" ht="15.75" customHeight="1">
      <c r="A553" s="7"/>
      <c r="B553" s="7" t="str">
        <f>IFERROR(__xludf.DUMMYFUNCTION("""COMPUTED_VALUE"""),"Bash/Shell/PowerShell;C;HTML/CSS;Java;JavaScript;Kotlin;PHP;SQL;TypeScript")</f>
        <v>Bash/Shell/PowerShell;C;HTML/CSS;Java;JavaScript;Kotlin;PHP;SQL;TypeScript</v>
      </c>
      <c r="C553" s="9" t="str">
        <f>IFERROR(__xludf.DUMMYFUNCTION("""COMPUTED_VALUE"""),"TypeScript")</f>
        <v>TypeScript</v>
      </c>
      <c r="D553" s="9" t="str">
        <f>IFERROR(__xludf.DUMMYFUNCTION("""COMPUTED_VALUE"""),"JavaScript")</f>
        <v>JavaScript</v>
      </c>
      <c r="E553" s="9" t="str">
        <f>IFERROR(__xludf.DUMMYFUNCTION("""COMPUTED_VALUE"""),"C#")</f>
        <v>C#</v>
      </c>
      <c r="F553" s="9" t="str">
        <f>IFERROR(__xludf.DUMMYFUNCTION("""COMPUTED_VALUE"""),"SQL")</f>
        <v>SQL</v>
      </c>
      <c r="G553" s="9" t="str">
        <f>IFERROR(__xludf.DUMMYFUNCTION("""COMPUTED_VALUE"""),"Python")</f>
        <v>Python</v>
      </c>
      <c r="H553" s="9" t="str">
        <f>IFERROR(__xludf.DUMMYFUNCTION("""COMPUTED_VALUE"""),"Bash/Shell/PowerShell")</f>
        <v>Bash/Shell/PowerShell</v>
      </c>
      <c r="I553" s="9" t="str">
        <f>IFERROR(__xludf.DUMMYFUNCTION("""COMPUTED_VALUE"""),"Bash/Shell/PowerShell")</f>
        <v>Bash/Shell/PowerShell</v>
      </c>
      <c r="J553" s="9" t="str">
        <f>IFERROR(__xludf.DUMMYFUNCTION("""COMPUTED_VALUE"""),"TypeScript")</f>
        <v>TypeScript</v>
      </c>
      <c r="K553" s="9" t="str">
        <f>IFERROR(__xludf.DUMMYFUNCTION("""COMPUTED_VALUE"""),"SQL")</f>
        <v>SQL</v>
      </c>
      <c r="L553" s="9" t="str">
        <f>IFERROR(__xludf.DUMMYFUNCTION("""COMPUTED_VALUE"""),"C#")</f>
        <v>C#</v>
      </c>
      <c r="M553" s="9" t="s">
        <v>33</v>
      </c>
    </row>
    <row r="554" ht="15.75" customHeight="1">
      <c r="A554" s="7"/>
      <c r="B554" s="7" t="str">
        <f>IFERROR(__xludf.DUMMYFUNCTION("""COMPUTED_VALUE"""),"Bash/Shell/PowerShell;C;C++;C#;HTML/CSS;Java;PHP;Python;SQL;VBA")</f>
        <v>Bash/Shell/PowerShell;C;C++;C#;HTML/CSS;Java;PHP;Python;SQL;VBA</v>
      </c>
      <c r="C554" s="9" t="str">
        <f>IFERROR(__xludf.DUMMYFUNCTION("""COMPUTED_VALUE"""),"Bash/Shell/PowerShell")</f>
        <v>Bash/Shell/PowerShell</v>
      </c>
      <c r="D554" s="9" t="str">
        <f>IFERROR(__xludf.DUMMYFUNCTION("""COMPUTED_VALUE"""),"SQL")</f>
        <v>SQL</v>
      </c>
      <c r="E554" s="9" t="str">
        <f>IFERROR(__xludf.DUMMYFUNCTION("""COMPUTED_VALUE"""),"HTML/CSS")</f>
        <v>HTML/CSS</v>
      </c>
      <c r="F554" s="9" t="str">
        <f>IFERROR(__xludf.DUMMYFUNCTION("""COMPUTED_VALUE"""),"Bash/Shell/PowerShell")</f>
        <v>Bash/Shell/PowerShell</v>
      </c>
      <c r="G554" s="9" t="str">
        <f>IFERROR(__xludf.DUMMYFUNCTION("""COMPUTED_VALUE"""),"Bash/Shell/PowerShell")</f>
        <v>Bash/Shell/PowerShell</v>
      </c>
      <c r="H554" s="9" t="str">
        <f>IFERROR(__xludf.DUMMYFUNCTION("""COMPUTED_VALUE"""),"HTML/CSS")</f>
        <v>HTML/CSS</v>
      </c>
      <c r="I554" s="9" t="str">
        <f>IFERROR(__xludf.DUMMYFUNCTION("""COMPUTED_VALUE"""),"PHP")</f>
        <v>PHP</v>
      </c>
      <c r="J554" s="9" t="str">
        <f>IFERROR(__xludf.DUMMYFUNCTION("""COMPUTED_VALUE"""),"Bash/Shell/PowerShell")</f>
        <v>Bash/Shell/PowerShell</v>
      </c>
      <c r="K554" s="9" t="str">
        <f>IFERROR(__xludf.DUMMYFUNCTION("""COMPUTED_VALUE"""),"Other(s):")</f>
        <v>Other(s):</v>
      </c>
      <c r="L554" s="9" t="str">
        <f>IFERROR(__xludf.DUMMYFUNCTION("""COMPUTED_VALUE"""),"Python")</f>
        <v>Python</v>
      </c>
      <c r="M554" s="9" t="s">
        <v>30</v>
      </c>
    </row>
    <row r="555" ht="15.75" customHeight="1">
      <c r="A555" s="7"/>
      <c r="B555" s="7" t="str">
        <f>IFERROR(__xludf.DUMMYFUNCTION("""COMPUTED_VALUE"""),"Bash/Shell/PowerShell;C#;HTML/CSS;JavaScript;PHP;SQL")</f>
        <v>Bash/Shell/PowerShell;C#;HTML/CSS;JavaScript;PHP;SQL</v>
      </c>
      <c r="C555" s="9" t="str">
        <f>IFERROR(__xludf.DUMMYFUNCTION("""COMPUTED_VALUE"""),"HTML/CSS")</f>
        <v>HTML/CSS</v>
      </c>
      <c r="D555" s="9" t="str">
        <f>IFERROR(__xludf.DUMMYFUNCTION("""COMPUTED_VALUE"""),"C#")</f>
        <v>C#</v>
      </c>
      <c r="E555" s="9" t="str">
        <f>IFERROR(__xludf.DUMMYFUNCTION("""COMPUTED_VALUE"""),"JavaScript")</f>
        <v>JavaScript</v>
      </c>
      <c r="F555" s="9" t="str">
        <f>IFERROR(__xludf.DUMMYFUNCTION("""COMPUTED_VALUE"""),"C#")</f>
        <v>C#</v>
      </c>
      <c r="G555" s="9" t="str">
        <f>IFERROR(__xludf.DUMMYFUNCTION("""COMPUTED_VALUE"""),"C")</f>
        <v>C</v>
      </c>
      <c r="H555" s="9" t="str">
        <f>IFERROR(__xludf.DUMMYFUNCTION("""COMPUTED_VALUE"""),"Java")</f>
        <v>Java</v>
      </c>
      <c r="I555" s="9" t="str">
        <f>IFERROR(__xludf.DUMMYFUNCTION("""COMPUTED_VALUE"""),"Python")</f>
        <v>Python</v>
      </c>
      <c r="J555" s="9" t="str">
        <f>IFERROR(__xludf.DUMMYFUNCTION("""COMPUTED_VALUE"""),"Go")</f>
        <v>Go</v>
      </c>
      <c r="K555" s="9" t="str">
        <f>IFERROR(__xludf.DUMMYFUNCTION("""COMPUTED_VALUE"""),"Ruby")</f>
        <v>Ruby</v>
      </c>
      <c r="L555" s="9" t="str">
        <f>IFERROR(__xludf.DUMMYFUNCTION("""COMPUTED_VALUE"""),"Bash/Shell/PowerShell")</f>
        <v>Bash/Shell/PowerShell</v>
      </c>
      <c r="M555" s="9" t="s">
        <v>24</v>
      </c>
    </row>
    <row r="556" ht="15.75" customHeight="1">
      <c r="A556" s="7"/>
      <c r="B556" s="7" t="str">
        <f>IFERROR(__xludf.DUMMYFUNCTION("""COMPUTED_VALUE"""),"HTML/CSS;Java;JavaScript;Python;Ruby;SQL")</f>
        <v>HTML/CSS;Java;JavaScript;Python;Ruby;SQL</v>
      </c>
      <c r="C556" s="9" t="str">
        <f>IFERROR(__xludf.DUMMYFUNCTION("""COMPUTED_VALUE"""),"JavaScript")</f>
        <v>JavaScript</v>
      </c>
      <c r="D556" s="9" t="str">
        <f>IFERROR(__xludf.DUMMYFUNCTION("""COMPUTED_VALUE"""),"HTML/CSS")</f>
        <v>HTML/CSS</v>
      </c>
      <c r="E556" s="9" t="str">
        <f>IFERROR(__xludf.DUMMYFUNCTION("""COMPUTED_VALUE"""),"PHP")</f>
        <v>PHP</v>
      </c>
      <c r="F556" s="9" t="str">
        <f>IFERROR(__xludf.DUMMYFUNCTION("""COMPUTED_VALUE"""),"HTML/CSS")</f>
        <v>HTML/CSS</v>
      </c>
      <c r="G556" s="9" t="str">
        <f>IFERROR(__xludf.DUMMYFUNCTION("""COMPUTED_VALUE"""),"C++")</f>
        <v>C++</v>
      </c>
      <c r="H556" s="9" t="str">
        <f>IFERROR(__xludf.DUMMYFUNCTION("""COMPUTED_VALUE"""),"JavaScript")</f>
        <v>JavaScript</v>
      </c>
      <c r="I556" s="9" t="str">
        <f>IFERROR(__xludf.DUMMYFUNCTION("""COMPUTED_VALUE"""),"SQL")</f>
        <v>SQL</v>
      </c>
      <c r="J556" s="9" t="str">
        <f>IFERROR(__xludf.DUMMYFUNCTION("""COMPUTED_VALUE"""),"HTML/CSS")</f>
        <v>HTML/CSS</v>
      </c>
      <c r="K556" s="9" t="str">
        <f>IFERROR(__xludf.DUMMYFUNCTION("""COMPUTED_VALUE"""),"Swift")</f>
        <v>Swift</v>
      </c>
      <c r="L556" s="9" t="str">
        <f>IFERROR(__xludf.DUMMYFUNCTION("""COMPUTED_VALUE"""),"C#")</f>
        <v>C#</v>
      </c>
      <c r="M556" s="9" t="s">
        <v>21</v>
      </c>
    </row>
    <row r="557" ht="15.75" customHeight="1">
      <c r="A557" s="7"/>
      <c r="B557" s="7" t="str">
        <f>IFERROR(__xludf.DUMMYFUNCTION("""COMPUTED_VALUE"""),"C#;JavaScript;SQL")</f>
        <v>C#;JavaScript;SQL</v>
      </c>
      <c r="C557" s="9" t="str">
        <f>IFERROR(__xludf.DUMMYFUNCTION("""COMPUTED_VALUE"""),"SQL")</f>
        <v>SQL</v>
      </c>
      <c r="D557" s="9" t="str">
        <f>IFERROR(__xludf.DUMMYFUNCTION("""COMPUTED_VALUE"""),"Java")</f>
        <v>Java</v>
      </c>
      <c r="E557" s="9" t="str">
        <f>IFERROR(__xludf.DUMMYFUNCTION("""COMPUTED_VALUE"""),"SQL")</f>
        <v>SQL</v>
      </c>
      <c r="F557" s="9" t="str">
        <f>IFERROR(__xludf.DUMMYFUNCTION("""COMPUTED_VALUE"""),"JavaScript")</f>
        <v>JavaScript</v>
      </c>
      <c r="G557" s="9" t="str">
        <f>IFERROR(__xludf.DUMMYFUNCTION("""COMPUTED_VALUE"""),"C#")</f>
        <v>C#</v>
      </c>
      <c r="H557" s="9" t="str">
        <f>IFERROR(__xludf.DUMMYFUNCTION("""COMPUTED_VALUE"""),"Python")</f>
        <v>Python</v>
      </c>
      <c r="I557" s="9" t="str">
        <f>IFERROR(__xludf.DUMMYFUNCTION("""COMPUTED_VALUE"""),"HTML/CSS")</f>
        <v>HTML/CSS</v>
      </c>
      <c r="J557" s="9" t="str">
        <f>IFERROR(__xludf.DUMMYFUNCTION("""COMPUTED_VALUE"""),"JavaScript")</f>
        <v>JavaScript</v>
      </c>
      <c r="K557" s="9" t="str">
        <f>IFERROR(__xludf.DUMMYFUNCTION("""COMPUTED_VALUE"""),"HTML/CSS")</f>
        <v>HTML/CSS</v>
      </c>
      <c r="L557" s="9" t="str">
        <f>IFERROR(__xludf.DUMMYFUNCTION("""COMPUTED_VALUE"""),"HTML/CSS")</f>
        <v>HTML/CSS</v>
      </c>
      <c r="M557" s="9" t="s">
        <v>27</v>
      </c>
    </row>
    <row r="558" ht="15.75" customHeight="1">
      <c r="A558" s="7"/>
      <c r="B558" s="7" t="str">
        <f>IFERROR(__xludf.DUMMYFUNCTION("""COMPUTED_VALUE"""),"Assembly;Bash/Shell/PowerShell;C;C++;Python;SQL")</f>
        <v>Assembly;Bash/Shell/PowerShell;C;C++;Python;SQL</v>
      </c>
      <c r="C558" s="9" t="str">
        <f>IFERROR(__xludf.DUMMYFUNCTION("""COMPUTED_VALUE"""),"Bash/Shell/PowerShell")</f>
        <v>Bash/Shell/PowerShell</v>
      </c>
      <c r="D558" s="9" t="str">
        <f>IFERROR(__xludf.DUMMYFUNCTION("""COMPUTED_VALUE"""),"JavaScript")</f>
        <v>JavaScript</v>
      </c>
      <c r="E558" s="9" t="str">
        <f>IFERROR(__xludf.DUMMYFUNCTION("""COMPUTED_VALUE"""),"Other(s):")</f>
        <v>Other(s):</v>
      </c>
      <c r="F558" s="9" t="str">
        <f>IFERROR(__xludf.DUMMYFUNCTION("""COMPUTED_VALUE"""),"Python")</f>
        <v>Python</v>
      </c>
      <c r="G558" s="9" t="str">
        <f>IFERROR(__xludf.DUMMYFUNCTION("""COMPUTED_VALUE"""),"Go")</f>
        <v>Go</v>
      </c>
      <c r="H558" s="9" t="str">
        <f>IFERROR(__xludf.DUMMYFUNCTION("""COMPUTED_VALUE"""),"SQL")</f>
        <v>SQL</v>
      </c>
      <c r="I558" s="9" t="str">
        <f>IFERROR(__xludf.DUMMYFUNCTION("""COMPUTED_VALUE"""),"JavaScript")</f>
        <v>JavaScript</v>
      </c>
      <c r="J558" s="9" t="str">
        <f>IFERROR(__xludf.DUMMYFUNCTION("""COMPUTED_VALUE"""),"Ruby")</f>
        <v>Ruby</v>
      </c>
      <c r="K558" s="9" t="str">
        <f>IFERROR(__xludf.DUMMYFUNCTION("""COMPUTED_VALUE"""),"JavaScript")</f>
        <v>JavaScript</v>
      </c>
      <c r="L558" s="9" t="str">
        <f>IFERROR(__xludf.DUMMYFUNCTION("""COMPUTED_VALUE"""),"JavaScript")</f>
        <v>JavaScript</v>
      </c>
      <c r="M558" s="9" t="s">
        <v>30</v>
      </c>
    </row>
    <row r="559" ht="15.75" customHeight="1">
      <c r="A559" s="7"/>
      <c r="B559" s="7" t="str">
        <f>IFERROR(__xludf.DUMMYFUNCTION("""COMPUTED_VALUE"""),"C;C++;Python;R;SQL;Other(s):")</f>
        <v>C;C++;Python;R;SQL;Other(s):</v>
      </c>
      <c r="C559" s="9" t="str">
        <f>IFERROR(__xludf.DUMMYFUNCTION("""COMPUTED_VALUE"""),"HTML/CSS")</f>
        <v>HTML/CSS</v>
      </c>
      <c r="D559" s="9" t="str">
        <f>IFERROR(__xludf.DUMMYFUNCTION("""COMPUTED_VALUE"""),"TypeScript")</f>
        <v>TypeScript</v>
      </c>
      <c r="E559" s="9" t="str">
        <f>IFERROR(__xludf.DUMMYFUNCTION("""COMPUTED_VALUE"""),"JavaScript")</f>
        <v>JavaScript</v>
      </c>
      <c r="F559" s="9" t="str">
        <f>IFERROR(__xludf.DUMMYFUNCTION("""COMPUTED_VALUE"""),"SQL")</f>
        <v>SQL</v>
      </c>
      <c r="G559" s="9" t="str">
        <f>IFERROR(__xludf.DUMMYFUNCTION("""COMPUTED_VALUE"""),"HTML/CSS")</f>
        <v>HTML/CSS</v>
      </c>
      <c r="H559" s="9" t="str">
        <f>IFERROR(__xludf.DUMMYFUNCTION("""COMPUTED_VALUE"""),"C#")</f>
        <v>C#</v>
      </c>
      <c r="I559" s="9" t="str">
        <f>IFERROR(__xludf.DUMMYFUNCTION("""COMPUTED_VALUE"""),"PHP")</f>
        <v>PHP</v>
      </c>
      <c r="J559" s="9" t="str">
        <f>IFERROR(__xludf.DUMMYFUNCTION("""COMPUTED_VALUE"""),"TypeScript")</f>
        <v>TypeScript</v>
      </c>
      <c r="K559" s="9" t="str">
        <f>IFERROR(__xludf.DUMMYFUNCTION("""COMPUTED_VALUE"""),"HTML/CSS")</f>
        <v>HTML/CSS</v>
      </c>
      <c r="L559" s="9" t="str">
        <f>IFERROR(__xludf.DUMMYFUNCTION("""COMPUTED_VALUE"""),"PHP")</f>
        <v>PHP</v>
      </c>
      <c r="M559" s="9" t="s">
        <v>24</v>
      </c>
    </row>
    <row r="560" ht="15.75" customHeight="1">
      <c r="A560" s="7"/>
      <c r="B560" s="7" t="str">
        <f>IFERROR(__xludf.DUMMYFUNCTION("""COMPUTED_VALUE"""),"Bash/Shell/PowerShell;HTML/CSS;JavaScript;PHP;SQL")</f>
        <v>Bash/Shell/PowerShell;HTML/CSS;JavaScript;PHP;SQL</v>
      </c>
      <c r="C560" s="9" t="str">
        <f>IFERROR(__xludf.DUMMYFUNCTION("""COMPUTED_VALUE"""),"Java")</f>
        <v>Java</v>
      </c>
      <c r="D560" s="9" t="str">
        <f>IFERROR(__xludf.DUMMYFUNCTION("""COMPUTED_VALUE"""),"HTML/CSS")</f>
        <v>HTML/CSS</v>
      </c>
      <c r="E560" s="9" t="str">
        <f>IFERROR(__xludf.DUMMYFUNCTION("""COMPUTED_VALUE"""),"Kotlin")</f>
        <v>Kotlin</v>
      </c>
      <c r="F560" s="9" t="str">
        <f>IFERROR(__xludf.DUMMYFUNCTION("""COMPUTED_VALUE"""),"Bash/Shell/PowerShell")</f>
        <v>Bash/Shell/PowerShell</v>
      </c>
      <c r="G560" s="9" t="str">
        <f>IFERROR(__xludf.DUMMYFUNCTION("""COMPUTED_VALUE"""),"JavaScript")</f>
        <v>JavaScript</v>
      </c>
      <c r="H560" s="9" t="str">
        <f>IFERROR(__xludf.DUMMYFUNCTION("""COMPUTED_VALUE"""),"F#")</f>
        <v>F#</v>
      </c>
      <c r="I560" s="9" t="str">
        <f>IFERROR(__xludf.DUMMYFUNCTION("""COMPUTED_VALUE"""),"Bash/Shell/PowerShell")</f>
        <v>Bash/Shell/PowerShell</v>
      </c>
      <c r="J560" s="9" t="str">
        <f>IFERROR(__xludf.DUMMYFUNCTION("""COMPUTED_VALUE"""),"C")</f>
        <v>C</v>
      </c>
      <c r="K560" s="9" t="str">
        <f>IFERROR(__xludf.DUMMYFUNCTION("""COMPUTED_VALUE"""),"JavaScript")</f>
        <v>JavaScript</v>
      </c>
      <c r="L560" s="9" t="str">
        <f>IFERROR(__xludf.DUMMYFUNCTION("""COMPUTED_VALUE"""),"Python")</f>
        <v>Python</v>
      </c>
      <c r="M560" s="9" t="s">
        <v>20</v>
      </c>
    </row>
    <row r="561" ht="15.75" customHeight="1">
      <c r="A561" s="7"/>
      <c r="B561" s="7" t="str">
        <f>IFERROR(__xludf.DUMMYFUNCTION("""COMPUTED_VALUE"""),"Bash/Shell/PowerShell;C#;HTML/CSS;JavaScript")</f>
        <v>Bash/Shell/PowerShell;C#;HTML/CSS;JavaScript</v>
      </c>
      <c r="C561" s="9" t="str">
        <f>IFERROR(__xludf.DUMMYFUNCTION("""COMPUTED_VALUE"""),"JavaScript")</f>
        <v>JavaScript</v>
      </c>
      <c r="D561" s="9" t="str">
        <f>IFERROR(__xludf.DUMMYFUNCTION("""COMPUTED_VALUE"""),"JavaScript")</f>
        <v>JavaScript</v>
      </c>
      <c r="E561" s="9" t="str">
        <f>IFERROR(__xludf.DUMMYFUNCTION("""COMPUTED_VALUE"""),"Swift")</f>
        <v>Swift</v>
      </c>
      <c r="F561" s="9" t="str">
        <f>IFERROR(__xludf.DUMMYFUNCTION("""COMPUTED_VALUE"""),"C#")</f>
        <v>C#</v>
      </c>
      <c r="G561" s="9" t="str">
        <f>IFERROR(__xludf.DUMMYFUNCTION("""COMPUTED_VALUE"""),"PHP")</f>
        <v>PHP</v>
      </c>
      <c r="H561" s="9" t="str">
        <f>IFERROR(__xludf.DUMMYFUNCTION("""COMPUTED_VALUE"""),"HTML/CSS")</f>
        <v>HTML/CSS</v>
      </c>
      <c r="I561" s="9" t="str">
        <f>IFERROR(__xludf.DUMMYFUNCTION("""COMPUTED_VALUE"""),"C++")</f>
        <v>C++</v>
      </c>
      <c r="J561" s="9" t="str">
        <f>IFERROR(__xludf.DUMMYFUNCTION("""COMPUTED_VALUE"""),"HTML/CSS")</f>
        <v>HTML/CSS</v>
      </c>
      <c r="K561" s="9" t="str">
        <f>IFERROR(__xludf.DUMMYFUNCTION("""COMPUTED_VALUE"""),"PHP")</f>
        <v>PHP</v>
      </c>
      <c r="L561" s="9" t="str">
        <f>IFERROR(__xludf.DUMMYFUNCTION("""COMPUTED_VALUE"""),"SQL")</f>
        <v>SQL</v>
      </c>
      <c r="M561" s="9" t="s">
        <v>21</v>
      </c>
    </row>
    <row r="562" ht="15.75" customHeight="1">
      <c r="A562" s="7"/>
      <c r="B562" s="7" t="str">
        <f>IFERROR(__xludf.DUMMYFUNCTION("""COMPUTED_VALUE"""),"Bash/Shell/PowerShell;C;Java;JavaScript;Objective-C;Rust;Swift;Other(s):")</f>
        <v>Bash/Shell/PowerShell;C;Java;JavaScript;Objective-C;Rust;Swift;Other(s):</v>
      </c>
      <c r="C562" s="9" t="str">
        <f>IFERROR(__xludf.DUMMYFUNCTION("""COMPUTED_VALUE"""),"Python")</f>
        <v>Python</v>
      </c>
      <c r="D562" s="9" t="str">
        <f>IFERROR(__xludf.DUMMYFUNCTION("""COMPUTED_VALUE"""),"SQL")</f>
        <v>SQL</v>
      </c>
      <c r="E562" s="9" t="str">
        <f>IFERROR(__xludf.DUMMYFUNCTION("""COMPUTED_VALUE"""),"Bash/Shell/PowerShell")</f>
        <v>Bash/Shell/PowerShell</v>
      </c>
      <c r="F562" s="9" t="str">
        <f>IFERROR(__xludf.DUMMYFUNCTION("""COMPUTED_VALUE"""),"HTML/CSS")</f>
        <v>HTML/CSS</v>
      </c>
      <c r="G562" s="9" t="str">
        <f>IFERROR(__xludf.DUMMYFUNCTION("""COMPUTED_VALUE"""),"Python")</f>
        <v>Python</v>
      </c>
      <c r="H562" s="9" t="str">
        <f>IFERROR(__xludf.DUMMYFUNCTION("""COMPUTED_VALUE"""),"Other(s):")</f>
        <v>Other(s):</v>
      </c>
      <c r="I562" s="9" t="str">
        <f>IFERROR(__xludf.DUMMYFUNCTION("""COMPUTED_VALUE"""),"C#")</f>
        <v>C#</v>
      </c>
      <c r="J562" s="9" t="str">
        <f>IFERROR(__xludf.DUMMYFUNCTION("""COMPUTED_VALUE"""),"JavaScript")</f>
        <v>JavaScript</v>
      </c>
      <c r="K562" s="9" t="str">
        <f>IFERROR(__xludf.DUMMYFUNCTION("""COMPUTED_VALUE"""),"SQL")</f>
        <v>SQL</v>
      </c>
      <c r="L562" s="9" t="str">
        <f>IFERROR(__xludf.DUMMYFUNCTION("""COMPUTED_VALUE"""),"C++")</f>
        <v>C++</v>
      </c>
      <c r="M562" s="9" t="s">
        <v>22</v>
      </c>
    </row>
    <row r="563" ht="15.75" customHeight="1">
      <c r="A563" s="7"/>
      <c r="B563" s="7" t="str">
        <f>IFERROR(__xludf.DUMMYFUNCTION("""COMPUTED_VALUE"""),"C++;C#;Clojure;HTML/CSS;JavaScript;Python;SQL")</f>
        <v>C++;C#;Clojure;HTML/CSS;JavaScript;Python;SQL</v>
      </c>
      <c r="C563" s="9" t="str">
        <f>IFERROR(__xludf.DUMMYFUNCTION("""COMPUTED_VALUE"""),"SQL")</f>
        <v>SQL</v>
      </c>
      <c r="D563" s="9" t="str">
        <f>IFERROR(__xludf.DUMMYFUNCTION("""COMPUTED_VALUE"""),"Go")</f>
        <v>Go</v>
      </c>
      <c r="E563" s="9" t="str">
        <f>IFERROR(__xludf.DUMMYFUNCTION("""COMPUTED_VALUE"""),"C#")</f>
        <v>C#</v>
      </c>
      <c r="F563" s="9" t="str">
        <f>IFERROR(__xludf.DUMMYFUNCTION("""COMPUTED_VALUE"""),"JavaScript")</f>
        <v>JavaScript</v>
      </c>
      <c r="G563" s="9" t="str">
        <f>IFERROR(__xludf.DUMMYFUNCTION("""COMPUTED_VALUE"""),"SQL")</f>
        <v>SQL</v>
      </c>
      <c r="H563" s="9" t="str">
        <f>IFERROR(__xludf.DUMMYFUNCTION("""COMPUTED_VALUE"""),"Go")</f>
        <v>Go</v>
      </c>
      <c r="I563" s="9" t="str">
        <f>IFERROR(__xludf.DUMMYFUNCTION("""COMPUTED_VALUE"""),"Java")</f>
        <v>Java</v>
      </c>
      <c r="J563" s="9" t="str">
        <f>IFERROR(__xludf.DUMMYFUNCTION("""COMPUTED_VALUE"""),"Bash/Shell/PowerShell")</f>
        <v>Bash/Shell/PowerShell</v>
      </c>
      <c r="K563" s="9" t="str">
        <f>IFERROR(__xludf.DUMMYFUNCTION("""COMPUTED_VALUE"""),"Bash/Shell/PowerShell")</f>
        <v>Bash/Shell/PowerShell</v>
      </c>
      <c r="L563" s="9" t="str">
        <f>IFERROR(__xludf.DUMMYFUNCTION("""COMPUTED_VALUE"""),"C#")</f>
        <v>C#</v>
      </c>
      <c r="M563" s="9" t="s">
        <v>27</v>
      </c>
    </row>
    <row r="564" ht="15.75" customHeight="1">
      <c r="A564" s="7"/>
      <c r="B564" s="7" t="str">
        <f>IFERROR(__xludf.DUMMYFUNCTION("""COMPUTED_VALUE"""),"Bash/Shell/PowerShell;HTML/CSS;JavaScript;Python")</f>
        <v>Bash/Shell/PowerShell;HTML/CSS;JavaScript;Python</v>
      </c>
      <c r="C564" s="9" t="str">
        <f>IFERROR(__xludf.DUMMYFUNCTION("""COMPUTED_VALUE"""),"HTML/CSS")</f>
        <v>HTML/CSS</v>
      </c>
      <c r="D564" s="9" t="str">
        <f>IFERROR(__xludf.DUMMYFUNCTION("""COMPUTED_VALUE"""),"JavaScript")</f>
        <v>JavaScript</v>
      </c>
      <c r="E564" s="9" t="str">
        <f>IFERROR(__xludf.DUMMYFUNCTION("""COMPUTED_VALUE"""),"HTML/CSS")</f>
        <v>HTML/CSS</v>
      </c>
      <c r="F564" s="9" t="str">
        <f>IFERROR(__xludf.DUMMYFUNCTION("""COMPUTED_VALUE"""),"TypeScript")</f>
        <v>TypeScript</v>
      </c>
      <c r="G564" s="9" t="str">
        <f>IFERROR(__xludf.DUMMYFUNCTION("""COMPUTED_VALUE"""),"Other(s):")</f>
        <v>Other(s):</v>
      </c>
      <c r="H564" s="9" t="str">
        <f>IFERROR(__xludf.DUMMYFUNCTION("""COMPUTED_VALUE"""),"HTML/CSS")</f>
        <v>HTML/CSS</v>
      </c>
      <c r="I564" s="9" t="str">
        <f>IFERROR(__xludf.DUMMYFUNCTION("""COMPUTED_VALUE"""),"SQL")</f>
        <v>SQL</v>
      </c>
      <c r="J564" s="9" t="str">
        <f>IFERROR(__xludf.DUMMYFUNCTION("""COMPUTED_VALUE"""),"C")</f>
        <v>C</v>
      </c>
      <c r="K564" s="9" t="str">
        <f>IFERROR(__xludf.DUMMYFUNCTION("""COMPUTED_VALUE"""),"C#")</f>
        <v>C#</v>
      </c>
      <c r="L564" s="9" t="str">
        <f>IFERROR(__xludf.DUMMYFUNCTION("""COMPUTED_VALUE"""),"HTML/CSS")</f>
        <v>HTML/CSS</v>
      </c>
      <c r="M564" s="9" t="s">
        <v>24</v>
      </c>
    </row>
    <row r="565" ht="15.75" customHeight="1">
      <c r="A565" s="7"/>
      <c r="B565" s="7" t="str">
        <f>IFERROR(__xludf.DUMMYFUNCTION("""COMPUTED_VALUE"""),"Assembly;Bash/Shell/PowerShell;C;C++;Erlang;R;Rust;Scala")</f>
        <v>Assembly;Bash/Shell/PowerShell;C;C++;Erlang;R;Rust;Scala</v>
      </c>
      <c r="C565" s="9" t="str">
        <f>IFERROR(__xludf.DUMMYFUNCTION("""COMPUTED_VALUE"""),"Java")</f>
        <v>Java</v>
      </c>
      <c r="D565" s="9" t="str">
        <f>IFERROR(__xludf.DUMMYFUNCTION("""COMPUTED_VALUE"""),"PHP")</f>
        <v>PHP</v>
      </c>
      <c r="E565" s="9" t="str">
        <f>IFERROR(__xludf.DUMMYFUNCTION("""COMPUTED_VALUE"""),"JavaScript")</f>
        <v>JavaScript</v>
      </c>
      <c r="F565" s="9" t="str">
        <f>IFERROR(__xludf.DUMMYFUNCTION("""COMPUTED_VALUE"""),"HTML/CSS")</f>
        <v>HTML/CSS</v>
      </c>
      <c r="G565" s="9" t="str">
        <f>IFERROR(__xludf.DUMMYFUNCTION("""COMPUTED_VALUE"""),"Go")</f>
        <v>Go</v>
      </c>
      <c r="H565" s="9" t="str">
        <f>IFERROR(__xludf.DUMMYFUNCTION("""COMPUTED_VALUE"""),"JavaScript")</f>
        <v>JavaScript</v>
      </c>
      <c r="I565" s="9" t="str">
        <f>IFERROR(__xludf.DUMMYFUNCTION("""COMPUTED_VALUE"""),"Bash/Shell/PowerShell")</f>
        <v>Bash/Shell/PowerShell</v>
      </c>
      <c r="J565" s="9" t="str">
        <f>IFERROR(__xludf.DUMMYFUNCTION("""COMPUTED_VALUE"""),"C++")</f>
        <v>C++</v>
      </c>
      <c r="K565" s="9" t="str">
        <f>IFERROR(__xludf.DUMMYFUNCTION("""COMPUTED_VALUE"""),"Java")</f>
        <v>Java</v>
      </c>
      <c r="L565" s="9" t="str">
        <f>IFERROR(__xludf.DUMMYFUNCTION("""COMPUTED_VALUE"""),"JavaScript")</f>
        <v>JavaScript</v>
      </c>
      <c r="M565" s="9" t="s">
        <v>20</v>
      </c>
    </row>
    <row r="566" ht="15.75" customHeight="1">
      <c r="A566" s="7"/>
      <c r="B566" s="7" t="str">
        <f>IFERROR(__xludf.DUMMYFUNCTION("""COMPUTED_VALUE"""),"Assembly;C;C++;Java;JavaScript;Kotlin;PHP;Python;Rust;SQL;TypeScript")</f>
        <v>Assembly;C;C++;Java;JavaScript;Kotlin;PHP;Python;Rust;SQL;TypeScript</v>
      </c>
      <c r="C566" s="9" t="str">
        <f>IFERROR(__xludf.DUMMYFUNCTION("""COMPUTED_VALUE"""),"Python")</f>
        <v>Python</v>
      </c>
      <c r="D566" s="9" t="str">
        <f>IFERROR(__xludf.DUMMYFUNCTION("""COMPUTED_VALUE"""),"TypeScript")</f>
        <v>TypeScript</v>
      </c>
      <c r="E566" s="9" t="str">
        <f>IFERROR(__xludf.DUMMYFUNCTION("""COMPUTED_VALUE"""),"Rust")</f>
        <v>Rust</v>
      </c>
      <c r="F566" s="9" t="str">
        <f>IFERROR(__xludf.DUMMYFUNCTION("""COMPUTED_VALUE"""),"JavaScript")</f>
        <v>JavaScript</v>
      </c>
      <c r="G566" s="9" t="str">
        <f>IFERROR(__xludf.DUMMYFUNCTION("""COMPUTED_VALUE"""),"HTML/CSS")</f>
        <v>HTML/CSS</v>
      </c>
      <c r="H566" s="9" t="str">
        <f>IFERROR(__xludf.DUMMYFUNCTION("""COMPUTED_VALUE"""),"PHP")</f>
        <v>PHP</v>
      </c>
      <c r="I566" s="9" t="str">
        <f>IFERROR(__xludf.DUMMYFUNCTION("""COMPUTED_VALUE"""),"C")</f>
        <v>C</v>
      </c>
      <c r="J566" s="9" t="str">
        <f>IFERROR(__xludf.DUMMYFUNCTION("""COMPUTED_VALUE"""),"C#")</f>
        <v>C#</v>
      </c>
      <c r="K566" s="9" t="str">
        <f>IFERROR(__xludf.DUMMYFUNCTION("""COMPUTED_VALUE"""),"SQL")</f>
        <v>SQL</v>
      </c>
      <c r="L566" s="9" t="str">
        <f>IFERROR(__xludf.DUMMYFUNCTION("""COMPUTED_VALUE"""),"PHP")</f>
        <v>PHP</v>
      </c>
      <c r="M566" s="9" t="s">
        <v>22</v>
      </c>
    </row>
    <row r="567" ht="15.75" customHeight="1">
      <c r="A567" s="7"/>
      <c r="B567" s="7" t="str">
        <f>IFERROR(__xludf.DUMMYFUNCTION("""COMPUTED_VALUE"""),"Assembly;Bash/Shell/PowerShell;C;HTML/CSS;PHP;Python;SQL")</f>
        <v>Assembly;Bash/Shell/PowerShell;C;HTML/CSS;PHP;Python;SQL</v>
      </c>
      <c r="C567" s="9" t="str">
        <f>IFERROR(__xludf.DUMMYFUNCTION("""COMPUTED_VALUE"""),"C++")</f>
        <v>C++</v>
      </c>
      <c r="D567" s="9" t="str">
        <f>IFERROR(__xludf.DUMMYFUNCTION("""COMPUTED_VALUE"""),"HTML/CSS")</f>
        <v>HTML/CSS</v>
      </c>
      <c r="E567" s="9" t="str">
        <f>IFERROR(__xludf.DUMMYFUNCTION("""COMPUTED_VALUE"""),"SQL")</f>
        <v>SQL</v>
      </c>
      <c r="F567" s="9" t="str">
        <f>IFERROR(__xludf.DUMMYFUNCTION("""COMPUTED_VALUE"""),"PHP")</f>
        <v>PHP</v>
      </c>
      <c r="G567" s="9" t="str">
        <f>IFERROR(__xludf.DUMMYFUNCTION("""COMPUTED_VALUE"""),"Java")</f>
        <v>Java</v>
      </c>
      <c r="H567" s="9" t="str">
        <f>IFERROR(__xludf.DUMMYFUNCTION("""COMPUTED_VALUE"""),"Python")</f>
        <v>Python</v>
      </c>
      <c r="I567" s="9" t="str">
        <f>IFERROR(__xludf.DUMMYFUNCTION("""COMPUTED_VALUE"""),"C++")</f>
        <v>C++</v>
      </c>
      <c r="J567" s="9" t="str">
        <f>IFERROR(__xludf.DUMMYFUNCTION("""COMPUTED_VALUE"""),"HTML/CSS")</f>
        <v>HTML/CSS</v>
      </c>
      <c r="K567" s="9" t="str">
        <f>IFERROR(__xludf.DUMMYFUNCTION("""COMPUTED_VALUE"""),"TypeScript")</f>
        <v>TypeScript</v>
      </c>
      <c r="L567" s="9" t="str">
        <f>IFERROR(__xludf.DUMMYFUNCTION("""COMPUTED_VALUE"""),"SQL")</f>
        <v>SQL</v>
      </c>
      <c r="M567" s="9" t="s">
        <v>23</v>
      </c>
    </row>
    <row r="568" ht="15.75" customHeight="1">
      <c r="A568" s="7"/>
      <c r="B568" s="7" t="str">
        <f>IFERROR(__xludf.DUMMYFUNCTION("""COMPUTED_VALUE"""),"Bash/Shell/PowerShell;HTML/CSS;JavaScript;PHP;Python;Ruby")</f>
        <v>Bash/Shell/PowerShell;HTML/CSS;JavaScript;PHP;Python;Ruby</v>
      </c>
      <c r="C568" s="9" t="str">
        <f>IFERROR(__xludf.DUMMYFUNCTION("""COMPUTED_VALUE"""),"Python")</f>
        <v>Python</v>
      </c>
      <c r="D568" s="9" t="str">
        <f>IFERROR(__xludf.DUMMYFUNCTION("""COMPUTED_VALUE"""),"Java")</f>
        <v>Java</v>
      </c>
      <c r="E568" s="9" t="str">
        <f>IFERROR(__xludf.DUMMYFUNCTION("""COMPUTED_VALUE"""),"TypeScript")</f>
        <v>TypeScript</v>
      </c>
      <c r="F568" s="9" t="str">
        <f>IFERROR(__xludf.DUMMYFUNCTION("""COMPUTED_VALUE"""),"TypeScript")</f>
        <v>TypeScript</v>
      </c>
      <c r="G568" s="9" t="str">
        <f>IFERROR(__xludf.DUMMYFUNCTION("""COMPUTED_VALUE"""),"JavaScript")</f>
        <v>JavaScript</v>
      </c>
      <c r="H568" s="9" t="str">
        <f>IFERROR(__xludf.DUMMYFUNCTION("""COMPUTED_VALUE"""),"R")</f>
        <v>R</v>
      </c>
      <c r="I568" s="9" t="str">
        <f>IFERROR(__xludf.DUMMYFUNCTION("""COMPUTED_VALUE"""),"C#")</f>
        <v>C#</v>
      </c>
      <c r="J568" s="9" t="str">
        <f>IFERROR(__xludf.DUMMYFUNCTION("""COMPUTED_VALUE"""),"Java")</f>
        <v>Java</v>
      </c>
      <c r="K568" s="9" t="str">
        <f>IFERROR(__xludf.DUMMYFUNCTION("""COMPUTED_VALUE"""),"C#")</f>
        <v>C#</v>
      </c>
      <c r="L568" s="9" t="str">
        <f>IFERROR(__xludf.DUMMYFUNCTION("""COMPUTED_VALUE"""),"HTML/CSS")</f>
        <v>HTML/CSS</v>
      </c>
      <c r="M568" s="9" t="s">
        <v>22</v>
      </c>
    </row>
    <row r="569" ht="15.75" customHeight="1">
      <c r="A569" s="7"/>
      <c r="B569" s="7" t="str">
        <f>IFERROR(__xludf.DUMMYFUNCTION("""COMPUTED_VALUE"""),"Bash/Shell/PowerShell;Go;Python;SQL")</f>
        <v>Bash/Shell/PowerShell;Go;Python;SQL</v>
      </c>
      <c r="C569" s="9" t="str">
        <f>IFERROR(__xludf.DUMMYFUNCTION("""COMPUTED_VALUE"""),"C#")</f>
        <v>C#</v>
      </c>
      <c r="D569" s="9" t="str">
        <f>IFERROR(__xludf.DUMMYFUNCTION("""COMPUTED_VALUE"""),"JavaScript")</f>
        <v>JavaScript</v>
      </c>
      <c r="E569" s="9" t="str">
        <f>IFERROR(__xludf.DUMMYFUNCTION("""COMPUTED_VALUE"""),"VBA")</f>
        <v>VBA</v>
      </c>
      <c r="F569" s="9" t="str">
        <f>IFERROR(__xludf.DUMMYFUNCTION("""COMPUTED_VALUE"""),"C#")</f>
        <v>C#</v>
      </c>
      <c r="G569" s="9" t="str">
        <f>IFERROR(__xludf.DUMMYFUNCTION("""COMPUTED_VALUE"""),"PHP")</f>
        <v>PHP</v>
      </c>
      <c r="H569" s="9" t="str">
        <f>IFERROR(__xludf.DUMMYFUNCTION("""COMPUTED_VALUE"""),"SQL")</f>
        <v>SQL</v>
      </c>
      <c r="I569" s="9" t="str">
        <f>IFERROR(__xludf.DUMMYFUNCTION("""COMPUTED_VALUE"""),"Java")</f>
        <v>Java</v>
      </c>
      <c r="J569" s="9" t="str">
        <f>IFERROR(__xludf.DUMMYFUNCTION("""COMPUTED_VALUE"""),"JavaScript")</f>
        <v>JavaScript</v>
      </c>
      <c r="K569" s="9" t="str">
        <f>IFERROR(__xludf.DUMMYFUNCTION("""COMPUTED_VALUE"""),"Java")</f>
        <v>Java</v>
      </c>
      <c r="L569" s="9" t="str">
        <f>IFERROR(__xludf.DUMMYFUNCTION("""COMPUTED_VALUE"""),"JavaScript")</f>
        <v>JavaScript</v>
      </c>
      <c r="M569" s="9" t="s">
        <v>26</v>
      </c>
    </row>
    <row r="570" ht="15.75" customHeight="1">
      <c r="A570" s="7"/>
      <c r="B570" s="7" t="str">
        <f>IFERROR(__xludf.DUMMYFUNCTION("""COMPUTED_VALUE"""),"C#;HTML/CSS;JavaScript;Ruby;SQL;TypeScript")</f>
        <v>C#;HTML/CSS;JavaScript;Ruby;SQL;TypeScript</v>
      </c>
      <c r="C570" s="9" t="str">
        <f>IFERROR(__xludf.DUMMYFUNCTION("""COMPUTED_VALUE"""),"HTML/CSS")</f>
        <v>HTML/CSS</v>
      </c>
      <c r="D570" s="9" t="str">
        <f>IFERROR(__xludf.DUMMYFUNCTION("""COMPUTED_VALUE"""),"Kotlin")</f>
        <v>Kotlin</v>
      </c>
      <c r="E570" s="9" t="str">
        <f>IFERROR(__xludf.DUMMYFUNCTION("""COMPUTED_VALUE"""),"C++")</f>
        <v>C++</v>
      </c>
      <c r="F570" s="9" t="str">
        <f>IFERROR(__xludf.DUMMYFUNCTION("""COMPUTED_VALUE"""),"F#")</f>
        <v>F#</v>
      </c>
      <c r="G570" s="9" t="str">
        <f>IFERROR(__xludf.DUMMYFUNCTION("""COMPUTED_VALUE"""),"Go")</f>
        <v>Go</v>
      </c>
      <c r="H570" s="9" t="str">
        <f>IFERROR(__xludf.DUMMYFUNCTION("""COMPUTED_VALUE"""),"C#")</f>
        <v>C#</v>
      </c>
      <c r="I570" s="9" t="str">
        <f>IFERROR(__xludf.DUMMYFUNCTION("""COMPUTED_VALUE"""),"C#")</f>
        <v>C#</v>
      </c>
      <c r="J570" s="9" t="str">
        <f>IFERROR(__xludf.DUMMYFUNCTION("""COMPUTED_VALUE"""),"Python")</f>
        <v>Python</v>
      </c>
      <c r="K570" s="9" t="str">
        <f>IFERROR(__xludf.DUMMYFUNCTION("""COMPUTED_VALUE"""),"SQL")</f>
        <v>SQL</v>
      </c>
      <c r="L570" s="9" t="str">
        <f>IFERROR(__xludf.DUMMYFUNCTION("""COMPUTED_VALUE"""),"PHP")</f>
        <v>PHP</v>
      </c>
      <c r="M570" s="9" t="s">
        <v>24</v>
      </c>
    </row>
    <row r="571" ht="15.75" customHeight="1">
      <c r="A571" s="7"/>
      <c r="B571" s="7" t="str">
        <f>IFERROR(__xludf.DUMMYFUNCTION("""COMPUTED_VALUE"""),"Bash/Shell/PowerShell;Python;Other(s):")</f>
        <v>Bash/Shell/PowerShell;Python;Other(s):</v>
      </c>
      <c r="C571" s="9" t="str">
        <f>IFERROR(__xludf.DUMMYFUNCTION("""COMPUTED_VALUE"""),"JavaScript")</f>
        <v>JavaScript</v>
      </c>
      <c r="D571" s="9" t="str">
        <f>IFERROR(__xludf.DUMMYFUNCTION("""COMPUTED_VALUE"""),"Python")</f>
        <v>Python</v>
      </c>
      <c r="E571" s="9" t="str">
        <f>IFERROR(__xludf.DUMMYFUNCTION("""COMPUTED_VALUE"""),"HTML/CSS")</f>
        <v>HTML/CSS</v>
      </c>
      <c r="F571" s="9" t="str">
        <f>IFERROR(__xludf.DUMMYFUNCTION("""COMPUTED_VALUE"""),"HTML/CSS")</f>
        <v>HTML/CSS</v>
      </c>
      <c r="G571" s="9" t="str">
        <f>IFERROR(__xludf.DUMMYFUNCTION("""COMPUTED_VALUE"""),"HTML/CSS")</f>
        <v>HTML/CSS</v>
      </c>
      <c r="H571" s="9" t="str">
        <f>IFERROR(__xludf.DUMMYFUNCTION("""COMPUTED_VALUE"""),"PHP")</f>
        <v>PHP</v>
      </c>
      <c r="I571" s="9" t="str">
        <f>IFERROR(__xludf.DUMMYFUNCTION("""COMPUTED_VALUE"""),"HTML/CSS")</f>
        <v>HTML/CSS</v>
      </c>
      <c r="J571" s="9" t="str">
        <f>IFERROR(__xludf.DUMMYFUNCTION("""COMPUTED_VALUE"""),"R")</f>
        <v>R</v>
      </c>
      <c r="K571" s="9" t="str">
        <f>IFERROR(__xludf.DUMMYFUNCTION("""COMPUTED_VALUE"""),"JavaScript")</f>
        <v>JavaScript</v>
      </c>
      <c r="L571" s="9" t="str">
        <f>IFERROR(__xludf.DUMMYFUNCTION("""COMPUTED_VALUE"""),"SQL")</f>
        <v>SQL</v>
      </c>
      <c r="M571" s="9" t="s">
        <v>21</v>
      </c>
    </row>
    <row r="572" ht="15.75" customHeight="1">
      <c r="A572" s="7"/>
      <c r="B572" s="7" t="str">
        <f>IFERROR(__xludf.DUMMYFUNCTION("""COMPUTED_VALUE"""),"Bash/Shell/PowerShell;HTML/CSS;Java;JavaScript;SQL;Swift")</f>
        <v>Bash/Shell/PowerShell;HTML/CSS;Java;JavaScript;SQL;Swift</v>
      </c>
      <c r="C572" s="9" t="str">
        <f>IFERROR(__xludf.DUMMYFUNCTION("""COMPUTED_VALUE"""),"SQL")</f>
        <v>SQL</v>
      </c>
      <c r="D572" s="9" t="str">
        <f>IFERROR(__xludf.DUMMYFUNCTION("""COMPUTED_VALUE"""),"R")</f>
        <v>R</v>
      </c>
      <c r="E572" s="9" t="str">
        <f>IFERROR(__xludf.DUMMYFUNCTION("""COMPUTED_VALUE"""),"Java")</f>
        <v>Java</v>
      </c>
      <c r="F572" s="9" t="str">
        <f>IFERROR(__xludf.DUMMYFUNCTION("""COMPUTED_VALUE"""),"JavaScript")</f>
        <v>JavaScript</v>
      </c>
      <c r="G572" s="9" t="str">
        <f>IFERROR(__xludf.DUMMYFUNCTION("""COMPUTED_VALUE"""),"JavaScript")</f>
        <v>JavaScript</v>
      </c>
      <c r="H572" s="9" t="str">
        <f>IFERROR(__xludf.DUMMYFUNCTION("""COMPUTED_VALUE"""),"C#")</f>
        <v>C#</v>
      </c>
      <c r="I572" s="9" t="str">
        <f>IFERROR(__xludf.DUMMYFUNCTION("""COMPUTED_VALUE"""),"JavaScript")</f>
        <v>JavaScript</v>
      </c>
      <c r="J572" s="9" t="str">
        <f>IFERROR(__xludf.DUMMYFUNCTION("""COMPUTED_VALUE"""),"SQL")</f>
        <v>SQL</v>
      </c>
      <c r="K572" s="9" t="str">
        <f>IFERROR(__xludf.DUMMYFUNCTION("""COMPUTED_VALUE"""),"PHP")</f>
        <v>PHP</v>
      </c>
      <c r="L572" s="9" t="str">
        <f>IFERROR(__xludf.DUMMYFUNCTION("""COMPUTED_VALUE"""),"HTML/CSS")</f>
        <v>HTML/CSS</v>
      </c>
      <c r="M572" s="9" t="s">
        <v>27</v>
      </c>
    </row>
    <row r="573" ht="15.75" customHeight="1">
      <c r="A573" s="7"/>
      <c r="B573" s="7" t="str">
        <f>IFERROR(__xludf.DUMMYFUNCTION("""COMPUTED_VALUE"""),"Bash/Shell/PowerShell;C++;C#;HTML/CSS;Java;JavaScript;Python")</f>
        <v>Bash/Shell/PowerShell;C++;C#;HTML/CSS;Java;JavaScript;Python</v>
      </c>
      <c r="C573" s="9" t="str">
        <f>IFERROR(__xludf.DUMMYFUNCTION("""COMPUTED_VALUE"""),"Python")</f>
        <v>Python</v>
      </c>
      <c r="D573" s="9" t="str">
        <f>IFERROR(__xludf.DUMMYFUNCTION("""COMPUTED_VALUE"""),"TypeScript")</f>
        <v>TypeScript</v>
      </c>
      <c r="E573" s="9" t="str">
        <f>IFERROR(__xludf.DUMMYFUNCTION("""COMPUTED_VALUE"""),"PHP")</f>
        <v>PHP</v>
      </c>
      <c r="F573" s="9" t="str">
        <f>IFERROR(__xludf.DUMMYFUNCTION("""COMPUTED_VALUE"""),"C")</f>
        <v>C</v>
      </c>
      <c r="G573" s="9" t="str">
        <f>IFERROR(__xludf.DUMMYFUNCTION("""COMPUTED_VALUE"""),"Ruby")</f>
        <v>Ruby</v>
      </c>
      <c r="H573" s="9" t="str">
        <f>IFERROR(__xludf.DUMMYFUNCTION("""COMPUTED_VALUE"""),"HTML/CSS")</f>
        <v>HTML/CSS</v>
      </c>
      <c r="I573" s="9" t="str">
        <f>IFERROR(__xludf.DUMMYFUNCTION("""COMPUTED_VALUE"""),"Bash/Shell/PowerShell")</f>
        <v>Bash/Shell/PowerShell</v>
      </c>
      <c r="J573" s="9" t="str">
        <f>IFERROR(__xludf.DUMMYFUNCTION("""COMPUTED_VALUE"""),"VBA")</f>
        <v>VBA</v>
      </c>
      <c r="K573" s="9" t="str">
        <f>IFERROR(__xludf.DUMMYFUNCTION("""COMPUTED_VALUE"""),"TypeScript")</f>
        <v>TypeScript</v>
      </c>
      <c r="L573" s="9" t="str">
        <f>IFERROR(__xludf.DUMMYFUNCTION("""COMPUTED_VALUE"""),"JavaScript")</f>
        <v>JavaScript</v>
      </c>
      <c r="M573" s="9" t="s">
        <v>22</v>
      </c>
    </row>
    <row r="574" ht="15.75" customHeight="1">
      <c r="A574" s="7"/>
      <c r="B574" s="7" t="str">
        <f>IFERROR(__xludf.DUMMYFUNCTION("""COMPUTED_VALUE"""),"Bash/Shell/PowerShell;HTML/CSS;Java;JavaScript;Python;Scala;SQL")</f>
        <v>Bash/Shell/PowerShell;HTML/CSS;Java;JavaScript;Python;Scala;SQL</v>
      </c>
      <c r="C574" s="9" t="str">
        <f>IFERROR(__xludf.DUMMYFUNCTION("""COMPUTED_VALUE"""),"SQL")</f>
        <v>SQL</v>
      </c>
      <c r="D574" s="9" t="str">
        <f>IFERROR(__xludf.DUMMYFUNCTION("""COMPUTED_VALUE"""),"Assembly")</f>
        <v>Assembly</v>
      </c>
      <c r="E574" s="9" t="str">
        <f>IFERROR(__xludf.DUMMYFUNCTION("""COMPUTED_VALUE"""),"Python")</f>
        <v>Python</v>
      </c>
      <c r="F574" s="9" t="str">
        <f>IFERROR(__xludf.DUMMYFUNCTION("""COMPUTED_VALUE"""),"C++")</f>
        <v>C++</v>
      </c>
      <c r="G574" s="9" t="str">
        <f>IFERROR(__xludf.DUMMYFUNCTION("""COMPUTED_VALUE"""),"SQL")</f>
        <v>SQL</v>
      </c>
      <c r="H574" s="9" t="str">
        <f>IFERROR(__xludf.DUMMYFUNCTION("""COMPUTED_VALUE"""),"JavaScript")</f>
        <v>JavaScript</v>
      </c>
      <c r="I574" s="9" t="str">
        <f>IFERROR(__xludf.DUMMYFUNCTION("""COMPUTED_VALUE"""),"Go")</f>
        <v>Go</v>
      </c>
      <c r="J574" s="9" t="str">
        <f>IFERROR(__xludf.DUMMYFUNCTION("""COMPUTED_VALUE"""),"Assembly")</f>
        <v>Assembly</v>
      </c>
      <c r="K574" s="9" t="str">
        <f>IFERROR(__xludf.DUMMYFUNCTION("""COMPUTED_VALUE"""),"C")</f>
        <v>C</v>
      </c>
      <c r="L574" s="9" t="str">
        <f>IFERROR(__xludf.DUMMYFUNCTION("""COMPUTED_VALUE"""),"Python")</f>
        <v>Python</v>
      </c>
      <c r="M574" s="9" t="s">
        <v>27</v>
      </c>
    </row>
    <row r="575" ht="15.75" customHeight="1">
      <c r="A575" s="7"/>
      <c r="B575" s="7" t="str">
        <f>IFERROR(__xludf.DUMMYFUNCTION("""COMPUTED_VALUE"""),"Bash/Shell/PowerShell;HTML/CSS;JavaScript;PHP;TypeScript")</f>
        <v>Bash/Shell/PowerShell;HTML/CSS;JavaScript;PHP;TypeScript</v>
      </c>
      <c r="C575" s="9" t="str">
        <f>IFERROR(__xludf.DUMMYFUNCTION("""COMPUTED_VALUE"""),"Bash/Shell/PowerShell")</f>
        <v>Bash/Shell/PowerShell</v>
      </c>
      <c r="D575" s="9" t="str">
        <f>IFERROR(__xludf.DUMMYFUNCTION("""COMPUTED_VALUE"""),"Bash/Shell/PowerShell")</f>
        <v>Bash/Shell/PowerShell</v>
      </c>
      <c r="E575" s="9" t="str">
        <f>IFERROR(__xludf.DUMMYFUNCTION("""COMPUTED_VALUE"""),"SQL")</f>
        <v>SQL</v>
      </c>
      <c r="F575" s="9" t="str">
        <f>IFERROR(__xludf.DUMMYFUNCTION("""COMPUTED_VALUE"""),"HTML/CSS")</f>
        <v>HTML/CSS</v>
      </c>
      <c r="G575" s="9" t="str">
        <f>IFERROR(__xludf.DUMMYFUNCTION("""COMPUTED_VALUE"""),"Java")</f>
        <v>Java</v>
      </c>
      <c r="H575" s="9" t="str">
        <f>IFERROR(__xludf.DUMMYFUNCTION("""COMPUTED_VALUE"""),"PHP")</f>
        <v>PHP</v>
      </c>
      <c r="I575" s="9" t="str">
        <f>IFERROR(__xludf.DUMMYFUNCTION("""COMPUTED_VALUE"""),"HTML/CSS")</f>
        <v>HTML/CSS</v>
      </c>
      <c r="J575" s="9" t="str">
        <f>IFERROR(__xludf.DUMMYFUNCTION("""COMPUTED_VALUE"""),"C")</f>
        <v>C</v>
      </c>
      <c r="K575" s="9" t="str">
        <f>IFERROR(__xludf.DUMMYFUNCTION("""COMPUTED_VALUE"""),"C++")</f>
        <v>C++</v>
      </c>
      <c r="L575" s="9" t="str">
        <f>IFERROR(__xludf.DUMMYFUNCTION("""COMPUTED_VALUE"""),"C")</f>
        <v>C</v>
      </c>
      <c r="M575" s="9" t="s">
        <v>30</v>
      </c>
    </row>
    <row r="576" ht="15.75" customHeight="1">
      <c r="A576" s="7"/>
      <c r="B576" s="7" t="str">
        <f>IFERROR(__xludf.DUMMYFUNCTION("""COMPUTED_VALUE"""),"C;C++;C#;HTML/CSS;Java;JavaScript;PHP;Python;SQL")</f>
        <v>C;C++;C#;HTML/CSS;Java;JavaScript;PHP;Python;SQL</v>
      </c>
      <c r="C576" s="9" t="str">
        <f>IFERROR(__xludf.DUMMYFUNCTION("""COMPUTED_VALUE"""),"C#")</f>
        <v>C#</v>
      </c>
      <c r="D576" s="9" t="str">
        <f>IFERROR(__xludf.DUMMYFUNCTION("""COMPUTED_VALUE"""),"C")</f>
        <v>C</v>
      </c>
      <c r="E576" s="9" t="str">
        <f>IFERROR(__xludf.DUMMYFUNCTION("""COMPUTED_VALUE"""),"VBA")</f>
        <v>VBA</v>
      </c>
      <c r="F576" s="9" t="str">
        <f>IFERROR(__xludf.DUMMYFUNCTION("""COMPUTED_VALUE"""),"Java")</f>
        <v>Java</v>
      </c>
      <c r="G576" s="9" t="str">
        <f>IFERROR(__xludf.DUMMYFUNCTION("""COMPUTED_VALUE"""),"JavaScript")</f>
        <v>JavaScript</v>
      </c>
      <c r="H576" s="9" t="str">
        <f>IFERROR(__xludf.DUMMYFUNCTION("""COMPUTED_VALUE"""),"SQL")</f>
        <v>SQL</v>
      </c>
      <c r="I576" s="9" t="str">
        <f>IFERROR(__xludf.DUMMYFUNCTION("""COMPUTED_VALUE"""),"Java")</f>
        <v>Java</v>
      </c>
      <c r="J576" s="9" t="str">
        <f>IFERROR(__xludf.DUMMYFUNCTION("""COMPUTED_VALUE"""),"C++")</f>
        <v>C++</v>
      </c>
      <c r="K576" s="9" t="str">
        <f>IFERROR(__xludf.DUMMYFUNCTION("""COMPUTED_VALUE"""),"HTML/CSS")</f>
        <v>HTML/CSS</v>
      </c>
      <c r="L576" s="9" t="str">
        <f>IFERROR(__xludf.DUMMYFUNCTION("""COMPUTED_VALUE"""),"C++")</f>
        <v>C++</v>
      </c>
      <c r="M576" s="9" t="s">
        <v>26</v>
      </c>
    </row>
    <row r="577" ht="15.75" customHeight="1">
      <c r="A577" s="7"/>
      <c r="B577" s="7" t="str">
        <f>IFERROR(__xludf.DUMMYFUNCTION("""COMPUTED_VALUE"""),"Java;Ruby;Scala;SQL;Other(s):")</f>
        <v>Java;Ruby;Scala;SQL;Other(s):</v>
      </c>
      <c r="C577" s="9" t="str">
        <f>IFERROR(__xludf.DUMMYFUNCTION("""COMPUTED_VALUE"""),"HTML/CSS")</f>
        <v>HTML/CSS</v>
      </c>
      <c r="D577" s="9" t="str">
        <f>IFERROR(__xludf.DUMMYFUNCTION("""COMPUTED_VALUE"""),"Objective-C")</f>
        <v>Objective-C</v>
      </c>
      <c r="E577" s="9" t="str">
        <f>IFERROR(__xludf.DUMMYFUNCTION("""COMPUTED_VALUE"""),"C#")</f>
        <v>C#</v>
      </c>
      <c r="F577" s="9" t="str">
        <f>IFERROR(__xludf.DUMMYFUNCTION("""COMPUTED_VALUE"""),"JavaScript")</f>
        <v>JavaScript</v>
      </c>
      <c r="G577" s="9" t="str">
        <f>IFERROR(__xludf.DUMMYFUNCTION("""COMPUTED_VALUE"""),"Python")</f>
        <v>Python</v>
      </c>
      <c r="H577" s="9" t="str">
        <f>IFERROR(__xludf.DUMMYFUNCTION("""COMPUTED_VALUE"""),"VBA")</f>
        <v>VBA</v>
      </c>
      <c r="I577" s="9" t="str">
        <f>IFERROR(__xludf.DUMMYFUNCTION("""COMPUTED_VALUE"""),"JavaScript")</f>
        <v>JavaScript</v>
      </c>
      <c r="J577" s="9" t="str">
        <f>IFERROR(__xludf.DUMMYFUNCTION("""COMPUTED_VALUE"""),"Go")</f>
        <v>Go</v>
      </c>
      <c r="K577" s="9" t="str">
        <f>IFERROR(__xludf.DUMMYFUNCTION("""COMPUTED_VALUE"""),"Java")</f>
        <v>Java</v>
      </c>
      <c r="L577" s="9" t="str">
        <f>IFERROR(__xludf.DUMMYFUNCTION("""COMPUTED_VALUE"""),"Java")</f>
        <v>Java</v>
      </c>
      <c r="M577" s="9" t="s">
        <v>24</v>
      </c>
    </row>
    <row r="578" ht="15.75" customHeight="1">
      <c r="A578" s="7"/>
      <c r="B578" s="7" t="str">
        <f>IFERROR(__xludf.DUMMYFUNCTION("""COMPUTED_VALUE"""),"Java;Python")</f>
        <v>Java;Python</v>
      </c>
      <c r="C578" s="9" t="str">
        <f>IFERROR(__xludf.DUMMYFUNCTION("""COMPUTED_VALUE"""),"JavaScript")</f>
        <v>JavaScript</v>
      </c>
      <c r="D578" s="9" t="str">
        <f>IFERROR(__xludf.DUMMYFUNCTION("""COMPUTED_VALUE"""),"Python")</f>
        <v>Python</v>
      </c>
      <c r="E578" s="9" t="str">
        <f>IFERROR(__xludf.DUMMYFUNCTION("""COMPUTED_VALUE"""),"HTML/CSS")</f>
        <v>HTML/CSS</v>
      </c>
      <c r="F578" s="9" t="str">
        <f>IFERROR(__xludf.DUMMYFUNCTION("""COMPUTED_VALUE"""),"SQL")</f>
        <v>SQL</v>
      </c>
      <c r="G578" s="9" t="str">
        <f>IFERROR(__xludf.DUMMYFUNCTION("""COMPUTED_VALUE"""),"C")</f>
        <v>C</v>
      </c>
      <c r="H578" s="9" t="str">
        <f>IFERROR(__xludf.DUMMYFUNCTION("""COMPUTED_VALUE"""),"Bash/Shell/PowerShell")</f>
        <v>Bash/Shell/PowerShell</v>
      </c>
      <c r="I578" s="9" t="str">
        <f>IFERROR(__xludf.DUMMYFUNCTION("""COMPUTED_VALUE"""),"PHP")</f>
        <v>PHP</v>
      </c>
      <c r="J578" s="9" t="str">
        <f>IFERROR(__xludf.DUMMYFUNCTION("""COMPUTED_VALUE"""),"HTML/CSS")</f>
        <v>HTML/CSS</v>
      </c>
      <c r="K578" s="9" t="str">
        <f>IFERROR(__xludf.DUMMYFUNCTION("""COMPUTED_VALUE"""),"JavaScript")</f>
        <v>JavaScript</v>
      </c>
      <c r="L578" s="9" t="str">
        <f>IFERROR(__xludf.DUMMYFUNCTION("""COMPUTED_VALUE"""),"Python")</f>
        <v>Python</v>
      </c>
      <c r="M578" s="9" t="s">
        <v>21</v>
      </c>
    </row>
    <row r="579" ht="15.75" customHeight="1">
      <c r="A579" s="7"/>
      <c r="B579" s="7" t="str">
        <f>IFERROR(__xludf.DUMMYFUNCTION("""COMPUTED_VALUE"""),"C#;Java;Python;R;VBA")</f>
        <v>C#;Java;Python;R;VBA</v>
      </c>
      <c r="C579" s="9" t="str">
        <f>IFERROR(__xludf.DUMMYFUNCTION("""COMPUTED_VALUE"""),"Python")</f>
        <v>Python</v>
      </c>
      <c r="D579" s="9" t="str">
        <f>IFERROR(__xludf.DUMMYFUNCTION("""COMPUTED_VALUE"""),"Ruby")</f>
        <v>Ruby</v>
      </c>
      <c r="E579" s="9" t="str">
        <f>IFERROR(__xludf.DUMMYFUNCTION("""COMPUTED_VALUE"""),"JavaScript")</f>
        <v>JavaScript</v>
      </c>
      <c r="F579" s="9" t="str">
        <f>IFERROR(__xludf.DUMMYFUNCTION("""COMPUTED_VALUE"""),"C++")</f>
        <v>C++</v>
      </c>
      <c r="G579" s="9" t="str">
        <f>IFERROR(__xludf.DUMMYFUNCTION("""COMPUTED_VALUE"""),"HTML/CSS")</f>
        <v>HTML/CSS</v>
      </c>
      <c r="H579" s="9" t="str">
        <f>IFERROR(__xludf.DUMMYFUNCTION("""COMPUTED_VALUE"""),"HTML/CSS")</f>
        <v>HTML/CSS</v>
      </c>
      <c r="I579" s="9" t="str">
        <f>IFERROR(__xludf.DUMMYFUNCTION("""COMPUTED_VALUE"""),"TypeScript")</f>
        <v>TypeScript</v>
      </c>
      <c r="J579" s="9" t="str">
        <f>IFERROR(__xludf.DUMMYFUNCTION("""COMPUTED_VALUE"""),"Java")</f>
        <v>Java</v>
      </c>
      <c r="K579" s="9" t="str">
        <f>IFERROR(__xludf.DUMMYFUNCTION("""COMPUTED_VALUE"""),"PHP")</f>
        <v>PHP</v>
      </c>
      <c r="L579" s="9" t="str">
        <f>IFERROR(__xludf.DUMMYFUNCTION("""COMPUTED_VALUE"""),"Bash/Shell/PowerShell")</f>
        <v>Bash/Shell/PowerShell</v>
      </c>
      <c r="M579" s="9" t="s">
        <v>22</v>
      </c>
    </row>
    <row r="580" ht="15.75" customHeight="1">
      <c r="A580" s="7"/>
      <c r="B580" s="7" t="str">
        <f>IFERROR(__xludf.DUMMYFUNCTION("""COMPUTED_VALUE"""),"Java;Python;Ruby")</f>
        <v>Java;Python;Ruby</v>
      </c>
      <c r="C580" s="9" t="str">
        <f>IFERROR(__xludf.DUMMYFUNCTION("""COMPUTED_VALUE"""),"SQL")</f>
        <v>SQL</v>
      </c>
      <c r="D580" s="9" t="str">
        <f>IFERROR(__xludf.DUMMYFUNCTION("""COMPUTED_VALUE"""),"Swift")</f>
        <v>Swift</v>
      </c>
      <c r="E580" s="9" t="str">
        <f>IFERROR(__xludf.DUMMYFUNCTION("""COMPUTED_VALUE"""),"TypeScript")</f>
        <v>TypeScript</v>
      </c>
      <c r="F580" s="9" t="str">
        <f>IFERROR(__xludf.DUMMYFUNCTION("""COMPUTED_VALUE"""),"C#")</f>
        <v>C#</v>
      </c>
      <c r="G580" s="9" t="str">
        <f>IFERROR(__xludf.DUMMYFUNCTION("""COMPUTED_VALUE"""),"Java")</f>
        <v>Java</v>
      </c>
      <c r="H580" s="9" t="str">
        <f>IFERROR(__xludf.DUMMYFUNCTION("""COMPUTED_VALUE"""),"JavaScript")</f>
        <v>JavaScript</v>
      </c>
      <c r="I580" s="9" t="str">
        <f>IFERROR(__xludf.DUMMYFUNCTION("""COMPUTED_VALUE"""),"Other(s):")</f>
        <v>Other(s):</v>
      </c>
      <c r="J580" s="9" t="str">
        <f>IFERROR(__xludf.DUMMYFUNCTION("""COMPUTED_VALUE"""),"JavaScript")</f>
        <v>JavaScript</v>
      </c>
      <c r="K580" s="9" t="str">
        <f>IFERROR(__xludf.DUMMYFUNCTION("""COMPUTED_VALUE"""),"Python")</f>
        <v>Python</v>
      </c>
      <c r="L580" s="9" t="str">
        <f>IFERROR(__xludf.DUMMYFUNCTION("""COMPUTED_VALUE"""),"Python")</f>
        <v>Python</v>
      </c>
      <c r="M580" s="9" t="s">
        <v>27</v>
      </c>
    </row>
    <row r="581" ht="15.75" customHeight="1">
      <c r="A581" s="7"/>
      <c r="B581" s="7" t="str">
        <f>IFERROR(__xludf.DUMMYFUNCTION("""COMPUTED_VALUE"""),"Bash/Shell/PowerShell;C#;Java;Other(s):")</f>
        <v>Bash/Shell/PowerShell;C#;Java;Other(s):</v>
      </c>
      <c r="C581" s="9" t="str">
        <f>IFERROR(__xludf.DUMMYFUNCTION("""COMPUTED_VALUE"""),"VBA")</f>
        <v>VBA</v>
      </c>
      <c r="D581" s="9" t="str">
        <f>IFERROR(__xludf.DUMMYFUNCTION("""COMPUTED_VALUE"""),"C#")</f>
        <v>C#</v>
      </c>
      <c r="E581" s="9" t="str">
        <f>IFERROR(__xludf.DUMMYFUNCTION("""COMPUTED_VALUE"""),"C#")</f>
        <v>C#</v>
      </c>
      <c r="F581" s="9" t="str">
        <f>IFERROR(__xludf.DUMMYFUNCTION("""COMPUTED_VALUE"""),"SQL")</f>
        <v>SQL</v>
      </c>
      <c r="G581" s="9" t="str">
        <f>IFERROR(__xludf.DUMMYFUNCTION("""COMPUTED_VALUE"""),"JavaScript")</f>
        <v>JavaScript</v>
      </c>
      <c r="H581" s="9" t="str">
        <f>IFERROR(__xludf.DUMMYFUNCTION("""COMPUTED_VALUE"""),"TypeScript")</f>
        <v>TypeScript</v>
      </c>
      <c r="I581" s="9" t="str">
        <f>IFERROR(__xludf.DUMMYFUNCTION("""COMPUTED_VALUE"""),"Assembly")</f>
        <v>Assembly</v>
      </c>
      <c r="J581" s="9" t="str">
        <f>IFERROR(__xludf.DUMMYFUNCTION("""COMPUTED_VALUE"""),"PHP")</f>
        <v>PHP</v>
      </c>
      <c r="K581" s="9" t="str">
        <f>IFERROR(__xludf.DUMMYFUNCTION("""COMPUTED_VALUE"""),"Other(s):")</f>
        <v>Other(s):</v>
      </c>
      <c r="L581" s="9" t="str">
        <f>IFERROR(__xludf.DUMMYFUNCTION("""COMPUTED_VALUE"""),"R")</f>
        <v>R</v>
      </c>
      <c r="M581" s="9" t="s">
        <v>28</v>
      </c>
    </row>
    <row r="582" ht="15.75" customHeight="1">
      <c r="A582" s="7"/>
      <c r="B582" s="7" t="str">
        <f>IFERROR(__xludf.DUMMYFUNCTION("""COMPUTED_VALUE"""),"C#")</f>
        <v>C#</v>
      </c>
      <c r="C582" s="9" t="str">
        <f>IFERROR(__xludf.DUMMYFUNCTION("""COMPUTED_VALUE"""),"Assembly")</f>
        <v>Assembly</v>
      </c>
      <c r="D582" s="9" t="str">
        <f>IFERROR(__xludf.DUMMYFUNCTION("""COMPUTED_VALUE"""),"HTML/CSS")</f>
        <v>HTML/CSS</v>
      </c>
      <c r="E582" s="9" t="str">
        <f>IFERROR(__xludf.DUMMYFUNCTION("""COMPUTED_VALUE"""),"HTML/CSS")</f>
        <v>HTML/CSS</v>
      </c>
      <c r="F582" s="9" t="str">
        <f>IFERROR(__xludf.DUMMYFUNCTION("""COMPUTED_VALUE"""),"Bash/Shell/PowerShell")</f>
        <v>Bash/Shell/PowerShell</v>
      </c>
      <c r="G582" s="9" t="str">
        <f>IFERROR(__xludf.DUMMYFUNCTION("""COMPUTED_VALUE"""),"Python")</f>
        <v>Python</v>
      </c>
      <c r="H582" s="9" t="str">
        <f>IFERROR(__xludf.DUMMYFUNCTION("""COMPUTED_VALUE"""),"Bash/Shell/PowerShell")</f>
        <v>Bash/Shell/PowerShell</v>
      </c>
      <c r="I582" s="9" t="str">
        <f>IFERROR(__xludf.DUMMYFUNCTION("""COMPUTED_VALUE"""),"Java")</f>
        <v>Java</v>
      </c>
      <c r="J582" s="9" t="str">
        <f>IFERROR(__xludf.DUMMYFUNCTION("""COMPUTED_VALUE"""),"Python")</f>
        <v>Python</v>
      </c>
      <c r="K582" s="9" t="str">
        <f>IFERROR(__xludf.DUMMYFUNCTION("""COMPUTED_VALUE"""),"C#")</f>
        <v>C#</v>
      </c>
      <c r="L582" s="9" t="str">
        <f>IFERROR(__xludf.DUMMYFUNCTION("""COMPUTED_VALUE"""),"Other(s):")</f>
        <v>Other(s):</v>
      </c>
      <c r="M582" s="9" t="s">
        <v>38</v>
      </c>
    </row>
    <row r="583" ht="15.75" customHeight="1">
      <c r="A583" s="7"/>
      <c r="B583" s="7" t="str">
        <f>IFERROR(__xludf.DUMMYFUNCTION("""COMPUTED_VALUE"""),"C#;HTML/CSS;JavaScript;SQL;VBA")</f>
        <v>C#;HTML/CSS;JavaScript;SQL;VBA</v>
      </c>
      <c r="C583" s="9" t="str">
        <f>IFERROR(__xludf.DUMMYFUNCTION("""COMPUTED_VALUE"""),"C")</f>
        <v>C</v>
      </c>
      <c r="D583" s="9" t="str">
        <f>IFERROR(__xludf.DUMMYFUNCTION("""COMPUTED_VALUE"""),"JavaScript")</f>
        <v>JavaScript</v>
      </c>
      <c r="E583" s="9" t="str">
        <f>IFERROR(__xludf.DUMMYFUNCTION("""COMPUTED_VALUE"""),"Objective-C")</f>
        <v>Objective-C</v>
      </c>
      <c r="F583" s="9" t="str">
        <f>IFERROR(__xludf.DUMMYFUNCTION("""COMPUTED_VALUE"""),"C")</f>
        <v>C</v>
      </c>
      <c r="G583" s="9" t="str">
        <f>IFERROR(__xludf.DUMMYFUNCTION("""COMPUTED_VALUE"""),"SQL")</f>
        <v>SQL</v>
      </c>
      <c r="H583" s="9" t="str">
        <f>IFERROR(__xludf.DUMMYFUNCTION("""COMPUTED_VALUE"""),"C++")</f>
        <v>C++</v>
      </c>
      <c r="I583" s="9" t="str">
        <f>IFERROR(__xludf.DUMMYFUNCTION("""COMPUTED_VALUE"""),"Kotlin")</f>
        <v>Kotlin</v>
      </c>
      <c r="J583" s="9" t="str">
        <f>IFERROR(__xludf.DUMMYFUNCTION("""COMPUTED_VALUE"""),"Rust")</f>
        <v>Rust</v>
      </c>
      <c r="K583" s="9" t="str">
        <f>IFERROR(__xludf.DUMMYFUNCTION("""COMPUTED_VALUE"""),"HTML/CSS")</f>
        <v>HTML/CSS</v>
      </c>
      <c r="L583" s="9" t="str">
        <f>IFERROR(__xludf.DUMMYFUNCTION("""COMPUTED_VALUE"""),"Assembly")</f>
        <v>Assembly</v>
      </c>
      <c r="M583" s="9" t="s">
        <v>25</v>
      </c>
    </row>
    <row r="584" ht="15.75" customHeight="1">
      <c r="A584" s="7"/>
      <c r="B584" s="7" t="str">
        <f>IFERROR(__xludf.DUMMYFUNCTION("""COMPUTED_VALUE"""),"C#;SQL")</f>
        <v>C#;SQL</v>
      </c>
      <c r="C584" s="9" t="str">
        <f>IFERROR(__xludf.DUMMYFUNCTION("""COMPUTED_VALUE"""),"C++")</f>
        <v>C++</v>
      </c>
      <c r="D584" s="9" t="str">
        <f>IFERROR(__xludf.DUMMYFUNCTION("""COMPUTED_VALUE"""),"Python")</f>
        <v>Python</v>
      </c>
      <c r="E584" s="9" t="str">
        <f>IFERROR(__xludf.DUMMYFUNCTION("""COMPUTED_VALUE"""),"Python")</f>
        <v>Python</v>
      </c>
      <c r="F584" s="9" t="str">
        <f>IFERROR(__xludf.DUMMYFUNCTION("""COMPUTED_VALUE"""),"C++")</f>
        <v>C++</v>
      </c>
      <c r="G584" s="9" t="str">
        <f>IFERROR(__xludf.DUMMYFUNCTION("""COMPUTED_VALUE"""),"C#")</f>
        <v>C#</v>
      </c>
      <c r="H584" s="9" t="str">
        <f>IFERROR(__xludf.DUMMYFUNCTION("""COMPUTED_VALUE"""),"C#")</f>
        <v>C#</v>
      </c>
      <c r="I584" s="9" t="str">
        <f>IFERROR(__xludf.DUMMYFUNCTION("""COMPUTED_VALUE"""),"C#")</f>
        <v>C#</v>
      </c>
      <c r="J584" s="9" t="str">
        <f>IFERROR(__xludf.DUMMYFUNCTION("""COMPUTED_VALUE"""),"HTML/CSS")</f>
        <v>HTML/CSS</v>
      </c>
      <c r="K584" s="9" t="str">
        <f>IFERROR(__xludf.DUMMYFUNCTION("""COMPUTED_VALUE"""),"JavaScript")</f>
        <v>JavaScript</v>
      </c>
      <c r="L584" s="9" t="str">
        <f>IFERROR(__xludf.DUMMYFUNCTION("""COMPUTED_VALUE"""),"Bash/Shell/PowerShell")</f>
        <v>Bash/Shell/PowerShell</v>
      </c>
      <c r="M584" s="9" t="s">
        <v>23</v>
      </c>
    </row>
    <row r="585" ht="15.75" customHeight="1">
      <c r="A585" s="7"/>
      <c r="B585" s="7" t="str">
        <f>IFERROR(__xludf.DUMMYFUNCTION("""COMPUTED_VALUE"""),"C#;JavaScript")</f>
        <v>C#;JavaScript</v>
      </c>
      <c r="C585" s="9" t="str">
        <f>IFERROR(__xludf.DUMMYFUNCTION("""COMPUTED_VALUE"""),"C#")</f>
        <v>C#</v>
      </c>
      <c r="D585" s="9" t="str">
        <f>IFERROR(__xludf.DUMMYFUNCTION("""COMPUTED_VALUE"""),"Rust")</f>
        <v>Rust</v>
      </c>
      <c r="E585" s="9" t="str">
        <f>IFERROR(__xludf.DUMMYFUNCTION("""COMPUTED_VALUE"""),"Java")</f>
        <v>Java</v>
      </c>
      <c r="F585" s="9" t="str">
        <f>IFERROR(__xludf.DUMMYFUNCTION("""COMPUTED_VALUE"""),"HTML/CSS")</f>
        <v>HTML/CSS</v>
      </c>
      <c r="G585" s="9" t="str">
        <f>IFERROR(__xludf.DUMMYFUNCTION("""COMPUTED_VALUE"""),"HTML/CSS")</f>
        <v>HTML/CSS</v>
      </c>
      <c r="H585" s="9" t="str">
        <f>IFERROR(__xludf.DUMMYFUNCTION("""COMPUTED_VALUE"""),"Go")</f>
        <v>Go</v>
      </c>
      <c r="I585" s="9" t="str">
        <f>IFERROR(__xludf.DUMMYFUNCTION("""COMPUTED_VALUE"""),"C++")</f>
        <v>C++</v>
      </c>
      <c r="J585" s="9" t="str">
        <f>IFERROR(__xludf.DUMMYFUNCTION("""COMPUTED_VALUE"""),"JavaScript")</f>
        <v>JavaScript</v>
      </c>
      <c r="K585" s="9" t="str">
        <f>IFERROR(__xludf.DUMMYFUNCTION("""COMPUTED_VALUE"""),"SQL")</f>
        <v>SQL</v>
      </c>
      <c r="L585" s="9" t="str">
        <f>IFERROR(__xludf.DUMMYFUNCTION("""COMPUTED_VALUE"""),"C")</f>
        <v>C</v>
      </c>
      <c r="M585" s="9" t="s">
        <v>26</v>
      </c>
    </row>
    <row r="586" ht="15.75" customHeight="1">
      <c r="A586" s="7"/>
      <c r="B586" s="7" t="str">
        <f>IFERROR(__xludf.DUMMYFUNCTION("""COMPUTED_VALUE"""),"C;C++;HTML/CSS;PHP;Python;SQL")</f>
        <v>C;C++;HTML/CSS;PHP;Python;SQL</v>
      </c>
      <c r="C586" s="9" t="str">
        <f>IFERROR(__xludf.DUMMYFUNCTION("""COMPUTED_VALUE"""),"HTML/CSS")</f>
        <v>HTML/CSS</v>
      </c>
      <c r="D586" s="9" t="str">
        <f>IFERROR(__xludf.DUMMYFUNCTION("""COMPUTED_VALUE"""),"TypeScript")</f>
        <v>TypeScript</v>
      </c>
      <c r="E586" s="9" t="str">
        <f>IFERROR(__xludf.DUMMYFUNCTION("""COMPUTED_VALUE"""),"SQL")</f>
        <v>SQL</v>
      </c>
      <c r="F586" s="9" t="str">
        <f>IFERROR(__xludf.DUMMYFUNCTION("""COMPUTED_VALUE"""),"Java")</f>
        <v>Java</v>
      </c>
      <c r="G586" s="9" t="str">
        <f>IFERROR(__xludf.DUMMYFUNCTION("""COMPUTED_VALUE"""),"JavaScript")</f>
        <v>JavaScript</v>
      </c>
      <c r="H586" s="9" t="str">
        <f>IFERROR(__xludf.DUMMYFUNCTION("""COMPUTED_VALUE"""),"HTML/CSS")</f>
        <v>HTML/CSS</v>
      </c>
      <c r="I586" s="9" t="str">
        <f>IFERROR(__xludf.DUMMYFUNCTION("""COMPUTED_VALUE"""),"C#")</f>
        <v>C#</v>
      </c>
      <c r="J586" s="9" t="str">
        <f>IFERROR(__xludf.DUMMYFUNCTION("""COMPUTED_VALUE"""),"PHP")</f>
        <v>PHP</v>
      </c>
      <c r="K586" s="9" t="str">
        <f>IFERROR(__xludf.DUMMYFUNCTION("""COMPUTED_VALUE"""),"Bash/Shell/PowerShell")</f>
        <v>Bash/Shell/PowerShell</v>
      </c>
      <c r="L586" s="9" t="str">
        <f>IFERROR(__xludf.DUMMYFUNCTION("""COMPUTED_VALUE"""),"C++")</f>
        <v>C++</v>
      </c>
      <c r="M586" s="9" t="s">
        <v>24</v>
      </c>
    </row>
    <row r="587" ht="15.75" customHeight="1">
      <c r="A587" s="7"/>
      <c r="B587" s="7" t="str">
        <f>IFERROR(__xludf.DUMMYFUNCTION("""COMPUTED_VALUE"""),"HTML/CSS;Java;JavaScript;Kotlin;PHP")</f>
        <v>HTML/CSS;Java;JavaScript;Kotlin;PHP</v>
      </c>
      <c r="C587" s="9" t="str">
        <f>IFERROR(__xludf.DUMMYFUNCTION("""COMPUTED_VALUE"""),"Java")</f>
        <v>Java</v>
      </c>
      <c r="D587" s="9" t="str">
        <f>IFERROR(__xludf.DUMMYFUNCTION("""COMPUTED_VALUE"""),"C++")</f>
        <v>C++</v>
      </c>
      <c r="E587" s="9" t="str">
        <f>IFERROR(__xludf.DUMMYFUNCTION("""COMPUTED_VALUE"""),"Bash/Shell/PowerShell")</f>
        <v>Bash/Shell/PowerShell</v>
      </c>
      <c r="F587" s="9" t="str">
        <f>IFERROR(__xludf.DUMMYFUNCTION("""COMPUTED_VALUE"""),"Java")</f>
        <v>Java</v>
      </c>
      <c r="G587" s="9" t="str">
        <f>IFERROR(__xludf.DUMMYFUNCTION("""COMPUTED_VALUE"""),"Other(s):")</f>
        <v>Other(s):</v>
      </c>
      <c r="H587" s="9" t="str">
        <f>IFERROR(__xludf.DUMMYFUNCTION("""COMPUTED_VALUE"""),"JavaScript")</f>
        <v>JavaScript</v>
      </c>
      <c r="I587" s="9" t="str">
        <f>IFERROR(__xludf.DUMMYFUNCTION("""COMPUTED_VALUE"""),"HTML/CSS")</f>
        <v>HTML/CSS</v>
      </c>
      <c r="J587" s="9" t="str">
        <f>IFERROR(__xludf.DUMMYFUNCTION("""COMPUTED_VALUE"""),"C")</f>
        <v>C</v>
      </c>
      <c r="K587" s="9" t="str">
        <f>IFERROR(__xludf.DUMMYFUNCTION("""COMPUTED_VALUE"""),"C")</f>
        <v>C</v>
      </c>
      <c r="L587" s="9" t="str">
        <f>IFERROR(__xludf.DUMMYFUNCTION("""COMPUTED_VALUE"""),"HTML/CSS")</f>
        <v>HTML/CSS</v>
      </c>
      <c r="M587" s="9" t="s">
        <v>20</v>
      </c>
    </row>
    <row r="588" ht="15.75" customHeight="1">
      <c r="A588" s="7"/>
      <c r="B588" s="7" t="str">
        <f>IFERROR(__xludf.DUMMYFUNCTION("""COMPUTED_VALUE"""),"C#;HTML/CSS;JavaScript;SQL;TypeScript")</f>
        <v>C#;HTML/CSS;JavaScript;SQL;TypeScript</v>
      </c>
      <c r="C588" s="9" t="str">
        <f>IFERROR(__xludf.DUMMYFUNCTION("""COMPUTED_VALUE"""),"JavaScript")</f>
        <v>JavaScript</v>
      </c>
      <c r="D588" s="9" t="str">
        <f>IFERROR(__xludf.DUMMYFUNCTION("""COMPUTED_VALUE"""),"C#")</f>
        <v>C#</v>
      </c>
      <c r="E588" s="9" t="str">
        <f>IFERROR(__xludf.DUMMYFUNCTION("""COMPUTED_VALUE"""),"HTML/CSS")</f>
        <v>HTML/CSS</v>
      </c>
      <c r="F588" s="9" t="str">
        <f>IFERROR(__xludf.DUMMYFUNCTION("""COMPUTED_VALUE"""),"Python")</f>
        <v>Python</v>
      </c>
      <c r="G588" s="9" t="str">
        <f>IFERROR(__xludf.DUMMYFUNCTION("""COMPUTED_VALUE"""),"F#")</f>
        <v>F#</v>
      </c>
      <c r="H588" s="9" t="str">
        <f>IFERROR(__xludf.DUMMYFUNCTION("""COMPUTED_VALUE"""),"Python")</f>
        <v>Python</v>
      </c>
      <c r="I588" s="9" t="str">
        <f>IFERROR(__xludf.DUMMYFUNCTION("""COMPUTED_VALUE"""),"JavaScript")</f>
        <v>JavaScript</v>
      </c>
      <c r="J588" s="9" t="str">
        <f>IFERROR(__xludf.DUMMYFUNCTION("""COMPUTED_VALUE"""),"C++")</f>
        <v>C++</v>
      </c>
      <c r="K588" s="9" t="str">
        <f>IFERROR(__xludf.DUMMYFUNCTION("""COMPUTED_VALUE"""),"C++")</f>
        <v>C++</v>
      </c>
      <c r="L588" s="9" t="str">
        <f>IFERROR(__xludf.DUMMYFUNCTION("""COMPUTED_VALUE"""),"JavaScript")</f>
        <v>JavaScript</v>
      </c>
      <c r="M588" s="9" t="s">
        <v>21</v>
      </c>
    </row>
    <row r="589" ht="15.75" customHeight="1">
      <c r="A589" s="7"/>
      <c r="B589" s="7" t="str">
        <f>IFERROR(__xludf.DUMMYFUNCTION("""COMPUTED_VALUE"""),"Bash/Shell/PowerShell;C;C++;HTML/CSS;Java;JavaScript;Python;SQL;TypeScript")</f>
        <v>Bash/Shell/PowerShell;C;C++;HTML/CSS;Java;JavaScript;Python;SQL;TypeScript</v>
      </c>
      <c r="C589" s="9" t="str">
        <f>IFERROR(__xludf.DUMMYFUNCTION("""COMPUTED_VALUE"""),"Python")</f>
        <v>Python</v>
      </c>
      <c r="D589" s="9" t="str">
        <f>IFERROR(__xludf.DUMMYFUNCTION("""COMPUTED_VALUE"""),"JavaScript")</f>
        <v>JavaScript</v>
      </c>
      <c r="E589" s="9" t="str">
        <f>IFERROR(__xludf.DUMMYFUNCTION("""COMPUTED_VALUE"""),"JavaScript")</f>
        <v>JavaScript</v>
      </c>
      <c r="F589" s="9" t="str">
        <f>IFERROR(__xludf.DUMMYFUNCTION("""COMPUTED_VALUE"""),"C")</f>
        <v>C</v>
      </c>
      <c r="G589" s="9" t="str">
        <f>IFERROR(__xludf.DUMMYFUNCTION("""COMPUTED_VALUE"""),"Python")</f>
        <v>Python</v>
      </c>
      <c r="H589" s="9" t="str">
        <f>IFERROR(__xludf.DUMMYFUNCTION("""COMPUTED_VALUE"""),"SQL")</f>
        <v>SQL</v>
      </c>
      <c r="I589" s="9" t="str">
        <f>IFERROR(__xludf.DUMMYFUNCTION("""COMPUTED_VALUE"""),"SQL")</f>
        <v>SQL</v>
      </c>
      <c r="J589" s="9" t="str">
        <f>IFERROR(__xludf.DUMMYFUNCTION("""COMPUTED_VALUE"""),"C#")</f>
        <v>C#</v>
      </c>
      <c r="K589" s="9" t="str">
        <f>IFERROR(__xludf.DUMMYFUNCTION("""COMPUTED_VALUE"""),"HTML/CSS")</f>
        <v>HTML/CSS</v>
      </c>
      <c r="L589" s="9" t="str">
        <f>IFERROR(__xludf.DUMMYFUNCTION("""COMPUTED_VALUE"""),"Python")</f>
        <v>Python</v>
      </c>
      <c r="M589" s="9" t="s">
        <v>22</v>
      </c>
    </row>
    <row r="590" ht="15.75" customHeight="1">
      <c r="A590" s="7"/>
      <c r="B590" s="7" t="str">
        <f>IFERROR(__xludf.DUMMYFUNCTION("""COMPUTED_VALUE"""),"Java;JavaScript;PHP;Python;SQL")</f>
        <v>Java;JavaScript;PHP;Python;SQL</v>
      </c>
      <c r="C590" s="9" t="str">
        <f>IFERROR(__xludf.DUMMYFUNCTION("""COMPUTED_VALUE"""),"VBA")</f>
        <v>VBA</v>
      </c>
      <c r="D590" s="9" t="str">
        <f>IFERROR(__xludf.DUMMYFUNCTION("""COMPUTED_VALUE"""),"PHP")</f>
        <v>PHP</v>
      </c>
      <c r="E590" s="9" t="str">
        <f>IFERROR(__xludf.DUMMYFUNCTION("""COMPUTED_VALUE"""),"PHP")</f>
        <v>PHP</v>
      </c>
      <c r="F590" s="9" t="str">
        <f>IFERROR(__xludf.DUMMYFUNCTION("""COMPUTED_VALUE"""),"C++")</f>
        <v>C++</v>
      </c>
      <c r="G590" s="9" t="str">
        <f>IFERROR(__xludf.DUMMYFUNCTION("""COMPUTED_VALUE"""),"R")</f>
        <v>R</v>
      </c>
      <c r="H590" s="9" t="str">
        <f>IFERROR(__xludf.DUMMYFUNCTION("""COMPUTED_VALUE"""),"TypeScript")</f>
        <v>TypeScript</v>
      </c>
      <c r="I590" s="9" t="str">
        <f>IFERROR(__xludf.DUMMYFUNCTION("""COMPUTED_VALUE"""),"Bash/Shell/PowerShell")</f>
        <v>Bash/Shell/PowerShell</v>
      </c>
      <c r="J590" s="9" t="str">
        <f>IFERROR(__xludf.DUMMYFUNCTION("""COMPUTED_VALUE"""),"PHP")</f>
        <v>PHP</v>
      </c>
      <c r="K590" s="9" t="str">
        <f>IFERROR(__xludf.DUMMYFUNCTION("""COMPUTED_VALUE"""),"JavaScript")</f>
        <v>JavaScript</v>
      </c>
      <c r="L590" s="9" t="str">
        <f>IFERROR(__xludf.DUMMYFUNCTION("""COMPUTED_VALUE"""),"SQL")</f>
        <v>SQL</v>
      </c>
      <c r="M590" s="9" t="s">
        <v>28</v>
      </c>
    </row>
    <row r="591" ht="15.75" customHeight="1">
      <c r="A591" s="7"/>
      <c r="B591" s="7" t="str">
        <f>IFERROR(__xludf.DUMMYFUNCTION("""COMPUTED_VALUE"""),"Assembly;Bash/Shell/PowerShell;C;C++;C#;HTML/CSS;JavaScript;PHP;Python;SQL")</f>
        <v>Assembly;Bash/Shell/PowerShell;C;C++;C#;HTML/CSS;JavaScript;PHP;Python;SQL</v>
      </c>
      <c r="C591" s="9" t="str">
        <f>IFERROR(__xludf.DUMMYFUNCTION("""COMPUTED_VALUE"""),"Bash/Shell/PowerShell")</f>
        <v>Bash/Shell/PowerShell</v>
      </c>
      <c r="D591" s="9" t="str">
        <f>IFERROR(__xludf.DUMMYFUNCTION("""COMPUTED_VALUE"""),"Python")</f>
        <v>Python</v>
      </c>
      <c r="E591" s="9" t="str">
        <f>IFERROR(__xludf.DUMMYFUNCTION("""COMPUTED_VALUE"""),"Python")</f>
        <v>Python</v>
      </c>
      <c r="F591" s="9" t="str">
        <f>IFERROR(__xludf.DUMMYFUNCTION("""COMPUTED_VALUE"""),"HTML/CSS")</f>
        <v>HTML/CSS</v>
      </c>
      <c r="G591" s="9" t="str">
        <f>IFERROR(__xludf.DUMMYFUNCTION("""COMPUTED_VALUE"""),"Other(s):")</f>
        <v>Other(s):</v>
      </c>
      <c r="H591" s="9" t="str">
        <f>IFERROR(__xludf.DUMMYFUNCTION("""COMPUTED_VALUE"""),"HTML/CSS")</f>
        <v>HTML/CSS</v>
      </c>
      <c r="I591" s="9" t="str">
        <f>IFERROR(__xludf.DUMMYFUNCTION("""COMPUTED_VALUE"""),"Python")</f>
        <v>Python</v>
      </c>
      <c r="J591" s="9" t="str">
        <f>IFERROR(__xludf.DUMMYFUNCTION("""COMPUTED_VALUE"""),"SQL")</f>
        <v>SQL</v>
      </c>
      <c r="K591" s="9" t="str">
        <f>IFERROR(__xludf.DUMMYFUNCTION("""COMPUTED_VALUE"""),"Ruby")</f>
        <v>Ruby</v>
      </c>
      <c r="L591" s="9" t="str">
        <f>IFERROR(__xludf.DUMMYFUNCTION("""COMPUTED_VALUE"""),"Other(s):")</f>
        <v>Other(s):</v>
      </c>
      <c r="M591" s="9" t="s">
        <v>30</v>
      </c>
    </row>
    <row r="592" ht="15.75" customHeight="1">
      <c r="A592" s="7"/>
      <c r="B592" s="7" t="str">
        <f>IFERROR(__xludf.DUMMYFUNCTION("""COMPUTED_VALUE"""),"Bash/Shell/PowerShell;HTML/CSS;JavaScript;PHP;Ruby;SQL")</f>
        <v>Bash/Shell/PowerShell;HTML/CSS;JavaScript;PHP;Ruby;SQL</v>
      </c>
      <c r="C592" s="9" t="str">
        <f>IFERROR(__xludf.DUMMYFUNCTION("""COMPUTED_VALUE"""),"C")</f>
        <v>C</v>
      </c>
      <c r="D592" s="9" t="str">
        <f>IFERROR(__xludf.DUMMYFUNCTION("""COMPUTED_VALUE"""),"SQL")</f>
        <v>SQL</v>
      </c>
      <c r="E592" s="9" t="str">
        <f>IFERROR(__xludf.DUMMYFUNCTION("""COMPUTED_VALUE"""),"SQL")</f>
        <v>SQL</v>
      </c>
      <c r="F592" s="9" t="str">
        <f>IFERROR(__xludf.DUMMYFUNCTION("""COMPUTED_VALUE"""),"JavaScript")</f>
        <v>JavaScript</v>
      </c>
      <c r="G592" s="9" t="str">
        <f>IFERROR(__xludf.DUMMYFUNCTION("""COMPUTED_VALUE"""),"Bash/Shell/PowerShell")</f>
        <v>Bash/Shell/PowerShell</v>
      </c>
      <c r="H592" s="9" t="str">
        <f>IFERROR(__xludf.DUMMYFUNCTION("""COMPUTED_VALUE"""),"JavaScript")</f>
        <v>JavaScript</v>
      </c>
      <c r="I592" s="9" t="str">
        <f>IFERROR(__xludf.DUMMYFUNCTION("""COMPUTED_VALUE"""),"R")</f>
        <v>R</v>
      </c>
      <c r="J592" s="9" t="str">
        <f>IFERROR(__xludf.DUMMYFUNCTION("""COMPUTED_VALUE"""),"HTML/CSS")</f>
        <v>HTML/CSS</v>
      </c>
      <c r="K592" s="9" t="str">
        <f>IFERROR(__xludf.DUMMYFUNCTION("""COMPUTED_VALUE"""),"SQL")</f>
        <v>SQL</v>
      </c>
      <c r="L592" s="9" t="str">
        <f>IFERROR(__xludf.DUMMYFUNCTION("""COMPUTED_VALUE"""),"HTML/CSS")</f>
        <v>HTML/CSS</v>
      </c>
      <c r="M592" s="9" t="s">
        <v>25</v>
      </c>
    </row>
    <row r="593" ht="15.75" customHeight="1">
      <c r="A593" s="7"/>
      <c r="B593" s="7" t="str">
        <f>IFERROR(__xludf.DUMMYFUNCTION("""COMPUTED_VALUE"""),"Bash/Shell/PowerShell;HTML/CSS;Java;PHP;Python;SQL")</f>
        <v>Bash/Shell/PowerShell;HTML/CSS;Java;PHP;Python;SQL</v>
      </c>
      <c r="C593" s="9" t="str">
        <f>IFERROR(__xludf.DUMMYFUNCTION("""COMPUTED_VALUE"""),"C++")</f>
        <v>C++</v>
      </c>
      <c r="D593" s="9" t="str">
        <f>IFERROR(__xludf.DUMMYFUNCTION("""COMPUTED_VALUE"""),"TypeScript")</f>
        <v>TypeScript</v>
      </c>
      <c r="E593" s="9" t="str">
        <f>IFERROR(__xludf.DUMMYFUNCTION("""COMPUTED_VALUE"""),"C#")</f>
        <v>C#</v>
      </c>
      <c r="F593" s="9" t="str">
        <f>IFERROR(__xludf.DUMMYFUNCTION("""COMPUTED_VALUE"""),"SQL")</f>
        <v>SQL</v>
      </c>
      <c r="G593" s="9" t="str">
        <f>IFERROR(__xludf.DUMMYFUNCTION("""COMPUTED_VALUE"""),"C")</f>
        <v>C</v>
      </c>
      <c r="H593" s="9" t="str">
        <f>IFERROR(__xludf.DUMMYFUNCTION("""COMPUTED_VALUE"""),"TypeScript")</f>
        <v>TypeScript</v>
      </c>
      <c r="I593" s="9" t="str">
        <f>IFERROR(__xludf.DUMMYFUNCTION("""COMPUTED_VALUE"""),"SQL")</f>
        <v>SQL</v>
      </c>
      <c r="J593" s="9" t="str">
        <f>IFERROR(__xludf.DUMMYFUNCTION("""COMPUTED_VALUE"""),"Java")</f>
        <v>Java</v>
      </c>
      <c r="K593" s="9" t="str">
        <f>IFERROR(__xludf.DUMMYFUNCTION("""COMPUTED_VALUE"""),"Bash/Shell/PowerShell")</f>
        <v>Bash/Shell/PowerShell</v>
      </c>
      <c r="L593" s="9" t="str">
        <f>IFERROR(__xludf.DUMMYFUNCTION("""COMPUTED_VALUE"""),"JavaScript")</f>
        <v>JavaScript</v>
      </c>
      <c r="M593" s="9" t="s">
        <v>23</v>
      </c>
    </row>
    <row r="594" ht="15.75" customHeight="1">
      <c r="A594" s="7"/>
      <c r="B594" s="7" t="str">
        <f>IFERROR(__xludf.DUMMYFUNCTION("""COMPUTED_VALUE"""),"HTML/CSS;PHP;SQL")</f>
        <v>HTML/CSS;PHP;SQL</v>
      </c>
      <c r="C594" s="9" t="str">
        <f>IFERROR(__xludf.DUMMYFUNCTION("""COMPUTED_VALUE"""),"Bash/Shell/PowerShell")</f>
        <v>Bash/Shell/PowerShell</v>
      </c>
      <c r="D594" s="9" t="str">
        <f>IFERROR(__xludf.DUMMYFUNCTION("""COMPUTED_VALUE"""),"C")</f>
        <v>C</v>
      </c>
      <c r="E594" s="9" t="str">
        <f>IFERROR(__xludf.DUMMYFUNCTION("""COMPUTED_VALUE"""),"HTML/CSS")</f>
        <v>HTML/CSS</v>
      </c>
      <c r="F594" s="9" t="str">
        <f>IFERROR(__xludf.DUMMYFUNCTION("""COMPUTED_VALUE"""),"C")</f>
        <v>C</v>
      </c>
      <c r="G594" s="9" t="str">
        <f>IFERROR(__xludf.DUMMYFUNCTION("""COMPUTED_VALUE"""),"C++")</f>
        <v>C++</v>
      </c>
      <c r="H594" s="9" t="str">
        <f>IFERROR(__xludf.DUMMYFUNCTION("""COMPUTED_VALUE"""),"Java")</f>
        <v>Java</v>
      </c>
      <c r="I594" s="9" t="str">
        <f>IFERROR(__xludf.DUMMYFUNCTION("""COMPUTED_VALUE"""),"Bash/Shell/PowerShell")</f>
        <v>Bash/Shell/PowerShell</v>
      </c>
      <c r="J594" s="9" t="str">
        <f>IFERROR(__xludf.DUMMYFUNCTION("""COMPUTED_VALUE"""),"JavaScript")</f>
        <v>JavaScript</v>
      </c>
      <c r="K594" s="9" t="str">
        <f>IFERROR(__xludf.DUMMYFUNCTION("""COMPUTED_VALUE"""),"HTML/CSS")</f>
        <v>HTML/CSS</v>
      </c>
      <c r="L594" s="9" t="str">
        <f>IFERROR(__xludf.DUMMYFUNCTION("""COMPUTED_VALUE"""),"PHP")</f>
        <v>PHP</v>
      </c>
      <c r="M594" s="9" t="s">
        <v>30</v>
      </c>
    </row>
    <row r="595" ht="15.75" customHeight="1">
      <c r="A595" s="7"/>
      <c r="B595" s="7" t="str">
        <f>IFERROR(__xludf.DUMMYFUNCTION("""COMPUTED_VALUE"""),"C++;C#;HTML/CSS;Java;JavaScript;PHP;Python;SQL;Swift;TypeScript")</f>
        <v>C++;C#;HTML/CSS;Java;JavaScript;PHP;Python;SQL;Swift;TypeScript</v>
      </c>
      <c r="C595" s="9" t="str">
        <f>IFERROR(__xludf.DUMMYFUNCTION("""COMPUTED_VALUE"""),"C++")</f>
        <v>C++</v>
      </c>
      <c r="D595" s="9" t="str">
        <f>IFERROR(__xludf.DUMMYFUNCTION("""COMPUTED_VALUE"""),"C++")</f>
        <v>C++</v>
      </c>
      <c r="E595" s="9" t="str">
        <f>IFERROR(__xludf.DUMMYFUNCTION("""COMPUTED_VALUE"""),"Java")</f>
        <v>Java</v>
      </c>
      <c r="F595" s="9" t="str">
        <f>IFERROR(__xludf.DUMMYFUNCTION("""COMPUTED_VALUE"""),"HTML/CSS")</f>
        <v>HTML/CSS</v>
      </c>
      <c r="G595" s="9" t="str">
        <f>IFERROR(__xludf.DUMMYFUNCTION("""COMPUTED_VALUE"""),"HTML/CSS")</f>
        <v>HTML/CSS</v>
      </c>
      <c r="H595" s="9" t="str">
        <f>IFERROR(__xludf.DUMMYFUNCTION("""COMPUTED_VALUE"""),"Kotlin")</f>
        <v>Kotlin</v>
      </c>
      <c r="I595" s="9" t="str">
        <f>IFERROR(__xludf.DUMMYFUNCTION("""COMPUTED_VALUE"""),"C++")</f>
        <v>C++</v>
      </c>
      <c r="J595" s="9" t="str">
        <f>IFERROR(__xludf.DUMMYFUNCTION("""COMPUTED_VALUE"""),"PHP")</f>
        <v>PHP</v>
      </c>
      <c r="K595" s="9" t="str">
        <f>IFERROR(__xludf.DUMMYFUNCTION("""COMPUTED_VALUE"""),"JavaScript")</f>
        <v>JavaScript</v>
      </c>
      <c r="L595" s="9" t="str">
        <f>IFERROR(__xludf.DUMMYFUNCTION("""COMPUTED_VALUE"""),"Go")</f>
        <v>Go</v>
      </c>
      <c r="M595" s="9" t="s">
        <v>23</v>
      </c>
    </row>
    <row r="596" ht="15.75" customHeight="1">
      <c r="A596" s="7"/>
      <c r="B596" s="7" t="str">
        <f>IFERROR(__xludf.DUMMYFUNCTION("""COMPUTED_VALUE"""),"Bash/Shell/PowerShell;HTML/CSS;Java;JavaScript")</f>
        <v>Bash/Shell/PowerShell;HTML/CSS;Java;JavaScript</v>
      </c>
      <c r="C596" s="9" t="str">
        <f>IFERROR(__xludf.DUMMYFUNCTION("""COMPUTED_VALUE"""),"Erlang")</f>
        <v>Erlang</v>
      </c>
      <c r="D596" s="9" t="str">
        <f>IFERROR(__xludf.DUMMYFUNCTION("""COMPUTED_VALUE"""),"Java")</f>
        <v>Java</v>
      </c>
      <c r="E596" s="9" t="str">
        <f>IFERROR(__xludf.DUMMYFUNCTION("""COMPUTED_VALUE"""),"JavaScript")</f>
        <v>JavaScript</v>
      </c>
      <c r="F596" s="9" t="str">
        <f>IFERROR(__xludf.DUMMYFUNCTION("""COMPUTED_VALUE"""),"JavaScript")</f>
        <v>JavaScript</v>
      </c>
      <c r="G596" s="9" t="str">
        <f>IFERROR(__xludf.DUMMYFUNCTION("""COMPUTED_VALUE"""),"JavaScript")</f>
        <v>JavaScript</v>
      </c>
      <c r="H596" s="9" t="str">
        <f>IFERROR(__xludf.DUMMYFUNCTION("""COMPUTED_VALUE"""),"Bash/Shell/PowerShell")</f>
        <v>Bash/Shell/PowerShell</v>
      </c>
      <c r="I596" s="9" t="str">
        <f>IFERROR(__xludf.DUMMYFUNCTION("""COMPUTED_VALUE"""),"Dart")</f>
        <v>Dart</v>
      </c>
      <c r="J596" s="9" t="str">
        <f>IFERROR(__xludf.DUMMYFUNCTION("""COMPUTED_VALUE"""),"Python")</f>
        <v>Python</v>
      </c>
      <c r="K596" s="9" t="str">
        <f>IFERROR(__xludf.DUMMYFUNCTION("""COMPUTED_VALUE"""),"R")</f>
        <v>R</v>
      </c>
      <c r="L596" s="9" t="str">
        <f>IFERROR(__xludf.DUMMYFUNCTION("""COMPUTED_VALUE"""),"PHP")</f>
        <v>PHP</v>
      </c>
      <c r="M596" s="9" t="s">
        <v>43</v>
      </c>
    </row>
    <row r="597" ht="15.75" customHeight="1">
      <c r="A597" s="7"/>
      <c r="B597" s="7" t="str">
        <f>IFERROR(__xludf.DUMMYFUNCTION("""COMPUTED_VALUE"""),"Bash/Shell/PowerShell;C#;HTML/CSS;JavaScript;PHP;SQL;TypeScript")</f>
        <v>Bash/Shell/PowerShell;C#;HTML/CSS;JavaScript;PHP;SQL;TypeScript</v>
      </c>
      <c r="C597" s="9" t="str">
        <f>IFERROR(__xludf.DUMMYFUNCTION("""COMPUTED_VALUE"""),"JavaScript")</f>
        <v>JavaScript</v>
      </c>
      <c r="D597" s="9" t="str">
        <f>IFERROR(__xludf.DUMMYFUNCTION("""COMPUTED_VALUE"""),"Python")</f>
        <v>Python</v>
      </c>
      <c r="E597" s="9" t="str">
        <f>IFERROR(__xludf.DUMMYFUNCTION("""COMPUTED_VALUE"""),"SQL")</f>
        <v>SQL</v>
      </c>
      <c r="F597" s="9" t="str">
        <f>IFERROR(__xludf.DUMMYFUNCTION("""COMPUTED_VALUE"""),"PHP")</f>
        <v>PHP</v>
      </c>
      <c r="G597" s="9" t="str">
        <f>IFERROR(__xludf.DUMMYFUNCTION("""COMPUTED_VALUE"""),"Python")</f>
        <v>Python</v>
      </c>
      <c r="H597" s="9" t="str">
        <f>IFERROR(__xludf.DUMMYFUNCTION("""COMPUTED_VALUE"""),"Java")</f>
        <v>Java</v>
      </c>
      <c r="I597" s="9" t="str">
        <f>IFERROR(__xludf.DUMMYFUNCTION("""COMPUTED_VALUE"""),"Go")</f>
        <v>Go</v>
      </c>
      <c r="J597" s="9" t="str">
        <f>IFERROR(__xludf.DUMMYFUNCTION("""COMPUTED_VALUE"""),"Ruby")</f>
        <v>Ruby</v>
      </c>
      <c r="K597" s="9" t="str">
        <f>IFERROR(__xludf.DUMMYFUNCTION("""COMPUTED_VALUE"""),"SQL")</f>
        <v>SQL</v>
      </c>
      <c r="L597" s="9" t="str">
        <f>IFERROR(__xludf.DUMMYFUNCTION("""COMPUTED_VALUE"""),"SQL")</f>
        <v>SQL</v>
      </c>
      <c r="M597" s="9" t="s">
        <v>21</v>
      </c>
    </row>
    <row r="598" ht="15.75" customHeight="1">
      <c r="A598" s="7"/>
      <c r="B598" s="7" t="str">
        <f>IFERROR(__xludf.DUMMYFUNCTION("""COMPUTED_VALUE"""),"Java;Kotlin")</f>
        <v>Java;Kotlin</v>
      </c>
      <c r="C598" s="9" t="str">
        <f>IFERROR(__xludf.DUMMYFUNCTION("""COMPUTED_VALUE"""),"PHP")</f>
        <v>PHP</v>
      </c>
      <c r="D598" s="9" t="str">
        <f>IFERROR(__xludf.DUMMYFUNCTION("""COMPUTED_VALUE"""),"Python")</f>
        <v>Python</v>
      </c>
      <c r="E598" s="9" t="str">
        <f>IFERROR(__xludf.DUMMYFUNCTION("""COMPUTED_VALUE"""),"TypeScript")</f>
        <v>TypeScript</v>
      </c>
      <c r="F598" s="9" t="str">
        <f>IFERROR(__xludf.DUMMYFUNCTION("""COMPUTED_VALUE"""),"Python")</f>
        <v>Python</v>
      </c>
      <c r="G598" s="9" t="str">
        <f>IFERROR(__xludf.DUMMYFUNCTION("""COMPUTED_VALUE"""),"C#")</f>
        <v>C#</v>
      </c>
      <c r="H598" s="9" t="str">
        <f>IFERROR(__xludf.DUMMYFUNCTION("""COMPUTED_VALUE"""),"Kotlin")</f>
        <v>Kotlin</v>
      </c>
      <c r="I598" s="9" t="str">
        <f>IFERROR(__xludf.DUMMYFUNCTION("""COMPUTED_VALUE"""),"HTML/CSS")</f>
        <v>HTML/CSS</v>
      </c>
      <c r="J598" s="9" t="str">
        <f>IFERROR(__xludf.DUMMYFUNCTION("""COMPUTED_VALUE"""),"SQL")</f>
        <v>SQL</v>
      </c>
      <c r="K598" s="9" t="str">
        <f>IFERROR(__xludf.DUMMYFUNCTION("""COMPUTED_VALUE"""),"VBA")</f>
        <v>VBA</v>
      </c>
      <c r="L598" s="9" t="str">
        <f>IFERROR(__xludf.DUMMYFUNCTION("""COMPUTED_VALUE"""),"Bash/Shell/PowerShell")</f>
        <v>Bash/Shell/PowerShell</v>
      </c>
      <c r="M598" s="9" t="s">
        <v>37</v>
      </c>
    </row>
    <row r="599" ht="15.75" customHeight="1">
      <c r="A599" s="7"/>
      <c r="B599" s="7" t="str">
        <f>IFERROR(__xludf.DUMMYFUNCTION("""COMPUTED_VALUE"""),"Bash/Shell/PowerShell;Clojure;HTML/CSS;Java;JavaScript;PHP;Python;Ruby;TypeScript")</f>
        <v>Bash/Shell/PowerShell;Clojure;HTML/CSS;Java;JavaScript;PHP;Python;Ruby;TypeScript</v>
      </c>
      <c r="C599" s="9" t="str">
        <f>IFERROR(__xludf.DUMMYFUNCTION("""COMPUTED_VALUE"""),"Python")</f>
        <v>Python</v>
      </c>
      <c r="D599" s="9" t="str">
        <f>IFERROR(__xludf.DUMMYFUNCTION("""COMPUTED_VALUE"""),"SQL")</f>
        <v>SQL</v>
      </c>
      <c r="E599" s="9" t="str">
        <f>IFERROR(__xludf.DUMMYFUNCTION("""COMPUTED_VALUE"""),"HTML/CSS")</f>
        <v>HTML/CSS</v>
      </c>
      <c r="F599" s="9" t="str">
        <f>IFERROR(__xludf.DUMMYFUNCTION("""COMPUTED_VALUE"""),"SQL")</f>
        <v>SQL</v>
      </c>
      <c r="G599" s="9" t="str">
        <f>IFERROR(__xludf.DUMMYFUNCTION("""COMPUTED_VALUE"""),"HTML/CSS")</f>
        <v>HTML/CSS</v>
      </c>
      <c r="H599" s="9" t="str">
        <f>IFERROR(__xludf.DUMMYFUNCTION("""COMPUTED_VALUE"""),"Python")</f>
        <v>Python</v>
      </c>
      <c r="I599" s="9" t="str">
        <f>IFERROR(__xludf.DUMMYFUNCTION("""COMPUTED_VALUE"""),"Java")</f>
        <v>Java</v>
      </c>
      <c r="J599" s="9" t="str">
        <f>IFERROR(__xludf.DUMMYFUNCTION("""COMPUTED_VALUE"""),"C")</f>
        <v>C</v>
      </c>
      <c r="K599" s="9" t="str">
        <f>IFERROR(__xludf.DUMMYFUNCTION("""COMPUTED_VALUE"""),"Java")</f>
        <v>Java</v>
      </c>
      <c r="L599" s="9" t="str">
        <f>IFERROR(__xludf.DUMMYFUNCTION("""COMPUTED_VALUE"""),"C")</f>
        <v>C</v>
      </c>
      <c r="M599" s="9" t="s">
        <v>22</v>
      </c>
    </row>
    <row r="600" ht="15.75" customHeight="1">
      <c r="A600" s="7"/>
      <c r="B600" s="7" t="str">
        <f>IFERROR(__xludf.DUMMYFUNCTION("""COMPUTED_VALUE"""),"C#;JavaScript;SQL")</f>
        <v>C#;JavaScript;SQL</v>
      </c>
      <c r="C600" s="9" t="str">
        <f>IFERROR(__xludf.DUMMYFUNCTION("""COMPUTED_VALUE"""),"Assembly")</f>
        <v>Assembly</v>
      </c>
      <c r="D600" s="9" t="str">
        <f>IFERROR(__xludf.DUMMYFUNCTION("""COMPUTED_VALUE"""),"C#")</f>
        <v>C#</v>
      </c>
      <c r="E600" s="9" t="str">
        <f>IFERROR(__xludf.DUMMYFUNCTION("""COMPUTED_VALUE"""),"JavaScript")</f>
        <v>JavaScript</v>
      </c>
      <c r="F600" s="9" t="str">
        <f>IFERROR(__xludf.DUMMYFUNCTION("""COMPUTED_VALUE"""),"Java")</f>
        <v>Java</v>
      </c>
      <c r="G600" s="9" t="str">
        <f>IFERROR(__xludf.DUMMYFUNCTION("""COMPUTED_VALUE"""),"Java")</f>
        <v>Java</v>
      </c>
      <c r="H600" s="9" t="str">
        <f>IFERROR(__xludf.DUMMYFUNCTION("""COMPUTED_VALUE"""),"C#")</f>
        <v>C#</v>
      </c>
      <c r="I600" s="9" t="str">
        <f>IFERROR(__xludf.DUMMYFUNCTION("""COMPUTED_VALUE"""),"JavaScript")</f>
        <v>JavaScript</v>
      </c>
      <c r="J600" s="9" t="str">
        <f>IFERROR(__xludf.DUMMYFUNCTION("""COMPUTED_VALUE"""),"C++")</f>
        <v>C++</v>
      </c>
      <c r="K600" s="9" t="str">
        <f>IFERROR(__xludf.DUMMYFUNCTION("""COMPUTED_VALUE"""),"Python")</f>
        <v>Python</v>
      </c>
      <c r="L600" s="9" t="str">
        <f>IFERROR(__xludf.DUMMYFUNCTION("""COMPUTED_VALUE"""),"Go")</f>
        <v>Go</v>
      </c>
      <c r="M600" s="9" t="s">
        <v>38</v>
      </c>
    </row>
    <row r="601" ht="15.75" customHeight="1">
      <c r="A601" s="7"/>
      <c r="B601" s="7" t="str">
        <f>IFERROR(__xludf.DUMMYFUNCTION("""COMPUTED_VALUE"""),"Bash/Shell/PowerShell;C;C++;Erlang;Go;HTML/CSS;Java;Python;SQL")</f>
        <v>Bash/Shell/PowerShell;C;C++;Erlang;Go;HTML/CSS;Java;Python;SQL</v>
      </c>
      <c r="C601" s="9" t="str">
        <f>IFERROR(__xludf.DUMMYFUNCTION("""COMPUTED_VALUE"""),"C#")</f>
        <v>C#</v>
      </c>
      <c r="D601" s="9" t="str">
        <f>IFERROR(__xludf.DUMMYFUNCTION("""COMPUTED_VALUE"""),"HTML/CSS")</f>
        <v>HTML/CSS</v>
      </c>
      <c r="E601" s="9" t="str">
        <f>IFERROR(__xludf.DUMMYFUNCTION("""COMPUTED_VALUE"""),"PHP")</f>
        <v>PHP</v>
      </c>
      <c r="F601" s="9" t="str">
        <f>IFERROR(__xludf.DUMMYFUNCTION("""COMPUTED_VALUE"""),"C")</f>
        <v>C</v>
      </c>
      <c r="G601" s="9" t="str">
        <f>IFERROR(__xludf.DUMMYFUNCTION("""COMPUTED_VALUE"""),"JavaScript")</f>
        <v>JavaScript</v>
      </c>
      <c r="H601" s="9" t="str">
        <f>IFERROR(__xludf.DUMMYFUNCTION("""COMPUTED_VALUE"""),"HTML/CSS")</f>
        <v>HTML/CSS</v>
      </c>
      <c r="I601" s="9" t="str">
        <f>IFERROR(__xludf.DUMMYFUNCTION("""COMPUTED_VALUE"""),"Python")</f>
        <v>Python</v>
      </c>
      <c r="J601" s="9" t="str">
        <f>IFERROR(__xludf.DUMMYFUNCTION("""COMPUTED_VALUE"""),"HTML/CSS")</f>
        <v>HTML/CSS</v>
      </c>
      <c r="K601" s="9" t="str">
        <f>IFERROR(__xludf.DUMMYFUNCTION("""COMPUTED_VALUE"""),"HTML/CSS")</f>
        <v>HTML/CSS</v>
      </c>
      <c r="L601" s="9" t="str">
        <f>IFERROR(__xludf.DUMMYFUNCTION("""COMPUTED_VALUE"""),"HTML/CSS")</f>
        <v>HTML/CSS</v>
      </c>
      <c r="M601" s="9" t="s">
        <v>26</v>
      </c>
    </row>
    <row r="602" ht="15.75" customHeight="1">
      <c r="A602" s="7"/>
      <c r="B602" s="7" t="str">
        <f>IFERROR(__xludf.DUMMYFUNCTION("""COMPUTED_VALUE"""),"HTML/CSS;JavaScript;Python")</f>
        <v>HTML/CSS;JavaScript;Python</v>
      </c>
      <c r="C602" s="9" t="str">
        <f>IFERROR(__xludf.DUMMYFUNCTION("""COMPUTED_VALUE"""),"HTML/CSS")</f>
        <v>HTML/CSS</v>
      </c>
      <c r="D602" s="9" t="str">
        <f>IFERROR(__xludf.DUMMYFUNCTION("""COMPUTED_VALUE"""),"Java")</f>
        <v>Java</v>
      </c>
      <c r="E602" s="9" t="str">
        <f>IFERROR(__xludf.DUMMYFUNCTION("""COMPUTED_VALUE"""),"SQL")</f>
        <v>SQL</v>
      </c>
      <c r="F602" s="9" t="str">
        <f>IFERROR(__xludf.DUMMYFUNCTION("""COMPUTED_VALUE"""),"C++")</f>
        <v>C++</v>
      </c>
      <c r="G602" s="9" t="str">
        <f>IFERROR(__xludf.DUMMYFUNCTION("""COMPUTED_VALUE"""),"PHP")</f>
        <v>PHP</v>
      </c>
      <c r="H602" s="9" t="str">
        <f>IFERROR(__xludf.DUMMYFUNCTION("""COMPUTED_VALUE"""),"JavaScript")</f>
        <v>JavaScript</v>
      </c>
      <c r="I602" s="9" t="str">
        <f>IFERROR(__xludf.DUMMYFUNCTION("""COMPUTED_VALUE"""),"SQL")</f>
        <v>SQL</v>
      </c>
      <c r="J602" s="9" t="str">
        <f>IFERROR(__xludf.DUMMYFUNCTION("""COMPUTED_VALUE"""),"JavaScript")</f>
        <v>JavaScript</v>
      </c>
      <c r="K602" s="9" t="str">
        <f>IFERROR(__xludf.DUMMYFUNCTION("""COMPUTED_VALUE"""),"Java")</f>
        <v>Java</v>
      </c>
      <c r="L602" s="9" t="str">
        <f>IFERROR(__xludf.DUMMYFUNCTION("""COMPUTED_VALUE"""),"Java")</f>
        <v>Java</v>
      </c>
      <c r="M602" s="9" t="s">
        <v>24</v>
      </c>
    </row>
    <row r="603" ht="15.75" customHeight="1">
      <c r="A603" s="7"/>
      <c r="B603" s="7" t="str">
        <f>IFERROR(__xludf.DUMMYFUNCTION("""COMPUTED_VALUE"""),"Bash/Shell/PowerShell;C;C++;Go;HTML/CSS;Java;JavaScript;PHP;Python;Rust;SQL;TypeScript;Other(s):")</f>
        <v>Bash/Shell/PowerShell;C;C++;Go;HTML/CSS;Java;JavaScript;PHP;Python;Rust;SQL;TypeScript;Other(s):</v>
      </c>
      <c r="C603" s="9" t="str">
        <f>IFERROR(__xludf.DUMMYFUNCTION("""COMPUTED_VALUE"""),"Java")</f>
        <v>Java</v>
      </c>
      <c r="D603" s="9" t="str">
        <f>IFERROR(__xludf.DUMMYFUNCTION("""COMPUTED_VALUE"""),"JavaScript")</f>
        <v>JavaScript</v>
      </c>
      <c r="E603" s="9" t="str">
        <f>IFERROR(__xludf.DUMMYFUNCTION("""COMPUTED_VALUE"""),"Assembly")</f>
        <v>Assembly</v>
      </c>
      <c r="F603" s="9" t="str">
        <f>IFERROR(__xludf.DUMMYFUNCTION("""COMPUTED_VALUE"""),"HTML/CSS")</f>
        <v>HTML/CSS</v>
      </c>
      <c r="G603" s="9" t="str">
        <f>IFERROR(__xludf.DUMMYFUNCTION("""COMPUTED_VALUE"""),"SQL")</f>
        <v>SQL</v>
      </c>
      <c r="H603" s="9" t="str">
        <f>IFERROR(__xludf.DUMMYFUNCTION("""COMPUTED_VALUE"""),"SQL")</f>
        <v>SQL</v>
      </c>
      <c r="I603" s="9" t="str">
        <f>IFERROR(__xludf.DUMMYFUNCTION("""COMPUTED_VALUE"""),"Objective-C")</f>
        <v>Objective-C</v>
      </c>
      <c r="J603" s="9" t="str">
        <f>IFERROR(__xludf.DUMMYFUNCTION("""COMPUTED_VALUE"""),"Python")</f>
        <v>Python</v>
      </c>
      <c r="K603" s="9" t="str">
        <f>IFERROR(__xludf.DUMMYFUNCTION("""COMPUTED_VALUE"""),"Kotlin")</f>
        <v>Kotlin</v>
      </c>
      <c r="L603" s="9" t="str">
        <f>IFERROR(__xludf.DUMMYFUNCTION("""COMPUTED_VALUE"""),"JavaScript")</f>
        <v>JavaScript</v>
      </c>
      <c r="M603" s="9" t="s">
        <v>20</v>
      </c>
    </row>
    <row r="604" ht="15.75" customHeight="1">
      <c r="A604" s="7"/>
      <c r="B604" s="7" t="str">
        <f>IFERROR(__xludf.DUMMYFUNCTION("""COMPUTED_VALUE"""),"Bash/Shell/PowerShell;HTML/CSS;JavaScript;PHP;SQL")</f>
        <v>Bash/Shell/PowerShell;HTML/CSS;JavaScript;PHP;SQL</v>
      </c>
      <c r="C604" s="9" t="str">
        <f>IFERROR(__xludf.DUMMYFUNCTION("""COMPUTED_VALUE"""),"JavaScript")</f>
        <v>JavaScript</v>
      </c>
      <c r="D604" s="9" t="str">
        <f>IFERROR(__xludf.DUMMYFUNCTION("""COMPUTED_VALUE"""),"C#")</f>
        <v>C#</v>
      </c>
      <c r="E604" s="9" t="str">
        <f>IFERROR(__xludf.DUMMYFUNCTION("""COMPUTED_VALUE"""),"Bash/Shell/PowerShell")</f>
        <v>Bash/Shell/PowerShell</v>
      </c>
      <c r="F604" s="9" t="str">
        <f>IFERROR(__xludf.DUMMYFUNCTION("""COMPUTED_VALUE"""),"JavaScript")</f>
        <v>JavaScript</v>
      </c>
      <c r="G604" s="9" t="str">
        <f>IFERROR(__xludf.DUMMYFUNCTION("""COMPUTED_VALUE"""),"Bash/Shell/PowerShell")</f>
        <v>Bash/Shell/PowerShell</v>
      </c>
      <c r="H604" s="9" t="str">
        <f>IFERROR(__xludf.DUMMYFUNCTION("""COMPUTED_VALUE"""),"HTML/CSS")</f>
        <v>HTML/CSS</v>
      </c>
      <c r="I604" s="9" t="str">
        <f>IFERROR(__xludf.DUMMYFUNCTION("""COMPUTED_VALUE"""),"Swift")</f>
        <v>Swift</v>
      </c>
      <c r="J604" s="9" t="str">
        <f>IFERROR(__xludf.DUMMYFUNCTION("""COMPUTED_VALUE"""),"Assembly")</f>
        <v>Assembly</v>
      </c>
      <c r="K604" s="9" t="str">
        <f>IFERROR(__xludf.DUMMYFUNCTION("""COMPUTED_VALUE"""),"Objective-C")</f>
        <v>Objective-C</v>
      </c>
      <c r="L604" s="9" t="str">
        <f>IFERROR(__xludf.DUMMYFUNCTION("""COMPUTED_VALUE"""),"Kotlin")</f>
        <v>Kotlin</v>
      </c>
      <c r="M604" s="9" t="s">
        <v>21</v>
      </c>
    </row>
    <row r="605" ht="15.75" customHeight="1">
      <c r="A605" s="7"/>
      <c r="B605" s="7" t="str">
        <f>IFERROR(__xludf.DUMMYFUNCTION("""COMPUTED_VALUE"""),"Python;Other(s):")</f>
        <v>Python;Other(s):</v>
      </c>
      <c r="C605" s="9" t="str">
        <f>IFERROR(__xludf.DUMMYFUNCTION("""COMPUTED_VALUE"""),"SQL")</f>
        <v>SQL</v>
      </c>
      <c r="D605" s="9" t="str">
        <f>IFERROR(__xludf.DUMMYFUNCTION("""COMPUTED_VALUE"""),"HTML/CSS")</f>
        <v>HTML/CSS</v>
      </c>
      <c r="E605" s="9" t="str">
        <f>IFERROR(__xludf.DUMMYFUNCTION("""COMPUTED_VALUE"""),"C")</f>
        <v>C</v>
      </c>
      <c r="F605" s="9" t="str">
        <f>IFERROR(__xludf.DUMMYFUNCTION("""COMPUTED_VALUE"""),"Bash/Shell/PowerShell")</f>
        <v>Bash/Shell/PowerShell</v>
      </c>
      <c r="G605" s="9" t="str">
        <f>IFERROR(__xludf.DUMMYFUNCTION("""COMPUTED_VALUE"""),"C")</f>
        <v>C</v>
      </c>
      <c r="H605" s="9" t="str">
        <f>IFERROR(__xludf.DUMMYFUNCTION("""COMPUTED_VALUE"""),"JavaScript")</f>
        <v>JavaScript</v>
      </c>
      <c r="I605" s="9" t="str">
        <f>IFERROR(__xludf.DUMMYFUNCTION("""COMPUTED_VALUE"""),"Bash/Shell/PowerShell")</f>
        <v>Bash/Shell/PowerShell</v>
      </c>
      <c r="J605" s="9" t="str">
        <f>IFERROR(__xludf.DUMMYFUNCTION("""COMPUTED_VALUE"""),"HTML/CSS")</f>
        <v>HTML/CSS</v>
      </c>
      <c r="K605" s="9" t="str">
        <f>IFERROR(__xludf.DUMMYFUNCTION("""COMPUTED_VALUE"""),"PHP")</f>
        <v>PHP</v>
      </c>
      <c r="L605" s="9" t="str">
        <f>IFERROR(__xludf.DUMMYFUNCTION("""COMPUTED_VALUE"""),"Python")</f>
        <v>Python</v>
      </c>
      <c r="M605" s="9" t="s">
        <v>27</v>
      </c>
    </row>
    <row r="606" ht="15.75" customHeight="1">
      <c r="A606" s="7"/>
      <c r="B606" s="7" t="str">
        <f>IFERROR(__xludf.DUMMYFUNCTION("""COMPUTED_VALUE"""),"Assembly;Bash/Shell/PowerShell;C;C++;C#;F#;HTML/CSS;JavaScript;Python;TypeScript")</f>
        <v>Assembly;Bash/Shell/PowerShell;C;C++;C#;F#;HTML/CSS;JavaScript;Python;TypeScript</v>
      </c>
      <c r="C606" s="9" t="str">
        <f>IFERROR(__xludf.DUMMYFUNCTION("""COMPUTED_VALUE"""),"Swift")</f>
        <v>Swift</v>
      </c>
      <c r="D606" s="9" t="str">
        <f>IFERROR(__xludf.DUMMYFUNCTION("""COMPUTED_VALUE"""),"Java")</f>
        <v>Java</v>
      </c>
      <c r="E606" s="9" t="str">
        <f>IFERROR(__xludf.DUMMYFUNCTION("""COMPUTED_VALUE"""),"C++")</f>
        <v>C++</v>
      </c>
      <c r="F606" s="9" t="str">
        <f>IFERROR(__xludf.DUMMYFUNCTION("""COMPUTED_VALUE"""),"Other(s):")</f>
        <v>Other(s):</v>
      </c>
      <c r="G606" s="9" t="str">
        <f>IFERROR(__xludf.DUMMYFUNCTION("""COMPUTED_VALUE"""),"C++")</f>
        <v>C++</v>
      </c>
      <c r="H606" s="9" t="str">
        <f>IFERROR(__xludf.DUMMYFUNCTION("""COMPUTED_VALUE"""),"PHP")</f>
        <v>PHP</v>
      </c>
      <c r="I606" s="9" t="str">
        <f>IFERROR(__xludf.DUMMYFUNCTION("""COMPUTED_VALUE"""),"HTML/CSS")</f>
        <v>HTML/CSS</v>
      </c>
      <c r="J606" s="9" t="str">
        <f>IFERROR(__xludf.DUMMYFUNCTION("""COMPUTED_VALUE"""),"JavaScript")</f>
        <v>JavaScript</v>
      </c>
      <c r="K606" s="9" t="str">
        <f>IFERROR(__xludf.DUMMYFUNCTION("""COMPUTED_VALUE"""),"SQL")</f>
        <v>SQL</v>
      </c>
      <c r="L606" s="9" t="str">
        <f>IFERROR(__xludf.DUMMYFUNCTION("""COMPUTED_VALUE"""),"R")</f>
        <v>R</v>
      </c>
      <c r="M606" s="9" t="s">
        <v>40</v>
      </c>
    </row>
    <row r="607" ht="15.75" customHeight="1">
      <c r="A607" s="7"/>
      <c r="B607" s="7" t="str">
        <f>IFERROR(__xludf.DUMMYFUNCTION("""COMPUTED_VALUE"""),"Bash/Shell/PowerShell;C;C++;C#;HTML/CSS;Java;Python;SQL;TypeScript")</f>
        <v>Bash/Shell/PowerShell;C;C++;C#;HTML/CSS;Java;Python;SQL;TypeScript</v>
      </c>
      <c r="C607" s="9" t="str">
        <f>IFERROR(__xludf.DUMMYFUNCTION("""COMPUTED_VALUE"""),"Scala")</f>
        <v>Scala</v>
      </c>
      <c r="D607" s="9" t="str">
        <f>IFERROR(__xludf.DUMMYFUNCTION("""COMPUTED_VALUE"""),"JavaScript")</f>
        <v>JavaScript</v>
      </c>
      <c r="E607" s="9" t="str">
        <f>IFERROR(__xludf.DUMMYFUNCTION("""COMPUTED_VALUE"""),"C#")</f>
        <v>C#</v>
      </c>
      <c r="F607" s="9" t="str">
        <f>IFERROR(__xludf.DUMMYFUNCTION("""COMPUTED_VALUE"""),"JavaScript")</f>
        <v>JavaScript</v>
      </c>
      <c r="G607" s="9" t="str">
        <f>IFERROR(__xludf.DUMMYFUNCTION("""COMPUTED_VALUE"""),"Rust")</f>
        <v>Rust</v>
      </c>
      <c r="H607" s="9" t="str">
        <f>IFERROR(__xludf.DUMMYFUNCTION("""COMPUTED_VALUE"""),"SQL")</f>
        <v>SQL</v>
      </c>
      <c r="I607" s="9" t="str">
        <f>IFERROR(__xludf.DUMMYFUNCTION("""COMPUTED_VALUE"""),"JavaScript")</f>
        <v>JavaScript</v>
      </c>
      <c r="J607" s="9" t="str">
        <f>IFERROR(__xludf.DUMMYFUNCTION("""COMPUTED_VALUE"""),"Python")</f>
        <v>Python</v>
      </c>
      <c r="K607" s="9" t="str">
        <f>IFERROR(__xludf.DUMMYFUNCTION("""COMPUTED_VALUE"""),"Swift")</f>
        <v>Swift</v>
      </c>
      <c r="L607" s="9" t="str">
        <f>IFERROR(__xludf.DUMMYFUNCTION("""COMPUTED_VALUE"""),"Ruby")</f>
        <v>Ruby</v>
      </c>
      <c r="M607" s="9" t="s">
        <v>46</v>
      </c>
    </row>
    <row r="608" ht="15.75" customHeight="1">
      <c r="A608" s="7"/>
      <c r="B608" s="7" t="str">
        <f>IFERROR(__xludf.DUMMYFUNCTION("""COMPUTED_VALUE"""),"C#;HTML/CSS;JavaScript;Python;SQL;TypeScript;VBA")</f>
        <v>C#;HTML/CSS;JavaScript;Python;SQL;TypeScript;VBA</v>
      </c>
      <c r="C608" s="9" t="str">
        <f>IFERROR(__xludf.DUMMYFUNCTION("""COMPUTED_VALUE"""),"Other(s):")</f>
        <v>Other(s):</v>
      </c>
      <c r="D608" s="9" t="str">
        <f>IFERROR(__xludf.DUMMYFUNCTION("""COMPUTED_VALUE"""),"Kotlin")</f>
        <v>Kotlin</v>
      </c>
      <c r="E608" s="9" t="str">
        <f>IFERROR(__xludf.DUMMYFUNCTION("""COMPUTED_VALUE"""),"Go")</f>
        <v>Go</v>
      </c>
      <c r="F608" s="9" t="str">
        <f>IFERROR(__xludf.DUMMYFUNCTION("""COMPUTED_VALUE"""),"PHP")</f>
        <v>PHP</v>
      </c>
      <c r="G608" s="9" t="str">
        <f>IFERROR(__xludf.DUMMYFUNCTION("""COMPUTED_VALUE"""),"Bash/Shell/PowerShell")</f>
        <v>Bash/Shell/PowerShell</v>
      </c>
      <c r="H608" s="9" t="str">
        <f>IFERROR(__xludf.DUMMYFUNCTION("""COMPUTED_VALUE"""),"Bash/Shell/PowerShell")</f>
        <v>Bash/Shell/PowerShell</v>
      </c>
      <c r="I608" s="9" t="str">
        <f>IFERROR(__xludf.DUMMYFUNCTION("""COMPUTED_VALUE"""),"PHP")</f>
        <v>PHP</v>
      </c>
      <c r="J608" s="9" t="str">
        <f>IFERROR(__xludf.DUMMYFUNCTION("""COMPUTED_VALUE"""),"TypeScript")</f>
        <v>TypeScript</v>
      </c>
      <c r="K608" s="9" t="str">
        <f>IFERROR(__xludf.DUMMYFUNCTION("""COMPUTED_VALUE"""),"Bash/Shell/PowerShell")</f>
        <v>Bash/Shell/PowerShell</v>
      </c>
      <c r="L608" s="9" t="str">
        <f>IFERROR(__xludf.DUMMYFUNCTION("""COMPUTED_VALUE"""),"Scala")</f>
        <v>Scala</v>
      </c>
      <c r="M608" s="9" t="s">
        <v>35</v>
      </c>
    </row>
    <row r="609" ht="15.75" customHeight="1">
      <c r="A609" s="7"/>
      <c r="B609" s="7" t="str">
        <f>IFERROR(__xludf.DUMMYFUNCTION("""COMPUTED_VALUE"""),"Ruby;SQL")</f>
        <v>Ruby;SQL</v>
      </c>
      <c r="C609" s="9" t="str">
        <f>IFERROR(__xludf.DUMMYFUNCTION("""COMPUTED_VALUE"""),"C#")</f>
        <v>C#</v>
      </c>
      <c r="D609" s="9" t="str">
        <f>IFERROR(__xludf.DUMMYFUNCTION("""COMPUTED_VALUE"""),"PHP")</f>
        <v>PHP</v>
      </c>
      <c r="E609" s="9" t="str">
        <f>IFERROR(__xludf.DUMMYFUNCTION("""COMPUTED_VALUE"""),"HTML/CSS")</f>
        <v>HTML/CSS</v>
      </c>
      <c r="F609" s="9" t="str">
        <f>IFERROR(__xludf.DUMMYFUNCTION("""COMPUTED_VALUE"""),"SQL")</f>
        <v>SQL</v>
      </c>
      <c r="G609" s="9" t="str">
        <f>IFERROR(__xludf.DUMMYFUNCTION("""COMPUTED_VALUE"""),"C")</f>
        <v>C</v>
      </c>
      <c r="H609" s="9" t="str">
        <f>IFERROR(__xludf.DUMMYFUNCTION("""COMPUTED_VALUE"""),"Python")</f>
        <v>Python</v>
      </c>
      <c r="I609" s="9" t="str">
        <f>IFERROR(__xludf.DUMMYFUNCTION("""COMPUTED_VALUE"""),"HTML/CSS")</f>
        <v>HTML/CSS</v>
      </c>
      <c r="J609" s="9" t="str">
        <f>IFERROR(__xludf.DUMMYFUNCTION("""COMPUTED_VALUE"""),"HTML/CSS")</f>
        <v>HTML/CSS</v>
      </c>
      <c r="K609" s="9" t="str">
        <f>IFERROR(__xludf.DUMMYFUNCTION("""COMPUTED_VALUE"""),"HTML/CSS")</f>
        <v>HTML/CSS</v>
      </c>
      <c r="L609" s="9" t="str">
        <f>IFERROR(__xludf.DUMMYFUNCTION("""COMPUTED_VALUE"""),"SQL")</f>
        <v>SQL</v>
      </c>
      <c r="M609" s="9" t="s">
        <v>26</v>
      </c>
    </row>
    <row r="610" ht="15.75" customHeight="1">
      <c r="A610" s="7"/>
      <c r="B610" s="7" t="str">
        <f>IFERROR(__xludf.DUMMYFUNCTION("""COMPUTED_VALUE"""),"Bash/Shell/PowerShell;C#;HTML/CSS;Java;JavaScript;SQL")</f>
        <v>Bash/Shell/PowerShell;C#;HTML/CSS;Java;JavaScript;SQL</v>
      </c>
      <c r="C610" s="9" t="str">
        <f>IFERROR(__xludf.DUMMYFUNCTION("""COMPUTED_VALUE"""),"HTML/CSS")</f>
        <v>HTML/CSS</v>
      </c>
      <c r="D610" s="9" t="str">
        <f>IFERROR(__xludf.DUMMYFUNCTION("""COMPUTED_VALUE"""),"Ruby")</f>
        <v>Ruby</v>
      </c>
      <c r="E610" s="9" t="str">
        <f>IFERROR(__xludf.DUMMYFUNCTION("""COMPUTED_VALUE"""),"JavaScript")</f>
        <v>JavaScript</v>
      </c>
      <c r="F610" s="9" t="str">
        <f>IFERROR(__xludf.DUMMYFUNCTION("""COMPUTED_VALUE"""),"HTML/CSS")</f>
        <v>HTML/CSS</v>
      </c>
      <c r="G610" s="9" t="str">
        <f>IFERROR(__xludf.DUMMYFUNCTION("""COMPUTED_VALUE"""),"HTML/CSS")</f>
        <v>HTML/CSS</v>
      </c>
      <c r="H610" s="9" t="str">
        <f>IFERROR(__xludf.DUMMYFUNCTION("""COMPUTED_VALUE"""),"Other(s):")</f>
        <v>Other(s):</v>
      </c>
      <c r="I610" s="9" t="str">
        <f>IFERROR(__xludf.DUMMYFUNCTION("""COMPUTED_VALUE"""),"Java")</f>
        <v>Java</v>
      </c>
      <c r="J610" s="9" t="str">
        <f>IFERROR(__xludf.DUMMYFUNCTION("""COMPUTED_VALUE"""),"Java")</f>
        <v>Java</v>
      </c>
      <c r="K610" s="9" t="str">
        <f>IFERROR(__xludf.DUMMYFUNCTION("""COMPUTED_VALUE"""),"Java")</f>
        <v>Java</v>
      </c>
      <c r="L610" s="9" t="str">
        <f>IFERROR(__xludf.DUMMYFUNCTION("""COMPUTED_VALUE"""),"TypeScript")</f>
        <v>TypeScript</v>
      </c>
      <c r="M610" s="9" t="s">
        <v>24</v>
      </c>
    </row>
    <row r="611" ht="15.75" customHeight="1">
      <c r="A611" s="7"/>
      <c r="B611" s="7" t="str">
        <f>IFERROR(__xludf.DUMMYFUNCTION("""COMPUTED_VALUE"""),"C;C++;C#;Java;PHP;SQL")</f>
        <v>C;C++;C#;Java;PHP;SQL</v>
      </c>
      <c r="C611" s="9" t="str">
        <f>IFERROR(__xludf.DUMMYFUNCTION("""COMPUTED_VALUE"""),"JavaScript")</f>
        <v>JavaScript</v>
      </c>
      <c r="D611" s="9" t="str">
        <f>IFERROR(__xludf.DUMMYFUNCTION("""COMPUTED_VALUE"""),"TypeScript")</f>
        <v>TypeScript</v>
      </c>
      <c r="E611" s="9" t="str">
        <f>IFERROR(__xludf.DUMMYFUNCTION("""COMPUTED_VALUE"""),"PHP")</f>
        <v>PHP</v>
      </c>
      <c r="F611" s="9" t="str">
        <f>IFERROR(__xludf.DUMMYFUNCTION("""COMPUTED_VALUE"""),"Java")</f>
        <v>Java</v>
      </c>
      <c r="G611" s="9" t="str">
        <f>IFERROR(__xludf.DUMMYFUNCTION("""COMPUTED_VALUE"""),"Java")</f>
        <v>Java</v>
      </c>
      <c r="H611" s="9" t="str">
        <f>IFERROR(__xludf.DUMMYFUNCTION("""COMPUTED_VALUE"""),"C#")</f>
        <v>C#</v>
      </c>
      <c r="I611" s="9" t="str">
        <f>IFERROR(__xludf.DUMMYFUNCTION("""COMPUTED_VALUE"""),"JavaScript")</f>
        <v>JavaScript</v>
      </c>
      <c r="J611" s="9" t="str">
        <f>IFERROR(__xludf.DUMMYFUNCTION("""COMPUTED_VALUE"""),"JavaScript")</f>
        <v>JavaScript</v>
      </c>
      <c r="K611" s="9" t="str">
        <f>IFERROR(__xludf.DUMMYFUNCTION("""COMPUTED_VALUE"""),"JavaScript")</f>
        <v>JavaScript</v>
      </c>
      <c r="L611" s="9" t="str">
        <f>IFERROR(__xludf.DUMMYFUNCTION("""COMPUTED_VALUE"""),"Bash/Shell/PowerShell")</f>
        <v>Bash/Shell/PowerShell</v>
      </c>
      <c r="M611" s="9" t="s">
        <v>21</v>
      </c>
    </row>
    <row r="612" ht="15.75" customHeight="1">
      <c r="A612" s="7"/>
      <c r="B612" s="7" t="str">
        <f>IFERROR(__xludf.DUMMYFUNCTION("""COMPUTED_VALUE"""),"Assembly;Bash/Shell/PowerShell;C;C++;C#;HTML/CSS;Java;JavaScript;PHP;SQL")</f>
        <v>Assembly;Bash/Shell/PowerShell;C;C++;C#;HTML/CSS;Java;JavaScript;PHP;SQL</v>
      </c>
      <c r="C612" s="9" t="str">
        <f>IFERROR(__xludf.DUMMYFUNCTION("""COMPUTED_VALUE"""),"SQL")</f>
        <v>SQL</v>
      </c>
      <c r="D612" s="9" t="str">
        <f>IFERROR(__xludf.DUMMYFUNCTION("""COMPUTED_VALUE"""),"Other(s):")</f>
        <v>Other(s):</v>
      </c>
      <c r="E612" s="9" t="str">
        <f>IFERROR(__xludf.DUMMYFUNCTION("""COMPUTED_VALUE"""),"Python")</f>
        <v>Python</v>
      </c>
      <c r="F612" s="9" t="str">
        <f>IFERROR(__xludf.DUMMYFUNCTION("""COMPUTED_VALUE"""),"JavaScript")</f>
        <v>JavaScript</v>
      </c>
      <c r="G612" s="9" t="str">
        <f>IFERROR(__xludf.DUMMYFUNCTION("""COMPUTED_VALUE"""),"Python")</f>
        <v>Python</v>
      </c>
      <c r="H612" s="9" t="str">
        <f>IFERROR(__xludf.DUMMYFUNCTION("""COMPUTED_VALUE"""),"HTML/CSS")</f>
        <v>HTML/CSS</v>
      </c>
      <c r="I612" s="9" t="str">
        <f>IFERROR(__xludf.DUMMYFUNCTION("""COMPUTED_VALUE"""),"Ruby")</f>
        <v>Ruby</v>
      </c>
      <c r="J612" s="9" t="str">
        <f>IFERROR(__xludf.DUMMYFUNCTION("""COMPUTED_VALUE"""),"Python")</f>
        <v>Python</v>
      </c>
      <c r="K612" s="9" t="str">
        <f>IFERROR(__xludf.DUMMYFUNCTION("""COMPUTED_VALUE"""),"SQL")</f>
        <v>SQL</v>
      </c>
      <c r="L612" s="9" t="str">
        <f>IFERROR(__xludf.DUMMYFUNCTION("""COMPUTED_VALUE"""),"Go")</f>
        <v>Go</v>
      </c>
      <c r="M612" s="9" t="s">
        <v>27</v>
      </c>
    </row>
    <row r="613" ht="15.75" customHeight="1">
      <c r="A613" s="7"/>
      <c r="B613" s="7" t="str">
        <f>IFERROR(__xludf.DUMMYFUNCTION("""COMPUTED_VALUE"""),"HTML/CSS;Java;JavaScript;SQL;TypeScript;WebAssembly")</f>
        <v>HTML/CSS;Java;JavaScript;SQL;TypeScript;WebAssembly</v>
      </c>
      <c r="C613" s="9" t="str">
        <f>IFERROR(__xludf.DUMMYFUNCTION("""COMPUTED_VALUE"""),"TypeScript")</f>
        <v>TypeScript</v>
      </c>
      <c r="D613" s="9" t="str">
        <f>IFERROR(__xludf.DUMMYFUNCTION("""COMPUTED_VALUE"""),"C#")</f>
        <v>C#</v>
      </c>
      <c r="E613" s="9" t="str">
        <f>IFERROR(__xludf.DUMMYFUNCTION("""COMPUTED_VALUE"""),"Rust")</f>
        <v>Rust</v>
      </c>
      <c r="F613" s="9" t="str">
        <f>IFERROR(__xludf.DUMMYFUNCTION("""COMPUTED_VALUE"""),"SQL")</f>
        <v>SQL</v>
      </c>
      <c r="G613" s="9" t="str">
        <f>IFERROR(__xludf.DUMMYFUNCTION("""COMPUTED_VALUE"""),"C")</f>
        <v>C</v>
      </c>
      <c r="H613" s="9" t="str">
        <f>IFERROR(__xludf.DUMMYFUNCTION("""COMPUTED_VALUE"""),"JavaScript")</f>
        <v>JavaScript</v>
      </c>
      <c r="I613" s="9" t="str">
        <f>IFERROR(__xludf.DUMMYFUNCTION("""COMPUTED_VALUE"""),"C#")</f>
        <v>C#</v>
      </c>
      <c r="J613" s="9" t="str">
        <f>IFERROR(__xludf.DUMMYFUNCTION("""COMPUTED_VALUE"""),"TypeScript")</f>
        <v>TypeScript</v>
      </c>
      <c r="K613" s="9" t="str">
        <f>IFERROR(__xludf.DUMMYFUNCTION("""COMPUTED_VALUE"""),"Bash/Shell/PowerShell")</f>
        <v>Bash/Shell/PowerShell</v>
      </c>
      <c r="L613" s="9" t="str">
        <f>IFERROR(__xludf.DUMMYFUNCTION("""COMPUTED_VALUE"""),"HTML/CSS")</f>
        <v>HTML/CSS</v>
      </c>
      <c r="M613" s="9" t="s">
        <v>33</v>
      </c>
    </row>
    <row r="614" ht="15.75" customHeight="1">
      <c r="A614" s="7"/>
      <c r="B614" s="7" t="str">
        <f>IFERROR(__xludf.DUMMYFUNCTION("""COMPUTED_VALUE"""),"Bash/Shell/PowerShell;SQL;Other(s):")</f>
        <v>Bash/Shell/PowerShell;SQL;Other(s):</v>
      </c>
      <c r="C614" s="9" t="str">
        <f>IFERROR(__xludf.DUMMYFUNCTION("""COMPUTED_VALUE"""),"Bash/Shell/PowerShell")</f>
        <v>Bash/Shell/PowerShell</v>
      </c>
      <c r="D614" s="9" t="str">
        <f>IFERROR(__xludf.DUMMYFUNCTION("""COMPUTED_VALUE"""),"HTML/CSS")</f>
        <v>HTML/CSS</v>
      </c>
      <c r="E614" s="9" t="str">
        <f>IFERROR(__xludf.DUMMYFUNCTION("""COMPUTED_VALUE"""),"WebAssembly")</f>
        <v>WebAssembly</v>
      </c>
      <c r="F614" s="9" t="str">
        <f>IFERROR(__xludf.DUMMYFUNCTION("""COMPUTED_VALUE"""),"HTML/CSS")</f>
        <v>HTML/CSS</v>
      </c>
      <c r="G614" s="9" t="str">
        <f>IFERROR(__xludf.DUMMYFUNCTION("""COMPUTED_VALUE"""),"Python")</f>
        <v>Python</v>
      </c>
      <c r="H614" s="9" t="str">
        <f>IFERROR(__xludf.DUMMYFUNCTION("""COMPUTED_VALUE"""),"Python")</f>
        <v>Python</v>
      </c>
      <c r="I614" s="9" t="str">
        <f>IFERROR(__xludf.DUMMYFUNCTION("""COMPUTED_VALUE"""),"Go")</f>
        <v>Go</v>
      </c>
      <c r="J614" s="9" t="str">
        <f>IFERROR(__xludf.DUMMYFUNCTION("""COMPUTED_VALUE"""),"C#")</f>
        <v>C#</v>
      </c>
      <c r="K614" s="9" t="str">
        <f>IFERROR(__xludf.DUMMYFUNCTION("""COMPUTED_VALUE"""),"Go")</f>
        <v>Go</v>
      </c>
      <c r="L614" s="9" t="str">
        <f>IFERROR(__xludf.DUMMYFUNCTION("""COMPUTED_VALUE"""),"Java")</f>
        <v>Java</v>
      </c>
      <c r="M614" s="9" t="s">
        <v>30</v>
      </c>
    </row>
    <row r="615" ht="15.75" customHeight="1">
      <c r="A615" s="7"/>
      <c r="B615" s="7" t="str">
        <f>IFERROR(__xludf.DUMMYFUNCTION("""COMPUTED_VALUE"""),"Java;Objective-C;SQL;Swift")</f>
        <v>Java;Objective-C;SQL;Swift</v>
      </c>
      <c r="C615" s="9" t="str">
        <f>IFERROR(__xludf.DUMMYFUNCTION("""COMPUTED_VALUE"""),"C")</f>
        <v>C</v>
      </c>
      <c r="D615" s="9" t="str">
        <f>IFERROR(__xludf.DUMMYFUNCTION("""COMPUTED_VALUE"""),"JavaScript")</f>
        <v>JavaScript</v>
      </c>
      <c r="E615" s="9" t="str">
        <f>IFERROR(__xludf.DUMMYFUNCTION("""COMPUTED_VALUE"""),"Other(s):")</f>
        <v>Other(s):</v>
      </c>
      <c r="F615" s="9" t="str">
        <f>IFERROR(__xludf.DUMMYFUNCTION("""COMPUTED_VALUE"""),"JavaScript")</f>
        <v>JavaScript</v>
      </c>
      <c r="G615" s="9" t="str">
        <f>IFERROR(__xludf.DUMMYFUNCTION("""COMPUTED_VALUE"""),"Bash/Shell/PowerShell")</f>
        <v>Bash/Shell/PowerShell</v>
      </c>
      <c r="H615" s="9" t="str">
        <f>IFERROR(__xludf.DUMMYFUNCTION("""COMPUTED_VALUE"""),"VBA")</f>
        <v>VBA</v>
      </c>
      <c r="I615" s="9" t="str">
        <f>IFERROR(__xludf.DUMMYFUNCTION("""COMPUTED_VALUE"""),"HTML/CSS")</f>
        <v>HTML/CSS</v>
      </c>
      <c r="J615" s="9" t="str">
        <f>IFERROR(__xludf.DUMMYFUNCTION("""COMPUTED_VALUE"""),"Clojure")</f>
        <v>Clojure</v>
      </c>
      <c r="K615" s="9" t="str">
        <f>IFERROR(__xludf.DUMMYFUNCTION("""COMPUTED_VALUE"""),"Java")</f>
        <v>Java</v>
      </c>
      <c r="L615" s="9" t="str">
        <f>IFERROR(__xludf.DUMMYFUNCTION("""COMPUTED_VALUE"""),"JavaScript")</f>
        <v>JavaScript</v>
      </c>
      <c r="M615" s="9" t="s">
        <v>25</v>
      </c>
    </row>
    <row r="616" ht="15.75" customHeight="1">
      <c r="A616" s="7"/>
      <c r="B616" s="7" t="str">
        <f>IFERROR(__xludf.DUMMYFUNCTION("""COMPUTED_VALUE"""),"Objective-C;Swift")</f>
        <v>Objective-C;Swift</v>
      </c>
      <c r="C616" s="9" t="str">
        <f>IFERROR(__xludf.DUMMYFUNCTION("""COMPUTED_VALUE"""),"C++")</f>
        <v>C++</v>
      </c>
      <c r="D616" s="9" t="str">
        <f>IFERROR(__xludf.DUMMYFUNCTION("""COMPUTED_VALUE"""),"SQL")</f>
        <v>SQL</v>
      </c>
      <c r="E616" s="9" t="str">
        <f>IFERROR(__xludf.DUMMYFUNCTION("""COMPUTED_VALUE"""),"Assembly")</f>
        <v>Assembly</v>
      </c>
      <c r="F616" s="9" t="str">
        <f>IFERROR(__xludf.DUMMYFUNCTION("""COMPUTED_VALUE"""),"TypeScript")</f>
        <v>TypeScript</v>
      </c>
      <c r="G616" s="9" t="str">
        <f>IFERROR(__xludf.DUMMYFUNCTION("""COMPUTED_VALUE"""),"Java")</f>
        <v>Java</v>
      </c>
      <c r="H616" s="9" t="str">
        <f>IFERROR(__xludf.DUMMYFUNCTION("""COMPUTED_VALUE"""),"Bash/Shell/PowerShell")</f>
        <v>Bash/Shell/PowerShell</v>
      </c>
      <c r="I616" s="9" t="str">
        <f>IFERROR(__xludf.DUMMYFUNCTION("""COMPUTED_VALUE"""),"Java")</f>
        <v>Java</v>
      </c>
      <c r="J616" s="9" t="str">
        <f>IFERROR(__xludf.DUMMYFUNCTION("""COMPUTED_VALUE"""),"JavaScript")</f>
        <v>JavaScript</v>
      </c>
      <c r="K616" s="9" t="str">
        <f>IFERROR(__xludf.DUMMYFUNCTION("""COMPUTED_VALUE"""),"PHP")</f>
        <v>PHP</v>
      </c>
      <c r="L616" s="9" t="str">
        <f>IFERROR(__xludf.DUMMYFUNCTION("""COMPUTED_VALUE"""),"Python")</f>
        <v>Python</v>
      </c>
      <c r="M616" s="9" t="s">
        <v>23</v>
      </c>
    </row>
    <row r="617" ht="15.75" customHeight="1">
      <c r="A617" s="7"/>
      <c r="B617" s="7" t="str">
        <f>IFERROR(__xludf.DUMMYFUNCTION("""COMPUTED_VALUE"""),"C++;HTML/CSS;JavaScript;PHP;Python")</f>
        <v>C++;HTML/CSS;JavaScript;PHP;Python</v>
      </c>
      <c r="C617" s="9" t="str">
        <f>IFERROR(__xludf.DUMMYFUNCTION("""COMPUTED_VALUE"""),"C")</f>
        <v>C</v>
      </c>
      <c r="D617" s="9" t="str">
        <f>IFERROR(__xludf.DUMMYFUNCTION("""COMPUTED_VALUE"""),"TypeScript")</f>
        <v>TypeScript</v>
      </c>
      <c r="E617" s="9" t="str">
        <f>IFERROR(__xludf.DUMMYFUNCTION("""COMPUTED_VALUE"""),"Bash/Shell/PowerShell")</f>
        <v>Bash/Shell/PowerShell</v>
      </c>
      <c r="F617" s="9" t="str">
        <f>IFERROR(__xludf.DUMMYFUNCTION("""COMPUTED_VALUE"""),"Bash/Shell/PowerShell")</f>
        <v>Bash/Shell/PowerShell</v>
      </c>
      <c r="G617" s="9" t="str">
        <f>IFERROR(__xludf.DUMMYFUNCTION("""COMPUTED_VALUE"""),"JavaScript")</f>
        <v>JavaScript</v>
      </c>
      <c r="H617" s="9" t="str">
        <f>IFERROR(__xludf.DUMMYFUNCTION("""COMPUTED_VALUE"""),"C")</f>
        <v>C</v>
      </c>
      <c r="I617" s="9" t="str">
        <f>IFERROR(__xludf.DUMMYFUNCTION("""COMPUTED_VALUE"""),"JavaScript")</f>
        <v>JavaScript</v>
      </c>
      <c r="J617" s="9" t="str">
        <f>IFERROR(__xludf.DUMMYFUNCTION("""COMPUTED_VALUE"""),"Objective-C")</f>
        <v>Objective-C</v>
      </c>
      <c r="K617" s="9" t="str">
        <f>IFERROR(__xludf.DUMMYFUNCTION("""COMPUTED_VALUE"""),"Python")</f>
        <v>Python</v>
      </c>
      <c r="L617" s="9" t="str">
        <f>IFERROR(__xludf.DUMMYFUNCTION("""COMPUTED_VALUE"""),"Other(s):")</f>
        <v>Other(s):</v>
      </c>
      <c r="M617" s="9" t="s">
        <v>25</v>
      </c>
    </row>
    <row r="618" ht="15.75" customHeight="1">
      <c r="A618" s="7"/>
      <c r="B618" s="7" t="str">
        <f>IFERROR(__xludf.DUMMYFUNCTION("""COMPUTED_VALUE"""),"Bash/Shell/PowerShell;HTML/CSS;JavaScript;Ruby;TypeScript")</f>
        <v>Bash/Shell/PowerShell;HTML/CSS;JavaScript;Ruby;TypeScript</v>
      </c>
      <c r="C618" s="9" t="str">
        <f>IFERROR(__xludf.DUMMYFUNCTION("""COMPUTED_VALUE"""),"C++")</f>
        <v>C++</v>
      </c>
      <c r="D618" s="9" t="str">
        <f>IFERROR(__xludf.DUMMYFUNCTION("""COMPUTED_VALUE"""),"Bash/Shell/PowerShell")</f>
        <v>Bash/Shell/PowerShell</v>
      </c>
      <c r="E618" s="9" t="str">
        <f>IFERROR(__xludf.DUMMYFUNCTION("""COMPUTED_VALUE"""),"C")</f>
        <v>C</v>
      </c>
      <c r="F618" s="9" t="str">
        <f>IFERROR(__xludf.DUMMYFUNCTION("""COMPUTED_VALUE"""),"C")</f>
        <v>C</v>
      </c>
      <c r="G618" s="9" t="str">
        <f>IFERROR(__xludf.DUMMYFUNCTION("""COMPUTED_VALUE"""),"Rust")</f>
        <v>Rust</v>
      </c>
      <c r="H618" s="9" t="str">
        <f>IFERROR(__xludf.DUMMYFUNCTION("""COMPUTED_VALUE"""),"C++")</f>
        <v>C++</v>
      </c>
      <c r="I618" s="9" t="str">
        <f>IFERROR(__xludf.DUMMYFUNCTION("""COMPUTED_VALUE"""),"Kotlin")</f>
        <v>Kotlin</v>
      </c>
      <c r="J618" s="9" t="str">
        <f>IFERROR(__xludf.DUMMYFUNCTION("""COMPUTED_VALUE"""),"SQL")</f>
        <v>SQL</v>
      </c>
      <c r="K618" s="9" t="str">
        <f>IFERROR(__xludf.DUMMYFUNCTION("""COMPUTED_VALUE"""),"SQL")</f>
        <v>SQL</v>
      </c>
      <c r="L618" s="9" t="str">
        <f>IFERROR(__xludf.DUMMYFUNCTION("""COMPUTED_VALUE"""),"Bash/Shell/PowerShell")</f>
        <v>Bash/Shell/PowerShell</v>
      </c>
      <c r="M618" s="9" t="s">
        <v>23</v>
      </c>
    </row>
    <row r="619" ht="15.75" customHeight="1">
      <c r="A619" s="7"/>
      <c r="B619" s="7" t="str">
        <f>IFERROR(__xludf.DUMMYFUNCTION("""COMPUTED_VALUE"""),"HTML/CSS;Java;JavaScript;SQL")</f>
        <v>HTML/CSS;Java;JavaScript;SQL</v>
      </c>
      <c r="C619" s="9" t="str">
        <f>IFERROR(__xludf.DUMMYFUNCTION("""COMPUTED_VALUE"""),"C#")</f>
        <v>C#</v>
      </c>
      <c r="D619" s="9" t="str">
        <f>IFERROR(__xludf.DUMMYFUNCTION("""COMPUTED_VALUE"""),"HTML/CSS")</f>
        <v>HTML/CSS</v>
      </c>
      <c r="E619" s="9" t="str">
        <f>IFERROR(__xludf.DUMMYFUNCTION("""COMPUTED_VALUE"""),"C++")</f>
        <v>C++</v>
      </c>
      <c r="F619" s="9" t="str">
        <f>IFERROR(__xludf.DUMMYFUNCTION("""COMPUTED_VALUE"""),"C++")</f>
        <v>C++</v>
      </c>
      <c r="G619" s="9" t="str">
        <f>IFERROR(__xludf.DUMMYFUNCTION("""COMPUTED_VALUE"""),"Scala")</f>
        <v>Scala</v>
      </c>
      <c r="H619" s="9" t="str">
        <f>IFERROR(__xludf.DUMMYFUNCTION("""COMPUTED_VALUE"""),"HTML/CSS")</f>
        <v>HTML/CSS</v>
      </c>
      <c r="I619" s="9" t="str">
        <f>IFERROR(__xludf.DUMMYFUNCTION("""COMPUTED_VALUE"""),"Objective-C")</f>
        <v>Objective-C</v>
      </c>
      <c r="J619" s="9" t="str">
        <f>IFERROR(__xludf.DUMMYFUNCTION("""COMPUTED_VALUE"""),"C")</f>
        <v>C</v>
      </c>
      <c r="K619" s="9" t="str">
        <f>IFERROR(__xludf.DUMMYFUNCTION("""COMPUTED_VALUE"""),"Bash/Shell/PowerShell")</f>
        <v>Bash/Shell/PowerShell</v>
      </c>
      <c r="L619" s="9" t="str">
        <f>IFERROR(__xludf.DUMMYFUNCTION("""COMPUTED_VALUE"""),"C")</f>
        <v>C</v>
      </c>
      <c r="M619" s="9" t="s">
        <v>26</v>
      </c>
    </row>
    <row r="620" ht="15.75" customHeight="1">
      <c r="A620" s="7"/>
      <c r="B620" s="7" t="str">
        <f>IFERROR(__xludf.DUMMYFUNCTION("""COMPUTED_VALUE"""),"Assembly;Bash/Shell/PowerShell;C++;C#;Go;HTML/CSS;JavaScript;Objective-C;PHP;Python;Ruby;SQL;Swift")</f>
        <v>Assembly;Bash/Shell/PowerShell;C++;C#;Go;HTML/CSS;JavaScript;Objective-C;PHP;Python;Ruby;SQL;Swift</v>
      </c>
      <c r="C620" s="9" t="str">
        <f>IFERROR(__xludf.DUMMYFUNCTION("""COMPUTED_VALUE"""),"HTML/CSS")</f>
        <v>HTML/CSS</v>
      </c>
      <c r="D620" s="9" t="str">
        <f>IFERROR(__xludf.DUMMYFUNCTION("""COMPUTED_VALUE"""),"JavaScript")</f>
        <v>JavaScript</v>
      </c>
      <c r="E620" s="9" t="str">
        <f>IFERROR(__xludf.DUMMYFUNCTION("""COMPUTED_VALUE"""),"Java")</f>
        <v>Java</v>
      </c>
      <c r="F620" s="9" t="str">
        <f>IFERROR(__xludf.DUMMYFUNCTION("""COMPUTED_VALUE"""),"HTML/CSS")</f>
        <v>HTML/CSS</v>
      </c>
      <c r="G620" s="9" t="str">
        <f>IFERROR(__xludf.DUMMYFUNCTION("""COMPUTED_VALUE"""),"TypeScript")</f>
        <v>TypeScript</v>
      </c>
      <c r="H620" s="9" t="str">
        <f>IFERROR(__xludf.DUMMYFUNCTION("""COMPUTED_VALUE"""),"Other(s):")</f>
        <v>Other(s):</v>
      </c>
      <c r="I620" s="9" t="str">
        <f>IFERROR(__xludf.DUMMYFUNCTION("""COMPUTED_VALUE"""),"PHP")</f>
        <v>PHP</v>
      </c>
      <c r="J620" s="9" t="str">
        <f>IFERROR(__xludf.DUMMYFUNCTION("""COMPUTED_VALUE"""),"C++")</f>
        <v>C++</v>
      </c>
      <c r="K620" s="9" t="str">
        <f>IFERROR(__xludf.DUMMYFUNCTION("""COMPUTED_VALUE"""),"C#")</f>
        <v>C#</v>
      </c>
      <c r="L620" s="9" t="str">
        <f>IFERROR(__xludf.DUMMYFUNCTION("""COMPUTED_VALUE"""),"C++")</f>
        <v>C++</v>
      </c>
      <c r="M620" s="9" t="s">
        <v>24</v>
      </c>
    </row>
    <row r="621" ht="15.75" customHeight="1">
      <c r="A621" s="7"/>
      <c r="B621" s="7" t="str">
        <f>IFERROR(__xludf.DUMMYFUNCTION("""COMPUTED_VALUE"""),"Bash/Shell/PowerShell;JavaScript;SQL;TypeScript")</f>
        <v>Bash/Shell/PowerShell;JavaScript;SQL;TypeScript</v>
      </c>
      <c r="C621" s="9" t="str">
        <f>IFERROR(__xludf.DUMMYFUNCTION("""COMPUTED_VALUE"""),"Java")</f>
        <v>Java</v>
      </c>
      <c r="D621" s="9" t="str">
        <f>IFERROR(__xludf.DUMMYFUNCTION("""COMPUTED_VALUE"""),"Ruby")</f>
        <v>Ruby</v>
      </c>
      <c r="E621" s="9" t="str">
        <f>IFERROR(__xludf.DUMMYFUNCTION("""COMPUTED_VALUE"""),"JavaScript")</f>
        <v>JavaScript</v>
      </c>
      <c r="F621" s="9" t="str">
        <f>IFERROR(__xludf.DUMMYFUNCTION("""COMPUTED_VALUE"""),"JavaScript")</f>
        <v>JavaScript</v>
      </c>
      <c r="G621" s="9" t="str">
        <f>IFERROR(__xludf.DUMMYFUNCTION("""COMPUTED_VALUE"""),"C#")</f>
        <v>C#</v>
      </c>
      <c r="H621" s="9" t="str">
        <f>IFERROR(__xludf.DUMMYFUNCTION("""COMPUTED_VALUE"""),"Bash/Shell/PowerShell")</f>
        <v>Bash/Shell/PowerShell</v>
      </c>
      <c r="I621" s="9" t="str">
        <f>IFERROR(__xludf.DUMMYFUNCTION("""COMPUTED_VALUE"""),"SQL")</f>
        <v>SQL</v>
      </c>
      <c r="J621" s="9" t="str">
        <f>IFERROR(__xludf.DUMMYFUNCTION("""COMPUTED_VALUE"""),"C#")</f>
        <v>C#</v>
      </c>
      <c r="K621" s="9" t="str">
        <f>IFERROR(__xludf.DUMMYFUNCTION("""COMPUTED_VALUE"""),"Python")</f>
        <v>Python</v>
      </c>
      <c r="L621" s="9" t="str">
        <f>IFERROR(__xludf.DUMMYFUNCTION("""COMPUTED_VALUE"""),"C#")</f>
        <v>C#</v>
      </c>
      <c r="M621" s="9" t="s">
        <v>20</v>
      </c>
    </row>
    <row r="622" ht="15.75" customHeight="1">
      <c r="A622" s="7"/>
      <c r="B622" s="7" t="str">
        <f>IFERROR(__xludf.DUMMYFUNCTION("""COMPUTED_VALUE"""),"Assembly;Bash/Shell/PowerShell;C;C++;C#;HTML/CSS;Java;Objective-C;SQL")</f>
        <v>Assembly;Bash/Shell/PowerShell;C;C++;C#;HTML/CSS;Java;Objective-C;SQL</v>
      </c>
      <c r="C622" s="9" t="str">
        <f>IFERROR(__xludf.DUMMYFUNCTION("""COMPUTED_VALUE"""),"JavaScript")</f>
        <v>JavaScript</v>
      </c>
      <c r="D622" s="9" t="str">
        <f>IFERROR(__xludf.DUMMYFUNCTION("""COMPUTED_VALUE"""),"SQL")</f>
        <v>SQL</v>
      </c>
      <c r="E622" s="9" t="str">
        <f>IFERROR(__xludf.DUMMYFUNCTION("""COMPUTED_VALUE"""),"PHP")</f>
        <v>PHP</v>
      </c>
      <c r="F622" s="9" t="str">
        <f>IFERROR(__xludf.DUMMYFUNCTION("""COMPUTED_VALUE"""),"PHP")</f>
        <v>PHP</v>
      </c>
      <c r="G622" s="9" t="str">
        <f>IFERROR(__xludf.DUMMYFUNCTION("""COMPUTED_VALUE"""),"HTML/CSS")</f>
        <v>HTML/CSS</v>
      </c>
      <c r="H622" s="9" t="str">
        <f>IFERROR(__xludf.DUMMYFUNCTION("""COMPUTED_VALUE"""),"C#")</f>
        <v>C#</v>
      </c>
      <c r="I622" s="9" t="str">
        <f>IFERROR(__xludf.DUMMYFUNCTION("""COMPUTED_VALUE"""),"TypeScript")</f>
        <v>TypeScript</v>
      </c>
      <c r="J622" s="9" t="str">
        <f>IFERROR(__xludf.DUMMYFUNCTION("""COMPUTED_VALUE"""),"Java")</f>
        <v>Java</v>
      </c>
      <c r="K622" s="9" t="str">
        <f>IFERROR(__xludf.DUMMYFUNCTION("""COMPUTED_VALUE"""),"SQL")</f>
        <v>SQL</v>
      </c>
      <c r="L622" s="9" t="str">
        <f>IFERROR(__xludf.DUMMYFUNCTION("""COMPUTED_VALUE"""),"HTML/CSS")</f>
        <v>HTML/CSS</v>
      </c>
      <c r="M622" s="9" t="s">
        <v>21</v>
      </c>
    </row>
    <row r="623" ht="15.75" customHeight="1">
      <c r="A623" s="7"/>
      <c r="B623" s="7" t="str">
        <f>IFERROR(__xludf.DUMMYFUNCTION("""COMPUTED_VALUE"""),"C#;HTML/CSS;JavaScript;SQL;TypeScript")</f>
        <v>C#;HTML/CSS;JavaScript;SQL;TypeScript</v>
      </c>
      <c r="C623" s="9" t="str">
        <f>IFERROR(__xludf.DUMMYFUNCTION("""COMPUTED_VALUE"""),"SQL")</f>
        <v>SQL</v>
      </c>
      <c r="D623" s="9" t="str">
        <f>IFERROR(__xludf.DUMMYFUNCTION("""COMPUTED_VALUE"""),"C#")</f>
        <v>C#</v>
      </c>
      <c r="E623" s="9" t="str">
        <f>IFERROR(__xludf.DUMMYFUNCTION("""COMPUTED_VALUE"""),"Python")</f>
        <v>Python</v>
      </c>
      <c r="F623" s="9" t="str">
        <f>IFERROR(__xludf.DUMMYFUNCTION("""COMPUTED_VALUE"""),"Python")</f>
        <v>Python</v>
      </c>
      <c r="G623" s="9" t="str">
        <f>IFERROR(__xludf.DUMMYFUNCTION("""COMPUTED_VALUE"""),"JavaScript")</f>
        <v>JavaScript</v>
      </c>
      <c r="H623" s="9" t="str">
        <f>IFERROR(__xludf.DUMMYFUNCTION("""COMPUTED_VALUE"""),"HTML/CSS")</f>
        <v>HTML/CSS</v>
      </c>
      <c r="I623" s="9" t="str">
        <f>IFERROR(__xludf.DUMMYFUNCTION("""COMPUTED_VALUE"""),"Assembly")</f>
        <v>Assembly</v>
      </c>
      <c r="J623" s="9" t="str">
        <f>IFERROR(__xludf.DUMMYFUNCTION("""COMPUTED_VALUE"""),"PHP")</f>
        <v>PHP</v>
      </c>
      <c r="K623" s="9" t="str">
        <f>IFERROR(__xludf.DUMMYFUNCTION("""COMPUTED_VALUE"""),"Swift")</f>
        <v>Swift</v>
      </c>
      <c r="L623" s="9" t="str">
        <f>IFERROR(__xludf.DUMMYFUNCTION("""COMPUTED_VALUE"""),"JavaScript")</f>
        <v>JavaScript</v>
      </c>
      <c r="M623" s="9" t="s">
        <v>27</v>
      </c>
    </row>
    <row r="624" ht="15.75" customHeight="1">
      <c r="A624" s="7"/>
      <c r="B624" s="7" t="str">
        <f>IFERROR(__xludf.DUMMYFUNCTION("""COMPUTED_VALUE"""),"Bash/Shell/PowerShell;Go;HTML/CSS;JavaScript;Python;SQL")</f>
        <v>Bash/Shell/PowerShell;Go;HTML/CSS;JavaScript;Python;SQL</v>
      </c>
      <c r="C624" s="9" t="str">
        <f>IFERROR(__xludf.DUMMYFUNCTION("""COMPUTED_VALUE"""),"Elixir")</f>
        <v>Elixir</v>
      </c>
      <c r="D624" s="9" t="str">
        <f>IFERROR(__xludf.DUMMYFUNCTION("""COMPUTED_VALUE"""),"HTML/CSS")</f>
        <v>HTML/CSS</v>
      </c>
      <c r="E624" s="9" t="str">
        <f>IFERROR(__xludf.DUMMYFUNCTION("""COMPUTED_VALUE"""),"SQL")</f>
        <v>SQL</v>
      </c>
      <c r="F624" s="9" t="str">
        <f>IFERROR(__xludf.DUMMYFUNCTION("""COMPUTED_VALUE"""),"SQL")</f>
        <v>SQL</v>
      </c>
      <c r="G624" s="9" t="str">
        <f>IFERROR(__xludf.DUMMYFUNCTION("""COMPUTED_VALUE"""),"Ruby")</f>
        <v>Ruby</v>
      </c>
      <c r="H624" s="9" t="str">
        <f>IFERROR(__xludf.DUMMYFUNCTION("""COMPUTED_VALUE"""),"JavaScript")</f>
        <v>JavaScript</v>
      </c>
      <c r="I624" s="9" t="str">
        <f>IFERROR(__xludf.DUMMYFUNCTION("""COMPUTED_VALUE"""),"C")</f>
        <v>C</v>
      </c>
      <c r="J624" s="9" t="str">
        <f>IFERROR(__xludf.DUMMYFUNCTION("""COMPUTED_VALUE"""),"SQL")</f>
        <v>SQL</v>
      </c>
      <c r="K624" s="9" t="str">
        <f>IFERROR(__xludf.DUMMYFUNCTION("""COMPUTED_VALUE"""),"Other(s):")</f>
        <v>Other(s):</v>
      </c>
      <c r="L624" s="9" t="str">
        <f>IFERROR(__xludf.DUMMYFUNCTION("""COMPUTED_VALUE"""),"PHP")</f>
        <v>PHP</v>
      </c>
      <c r="M624" s="9" t="s">
        <v>42</v>
      </c>
    </row>
    <row r="625" ht="15.75" customHeight="1">
      <c r="A625" s="7"/>
      <c r="B625" s="7" t="str">
        <f>IFERROR(__xludf.DUMMYFUNCTION("""COMPUTED_VALUE"""),"C#;HTML/CSS;JavaScript;SQL")</f>
        <v>C#;HTML/CSS;JavaScript;SQL</v>
      </c>
      <c r="C625" s="9" t="str">
        <f>IFERROR(__xludf.DUMMYFUNCTION("""COMPUTED_VALUE"""),"HTML/CSS")</f>
        <v>HTML/CSS</v>
      </c>
      <c r="D625" s="9" t="str">
        <f>IFERROR(__xludf.DUMMYFUNCTION("""COMPUTED_VALUE"""),"Java")</f>
        <v>Java</v>
      </c>
      <c r="E625" s="9" t="str">
        <f>IFERROR(__xludf.DUMMYFUNCTION("""COMPUTED_VALUE"""),"WebAssembly")</f>
        <v>WebAssembly</v>
      </c>
      <c r="F625" s="9" t="str">
        <f>IFERROR(__xludf.DUMMYFUNCTION("""COMPUTED_VALUE"""),"Other(s):")</f>
        <v>Other(s):</v>
      </c>
      <c r="G625" s="9" t="str">
        <f>IFERROR(__xludf.DUMMYFUNCTION("""COMPUTED_VALUE"""),"SQL")</f>
        <v>SQL</v>
      </c>
      <c r="H625" s="9" t="str">
        <f>IFERROR(__xludf.DUMMYFUNCTION("""COMPUTED_VALUE"""),"PHP")</f>
        <v>PHP</v>
      </c>
      <c r="I625" s="9" t="str">
        <f>IFERROR(__xludf.DUMMYFUNCTION("""COMPUTED_VALUE"""),"C++")</f>
        <v>C++</v>
      </c>
      <c r="J625" s="9" t="str">
        <f>IFERROR(__xludf.DUMMYFUNCTION("""COMPUTED_VALUE"""),"Bash/Shell/PowerShell")</f>
        <v>Bash/Shell/PowerShell</v>
      </c>
      <c r="K625" s="9" t="str">
        <f>IFERROR(__xludf.DUMMYFUNCTION("""COMPUTED_VALUE"""),"HTML/CSS")</f>
        <v>HTML/CSS</v>
      </c>
      <c r="L625" s="9" t="str">
        <f>IFERROR(__xludf.DUMMYFUNCTION("""COMPUTED_VALUE"""),"Python")</f>
        <v>Python</v>
      </c>
      <c r="M625" s="9" t="s">
        <v>24</v>
      </c>
    </row>
    <row r="626" ht="15.75" customHeight="1">
      <c r="A626" s="7"/>
      <c r="B626" s="7" t="str">
        <f>IFERROR(__xludf.DUMMYFUNCTION("""COMPUTED_VALUE"""),"C;C++;Python;Rust")</f>
        <v>C;C++;Python;Rust</v>
      </c>
      <c r="C626" s="9" t="str">
        <f>IFERROR(__xludf.DUMMYFUNCTION("""COMPUTED_VALUE"""),"JavaScript")</f>
        <v>JavaScript</v>
      </c>
      <c r="D626" s="9" t="str">
        <f>IFERROR(__xludf.DUMMYFUNCTION("""COMPUTED_VALUE"""),"JavaScript")</f>
        <v>JavaScript</v>
      </c>
      <c r="E626" s="9" t="str">
        <f>IFERROR(__xludf.DUMMYFUNCTION("""COMPUTED_VALUE"""),"Bash/Shell/PowerShell")</f>
        <v>Bash/Shell/PowerShell</v>
      </c>
      <c r="F626" s="9" t="str">
        <f>IFERROR(__xludf.DUMMYFUNCTION("""COMPUTED_VALUE"""),"C#")</f>
        <v>C#</v>
      </c>
      <c r="G626" s="9" t="str">
        <f>IFERROR(__xludf.DUMMYFUNCTION("""COMPUTED_VALUE"""),"TypeScript")</f>
        <v>TypeScript</v>
      </c>
      <c r="H626" s="9" t="str">
        <f>IFERROR(__xludf.DUMMYFUNCTION("""COMPUTED_VALUE"""),"SQL")</f>
        <v>SQL</v>
      </c>
      <c r="I626" s="9" t="str">
        <f>IFERROR(__xludf.DUMMYFUNCTION("""COMPUTED_VALUE"""),"C#")</f>
        <v>C#</v>
      </c>
      <c r="J626" s="9" t="str">
        <f>IFERROR(__xludf.DUMMYFUNCTION("""COMPUTED_VALUE"""),"Go")</f>
        <v>Go</v>
      </c>
      <c r="K626" s="9" t="str">
        <f>IFERROR(__xludf.DUMMYFUNCTION("""COMPUTED_VALUE"""),"JavaScript")</f>
        <v>JavaScript</v>
      </c>
      <c r="L626" s="9" t="str">
        <f>IFERROR(__xludf.DUMMYFUNCTION("""COMPUTED_VALUE"""),"SQL")</f>
        <v>SQL</v>
      </c>
      <c r="M626" s="9" t="s">
        <v>21</v>
      </c>
    </row>
    <row r="627" ht="15.75" customHeight="1">
      <c r="A627" s="7"/>
      <c r="B627" s="7" t="str">
        <f>IFERROR(__xludf.DUMMYFUNCTION("""COMPUTED_VALUE"""),"C;C++;C#;HTML/CSS;Java;JavaScript;Objective-C;Scala;SQL;Swift;TypeScript")</f>
        <v>C;C++;C#;HTML/CSS;Java;JavaScript;Objective-C;Scala;SQL;Swift;TypeScript</v>
      </c>
      <c r="C627" s="9" t="str">
        <f>IFERROR(__xludf.DUMMYFUNCTION("""COMPUTED_VALUE"""),"Python")</f>
        <v>Python</v>
      </c>
      <c r="D627" s="9" t="str">
        <f>IFERROR(__xludf.DUMMYFUNCTION("""COMPUTED_VALUE"""),"PHP")</f>
        <v>PHP</v>
      </c>
      <c r="E627" s="9" t="str">
        <f>IFERROR(__xludf.DUMMYFUNCTION("""COMPUTED_VALUE"""),"JavaScript")</f>
        <v>JavaScript</v>
      </c>
      <c r="F627" s="9" t="str">
        <f>IFERROR(__xludf.DUMMYFUNCTION("""COMPUTED_VALUE"""),"HTML/CSS")</f>
        <v>HTML/CSS</v>
      </c>
      <c r="G627" s="9" t="str">
        <f>IFERROR(__xludf.DUMMYFUNCTION("""COMPUTED_VALUE"""),"Java")</f>
        <v>Java</v>
      </c>
      <c r="H627" s="9" t="str">
        <f>IFERROR(__xludf.DUMMYFUNCTION("""COMPUTED_VALUE"""),"TypeScript")</f>
        <v>TypeScript</v>
      </c>
      <c r="I627" s="9" t="str">
        <f>IFERROR(__xludf.DUMMYFUNCTION("""COMPUTED_VALUE"""),"F#")</f>
        <v>F#</v>
      </c>
      <c r="J627" s="9" t="str">
        <f>IFERROR(__xludf.DUMMYFUNCTION("""COMPUTED_VALUE"""),"HTML/CSS")</f>
        <v>HTML/CSS</v>
      </c>
      <c r="K627" s="9" t="str">
        <f>IFERROR(__xludf.DUMMYFUNCTION("""COMPUTED_VALUE"""),"PHP")</f>
        <v>PHP</v>
      </c>
      <c r="L627" s="9" t="str">
        <f>IFERROR(__xludf.DUMMYFUNCTION("""COMPUTED_VALUE"""),"Bash/Shell/PowerShell")</f>
        <v>Bash/Shell/PowerShell</v>
      </c>
      <c r="M627" s="9" t="s">
        <v>22</v>
      </c>
    </row>
    <row r="628" ht="15.75" customHeight="1">
      <c r="A628" s="7"/>
      <c r="B628" s="7" t="str">
        <f>IFERROR(__xludf.DUMMYFUNCTION("""COMPUTED_VALUE"""),"Bash/Shell/PowerShell;JavaScript;Python")</f>
        <v>Bash/Shell/PowerShell;JavaScript;Python</v>
      </c>
      <c r="C628" s="9" t="str">
        <f>IFERROR(__xludf.DUMMYFUNCTION("""COMPUTED_VALUE"""),"Ruby")</f>
        <v>Ruby</v>
      </c>
      <c r="D628" s="9" t="str">
        <f>IFERROR(__xludf.DUMMYFUNCTION("""COMPUTED_VALUE"""),"Python")</f>
        <v>Python</v>
      </c>
      <c r="E628" s="9" t="str">
        <f>IFERROR(__xludf.DUMMYFUNCTION("""COMPUTED_VALUE"""),"PHP")</f>
        <v>PHP</v>
      </c>
      <c r="F628" s="9" t="str">
        <f>IFERROR(__xludf.DUMMYFUNCTION("""COMPUTED_VALUE"""),"JavaScript")</f>
        <v>JavaScript</v>
      </c>
      <c r="G628" s="9" t="str">
        <f>IFERROR(__xludf.DUMMYFUNCTION("""COMPUTED_VALUE"""),"JavaScript")</f>
        <v>JavaScript</v>
      </c>
      <c r="H628" s="9" t="str">
        <f>IFERROR(__xludf.DUMMYFUNCTION("""COMPUTED_VALUE"""),"C++")</f>
        <v>C++</v>
      </c>
      <c r="I628" s="9" t="str">
        <f>IFERROR(__xludf.DUMMYFUNCTION("""COMPUTED_VALUE"""),"HTML/CSS")</f>
        <v>HTML/CSS</v>
      </c>
      <c r="J628" s="9" t="str">
        <f>IFERROR(__xludf.DUMMYFUNCTION("""COMPUTED_VALUE"""),"Java")</f>
        <v>Java</v>
      </c>
      <c r="K628" s="9" t="str">
        <f>IFERROR(__xludf.DUMMYFUNCTION("""COMPUTED_VALUE"""),"SQL")</f>
        <v>SQL</v>
      </c>
      <c r="L628" s="9" t="str">
        <f>IFERROR(__xludf.DUMMYFUNCTION("""COMPUTED_VALUE"""),"HTML/CSS")</f>
        <v>HTML/CSS</v>
      </c>
      <c r="M628" s="9" t="s">
        <v>31</v>
      </c>
    </row>
    <row r="629" ht="15.75" customHeight="1">
      <c r="A629" s="7"/>
      <c r="B629" s="7" t="str">
        <f>IFERROR(__xludf.DUMMYFUNCTION("""COMPUTED_VALUE"""),"Bash/Shell/PowerShell;C;C++;Go;Java")</f>
        <v>Bash/Shell/PowerShell;C;C++;Go;Java</v>
      </c>
      <c r="C629" s="9" t="str">
        <f>IFERROR(__xludf.DUMMYFUNCTION("""COMPUTED_VALUE"""),"SQL")</f>
        <v>SQL</v>
      </c>
      <c r="D629" s="9" t="str">
        <f>IFERROR(__xludf.DUMMYFUNCTION("""COMPUTED_VALUE"""),"TypeScript")</f>
        <v>TypeScript</v>
      </c>
      <c r="E629" s="9" t="str">
        <f>IFERROR(__xludf.DUMMYFUNCTION("""COMPUTED_VALUE"""),"SQL")</f>
        <v>SQL</v>
      </c>
      <c r="F629" s="9" t="str">
        <f>IFERROR(__xludf.DUMMYFUNCTION("""COMPUTED_VALUE"""),"TypeScript")</f>
        <v>TypeScript</v>
      </c>
      <c r="G629" s="9" t="str">
        <f>IFERROR(__xludf.DUMMYFUNCTION("""COMPUTED_VALUE"""),"Other(s):")</f>
        <v>Other(s):</v>
      </c>
      <c r="H629" s="9" t="str">
        <f>IFERROR(__xludf.DUMMYFUNCTION("""COMPUTED_VALUE"""),"Python")</f>
        <v>Python</v>
      </c>
      <c r="I629" s="9" t="str">
        <f>IFERROR(__xludf.DUMMYFUNCTION("""COMPUTED_VALUE"""),"JavaScript")</f>
        <v>JavaScript</v>
      </c>
      <c r="J629" s="9" t="str">
        <f>IFERROR(__xludf.DUMMYFUNCTION("""COMPUTED_VALUE"""),"Python")</f>
        <v>Python</v>
      </c>
      <c r="K629" s="9" t="str">
        <f>IFERROR(__xludf.DUMMYFUNCTION("""COMPUTED_VALUE"""),"Other(s):")</f>
        <v>Other(s):</v>
      </c>
      <c r="L629" s="9" t="str">
        <f>IFERROR(__xludf.DUMMYFUNCTION("""COMPUTED_VALUE"""),"JavaScript")</f>
        <v>JavaScript</v>
      </c>
      <c r="M629" s="9" t="s">
        <v>27</v>
      </c>
    </row>
    <row r="630" ht="15.75" customHeight="1">
      <c r="A630" s="7"/>
      <c r="B630" s="7" t="str">
        <f>IFERROR(__xludf.DUMMYFUNCTION("""COMPUTED_VALUE"""),"C++;C#;HTML/CSS;Java;JavaScript;SQL")</f>
        <v>C++;C#;HTML/CSS;Java;JavaScript;SQL</v>
      </c>
      <c r="C630" s="9" t="str">
        <f>IFERROR(__xludf.DUMMYFUNCTION("""COMPUTED_VALUE"""),"Bash/Shell/PowerShell")</f>
        <v>Bash/Shell/PowerShell</v>
      </c>
      <c r="D630" s="9" t="str">
        <f>IFERROR(__xludf.DUMMYFUNCTION("""COMPUTED_VALUE"""),"JavaScript")</f>
        <v>JavaScript</v>
      </c>
      <c r="E630" s="9" t="str">
        <f>IFERROR(__xludf.DUMMYFUNCTION("""COMPUTED_VALUE"""),"Assembly")</f>
        <v>Assembly</v>
      </c>
      <c r="F630" s="9" t="str">
        <f>IFERROR(__xludf.DUMMYFUNCTION("""COMPUTED_VALUE"""),"Bash/Shell/PowerShell")</f>
        <v>Bash/Shell/PowerShell</v>
      </c>
      <c r="G630" s="9" t="str">
        <f>IFERROR(__xludf.DUMMYFUNCTION("""COMPUTED_VALUE"""),"HTML/CSS")</f>
        <v>HTML/CSS</v>
      </c>
      <c r="H630" s="9" t="str">
        <f>IFERROR(__xludf.DUMMYFUNCTION("""COMPUTED_VALUE"""),"HTML/CSS")</f>
        <v>HTML/CSS</v>
      </c>
      <c r="I630" s="9" t="str">
        <f>IFERROR(__xludf.DUMMYFUNCTION("""COMPUTED_VALUE"""),"Python")</f>
        <v>Python</v>
      </c>
      <c r="J630" s="9" t="str">
        <f>IFERROR(__xludf.DUMMYFUNCTION("""COMPUTED_VALUE"""),"Ruby")</f>
        <v>Ruby</v>
      </c>
      <c r="K630" s="9" t="str">
        <f>IFERROR(__xludf.DUMMYFUNCTION("""COMPUTED_VALUE"""),"Java")</f>
        <v>Java</v>
      </c>
      <c r="L630" s="9" t="str">
        <f>IFERROR(__xludf.DUMMYFUNCTION("""COMPUTED_VALUE"""),"PHP")</f>
        <v>PHP</v>
      </c>
      <c r="M630" s="9" t="s">
        <v>30</v>
      </c>
    </row>
    <row r="631" ht="15.75" customHeight="1">
      <c r="A631" s="7"/>
      <c r="B631" s="7" t="str">
        <f>IFERROR(__xludf.DUMMYFUNCTION("""COMPUTED_VALUE"""),"Bash/Shell/PowerShell;C#;HTML/CSS;JavaScript;Rust")</f>
        <v>Bash/Shell/PowerShell;C#;HTML/CSS;JavaScript;Rust</v>
      </c>
      <c r="C631" s="9" t="str">
        <f>IFERROR(__xludf.DUMMYFUNCTION("""COMPUTED_VALUE"""),"C")</f>
        <v>C</v>
      </c>
      <c r="D631" s="9" t="str">
        <f>IFERROR(__xludf.DUMMYFUNCTION("""COMPUTED_VALUE"""),"Python")</f>
        <v>Python</v>
      </c>
      <c r="E631" s="9" t="str">
        <f>IFERROR(__xludf.DUMMYFUNCTION("""COMPUTED_VALUE"""),"C++")</f>
        <v>C++</v>
      </c>
      <c r="F631" s="9" t="str">
        <f>IFERROR(__xludf.DUMMYFUNCTION("""COMPUTED_VALUE"""),"C#")</f>
        <v>C#</v>
      </c>
      <c r="G631" s="9" t="str">
        <f>IFERROR(__xludf.DUMMYFUNCTION("""COMPUTED_VALUE"""),"JavaScript")</f>
        <v>JavaScript</v>
      </c>
      <c r="H631" s="9" t="str">
        <f>IFERROR(__xludf.DUMMYFUNCTION("""COMPUTED_VALUE"""),"JavaScript")</f>
        <v>JavaScript</v>
      </c>
      <c r="I631" s="9" t="str">
        <f>IFERROR(__xludf.DUMMYFUNCTION("""COMPUTED_VALUE"""),"SQL")</f>
        <v>SQL</v>
      </c>
      <c r="J631" s="9" t="str">
        <f>IFERROR(__xludf.DUMMYFUNCTION("""COMPUTED_VALUE"""),"C")</f>
        <v>C</v>
      </c>
      <c r="K631" s="9" t="str">
        <f>IFERROR(__xludf.DUMMYFUNCTION("""COMPUTED_VALUE"""),"SQL")</f>
        <v>SQL</v>
      </c>
      <c r="L631" s="9" t="str">
        <f>IFERROR(__xludf.DUMMYFUNCTION("""COMPUTED_VALUE"""),"Swift")</f>
        <v>Swift</v>
      </c>
      <c r="M631" s="9" t="s">
        <v>25</v>
      </c>
    </row>
    <row r="632" ht="15.75" customHeight="1">
      <c r="A632" s="7"/>
      <c r="B632" s="7" t="str">
        <f>IFERROR(__xludf.DUMMYFUNCTION("""COMPUTED_VALUE"""),"HTML/CSS;JavaScript;Kotlin;SQL;Swift")</f>
        <v>HTML/CSS;JavaScript;Kotlin;SQL;Swift</v>
      </c>
      <c r="C632" s="9" t="str">
        <f>IFERROR(__xludf.DUMMYFUNCTION("""COMPUTED_VALUE"""),"C++")</f>
        <v>C++</v>
      </c>
      <c r="D632" s="9" t="str">
        <f>IFERROR(__xludf.DUMMYFUNCTION("""COMPUTED_VALUE"""),"R")</f>
        <v>R</v>
      </c>
      <c r="E632" s="9" t="str">
        <f>IFERROR(__xludf.DUMMYFUNCTION("""COMPUTED_VALUE"""),"Python")</f>
        <v>Python</v>
      </c>
      <c r="F632" s="9" t="str">
        <f>IFERROR(__xludf.DUMMYFUNCTION("""COMPUTED_VALUE"""),"HTML/CSS")</f>
        <v>HTML/CSS</v>
      </c>
      <c r="G632" s="9" t="str">
        <f>IFERROR(__xludf.DUMMYFUNCTION("""COMPUTED_VALUE"""),"PHP")</f>
        <v>PHP</v>
      </c>
      <c r="H632" s="9" t="str">
        <f>IFERROR(__xludf.DUMMYFUNCTION("""COMPUTED_VALUE"""),"Python")</f>
        <v>Python</v>
      </c>
      <c r="I632" s="9" t="str">
        <f>IFERROR(__xludf.DUMMYFUNCTION("""COMPUTED_VALUE"""),"C")</f>
        <v>C</v>
      </c>
      <c r="J632" s="9" t="str">
        <f>IFERROR(__xludf.DUMMYFUNCTION("""COMPUTED_VALUE"""),"C#")</f>
        <v>C#</v>
      </c>
      <c r="K632" s="9" t="str">
        <f>IFERROR(__xludf.DUMMYFUNCTION("""COMPUTED_VALUE"""),"C++")</f>
        <v>C++</v>
      </c>
      <c r="L632" s="9" t="str">
        <f>IFERROR(__xludf.DUMMYFUNCTION("""COMPUTED_VALUE"""),"HTML/CSS")</f>
        <v>HTML/CSS</v>
      </c>
      <c r="M632" s="9" t="s">
        <v>23</v>
      </c>
    </row>
    <row r="633" ht="15.75" customHeight="1">
      <c r="A633" s="7"/>
      <c r="B633" s="7" t="str">
        <f>IFERROR(__xludf.DUMMYFUNCTION("""COMPUTED_VALUE"""),"HTML/CSS;JavaScript;SQL")</f>
        <v>HTML/CSS;JavaScript;SQL</v>
      </c>
      <c r="C633" s="9" t="str">
        <f>IFERROR(__xludf.DUMMYFUNCTION("""COMPUTED_VALUE"""),"HTML/CSS")</f>
        <v>HTML/CSS</v>
      </c>
      <c r="D633" s="9" t="str">
        <f>IFERROR(__xludf.DUMMYFUNCTION("""COMPUTED_VALUE"""),"Other(s):")</f>
        <v>Other(s):</v>
      </c>
      <c r="E633" s="9" t="str">
        <f>IFERROR(__xludf.DUMMYFUNCTION("""COMPUTED_VALUE"""),"Bash/Shell/PowerShell")</f>
        <v>Bash/Shell/PowerShell</v>
      </c>
      <c r="F633" s="9" t="str">
        <f>IFERROR(__xludf.DUMMYFUNCTION("""COMPUTED_VALUE"""),"JavaScript")</f>
        <v>JavaScript</v>
      </c>
      <c r="G633" s="9" t="str">
        <f>IFERROR(__xludf.DUMMYFUNCTION("""COMPUTED_VALUE"""),"SQL")</f>
        <v>SQL</v>
      </c>
      <c r="H633" s="9" t="str">
        <f>IFERROR(__xludf.DUMMYFUNCTION("""COMPUTED_VALUE"""),"R")</f>
        <v>R</v>
      </c>
      <c r="I633" s="9" t="str">
        <f>IFERROR(__xludf.DUMMYFUNCTION("""COMPUTED_VALUE"""),"C++")</f>
        <v>C++</v>
      </c>
      <c r="J633" s="9" t="str">
        <f>IFERROR(__xludf.DUMMYFUNCTION("""COMPUTED_VALUE"""),"HTML/CSS")</f>
        <v>HTML/CSS</v>
      </c>
      <c r="K633" s="9" t="str">
        <f>IFERROR(__xludf.DUMMYFUNCTION("""COMPUTED_VALUE"""),"C#")</f>
        <v>C#</v>
      </c>
      <c r="L633" s="9" t="str">
        <f>IFERROR(__xludf.DUMMYFUNCTION("""COMPUTED_VALUE"""),"JavaScript")</f>
        <v>JavaScript</v>
      </c>
      <c r="M633" s="9" t="s">
        <v>24</v>
      </c>
    </row>
    <row r="634" ht="15.75" customHeight="1">
      <c r="A634" s="7"/>
      <c r="B634" s="7" t="str">
        <f>IFERROR(__xludf.DUMMYFUNCTION("""COMPUTED_VALUE"""),"C#;HTML/CSS;Java;JavaScript;Kotlin;PHP;SQL;Swift")</f>
        <v>C#;HTML/CSS;Java;JavaScript;Kotlin;PHP;SQL;Swift</v>
      </c>
      <c r="C634" s="9" t="str">
        <f>IFERROR(__xludf.DUMMYFUNCTION("""COMPUTED_VALUE"""),"JavaScript")</f>
        <v>JavaScript</v>
      </c>
      <c r="D634" s="9" t="str">
        <f>IFERROR(__xludf.DUMMYFUNCTION("""COMPUTED_VALUE"""),"Bash/Shell/PowerShell")</f>
        <v>Bash/Shell/PowerShell</v>
      </c>
      <c r="E634" s="9" t="str">
        <f>IFERROR(__xludf.DUMMYFUNCTION("""COMPUTED_VALUE"""),"C#")</f>
        <v>C#</v>
      </c>
      <c r="F634" s="9" t="str">
        <f>IFERROR(__xludf.DUMMYFUNCTION("""COMPUTED_VALUE"""),"SQL")</f>
        <v>SQL</v>
      </c>
      <c r="G634" s="9" t="str">
        <f>IFERROR(__xludf.DUMMYFUNCTION("""COMPUTED_VALUE"""),"Bash/Shell/PowerShell")</f>
        <v>Bash/Shell/PowerShell</v>
      </c>
      <c r="H634" s="9" t="str">
        <f>IFERROR(__xludf.DUMMYFUNCTION("""COMPUTED_VALUE"""),"C++")</f>
        <v>C++</v>
      </c>
      <c r="I634" s="9" t="str">
        <f>IFERROR(__xludf.DUMMYFUNCTION("""COMPUTED_VALUE"""),"HTML/CSS")</f>
        <v>HTML/CSS</v>
      </c>
      <c r="J634" s="9" t="str">
        <f>IFERROR(__xludf.DUMMYFUNCTION("""COMPUTED_VALUE"""),"Java")</f>
        <v>Java</v>
      </c>
      <c r="K634" s="9" t="str">
        <f>IFERROR(__xludf.DUMMYFUNCTION("""COMPUTED_VALUE"""),"HTML/CSS")</f>
        <v>HTML/CSS</v>
      </c>
      <c r="L634" s="9" t="str">
        <f>IFERROR(__xludf.DUMMYFUNCTION("""COMPUTED_VALUE"""),"PHP")</f>
        <v>PHP</v>
      </c>
      <c r="M634" s="9" t="s">
        <v>21</v>
      </c>
    </row>
    <row r="635" ht="15.75" customHeight="1">
      <c r="A635" s="7"/>
      <c r="B635" s="7" t="str">
        <f>IFERROR(__xludf.DUMMYFUNCTION("""COMPUTED_VALUE"""),"Bash/Shell/PowerShell;C++;HTML/CSS;JavaScript;TypeScript")</f>
        <v>Bash/Shell/PowerShell;C++;HTML/CSS;JavaScript;TypeScript</v>
      </c>
      <c r="C635" s="9" t="str">
        <f>IFERROR(__xludf.DUMMYFUNCTION("""COMPUTED_VALUE"""),"Python")</f>
        <v>Python</v>
      </c>
      <c r="D635" s="9" t="str">
        <f>IFERROR(__xludf.DUMMYFUNCTION("""COMPUTED_VALUE"""),"Dart")</f>
        <v>Dart</v>
      </c>
      <c r="E635" s="9" t="str">
        <f>IFERROR(__xludf.DUMMYFUNCTION("""COMPUTED_VALUE"""),"HTML/CSS")</f>
        <v>HTML/CSS</v>
      </c>
      <c r="F635" s="9" t="str">
        <f>IFERROR(__xludf.DUMMYFUNCTION("""COMPUTED_VALUE"""),"C")</f>
        <v>C</v>
      </c>
      <c r="G635" s="9" t="str">
        <f>IFERROR(__xludf.DUMMYFUNCTION("""COMPUTED_VALUE"""),"Go")</f>
        <v>Go</v>
      </c>
      <c r="H635" s="9" t="str">
        <f>IFERROR(__xludf.DUMMYFUNCTION("""COMPUTED_VALUE"""),"HTML/CSS")</f>
        <v>HTML/CSS</v>
      </c>
      <c r="I635" s="9" t="str">
        <f>IFERROR(__xludf.DUMMYFUNCTION("""COMPUTED_VALUE"""),"JavaScript")</f>
        <v>JavaScript</v>
      </c>
      <c r="J635" s="9" t="str">
        <f>IFERROR(__xludf.DUMMYFUNCTION("""COMPUTED_VALUE"""),"JavaScript")</f>
        <v>JavaScript</v>
      </c>
      <c r="K635" s="9" t="str">
        <f>IFERROR(__xludf.DUMMYFUNCTION("""COMPUTED_VALUE"""),"JavaScript")</f>
        <v>JavaScript</v>
      </c>
      <c r="L635" s="9" t="str">
        <f>IFERROR(__xludf.DUMMYFUNCTION("""COMPUTED_VALUE"""),"SQL")</f>
        <v>SQL</v>
      </c>
      <c r="M635" s="9" t="s">
        <v>22</v>
      </c>
    </row>
    <row r="636" ht="15.75" customHeight="1">
      <c r="A636" s="7"/>
      <c r="B636" s="7" t="str">
        <f>IFERROR(__xludf.DUMMYFUNCTION("""COMPUTED_VALUE"""),"Bash/Shell/PowerShell;HTML/CSS;Java;JavaScript;PHP;Ruby;SQL")</f>
        <v>Bash/Shell/PowerShell;HTML/CSS;Java;JavaScript;PHP;Ruby;SQL</v>
      </c>
      <c r="C636" s="9" t="str">
        <f>IFERROR(__xludf.DUMMYFUNCTION("""COMPUTED_VALUE"""),"Assembly")</f>
        <v>Assembly</v>
      </c>
      <c r="D636" s="9" t="str">
        <f>IFERROR(__xludf.DUMMYFUNCTION("""COMPUTED_VALUE"""),"HTML/CSS")</f>
        <v>HTML/CSS</v>
      </c>
      <c r="E636" s="9" t="str">
        <f>IFERROR(__xludf.DUMMYFUNCTION("""COMPUTED_VALUE"""),"JavaScript")</f>
        <v>JavaScript</v>
      </c>
      <c r="F636" s="9" t="str">
        <f>IFERROR(__xludf.DUMMYFUNCTION("""COMPUTED_VALUE"""),"C#")</f>
        <v>C#</v>
      </c>
      <c r="G636" s="9" t="str">
        <f>IFERROR(__xludf.DUMMYFUNCTION("""COMPUTED_VALUE"""),"Python")</f>
        <v>Python</v>
      </c>
      <c r="H636" s="9" t="str">
        <f>IFERROR(__xludf.DUMMYFUNCTION("""COMPUTED_VALUE"""),"JavaScript")</f>
        <v>JavaScript</v>
      </c>
      <c r="I636" s="9" t="str">
        <f>IFERROR(__xludf.DUMMYFUNCTION("""COMPUTED_VALUE"""),"Python")</f>
        <v>Python</v>
      </c>
      <c r="J636" s="9" t="str">
        <f>IFERROR(__xludf.DUMMYFUNCTION("""COMPUTED_VALUE"""),"Python")</f>
        <v>Python</v>
      </c>
      <c r="K636" s="9" t="str">
        <f>IFERROR(__xludf.DUMMYFUNCTION("""COMPUTED_VALUE"""),"SQL")</f>
        <v>SQL</v>
      </c>
      <c r="L636" s="9" t="str">
        <f>IFERROR(__xludf.DUMMYFUNCTION("""COMPUTED_VALUE"""),"Bash/Shell/PowerShell")</f>
        <v>Bash/Shell/PowerShell</v>
      </c>
      <c r="M636" s="9" t="s">
        <v>38</v>
      </c>
    </row>
    <row r="637" ht="15.75" customHeight="1">
      <c r="A637" s="7"/>
      <c r="B637" s="7" t="str">
        <f>IFERROR(__xludf.DUMMYFUNCTION("""COMPUTED_VALUE"""),"C++;C#;HTML/CSS;SQL")</f>
        <v>C++;C#;HTML/CSS;SQL</v>
      </c>
      <c r="C637" s="9" t="str">
        <f>IFERROR(__xludf.DUMMYFUNCTION("""COMPUTED_VALUE"""),"Bash/Shell/PowerShell")</f>
        <v>Bash/Shell/PowerShell</v>
      </c>
      <c r="D637" s="9" t="str">
        <f>IFERROR(__xludf.DUMMYFUNCTION("""COMPUTED_VALUE"""),"Java")</f>
        <v>Java</v>
      </c>
      <c r="E637" s="9" t="str">
        <f>IFERROR(__xludf.DUMMYFUNCTION("""COMPUTED_VALUE"""),"Python")</f>
        <v>Python</v>
      </c>
      <c r="F637" s="9" t="str">
        <f>IFERROR(__xludf.DUMMYFUNCTION("""COMPUTED_VALUE"""),"HTML/CSS")</f>
        <v>HTML/CSS</v>
      </c>
      <c r="G637" s="9" t="str">
        <f>IFERROR(__xludf.DUMMYFUNCTION("""COMPUTED_VALUE"""),"R")</f>
        <v>R</v>
      </c>
      <c r="H637" s="9" t="str">
        <f>IFERROR(__xludf.DUMMYFUNCTION("""COMPUTED_VALUE"""),"TypeScript")</f>
        <v>TypeScript</v>
      </c>
      <c r="I637" s="9" t="str">
        <f>IFERROR(__xludf.DUMMYFUNCTION("""COMPUTED_VALUE"""),"SQL")</f>
        <v>SQL</v>
      </c>
      <c r="J637" s="9" t="str">
        <f>IFERROR(__xludf.DUMMYFUNCTION("""COMPUTED_VALUE"""),"SQL")</f>
        <v>SQL</v>
      </c>
      <c r="K637" s="9" t="str">
        <f>IFERROR(__xludf.DUMMYFUNCTION("""COMPUTED_VALUE"""),"TypeScript")</f>
        <v>TypeScript</v>
      </c>
      <c r="L637" s="9" t="str">
        <f>IFERROR(__xludf.DUMMYFUNCTION("""COMPUTED_VALUE"""),"C")</f>
        <v>C</v>
      </c>
      <c r="M637" s="9" t="s">
        <v>30</v>
      </c>
    </row>
    <row r="638" ht="15.75" customHeight="1">
      <c r="A638" s="7"/>
      <c r="B638" s="7" t="str">
        <f>IFERROR(__xludf.DUMMYFUNCTION("""COMPUTED_VALUE"""),"JavaScript;PHP;Python;SQL;VBA")</f>
        <v>JavaScript;PHP;Python;SQL;VBA</v>
      </c>
      <c r="C638" s="9" t="str">
        <f>IFERROR(__xludf.DUMMYFUNCTION("""COMPUTED_VALUE"""),"C++")</f>
        <v>C++</v>
      </c>
      <c r="D638" s="9" t="str">
        <f>IFERROR(__xludf.DUMMYFUNCTION("""COMPUTED_VALUE"""),"JavaScript")</f>
        <v>JavaScript</v>
      </c>
      <c r="E638" s="9" t="str">
        <f>IFERROR(__xludf.DUMMYFUNCTION("""COMPUTED_VALUE"""),"SQL")</f>
        <v>SQL</v>
      </c>
      <c r="F638" s="9" t="str">
        <f>IFERROR(__xludf.DUMMYFUNCTION("""COMPUTED_VALUE"""),"Java")</f>
        <v>Java</v>
      </c>
      <c r="G638" s="9" t="str">
        <f>IFERROR(__xludf.DUMMYFUNCTION("""COMPUTED_VALUE"""),"SQL")</f>
        <v>SQL</v>
      </c>
      <c r="H638" s="9" t="str">
        <f>IFERROR(__xludf.DUMMYFUNCTION("""COMPUTED_VALUE"""),"JavaScript")</f>
        <v>JavaScript</v>
      </c>
      <c r="I638" s="9" t="str">
        <f>IFERROR(__xludf.DUMMYFUNCTION("""COMPUTED_VALUE"""),"C++")</f>
        <v>C++</v>
      </c>
      <c r="J638" s="9" t="str">
        <f>IFERROR(__xludf.DUMMYFUNCTION("""COMPUTED_VALUE"""),"TypeScript")</f>
        <v>TypeScript</v>
      </c>
      <c r="K638" s="9" t="str">
        <f>IFERROR(__xludf.DUMMYFUNCTION("""COMPUTED_VALUE"""),"C#")</f>
        <v>C#</v>
      </c>
      <c r="L638" s="9" t="str">
        <f>IFERROR(__xludf.DUMMYFUNCTION("""COMPUTED_VALUE"""),"C++")</f>
        <v>C++</v>
      </c>
      <c r="M638" s="9" t="s">
        <v>23</v>
      </c>
    </row>
    <row r="639" ht="15.75" customHeight="1">
      <c r="A639" s="7"/>
      <c r="B639" s="7" t="str">
        <f>IFERROR(__xludf.DUMMYFUNCTION("""COMPUTED_VALUE"""),"Assembly;Bash/Shell/PowerShell;C;C++;C#;HTML/CSS;Rust;SQL;TypeScript")</f>
        <v>Assembly;Bash/Shell/PowerShell;C;C++;C#;HTML/CSS;Rust;SQL;TypeScript</v>
      </c>
      <c r="C639" s="9" t="str">
        <f>IFERROR(__xludf.DUMMYFUNCTION("""COMPUTED_VALUE"""),"Python")</f>
        <v>Python</v>
      </c>
      <c r="D639" s="9" t="str">
        <f>IFERROR(__xludf.DUMMYFUNCTION("""COMPUTED_VALUE"""),"Objective-C")</f>
        <v>Objective-C</v>
      </c>
      <c r="E639" s="9" t="str">
        <f>IFERROR(__xludf.DUMMYFUNCTION("""COMPUTED_VALUE"""),"Bash/Shell/PowerShell")</f>
        <v>Bash/Shell/PowerShell</v>
      </c>
      <c r="F639" s="9" t="str">
        <f>IFERROR(__xludf.DUMMYFUNCTION("""COMPUTED_VALUE"""),"JavaScript")</f>
        <v>JavaScript</v>
      </c>
      <c r="G639" s="9" t="str">
        <f>IFERROR(__xludf.DUMMYFUNCTION("""COMPUTED_VALUE"""),"Bash/Shell/PowerShell")</f>
        <v>Bash/Shell/PowerShell</v>
      </c>
      <c r="H639" s="9" t="str">
        <f>IFERROR(__xludf.DUMMYFUNCTION("""COMPUTED_VALUE"""),"Python")</f>
        <v>Python</v>
      </c>
      <c r="I639" s="9" t="str">
        <f>IFERROR(__xludf.DUMMYFUNCTION("""COMPUTED_VALUE"""),"C#")</f>
        <v>C#</v>
      </c>
      <c r="J639" s="9" t="str">
        <f>IFERROR(__xludf.DUMMYFUNCTION("""COMPUTED_VALUE"""),"Bash/Shell/PowerShell")</f>
        <v>Bash/Shell/PowerShell</v>
      </c>
      <c r="K639" s="9" t="str">
        <f>IFERROR(__xludf.DUMMYFUNCTION("""COMPUTED_VALUE"""),"HTML/CSS")</f>
        <v>HTML/CSS</v>
      </c>
      <c r="L639" s="9" t="str">
        <f>IFERROR(__xludf.DUMMYFUNCTION("""COMPUTED_VALUE"""),"C#")</f>
        <v>C#</v>
      </c>
      <c r="M639" s="9" t="s">
        <v>22</v>
      </c>
    </row>
    <row r="640" ht="15.75" customHeight="1">
      <c r="A640" s="7"/>
      <c r="B640" s="7" t="str">
        <f>IFERROR(__xludf.DUMMYFUNCTION("""COMPUTED_VALUE"""),"C#;HTML/CSS;JavaScript;SQL;VBA")</f>
        <v>C#;HTML/CSS;JavaScript;SQL;VBA</v>
      </c>
      <c r="C640" s="9" t="str">
        <f>IFERROR(__xludf.DUMMYFUNCTION("""COMPUTED_VALUE"""),"SQL")</f>
        <v>SQL</v>
      </c>
      <c r="D640" s="9" t="str">
        <f>IFERROR(__xludf.DUMMYFUNCTION("""COMPUTED_VALUE"""),"Swift")</f>
        <v>Swift</v>
      </c>
      <c r="E640" s="9" t="str">
        <f>IFERROR(__xludf.DUMMYFUNCTION("""COMPUTED_VALUE"""),"C")</f>
        <v>C</v>
      </c>
      <c r="F640" s="9" t="str">
        <f>IFERROR(__xludf.DUMMYFUNCTION("""COMPUTED_VALUE"""),"PHP")</f>
        <v>PHP</v>
      </c>
      <c r="G640" s="9" t="str">
        <f>IFERROR(__xludf.DUMMYFUNCTION("""COMPUTED_VALUE"""),"C#")</f>
        <v>C#</v>
      </c>
      <c r="H640" s="9" t="str">
        <f>IFERROR(__xludf.DUMMYFUNCTION("""COMPUTED_VALUE"""),"Bash/Shell/PowerShell")</f>
        <v>Bash/Shell/PowerShell</v>
      </c>
      <c r="I640" s="9" t="str">
        <f>IFERROR(__xludf.DUMMYFUNCTION("""COMPUTED_VALUE"""),"Java")</f>
        <v>Java</v>
      </c>
      <c r="J640" s="9" t="str">
        <f>IFERROR(__xludf.DUMMYFUNCTION("""COMPUTED_VALUE"""),"C")</f>
        <v>C</v>
      </c>
      <c r="K640" s="9" t="str">
        <f>IFERROR(__xludf.DUMMYFUNCTION("""COMPUTED_VALUE"""),"JavaScript")</f>
        <v>JavaScript</v>
      </c>
      <c r="L640" s="9" t="str">
        <f>IFERROR(__xludf.DUMMYFUNCTION("""COMPUTED_VALUE"""),"Elixir")</f>
        <v>Elixir</v>
      </c>
      <c r="M640" s="9" t="s">
        <v>27</v>
      </c>
    </row>
    <row r="641" ht="15.75" customHeight="1">
      <c r="A641" s="7"/>
      <c r="B641" s="7" t="str">
        <f>IFERROR(__xludf.DUMMYFUNCTION("""COMPUTED_VALUE"""),"Java;JavaScript;Python;SQL")</f>
        <v>Java;JavaScript;Python;SQL</v>
      </c>
      <c r="C641" s="9" t="str">
        <f>IFERROR(__xludf.DUMMYFUNCTION("""COMPUTED_VALUE"""),"HTML/CSS")</f>
        <v>HTML/CSS</v>
      </c>
      <c r="D641" s="9" t="str">
        <f>IFERROR(__xludf.DUMMYFUNCTION("""COMPUTED_VALUE"""),"Bash/Shell/PowerShell")</f>
        <v>Bash/Shell/PowerShell</v>
      </c>
      <c r="E641" s="9" t="str">
        <f>IFERROR(__xludf.DUMMYFUNCTION("""COMPUTED_VALUE"""),"Python")</f>
        <v>Python</v>
      </c>
      <c r="F641" s="9" t="str">
        <f>IFERROR(__xludf.DUMMYFUNCTION("""COMPUTED_VALUE"""),"VBA")</f>
        <v>VBA</v>
      </c>
      <c r="G641" s="9" t="str">
        <f>IFERROR(__xludf.DUMMYFUNCTION("""COMPUTED_VALUE"""),"HTML/CSS")</f>
        <v>HTML/CSS</v>
      </c>
      <c r="H641" s="9" t="str">
        <f>IFERROR(__xludf.DUMMYFUNCTION("""COMPUTED_VALUE"""),"HTML/CSS")</f>
        <v>HTML/CSS</v>
      </c>
      <c r="I641" s="9" t="str">
        <f>IFERROR(__xludf.DUMMYFUNCTION("""COMPUTED_VALUE"""),"SQL")</f>
        <v>SQL</v>
      </c>
      <c r="J641" s="9" t="str">
        <f>IFERROR(__xludf.DUMMYFUNCTION("""COMPUTED_VALUE"""),"C++")</f>
        <v>C++</v>
      </c>
      <c r="K641" s="9" t="str">
        <f>IFERROR(__xludf.DUMMYFUNCTION("""COMPUTED_VALUE"""),"SQL")</f>
        <v>SQL</v>
      </c>
      <c r="L641" s="9" t="str">
        <f>IFERROR(__xludf.DUMMYFUNCTION("""COMPUTED_VALUE"""),"Go")</f>
        <v>Go</v>
      </c>
      <c r="M641" s="9" t="s">
        <v>24</v>
      </c>
    </row>
    <row r="642" ht="15.75" customHeight="1">
      <c r="A642" s="7"/>
      <c r="B642" s="7" t="str">
        <f>IFERROR(__xludf.DUMMYFUNCTION("""COMPUTED_VALUE"""),"Bash/Shell/PowerShell;C++;JavaScript;Python")</f>
        <v>Bash/Shell/PowerShell;C++;JavaScript;Python</v>
      </c>
      <c r="C642" s="9" t="str">
        <f>IFERROR(__xludf.DUMMYFUNCTION("""COMPUTED_VALUE"""),"JavaScript")</f>
        <v>JavaScript</v>
      </c>
      <c r="D642" s="9" t="str">
        <f>IFERROR(__xludf.DUMMYFUNCTION("""COMPUTED_VALUE"""),"Python")</f>
        <v>Python</v>
      </c>
      <c r="E642" s="9" t="str">
        <f>IFERROR(__xludf.DUMMYFUNCTION("""COMPUTED_VALUE"""),"HTML/CSS")</f>
        <v>HTML/CSS</v>
      </c>
      <c r="F642" s="9" t="str">
        <f>IFERROR(__xludf.DUMMYFUNCTION("""COMPUTED_VALUE"""),"Bash/Shell/PowerShell")</f>
        <v>Bash/Shell/PowerShell</v>
      </c>
      <c r="G642" s="9" t="str">
        <f>IFERROR(__xludf.DUMMYFUNCTION("""COMPUTED_VALUE"""),"JavaScript")</f>
        <v>JavaScript</v>
      </c>
      <c r="H642" s="9" t="str">
        <f>IFERROR(__xludf.DUMMYFUNCTION("""COMPUTED_VALUE"""),"JavaScript")</f>
        <v>JavaScript</v>
      </c>
      <c r="I642" s="9" t="str">
        <f>IFERROR(__xludf.DUMMYFUNCTION("""COMPUTED_VALUE"""),"C#")</f>
        <v>C#</v>
      </c>
      <c r="J642" s="9" t="str">
        <f>IFERROR(__xludf.DUMMYFUNCTION("""COMPUTED_VALUE"""),"HTML/CSS")</f>
        <v>HTML/CSS</v>
      </c>
      <c r="K642" s="9" t="str">
        <f>IFERROR(__xludf.DUMMYFUNCTION("""COMPUTED_VALUE"""),"VBA")</f>
        <v>VBA</v>
      </c>
      <c r="L642" s="9" t="str">
        <f>IFERROR(__xludf.DUMMYFUNCTION("""COMPUTED_VALUE"""),"HTML/CSS")</f>
        <v>HTML/CSS</v>
      </c>
      <c r="M642" s="9" t="s">
        <v>21</v>
      </c>
    </row>
    <row r="643" ht="15.75" customHeight="1">
      <c r="A643" s="7"/>
      <c r="B643" s="7" t="str">
        <f>IFERROR(__xludf.DUMMYFUNCTION("""COMPUTED_VALUE"""),"Python")</f>
        <v>Python</v>
      </c>
      <c r="C643" s="9" t="str">
        <f>IFERROR(__xludf.DUMMYFUNCTION("""COMPUTED_VALUE"""),"TypeScript")</f>
        <v>TypeScript</v>
      </c>
      <c r="D643" s="9" t="str">
        <f>IFERROR(__xludf.DUMMYFUNCTION("""COMPUTED_VALUE"""),"SQL")</f>
        <v>SQL</v>
      </c>
      <c r="E643" s="9" t="str">
        <f>IFERROR(__xludf.DUMMYFUNCTION("""COMPUTED_VALUE"""),"Ruby")</f>
        <v>Ruby</v>
      </c>
      <c r="F643" s="9" t="str">
        <f>IFERROR(__xludf.DUMMYFUNCTION("""COMPUTED_VALUE"""),"C#")</f>
        <v>C#</v>
      </c>
      <c r="G643" s="9" t="str">
        <f>IFERROR(__xludf.DUMMYFUNCTION("""COMPUTED_VALUE"""),"Python")</f>
        <v>Python</v>
      </c>
      <c r="H643" s="9" t="str">
        <f>IFERROR(__xludf.DUMMYFUNCTION("""COMPUTED_VALUE"""),"Objective-C")</f>
        <v>Objective-C</v>
      </c>
      <c r="I643" s="9" t="str">
        <f>IFERROR(__xludf.DUMMYFUNCTION("""COMPUTED_VALUE"""),"Python")</f>
        <v>Python</v>
      </c>
      <c r="J643" s="9" t="str">
        <f>IFERROR(__xludf.DUMMYFUNCTION("""COMPUTED_VALUE"""),"Java")</f>
        <v>Java</v>
      </c>
      <c r="K643" s="9" t="str">
        <f>IFERROR(__xludf.DUMMYFUNCTION("""COMPUTED_VALUE"""),"C")</f>
        <v>C</v>
      </c>
      <c r="L643" s="9" t="str">
        <f>IFERROR(__xludf.DUMMYFUNCTION("""COMPUTED_VALUE"""),"Java")</f>
        <v>Java</v>
      </c>
      <c r="M643" s="9" t="s">
        <v>33</v>
      </c>
    </row>
    <row r="644" ht="15.75" customHeight="1">
      <c r="A644" s="7"/>
      <c r="B644" s="7" t="str">
        <f>IFERROR(__xludf.DUMMYFUNCTION("""COMPUTED_VALUE"""),"HTML/CSS;Java")</f>
        <v>HTML/CSS;Java</v>
      </c>
      <c r="C644" s="9" t="str">
        <f>IFERROR(__xludf.DUMMYFUNCTION("""COMPUTED_VALUE"""),"HTML/CSS")</f>
        <v>HTML/CSS</v>
      </c>
      <c r="D644" s="9" t="str">
        <f>IFERROR(__xludf.DUMMYFUNCTION("""COMPUTED_VALUE"""),"Other(s):")</f>
        <v>Other(s):</v>
      </c>
      <c r="E644" s="9" t="str">
        <f>IFERROR(__xludf.DUMMYFUNCTION("""COMPUTED_VALUE"""),"Bash/Shell/PowerShell")</f>
        <v>Bash/Shell/PowerShell</v>
      </c>
      <c r="F644" s="9" t="str">
        <f>IFERROR(__xludf.DUMMYFUNCTION("""COMPUTED_VALUE"""),"Go")</f>
        <v>Go</v>
      </c>
      <c r="G644" s="9" t="str">
        <f>IFERROR(__xludf.DUMMYFUNCTION("""COMPUTED_VALUE"""),"SQL")</f>
        <v>SQL</v>
      </c>
      <c r="H644" s="9" t="str">
        <f>IFERROR(__xludf.DUMMYFUNCTION("""COMPUTED_VALUE"""),"Swift")</f>
        <v>Swift</v>
      </c>
      <c r="I644" s="9" t="str">
        <f>IFERROR(__xludf.DUMMYFUNCTION("""COMPUTED_VALUE"""),"SQL")</f>
        <v>SQL</v>
      </c>
      <c r="J644" s="9" t="str">
        <f>IFERROR(__xludf.DUMMYFUNCTION("""COMPUTED_VALUE"""),"JavaScript")</f>
        <v>JavaScript</v>
      </c>
      <c r="K644" s="9" t="str">
        <f>IFERROR(__xludf.DUMMYFUNCTION("""COMPUTED_VALUE"""),"C#")</f>
        <v>C#</v>
      </c>
      <c r="L644" s="9" t="str">
        <f>IFERROR(__xludf.DUMMYFUNCTION("""COMPUTED_VALUE"""),"JavaScript")</f>
        <v>JavaScript</v>
      </c>
      <c r="M644" s="9" t="s">
        <v>24</v>
      </c>
    </row>
    <row r="645" ht="15.75" customHeight="1">
      <c r="A645" s="7"/>
      <c r="B645" s="7" t="str">
        <f>IFERROR(__xludf.DUMMYFUNCTION("""COMPUTED_VALUE"""),"C#;HTML/CSS;JavaScript;Kotlin;Objective-C;PHP;SQL;Swift")</f>
        <v>C#;HTML/CSS;JavaScript;Kotlin;Objective-C;PHP;SQL;Swift</v>
      </c>
      <c r="C645" s="9" t="str">
        <f>IFERROR(__xludf.DUMMYFUNCTION("""COMPUTED_VALUE"""),"Java")</f>
        <v>Java</v>
      </c>
      <c r="D645" s="9" t="str">
        <f>IFERROR(__xludf.DUMMYFUNCTION("""COMPUTED_VALUE"""),"C#")</f>
        <v>C#</v>
      </c>
      <c r="E645" s="9" t="str">
        <f>IFERROR(__xludf.DUMMYFUNCTION("""COMPUTED_VALUE"""),"C#")</f>
        <v>C#</v>
      </c>
      <c r="F645" s="9" t="str">
        <f>IFERROR(__xludf.DUMMYFUNCTION("""COMPUTED_VALUE"""),"HTML/CSS")</f>
        <v>HTML/CSS</v>
      </c>
      <c r="G645" s="9" t="str">
        <f>IFERROR(__xludf.DUMMYFUNCTION("""COMPUTED_VALUE"""),"VBA")</f>
        <v>VBA</v>
      </c>
      <c r="H645" s="9" t="str">
        <f>IFERROR(__xludf.DUMMYFUNCTION("""COMPUTED_VALUE"""),"HTML/CSS")</f>
        <v>HTML/CSS</v>
      </c>
      <c r="I645" s="9" t="str">
        <f>IFERROR(__xludf.DUMMYFUNCTION("""COMPUTED_VALUE"""),"C#")</f>
        <v>C#</v>
      </c>
      <c r="J645" s="9" t="str">
        <f>IFERROR(__xludf.DUMMYFUNCTION("""COMPUTED_VALUE"""),"Kotlin")</f>
        <v>Kotlin</v>
      </c>
      <c r="K645" s="9" t="str">
        <f>IFERROR(__xludf.DUMMYFUNCTION("""COMPUTED_VALUE"""),"HTML/CSS")</f>
        <v>HTML/CSS</v>
      </c>
      <c r="L645" s="9" t="str">
        <f>IFERROR(__xludf.DUMMYFUNCTION("""COMPUTED_VALUE"""),"PHP")</f>
        <v>PHP</v>
      </c>
      <c r="M645" s="9" t="s">
        <v>20</v>
      </c>
    </row>
    <row r="646" ht="15.75" customHeight="1">
      <c r="A646" s="7"/>
      <c r="B646" s="7" t="str">
        <f>IFERROR(__xludf.DUMMYFUNCTION("""COMPUTED_VALUE"""),"Clojure;HTML/CSS;Java;JavaScript")</f>
        <v>Clojure;HTML/CSS;Java;JavaScript</v>
      </c>
      <c r="C646" s="9" t="str">
        <f>IFERROR(__xludf.DUMMYFUNCTION("""COMPUTED_VALUE"""),"SQL")</f>
        <v>SQL</v>
      </c>
      <c r="D646" s="9" t="str">
        <f>IFERROR(__xludf.DUMMYFUNCTION("""COMPUTED_VALUE"""),"HTML/CSS")</f>
        <v>HTML/CSS</v>
      </c>
      <c r="E646" s="9" t="str">
        <f>IFERROR(__xludf.DUMMYFUNCTION("""COMPUTED_VALUE"""),"SQL")</f>
        <v>SQL</v>
      </c>
      <c r="F646" s="9" t="str">
        <f>IFERROR(__xludf.DUMMYFUNCTION("""COMPUTED_VALUE"""),"Java")</f>
        <v>Java</v>
      </c>
      <c r="G646" s="9" t="str">
        <f>IFERROR(__xludf.DUMMYFUNCTION("""COMPUTED_VALUE"""),"HTML/CSS")</f>
        <v>HTML/CSS</v>
      </c>
      <c r="H646" s="9" t="str">
        <f>IFERROR(__xludf.DUMMYFUNCTION("""COMPUTED_VALUE"""),"JavaScript")</f>
        <v>JavaScript</v>
      </c>
      <c r="I646" s="9" t="str">
        <f>IFERROR(__xludf.DUMMYFUNCTION("""COMPUTED_VALUE"""),"HTML/CSS")</f>
        <v>HTML/CSS</v>
      </c>
      <c r="J646" s="9" t="str">
        <f>IFERROR(__xludf.DUMMYFUNCTION("""COMPUTED_VALUE"""),"Python")</f>
        <v>Python</v>
      </c>
      <c r="K646" s="9" t="str">
        <f>IFERROR(__xludf.DUMMYFUNCTION("""COMPUTED_VALUE"""),"Bash/Shell/PowerShell")</f>
        <v>Bash/Shell/PowerShell</v>
      </c>
      <c r="L646" s="9" t="str">
        <f>IFERROR(__xludf.DUMMYFUNCTION("""COMPUTED_VALUE"""),"Python")</f>
        <v>Python</v>
      </c>
      <c r="M646" s="9" t="s">
        <v>27</v>
      </c>
    </row>
    <row r="647" ht="15.75" customHeight="1">
      <c r="A647" s="7"/>
      <c r="B647" s="7" t="str">
        <f>IFERROR(__xludf.DUMMYFUNCTION("""COMPUTED_VALUE"""),"Assembly;C++;C#;Java;Scala;Other(s):")</f>
        <v>Assembly;C++;C#;Java;Scala;Other(s):</v>
      </c>
      <c r="C647" s="9" t="str">
        <f>IFERROR(__xludf.DUMMYFUNCTION("""COMPUTED_VALUE"""),"Bash/Shell/PowerShell")</f>
        <v>Bash/Shell/PowerShell</v>
      </c>
      <c r="D647" s="9" t="str">
        <f>IFERROR(__xludf.DUMMYFUNCTION("""COMPUTED_VALUE"""),"JavaScript")</f>
        <v>JavaScript</v>
      </c>
      <c r="E647" s="9" t="str">
        <f>IFERROR(__xludf.DUMMYFUNCTION("""COMPUTED_VALUE"""),"TypeScript")</f>
        <v>TypeScript</v>
      </c>
      <c r="F647" s="9" t="str">
        <f>IFERROR(__xludf.DUMMYFUNCTION("""COMPUTED_VALUE"""),"JavaScript")</f>
        <v>JavaScript</v>
      </c>
      <c r="G647" s="9" t="str">
        <f>IFERROR(__xludf.DUMMYFUNCTION("""COMPUTED_VALUE"""),"Java")</f>
        <v>Java</v>
      </c>
      <c r="H647" s="9" t="str">
        <f>IFERROR(__xludf.DUMMYFUNCTION("""COMPUTED_VALUE"""),"Python")</f>
        <v>Python</v>
      </c>
      <c r="I647" s="9" t="str">
        <f>IFERROR(__xludf.DUMMYFUNCTION("""COMPUTED_VALUE"""),"JavaScript")</f>
        <v>JavaScript</v>
      </c>
      <c r="J647" s="9" t="str">
        <f>IFERROR(__xludf.DUMMYFUNCTION("""COMPUTED_VALUE"""),"SQL")</f>
        <v>SQL</v>
      </c>
      <c r="K647" s="9" t="str">
        <f>IFERROR(__xludf.DUMMYFUNCTION("""COMPUTED_VALUE"""),"HTML/CSS")</f>
        <v>HTML/CSS</v>
      </c>
      <c r="L647" s="9" t="str">
        <f>IFERROR(__xludf.DUMMYFUNCTION("""COMPUTED_VALUE"""),"Rust")</f>
        <v>Rust</v>
      </c>
      <c r="M647" s="9" t="s">
        <v>30</v>
      </c>
    </row>
    <row r="648" ht="15.75" customHeight="1">
      <c r="A648" s="7"/>
      <c r="B648" s="7" t="str">
        <f>IFERROR(__xludf.DUMMYFUNCTION("""COMPUTED_VALUE"""),"C++;Python;R;Other(s):")</f>
        <v>C++;Python;R;Other(s):</v>
      </c>
      <c r="C648" s="9" t="str">
        <f>IFERROR(__xludf.DUMMYFUNCTION("""COMPUTED_VALUE"""),"Dart")</f>
        <v>Dart</v>
      </c>
      <c r="D648" s="9" t="str">
        <f>IFERROR(__xludf.DUMMYFUNCTION("""COMPUTED_VALUE"""),"SQL")</f>
        <v>SQL</v>
      </c>
      <c r="E648" s="9" t="str">
        <f>IFERROR(__xludf.DUMMYFUNCTION("""COMPUTED_VALUE"""),"C#")</f>
        <v>C#</v>
      </c>
      <c r="F648" s="9" t="str">
        <f>IFERROR(__xludf.DUMMYFUNCTION("""COMPUTED_VALUE"""),"Python")</f>
        <v>Python</v>
      </c>
      <c r="G648" s="9" t="str">
        <f>IFERROR(__xludf.DUMMYFUNCTION("""COMPUTED_VALUE"""),"JavaScript")</f>
        <v>JavaScript</v>
      </c>
      <c r="H648" s="9" t="str">
        <f>IFERROR(__xludf.DUMMYFUNCTION("""COMPUTED_VALUE"""),"Ruby")</f>
        <v>Ruby</v>
      </c>
      <c r="I648" s="9" t="str">
        <f>IFERROR(__xludf.DUMMYFUNCTION("""COMPUTED_VALUE"""),"PHP")</f>
        <v>PHP</v>
      </c>
      <c r="J648" s="9" t="str">
        <f>IFERROR(__xludf.DUMMYFUNCTION("""COMPUTED_VALUE"""),"Bash/Shell/PowerShell")</f>
        <v>Bash/Shell/PowerShell</v>
      </c>
      <c r="K648" s="9" t="str">
        <f>IFERROR(__xludf.DUMMYFUNCTION("""COMPUTED_VALUE"""),"JavaScript")</f>
        <v>JavaScript</v>
      </c>
      <c r="L648" s="9" t="str">
        <f>IFERROR(__xludf.DUMMYFUNCTION("""COMPUTED_VALUE"""),"SQL")</f>
        <v>SQL</v>
      </c>
      <c r="M648" s="9" t="s">
        <v>47</v>
      </c>
    </row>
    <row r="649" ht="15.75" customHeight="1">
      <c r="A649" s="7"/>
      <c r="B649" s="7" t="str">
        <f>IFERROR(__xludf.DUMMYFUNCTION("""COMPUTED_VALUE"""),"Bash/Shell/PowerShell;HTML/CSS;Java;JavaScript;SQL")</f>
        <v>Bash/Shell/PowerShell;HTML/CSS;Java;JavaScript;SQL</v>
      </c>
      <c r="C649" s="9" t="str">
        <f>IFERROR(__xludf.DUMMYFUNCTION("""COMPUTED_VALUE"""),"HTML/CSS")</f>
        <v>HTML/CSS</v>
      </c>
      <c r="D649" s="9" t="str">
        <f>IFERROR(__xludf.DUMMYFUNCTION("""COMPUTED_VALUE"""),"TypeScript")</f>
        <v>TypeScript</v>
      </c>
      <c r="E649" s="9" t="str">
        <f>IFERROR(__xludf.DUMMYFUNCTION("""COMPUTED_VALUE"""),"HTML/CSS")</f>
        <v>HTML/CSS</v>
      </c>
      <c r="F649" s="9" t="str">
        <f>IFERROR(__xludf.DUMMYFUNCTION("""COMPUTED_VALUE"""),"SQL")</f>
        <v>SQL</v>
      </c>
      <c r="G649" s="9" t="str">
        <f>IFERROR(__xludf.DUMMYFUNCTION("""COMPUTED_VALUE"""),"TypeScript")</f>
        <v>TypeScript</v>
      </c>
      <c r="H649" s="9" t="str">
        <f>IFERROR(__xludf.DUMMYFUNCTION("""COMPUTED_VALUE"""),"Swift")</f>
        <v>Swift</v>
      </c>
      <c r="I649" s="9" t="str">
        <f>IFERROR(__xludf.DUMMYFUNCTION("""COMPUTED_VALUE"""),"SQL")</f>
        <v>SQL</v>
      </c>
      <c r="J649" s="9" t="str">
        <f>IFERROR(__xludf.DUMMYFUNCTION("""COMPUTED_VALUE"""),"HTML/CSS")</f>
        <v>HTML/CSS</v>
      </c>
      <c r="K649" s="9" t="str">
        <f>IFERROR(__xludf.DUMMYFUNCTION("""COMPUTED_VALUE"""),"Kotlin")</f>
        <v>Kotlin</v>
      </c>
      <c r="L649" s="9" t="str">
        <f>IFERROR(__xludf.DUMMYFUNCTION("""COMPUTED_VALUE"""),"TypeScript")</f>
        <v>TypeScript</v>
      </c>
      <c r="M649" s="9" t="s">
        <v>24</v>
      </c>
    </row>
    <row r="650" ht="15.75" customHeight="1">
      <c r="A650" s="7"/>
      <c r="B650" s="7" t="str">
        <f>IFERROR(__xludf.DUMMYFUNCTION("""COMPUTED_VALUE"""),"C++;HTML/CSS;Java;JavaScript;TypeScript")</f>
        <v>C++;HTML/CSS;Java;JavaScript;TypeScript</v>
      </c>
      <c r="C650" s="9" t="str">
        <f>IFERROR(__xludf.DUMMYFUNCTION("""COMPUTED_VALUE"""),"Java")</f>
        <v>Java</v>
      </c>
      <c r="D650" s="9" t="str">
        <f>IFERROR(__xludf.DUMMYFUNCTION("""COMPUTED_VALUE"""),"JavaScript")</f>
        <v>JavaScript</v>
      </c>
      <c r="E650" s="9" t="str">
        <f>IFERROR(__xludf.DUMMYFUNCTION("""COMPUTED_VALUE"""),"JavaScript")</f>
        <v>JavaScript</v>
      </c>
      <c r="F650" s="9" t="str">
        <f>IFERROR(__xludf.DUMMYFUNCTION("""COMPUTED_VALUE"""),"TypeScript")</f>
        <v>TypeScript</v>
      </c>
      <c r="G650" s="9" t="str">
        <f>IFERROR(__xludf.DUMMYFUNCTION("""COMPUTED_VALUE"""),"C")</f>
        <v>C</v>
      </c>
      <c r="H650" s="9" t="str">
        <f>IFERROR(__xludf.DUMMYFUNCTION("""COMPUTED_VALUE"""),"Bash/Shell/PowerShell")</f>
        <v>Bash/Shell/PowerShell</v>
      </c>
      <c r="I650" s="9" t="str">
        <f>IFERROR(__xludf.DUMMYFUNCTION("""COMPUTED_VALUE"""),"Other(s):")</f>
        <v>Other(s):</v>
      </c>
      <c r="J650" s="9" t="str">
        <f>IFERROR(__xludf.DUMMYFUNCTION("""COMPUTED_VALUE"""),"Java")</f>
        <v>Java</v>
      </c>
      <c r="K650" s="9" t="str">
        <f>IFERROR(__xludf.DUMMYFUNCTION("""COMPUTED_VALUE"""),"Objective-C")</f>
        <v>Objective-C</v>
      </c>
      <c r="L650" s="9" t="str">
        <f>IFERROR(__xludf.DUMMYFUNCTION("""COMPUTED_VALUE"""),"Other(s):")</f>
        <v>Other(s):</v>
      </c>
      <c r="M650" s="9" t="s">
        <v>20</v>
      </c>
    </row>
    <row r="651" ht="15.75" customHeight="1">
      <c r="A651" s="7"/>
      <c r="B651" s="7" t="str">
        <f>IFERROR(__xludf.DUMMYFUNCTION("""COMPUTED_VALUE"""),"Python")</f>
        <v>Python</v>
      </c>
      <c r="C651" s="9" t="str">
        <f>IFERROR(__xludf.DUMMYFUNCTION("""COMPUTED_VALUE"""),"JavaScript")</f>
        <v>JavaScript</v>
      </c>
      <c r="D651" s="9" t="str">
        <f>IFERROR(__xludf.DUMMYFUNCTION("""COMPUTED_VALUE"""),"PHP")</f>
        <v>PHP</v>
      </c>
      <c r="E651" s="9" t="str">
        <f>IFERROR(__xludf.DUMMYFUNCTION("""COMPUTED_VALUE"""),"SQL")</f>
        <v>SQL</v>
      </c>
      <c r="F651" s="9" t="str">
        <f>IFERROR(__xludf.DUMMYFUNCTION("""COMPUTED_VALUE"""),"Bash/Shell/PowerShell")</f>
        <v>Bash/Shell/PowerShell</v>
      </c>
      <c r="G651" s="9" t="str">
        <f>IFERROR(__xludf.DUMMYFUNCTION("""COMPUTED_VALUE"""),"HTML/CSS")</f>
        <v>HTML/CSS</v>
      </c>
      <c r="H651" s="9" t="str">
        <f>IFERROR(__xludf.DUMMYFUNCTION("""COMPUTED_VALUE"""),"HTML/CSS")</f>
        <v>HTML/CSS</v>
      </c>
      <c r="I651" s="9" t="str">
        <f>IFERROR(__xludf.DUMMYFUNCTION("""COMPUTED_VALUE"""),"C#")</f>
        <v>C#</v>
      </c>
      <c r="J651" s="9" t="str">
        <f>IFERROR(__xludf.DUMMYFUNCTION("""COMPUTED_VALUE"""),"JavaScript")</f>
        <v>JavaScript</v>
      </c>
      <c r="K651" s="9" t="str">
        <f>IFERROR(__xludf.DUMMYFUNCTION("""COMPUTED_VALUE"""),"SQL")</f>
        <v>SQL</v>
      </c>
      <c r="L651" s="9" t="str">
        <f>IFERROR(__xludf.DUMMYFUNCTION("""COMPUTED_VALUE"""),"HTML/CSS")</f>
        <v>HTML/CSS</v>
      </c>
      <c r="M651" s="9" t="s">
        <v>21</v>
      </c>
    </row>
    <row r="652" ht="15.75" customHeight="1">
      <c r="A652" s="7"/>
      <c r="B652" s="7" t="str">
        <f>IFERROR(__xludf.DUMMYFUNCTION("""COMPUTED_VALUE"""),"HTML/CSS;Java;JavaScript;Python;SQL;TypeScript")</f>
        <v>HTML/CSS;Java;JavaScript;Python;SQL;TypeScript</v>
      </c>
      <c r="C652" s="9" t="str">
        <f>IFERROR(__xludf.DUMMYFUNCTION("""COMPUTED_VALUE"""),"Scala")</f>
        <v>Scala</v>
      </c>
      <c r="D652" s="9" t="str">
        <f>IFERROR(__xludf.DUMMYFUNCTION("""COMPUTED_VALUE"""),"SQL")</f>
        <v>SQL</v>
      </c>
      <c r="E652" s="9" t="str">
        <f>IFERROR(__xludf.DUMMYFUNCTION("""COMPUTED_VALUE"""),"WebAssembly")</f>
        <v>WebAssembly</v>
      </c>
      <c r="F652" s="9" t="str">
        <f>IFERROR(__xludf.DUMMYFUNCTION("""COMPUTED_VALUE"""),"HTML/CSS")</f>
        <v>HTML/CSS</v>
      </c>
      <c r="G652" s="9" t="str">
        <f>IFERROR(__xludf.DUMMYFUNCTION("""COMPUTED_VALUE"""),"JavaScript")</f>
        <v>JavaScript</v>
      </c>
      <c r="H652" s="9" t="str">
        <f>IFERROR(__xludf.DUMMYFUNCTION("""COMPUTED_VALUE"""),"JavaScript")</f>
        <v>JavaScript</v>
      </c>
      <c r="I652" s="9" t="str">
        <f>IFERROR(__xludf.DUMMYFUNCTION("""COMPUTED_VALUE"""),"SQL")</f>
        <v>SQL</v>
      </c>
      <c r="J652" s="9" t="str">
        <f>IFERROR(__xludf.DUMMYFUNCTION("""COMPUTED_VALUE"""),"SQL")</f>
        <v>SQL</v>
      </c>
      <c r="K652" s="9" t="str">
        <f>IFERROR(__xludf.DUMMYFUNCTION("""COMPUTED_VALUE"""),"Swift")</f>
        <v>Swift</v>
      </c>
      <c r="L652" s="9" t="str">
        <f>IFERROR(__xludf.DUMMYFUNCTION("""COMPUTED_VALUE"""),"Java")</f>
        <v>Java</v>
      </c>
      <c r="M652" s="9" t="s">
        <v>46</v>
      </c>
    </row>
    <row r="653" ht="15.75" customHeight="1">
      <c r="A653" s="7"/>
      <c r="B653" s="7" t="str">
        <f>IFERROR(__xludf.DUMMYFUNCTION("""COMPUTED_VALUE"""),"Bash/Shell/PowerShell;HTML/CSS;JavaScript;PHP;Python;SQL")</f>
        <v>Bash/Shell/PowerShell;HTML/CSS;JavaScript;PHP;Python;SQL</v>
      </c>
      <c r="C653" s="9" t="str">
        <f>IFERROR(__xludf.DUMMYFUNCTION("""COMPUTED_VALUE"""),"C#")</f>
        <v>C#</v>
      </c>
      <c r="D653" s="9" t="str">
        <f>IFERROR(__xludf.DUMMYFUNCTION("""COMPUTED_VALUE"""),"Assembly")</f>
        <v>Assembly</v>
      </c>
      <c r="E653" s="9" t="str">
        <f>IFERROR(__xludf.DUMMYFUNCTION("""COMPUTED_VALUE"""),"JavaScript")</f>
        <v>JavaScript</v>
      </c>
      <c r="F653" s="9" t="str">
        <f>IFERROR(__xludf.DUMMYFUNCTION("""COMPUTED_VALUE"""),"Scala")</f>
        <v>Scala</v>
      </c>
      <c r="G653" s="9" t="str">
        <f>IFERROR(__xludf.DUMMYFUNCTION("""COMPUTED_VALUE"""),"PHP")</f>
        <v>PHP</v>
      </c>
      <c r="H653" s="9" t="str">
        <f>IFERROR(__xludf.DUMMYFUNCTION("""COMPUTED_VALUE"""),"PHP")</f>
        <v>PHP</v>
      </c>
      <c r="I653" s="9" t="str">
        <f>IFERROR(__xludf.DUMMYFUNCTION("""COMPUTED_VALUE"""),"C++")</f>
        <v>C++</v>
      </c>
      <c r="J653" s="9" t="str">
        <f>IFERROR(__xludf.DUMMYFUNCTION("""COMPUTED_VALUE"""),"Bash/Shell/PowerShell")</f>
        <v>Bash/Shell/PowerShell</v>
      </c>
      <c r="K653" s="9" t="str">
        <f>IFERROR(__xludf.DUMMYFUNCTION("""COMPUTED_VALUE"""),"TypeScript")</f>
        <v>TypeScript</v>
      </c>
      <c r="L653" s="9" t="str">
        <f>IFERROR(__xludf.DUMMYFUNCTION("""COMPUTED_VALUE"""),"JavaScript")</f>
        <v>JavaScript</v>
      </c>
      <c r="M653" s="9" t="s">
        <v>26</v>
      </c>
    </row>
    <row r="654" ht="15.75" customHeight="1">
      <c r="A654" s="7"/>
      <c r="B654" s="7" t="str">
        <f>IFERROR(__xludf.DUMMYFUNCTION("""COMPUTED_VALUE"""),"Python;SQL;VBA")</f>
        <v>Python;SQL;VBA</v>
      </c>
      <c r="C654" s="9" t="str">
        <f>IFERROR(__xludf.DUMMYFUNCTION("""COMPUTED_VALUE"""),"SQL")</f>
        <v>SQL</v>
      </c>
      <c r="D654" s="9" t="str">
        <f>IFERROR(__xludf.DUMMYFUNCTION("""COMPUTED_VALUE"""),"Bash/Shell/PowerShell")</f>
        <v>Bash/Shell/PowerShell</v>
      </c>
      <c r="E654" s="9" t="str">
        <f>IFERROR(__xludf.DUMMYFUNCTION("""COMPUTED_VALUE"""),"Swift")</f>
        <v>Swift</v>
      </c>
      <c r="F654" s="9" t="str">
        <f>IFERROR(__xludf.DUMMYFUNCTION("""COMPUTED_VALUE"""),"SQL")</f>
        <v>SQL</v>
      </c>
      <c r="G654" s="9" t="str">
        <f>IFERROR(__xludf.DUMMYFUNCTION("""COMPUTED_VALUE"""),"Python")</f>
        <v>Python</v>
      </c>
      <c r="H654" s="9" t="str">
        <f>IFERROR(__xludf.DUMMYFUNCTION("""COMPUTED_VALUE"""),"Bash/Shell/PowerShell")</f>
        <v>Bash/Shell/PowerShell</v>
      </c>
      <c r="I654" s="9" t="str">
        <f>IFERROR(__xludf.DUMMYFUNCTION("""COMPUTED_VALUE"""),"HTML/CSS")</f>
        <v>HTML/CSS</v>
      </c>
      <c r="J654" s="9" t="str">
        <f>IFERROR(__xludf.DUMMYFUNCTION("""COMPUTED_VALUE"""),"C")</f>
        <v>C</v>
      </c>
      <c r="K654" s="9" t="str">
        <f>IFERROR(__xludf.DUMMYFUNCTION("""COMPUTED_VALUE"""),"Bash/Shell/PowerShell")</f>
        <v>Bash/Shell/PowerShell</v>
      </c>
      <c r="L654" s="9" t="str">
        <f>IFERROR(__xludf.DUMMYFUNCTION("""COMPUTED_VALUE"""),"PHP")</f>
        <v>PHP</v>
      </c>
      <c r="M654" s="9" t="s">
        <v>27</v>
      </c>
    </row>
    <row r="655" ht="15.75" customHeight="1">
      <c r="A655" s="7"/>
      <c r="B655" s="7" t="str">
        <f>IFERROR(__xludf.DUMMYFUNCTION("""COMPUTED_VALUE"""),"HTML/CSS;JavaScript;Python;SQL")</f>
        <v>HTML/CSS;JavaScript;Python;SQL</v>
      </c>
      <c r="C655" s="9" t="str">
        <f>IFERROR(__xludf.DUMMYFUNCTION("""COMPUTED_VALUE"""),"Bash/Shell/PowerShell")</f>
        <v>Bash/Shell/PowerShell</v>
      </c>
      <c r="D655" s="9" t="str">
        <f>IFERROR(__xludf.DUMMYFUNCTION("""COMPUTED_VALUE"""),"Go")</f>
        <v>Go</v>
      </c>
      <c r="E655" s="9" t="str">
        <f>IFERROR(__xludf.DUMMYFUNCTION("""COMPUTED_VALUE"""),"TypeScript")</f>
        <v>TypeScript</v>
      </c>
      <c r="F655" s="9" t="str">
        <f>IFERROR(__xludf.DUMMYFUNCTION("""COMPUTED_VALUE"""),"HTML/CSS")</f>
        <v>HTML/CSS</v>
      </c>
      <c r="G655" s="9" t="str">
        <f>IFERROR(__xludf.DUMMYFUNCTION("""COMPUTED_VALUE"""),"SQL")</f>
        <v>SQL</v>
      </c>
      <c r="H655" s="9" t="str">
        <f>IFERROR(__xludf.DUMMYFUNCTION("""COMPUTED_VALUE"""),"C")</f>
        <v>C</v>
      </c>
      <c r="I655" s="9" t="str">
        <f>IFERROR(__xludf.DUMMYFUNCTION("""COMPUTED_VALUE"""),"JavaScript")</f>
        <v>JavaScript</v>
      </c>
      <c r="J655" s="9" t="str">
        <f>IFERROR(__xludf.DUMMYFUNCTION("""COMPUTED_VALUE"""),"C#")</f>
        <v>C#</v>
      </c>
      <c r="K655" s="9" t="str">
        <f>IFERROR(__xludf.DUMMYFUNCTION("""COMPUTED_VALUE"""),"C#")</f>
        <v>C#</v>
      </c>
      <c r="L655" s="9" t="str">
        <f>IFERROR(__xludf.DUMMYFUNCTION("""COMPUTED_VALUE"""),"Python")</f>
        <v>Python</v>
      </c>
      <c r="M655" s="9" t="s">
        <v>30</v>
      </c>
    </row>
    <row r="656" ht="15.75" customHeight="1">
      <c r="A656" s="7"/>
      <c r="B656" s="7" t="str">
        <f>IFERROR(__xludf.DUMMYFUNCTION("""COMPUTED_VALUE"""),"HTML/CSS;Java;JavaScript;PHP")</f>
        <v>HTML/CSS;Java;JavaScript;PHP</v>
      </c>
      <c r="C656" s="9" t="str">
        <f>IFERROR(__xludf.DUMMYFUNCTION("""COMPUTED_VALUE"""),"C")</f>
        <v>C</v>
      </c>
      <c r="D656" s="9" t="str">
        <f>IFERROR(__xludf.DUMMYFUNCTION("""COMPUTED_VALUE"""),"Python")</f>
        <v>Python</v>
      </c>
      <c r="E656" s="9" t="str">
        <f>IFERROR(__xludf.DUMMYFUNCTION("""COMPUTED_VALUE"""),"C")</f>
        <v>C</v>
      </c>
      <c r="F656" s="9" t="str">
        <f>IFERROR(__xludf.DUMMYFUNCTION("""COMPUTED_VALUE"""),"Java")</f>
        <v>Java</v>
      </c>
      <c r="G656" s="9" t="str">
        <f>IFERROR(__xludf.DUMMYFUNCTION("""COMPUTED_VALUE"""),"Python")</f>
        <v>Python</v>
      </c>
      <c r="H656" s="9" t="str">
        <f>IFERROR(__xludf.DUMMYFUNCTION("""COMPUTED_VALUE"""),"Java")</f>
        <v>Java</v>
      </c>
      <c r="I656" s="9" t="str">
        <f>IFERROR(__xludf.DUMMYFUNCTION("""COMPUTED_VALUE"""),"PHP")</f>
        <v>PHP</v>
      </c>
      <c r="J656" s="9" t="str">
        <f>IFERROR(__xludf.DUMMYFUNCTION("""COMPUTED_VALUE"""),"Bash/Shell/PowerShell")</f>
        <v>Bash/Shell/PowerShell</v>
      </c>
      <c r="K656" s="9" t="str">
        <f>IFERROR(__xludf.DUMMYFUNCTION("""COMPUTED_VALUE"""),"HTML/CSS")</f>
        <v>HTML/CSS</v>
      </c>
      <c r="L656" s="9" t="str">
        <f>IFERROR(__xludf.DUMMYFUNCTION("""COMPUTED_VALUE"""),"SQL")</f>
        <v>SQL</v>
      </c>
      <c r="M656" s="9" t="s">
        <v>25</v>
      </c>
    </row>
    <row r="657" ht="15.75" customHeight="1">
      <c r="A657" s="7"/>
      <c r="B657" s="7" t="str">
        <f>IFERROR(__xludf.DUMMYFUNCTION("""COMPUTED_VALUE"""),"Ruby;SQL")</f>
        <v>Ruby;SQL</v>
      </c>
      <c r="C657" s="9" t="str">
        <f>IFERROR(__xludf.DUMMYFUNCTION("""COMPUTED_VALUE"""),"Python")</f>
        <v>Python</v>
      </c>
      <c r="D657" s="9" t="str">
        <f>IFERROR(__xludf.DUMMYFUNCTION("""COMPUTED_VALUE"""),"Bash/Shell/PowerShell")</f>
        <v>Bash/Shell/PowerShell</v>
      </c>
      <c r="E657" s="9" t="str">
        <f>IFERROR(__xludf.DUMMYFUNCTION("""COMPUTED_VALUE"""),"C++")</f>
        <v>C++</v>
      </c>
      <c r="F657" s="9" t="str">
        <f>IFERROR(__xludf.DUMMYFUNCTION("""COMPUTED_VALUE"""),"JavaScript")</f>
        <v>JavaScript</v>
      </c>
      <c r="G657" s="9" t="str">
        <f>IFERROR(__xludf.DUMMYFUNCTION("""COMPUTED_VALUE"""),"C")</f>
        <v>C</v>
      </c>
      <c r="H657" s="9" t="str">
        <f>IFERROR(__xludf.DUMMYFUNCTION("""COMPUTED_VALUE"""),"SQL")</f>
        <v>SQL</v>
      </c>
      <c r="I657" s="9" t="str">
        <f>IFERROR(__xludf.DUMMYFUNCTION("""COMPUTED_VALUE"""),"SQL")</f>
        <v>SQL</v>
      </c>
      <c r="J657" s="9" t="str">
        <f>IFERROR(__xludf.DUMMYFUNCTION("""COMPUTED_VALUE"""),"Go")</f>
        <v>Go</v>
      </c>
      <c r="K657" s="9" t="str">
        <f>IFERROR(__xludf.DUMMYFUNCTION("""COMPUTED_VALUE"""),"JavaScript")</f>
        <v>JavaScript</v>
      </c>
      <c r="L657" s="9" t="str">
        <f>IFERROR(__xludf.DUMMYFUNCTION("""COMPUTED_VALUE"""),"Go")</f>
        <v>Go</v>
      </c>
      <c r="M657" s="9" t="s">
        <v>22</v>
      </c>
    </row>
    <row r="658" ht="15.75" customHeight="1">
      <c r="A658" s="7"/>
      <c r="B658" s="7" t="str">
        <f>IFERROR(__xludf.DUMMYFUNCTION("""COMPUTED_VALUE"""),"Bash/Shell/PowerShell;HTML/CSS;JavaScript;Python;SQL")</f>
        <v>Bash/Shell/PowerShell;HTML/CSS;JavaScript;Python;SQL</v>
      </c>
      <c r="C658" s="9" t="str">
        <f>IFERROR(__xludf.DUMMYFUNCTION("""COMPUTED_VALUE"""),"Bash/Shell/PowerShell")</f>
        <v>Bash/Shell/PowerShell</v>
      </c>
      <c r="D658" s="9" t="str">
        <f>IFERROR(__xludf.DUMMYFUNCTION("""COMPUTED_VALUE"""),"Go")</f>
        <v>Go</v>
      </c>
      <c r="E658" s="9" t="str">
        <f>IFERROR(__xludf.DUMMYFUNCTION("""COMPUTED_VALUE"""),"C#")</f>
        <v>C#</v>
      </c>
      <c r="F658" s="9" t="str">
        <f>IFERROR(__xludf.DUMMYFUNCTION("""COMPUTED_VALUE"""),"TypeScript")</f>
        <v>TypeScript</v>
      </c>
      <c r="G658" s="9" t="str">
        <f>IFERROR(__xludf.DUMMYFUNCTION("""COMPUTED_VALUE"""),"HTML/CSS")</f>
        <v>HTML/CSS</v>
      </c>
      <c r="H658" s="9" t="str">
        <f>IFERROR(__xludf.DUMMYFUNCTION("""COMPUTED_VALUE"""),"Bash/Shell/PowerShell")</f>
        <v>Bash/Shell/PowerShell</v>
      </c>
      <c r="I658" s="9" t="str">
        <f>IFERROR(__xludf.DUMMYFUNCTION("""COMPUTED_VALUE"""),"C#")</f>
        <v>C#</v>
      </c>
      <c r="J658" s="9" t="str">
        <f>IFERROR(__xludf.DUMMYFUNCTION("""COMPUTED_VALUE"""),"HTML/CSS")</f>
        <v>HTML/CSS</v>
      </c>
      <c r="K658" s="9" t="str">
        <f>IFERROR(__xludf.DUMMYFUNCTION("""COMPUTED_VALUE"""),"PHP")</f>
        <v>PHP</v>
      </c>
      <c r="L658" s="9" t="str">
        <f>IFERROR(__xludf.DUMMYFUNCTION("""COMPUTED_VALUE"""),"Rust")</f>
        <v>Rust</v>
      </c>
      <c r="M658" s="9" t="s">
        <v>30</v>
      </c>
    </row>
    <row r="659" ht="15.75" customHeight="1">
      <c r="A659" s="7"/>
      <c r="B659" s="7" t="str">
        <f>IFERROR(__xludf.DUMMYFUNCTION("""COMPUTED_VALUE"""),"HTML/CSS;JavaScript")</f>
        <v>HTML/CSS;JavaScript</v>
      </c>
      <c r="C659" s="9" t="str">
        <f>IFERROR(__xludf.DUMMYFUNCTION("""COMPUTED_VALUE"""),"Go")</f>
        <v>Go</v>
      </c>
      <c r="D659" s="9" t="str">
        <f>IFERROR(__xludf.DUMMYFUNCTION("""COMPUTED_VALUE"""),"HTML/CSS")</f>
        <v>HTML/CSS</v>
      </c>
      <c r="E659" s="9" t="str">
        <f>IFERROR(__xludf.DUMMYFUNCTION("""COMPUTED_VALUE"""),"HTML/CSS")</f>
        <v>HTML/CSS</v>
      </c>
      <c r="F659" s="9" t="str">
        <f>IFERROR(__xludf.DUMMYFUNCTION("""COMPUTED_VALUE"""),"HTML/CSS")</f>
        <v>HTML/CSS</v>
      </c>
      <c r="G659" s="9" t="str">
        <f>IFERROR(__xludf.DUMMYFUNCTION("""COMPUTED_VALUE"""),"JavaScript")</f>
        <v>JavaScript</v>
      </c>
      <c r="H659" s="9" t="str">
        <f>IFERROR(__xludf.DUMMYFUNCTION("""COMPUTED_VALUE"""),"C")</f>
        <v>C</v>
      </c>
      <c r="I659" s="9" t="str">
        <f>IFERROR(__xludf.DUMMYFUNCTION("""COMPUTED_VALUE"""),"HTML/CSS")</f>
        <v>HTML/CSS</v>
      </c>
      <c r="J659" s="9" t="str">
        <f>IFERROR(__xludf.DUMMYFUNCTION("""COMPUTED_VALUE"""),"Java")</f>
        <v>Java</v>
      </c>
      <c r="K659" s="9" t="str">
        <f>IFERROR(__xludf.DUMMYFUNCTION("""COMPUTED_VALUE"""),"SQL")</f>
        <v>SQL</v>
      </c>
      <c r="L659" s="9" t="str">
        <f>IFERROR(__xludf.DUMMYFUNCTION("""COMPUTED_VALUE"""),"Bash/Shell/PowerShell")</f>
        <v>Bash/Shell/PowerShell</v>
      </c>
      <c r="M659" s="9" t="s">
        <v>36</v>
      </c>
    </row>
    <row r="660" ht="15.75" customHeight="1">
      <c r="A660" s="7"/>
      <c r="B660" s="7" t="str">
        <f>IFERROR(__xludf.DUMMYFUNCTION("""COMPUTED_VALUE"""),"Bash/Shell/PowerShell;HTML/CSS;JavaScript;Python;SQL")</f>
        <v>Bash/Shell/PowerShell;HTML/CSS;JavaScript;Python;SQL</v>
      </c>
      <c r="C660" s="9" t="str">
        <f>IFERROR(__xludf.DUMMYFUNCTION("""COMPUTED_VALUE"""),"Ruby")</f>
        <v>Ruby</v>
      </c>
      <c r="D660" s="9" t="str">
        <f>IFERROR(__xludf.DUMMYFUNCTION("""COMPUTED_VALUE"""),"Java")</f>
        <v>Java</v>
      </c>
      <c r="E660" s="9" t="str">
        <f>IFERROR(__xludf.DUMMYFUNCTION("""COMPUTED_VALUE"""),"Java")</f>
        <v>Java</v>
      </c>
      <c r="F660" s="9" t="str">
        <f>IFERROR(__xludf.DUMMYFUNCTION("""COMPUTED_VALUE"""),"JavaScript")</f>
        <v>JavaScript</v>
      </c>
      <c r="G660" s="9" t="str">
        <f>IFERROR(__xludf.DUMMYFUNCTION("""COMPUTED_VALUE"""),"PHP")</f>
        <v>PHP</v>
      </c>
      <c r="H660" s="9" t="str">
        <f>IFERROR(__xludf.DUMMYFUNCTION("""COMPUTED_VALUE"""),"C++")</f>
        <v>C++</v>
      </c>
      <c r="I660" s="9" t="str">
        <f>IFERROR(__xludf.DUMMYFUNCTION("""COMPUTED_VALUE"""),"JavaScript")</f>
        <v>JavaScript</v>
      </c>
      <c r="J660" s="9" t="str">
        <f>IFERROR(__xludf.DUMMYFUNCTION("""COMPUTED_VALUE"""),"JavaScript")</f>
        <v>JavaScript</v>
      </c>
      <c r="K660" s="9" t="str">
        <f>IFERROR(__xludf.DUMMYFUNCTION("""COMPUTED_VALUE"""),"HTML/CSS")</f>
        <v>HTML/CSS</v>
      </c>
      <c r="L660" s="9" t="str">
        <f>IFERROR(__xludf.DUMMYFUNCTION("""COMPUTED_VALUE"""),"HTML/CSS")</f>
        <v>HTML/CSS</v>
      </c>
      <c r="M660" s="9" t="s">
        <v>31</v>
      </c>
    </row>
    <row r="661" ht="15.75" customHeight="1">
      <c r="A661" s="7"/>
      <c r="B661" s="7" t="str">
        <f>IFERROR(__xludf.DUMMYFUNCTION("""COMPUTED_VALUE"""),"Bash/Shell/PowerShell;C;Python;Rust;SQL")</f>
        <v>Bash/Shell/PowerShell;C;Python;Rust;SQL</v>
      </c>
      <c r="C661" s="9" t="str">
        <f>IFERROR(__xludf.DUMMYFUNCTION("""COMPUTED_VALUE"""),"C++")</f>
        <v>C++</v>
      </c>
      <c r="D661" s="9" t="str">
        <f>IFERROR(__xludf.DUMMYFUNCTION("""COMPUTED_VALUE"""),"JavaScript")</f>
        <v>JavaScript</v>
      </c>
      <c r="E661" s="9" t="str">
        <f>IFERROR(__xludf.DUMMYFUNCTION("""COMPUTED_VALUE"""),"JavaScript")</f>
        <v>JavaScript</v>
      </c>
      <c r="F661" s="9" t="str">
        <f>IFERROR(__xludf.DUMMYFUNCTION("""COMPUTED_VALUE"""),"Python")</f>
        <v>Python</v>
      </c>
      <c r="G661" s="9" t="str">
        <f>IFERROR(__xludf.DUMMYFUNCTION("""COMPUTED_VALUE"""),"Bash/Shell/PowerShell")</f>
        <v>Bash/Shell/PowerShell</v>
      </c>
      <c r="H661" s="9" t="str">
        <f>IFERROR(__xludf.DUMMYFUNCTION("""COMPUTED_VALUE"""),"Elixir")</f>
        <v>Elixir</v>
      </c>
      <c r="I661" s="9" t="str">
        <f>IFERROR(__xludf.DUMMYFUNCTION("""COMPUTED_VALUE"""),"SQL")</f>
        <v>SQL</v>
      </c>
      <c r="J661" s="9" t="str">
        <f>IFERROR(__xludf.DUMMYFUNCTION("""COMPUTED_VALUE"""),"Python")</f>
        <v>Python</v>
      </c>
      <c r="K661" s="9" t="str">
        <f>IFERROR(__xludf.DUMMYFUNCTION("""COMPUTED_VALUE"""),"Java")</f>
        <v>Java</v>
      </c>
      <c r="L661" s="9" t="str">
        <f>IFERROR(__xludf.DUMMYFUNCTION("""COMPUTED_VALUE"""),"JavaScript")</f>
        <v>JavaScript</v>
      </c>
      <c r="M661" s="9" t="s">
        <v>23</v>
      </c>
    </row>
    <row r="662" ht="15.75" customHeight="1">
      <c r="A662" s="7"/>
      <c r="B662" s="7" t="str">
        <f>IFERROR(__xludf.DUMMYFUNCTION("""COMPUTED_VALUE"""),"C#;HTML/CSS;JavaScript;SQL;Swift")</f>
        <v>C#;HTML/CSS;JavaScript;SQL;Swift</v>
      </c>
      <c r="C662" s="9" t="str">
        <f>IFERROR(__xludf.DUMMYFUNCTION("""COMPUTED_VALUE"""),"Python")</f>
        <v>Python</v>
      </c>
      <c r="D662" s="9" t="str">
        <f>IFERROR(__xludf.DUMMYFUNCTION("""COMPUTED_VALUE"""),"Kotlin")</f>
        <v>Kotlin</v>
      </c>
      <c r="E662" s="9" t="str">
        <f>IFERROR(__xludf.DUMMYFUNCTION("""COMPUTED_VALUE"""),"Kotlin")</f>
        <v>Kotlin</v>
      </c>
      <c r="F662" s="9" t="str">
        <f>IFERROR(__xludf.DUMMYFUNCTION("""COMPUTED_VALUE"""),"TypeScript")</f>
        <v>TypeScript</v>
      </c>
      <c r="G662" s="9" t="str">
        <f>IFERROR(__xludf.DUMMYFUNCTION("""COMPUTED_VALUE"""),"C#")</f>
        <v>C#</v>
      </c>
      <c r="H662" s="9" t="str">
        <f>IFERROR(__xludf.DUMMYFUNCTION("""COMPUTED_VALUE"""),"Go")</f>
        <v>Go</v>
      </c>
      <c r="I662" s="9" t="str">
        <f>IFERROR(__xludf.DUMMYFUNCTION("""COMPUTED_VALUE"""),"Bash/Shell/PowerShell")</f>
        <v>Bash/Shell/PowerShell</v>
      </c>
      <c r="J662" s="9" t="str">
        <f>IFERROR(__xludf.DUMMYFUNCTION("""COMPUTED_VALUE"""),"SQL")</f>
        <v>SQL</v>
      </c>
      <c r="K662" s="9" t="str">
        <f>IFERROR(__xludf.DUMMYFUNCTION("""COMPUTED_VALUE"""),"JavaScript")</f>
        <v>JavaScript</v>
      </c>
      <c r="L662" s="9" t="str">
        <f>IFERROR(__xludf.DUMMYFUNCTION("""COMPUTED_VALUE"""),"Python")</f>
        <v>Python</v>
      </c>
      <c r="M662" s="9" t="s">
        <v>22</v>
      </c>
    </row>
    <row r="663" ht="15.75" customHeight="1">
      <c r="A663" s="7"/>
      <c r="B663" s="7" t="str">
        <f>IFERROR(__xludf.DUMMYFUNCTION("""COMPUTED_VALUE"""),"Bash/Shell/PowerShell;HTML/CSS;Java;JavaScript;Kotlin;PHP;Python")</f>
        <v>Bash/Shell/PowerShell;HTML/CSS;Java;JavaScript;Kotlin;PHP;Python</v>
      </c>
      <c r="C663" s="9" t="str">
        <f>IFERROR(__xludf.DUMMYFUNCTION("""COMPUTED_VALUE"""),"R")</f>
        <v>R</v>
      </c>
      <c r="D663" s="9" t="str">
        <f>IFERROR(__xludf.DUMMYFUNCTION("""COMPUTED_VALUE"""),"TypeScript")</f>
        <v>TypeScript</v>
      </c>
      <c r="E663" s="9" t="str">
        <f>IFERROR(__xludf.DUMMYFUNCTION("""COMPUTED_VALUE"""),"SQL")</f>
        <v>SQL</v>
      </c>
      <c r="F663" s="9" t="str">
        <f>IFERROR(__xludf.DUMMYFUNCTION("""COMPUTED_VALUE"""),"Bash/Shell/PowerShell")</f>
        <v>Bash/Shell/PowerShell</v>
      </c>
      <c r="G663" s="9" t="str">
        <f>IFERROR(__xludf.DUMMYFUNCTION("""COMPUTED_VALUE"""),"Go")</f>
        <v>Go</v>
      </c>
      <c r="H663" s="9" t="str">
        <f>IFERROR(__xludf.DUMMYFUNCTION("""COMPUTED_VALUE"""),"HTML/CSS")</f>
        <v>HTML/CSS</v>
      </c>
      <c r="I663" s="9" t="str">
        <f>IFERROR(__xludf.DUMMYFUNCTION("""COMPUTED_VALUE"""),"Python")</f>
        <v>Python</v>
      </c>
      <c r="J663" s="9" t="str">
        <f>IFERROR(__xludf.DUMMYFUNCTION("""COMPUTED_VALUE"""),"TypeScript")</f>
        <v>TypeScript</v>
      </c>
      <c r="K663" s="9" t="str">
        <f>IFERROR(__xludf.DUMMYFUNCTION("""COMPUTED_VALUE"""),"PHP")</f>
        <v>PHP</v>
      </c>
      <c r="L663" s="9" t="str">
        <f>IFERROR(__xludf.DUMMYFUNCTION("""COMPUTED_VALUE"""),"Assembly")</f>
        <v>Assembly</v>
      </c>
      <c r="M663" s="9" t="s">
        <v>29</v>
      </c>
    </row>
    <row r="664" ht="15.75" customHeight="1">
      <c r="A664" s="7"/>
      <c r="B664" s="7" t="str">
        <f>IFERROR(__xludf.DUMMYFUNCTION("""COMPUTED_VALUE"""),"C;C++;HTML/CSS;Java;JavaScript;PHP;SQL")</f>
        <v>C;C++;HTML/CSS;Java;JavaScript;PHP;SQL</v>
      </c>
      <c r="C664" s="9" t="str">
        <f>IFERROR(__xludf.DUMMYFUNCTION("""COMPUTED_VALUE"""),"Bash/Shell/PowerShell")</f>
        <v>Bash/Shell/PowerShell</v>
      </c>
      <c r="D664" s="9" t="str">
        <f>IFERROR(__xludf.DUMMYFUNCTION("""COMPUTED_VALUE"""),"Bash/Shell/PowerShell")</f>
        <v>Bash/Shell/PowerShell</v>
      </c>
      <c r="E664" s="9" t="str">
        <f>IFERROR(__xludf.DUMMYFUNCTION("""COMPUTED_VALUE"""),"TypeScript")</f>
        <v>TypeScript</v>
      </c>
      <c r="F664" s="9" t="str">
        <f>IFERROR(__xludf.DUMMYFUNCTION("""COMPUTED_VALUE"""),"C")</f>
        <v>C</v>
      </c>
      <c r="G664" s="9" t="str">
        <f>IFERROR(__xludf.DUMMYFUNCTION("""COMPUTED_VALUE"""),"HTML/CSS")</f>
        <v>HTML/CSS</v>
      </c>
      <c r="H664" s="9" t="str">
        <f>IFERROR(__xludf.DUMMYFUNCTION("""COMPUTED_VALUE"""),"Java")</f>
        <v>Java</v>
      </c>
      <c r="I664" s="9" t="str">
        <f>IFERROR(__xludf.DUMMYFUNCTION("""COMPUTED_VALUE"""),"Java")</f>
        <v>Java</v>
      </c>
      <c r="J664" s="9" t="str">
        <f>IFERROR(__xludf.DUMMYFUNCTION("""COMPUTED_VALUE"""),"HTML/CSS")</f>
        <v>HTML/CSS</v>
      </c>
      <c r="K664" s="9" t="str">
        <f>IFERROR(__xludf.DUMMYFUNCTION("""COMPUTED_VALUE"""),"SQL")</f>
        <v>SQL</v>
      </c>
      <c r="L664" s="9" t="str">
        <f>IFERROR(__xludf.DUMMYFUNCTION("""COMPUTED_VALUE"""),"Bash/Shell/PowerShell")</f>
        <v>Bash/Shell/PowerShell</v>
      </c>
      <c r="M664" s="9" t="s">
        <v>30</v>
      </c>
    </row>
    <row r="665" ht="15.75" customHeight="1">
      <c r="A665" s="7"/>
      <c r="B665" s="7" t="str">
        <f>IFERROR(__xludf.DUMMYFUNCTION("""COMPUTED_VALUE"""),"C;C++;C#;HTML/CSS;JavaScript;PHP;SQL")</f>
        <v>C;C++;C#;HTML/CSS;JavaScript;PHP;SQL</v>
      </c>
      <c r="C665" s="9" t="str">
        <f>IFERROR(__xludf.DUMMYFUNCTION("""COMPUTED_VALUE"""),"C++")</f>
        <v>C++</v>
      </c>
      <c r="D665" s="9" t="str">
        <f>IFERROR(__xludf.DUMMYFUNCTION("""COMPUTED_VALUE"""),"C")</f>
        <v>C</v>
      </c>
      <c r="E665" s="9" t="str">
        <f>IFERROR(__xludf.DUMMYFUNCTION("""COMPUTED_VALUE"""),"Bash/Shell/PowerShell")</f>
        <v>Bash/Shell/PowerShell</v>
      </c>
      <c r="F665" s="9" t="str">
        <f>IFERROR(__xludf.DUMMYFUNCTION("""COMPUTED_VALUE"""),"C++")</f>
        <v>C++</v>
      </c>
      <c r="G665" s="9" t="str">
        <f>IFERROR(__xludf.DUMMYFUNCTION("""COMPUTED_VALUE"""),"Java")</f>
        <v>Java</v>
      </c>
      <c r="H665" s="9" t="str">
        <f>IFERROR(__xludf.DUMMYFUNCTION("""COMPUTED_VALUE"""),"JavaScript")</f>
        <v>JavaScript</v>
      </c>
      <c r="I665" s="9" t="str">
        <f>IFERROR(__xludf.DUMMYFUNCTION("""COMPUTED_VALUE"""),"JavaScript")</f>
        <v>JavaScript</v>
      </c>
      <c r="J665" s="9" t="str">
        <f>IFERROR(__xludf.DUMMYFUNCTION("""COMPUTED_VALUE"""),"JavaScript")</f>
        <v>JavaScript</v>
      </c>
      <c r="K665" s="9" t="str">
        <f>IFERROR(__xludf.DUMMYFUNCTION("""COMPUTED_VALUE"""),"TypeScript")</f>
        <v>TypeScript</v>
      </c>
      <c r="L665" s="9" t="str">
        <f>IFERROR(__xludf.DUMMYFUNCTION("""COMPUTED_VALUE"""),"C")</f>
        <v>C</v>
      </c>
      <c r="M665" s="9" t="s">
        <v>23</v>
      </c>
    </row>
    <row r="666" ht="15.75" customHeight="1">
      <c r="A666" s="7"/>
      <c r="B666" s="7" t="str">
        <f>IFERROR(__xludf.DUMMYFUNCTION("""COMPUTED_VALUE"""),"C#;HTML/CSS;JavaScript;Python")</f>
        <v>C#;HTML/CSS;JavaScript;Python</v>
      </c>
      <c r="C666" s="9" t="str">
        <f>IFERROR(__xludf.DUMMYFUNCTION("""COMPUTED_VALUE"""),"Clojure")</f>
        <v>Clojure</v>
      </c>
      <c r="D666" s="9" t="str">
        <f>IFERROR(__xludf.DUMMYFUNCTION("""COMPUTED_VALUE"""),"HTML/CSS")</f>
        <v>HTML/CSS</v>
      </c>
      <c r="E666" s="9" t="str">
        <f>IFERROR(__xludf.DUMMYFUNCTION("""COMPUTED_VALUE"""),"HTML/CSS")</f>
        <v>HTML/CSS</v>
      </c>
      <c r="F666" s="9" t="str">
        <f>IFERROR(__xludf.DUMMYFUNCTION("""COMPUTED_VALUE"""),"HTML/CSS")</f>
        <v>HTML/CSS</v>
      </c>
      <c r="G666" s="9" t="str">
        <f>IFERROR(__xludf.DUMMYFUNCTION("""COMPUTED_VALUE"""),"JavaScript")</f>
        <v>JavaScript</v>
      </c>
      <c r="H666" s="9" t="str">
        <f>IFERROR(__xludf.DUMMYFUNCTION("""COMPUTED_VALUE"""),"Python")</f>
        <v>Python</v>
      </c>
      <c r="I666" s="9" t="str">
        <f>IFERROR(__xludf.DUMMYFUNCTION("""COMPUTED_VALUE"""),"TypeScript")</f>
        <v>TypeScript</v>
      </c>
      <c r="J666" s="9" t="str">
        <f>IFERROR(__xludf.DUMMYFUNCTION("""COMPUTED_VALUE"""),"PHP")</f>
        <v>PHP</v>
      </c>
      <c r="K666" s="9" t="str">
        <f>IFERROR(__xludf.DUMMYFUNCTION("""COMPUTED_VALUE"""),"HTML/CSS")</f>
        <v>HTML/CSS</v>
      </c>
      <c r="L666" s="9" t="str">
        <f>IFERROR(__xludf.DUMMYFUNCTION("""COMPUTED_VALUE"""),"C++")</f>
        <v>C++</v>
      </c>
      <c r="M666" s="9" t="s">
        <v>44</v>
      </c>
    </row>
    <row r="667" ht="15.75" customHeight="1">
      <c r="A667" s="7"/>
      <c r="B667" s="7" t="str">
        <f>IFERROR(__xludf.DUMMYFUNCTION("""COMPUTED_VALUE"""),"C#;HTML/CSS;Java;JavaScript;SQL;VBA;Other(s):")</f>
        <v>C#;HTML/CSS;Java;JavaScript;SQL;VBA;Other(s):</v>
      </c>
      <c r="C667" s="9" t="str">
        <f>IFERROR(__xludf.DUMMYFUNCTION("""COMPUTED_VALUE"""),"HTML/CSS")</f>
        <v>HTML/CSS</v>
      </c>
      <c r="D667" s="9" t="str">
        <f>IFERROR(__xludf.DUMMYFUNCTION("""COMPUTED_VALUE"""),"Java")</f>
        <v>Java</v>
      </c>
      <c r="E667" s="9" t="str">
        <f>IFERROR(__xludf.DUMMYFUNCTION("""COMPUTED_VALUE"""),"JavaScript")</f>
        <v>JavaScript</v>
      </c>
      <c r="F667" s="9" t="str">
        <f>IFERROR(__xludf.DUMMYFUNCTION("""COMPUTED_VALUE"""),"Java")</f>
        <v>Java</v>
      </c>
      <c r="G667" s="9" t="str">
        <f>IFERROR(__xludf.DUMMYFUNCTION("""COMPUTED_VALUE"""),"Kotlin")</f>
        <v>Kotlin</v>
      </c>
      <c r="H667" s="9" t="str">
        <f>IFERROR(__xludf.DUMMYFUNCTION("""COMPUTED_VALUE"""),"Ruby")</f>
        <v>Ruby</v>
      </c>
      <c r="I667" s="9" t="str">
        <f>IFERROR(__xludf.DUMMYFUNCTION("""COMPUTED_VALUE"""),"Bash/Shell/PowerShell")</f>
        <v>Bash/Shell/PowerShell</v>
      </c>
      <c r="J667" s="9" t="str">
        <f>IFERROR(__xludf.DUMMYFUNCTION("""COMPUTED_VALUE"""),"TypeScript")</f>
        <v>TypeScript</v>
      </c>
      <c r="K667" s="9" t="str">
        <f>IFERROR(__xludf.DUMMYFUNCTION("""COMPUTED_VALUE"""),"Java")</f>
        <v>Java</v>
      </c>
      <c r="L667" s="9" t="str">
        <f>IFERROR(__xludf.DUMMYFUNCTION("""COMPUTED_VALUE"""),"C#")</f>
        <v>C#</v>
      </c>
      <c r="M667" s="9" t="s">
        <v>24</v>
      </c>
    </row>
    <row r="668" ht="15.75" customHeight="1">
      <c r="A668" s="7"/>
      <c r="B668" s="7" t="str">
        <f>IFERROR(__xludf.DUMMYFUNCTION("""COMPUTED_VALUE"""),"Bash/Shell/PowerShell;Objective-C;Ruby;Swift")</f>
        <v>Bash/Shell/PowerShell;Objective-C;Ruby;Swift</v>
      </c>
      <c r="C668" s="9" t="str">
        <f>IFERROR(__xludf.DUMMYFUNCTION("""COMPUTED_VALUE"""),"Java")</f>
        <v>Java</v>
      </c>
      <c r="D668" s="9" t="str">
        <f>IFERROR(__xludf.DUMMYFUNCTION("""COMPUTED_VALUE"""),"JavaScript")</f>
        <v>JavaScript</v>
      </c>
      <c r="E668" s="9" t="str">
        <f>IFERROR(__xludf.DUMMYFUNCTION("""COMPUTED_VALUE"""),"VBA")</f>
        <v>VBA</v>
      </c>
      <c r="F668" s="9" t="str">
        <f>IFERROR(__xludf.DUMMYFUNCTION("""COMPUTED_VALUE"""),"JavaScript")</f>
        <v>JavaScript</v>
      </c>
      <c r="G668" s="9" t="str">
        <f>IFERROR(__xludf.DUMMYFUNCTION("""COMPUTED_VALUE"""),"PHP")</f>
        <v>PHP</v>
      </c>
      <c r="H668" s="9" t="str">
        <f>IFERROR(__xludf.DUMMYFUNCTION("""COMPUTED_VALUE"""),"SQL")</f>
        <v>SQL</v>
      </c>
      <c r="I668" s="9" t="str">
        <f>IFERROR(__xludf.DUMMYFUNCTION("""COMPUTED_VALUE"""),"HTML/CSS")</f>
        <v>HTML/CSS</v>
      </c>
      <c r="J668" s="9" t="str">
        <f>IFERROR(__xludf.DUMMYFUNCTION("""COMPUTED_VALUE"""),"Bash/Shell/PowerShell")</f>
        <v>Bash/Shell/PowerShell</v>
      </c>
      <c r="K668" s="9" t="str">
        <f>IFERROR(__xludf.DUMMYFUNCTION("""COMPUTED_VALUE"""),"JavaScript")</f>
        <v>JavaScript</v>
      </c>
      <c r="L668" s="9" t="str">
        <f>IFERROR(__xludf.DUMMYFUNCTION("""COMPUTED_VALUE"""),"Dart")</f>
        <v>Dart</v>
      </c>
      <c r="M668" s="9" t="s">
        <v>20</v>
      </c>
    </row>
    <row r="669" ht="15.75" customHeight="1">
      <c r="A669" s="7"/>
      <c r="B669" s="7" t="str">
        <f>IFERROR(__xludf.DUMMYFUNCTION("""COMPUTED_VALUE"""),"Other(s):")</f>
        <v>Other(s):</v>
      </c>
      <c r="C669" s="9" t="str">
        <f>IFERROR(__xludf.DUMMYFUNCTION("""COMPUTED_VALUE"""),"Python")</f>
        <v>Python</v>
      </c>
      <c r="D669" s="9" t="str">
        <f>IFERROR(__xludf.DUMMYFUNCTION("""COMPUTED_VALUE"""),"Objective-C")</f>
        <v>Objective-C</v>
      </c>
      <c r="E669" s="9" t="str">
        <f>IFERROR(__xludf.DUMMYFUNCTION("""COMPUTED_VALUE"""),"Bash/Shell/PowerShell")</f>
        <v>Bash/Shell/PowerShell</v>
      </c>
      <c r="F669" s="9" t="str">
        <f>IFERROR(__xludf.DUMMYFUNCTION("""COMPUTED_VALUE"""),"Python")</f>
        <v>Python</v>
      </c>
      <c r="G669" s="9" t="str">
        <f>IFERROR(__xludf.DUMMYFUNCTION("""COMPUTED_VALUE"""),"SQL")</f>
        <v>SQL</v>
      </c>
      <c r="H669" s="9" t="str">
        <f>IFERROR(__xludf.DUMMYFUNCTION("""COMPUTED_VALUE"""),"TypeScript")</f>
        <v>TypeScript</v>
      </c>
      <c r="I669" s="9" t="str">
        <f>IFERROR(__xludf.DUMMYFUNCTION("""COMPUTED_VALUE"""),"JavaScript")</f>
        <v>JavaScript</v>
      </c>
      <c r="J669" s="9" t="str">
        <f>IFERROR(__xludf.DUMMYFUNCTION("""COMPUTED_VALUE"""),"HTML/CSS")</f>
        <v>HTML/CSS</v>
      </c>
      <c r="K669" s="9" t="str">
        <f>IFERROR(__xludf.DUMMYFUNCTION("""COMPUTED_VALUE"""),"C")</f>
        <v>C</v>
      </c>
      <c r="L669" s="9" t="str">
        <f>IFERROR(__xludf.DUMMYFUNCTION("""COMPUTED_VALUE"""),"HTML/CSS")</f>
        <v>HTML/CSS</v>
      </c>
      <c r="M669" s="9" t="s">
        <v>22</v>
      </c>
    </row>
    <row r="670" ht="15.75" customHeight="1">
      <c r="A670" s="7"/>
      <c r="B670" s="7" t="str">
        <f>IFERROR(__xludf.DUMMYFUNCTION("""COMPUTED_VALUE"""),"Java;JavaScript;Scala;SQL")</f>
        <v>Java;JavaScript;Scala;SQL</v>
      </c>
      <c r="C670" s="9" t="str">
        <f>IFERROR(__xludf.DUMMYFUNCTION("""COMPUTED_VALUE"""),"Ruby")</f>
        <v>Ruby</v>
      </c>
      <c r="D670" s="9" t="str">
        <f>IFERROR(__xludf.DUMMYFUNCTION("""COMPUTED_VALUE"""),"PHP")</f>
        <v>PHP</v>
      </c>
      <c r="E670" s="9" t="str">
        <f>IFERROR(__xludf.DUMMYFUNCTION("""COMPUTED_VALUE"""),"C#")</f>
        <v>C#</v>
      </c>
      <c r="F670" s="9" t="str">
        <f>IFERROR(__xludf.DUMMYFUNCTION("""COMPUTED_VALUE"""),"SQL")</f>
        <v>SQL</v>
      </c>
      <c r="G670" s="9" t="str">
        <f>IFERROR(__xludf.DUMMYFUNCTION("""COMPUTED_VALUE"""),"TypeScript")</f>
        <v>TypeScript</v>
      </c>
      <c r="H670" s="9" t="str">
        <f>IFERROR(__xludf.DUMMYFUNCTION("""COMPUTED_VALUE"""),"C")</f>
        <v>C</v>
      </c>
      <c r="I670" s="9" t="str">
        <f>IFERROR(__xludf.DUMMYFUNCTION("""COMPUTED_VALUE"""),"Python")</f>
        <v>Python</v>
      </c>
      <c r="J670" s="9" t="str">
        <f>IFERROR(__xludf.DUMMYFUNCTION("""COMPUTED_VALUE"""),"JavaScript")</f>
        <v>JavaScript</v>
      </c>
      <c r="K670" s="9" t="str">
        <f>IFERROR(__xludf.DUMMYFUNCTION("""COMPUTED_VALUE"""),"HTML/CSS")</f>
        <v>HTML/CSS</v>
      </c>
      <c r="L670" s="9" t="str">
        <f>IFERROR(__xludf.DUMMYFUNCTION("""COMPUTED_VALUE"""),"JavaScript")</f>
        <v>JavaScript</v>
      </c>
      <c r="M670" s="9" t="s">
        <v>31</v>
      </c>
    </row>
    <row r="671" ht="15.75" customHeight="1">
      <c r="A671" s="7"/>
      <c r="B671" s="7" t="str">
        <f>IFERROR(__xludf.DUMMYFUNCTION("""COMPUTED_VALUE"""),"C#;HTML/CSS;Python;SQL")</f>
        <v>C#;HTML/CSS;Python;SQL</v>
      </c>
      <c r="C671" s="9" t="str">
        <f>IFERROR(__xludf.DUMMYFUNCTION("""COMPUTED_VALUE"""),"SQL")</f>
        <v>SQL</v>
      </c>
      <c r="D671" s="9" t="str">
        <f>IFERROR(__xludf.DUMMYFUNCTION("""COMPUTED_VALUE"""),"Python")</f>
        <v>Python</v>
      </c>
      <c r="E671" s="9" t="str">
        <f>IFERROR(__xludf.DUMMYFUNCTION("""COMPUTED_VALUE"""),"HTML/CSS")</f>
        <v>HTML/CSS</v>
      </c>
      <c r="F671" s="9" t="str">
        <f>IFERROR(__xludf.DUMMYFUNCTION("""COMPUTED_VALUE"""),"Other(s):")</f>
        <v>Other(s):</v>
      </c>
      <c r="G671" s="9" t="str">
        <f>IFERROR(__xludf.DUMMYFUNCTION("""COMPUTED_VALUE"""),"Other(s):")</f>
        <v>Other(s):</v>
      </c>
      <c r="H671" s="9" t="str">
        <f>IFERROR(__xludf.DUMMYFUNCTION("""COMPUTED_VALUE"""),"C++")</f>
        <v>C++</v>
      </c>
      <c r="I671" s="9" t="str">
        <f>IFERROR(__xludf.DUMMYFUNCTION("""COMPUTED_VALUE"""),"C")</f>
        <v>C</v>
      </c>
      <c r="J671" s="9" t="str">
        <f>IFERROR(__xludf.DUMMYFUNCTION("""COMPUTED_VALUE"""),"Python")</f>
        <v>Python</v>
      </c>
      <c r="K671" s="9" t="str">
        <f>IFERROR(__xludf.DUMMYFUNCTION("""COMPUTED_VALUE"""),"JavaScript")</f>
        <v>JavaScript</v>
      </c>
      <c r="L671" s="9" t="str">
        <f>IFERROR(__xludf.DUMMYFUNCTION("""COMPUTED_VALUE"""),"PHP")</f>
        <v>PHP</v>
      </c>
      <c r="M671" s="9" t="s">
        <v>27</v>
      </c>
    </row>
    <row r="672" ht="15.75" customHeight="1">
      <c r="A672" s="7"/>
      <c r="B672" s="7" t="str">
        <f>IFERROR(__xludf.DUMMYFUNCTION("""COMPUTED_VALUE"""),"C#;HTML/CSS;JavaScript;SQL")</f>
        <v>C#;HTML/CSS;JavaScript;SQL</v>
      </c>
      <c r="C672" s="9" t="str">
        <f>IFERROR(__xludf.DUMMYFUNCTION("""COMPUTED_VALUE"""),"Java")</f>
        <v>Java</v>
      </c>
      <c r="D672" s="9" t="str">
        <f>IFERROR(__xludf.DUMMYFUNCTION("""COMPUTED_VALUE"""),"Ruby")</f>
        <v>Ruby</v>
      </c>
      <c r="E672" s="9" t="str">
        <f>IFERROR(__xludf.DUMMYFUNCTION("""COMPUTED_VALUE"""),"Java")</f>
        <v>Java</v>
      </c>
      <c r="F672" s="9" t="str">
        <f>IFERROR(__xludf.DUMMYFUNCTION("""COMPUTED_VALUE"""),"Bash/Shell/PowerShell")</f>
        <v>Bash/Shell/PowerShell</v>
      </c>
      <c r="G672" s="9" t="str">
        <f>IFERROR(__xludf.DUMMYFUNCTION("""COMPUTED_VALUE"""),"Bash/Shell/PowerShell")</f>
        <v>Bash/Shell/PowerShell</v>
      </c>
      <c r="H672" s="9" t="str">
        <f>IFERROR(__xludf.DUMMYFUNCTION("""COMPUTED_VALUE"""),"HTML/CSS")</f>
        <v>HTML/CSS</v>
      </c>
      <c r="I672" s="9" t="str">
        <f>IFERROR(__xludf.DUMMYFUNCTION("""COMPUTED_VALUE"""),"HTML/CSS")</f>
        <v>HTML/CSS</v>
      </c>
      <c r="J672" s="9" t="str">
        <f>IFERROR(__xludf.DUMMYFUNCTION("""COMPUTED_VALUE"""),"Scala")</f>
        <v>Scala</v>
      </c>
      <c r="K672" s="9" t="str">
        <f>IFERROR(__xludf.DUMMYFUNCTION("""COMPUTED_VALUE"""),"Objective-C")</f>
        <v>Objective-C</v>
      </c>
      <c r="L672" s="9" t="str">
        <f>IFERROR(__xludf.DUMMYFUNCTION("""COMPUTED_VALUE"""),"Python")</f>
        <v>Python</v>
      </c>
      <c r="M672" s="9" t="s">
        <v>20</v>
      </c>
    </row>
    <row r="673" ht="15.75" customHeight="1">
      <c r="A673" s="7"/>
      <c r="B673" s="7" t="str">
        <f>IFERROR(__xludf.DUMMYFUNCTION("""COMPUTED_VALUE"""),"Bash/Shell/PowerShell;C;C++;C#;F#;HTML/CSS;Java;JavaScript;Python;R;Ruby;Scala;SQL")</f>
        <v>Bash/Shell/PowerShell;C;C++;C#;F#;HTML/CSS;Java;JavaScript;Python;R;Ruby;Scala;SQL</v>
      </c>
      <c r="C673" s="9" t="str">
        <f>IFERROR(__xludf.DUMMYFUNCTION("""COMPUTED_VALUE"""),"Bash/Shell/PowerShell")</f>
        <v>Bash/Shell/PowerShell</v>
      </c>
      <c r="D673" s="9" t="str">
        <f>IFERROR(__xludf.DUMMYFUNCTION("""COMPUTED_VALUE"""),"SQL")</f>
        <v>SQL</v>
      </c>
      <c r="E673" s="9" t="str">
        <f>IFERROR(__xludf.DUMMYFUNCTION("""COMPUTED_VALUE"""),"JavaScript")</f>
        <v>JavaScript</v>
      </c>
      <c r="F673" s="9" t="str">
        <f>IFERROR(__xludf.DUMMYFUNCTION("""COMPUTED_VALUE"""),"Python")</f>
        <v>Python</v>
      </c>
      <c r="G673" s="9" t="str">
        <f>IFERROR(__xludf.DUMMYFUNCTION("""COMPUTED_VALUE"""),"Dart")</f>
        <v>Dart</v>
      </c>
      <c r="H673" s="9" t="str">
        <f>IFERROR(__xludf.DUMMYFUNCTION("""COMPUTED_VALUE"""),"JavaScript")</f>
        <v>JavaScript</v>
      </c>
      <c r="I673" s="9" t="str">
        <f>IFERROR(__xludf.DUMMYFUNCTION("""COMPUTED_VALUE"""),"Java")</f>
        <v>Java</v>
      </c>
      <c r="J673" s="9" t="str">
        <f>IFERROR(__xludf.DUMMYFUNCTION("""COMPUTED_VALUE"""),"SQL")</f>
        <v>SQL</v>
      </c>
      <c r="K673" s="9" t="str">
        <f>IFERROR(__xludf.DUMMYFUNCTION("""COMPUTED_VALUE"""),"PHP")</f>
        <v>PHP</v>
      </c>
      <c r="L673" s="9" t="str">
        <f>IFERROR(__xludf.DUMMYFUNCTION("""COMPUTED_VALUE"""),"SQL")</f>
        <v>SQL</v>
      </c>
      <c r="M673" s="9" t="s">
        <v>30</v>
      </c>
    </row>
    <row r="674" ht="15.75" customHeight="1">
      <c r="A674" s="7"/>
      <c r="B674" s="7" t="str">
        <f>IFERROR(__xludf.DUMMYFUNCTION("""COMPUTED_VALUE"""),"HTML/CSS;Objective-C;Swift")</f>
        <v>HTML/CSS;Objective-C;Swift</v>
      </c>
      <c r="C674" s="9" t="str">
        <f>IFERROR(__xludf.DUMMYFUNCTION("""COMPUTED_VALUE"""),"C++")</f>
        <v>C++</v>
      </c>
      <c r="D674" s="9" t="str">
        <f>IFERROR(__xludf.DUMMYFUNCTION("""COMPUTED_VALUE"""),"TypeScript")</f>
        <v>TypeScript</v>
      </c>
      <c r="E674" s="9" t="str">
        <f>IFERROR(__xludf.DUMMYFUNCTION("""COMPUTED_VALUE"""),"PHP")</f>
        <v>PHP</v>
      </c>
      <c r="F674" s="9" t="str">
        <f>IFERROR(__xludf.DUMMYFUNCTION("""COMPUTED_VALUE"""),"Scala")</f>
        <v>Scala</v>
      </c>
      <c r="G674" s="9" t="str">
        <f>IFERROR(__xludf.DUMMYFUNCTION("""COMPUTED_VALUE"""),"F#")</f>
        <v>F#</v>
      </c>
      <c r="H674" s="9" t="str">
        <f>IFERROR(__xludf.DUMMYFUNCTION("""COMPUTED_VALUE"""),"Objective-C")</f>
        <v>Objective-C</v>
      </c>
      <c r="I674" s="9" t="str">
        <f>IFERROR(__xludf.DUMMYFUNCTION("""COMPUTED_VALUE"""),"JavaScript")</f>
        <v>JavaScript</v>
      </c>
      <c r="J674" s="9" t="str">
        <f>IFERROR(__xludf.DUMMYFUNCTION("""COMPUTED_VALUE"""),"Assembly")</f>
        <v>Assembly</v>
      </c>
      <c r="K674" s="9" t="str">
        <f>IFERROR(__xludf.DUMMYFUNCTION("""COMPUTED_VALUE"""),"Python")</f>
        <v>Python</v>
      </c>
      <c r="L674" s="9" t="str">
        <f>IFERROR(__xludf.DUMMYFUNCTION("""COMPUTED_VALUE"""),"VBA")</f>
        <v>VBA</v>
      </c>
      <c r="M674" s="9" t="s">
        <v>23</v>
      </c>
    </row>
    <row r="675" ht="15.75" customHeight="1">
      <c r="A675" s="7"/>
      <c r="B675" s="7" t="str">
        <f>IFERROR(__xludf.DUMMYFUNCTION("""COMPUTED_VALUE"""),"HTML/CSS;JavaScript;PHP;Python;SQL")</f>
        <v>HTML/CSS;JavaScript;PHP;Python;SQL</v>
      </c>
      <c r="C675" s="9" t="str">
        <f>IFERROR(__xludf.DUMMYFUNCTION("""COMPUTED_VALUE"""),"C#")</f>
        <v>C#</v>
      </c>
      <c r="D675" s="9" t="str">
        <f>IFERROR(__xludf.DUMMYFUNCTION("""COMPUTED_VALUE"""),"C")</f>
        <v>C</v>
      </c>
      <c r="E675" s="9" t="str">
        <f>IFERROR(__xludf.DUMMYFUNCTION("""COMPUTED_VALUE"""),"SQL")</f>
        <v>SQL</v>
      </c>
      <c r="F675" s="9" t="str">
        <f>IFERROR(__xludf.DUMMYFUNCTION("""COMPUTED_VALUE"""),"SQL")</f>
        <v>SQL</v>
      </c>
      <c r="G675" s="9" t="str">
        <f>IFERROR(__xludf.DUMMYFUNCTION("""COMPUTED_VALUE"""),"HTML/CSS")</f>
        <v>HTML/CSS</v>
      </c>
      <c r="H675" s="9" t="str">
        <f>IFERROR(__xludf.DUMMYFUNCTION("""COMPUTED_VALUE"""),"Swift")</f>
        <v>Swift</v>
      </c>
      <c r="I675" s="9" t="str">
        <f>IFERROR(__xludf.DUMMYFUNCTION("""COMPUTED_VALUE"""),"SQL")</f>
        <v>SQL</v>
      </c>
      <c r="J675" s="9" t="str">
        <f>IFERROR(__xludf.DUMMYFUNCTION("""COMPUTED_VALUE"""),"C")</f>
        <v>C</v>
      </c>
      <c r="K675" s="9" t="str">
        <f>IFERROR(__xludf.DUMMYFUNCTION("""COMPUTED_VALUE"""),"Assembly")</f>
        <v>Assembly</v>
      </c>
      <c r="L675" s="9" t="str">
        <f>IFERROR(__xludf.DUMMYFUNCTION("""COMPUTED_VALUE"""),"Bash/Shell/PowerShell")</f>
        <v>Bash/Shell/PowerShell</v>
      </c>
      <c r="M675" s="9" t="s">
        <v>26</v>
      </c>
    </row>
    <row r="676" ht="15.75" customHeight="1">
      <c r="A676" s="7"/>
      <c r="B676" s="7" t="str">
        <f>IFERROR(__xludf.DUMMYFUNCTION("""COMPUTED_VALUE"""),"C#;HTML/CSS;JavaScript;TypeScript")</f>
        <v>C#;HTML/CSS;JavaScript;TypeScript</v>
      </c>
      <c r="C676" s="9" t="str">
        <f>IFERROR(__xludf.DUMMYFUNCTION("""COMPUTED_VALUE"""),"HTML/CSS")</f>
        <v>HTML/CSS</v>
      </c>
      <c r="D676" s="9" t="str">
        <f>IFERROR(__xludf.DUMMYFUNCTION("""COMPUTED_VALUE"""),"C++")</f>
        <v>C++</v>
      </c>
      <c r="E676" s="9" t="str">
        <f>IFERROR(__xludf.DUMMYFUNCTION("""COMPUTED_VALUE"""),"Java")</f>
        <v>Java</v>
      </c>
      <c r="F676" s="9" t="str">
        <f>IFERROR(__xludf.DUMMYFUNCTION("""COMPUTED_VALUE"""),"Bash/Shell/PowerShell")</f>
        <v>Bash/Shell/PowerShell</v>
      </c>
      <c r="G676" s="9" t="str">
        <f>IFERROR(__xludf.DUMMYFUNCTION("""COMPUTED_VALUE"""),"Java")</f>
        <v>Java</v>
      </c>
      <c r="H676" s="9" t="str">
        <f>IFERROR(__xludf.DUMMYFUNCTION("""COMPUTED_VALUE"""),"Bash/Shell/PowerShell")</f>
        <v>Bash/Shell/PowerShell</v>
      </c>
      <c r="I676" s="9" t="str">
        <f>IFERROR(__xludf.DUMMYFUNCTION("""COMPUTED_VALUE"""),"C#")</f>
        <v>C#</v>
      </c>
      <c r="J676" s="9" t="str">
        <f>IFERROR(__xludf.DUMMYFUNCTION("""COMPUTED_VALUE"""),"C++")</f>
        <v>C++</v>
      </c>
      <c r="K676" s="9" t="str">
        <f>IFERROR(__xludf.DUMMYFUNCTION("""COMPUTED_VALUE"""),"C#")</f>
        <v>C#</v>
      </c>
      <c r="L676" s="9" t="str">
        <f>IFERROR(__xludf.DUMMYFUNCTION("""COMPUTED_VALUE"""),"Erlang")</f>
        <v>Erlang</v>
      </c>
      <c r="M676" s="9" t="s">
        <v>24</v>
      </c>
    </row>
    <row r="677" ht="15.75" customHeight="1">
      <c r="A677" s="7"/>
      <c r="B677" s="7" t="str">
        <f>IFERROR(__xludf.DUMMYFUNCTION("""COMPUTED_VALUE"""),"C#;HTML/CSS;Java;SQL")</f>
        <v>C#;HTML/CSS;Java;SQL</v>
      </c>
      <c r="C677" s="9" t="str">
        <f>IFERROR(__xludf.DUMMYFUNCTION("""COMPUTED_VALUE"""),"Java")</f>
        <v>Java</v>
      </c>
      <c r="D677" s="9" t="str">
        <f>IFERROR(__xludf.DUMMYFUNCTION("""COMPUTED_VALUE"""),"HTML/CSS")</f>
        <v>HTML/CSS</v>
      </c>
      <c r="E677" s="9" t="str">
        <f>IFERROR(__xludf.DUMMYFUNCTION("""COMPUTED_VALUE"""),"SQL")</f>
        <v>SQL</v>
      </c>
      <c r="F677" s="9" t="str">
        <f>IFERROR(__xludf.DUMMYFUNCTION("""COMPUTED_VALUE"""),"C")</f>
        <v>C</v>
      </c>
      <c r="G677" s="9" t="str">
        <f>IFERROR(__xludf.DUMMYFUNCTION("""COMPUTED_VALUE"""),"JavaScript")</f>
        <v>JavaScript</v>
      </c>
      <c r="H677" s="9" t="str">
        <f>IFERROR(__xludf.DUMMYFUNCTION("""COMPUTED_VALUE"""),"C")</f>
        <v>C</v>
      </c>
      <c r="I677" s="9" t="str">
        <f>IFERROR(__xludf.DUMMYFUNCTION("""COMPUTED_VALUE"""),"JavaScript")</f>
        <v>JavaScript</v>
      </c>
      <c r="J677" s="9" t="str">
        <f>IFERROR(__xludf.DUMMYFUNCTION("""COMPUTED_VALUE"""),"HTML/CSS")</f>
        <v>HTML/CSS</v>
      </c>
      <c r="K677" s="9" t="str">
        <f>IFERROR(__xludf.DUMMYFUNCTION("""COMPUTED_VALUE"""),"Erlang")</f>
        <v>Erlang</v>
      </c>
      <c r="L677" s="9" t="str">
        <f>IFERROR(__xludf.DUMMYFUNCTION("""COMPUTED_VALUE"""),"Java")</f>
        <v>Java</v>
      </c>
      <c r="M677" s="9" t="s">
        <v>20</v>
      </c>
    </row>
    <row r="678" ht="15.75" customHeight="1">
      <c r="A678" s="7"/>
      <c r="B678" s="7" t="str">
        <f>IFERROR(__xludf.DUMMYFUNCTION("""COMPUTED_VALUE"""),"C#;SQL")</f>
        <v>C#;SQL</v>
      </c>
      <c r="C678" s="9" t="str">
        <f>IFERROR(__xludf.DUMMYFUNCTION("""COMPUTED_VALUE"""),"JavaScript")</f>
        <v>JavaScript</v>
      </c>
      <c r="D678" s="9" t="str">
        <f>IFERROR(__xludf.DUMMYFUNCTION("""COMPUTED_VALUE"""),"Java")</f>
        <v>Java</v>
      </c>
      <c r="E678" s="9" t="str">
        <f>IFERROR(__xludf.DUMMYFUNCTION("""COMPUTED_VALUE"""),"VBA")</f>
        <v>VBA</v>
      </c>
      <c r="F678" s="9" t="str">
        <f>IFERROR(__xludf.DUMMYFUNCTION("""COMPUTED_VALUE"""),"C++")</f>
        <v>C++</v>
      </c>
      <c r="G678" s="9" t="str">
        <f>IFERROR(__xludf.DUMMYFUNCTION("""COMPUTED_VALUE"""),"Kotlin")</f>
        <v>Kotlin</v>
      </c>
      <c r="H678" s="9" t="str">
        <f>IFERROR(__xludf.DUMMYFUNCTION("""COMPUTED_VALUE"""),"Go")</f>
        <v>Go</v>
      </c>
      <c r="I678" s="9" t="str">
        <f>IFERROR(__xludf.DUMMYFUNCTION("""COMPUTED_VALUE"""),"SQL")</f>
        <v>SQL</v>
      </c>
      <c r="J678" s="9" t="str">
        <f>IFERROR(__xludf.DUMMYFUNCTION("""COMPUTED_VALUE"""),"Java")</f>
        <v>Java</v>
      </c>
      <c r="K678" s="9" t="str">
        <f>IFERROR(__xludf.DUMMYFUNCTION("""COMPUTED_VALUE"""),"Java")</f>
        <v>Java</v>
      </c>
      <c r="L678" s="9" t="str">
        <f>IFERROR(__xludf.DUMMYFUNCTION("""COMPUTED_VALUE"""),"Scala")</f>
        <v>Scala</v>
      </c>
      <c r="M678" s="9" t="s">
        <v>21</v>
      </c>
    </row>
    <row r="679" ht="15.75" customHeight="1">
      <c r="A679" s="7"/>
      <c r="B679" s="7" t="str">
        <f>IFERROR(__xludf.DUMMYFUNCTION("""COMPUTED_VALUE"""),"C;C++;Java;Python;SQL;Other(s):")</f>
        <v>C;C++;Java;Python;SQL;Other(s):</v>
      </c>
      <c r="C679" s="9" t="str">
        <f>IFERROR(__xludf.DUMMYFUNCTION("""COMPUTED_VALUE"""),"Objective-C")</f>
        <v>Objective-C</v>
      </c>
      <c r="D679" s="9" t="str">
        <f>IFERROR(__xludf.DUMMYFUNCTION("""COMPUTED_VALUE"""),"JavaScript")</f>
        <v>JavaScript</v>
      </c>
      <c r="E679" s="9" t="str">
        <f>IFERROR(__xludf.DUMMYFUNCTION("""COMPUTED_VALUE"""),"HTML/CSS")</f>
        <v>HTML/CSS</v>
      </c>
      <c r="F679" s="9" t="str">
        <f>IFERROR(__xludf.DUMMYFUNCTION("""COMPUTED_VALUE"""),"C#")</f>
        <v>C#</v>
      </c>
      <c r="G679" s="9" t="str">
        <f>IFERROR(__xludf.DUMMYFUNCTION("""COMPUTED_VALUE"""),"Python")</f>
        <v>Python</v>
      </c>
      <c r="H679" s="9" t="str">
        <f>IFERROR(__xludf.DUMMYFUNCTION("""COMPUTED_VALUE"""),"HTML/CSS")</f>
        <v>HTML/CSS</v>
      </c>
      <c r="I679" s="9" t="str">
        <f>IFERROR(__xludf.DUMMYFUNCTION("""COMPUTED_VALUE"""),"HTML/CSS")</f>
        <v>HTML/CSS</v>
      </c>
      <c r="J679" s="9" t="str">
        <f>IFERROR(__xludf.DUMMYFUNCTION("""COMPUTED_VALUE"""),"JavaScript")</f>
        <v>JavaScript</v>
      </c>
      <c r="K679" s="9" t="str">
        <f>IFERROR(__xludf.DUMMYFUNCTION("""COMPUTED_VALUE"""),"SQL")</f>
        <v>SQL</v>
      </c>
      <c r="L679" s="9" t="str">
        <f>IFERROR(__xludf.DUMMYFUNCTION("""COMPUTED_VALUE"""),"SQL")</f>
        <v>SQL</v>
      </c>
      <c r="M679" s="9" t="s">
        <v>41</v>
      </c>
    </row>
    <row r="680" ht="15.75" customHeight="1">
      <c r="A680" s="7"/>
      <c r="B680" s="7" t="str">
        <f>IFERROR(__xludf.DUMMYFUNCTION("""COMPUTED_VALUE"""),"HTML/CSS;JavaScript;PHP;Python;SQL")</f>
        <v>HTML/CSS;JavaScript;PHP;Python;SQL</v>
      </c>
      <c r="C680" s="9" t="str">
        <f>IFERROR(__xludf.DUMMYFUNCTION("""COMPUTED_VALUE"""),"Python")</f>
        <v>Python</v>
      </c>
      <c r="D680" s="9" t="str">
        <f>IFERROR(__xludf.DUMMYFUNCTION("""COMPUTED_VALUE"""),"PHP")</f>
        <v>PHP</v>
      </c>
      <c r="E680" s="9" t="str">
        <f>IFERROR(__xludf.DUMMYFUNCTION("""COMPUTED_VALUE"""),"JavaScript")</f>
        <v>JavaScript</v>
      </c>
      <c r="F680" s="9" t="str">
        <f>IFERROR(__xludf.DUMMYFUNCTION("""COMPUTED_VALUE"""),"Go")</f>
        <v>Go</v>
      </c>
      <c r="G680" s="9" t="str">
        <f>IFERROR(__xludf.DUMMYFUNCTION("""COMPUTED_VALUE"""),"Ruby")</f>
        <v>Ruby</v>
      </c>
      <c r="H680" s="9" t="str">
        <f>IFERROR(__xludf.DUMMYFUNCTION("""COMPUTED_VALUE"""),"Java")</f>
        <v>Java</v>
      </c>
      <c r="I680" s="9" t="str">
        <f>IFERROR(__xludf.DUMMYFUNCTION("""COMPUTED_VALUE"""),"Java")</f>
        <v>Java</v>
      </c>
      <c r="J680" s="9" t="str">
        <f>IFERROR(__xludf.DUMMYFUNCTION("""COMPUTED_VALUE"""),"SQL")</f>
        <v>SQL</v>
      </c>
      <c r="K680" s="9" t="str">
        <f>IFERROR(__xludf.DUMMYFUNCTION("""COMPUTED_VALUE"""),"Python")</f>
        <v>Python</v>
      </c>
      <c r="L680" s="9" t="str">
        <f>IFERROR(__xludf.DUMMYFUNCTION("""COMPUTED_VALUE"""),"Python")</f>
        <v>Python</v>
      </c>
      <c r="M680" s="9" t="s">
        <v>22</v>
      </c>
    </row>
    <row r="681" ht="15.75" customHeight="1">
      <c r="A681" s="7"/>
      <c r="B681" s="7" t="str">
        <f>IFERROR(__xludf.DUMMYFUNCTION("""COMPUTED_VALUE"""),"C++;C#;HTML/CSS;Java;JavaScript;Other(s):")</f>
        <v>C++;C#;HTML/CSS;Java;JavaScript;Other(s):</v>
      </c>
      <c r="C681" s="9" t="str">
        <f>IFERROR(__xludf.DUMMYFUNCTION("""COMPUTED_VALUE"""),"TypeScript")</f>
        <v>TypeScript</v>
      </c>
      <c r="D681" s="9" t="str">
        <f>IFERROR(__xludf.DUMMYFUNCTION("""COMPUTED_VALUE"""),"SQL")</f>
        <v>SQL</v>
      </c>
      <c r="E681" s="9" t="str">
        <f>IFERROR(__xludf.DUMMYFUNCTION("""COMPUTED_VALUE"""),"TypeScript")</f>
        <v>TypeScript</v>
      </c>
      <c r="F681" s="9" t="str">
        <f>IFERROR(__xludf.DUMMYFUNCTION("""COMPUTED_VALUE"""),"HTML/CSS")</f>
        <v>HTML/CSS</v>
      </c>
      <c r="G681" s="9" t="str">
        <f>IFERROR(__xludf.DUMMYFUNCTION("""COMPUTED_VALUE"""),"Scala")</f>
        <v>Scala</v>
      </c>
      <c r="H681" s="9" t="str">
        <f>IFERROR(__xludf.DUMMYFUNCTION("""COMPUTED_VALUE"""),"JavaScript")</f>
        <v>JavaScript</v>
      </c>
      <c r="I681" s="9" t="str">
        <f>IFERROR(__xludf.DUMMYFUNCTION("""COMPUTED_VALUE"""),"JavaScript")</f>
        <v>JavaScript</v>
      </c>
      <c r="J681" s="9" t="str">
        <f>IFERROR(__xludf.DUMMYFUNCTION("""COMPUTED_VALUE"""),"HTML/CSS")</f>
        <v>HTML/CSS</v>
      </c>
      <c r="K681" s="9" t="str">
        <f>IFERROR(__xludf.DUMMYFUNCTION("""COMPUTED_VALUE"""),"R")</f>
        <v>R</v>
      </c>
      <c r="L681" s="9" t="str">
        <f>IFERROR(__xludf.DUMMYFUNCTION("""COMPUTED_VALUE"""),"C#")</f>
        <v>C#</v>
      </c>
      <c r="M681" s="9" t="s">
        <v>33</v>
      </c>
    </row>
    <row r="682" ht="15.75" customHeight="1">
      <c r="A682" s="7"/>
      <c r="B682" s="7" t="str">
        <f>IFERROR(__xludf.DUMMYFUNCTION("""COMPUTED_VALUE"""),"Assembly")</f>
        <v>Assembly</v>
      </c>
      <c r="C682" s="9" t="str">
        <f>IFERROR(__xludf.DUMMYFUNCTION("""COMPUTED_VALUE"""),"JavaScript")</f>
        <v>JavaScript</v>
      </c>
      <c r="D682" s="9" t="str">
        <f>IFERROR(__xludf.DUMMYFUNCTION("""COMPUTED_VALUE"""),"Bash/Shell/PowerShell")</f>
        <v>Bash/Shell/PowerShell</v>
      </c>
      <c r="E682" s="9" t="str">
        <f>IFERROR(__xludf.DUMMYFUNCTION("""COMPUTED_VALUE"""),"JavaScript")</f>
        <v>JavaScript</v>
      </c>
      <c r="F682" s="9" t="str">
        <f>IFERROR(__xludf.DUMMYFUNCTION("""COMPUTED_VALUE"""),"JavaScript")</f>
        <v>JavaScript</v>
      </c>
      <c r="G682" s="9" t="str">
        <f>IFERROR(__xludf.DUMMYFUNCTION("""COMPUTED_VALUE"""),"SQL")</f>
        <v>SQL</v>
      </c>
      <c r="H682" s="9" t="str">
        <f>IFERROR(__xludf.DUMMYFUNCTION("""COMPUTED_VALUE"""),"Python")</f>
        <v>Python</v>
      </c>
      <c r="I682" s="9" t="str">
        <f>IFERROR(__xludf.DUMMYFUNCTION("""COMPUTED_VALUE"""),"SQL")</f>
        <v>SQL</v>
      </c>
      <c r="J682" s="9" t="str">
        <f>IFERROR(__xludf.DUMMYFUNCTION("""COMPUTED_VALUE"""),"Java")</f>
        <v>Java</v>
      </c>
      <c r="K682" s="9" t="str">
        <f>IFERROR(__xludf.DUMMYFUNCTION("""COMPUTED_VALUE"""),"C")</f>
        <v>C</v>
      </c>
      <c r="L682" s="9" t="str">
        <f>IFERROR(__xludf.DUMMYFUNCTION("""COMPUTED_VALUE"""),"HTML/CSS")</f>
        <v>HTML/CSS</v>
      </c>
      <c r="M682" s="9" t="s">
        <v>21</v>
      </c>
    </row>
    <row r="683" ht="15.75" customHeight="1">
      <c r="A683" s="7"/>
      <c r="B683" s="7" t="str">
        <f>IFERROR(__xludf.DUMMYFUNCTION("""COMPUTED_VALUE"""),"HTML/CSS;JavaScript;PHP;SQL")</f>
        <v>HTML/CSS;JavaScript;PHP;SQL</v>
      </c>
      <c r="C683" s="9" t="str">
        <f>IFERROR(__xludf.DUMMYFUNCTION("""COMPUTED_VALUE"""),"PHP")</f>
        <v>PHP</v>
      </c>
      <c r="D683" s="9" t="str">
        <f>IFERROR(__xludf.DUMMYFUNCTION("""COMPUTED_VALUE"""),"HTML/CSS")</f>
        <v>HTML/CSS</v>
      </c>
      <c r="E683" s="9" t="str">
        <f>IFERROR(__xludf.DUMMYFUNCTION("""COMPUTED_VALUE"""),"PHP")</f>
        <v>PHP</v>
      </c>
      <c r="F683" s="9" t="str">
        <f>IFERROR(__xludf.DUMMYFUNCTION("""COMPUTED_VALUE"""),"Python")</f>
        <v>Python</v>
      </c>
      <c r="G683" s="9" t="str">
        <f>IFERROR(__xludf.DUMMYFUNCTION("""COMPUTED_VALUE"""),"Other(s):")</f>
        <v>Other(s):</v>
      </c>
      <c r="H683" s="9" t="str">
        <f>IFERROR(__xludf.DUMMYFUNCTION("""COMPUTED_VALUE"""),"SQL")</f>
        <v>SQL</v>
      </c>
      <c r="I683" s="9" t="str">
        <f>IFERROR(__xludf.DUMMYFUNCTION("""COMPUTED_VALUE"""),"TypeScript")</f>
        <v>TypeScript</v>
      </c>
      <c r="J683" s="9" t="str">
        <f>IFERROR(__xludf.DUMMYFUNCTION("""COMPUTED_VALUE"""),"JavaScript")</f>
        <v>JavaScript</v>
      </c>
      <c r="K683" s="9" t="str">
        <f>IFERROR(__xludf.DUMMYFUNCTION("""COMPUTED_VALUE"""),"C++")</f>
        <v>C++</v>
      </c>
      <c r="L683" s="9" t="str">
        <f>IFERROR(__xludf.DUMMYFUNCTION("""COMPUTED_VALUE"""),"JavaScript")</f>
        <v>JavaScript</v>
      </c>
      <c r="M683" s="9" t="s">
        <v>37</v>
      </c>
    </row>
    <row r="684" ht="15.75" customHeight="1">
      <c r="A684" s="7"/>
      <c r="B684" s="7" t="str">
        <f>IFERROR(__xludf.DUMMYFUNCTION("""COMPUTED_VALUE"""),"HTML/CSS;Java;JavaScript;SQL")</f>
        <v>HTML/CSS;Java;JavaScript;SQL</v>
      </c>
      <c r="C684" s="9" t="str">
        <f>IFERROR(__xludf.DUMMYFUNCTION("""COMPUTED_VALUE"""),"SQL")</f>
        <v>SQL</v>
      </c>
      <c r="D684" s="9" t="str">
        <f>IFERROR(__xludf.DUMMYFUNCTION("""COMPUTED_VALUE"""),"JavaScript")</f>
        <v>JavaScript</v>
      </c>
      <c r="E684" s="9" t="str">
        <f>IFERROR(__xludf.DUMMYFUNCTION("""COMPUTED_VALUE"""),"C")</f>
        <v>C</v>
      </c>
      <c r="F684" s="9" t="str">
        <f>IFERROR(__xludf.DUMMYFUNCTION("""COMPUTED_VALUE"""),"SQL")</f>
        <v>SQL</v>
      </c>
      <c r="G684" s="9" t="str">
        <f>IFERROR(__xludf.DUMMYFUNCTION("""COMPUTED_VALUE"""),"Bash/Shell/PowerShell")</f>
        <v>Bash/Shell/PowerShell</v>
      </c>
      <c r="H684" s="9" t="str">
        <f>IFERROR(__xludf.DUMMYFUNCTION("""COMPUTED_VALUE"""),"VBA")</f>
        <v>VBA</v>
      </c>
      <c r="I684" s="9" t="str">
        <f>IFERROR(__xludf.DUMMYFUNCTION("""COMPUTED_VALUE"""),"C#")</f>
        <v>C#</v>
      </c>
      <c r="J684" s="9" t="str">
        <f>IFERROR(__xludf.DUMMYFUNCTION("""COMPUTED_VALUE"""),"SQL")</f>
        <v>SQL</v>
      </c>
      <c r="K684" s="9" t="str">
        <f>IFERROR(__xludf.DUMMYFUNCTION("""COMPUTED_VALUE"""),"Python")</f>
        <v>Python</v>
      </c>
      <c r="L684" s="9" t="str">
        <f>IFERROR(__xludf.DUMMYFUNCTION("""COMPUTED_VALUE"""),"SQL")</f>
        <v>SQL</v>
      </c>
      <c r="M684" s="9" t="s">
        <v>27</v>
      </c>
    </row>
    <row r="685" ht="15.75" customHeight="1">
      <c r="A685" s="7"/>
      <c r="B685" s="7" t="str">
        <f>IFERROR(__xludf.DUMMYFUNCTION("""COMPUTED_VALUE"""),"Bash/Shell/PowerShell;HTML/CSS;JavaScript;PHP;Python;SQL")</f>
        <v>Bash/Shell/PowerShell;HTML/CSS;JavaScript;PHP;Python;SQL</v>
      </c>
      <c r="C685" s="9" t="str">
        <f>IFERROR(__xludf.DUMMYFUNCTION("""COMPUTED_VALUE"""),"C")</f>
        <v>C</v>
      </c>
      <c r="D685" s="9" t="str">
        <f>IFERROR(__xludf.DUMMYFUNCTION("""COMPUTED_VALUE"""),"Python")</f>
        <v>Python</v>
      </c>
      <c r="E685" s="9" t="str">
        <f>IFERROR(__xludf.DUMMYFUNCTION("""COMPUTED_VALUE"""),"C++")</f>
        <v>C++</v>
      </c>
      <c r="F685" s="9" t="str">
        <f>IFERROR(__xludf.DUMMYFUNCTION("""COMPUTED_VALUE"""),"Bash/Shell/PowerShell")</f>
        <v>Bash/Shell/PowerShell</v>
      </c>
      <c r="G685" s="9" t="str">
        <f>IFERROR(__xludf.DUMMYFUNCTION("""COMPUTED_VALUE"""),"HTML/CSS")</f>
        <v>HTML/CSS</v>
      </c>
      <c r="H685" s="9" t="str">
        <f>IFERROR(__xludf.DUMMYFUNCTION("""COMPUTED_VALUE"""),"Bash/Shell/PowerShell")</f>
        <v>Bash/Shell/PowerShell</v>
      </c>
      <c r="I685" s="9" t="str">
        <f>IFERROR(__xludf.DUMMYFUNCTION("""COMPUTED_VALUE"""),"HTML/CSS")</f>
        <v>HTML/CSS</v>
      </c>
      <c r="J685" s="9" t="str">
        <f>IFERROR(__xludf.DUMMYFUNCTION("""COMPUTED_VALUE"""),"TypeScript")</f>
        <v>TypeScript</v>
      </c>
      <c r="K685" s="9" t="str">
        <f>IFERROR(__xludf.DUMMYFUNCTION("""COMPUTED_VALUE"""),"Bash/Shell/PowerShell")</f>
        <v>Bash/Shell/PowerShell</v>
      </c>
      <c r="L685" s="9" t="str">
        <f>IFERROR(__xludf.DUMMYFUNCTION("""COMPUTED_VALUE"""),"TypeScript")</f>
        <v>TypeScript</v>
      </c>
      <c r="M685" s="9" t="s">
        <v>25</v>
      </c>
    </row>
    <row r="686" ht="15.75" customHeight="1">
      <c r="A686" s="7"/>
      <c r="B686" s="7" t="str">
        <f>IFERROR(__xludf.DUMMYFUNCTION("""COMPUTED_VALUE"""),"C#;Go;HTML/CSS;Java;JavaScript;PHP;Python;SQL;VBA")</f>
        <v>C#;Go;HTML/CSS;Java;JavaScript;PHP;Python;SQL;VBA</v>
      </c>
      <c r="C686" s="9" t="str">
        <f>IFERROR(__xludf.DUMMYFUNCTION("""COMPUTED_VALUE"""),"C++")</f>
        <v>C++</v>
      </c>
      <c r="D686" s="9" t="str">
        <f>IFERROR(__xludf.DUMMYFUNCTION("""COMPUTED_VALUE"""),"Bash/Shell/PowerShell")</f>
        <v>Bash/Shell/PowerShell</v>
      </c>
      <c r="E686" s="9" t="str">
        <f>IFERROR(__xludf.DUMMYFUNCTION("""COMPUTED_VALUE"""),"HTML/CSS")</f>
        <v>HTML/CSS</v>
      </c>
      <c r="F686" s="9" t="str">
        <f>IFERROR(__xludf.DUMMYFUNCTION("""COMPUTED_VALUE"""),"HTML/CSS")</f>
        <v>HTML/CSS</v>
      </c>
      <c r="G686" s="9" t="str">
        <f>IFERROR(__xludf.DUMMYFUNCTION("""COMPUTED_VALUE"""),"Java")</f>
        <v>Java</v>
      </c>
      <c r="H686" s="9" t="str">
        <f>IFERROR(__xludf.DUMMYFUNCTION("""COMPUTED_VALUE"""),"Elixir")</f>
        <v>Elixir</v>
      </c>
      <c r="I686" s="9" t="str">
        <f>IFERROR(__xludf.DUMMYFUNCTION("""COMPUTED_VALUE"""),"JavaScript")</f>
        <v>JavaScript</v>
      </c>
      <c r="J686" s="9" t="str">
        <f>IFERROR(__xludf.DUMMYFUNCTION("""COMPUTED_VALUE"""),"HTML/CSS")</f>
        <v>HTML/CSS</v>
      </c>
      <c r="K686" s="9" t="str">
        <f>IFERROR(__xludf.DUMMYFUNCTION("""COMPUTED_VALUE"""),"C")</f>
        <v>C</v>
      </c>
      <c r="L686" s="9" t="str">
        <f>IFERROR(__xludf.DUMMYFUNCTION("""COMPUTED_VALUE"""),"HTML/CSS")</f>
        <v>HTML/CSS</v>
      </c>
      <c r="M686" s="9" t="s">
        <v>23</v>
      </c>
    </row>
    <row r="687" ht="15.75" customHeight="1">
      <c r="A687" s="7"/>
      <c r="B687" s="7" t="str">
        <f>IFERROR(__xludf.DUMMYFUNCTION("""COMPUTED_VALUE"""),"C#;HTML/CSS;JavaScript;TypeScript")</f>
        <v>C#;HTML/CSS;JavaScript;TypeScript</v>
      </c>
      <c r="C687" s="9" t="str">
        <f>IFERROR(__xludf.DUMMYFUNCTION("""COMPUTED_VALUE"""),"HTML/CSS")</f>
        <v>HTML/CSS</v>
      </c>
      <c r="D687" s="9" t="str">
        <f>IFERROR(__xludf.DUMMYFUNCTION("""COMPUTED_VALUE"""),"C#")</f>
        <v>C#</v>
      </c>
      <c r="E687" s="9" t="str">
        <f>IFERROR(__xludf.DUMMYFUNCTION("""COMPUTED_VALUE"""),"Java")</f>
        <v>Java</v>
      </c>
      <c r="F687" s="9" t="str">
        <f>IFERROR(__xludf.DUMMYFUNCTION("""COMPUTED_VALUE"""),"JavaScript")</f>
        <v>JavaScript</v>
      </c>
      <c r="G687" s="9" t="str">
        <f>IFERROR(__xludf.DUMMYFUNCTION("""COMPUTED_VALUE"""),"JavaScript")</f>
        <v>JavaScript</v>
      </c>
      <c r="H687" s="9" t="str">
        <f>IFERROR(__xludf.DUMMYFUNCTION("""COMPUTED_VALUE"""),"Go")</f>
        <v>Go</v>
      </c>
      <c r="I687" s="9" t="str">
        <f>IFERROR(__xludf.DUMMYFUNCTION("""COMPUTED_VALUE"""),"Java")</f>
        <v>Java</v>
      </c>
      <c r="J687" s="9" t="str">
        <f>IFERROR(__xludf.DUMMYFUNCTION("""COMPUTED_VALUE"""),"Java")</f>
        <v>Java</v>
      </c>
      <c r="K687" s="9" t="str">
        <f>IFERROR(__xludf.DUMMYFUNCTION("""COMPUTED_VALUE"""),"C++")</f>
        <v>C++</v>
      </c>
      <c r="L687" s="9" t="str">
        <f>IFERROR(__xludf.DUMMYFUNCTION("""COMPUTED_VALUE"""),"PHP")</f>
        <v>PHP</v>
      </c>
      <c r="M687" s="9" t="s">
        <v>24</v>
      </c>
    </row>
    <row r="688" ht="15.75" customHeight="1">
      <c r="A688" s="7"/>
      <c r="B688" s="7" t="str">
        <f>IFERROR(__xludf.DUMMYFUNCTION("""COMPUTED_VALUE"""),"C#;SQL")</f>
        <v>C#;SQL</v>
      </c>
      <c r="C688" s="9" t="str">
        <f>IFERROR(__xludf.DUMMYFUNCTION("""COMPUTED_VALUE"""),"JavaScript")</f>
        <v>JavaScript</v>
      </c>
      <c r="D688" s="9" t="str">
        <f>IFERROR(__xludf.DUMMYFUNCTION("""COMPUTED_VALUE"""),"HTML/CSS")</f>
        <v>HTML/CSS</v>
      </c>
      <c r="E688" s="9" t="str">
        <f>IFERROR(__xludf.DUMMYFUNCTION("""COMPUTED_VALUE"""),"JavaScript")</f>
        <v>JavaScript</v>
      </c>
      <c r="F688" s="9" t="str">
        <f>IFERROR(__xludf.DUMMYFUNCTION("""COMPUTED_VALUE"""),"PHP")</f>
        <v>PHP</v>
      </c>
      <c r="G688" s="9" t="str">
        <f>IFERROR(__xludf.DUMMYFUNCTION("""COMPUTED_VALUE"""),"Kotlin")</f>
        <v>Kotlin</v>
      </c>
      <c r="H688" s="9" t="str">
        <f>IFERROR(__xludf.DUMMYFUNCTION("""COMPUTED_VALUE"""),"HTML/CSS")</f>
        <v>HTML/CSS</v>
      </c>
      <c r="I688" s="9" t="str">
        <f>IFERROR(__xludf.DUMMYFUNCTION("""COMPUTED_VALUE"""),"Python")</f>
        <v>Python</v>
      </c>
      <c r="J688" s="9" t="str">
        <f>IFERROR(__xludf.DUMMYFUNCTION("""COMPUTED_VALUE"""),"JavaScript")</f>
        <v>JavaScript</v>
      </c>
      <c r="K688" s="9" t="str">
        <f>IFERROR(__xludf.DUMMYFUNCTION("""COMPUTED_VALUE"""),"Java")</f>
        <v>Java</v>
      </c>
      <c r="L688" s="9" t="str">
        <f>IFERROR(__xludf.DUMMYFUNCTION("""COMPUTED_VALUE"""),"SQL")</f>
        <v>SQL</v>
      </c>
      <c r="M688" s="9" t="s">
        <v>21</v>
      </c>
    </row>
    <row r="689" ht="15.75" customHeight="1">
      <c r="A689" s="7"/>
      <c r="B689" s="7" t="str">
        <f>IFERROR(__xludf.DUMMYFUNCTION("""COMPUTED_VALUE"""),"Bash/Shell/PowerShell;HTML/CSS;JavaScript;Python")</f>
        <v>Bash/Shell/PowerShell;HTML/CSS;JavaScript;Python</v>
      </c>
      <c r="C689" s="9" t="str">
        <f>IFERROR(__xludf.DUMMYFUNCTION("""COMPUTED_VALUE"""),"SQL")</f>
        <v>SQL</v>
      </c>
      <c r="D689" s="9" t="str">
        <f>IFERROR(__xludf.DUMMYFUNCTION("""COMPUTED_VALUE"""),"JavaScript")</f>
        <v>JavaScript</v>
      </c>
      <c r="E689" s="9" t="str">
        <f>IFERROR(__xludf.DUMMYFUNCTION("""COMPUTED_VALUE"""),"Objective-C")</f>
        <v>Objective-C</v>
      </c>
      <c r="F689" s="9" t="str">
        <f>IFERROR(__xludf.DUMMYFUNCTION("""COMPUTED_VALUE"""),"SQL")</f>
        <v>SQL</v>
      </c>
      <c r="G689" s="9" t="str">
        <f>IFERROR(__xludf.DUMMYFUNCTION("""COMPUTED_VALUE"""),"Python")</f>
        <v>Python</v>
      </c>
      <c r="H689" s="9" t="str">
        <f>IFERROR(__xludf.DUMMYFUNCTION("""COMPUTED_VALUE"""),"JavaScript")</f>
        <v>JavaScript</v>
      </c>
      <c r="I689" s="9" t="str">
        <f>IFERROR(__xludf.DUMMYFUNCTION("""COMPUTED_VALUE"""),"Assembly")</f>
        <v>Assembly</v>
      </c>
      <c r="J689" s="9" t="str">
        <f>IFERROR(__xludf.DUMMYFUNCTION("""COMPUTED_VALUE"""),"SQL")</f>
        <v>SQL</v>
      </c>
      <c r="K689" s="9" t="str">
        <f>IFERROR(__xludf.DUMMYFUNCTION("""COMPUTED_VALUE"""),"Kotlin")</f>
        <v>Kotlin</v>
      </c>
      <c r="L689" s="9" t="str">
        <f>IFERROR(__xludf.DUMMYFUNCTION("""COMPUTED_VALUE"""),"C")</f>
        <v>C</v>
      </c>
      <c r="M689" s="9" t="s">
        <v>27</v>
      </c>
    </row>
    <row r="690" ht="15.75" customHeight="1">
      <c r="A690" s="7"/>
      <c r="B690" s="7" t="str">
        <f>IFERROR(__xludf.DUMMYFUNCTION("""COMPUTED_VALUE"""),"HTML/CSS;Java;JavaScript;Python")</f>
        <v>HTML/CSS;Java;JavaScript;Python</v>
      </c>
      <c r="C690" s="9" t="str">
        <f>IFERROR(__xludf.DUMMYFUNCTION("""COMPUTED_VALUE"""),"Go")</f>
        <v>Go</v>
      </c>
      <c r="D690" s="9" t="str">
        <f>IFERROR(__xludf.DUMMYFUNCTION("""COMPUTED_VALUE"""),"TypeScript")</f>
        <v>TypeScript</v>
      </c>
      <c r="E690" s="9" t="str">
        <f>IFERROR(__xludf.DUMMYFUNCTION("""COMPUTED_VALUE"""),"Python")</f>
        <v>Python</v>
      </c>
      <c r="F690" s="9" t="str">
        <f>IFERROR(__xludf.DUMMYFUNCTION("""COMPUTED_VALUE"""),"TypeScript")</f>
        <v>TypeScript</v>
      </c>
      <c r="G690" s="9" t="str">
        <f>IFERROR(__xludf.DUMMYFUNCTION("""COMPUTED_VALUE"""),"TypeScript")</f>
        <v>TypeScript</v>
      </c>
      <c r="H690" s="9" t="str">
        <f>IFERROR(__xludf.DUMMYFUNCTION("""COMPUTED_VALUE"""),"PHP")</f>
        <v>PHP</v>
      </c>
      <c r="I690" s="9" t="str">
        <f>IFERROR(__xludf.DUMMYFUNCTION("""COMPUTED_VALUE"""),"Bash/Shell/PowerShell")</f>
        <v>Bash/Shell/PowerShell</v>
      </c>
      <c r="J690" s="9" t="str">
        <f>IFERROR(__xludf.DUMMYFUNCTION("""COMPUTED_VALUE"""),"Bash/Shell/PowerShell")</f>
        <v>Bash/Shell/PowerShell</v>
      </c>
      <c r="K690" s="9" t="str">
        <f>IFERROR(__xludf.DUMMYFUNCTION("""COMPUTED_VALUE"""),"Swift")</f>
        <v>Swift</v>
      </c>
      <c r="L690" s="9" t="str">
        <f>IFERROR(__xludf.DUMMYFUNCTION("""COMPUTED_VALUE"""),"Java")</f>
        <v>Java</v>
      </c>
      <c r="M690" s="9" t="s">
        <v>36</v>
      </c>
    </row>
    <row r="691" ht="15.75" customHeight="1">
      <c r="A691" s="7"/>
      <c r="B691" s="7" t="str">
        <f>IFERROR(__xludf.DUMMYFUNCTION("""COMPUTED_VALUE"""),"Bash/Shell/PowerShell;C;C++;C#;HTML/CSS;JavaScript;SQL")</f>
        <v>Bash/Shell/PowerShell;C;C++;C#;HTML/CSS;JavaScript;SQL</v>
      </c>
      <c r="C691" s="9" t="str">
        <f>IFERROR(__xludf.DUMMYFUNCTION("""COMPUTED_VALUE"""),"HTML/CSS")</f>
        <v>HTML/CSS</v>
      </c>
      <c r="D691" s="9" t="str">
        <f>IFERROR(__xludf.DUMMYFUNCTION("""COMPUTED_VALUE"""),"Other(s):")</f>
        <v>Other(s):</v>
      </c>
      <c r="E691" s="9" t="str">
        <f>IFERROR(__xludf.DUMMYFUNCTION("""COMPUTED_VALUE"""),"TypeScript")</f>
        <v>TypeScript</v>
      </c>
      <c r="F691" s="9" t="str">
        <f>IFERROR(__xludf.DUMMYFUNCTION("""COMPUTED_VALUE"""),"C")</f>
        <v>C</v>
      </c>
      <c r="G691" s="9" t="str">
        <f>IFERROR(__xludf.DUMMYFUNCTION("""COMPUTED_VALUE"""),"Assembly")</f>
        <v>Assembly</v>
      </c>
      <c r="H691" s="9" t="str">
        <f>IFERROR(__xludf.DUMMYFUNCTION("""COMPUTED_VALUE"""),"Python")</f>
        <v>Python</v>
      </c>
      <c r="I691" s="9" t="str">
        <f>IFERROR(__xludf.DUMMYFUNCTION("""COMPUTED_VALUE"""),"C")</f>
        <v>C</v>
      </c>
      <c r="J691" s="9" t="str">
        <f>IFERROR(__xludf.DUMMYFUNCTION("""COMPUTED_VALUE"""),"HTML/CSS")</f>
        <v>HTML/CSS</v>
      </c>
      <c r="K691" s="9" t="str">
        <f>IFERROR(__xludf.DUMMYFUNCTION("""COMPUTED_VALUE"""),"Bash/Shell/PowerShell")</f>
        <v>Bash/Shell/PowerShell</v>
      </c>
      <c r="L691" s="9" t="str">
        <f>IFERROR(__xludf.DUMMYFUNCTION("""COMPUTED_VALUE"""),"Python")</f>
        <v>Python</v>
      </c>
      <c r="M691" s="9" t="s">
        <v>24</v>
      </c>
    </row>
    <row r="692" ht="15.75" customHeight="1">
      <c r="A692" s="7"/>
      <c r="B692" s="7" t="str">
        <f>IFERROR(__xludf.DUMMYFUNCTION("""COMPUTED_VALUE"""),"HTML/CSS;JavaScript;Python;SQL;TypeScript")</f>
        <v>HTML/CSS;JavaScript;Python;SQL;TypeScript</v>
      </c>
      <c r="C692" s="9" t="str">
        <f>IFERROR(__xludf.DUMMYFUNCTION("""COMPUTED_VALUE"""),"JavaScript")</f>
        <v>JavaScript</v>
      </c>
      <c r="D692" s="9" t="str">
        <f>IFERROR(__xludf.DUMMYFUNCTION("""COMPUTED_VALUE"""),"C")</f>
        <v>C</v>
      </c>
      <c r="E692" s="9" t="str">
        <f>IFERROR(__xludf.DUMMYFUNCTION("""COMPUTED_VALUE"""),"HTML/CSS")</f>
        <v>HTML/CSS</v>
      </c>
      <c r="F692" s="9" t="str">
        <f>IFERROR(__xludf.DUMMYFUNCTION("""COMPUTED_VALUE"""),"C++")</f>
        <v>C++</v>
      </c>
      <c r="G692" s="9" t="str">
        <f>IFERROR(__xludf.DUMMYFUNCTION("""COMPUTED_VALUE"""),"Bash/Shell/PowerShell")</f>
        <v>Bash/Shell/PowerShell</v>
      </c>
      <c r="H692" s="9" t="str">
        <f>IFERROR(__xludf.DUMMYFUNCTION("""COMPUTED_VALUE"""),"Ruby")</f>
        <v>Ruby</v>
      </c>
      <c r="I692" s="9" t="str">
        <f>IFERROR(__xludf.DUMMYFUNCTION("""COMPUTED_VALUE"""),"C++")</f>
        <v>C++</v>
      </c>
      <c r="J692" s="9" t="str">
        <f>IFERROR(__xludf.DUMMYFUNCTION("""COMPUTED_VALUE"""),"JavaScript")</f>
        <v>JavaScript</v>
      </c>
      <c r="K692" s="9" t="str">
        <f>IFERROR(__xludf.DUMMYFUNCTION("""COMPUTED_VALUE"""),"C++")</f>
        <v>C++</v>
      </c>
      <c r="L692" s="9" t="str">
        <f>IFERROR(__xludf.DUMMYFUNCTION("""COMPUTED_VALUE"""),"R")</f>
        <v>R</v>
      </c>
      <c r="M692" s="9" t="s">
        <v>21</v>
      </c>
    </row>
    <row r="693" ht="15.75" customHeight="1">
      <c r="A693" s="7"/>
      <c r="B693" s="7" t="str">
        <f>IFERROR(__xludf.DUMMYFUNCTION("""COMPUTED_VALUE"""),"Bash/Shell/PowerShell;C;C++;HTML/CSS;Java;JavaScript;Rust;SQL")</f>
        <v>Bash/Shell/PowerShell;C;C++;HTML/CSS;Java;JavaScript;Rust;SQL</v>
      </c>
      <c r="C693" s="9" t="str">
        <f>IFERROR(__xludf.DUMMYFUNCTION("""COMPUTED_VALUE"""),"TypeScript")</f>
        <v>TypeScript</v>
      </c>
      <c r="D693" s="9" t="str">
        <f>IFERROR(__xludf.DUMMYFUNCTION("""COMPUTED_VALUE"""),"C++")</f>
        <v>C++</v>
      </c>
      <c r="E693" s="9" t="str">
        <f>IFERROR(__xludf.DUMMYFUNCTION("""COMPUTED_VALUE"""),"SQL")</f>
        <v>SQL</v>
      </c>
      <c r="F693" s="9" t="str">
        <f>IFERROR(__xludf.DUMMYFUNCTION("""COMPUTED_VALUE"""),"Go")</f>
        <v>Go</v>
      </c>
      <c r="G693" s="9" t="str">
        <f>IFERROR(__xludf.DUMMYFUNCTION("""COMPUTED_VALUE"""),"C")</f>
        <v>C</v>
      </c>
      <c r="H693" s="9" t="str">
        <f>IFERROR(__xludf.DUMMYFUNCTION("""COMPUTED_VALUE"""),"SQL")</f>
        <v>SQL</v>
      </c>
      <c r="I693" s="9" t="str">
        <f>IFERROR(__xludf.DUMMYFUNCTION("""COMPUTED_VALUE"""),"Java")</f>
        <v>Java</v>
      </c>
      <c r="J693" s="9" t="str">
        <f>IFERROR(__xludf.DUMMYFUNCTION("""COMPUTED_VALUE"""),"PHP")</f>
        <v>PHP</v>
      </c>
      <c r="K693" s="9" t="str">
        <f>IFERROR(__xludf.DUMMYFUNCTION("""COMPUTED_VALUE"""),"C#")</f>
        <v>C#</v>
      </c>
      <c r="L693" s="9" t="str">
        <f>IFERROR(__xludf.DUMMYFUNCTION("""COMPUTED_VALUE"""),"SQL")</f>
        <v>SQL</v>
      </c>
      <c r="M693" s="9" t="s">
        <v>33</v>
      </c>
    </row>
    <row r="694" ht="15.75" customHeight="1">
      <c r="A694" s="7"/>
      <c r="B694" s="7" t="str">
        <f>IFERROR(__xludf.DUMMYFUNCTION("""COMPUTED_VALUE"""),"C;C++;HTML/CSS;JavaScript;PHP;Python;SQL")</f>
        <v>C;C++;HTML/CSS;JavaScript;PHP;Python;SQL</v>
      </c>
      <c r="C694" s="9" t="str">
        <f>IFERROR(__xludf.DUMMYFUNCTION("""COMPUTED_VALUE"""),"C#")</f>
        <v>C#</v>
      </c>
      <c r="D694" s="9" t="str">
        <f>IFERROR(__xludf.DUMMYFUNCTION("""COMPUTED_VALUE"""),"Python")</f>
        <v>Python</v>
      </c>
      <c r="E694" s="9" t="str">
        <f>IFERROR(__xludf.DUMMYFUNCTION("""COMPUTED_VALUE"""),"Other(s):")</f>
        <v>Other(s):</v>
      </c>
      <c r="F694" s="9" t="str">
        <f>IFERROR(__xludf.DUMMYFUNCTION("""COMPUTED_VALUE"""),"Java")</f>
        <v>Java</v>
      </c>
      <c r="G694" s="9" t="str">
        <f>IFERROR(__xludf.DUMMYFUNCTION("""COMPUTED_VALUE"""),"C++")</f>
        <v>C++</v>
      </c>
      <c r="H694" s="9" t="str">
        <f>IFERROR(__xludf.DUMMYFUNCTION("""COMPUTED_VALUE"""),"Assembly")</f>
        <v>Assembly</v>
      </c>
      <c r="I694" s="9" t="str">
        <f>IFERROR(__xludf.DUMMYFUNCTION("""COMPUTED_VALUE"""),"Python")</f>
        <v>Python</v>
      </c>
      <c r="J694" s="9" t="str">
        <f>IFERROR(__xludf.DUMMYFUNCTION("""COMPUTED_VALUE"""),"SQL")</f>
        <v>SQL</v>
      </c>
      <c r="K694" s="9" t="str">
        <f>IFERROR(__xludf.DUMMYFUNCTION("""COMPUTED_VALUE"""),"HTML/CSS")</f>
        <v>HTML/CSS</v>
      </c>
      <c r="L694" s="9" t="str">
        <f>IFERROR(__xludf.DUMMYFUNCTION("""COMPUTED_VALUE"""),"Bash/Shell/PowerShell")</f>
        <v>Bash/Shell/PowerShell</v>
      </c>
      <c r="M694" s="9" t="s">
        <v>26</v>
      </c>
    </row>
    <row r="695" ht="15.75" customHeight="1">
      <c r="A695" s="7"/>
      <c r="B695" s="7" t="str">
        <f>IFERROR(__xludf.DUMMYFUNCTION("""COMPUTED_VALUE"""),"Bash/Shell/PowerShell;C#;HTML/CSS;JavaScript;SQL")</f>
        <v>Bash/Shell/PowerShell;C#;HTML/CSS;JavaScript;SQL</v>
      </c>
      <c r="C695" s="9" t="str">
        <f>IFERROR(__xludf.DUMMYFUNCTION("""COMPUTED_VALUE"""),"Java")</f>
        <v>Java</v>
      </c>
      <c r="D695" s="9" t="str">
        <f>IFERROR(__xludf.DUMMYFUNCTION("""COMPUTED_VALUE"""),"SQL")</f>
        <v>SQL</v>
      </c>
      <c r="E695" s="9" t="str">
        <f>IFERROR(__xludf.DUMMYFUNCTION("""COMPUTED_VALUE"""),"Assembly")</f>
        <v>Assembly</v>
      </c>
      <c r="F695" s="9" t="str">
        <f>IFERROR(__xludf.DUMMYFUNCTION("""COMPUTED_VALUE"""),"JavaScript")</f>
        <v>JavaScript</v>
      </c>
      <c r="G695" s="9" t="str">
        <f>IFERROR(__xludf.DUMMYFUNCTION("""COMPUTED_VALUE"""),"Python")</f>
        <v>Python</v>
      </c>
      <c r="H695" s="9" t="str">
        <f>IFERROR(__xludf.DUMMYFUNCTION("""COMPUTED_VALUE"""),"C")</f>
        <v>C</v>
      </c>
      <c r="I695" s="9" t="str">
        <f>IFERROR(__xludf.DUMMYFUNCTION("""COMPUTED_VALUE"""),"SQL")</f>
        <v>SQL</v>
      </c>
      <c r="J695" s="9" t="str">
        <f>IFERROR(__xludf.DUMMYFUNCTION("""COMPUTED_VALUE"""),"C")</f>
        <v>C</v>
      </c>
      <c r="K695" s="9" t="str">
        <f>IFERROR(__xludf.DUMMYFUNCTION("""COMPUTED_VALUE"""),"JavaScript")</f>
        <v>JavaScript</v>
      </c>
      <c r="L695" s="9" t="str">
        <f>IFERROR(__xludf.DUMMYFUNCTION("""COMPUTED_VALUE"""),"C#")</f>
        <v>C#</v>
      </c>
      <c r="M695" s="9" t="s">
        <v>20</v>
      </c>
    </row>
    <row r="696" ht="15.75" customHeight="1">
      <c r="A696" s="7"/>
      <c r="B696" s="7" t="str">
        <f>IFERROR(__xludf.DUMMYFUNCTION("""COMPUTED_VALUE"""),"Dart;HTML/CSS;Java;PHP;SQL")</f>
        <v>Dart;HTML/CSS;Java;PHP;SQL</v>
      </c>
      <c r="C696" s="9" t="str">
        <f>IFERROR(__xludf.DUMMYFUNCTION("""COMPUTED_VALUE"""),"PHP")</f>
        <v>PHP</v>
      </c>
      <c r="D696" s="9" t="str">
        <f>IFERROR(__xludf.DUMMYFUNCTION("""COMPUTED_VALUE"""),"HTML/CSS")</f>
        <v>HTML/CSS</v>
      </c>
      <c r="E696" s="9" t="str">
        <f>IFERROR(__xludf.DUMMYFUNCTION("""COMPUTED_VALUE"""),"Bash/Shell/PowerShell")</f>
        <v>Bash/Shell/PowerShell</v>
      </c>
      <c r="F696" s="9" t="str">
        <f>IFERROR(__xludf.DUMMYFUNCTION("""COMPUTED_VALUE"""),"Python")</f>
        <v>Python</v>
      </c>
      <c r="G696" s="9" t="str">
        <f>IFERROR(__xludf.DUMMYFUNCTION("""COMPUTED_VALUE"""),"Other(s):")</f>
        <v>Other(s):</v>
      </c>
      <c r="H696" s="9" t="str">
        <f>IFERROR(__xludf.DUMMYFUNCTION("""COMPUTED_VALUE"""),"Python")</f>
        <v>Python</v>
      </c>
      <c r="I696" s="9" t="str">
        <f>IFERROR(__xludf.DUMMYFUNCTION("""COMPUTED_VALUE"""),"Bash/Shell/PowerShell")</f>
        <v>Bash/Shell/PowerShell</v>
      </c>
      <c r="J696" s="9" t="str">
        <f>IFERROR(__xludf.DUMMYFUNCTION("""COMPUTED_VALUE"""),"HTML/CSS")</f>
        <v>HTML/CSS</v>
      </c>
      <c r="K696" s="9" t="str">
        <f>IFERROR(__xludf.DUMMYFUNCTION("""COMPUTED_VALUE"""),"PHP")</f>
        <v>PHP</v>
      </c>
      <c r="L696" s="9" t="str">
        <f>IFERROR(__xludf.DUMMYFUNCTION("""COMPUTED_VALUE"""),"SQL")</f>
        <v>SQL</v>
      </c>
      <c r="M696" s="9" t="s">
        <v>37</v>
      </c>
    </row>
    <row r="697" ht="15.75" customHeight="1">
      <c r="A697" s="7"/>
      <c r="B697" s="7" t="str">
        <f>IFERROR(__xludf.DUMMYFUNCTION("""COMPUTED_VALUE"""),"Go;JavaScript")</f>
        <v>Go;JavaScript</v>
      </c>
      <c r="C697" s="9" t="str">
        <f>IFERROR(__xludf.DUMMYFUNCTION("""COMPUTED_VALUE"""),"Python")</f>
        <v>Python</v>
      </c>
      <c r="D697" s="9" t="str">
        <f>IFERROR(__xludf.DUMMYFUNCTION("""COMPUTED_VALUE"""),"JavaScript")</f>
        <v>JavaScript</v>
      </c>
      <c r="E697" s="9" t="str">
        <f>IFERROR(__xludf.DUMMYFUNCTION("""COMPUTED_VALUE"""),"C")</f>
        <v>C</v>
      </c>
      <c r="F697" s="9" t="str">
        <f>IFERROR(__xludf.DUMMYFUNCTION("""COMPUTED_VALUE"""),"R")</f>
        <v>R</v>
      </c>
      <c r="G697" s="9" t="str">
        <f>IFERROR(__xludf.DUMMYFUNCTION("""COMPUTED_VALUE"""),"Java")</f>
        <v>Java</v>
      </c>
      <c r="H697" s="9" t="str">
        <f>IFERROR(__xludf.DUMMYFUNCTION("""COMPUTED_VALUE"""),"R")</f>
        <v>R</v>
      </c>
      <c r="I697" s="9" t="str">
        <f>IFERROR(__xludf.DUMMYFUNCTION("""COMPUTED_VALUE"""),"C")</f>
        <v>C</v>
      </c>
      <c r="J697" s="9" t="str">
        <f>IFERROR(__xludf.DUMMYFUNCTION("""COMPUTED_VALUE"""),"JavaScript")</f>
        <v>JavaScript</v>
      </c>
      <c r="K697" s="9" t="str">
        <f>IFERROR(__xludf.DUMMYFUNCTION("""COMPUTED_VALUE"""),"SQL")</f>
        <v>SQL</v>
      </c>
      <c r="L697" s="9" t="str">
        <f>IFERROR(__xludf.DUMMYFUNCTION("""COMPUTED_VALUE"""),"Bash/Shell/PowerShell")</f>
        <v>Bash/Shell/PowerShell</v>
      </c>
      <c r="M697" s="9" t="s">
        <v>22</v>
      </c>
    </row>
    <row r="698" ht="15.75" customHeight="1">
      <c r="A698" s="7"/>
      <c r="B698" s="7" t="str">
        <f>IFERROR(__xludf.DUMMYFUNCTION("""COMPUTED_VALUE"""),"Java;Python;Scala;SQL")</f>
        <v>Java;Python;Scala;SQL</v>
      </c>
      <c r="C698" s="9" t="str">
        <f>IFERROR(__xludf.DUMMYFUNCTION("""COMPUTED_VALUE"""),"HTML/CSS")</f>
        <v>HTML/CSS</v>
      </c>
      <c r="D698" s="9" t="str">
        <f>IFERROR(__xludf.DUMMYFUNCTION("""COMPUTED_VALUE"""),"Ruby")</f>
        <v>Ruby</v>
      </c>
      <c r="E698" s="9" t="str">
        <f>IFERROR(__xludf.DUMMYFUNCTION("""COMPUTED_VALUE"""),"Go")</f>
        <v>Go</v>
      </c>
      <c r="F698" s="9" t="str">
        <f>IFERROR(__xludf.DUMMYFUNCTION("""COMPUTED_VALUE"""),"SQL")</f>
        <v>SQL</v>
      </c>
      <c r="G698" s="9" t="str">
        <f>IFERROR(__xludf.DUMMYFUNCTION("""COMPUTED_VALUE"""),"HTML/CSS")</f>
        <v>HTML/CSS</v>
      </c>
      <c r="H698" s="9" t="str">
        <f>IFERROR(__xludf.DUMMYFUNCTION("""COMPUTED_VALUE"""),"C#")</f>
        <v>C#</v>
      </c>
      <c r="I698" s="9" t="str">
        <f>IFERROR(__xludf.DUMMYFUNCTION("""COMPUTED_VALUE"""),"C++")</f>
        <v>C++</v>
      </c>
      <c r="J698" s="9" t="str">
        <f>IFERROR(__xludf.DUMMYFUNCTION("""COMPUTED_VALUE"""),"PHP")</f>
        <v>PHP</v>
      </c>
      <c r="K698" s="9" t="str">
        <f>IFERROR(__xludf.DUMMYFUNCTION("""COMPUTED_VALUE"""),"HTML/CSS")</f>
        <v>HTML/CSS</v>
      </c>
      <c r="L698" s="9" t="str">
        <f>IFERROR(__xludf.DUMMYFUNCTION("""COMPUTED_VALUE"""),"C")</f>
        <v>C</v>
      </c>
      <c r="M698" s="9" t="s">
        <v>24</v>
      </c>
    </row>
    <row r="699" ht="15.75" customHeight="1">
      <c r="A699" s="7"/>
      <c r="B699" s="7" t="str">
        <f>IFERROR(__xludf.DUMMYFUNCTION("""COMPUTED_VALUE"""),"C#;HTML/CSS;JavaScript;Objective-C;PHP;Ruby;SQL")</f>
        <v>C#;HTML/CSS;JavaScript;Objective-C;PHP;Ruby;SQL</v>
      </c>
      <c r="C699" s="9" t="str">
        <f>IFERROR(__xludf.DUMMYFUNCTION("""COMPUTED_VALUE"""),"Java")</f>
        <v>Java</v>
      </c>
      <c r="D699" s="9" t="str">
        <f>IFERROR(__xludf.DUMMYFUNCTION("""COMPUTED_VALUE"""),"SQL")</f>
        <v>SQL</v>
      </c>
      <c r="E699" s="9" t="str">
        <f>IFERROR(__xludf.DUMMYFUNCTION("""COMPUTED_VALUE"""),"HTML/CSS")</f>
        <v>HTML/CSS</v>
      </c>
      <c r="F699" s="9" t="str">
        <f>IFERROR(__xludf.DUMMYFUNCTION("""COMPUTED_VALUE"""),"Other(s):")</f>
        <v>Other(s):</v>
      </c>
      <c r="G699" s="9" t="str">
        <f>IFERROR(__xludf.DUMMYFUNCTION("""COMPUTED_VALUE"""),"JavaScript")</f>
        <v>JavaScript</v>
      </c>
      <c r="H699" s="9" t="str">
        <f>IFERROR(__xludf.DUMMYFUNCTION("""COMPUTED_VALUE"""),"JavaScript")</f>
        <v>JavaScript</v>
      </c>
      <c r="I699" s="9" t="str">
        <f>IFERROR(__xludf.DUMMYFUNCTION("""COMPUTED_VALUE"""),"C#")</f>
        <v>C#</v>
      </c>
      <c r="J699" s="9" t="str">
        <f>IFERROR(__xludf.DUMMYFUNCTION("""COMPUTED_VALUE"""),"SQL")</f>
        <v>SQL</v>
      </c>
      <c r="K699" s="9" t="str">
        <f>IFERROR(__xludf.DUMMYFUNCTION("""COMPUTED_VALUE"""),"JavaScript")</f>
        <v>JavaScript</v>
      </c>
      <c r="L699" s="9" t="str">
        <f>IFERROR(__xludf.DUMMYFUNCTION("""COMPUTED_VALUE"""),"C++")</f>
        <v>C++</v>
      </c>
      <c r="M699" s="9" t="s">
        <v>20</v>
      </c>
    </row>
    <row r="700" ht="15.75" customHeight="1">
      <c r="A700" s="7"/>
      <c r="B700" s="7" t="str">
        <f>IFERROR(__xludf.DUMMYFUNCTION("""COMPUTED_VALUE"""),"Bash/Shell/PowerShell;C++;Go;JavaScript;Python;SQL")</f>
        <v>Bash/Shell/PowerShell;C++;Go;JavaScript;Python;SQL</v>
      </c>
      <c r="C700" s="9" t="str">
        <f>IFERROR(__xludf.DUMMYFUNCTION("""COMPUTED_VALUE"""),"JavaScript")</f>
        <v>JavaScript</v>
      </c>
      <c r="D700" s="9" t="str">
        <f>IFERROR(__xludf.DUMMYFUNCTION("""COMPUTED_VALUE"""),"C#")</f>
        <v>C#</v>
      </c>
      <c r="E700" s="9" t="str">
        <f>IFERROR(__xludf.DUMMYFUNCTION("""COMPUTED_VALUE"""),"Java")</f>
        <v>Java</v>
      </c>
      <c r="F700" s="9" t="str">
        <f>IFERROR(__xludf.DUMMYFUNCTION("""COMPUTED_VALUE"""),"Bash/Shell/PowerShell")</f>
        <v>Bash/Shell/PowerShell</v>
      </c>
      <c r="G700" s="9" t="str">
        <f>IFERROR(__xludf.DUMMYFUNCTION("""COMPUTED_VALUE"""),"PHP")</f>
        <v>PHP</v>
      </c>
      <c r="H700" s="9" t="str">
        <f>IFERROR(__xludf.DUMMYFUNCTION("""COMPUTED_VALUE"""),"Scala")</f>
        <v>Scala</v>
      </c>
      <c r="I700" s="9" t="str">
        <f>IFERROR(__xludf.DUMMYFUNCTION("""COMPUTED_VALUE"""),"HTML/CSS")</f>
        <v>HTML/CSS</v>
      </c>
      <c r="J700" s="9" t="str">
        <f>IFERROR(__xludf.DUMMYFUNCTION("""COMPUTED_VALUE"""),"Other(s):")</f>
        <v>Other(s):</v>
      </c>
      <c r="K700" s="9" t="str">
        <f>IFERROR(__xludf.DUMMYFUNCTION("""COMPUTED_VALUE"""),"PHP")</f>
        <v>PHP</v>
      </c>
      <c r="L700" s="9" t="str">
        <f>IFERROR(__xludf.DUMMYFUNCTION("""COMPUTED_VALUE"""),"Go")</f>
        <v>Go</v>
      </c>
      <c r="M700" s="9" t="s">
        <v>21</v>
      </c>
    </row>
    <row r="701" ht="15.75" customHeight="1">
      <c r="A701" s="7"/>
      <c r="B701" s="7" t="str">
        <f>IFERROR(__xludf.DUMMYFUNCTION("""COMPUTED_VALUE"""),"JavaScript;TypeScript")</f>
        <v>JavaScript;TypeScript</v>
      </c>
      <c r="C701" s="9" t="str">
        <f>IFERROR(__xludf.DUMMYFUNCTION("""COMPUTED_VALUE"""),"PHP")</f>
        <v>PHP</v>
      </c>
      <c r="D701" s="9" t="str">
        <f>IFERROR(__xludf.DUMMYFUNCTION("""COMPUTED_VALUE"""),"Swift")</f>
        <v>Swift</v>
      </c>
      <c r="E701" s="9" t="str">
        <f>IFERROR(__xludf.DUMMYFUNCTION("""COMPUTED_VALUE"""),"JavaScript")</f>
        <v>JavaScript</v>
      </c>
      <c r="F701" s="9" t="str">
        <f>IFERROR(__xludf.DUMMYFUNCTION("""COMPUTED_VALUE"""),"C")</f>
        <v>C</v>
      </c>
      <c r="G701" s="9" t="str">
        <f>IFERROR(__xludf.DUMMYFUNCTION("""COMPUTED_VALUE"""),"TypeScript")</f>
        <v>TypeScript</v>
      </c>
      <c r="H701" s="9" t="str">
        <f>IFERROR(__xludf.DUMMYFUNCTION("""COMPUTED_VALUE"""),"Bash/Shell/PowerShell")</f>
        <v>Bash/Shell/PowerShell</v>
      </c>
      <c r="I701" s="9" t="str">
        <f>IFERROR(__xludf.DUMMYFUNCTION("""COMPUTED_VALUE"""),"JavaScript")</f>
        <v>JavaScript</v>
      </c>
      <c r="J701" s="9" t="str">
        <f>IFERROR(__xludf.DUMMYFUNCTION("""COMPUTED_VALUE"""),"Assembly")</f>
        <v>Assembly</v>
      </c>
      <c r="K701" s="9" t="str">
        <f>IFERROR(__xludf.DUMMYFUNCTION("""COMPUTED_VALUE"""),"SQL")</f>
        <v>SQL</v>
      </c>
      <c r="L701" s="9" t="str">
        <f>IFERROR(__xludf.DUMMYFUNCTION("""COMPUTED_VALUE"""),"JavaScript")</f>
        <v>JavaScript</v>
      </c>
      <c r="M701" s="9" t="s">
        <v>37</v>
      </c>
    </row>
    <row r="702" ht="15.75" customHeight="1">
      <c r="A702" s="7"/>
      <c r="B702" s="7" t="str">
        <f>IFERROR(__xludf.DUMMYFUNCTION("""COMPUTED_VALUE"""),"Assembly;C;HTML/CSS;Java;JavaScript;Python;R")</f>
        <v>Assembly;C;HTML/CSS;Java;JavaScript;Python;R</v>
      </c>
      <c r="C702" s="9" t="str">
        <f>IFERROR(__xludf.DUMMYFUNCTION("""COMPUTED_VALUE"""),"SQL")</f>
        <v>SQL</v>
      </c>
      <c r="D702" s="9" t="str">
        <f>IFERROR(__xludf.DUMMYFUNCTION("""COMPUTED_VALUE"""),"Bash/Shell/PowerShell")</f>
        <v>Bash/Shell/PowerShell</v>
      </c>
      <c r="E702" s="9" t="str">
        <f>IFERROR(__xludf.DUMMYFUNCTION("""COMPUTED_VALUE"""),"Python")</f>
        <v>Python</v>
      </c>
      <c r="F702" s="9" t="str">
        <f>IFERROR(__xludf.DUMMYFUNCTION("""COMPUTED_VALUE"""),"C++")</f>
        <v>C++</v>
      </c>
      <c r="G702" s="9" t="str">
        <f>IFERROR(__xludf.DUMMYFUNCTION("""COMPUTED_VALUE"""),"Python")</f>
        <v>Python</v>
      </c>
      <c r="H702" s="9" t="str">
        <f>IFERROR(__xludf.DUMMYFUNCTION("""COMPUTED_VALUE"""),"HTML/CSS")</f>
        <v>HTML/CSS</v>
      </c>
      <c r="I702" s="9" t="str">
        <f>IFERROR(__xludf.DUMMYFUNCTION("""COMPUTED_VALUE"""),"R")</f>
        <v>R</v>
      </c>
      <c r="J702" s="9" t="str">
        <f>IFERROR(__xludf.DUMMYFUNCTION("""COMPUTED_VALUE"""),"Bash/Shell/PowerShell")</f>
        <v>Bash/Shell/PowerShell</v>
      </c>
      <c r="K702" s="9" t="str">
        <f>IFERROR(__xludf.DUMMYFUNCTION("""COMPUTED_VALUE"""),"Bash/Shell/PowerShell")</f>
        <v>Bash/Shell/PowerShell</v>
      </c>
      <c r="L702" s="9" t="str">
        <f>IFERROR(__xludf.DUMMYFUNCTION("""COMPUTED_VALUE"""),"Python")</f>
        <v>Python</v>
      </c>
      <c r="M702" s="9" t="s">
        <v>27</v>
      </c>
    </row>
    <row r="703" ht="15.75" customHeight="1">
      <c r="A703" s="7"/>
      <c r="B703" s="7" t="str">
        <f>IFERROR(__xludf.DUMMYFUNCTION("""COMPUTED_VALUE"""),"Java")</f>
        <v>Java</v>
      </c>
      <c r="C703" s="9" t="str">
        <f>IFERROR(__xludf.DUMMYFUNCTION("""COMPUTED_VALUE"""),"Bash/Shell/PowerShell")</f>
        <v>Bash/Shell/PowerShell</v>
      </c>
      <c r="D703" s="9" t="str">
        <f>IFERROR(__xludf.DUMMYFUNCTION("""COMPUTED_VALUE"""),"C++")</f>
        <v>C++</v>
      </c>
      <c r="E703" s="9" t="str">
        <f>IFERROR(__xludf.DUMMYFUNCTION("""COMPUTED_VALUE"""),"R")</f>
        <v>R</v>
      </c>
      <c r="F703" s="9" t="str">
        <f>IFERROR(__xludf.DUMMYFUNCTION("""COMPUTED_VALUE"""),"HTML/CSS")</f>
        <v>HTML/CSS</v>
      </c>
      <c r="G703" s="9" t="str">
        <f>IFERROR(__xludf.DUMMYFUNCTION("""COMPUTED_VALUE"""),"Bash/Shell/PowerShell")</f>
        <v>Bash/Shell/PowerShell</v>
      </c>
      <c r="H703" s="9" t="str">
        <f>IFERROR(__xludf.DUMMYFUNCTION("""COMPUTED_VALUE"""),"Java")</f>
        <v>Java</v>
      </c>
      <c r="I703" s="9" t="str">
        <f>IFERROR(__xludf.DUMMYFUNCTION("""COMPUTED_VALUE"""),"SQL")</f>
        <v>SQL</v>
      </c>
      <c r="J703" s="9" t="str">
        <f>IFERROR(__xludf.DUMMYFUNCTION("""COMPUTED_VALUE"""),"C#")</f>
        <v>C#</v>
      </c>
      <c r="K703" s="9" t="str">
        <f>IFERROR(__xludf.DUMMYFUNCTION("""COMPUTED_VALUE"""),"C++")</f>
        <v>C++</v>
      </c>
      <c r="L703" s="9" t="str">
        <f>IFERROR(__xludf.DUMMYFUNCTION("""COMPUTED_VALUE"""),"TypeScript")</f>
        <v>TypeScript</v>
      </c>
      <c r="M703" s="9" t="s">
        <v>30</v>
      </c>
    </row>
    <row r="704" ht="15.75" customHeight="1">
      <c r="A704" s="7"/>
      <c r="B704" s="7" t="str">
        <f>IFERROR(__xludf.DUMMYFUNCTION("""COMPUTED_VALUE"""),"HTML/CSS;JavaScript")</f>
        <v>HTML/CSS;JavaScript</v>
      </c>
      <c r="C704" s="9" t="str">
        <f>IFERROR(__xludf.DUMMYFUNCTION("""COMPUTED_VALUE"""),"HTML/CSS")</f>
        <v>HTML/CSS</v>
      </c>
      <c r="D704" s="9" t="str">
        <f>IFERROR(__xludf.DUMMYFUNCTION("""COMPUTED_VALUE"""),"C#")</f>
        <v>C#</v>
      </c>
      <c r="E704" s="9" t="str">
        <f>IFERROR(__xludf.DUMMYFUNCTION("""COMPUTED_VALUE"""),"TypeScript")</f>
        <v>TypeScript</v>
      </c>
      <c r="F704" s="9" t="str">
        <f>IFERROR(__xludf.DUMMYFUNCTION("""COMPUTED_VALUE"""),"Java")</f>
        <v>Java</v>
      </c>
      <c r="G704" s="9" t="str">
        <f>IFERROR(__xludf.DUMMYFUNCTION("""COMPUTED_VALUE"""),"C")</f>
        <v>C</v>
      </c>
      <c r="H704" s="9" t="str">
        <f>IFERROR(__xludf.DUMMYFUNCTION("""COMPUTED_VALUE"""),"JavaScript")</f>
        <v>JavaScript</v>
      </c>
      <c r="I704" s="9" t="str">
        <f>IFERROR(__xludf.DUMMYFUNCTION("""COMPUTED_VALUE"""),"Elixir")</f>
        <v>Elixir</v>
      </c>
      <c r="J704" s="9" t="str">
        <f>IFERROR(__xludf.DUMMYFUNCTION("""COMPUTED_VALUE"""),"HTML/CSS")</f>
        <v>HTML/CSS</v>
      </c>
      <c r="K704" s="9" t="str">
        <f>IFERROR(__xludf.DUMMYFUNCTION("""COMPUTED_VALUE"""),"C#")</f>
        <v>C#</v>
      </c>
      <c r="L704" s="9" t="str">
        <f>IFERROR(__xludf.DUMMYFUNCTION("""COMPUTED_VALUE"""),"Bash/Shell/PowerShell")</f>
        <v>Bash/Shell/PowerShell</v>
      </c>
      <c r="M704" s="9" t="s">
        <v>24</v>
      </c>
    </row>
    <row r="705" ht="15.75" customHeight="1">
      <c r="A705" s="7"/>
      <c r="B705" s="7" t="str">
        <f>IFERROR(__xludf.DUMMYFUNCTION("""COMPUTED_VALUE"""),"HTML/CSS;JavaScript;PHP;SQL")</f>
        <v>HTML/CSS;JavaScript;PHP;SQL</v>
      </c>
      <c r="C705" s="9" t="str">
        <f>IFERROR(__xludf.DUMMYFUNCTION("""COMPUTED_VALUE"""),"JavaScript")</f>
        <v>JavaScript</v>
      </c>
      <c r="D705" s="9" t="str">
        <f>IFERROR(__xludf.DUMMYFUNCTION("""COMPUTED_VALUE"""),"Dart")</f>
        <v>Dart</v>
      </c>
      <c r="E705" s="9" t="str">
        <f>IFERROR(__xludf.DUMMYFUNCTION("""COMPUTED_VALUE"""),"Bash/Shell/PowerShell")</f>
        <v>Bash/Shell/PowerShell</v>
      </c>
      <c r="F705" s="9" t="str">
        <f>IFERROR(__xludf.DUMMYFUNCTION("""COMPUTED_VALUE"""),"JavaScript")</f>
        <v>JavaScript</v>
      </c>
      <c r="G705" s="9" t="str">
        <f>IFERROR(__xludf.DUMMYFUNCTION("""COMPUTED_VALUE"""),"HTML/CSS")</f>
        <v>HTML/CSS</v>
      </c>
      <c r="H705" s="9" t="str">
        <f>IFERROR(__xludf.DUMMYFUNCTION("""COMPUTED_VALUE"""),"Kotlin")</f>
        <v>Kotlin</v>
      </c>
      <c r="I705" s="9" t="str">
        <f>IFERROR(__xludf.DUMMYFUNCTION("""COMPUTED_VALUE"""),"Erlang")</f>
        <v>Erlang</v>
      </c>
      <c r="J705" s="9" t="str">
        <f>IFERROR(__xludf.DUMMYFUNCTION("""COMPUTED_VALUE"""),"JavaScript")</f>
        <v>JavaScript</v>
      </c>
      <c r="K705" s="9" t="str">
        <f>IFERROR(__xludf.DUMMYFUNCTION("""COMPUTED_VALUE"""),"JavaScript")</f>
        <v>JavaScript</v>
      </c>
      <c r="L705" s="9" t="str">
        <f>IFERROR(__xludf.DUMMYFUNCTION("""COMPUTED_VALUE"""),"C#")</f>
        <v>C#</v>
      </c>
      <c r="M705" s="9" t="s">
        <v>21</v>
      </c>
    </row>
    <row r="706" ht="15.75" customHeight="1">
      <c r="A706" s="7"/>
      <c r="B706" s="7" t="str">
        <f>IFERROR(__xludf.DUMMYFUNCTION("""COMPUTED_VALUE"""),"Bash/Shell/PowerShell;HTML/CSS;JavaScript;PHP;SQL;VBA")</f>
        <v>Bash/Shell/PowerShell;HTML/CSS;JavaScript;PHP;SQL;VBA</v>
      </c>
      <c r="C706" s="9" t="str">
        <f>IFERROR(__xludf.DUMMYFUNCTION("""COMPUTED_VALUE"""),"PHP")</f>
        <v>PHP</v>
      </c>
      <c r="D706" s="9" t="str">
        <f>IFERROR(__xludf.DUMMYFUNCTION("""COMPUTED_VALUE"""),"HTML/CSS")</f>
        <v>HTML/CSS</v>
      </c>
      <c r="E706" s="9" t="str">
        <f>IFERROR(__xludf.DUMMYFUNCTION("""COMPUTED_VALUE"""),"C")</f>
        <v>C</v>
      </c>
      <c r="F706" s="9" t="str">
        <f>IFERROR(__xludf.DUMMYFUNCTION("""COMPUTED_VALUE"""),"Python")</f>
        <v>Python</v>
      </c>
      <c r="G706" s="9" t="str">
        <f>IFERROR(__xludf.DUMMYFUNCTION("""COMPUTED_VALUE"""),"Java")</f>
        <v>Java</v>
      </c>
      <c r="H706" s="9" t="str">
        <f>IFERROR(__xludf.DUMMYFUNCTION("""COMPUTED_VALUE"""),"SQL")</f>
        <v>SQL</v>
      </c>
      <c r="I706" s="9" t="str">
        <f>IFERROR(__xludf.DUMMYFUNCTION("""COMPUTED_VALUE"""),"Go")</f>
        <v>Go</v>
      </c>
      <c r="J706" s="9" t="str">
        <f>IFERROR(__xludf.DUMMYFUNCTION("""COMPUTED_VALUE"""),"Python")</f>
        <v>Python</v>
      </c>
      <c r="K706" s="9" t="str">
        <f>IFERROR(__xludf.DUMMYFUNCTION("""COMPUTED_VALUE"""),"Python")</f>
        <v>Python</v>
      </c>
      <c r="L706" s="9" t="str">
        <f>IFERROR(__xludf.DUMMYFUNCTION("""COMPUTED_VALUE"""),"C")</f>
        <v>C</v>
      </c>
      <c r="M706" s="9" t="s">
        <v>37</v>
      </c>
    </row>
    <row r="707" ht="15.75" customHeight="1">
      <c r="A707" s="7"/>
      <c r="B707" s="7" t="str">
        <f>IFERROR(__xludf.DUMMYFUNCTION("""COMPUTED_VALUE"""),"HTML/CSS;JavaScript;PHP;SQL")</f>
        <v>HTML/CSS;JavaScript;PHP;SQL</v>
      </c>
      <c r="C707" s="9" t="str">
        <f>IFERROR(__xludf.DUMMYFUNCTION("""COMPUTED_VALUE"""),"Python")</f>
        <v>Python</v>
      </c>
      <c r="D707" s="9" t="str">
        <f>IFERROR(__xludf.DUMMYFUNCTION("""COMPUTED_VALUE"""),"Java")</f>
        <v>Java</v>
      </c>
      <c r="E707" s="9" t="str">
        <f>IFERROR(__xludf.DUMMYFUNCTION("""COMPUTED_VALUE"""),"C++")</f>
        <v>C++</v>
      </c>
      <c r="F707" s="9" t="str">
        <f>IFERROR(__xludf.DUMMYFUNCTION("""COMPUTED_VALUE"""),"Rust")</f>
        <v>Rust</v>
      </c>
      <c r="G707" s="9" t="str">
        <f>IFERROR(__xludf.DUMMYFUNCTION("""COMPUTED_VALUE"""),"JavaScript")</f>
        <v>JavaScript</v>
      </c>
      <c r="H707" s="9" t="str">
        <f>IFERROR(__xludf.DUMMYFUNCTION("""COMPUTED_VALUE"""),"TypeScript")</f>
        <v>TypeScript</v>
      </c>
      <c r="I707" s="9" t="str">
        <f>IFERROR(__xludf.DUMMYFUNCTION("""COMPUTED_VALUE"""),"HTML/CSS")</f>
        <v>HTML/CSS</v>
      </c>
      <c r="J707" s="9" t="str">
        <f>IFERROR(__xludf.DUMMYFUNCTION("""COMPUTED_VALUE"""),"Ruby")</f>
        <v>Ruby</v>
      </c>
      <c r="K707" s="9" t="str">
        <f>IFERROR(__xludf.DUMMYFUNCTION("""COMPUTED_VALUE"""),"Assembly")</f>
        <v>Assembly</v>
      </c>
      <c r="L707" s="9" t="str">
        <f>IFERROR(__xludf.DUMMYFUNCTION("""COMPUTED_VALUE"""),"HTML/CSS")</f>
        <v>HTML/CSS</v>
      </c>
      <c r="M707" s="9" t="s">
        <v>22</v>
      </c>
    </row>
    <row r="708" ht="15.75" customHeight="1">
      <c r="A708" s="7"/>
      <c r="B708" s="7" t="str">
        <f>IFERROR(__xludf.DUMMYFUNCTION("""COMPUTED_VALUE"""),"HTML/CSS;JavaScript;PHP;Other(s):")</f>
        <v>HTML/CSS;JavaScript;PHP;Other(s):</v>
      </c>
      <c r="C708" s="9" t="str">
        <f>IFERROR(__xludf.DUMMYFUNCTION("""COMPUTED_VALUE"""),"SQL")</f>
        <v>SQL</v>
      </c>
      <c r="D708" s="9" t="str">
        <f>IFERROR(__xludf.DUMMYFUNCTION("""COMPUTED_VALUE"""),"JavaScript")</f>
        <v>JavaScript</v>
      </c>
      <c r="E708" s="9" t="str">
        <f>IFERROR(__xludf.DUMMYFUNCTION("""COMPUTED_VALUE"""),"Java")</f>
        <v>Java</v>
      </c>
      <c r="F708" s="9" t="str">
        <f>IFERROR(__xludf.DUMMYFUNCTION("""COMPUTED_VALUE"""),"HTML/CSS")</f>
        <v>HTML/CSS</v>
      </c>
      <c r="G708" s="9" t="str">
        <f>IFERROR(__xludf.DUMMYFUNCTION("""COMPUTED_VALUE"""),"Python")</f>
        <v>Python</v>
      </c>
      <c r="H708" s="9" t="str">
        <f>IFERROR(__xludf.DUMMYFUNCTION("""COMPUTED_VALUE"""),"Bash/Shell/PowerShell")</f>
        <v>Bash/Shell/PowerShell</v>
      </c>
      <c r="I708" s="9" t="str">
        <f>IFERROR(__xludf.DUMMYFUNCTION("""COMPUTED_VALUE"""),"JavaScript")</f>
        <v>JavaScript</v>
      </c>
      <c r="J708" s="9" t="str">
        <f>IFERROR(__xludf.DUMMYFUNCTION("""COMPUTED_VALUE"""),"SQL")</f>
        <v>SQL</v>
      </c>
      <c r="K708" s="9" t="str">
        <f>IFERROR(__xludf.DUMMYFUNCTION("""COMPUTED_VALUE"""),"JavaScript")</f>
        <v>JavaScript</v>
      </c>
      <c r="L708" s="9" t="str">
        <f>IFERROR(__xludf.DUMMYFUNCTION("""COMPUTED_VALUE"""),"JavaScript")</f>
        <v>JavaScript</v>
      </c>
      <c r="M708" s="9" t="s">
        <v>27</v>
      </c>
    </row>
    <row r="709" ht="15.75" customHeight="1">
      <c r="A709" s="7"/>
      <c r="B709" s="7" t="str">
        <f>IFERROR(__xludf.DUMMYFUNCTION("""COMPUTED_VALUE"""),"C#;HTML/CSS;Java;PHP;SQL")</f>
        <v>C#;HTML/CSS;Java;PHP;SQL</v>
      </c>
      <c r="C709" s="9" t="str">
        <f>IFERROR(__xludf.DUMMYFUNCTION("""COMPUTED_VALUE"""),"Java")</f>
        <v>Java</v>
      </c>
      <c r="D709" s="9" t="str">
        <f>IFERROR(__xludf.DUMMYFUNCTION("""COMPUTED_VALUE"""),"Python")</f>
        <v>Python</v>
      </c>
      <c r="E709" s="9" t="str">
        <f>IFERROR(__xludf.DUMMYFUNCTION("""COMPUTED_VALUE"""),"Python")</f>
        <v>Python</v>
      </c>
      <c r="F709" s="9" t="str">
        <f>IFERROR(__xludf.DUMMYFUNCTION("""COMPUTED_VALUE"""),"Java")</f>
        <v>Java</v>
      </c>
      <c r="G709" s="9" t="str">
        <f>IFERROR(__xludf.DUMMYFUNCTION("""COMPUTED_VALUE"""),"Bash/Shell/PowerShell")</f>
        <v>Bash/Shell/PowerShell</v>
      </c>
      <c r="H709" s="9" t="str">
        <f>IFERROR(__xludf.DUMMYFUNCTION("""COMPUTED_VALUE"""),"C")</f>
        <v>C</v>
      </c>
      <c r="I709" s="9" t="str">
        <f>IFERROR(__xludf.DUMMYFUNCTION("""COMPUTED_VALUE"""),"PHP")</f>
        <v>PHP</v>
      </c>
      <c r="J709" s="9" t="str">
        <f>IFERROR(__xludf.DUMMYFUNCTION("""COMPUTED_VALUE"""),"Bash/Shell/PowerShell")</f>
        <v>Bash/Shell/PowerShell</v>
      </c>
      <c r="K709" s="9" t="str">
        <f>IFERROR(__xludf.DUMMYFUNCTION("""COMPUTED_VALUE"""),"Python")</f>
        <v>Python</v>
      </c>
      <c r="L709" s="9" t="str">
        <f>IFERROR(__xludf.DUMMYFUNCTION("""COMPUTED_VALUE"""),"TypeScript")</f>
        <v>TypeScript</v>
      </c>
      <c r="M709" s="9" t="s">
        <v>20</v>
      </c>
    </row>
    <row r="710" ht="15.75" customHeight="1">
      <c r="A710" s="7"/>
      <c r="B710" s="7" t="str">
        <f>IFERROR(__xludf.DUMMYFUNCTION("""COMPUTED_VALUE"""),"C#;HTML/CSS;JavaScript;SQL;TypeScript")</f>
        <v>C#;HTML/CSS;JavaScript;SQL;TypeScript</v>
      </c>
      <c r="C710" s="9" t="str">
        <f>IFERROR(__xludf.DUMMYFUNCTION("""COMPUTED_VALUE"""),"JavaScript")</f>
        <v>JavaScript</v>
      </c>
      <c r="D710" s="9" t="str">
        <f>IFERROR(__xludf.DUMMYFUNCTION("""COMPUTED_VALUE"""),"R")</f>
        <v>R</v>
      </c>
      <c r="E710" s="9" t="str">
        <f>IFERROR(__xludf.DUMMYFUNCTION("""COMPUTED_VALUE"""),"Ruby")</f>
        <v>Ruby</v>
      </c>
      <c r="F710" s="9" t="str">
        <f>IFERROR(__xludf.DUMMYFUNCTION("""COMPUTED_VALUE"""),"JavaScript")</f>
        <v>JavaScript</v>
      </c>
      <c r="G710" s="9" t="str">
        <f>IFERROR(__xludf.DUMMYFUNCTION("""COMPUTED_VALUE"""),"HTML/CSS")</f>
        <v>HTML/CSS</v>
      </c>
      <c r="H710" s="9" t="str">
        <f>IFERROR(__xludf.DUMMYFUNCTION("""COMPUTED_VALUE"""),"Java")</f>
        <v>Java</v>
      </c>
      <c r="I710" s="9" t="str">
        <f>IFERROR(__xludf.DUMMYFUNCTION("""COMPUTED_VALUE"""),"Ruby")</f>
        <v>Ruby</v>
      </c>
      <c r="J710" s="9" t="str">
        <f>IFERROR(__xludf.DUMMYFUNCTION("""COMPUTED_VALUE"""),"C#")</f>
        <v>C#</v>
      </c>
      <c r="K710" s="9" t="str">
        <f>IFERROR(__xludf.DUMMYFUNCTION("""COMPUTED_VALUE"""),"Python")</f>
        <v>Python</v>
      </c>
      <c r="L710" s="9" t="str">
        <f>IFERROR(__xludf.DUMMYFUNCTION("""COMPUTED_VALUE"""),"C")</f>
        <v>C</v>
      </c>
      <c r="M710" s="9" t="s">
        <v>21</v>
      </c>
    </row>
    <row r="711" ht="15.75" customHeight="1">
      <c r="A711" s="7"/>
      <c r="B711" s="7" t="str">
        <f>IFERROR(__xludf.DUMMYFUNCTION("""COMPUTED_VALUE"""),"Bash/Shell/PowerShell;C++;C#;HTML/CSS;Java;JavaScript;Objective-C;PHP;Python;SQL;Swift")</f>
        <v>Bash/Shell/PowerShell;C++;C#;HTML/CSS;Java;JavaScript;Objective-C;PHP;Python;SQL;Swift</v>
      </c>
      <c r="C711" s="9" t="str">
        <f>IFERROR(__xludf.DUMMYFUNCTION("""COMPUTED_VALUE"""),"Kotlin")</f>
        <v>Kotlin</v>
      </c>
      <c r="D711" s="9" t="str">
        <f>IFERROR(__xludf.DUMMYFUNCTION("""COMPUTED_VALUE"""),"SQL")</f>
        <v>SQL</v>
      </c>
      <c r="E711" s="9" t="str">
        <f>IFERROR(__xludf.DUMMYFUNCTION("""COMPUTED_VALUE"""),"C")</f>
        <v>C</v>
      </c>
      <c r="F711" s="9" t="str">
        <f>IFERROR(__xludf.DUMMYFUNCTION("""COMPUTED_VALUE"""),"TypeScript")</f>
        <v>TypeScript</v>
      </c>
      <c r="G711" s="9" t="str">
        <f>IFERROR(__xludf.DUMMYFUNCTION("""COMPUTED_VALUE"""),"Java")</f>
        <v>Java</v>
      </c>
      <c r="H711" s="9" t="str">
        <f>IFERROR(__xludf.DUMMYFUNCTION("""COMPUTED_VALUE"""),"JavaScript")</f>
        <v>JavaScript</v>
      </c>
      <c r="I711" s="9" t="str">
        <f>IFERROR(__xludf.DUMMYFUNCTION("""COMPUTED_VALUE"""),"Python")</f>
        <v>Python</v>
      </c>
      <c r="J711" s="9" t="str">
        <f>IFERROR(__xludf.DUMMYFUNCTION("""COMPUTED_VALUE"""),"HTML/CSS")</f>
        <v>HTML/CSS</v>
      </c>
      <c r="K711" s="9" t="str">
        <f>IFERROR(__xludf.DUMMYFUNCTION("""COMPUTED_VALUE"""),"R")</f>
        <v>R</v>
      </c>
      <c r="L711" s="9" t="str">
        <f>IFERROR(__xludf.DUMMYFUNCTION("""COMPUTED_VALUE"""),"C++")</f>
        <v>C++</v>
      </c>
      <c r="M711" s="9" t="s">
        <v>39</v>
      </c>
    </row>
    <row r="712" ht="15.75" customHeight="1">
      <c r="A712" s="7"/>
      <c r="B712" s="7" t="str">
        <f>IFERROR(__xludf.DUMMYFUNCTION("""COMPUTED_VALUE"""),"C#;HTML/CSS;JavaScript;PHP;SQL;TypeScript")</f>
        <v>C#;HTML/CSS;JavaScript;PHP;SQL;TypeScript</v>
      </c>
      <c r="C712" s="9" t="str">
        <f>IFERROR(__xludf.DUMMYFUNCTION("""COMPUTED_VALUE"""),"PHP")</f>
        <v>PHP</v>
      </c>
      <c r="D712" s="9" t="str">
        <f>IFERROR(__xludf.DUMMYFUNCTION("""COMPUTED_VALUE"""),"TypeScript")</f>
        <v>TypeScript</v>
      </c>
      <c r="E712" s="9" t="str">
        <f>IFERROR(__xludf.DUMMYFUNCTION("""COMPUTED_VALUE"""),"C++")</f>
        <v>C++</v>
      </c>
      <c r="F712" s="9" t="str">
        <f>IFERROR(__xludf.DUMMYFUNCTION("""COMPUTED_VALUE"""),"Bash/Shell/PowerShell")</f>
        <v>Bash/Shell/PowerShell</v>
      </c>
      <c r="G712" s="9" t="str">
        <f>IFERROR(__xludf.DUMMYFUNCTION("""COMPUTED_VALUE"""),"JavaScript")</f>
        <v>JavaScript</v>
      </c>
      <c r="H712" s="9" t="str">
        <f>IFERROR(__xludf.DUMMYFUNCTION("""COMPUTED_VALUE"""),"Python")</f>
        <v>Python</v>
      </c>
      <c r="I712" s="9" t="str">
        <f>IFERROR(__xludf.DUMMYFUNCTION("""COMPUTED_VALUE"""),"Other(s):")</f>
        <v>Other(s):</v>
      </c>
      <c r="J712" s="9" t="str">
        <f>IFERROR(__xludf.DUMMYFUNCTION("""COMPUTED_VALUE"""),"JavaScript")</f>
        <v>JavaScript</v>
      </c>
      <c r="K712" s="9" t="str">
        <f>IFERROR(__xludf.DUMMYFUNCTION("""COMPUTED_VALUE"""),"C#")</f>
        <v>C#</v>
      </c>
      <c r="L712" s="9" t="str">
        <f>IFERROR(__xludf.DUMMYFUNCTION("""COMPUTED_VALUE"""),"C#")</f>
        <v>C#</v>
      </c>
      <c r="M712" s="9" t="s">
        <v>37</v>
      </c>
    </row>
    <row r="713" ht="15.75" customHeight="1">
      <c r="A713" s="7"/>
      <c r="B713" s="7" t="str">
        <f>IFERROR(__xludf.DUMMYFUNCTION("""COMPUTED_VALUE"""),"Bash/Shell/PowerShell;Go;SQL;TypeScript")</f>
        <v>Bash/Shell/PowerShell;Go;SQL;TypeScript</v>
      </c>
      <c r="C713" s="9" t="str">
        <f>IFERROR(__xludf.DUMMYFUNCTION("""COMPUTED_VALUE"""),"SQL")</f>
        <v>SQL</v>
      </c>
      <c r="D713" s="9" t="str">
        <f>IFERROR(__xludf.DUMMYFUNCTION("""COMPUTED_VALUE"""),"C++")</f>
        <v>C++</v>
      </c>
      <c r="E713" s="9" t="str">
        <f>IFERROR(__xludf.DUMMYFUNCTION("""COMPUTED_VALUE"""),"HTML/CSS")</f>
        <v>HTML/CSS</v>
      </c>
      <c r="F713" s="9" t="str">
        <f>IFERROR(__xludf.DUMMYFUNCTION("""COMPUTED_VALUE"""),"HTML/CSS")</f>
        <v>HTML/CSS</v>
      </c>
      <c r="G713" s="9" t="str">
        <f>IFERROR(__xludf.DUMMYFUNCTION("""COMPUTED_VALUE"""),"PHP")</f>
        <v>PHP</v>
      </c>
      <c r="H713" s="9" t="str">
        <f>IFERROR(__xludf.DUMMYFUNCTION("""COMPUTED_VALUE"""),"SQL")</f>
        <v>SQL</v>
      </c>
      <c r="I713" s="9" t="str">
        <f>IFERROR(__xludf.DUMMYFUNCTION("""COMPUTED_VALUE"""),"PHP")</f>
        <v>PHP</v>
      </c>
      <c r="J713" s="9" t="str">
        <f>IFERROR(__xludf.DUMMYFUNCTION("""COMPUTED_VALUE"""),"SQL")</f>
        <v>SQL</v>
      </c>
      <c r="K713" s="9" t="str">
        <f>IFERROR(__xludf.DUMMYFUNCTION("""COMPUTED_VALUE"""),"HTML/CSS")</f>
        <v>HTML/CSS</v>
      </c>
      <c r="L713" s="9" t="str">
        <f>IFERROR(__xludf.DUMMYFUNCTION("""COMPUTED_VALUE"""),"C")</f>
        <v>C</v>
      </c>
      <c r="M713" s="9" t="s">
        <v>27</v>
      </c>
    </row>
    <row r="714" ht="15.75" customHeight="1">
      <c r="A714" s="7"/>
      <c r="B714" s="7" t="str">
        <f>IFERROR(__xludf.DUMMYFUNCTION("""COMPUTED_VALUE"""),"JavaScript;Python;R;Other(s):")</f>
        <v>JavaScript;Python;R;Other(s):</v>
      </c>
      <c r="C714" s="9" t="str">
        <f>IFERROR(__xludf.DUMMYFUNCTION("""COMPUTED_VALUE"""),"Assembly")</f>
        <v>Assembly</v>
      </c>
      <c r="D714" s="9" t="str">
        <f>IFERROR(__xludf.DUMMYFUNCTION("""COMPUTED_VALUE"""),"Erlang")</f>
        <v>Erlang</v>
      </c>
      <c r="E714" s="9" t="str">
        <f>IFERROR(__xludf.DUMMYFUNCTION("""COMPUTED_VALUE"""),"JavaScript")</f>
        <v>JavaScript</v>
      </c>
      <c r="F714" s="9" t="str">
        <f>IFERROR(__xludf.DUMMYFUNCTION("""COMPUTED_VALUE"""),"JavaScript")</f>
        <v>JavaScript</v>
      </c>
      <c r="G714" s="9" t="str">
        <f>IFERROR(__xludf.DUMMYFUNCTION("""COMPUTED_VALUE"""),"SQL")</f>
        <v>SQL</v>
      </c>
      <c r="H714" s="9" t="str">
        <f>IFERROR(__xludf.DUMMYFUNCTION("""COMPUTED_VALUE"""),"Objective-C")</f>
        <v>Objective-C</v>
      </c>
      <c r="I714" s="9" t="str">
        <f>IFERROR(__xludf.DUMMYFUNCTION("""COMPUTED_VALUE"""),"C#")</f>
        <v>C#</v>
      </c>
      <c r="J714" s="9" t="str">
        <f>IFERROR(__xludf.DUMMYFUNCTION("""COMPUTED_VALUE"""),"TypeScript")</f>
        <v>TypeScript</v>
      </c>
      <c r="K714" s="9" t="str">
        <f>IFERROR(__xludf.DUMMYFUNCTION("""COMPUTED_VALUE"""),"JavaScript")</f>
        <v>JavaScript</v>
      </c>
      <c r="L714" s="9" t="str">
        <f>IFERROR(__xludf.DUMMYFUNCTION("""COMPUTED_VALUE"""),"C++")</f>
        <v>C++</v>
      </c>
      <c r="M714" s="9" t="s">
        <v>38</v>
      </c>
    </row>
    <row r="715" ht="15.75" customHeight="1">
      <c r="A715" s="7"/>
      <c r="B715" s="7" t="str">
        <f>IFERROR(__xludf.DUMMYFUNCTION("""COMPUTED_VALUE"""),"Bash/Shell/PowerShell;C;C++;C#;HTML/CSS;Java;JavaScript;Python")</f>
        <v>Bash/Shell/PowerShell;C;C++;C#;HTML/CSS;Java;JavaScript;Python</v>
      </c>
      <c r="C715" s="9" t="str">
        <f>IFERROR(__xludf.DUMMYFUNCTION("""COMPUTED_VALUE"""),"Bash/Shell/PowerShell")</f>
        <v>Bash/Shell/PowerShell</v>
      </c>
      <c r="D715" s="9" t="str">
        <f>IFERROR(__xludf.DUMMYFUNCTION("""COMPUTED_VALUE"""),"Python")</f>
        <v>Python</v>
      </c>
      <c r="E715" s="9" t="str">
        <f>IFERROR(__xludf.DUMMYFUNCTION("""COMPUTED_VALUE"""),"Python")</f>
        <v>Python</v>
      </c>
      <c r="F715" s="9" t="str">
        <f>IFERROR(__xludf.DUMMYFUNCTION("""COMPUTED_VALUE"""),"PHP")</f>
        <v>PHP</v>
      </c>
      <c r="G715" s="9" t="str">
        <f>IFERROR(__xludf.DUMMYFUNCTION("""COMPUTED_VALUE"""),"Java")</f>
        <v>Java</v>
      </c>
      <c r="H715" s="9" t="str">
        <f>IFERROR(__xludf.DUMMYFUNCTION("""COMPUTED_VALUE"""),"C")</f>
        <v>C</v>
      </c>
      <c r="I715" s="9" t="str">
        <f>IFERROR(__xludf.DUMMYFUNCTION("""COMPUTED_VALUE"""),"HTML/CSS")</f>
        <v>HTML/CSS</v>
      </c>
      <c r="J715" s="9" t="str">
        <f>IFERROR(__xludf.DUMMYFUNCTION("""COMPUTED_VALUE"""),"Bash/Shell/PowerShell")</f>
        <v>Bash/Shell/PowerShell</v>
      </c>
      <c r="K715" s="9" t="str">
        <f>IFERROR(__xludf.DUMMYFUNCTION("""COMPUTED_VALUE"""),"SQL")</f>
        <v>SQL</v>
      </c>
      <c r="L715" s="9" t="str">
        <f>IFERROR(__xludf.DUMMYFUNCTION("""COMPUTED_VALUE"""),"HTML/CSS")</f>
        <v>HTML/CSS</v>
      </c>
      <c r="M715" s="9" t="s">
        <v>30</v>
      </c>
    </row>
    <row r="716" ht="15.75" customHeight="1">
      <c r="A716" s="7"/>
      <c r="B716" s="7" t="str">
        <f>IFERROR(__xludf.DUMMYFUNCTION("""COMPUTED_VALUE"""),"C#;HTML/CSS;JavaScript;SQL")</f>
        <v>C#;HTML/CSS;JavaScript;SQL</v>
      </c>
      <c r="C716" s="9" t="str">
        <f>IFERROR(__xludf.DUMMYFUNCTION("""COMPUTED_VALUE"""),"C")</f>
        <v>C</v>
      </c>
      <c r="D716" s="9" t="str">
        <f>IFERROR(__xludf.DUMMYFUNCTION("""COMPUTED_VALUE"""),"HTML/CSS")</f>
        <v>HTML/CSS</v>
      </c>
      <c r="E716" s="9" t="str">
        <f>IFERROR(__xludf.DUMMYFUNCTION("""COMPUTED_VALUE"""),"R")</f>
        <v>R</v>
      </c>
      <c r="F716" s="9" t="str">
        <f>IFERROR(__xludf.DUMMYFUNCTION("""COMPUTED_VALUE"""),"Bash/Shell/PowerShell")</f>
        <v>Bash/Shell/PowerShell</v>
      </c>
      <c r="G716" s="9" t="str">
        <f>IFERROR(__xludf.DUMMYFUNCTION("""COMPUTED_VALUE"""),"JavaScript")</f>
        <v>JavaScript</v>
      </c>
      <c r="H716" s="9" t="str">
        <f>IFERROR(__xludf.DUMMYFUNCTION("""COMPUTED_VALUE"""),"C++")</f>
        <v>C++</v>
      </c>
      <c r="I716" s="9" t="str">
        <f>IFERROR(__xludf.DUMMYFUNCTION("""COMPUTED_VALUE"""),"JavaScript")</f>
        <v>JavaScript</v>
      </c>
      <c r="J716" s="9" t="str">
        <f>IFERROR(__xludf.DUMMYFUNCTION("""COMPUTED_VALUE"""),"C++")</f>
        <v>C++</v>
      </c>
      <c r="K716" s="9" t="str">
        <f>IFERROR(__xludf.DUMMYFUNCTION("""COMPUTED_VALUE"""),"TypeScript")</f>
        <v>TypeScript</v>
      </c>
      <c r="L716" s="9" t="str">
        <f>IFERROR(__xludf.DUMMYFUNCTION("""COMPUTED_VALUE"""),"Java")</f>
        <v>Java</v>
      </c>
      <c r="M716" s="9" t="s">
        <v>25</v>
      </c>
    </row>
    <row r="717" ht="15.75" customHeight="1">
      <c r="A717" s="7"/>
      <c r="B717" s="7" t="str">
        <f>IFERROR(__xludf.DUMMYFUNCTION("""COMPUTED_VALUE"""),"HTML/CSS;JavaScript;PHP;SQL;TypeScript")</f>
        <v>HTML/CSS;JavaScript;PHP;SQL;TypeScript</v>
      </c>
      <c r="C717" s="9" t="str">
        <f>IFERROR(__xludf.DUMMYFUNCTION("""COMPUTED_VALUE"""),"C++")</f>
        <v>C++</v>
      </c>
      <c r="D717" s="9" t="str">
        <f>IFERROR(__xludf.DUMMYFUNCTION("""COMPUTED_VALUE"""),"Java")</f>
        <v>Java</v>
      </c>
      <c r="E717" s="9" t="str">
        <f>IFERROR(__xludf.DUMMYFUNCTION("""COMPUTED_VALUE"""),"Ruby")</f>
        <v>Ruby</v>
      </c>
      <c r="F717" s="9" t="str">
        <f>IFERROR(__xludf.DUMMYFUNCTION("""COMPUTED_VALUE"""),"C++")</f>
        <v>C++</v>
      </c>
      <c r="G717" s="9" t="str">
        <f>IFERROR(__xludf.DUMMYFUNCTION("""COMPUTED_VALUE"""),"Python")</f>
        <v>Python</v>
      </c>
      <c r="H717" s="9" t="str">
        <f>IFERROR(__xludf.DUMMYFUNCTION("""COMPUTED_VALUE"""),"F#")</f>
        <v>F#</v>
      </c>
      <c r="I717" s="9" t="str">
        <f>IFERROR(__xludf.DUMMYFUNCTION("""COMPUTED_VALUE"""),"Python")</f>
        <v>Python</v>
      </c>
      <c r="J717" s="9" t="str">
        <f>IFERROR(__xludf.DUMMYFUNCTION("""COMPUTED_VALUE"""),"HTML/CSS")</f>
        <v>HTML/CSS</v>
      </c>
      <c r="K717" s="9" t="str">
        <f>IFERROR(__xludf.DUMMYFUNCTION("""COMPUTED_VALUE"""),"Java")</f>
        <v>Java</v>
      </c>
      <c r="L717" s="9" t="str">
        <f>IFERROR(__xludf.DUMMYFUNCTION("""COMPUTED_VALUE"""),"JavaScript")</f>
        <v>JavaScript</v>
      </c>
      <c r="M717" s="9" t="s">
        <v>23</v>
      </c>
    </row>
    <row r="718" ht="15.75" customHeight="1">
      <c r="A718" s="7"/>
      <c r="B718" s="7" t="str">
        <f>IFERROR(__xludf.DUMMYFUNCTION("""COMPUTED_VALUE"""),"Bash/Shell/PowerShell;C;C++;HTML/CSS;JavaScript;Python;SQL")</f>
        <v>Bash/Shell/PowerShell;C;C++;HTML/CSS;JavaScript;Python;SQL</v>
      </c>
      <c r="C718" s="9" t="str">
        <f>IFERROR(__xludf.DUMMYFUNCTION("""COMPUTED_VALUE"""),"HTML/CSS")</f>
        <v>HTML/CSS</v>
      </c>
      <c r="D718" s="9" t="str">
        <f>IFERROR(__xludf.DUMMYFUNCTION("""COMPUTED_VALUE"""),"JavaScript")</f>
        <v>JavaScript</v>
      </c>
      <c r="E718" s="9" t="str">
        <f>IFERROR(__xludf.DUMMYFUNCTION("""COMPUTED_VALUE"""),"SQL")</f>
        <v>SQL</v>
      </c>
      <c r="F718" s="9" t="str">
        <f>IFERROR(__xludf.DUMMYFUNCTION("""COMPUTED_VALUE"""),"HTML/CSS")</f>
        <v>HTML/CSS</v>
      </c>
      <c r="G718" s="9" t="str">
        <f>IFERROR(__xludf.DUMMYFUNCTION("""COMPUTED_VALUE"""),"SQL")</f>
        <v>SQL</v>
      </c>
      <c r="H718" s="9" t="str">
        <f>IFERROR(__xludf.DUMMYFUNCTION("""COMPUTED_VALUE"""),"HTML/CSS")</f>
        <v>HTML/CSS</v>
      </c>
      <c r="I718" s="9" t="str">
        <f>IFERROR(__xludf.DUMMYFUNCTION("""COMPUTED_VALUE"""),"SQL")</f>
        <v>SQL</v>
      </c>
      <c r="J718" s="9" t="str">
        <f>IFERROR(__xludf.DUMMYFUNCTION("""COMPUTED_VALUE"""),"Java")</f>
        <v>Java</v>
      </c>
      <c r="K718" s="9" t="str">
        <f>IFERROR(__xludf.DUMMYFUNCTION("""COMPUTED_VALUE"""),"JavaScript")</f>
        <v>JavaScript</v>
      </c>
      <c r="L718" s="9" t="str">
        <f>IFERROR(__xludf.DUMMYFUNCTION("""COMPUTED_VALUE"""),"Ruby")</f>
        <v>Ruby</v>
      </c>
      <c r="M718" s="9" t="s">
        <v>24</v>
      </c>
    </row>
    <row r="719" ht="15.75" customHeight="1">
      <c r="A719" s="7"/>
      <c r="B719" s="7" t="str">
        <f>IFERROR(__xludf.DUMMYFUNCTION("""COMPUTED_VALUE"""),"Python")</f>
        <v>Python</v>
      </c>
      <c r="C719" s="9" t="str">
        <f>IFERROR(__xludf.DUMMYFUNCTION("""COMPUTED_VALUE"""),"Java")</f>
        <v>Java</v>
      </c>
      <c r="D719" s="9" t="str">
        <f>IFERROR(__xludf.DUMMYFUNCTION("""COMPUTED_VALUE"""),"PHP")</f>
        <v>PHP</v>
      </c>
      <c r="E719" s="9" t="str">
        <f>IFERROR(__xludf.DUMMYFUNCTION("""COMPUTED_VALUE"""),"C")</f>
        <v>C</v>
      </c>
      <c r="F719" s="9" t="str">
        <f>IFERROR(__xludf.DUMMYFUNCTION("""COMPUTED_VALUE"""),"JavaScript")</f>
        <v>JavaScript</v>
      </c>
      <c r="G719" s="9" t="str">
        <f>IFERROR(__xludf.DUMMYFUNCTION("""COMPUTED_VALUE"""),"C")</f>
        <v>C</v>
      </c>
      <c r="H719" s="9" t="str">
        <f>IFERROR(__xludf.DUMMYFUNCTION("""COMPUTED_VALUE"""),"Java")</f>
        <v>Java</v>
      </c>
      <c r="I719" s="9" t="str">
        <f>IFERROR(__xludf.DUMMYFUNCTION("""COMPUTED_VALUE"""),"C++")</f>
        <v>C++</v>
      </c>
      <c r="J719" s="9" t="str">
        <f>IFERROR(__xludf.DUMMYFUNCTION("""COMPUTED_VALUE"""),"Python")</f>
        <v>Python</v>
      </c>
      <c r="K719" s="9" t="str">
        <f>IFERROR(__xludf.DUMMYFUNCTION("""COMPUTED_VALUE"""),"Python")</f>
        <v>Python</v>
      </c>
      <c r="L719" s="9" t="str">
        <f>IFERROR(__xludf.DUMMYFUNCTION("""COMPUTED_VALUE"""),"SQL")</f>
        <v>SQL</v>
      </c>
      <c r="M719" s="9" t="s">
        <v>20</v>
      </c>
    </row>
    <row r="720" ht="15.75" customHeight="1">
      <c r="A720" s="7"/>
      <c r="B720" s="7" t="str">
        <f>IFERROR(__xludf.DUMMYFUNCTION("""COMPUTED_VALUE"""),"Bash/Shell/PowerShell;Go;HTML/CSS;JavaScript;Python;SQL")</f>
        <v>Bash/Shell/PowerShell;Go;HTML/CSS;JavaScript;Python;SQL</v>
      </c>
      <c r="C720" s="9" t="str">
        <f>IFERROR(__xludf.DUMMYFUNCTION("""COMPUTED_VALUE"""),"JavaScript")</f>
        <v>JavaScript</v>
      </c>
      <c r="D720" s="9" t="str">
        <f>IFERROR(__xludf.DUMMYFUNCTION("""COMPUTED_VALUE"""),"SQL")</f>
        <v>SQL</v>
      </c>
      <c r="E720" s="9" t="str">
        <f>IFERROR(__xludf.DUMMYFUNCTION("""COMPUTED_VALUE"""),"C++")</f>
        <v>C++</v>
      </c>
      <c r="F720" s="9" t="str">
        <f>IFERROR(__xludf.DUMMYFUNCTION("""COMPUTED_VALUE"""),"PHP")</f>
        <v>PHP</v>
      </c>
      <c r="G720" s="9" t="str">
        <f>IFERROR(__xludf.DUMMYFUNCTION("""COMPUTED_VALUE"""),"C++")</f>
        <v>C++</v>
      </c>
      <c r="H720" s="9" t="str">
        <f>IFERROR(__xludf.DUMMYFUNCTION("""COMPUTED_VALUE"""),"JavaScript")</f>
        <v>JavaScript</v>
      </c>
      <c r="I720" s="9" t="str">
        <f>IFERROR(__xludf.DUMMYFUNCTION("""COMPUTED_VALUE"""),"Java")</f>
        <v>Java</v>
      </c>
      <c r="J720" s="9" t="str">
        <f>IFERROR(__xludf.DUMMYFUNCTION("""COMPUTED_VALUE"""),"R")</f>
        <v>R</v>
      </c>
      <c r="K720" s="9" t="str">
        <f>IFERROR(__xludf.DUMMYFUNCTION("""COMPUTED_VALUE"""),"JavaScript")</f>
        <v>JavaScript</v>
      </c>
      <c r="L720" s="9" t="str">
        <f>IFERROR(__xludf.DUMMYFUNCTION("""COMPUTED_VALUE"""),"VBA")</f>
        <v>VBA</v>
      </c>
      <c r="M720" s="9" t="s">
        <v>21</v>
      </c>
    </row>
    <row r="721" ht="15.75" customHeight="1">
      <c r="A721" s="7"/>
      <c r="B721" s="7" t="str">
        <f>IFERROR(__xludf.DUMMYFUNCTION("""COMPUTED_VALUE"""),"C;HTML/CSS;JavaScript;PHP;SQL")</f>
        <v>C;HTML/CSS;JavaScript;PHP;SQL</v>
      </c>
      <c r="C721" s="9" t="str">
        <f>IFERROR(__xludf.DUMMYFUNCTION("""COMPUTED_VALUE"""),"Python")</f>
        <v>Python</v>
      </c>
      <c r="D721" s="9" t="str">
        <f>IFERROR(__xludf.DUMMYFUNCTION("""COMPUTED_VALUE"""),"TypeScript")</f>
        <v>TypeScript</v>
      </c>
      <c r="E721" s="9" t="str">
        <f>IFERROR(__xludf.DUMMYFUNCTION("""COMPUTED_VALUE"""),"HTML/CSS")</f>
        <v>HTML/CSS</v>
      </c>
      <c r="F721" s="9" t="str">
        <f>IFERROR(__xludf.DUMMYFUNCTION("""COMPUTED_VALUE"""),"Python")</f>
        <v>Python</v>
      </c>
      <c r="G721" s="9" t="str">
        <f>IFERROR(__xludf.DUMMYFUNCTION("""COMPUTED_VALUE"""),"C#")</f>
        <v>C#</v>
      </c>
      <c r="H721" s="9" t="str">
        <f>IFERROR(__xludf.DUMMYFUNCTION("""COMPUTED_VALUE"""),"Objective-C")</f>
        <v>Objective-C</v>
      </c>
      <c r="I721" s="9" t="str">
        <f>IFERROR(__xludf.DUMMYFUNCTION("""COMPUTED_VALUE"""),"C++")</f>
        <v>C++</v>
      </c>
      <c r="J721" s="9" t="str">
        <f>IFERROR(__xludf.DUMMYFUNCTION("""COMPUTED_VALUE"""),"SQL")</f>
        <v>SQL</v>
      </c>
      <c r="K721" s="9" t="str">
        <f>IFERROR(__xludf.DUMMYFUNCTION("""COMPUTED_VALUE"""),"TypeScript")</f>
        <v>TypeScript</v>
      </c>
      <c r="L721" s="9" t="str">
        <f>IFERROR(__xludf.DUMMYFUNCTION("""COMPUTED_VALUE"""),"Bash/Shell/PowerShell")</f>
        <v>Bash/Shell/PowerShell</v>
      </c>
      <c r="M721" s="9" t="s">
        <v>22</v>
      </c>
    </row>
    <row r="722" ht="15.75" customHeight="1">
      <c r="A722" s="7"/>
      <c r="B722" s="7" t="str">
        <f>IFERROR(__xludf.DUMMYFUNCTION("""COMPUTED_VALUE"""),"C;C++;HTML/CSS;JavaScript;PHP;SQL")</f>
        <v>C;C++;HTML/CSS;JavaScript;PHP;SQL</v>
      </c>
      <c r="C722" s="9" t="str">
        <f>IFERROR(__xludf.DUMMYFUNCTION("""COMPUTED_VALUE"""),"SQL")</f>
        <v>SQL</v>
      </c>
      <c r="D722" s="9" t="str">
        <f>IFERROR(__xludf.DUMMYFUNCTION("""COMPUTED_VALUE"""),"JavaScript")</f>
        <v>JavaScript</v>
      </c>
      <c r="E722" s="9" t="str">
        <f>IFERROR(__xludf.DUMMYFUNCTION("""COMPUTED_VALUE"""),"Java")</f>
        <v>Java</v>
      </c>
      <c r="F722" s="9" t="str">
        <f>IFERROR(__xludf.DUMMYFUNCTION("""COMPUTED_VALUE"""),"Swift")</f>
        <v>Swift</v>
      </c>
      <c r="G722" s="9" t="str">
        <f>IFERROR(__xludf.DUMMYFUNCTION("""COMPUTED_VALUE"""),"HTML/CSS")</f>
        <v>HTML/CSS</v>
      </c>
      <c r="H722" s="9" t="str">
        <f>IFERROR(__xludf.DUMMYFUNCTION("""COMPUTED_VALUE"""),"PHP")</f>
        <v>PHP</v>
      </c>
      <c r="I722" s="9" t="str">
        <f>IFERROR(__xludf.DUMMYFUNCTION("""COMPUTED_VALUE"""),"C#")</f>
        <v>C#</v>
      </c>
      <c r="J722" s="9" t="str">
        <f>IFERROR(__xludf.DUMMYFUNCTION("""COMPUTED_VALUE"""),"Assembly")</f>
        <v>Assembly</v>
      </c>
      <c r="K722" s="9" t="str">
        <f>IFERROR(__xludf.DUMMYFUNCTION("""COMPUTED_VALUE"""),"WebAssembly")</f>
        <v>WebAssembly</v>
      </c>
      <c r="L722" s="9" t="str">
        <f>IFERROR(__xludf.DUMMYFUNCTION("""COMPUTED_VALUE"""),"C")</f>
        <v>C</v>
      </c>
      <c r="M722" s="9" t="s">
        <v>27</v>
      </c>
    </row>
    <row r="723" ht="15.75" customHeight="1">
      <c r="A723" s="7"/>
      <c r="B723" s="7" t="str">
        <f>IFERROR(__xludf.DUMMYFUNCTION("""COMPUTED_VALUE"""),"Bash/Shell/PowerShell;C#;F#;HTML/CSS;JavaScript;SQL;TypeScript")</f>
        <v>Bash/Shell/PowerShell;C#;F#;HTML/CSS;JavaScript;SQL;TypeScript</v>
      </c>
      <c r="C723" s="9" t="str">
        <f>IFERROR(__xludf.DUMMYFUNCTION("""COMPUTED_VALUE"""),"TypeScript")</f>
        <v>TypeScript</v>
      </c>
      <c r="D723" s="9" t="str">
        <f>IFERROR(__xludf.DUMMYFUNCTION("""COMPUTED_VALUE"""),"Assembly")</f>
        <v>Assembly</v>
      </c>
      <c r="E723" s="9" t="str">
        <f>IFERROR(__xludf.DUMMYFUNCTION("""COMPUTED_VALUE"""),"JavaScript")</f>
        <v>JavaScript</v>
      </c>
      <c r="F723" s="9" t="str">
        <f>IFERROR(__xludf.DUMMYFUNCTION("""COMPUTED_VALUE"""),"C++")</f>
        <v>C++</v>
      </c>
      <c r="G723" s="9" t="str">
        <f>IFERROR(__xludf.DUMMYFUNCTION("""COMPUTED_VALUE"""),"Java")</f>
        <v>Java</v>
      </c>
      <c r="H723" s="9" t="str">
        <f>IFERROR(__xludf.DUMMYFUNCTION("""COMPUTED_VALUE"""),"Python")</f>
        <v>Python</v>
      </c>
      <c r="I723" s="9" t="str">
        <f>IFERROR(__xludf.DUMMYFUNCTION("""COMPUTED_VALUE"""),"HTML/CSS")</f>
        <v>HTML/CSS</v>
      </c>
      <c r="J723" s="9" t="str">
        <f>IFERROR(__xludf.DUMMYFUNCTION("""COMPUTED_VALUE"""),"Bash/Shell/PowerShell")</f>
        <v>Bash/Shell/PowerShell</v>
      </c>
      <c r="K723" s="9" t="str">
        <f>IFERROR(__xludf.DUMMYFUNCTION("""COMPUTED_VALUE"""),"JavaScript")</f>
        <v>JavaScript</v>
      </c>
      <c r="L723" s="9" t="str">
        <f>IFERROR(__xludf.DUMMYFUNCTION("""COMPUTED_VALUE"""),"Go")</f>
        <v>Go</v>
      </c>
      <c r="M723" s="9" t="s">
        <v>33</v>
      </c>
    </row>
    <row r="724" ht="15.75" customHeight="1">
      <c r="A724" s="7"/>
      <c r="B724" s="7" t="str">
        <f>IFERROR(__xludf.DUMMYFUNCTION("""COMPUTED_VALUE"""),"C#;HTML/CSS;JavaScript;SQL")</f>
        <v>C#;HTML/CSS;JavaScript;SQL</v>
      </c>
      <c r="C724" s="9" t="str">
        <f>IFERROR(__xludf.DUMMYFUNCTION("""COMPUTED_VALUE"""),"Bash/Shell/PowerShell")</f>
        <v>Bash/Shell/PowerShell</v>
      </c>
      <c r="D724" s="9" t="str">
        <f>IFERROR(__xludf.DUMMYFUNCTION("""COMPUTED_VALUE"""),"C++")</f>
        <v>C++</v>
      </c>
      <c r="E724" s="9" t="str">
        <f>IFERROR(__xludf.DUMMYFUNCTION("""COMPUTED_VALUE"""),"Objective-C")</f>
        <v>Objective-C</v>
      </c>
      <c r="F724" s="9" t="str">
        <f>IFERROR(__xludf.DUMMYFUNCTION("""COMPUTED_VALUE"""),"Python")</f>
        <v>Python</v>
      </c>
      <c r="G724" s="9" t="str">
        <f>IFERROR(__xludf.DUMMYFUNCTION("""COMPUTED_VALUE"""),"JavaScript")</f>
        <v>JavaScript</v>
      </c>
      <c r="H724" s="9" t="str">
        <f>IFERROR(__xludf.DUMMYFUNCTION("""COMPUTED_VALUE"""),"SQL")</f>
        <v>SQL</v>
      </c>
      <c r="I724" s="9" t="str">
        <f>IFERROR(__xludf.DUMMYFUNCTION("""COMPUTED_VALUE"""),"Java")</f>
        <v>Java</v>
      </c>
      <c r="J724" s="9" t="str">
        <f>IFERROR(__xludf.DUMMYFUNCTION("""COMPUTED_VALUE"""),"C")</f>
        <v>C</v>
      </c>
      <c r="K724" s="9" t="str">
        <f>IFERROR(__xludf.DUMMYFUNCTION("""COMPUTED_VALUE"""),"PHP")</f>
        <v>PHP</v>
      </c>
      <c r="L724" s="9" t="str">
        <f>IFERROR(__xludf.DUMMYFUNCTION("""COMPUTED_VALUE"""),"HTML/CSS")</f>
        <v>HTML/CSS</v>
      </c>
      <c r="M724" s="9" t="s">
        <v>30</v>
      </c>
    </row>
    <row r="725" ht="15.75" customHeight="1">
      <c r="A725" s="7"/>
      <c r="B725" s="7" t="str">
        <f>IFERROR(__xludf.DUMMYFUNCTION("""COMPUTED_VALUE"""),"C#;SQL")</f>
        <v>C#;SQL</v>
      </c>
      <c r="C725" s="9" t="str">
        <f>IFERROR(__xludf.DUMMYFUNCTION("""COMPUTED_VALUE"""),"C#")</f>
        <v>C#</v>
      </c>
      <c r="D725" s="9" t="str">
        <f>IFERROR(__xludf.DUMMYFUNCTION("""COMPUTED_VALUE"""),"HTML/CSS")</f>
        <v>HTML/CSS</v>
      </c>
      <c r="E725" s="9" t="str">
        <f>IFERROR(__xludf.DUMMYFUNCTION("""COMPUTED_VALUE"""),"Scala")</f>
        <v>Scala</v>
      </c>
      <c r="F725" s="9" t="str">
        <f>IFERROR(__xludf.DUMMYFUNCTION("""COMPUTED_VALUE"""),"Other(s):")</f>
        <v>Other(s):</v>
      </c>
      <c r="G725" s="9" t="str">
        <f>IFERROR(__xludf.DUMMYFUNCTION("""COMPUTED_VALUE"""),"TypeScript")</f>
        <v>TypeScript</v>
      </c>
      <c r="H725" s="9" t="str">
        <f>IFERROR(__xludf.DUMMYFUNCTION("""COMPUTED_VALUE"""),"Swift")</f>
        <v>Swift</v>
      </c>
      <c r="I725" s="9" t="str">
        <f>IFERROR(__xludf.DUMMYFUNCTION("""COMPUTED_VALUE"""),"JavaScript")</f>
        <v>JavaScript</v>
      </c>
      <c r="J725" s="9" t="str">
        <f>IFERROR(__xludf.DUMMYFUNCTION("""COMPUTED_VALUE"""),"C++")</f>
        <v>C++</v>
      </c>
      <c r="K725" s="9" t="str">
        <f>IFERROR(__xludf.DUMMYFUNCTION("""COMPUTED_VALUE"""),"Clojure")</f>
        <v>Clojure</v>
      </c>
      <c r="L725" s="9" t="str">
        <f>IFERROR(__xludf.DUMMYFUNCTION("""COMPUTED_VALUE"""),"JavaScript")</f>
        <v>JavaScript</v>
      </c>
      <c r="M725" s="9" t="s">
        <v>26</v>
      </c>
    </row>
    <row r="726" ht="15.75" customHeight="1">
      <c r="A726" s="7"/>
      <c r="B726" s="7" t="str">
        <f>IFERROR(__xludf.DUMMYFUNCTION("""COMPUTED_VALUE"""),"Bash/Shell/PowerShell;Java;JavaScript;Kotlin;Python")</f>
        <v>Bash/Shell/PowerShell;Java;JavaScript;Kotlin;Python</v>
      </c>
      <c r="C726" s="9" t="str">
        <f>IFERROR(__xludf.DUMMYFUNCTION("""COMPUTED_VALUE"""),"C")</f>
        <v>C</v>
      </c>
      <c r="D726" s="9" t="str">
        <f>IFERROR(__xludf.DUMMYFUNCTION("""COMPUTED_VALUE"""),"Bash/Shell/PowerShell")</f>
        <v>Bash/Shell/PowerShell</v>
      </c>
      <c r="E726" s="9" t="str">
        <f>IFERROR(__xludf.DUMMYFUNCTION("""COMPUTED_VALUE"""),"C#")</f>
        <v>C#</v>
      </c>
      <c r="F726" s="9" t="str">
        <f>IFERROR(__xludf.DUMMYFUNCTION("""COMPUTED_VALUE"""),"Assembly")</f>
        <v>Assembly</v>
      </c>
      <c r="G726" s="9" t="str">
        <f>IFERROR(__xludf.DUMMYFUNCTION("""COMPUTED_VALUE"""),"Bash/Shell/PowerShell")</f>
        <v>Bash/Shell/PowerShell</v>
      </c>
      <c r="H726" s="9" t="str">
        <f>IFERROR(__xludf.DUMMYFUNCTION("""COMPUTED_VALUE"""),"C#")</f>
        <v>C#</v>
      </c>
      <c r="I726" s="9" t="str">
        <f>IFERROR(__xludf.DUMMYFUNCTION("""COMPUTED_VALUE"""),"SQL")</f>
        <v>SQL</v>
      </c>
      <c r="J726" s="9" t="str">
        <f>IFERROR(__xludf.DUMMYFUNCTION("""COMPUTED_VALUE"""),"C#")</f>
        <v>C#</v>
      </c>
      <c r="K726" s="9" t="str">
        <f>IFERROR(__xludf.DUMMYFUNCTION("""COMPUTED_VALUE"""),"HTML/CSS")</f>
        <v>HTML/CSS</v>
      </c>
      <c r="L726" s="9" t="str">
        <f>IFERROR(__xludf.DUMMYFUNCTION("""COMPUTED_VALUE"""),"PHP")</f>
        <v>PHP</v>
      </c>
      <c r="M726" s="9" t="s">
        <v>25</v>
      </c>
    </row>
    <row r="727" ht="15.75" customHeight="1">
      <c r="A727" s="7"/>
      <c r="B727" s="7" t="str">
        <f>IFERROR(__xludf.DUMMYFUNCTION("""COMPUTED_VALUE"""),"C#;HTML/CSS;Java;JavaScript;Objective-C;SQL;TypeScript")</f>
        <v>C#;HTML/CSS;Java;JavaScript;Objective-C;SQL;TypeScript</v>
      </c>
      <c r="C727" s="9" t="str">
        <f>IFERROR(__xludf.DUMMYFUNCTION("""COMPUTED_VALUE"""),"HTML/CSS")</f>
        <v>HTML/CSS</v>
      </c>
      <c r="D727" s="9" t="str">
        <f>IFERROR(__xludf.DUMMYFUNCTION("""COMPUTED_VALUE"""),"C++")</f>
        <v>C++</v>
      </c>
      <c r="E727" s="9" t="str">
        <f>IFERROR(__xludf.DUMMYFUNCTION("""COMPUTED_VALUE"""),"HTML/CSS")</f>
        <v>HTML/CSS</v>
      </c>
      <c r="F727" s="9" t="str">
        <f>IFERROR(__xludf.DUMMYFUNCTION("""COMPUTED_VALUE"""),"Bash/Shell/PowerShell")</f>
        <v>Bash/Shell/PowerShell</v>
      </c>
      <c r="G727" s="9" t="str">
        <f>IFERROR(__xludf.DUMMYFUNCTION("""COMPUTED_VALUE"""),"C++")</f>
        <v>C++</v>
      </c>
      <c r="H727" s="9" t="str">
        <f>IFERROR(__xludf.DUMMYFUNCTION("""COMPUTED_VALUE"""),"HTML/CSS")</f>
        <v>HTML/CSS</v>
      </c>
      <c r="I727" s="9" t="str">
        <f>IFERROR(__xludf.DUMMYFUNCTION("""COMPUTED_VALUE"""),"Other(s):")</f>
        <v>Other(s):</v>
      </c>
      <c r="J727" s="9" t="str">
        <f>IFERROR(__xludf.DUMMYFUNCTION("""COMPUTED_VALUE"""),"JavaScript")</f>
        <v>JavaScript</v>
      </c>
      <c r="K727" s="9" t="str">
        <f>IFERROR(__xludf.DUMMYFUNCTION("""COMPUTED_VALUE"""),"Java")</f>
        <v>Java</v>
      </c>
      <c r="L727" s="9" t="str">
        <f>IFERROR(__xludf.DUMMYFUNCTION("""COMPUTED_VALUE"""),"Python")</f>
        <v>Python</v>
      </c>
      <c r="M727" s="9" t="s">
        <v>24</v>
      </c>
    </row>
    <row r="728" ht="15.75" customHeight="1">
      <c r="A728" s="7"/>
      <c r="B728" s="7" t="str">
        <f>IFERROR(__xludf.DUMMYFUNCTION("""COMPUTED_VALUE"""),"C;C++;Python")</f>
        <v>C;C++;Python</v>
      </c>
      <c r="C728" s="9" t="str">
        <f>IFERROR(__xludf.DUMMYFUNCTION("""COMPUTED_VALUE"""),"Java")</f>
        <v>Java</v>
      </c>
      <c r="D728" s="9" t="str">
        <f>IFERROR(__xludf.DUMMYFUNCTION("""COMPUTED_VALUE"""),"Java")</f>
        <v>Java</v>
      </c>
      <c r="E728" s="9" t="str">
        <f>IFERROR(__xludf.DUMMYFUNCTION("""COMPUTED_VALUE"""),"JavaScript")</f>
        <v>JavaScript</v>
      </c>
      <c r="F728" s="9" t="str">
        <f>IFERROR(__xludf.DUMMYFUNCTION("""COMPUTED_VALUE"""),"C")</f>
        <v>C</v>
      </c>
      <c r="G728" s="9" t="str">
        <f>IFERROR(__xludf.DUMMYFUNCTION("""COMPUTED_VALUE"""),"C#")</f>
        <v>C#</v>
      </c>
      <c r="H728" s="9" t="str">
        <f>IFERROR(__xludf.DUMMYFUNCTION("""COMPUTED_VALUE"""),"JavaScript")</f>
        <v>JavaScript</v>
      </c>
      <c r="I728" s="9" t="str">
        <f>IFERROR(__xludf.DUMMYFUNCTION("""COMPUTED_VALUE"""),"Java")</f>
        <v>Java</v>
      </c>
      <c r="J728" s="9" t="str">
        <f>IFERROR(__xludf.DUMMYFUNCTION("""COMPUTED_VALUE"""),"Python")</f>
        <v>Python</v>
      </c>
      <c r="K728" s="9" t="str">
        <f>IFERROR(__xludf.DUMMYFUNCTION("""COMPUTED_VALUE"""),"JavaScript")</f>
        <v>JavaScript</v>
      </c>
      <c r="L728" s="9" t="str">
        <f>IFERROR(__xludf.DUMMYFUNCTION("""COMPUTED_VALUE"""),"SQL")</f>
        <v>SQL</v>
      </c>
      <c r="M728" s="9" t="s">
        <v>20</v>
      </c>
    </row>
    <row r="729" ht="15.75" customHeight="1">
      <c r="A729" s="7"/>
      <c r="B729" s="7" t="str">
        <f>IFERROR(__xludf.DUMMYFUNCTION("""COMPUTED_VALUE"""),"Bash/Shell/PowerShell;C;C++;HTML/CSS;Java;Python;R;SQL")</f>
        <v>Bash/Shell/PowerShell;C;C++;HTML/CSS;Java;Python;R;SQL</v>
      </c>
      <c r="C729" s="9" t="str">
        <f>IFERROR(__xludf.DUMMYFUNCTION("""COMPUTED_VALUE"""),"JavaScript")</f>
        <v>JavaScript</v>
      </c>
      <c r="D729" s="9" t="str">
        <f>IFERROR(__xludf.DUMMYFUNCTION("""COMPUTED_VALUE"""),"JavaScript")</f>
        <v>JavaScript</v>
      </c>
      <c r="E729" s="9" t="str">
        <f>IFERROR(__xludf.DUMMYFUNCTION("""COMPUTED_VALUE"""),"SQL")</f>
        <v>SQL</v>
      </c>
      <c r="F729" s="9" t="str">
        <f>IFERROR(__xludf.DUMMYFUNCTION("""COMPUTED_VALUE"""),"PHP")</f>
        <v>PHP</v>
      </c>
      <c r="G729" s="9" t="str">
        <f>IFERROR(__xludf.DUMMYFUNCTION("""COMPUTED_VALUE"""),"VBA")</f>
        <v>VBA</v>
      </c>
      <c r="H729" s="9" t="str">
        <f>IFERROR(__xludf.DUMMYFUNCTION("""COMPUTED_VALUE"""),"SQL")</f>
        <v>SQL</v>
      </c>
      <c r="I729" s="9" t="str">
        <f>IFERROR(__xludf.DUMMYFUNCTION("""COMPUTED_VALUE"""),"HTML/CSS")</f>
        <v>HTML/CSS</v>
      </c>
      <c r="J729" s="9" t="str">
        <f>IFERROR(__xludf.DUMMYFUNCTION("""COMPUTED_VALUE"""),"SQL")</f>
        <v>SQL</v>
      </c>
      <c r="K729" s="9" t="str">
        <f>IFERROR(__xludf.DUMMYFUNCTION("""COMPUTED_VALUE"""),"SQL")</f>
        <v>SQL</v>
      </c>
      <c r="L729" s="9" t="str">
        <f>IFERROR(__xludf.DUMMYFUNCTION("""COMPUTED_VALUE"""),"Other(s):")</f>
        <v>Other(s):</v>
      </c>
      <c r="M729" s="9" t="s">
        <v>21</v>
      </c>
    </row>
    <row r="730" ht="15.75" customHeight="1">
      <c r="A730" s="7"/>
      <c r="B730" s="7" t="str">
        <f>IFERROR(__xludf.DUMMYFUNCTION("""COMPUTED_VALUE"""),"Bash/Shell/PowerShell;Java;JavaScript;Swift")</f>
        <v>Bash/Shell/PowerShell;Java;JavaScript;Swift</v>
      </c>
      <c r="C730" s="9" t="str">
        <f>IFERROR(__xludf.DUMMYFUNCTION("""COMPUTED_VALUE"""),"Python")</f>
        <v>Python</v>
      </c>
      <c r="D730" s="9" t="str">
        <f>IFERROR(__xludf.DUMMYFUNCTION("""COMPUTED_VALUE"""),"Python")</f>
        <v>Python</v>
      </c>
      <c r="E730" s="9" t="str">
        <f>IFERROR(__xludf.DUMMYFUNCTION("""COMPUTED_VALUE"""),"TypeScript")</f>
        <v>TypeScript</v>
      </c>
      <c r="F730" s="9" t="str">
        <f>IFERROR(__xludf.DUMMYFUNCTION("""COMPUTED_VALUE"""),"Python")</f>
        <v>Python</v>
      </c>
      <c r="G730" s="9" t="str">
        <f>IFERROR(__xludf.DUMMYFUNCTION("""COMPUTED_VALUE"""),"HTML/CSS")</f>
        <v>HTML/CSS</v>
      </c>
      <c r="H730" s="9" t="str">
        <f>IFERROR(__xludf.DUMMYFUNCTION("""COMPUTED_VALUE"""),"Bash/Shell/PowerShell")</f>
        <v>Bash/Shell/PowerShell</v>
      </c>
      <c r="I730" s="9" t="str">
        <f>IFERROR(__xludf.DUMMYFUNCTION("""COMPUTED_VALUE"""),"JavaScript")</f>
        <v>JavaScript</v>
      </c>
      <c r="J730" s="9" t="str">
        <f>IFERROR(__xludf.DUMMYFUNCTION("""COMPUTED_VALUE"""),"VBA")</f>
        <v>VBA</v>
      </c>
      <c r="K730" s="9" t="str">
        <f>IFERROR(__xludf.DUMMYFUNCTION("""COMPUTED_VALUE"""),"Other(s):")</f>
        <v>Other(s):</v>
      </c>
      <c r="L730" s="9" t="str">
        <f>IFERROR(__xludf.DUMMYFUNCTION("""COMPUTED_VALUE"""),"Bash/Shell/PowerShell")</f>
        <v>Bash/Shell/PowerShell</v>
      </c>
      <c r="M730" s="9" t="s">
        <v>22</v>
      </c>
    </row>
    <row r="731" ht="15.75" customHeight="1">
      <c r="A731" s="7"/>
      <c r="B731" s="7" t="str">
        <f>IFERROR(__xludf.DUMMYFUNCTION("""COMPUTED_VALUE"""),"Bash/Shell/PowerShell;Java;PHP;Python")</f>
        <v>Bash/Shell/PowerShell;Java;PHP;Python</v>
      </c>
      <c r="C731" s="9" t="str">
        <f>IFERROR(__xludf.DUMMYFUNCTION("""COMPUTED_VALUE"""),"SQL")</f>
        <v>SQL</v>
      </c>
      <c r="D731" s="9" t="str">
        <f>IFERROR(__xludf.DUMMYFUNCTION("""COMPUTED_VALUE"""),"SQL")</f>
        <v>SQL</v>
      </c>
      <c r="E731" s="9" t="str">
        <f>IFERROR(__xludf.DUMMYFUNCTION("""COMPUTED_VALUE"""),"Bash/Shell/PowerShell")</f>
        <v>Bash/Shell/PowerShell</v>
      </c>
      <c r="F731" s="9" t="str">
        <f>IFERROR(__xludf.DUMMYFUNCTION("""COMPUTED_VALUE"""),"SQL")</f>
        <v>SQL</v>
      </c>
      <c r="G731" s="9" t="str">
        <f>IFERROR(__xludf.DUMMYFUNCTION("""COMPUTED_VALUE"""),"JavaScript")</f>
        <v>JavaScript</v>
      </c>
      <c r="H731" s="9" t="str">
        <f>IFERROR(__xludf.DUMMYFUNCTION("""COMPUTED_VALUE"""),"C++")</f>
        <v>C++</v>
      </c>
      <c r="I731" s="9" t="str">
        <f>IFERROR(__xludf.DUMMYFUNCTION("""COMPUTED_VALUE"""),"PHP")</f>
        <v>PHP</v>
      </c>
      <c r="J731" s="9" t="str">
        <f>IFERROR(__xludf.DUMMYFUNCTION("""COMPUTED_VALUE"""),"Python")</f>
        <v>Python</v>
      </c>
      <c r="K731" s="9" t="str">
        <f>IFERROR(__xludf.DUMMYFUNCTION("""COMPUTED_VALUE"""),"Bash/Shell/PowerShell")</f>
        <v>Bash/Shell/PowerShell</v>
      </c>
      <c r="L731" s="9" t="str">
        <f>IFERROR(__xludf.DUMMYFUNCTION("""COMPUTED_VALUE"""),"HTML/CSS")</f>
        <v>HTML/CSS</v>
      </c>
      <c r="M731" s="9" t="s">
        <v>27</v>
      </c>
    </row>
    <row r="732" ht="15.75" customHeight="1">
      <c r="A732" s="7"/>
      <c r="B732" s="7" t="str">
        <f>IFERROR(__xludf.DUMMYFUNCTION("""COMPUTED_VALUE"""),"C++;C#;HTML/CSS;Java;JavaScript;PHP;Python;SQL;TypeScript")</f>
        <v>C++;C#;HTML/CSS;Java;JavaScript;PHP;Python;SQL;TypeScript</v>
      </c>
      <c r="C732" s="9" t="str">
        <f>IFERROR(__xludf.DUMMYFUNCTION("""COMPUTED_VALUE"""),"TypeScript")</f>
        <v>TypeScript</v>
      </c>
      <c r="D732" s="9" t="str">
        <f>IFERROR(__xludf.DUMMYFUNCTION("""COMPUTED_VALUE"""),"JavaScript")</f>
        <v>JavaScript</v>
      </c>
      <c r="E732" s="9" t="str">
        <f>IFERROR(__xludf.DUMMYFUNCTION("""COMPUTED_VALUE"""),"C#")</f>
        <v>C#</v>
      </c>
      <c r="F732" s="9" t="str">
        <f>IFERROR(__xludf.DUMMYFUNCTION("""COMPUTED_VALUE"""),"C#")</f>
        <v>C#</v>
      </c>
      <c r="G732" s="9" t="str">
        <f>IFERROR(__xludf.DUMMYFUNCTION("""COMPUTED_VALUE"""),"PHP")</f>
        <v>PHP</v>
      </c>
      <c r="H732" s="9" t="str">
        <f>IFERROR(__xludf.DUMMYFUNCTION("""COMPUTED_VALUE"""),"Python")</f>
        <v>Python</v>
      </c>
      <c r="I732" s="9" t="str">
        <f>IFERROR(__xludf.DUMMYFUNCTION("""COMPUTED_VALUE"""),"SQL")</f>
        <v>SQL</v>
      </c>
      <c r="J732" s="9" t="str">
        <f>IFERROR(__xludf.DUMMYFUNCTION("""COMPUTED_VALUE"""),"SQL")</f>
        <v>SQL</v>
      </c>
      <c r="K732" s="9" t="str">
        <f>IFERROR(__xludf.DUMMYFUNCTION("""COMPUTED_VALUE"""),"C")</f>
        <v>C</v>
      </c>
      <c r="L732" s="9" t="str">
        <f>IFERROR(__xludf.DUMMYFUNCTION("""COMPUTED_VALUE"""),"JavaScript")</f>
        <v>JavaScript</v>
      </c>
      <c r="M732" s="9" t="s">
        <v>33</v>
      </c>
    </row>
    <row r="733" ht="15.75" customHeight="1">
      <c r="A733" s="7"/>
      <c r="B733" s="7" t="str">
        <f>IFERROR(__xludf.DUMMYFUNCTION("""COMPUTED_VALUE"""),"Go;JavaScript;Python;SQL;TypeScript")</f>
        <v>Go;JavaScript;Python;SQL;TypeScript</v>
      </c>
      <c r="C733" s="9" t="str">
        <f>IFERROR(__xludf.DUMMYFUNCTION("""COMPUTED_VALUE"""),"Java")</f>
        <v>Java</v>
      </c>
      <c r="D733" s="9" t="str">
        <f>IFERROR(__xludf.DUMMYFUNCTION("""COMPUTED_VALUE"""),"HTML/CSS")</f>
        <v>HTML/CSS</v>
      </c>
      <c r="E733" s="9" t="str">
        <f>IFERROR(__xludf.DUMMYFUNCTION("""COMPUTED_VALUE"""),"HTML/CSS")</f>
        <v>HTML/CSS</v>
      </c>
      <c r="F733" s="9" t="str">
        <f>IFERROR(__xludf.DUMMYFUNCTION("""COMPUTED_VALUE"""),"Python")</f>
        <v>Python</v>
      </c>
      <c r="G733" s="9" t="str">
        <f>IFERROR(__xludf.DUMMYFUNCTION("""COMPUTED_VALUE"""),"SQL")</f>
        <v>SQL</v>
      </c>
      <c r="H733" s="9" t="str">
        <f>IFERROR(__xludf.DUMMYFUNCTION("""COMPUTED_VALUE"""),"Ruby")</f>
        <v>Ruby</v>
      </c>
      <c r="I733" s="9" t="str">
        <f>IFERROR(__xludf.DUMMYFUNCTION("""COMPUTED_VALUE"""),"C#")</f>
        <v>C#</v>
      </c>
      <c r="J733" s="9" t="str">
        <f>IFERROR(__xludf.DUMMYFUNCTION("""COMPUTED_VALUE"""),"Other(s):")</f>
        <v>Other(s):</v>
      </c>
      <c r="K733" s="9" t="str">
        <f>IFERROR(__xludf.DUMMYFUNCTION("""COMPUTED_VALUE"""),"C++")</f>
        <v>C++</v>
      </c>
      <c r="L733" s="9" t="str">
        <f>IFERROR(__xludf.DUMMYFUNCTION("""COMPUTED_VALUE"""),"PHP")</f>
        <v>PHP</v>
      </c>
      <c r="M733" s="9" t="s">
        <v>20</v>
      </c>
    </row>
    <row r="734" ht="15.75" customHeight="1">
      <c r="A734" s="7"/>
      <c r="B734" s="7" t="str">
        <f>IFERROR(__xludf.DUMMYFUNCTION("""COMPUTED_VALUE"""),"HTML/CSS;JavaScript;PHP;Ruby")</f>
        <v>HTML/CSS;JavaScript;PHP;Ruby</v>
      </c>
      <c r="C734" s="9" t="str">
        <f>IFERROR(__xludf.DUMMYFUNCTION("""COMPUTED_VALUE"""),"SQL")</f>
        <v>SQL</v>
      </c>
      <c r="D734" s="9" t="str">
        <f>IFERROR(__xludf.DUMMYFUNCTION("""COMPUTED_VALUE"""),"JavaScript")</f>
        <v>JavaScript</v>
      </c>
      <c r="E734" s="9" t="str">
        <f>IFERROR(__xludf.DUMMYFUNCTION("""COMPUTED_VALUE"""),"JavaScript")</f>
        <v>JavaScript</v>
      </c>
      <c r="F734" s="9" t="str">
        <f>IFERROR(__xludf.DUMMYFUNCTION("""COMPUTED_VALUE"""),"Bash/Shell/PowerShell")</f>
        <v>Bash/Shell/PowerShell</v>
      </c>
      <c r="G734" s="9" t="str">
        <f>IFERROR(__xludf.DUMMYFUNCTION("""COMPUTED_VALUE"""),"Go")</f>
        <v>Go</v>
      </c>
      <c r="H734" s="9" t="str">
        <f>IFERROR(__xludf.DUMMYFUNCTION("""COMPUTED_VALUE"""),"Scala")</f>
        <v>Scala</v>
      </c>
      <c r="I734" s="9" t="str">
        <f>IFERROR(__xludf.DUMMYFUNCTION("""COMPUTED_VALUE"""),"HTML/CSS")</f>
        <v>HTML/CSS</v>
      </c>
      <c r="J734" s="9" t="str">
        <f>IFERROR(__xludf.DUMMYFUNCTION("""COMPUTED_VALUE"""),"Python")</f>
        <v>Python</v>
      </c>
      <c r="K734" s="9" t="str">
        <f>IFERROR(__xludf.DUMMYFUNCTION("""COMPUTED_VALUE"""),"Clojure")</f>
        <v>Clojure</v>
      </c>
      <c r="L734" s="9" t="str">
        <f>IFERROR(__xludf.DUMMYFUNCTION("""COMPUTED_VALUE"""),"Python")</f>
        <v>Python</v>
      </c>
      <c r="M734" s="9" t="s">
        <v>27</v>
      </c>
    </row>
    <row r="735" ht="15.75" customHeight="1">
      <c r="A735" s="7"/>
      <c r="B735" s="7" t="str">
        <f>IFERROR(__xludf.DUMMYFUNCTION("""COMPUTED_VALUE"""),"C;C++;C#;HTML/CSS;JavaScript;Kotlin;Swift")</f>
        <v>C;C++;C#;HTML/CSS;JavaScript;Kotlin;Swift</v>
      </c>
      <c r="C735" s="9" t="str">
        <f>IFERROR(__xludf.DUMMYFUNCTION("""COMPUTED_VALUE"""),"Assembly")</f>
        <v>Assembly</v>
      </c>
      <c r="D735" s="9" t="str">
        <f>IFERROR(__xludf.DUMMYFUNCTION("""COMPUTED_VALUE"""),"PHP")</f>
        <v>PHP</v>
      </c>
      <c r="E735" s="9" t="str">
        <f>IFERROR(__xludf.DUMMYFUNCTION("""COMPUTED_VALUE"""),"SQL")</f>
        <v>SQL</v>
      </c>
      <c r="F735" s="9" t="str">
        <f>IFERROR(__xludf.DUMMYFUNCTION("""COMPUTED_VALUE"""),"Java")</f>
        <v>Java</v>
      </c>
      <c r="G735" s="9" t="str">
        <f>IFERROR(__xludf.DUMMYFUNCTION("""COMPUTED_VALUE"""),"HTML/CSS")</f>
        <v>HTML/CSS</v>
      </c>
      <c r="H735" s="9" t="str">
        <f>IFERROR(__xludf.DUMMYFUNCTION("""COMPUTED_VALUE"""),"C#")</f>
        <v>C#</v>
      </c>
      <c r="I735" s="9" t="str">
        <f>IFERROR(__xludf.DUMMYFUNCTION("""COMPUTED_VALUE"""),"JavaScript")</f>
        <v>JavaScript</v>
      </c>
      <c r="J735" s="9" t="str">
        <f>IFERROR(__xludf.DUMMYFUNCTION("""COMPUTED_VALUE"""),"Bash/Shell/PowerShell")</f>
        <v>Bash/Shell/PowerShell</v>
      </c>
      <c r="K735" s="9" t="str">
        <f>IFERROR(__xludf.DUMMYFUNCTION("""COMPUTED_VALUE"""),"HTML/CSS")</f>
        <v>HTML/CSS</v>
      </c>
      <c r="L735" s="9" t="str">
        <f>IFERROR(__xludf.DUMMYFUNCTION("""COMPUTED_VALUE"""),"SQL")</f>
        <v>SQL</v>
      </c>
      <c r="M735" s="9" t="s">
        <v>38</v>
      </c>
    </row>
    <row r="736" ht="15.75" customHeight="1">
      <c r="A736" s="7"/>
      <c r="B736" s="7" t="str">
        <f>IFERROR(__xludf.DUMMYFUNCTION("""COMPUTED_VALUE"""),"Bash/Shell/PowerShell;HTML/CSS;Java;JavaScript;Kotlin;PHP;SQL;TypeScript")</f>
        <v>Bash/Shell/PowerShell;HTML/CSS;Java;JavaScript;Kotlin;PHP;SQL;TypeScript</v>
      </c>
      <c r="C736" s="9" t="str">
        <f>IFERROR(__xludf.DUMMYFUNCTION("""COMPUTED_VALUE"""),"C++")</f>
        <v>C++</v>
      </c>
      <c r="D736" s="9" t="str">
        <f>IFERROR(__xludf.DUMMYFUNCTION("""COMPUTED_VALUE"""),"PHP")</f>
        <v>PHP</v>
      </c>
      <c r="E736" s="9" t="str">
        <f>IFERROR(__xludf.DUMMYFUNCTION("""COMPUTED_VALUE"""),"Bash/Shell/PowerShell")</f>
        <v>Bash/Shell/PowerShell</v>
      </c>
      <c r="F736" s="9" t="str">
        <f>IFERROR(__xludf.DUMMYFUNCTION("""COMPUTED_VALUE"""),"Python")</f>
        <v>Python</v>
      </c>
      <c r="G736" s="9" t="str">
        <f>IFERROR(__xludf.DUMMYFUNCTION("""COMPUTED_VALUE"""),"JavaScript")</f>
        <v>JavaScript</v>
      </c>
      <c r="H736" s="9" t="str">
        <f>IFERROR(__xludf.DUMMYFUNCTION("""COMPUTED_VALUE"""),"HTML/CSS")</f>
        <v>HTML/CSS</v>
      </c>
      <c r="I736" s="9" t="str">
        <f>IFERROR(__xludf.DUMMYFUNCTION("""COMPUTED_VALUE"""),"PHP")</f>
        <v>PHP</v>
      </c>
      <c r="J736" s="9" t="str">
        <f>IFERROR(__xludf.DUMMYFUNCTION("""COMPUTED_VALUE"""),"Objective-C")</f>
        <v>Objective-C</v>
      </c>
      <c r="K736" s="9" t="str">
        <f>IFERROR(__xludf.DUMMYFUNCTION("""COMPUTED_VALUE"""),"JavaScript")</f>
        <v>JavaScript</v>
      </c>
      <c r="L736" s="9" t="str">
        <f>IFERROR(__xludf.DUMMYFUNCTION("""COMPUTED_VALUE"""),"C#")</f>
        <v>C#</v>
      </c>
      <c r="M736" s="9" t="s">
        <v>23</v>
      </c>
    </row>
    <row r="737" ht="15.75" customHeight="1">
      <c r="A737" s="7"/>
      <c r="B737" s="7" t="str">
        <f>IFERROR(__xludf.DUMMYFUNCTION("""COMPUTED_VALUE"""),"Go;HTML/CSS;Python")</f>
        <v>Go;HTML/CSS;Python</v>
      </c>
      <c r="C737" s="9" t="str">
        <f>IFERROR(__xludf.DUMMYFUNCTION("""COMPUTED_VALUE"""),"Python")</f>
        <v>Python</v>
      </c>
      <c r="D737" s="9" t="str">
        <f>IFERROR(__xludf.DUMMYFUNCTION("""COMPUTED_VALUE"""),"Other(s):")</f>
        <v>Other(s):</v>
      </c>
      <c r="E737" s="9" t="str">
        <f>IFERROR(__xludf.DUMMYFUNCTION("""COMPUTED_VALUE"""),"C#")</f>
        <v>C#</v>
      </c>
      <c r="F737" s="9" t="str">
        <f>IFERROR(__xludf.DUMMYFUNCTION("""COMPUTED_VALUE"""),"Python")</f>
        <v>Python</v>
      </c>
      <c r="G737" s="9" t="str">
        <f>IFERROR(__xludf.DUMMYFUNCTION("""COMPUTED_VALUE"""),"Kotlin")</f>
        <v>Kotlin</v>
      </c>
      <c r="H737" s="9" t="str">
        <f>IFERROR(__xludf.DUMMYFUNCTION("""COMPUTED_VALUE"""),"JavaScript")</f>
        <v>JavaScript</v>
      </c>
      <c r="I737" s="9" t="str">
        <f>IFERROR(__xludf.DUMMYFUNCTION("""COMPUTED_VALUE"""),"C#")</f>
        <v>C#</v>
      </c>
      <c r="J737" s="9" t="str">
        <f>IFERROR(__xludf.DUMMYFUNCTION("""COMPUTED_VALUE"""),"Swift")</f>
        <v>Swift</v>
      </c>
      <c r="K737" s="9" t="str">
        <f>IFERROR(__xludf.DUMMYFUNCTION("""COMPUTED_VALUE"""),"Python")</f>
        <v>Python</v>
      </c>
      <c r="L737" s="9" t="str">
        <f>IFERROR(__xludf.DUMMYFUNCTION("""COMPUTED_VALUE"""),"HTML/CSS")</f>
        <v>HTML/CSS</v>
      </c>
      <c r="M737" s="9" t="s">
        <v>22</v>
      </c>
    </row>
    <row r="738" ht="15.75" customHeight="1">
      <c r="A738" s="7"/>
      <c r="B738" s="7" t="str">
        <f>IFERROR(__xludf.DUMMYFUNCTION("""COMPUTED_VALUE"""),"Bash/Shell/PowerShell;C#;HTML/CSS;Java;JavaScript;Python;R;Ruby;SQL;TypeScript")</f>
        <v>Bash/Shell/PowerShell;C#;HTML/CSS;Java;JavaScript;Python;R;Ruby;SQL;TypeScript</v>
      </c>
      <c r="C738" s="9" t="str">
        <f>IFERROR(__xludf.DUMMYFUNCTION("""COMPUTED_VALUE"""),"VBA")</f>
        <v>VBA</v>
      </c>
      <c r="D738" s="9" t="str">
        <f>IFERROR(__xludf.DUMMYFUNCTION("""COMPUTED_VALUE"""),"C")</f>
        <v>C</v>
      </c>
      <c r="E738" s="9" t="str">
        <f>IFERROR(__xludf.DUMMYFUNCTION("""COMPUTED_VALUE"""),"JavaScript")</f>
        <v>JavaScript</v>
      </c>
      <c r="F738" s="9" t="str">
        <f>IFERROR(__xludf.DUMMYFUNCTION("""COMPUTED_VALUE"""),"Bash/Shell/PowerShell")</f>
        <v>Bash/Shell/PowerShell</v>
      </c>
      <c r="G738" s="9" t="str">
        <f>IFERROR(__xludf.DUMMYFUNCTION("""COMPUTED_VALUE"""),"Rust")</f>
        <v>Rust</v>
      </c>
      <c r="H738" s="9" t="str">
        <f>IFERROR(__xludf.DUMMYFUNCTION("""COMPUTED_VALUE"""),"SQL")</f>
        <v>SQL</v>
      </c>
      <c r="I738" s="9" t="str">
        <f>IFERROR(__xludf.DUMMYFUNCTION("""COMPUTED_VALUE"""),"HTML/CSS")</f>
        <v>HTML/CSS</v>
      </c>
      <c r="J738" s="9" t="str">
        <f>IFERROR(__xludf.DUMMYFUNCTION("""COMPUTED_VALUE"""),"Other(s):")</f>
        <v>Other(s):</v>
      </c>
      <c r="K738" s="9" t="str">
        <f>IFERROR(__xludf.DUMMYFUNCTION("""COMPUTED_VALUE"""),"SQL")</f>
        <v>SQL</v>
      </c>
      <c r="L738" s="9" t="str">
        <f>IFERROR(__xludf.DUMMYFUNCTION("""COMPUTED_VALUE"""),"Java")</f>
        <v>Java</v>
      </c>
      <c r="M738" s="9" t="s">
        <v>28</v>
      </c>
    </row>
    <row r="739" ht="15.75" customHeight="1">
      <c r="A739" s="7"/>
      <c r="B739" s="7" t="str">
        <f>IFERROR(__xludf.DUMMYFUNCTION("""COMPUTED_VALUE"""),"Java;JavaScript")</f>
        <v>Java;JavaScript</v>
      </c>
      <c r="C739" s="9" t="str">
        <f>IFERROR(__xludf.DUMMYFUNCTION("""COMPUTED_VALUE"""),"Bash/Shell/PowerShell")</f>
        <v>Bash/Shell/PowerShell</v>
      </c>
      <c r="D739" s="9" t="str">
        <f>IFERROR(__xludf.DUMMYFUNCTION("""COMPUTED_VALUE"""),"HTML/CSS")</f>
        <v>HTML/CSS</v>
      </c>
      <c r="E739" s="9" t="str">
        <f>IFERROR(__xludf.DUMMYFUNCTION("""COMPUTED_VALUE"""),"Python")</f>
        <v>Python</v>
      </c>
      <c r="F739" s="9" t="str">
        <f>IFERROR(__xludf.DUMMYFUNCTION("""COMPUTED_VALUE"""),"C++")</f>
        <v>C++</v>
      </c>
      <c r="G739" s="9" t="str">
        <f>IFERROR(__xludf.DUMMYFUNCTION("""COMPUTED_VALUE"""),"C++")</f>
        <v>C++</v>
      </c>
      <c r="H739" s="9" t="str">
        <f>IFERROR(__xludf.DUMMYFUNCTION("""COMPUTED_VALUE"""),"TypeScript")</f>
        <v>TypeScript</v>
      </c>
      <c r="I739" s="9" t="str">
        <f>IFERROR(__xludf.DUMMYFUNCTION("""COMPUTED_VALUE"""),"JavaScript")</f>
        <v>JavaScript</v>
      </c>
      <c r="J739" s="9" t="str">
        <f>IFERROR(__xludf.DUMMYFUNCTION("""COMPUTED_VALUE"""),"C")</f>
        <v>C</v>
      </c>
      <c r="K739" s="9" t="str">
        <f>IFERROR(__xludf.DUMMYFUNCTION("""COMPUTED_VALUE"""),"TypeScript")</f>
        <v>TypeScript</v>
      </c>
      <c r="L739" s="9" t="str">
        <f>IFERROR(__xludf.DUMMYFUNCTION("""COMPUTED_VALUE"""),"Bash/Shell/PowerShell")</f>
        <v>Bash/Shell/PowerShell</v>
      </c>
      <c r="M739" s="9" t="s">
        <v>30</v>
      </c>
    </row>
    <row r="740" ht="15.75" customHeight="1">
      <c r="A740" s="7"/>
      <c r="B740" s="7" t="str">
        <f>IFERROR(__xludf.DUMMYFUNCTION("""COMPUTED_VALUE"""),"C#;HTML/CSS;JavaScript;SQL")</f>
        <v>C#;HTML/CSS;JavaScript;SQL</v>
      </c>
      <c r="C740" s="9" t="str">
        <f>IFERROR(__xludf.DUMMYFUNCTION("""COMPUTED_VALUE"""),"C")</f>
        <v>C</v>
      </c>
      <c r="D740" s="9" t="str">
        <f>IFERROR(__xludf.DUMMYFUNCTION("""COMPUTED_VALUE"""),"Java")</f>
        <v>Java</v>
      </c>
      <c r="E740" s="9" t="str">
        <f>IFERROR(__xludf.DUMMYFUNCTION("""COMPUTED_VALUE"""),"SQL")</f>
        <v>SQL</v>
      </c>
      <c r="F740" s="9" t="str">
        <f>IFERROR(__xludf.DUMMYFUNCTION("""COMPUTED_VALUE"""),"HTML/CSS")</f>
        <v>HTML/CSS</v>
      </c>
      <c r="G740" s="9" t="str">
        <f>IFERROR(__xludf.DUMMYFUNCTION("""COMPUTED_VALUE"""),"Java")</f>
        <v>Java</v>
      </c>
      <c r="H740" s="9" t="str">
        <f>IFERROR(__xludf.DUMMYFUNCTION("""COMPUTED_VALUE"""),"Java")</f>
        <v>Java</v>
      </c>
      <c r="I740" s="9" t="str">
        <f>IFERROR(__xludf.DUMMYFUNCTION("""COMPUTED_VALUE"""),"SQL")</f>
        <v>SQL</v>
      </c>
      <c r="J740" s="9" t="str">
        <f>IFERROR(__xludf.DUMMYFUNCTION("""COMPUTED_VALUE"""),"C++")</f>
        <v>C++</v>
      </c>
      <c r="K740" s="9" t="str">
        <f>IFERROR(__xludf.DUMMYFUNCTION("""COMPUTED_VALUE"""),"Bash/Shell/PowerShell")</f>
        <v>Bash/Shell/PowerShell</v>
      </c>
      <c r="L740" s="9" t="str">
        <f>IFERROR(__xludf.DUMMYFUNCTION("""COMPUTED_VALUE"""),"C#")</f>
        <v>C#</v>
      </c>
      <c r="M740" s="9" t="s">
        <v>25</v>
      </c>
    </row>
    <row r="741" ht="15.75" customHeight="1">
      <c r="A741" s="7"/>
      <c r="B741" s="7" t="str">
        <f>IFERROR(__xludf.DUMMYFUNCTION("""COMPUTED_VALUE"""),"Dart;HTML/CSS;Java;Kotlin;Python")</f>
        <v>Dart;HTML/CSS;Java;Kotlin;Python</v>
      </c>
      <c r="C741" s="9" t="str">
        <f>IFERROR(__xludf.DUMMYFUNCTION("""COMPUTED_VALUE"""),"Python")</f>
        <v>Python</v>
      </c>
      <c r="D741" s="9" t="str">
        <f>IFERROR(__xludf.DUMMYFUNCTION("""COMPUTED_VALUE"""),"JavaScript")</f>
        <v>JavaScript</v>
      </c>
      <c r="E741" s="9" t="str">
        <f>IFERROR(__xludf.DUMMYFUNCTION("""COMPUTED_VALUE"""),"Python")</f>
        <v>Python</v>
      </c>
      <c r="F741" s="9" t="str">
        <f>IFERROR(__xludf.DUMMYFUNCTION("""COMPUTED_VALUE"""),"Java")</f>
        <v>Java</v>
      </c>
      <c r="G741" s="9" t="str">
        <f>IFERROR(__xludf.DUMMYFUNCTION("""COMPUTED_VALUE"""),"Kotlin")</f>
        <v>Kotlin</v>
      </c>
      <c r="H741" s="9" t="str">
        <f>IFERROR(__xludf.DUMMYFUNCTION("""COMPUTED_VALUE"""),"Python")</f>
        <v>Python</v>
      </c>
      <c r="I741" s="9" t="str">
        <f>IFERROR(__xludf.DUMMYFUNCTION("""COMPUTED_VALUE"""),"Bash/Shell/PowerShell")</f>
        <v>Bash/Shell/PowerShell</v>
      </c>
      <c r="J741" s="9" t="str">
        <f>IFERROR(__xludf.DUMMYFUNCTION("""COMPUTED_VALUE"""),"C#")</f>
        <v>C#</v>
      </c>
      <c r="K741" s="9" t="str">
        <f>IFERROR(__xludf.DUMMYFUNCTION("""COMPUTED_VALUE"""),"C++")</f>
        <v>C++</v>
      </c>
      <c r="L741" s="9" t="str">
        <f>IFERROR(__xludf.DUMMYFUNCTION("""COMPUTED_VALUE"""),"HTML/CSS")</f>
        <v>HTML/CSS</v>
      </c>
      <c r="M741" s="9" t="s">
        <v>22</v>
      </c>
    </row>
    <row r="742" ht="15.75" customHeight="1">
      <c r="A742" s="7"/>
      <c r="B742" s="7" t="str">
        <f>IFERROR(__xludf.DUMMYFUNCTION("""COMPUTED_VALUE"""),"HTML/CSS;JavaScript;PHP;Python;SQL")</f>
        <v>HTML/CSS;JavaScript;PHP;Python;SQL</v>
      </c>
      <c r="C742" s="9" t="str">
        <f>IFERROR(__xludf.DUMMYFUNCTION("""COMPUTED_VALUE"""),"Scala")</f>
        <v>Scala</v>
      </c>
      <c r="D742" s="9" t="str">
        <f>IFERROR(__xludf.DUMMYFUNCTION("""COMPUTED_VALUE"""),"Python")</f>
        <v>Python</v>
      </c>
      <c r="E742" s="9" t="str">
        <f>IFERROR(__xludf.DUMMYFUNCTION("""COMPUTED_VALUE"""),"SQL")</f>
        <v>SQL</v>
      </c>
      <c r="F742" s="9" t="str">
        <f>IFERROR(__xludf.DUMMYFUNCTION("""COMPUTED_VALUE"""),"JavaScript")</f>
        <v>JavaScript</v>
      </c>
      <c r="G742" s="9" t="str">
        <f>IFERROR(__xludf.DUMMYFUNCTION("""COMPUTED_VALUE"""),"Bash/Shell/PowerShell")</f>
        <v>Bash/Shell/PowerShell</v>
      </c>
      <c r="H742" s="9" t="str">
        <f>IFERROR(__xludf.DUMMYFUNCTION("""COMPUTED_VALUE"""),"R")</f>
        <v>R</v>
      </c>
      <c r="I742" s="9" t="str">
        <f>IFERROR(__xludf.DUMMYFUNCTION("""COMPUTED_VALUE"""),"C")</f>
        <v>C</v>
      </c>
      <c r="J742" s="9" t="str">
        <f>IFERROR(__xludf.DUMMYFUNCTION("""COMPUTED_VALUE"""),"Elixir")</f>
        <v>Elixir</v>
      </c>
      <c r="K742" s="9" t="str">
        <f>IFERROR(__xludf.DUMMYFUNCTION("""COMPUTED_VALUE"""),"C#")</f>
        <v>C#</v>
      </c>
      <c r="L742" s="9" t="str">
        <f>IFERROR(__xludf.DUMMYFUNCTION("""COMPUTED_VALUE"""),"JavaScript")</f>
        <v>JavaScript</v>
      </c>
      <c r="M742" s="9" t="s">
        <v>46</v>
      </c>
    </row>
    <row r="743" ht="15.75" customHeight="1">
      <c r="A743" s="7"/>
      <c r="B743" s="7" t="str">
        <f>IFERROR(__xludf.DUMMYFUNCTION("""COMPUTED_VALUE"""),"C#")</f>
        <v>C#</v>
      </c>
      <c r="C743" s="9" t="str">
        <f>IFERROR(__xludf.DUMMYFUNCTION("""COMPUTED_VALUE"""),"HTML/CSS")</f>
        <v>HTML/CSS</v>
      </c>
      <c r="D743" s="9" t="str">
        <f>IFERROR(__xludf.DUMMYFUNCTION("""COMPUTED_VALUE"""),"SQL")</f>
        <v>SQL</v>
      </c>
      <c r="E743" s="9" t="str">
        <f>IFERROR(__xludf.DUMMYFUNCTION("""COMPUTED_VALUE"""),"Bash/Shell/PowerShell")</f>
        <v>Bash/Shell/PowerShell</v>
      </c>
      <c r="F743" s="9" t="str">
        <f>IFERROR(__xludf.DUMMYFUNCTION("""COMPUTED_VALUE"""),"PHP")</f>
        <v>PHP</v>
      </c>
      <c r="G743" s="9" t="str">
        <f>IFERROR(__xludf.DUMMYFUNCTION("""COMPUTED_VALUE"""),"C")</f>
        <v>C</v>
      </c>
      <c r="H743" s="9" t="str">
        <f>IFERROR(__xludf.DUMMYFUNCTION("""COMPUTED_VALUE"""),"SQL")</f>
        <v>SQL</v>
      </c>
      <c r="I743" s="9" t="str">
        <f>IFERROR(__xludf.DUMMYFUNCTION("""COMPUTED_VALUE"""),"C++")</f>
        <v>C++</v>
      </c>
      <c r="J743" s="9" t="str">
        <f>IFERROR(__xludf.DUMMYFUNCTION("""COMPUTED_VALUE"""),"HTML/CSS")</f>
        <v>HTML/CSS</v>
      </c>
      <c r="K743" s="9" t="str">
        <f>IFERROR(__xludf.DUMMYFUNCTION("""COMPUTED_VALUE"""),"HTML/CSS")</f>
        <v>HTML/CSS</v>
      </c>
      <c r="L743" s="9" t="str">
        <f>IFERROR(__xludf.DUMMYFUNCTION("""COMPUTED_VALUE"""),"Ruby")</f>
        <v>Ruby</v>
      </c>
      <c r="M743" s="9" t="s">
        <v>24</v>
      </c>
    </row>
    <row r="744" ht="15.75" customHeight="1">
      <c r="A744" s="7"/>
      <c r="B744" s="7" t="str">
        <f>IFERROR(__xludf.DUMMYFUNCTION("""COMPUTED_VALUE"""),"C#;HTML/CSS;JavaScript;TypeScript")</f>
        <v>C#;HTML/CSS;JavaScript;TypeScript</v>
      </c>
      <c r="C744" s="9" t="str">
        <f>IFERROR(__xludf.DUMMYFUNCTION("""COMPUTED_VALUE"""),"Java")</f>
        <v>Java</v>
      </c>
      <c r="D744" s="9" t="str">
        <f>IFERROR(__xludf.DUMMYFUNCTION("""COMPUTED_VALUE"""),"TypeScript")</f>
        <v>TypeScript</v>
      </c>
      <c r="E744" s="9" t="str">
        <f>IFERROR(__xludf.DUMMYFUNCTION("""COMPUTED_VALUE"""),"Python")</f>
        <v>Python</v>
      </c>
      <c r="F744" s="9" t="str">
        <f>IFERROR(__xludf.DUMMYFUNCTION("""COMPUTED_VALUE"""),"Python")</f>
        <v>Python</v>
      </c>
      <c r="G744" s="9" t="str">
        <f>IFERROR(__xludf.DUMMYFUNCTION("""COMPUTED_VALUE"""),"C++")</f>
        <v>C++</v>
      </c>
      <c r="H744" s="9" t="str">
        <f>IFERROR(__xludf.DUMMYFUNCTION("""COMPUTED_VALUE"""),"Java")</f>
        <v>Java</v>
      </c>
      <c r="I744" s="9" t="str">
        <f>IFERROR(__xludf.DUMMYFUNCTION("""COMPUTED_VALUE"""),"C#")</f>
        <v>C#</v>
      </c>
      <c r="J744" s="9" t="str">
        <f>IFERROR(__xludf.DUMMYFUNCTION("""COMPUTED_VALUE"""),"JavaScript")</f>
        <v>JavaScript</v>
      </c>
      <c r="K744" s="9" t="str">
        <f>IFERROR(__xludf.DUMMYFUNCTION("""COMPUTED_VALUE"""),"JavaScript")</f>
        <v>JavaScript</v>
      </c>
      <c r="L744" s="9" t="str">
        <f>IFERROR(__xludf.DUMMYFUNCTION("""COMPUTED_VALUE"""),"SQL")</f>
        <v>SQL</v>
      </c>
      <c r="M744" s="9" t="s">
        <v>20</v>
      </c>
    </row>
    <row r="745" ht="15.75" customHeight="1">
      <c r="A745" s="7"/>
      <c r="B745" s="7" t="str">
        <f>IFERROR(__xludf.DUMMYFUNCTION("""COMPUTED_VALUE"""),"Bash/Shell/PowerShell;HTML/CSS;JavaScript;PHP;Other(s):")</f>
        <v>Bash/Shell/PowerShell;HTML/CSS;JavaScript;PHP;Other(s):</v>
      </c>
      <c r="C745" s="9" t="str">
        <f>IFERROR(__xludf.DUMMYFUNCTION("""COMPUTED_VALUE"""),"JavaScript")</f>
        <v>JavaScript</v>
      </c>
      <c r="D745" s="9" t="str">
        <f>IFERROR(__xludf.DUMMYFUNCTION("""COMPUTED_VALUE"""),"Bash/Shell/PowerShell")</f>
        <v>Bash/Shell/PowerShell</v>
      </c>
      <c r="E745" s="9" t="str">
        <f>IFERROR(__xludf.DUMMYFUNCTION("""COMPUTED_VALUE"""),"Bash/Shell/PowerShell")</f>
        <v>Bash/Shell/PowerShell</v>
      </c>
      <c r="F745" s="9" t="str">
        <f>IFERROR(__xludf.DUMMYFUNCTION("""COMPUTED_VALUE"""),"R")</f>
        <v>R</v>
      </c>
      <c r="G745" s="9" t="str">
        <f>IFERROR(__xludf.DUMMYFUNCTION("""COMPUTED_VALUE"""),"JavaScript")</f>
        <v>JavaScript</v>
      </c>
      <c r="H745" s="9" t="str">
        <f>IFERROR(__xludf.DUMMYFUNCTION("""COMPUTED_VALUE"""),"JavaScript")</f>
        <v>JavaScript</v>
      </c>
      <c r="I745" s="9" t="str">
        <f>IFERROR(__xludf.DUMMYFUNCTION("""COMPUTED_VALUE"""),"HTML/CSS")</f>
        <v>HTML/CSS</v>
      </c>
      <c r="J745" s="9" t="str">
        <f>IFERROR(__xludf.DUMMYFUNCTION("""COMPUTED_VALUE"""),"PHP")</f>
        <v>PHP</v>
      </c>
      <c r="K745" s="9" t="str">
        <f>IFERROR(__xludf.DUMMYFUNCTION("""COMPUTED_VALUE"""),"Swift")</f>
        <v>Swift</v>
      </c>
      <c r="L745" s="9" t="str">
        <f>IFERROR(__xludf.DUMMYFUNCTION("""COMPUTED_VALUE"""),"VBA")</f>
        <v>VBA</v>
      </c>
      <c r="M745" s="9" t="s">
        <v>21</v>
      </c>
    </row>
    <row r="746" ht="15.75" customHeight="1">
      <c r="A746" s="7"/>
      <c r="B746" s="7" t="str">
        <f>IFERROR(__xludf.DUMMYFUNCTION("""COMPUTED_VALUE"""),"Bash/Shell/PowerShell;C++;HTML/CSS;Java;JavaScript;Python;SQL")</f>
        <v>Bash/Shell/PowerShell;C++;HTML/CSS;Java;JavaScript;Python;SQL</v>
      </c>
      <c r="C746" s="9" t="str">
        <f>IFERROR(__xludf.DUMMYFUNCTION("""COMPUTED_VALUE"""),"Kotlin")</f>
        <v>Kotlin</v>
      </c>
      <c r="D746" s="9" t="str">
        <f>IFERROR(__xludf.DUMMYFUNCTION("""COMPUTED_VALUE"""),"C")</f>
        <v>C</v>
      </c>
      <c r="E746" s="9" t="str">
        <f>IFERROR(__xludf.DUMMYFUNCTION("""COMPUTED_VALUE"""),"HTML/CSS")</f>
        <v>HTML/CSS</v>
      </c>
      <c r="F746" s="9" t="str">
        <f>IFERROR(__xludf.DUMMYFUNCTION("""COMPUTED_VALUE"""),"SQL")</f>
        <v>SQL</v>
      </c>
      <c r="G746" s="9" t="str">
        <f>IFERROR(__xludf.DUMMYFUNCTION("""COMPUTED_VALUE"""),"PHP")</f>
        <v>PHP</v>
      </c>
      <c r="H746" s="9" t="str">
        <f>IFERROR(__xludf.DUMMYFUNCTION("""COMPUTED_VALUE"""),"Kotlin")</f>
        <v>Kotlin</v>
      </c>
      <c r="I746" s="9" t="str">
        <f>IFERROR(__xludf.DUMMYFUNCTION("""COMPUTED_VALUE"""),"Java")</f>
        <v>Java</v>
      </c>
      <c r="J746" s="9" t="str">
        <f>IFERROR(__xludf.DUMMYFUNCTION("""COMPUTED_VALUE"""),"SQL")</f>
        <v>SQL</v>
      </c>
      <c r="K746" s="9" t="str">
        <f>IFERROR(__xludf.DUMMYFUNCTION("""COMPUTED_VALUE"""),"C")</f>
        <v>C</v>
      </c>
      <c r="L746" s="9" t="str">
        <f>IFERROR(__xludf.DUMMYFUNCTION("""COMPUTED_VALUE"""),"HTML/CSS")</f>
        <v>HTML/CSS</v>
      </c>
      <c r="M746" s="9" t="s">
        <v>39</v>
      </c>
    </row>
    <row r="747" ht="15.75" customHeight="1">
      <c r="A747" s="7"/>
      <c r="B747" s="7" t="str">
        <f>IFERROR(__xludf.DUMMYFUNCTION("""COMPUTED_VALUE"""),"Bash/Shell/PowerShell;C;C++;HTML/CSS;Java;JavaScript;Kotlin;PHP;Python;SQL;Other(s):")</f>
        <v>Bash/Shell/PowerShell;C;C++;HTML/CSS;Java;JavaScript;Kotlin;PHP;Python;SQL;Other(s):</v>
      </c>
      <c r="C747" s="9" t="str">
        <f>IFERROR(__xludf.DUMMYFUNCTION("""COMPUTED_VALUE"""),"HTML/CSS")</f>
        <v>HTML/CSS</v>
      </c>
      <c r="D747" s="9" t="str">
        <f>IFERROR(__xludf.DUMMYFUNCTION("""COMPUTED_VALUE"""),"C++")</f>
        <v>C++</v>
      </c>
      <c r="E747" s="9" t="str">
        <f>IFERROR(__xludf.DUMMYFUNCTION("""COMPUTED_VALUE"""),"JavaScript")</f>
        <v>JavaScript</v>
      </c>
      <c r="F747" s="9" t="str">
        <f>IFERROR(__xludf.DUMMYFUNCTION("""COMPUTED_VALUE"""),"Bash/Shell/PowerShell")</f>
        <v>Bash/Shell/PowerShell</v>
      </c>
      <c r="G747" s="9" t="str">
        <f>IFERROR(__xludf.DUMMYFUNCTION("""COMPUTED_VALUE"""),"Python")</f>
        <v>Python</v>
      </c>
      <c r="H747" s="9" t="str">
        <f>IFERROR(__xludf.DUMMYFUNCTION("""COMPUTED_VALUE"""),"TypeScript")</f>
        <v>TypeScript</v>
      </c>
      <c r="I747" s="9" t="str">
        <f>IFERROR(__xludf.DUMMYFUNCTION("""COMPUTED_VALUE"""),"JavaScript")</f>
        <v>JavaScript</v>
      </c>
      <c r="J747" s="9" t="str">
        <f>IFERROR(__xludf.DUMMYFUNCTION("""COMPUTED_VALUE"""),"Assembly")</f>
        <v>Assembly</v>
      </c>
      <c r="K747" s="9" t="str">
        <f>IFERROR(__xludf.DUMMYFUNCTION("""COMPUTED_VALUE"""),"Python")</f>
        <v>Python</v>
      </c>
      <c r="L747" s="9" t="str">
        <f>IFERROR(__xludf.DUMMYFUNCTION("""COMPUTED_VALUE"""),"JavaScript")</f>
        <v>JavaScript</v>
      </c>
      <c r="M747" s="9" t="s">
        <v>24</v>
      </c>
    </row>
    <row r="748" ht="15.75" customHeight="1">
      <c r="A748" s="7"/>
      <c r="B748" s="7" t="str">
        <f>IFERROR(__xludf.DUMMYFUNCTION("""COMPUTED_VALUE"""),"C;SQL")</f>
        <v>C;SQL</v>
      </c>
      <c r="C748" s="9" t="str">
        <f>IFERROR(__xludf.DUMMYFUNCTION("""COMPUTED_VALUE"""),"JavaScript")</f>
        <v>JavaScript</v>
      </c>
      <c r="D748" s="9" t="str">
        <f>IFERROR(__xludf.DUMMYFUNCTION("""COMPUTED_VALUE"""),"C#")</f>
        <v>C#</v>
      </c>
      <c r="E748" s="9" t="str">
        <f>IFERROR(__xludf.DUMMYFUNCTION("""COMPUTED_VALUE"""),"PHP")</f>
        <v>PHP</v>
      </c>
      <c r="F748" s="9" t="str">
        <f>IFERROR(__xludf.DUMMYFUNCTION("""COMPUTED_VALUE"""),"C++")</f>
        <v>C++</v>
      </c>
      <c r="G748" s="9" t="str">
        <f>IFERROR(__xludf.DUMMYFUNCTION("""COMPUTED_VALUE"""),"HTML/CSS")</f>
        <v>HTML/CSS</v>
      </c>
      <c r="H748" s="9" t="str">
        <f>IFERROR(__xludf.DUMMYFUNCTION("""COMPUTED_VALUE"""),"C++")</f>
        <v>C++</v>
      </c>
      <c r="I748" s="9" t="str">
        <f>IFERROR(__xludf.DUMMYFUNCTION("""COMPUTED_VALUE"""),"Kotlin")</f>
        <v>Kotlin</v>
      </c>
      <c r="J748" s="9" t="str">
        <f>IFERROR(__xludf.DUMMYFUNCTION("""COMPUTED_VALUE"""),"Bash/Shell/PowerShell")</f>
        <v>Bash/Shell/PowerShell</v>
      </c>
      <c r="K748" s="9" t="str">
        <f>IFERROR(__xludf.DUMMYFUNCTION("""COMPUTED_VALUE"""),"HTML/CSS")</f>
        <v>HTML/CSS</v>
      </c>
      <c r="L748" s="9" t="str">
        <f>IFERROR(__xludf.DUMMYFUNCTION("""COMPUTED_VALUE"""),"HTML/CSS")</f>
        <v>HTML/CSS</v>
      </c>
      <c r="M748" s="9" t="s">
        <v>21</v>
      </c>
    </row>
    <row r="749" ht="15.75" customHeight="1">
      <c r="A749" s="7"/>
      <c r="B749" s="7" t="str">
        <f>IFERROR(__xludf.DUMMYFUNCTION("""COMPUTED_VALUE"""),"Java;Python")</f>
        <v>Java;Python</v>
      </c>
      <c r="C749" s="9" t="str">
        <f>IFERROR(__xludf.DUMMYFUNCTION("""COMPUTED_VALUE"""),"TypeScript")</f>
        <v>TypeScript</v>
      </c>
      <c r="D749" s="9" t="str">
        <f>IFERROR(__xludf.DUMMYFUNCTION("""COMPUTED_VALUE"""),"HTML/CSS")</f>
        <v>HTML/CSS</v>
      </c>
      <c r="E749" s="9" t="str">
        <f>IFERROR(__xludf.DUMMYFUNCTION("""COMPUTED_VALUE"""),"Python")</f>
        <v>Python</v>
      </c>
      <c r="F749" s="9" t="str">
        <f>IFERROR(__xludf.DUMMYFUNCTION("""COMPUTED_VALUE"""),"Python")</f>
        <v>Python</v>
      </c>
      <c r="G749" s="9" t="str">
        <f>IFERROR(__xludf.DUMMYFUNCTION("""COMPUTED_VALUE"""),"Java")</f>
        <v>Java</v>
      </c>
      <c r="H749" s="9" t="str">
        <f>IFERROR(__xludf.DUMMYFUNCTION("""COMPUTED_VALUE"""),"C#")</f>
        <v>C#</v>
      </c>
      <c r="I749" s="9" t="str">
        <f>IFERROR(__xludf.DUMMYFUNCTION("""COMPUTED_VALUE"""),"Python")</f>
        <v>Python</v>
      </c>
      <c r="J749" s="9" t="str">
        <f>IFERROR(__xludf.DUMMYFUNCTION("""COMPUTED_VALUE"""),"C")</f>
        <v>C</v>
      </c>
      <c r="K749" s="9" t="str">
        <f>IFERROR(__xludf.DUMMYFUNCTION("""COMPUTED_VALUE"""),"Java")</f>
        <v>Java</v>
      </c>
      <c r="L749" s="9" t="str">
        <f>IFERROR(__xludf.DUMMYFUNCTION("""COMPUTED_VALUE"""),"Java")</f>
        <v>Java</v>
      </c>
      <c r="M749" s="9" t="s">
        <v>33</v>
      </c>
    </row>
    <row r="750" ht="15.75" customHeight="1">
      <c r="A750" s="7"/>
      <c r="B750" s="7" t="str">
        <f>IFERROR(__xludf.DUMMYFUNCTION("""COMPUTED_VALUE"""),"Bash/Shell/PowerShell;Java;Python;Scala")</f>
        <v>Bash/Shell/PowerShell;Java;Python;Scala</v>
      </c>
      <c r="C750" s="9" t="str">
        <f>IFERROR(__xludf.DUMMYFUNCTION("""COMPUTED_VALUE"""),"Bash/Shell/PowerShell")</f>
        <v>Bash/Shell/PowerShell</v>
      </c>
      <c r="D750" s="9" t="str">
        <f>IFERROR(__xludf.DUMMYFUNCTION("""COMPUTED_VALUE"""),"Java")</f>
        <v>Java</v>
      </c>
      <c r="E750" s="9" t="str">
        <f>IFERROR(__xludf.DUMMYFUNCTION("""COMPUTED_VALUE"""),"SQL")</f>
        <v>SQL</v>
      </c>
      <c r="F750" s="9" t="str">
        <f>IFERROR(__xludf.DUMMYFUNCTION("""COMPUTED_VALUE"""),"Other(s):")</f>
        <v>Other(s):</v>
      </c>
      <c r="G750" s="9" t="str">
        <f>IFERROR(__xludf.DUMMYFUNCTION("""COMPUTED_VALUE"""),"JavaScript")</f>
        <v>JavaScript</v>
      </c>
      <c r="H750" s="9" t="str">
        <f>IFERROR(__xludf.DUMMYFUNCTION("""COMPUTED_VALUE"""),"VBA")</f>
        <v>VBA</v>
      </c>
      <c r="I750" s="9" t="str">
        <f>IFERROR(__xludf.DUMMYFUNCTION("""COMPUTED_VALUE"""),"SQL")</f>
        <v>SQL</v>
      </c>
      <c r="J750" s="9" t="str">
        <f>IFERROR(__xludf.DUMMYFUNCTION("""COMPUTED_VALUE"""),"C++")</f>
        <v>C++</v>
      </c>
      <c r="K750" s="9" t="str">
        <f>IFERROR(__xludf.DUMMYFUNCTION("""COMPUTED_VALUE"""),"JavaScript")</f>
        <v>JavaScript</v>
      </c>
      <c r="L750" s="9" t="str">
        <f>IFERROR(__xludf.DUMMYFUNCTION("""COMPUTED_VALUE"""),"JavaScript")</f>
        <v>JavaScript</v>
      </c>
      <c r="M750" s="9" t="s">
        <v>30</v>
      </c>
    </row>
    <row r="751" ht="15.75" customHeight="1">
      <c r="A751" s="7"/>
      <c r="B751" s="7" t="str">
        <f>IFERROR(__xludf.DUMMYFUNCTION("""COMPUTED_VALUE"""),"C#;JavaScript;SQL;TypeScript")</f>
        <v>C#;JavaScript;SQL;TypeScript</v>
      </c>
      <c r="C751" s="9" t="str">
        <f>IFERROR(__xludf.DUMMYFUNCTION("""COMPUTED_VALUE"""),"HTML/CSS")</f>
        <v>HTML/CSS</v>
      </c>
      <c r="D751" s="9" t="str">
        <f>IFERROR(__xludf.DUMMYFUNCTION("""COMPUTED_VALUE"""),"JavaScript")</f>
        <v>JavaScript</v>
      </c>
      <c r="E751" s="9" t="str">
        <f>IFERROR(__xludf.DUMMYFUNCTION("""COMPUTED_VALUE"""),"C++")</f>
        <v>C++</v>
      </c>
      <c r="F751" s="9" t="str">
        <f>IFERROR(__xludf.DUMMYFUNCTION("""COMPUTED_VALUE"""),"C#")</f>
        <v>C#</v>
      </c>
      <c r="G751" s="9" t="str">
        <f>IFERROR(__xludf.DUMMYFUNCTION("""COMPUTED_VALUE"""),"Python")</f>
        <v>Python</v>
      </c>
      <c r="H751" s="9" t="str">
        <f>IFERROR(__xludf.DUMMYFUNCTION("""COMPUTED_VALUE"""),"Bash/Shell/PowerShell")</f>
        <v>Bash/Shell/PowerShell</v>
      </c>
      <c r="I751" s="9" t="str">
        <f>IFERROR(__xludf.DUMMYFUNCTION("""COMPUTED_VALUE"""),"HTML/CSS")</f>
        <v>HTML/CSS</v>
      </c>
      <c r="J751" s="9" t="str">
        <f>IFERROR(__xludf.DUMMYFUNCTION("""COMPUTED_VALUE"""),"HTML/CSS")</f>
        <v>HTML/CSS</v>
      </c>
      <c r="K751" s="9" t="str">
        <f>IFERROR(__xludf.DUMMYFUNCTION("""COMPUTED_VALUE"""),"SQL")</f>
        <v>SQL</v>
      </c>
      <c r="L751" s="9" t="str">
        <f>IFERROR(__xludf.DUMMYFUNCTION("""COMPUTED_VALUE"""),"Python")</f>
        <v>Python</v>
      </c>
      <c r="M751" s="9" t="s">
        <v>24</v>
      </c>
    </row>
    <row r="752" ht="15.75" customHeight="1">
      <c r="A752" s="7"/>
      <c r="B752" s="7" t="str">
        <f>IFERROR(__xludf.DUMMYFUNCTION("""COMPUTED_VALUE"""),"C#;HTML/CSS;Java;JavaScript;PHP;Python;SQL;TypeScript;VBA")</f>
        <v>C#;HTML/CSS;Java;JavaScript;PHP;Python;SQL;TypeScript;VBA</v>
      </c>
      <c r="C752" s="9" t="str">
        <f>IFERROR(__xludf.DUMMYFUNCTION("""COMPUTED_VALUE"""),"JavaScript")</f>
        <v>JavaScript</v>
      </c>
      <c r="D752" s="9" t="str">
        <f>IFERROR(__xludf.DUMMYFUNCTION("""COMPUTED_VALUE"""),"PHP")</f>
        <v>PHP</v>
      </c>
      <c r="E752" s="9" t="str">
        <f>IFERROR(__xludf.DUMMYFUNCTION("""COMPUTED_VALUE"""),"C#")</f>
        <v>C#</v>
      </c>
      <c r="F752" s="9" t="str">
        <f>IFERROR(__xludf.DUMMYFUNCTION("""COMPUTED_VALUE"""),"HTML/CSS")</f>
        <v>HTML/CSS</v>
      </c>
      <c r="G752" s="9" t="str">
        <f>IFERROR(__xludf.DUMMYFUNCTION("""COMPUTED_VALUE"""),"Assembly")</f>
        <v>Assembly</v>
      </c>
      <c r="H752" s="9" t="str">
        <f>IFERROR(__xludf.DUMMYFUNCTION("""COMPUTED_VALUE"""),"Python")</f>
        <v>Python</v>
      </c>
      <c r="I752" s="9" t="str">
        <f>IFERROR(__xludf.DUMMYFUNCTION("""COMPUTED_VALUE"""),"JavaScript")</f>
        <v>JavaScript</v>
      </c>
      <c r="J752" s="9" t="str">
        <f>IFERROR(__xludf.DUMMYFUNCTION("""COMPUTED_VALUE"""),"Java")</f>
        <v>Java</v>
      </c>
      <c r="K752" s="9" t="str">
        <f>IFERROR(__xludf.DUMMYFUNCTION("""COMPUTED_VALUE"""),"Dart")</f>
        <v>Dart</v>
      </c>
      <c r="L752" s="9" t="str">
        <f>IFERROR(__xludf.DUMMYFUNCTION("""COMPUTED_VALUE"""),"R")</f>
        <v>R</v>
      </c>
      <c r="M752" s="9" t="s">
        <v>21</v>
      </c>
    </row>
    <row r="753" ht="15.75" customHeight="1">
      <c r="A753" s="7"/>
      <c r="B753" s="7" t="str">
        <f>IFERROR(__xludf.DUMMYFUNCTION("""COMPUTED_VALUE"""),"C#;HTML/CSS;JavaScript;SQL")</f>
        <v>C#;HTML/CSS;JavaScript;SQL</v>
      </c>
      <c r="C753" s="9" t="str">
        <f>IFERROR(__xludf.DUMMYFUNCTION("""COMPUTED_VALUE"""),"Python")</f>
        <v>Python</v>
      </c>
      <c r="D753" s="9" t="str">
        <f>IFERROR(__xludf.DUMMYFUNCTION("""COMPUTED_VALUE"""),"Python")</f>
        <v>Python</v>
      </c>
      <c r="E753" s="9" t="str">
        <f>IFERROR(__xludf.DUMMYFUNCTION("""COMPUTED_VALUE"""),"HTML/CSS")</f>
        <v>HTML/CSS</v>
      </c>
      <c r="F753" s="9" t="str">
        <f>IFERROR(__xludf.DUMMYFUNCTION("""COMPUTED_VALUE"""),"Java")</f>
        <v>Java</v>
      </c>
      <c r="G753" s="9" t="str">
        <f>IFERROR(__xludf.DUMMYFUNCTION("""COMPUTED_VALUE"""),"Bash/Shell/PowerShell")</f>
        <v>Bash/Shell/PowerShell</v>
      </c>
      <c r="H753" s="9" t="str">
        <f>IFERROR(__xludf.DUMMYFUNCTION("""COMPUTED_VALUE"""),"SQL")</f>
        <v>SQL</v>
      </c>
      <c r="I753" s="9" t="str">
        <f>IFERROR(__xludf.DUMMYFUNCTION("""COMPUTED_VALUE"""),"PHP")</f>
        <v>PHP</v>
      </c>
      <c r="J753" s="9" t="str">
        <f>IFERROR(__xludf.DUMMYFUNCTION("""COMPUTED_VALUE"""),"JavaScript")</f>
        <v>JavaScript</v>
      </c>
      <c r="K753" s="9" t="str">
        <f>IFERROR(__xludf.DUMMYFUNCTION("""COMPUTED_VALUE"""),"HTML/CSS")</f>
        <v>HTML/CSS</v>
      </c>
      <c r="L753" s="9" t="str">
        <f>IFERROR(__xludf.DUMMYFUNCTION("""COMPUTED_VALUE"""),"C#")</f>
        <v>C#</v>
      </c>
      <c r="M753" s="9" t="s">
        <v>22</v>
      </c>
    </row>
    <row r="754" ht="15.75" customHeight="1">
      <c r="A754" s="7"/>
      <c r="B754" s="7" t="str">
        <f>IFERROR(__xludf.DUMMYFUNCTION("""COMPUTED_VALUE"""),"Python;Rust;TypeScript")</f>
        <v>Python;Rust;TypeScript</v>
      </c>
      <c r="C754" s="9" t="str">
        <f>IFERROR(__xludf.DUMMYFUNCTION("""COMPUTED_VALUE"""),"SQL")</f>
        <v>SQL</v>
      </c>
      <c r="D754" s="9" t="str">
        <f>IFERROR(__xludf.DUMMYFUNCTION("""COMPUTED_VALUE"""),"SQL")</f>
        <v>SQL</v>
      </c>
      <c r="E754" s="9" t="str">
        <f>IFERROR(__xludf.DUMMYFUNCTION("""COMPUTED_VALUE"""),"JavaScript")</f>
        <v>JavaScript</v>
      </c>
      <c r="F754" s="9" t="str">
        <f>IFERROR(__xludf.DUMMYFUNCTION("""COMPUTED_VALUE"""),"JavaScript")</f>
        <v>JavaScript</v>
      </c>
      <c r="G754" s="9" t="str">
        <f>IFERROR(__xludf.DUMMYFUNCTION("""COMPUTED_VALUE"""),"C")</f>
        <v>C</v>
      </c>
      <c r="H754" s="9" t="str">
        <f>IFERROR(__xludf.DUMMYFUNCTION("""COMPUTED_VALUE"""),"Go")</f>
        <v>Go</v>
      </c>
      <c r="I754" s="9" t="str">
        <f>IFERROR(__xludf.DUMMYFUNCTION("""COMPUTED_VALUE"""),"Python")</f>
        <v>Python</v>
      </c>
      <c r="J754" s="9" t="str">
        <f>IFERROR(__xludf.DUMMYFUNCTION("""COMPUTED_VALUE"""),"Kotlin")</f>
        <v>Kotlin</v>
      </c>
      <c r="K754" s="9" t="str">
        <f>IFERROR(__xludf.DUMMYFUNCTION("""COMPUTED_VALUE"""),"Java")</f>
        <v>Java</v>
      </c>
      <c r="L754" s="9" t="str">
        <f>IFERROR(__xludf.DUMMYFUNCTION("""COMPUTED_VALUE"""),"HTML/CSS")</f>
        <v>HTML/CSS</v>
      </c>
      <c r="M754" s="9" t="s">
        <v>27</v>
      </c>
    </row>
    <row r="755" ht="15.75" customHeight="1">
      <c r="A755" s="7"/>
      <c r="B755" s="7" t="str">
        <f>IFERROR(__xludf.DUMMYFUNCTION("""COMPUTED_VALUE"""),"C#;HTML/CSS;JavaScript;SQL")</f>
        <v>C#;HTML/CSS;JavaScript;SQL</v>
      </c>
      <c r="C755" s="9" t="str">
        <f>IFERROR(__xludf.DUMMYFUNCTION("""COMPUTED_VALUE"""),"Bash/Shell/PowerShell")</f>
        <v>Bash/Shell/PowerShell</v>
      </c>
      <c r="D755" s="9" t="str">
        <f>IFERROR(__xludf.DUMMYFUNCTION("""COMPUTED_VALUE"""),"Bash/Shell/PowerShell")</f>
        <v>Bash/Shell/PowerShell</v>
      </c>
      <c r="E755" s="9" t="str">
        <f>IFERROR(__xludf.DUMMYFUNCTION("""COMPUTED_VALUE"""),"Python")</f>
        <v>Python</v>
      </c>
      <c r="F755" s="9" t="str">
        <f>IFERROR(__xludf.DUMMYFUNCTION("""COMPUTED_VALUE"""),"PHP")</f>
        <v>PHP</v>
      </c>
      <c r="G755" s="9" t="str">
        <f>IFERROR(__xludf.DUMMYFUNCTION("""COMPUTED_VALUE"""),"C++")</f>
        <v>C++</v>
      </c>
      <c r="H755" s="9" t="str">
        <f>IFERROR(__xludf.DUMMYFUNCTION("""COMPUTED_VALUE"""),"HTML/CSS")</f>
        <v>HTML/CSS</v>
      </c>
      <c r="I755" s="9" t="str">
        <f>IFERROR(__xludf.DUMMYFUNCTION("""COMPUTED_VALUE"""),"SQL")</f>
        <v>SQL</v>
      </c>
      <c r="J755" s="9" t="str">
        <f>IFERROR(__xludf.DUMMYFUNCTION("""COMPUTED_VALUE"""),"PHP")</f>
        <v>PHP</v>
      </c>
      <c r="K755" s="9" t="str">
        <f>IFERROR(__xludf.DUMMYFUNCTION("""COMPUTED_VALUE"""),"JavaScript")</f>
        <v>JavaScript</v>
      </c>
      <c r="L755" s="9" t="str">
        <f>IFERROR(__xludf.DUMMYFUNCTION("""COMPUTED_VALUE"""),"JavaScript")</f>
        <v>JavaScript</v>
      </c>
      <c r="M755" s="9" t="s">
        <v>30</v>
      </c>
    </row>
    <row r="756" ht="15.75" customHeight="1">
      <c r="A756" s="7"/>
      <c r="B756" s="7" t="str">
        <f>IFERROR(__xludf.DUMMYFUNCTION("""COMPUTED_VALUE"""),"Java;JavaScript;Ruby")</f>
        <v>Java;JavaScript;Ruby</v>
      </c>
      <c r="C756" s="9" t="str">
        <f>IFERROR(__xludf.DUMMYFUNCTION("""COMPUTED_VALUE"""),"C#")</f>
        <v>C#</v>
      </c>
      <c r="D756" s="9" t="str">
        <f>IFERROR(__xludf.DUMMYFUNCTION("""COMPUTED_VALUE"""),"C")</f>
        <v>C</v>
      </c>
      <c r="E756" s="9" t="str">
        <f>IFERROR(__xludf.DUMMYFUNCTION("""COMPUTED_VALUE"""),"SQL")</f>
        <v>SQL</v>
      </c>
      <c r="F756" s="9" t="str">
        <f>IFERROR(__xludf.DUMMYFUNCTION("""COMPUTED_VALUE"""),"SQL")</f>
        <v>SQL</v>
      </c>
      <c r="G756" s="9" t="str">
        <f>IFERROR(__xludf.DUMMYFUNCTION("""COMPUTED_VALUE"""),"C#")</f>
        <v>C#</v>
      </c>
      <c r="H756" s="9" t="str">
        <f>IFERROR(__xludf.DUMMYFUNCTION("""COMPUTED_VALUE"""),"JavaScript")</f>
        <v>JavaScript</v>
      </c>
      <c r="I756" s="9" t="str">
        <f>IFERROR(__xludf.DUMMYFUNCTION("""COMPUTED_VALUE"""),"C++")</f>
        <v>C++</v>
      </c>
      <c r="J756" s="9" t="str">
        <f>IFERROR(__xludf.DUMMYFUNCTION("""COMPUTED_VALUE"""),"Python")</f>
        <v>Python</v>
      </c>
      <c r="K756" s="9" t="str">
        <f>IFERROR(__xludf.DUMMYFUNCTION("""COMPUTED_VALUE"""),"Kotlin")</f>
        <v>Kotlin</v>
      </c>
      <c r="L756" s="9" t="str">
        <f>IFERROR(__xludf.DUMMYFUNCTION("""COMPUTED_VALUE"""),"PHP")</f>
        <v>PHP</v>
      </c>
      <c r="M756" s="9" t="s">
        <v>26</v>
      </c>
    </row>
    <row r="757" ht="15.75" customHeight="1">
      <c r="A757" s="7"/>
      <c r="B757" s="7" t="str">
        <f>IFERROR(__xludf.DUMMYFUNCTION("""COMPUTED_VALUE"""),"HTML/CSS;JavaScript;PHP")</f>
        <v>HTML/CSS;JavaScript;PHP</v>
      </c>
      <c r="C757" s="9" t="str">
        <f>IFERROR(__xludf.DUMMYFUNCTION("""COMPUTED_VALUE"""),"HTML/CSS")</f>
        <v>HTML/CSS</v>
      </c>
      <c r="D757" s="9" t="str">
        <f>IFERROR(__xludf.DUMMYFUNCTION("""COMPUTED_VALUE"""),"HTML/CSS")</f>
        <v>HTML/CSS</v>
      </c>
      <c r="E757" s="9" t="str">
        <f>IFERROR(__xludf.DUMMYFUNCTION("""COMPUTED_VALUE"""),"TypeScript")</f>
        <v>TypeScript</v>
      </c>
      <c r="F757" s="9" t="str">
        <f>IFERROR(__xludf.DUMMYFUNCTION("""COMPUTED_VALUE"""),"C#")</f>
        <v>C#</v>
      </c>
      <c r="G757" s="9" t="str">
        <f>IFERROR(__xludf.DUMMYFUNCTION("""COMPUTED_VALUE"""),"HTML/CSS")</f>
        <v>HTML/CSS</v>
      </c>
      <c r="H757" s="9" t="str">
        <f>IFERROR(__xludf.DUMMYFUNCTION("""COMPUTED_VALUE"""),"PHP")</f>
        <v>PHP</v>
      </c>
      <c r="I757" s="9" t="str">
        <f>IFERROR(__xludf.DUMMYFUNCTION("""COMPUTED_VALUE"""),"Python")</f>
        <v>Python</v>
      </c>
      <c r="J757" s="9" t="str">
        <f>IFERROR(__xludf.DUMMYFUNCTION("""COMPUTED_VALUE"""),"SQL")</f>
        <v>SQL</v>
      </c>
      <c r="K757" s="9" t="str">
        <f>IFERROR(__xludf.DUMMYFUNCTION("""COMPUTED_VALUE"""),"Swift")</f>
        <v>Swift</v>
      </c>
      <c r="L757" s="9" t="str">
        <f>IFERROR(__xludf.DUMMYFUNCTION("""COMPUTED_VALUE"""),"SQL")</f>
        <v>SQL</v>
      </c>
      <c r="M757" s="9" t="s">
        <v>24</v>
      </c>
    </row>
    <row r="758" ht="15.75" customHeight="1">
      <c r="A758" s="7"/>
      <c r="B758" s="7" t="str">
        <f>IFERROR(__xludf.DUMMYFUNCTION("""COMPUTED_VALUE"""),"HTML/CSS;JavaScript;PHP;SQL")</f>
        <v>HTML/CSS;JavaScript;PHP;SQL</v>
      </c>
      <c r="C758" s="9" t="str">
        <f>IFERROR(__xludf.DUMMYFUNCTION("""COMPUTED_VALUE"""),"Java")</f>
        <v>Java</v>
      </c>
      <c r="D758" s="9" t="str">
        <f>IFERROR(__xludf.DUMMYFUNCTION("""COMPUTED_VALUE"""),"Java")</f>
        <v>Java</v>
      </c>
      <c r="E758" s="9" t="str">
        <f>IFERROR(__xludf.DUMMYFUNCTION("""COMPUTED_VALUE"""),"Other(s):")</f>
        <v>Other(s):</v>
      </c>
      <c r="F758" s="9" t="str">
        <f>IFERROR(__xludf.DUMMYFUNCTION("""COMPUTED_VALUE"""),"HTML/CSS")</f>
        <v>HTML/CSS</v>
      </c>
      <c r="G758" s="9" t="str">
        <f>IFERROR(__xludf.DUMMYFUNCTION("""COMPUTED_VALUE"""),"JavaScript")</f>
        <v>JavaScript</v>
      </c>
      <c r="H758" s="9" t="str">
        <f>IFERROR(__xludf.DUMMYFUNCTION("""COMPUTED_VALUE"""),"Bash/Shell/PowerShell")</f>
        <v>Bash/Shell/PowerShell</v>
      </c>
      <c r="I758" s="9" t="str">
        <f>IFERROR(__xludf.DUMMYFUNCTION("""COMPUTED_VALUE"""),"HTML/CSS")</f>
        <v>HTML/CSS</v>
      </c>
      <c r="J758" s="9" t="str">
        <f>IFERROR(__xludf.DUMMYFUNCTION("""COMPUTED_VALUE"""),"HTML/CSS")</f>
        <v>HTML/CSS</v>
      </c>
      <c r="K758" s="9" t="str">
        <f>IFERROR(__xludf.DUMMYFUNCTION("""COMPUTED_VALUE"""),"Assembly")</f>
        <v>Assembly</v>
      </c>
      <c r="L758" s="9" t="str">
        <f>IFERROR(__xludf.DUMMYFUNCTION("""COMPUTED_VALUE"""),"TypeScript")</f>
        <v>TypeScript</v>
      </c>
      <c r="M758" s="9" t="s">
        <v>20</v>
      </c>
    </row>
    <row r="759" ht="15.75" customHeight="1">
      <c r="A759" s="7"/>
      <c r="B759" s="7" t="str">
        <f>IFERROR(__xludf.DUMMYFUNCTION("""COMPUTED_VALUE"""),"Bash/Shell/PowerShell;C#;Go;HTML/CSS;JavaScript;Python;SQL")</f>
        <v>Bash/Shell/PowerShell;C#;Go;HTML/CSS;JavaScript;Python;SQL</v>
      </c>
      <c r="C759" s="9" t="str">
        <f>IFERROR(__xludf.DUMMYFUNCTION("""COMPUTED_VALUE"""),"JavaScript")</f>
        <v>JavaScript</v>
      </c>
      <c r="D759" s="9" t="str">
        <f>IFERROR(__xludf.DUMMYFUNCTION("""COMPUTED_VALUE"""),"JavaScript")</f>
        <v>JavaScript</v>
      </c>
      <c r="E759" s="9" t="str">
        <f>IFERROR(__xludf.DUMMYFUNCTION("""COMPUTED_VALUE"""),"HTML/CSS")</f>
        <v>HTML/CSS</v>
      </c>
      <c r="F759" s="9" t="str">
        <f>IFERROR(__xludf.DUMMYFUNCTION("""COMPUTED_VALUE"""),"SQL")</f>
        <v>SQL</v>
      </c>
      <c r="G759" s="9" t="str">
        <f>IFERROR(__xludf.DUMMYFUNCTION("""COMPUTED_VALUE"""),"PHP")</f>
        <v>PHP</v>
      </c>
      <c r="H759" s="9" t="str">
        <f>IFERROR(__xludf.DUMMYFUNCTION("""COMPUTED_VALUE"""),"C")</f>
        <v>C</v>
      </c>
      <c r="I759" s="9" t="str">
        <f>IFERROR(__xludf.DUMMYFUNCTION("""COMPUTED_VALUE"""),"Java")</f>
        <v>Java</v>
      </c>
      <c r="J759" s="9" t="str">
        <f>IFERROR(__xludf.DUMMYFUNCTION("""COMPUTED_VALUE"""),"JavaScript")</f>
        <v>JavaScript</v>
      </c>
      <c r="K759" s="9" t="str">
        <f>IFERROR(__xludf.DUMMYFUNCTION("""COMPUTED_VALUE"""),"HTML/CSS")</f>
        <v>HTML/CSS</v>
      </c>
      <c r="L759" s="9" t="str">
        <f>IFERROR(__xludf.DUMMYFUNCTION("""COMPUTED_VALUE"""),"Bash/Shell/PowerShell")</f>
        <v>Bash/Shell/PowerShell</v>
      </c>
      <c r="M759" s="9" t="s">
        <v>21</v>
      </c>
    </row>
    <row r="760" ht="15.75" customHeight="1">
      <c r="A760" s="7"/>
      <c r="B760" s="7" t="str">
        <f>IFERROR(__xludf.DUMMYFUNCTION("""COMPUTED_VALUE"""),"Bash/Shell/PowerShell;C++;Dart;Go;HTML/CSS;Java;JavaScript;PHP;Python;R;Ruby;SQL;TypeScript")</f>
        <v>Bash/Shell/PowerShell;C++;Dart;Go;HTML/CSS;Java;JavaScript;PHP;Python;R;Ruby;SQL;TypeScript</v>
      </c>
      <c r="C760" s="9" t="str">
        <f>IFERROR(__xludf.DUMMYFUNCTION("""COMPUTED_VALUE"""),"Python")</f>
        <v>Python</v>
      </c>
      <c r="D760" s="9" t="str">
        <f>IFERROR(__xludf.DUMMYFUNCTION("""COMPUTED_VALUE"""),"PHP")</f>
        <v>PHP</v>
      </c>
      <c r="E760" s="9" t="str">
        <f>IFERROR(__xludf.DUMMYFUNCTION("""COMPUTED_VALUE"""),"Java")</f>
        <v>Java</v>
      </c>
      <c r="F760" s="9" t="str">
        <f>IFERROR(__xludf.DUMMYFUNCTION("""COMPUTED_VALUE"""),"Bash/Shell/PowerShell")</f>
        <v>Bash/Shell/PowerShell</v>
      </c>
      <c r="G760" s="9" t="str">
        <f>IFERROR(__xludf.DUMMYFUNCTION("""COMPUTED_VALUE"""),"SQL")</f>
        <v>SQL</v>
      </c>
      <c r="H760" s="9" t="str">
        <f>IFERROR(__xludf.DUMMYFUNCTION("""COMPUTED_VALUE"""),"C++")</f>
        <v>C++</v>
      </c>
      <c r="I760" s="9" t="str">
        <f>IFERROR(__xludf.DUMMYFUNCTION("""COMPUTED_VALUE"""),"JavaScript")</f>
        <v>JavaScript</v>
      </c>
      <c r="J760" s="9" t="str">
        <f>IFERROR(__xludf.DUMMYFUNCTION("""COMPUTED_VALUE"""),"Python")</f>
        <v>Python</v>
      </c>
      <c r="K760" s="9" t="str">
        <f>IFERROR(__xludf.DUMMYFUNCTION("""COMPUTED_VALUE"""),"JavaScript")</f>
        <v>JavaScript</v>
      </c>
      <c r="L760" s="9" t="str">
        <f>IFERROR(__xludf.DUMMYFUNCTION("""COMPUTED_VALUE"""),"C++")</f>
        <v>C++</v>
      </c>
      <c r="M760" s="9" t="s">
        <v>22</v>
      </c>
    </row>
    <row r="761" ht="15.75" customHeight="1">
      <c r="A761" s="7"/>
      <c r="B761" s="7" t="str">
        <f>IFERROR(__xludf.DUMMYFUNCTION("""COMPUTED_VALUE"""),"Go;HTML/CSS;JavaScript;Python;Ruby;SQL")</f>
        <v>Go;HTML/CSS;JavaScript;Python;Ruby;SQL</v>
      </c>
      <c r="C761" s="9" t="str">
        <f>IFERROR(__xludf.DUMMYFUNCTION("""COMPUTED_VALUE"""),"SQL")</f>
        <v>SQL</v>
      </c>
      <c r="D761" s="9" t="str">
        <f>IFERROR(__xludf.DUMMYFUNCTION("""COMPUTED_VALUE"""),"Python")</f>
        <v>Python</v>
      </c>
      <c r="E761" s="9" t="str">
        <f>IFERROR(__xludf.DUMMYFUNCTION("""COMPUTED_VALUE"""),"JavaScript")</f>
        <v>JavaScript</v>
      </c>
      <c r="F761" s="9" t="str">
        <f>IFERROR(__xludf.DUMMYFUNCTION("""COMPUTED_VALUE"""),"C")</f>
        <v>C</v>
      </c>
      <c r="G761" s="9" t="str">
        <f>IFERROR(__xludf.DUMMYFUNCTION("""COMPUTED_VALUE"""),"HTML/CSS")</f>
        <v>HTML/CSS</v>
      </c>
      <c r="H761" s="9" t="str">
        <f>IFERROR(__xludf.DUMMYFUNCTION("""COMPUTED_VALUE"""),"C#")</f>
        <v>C#</v>
      </c>
      <c r="I761" s="9" t="str">
        <f>IFERROR(__xludf.DUMMYFUNCTION("""COMPUTED_VALUE"""),"Ruby")</f>
        <v>Ruby</v>
      </c>
      <c r="J761" s="9" t="str">
        <f>IFERROR(__xludf.DUMMYFUNCTION("""COMPUTED_VALUE"""),"Ruby")</f>
        <v>Ruby</v>
      </c>
      <c r="K761" s="9" t="str">
        <f>IFERROR(__xludf.DUMMYFUNCTION("""COMPUTED_VALUE"""),"Ruby")</f>
        <v>Ruby</v>
      </c>
      <c r="L761" s="9" t="str">
        <f>IFERROR(__xludf.DUMMYFUNCTION("""COMPUTED_VALUE"""),"C#")</f>
        <v>C#</v>
      </c>
      <c r="M761" s="9" t="s">
        <v>27</v>
      </c>
    </row>
    <row r="762" ht="15.75" customHeight="1">
      <c r="A762" s="7"/>
      <c r="B762" s="7" t="str">
        <f>IFERROR(__xludf.DUMMYFUNCTION("""COMPUTED_VALUE"""),"Bash/Shell/PowerShell;Go;Java;SQL")</f>
        <v>Bash/Shell/PowerShell;Go;Java;SQL</v>
      </c>
      <c r="C762" s="9" t="str">
        <f>IFERROR(__xludf.DUMMYFUNCTION("""COMPUTED_VALUE"""),"Bash/Shell/PowerShell")</f>
        <v>Bash/Shell/PowerShell</v>
      </c>
      <c r="D762" s="9" t="str">
        <f>IFERROR(__xludf.DUMMYFUNCTION("""COMPUTED_VALUE"""),"SQL")</f>
        <v>SQL</v>
      </c>
      <c r="E762" s="9" t="str">
        <f>IFERROR(__xludf.DUMMYFUNCTION("""COMPUTED_VALUE"""),"Python")</f>
        <v>Python</v>
      </c>
      <c r="F762" s="9" t="str">
        <f>IFERROR(__xludf.DUMMYFUNCTION("""COMPUTED_VALUE"""),"Go")</f>
        <v>Go</v>
      </c>
      <c r="G762" s="9" t="str">
        <f>IFERROR(__xludf.DUMMYFUNCTION("""COMPUTED_VALUE"""),"JavaScript")</f>
        <v>JavaScript</v>
      </c>
      <c r="H762" s="9" t="str">
        <f>IFERROR(__xludf.DUMMYFUNCTION("""COMPUTED_VALUE"""),"Dart")</f>
        <v>Dart</v>
      </c>
      <c r="I762" s="9" t="str">
        <f>IFERROR(__xludf.DUMMYFUNCTION("""COMPUTED_VALUE"""),"SQL")</f>
        <v>SQL</v>
      </c>
      <c r="J762" s="9" t="str">
        <f>IFERROR(__xludf.DUMMYFUNCTION("""COMPUTED_VALUE"""),"SQL")</f>
        <v>SQL</v>
      </c>
      <c r="K762" s="9" t="str">
        <f>IFERROR(__xludf.DUMMYFUNCTION("""COMPUTED_VALUE"""),"HTML/CSS")</f>
        <v>HTML/CSS</v>
      </c>
      <c r="L762" s="9" t="str">
        <f>IFERROR(__xludf.DUMMYFUNCTION("""COMPUTED_VALUE"""),"Python")</f>
        <v>Python</v>
      </c>
      <c r="M762" s="9" t="s">
        <v>30</v>
      </c>
    </row>
    <row r="763" ht="15.75" customHeight="1">
      <c r="A763" s="7"/>
      <c r="B763" s="7" t="str">
        <f>IFERROR(__xludf.DUMMYFUNCTION("""COMPUTED_VALUE"""),"C;C++;C#;TypeScript")</f>
        <v>C;C++;C#;TypeScript</v>
      </c>
      <c r="C763" s="9" t="str">
        <f>IFERROR(__xludf.DUMMYFUNCTION("""COMPUTED_VALUE"""),"C++")</f>
        <v>C++</v>
      </c>
      <c r="D763" s="9" t="str">
        <f>IFERROR(__xludf.DUMMYFUNCTION("""COMPUTED_VALUE"""),"C#")</f>
        <v>C#</v>
      </c>
      <c r="E763" s="9" t="str">
        <f>IFERROR(__xludf.DUMMYFUNCTION("""COMPUTED_VALUE"""),"SQL")</f>
        <v>SQL</v>
      </c>
      <c r="F763" s="9" t="str">
        <f>IFERROR(__xludf.DUMMYFUNCTION("""COMPUTED_VALUE"""),"Java")</f>
        <v>Java</v>
      </c>
      <c r="G763" s="9" t="str">
        <f>IFERROR(__xludf.DUMMYFUNCTION("""COMPUTED_VALUE"""),"SQL")</f>
        <v>SQL</v>
      </c>
      <c r="H763" s="9" t="str">
        <f>IFERROR(__xludf.DUMMYFUNCTION("""COMPUTED_VALUE"""),"HTML/CSS")</f>
        <v>HTML/CSS</v>
      </c>
      <c r="I763" s="9" t="str">
        <f>IFERROR(__xludf.DUMMYFUNCTION("""COMPUTED_VALUE"""),"Swift")</f>
        <v>Swift</v>
      </c>
      <c r="J763" s="9" t="str">
        <f>IFERROR(__xludf.DUMMYFUNCTION("""COMPUTED_VALUE"""),"Swift")</f>
        <v>Swift</v>
      </c>
      <c r="K763" s="9" t="str">
        <f>IFERROR(__xludf.DUMMYFUNCTION("""COMPUTED_VALUE"""),"JavaScript")</f>
        <v>JavaScript</v>
      </c>
      <c r="L763" s="9" t="str">
        <f>IFERROR(__xludf.DUMMYFUNCTION("""COMPUTED_VALUE"""),"Scala")</f>
        <v>Scala</v>
      </c>
      <c r="M763" s="9" t="s">
        <v>23</v>
      </c>
    </row>
    <row r="764" ht="15.75" customHeight="1">
      <c r="A764" s="7"/>
      <c r="B764" s="7" t="str">
        <f>IFERROR(__xludf.DUMMYFUNCTION("""COMPUTED_VALUE"""),"Bash/Shell/PowerShell;C;C++;Go;HTML/CSS;Java;JavaScript;PHP;Python;SQL;TypeScript")</f>
        <v>Bash/Shell/PowerShell;C;C++;Go;HTML/CSS;Java;JavaScript;PHP;Python;SQL;TypeScript</v>
      </c>
      <c r="C764" s="9" t="str">
        <f>IFERROR(__xludf.DUMMYFUNCTION("""COMPUTED_VALUE"""),"C#")</f>
        <v>C#</v>
      </c>
      <c r="D764" s="9" t="str">
        <f>IFERROR(__xludf.DUMMYFUNCTION("""COMPUTED_VALUE"""),"SQL")</f>
        <v>SQL</v>
      </c>
      <c r="E764" s="9" t="str">
        <f>IFERROR(__xludf.DUMMYFUNCTION("""COMPUTED_VALUE"""),"C#")</f>
        <v>C#</v>
      </c>
      <c r="F764" s="9" t="str">
        <f>IFERROR(__xludf.DUMMYFUNCTION("""COMPUTED_VALUE"""),"Python")</f>
        <v>Python</v>
      </c>
      <c r="G764" s="9" t="str">
        <f>IFERROR(__xludf.DUMMYFUNCTION("""COMPUTED_VALUE"""),"Bash/Shell/PowerShell")</f>
        <v>Bash/Shell/PowerShell</v>
      </c>
      <c r="H764" s="9" t="str">
        <f>IFERROR(__xludf.DUMMYFUNCTION("""COMPUTED_VALUE"""),"Java")</f>
        <v>Java</v>
      </c>
      <c r="I764" s="9" t="str">
        <f>IFERROR(__xludf.DUMMYFUNCTION("""COMPUTED_VALUE"""),"TypeScript")</f>
        <v>TypeScript</v>
      </c>
      <c r="J764" s="9" t="str">
        <f>IFERROR(__xludf.DUMMYFUNCTION("""COMPUTED_VALUE"""),"HTML/CSS")</f>
        <v>HTML/CSS</v>
      </c>
      <c r="K764" s="9" t="str">
        <f>IFERROR(__xludf.DUMMYFUNCTION("""COMPUTED_VALUE"""),"Bash/Shell/PowerShell")</f>
        <v>Bash/Shell/PowerShell</v>
      </c>
      <c r="L764" s="9" t="str">
        <f>IFERROR(__xludf.DUMMYFUNCTION("""COMPUTED_VALUE"""),"SQL")</f>
        <v>SQL</v>
      </c>
      <c r="M764" s="9" t="s">
        <v>26</v>
      </c>
    </row>
    <row r="765" ht="15.75" customHeight="1">
      <c r="A765" s="7"/>
      <c r="B765" s="7" t="str">
        <f>IFERROR(__xludf.DUMMYFUNCTION("""COMPUTED_VALUE"""),"Ruby;Scala;SQL;Other(s):")</f>
        <v>Ruby;Scala;SQL;Other(s):</v>
      </c>
      <c r="C765" s="9" t="str">
        <f>IFERROR(__xludf.DUMMYFUNCTION("""COMPUTED_VALUE"""),"HTML/CSS")</f>
        <v>HTML/CSS</v>
      </c>
      <c r="D765" s="9" t="str">
        <f>IFERROR(__xludf.DUMMYFUNCTION("""COMPUTED_VALUE"""),"VBA")</f>
        <v>VBA</v>
      </c>
      <c r="E765" s="9" t="str">
        <f>IFERROR(__xludf.DUMMYFUNCTION("""COMPUTED_VALUE"""),"HTML/CSS")</f>
        <v>HTML/CSS</v>
      </c>
      <c r="F765" s="9" t="str">
        <f>IFERROR(__xludf.DUMMYFUNCTION("""COMPUTED_VALUE"""),"HTML/CSS")</f>
        <v>HTML/CSS</v>
      </c>
      <c r="G765" s="9" t="str">
        <f>IFERROR(__xludf.DUMMYFUNCTION("""COMPUTED_VALUE"""),"HTML/CSS")</f>
        <v>HTML/CSS</v>
      </c>
      <c r="H765" s="9" t="str">
        <f>IFERROR(__xludf.DUMMYFUNCTION("""COMPUTED_VALUE"""),"JavaScript")</f>
        <v>JavaScript</v>
      </c>
      <c r="I765" s="9" t="str">
        <f>IFERROR(__xludf.DUMMYFUNCTION("""COMPUTED_VALUE"""),"C++")</f>
        <v>C++</v>
      </c>
      <c r="J765" s="9" t="str">
        <f>IFERROR(__xludf.DUMMYFUNCTION("""COMPUTED_VALUE"""),"Python")</f>
        <v>Python</v>
      </c>
      <c r="K765" s="9" t="str">
        <f>IFERROR(__xludf.DUMMYFUNCTION("""COMPUTED_VALUE"""),"C#")</f>
        <v>C#</v>
      </c>
      <c r="L765" s="9" t="str">
        <f>IFERROR(__xludf.DUMMYFUNCTION("""COMPUTED_VALUE"""),"Bash/Shell/PowerShell")</f>
        <v>Bash/Shell/PowerShell</v>
      </c>
      <c r="M765" s="9" t="s">
        <v>24</v>
      </c>
    </row>
    <row r="766" ht="15.75" customHeight="1">
      <c r="A766" s="7"/>
      <c r="B766" s="7" t="str">
        <f>IFERROR(__xludf.DUMMYFUNCTION("""COMPUTED_VALUE"""),"Java")</f>
        <v>Java</v>
      </c>
      <c r="C766" s="9" t="str">
        <f>IFERROR(__xludf.DUMMYFUNCTION("""COMPUTED_VALUE"""),"Java")</f>
        <v>Java</v>
      </c>
      <c r="D766" s="9" t="str">
        <f>IFERROR(__xludf.DUMMYFUNCTION("""COMPUTED_VALUE"""),"Bash/Shell/PowerShell")</f>
        <v>Bash/Shell/PowerShell</v>
      </c>
      <c r="E766" s="9" t="str">
        <f>IFERROR(__xludf.DUMMYFUNCTION("""COMPUTED_VALUE"""),"Java")</f>
        <v>Java</v>
      </c>
      <c r="F766" s="9" t="str">
        <f>IFERROR(__xludf.DUMMYFUNCTION("""COMPUTED_VALUE"""),"Java")</f>
        <v>Java</v>
      </c>
      <c r="G766" s="9" t="str">
        <f>IFERROR(__xludf.DUMMYFUNCTION("""COMPUTED_VALUE"""),"JavaScript")</f>
        <v>JavaScript</v>
      </c>
      <c r="H766" s="9" t="str">
        <f>IFERROR(__xludf.DUMMYFUNCTION("""COMPUTED_VALUE"""),"Kotlin")</f>
        <v>Kotlin</v>
      </c>
      <c r="I766" s="9" t="str">
        <f>IFERROR(__xludf.DUMMYFUNCTION("""COMPUTED_VALUE"""),"C#")</f>
        <v>C#</v>
      </c>
      <c r="J766" s="9" t="str">
        <f>IFERROR(__xludf.DUMMYFUNCTION("""COMPUTED_VALUE"""),"C")</f>
        <v>C</v>
      </c>
      <c r="K766" s="9" t="str">
        <f>IFERROR(__xludf.DUMMYFUNCTION("""COMPUTED_VALUE"""),"HTML/CSS")</f>
        <v>HTML/CSS</v>
      </c>
      <c r="L766" s="9" t="str">
        <f>IFERROR(__xludf.DUMMYFUNCTION("""COMPUTED_VALUE"""),"C#")</f>
        <v>C#</v>
      </c>
      <c r="M766" s="9" t="s">
        <v>20</v>
      </c>
    </row>
    <row r="767" ht="15.75" customHeight="1">
      <c r="A767" s="7"/>
      <c r="B767" s="7" t="str">
        <f>IFERROR(__xludf.DUMMYFUNCTION("""COMPUTED_VALUE"""),"HTML/CSS;JavaScript;Python;SQL")</f>
        <v>HTML/CSS;JavaScript;Python;SQL</v>
      </c>
      <c r="C767" s="9" t="str">
        <f>IFERROR(__xludf.DUMMYFUNCTION("""COMPUTED_VALUE"""),"JavaScript")</f>
        <v>JavaScript</v>
      </c>
      <c r="D767" s="9" t="str">
        <f>IFERROR(__xludf.DUMMYFUNCTION("""COMPUTED_VALUE"""),"C++")</f>
        <v>C++</v>
      </c>
      <c r="E767" s="9" t="str">
        <f>IFERROR(__xludf.DUMMYFUNCTION("""COMPUTED_VALUE"""),"JavaScript")</f>
        <v>JavaScript</v>
      </c>
      <c r="F767" s="9" t="str">
        <f>IFERROR(__xludf.DUMMYFUNCTION("""COMPUTED_VALUE"""),"JavaScript")</f>
        <v>JavaScript</v>
      </c>
      <c r="G767" s="9" t="str">
        <f>IFERROR(__xludf.DUMMYFUNCTION("""COMPUTED_VALUE"""),"Python")</f>
        <v>Python</v>
      </c>
      <c r="H767" s="9" t="str">
        <f>IFERROR(__xludf.DUMMYFUNCTION("""COMPUTED_VALUE"""),"SQL")</f>
        <v>SQL</v>
      </c>
      <c r="I767" s="9" t="str">
        <f>IFERROR(__xludf.DUMMYFUNCTION("""COMPUTED_VALUE"""),"Go")</f>
        <v>Go</v>
      </c>
      <c r="J767" s="9" t="str">
        <f>IFERROR(__xludf.DUMMYFUNCTION("""COMPUTED_VALUE"""),"C++")</f>
        <v>C++</v>
      </c>
      <c r="K767" s="9" t="str">
        <f>IFERROR(__xludf.DUMMYFUNCTION("""COMPUTED_VALUE"""),"JavaScript")</f>
        <v>JavaScript</v>
      </c>
      <c r="L767" s="9" t="str">
        <f>IFERROR(__xludf.DUMMYFUNCTION("""COMPUTED_VALUE"""),"HTML/CSS")</f>
        <v>HTML/CSS</v>
      </c>
      <c r="M767" s="9" t="s">
        <v>21</v>
      </c>
    </row>
    <row r="768" ht="15.75" customHeight="1">
      <c r="A768" s="7"/>
      <c r="B768" s="7" t="str">
        <f>IFERROR(__xludf.DUMMYFUNCTION("""COMPUTED_VALUE"""),"Bash/Shell/PowerShell;C;C++;HTML/CSS;Python;SQL")</f>
        <v>Bash/Shell/PowerShell;C;C++;HTML/CSS;Python;SQL</v>
      </c>
      <c r="C768" s="9" t="str">
        <f>IFERROR(__xludf.DUMMYFUNCTION("""COMPUTED_VALUE"""),"SQL")</f>
        <v>SQL</v>
      </c>
      <c r="D768" s="9" t="str">
        <f>IFERROR(__xludf.DUMMYFUNCTION("""COMPUTED_VALUE"""),"HTML/CSS")</f>
        <v>HTML/CSS</v>
      </c>
      <c r="E768" s="9" t="str">
        <f>IFERROR(__xludf.DUMMYFUNCTION("""COMPUTED_VALUE"""),"HTML/CSS")</f>
        <v>HTML/CSS</v>
      </c>
      <c r="F768" s="9" t="str">
        <f>IFERROR(__xludf.DUMMYFUNCTION("""COMPUTED_VALUE"""),"Python")</f>
        <v>Python</v>
      </c>
      <c r="G768" s="9" t="str">
        <f>IFERROR(__xludf.DUMMYFUNCTION("""COMPUTED_VALUE"""),"Python")</f>
        <v>Python</v>
      </c>
      <c r="H768" s="9" t="str">
        <f>IFERROR(__xludf.DUMMYFUNCTION("""COMPUTED_VALUE"""),"Assembly")</f>
        <v>Assembly</v>
      </c>
      <c r="I768" s="9" t="str">
        <f>IFERROR(__xludf.DUMMYFUNCTION("""COMPUTED_VALUE"""),"HTML/CSS")</f>
        <v>HTML/CSS</v>
      </c>
      <c r="J768" s="9" t="str">
        <f>IFERROR(__xludf.DUMMYFUNCTION("""COMPUTED_VALUE"""),"C#")</f>
        <v>C#</v>
      </c>
      <c r="K768" s="9" t="str">
        <f>IFERROR(__xludf.DUMMYFUNCTION("""COMPUTED_VALUE"""),"PHP")</f>
        <v>PHP</v>
      </c>
      <c r="L768" s="9" t="str">
        <f>IFERROR(__xludf.DUMMYFUNCTION("""COMPUTED_VALUE"""),"JavaScript")</f>
        <v>JavaScript</v>
      </c>
      <c r="M768" s="9" t="s">
        <v>27</v>
      </c>
    </row>
    <row r="769" ht="15.75" customHeight="1">
      <c r="A769" s="7"/>
      <c r="B769" s="7" t="str">
        <f>IFERROR(__xludf.DUMMYFUNCTION("""COMPUTED_VALUE"""),"Assembly;C++;Java;JavaScript;VBA")</f>
        <v>Assembly;C++;Java;JavaScript;VBA</v>
      </c>
      <c r="C769" s="9" t="str">
        <f>IFERROR(__xludf.DUMMYFUNCTION("""COMPUTED_VALUE"""),"TypeScript")</f>
        <v>TypeScript</v>
      </c>
      <c r="D769" s="9" t="str">
        <f>IFERROR(__xludf.DUMMYFUNCTION("""COMPUTED_VALUE"""),"Java")</f>
        <v>Java</v>
      </c>
      <c r="E769" s="9" t="str">
        <f>IFERROR(__xludf.DUMMYFUNCTION("""COMPUTED_VALUE"""),"Java")</f>
        <v>Java</v>
      </c>
      <c r="F769" s="9" t="str">
        <f>IFERROR(__xludf.DUMMYFUNCTION("""COMPUTED_VALUE"""),"R")</f>
        <v>R</v>
      </c>
      <c r="G769" s="9" t="str">
        <f>IFERROR(__xludf.DUMMYFUNCTION("""COMPUTED_VALUE"""),"R")</f>
        <v>R</v>
      </c>
      <c r="H769" s="9" t="str">
        <f>IFERROR(__xludf.DUMMYFUNCTION("""COMPUTED_VALUE"""),"HTML/CSS")</f>
        <v>HTML/CSS</v>
      </c>
      <c r="I769" s="9" t="str">
        <f>IFERROR(__xludf.DUMMYFUNCTION("""COMPUTED_VALUE"""),"JavaScript")</f>
        <v>JavaScript</v>
      </c>
      <c r="J769" s="9" t="str">
        <f>IFERROR(__xludf.DUMMYFUNCTION("""COMPUTED_VALUE"""),"HTML/CSS")</f>
        <v>HTML/CSS</v>
      </c>
      <c r="K769" s="9" t="str">
        <f>IFERROR(__xludf.DUMMYFUNCTION("""COMPUTED_VALUE"""),"SQL")</f>
        <v>SQL</v>
      </c>
      <c r="L769" s="9" t="str">
        <f>IFERROR(__xludf.DUMMYFUNCTION("""COMPUTED_VALUE"""),"PHP")</f>
        <v>PHP</v>
      </c>
      <c r="M769" s="9" t="s">
        <v>33</v>
      </c>
    </row>
    <row r="770" ht="15.75" customHeight="1">
      <c r="A770" s="7"/>
      <c r="B770" s="7" t="str">
        <f>IFERROR(__xludf.DUMMYFUNCTION("""COMPUTED_VALUE"""),"C;Python;SQL")</f>
        <v>C;Python;SQL</v>
      </c>
      <c r="C770" s="9" t="str">
        <f>IFERROR(__xludf.DUMMYFUNCTION("""COMPUTED_VALUE"""),"HTML/CSS")</f>
        <v>HTML/CSS</v>
      </c>
      <c r="D770" s="9" t="str">
        <f>IFERROR(__xludf.DUMMYFUNCTION("""COMPUTED_VALUE"""),"Python")</f>
        <v>Python</v>
      </c>
      <c r="E770" s="9" t="str">
        <f>IFERROR(__xludf.DUMMYFUNCTION("""COMPUTED_VALUE"""),"JavaScript")</f>
        <v>JavaScript</v>
      </c>
      <c r="F770" s="9" t="str">
        <f>IFERROR(__xludf.DUMMYFUNCTION("""COMPUTED_VALUE"""),"Scala")</f>
        <v>Scala</v>
      </c>
      <c r="G770" s="9" t="str">
        <f>IFERROR(__xludf.DUMMYFUNCTION("""COMPUTED_VALUE"""),"C#")</f>
        <v>C#</v>
      </c>
      <c r="H770" s="9" t="str">
        <f>IFERROR(__xludf.DUMMYFUNCTION("""COMPUTED_VALUE"""),"JavaScript")</f>
        <v>JavaScript</v>
      </c>
      <c r="I770" s="9" t="str">
        <f>IFERROR(__xludf.DUMMYFUNCTION("""COMPUTED_VALUE"""),"Objective-C")</f>
        <v>Objective-C</v>
      </c>
      <c r="J770" s="9" t="str">
        <f>IFERROR(__xludf.DUMMYFUNCTION("""COMPUTED_VALUE"""),"Java")</f>
        <v>Java</v>
      </c>
      <c r="K770" s="9" t="str">
        <f>IFERROR(__xludf.DUMMYFUNCTION("""COMPUTED_VALUE"""),"TypeScript")</f>
        <v>TypeScript</v>
      </c>
      <c r="L770" s="9" t="str">
        <f>IFERROR(__xludf.DUMMYFUNCTION("""COMPUTED_VALUE"""),"Python")</f>
        <v>Python</v>
      </c>
      <c r="M770" s="9" t="s">
        <v>24</v>
      </c>
    </row>
    <row r="771" ht="15.75" customHeight="1">
      <c r="A771" s="7"/>
      <c r="B771" s="7" t="str">
        <f>IFERROR(__xludf.DUMMYFUNCTION("""COMPUTED_VALUE"""),"HTML/CSS;JavaScript;TypeScript")</f>
        <v>HTML/CSS;JavaScript;TypeScript</v>
      </c>
      <c r="C771" s="9" t="str">
        <f>IFERROR(__xludf.DUMMYFUNCTION("""COMPUTED_VALUE"""),"Java")</f>
        <v>Java</v>
      </c>
      <c r="D771" s="9" t="str">
        <f>IFERROR(__xludf.DUMMYFUNCTION("""COMPUTED_VALUE"""),"Java")</f>
        <v>Java</v>
      </c>
      <c r="E771" s="9" t="str">
        <f>IFERROR(__xludf.DUMMYFUNCTION("""COMPUTED_VALUE"""),"Python")</f>
        <v>Python</v>
      </c>
      <c r="F771" s="9" t="str">
        <f>IFERROR(__xludf.DUMMYFUNCTION("""COMPUTED_VALUE"""),"SQL")</f>
        <v>SQL</v>
      </c>
      <c r="G771" s="9" t="str">
        <f>IFERROR(__xludf.DUMMYFUNCTION("""COMPUTED_VALUE"""),"HTML/CSS")</f>
        <v>HTML/CSS</v>
      </c>
      <c r="H771" s="9" t="str">
        <f>IFERROR(__xludf.DUMMYFUNCTION("""COMPUTED_VALUE"""),"Kotlin")</f>
        <v>Kotlin</v>
      </c>
      <c r="I771" s="9" t="str">
        <f>IFERROR(__xludf.DUMMYFUNCTION("""COMPUTED_VALUE"""),"PHP")</f>
        <v>PHP</v>
      </c>
      <c r="J771" s="9" t="str">
        <f>IFERROR(__xludf.DUMMYFUNCTION("""COMPUTED_VALUE"""),"JavaScript")</f>
        <v>JavaScript</v>
      </c>
      <c r="K771" s="9" t="str">
        <f>IFERROR(__xludf.DUMMYFUNCTION("""COMPUTED_VALUE"""),"C#")</f>
        <v>C#</v>
      </c>
      <c r="L771" s="9" t="str">
        <f>IFERROR(__xludf.DUMMYFUNCTION("""COMPUTED_VALUE"""),"Ruby")</f>
        <v>Ruby</v>
      </c>
      <c r="M771" s="9" t="s">
        <v>20</v>
      </c>
    </row>
    <row r="772" ht="15.75" customHeight="1">
      <c r="A772" s="7"/>
      <c r="B772" s="7" t="str">
        <f>IFERROR(__xludf.DUMMYFUNCTION("""COMPUTED_VALUE"""),"HTML/CSS;Java;JavaScript;SQL;TypeScript")</f>
        <v>HTML/CSS;Java;JavaScript;SQL;TypeScript</v>
      </c>
      <c r="C772" s="9" t="str">
        <f>IFERROR(__xludf.DUMMYFUNCTION("""COMPUTED_VALUE"""),"JavaScript")</f>
        <v>JavaScript</v>
      </c>
      <c r="D772" s="9" t="str">
        <f>IFERROR(__xludf.DUMMYFUNCTION("""COMPUTED_VALUE"""),"Python")</f>
        <v>Python</v>
      </c>
      <c r="E772" s="9" t="str">
        <f>IFERROR(__xludf.DUMMYFUNCTION("""COMPUTED_VALUE"""),"Other(s):")</f>
        <v>Other(s):</v>
      </c>
      <c r="F772" s="9" t="str">
        <f>IFERROR(__xludf.DUMMYFUNCTION("""COMPUTED_VALUE"""),"Java")</f>
        <v>Java</v>
      </c>
      <c r="G772" s="9" t="str">
        <f>IFERROR(__xludf.DUMMYFUNCTION("""COMPUTED_VALUE"""),"JavaScript")</f>
        <v>JavaScript</v>
      </c>
      <c r="H772" s="9" t="str">
        <f>IFERROR(__xludf.DUMMYFUNCTION("""COMPUTED_VALUE"""),"Objective-C")</f>
        <v>Objective-C</v>
      </c>
      <c r="I772" s="9" t="str">
        <f>IFERROR(__xludf.DUMMYFUNCTION("""COMPUTED_VALUE"""),"Python")</f>
        <v>Python</v>
      </c>
      <c r="J772" s="9" t="str">
        <f>IFERROR(__xludf.DUMMYFUNCTION("""COMPUTED_VALUE"""),"PHP")</f>
        <v>PHP</v>
      </c>
      <c r="K772" s="9" t="str">
        <f>IFERROR(__xludf.DUMMYFUNCTION("""COMPUTED_VALUE"""),"HTML/CSS")</f>
        <v>HTML/CSS</v>
      </c>
      <c r="L772" s="9" t="str">
        <f>IFERROR(__xludf.DUMMYFUNCTION("""COMPUTED_VALUE"""),"SQL")</f>
        <v>SQL</v>
      </c>
      <c r="M772" s="9" t="s">
        <v>21</v>
      </c>
    </row>
    <row r="773" ht="15.75" customHeight="1">
      <c r="A773" s="7"/>
      <c r="B773" s="7" t="str">
        <f>IFERROR(__xludf.DUMMYFUNCTION("""COMPUTED_VALUE"""),"HTML/CSS;JavaScript;SQL;VBA")</f>
        <v>HTML/CSS;JavaScript;SQL;VBA</v>
      </c>
      <c r="C773" s="9" t="str">
        <f>IFERROR(__xludf.DUMMYFUNCTION("""COMPUTED_VALUE"""),"Kotlin")</f>
        <v>Kotlin</v>
      </c>
      <c r="D773" s="9" t="str">
        <f>IFERROR(__xludf.DUMMYFUNCTION("""COMPUTED_VALUE"""),"Go")</f>
        <v>Go</v>
      </c>
      <c r="E773" s="9" t="str">
        <f>IFERROR(__xludf.DUMMYFUNCTION("""COMPUTED_VALUE"""),"Bash/Shell/PowerShell")</f>
        <v>Bash/Shell/PowerShell</v>
      </c>
      <c r="F773" s="9" t="str">
        <f>IFERROR(__xludf.DUMMYFUNCTION("""COMPUTED_VALUE"""),"JavaScript")</f>
        <v>JavaScript</v>
      </c>
      <c r="G773" s="9" t="str">
        <f>IFERROR(__xludf.DUMMYFUNCTION("""COMPUTED_VALUE"""),"PHP")</f>
        <v>PHP</v>
      </c>
      <c r="H773" s="9" t="str">
        <f>IFERROR(__xludf.DUMMYFUNCTION("""COMPUTED_VALUE"""),"Python")</f>
        <v>Python</v>
      </c>
      <c r="I773" s="9" t="str">
        <f>IFERROR(__xludf.DUMMYFUNCTION("""COMPUTED_VALUE"""),"SQL")</f>
        <v>SQL</v>
      </c>
      <c r="J773" s="9" t="str">
        <f>IFERROR(__xludf.DUMMYFUNCTION("""COMPUTED_VALUE"""),"Python")</f>
        <v>Python</v>
      </c>
      <c r="K773" s="9" t="str">
        <f>IFERROR(__xludf.DUMMYFUNCTION("""COMPUTED_VALUE"""),"Java")</f>
        <v>Java</v>
      </c>
      <c r="L773" s="9" t="str">
        <f>IFERROR(__xludf.DUMMYFUNCTION("""COMPUTED_VALUE"""),"Bash/Shell/PowerShell")</f>
        <v>Bash/Shell/PowerShell</v>
      </c>
      <c r="M773" s="9" t="s">
        <v>39</v>
      </c>
    </row>
    <row r="774" ht="15.75" customHeight="1">
      <c r="A774" s="7"/>
      <c r="B774" s="7" t="str">
        <f>IFERROR(__xludf.DUMMYFUNCTION("""COMPUTED_VALUE"""),"Assembly;Bash/Shell/PowerShell;C++;HTML/CSS;JavaScript;Python")</f>
        <v>Assembly;Bash/Shell/PowerShell;C++;HTML/CSS;JavaScript;Python</v>
      </c>
      <c r="C774" s="9" t="str">
        <f>IFERROR(__xludf.DUMMYFUNCTION("""COMPUTED_VALUE"""),"Objective-C")</f>
        <v>Objective-C</v>
      </c>
      <c r="D774" s="9" t="str">
        <f>IFERROR(__xludf.DUMMYFUNCTION("""COMPUTED_VALUE"""),"HTML/CSS")</f>
        <v>HTML/CSS</v>
      </c>
      <c r="E774" s="9" t="str">
        <f>IFERROR(__xludf.DUMMYFUNCTION("""COMPUTED_VALUE"""),"C")</f>
        <v>C</v>
      </c>
      <c r="F774" s="9" t="str">
        <f>IFERROR(__xludf.DUMMYFUNCTION("""COMPUTED_VALUE"""),"PHP")</f>
        <v>PHP</v>
      </c>
      <c r="G774" s="9" t="str">
        <f>IFERROR(__xludf.DUMMYFUNCTION("""COMPUTED_VALUE"""),"Bash/Shell/PowerShell")</f>
        <v>Bash/Shell/PowerShell</v>
      </c>
      <c r="H774" s="9" t="str">
        <f>IFERROR(__xludf.DUMMYFUNCTION("""COMPUTED_VALUE"""),"SQL")</f>
        <v>SQL</v>
      </c>
      <c r="I774" s="9" t="str">
        <f>IFERROR(__xludf.DUMMYFUNCTION("""COMPUTED_VALUE"""),"Swift")</f>
        <v>Swift</v>
      </c>
      <c r="J774" s="9" t="str">
        <f>IFERROR(__xludf.DUMMYFUNCTION("""COMPUTED_VALUE"""),"Ruby")</f>
        <v>Ruby</v>
      </c>
      <c r="K774" s="9" t="str">
        <f>IFERROR(__xludf.DUMMYFUNCTION("""COMPUTED_VALUE"""),"JavaScript")</f>
        <v>JavaScript</v>
      </c>
      <c r="L774" s="9" t="str">
        <f>IFERROR(__xludf.DUMMYFUNCTION("""COMPUTED_VALUE"""),"Java")</f>
        <v>Java</v>
      </c>
      <c r="M774" s="9" t="s">
        <v>41</v>
      </c>
    </row>
    <row r="775" ht="15.75" customHeight="1">
      <c r="A775" s="7"/>
      <c r="B775" s="7" t="str">
        <f>IFERROR(__xludf.DUMMYFUNCTION("""COMPUTED_VALUE"""),"HTML/CSS")</f>
        <v>HTML/CSS</v>
      </c>
      <c r="C775" s="9" t="str">
        <f>IFERROR(__xludf.DUMMYFUNCTION("""COMPUTED_VALUE"""),"Python")</f>
        <v>Python</v>
      </c>
      <c r="D775" s="9" t="str">
        <f>IFERROR(__xludf.DUMMYFUNCTION("""COMPUTED_VALUE"""),"Java")</f>
        <v>Java</v>
      </c>
      <c r="E775" s="9" t="str">
        <f>IFERROR(__xludf.DUMMYFUNCTION("""COMPUTED_VALUE"""),"C++")</f>
        <v>C++</v>
      </c>
      <c r="F775" s="9" t="str">
        <f>IFERROR(__xludf.DUMMYFUNCTION("""COMPUTED_VALUE"""),"Python")</f>
        <v>Python</v>
      </c>
      <c r="G775" s="9" t="str">
        <f>IFERROR(__xludf.DUMMYFUNCTION("""COMPUTED_VALUE"""),"C")</f>
        <v>C</v>
      </c>
      <c r="H775" s="9" t="str">
        <f>IFERROR(__xludf.DUMMYFUNCTION("""COMPUTED_VALUE"""),"Swift")</f>
        <v>Swift</v>
      </c>
      <c r="I775" s="9" t="str">
        <f>IFERROR(__xludf.DUMMYFUNCTION("""COMPUTED_VALUE"""),"Java")</f>
        <v>Java</v>
      </c>
      <c r="J775" s="9" t="str">
        <f>IFERROR(__xludf.DUMMYFUNCTION("""COMPUTED_VALUE"""),"SQL")</f>
        <v>SQL</v>
      </c>
      <c r="K775" s="9" t="str">
        <f>IFERROR(__xludf.DUMMYFUNCTION("""COMPUTED_VALUE"""),"PHP")</f>
        <v>PHP</v>
      </c>
      <c r="L775" s="9" t="str">
        <f>IFERROR(__xludf.DUMMYFUNCTION("""COMPUTED_VALUE"""),"JavaScript")</f>
        <v>JavaScript</v>
      </c>
      <c r="M775" s="9" t="s">
        <v>22</v>
      </c>
    </row>
    <row r="776" ht="15.75" customHeight="1">
      <c r="A776" s="7"/>
      <c r="B776" s="7" t="str">
        <f>IFERROR(__xludf.DUMMYFUNCTION("""COMPUTED_VALUE"""),"HTML/CSS;JavaScript;PHP;SQL")</f>
        <v>HTML/CSS;JavaScript;PHP;SQL</v>
      </c>
      <c r="C776" s="9" t="str">
        <f>IFERROR(__xludf.DUMMYFUNCTION("""COMPUTED_VALUE"""),"Swift")</f>
        <v>Swift</v>
      </c>
      <c r="D776" s="9" t="str">
        <f>IFERROR(__xludf.DUMMYFUNCTION("""COMPUTED_VALUE"""),"JavaScript")</f>
        <v>JavaScript</v>
      </c>
      <c r="E776" s="9" t="str">
        <f>IFERROR(__xludf.DUMMYFUNCTION("""COMPUTED_VALUE"""),"C#")</f>
        <v>C#</v>
      </c>
      <c r="F776" s="9" t="str">
        <f>IFERROR(__xludf.DUMMYFUNCTION("""COMPUTED_VALUE"""),"SQL")</f>
        <v>SQL</v>
      </c>
      <c r="G776" s="9" t="str">
        <f>IFERROR(__xludf.DUMMYFUNCTION("""COMPUTED_VALUE"""),"C++")</f>
        <v>C++</v>
      </c>
      <c r="H776" s="9" t="str">
        <f>IFERROR(__xludf.DUMMYFUNCTION("""COMPUTED_VALUE"""),"TypeScript")</f>
        <v>TypeScript</v>
      </c>
      <c r="I776" s="9" t="str">
        <f>IFERROR(__xludf.DUMMYFUNCTION("""COMPUTED_VALUE"""),"Python")</f>
        <v>Python</v>
      </c>
      <c r="J776" s="9" t="str">
        <f>IFERROR(__xludf.DUMMYFUNCTION("""COMPUTED_VALUE"""),"Swift")</f>
        <v>Swift</v>
      </c>
      <c r="K776" s="9" t="str">
        <f>IFERROR(__xludf.DUMMYFUNCTION("""COMPUTED_VALUE"""),"SQL")</f>
        <v>SQL</v>
      </c>
      <c r="L776" s="9" t="str">
        <f>IFERROR(__xludf.DUMMYFUNCTION("""COMPUTED_VALUE"""),"Ruby")</f>
        <v>Ruby</v>
      </c>
      <c r="M776" s="9" t="s">
        <v>40</v>
      </c>
    </row>
    <row r="777" ht="15.75" customHeight="1">
      <c r="A777" s="7"/>
      <c r="B777" s="7" t="str">
        <f>IFERROR(__xludf.DUMMYFUNCTION("""COMPUTED_VALUE"""),"Java;JavaScript;Ruby")</f>
        <v>Java;JavaScript;Ruby</v>
      </c>
      <c r="C777" s="9" t="str">
        <f>IFERROR(__xludf.DUMMYFUNCTION("""COMPUTED_VALUE"""),"Other(s):")</f>
        <v>Other(s):</v>
      </c>
      <c r="D777" s="9" t="str">
        <f>IFERROR(__xludf.DUMMYFUNCTION("""COMPUTED_VALUE"""),"SQL")</f>
        <v>SQL</v>
      </c>
      <c r="E777" s="9" t="str">
        <f>IFERROR(__xludf.DUMMYFUNCTION("""COMPUTED_VALUE"""),"HTML/CSS")</f>
        <v>HTML/CSS</v>
      </c>
      <c r="F777" s="9" t="str">
        <f>IFERROR(__xludf.DUMMYFUNCTION("""COMPUTED_VALUE"""),"Bash/Shell/PowerShell")</f>
        <v>Bash/Shell/PowerShell</v>
      </c>
      <c r="G777" s="9" t="str">
        <f>IFERROR(__xludf.DUMMYFUNCTION("""COMPUTED_VALUE"""),"C#")</f>
        <v>C#</v>
      </c>
      <c r="H777" s="9" t="str">
        <f>IFERROR(__xludf.DUMMYFUNCTION("""COMPUTED_VALUE"""),"Assembly")</f>
        <v>Assembly</v>
      </c>
      <c r="I777" s="9" t="str">
        <f>IFERROR(__xludf.DUMMYFUNCTION("""COMPUTED_VALUE"""),"C++")</f>
        <v>C++</v>
      </c>
      <c r="J777" s="9" t="str">
        <f>IFERROR(__xludf.DUMMYFUNCTION("""COMPUTED_VALUE"""),"TypeScript")</f>
        <v>TypeScript</v>
      </c>
      <c r="K777" s="9" t="str">
        <f>IFERROR(__xludf.DUMMYFUNCTION("""COMPUTED_VALUE"""),"Dart")</f>
        <v>Dart</v>
      </c>
      <c r="L777" s="9" t="str">
        <f>IFERROR(__xludf.DUMMYFUNCTION("""COMPUTED_VALUE"""),"SQL")</f>
        <v>SQL</v>
      </c>
      <c r="M777" s="9" t="s">
        <v>35</v>
      </c>
    </row>
    <row r="778" ht="15.75" customHeight="1">
      <c r="A778" s="7"/>
      <c r="B778" s="7" t="str">
        <f>IFERROR(__xludf.DUMMYFUNCTION("""COMPUTED_VALUE"""),"C#;SQL;TypeScript")</f>
        <v>C#;SQL;TypeScript</v>
      </c>
      <c r="C778" s="9" t="str">
        <f>IFERROR(__xludf.DUMMYFUNCTION("""COMPUTED_VALUE"""),"C")</f>
        <v>C</v>
      </c>
      <c r="D778" s="9" t="str">
        <f>IFERROR(__xludf.DUMMYFUNCTION("""COMPUTED_VALUE"""),"TypeScript")</f>
        <v>TypeScript</v>
      </c>
      <c r="E778" s="9" t="str">
        <f>IFERROR(__xludf.DUMMYFUNCTION("""COMPUTED_VALUE"""),"JavaScript")</f>
        <v>JavaScript</v>
      </c>
      <c r="F778" s="9" t="str">
        <f>IFERROR(__xludf.DUMMYFUNCTION("""COMPUTED_VALUE"""),"HTML/CSS")</f>
        <v>HTML/CSS</v>
      </c>
      <c r="G778" s="9" t="str">
        <f>IFERROR(__xludf.DUMMYFUNCTION("""COMPUTED_VALUE"""),"HTML/CSS")</f>
        <v>HTML/CSS</v>
      </c>
      <c r="H778" s="9" t="str">
        <f>IFERROR(__xludf.DUMMYFUNCTION("""COMPUTED_VALUE"""),"Bash/Shell/PowerShell")</f>
        <v>Bash/Shell/PowerShell</v>
      </c>
      <c r="I778" s="9" t="str">
        <f>IFERROR(__xludf.DUMMYFUNCTION("""COMPUTED_VALUE"""),"JavaScript")</f>
        <v>JavaScript</v>
      </c>
      <c r="J778" s="9" t="str">
        <f>IFERROR(__xludf.DUMMYFUNCTION("""COMPUTED_VALUE"""),"Bash/Shell/PowerShell")</f>
        <v>Bash/Shell/PowerShell</v>
      </c>
      <c r="K778" s="9" t="str">
        <f>IFERROR(__xludf.DUMMYFUNCTION("""COMPUTED_VALUE"""),"HTML/CSS")</f>
        <v>HTML/CSS</v>
      </c>
      <c r="L778" s="9" t="str">
        <f>IFERROR(__xludf.DUMMYFUNCTION("""COMPUTED_VALUE"""),"C#")</f>
        <v>C#</v>
      </c>
      <c r="M778" s="9" t="s">
        <v>25</v>
      </c>
    </row>
    <row r="779" ht="15.75" customHeight="1">
      <c r="A779" s="7"/>
      <c r="B779" s="7" t="str">
        <f>IFERROR(__xludf.DUMMYFUNCTION("""COMPUTED_VALUE"""),"C++;HTML/CSS;JavaScript;Python;TypeScript;WebAssembly")</f>
        <v>C++;HTML/CSS;JavaScript;Python;TypeScript;WebAssembly</v>
      </c>
      <c r="C779" s="9" t="str">
        <f>IFERROR(__xludf.DUMMYFUNCTION("""COMPUTED_VALUE"""),"C++")</f>
        <v>C++</v>
      </c>
      <c r="D779" s="9" t="str">
        <f>IFERROR(__xludf.DUMMYFUNCTION("""COMPUTED_VALUE"""),"Assembly")</f>
        <v>Assembly</v>
      </c>
      <c r="E779" s="9" t="str">
        <f>IFERROR(__xludf.DUMMYFUNCTION("""COMPUTED_VALUE"""),"SQL")</f>
        <v>SQL</v>
      </c>
      <c r="F779" s="9" t="str">
        <f>IFERROR(__xludf.DUMMYFUNCTION("""COMPUTED_VALUE"""),"Java")</f>
        <v>Java</v>
      </c>
      <c r="G779" s="9" t="str">
        <f>IFERROR(__xludf.DUMMYFUNCTION("""COMPUTED_VALUE"""),"Java")</f>
        <v>Java</v>
      </c>
      <c r="H779" s="9" t="str">
        <f>IFERROR(__xludf.DUMMYFUNCTION("""COMPUTED_VALUE"""),"C")</f>
        <v>C</v>
      </c>
      <c r="I779" s="9" t="str">
        <f>IFERROR(__xludf.DUMMYFUNCTION("""COMPUTED_VALUE"""),"PHP")</f>
        <v>PHP</v>
      </c>
      <c r="J779" s="9" t="str">
        <f>IFERROR(__xludf.DUMMYFUNCTION("""COMPUTED_VALUE"""),"C")</f>
        <v>C</v>
      </c>
      <c r="K779" s="9" t="str">
        <f>IFERROR(__xludf.DUMMYFUNCTION("""COMPUTED_VALUE"""),"Java")</f>
        <v>Java</v>
      </c>
      <c r="L779" s="9" t="str">
        <f>IFERROR(__xludf.DUMMYFUNCTION("""COMPUTED_VALUE"""),"Go")</f>
        <v>Go</v>
      </c>
      <c r="M779" s="9" t="s">
        <v>23</v>
      </c>
    </row>
    <row r="780" ht="15.75" customHeight="1">
      <c r="A780" s="7"/>
      <c r="B780" s="7" t="str">
        <f>IFERROR(__xludf.DUMMYFUNCTION("""COMPUTED_VALUE"""),"C#;F#;Python")</f>
        <v>C#;F#;Python</v>
      </c>
      <c r="C780" s="9" t="str">
        <f>IFERROR(__xludf.DUMMYFUNCTION("""COMPUTED_VALUE"""),"Python")</f>
        <v>Python</v>
      </c>
      <c r="D780" s="9" t="str">
        <f>IFERROR(__xludf.DUMMYFUNCTION("""COMPUTED_VALUE"""),"Bash/Shell/PowerShell")</f>
        <v>Bash/Shell/PowerShell</v>
      </c>
      <c r="E780" s="9" t="str">
        <f>IFERROR(__xludf.DUMMYFUNCTION("""COMPUTED_VALUE"""),"Bash/Shell/PowerShell")</f>
        <v>Bash/Shell/PowerShell</v>
      </c>
      <c r="F780" s="9" t="str">
        <f>IFERROR(__xludf.DUMMYFUNCTION("""COMPUTED_VALUE"""),"JavaScript")</f>
        <v>JavaScript</v>
      </c>
      <c r="G780" s="9" t="str">
        <f>IFERROR(__xludf.DUMMYFUNCTION("""COMPUTED_VALUE"""),"JavaScript")</f>
        <v>JavaScript</v>
      </c>
      <c r="H780" s="9" t="str">
        <f>IFERROR(__xludf.DUMMYFUNCTION("""COMPUTED_VALUE"""),"C++")</f>
        <v>C++</v>
      </c>
      <c r="I780" s="9" t="str">
        <f>IFERROR(__xludf.DUMMYFUNCTION("""COMPUTED_VALUE"""),"SQL")</f>
        <v>SQL</v>
      </c>
      <c r="J780" s="9" t="str">
        <f>IFERROR(__xludf.DUMMYFUNCTION("""COMPUTED_VALUE"""),"HTML/CSS")</f>
        <v>HTML/CSS</v>
      </c>
      <c r="K780" s="9" t="str">
        <f>IFERROR(__xludf.DUMMYFUNCTION("""COMPUTED_VALUE"""),"JavaScript")</f>
        <v>JavaScript</v>
      </c>
      <c r="L780" s="9" t="str">
        <f>IFERROR(__xludf.DUMMYFUNCTION("""COMPUTED_VALUE"""),"HTML/CSS")</f>
        <v>HTML/CSS</v>
      </c>
      <c r="M780" s="9" t="s">
        <v>22</v>
      </c>
    </row>
    <row r="781" ht="15.75" customHeight="1">
      <c r="A781" s="7"/>
      <c r="B781" s="7" t="str">
        <f>IFERROR(__xludf.DUMMYFUNCTION("""COMPUTED_VALUE"""),"Bash/Shell/PowerShell;HTML/CSS;JavaScript;PHP")</f>
        <v>Bash/Shell/PowerShell;HTML/CSS;JavaScript;PHP</v>
      </c>
      <c r="C781" s="9" t="str">
        <f>IFERROR(__xludf.DUMMYFUNCTION("""COMPUTED_VALUE"""),"HTML/CSS")</f>
        <v>HTML/CSS</v>
      </c>
      <c r="D781" s="9" t="str">
        <f>IFERROR(__xludf.DUMMYFUNCTION("""COMPUTED_VALUE"""),"C")</f>
        <v>C</v>
      </c>
      <c r="E781" s="9" t="str">
        <f>IFERROR(__xludf.DUMMYFUNCTION("""COMPUTED_VALUE"""),"HTML/CSS")</f>
        <v>HTML/CSS</v>
      </c>
      <c r="F781" s="9" t="str">
        <f>IFERROR(__xludf.DUMMYFUNCTION("""COMPUTED_VALUE"""),"PHP")</f>
        <v>PHP</v>
      </c>
      <c r="G781" s="9" t="str">
        <f>IFERROR(__xludf.DUMMYFUNCTION("""COMPUTED_VALUE"""),"Kotlin")</f>
        <v>Kotlin</v>
      </c>
      <c r="H781" s="9" t="str">
        <f>IFERROR(__xludf.DUMMYFUNCTION("""COMPUTED_VALUE"""),"HTML/CSS")</f>
        <v>HTML/CSS</v>
      </c>
      <c r="I781" s="9" t="str">
        <f>IFERROR(__xludf.DUMMYFUNCTION("""COMPUTED_VALUE"""),"Bash/Shell/PowerShell")</f>
        <v>Bash/Shell/PowerShell</v>
      </c>
      <c r="J781" s="9" t="str">
        <f>IFERROR(__xludf.DUMMYFUNCTION("""COMPUTED_VALUE"""),"Ruby")</f>
        <v>Ruby</v>
      </c>
      <c r="K781" s="9" t="str">
        <f>IFERROR(__xludf.DUMMYFUNCTION("""COMPUTED_VALUE"""),"Python")</f>
        <v>Python</v>
      </c>
      <c r="L781" s="9" t="str">
        <f>IFERROR(__xludf.DUMMYFUNCTION("""COMPUTED_VALUE"""),"Java")</f>
        <v>Java</v>
      </c>
      <c r="M781" s="9" t="s">
        <v>24</v>
      </c>
    </row>
    <row r="782" ht="15.75" customHeight="1">
      <c r="A782" s="7"/>
      <c r="B782" s="7" t="str">
        <f>IFERROR(__xludf.DUMMYFUNCTION("""COMPUTED_VALUE"""),"Bash/Shell/PowerShell;C#;Clojure;HTML/CSS;JavaScript;Python;SQL;TypeScript")</f>
        <v>Bash/Shell/PowerShell;C#;Clojure;HTML/CSS;JavaScript;Python;SQL;TypeScript</v>
      </c>
      <c r="C782" s="9" t="str">
        <f>IFERROR(__xludf.DUMMYFUNCTION("""COMPUTED_VALUE"""),"Java")</f>
        <v>Java</v>
      </c>
      <c r="D782" s="9" t="str">
        <f>IFERROR(__xludf.DUMMYFUNCTION("""COMPUTED_VALUE"""),"Clojure")</f>
        <v>Clojure</v>
      </c>
      <c r="E782" s="9" t="str">
        <f>IFERROR(__xludf.DUMMYFUNCTION("""COMPUTED_VALUE"""),"JavaScript")</f>
        <v>JavaScript</v>
      </c>
      <c r="F782" s="9" t="str">
        <f>IFERROR(__xludf.DUMMYFUNCTION("""COMPUTED_VALUE"""),"SQL")</f>
        <v>SQL</v>
      </c>
      <c r="G782" s="9" t="str">
        <f>IFERROR(__xludf.DUMMYFUNCTION("""COMPUTED_VALUE"""),"Objective-C")</f>
        <v>Objective-C</v>
      </c>
      <c r="H782" s="9" t="str">
        <f>IFERROR(__xludf.DUMMYFUNCTION("""COMPUTED_VALUE"""),"Java")</f>
        <v>Java</v>
      </c>
      <c r="I782" s="9" t="str">
        <f>IFERROR(__xludf.DUMMYFUNCTION("""COMPUTED_VALUE"""),"C")</f>
        <v>C</v>
      </c>
      <c r="J782" s="9" t="str">
        <f>IFERROR(__xludf.DUMMYFUNCTION("""COMPUTED_VALUE"""),"C++")</f>
        <v>C++</v>
      </c>
      <c r="K782" s="9" t="str">
        <f>IFERROR(__xludf.DUMMYFUNCTION("""COMPUTED_VALUE"""),"Bash/Shell/PowerShell")</f>
        <v>Bash/Shell/PowerShell</v>
      </c>
      <c r="L782" s="9" t="str">
        <f>IFERROR(__xludf.DUMMYFUNCTION("""COMPUTED_VALUE"""),"JavaScript")</f>
        <v>JavaScript</v>
      </c>
      <c r="M782" s="9" t="s">
        <v>20</v>
      </c>
    </row>
    <row r="783" ht="15.75" customHeight="1">
      <c r="A783" s="7"/>
      <c r="B783" s="7" t="str">
        <f>IFERROR(__xludf.DUMMYFUNCTION("""COMPUTED_VALUE"""),"C;C#;Dart;JavaScript;PHP;Python;Rust;SQL;TypeScript")</f>
        <v>C;C#;Dart;JavaScript;PHP;Python;Rust;SQL;TypeScript</v>
      </c>
      <c r="C783" s="9" t="str">
        <f>IFERROR(__xludf.DUMMYFUNCTION("""COMPUTED_VALUE"""),"JavaScript")</f>
        <v>JavaScript</v>
      </c>
      <c r="D783" s="9" t="str">
        <f>IFERROR(__xludf.DUMMYFUNCTION("""COMPUTED_VALUE"""),"JavaScript")</f>
        <v>JavaScript</v>
      </c>
      <c r="E783" s="9" t="str">
        <f>IFERROR(__xludf.DUMMYFUNCTION("""COMPUTED_VALUE"""),"Assembly")</f>
        <v>Assembly</v>
      </c>
      <c r="F783" s="9" t="str">
        <f>IFERROR(__xludf.DUMMYFUNCTION("""COMPUTED_VALUE"""),"C++")</f>
        <v>C++</v>
      </c>
      <c r="G783" s="9" t="str">
        <f>IFERROR(__xludf.DUMMYFUNCTION("""COMPUTED_VALUE"""),"Python")</f>
        <v>Python</v>
      </c>
      <c r="H783" s="9" t="str">
        <f>IFERROR(__xludf.DUMMYFUNCTION("""COMPUTED_VALUE"""),"JavaScript")</f>
        <v>JavaScript</v>
      </c>
      <c r="I783" s="9" t="str">
        <f>IFERROR(__xludf.DUMMYFUNCTION("""COMPUTED_VALUE"""),"C#")</f>
        <v>C#</v>
      </c>
      <c r="J783" s="9" t="str">
        <f>IFERROR(__xludf.DUMMYFUNCTION("""COMPUTED_VALUE"""),"C#")</f>
        <v>C#</v>
      </c>
      <c r="K783" s="9" t="str">
        <f>IFERROR(__xludf.DUMMYFUNCTION("""COMPUTED_VALUE"""),"C")</f>
        <v>C</v>
      </c>
      <c r="L783" s="9" t="str">
        <f>IFERROR(__xludf.DUMMYFUNCTION("""COMPUTED_VALUE"""),"PHP")</f>
        <v>PHP</v>
      </c>
      <c r="M783" s="9" t="s">
        <v>21</v>
      </c>
    </row>
    <row r="784" ht="15.75" customHeight="1">
      <c r="A784" s="7"/>
      <c r="B784" s="7" t="str">
        <f>IFERROR(__xludf.DUMMYFUNCTION("""COMPUTED_VALUE"""),"Bash/Shell/PowerShell;C;HTML/CSS;JavaScript;Python;R;Ruby;Other(s):")</f>
        <v>Bash/Shell/PowerShell;C;HTML/CSS;JavaScript;Python;R;Ruby;Other(s):</v>
      </c>
      <c r="C784" s="9" t="str">
        <f>IFERROR(__xludf.DUMMYFUNCTION("""COMPUTED_VALUE"""),"PHP")</f>
        <v>PHP</v>
      </c>
      <c r="D784" s="9" t="str">
        <f>IFERROR(__xludf.DUMMYFUNCTION("""COMPUTED_VALUE"""),"Kotlin")</f>
        <v>Kotlin</v>
      </c>
      <c r="E784" s="9" t="str">
        <f>IFERROR(__xludf.DUMMYFUNCTION("""COMPUTED_VALUE"""),"Bash/Shell/PowerShell")</f>
        <v>Bash/Shell/PowerShell</v>
      </c>
      <c r="F784" s="9" t="str">
        <f>IFERROR(__xludf.DUMMYFUNCTION("""COMPUTED_VALUE"""),"Java")</f>
        <v>Java</v>
      </c>
      <c r="G784" s="9" t="str">
        <f>IFERROR(__xludf.DUMMYFUNCTION("""COMPUTED_VALUE"""),"Swift")</f>
        <v>Swift</v>
      </c>
      <c r="H784" s="9" t="str">
        <f>IFERROR(__xludf.DUMMYFUNCTION("""COMPUTED_VALUE"""),"SQL")</f>
        <v>SQL</v>
      </c>
      <c r="I784" s="9" t="str">
        <f>IFERROR(__xludf.DUMMYFUNCTION("""COMPUTED_VALUE"""),"Clojure")</f>
        <v>Clojure</v>
      </c>
      <c r="J784" s="9" t="str">
        <f>IFERROR(__xludf.DUMMYFUNCTION("""COMPUTED_VALUE"""),"HTML/CSS")</f>
        <v>HTML/CSS</v>
      </c>
      <c r="K784" s="9" t="str">
        <f>IFERROR(__xludf.DUMMYFUNCTION("""COMPUTED_VALUE"""),"C++")</f>
        <v>C++</v>
      </c>
      <c r="L784" s="9" t="str">
        <f>IFERROR(__xludf.DUMMYFUNCTION("""COMPUTED_VALUE"""),"Python")</f>
        <v>Python</v>
      </c>
      <c r="M784" s="9" t="s">
        <v>37</v>
      </c>
    </row>
    <row r="785" ht="15.75" customHeight="1">
      <c r="A785" s="7"/>
      <c r="B785" s="7" t="str">
        <f>IFERROR(__xludf.DUMMYFUNCTION("""COMPUTED_VALUE"""),"SQL;VBA;Other(s):")</f>
        <v>SQL;VBA;Other(s):</v>
      </c>
      <c r="C785" s="9" t="str">
        <f>IFERROR(__xludf.DUMMYFUNCTION("""COMPUTED_VALUE"""),"SQL")</f>
        <v>SQL</v>
      </c>
      <c r="D785" s="9" t="str">
        <f>IFERROR(__xludf.DUMMYFUNCTION("""COMPUTED_VALUE"""),"Python")</f>
        <v>Python</v>
      </c>
      <c r="E785" s="9" t="str">
        <f>IFERROR(__xludf.DUMMYFUNCTION("""COMPUTED_VALUE"""),"C")</f>
        <v>C</v>
      </c>
      <c r="F785" s="9" t="str">
        <f>IFERROR(__xludf.DUMMYFUNCTION("""COMPUTED_VALUE"""),"JavaScript")</f>
        <v>JavaScript</v>
      </c>
      <c r="G785" s="9" t="str">
        <f>IFERROR(__xludf.DUMMYFUNCTION("""COMPUTED_VALUE"""),"TypeScript")</f>
        <v>TypeScript</v>
      </c>
      <c r="H785" s="9" t="str">
        <f>IFERROR(__xludf.DUMMYFUNCTION("""COMPUTED_VALUE"""),"Swift")</f>
        <v>Swift</v>
      </c>
      <c r="I785" s="9" t="str">
        <f>IFERROR(__xludf.DUMMYFUNCTION("""COMPUTED_VALUE"""),"Elixir")</f>
        <v>Elixir</v>
      </c>
      <c r="J785" s="9" t="str">
        <f>IFERROR(__xludf.DUMMYFUNCTION("""COMPUTED_VALUE"""),"Java")</f>
        <v>Java</v>
      </c>
      <c r="K785" s="9" t="str">
        <f>IFERROR(__xludf.DUMMYFUNCTION("""COMPUTED_VALUE"""),"HTML/CSS")</f>
        <v>HTML/CSS</v>
      </c>
      <c r="L785" s="9" t="str">
        <f>IFERROR(__xludf.DUMMYFUNCTION("""COMPUTED_VALUE"""),"SQL")</f>
        <v>SQL</v>
      </c>
      <c r="M785" s="9" t="s">
        <v>27</v>
      </c>
    </row>
    <row r="786" ht="15.75" customHeight="1">
      <c r="A786" s="7"/>
      <c r="B786" s="7" t="str">
        <f>IFERROR(__xludf.DUMMYFUNCTION("""COMPUTED_VALUE"""),"C#;HTML/CSS;JavaScript;Python;R;SQL")</f>
        <v>C#;HTML/CSS;JavaScript;Python;R;SQL</v>
      </c>
      <c r="C786" s="9" t="str">
        <f>IFERROR(__xludf.DUMMYFUNCTION("""COMPUTED_VALUE"""),"VBA")</f>
        <v>VBA</v>
      </c>
      <c r="D786" s="9" t="str">
        <f>IFERROR(__xludf.DUMMYFUNCTION("""COMPUTED_VALUE"""),"TypeScript")</f>
        <v>TypeScript</v>
      </c>
      <c r="E786" s="9" t="str">
        <f>IFERROR(__xludf.DUMMYFUNCTION("""COMPUTED_VALUE"""),"C++")</f>
        <v>C++</v>
      </c>
      <c r="F786" s="9" t="str">
        <f>IFERROR(__xludf.DUMMYFUNCTION("""COMPUTED_VALUE"""),"Other(s):")</f>
        <v>Other(s):</v>
      </c>
      <c r="G786" s="9" t="str">
        <f>IFERROR(__xludf.DUMMYFUNCTION("""COMPUTED_VALUE"""),"WebAssembly")</f>
        <v>WebAssembly</v>
      </c>
      <c r="H786" s="9" t="str">
        <f>IFERROR(__xludf.DUMMYFUNCTION("""COMPUTED_VALUE"""),"HTML/CSS")</f>
        <v>HTML/CSS</v>
      </c>
      <c r="I786" s="9" t="str">
        <f>IFERROR(__xludf.DUMMYFUNCTION("""COMPUTED_VALUE"""),"HTML/CSS")</f>
        <v>HTML/CSS</v>
      </c>
      <c r="J786" s="9" t="str">
        <f>IFERROR(__xludf.DUMMYFUNCTION("""COMPUTED_VALUE"""),"JavaScript")</f>
        <v>JavaScript</v>
      </c>
      <c r="K786" s="9" t="str">
        <f>IFERROR(__xludf.DUMMYFUNCTION("""COMPUTED_VALUE"""),"Java")</f>
        <v>Java</v>
      </c>
      <c r="L786" s="9" t="str">
        <f>IFERROR(__xludf.DUMMYFUNCTION("""COMPUTED_VALUE"""),"Elixir")</f>
        <v>Elixir</v>
      </c>
      <c r="M786" s="9" t="s">
        <v>28</v>
      </c>
    </row>
    <row r="787" ht="15.75" customHeight="1">
      <c r="A787" s="7"/>
      <c r="B787" s="7" t="str">
        <f>IFERROR(__xludf.DUMMYFUNCTION("""COMPUTED_VALUE"""),"C#;HTML/CSS;JavaScript;SQL")</f>
        <v>C#;HTML/CSS;JavaScript;SQL</v>
      </c>
      <c r="C787" s="9" t="str">
        <f>IFERROR(__xludf.DUMMYFUNCTION("""COMPUTED_VALUE"""),"Bash/Shell/PowerShell")</f>
        <v>Bash/Shell/PowerShell</v>
      </c>
      <c r="D787" s="9" t="str">
        <f>IFERROR(__xludf.DUMMYFUNCTION("""COMPUTED_VALUE"""),"C++")</f>
        <v>C++</v>
      </c>
      <c r="E787" s="9" t="str">
        <f>IFERROR(__xludf.DUMMYFUNCTION("""COMPUTED_VALUE"""),"Go")</f>
        <v>Go</v>
      </c>
      <c r="F787" s="9" t="str">
        <f>IFERROR(__xludf.DUMMYFUNCTION("""COMPUTED_VALUE"""),"Bash/Shell/PowerShell")</f>
        <v>Bash/Shell/PowerShell</v>
      </c>
      <c r="G787" s="9" t="str">
        <f>IFERROR(__xludf.DUMMYFUNCTION("""COMPUTED_VALUE"""),"Other(s):")</f>
        <v>Other(s):</v>
      </c>
      <c r="H787" s="9" t="str">
        <f>IFERROR(__xludf.DUMMYFUNCTION("""COMPUTED_VALUE"""),"Java")</f>
        <v>Java</v>
      </c>
      <c r="I787" s="9" t="str">
        <f>IFERROR(__xludf.DUMMYFUNCTION("""COMPUTED_VALUE"""),"Java")</f>
        <v>Java</v>
      </c>
      <c r="J787" s="9" t="str">
        <f>IFERROR(__xludf.DUMMYFUNCTION("""COMPUTED_VALUE"""),"SQL")</f>
        <v>SQL</v>
      </c>
      <c r="K787" s="9" t="str">
        <f>IFERROR(__xludf.DUMMYFUNCTION("""COMPUTED_VALUE"""),"JavaScript")</f>
        <v>JavaScript</v>
      </c>
      <c r="L787" s="9" t="str">
        <f>IFERROR(__xludf.DUMMYFUNCTION("""COMPUTED_VALUE"""),"Erlang")</f>
        <v>Erlang</v>
      </c>
      <c r="M787" s="9" t="s">
        <v>30</v>
      </c>
    </row>
    <row r="788" ht="15.75" customHeight="1">
      <c r="A788" s="7"/>
      <c r="B788" s="7" t="str">
        <f>IFERROR(__xludf.DUMMYFUNCTION("""COMPUTED_VALUE"""),"HTML/CSS;JavaScript")</f>
        <v>HTML/CSS;JavaScript</v>
      </c>
      <c r="C788" s="9" t="str">
        <f>IFERROR(__xludf.DUMMYFUNCTION("""COMPUTED_VALUE"""),"HTML/CSS")</f>
        <v>HTML/CSS</v>
      </c>
      <c r="D788" s="9" t="str">
        <f>IFERROR(__xludf.DUMMYFUNCTION("""COMPUTED_VALUE"""),"Go")</f>
        <v>Go</v>
      </c>
      <c r="E788" s="9" t="str">
        <f>IFERROR(__xludf.DUMMYFUNCTION("""COMPUTED_VALUE"""),"HTML/CSS")</f>
        <v>HTML/CSS</v>
      </c>
      <c r="F788" s="9" t="str">
        <f>IFERROR(__xludf.DUMMYFUNCTION("""COMPUTED_VALUE"""),"C")</f>
        <v>C</v>
      </c>
      <c r="G788" s="9" t="str">
        <f>IFERROR(__xludf.DUMMYFUNCTION("""COMPUTED_VALUE"""),"C#")</f>
        <v>C#</v>
      </c>
      <c r="H788" s="9" t="str">
        <f>IFERROR(__xludf.DUMMYFUNCTION("""COMPUTED_VALUE"""),"JavaScript")</f>
        <v>JavaScript</v>
      </c>
      <c r="I788" s="9" t="str">
        <f>IFERROR(__xludf.DUMMYFUNCTION("""COMPUTED_VALUE"""),"JavaScript")</f>
        <v>JavaScript</v>
      </c>
      <c r="J788" s="9" t="str">
        <f>IFERROR(__xludf.DUMMYFUNCTION("""COMPUTED_VALUE"""),"Swift")</f>
        <v>Swift</v>
      </c>
      <c r="K788" s="9" t="str">
        <f>IFERROR(__xludf.DUMMYFUNCTION("""COMPUTED_VALUE"""),"PHP")</f>
        <v>PHP</v>
      </c>
      <c r="L788" s="9" t="str">
        <f>IFERROR(__xludf.DUMMYFUNCTION("""COMPUTED_VALUE"""),"HTML/CSS")</f>
        <v>HTML/CSS</v>
      </c>
      <c r="M788" s="9" t="s">
        <v>24</v>
      </c>
    </row>
    <row r="789" ht="15.75" customHeight="1">
      <c r="A789" s="7"/>
      <c r="B789" s="7" t="str">
        <f>IFERROR(__xludf.DUMMYFUNCTION("""COMPUTED_VALUE"""),"Java")</f>
        <v>Java</v>
      </c>
      <c r="C789" s="9" t="str">
        <f>IFERROR(__xludf.DUMMYFUNCTION("""COMPUTED_VALUE"""),"JavaScript")</f>
        <v>JavaScript</v>
      </c>
      <c r="D789" s="9" t="str">
        <f>IFERROR(__xludf.DUMMYFUNCTION("""COMPUTED_VALUE"""),"HTML/CSS")</f>
        <v>HTML/CSS</v>
      </c>
      <c r="E789" s="9" t="str">
        <f>IFERROR(__xludf.DUMMYFUNCTION("""COMPUTED_VALUE"""),"Java")</f>
        <v>Java</v>
      </c>
      <c r="F789" s="9" t="str">
        <f>IFERROR(__xludf.DUMMYFUNCTION("""COMPUTED_VALUE"""),"Go")</f>
        <v>Go</v>
      </c>
      <c r="G789" s="9" t="str">
        <f>IFERROR(__xludf.DUMMYFUNCTION("""COMPUTED_VALUE"""),"HTML/CSS")</f>
        <v>HTML/CSS</v>
      </c>
      <c r="H789" s="9" t="str">
        <f>IFERROR(__xludf.DUMMYFUNCTION("""COMPUTED_VALUE"""),"Bash/Shell/PowerShell")</f>
        <v>Bash/Shell/PowerShell</v>
      </c>
      <c r="I789" s="9" t="str">
        <f>IFERROR(__xludf.DUMMYFUNCTION("""COMPUTED_VALUE"""),"Objective-C")</f>
        <v>Objective-C</v>
      </c>
      <c r="J789" s="9" t="str">
        <f>IFERROR(__xludf.DUMMYFUNCTION("""COMPUTED_VALUE"""),"VBA")</f>
        <v>VBA</v>
      </c>
      <c r="K789" s="9" t="str">
        <f>IFERROR(__xludf.DUMMYFUNCTION("""COMPUTED_VALUE"""),"Python")</f>
        <v>Python</v>
      </c>
      <c r="L789" s="9" t="str">
        <f>IFERROR(__xludf.DUMMYFUNCTION("""COMPUTED_VALUE"""),"JavaScript")</f>
        <v>JavaScript</v>
      </c>
      <c r="M789" s="9" t="s">
        <v>21</v>
      </c>
    </row>
    <row r="790" ht="15.75" customHeight="1">
      <c r="A790" s="7"/>
      <c r="B790" s="7" t="str">
        <f>IFERROR(__xludf.DUMMYFUNCTION("""COMPUTED_VALUE"""),"C;C++;Python")</f>
        <v>C;C++;Python</v>
      </c>
      <c r="C790" s="9" t="str">
        <f>IFERROR(__xludf.DUMMYFUNCTION("""COMPUTED_VALUE"""),"TypeScript")</f>
        <v>TypeScript</v>
      </c>
      <c r="D790" s="9" t="str">
        <f>IFERROR(__xludf.DUMMYFUNCTION("""COMPUTED_VALUE"""),"JavaScript")</f>
        <v>JavaScript</v>
      </c>
      <c r="E790" s="9" t="str">
        <f>IFERROR(__xludf.DUMMYFUNCTION("""COMPUTED_VALUE"""),"PHP")</f>
        <v>PHP</v>
      </c>
      <c r="F790" s="9" t="str">
        <f>IFERROR(__xludf.DUMMYFUNCTION("""COMPUTED_VALUE"""),"HTML/CSS")</f>
        <v>HTML/CSS</v>
      </c>
      <c r="G790" s="9" t="str">
        <f>IFERROR(__xludf.DUMMYFUNCTION("""COMPUTED_VALUE"""),"JavaScript")</f>
        <v>JavaScript</v>
      </c>
      <c r="H790" s="9" t="str">
        <f>IFERROR(__xludf.DUMMYFUNCTION("""COMPUTED_VALUE"""),"C#")</f>
        <v>C#</v>
      </c>
      <c r="I790" s="9" t="str">
        <f>IFERROR(__xludf.DUMMYFUNCTION("""COMPUTED_VALUE"""),"PHP")</f>
        <v>PHP</v>
      </c>
      <c r="J790" s="9" t="str">
        <f>IFERROR(__xludf.DUMMYFUNCTION("""COMPUTED_VALUE"""),"C++")</f>
        <v>C++</v>
      </c>
      <c r="K790" s="9" t="str">
        <f>IFERROR(__xludf.DUMMYFUNCTION("""COMPUTED_VALUE"""),"SQL")</f>
        <v>SQL</v>
      </c>
      <c r="L790" s="9" t="str">
        <f>IFERROR(__xludf.DUMMYFUNCTION("""COMPUTED_VALUE"""),"PHP")</f>
        <v>PHP</v>
      </c>
      <c r="M790" s="9" t="s">
        <v>33</v>
      </c>
    </row>
    <row r="791" ht="15.75" customHeight="1">
      <c r="A791" s="7"/>
      <c r="B791" s="7" t="str">
        <f>IFERROR(__xludf.DUMMYFUNCTION("""COMPUTED_VALUE"""),"JavaScript;PHP;SQL")</f>
        <v>JavaScript;PHP;SQL</v>
      </c>
      <c r="C791" s="9" t="str">
        <f>IFERROR(__xludf.DUMMYFUNCTION("""COMPUTED_VALUE"""),"Bash/Shell/PowerShell")</f>
        <v>Bash/Shell/PowerShell</v>
      </c>
      <c r="D791" s="9" t="str">
        <f>IFERROR(__xludf.DUMMYFUNCTION("""COMPUTED_VALUE"""),"Ruby")</f>
        <v>Ruby</v>
      </c>
      <c r="E791" s="9" t="str">
        <f>IFERROR(__xludf.DUMMYFUNCTION("""COMPUTED_VALUE"""),"Python")</f>
        <v>Python</v>
      </c>
      <c r="F791" s="9" t="str">
        <f>IFERROR(__xludf.DUMMYFUNCTION("""COMPUTED_VALUE"""),"PHP")</f>
        <v>PHP</v>
      </c>
      <c r="G791" s="9" t="str">
        <f>IFERROR(__xludf.DUMMYFUNCTION("""COMPUTED_VALUE"""),"SQL")</f>
        <v>SQL</v>
      </c>
      <c r="H791" s="9" t="str">
        <f>IFERROR(__xludf.DUMMYFUNCTION("""COMPUTED_VALUE"""),"HTML/CSS")</f>
        <v>HTML/CSS</v>
      </c>
      <c r="I791" s="9" t="str">
        <f>IFERROR(__xludf.DUMMYFUNCTION("""COMPUTED_VALUE"""),"SQL")</f>
        <v>SQL</v>
      </c>
      <c r="J791" s="9" t="str">
        <f>IFERROR(__xludf.DUMMYFUNCTION("""COMPUTED_VALUE"""),"Python")</f>
        <v>Python</v>
      </c>
      <c r="K791" s="9" t="str">
        <f>IFERROR(__xludf.DUMMYFUNCTION("""COMPUTED_VALUE"""),"Objective-C")</f>
        <v>Objective-C</v>
      </c>
      <c r="L791" s="9" t="str">
        <f>IFERROR(__xludf.DUMMYFUNCTION("""COMPUTED_VALUE"""),"SQL")</f>
        <v>SQL</v>
      </c>
      <c r="M791" s="9" t="s">
        <v>30</v>
      </c>
    </row>
    <row r="792" ht="15.75" customHeight="1">
      <c r="A792" s="7"/>
      <c r="B792" s="7" t="str">
        <f>IFERROR(__xludf.DUMMYFUNCTION("""COMPUTED_VALUE"""),"HTML/CSS;Java;JavaScript;SQL")</f>
        <v>HTML/CSS;Java;JavaScript;SQL</v>
      </c>
      <c r="C792" s="9" t="str">
        <f>IFERROR(__xludf.DUMMYFUNCTION("""COMPUTED_VALUE"""),"Python")</f>
        <v>Python</v>
      </c>
      <c r="D792" s="9" t="str">
        <f>IFERROR(__xludf.DUMMYFUNCTION("""COMPUTED_VALUE"""),"HTML/CSS")</f>
        <v>HTML/CSS</v>
      </c>
      <c r="E792" s="9" t="str">
        <f>IFERROR(__xludf.DUMMYFUNCTION("""COMPUTED_VALUE"""),"R")</f>
        <v>R</v>
      </c>
      <c r="F792" s="9" t="str">
        <f>IFERROR(__xludf.DUMMYFUNCTION("""COMPUTED_VALUE"""),"Python")</f>
        <v>Python</v>
      </c>
      <c r="G792" s="9" t="str">
        <f>IFERROR(__xludf.DUMMYFUNCTION("""COMPUTED_VALUE"""),"TypeScript")</f>
        <v>TypeScript</v>
      </c>
      <c r="H792" s="9" t="str">
        <f>IFERROR(__xludf.DUMMYFUNCTION("""COMPUTED_VALUE"""),"JavaScript")</f>
        <v>JavaScript</v>
      </c>
      <c r="I792" s="9" t="str">
        <f>IFERROR(__xludf.DUMMYFUNCTION("""COMPUTED_VALUE"""),"Swift")</f>
        <v>Swift</v>
      </c>
      <c r="J792" s="9" t="str">
        <f>IFERROR(__xludf.DUMMYFUNCTION("""COMPUTED_VALUE"""),"Scala")</f>
        <v>Scala</v>
      </c>
      <c r="K792" s="9" t="str">
        <f>IFERROR(__xludf.DUMMYFUNCTION("""COMPUTED_VALUE"""),"Ruby")</f>
        <v>Ruby</v>
      </c>
      <c r="L792" s="9" t="str">
        <f>IFERROR(__xludf.DUMMYFUNCTION("""COMPUTED_VALUE"""),"VBA")</f>
        <v>VBA</v>
      </c>
      <c r="M792" s="9" t="s">
        <v>22</v>
      </c>
    </row>
    <row r="793" ht="15.75" customHeight="1">
      <c r="A793" s="7"/>
      <c r="B793" s="7" t="str">
        <f>IFERROR(__xludf.DUMMYFUNCTION("""COMPUTED_VALUE"""),"Bash/Shell/PowerShell;C#;HTML/CSS;JavaScript;PHP;SQL")</f>
        <v>Bash/Shell/PowerShell;C#;HTML/CSS;JavaScript;PHP;SQL</v>
      </c>
      <c r="C793" s="9" t="str">
        <f>IFERROR(__xludf.DUMMYFUNCTION("""COMPUTED_VALUE"""),"Bash/Shell/PowerShell")</f>
        <v>Bash/Shell/PowerShell</v>
      </c>
      <c r="D793" s="9" t="str">
        <f>IFERROR(__xludf.DUMMYFUNCTION("""COMPUTED_VALUE"""),"Java")</f>
        <v>Java</v>
      </c>
      <c r="E793" s="9" t="str">
        <f>IFERROR(__xludf.DUMMYFUNCTION("""COMPUTED_VALUE"""),"Scala")</f>
        <v>Scala</v>
      </c>
      <c r="F793" s="9" t="str">
        <f>IFERROR(__xludf.DUMMYFUNCTION("""COMPUTED_VALUE"""),"Ruby")</f>
        <v>Ruby</v>
      </c>
      <c r="G793" s="9" t="str">
        <f>IFERROR(__xludf.DUMMYFUNCTION("""COMPUTED_VALUE"""),"C#")</f>
        <v>C#</v>
      </c>
      <c r="H793" s="9" t="str">
        <f>IFERROR(__xludf.DUMMYFUNCTION("""COMPUTED_VALUE"""),"PHP")</f>
        <v>PHP</v>
      </c>
      <c r="I793" s="9" t="str">
        <f>IFERROR(__xludf.DUMMYFUNCTION("""COMPUTED_VALUE"""),"TypeScript")</f>
        <v>TypeScript</v>
      </c>
      <c r="J793" s="9" t="str">
        <f>IFERROR(__xludf.DUMMYFUNCTION("""COMPUTED_VALUE"""),"SQL")</f>
        <v>SQL</v>
      </c>
      <c r="K793" s="9" t="str">
        <f>IFERROR(__xludf.DUMMYFUNCTION("""COMPUTED_VALUE"""),"Swift")</f>
        <v>Swift</v>
      </c>
      <c r="L793" s="9" t="str">
        <f>IFERROR(__xludf.DUMMYFUNCTION("""COMPUTED_VALUE"""),"C#")</f>
        <v>C#</v>
      </c>
      <c r="M793" s="9" t="s">
        <v>30</v>
      </c>
    </row>
    <row r="794" ht="15.75" customHeight="1">
      <c r="A794" s="7"/>
      <c r="B794" s="7" t="str">
        <f>IFERROR(__xludf.DUMMYFUNCTION("""COMPUTED_VALUE"""),"Assembly;Bash/Shell/PowerShell;C;C++;Java;JavaScript;Python;SQL")</f>
        <v>Assembly;Bash/Shell/PowerShell;C;C++;Java;JavaScript;Python;SQL</v>
      </c>
      <c r="C794" s="9" t="str">
        <f>IFERROR(__xludf.DUMMYFUNCTION("""COMPUTED_VALUE"""),"C#")</f>
        <v>C#</v>
      </c>
      <c r="D794" s="9" t="str">
        <f>IFERROR(__xludf.DUMMYFUNCTION("""COMPUTED_VALUE"""),"JavaScript")</f>
        <v>JavaScript</v>
      </c>
      <c r="E794" s="9" t="str">
        <f>IFERROR(__xludf.DUMMYFUNCTION("""COMPUTED_VALUE"""),"SQL")</f>
        <v>SQL</v>
      </c>
      <c r="F794" s="9" t="str">
        <f>IFERROR(__xludf.DUMMYFUNCTION("""COMPUTED_VALUE"""),"SQL")</f>
        <v>SQL</v>
      </c>
      <c r="G794" s="9" t="str">
        <f>IFERROR(__xludf.DUMMYFUNCTION("""COMPUTED_VALUE"""),"JavaScript")</f>
        <v>JavaScript</v>
      </c>
      <c r="H794" s="9" t="str">
        <f>IFERROR(__xludf.DUMMYFUNCTION("""COMPUTED_VALUE"""),"Python")</f>
        <v>Python</v>
      </c>
      <c r="I794" s="9" t="str">
        <f>IFERROR(__xludf.DUMMYFUNCTION("""COMPUTED_VALUE"""),"Assembly")</f>
        <v>Assembly</v>
      </c>
      <c r="J794" s="9" t="str">
        <f>IFERROR(__xludf.DUMMYFUNCTION("""COMPUTED_VALUE"""),"Assembly")</f>
        <v>Assembly</v>
      </c>
      <c r="K794" s="9" t="str">
        <f>IFERROR(__xludf.DUMMYFUNCTION("""COMPUTED_VALUE"""),"HTML/CSS")</f>
        <v>HTML/CSS</v>
      </c>
      <c r="L794" s="9" t="str">
        <f>IFERROR(__xludf.DUMMYFUNCTION("""COMPUTED_VALUE"""),"C#")</f>
        <v>C#</v>
      </c>
      <c r="M794" s="9" t="s">
        <v>26</v>
      </c>
    </row>
    <row r="795" ht="15.75" customHeight="1">
      <c r="A795" s="7"/>
      <c r="B795" s="7" t="str">
        <f>IFERROR(__xludf.DUMMYFUNCTION("""COMPUTED_VALUE"""),"Bash/Shell/PowerShell;HTML/CSS;JavaScript;PHP")</f>
        <v>Bash/Shell/PowerShell;HTML/CSS;JavaScript;PHP</v>
      </c>
      <c r="C795" s="9" t="str">
        <f>IFERROR(__xludf.DUMMYFUNCTION("""COMPUTED_VALUE"""),"HTML/CSS")</f>
        <v>HTML/CSS</v>
      </c>
      <c r="D795" s="9" t="str">
        <f>IFERROR(__xludf.DUMMYFUNCTION("""COMPUTED_VALUE"""),"SQL")</f>
        <v>SQL</v>
      </c>
      <c r="E795" s="9" t="str">
        <f>IFERROR(__xludf.DUMMYFUNCTION("""COMPUTED_VALUE"""),"HTML/CSS")</f>
        <v>HTML/CSS</v>
      </c>
      <c r="F795" s="9" t="str">
        <f>IFERROR(__xludf.DUMMYFUNCTION("""COMPUTED_VALUE"""),"Java")</f>
        <v>Java</v>
      </c>
      <c r="G795" s="9" t="str">
        <f>IFERROR(__xludf.DUMMYFUNCTION("""COMPUTED_VALUE"""),"Python")</f>
        <v>Python</v>
      </c>
      <c r="H795" s="9" t="str">
        <f>IFERROR(__xludf.DUMMYFUNCTION("""COMPUTED_VALUE"""),"Bash/Shell/PowerShell")</f>
        <v>Bash/Shell/PowerShell</v>
      </c>
      <c r="I795" s="9" t="str">
        <f>IFERROR(__xludf.DUMMYFUNCTION("""COMPUTED_VALUE"""),"Bash/Shell/PowerShell")</f>
        <v>Bash/Shell/PowerShell</v>
      </c>
      <c r="J795" s="9" t="str">
        <f>IFERROR(__xludf.DUMMYFUNCTION("""COMPUTED_VALUE"""),"Bash/Shell/PowerShell")</f>
        <v>Bash/Shell/PowerShell</v>
      </c>
      <c r="K795" s="9" t="str">
        <f>IFERROR(__xludf.DUMMYFUNCTION("""COMPUTED_VALUE"""),"Java")</f>
        <v>Java</v>
      </c>
      <c r="L795" s="9" t="str">
        <f>IFERROR(__xludf.DUMMYFUNCTION("""COMPUTED_VALUE"""),"Bash/Shell/PowerShell")</f>
        <v>Bash/Shell/PowerShell</v>
      </c>
      <c r="M795" s="9" t="s">
        <v>24</v>
      </c>
    </row>
    <row r="796" ht="15.75" customHeight="1">
      <c r="A796" s="7"/>
      <c r="B796" s="7" t="str">
        <f>IFERROR(__xludf.DUMMYFUNCTION("""COMPUTED_VALUE"""),"Java;JavaScript")</f>
        <v>Java;JavaScript</v>
      </c>
      <c r="C796" s="9" t="str">
        <f>IFERROR(__xludf.DUMMYFUNCTION("""COMPUTED_VALUE"""),"JavaScript")</f>
        <v>JavaScript</v>
      </c>
      <c r="D796" s="9" t="str">
        <f>IFERROR(__xludf.DUMMYFUNCTION("""COMPUTED_VALUE"""),"TypeScript")</f>
        <v>TypeScript</v>
      </c>
      <c r="E796" s="9" t="str">
        <f>IFERROR(__xludf.DUMMYFUNCTION("""COMPUTED_VALUE"""),"JavaScript")</f>
        <v>JavaScript</v>
      </c>
      <c r="F796" s="9" t="str">
        <f>IFERROR(__xludf.DUMMYFUNCTION("""COMPUTED_VALUE"""),"Kotlin")</f>
        <v>Kotlin</v>
      </c>
      <c r="G796" s="9" t="str">
        <f>IFERROR(__xludf.DUMMYFUNCTION("""COMPUTED_VALUE"""),"SQL")</f>
        <v>SQL</v>
      </c>
      <c r="H796" s="9" t="str">
        <f>IFERROR(__xludf.DUMMYFUNCTION("""COMPUTED_VALUE"""),"Dart")</f>
        <v>Dart</v>
      </c>
      <c r="I796" s="9" t="str">
        <f>IFERROR(__xludf.DUMMYFUNCTION("""COMPUTED_VALUE"""),"C")</f>
        <v>C</v>
      </c>
      <c r="J796" s="9" t="str">
        <f>IFERROR(__xludf.DUMMYFUNCTION("""COMPUTED_VALUE"""),"C")</f>
        <v>C</v>
      </c>
      <c r="K796" s="9" t="str">
        <f>IFERROR(__xludf.DUMMYFUNCTION("""COMPUTED_VALUE"""),"JavaScript")</f>
        <v>JavaScript</v>
      </c>
      <c r="L796" s="9" t="str">
        <f>IFERROR(__xludf.DUMMYFUNCTION("""COMPUTED_VALUE"""),"C#")</f>
        <v>C#</v>
      </c>
      <c r="M796" s="9" t="s">
        <v>21</v>
      </c>
    </row>
    <row r="797" ht="15.75" customHeight="1">
      <c r="A797" s="7"/>
      <c r="B797" s="7" t="str">
        <f>IFERROR(__xludf.DUMMYFUNCTION("""COMPUTED_VALUE"""),"Python;SQL")</f>
        <v>Python;SQL</v>
      </c>
      <c r="C797" s="9" t="str">
        <f>IFERROR(__xludf.DUMMYFUNCTION("""COMPUTED_VALUE"""),"SQL")</f>
        <v>SQL</v>
      </c>
      <c r="D797" s="9" t="str">
        <f>IFERROR(__xludf.DUMMYFUNCTION("""COMPUTED_VALUE"""),"Bash/Shell/PowerShell")</f>
        <v>Bash/Shell/PowerShell</v>
      </c>
      <c r="E797" s="9" t="str">
        <f>IFERROR(__xludf.DUMMYFUNCTION("""COMPUTED_VALUE"""),"TypeScript")</f>
        <v>TypeScript</v>
      </c>
      <c r="F797" s="9" t="str">
        <f>IFERROR(__xludf.DUMMYFUNCTION("""COMPUTED_VALUE"""),"SQL")</f>
        <v>SQL</v>
      </c>
      <c r="G797" s="9" t="str">
        <f>IFERROR(__xludf.DUMMYFUNCTION("""COMPUTED_VALUE"""),"TypeScript")</f>
        <v>TypeScript</v>
      </c>
      <c r="H797" s="9" t="str">
        <f>IFERROR(__xludf.DUMMYFUNCTION("""COMPUTED_VALUE"""),"HTML/CSS")</f>
        <v>HTML/CSS</v>
      </c>
      <c r="I797" s="9" t="str">
        <f>IFERROR(__xludf.DUMMYFUNCTION("""COMPUTED_VALUE"""),"C++")</f>
        <v>C++</v>
      </c>
      <c r="J797" s="9" t="str">
        <f>IFERROR(__xludf.DUMMYFUNCTION("""COMPUTED_VALUE"""),"C++")</f>
        <v>C++</v>
      </c>
      <c r="K797" s="9" t="str">
        <f>IFERROR(__xludf.DUMMYFUNCTION("""COMPUTED_VALUE"""),"SQL")</f>
        <v>SQL</v>
      </c>
      <c r="L797" s="9" t="str">
        <f>IFERROR(__xludf.DUMMYFUNCTION("""COMPUTED_VALUE"""),"HTML/CSS")</f>
        <v>HTML/CSS</v>
      </c>
      <c r="M797" s="9" t="s">
        <v>27</v>
      </c>
    </row>
    <row r="798" ht="15.75" customHeight="1">
      <c r="A798" s="7"/>
      <c r="B798" s="7" t="str">
        <f>IFERROR(__xludf.DUMMYFUNCTION("""COMPUTED_VALUE"""),"Bash/Shell/PowerShell;C++;JavaScript")</f>
        <v>Bash/Shell/PowerShell;C++;JavaScript</v>
      </c>
      <c r="C798" s="9" t="str">
        <f>IFERROR(__xludf.DUMMYFUNCTION("""COMPUTED_VALUE"""),"Java")</f>
        <v>Java</v>
      </c>
      <c r="D798" s="9" t="str">
        <f>IFERROR(__xludf.DUMMYFUNCTION("""COMPUTED_VALUE"""),"HTML/CSS")</f>
        <v>HTML/CSS</v>
      </c>
      <c r="E798" s="9" t="str">
        <f>IFERROR(__xludf.DUMMYFUNCTION("""COMPUTED_VALUE"""),"Bash/Shell/PowerShell")</f>
        <v>Bash/Shell/PowerShell</v>
      </c>
      <c r="F798" s="9" t="str">
        <f>IFERROR(__xludf.DUMMYFUNCTION("""COMPUTED_VALUE"""),"Java")</f>
        <v>Java</v>
      </c>
      <c r="G798" s="9" t="str">
        <f>IFERROR(__xludf.DUMMYFUNCTION("""COMPUTED_VALUE"""),"Bash/Shell/PowerShell")</f>
        <v>Bash/Shell/PowerShell</v>
      </c>
      <c r="H798" s="9" t="str">
        <f>IFERROR(__xludf.DUMMYFUNCTION("""COMPUTED_VALUE"""),"Java")</f>
        <v>Java</v>
      </c>
      <c r="I798" s="9" t="str">
        <f>IFERROR(__xludf.DUMMYFUNCTION("""COMPUTED_VALUE"""),"Erlang")</f>
        <v>Erlang</v>
      </c>
      <c r="J798" s="9" t="str">
        <f>IFERROR(__xludf.DUMMYFUNCTION("""COMPUTED_VALUE"""),"C#")</f>
        <v>C#</v>
      </c>
      <c r="K798" s="9" t="str">
        <f>IFERROR(__xludf.DUMMYFUNCTION("""COMPUTED_VALUE"""),"TypeScript")</f>
        <v>TypeScript</v>
      </c>
      <c r="L798" s="9" t="str">
        <f>IFERROR(__xludf.DUMMYFUNCTION("""COMPUTED_VALUE"""),"JavaScript")</f>
        <v>JavaScript</v>
      </c>
      <c r="M798" s="9" t="s">
        <v>20</v>
      </c>
    </row>
    <row r="799" ht="15.75" customHeight="1">
      <c r="A799" s="7"/>
      <c r="B799" s="7" t="str">
        <f>IFERROR(__xludf.DUMMYFUNCTION("""COMPUTED_VALUE"""),"HTML/CSS;Java;JavaScript;SQL")</f>
        <v>HTML/CSS;Java;JavaScript;SQL</v>
      </c>
      <c r="C799" s="9" t="str">
        <f>IFERROR(__xludf.DUMMYFUNCTION("""COMPUTED_VALUE"""),"SQL")</f>
        <v>SQL</v>
      </c>
      <c r="D799" s="9" t="str">
        <f>IFERROR(__xludf.DUMMYFUNCTION("""COMPUTED_VALUE"""),"Java")</f>
        <v>Java</v>
      </c>
      <c r="E799" s="9" t="str">
        <f>IFERROR(__xludf.DUMMYFUNCTION("""COMPUTED_VALUE"""),"Python")</f>
        <v>Python</v>
      </c>
      <c r="F799" s="9" t="str">
        <f>IFERROR(__xludf.DUMMYFUNCTION("""COMPUTED_VALUE"""),"Kotlin")</f>
        <v>Kotlin</v>
      </c>
      <c r="G799" s="9" t="str">
        <f>IFERROR(__xludf.DUMMYFUNCTION("""COMPUTED_VALUE"""),"C")</f>
        <v>C</v>
      </c>
      <c r="H799" s="9" t="str">
        <f>IFERROR(__xludf.DUMMYFUNCTION("""COMPUTED_VALUE"""),"JavaScript")</f>
        <v>JavaScript</v>
      </c>
      <c r="I799" s="9" t="str">
        <f>IFERROR(__xludf.DUMMYFUNCTION("""COMPUTED_VALUE"""),"HTML/CSS")</f>
        <v>HTML/CSS</v>
      </c>
      <c r="J799" s="9" t="str">
        <f>IFERROR(__xludf.DUMMYFUNCTION("""COMPUTED_VALUE"""),"HTML/CSS")</f>
        <v>HTML/CSS</v>
      </c>
      <c r="K799" s="9" t="str">
        <f>IFERROR(__xludf.DUMMYFUNCTION("""COMPUTED_VALUE"""),"Python")</f>
        <v>Python</v>
      </c>
      <c r="L799" s="9" t="str">
        <f>IFERROR(__xludf.DUMMYFUNCTION("""COMPUTED_VALUE"""),"TypeScript")</f>
        <v>TypeScript</v>
      </c>
      <c r="M799" s="9" t="s">
        <v>27</v>
      </c>
    </row>
    <row r="800" ht="15.75" customHeight="1">
      <c r="A800" s="7"/>
      <c r="B800" s="7" t="str">
        <f>IFERROR(__xludf.DUMMYFUNCTION("""COMPUTED_VALUE"""),"HTML/CSS;Java;JavaScript;Kotlin;Python")</f>
        <v>HTML/CSS;Java;JavaScript;Kotlin;Python</v>
      </c>
      <c r="C800" s="9" t="str">
        <f>IFERROR(__xludf.DUMMYFUNCTION("""COMPUTED_VALUE"""),"Other(s):")</f>
        <v>Other(s):</v>
      </c>
      <c r="D800" s="9" t="str">
        <f>IFERROR(__xludf.DUMMYFUNCTION("""COMPUTED_VALUE"""),"JavaScript")</f>
        <v>JavaScript</v>
      </c>
      <c r="E800" s="9" t="str">
        <f>IFERROR(__xludf.DUMMYFUNCTION("""COMPUTED_VALUE"""),"Assembly")</f>
        <v>Assembly</v>
      </c>
      <c r="F800" s="9" t="str">
        <f>IFERROR(__xludf.DUMMYFUNCTION("""COMPUTED_VALUE"""),"Python")</f>
        <v>Python</v>
      </c>
      <c r="G800" s="9" t="str">
        <f>IFERROR(__xludf.DUMMYFUNCTION("""COMPUTED_VALUE"""),"C#")</f>
        <v>C#</v>
      </c>
      <c r="H800" s="9" t="str">
        <f>IFERROR(__xludf.DUMMYFUNCTION("""COMPUTED_VALUE"""),"PHP")</f>
        <v>PHP</v>
      </c>
      <c r="I800" s="9" t="str">
        <f>IFERROR(__xludf.DUMMYFUNCTION("""COMPUTED_VALUE"""),"Java")</f>
        <v>Java</v>
      </c>
      <c r="J800" s="9" t="str">
        <f>IFERROR(__xludf.DUMMYFUNCTION("""COMPUTED_VALUE"""),"Java")</f>
        <v>Java</v>
      </c>
      <c r="K800" s="9" t="str">
        <f>IFERROR(__xludf.DUMMYFUNCTION("""COMPUTED_VALUE"""),"C#")</f>
        <v>C#</v>
      </c>
      <c r="L800" s="9" t="str">
        <f>IFERROR(__xludf.DUMMYFUNCTION("""COMPUTED_VALUE"""),"C#")</f>
        <v>C#</v>
      </c>
      <c r="M800" s="9" t="s">
        <v>35</v>
      </c>
    </row>
    <row r="801" ht="15.75" customHeight="1">
      <c r="A801" s="7"/>
      <c r="B801" s="7" t="str">
        <f>IFERROR(__xludf.DUMMYFUNCTION("""COMPUTED_VALUE"""),"Bash/Shell/PowerShell;C;C++;C#;JavaScript")</f>
        <v>Bash/Shell/PowerShell;C;C++;C#;JavaScript</v>
      </c>
      <c r="C801" s="9" t="str">
        <f>IFERROR(__xludf.DUMMYFUNCTION("""COMPUTED_VALUE"""),"Bash/Shell/PowerShell")</f>
        <v>Bash/Shell/PowerShell</v>
      </c>
      <c r="D801" s="9" t="str">
        <f>IFERROR(__xludf.DUMMYFUNCTION("""COMPUTED_VALUE"""),"Python")</f>
        <v>Python</v>
      </c>
      <c r="E801" s="9" t="str">
        <f>IFERROR(__xludf.DUMMYFUNCTION("""COMPUTED_VALUE"""),"Python")</f>
        <v>Python</v>
      </c>
      <c r="F801" s="9" t="str">
        <f>IFERROR(__xludf.DUMMYFUNCTION("""COMPUTED_VALUE"""),"SQL")</f>
        <v>SQL</v>
      </c>
      <c r="G801" s="9" t="str">
        <f>IFERROR(__xludf.DUMMYFUNCTION("""COMPUTED_VALUE"""),"F#")</f>
        <v>F#</v>
      </c>
      <c r="H801" s="9" t="str">
        <f>IFERROR(__xludf.DUMMYFUNCTION("""COMPUTED_VALUE"""),"SQL")</f>
        <v>SQL</v>
      </c>
      <c r="I801" s="9" t="str">
        <f>IFERROR(__xludf.DUMMYFUNCTION("""COMPUTED_VALUE"""),"JavaScript")</f>
        <v>JavaScript</v>
      </c>
      <c r="J801" s="9" t="str">
        <f>IFERROR(__xludf.DUMMYFUNCTION("""COMPUTED_VALUE"""),"JavaScript")</f>
        <v>JavaScript</v>
      </c>
      <c r="K801" s="9" t="str">
        <f>IFERROR(__xludf.DUMMYFUNCTION("""COMPUTED_VALUE"""),"HTML/CSS")</f>
        <v>HTML/CSS</v>
      </c>
      <c r="L801" s="9" t="str">
        <f>IFERROR(__xludf.DUMMYFUNCTION("""COMPUTED_VALUE"""),"JavaScript")</f>
        <v>JavaScript</v>
      </c>
      <c r="M801" s="9" t="s">
        <v>30</v>
      </c>
    </row>
    <row r="802" ht="15.75" customHeight="1">
      <c r="A802" s="7"/>
      <c r="B802" s="7" t="str">
        <f>IFERROR(__xludf.DUMMYFUNCTION("""COMPUTED_VALUE"""),"C#;HTML/CSS;JavaScript;SQL;TypeScript")</f>
        <v>C#;HTML/CSS;JavaScript;SQL;TypeScript</v>
      </c>
      <c r="C802" s="9" t="str">
        <f>IFERROR(__xludf.DUMMYFUNCTION("""COMPUTED_VALUE"""),"HTML/CSS")</f>
        <v>HTML/CSS</v>
      </c>
      <c r="D802" s="9" t="str">
        <f>IFERROR(__xludf.DUMMYFUNCTION("""COMPUTED_VALUE"""),"SQL")</f>
        <v>SQL</v>
      </c>
      <c r="E802" s="9" t="str">
        <f>IFERROR(__xludf.DUMMYFUNCTION("""COMPUTED_VALUE"""),"Go")</f>
        <v>Go</v>
      </c>
      <c r="F802" s="9" t="str">
        <f>IFERROR(__xludf.DUMMYFUNCTION("""COMPUTED_VALUE"""),"C#")</f>
        <v>C#</v>
      </c>
      <c r="G802" s="9" t="str">
        <f>IFERROR(__xludf.DUMMYFUNCTION("""COMPUTED_VALUE"""),"Go")</f>
        <v>Go</v>
      </c>
      <c r="H802" s="9" t="str">
        <f>IFERROR(__xludf.DUMMYFUNCTION("""COMPUTED_VALUE"""),"TypeScript")</f>
        <v>TypeScript</v>
      </c>
      <c r="I802" s="9" t="str">
        <f>IFERROR(__xludf.DUMMYFUNCTION("""COMPUTED_VALUE"""),"PHP")</f>
        <v>PHP</v>
      </c>
      <c r="J802" s="9" t="str">
        <f>IFERROR(__xludf.DUMMYFUNCTION("""COMPUTED_VALUE"""),"Objective-C")</f>
        <v>Objective-C</v>
      </c>
      <c r="K802" s="9" t="str">
        <f>IFERROR(__xludf.DUMMYFUNCTION("""COMPUTED_VALUE"""),"Java")</f>
        <v>Java</v>
      </c>
      <c r="L802" s="9" t="str">
        <f>IFERROR(__xludf.DUMMYFUNCTION("""COMPUTED_VALUE"""),"TypeScript")</f>
        <v>TypeScript</v>
      </c>
      <c r="M802" s="9" t="s">
        <v>24</v>
      </c>
    </row>
    <row r="803" ht="15.75" customHeight="1">
      <c r="A803" s="7"/>
      <c r="B803" s="7" t="str">
        <f>IFERROR(__xludf.DUMMYFUNCTION("""COMPUTED_VALUE"""),"HTML/CSS;Java")</f>
        <v>HTML/CSS;Java</v>
      </c>
      <c r="C803" s="9" t="str">
        <f>IFERROR(__xludf.DUMMYFUNCTION("""COMPUTED_VALUE"""),"JavaScript")</f>
        <v>JavaScript</v>
      </c>
      <c r="D803" s="9" t="str">
        <f>IFERROR(__xludf.DUMMYFUNCTION("""COMPUTED_VALUE"""),"Bash/Shell/PowerShell")</f>
        <v>Bash/Shell/PowerShell</v>
      </c>
      <c r="E803" s="9" t="str">
        <f>IFERROR(__xludf.DUMMYFUNCTION("""COMPUTED_VALUE"""),"Java")</f>
        <v>Java</v>
      </c>
      <c r="F803" s="9" t="str">
        <f>IFERROR(__xludf.DUMMYFUNCTION("""COMPUTED_VALUE"""),"HTML/CSS")</f>
        <v>HTML/CSS</v>
      </c>
      <c r="G803" s="9" t="str">
        <f>IFERROR(__xludf.DUMMYFUNCTION("""COMPUTED_VALUE"""),"JavaScript")</f>
        <v>JavaScript</v>
      </c>
      <c r="H803" s="9" t="str">
        <f>IFERROR(__xludf.DUMMYFUNCTION("""COMPUTED_VALUE"""),"Assembly")</f>
        <v>Assembly</v>
      </c>
      <c r="I803" s="9" t="str">
        <f>IFERROR(__xludf.DUMMYFUNCTION("""COMPUTED_VALUE"""),"Scala")</f>
        <v>Scala</v>
      </c>
      <c r="J803" s="9" t="str">
        <f>IFERROR(__xludf.DUMMYFUNCTION("""COMPUTED_VALUE"""),"PHP")</f>
        <v>PHP</v>
      </c>
      <c r="K803" s="9" t="str">
        <f>IFERROR(__xludf.DUMMYFUNCTION("""COMPUTED_VALUE"""),"JavaScript")</f>
        <v>JavaScript</v>
      </c>
      <c r="L803" s="9" t="str">
        <f>IFERROR(__xludf.DUMMYFUNCTION("""COMPUTED_VALUE"""),"HTML/CSS")</f>
        <v>HTML/CSS</v>
      </c>
      <c r="M803" s="9" t="s">
        <v>21</v>
      </c>
    </row>
    <row r="804" ht="15.75" customHeight="1">
      <c r="A804" s="7"/>
      <c r="B804" s="7" t="str">
        <f>IFERROR(__xludf.DUMMYFUNCTION("""COMPUTED_VALUE"""),"Bash/Shell/PowerShell;C#;JavaScript;SQL;Other(s):")</f>
        <v>Bash/Shell/PowerShell;C#;JavaScript;SQL;Other(s):</v>
      </c>
      <c r="C804" s="9" t="str">
        <f>IFERROR(__xludf.DUMMYFUNCTION("""COMPUTED_VALUE"""),"Python")</f>
        <v>Python</v>
      </c>
      <c r="D804" s="9" t="str">
        <f>IFERROR(__xludf.DUMMYFUNCTION("""COMPUTED_VALUE"""),"HTML/CSS")</f>
        <v>HTML/CSS</v>
      </c>
      <c r="E804" s="9" t="str">
        <f>IFERROR(__xludf.DUMMYFUNCTION("""COMPUTED_VALUE"""),"JavaScript")</f>
        <v>JavaScript</v>
      </c>
      <c r="F804" s="9" t="str">
        <f>IFERROR(__xludf.DUMMYFUNCTION("""COMPUTED_VALUE"""),"Java")</f>
        <v>Java</v>
      </c>
      <c r="G804" s="9" t="str">
        <f>IFERROR(__xludf.DUMMYFUNCTION("""COMPUTED_VALUE"""),"SQL")</f>
        <v>SQL</v>
      </c>
      <c r="H804" s="9" t="str">
        <f>IFERROR(__xludf.DUMMYFUNCTION("""COMPUTED_VALUE"""),"Bash/Shell/PowerShell")</f>
        <v>Bash/Shell/PowerShell</v>
      </c>
      <c r="I804" s="9" t="str">
        <f>IFERROR(__xludf.DUMMYFUNCTION("""COMPUTED_VALUE"""),"SQL")</f>
        <v>SQL</v>
      </c>
      <c r="J804" s="9" t="str">
        <f>IFERROR(__xludf.DUMMYFUNCTION("""COMPUTED_VALUE"""),"Python")</f>
        <v>Python</v>
      </c>
      <c r="K804" s="9" t="str">
        <f>IFERROR(__xludf.DUMMYFUNCTION("""COMPUTED_VALUE"""),"SQL")</f>
        <v>SQL</v>
      </c>
      <c r="L804" s="9" t="str">
        <f>IFERROR(__xludf.DUMMYFUNCTION("""COMPUTED_VALUE"""),"JavaScript")</f>
        <v>JavaScript</v>
      </c>
      <c r="M804" s="9" t="s">
        <v>22</v>
      </c>
    </row>
    <row r="805" ht="15.75" customHeight="1">
      <c r="A805" s="7"/>
      <c r="B805" s="7" t="str">
        <f>IFERROR(__xludf.DUMMYFUNCTION("""COMPUTED_VALUE"""),"HTML/CSS;Objective-C")</f>
        <v>HTML/CSS;Objective-C</v>
      </c>
      <c r="C805" s="9" t="str">
        <f>IFERROR(__xludf.DUMMYFUNCTION("""COMPUTED_VALUE"""),"C#")</f>
        <v>C#</v>
      </c>
      <c r="D805" s="9" t="str">
        <f>IFERROR(__xludf.DUMMYFUNCTION("""COMPUTED_VALUE"""),"JavaScript")</f>
        <v>JavaScript</v>
      </c>
      <c r="E805" s="9" t="str">
        <f>IFERROR(__xludf.DUMMYFUNCTION("""COMPUTED_VALUE"""),"PHP")</f>
        <v>PHP</v>
      </c>
      <c r="F805" s="9" t="str">
        <f>IFERROR(__xludf.DUMMYFUNCTION("""COMPUTED_VALUE"""),"JavaScript")</f>
        <v>JavaScript</v>
      </c>
      <c r="G805" s="9" t="str">
        <f>IFERROR(__xludf.DUMMYFUNCTION("""COMPUTED_VALUE"""),"Bash/Shell/PowerShell")</f>
        <v>Bash/Shell/PowerShell</v>
      </c>
      <c r="H805" s="9" t="str">
        <f>IFERROR(__xludf.DUMMYFUNCTION("""COMPUTED_VALUE"""),"C")</f>
        <v>C</v>
      </c>
      <c r="I805" s="9" t="str">
        <f>IFERROR(__xludf.DUMMYFUNCTION("""COMPUTED_VALUE"""),"JavaScript")</f>
        <v>JavaScript</v>
      </c>
      <c r="J805" s="9" t="str">
        <f>IFERROR(__xludf.DUMMYFUNCTION("""COMPUTED_VALUE"""),"R")</f>
        <v>R</v>
      </c>
      <c r="K805" s="9" t="str">
        <f>IFERROR(__xludf.DUMMYFUNCTION("""COMPUTED_VALUE"""),"Bash/Shell/PowerShell")</f>
        <v>Bash/Shell/PowerShell</v>
      </c>
      <c r="L805" s="9" t="str">
        <f>IFERROR(__xludf.DUMMYFUNCTION("""COMPUTED_VALUE"""),"TypeScript")</f>
        <v>TypeScript</v>
      </c>
      <c r="M805" s="9" t="s">
        <v>26</v>
      </c>
    </row>
    <row r="806" ht="15.75" customHeight="1">
      <c r="A806" s="7"/>
      <c r="B806" s="7" t="str">
        <f>IFERROR(__xludf.DUMMYFUNCTION("""COMPUTED_VALUE"""),"HTML/CSS;JavaScript;PHP;SQL;Swift")</f>
        <v>HTML/CSS;JavaScript;PHP;SQL;Swift</v>
      </c>
      <c r="C806" s="9" t="str">
        <f>IFERROR(__xludf.DUMMYFUNCTION("""COMPUTED_VALUE"""),"HTML/CSS")</f>
        <v>HTML/CSS</v>
      </c>
      <c r="D806" s="9" t="str">
        <f>IFERROR(__xludf.DUMMYFUNCTION("""COMPUTED_VALUE"""),"PHP")</f>
        <v>PHP</v>
      </c>
      <c r="E806" s="9" t="str">
        <f>IFERROR(__xludf.DUMMYFUNCTION("""COMPUTED_VALUE"""),"Ruby")</f>
        <v>Ruby</v>
      </c>
      <c r="F806" s="9" t="str">
        <f>IFERROR(__xludf.DUMMYFUNCTION("""COMPUTED_VALUE"""),"SQL")</f>
        <v>SQL</v>
      </c>
      <c r="G806" s="9" t="str">
        <f>IFERROR(__xludf.DUMMYFUNCTION("""COMPUTED_VALUE"""),"C#")</f>
        <v>C#</v>
      </c>
      <c r="H806" s="9" t="str">
        <f>IFERROR(__xludf.DUMMYFUNCTION("""COMPUTED_VALUE"""),"HTML/CSS")</f>
        <v>HTML/CSS</v>
      </c>
      <c r="I806" s="9" t="str">
        <f>IFERROR(__xludf.DUMMYFUNCTION("""COMPUTED_VALUE"""),"SQL")</f>
        <v>SQL</v>
      </c>
      <c r="J806" s="9" t="str">
        <f>IFERROR(__xludf.DUMMYFUNCTION("""COMPUTED_VALUE"""),"SQL")</f>
        <v>SQL</v>
      </c>
      <c r="K806" s="9" t="str">
        <f>IFERROR(__xludf.DUMMYFUNCTION("""COMPUTED_VALUE"""),"C++")</f>
        <v>C++</v>
      </c>
      <c r="L806" s="9" t="str">
        <f>IFERROR(__xludf.DUMMYFUNCTION("""COMPUTED_VALUE"""),"HTML/CSS")</f>
        <v>HTML/CSS</v>
      </c>
      <c r="M806" s="9" t="s">
        <v>24</v>
      </c>
    </row>
    <row r="807" ht="15.75" customHeight="1">
      <c r="A807" s="7"/>
      <c r="B807" s="7" t="str">
        <f>IFERROR(__xludf.DUMMYFUNCTION("""COMPUTED_VALUE"""),"Assembly;Bash/Shell/PowerShell;C;C++;C#;Erlang;Go;HTML/CSS;Java;JavaScript;Python;Ruby;Rust;SQL")</f>
        <v>Assembly;Bash/Shell/PowerShell;C;C++;C#;Erlang;Go;HTML/CSS;Java;JavaScript;Python;Ruby;Rust;SQL</v>
      </c>
      <c r="C807" s="9" t="str">
        <f>IFERROR(__xludf.DUMMYFUNCTION("""COMPUTED_VALUE"""),"JavaScript")</f>
        <v>JavaScript</v>
      </c>
      <c r="D807" s="9" t="str">
        <f>IFERROR(__xludf.DUMMYFUNCTION("""COMPUTED_VALUE"""),"SQL")</f>
        <v>SQL</v>
      </c>
      <c r="E807" s="9" t="str">
        <f>IFERROR(__xludf.DUMMYFUNCTION("""COMPUTED_VALUE"""),"Bash/Shell/PowerShell")</f>
        <v>Bash/Shell/PowerShell</v>
      </c>
      <c r="F807" s="9" t="str">
        <f>IFERROR(__xludf.DUMMYFUNCTION("""COMPUTED_VALUE"""),"TypeScript")</f>
        <v>TypeScript</v>
      </c>
      <c r="G807" s="9" t="str">
        <f>IFERROR(__xludf.DUMMYFUNCTION("""COMPUTED_VALUE"""),"JavaScript")</f>
        <v>JavaScript</v>
      </c>
      <c r="H807" s="9" t="str">
        <f>IFERROR(__xludf.DUMMYFUNCTION("""COMPUTED_VALUE"""),"JavaScript")</f>
        <v>JavaScript</v>
      </c>
      <c r="I807" s="9" t="str">
        <f>IFERROR(__xludf.DUMMYFUNCTION("""COMPUTED_VALUE"""),"Other(s):")</f>
        <v>Other(s):</v>
      </c>
      <c r="J807" s="9" t="str">
        <f>IFERROR(__xludf.DUMMYFUNCTION("""COMPUTED_VALUE"""),"Other(s):")</f>
        <v>Other(s):</v>
      </c>
      <c r="K807" s="9" t="str">
        <f>IFERROR(__xludf.DUMMYFUNCTION("""COMPUTED_VALUE"""),"Python")</f>
        <v>Python</v>
      </c>
      <c r="L807" s="9" t="str">
        <f>IFERROR(__xludf.DUMMYFUNCTION("""COMPUTED_VALUE"""),"JavaScript")</f>
        <v>JavaScript</v>
      </c>
      <c r="M807" s="9" t="s">
        <v>21</v>
      </c>
    </row>
    <row r="808" ht="15.75" customHeight="1">
      <c r="A808" s="7"/>
      <c r="B808" s="7" t="str">
        <f>IFERROR(__xludf.DUMMYFUNCTION("""COMPUTED_VALUE"""),"Bash/Shell/PowerShell;C;C++;HTML/CSS;Java;JavaScript;Kotlin;Python;SQL;TypeScript")</f>
        <v>Bash/Shell/PowerShell;C;C++;HTML/CSS;Java;JavaScript;Kotlin;Python;SQL;TypeScript</v>
      </c>
      <c r="C808" s="9" t="str">
        <f>IFERROR(__xludf.DUMMYFUNCTION("""COMPUTED_VALUE"""),"PHP")</f>
        <v>PHP</v>
      </c>
      <c r="D808" s="9" t="str">
        <f>IFERROR(__xludf.DUMMYFUNCTION("""COMPUTED_VALUE"""),"TypeScript")</f>
        <v>TypeScript</v>
      </c>
      <c r="E808" s="9" t="str">
        <f>IFERROR(__xludf.DUMMYFUNCTION("""COMPUTED_VALUE"""),"C#")</f>
        <v>C#</v>
      </c>
      <c r="F808" s="9" t="str">
        <f>IFERROR(__xludf.DUMMYFUNCTION("""COMPUTED_VALUE"""),"Bash/Shell/PowerShell")</f>
        <v>Bash/Shell/PowerShell</v>
      </c>
      <c r="G808" s="9" t="str">
        <f>IFERROR(__xludf.DUMMYFUNCTION("""COMPUTED_VALUE"""),"PHP")</f>
        <v>PHP</v>
      </c>
      <c r="H808" s="9" t="str">
        <f>IFERROR(__xludf.DUMMYFUNCTION("""COMPUTED_VALUE"""),"Python")</f>
        <v>Python</v>
      </c>
      <c r="I808" s="9" t="str">
        <f>IFERROR(__xludf.DUMMYFUNCTION("""COMPUTED_VALUE"""),"Java")</f>
        <v>Java</v>
      </c>
      <c r="J808" s="9" t="str">
        <f>IFERROR(__xludf.DUMMYFUNCTION("""COMPUTED_VALUE"""),"C")</f>
        <v>C</v>
      </c>
      <c r="K808" s="9" t="str">
        <f>IFERROR(__xludf.DUMMYFUNCTION("""COMPUTED_VALUE"""),"Other(s):")</f>
        <v>Other(s):</v>
      </c>
      <c r="L808" s="9" t="str">
        <f>IFERROR(__xludf.DUMMYFUNCTION("""COMPUTED_VALUE"""),"PHP")</f>
        <v>PHP</v>
      </c>
      <c r="M808" s="9" t="s">
        <v>37</v>
      </c>
    </row>
    <row r="809" ht="15.75" customHeight="1">
      <c r="A809" s="7"/>
      <c r="B809" s="7" t="str">
        <f>IFERROR(__xludf.DUMMYFUNCTION("""COMPUTED_VALUE"""),"Assembly;C;C++;C#;HTML/CSS;Python;TypeScript;Other(s):")</f>
        <v>Assembly;C;C++;C#;HTML/CSS;Python;TypeScript;Other(s):</v>
      </c>
      <c r="C809" s="9" t="str">
        <f>IFERROR(__xludf.DUMMYFUNCTION("""COMPUTED_VALUE"""),"Bash/Shell/PowerShell")</f>
        <v>Bash/Shell/PowerShell</v>
      </c>
      <c r="D809" s="9" t="str">
        <f>IFERROR(__xludf.DUMMYFUNCTION("""COMPUTED_VALUE"""),"Go")</f>
        <v>Go</v>
      </c>
      <c r="E809" s="9" t="str">
        <f>IFERROR(__xludf.DUMMYFUNCTION("""COMPUTED_VALUE"""),"Go")</f>
        <v>Go</v>
      </c>
      <c r="F809" s="9" t="str">
        <f>IFERROR(__xludf.DUMMYFUNCTION("""COMPUTED_VALUE"""),"C#")</f>
        <v>C#</v>
      </c>
      <c r="G809" s="9" t="str">
        <f>IFERROR(__xludf.DUMMYFUNCTION("""COMPUTED_VALUE"""),"SQL")</f>
        <v>SQL</v>
      </c>
      <c r="H809" s="9" t="str">
        <f>IFERROR(__xludf.DUMMYFUNCTION("""COMPUTED_VALUE"""),"SQL")</f>
        <v>SQL</v>
      </c>
      <c r="I809" s="9" t="str">
        <f>IFERROR(__xludf.DUMMYFUNCTION("""COMPUTED_VALUE"""),"JavaScript")</f>
        <v>JavaScript</v>
      </c>
      <c r="J809" s="9" t="str">
        <f>IFERROR(__xludf.DUMMYFUNCTION("""COMPUTED_VALUE"""),"C++")</f>
        <v>C++</v>
      </c>
      <c r="K809" s="9" t="str">
        <f>IFERROR(__xludf.DUMMYFUNCTION("""COMPUTED_VALUE"""),"C++")</f>
        <v>C++</v>
      </c>
      <c r="L809" s="9" t="str">
        <f>IFERROR(__xludf.DUMMYFUNCTION("""COMPUTED_VALUE"""),"SQL")</f>
        <v>SQL</v>
      </c>
      <c r="M809" s="9" t="s">
        <v>30</v>
      </c>
    </row>
    <row r="810" ht="15.75" customHeight="1">
      <c r="A810" s="7"/>
      <c r="B810" s="7" t="str">
        <f>IFERROR(__xludf.DUMMYFUNCTION("""COMPUTED_VALUE"""),"Assembly;C++;HTML/CSS;JavaScript;Python")</f>
        <v>Assembly;C++;HTML/CSS;JavaScript;Python</v>
      </c>
      <c r="C810" s="9" t="str">
        <f>IFERROR(__xludf.DUMMYFUNCTION("""COMPUTED_VALUE"""),"C++")</f>
        <v>C++</v>
      </c>
      <c r="D810" s="9" t="str">
        <f>IFERROR(__xludf.DUMMYFUNCTION("""COMPUTED_VALUE"""),"HTML/CSS")</f>
        <v>HTML/CSS</v>
      </c>
      <c r="E810" s="9" t="str">
        <f>IFERROR(__xludf.DUMMYFUNCTION("""COMPUTED_VALUE"""),"HTML/CSS")</f>
        <v>HTML/CSS</v>
      </c>
      <c r="F810" s="9" t="str">
        <f>IFERROR(__xludf.DUMMYFUNCTION("""COMPUTED_VALUE"""),"HTML/CSS")</f>
        <v>HTML/CSS</v>
      </c>
      <c r="G810" s="9" t="str">
        <f>IFERROR(__xludf.DUMMYFUNCTION("""COMPUTED_VALUE"""),"Other(s):")</f>
        <v>Other(s):</v>
      </c>
      <c r="H810" s="9" t="str">
        <f>IFERROR(__xludf.DUMMYFUNCTION("""COMPUTED_VALUE"""),"Java")</f>
        <v>Java</v>
      </c>
      <c r="I810" s="9" t="str">
        <f>IFERROR(__xludf.DUMMYFUNCTION("""COMPUTED_VALUE"""),"Kotlin")</f>
        <v>Kotlin</v>
      </c>
      <c r="J810" s="9" t="str">
        <f>IFERROR(__xludf.DUMMYFUNCTION("""COMPUTED_VALUE"""),"Java")</f>
        <v>Java</v>
      </c>
      <c r="K810" s="9" t="str">
        <f>IFERROR(__xludf.DUMMYFUNCTION("""COMPUTED_VALUE"""),"C#")</f>
        <v>C#</v>
      </c>
      <c r="L810" s="9" t="str">
        <f>IFERROR(__xludf.DUMMYFUNCTION("""COMPUTED_VALUE"""),"HTML/CSS")</f>
        <v>HTML/CSS</v>
      </c>
      <c r="M810" s="9" t="s">
        <v>23</v>
      </c>
    </row>
    <row r="811" ht="15.75" customHeight="1">
      <c r="A811" s="7"/>
      <c r="B811" s="7" t="str">
        <f>IFERROR(__xludf.DUMMYFUNCTION("""COMPUTED_VALUE"""),"C#")</f>
        <v>C#</v>
      </c>
      <c r="C811" s="9" t="str">
        <f>IFERROR(__xludf.DUMMYFUNCTION("""COMPUTED_VALUE"""),"HTML/CSS")</f>
        <v>HTML/CSS</v>
      </c>
      <c r="D811" s="9" t="str">
        <f>IFERROR(__xludf.DUMMYFUNCTION("""COMPUTED_VALUE"""),"JavaScript")</f>
        <v>JavaScript</v>
      </c>
      <c r="E811" s="9" t="str">
        <f>IFERROR(__xludf.DUMMYFUNCTION("""COMPUTED_VALUE"""),"Java")</f>
        <v>Java</v>
      </c>
      <c r="F811" s="9" t="str">
        <f>IFERROR(__xludf.DUMMYFUNCTION("""COMPUTED_VALUE"""),"JavaScript")</f>
        <v>JavaScript</v>
      </c>
      <c r="G811" s="9" t="str">
        <f>IFERROR(__xludf.DUMMYFUNCTION("""COMPUTED_VALUE"""),"Java")</f>
        <v>Java</v>
      </c>
      <c r="H811" s="9" t="str">
        <f>IFERROR(__xludf.DUMMYFUNCTION("""COMPUTED_VALUE"""),"C#")</f>
        <v>C#</v>
      </c>
      <c r="I811" s="9" t="str">
        <f>IFERROR(__xludf.DUMMYFUNCTION("""COMPUTED_VALUE"""),"Python")</f>
        <v>Python</v>
      </c>
      <c r="J811" s="9" t="str">
        <f>IFERROR(__xludf.DUMMYFUNCTION("""COMPUTED_VALUE"""),"SQL")</f>
        <v>SQL</v>
      </c>
      <c r="K811" s="9" t="str">
        <f>IFERROR(__xludf.DUMMYFUNCTION("""COMPUTED_VALUE"""),"HTML/CSS")</f>
        <v>HTML/CSS</v>
      </c>
      <c r="L811" s="9" t="str">
        <f>IFERROR(__xludf.DUMMYFUNCTION("""COMPUTED_VALUE"""),"JavaScript")</f>
        <v>JavaScript</v>
      </c>
      <c r="M811" s="9" t="s">
        <v>24</v>
      </c>
    </row>
    <row r="812" ht="15.75" customHeight="1">
      <c r="A812" s="7"/>
      <c r="B812" s="7" t="str">
        <f>IFERROR(__xludf.DUMMYFUNCTION("""COMPUTED_VALUE"""),"Bash/Shell/PowerShell;HTML/CSS;JavaScript;PHP;Python;SQL")</f>
        <v>Bash/Shell/PowerShell;HTML/CSS;JavaScript;PHP;Python;SQL</v>
      </c>
      <c r="C812" s="9" t="str">
        <f>IFERROR(__xludf.DUMMYFUNCTION("""COMPUTED_VALUE"""),"Java")</f>
        <v>Java</v>
      </c>
      <c r="D812" s="9" t="str">
        <f>IFERROR(__xludf.DUMMYFUNCTION("""COMPUTED_VALUE"""),"Python")</f>
        <v>Python</v>
      </c>
      <c r="E812" s="9" t="str">
        <f>IFERROR(__xludf.DUMMYFUNCTION("""COMPUTED_VALUE"""),"JavaScript")</f>
        <v>JavaScript</v>
      </c>
      <c r="F812" s="9" t="str">
        <f>IFERROR(__xludf.DUMMYFUNCTION("""COMPUTED_VALUE"""),"SQL")</f>
        <v>SQL</v>
      </c>
      <c r="G812" s="9" t="str">
        <f>IFERROR(__xludf.DUMMYFUNCTION("""COMPUTED_VALUE"""),"JavaScript")</f>
        <v>JavaScript</v>
      </c>
      <c r="H812" s="9" t="str">
        <f>IFERROR(__xludf.DUMMYFUNCTION("""COMPUTED_VALUE"""),"HTML/CSS")</f>
        <v>HTML/CSS</v>
      </c>
      <c r="I812" s="9" t="str">
        <f>IFERROR(__xludf.DUMMYFUNCTION("""COMPUTED_VALUE"""),"R")</f>
        <v>R</v>
      </c>
      <c r="J812" s="9" t="str">
        <f>IFERROR(__xludf.DUMMYFUNCTION("""COMPUTED_VALUE"""),"HTML/CSS")</f>
        <v>HTML/CSS</v>
      </c>
      <c r="K812" s="9" t="str">
        <f>IFERROR(__xludf.DUMMYFUNCTION("""COMPUTED_VALUE"""),"Objective-C")</f>
        <v>Objective-C</v>
      </c>
      <c r="L812" s="9" t="str">
        <f>IFERROR(__xludf.DUMMYFUNCTION("""COMPUTED_VALUE"""),"PHP")</f>
        <v>PHP</v>
      </c>
      <c r="M812" s="9" t="s">
        <v>20</v>
      </c>
    </row>
    <row r="813" ht="15.75" customHeight="1">
      <c r="A813" s="7"/>
      <c r="B813" s="7" t="str">
        <f>IFERROR(__xludf.DUMMYFUNCTION("""COMPUTED_VALUE"""),"C#;HTML/CSS;Java;JavaScript;Objective-C;SQL")</f>
        <v>C#;HTML/CSS;Java;JavaScript;Objective-C;SQL</v>
      </c>
      <c r="C813" s="9" t="str">
        <f>IFERROR(__xludf.DUMMYFUNCTION("""COMPUTED_VALUE"""),"JavaScript")</f>
        <v>JavaScript</v>
      </c>
      <c r="D813" s="9" t="str">
        <f>IFERROR(__xludf.DUMMYFUNCTION("""COMPUTED_VALUE"""),"R")</f>
        <v>R</v>
      </c>
      <c r="E813" s="9" t="str">
        <f>IFERROR(__xludf.DUMMYFUNCTION("""COMPUTED_VALUE"""),"Kotlin")</f>
        <v>Kotlin</v>
      </c>
      <c r="F813" s="9" t="str">
        <f>IFERROR(__xludf.DUMMYFUNCTION("""COMPUTED_VALUE"""),"Bash/Shell/PowerShell")</f>
        <v>Bash/Shell/PowerShell</v>
      </c>
      <c r="G813" s="9" t="str">
        <f>IFERROR(__xludf.DUMMYFUNCTION("""COMPUTED_VALUE"""),"SQL")</f>
        <v>SQL</v>
      </c>
      <c r="H813" s="9" t="str">
        <f>IFERROR(__xludf.DUMMYFUNCTION("""COMPUTED_VALUE"""),"JavaScript")</f>
        <v>JavaScript</v>
      </c>
      <c r="I813" s="9" t="str">
        <f>IFERROR(__xludf.DUMMYFUNCTION("""COMPUTED_VALUE"""),"Scala")</f>
        <v>Scala</v>
      </c>
      <c r="J813" s="9" t="str">
        <f>IFERROR(__xludf.DUMMYFUNCTION("""COMPUTED_VALUE"""),"JavaScript")</f>
        <v>JavaScript</v>
      </c>
      <c r="K813" s="9" t="str">
        <f>IFERROR(__xludf.DUMMYFUNCTION("""COMPUTED_VALUE"""),"Python")</f>
        <v>Python</v>
      </c>
      <c r="L813" s="9" t="str">
        <f>IFERROR(__xludf.DUMMYFUNCTION("""COMPUTED_VALUE"""),"SQL")</f>
        <v>SQL</v>
      </c>
      <c r="M813" s="9" t="s">
        <v>21</v>
      </c>
    </row>
    <row r="814" ht="15.75" customHeight="1">
      <c r="A814" s="7"/>
      <c r="B814" s="7" t="str">
        <f>IFERROR(__xludf.DUMMYFUNCTION("""COMPUTED_VALUE"""),"Python")</f>
        <v>Python</v>
      </c>
      <c r="C814" s="9" t="str">
        <f>IFERROR(__xludf.DUMMYFUNCTION("""COMPUTED_VALUE"""),"PHP")</f>
        <v>PHP</v>
      </c>
      <c r="D814" s="9" t="str">
        <f>IFERROR(__xludf.DUMMYFUNCTION("""COMPUTED_VALUE"""),"HTML/CSS")</f>
        <v>HTML/CSS</v>
      </c>
      <c r="E814" s="9" t="str">
        <f>IFERROR(__xludf.DUMMYFUNCTION("""COMPUTED_VALUE"""),"TypeScript")</f>
        <v>TypeScript</v>
      </c>
      <c r="F814" s="9" t="str">
        <f>IFERROR(__xludf.DUMMYFUNCTION("""COMPUTED_VALUE"""),"C++")</f>
        <v>C++</v>
      </c>
      <c r="G814" s="9" t="str">
        <f>IFERROR(__xludf.DUMMYFUNCTION("""COMPUTED_VALUE"""),"VBA")</f>
        <v>VBA</v>
      </c>
      <c r="H814" s="9" t="str">
        <f>IFERROR(__xludf.DUMMYFUNCTION("""COMPUTED_VALUE"""),"Python")</f>
        <v>Python</v>
      </c>
      <c r="I814" s="9" t="str">
        <f>IFERROR(__xludf.DUMMYFUNCTION("""COMPUTED_VALUE"""),"TypeScript")</f>
        <v>TypeScript</v>
      </c>
      <c r="J814" s="9" t="str">
        <f>IFERROR(__xludf.DUMMYFUNCTION("""COMPUTED_VALUE"""),"Python")</f>
        <v>Python</v>
      </c>
      <c r="K814" s="9" t="str">
        <f>IFERROR(__xludf.DUMMYFUNCTION("""COMPUTED_VALUE"""),"Swift")</f>
        <v>Swift</v>
      </c>
      <c r="L814" s="9" t="str">
        <f>IFERROR(__xludf.DUMMYFUNCTION("""COMPUTED_VALUE"""),"Bash/Shell/PowerShell")</f>
        <v>Bash/Shell/PowerShell</v>
      </c>
      <c r="M814" s="9" t="s">
        <v>37</v>
      </c>
    </row>
    <row r="815" ht="15.75" customHeight="1">
      <c r="A815" s="7"/>
      <c r="B815" s="7" t="str">
        <f>IFERROR(__xludf.DUMMYFUNCTION("""COMPUTED_VALUE"""),"Bash/Shell/PowerShell;C++;Go;JavaScript;Python;Ruby;SQL;TypeScript;Other(s):")</f>
        <v>Bash/Shell/PowerShell;C++;Go;JavaScript;Python;Ruby;SQL;TypeScript;Other(s):</v>
      </c>
      <c r="C815" s="9" t="str">
        <f>IFERROR(__xludf.DUMMYFUNCTION("""COMPUTED_VALUE"""),"SQL")</f>
        <v>SQL</v>
      </c>
      <c r="D815" s="9" t="str">
        <f>IFERROR(__xludf.DUMMYFUNCTION("""COMPUTED_VALUE"""),"JavaScript")</f>
        <v>JavaScript</v>
      </c>
      <c r="E815" s="9" t="str">
        <f>IFERROR(__xludf.DUMMYFUNCTION("""COMPUTED_VALUE"""),"Bash/Shell/PowerShell")</f>
        <v>Bash/Shell/PowerShell</v>
      </c>
      <c r="F815" s="9" t="str">
        <f>IFERROR(__xludf.DUMMYFUNCTION("""COMPUTED_VALUE"""),"C#")</f>
        <v>C#</v>
      </c>
      <c r="G815" s="9" t="str">
        <f>IFERROR(__xludf.DUMMYFUNCTION("""COMPUTED_VALUE"""),"Other(s):")</f>
        <v>Other(s):</v>
      </c>
      <c r="H815" s="9" t="str">
        <f>IFERROR(__xludf.DUMMYFUNCTION("""COMPUTED_VALUE"""),"SQL")</f>
        <v>SQL</v>
      </c>
      <c r="I815" s="9" t="str">
        <f>IFERROR(__xludf.DUMMYFUNCTION("""COMPUTED_VALUE"""),"Bash/Shell/PowerShell")</f>
        <v>Bash/Shell/PowerShell</v>
      </c>
      <c r="J815" s="9" t="str">
        <f>IFERROR(__xludf.DUMMYFUNCTION("""COMPUTED_VALUE"""),"HTML/CSS")</f>
        <v>HTML/CSS</v>
      </c>
      <c r="K815" s="9" t="str">
        <f>IFERROR(__xludf.DUMMYFUNCTION("""COMPUTED_VALUE"""),"C#")</f>
        <v>C#</v>
      </c>
      <c r="L815" s="9" t="str">
        <f>IFERROR(__xludf.DUMMYFUNCTION("""COMPUTED_VALUE"""),"HTML/CSS")</f>
        <v>HTML/CSS</v>
      </c>
      <c r="M815" s="9" t="s">
        <v>27</v>
      </c>
    </row>
    <row r="816" ht="15.75" customHeight="1">
      <c r="A816" s="7"/>
      <c r="B816" s="7" t="str">
        <f>IFERROR(__xludf.DUMMYFUNCTION("""COMPUTED_VALUE"""),"Java;Python;R")</f>
        <v>Java;Python;R</v>
      </c>
      <c r="C816" s="9" t="str">
        <f>IFERROR(__xludf.DUMMYFUNCTION("""COMPUTED_VALUE"""),"C#")</f>
        <v>C#</v>
      </c>
      <c r="D816" s="9" t="str">
        <f>IFERROR(__xludf.DUMMYFUNCTION("""COMPUTED_VALUE"""),"PHP")</f>
        <v>PHP</v>
      </c>
      <c r="E816" s="9" t="str">
        <f>IFERROR(__xludf.DUMMYFUNCTION("""COMPUTED_VALUE"""),"C")</f>
        <v>C</v>
      </c>
      <c r="F816" s="9" t="str">
        <f>IFERROR(__xludf.DUMMYFUNCTION("""COMPUTED_VALUE"""),"HTML/CSS")</f>
        <v>HTML/CSS</v>
      </c>
      <c r="G816" s="9" t="str">
        <f>IFERROR(__xludf.DUMMYFUNCTION("""COMPUTED_VALUE"""),"C++")</f>
        <v>C++</v>
      </c>
      <c r="H816" s="9" t="str">
        <f>IFERROR(__xludf.DUMMYFUNCTION("""COMPUTED_VALUE"""),"Bash/Shell/PowerShell")</f>
        <v>Bash/Shell/PowerShell</v>
      </c>
      <c r="I816" s="9" t="str">
        <f>IFERROR(__xludf.DUMMYFUNCTION("""COMPUTED_VALUE"""),"C")</f>
        <v>C</v>
      </c>
      <c r="J816" s="9" t="str">
        <f>IFERROR(__xludf.DUMMYFUNCTION("""COMPUTED_VALUE"""),"JavaScript")</f>
        <v>JavaScript</v>
      </c>
      <c r="K816" s="9" t="str">
        <f>IFERROR(__xludf.DUMMYFUNCTION("""COMPUTED_VALUE"""),"HTML/CSS")</f>
        <v>HTML/CSS</v>
      </c>
      <c r="L816" s="9" t="str">
        <f>IFERROR(__xludf.DUMMYFUNCTION("""COMPUTED_VALUE"""),"JavaScript")</f>
        <v>JavaScript</v>
      </c>
      <c r="M816" s="9" t="s">
        <v>26</v>
      </c>
    </row>
    <row r="817" ht="15.75" customHeight="1">
      <c r="A817" s="7"/>
      <c r="B817" s="7" t="str">
        <f>IFERROR(__xludf.DUMMYFUNCTION("""COMPUTED_VALUE"""),"C;HTML/CSS;Java;JavaScript;PHP;SQL")</f>
        <v>C;HTML/CSS;Java;JavaScript;PHP;SQL</v>
      </c>
      <c r="C817" s="9" t="str">
        <f>IFERROR(__xludf.DUMMYFUNCTION("""COMPUTED_VALUE"""),"HTML/CSS")</f>
        <v>HTML/CSS</v>
      </c>
      <c r="D817" s="9" t="str">
        <f>IFERROR(__xludf.DUMMYFUNCTION("""COMPUTED_VALUE"""),"Bash/Shell/PowerShell")</f>
        <v>Bash/Shell/PowerShell</v>
      </c>
      <c r="E817" s="9" t="str">
        <f>IFERROR(__xludf.DUMMYFUNCTION("""COMPUTED_VALUE"""),"C++")</f>
        <v>C++</v>
      </c>
      <c r="F817" s="9" t="str">
        <f>IFERROR(__xludf.DUMMYFUNCTION("""COMPUTED_VALUE"""),"Java")</f>
        <v>Java</v>
      </c>
      <c r="G817" s="9" t="str">
        <f>IFERROR(__xludf.DUMMYFUNCTION("""COMPUTED_VALUE"""),"HTML/CSS")</f>
        <v>HTML/CSS</v>
      </c>
      <c r="H817" s="9" t="str">
        <f>IFERROR(__xludf.DUMMYFUNCTION("""COMPUTED_VALUE"""),"Java")</f>
        <v>Java</v>
      </c>
      <c r="I817" s="9" t="str">
        <f>IFERROR(__xludf.DUMMYFUNCTION("""COMPUTED_VALUE"""),"Bash/Shell/PowerShell")</f>
        <v>Bash/Shell/PowerShell</v>
      </c>
      <c r="J817" s="9" t="str">
        <f>IFERROR(__xludf.DUMMYFUNCTION("""COMPUTED_VALUE"""),"TypeScript")</f>
        <v>TypeScript</v>
      </c>
      <c r="K817" s="9" t="str">
        <f>IFERROR(__xludf.DUMMYFUNCTION("""COMPUTED_VALUE"""),"JavaScript")</f>
        <v>JavaScript</v>
      </c>
      <c r="L817" s="9" t="str">
        <f>IFERROR(__xludf.DUMMYFUNCTION("""COMPUTED_VALUE"""),"TypeScript")</f>
        <v>TypeScript</v>
      </c>
      <c r="M817" s="9" t="s">
        <v>24</v>
      </c>
    </row>
    <row r="818" ht="15.75" customHeight="1">
      <c r="A818" s="7"/>
      <c r="B818" s="7" t="str">
        <f>IFERROR(__xludf.DUMMYFUNCTION("""COMPUTED_VALUE"""),"Bash/Shell/PowerShell;C#;SQL")</f>
        <v>Bash/Shell/PowerShell;C#;SQL</v>
      </c>
      <c r="C818" s="9" t="str">
        <f>IFERROR(__xludf.DUMMYFUNCTION("""COMPUTED_VALUE"""),"JavaScript")</f>
        <v>JavaScript</v>
      </c>
      <c r="D818" s="9" t="str">
        <f>IFERROR(__xludf.DUMMYFUNCTION("""COMPUTED_VALUE"""),"C++")</f>
        <v>C++</v>
      </c>
      <c r="E818" s="9" t="str">
        <f>IFERROR(__xludf.DUMMYFUNCTION("""COMPUTED_VALUE"""),"C#")</f>
        <v>C#</v>
      </c>
      <c r="F818" s="9" t="str">
        <f>IFERROR(__xludf.DUMMYFUNCTION("""COMPUTED_VALUE"""),"JavaScript")</f>
        <v>JavaScript</v>
      </c>
      <c r="G818" s="9" t="str">
        <f>IFERROR(__xludf.DUMMYFUNCTION("""COMPUTED_VALUE"""),"JavaScript")</f>
        <v>JavaScript</v>
      </c>
      <c r="H818" s="9" t="str">
        <f>IFERROR(__xludf.DUMMYFUNCTION("""COMPUTED_VALUE"""),"JavaScript")</f>
        <v>JavaScript</v>
      </c>
      <c r="I818" s="9" t="str">
        <f>IFERROR(__xludf.DUMMYFUNCTION("""COMPUTED_VALUE"""),"Go")</f>
        <v>Go</v>
      </c>
      <c r="J818" s="9" t="str">
        <f>IFERROR(__xludf.DUMMYFUNCTION("""COMPUTED_VALUE"""),"Bash/Shell/PowerShell")</f>
        <v>Bash/Shell/PowerShell</v>
      </c>
      <c r="K818" s="9" t="str">
        <f>IFERROR(__xludf.DUMMYFUNCTION("""COMPUTED_VALUE"""),"SQL")</f>
        <v>SQL</v>
      </c>
      <c r="L818" s="9" t="str">
        <f>IFERROR(__xludf.DUMMYFUNCTION("""COMPUTED_VALUE"""),"Python")</f>
        <v>Python</v>
      </c>
      <c r="M818" s="9" t="s">
        <v>21</v>
      </c>
    </row>
    <row r="819" ht="15.75" customHeight="1">
      <c r="A819" s="7"/>
      <c r="B819" s="7" t="str">
        <f>IFERROR(__xludf.DUMMYFUNCTION("""COMPUTED_VALUE"""),"Java;JavaScript")</f>
        <v>Java;JavaScript</v>
      </c>
      <c r="C819" s="9" t="str">
        <f>IFERROR(__xludf.DUMMYFUNCTION("""COMPUTED_VALUE"""),"SQL")</f>
        <v>SQL</v>
      </c>
      <c r="D819" s="9" t="str">
        <f>IFERROR(__xludf.DUMMYFUNCTION("""COMPUTED_VALUE"""),"Python")</f>
        <v>Python</v>
      </c>
      <c r="E819" s="9" t="str">
        <f>IFERROR(__xludf.DUMMYFUNCTION("""COMPUTED_VALUE"""),"HTML/CSS")</f>
        <v>HTML/CSS</v>
      </c>
      <c r="F819" s="9" t="str">
        <f>IFERROR(__xludf.DUMMYFUNCTION("""COMPUTED_VALUE"""),"Swift")</f>
        <v>Swift</v>
      </c>
      <c r="G819" s="9" t="str">
        <f>IFERROR(__xludf.DUMMYFUNCTION("""COMPUTED_VALUE"""),"Ruby")</f>
        <v>Ruby</v>
      </c>
      <c r="H819" s="9" t="str">
        <f>IFERROR(__xludf.DUMMYFUNCTION("""COMPUTED_VALUE"""),"Python")</f>
        <v>Python</v>
      </c>
      <c r="I819" s="9" t="str">
        <f>IFERROR(__xludf.DUMMYFUNCTION("""COMPUTED_VALUE"""),"HTML/CSS")</f>
        <v>HTML/CSS</v>
      </c>
      <c r="J819" s="9" t="str">
        <f>IFERROR(__xludf.DUMMYFUNCTION("""COMPUTED_VALUE"""),"C#")</f>
        <v>C#</v>
      </c>
      <c r="K819" s="9" t="str">
        <f>IFERROR(__xludf.DUMMYFUNCTION("""COMPUTED_VALUE"""),"TypeScript")</f>
        <v>TypeScript</v>
      </c>
      <c r="L819" s="9" t="str">
        <f>IFERROR(__xludf.DUMMYFUNCTION("""COMPUTED_VALUE"""),"SQL")</f>
        <v>SQL</v>
      </c>
      <c r="M819" s="9" t="s">
        <v>27</v>
      </c>
    </row>
    <row r="820" ht="15.75" customHeight="1">
      <c r="A820" s="7"/>
      <c r="B820" s="7" t="str">
        <f>IFERROR(__xludf.DUMMYFUNCTION("""COMPUTED_VALUE"""),"C#;HTML/CSS;Java;JavaScript;PHP;Scala")</f>
        <v>C#;HTML/CSS;Java;JavaScript;PHP;Scala</v>
      </c>
      <c r="C820" s="9" t="str">
        <f>IFERROR(__xludf.DUMMYFUNCTION("""COMPUTED_VALUE"""),"Other(s):")</f>
        <v>Other(s):</v>
      </c>
      <c r="D820" s="9" t="str">
        <f>IFERROR(__xludf.DUMMYFUNCTION("""COMPUTED_VALUE"""),"C#")</f>
        <v>C#</v>
      </c>
      <c r="E820" s="9" t="str">
        <f>IFERROR(__xludf.DUMMYFUNCTION("""COMPUTED_VALUE"""),"TypeScript")</f>
        <v>TypeScript</v>
      </c>
      <c r="F820" s="9" t="str">
        <f>IFERROR(__xludf.DUMMYFUNCTION("""COMPUTED_VALUE"""),"Bash/Shell/PowerShell")</f>
        <v>Bash/Shell/PowerShell</v>
      </c>
      <c r="G820" s="9" t="str">
        <f>IFERROR(__xludf.DUMMYFUNCTION("""COMPUTED_VALUE"""),"SQL")</f>
        <v>SQL</v>
      </c>
      <c r="H820" s="9" t="str">
        <f>IFERROR(__xludf.DUMMYFUNCTION("""COMPUTED_VALUE"""),"TypeScript")</f>
        <v>TypeScript</v>
      </c>
      <c r="I820" s="9" t="str">
        <f>IFERROR(__xludf.DUMMYFUNCTION("""COMPUTED_VALUE"""),"Java")</f>
        <v>Java</v>
      </c>
      <c r="J820" s="9" t="str">
        <f>IFERROR(__xludf.DUMMYFUNCTION("""COMPUTED_VALUE"""),"HTML/CSS")</f>
        <v>HTML/CSS</v>
      </c>
      <c r="K820" s="9" t="str">
        <f>IFERROR(__xludf.DUMMYFUNCTION("""COMPUTED_VALUE"""),"HTML/CSS")</f>
        <v>HTML/CSS</v>
      </c>
      <c r="L820" s="9" t="str">
        <f>IFERROR(__xludf.DUMMYFUNCTION("""COMPUTED_VALUE"""),"Assembly")</f>
        <v>Assembly</v>
      </c>
      <c r="M820" s="9" t="s">
        <v>35</v>
      </c>
    </row>
    <row r="821" ht="15.75" customHeight="1">
      <c r="A821" s="7"/>
      <c r="B821" s="7" t="str">
        <f>IFERROR(__xludf.DUMMYFUNCTION("""COMPUTED_VALUE"""),"C;C++;JavaScript")</f>
        <v>C;C++;JavaScript</v>
      </c>
      <c r="C821" s="9" t="str">
        <f>IFERROR(__xludf.DUMMYFUNCTION("""COMPUTED_VALUE"""),"C#")</f>
        <v>C#</v>
      </c>
      <c r="D821" s="9" t="str">
        <f>IFERROR(__xludf.DUMMYFUNCTION("""COMPUTED_VALUE"""),"HTML/CSS")</f>
        <v>HTML/CSS</v>
      </c>
      <c r="E821" s="9" t="str">
        <f>IFERROR(__xludf.DUMMYFUNCTION("""COMPUTED_VALUE"""),"HTML/CSS")</f>
        <v>HTML/CSS</v>
      </c>
      <c r="F821" s="9" t="str">
        <f>IFERROR(__xludf.DUMMYFUNCTION("""COMPUTED_VALUE"""),"C#")</f>
        <v>C#</v>
      </c>
      <c r="G821" s="9" t="str">
        <f>IFERROR(__xludf.DUMMYFUNCTION("""COMPUTED_VALUE"""),"Bash/Shell/PowerShell")</f>
        <v>Bash/Shell/PowerShell</v>
      </c>
      <c r="H821" s="9" t="str">
        <f>IFERROR(__xludf.DUMMYFUNCTION("""COMPUTED_VALUE"""),"Assembly")</f>
        <v>Assembly</v>
      </c>
      <c r="I821" s="9" t="str">
        <f>IFERROR(__xludf.DUMMYFUNCTION("""COMPUTED_VALUE"""),"JavaScript")</f>
        <v>JavaScript</v>
      </c>
      <c r="J821" s="9" t="str">
        <f>IFERROR(__xludf.DUMMYFUNCTION("""COMPUTED_VALUE"""),"JavaScript")</f>
        <v>JavaScript</v>
      </c>
      <c r="K821" s="9" t="str">
        <f>IFERROR(__xludf.DUMMYFUNCTION("""COMPUTED_VALUE"""),"JavaScript")</f>
        <v>JavaScript</v>
      </c>
      <c r="L821" s="9" t="str">
        <f>IFERROR(__xludf.DUMMYFUNCTION("""COMPUTED_VALUE"""),"Bash/Shell/PowerShell")</f>
        <v>Bash/Shell/PowerShell</v>
      </c>
      <c r="M821" s="9" t="s">
        <v>26</v>
      </c>
    </row>
    <row r="822" ht="15.75" customHeight="1">
      <c r="A822" s="7"/>
      <c r="B822" s="7" t="str">
        <f>IFERROR(__xludf.DUMMYFUNCTION("""COMPUTED_VALUE"""),"C;C#;Java;Kotlin;PHP;Python;SQL")</f>
        <v>C;C#;Java;Kotlin;PHP;Python;SQL</v>
      </c>
      <c r="C822" s="9" t="str">
        <f>IFERROR(__xludf.DUMMYFUNCTION("""COMPUTED_VALUE"""),"HTML/CSS")</f>
        <v>HTML/CSS</v>
      </c>
      <c r="D822" s="9" t="str">
        <f>IFERROR(__xludf.DUMMYFUNCTION("""COMPUTED_VALUE"""),"Java")</f>
        <v>Java</v>
      </c>
      <c r="E822" s="9" t="str">
        <f>IFERROR(__xludf.DUMMYFUNCTION("""COMPUTED_VALUE"""),"Java")</f>
        <v>Java</v>
      </c>
      <c r="F822" s="9" t="str">
        <f>IFERROR(__xludf.DUMMYFUNCTION("""COMPUTED_VALUE"""),"HTML/CSS")</f>
        <v>HTML/CSS</v>
      </c>
      <c r="G822" s="9" t="str">
        <f>IFERROR(__xludf.DUMMYFUNCTION("""COMPUTED_VALUE"""),"Java")</f>
        <v>Java</v>
      </c>
      <c r="H822" s="9" t="str">
        <f>IFERROR(__xludf.DUMMYFUNCTION("""COMPUTED_VALUE"""),"C")</f>
        <v>C</v>
      </c>
      <c r="I822" s="9" t="str">
        <f>IFERROR(__xludf.DUMMYFUNCTION("""COMPUTED_VALUE"""),"Kotlin")</f>
        <v>Kotlin</v>
      </c>
      <c r="J822" s="9" t="str">
        <f>IFERROR(__xludf.DUMMYFUNCTION("""COMPUTED_VALUE"""),"PHP")</f>
        <v>PHP</v>
      </c>
      <c r="K822" s="9" t="str">
        <f>IFERROR(__xludf.DUMMYFUNCTION("""COMPUTED_VALUE"""),"PHP")</f>
        <v>PHP</v>
      </c>
      <c r="L822" s="9" t="str">
        <f>IFERROR(__xludf.DUMMYFUNCTION("""COMPUTED_VALUE"""),"C#")</f>
        <v>C#</v>
      </c>
      <c r="M822" s="9" t="s">
        <v>24</v>
      </c>
    </row>
    <row r="823" ht="15.75" customHeight="1">
      <c r="A823" s="7"/>
      <c r="B823" s="7" t="str">
        <f>IFERROR(__xludf.DUMMYFUNCTION("""COMPUTED_VALUE"""),"Other(s):")</f>
        <v>Other(s):</v>
      </c>
      <c r="C823" s="9" t="str">
        <f>IFERROR(__xludf.DUMMYFUNCTION("""COMPUTED_VALUE"""),"JavaScript")</f>
        <v>JavaScript</v>
      </c>
      <c r="D823" s="9" t="str">
        <f>IFERROR(__xludf.DUMMYFUNCTION("""COMPUTED_VALUE"""),"JavaScript")</f>
        <v>JavaScript</v>
      </c>
      <c r="E823" s="9" t="str">
        <f>IFERROR(__xludf.DUMMYFUNCTION("""COMPUTED_VALUE"""),"JavaScript")</f>
        <v>JavaScript</v>
      </c>
      <c r="F823" s="9" t="str">
        <f>IFERROR(__xludf.DUMMYFUNCTION("""COMPUTED_VALUE"""),"JavaScript")</f>
        <v>JavaScript</v>
      </c>
      <c r="G823" s="9" t="str">
        <f>IFERROR(__xludf.DUMMYFUNCTION("""COMPUTED_VALUE"""),"Python")</f>
        <v>Python</v>
      </c>
      <c r="H823" s="9" t="str">
        <f>IFERROR(__xludf.DUMMYFUNCTION("""COMPUTED_VALUE"""),"C++")</f>
        <v>C++</v>
      </c>
      <c r="I823" s="9" t="str">
        <f>IFERROR(__xludf.DUMMYFUNCTION("""COMPUTED_VALUE"""),"Objective-C")</f>
        <v>Objective-C</v>
      </c>
      <c r="J823" s="9" t="str">
        <f>IFERROR(__xludf.DUMMYFUNCTION("""COMPUTED_VALUE"""),"Python")</f>
        <v>Python</v>
      </c>
      <c r="K823" s="9" t="str">
        <f>IFERROR(__xludf.DUMMYFUNCTION("""COMPUTED_VALUE"""),"SQL")</f>
        <v>SQL</v>
      </c>
      <c r="L823" s="9" t="str">
        <f>IFERROR(__xludf.DUMMYFUNCTION("""COMPUTED_VALUE"""),"HTML/CSS")</f>
        <v>HTML/CSS</v>
      </c>
      <c r="M823" s="9" t="s">
        <v>21</v>
      </c>
    </row>
    <row r="824" ht="15.75" customHeight="1">
      <c r="A824" s="7"/>
      <c r="B824" s="7" t="str">
        <f>IFERROR(__xludf.DUMMYFUNCTION("""COMPUTED_VALUE"""),"HTML/CSS;JavaScript;PHP;SQL")</f>
        <v>HTML/CSS;JavaScript;PHP;SQL</v>
      </c>
      <c r="C824" s="9" t="str">
        <f>IFERROR(__xludf.DUMMYFUNCTION("""COMPUTED_VALUE"""),"SQL")</f>
        <v>SQL</v>
      </c>
      <c r="D824" s="9" t="str">
        <f>IFERROR(__xludf.DUMMYFUNCTION("""COMPUTED_VALUE"""),"TypeScript")</f>
        <v>TypeScript</v>
      </c>
      <c r="E824" s="9" t="str">
        <f>IFERROR(__xludf.DUMMYFUNCTION("""COMPUTED_VALUE"""),"PHP")</f>
        <v>PHP</v>
      </c>
      <c r="F824" s="9" t="str">
        <f>IFERROR(__xludf.DUMMYFUNCTION("""COMPUTED_VALUE"""),"SQL")</f>
        <v>SQL</v>
      </c>
      <c r="G824" s="9" t="str">
        <f>IFERROR(__xludf.DUMMYFUNCTION("""COMPUTED_VALUE"""),"SQL")</f>
        <v>SQL</v>
      </c>
      <c r="H824" s="9" t="str">
        <f>IFERROR(__xludf.DUMMYFUNCTION("""COMPUTED_VALUE"""),"Java")</f>
        <v>Java</v>
      </c>
      <c r="I824" s="9" t="str">
        <f>IFERROR(__xludf.DUMMYFUNCTION("""COMPUTED_VALUE"""),"Ruby")</f>
        <v>Ruby</v>
      </c>
      <c r="J824" s="9" t="str">
        <f>IFERROR(__xludf.DUMMYFUNCTION("""COMPUTED_VALUE"""),"SQL")</f>
        <v>SQL</v>
      </c>
      <c r="K824" s="9" t="str">
        <f>IFERROR(__xludf.DUMMYFUNCTION("""COMPUTED_VALUE"""),"TypeScript")</f>
        <v>TypeScript</v>
      </c>
      <c r="L824" s="9" t="str">
        <f>IFERROR(__xludf.DUMMYFUNCTION("""COMPUTED_VALUE"""),"Java")</f>
        <v>Java</v>
      </c>
      <c r="M824" s="9" t="s">
        <v>27</v>
      </c>
    </row>
    <row r="825" ht="15.75" customHeight="1">
      <c r="A825" s="7"/>
      <c r="B825" s="7" t="str">
        <f>IFERROR(__xludf.DUMMYFUNCTION("""COMPUTED_VALUE"""),"Bash/Shell/PowerShell;Java;Python;Ruby;SQL")</f>
        <v>Bash/Shell/PowerShell;Java;Python;Ruby;SQL</v>
      </c>
      <c r="C825" s="9" t="str">
        <f>IFERROR(__xludf.DUMMYFUNCTION("""COMPUTED_VALUE"""),"Assembly")</f>
        <v>Assembly</v>
      </c>
      <c r="D825" s="9" t="str">
        <f>IFERROR(__xludf.DUMMYFUNCTION("""COMPUTED_VALUE"""),"C++")</f>
        <v>C++</v>
      </c>
      <c r="E825" s="9" t="str">
        <f>IFERROR(__xludf.DUMMYFUNCTION("""COMPUTED_VALUE"""),"SQL")</f>
        <v>SQL</v>
      </c>
      <c r="F825" s="9" t="str">
        <f>IFERROR(__xludf.DUMMYFUNCTION("""COMPUTED_VALUE"""),"TypeScript")</f>
        <v>TypeScript</v>
      </c>
      <c r="G825" s="9" t="str">
        <f>IFERROR(__xludf.DUMMYFUNCTION("""COMPUTED_VALUE"""),"HTML/CSS")</f>
        <v>HTML/CSS</v>
      </c>
      <c r="H825" s="9" t="str">
        <f>IFERROR(__xludf.DUMMYFUNCTION("""COMPUTED_VALUE"""),"Python")</f>
        <v>Python</v>
      </c>
      <c r="I825" s="9" t="str">
        <f>IFERROR(__xludf.DUMMYFUNCTION("""COMPUTED_VALUE"""),"C#")</f>
        <v>C#</v>
      </c>
      <c r="J825" s="9" t="str">
        <f>IFERROR(__xludf.DUMMYFUNCTION("""COMPUTED_VALUE"""),"Assembly")</f>
        <v>Assembly</v>
      </c>
      <c r="K825" s="9" t="str">
        <f>IFERROR(__xludf.DUMMYFUNCTION("""COMPUTED_VALUE"""),"Bash/Shell/PowerShell")</f>
        <v>Bash/Shell/PowerShell</v>
      </c>
      <c r="L825" s="9" t="str">
        <f>IFERROR(__xludf.DUMMYFUNCTION("""COMPUTED_VALUE"""),"JavaScript")</f>
        <v>JavaScript</v>
      </c>
      <c r="M825" s="9" t="s">
        <v>38</v>
      </c>
    </row>
    <row r="826" ht="15.75" customHeight="1">
      <c r="A826" s="7"/>
      <c r="B826" s="7" t="str">
        <f>IFERROR(__xludf.DUMMYFUNCTION("""COMPUTED_VALUE"""),"Bash/Shell/PowerShell;HTML/CSS;Java;JavaScript;TypeScript")</f>
        <v>Bash/Shell/PowerShell;HTML/CSS;Java;JavaScript;TypeScript</v>
      </c>
      <c r="C826" s="9" t="str">
        <f>IFERROR(__xludf.DUMMYFUNCTION("""COMPUTED_VALUE"""),"Bash/Shell/PowerShell")</f>
        <v>Bash/Shell/PowerShell</v>
      </c>
      <c r="D826" s="9" t="str">
        <f>IFERROR(__xludf.DUMMYFUNCTION("""COMPUTED_VALUE"""),"C#")</f>
        <v>C#</v>
      </c>
      <c r="E826" s="9" t="str">
        <f>IFERROR(__xludf.DUMMYFUNCTION("""COMPUTED_VALUE"""),"C#")</f>
        <v>C#</v>
      </c>
      <c r="F826" s="9" t="str">
        <f>IFERROR(__xludf.DUMMYFUNCTION("""COMPUTED_VALUE"""),"C")</f>
        <v>C</v>
      </c>
      <c r="G826" s="9" t="str">
        <f>IFERROR(__xludf.DUMMYFUNCTION("""COMPUTED_VALUE"""),"JavaScript")</f>
        <v>JavaScript</v>
      </c>
      <c r="H826" s="9" t="str">
        <f>IFERROR(__xludf.DUMMYFUNCTION("""COMPUTED_VALUE"""),"Java")</f>
        <v>Java</v>
      </c>
      <c r="I826" s="9" t="str">
        <f>IFERROR(__xludf.DUMMYFUNCTION("""COMPUTED_VALUE"""),"HTML/CSS")</f>
        <v>HTML/CSS</v>
      </c>
      <c r="J826" s="9" t="str">
        <f>IFERROR(__xludf.DUMMYFUNCTION("""COMPUTED_VALUE"""),"Bash/Shell/PowerShell")</f>
        <v>Bash/Shell/PowerShell</v>
      </c>
      <c r="K826" s="9" t="str">
        <f>IFERROR(__xludf.DUMMYFUNCTION("""COMPUTED_VALUE"""),"Python")</f>
        <v>Python</v>
      </c>
      <c r="L826" s="9" t="str">
        <f>IFERROR(__xludf.DUMMYFUNCTION("""COMPUTED_VALUE"""),"SQL")</f>
        <v>SQL</v>
      </c>
      <c r="M826" s="9" t="s">
        <v>30</v>
      </c>
    </row>
    <row r="827" ht="15.75" customHeight="1">
      <c r="A827" s="7"/>
      <c r="B827" s="7" t="str">
        <f>IFERROR(__xludf.DUMMYFUNCTION("""COMPUTED_VALUE"""),"Java;PHP")</f>
        <v>Java;PHP</v>
      </c>
      <c r="C827" s="9" t="str">
        <f>IFERROR(__xludf.DUMMYFUNCTION("""COMPUTED_VALUE"""),"C")</f>
        <v>C</v>
      </c>
      <c r="D827" s="9" t="str">
        <f>IFERROR(__xludf.DUMMYFUNCTION("""COMPUTED_VALUE"""),"HTML/CSS")</f>
        <v>HTML/CSS</v>
      </c>
      <c r="E827" s="9" t="str">
        <f>IFERROR(__xludf.DUMMYFUNCTION("""COMPUTED_VALUE"""),"Go")</f>
        <v>Go</v>
      </c>
      <c r="F827" s="9" t="str">
        <f>IFERROR(__xludf.DUMMYFUNCTION("""COMPUTED_VALUE"""),"SQL")</f>
        <v>SQL</v>
      </c>
      <c r="G827" s="9" t="str">
        <f>IFERROR(__xludf.DUMMYFUNCTION("""COMPUTED_VALUE"""),"PHP")</f>
        <v>PHP</v>
      </c>
      <c r="H827" s="9" t="str">
        <f>IFERROR(__xludf.DUMMYFUNCTION("""COMPUTED_VALUE"""),"JavaScript")</f>
        <v>JavaScript</v>
      </c>
      <c r="I827" s="9" t="str">
        <f>IFERROR(__xludf.DUMMYFUNCTION("""COMPUTED_VALUE"""),"PHP")</f>
        <v>PHP</v>
      </c>
      <c r="J827" s="9" t="str">
        <f>IFERROR(__xludf.DUMMYFUNCTION("""COMPUTED_VALUE"""),"C")</f>
        <v>C</v>
      </c>
      <c r="K827" s="9" t="str">
        <f>IFERROR(__xludf.DUMMYFUNCTION("""COMPUTED_VALUE"""),"R")</f>
        <v>R</v>
      </c>
      <c r="L827" s="9" t="str">
        <f>IFERROR(__xludf.DUMMYFUNCTION("""COMPUTED_VALUE"""),"VBA")</f>
        <v>VBA</v>
      </c>
      <c r="M827" s="9" t="s">
        <v>25</v>
      </c>
    </row>
    <row r="828" ht="15.75" customHeight="1">
      <c r="A828" s="7"/>
      <c r="B828" s="7" t="str">
        <f>IFERROR(__xludf.DUMMYFUNCTION("""COMPUTED_VALUE"""),"Java;Python")</f>
        <v>Java;Python</v>
      </c>
      <c r="C828" s="9" t="str">
        <f>IFERROR(__xludf.DUMMYFUNCTION("""COMPUTED_VALUE"""),"C++")</f>
        <v>C++</v>
      </c>
      <c r="D828" s="9" t="str">
        <f>IFERROR(__xludf.DUMMYFUNCTION("""COMPUTED_VALUE"""),"Java")</f>
        <v>Java</v>
      </c>
      <c r="E828" s="9" t="str">
        <f>IFERROR(__xludf.DUMMYFUNCTION("""COMPUTED_VALUE"""),"C")</f>
        <v>C</v>
      </c>
      <c r="F828" s="9" t="str">
        <f>IFERROR(__xludf.DUMMYFUNCTION("""COMPUTED_VALUE"""),"Bash/Shell/PowerShell")</f>
        <v>Bash/Shell/PowerShell</v>
      </c>
      <c r="G828" s="9" t="str">
        <f>IFERROR(__xludf.DUMMYFUNCTION("""COMPUTED_VALUE"""),"R")</f>
        <v>R</v>
      </c>
      <c r="H828" s="9" t="str">
        <f>IFERROR(__xludf.DUMMYFUNCTION("""COMPUTED_VALUE"""),"Kotlin")</f>
        <v>Kotlin</v>
      </c>
      <c r="I828" s="9" t="str">
        <f>IFERROR(__xludf.DUMMYFUNCTION("""COMPUTED_VALUE"""),"SQL")</f>
        <v>SQL</v>
      </c>
      <c r="J828" s="9" t="str">
        <f>IFERROR(__xludf.DUMMYFUNCTION("""COMPUTED_VALUE"""),"C++")</f>
        <v>C++</v>
      </c>
      <c r="K828" s="9" t="str">
        <f>IFERROR(__xludf.DUMMYFUNCTION("""COMPUTED_VALUE"""),"Ruby")</f>
        <v>Ruby</v>
      </c>
      <c r="L828" s="9" t="str">
        <f>IFERROR(__xludf.DUMMYFUNCTION("""COMPUTED_VALUE"""),"C")</f>
        <v>C</v>
      </c>
      <c r="M828" s="9" t="s">
        <v>23</v>
      </c>
    </row>
    <row r="829" ht="15.75" customHeight="1">
      <c r="A829" s="7"/>
      <c r="B829" s="7" t="str">
        <f>IFERROR(__xludf.DUMMYFUNCTION("""COMPUTED_VALUE"""),"C")</f>
        <v>C</v>
      </c>
      <c r="C829" s="9" t="str">
        <f>IFERROR(__xludf.DUMMYFUNCTION("""COMPUTED_VALUE"""),"C#")</f>
        <v>C#</v>
      </c>
      <c r="D829" s="9" t="str">
        <f>IFERROR(__xludf.DUMMYFUNCTION("""COMPUTED_VALUE"""),"SQL")</f>
        <v>SQL</v>
      </c>
      <c r="E829" s="9" t="str">
        <f>IFERROR(__xludf.DUMMYFUNCTION("""COMPUTED_VALUE"""),"Java")</f>
        <v>Java</v>
      </c>
      <c r="F829" s="9" t="str">
        <f>IFERROR(__xludf.DUMMYFUNCTION("""COMPUTED_VALUE"""),"Java")</f>
        <v>Java</v>
      </c>
      <c r="G829" s="9" t="str">
        <f>IFERROR(__xludf.DUMMYFUNCTION("""COMPUTED_VALUE"""),"SQL")</f>
        <v>SQL</v>
      </c>
      <c r="H829" s="9" t="str">
        <f>IFERROR(__xludf.DUMMYFUNCTION("""COMPUTED_VALUE"""),"SQL")</f>
        <v>SQL</v>
      </c>
      <c r="I829" s="9" t="str">
        <f>IFERROR(__xludf.DUMMYFUNCTION("""COMPUTED_VALUE"""),"Bash/Shell/PowerShell")</f>
        <v>Bash/Shell/PowerShell</v>
      </c>
      <c r="J829" s="9" t="str">
        <f>IFERROR(__xludf.DUMMYFUNCTION("""COMPUTED_VALUE"""),"C#")</f>
        <v>C#</v>
      </c>
      <c r="K829" s="9" t="str">
        <f>IFERROR(__xludf.DUMMYFUNCTION("""COMPUTED_VALUE"""),"SQL")</f>
        <v>SQL</v>
      </c>
      <c r="L829" s="9" t="str">
        <f>IFERROR(__xludf.DUMMYFUNCTION("""COMPUTED_VALUE"""),"HTML/CSS")</f>
        <v>HTML/CSS</v>
      </c>
      <c r="M829" s="9" t="s">
        <v>26</v>
      </c>
    </row>
    <row r="830" ht="15.75" customHeight="1">
      <c r="A830" s="7"/>
      <c r="B830" s="7" t="str">
        <f>IFERROR(__xludf.DUMMYFUNCTION("""COMPUTED_VALUE"""),"Go;HTML/CSS;JavaScript;Ruby;SQL;TypeScript")</f>
        <v>Go;HTML/CSS;JavaScript;Ruby;SQL;TypeScript</v>
      </c>
      <c r="C830" s="9" t="str">
        <f>IFERROR(__xludf.DUMMYFUNCTION("""COMPUTED_VALUE"""),"JavaScript")</f>
        <v>JavaScript</v>
      </c>
      <c r="D830" s="9" t="str">
        <f>IFERROR(__xludf.DUMMYFUNCTION("""COMPUTED_VALUE"""),"WebAssembly")</f>
        <v>WebAssembly</v>
      </c>
      <c r="E830" s="9" t="str">
        <f>IFERROR(__xludf.DUMMYFUNCTION("""COMPUTED_VALUE"""),"Bash/Shell/PowerShell")</f>
        <v>Bash/Shell/PowerShell</v>
      </c>
      <c r="F830" s="9" t="str">
        <f>IFERROR(__xludf.DUMMYFUNCTION("""COMPUTED_VALUE"""),"HTML/CSS")</f>
        <v>HTML/CSS</v>
      </c>
      <c r="G830" s="9" t="str">
        <f>IFERROR(__xludf.DUMMYFUNCTION("""COMPUTED_VALUE"""),"Assembly")</f>
        <v>Assembly</v>
      </c>
      <c r="H830" s="9" t="str">
        <f>IFERROR(__xludf.DUMMYFUNCTION("""COMPUTED_VALUE"""),"Bash/Shell/PowerShell")</f>
        <v>Bash/Shell/PowerShell</v>
      </c>
      <c r="I830" s="9" t="str">
        <f>IFERROR(__xludf.DUMMYFUNCTION("""COMPUTED_VALUE"""),"C")</f>
        <v>C</v>
      </c>
      <c r="J830" s="9" t="str">
        <f>IFERROR(__xludf.DUMMYFUNCTION("""COMPUTED_VALUE"""),"HTML/CSS")</f>
        <v>HTML/CSS</v>
      </c>
      <c r="K830" s="9" t="str">
        <f>IFERROR(__xludf.DUMMYFUNCTION("""COMPUTED_VALUE"""),"Java")</f>
        <v>Java</v>
      </c>
      <c r="L830" s="9" t="str">
        <f>IFERROR(__xludf.DUMMYFUNCTION("""COMPUTED_VALUE"""),"JavaScript")</f>
        <v>JavaScript</v>
      </c>
      <c r="M830" s="9" t="s">
        <v>21</v>
      </c>
    </row>
    <row r="831" ht="15.75" customHeight="1">
      <c r="A831" s="7"/>
      <c r="B831" s="7" t="str">
        <f>IFERROR(__xludf.DUMMYFUNCTION("""COMPUTED_VALUE"""),"Bash/Shell/PowerShell;Go;HTML/CSS;Java;JavaScript;Python")</f>
        <v>Bash/Shell/PowerShell;Go;HTML/CSS;Java;JavaScript;Python</v>
      </c>
      <c r="C831" s="9" t="str">
        <f>IFERROR(__xludf.DUMMYFUNCTION("""COMPUTED_VALUE"""),"Python")</f>
        <v>Python</v>
      </c>
      <c r="D831" s="9" t="str">
        <f>IFERROR(__xludf.DUMMYFUNCTION("""COMPUTED_VALUE"""),"C#")</f>
        <v>C#</v>
      </c>
      <c r="E831" s="9" t="str">
        <f>IFERROR(__xludf.DUMMYFUNCTION("""COMPUTED_VALUE"""),"C#")</f>
        <v>C#</v>
      </c>
      <c r="F831" s="9" t="str">
        <f>IFERROR(__xludf.DUMMYFUNCTION("""COMPUTED_VALUE"""),"JavaScript")</f>
        <v>JavaScript</v>
      </c>
      <c r="G831" s="9" t="str">
        <f>IFERROR(__xludf.DUMMYFUNCTION("""COMPUTED_VALUE"""),"Bash/Shell/PowerShell")</f>
        <v>Bash/Shell/PowerShell</v>
      </c>
      <c r="H831" s="9" t="str">
        <f>IFERROR(__xludf.DUMMYFUNCTION("""COMPUTED_VALUE"""),"C")</f>
        <v>C</v>
      </c>
      <c r="I831" s="9" t="str">
        <f>IFERROR(__xludf.DUMMYFUNCTION("""COMPUTED_VALUE"""),"HTML/CSS")</f>
        <v>HTML/CSS</v>
      </c>
      <c r="J831" s="9" t="str">
        <f>IFERROR(__xludf.DUMMYFUNCTION("""COMPUTED_VALUE"""),"Java")</f>
        <v>Java</v>
      </c>
      <c r="K831" s="9" t="str">
        <f>IFERROR(__xludf.DUMMYFUNCTION("""COMPUTED_VALUE"""),"JavaScript")</f>
        <v>JavaScript</v>
      </c>
      <c r="L831" s="9" t="str">
        <f>IFERROR(__xludf.DUMMYFUNCTION("""COMPUTED_VALUE"""),"Other(s):")</f>
        <v>Other(s):</v>
      </c>
      <c r="M831" s="9" t="s">
        <v>22</v>
      </c>
    </row>
    <row r="832" ht="15.75" customHeight="1">
      <c r="A832" s="7"/>
      <c r="B832" s="7" t="str">
        <f>IFERROR(__xludf.DUMMYFUNCTION("""COMPUTED_VALUE"""),"Bash/Shell/PowerShell;C#;HTML/CSS;JavaScript;PHP;SQL")</f>
        <v>Bash/Shell/PowerShell;C#;HTML/CSS;JavaScript;PHP;SQL</v>
      </c>
      <c r="C832" s="9" t="str">
        <f>IFERROR(__xludf.DUMMYFUNCTION("""COMPUTED_VALUE"""),"SQL")</f>
        <v>SQL</v>
      </c>
      <c r="D832" s="9" t="str">
        <f>IFERROR(__xludf.DUMMYFUNCTION("""COMPUTED_VALUE"""),"HTML/CSS")</f>
        <v>HTML/CSS</v>
      </c>
      <c r="E832" s="9" t="str">
        <f>IFERROR(__xludf.DUMMYFUNCTION("""COMPUTED_VALUE"""),"Elixir")</f>
        <v>Elixir</v>
      </c>
      <c r="F832" s="9" t="str">
        <f>IFERROR(__xludf.DUMMYFUNCTION("""COMPUTED_VALUE"""),"Bash/Shell/PowerShell")</f>
        <v>Bash/Shell/PowerShell</v>
      </c>
      <c r="G832" s="9" t="str">
        <f>IFERROR(__xludf.DUMMYFUNCTION("""COMPUTED_VALUE"""),"C")</f>
        <v>C</v>
      </c>
      <c r="H832" s="9" t="str">
        <f>IFERROR(__xludf.DUMMYFUNCTION("""COMPUTED_VALUE"""),"C++")</f>
        <v>C++</v>
      </c>
      <c r="I832" s="9" t="str">
        <f>IFERROR(__xludf.DUMMYFUNCTION("""COMPUTED_VALUE"""),"Java")</f>
        <v>Java</v>
      </c>
      <c r="J832" s="9" t="str">
        <f>IFERROR(__xludf.DUMMYFUNCTION("""COMPUTED_VALUE"""),"JavaScript")</f>
        <v>JavaScript</v>
      </c>
      <c r="K832" s="9" t="str">
        <f>IFERROR(__xludf.DUMMYFUNCTION("""COMPUTED_VALUE"""),"Assembly")</f>
        <v>Assembly</v>
      </c>
      <c r="L832" s="9" t="str">
        <f>IFERROR(__xludf.DUMMYFUNCTION("""COMPUTED_VALUE"""),"HTML/CSS")</f>
        <v>HTML/CSS</v>
      </c>
      <c r="M832" s="9" t="s">
        <v>27</v>
      </c>
    </row>
    <row r="833" ht="15.75" customHeight="1">
      <c r="A833" s="7"/>
      <c r="B833" s="7" t="str">
        <f>IFERROR(__xludf.DUMMYFUNCTION("""COMPUTED_VALUE"""),"HTML/CSS;Java;JavaScript;Ruby")</f>
        <v>HTML/CSS;Java;JavaScript;Ruby</v>
      </c>
      <c r="C833" s="9" t="str">
        <f>IFERROR(__xludf.DUMMYFUNCTION("""COMPUTED_VALUE"""),"Bash/Shell/PowerShell")</f>
        <v>Bash/Shell/PowerShell</v>
      </c>
      <c r="D833" s="9" t="str">
        <f>IFERROR(__xludf.DUMMYFUNCTION("""COMPUTED_VALUE"""),"Java")</f>
        <v>Java</v>
      </c>
      <c r="E833" s="9" t="str">
        <f>IFERROR(__xludf.DUMMYFUNCTION("""COMPUTED_VALUE"""),"Go")</f>
        <v>Go</v>
      </c>
      <c r="F833" s="9" t="str">
        <f>IFERROR(__xludf.DUMMYFUNCTION("""COMPUTED_VALUE"""),"HTML/CSS")</f>
        <v>HTML/CSS</v>
      </c>
      <c r="G833" s="9" t="str">
        <f>IFERROR(__xludf.DUMMYFUNCTION("""COMPUTED_VALUE"""),"HTML/CSS")</f>
        <v>HTML/CSS</v>
      </c>
      <c r="H833" s="9" t="str">
        <f>IFERROR(__xludf.DUMMYFUNCTION("""COMPUTED_VALUE"""),"HTML/CSS")</f>
        <v>HTML/CSS</v>
      </c>
      <c r="I833" s="9" t="str">
        <f>IFERROR(__xludf.DUMMYFUNCTION("""COMPUTED_VALUE"""),"JavaScript")</f>
        <v>JavaScript</v>
      </c>
      <c r="J833" s="9" t="str">
        <f>IFERROR(__xludf.DUMMYFUNCTION("""COMPUTED_VALUE"""),"PHP")</f>
        <v>PHP</v>
      </c>
      <c r="K833" s="9" t="str">
        <f>IFERROR(__xludf.DUMMYFUNCTION("""COMPUTED_VALUE"""),"C++")</f>
        <v>C++</v>
      </c>
      <c r="L833" s="9" t="str">
        <f>IFERROR(__xludf.DUMMYFUNCTION("""COMPUTED_VALUE"""),"JavaScript")</f>
        <v>JavaScript</v>
      </c>
      <c r="M833" s="9" t="s">
        <v>30</v>
      </c>
    </row>
    <row r="834" ht="15.75" customHeight="1">
      <c r="A834" s="7"/>
      <c r="B834" s="7" t="str">
        <f>IFERROR(__xludf.DUMMYFUNCTION("""COMPUTED_VALUE"""),"Bash/Shell/PowerShell;C#;HTML/CSS;JavaScript")</f>
        <v>Bash/Shell/PowerShell;C#;HTML/CSS;JavaScript</v>
      </c>
      <c r="C834" s="9" t="str">
        <f>IFERROR(__xludf.DUMMYFUNCTION("""COMPUTED_VALUE"""),"Go")</f>
        <v>Go</v>
      </c>
      <c r="D834" s="9" t="str">
        <f>IFERROR(__xludf.DUMMYFUNCTION("""COMPUTED_VALUE"""),"JavaScript")</f>
        <v>JavaScript</v>
      </c>
      <c r="E834" s="9" t="str">
        <f>IFERROR(__xludf.DUMMYFUNCTION("""COMPUTED_VALUE"""),"HTML/CSS")</f>
        <v>HTML/CSS</v>
      </c>
      <c r="F834" s="9" t="str">
        <f>IFERROR(__xludf.DUMMYFUNCTION("""COMPUTED_VALUE"""),"JavaScript")</f>
        <v>JavaScript</v>
      </c>
      <c r="G834" s="9" t="str">
        <f>IFERROR(__xludf.DUMMYFUNCTION("""COMPUTED_VALUE"""),"Java")</f>
        <v>Java</v>
      </c>
      <c r="H834" s="9" t="str">
        <f>IFERROR(__xludf.DUMMYFUNCTION("""COMPUTED_VALUE"""),"JavaScript")</f>
        <v>JavaScript</v>
      </c>
      <c r="I834" s="9" t="str">
        <f>IFERROR(__xludf.DUMMYFUNCTION("""COMPUTED_VALUE"""),"Kotlin")</f>
        <v>Kotlin</v>
      </c>
      <c r="J834" s="9" t="str">
        <f>IFERROR(__xludf.DUMMYFUNCTION("""COMPUTED_VALUE"""),"SQL")</f>
        <v>SQL</v>
      </c>
      <c r="K834" s="9" t="str">
        <f>IFERROR(__xludf.DUMMYFUNCTION("""COMPUTED_VALUE"""),"HTML/CSS")</f>
        <v>HTML/CSS</v>
      </c>
      <c r="L834" s="9" t="str">
        <f>IFERROR(__xludf.DUMMYFUNCTION("""COMPUTED_VALUE"""),"Python")</f>
        <v>Python</v>
      </c>
      <c r="M834" s="9" t="s">
        <v>36</v>
      </c>
    </row>
    <row r="835" ht="15.75" customHeight="1">
      <c r="A835" s="7"/>
      <c r="B835" s="7" t="str">
        <f>IFERROR(__xludf.DUMMYFUNCTION("""COMPUTED_VALUE"""),"Bash/Shell/PowerShell;C++;HTML/CSS;JavaScript;Python")</f>
        <v>Bash/Shell/PowerShell;C++;HTML/CSS;JavaScript;Python</v>
      </c>
      <c r="C835" s="9" t="str">
        <f>IFERROR(__xludf.DUMMYFUNCTION("""COMPUTED_VALUE"""),"HTML/CSS")</f>
        <v>HTML/CSS</v>
      </c>
      <c r="D835" s="9" t="str">
        <f>IFERROR(__xludf.DUMMYFUNCTION("""COMPUTED_VALUE"""),"Python")</f>
        <v>Python</v>
      </c>
      <c r="E835" s="9" t="str">
        <f>IFERROR(__xludf.DUMMYFUNCTION("""COMPUTED_VALUE"""),"JavaScript")</f>
        <v>JavaScript</v>
      </c>
      <c r="F835" s="9" t="str">
        <f>IFERROR(__xludf.DUMMYFUNCTION("""COMPUTED_VALUE"""),"PHP")</f>
        <v>PHP</v>
      </c>
      <c r="G835" s="9" t="str">
        <f>IFERROR(__xludf.DUMMYFUNCTION("""COMPUTED_VALUE"""),"JavaScript")</f>
        <v>JavaScript</v>
      </c>
      <c r="H835" s="9" t="str">
        <f>IFERROR(__xludf.DUMMYFUNCTION("""COMPUTED_VALUE"""),"Python")</f>
        <v>Python</v>
      </c>
      <c r="I835" s="9" t="str">
        <f>IFERROR(__xludf.DUMMYFUNCTION("""COMPUTED_VALUE"""),"PHP")</f>
        <v>PHP</v>
      </c>
      <c r="J835" s="9" t="str">
        <f>IFERROR(__xludf.DUMMYFUNCTION("""COMPUTED_VALUE"""),"VBA")</f>
        <v>VBA</v>
      </c>
      <c r="K835" s="9" t="str">
        <f>IFERROR(__xludf.DUMMYFUNCTION("""COMPUTED_VALUE"""),"JavaScript")</f>
        <v>JavaScript</v>
      </c>
      <c r="L835" s="9" t="str">
        <f>IFERROR(__xludf.DUMMYFUNCTION("""COMPUTED_VALUE"""),"Scala")</f>
        <v>Scala</v>
      </c>
      <c r="M835" s="9" t="s">
        <v>24</v>
      </c>
    </row>
    <row r="836" ht="15.75" customHeight="1">
      <c r="A836" s="7"/>
      <c r="B836" s="7" t="str">
        <f>IFERROR(__xludf.DUMMYFUNCTION("""COMPUTED_VALUE"""),"C;Java;Python;SQL")</f>
        <v>C;Java;Python;SQL</v>
      </c>
      <c r="C836" s="9" t="str">
        <f>IFERROR(__xludf.DUMMYFUNCTION("""COMPUTED_VALUE"""),"Java")</f>
        <v>Java</v>
      </c>
      <c r="D836" s="9" t="str">
        <f>IFERROR(__xludf.DUMMYFUNCTION("""COMPUTED_VALUE"""),"Bash/Shell/PowerShell")</f>
        <v>Bash/Shell/PowerShell</v>
      </c>
      <c r="E836" s="9" t="str">
        <f>IFERROR(__xludf.DUMMYFUNCTION("""COMPUTED_VALUE"""),"Ruby")</f>
        <v>Ruby</v>
      </c>
      <c r="F836" s="9" t="str">
        <f>IFERROR(__xludf.DUMMYFUNCTION("""COMPUTED_VALUE"""),"SQL")</f>
        <v>SQL</v>
      </c>
      <c r="G836" s="9" t="str">
        <f>IFERROR(__xludf.DUMMYFUNCTION("""COMPUTED_VALUE"""),"SQL")</f>
        <v>SQL</v>
      </c>
      <c r="H836" s="9" t="str">
        <f>IFERROR(__xludf.DUMMYFUNCTION("""COMPUTED_VALUE"""),"C")</f>
        <v>C</v>
      </c>
      <c r="I836" s="9" t="str">
        <f>IFERROR(__xludf.DUMMYFUNCTION("""COMPUTED_VALUE"""),"Python")</f>
        <v>Python</v>
      </c>
      <c r="J836" s="9" t="str">
        <f>IFERROR(__xludf.DUMMYFUNCTION("""COMPUTED_VALUE"""),"Other(s):")</f>
        <v>Other(s):</v>
      </c>
      <c r="K836" s="9" t="str">
        <f>IFERROR(__xludf.DUMMYFUNCTION("""COMPUTED_VALUE"""),"PHP")</f>
        <v>PHP</v>
      </c>
      <c r="L836" s="9" t="str">
        <f>IFERROR(__xludf.DUMMYFUNCTION("""COMPUTED_VALUE"""),"SQL")</f>
        <v>SQL</v>
      </c>
      <c r="M836" s="9" t="s">
        <v>20</v>
      </c>
    </row>
    <row r="837" ht="15.75" customHeight="1">
      <c r="A837" s="7"/>
      <c r="B837" s="7" t="str">
        <f>IFERROR(__xludf.DUMMYFUNCTION("""COMPUTED_VALUE"""),"HTML/CSS;JavaScript;PHP;SQL")</f>
        <v>HTML/CSS;JavaScript;PHP;SQL</v>
      </c>
      <c r="C837" s="9" t="str">
        <f>IFERROR(__xludf.DUMMYFUNCTION("""COMPUTED_VALUE"""),"JavaScript")</f>
        <v>JavaScript</v>
      </c>
      <c r="D837" s="9" t="str">
        <f>IFERROR(__xludf.DUMMYFUNCTION("""COMPUTED_VALUE"""),"Java")</f>
        <v>Java</v>
      </c>
      <c r="E837" s="9" t="str">
        <f>IFERROR(__xludf.DUMMYFUNCTION("""COMPUTED_VALUE"""),"Scala")</f>
        <v>Scala</v>
      </c>
      <c r="F837" s="9" t="str">
        <f>IFERROR(__xludf.DUMMYFUNCTION("""COMPUTED_VALUE"""),"Bash/Shell/PowerShell")</f>
        <v>Bash/Shell/PowerShell</v>
      </c>
      <c r="G837" s="9" t="str">
        <f>IFERROR(__xludf.DUMMYFUNCTION("""COMPUTED_VALUE"""),"C++")</f>
        <v>C++</v>
      </c>
      <c r="H837" s="9" t="str">
        <f>IFERROR(__xludf.DUMMYFUNCTION("""COMPUTED_VALUE"""),"C++")</f>
        <v>C++</v>
      </c>
      <c r="I837" s="9" t="str">
        <f>IFERROR(__xludf.DUMMYFUNCTION("""COMPUTED_VALUE"""),"SQL")</f>
        <v>SQL</v>
      </c>
      <c r="J837" s="9" t="str">
        <f>IFERROR(__xludf.DUMMYFUNCTION("""COMPUTED_VALUE"""),"Java")</f>
        <v>Java</v>
      </c>
      <c r="K837" s="9" t="str">
        <f>IFERROR(__xludf.DUMMYFUNCTION("""COMPUTED_VALUE"""),"SQL")</f>
        <v>SQL</v>
      </c>
      <c r="L837" s="9" t="str">
        <f>IFERROR(__xludf.DUMMYFUNCTION("""COMPUTED_VALUE"""),"TypeScript")</f>
        <v>TypeScript</v>
      </c>
      <c r="M837" s="9" t="s">
        <v>21</v>
      </c>
    </row>
    <row r="838" ht="15.75" customHeight="1">
      <c r="A838" s="7"/>
      <c r="B838" s="7" t="str">
        <f>IFERROR(__xludf.DUMMYFUNCTION("""COMPUTED_VALUE"""),"Bash/Shell/PowerShell;C;HTML/CSS;JavaScript")</f>
        <v>Bash/Shell/PowerShell;C;HTML/CSS;JavaScript</v>
      </c>
      <c r="C838" s="9" t="str">
        <f>IFERROR(__xludf.DUMMYFUNCTION("""COMPUTED_VALUE"""),"Ruby")</f>
        <v>Ruby</v>
      </c>
      <c r="D838" s="9" t="str">
        <f>IFERROR(__xludf.DUMMYFUNCTION("""COMPUTED_VALUE"""),"SQL")</f>
        <v>SQL</v>
      </c>
      <c r="E838" s="9" t="str">
        <f>IFERROR(__xludf.DUMMYFUNCTION("""COMPUTED_VALUE"""),"Swift")</f>
        <v>Swift</v>
      </c>
      <c r="F838" s="9" t="str">
        <f>IFERROR(__xludf.DUMMYFUNCTION("""COMPUTED_VALUE"""),"JavaScript")</f>
        <v>JavaScript</v>
      </c>
      <c r="G838" s="9" t="str">
        <f>IFERROR(__xludf.DUMMYFUNCTION("""COMPUTED_VALUE"""),"C#")</f>
        <v>C#</v>
      </c>
      <c r="H838" s="9" t="str">
        <f>IFERROR(__xludf.DUMMYFUNCTION("""COMPUTED_VALUE"""),"Java")</f>
        <v>Java</v>
      </c>
      <c r="I838" s="9" t="str">
        <f>IFERROR(__xludf.DUMMYFUNCTION("""COMPUTED_VALUE"""),"VBA")</f>
        <v>VBA</v>
      </c>
      <c r="J838" s="9" t="str">
        <f>IFERROR(__xludf.DUMMYFUNCTION("""COMPUTED_VALUE"""),"C#")</f>
        <v>C#</v>
      </c>
      <c r="K838" s="9" t="str">
        <f>IFERROR(__xludf.DUMMYFUNCTION("""COMPUTED_VALUE"""),"Java")</f>
        <v>Java</v>
      </c>
      <c r="L838" s="9" t="str">
        <f>IFERROR(__xludf.DUMMYFUNCTION("""COMPUTED_VALUE"""),"Bash/Shell/PowerShell")</f>
        <v>Bash/Shell/PowerShell</v>
      </c>
      <c r="M838" s="9" t="s">
        <v>31</v>
      </c>
    </row>
    <row r="839" ht="15.75" customHeight="1">
      <c r="A839" s="7"/>
      <c r="B839" s="7" t="str">
        <f>IFERROR(__xludf.DUMMYFUNCTION("""COMPUTED_VALUE"""),"Bash/Shell/PowerShell;Java;JavaScript;Python;TypeScript")</f>
        <v>Bash/Shell/PowerShell;Java;JavaScript;Python;TypeScript</v>
      </c>
      <c r="C839" s="9" t="str">
        <f>IFERROR(__xludf.DUMMYFUNCTION("""COMPUTED_VALUE"""),"SQL")</f>
        <v>SQL</v>
      </c>
      <c r="D839" s="9" t="str">
        <f>IFERROR(__xludf.DUMMYFUNCTION("""COMPUTED_VALUE"""),"Bash/Shell/PowerShell")</f>
        <v>Bash/Shell/PowerShell</v>
      </c>
      <c r="E839" s="9" t="str">
        <f>IFERROR(__xludf.DUMMYFUNCTION("""COMPUTED_VALUE"""),"HTML/CSS")</f>
        <v>HTML/CSS</v>
      </c>
      <c r="F839" s="9" t="str">
        <f>IFERROR(__xludf.DUMMYFUNCTION("""COMPUTED_VALUE"""),"Other(s):")</f>
        <v>Other(s):</v>
      </c>
      <c r="G839" s="9" t="str">
        <f>IFERROR(__xludf.DUMMYFUNCTION("""COMPUTED_VALUE"""),"HTML/CSS")</f>
        <v>HTML/CSS</v>
      </c>
      <c r="H839" s="9" t="str">
        <f>IFERROR(__xludf.DUMMYFUNCTION("""COMPUTED_VALUE"""),"JavaScript")</f>
        <v>JavaScript</v>
      </c>
      <c r="I839" s="9" t="str">
        <f>IFERROR(__xludf.DUMMYFUNCTION("""COMPUTED_VALUE"""),"C")</f>
        <v>C</v>
      </c>
      <c r="J839" s="9" t="str">
        <f>IFERROR(__xludf.DUMMYFUNCTION("""COMPUTED_VALUE"""),"HTML/CSS")</f>
        <v>HTML/CSS</v>
      </c>
      <c r="K839" s="9" t="str">
        <f>IFERROR(__xludf.DUMMYFUNCTION("""COMPUTED_VALUE"""),"Python")</f>
        <v>Python</v>
      </c>
      <c r="L839" s="9" t="str">
        <f>IFERROR(__xludf.DUMMYFUNCTION("""COMPUTED_VALUE"""),"Python")</f>
        <v>Python</v>
      </c>
      <c r="M839" s="9" t="s">
        <v>27</v>
      </c>
    </row>
    <row r="840" ht="15.75" customHeight="1">
      <c r="A840" s="7"/>
      <c r="B840" s="7" t="str">
        <f>IFERROR(__xludf.DUMMYFUNCTION("""COMPUTED_VALUE"""),"Python;R;Other(s):")</f>
        <v>Python;R;Other(s):</v>
      </c>
      <c r="C840" s="9" t="str">
        <f>IFERROR(__xludf.DUMMYFUNCTION("""COMPUTED_VALUE"""),"HTML/CSS")</f>
        <v>HTML/CSS</v>
      </c>
      <c r="D840" s="9" t="str">
        <f>IFERROR(__xludf.DUMMYFUNCTION("""COMPUTED_VALUE"""),"Elixir")</f>
        <v>Elixir</v>
      </c>
      <c r="E840" s="9" t="str">
        <f>IFERROR(__xludf.DUMMYFUNCTION("""COMPUTED_VALUE"""),"Java")</f>
        <v>Java</v>
      </c>
      <c r="F840" s="9" t="str">
        <f>IFERROR(__xludf.DUMMYFUNCTION("""COMPUTED_VALUE"""),"C")</f>
        <v>C</v>
      </c>
      <c r="G840" s="9" t="str">
        <f>IFERROR(__xludf.DUMMYFUNCTION("""COMPUTED_VALUE"""),"JavaScript")</f>
        <v>JavaScript</v>
      </c>
      <c r="H840" s="9" t="str">
        <f>IFERROR(__xludf.DUMMYFUNCTION("""COMPUTED_VALUE"""),"PHP")</f>
        <v>PHP</v>
      </c>
      <c r="I840" s="9" t="str">
        <f>IFERROR(__xludf.DUMMYFUNCTION("""COMPUTED_VALUE"""),"C++")</f>
        <v>C++</v>
      </c>
      <c r="J840" s="9" t="str">
        <f>IFERROR(__xludf.DUMMYFUNCTION("""COMPUTED_VALUE"""),"JavaScript")</f>
        <v>JavaScript</v>
      </c>
      <c r="K840" s="9" t="str">
        <f>IFERROR(__xludf.DUMMYFUNCTION("""COMPUTED_VALUE"""),"C")</f>
        <v>C</v>
      </c>
      <c r="L840" s="9" t="str">
        <f>IFERROR(__xludf.DUMMYFUNCTION("""COMPUTED_VALUE"""),"Bash/Shell/PowerShell")</f>
        <v>Bash/Shell/PowerShell</v>
      </c>
      <c r="M840" s="9" t="s">
        <v>24</v>
      </c>
    </row>
    <row r="841" ht="15.75" customHeight="1">
      <c r="A841" s="7"/>
      <c r="B841" s="7" t="str">
        <f>IFERROR(__xludf.DUMMYFUNCTION("""COMPUTED_VALUE"""),"Java;Python;SQL")</f>
        <v>Java;Python;SQL</v>
      </c>
      <c r="C841" s="9" t="str">
        <f>IFERROR(__xludf.DUMMYFUNCTION("""COMPUTED_VALUE"""),"Java")</f>
        <v>Java</v>
      </c>
      <c r="D841" s="9" t="str">
        <f>IFERROR(__xludf.DUMMYFUNCTION("""COMPUTED_VALUE"""),"Go")</f>
        <v>Go</v>
      </c>
      <c r="E841" s="9" t="str">
        <f>IFERROR(__xludf.DUMMYFUNCTION("""COMPUTED_VALUE"""),"Python")</f>
        <v>Python</v>
      </c>
      <c r="F841" s="9" t="str">
        <f>IFERROR(__xludf.DUMMYFUNCTION("""COMPUTED_VALUE"""),"C++")</f>
        <v>C++</v>
      </c>
      <c r="G841" s="9" t="str">
        <f>IFERROR(__xludf.DUMMYFUNCTION("""COMPUTED_VALUE"""),"PHP")</f>
        <v>PHP</v>
      </c>
      <c r="H841" s="9" t="str">
        <f>IFERROR(__xludf.DUMMYFUNCTION("""COMPUTED_VALUE"""),"Python")</f>
        <v>Python</v>
      </c>
      <c r="I841" s="9" t="str">
        <f>IFERROR(__xludf.DUMMYFUNCTION("""COMPUTED_VALUE"""),"HTML/CSS")</f>
        <v>HTML/CSS</v>
      </c>
      <c r="J841" s="9" t="str">
        <f>IFERROR(__xludf.DUMMYFUNCTION("""COMPUTED_VALUE"""),"SQL")</f>
        <v>SQL</v>
      </c>
      <c r="K841" s="9" t="str">
        <f>IFERROR(__xludf.DUMMYFUNCTION("""COMPUTED_VALUE"""),"C++")</f>
        <v>C++</v>
      </c>
      <c r="L841" s="9" t="str">
        <f>IFERROR(__xludf.DUMMYFUNCTION("""COMPUTED_VALUE"""),"C#")</f>
        <v>C#</v>
      </c>
      <c r="M841" s="9" t="s">
        <v>20</v>
      </c>
    </row>
    <row r="842" ht="15.75" customHeight="1">
      <c r="A842" s="7"/>
      <c r="B842" s="7" t="str">
        <f>IFERROR(__xludf.DUMMYFUNCTION("""COMPUTED_VALUE"""),"HTML/CSS;JavaScript;TypeScript")</f>
        <v>HTML/CSS;JavaScript;TypeScript</v>
      </c>
      <c r="C842" s="9" t="str">
        <f>IFERROR(__xludf.DUMMYFUNCTION("""COMPUTED_VALUE"""),"JavaScript")</f>
        <v>JavaScript</v>
      </c>
      <c r="D842" s="9" t="str">
        <f>IFERROR(__xludf.DUMMYFUNCTION("""COMPUTED_VALUE"""),"HTML/CSS")</f>
        <v>HTML/CSS</v>
      </c>
      <c r="E842" s="9" t="str">
        <f>IFERROR(__xludf.DUMMYFUNCTION("""COMPUTED_VALUE"""),"Ruby")</f>
        <v>Ruby</v>
      </c>
      <c r="F842" s="9" t="str">
        <f>IFERROR(__xludf.DUMMYFUNCTION("""COMPUTED_VALUE"""),"C#")</f>
        <v>C#</v>
      </c>
      <c r="G842" s="9" t="str">
        <f>IFERROR(__xludf.DUMMYFUNCTION("""COMPUTED_VALUE"""),"Python")</f>
        <v>Python</v>
      </c>
      <c r="H842" s="9" t="str">
        <f>IFERROR(__xludf.DUMMYFUNCTION("""COMPUTED_VALUE"""),"SQL")</f>
        <v>SQL</v>
      </c>
      <c r="I842" s="9" t="str">
        <f>IFERROR(__xludf.DUMMYFUNCTION("""COMPUTED_VALUE"""),"Java")</f>
        <v>Java</v>
      </c>
      <c r="J842" s="9" t="str">
        <f>IFERROR(__xludf.DUMMYFUNCTION("""COMPUTED_VALUE"""),"C")</f>
        <v>C</v>
      </c>
      <c r="K842" s="9" t="str">
        <f>IFERROR(__xludf.DUMMYFUNCTION("""COMPUTED_VALUE"""),"HTML/CSS")</f>
        <v>HTML/CSS</v>
      </c>
      <c r="L842" s="9" t="str">
        <f>IFERROR(__xludf.DUMMYFUNCTION("""COMPUTED_VALUE"""),"HTML/CSS")</f>
        <v>HTML/CSS</v>
      </c>
      <c r="M842" s="9" t="s">
        <v>21</v>
      </c>
    </row>
    <row r="843" ht="15.75" customHeight="1">
      <c r="A843" s="7"/>
      <c r="B843" s="7" t="str">
        <f>IFERROR(__xludf.DUMMYFUNCTION("""COMPUTED_VALUE"""),"C#;HTML/CSS;Java;JavaScript;Python;R")</f>
        <v>C#;HTML/CSS;Java;JavaScript;Python;R</v>
      </c>
      <c r="C843" s="9" t="str">
        <f>IFERROR(__xludf.DUMMYFUNCTION("""COMPUTED_VALUE"""),"PHP")</f>
        <v>PHP</v>
      </c>
      <c r="D843" s="9" t="str">
        <f>IFERROR(__xludf.DUMMYFUNCTION("""COMPUTED_VALUE"""),"Java")</f>
        <v>Java</v>
      </c>
      <c r="E843" s="9" t="str">
        <f>IFERROR(__xludf.DUMMYFUNCTION("""COMPUTED_VALUE"""),"VBA")</f>
        <v>VBA</v>
      </c>
      <c r="F843" s="9" t="str">
        <f>IFERROR(__xludf.DUMMYFUNCTION("""COMPUTED_VALUE"""),"Python")</f>
        <v>Python</v>
      </c>
      <c r="G843" s="9" t="str">
        <f>IFERROR(__xludf.DUMMYFUNCTION("""COMPUTED_VALUE"""),"SQL")</f>
        <v>SQL</v>
      </c>
      <c r="H843" s="9" t="str">
        <f>IFERROR(__xludf.DUMMYFUNCTION("""COMPUTED_VALUE"""),"Bash/Shell/PowerShell")</f>
        <v>Bash/Shell/PowerShell</v>
      </c>
      <c r="I843" s="9" t="str">
        <f>IFERROR(__xludf.DUMMYFUNCTION("""COMPUTED_VALUE"""),"JavaScript")</f>
        <v>JavaScript</v>
      </c>
      <c r="J843" s="9" t="str">
        <f>IFERROR(__xludf.DUMMYFUNCTION("""COMPUTED_VALUE"""),"C++")</f>
        <v>C++</v>
      </c>
      <c r="K843" s="9" t="str">
        <f>IFERROR(__xludf.DUMMYFUNCTION("""COMPUTED_VALUE"""),"JavaScript")</f>
        <v>JavaScript</v>
      </c>
      <c r="L843" s="9" t="str">
        <f>IFERROR(__xludf.DUMMYFUNCTION("""COMPUTED_VALUE"""),"SQL")</f>
        <v>SQL</v>
      </c>
      <c r="M843" s="9" t="s">
        <v>37</v>
      </c>
    </row>
    <row r="844" ht="15.75" customHeight="1">
      <c r="A844" s="7"/>
      <c r="B844" s="7" t="str">
        <f>IFERROR(__xludf.DUMMYFUNCTION("""COMPUTED_VALUE"""),"HTML/CSS;JavaScript;PHP;SQL")</f>
        <v>HTML/CSS;JavaScript;PHP;SQL</v>
      </c>
      <c r="C844" s="9" t="str">
        <f>IFERROR(__xludf.DUMMYFUNCTION("""COMPUTED_VALUE"""),"Python")</f>
        <v>Python</v>
      </c>
      <c r="D844" s="9" t="str">
        <f>IFERROR(__xludf.DUMMYFUNCTION("""COMPUTED_VALUE"""),"JavaScript")</f>
        <v>JavaScript</v>
      </c>
      <c r="E844" s="9" t="str">
        <f>IFERROR(__xludf.DUMMYFUNCTION("""COMPUTED_VALUE"""),"Other(s):")</f>
        <v>Other(s):</v>
      </c>
      <c r="F844" s="9" t="str">
        <f>IFERROR(__xludf.DUMMYFUNCTION("""COMPUTED_VALUE"""),"Bash/Shell/PowerShell")</f>
        <v>Bash/Shell/PowerShell</v>
      </c>
      <c r="G844" s="9" t="str">
        <f>IFERROR(__xludf.DUMMYFUNCTION("""COMPUTED_VALUE"""),"Other(s):")</f>
        <v>Other(s):</v>
      </c>
      <c r="H844" s="9" t="str">
        <f>IFERROR(__xludf.DUMMYFUNCTION("""COMPUTED_VALUE"""),"C++")</f>
        <v>C++</v>
      </c>
      <c r="I844" s="9" t="str">
        <f>IFERROR(__xludf.DUMMYFUNCTION("""COMPUTED_VALUE"""),"SQL")</f>
        <v>SQL</v>
      </c>
      <c r="J844" s="9" t="str">
        <f>IFERROR(__xludf.DUMMYFUNCTION("""COMPUTED_VALUE"""),"JavaScript")</f>
        <v>JavaScript</v>
      </c>
      <c r="K844" s="9" t="str">
        <f>IFERROR(__xludf.DUMMYFUNCTION("""COMPUTED_VALUE"""),"PHP")</f>
        <v>PHP</v>
      </c>
      <c r="L844" s="9" t="str">
        <f>IFERROR(__xludf.DUMMYFUNCTION("""COMPUTED_VALUE"""),"VBA")</f>
        <v>VBA</v>
      </c>
      <c r="M844" s="9" t="s">
        <v>22</v>
      </c>
    </row>
    <row r="845" ht="15.75" customHeight="1">
      <c r="A845" s="7"/>
      <c r="B845" s="7" t="str">
        <f>IFERROR(__xludf.DUMMYFUNCTION("""COMPUTED_VALUE"""),"C#;Java;SQL")</f>
        <v>C#;Java;SQL</v>
      </c>
      <c r="C845" s="9" t="str">
        <f>IFERROR(__xludf.DUMMYFUNCTION("""COMPUTED_VALUE"""),"SQL")</f>
        <v>SQL</v>
      </c>
      <c r="D845" s="9" t="str">
        <f>IFERROR(__xludf.DUMMYFUNCTION("""COMPUTED_VALUE"""),"Python")</f>
        <v>Python</v>
      </c>
      <c r="E845" s="9" t="str">
        <f>IFERROR(__xludf.DUMMYFUNCTION("""COMPUTED_VALUE"""),"Bash/Shell/PowerShell")</f>
        <v>Bash/Shell/PowerShell</v>
      </c>
      <c r="F845" s="9" t="str">
        <f>IFERROR(__xludf.DUMMYFUNCTION("""COMPUTED_VALUE"""),"C")</f>
        <v>C</v>
      </c>
      <c r="G845" s="9" t="str">
        <f>IFERROR(__xludf.DUMMYFUNCTION("""COMPUTED_VALUE"""),"Bash/Shell/PowerShell")</f>
        <v>Bash/Shell/PowerShell</v>
      </c>
      <c r="H845" s="9" t="str">
        <f>IFERROR(__xludf.DUMMYFUNCTION("""COMPUTED_VALUE"""),"Go")</f>
        <v>Go</v>
      </c>
      <c r="I845" s="9" t="str">
        <f>IFERROR(__xludf.DUMMYFUNCTION("""COMPUTED_VALUE"""),"Bash/Shell/PowerShell")</f>
        <v>Bash/Shell/PowerShell</v>
      </c>
      <c r="J845" s="9" t="str">
        <f>IFERROR(__xludf.DUMMYFUNCTION("""COMPUTED_VALUE"""),"Rust")</f>
        <v>Rust</v>
      </c>
      <c r="K845" s="9" t="str">
        <f>IFERROR(__xludf.DUMMYFUNCTION("""COMPUTED_VALUE"""),"Bash/Shell/PowerShell")</f>
        <v>Bash/Shell/PowerShell</v>
      </c>
      <c r="L845" s="9" t="str">
        <f>IFERROR(__xludf.DUMMYFUNCTION("""COMPUTED_VALUE"""),"Bash/Shell/PowerShell")</f>
        <v>Bash/Shell/PowerShell</v>
      </c>
      <c r="M845" s="9" t="s">
        <v>27</v>
      </c>
    </row>
    <row r="846" ht="15.75" customHeight="1">
      <c r="A846" s="7"/>
      <c r="B846" s="7" t="str">
        <f>IFERROR(__xludf.DUMMYFUNCTION("""COMPUTED_VALUE"""),"C#;Java;JavaScript;Python")</f>
        <v>C#;Java;JavaScript;Python</v>
      </c>
      <c r="C846" s="9" t="str">
        <f>IFERROR(__xludf.DUMMYFUNCTION("""COMPUTED_VALUE"""),"Bash/Shell/PowerShell")</f>
        <v>Bash/Shell/PowerShell</v>
      </c>
      <c r="D846" s="9" t="str">
        <f>IFERROR(__xludf.DUMMYFUNCTION("""COMPUTED_VALUE"""),"Bash/Shell/PowerShell")</f>
        <v>Bash/Shell/PowerShell</v>
      </c>
      <c r="E846" s="9" t="str">
        <f>IFERROR(__xludf.DUMMYFUNCTION("""COMPUTED_VALUE"""),"Java")</f>
        <v>Java</v>
      </c>
      <c r="F846" s="9" t="str">
        <f>IFERROR(__xludf.DUMMYFUNCTION("""COMPUTED_VALUE"""),"C++")</f>
        <v>C++</v>
      </c>
      <c r="G846" s="9" t="str">
        <f>IFERROR(__xludf.DUMMYFUNCTION("""COMPUTED_VALUE"""),"C")</f>
        <v>C</v>
      </c>
      <c r="H846" s="9" t="str">
        <f>IFERROR(__xludf.DUMMYFUNCTION("""COMPUTED_VALUE"""),"HTML/CSS")</f>
        <v>HTML/CSS</v>
      </c>
      <c r="I846" s="9" t="str">
        <f>IFERROR(__xludf.DUMMYFUNCTION("""COMPUTED_VALUE"""),"HTML/CSS")</f>
        <v>HTML/CSS</v>
      </c>
      <c r="J846" s="9" t="str">
        <f>IFERROR(__xludf.DUMMYFUNCTION("""COMPUTED_VALUE"""),"Bash/Shell/PowerShell")</f>
        <v>Bash/Shell/PowerShell</v>
      </c>
      <c r="K846" s="9" t="str">
        <f>IFERROR(__xludf.DUMMYFUNCTION("""COMPUTED_VALUE"""),"HTML/CSS")</f>
        <v>HTML/CSS</v>
      </c>
      <c r="L846" s="9" t="str">
        <f>IFERROR(__xludf.DUMMYFUNCTION("""COMPUTED_VALUE"""),"C")</f>
        <v>C</v>
      </c>
      <c r="M846" s="9" t="s">
        <v>30</v>
      </c>
    </row>
    <row r="847" ht="15.75" customHeight="1">
      <c r="A847" s="7"/>
      <c r="B847" s="7" t="str">
        <f>IFERROR(__xludf.DUMMYFUNCTION("""COMPUTED_VALUE"""),"C;HTML/CSS;Java;JavaScript;Python;SQL")</f>
        <v>C;HTML/CSS;Java;JavaScript;Python;SQL</v>
      </c>
      <c r="C847" s="9" t="str">
        <f>IFERROR(__xludf.DUMMYFUNCTION("""COMPUTED_VALUE"""),"Python")</f>
        <v>Python</v>
      </c>
      <c r="D847" s="9" t="str">
        <f>IFERROR(__xludf.DUMMYFUNCTION("""COMPUTED_VALUE"""),"Erlang")</f>
        <v>Erlang</v>
      </c>
      <c r="E847" s="9" t="str">
        <f>IFERROR(__xludf.DUMMYFUNCTION("""COMPUTED_VALUE"""),"Swift")</f>
        <v>Swift</v>
      </c>
      <c r="F847" s="9" t="str">
        <f>IFERROR(__xludf.DUMMYFUNCTION("""COMPUTED_VALUE"""),"C#")</f>
        <v>C#</v>
      </c>
      <c r="G847" s="9" t="str">
        <f>IFERROR(__xludf.DUMMYFUNCTION("""COMPUTED_VALUE"""),"C++")</f>
        <v>C++</v>
      </c>
      <c r="H847" s="9" t="str">
        <f>IFERROR(__xludf.DUMMYFUNCTION("""COMPUTED_VALUE"""),"Java")</f>
        <v>Java</v>
      </c>
      <c r="I847" s="9" t="str">
        <f>IFERROR(__xludf.DUMMYFUNCTION("""COMPUTED_VALUE"""),"JavaScript")</f>
        <v>JavaScript</v>
      </c>
      <c r="J847" s="9" t="str">
        <f>IFERROR(__xludf.DUMMYFUNCTION("""COMPUTED_VALUE"""),"HTML/CSS")</f>
        <v>HTML/CSS</v>
      </c>
      <c r="K847" s="9" t="str">
        <f>IFERROR(__xludf.DUMMYFUNCTION("""COMPUTED_VALUE"""),"JavaScript")</f>
        <v>JavaScript</v>
      </c>
      <c r="L847" s="9" t="str">
        <f>IFERROR(__xludf.DUMMYFUNCTION("""COMPUTED_VALUE"""),"HTML/CSS")</f>
        <v>HTML/CSS</v>
      </c>
      <c r="M847" s="9" t="s">
        <v>22</v>
      </c>
    </row>
    <row r="848" ht="15.75" customHeight="1">
      <c r="A848" s="7"/>
      <c r="B848" s="7" t="str">
        <f>IFERROR(__xludf.DUMMYFUNCTION("""COMPUTED_VALUE"""),"C#;F#;HTML/CSS;Java;JavaScript;PHP;SQL;VBA")</f>
        <v>C#;F#;HTML/CSS;Java;JavaScript;PHP;SQL;VBA</v>
      </c>
      <c r="C848" s="9" t="str">
        <f>IFERROR(__xludf.DUMMYFUNCTION("""COMPUTED_VALUE"""),"C")</f>
        <v>C</v>
      </c>
      <c r="D848" s="9" t="str">
        <f>IFERROR(__xludf.DUMMYFUNCTION("""COMPUTED_VALUE"""),"JavaScript")</f>
        <v>JavaScript</v>
      </c>
      <c r="E848" s="9" t="str">
        <f>IFERROR(__xludf.DUMMYFUNCTION("""COMPUTED_VALUE"""),"C#")</f>
        <v>C#</v>
      </c>
      <c r="F848" s="9" t="str">
        <f>IFERROR(__xludf.DUMMYFUNCTION("""COMPUTED_VALUE"""),"F#")</f>
        <v>F#</v>
      </c>
      <c r="G848" s="9" t="str">
        <f>IFERROR(__xludf.DUMMYFUNCTION("""COMPUTED_VALUE"""),"C#")</f>
        <v>C#</v>
      </c>
      <c r="H848" s="9" t="str">
        <f>IFERROR(__xludf.DUMMYFUNCTION("""COMPUTED_VALUE"""),"JavaScript")</f>
        <v>JavaScript</v>
      </c>
      <c r="I848" s="9" t="str">
        <f>IFERROR(__xludf.DUMMYFUNCTION("""COMPUTED_VALUE"""),"PHP")</f>
        <v>PHP</v>
      </c>
      <c r="J848" s="9" t="str">
        <f>IFERROR(__xludf.DUMMYFUNCTION("""COMPUTED_VALUE"""),"Java")</f>
        <v>Java</v>
      </c>
      <c r="K848" s="9" t="str">
        <f>IFERROR(__xludf.DUMMYFUNCTION("""COMPUTED_VALUE"""),"PHP")</f>
        <v>PHP</v>
      </c>
      <c r="L848" s="9" t="str">
        <f>IFERROR(__xludf.DUMMYFUNCTION("""COMPUTED_VALUE"""),"JavaScript")</f>
        <v>JavaScript</v>
      </c>
      <c r="M848" s="9" t="s">
        <v>25</v>
      </c>
    </row>
    <row r="849" ht="15.75" customHeight="1">
      <c r="A849" s="7"/>
      <c r="B849" s="7" t="str">
        <f>IFERROR(__xludf.DUMMYFUNCTION("""COMPUTED_VALUE"""),"Bash/Shell/PowerShell;C#;HTML/CSS;JavaScript;Swift")</f>
        <v>Bash/Shell/PowerShell;C#;HTML/CSS;JavaScript;Swift</v>
      </c>
      <c r="C849" s="9" t="str">
        <f>IFERROR(__xludf.DUMMYFUNCTION("""COMPUTED_VALUE"""),"C++")</f>
        <v>C++</v>
      </c>
      <c r="D849" s="9" t="str">
        <f>IFERROR(__xludf.DUMMYFUNCTION("""COMPUTED_VALUE"""),"R")</f>
        <v>R</v>
      </c>
      <c r="E849" s="9" t="str">
        <f>IFERROR(__xludf.DUMMYFUNCTION("""COMPUTED_VALUE"""),"HTML/CSS")</f>
        <v>HTML/CSS</v>
      </c>
      <c r="F849" s="9" t="str">
        <f>IFERROR(__xludf.DUMMYFUNCTION("""COMPUTED_VALUE"""),"HTML/CSS")</f>
        <v>HTML/CSS</v>
      </c>
      <c r="G849" s="9" t="str">
        <f>IFERROR(__xludf.DUMMYFUNCTION("""COMPUTED_VALUE"""),"Dart")</f>
        <v>Dart</v>
      </c>
      <c r="H849" s="9" t="str">
        <f>IFERROR(__xludf.DUMMYFUNCTION("""COMPUTED_VALUE"""),"Objective-C")</f>
        <v>Objective-C</v>
      </c>
      <c r="I849" s="9" t="str">
        <f>IFERROR(__xludf.DUMMYFUNCTION("""COMPUTED_VALUE"""),"SQL")</f>
        <v>SQL</v>
      </c>
      <c r="J849" s="9" t="str">
        <f>IFERROR(__xludf.DUMMYFUNCTION("""COMPUTED_VALUE"""),"JavaScript")</f>
        <v>JavaScript</v>
      </c>
      <c r="K849" s="9" t="str">
        <f>IFERROR(__xludf.DUMMYFUNCTION("""COMPUTED_VALUE"""),"SQL")</f>
        <v>SQL</v>
      </c>
      <c r="L849" s="9" t="str">
        <f>IFERROR(__xludf.DUMMYFUNCTION("""COMPUTED_VALUE"""),"Python")</f>
        <v>Python</v>
      </c>
      <c r="M849" s="9" t="s">
        <v>23</v>
      </c>
    </row>
    <row r="850" ht="15.75" customHeight="1">
      <c r="A850" s="7"/>
      <c r="B850" s="7" t="str">
        <f>IFERROR(__xludf.DUMMYFUNCTION("""COMPUTED_VALUE"""),"C#;HTML/CSS;JavaScript;Python;SQL")</f>
        <v>C#;HTML/CSS;JavaScript;Python;SQL</v>
      </c>
      <c r="C850" s="9" t="str">
        <f>IFERROR(__xludf.DUMMYFUNCTION("""COMPUTED_VALUE"""),"HTML/CSS")</f>
        <v>HTML/CSS</v>
      </c>
      <c r="D850" s="9" t="str">
        <f>IFERROR(__xludf.DUMMYFUNCTION("""COMPUTED_VALUE"""),"Ruby")</f>
        <v>Ruby</v>
      </c>
      <c r="E850" s="9" t="str">
        <f>IFERROR(__xludf.DUMMYFUNCTION("""COMPUTED_VALUE"""),"JavaScript")</f>
        <v>JavaScript</v>
      </c>
      <c r="F850" s="9" t="str">
        <f>IFERROR(__xludf.DUMMYFUNCTION("""COMPUTED_VALUE"""),"JavaScript")</f>
        <v>JavaScript</v>
      </c>
      <c r="G850" s="9" t="str">
        <f>IFERROR(__xludf.DUMMYFUNCTION("""COMPUTED_VALUE"""),"Elixir")</f>
        <v>Elixir</v>
      </c>
      <c r="H850" s="9" t="str">
        <f>IFERROR(__xludf.DUMMYFUNCTION("""COMPUTED_VALUE"""),"Python")</f>
        <v>Python</v>
      </c>
      <c r="I850" s="9" t="str">
        <f>IFERROR(__xludf.DUMMYFUNCTION("""COMPUTED_VALUE"""),"Bash/Shell/PowerShell")</f>
        <v>Bash/Shell/PowerShell</v>
      </c>
      <c r="J850" s="9" t="str">
        <f>IFERROR(__xludf.DUMMYFUNCTION("""COMPUTED_VALUE"""),"Python")</f>
        <v>Python</v>
      </c>
      <c r="K850" s="9" t="str">
        <f>IFERROR(__xludf.DUMMYFUNCTION("""COMPUTED_VALUE"""),"Bash/Shell/PowerShell")</f>
        <v>Bash/Shell/PowerShell</v>
      </c>
      <c r="L850" s="9" t="str">
        <f>IFERROR(__xludf.DUMMYFUNCTION("""COMPUTED_VALUE"""),"SQL")</f>
        <v>SQL</v>
      </c>
      <c r="M850" s="9" t="s">
        <v>24</v>
      </c>
    </row>
    <row r="851" ht="15.75" customHeight="1">
      <c r="A851" s="7"/>
      <c r="B851" s="7" t="str">
        <f>IFERROR(__xludf.DUMMYFUNCTION("""COMPUTED_VALUE"""),"Bash/Shell/PowerShell;C++;C#")</f>
        <v>Bash/Shell/PowerShell;C++;C#</v>
      </c>
      <c r="C851" s="9" t="str">
        <f>IFERROR(__xludf.DUMMYFUNCTION("""COMPUTED_VALUE"""),"Java")</f>
        <v>Java</v>
      </c>
      <c r="D851" s="9" t="str">
        <f>IFERROR(__xludf.DUMMYFUNCTION("""COMPUTED_VALUE"""),"C#")</f>
        <v>C#</v>
      </c>
      <c r="E851" s="9" t="str">
        <f>IFERROR(__xludf.DUMMYFUNCTION("""COMPUTED_VALUE"""),"R")</f>
        <v>R</v>
      </c>
      <c r="F851" s="9" t="str">
        <f>IFERROR(__xludf.DUMMYFUNCTION("""COMPUTED_VALUE"""),"SQL")</f>
        <v>SQL</v>
      </c>
      <c r="G851" s="9" t="str">
        <f>IFERROR(__xludf.DUMMYFUNCTION("""COMPUTED_VALUE"""),"HTML/CSS")</f>
        <v>HTML/CSS</v>
      </c>
      <c r="H851" s="9" t="str">
        <f>IFERROR(__xludf.DUMMYFUNCTION("""COMPUTED_VALUE"""),"SQL")</f>
        <v>SQL</v>
      </c>
      <c r="I851" s="9" t="str">
        <f>IFERROR(__xludf.DUMMYFUNCTION("""COMPUTED_VALUE"""),"C++")</f>
        <v>C++</v>
      </c>
      <c r="J851" s="9" t="str">
        <f>IFERROR(__xludf.DUMMYFUNCTION("""COMPUTED_VALUE"""),"HTML/CSS")</f>
        <v>HTML/CSS</v>
      </c>
      <c r="K851" s="9" t="str">
        <f>IFERROR(__xludf.DUMMYFUNCTION("""COMPUTED_VALUE"""),"C#")</f>
        <v>C#</v>
      </c>
      <c r="L851" s="9" t="str">
        <f>IFERROR(__xludf.DUMMYFUNCTION("""COMPUTED_VALUE"""),"Bash/Shell/PowerShell")</f>
        <v>Bash/Shell/PowerShell</v>
      </c>
      <c r="M851" s="9" t="s">
        <v>20</v>
      </c>
    </row>
    <row r="852" ht="15.75" customHeight="1">
      <c r="A852" s="7"/>
      <c r="B852" s="7" t="str">
        <f>IFERROR(__xludf.DUMMYFUNCTION("""COMPUTED_VALUE"""),"HTML/CSS;PHP;VBA")</f>
        <v>HTML/CSS;PHP;VBA</v>
      </c>
      <c r="C852" s="9" t="str">
        <f>IFERROR(__xludf.DUMMYFUNCTION("""COMPUTED_VALUE"""),"JavaScript")</f>
        <v>JavaScript</v>
      </c>
      <c r="D852" s="9" t="str">
        <f>IFERROR(__xludf.DUMMYFUNCTION("""COMPUTED_VALUE"""),"Other(s):")</f>
        <v>Other(s):</v>
      </c>
      <c r="E852" s="9" t="str">
        <f>IFERROR(__xludf.DUMMYFUNCTION("""COMPUTED_VALUE"""),"SQL")</f>
        <v>SQL</v>
      </c>
      <c r="F852" s="9" t="str">
        <f>IFERROR(__xludf.DUMMYFUNCTION("""COMPUTED_VALUE"""),"TypeScript")</f>
        <v>TypeScript</v>
      </c>
      <c r="G852" s="9" t="str">
        <f>IFERROR(__xludf.DUMMYFUNCTION("""COMPUTED_VALUE"""),"JavaScript")</f>
        <v>JavaScript</v>
      </c>
      <c r="H852" s="9" t="str">
        <f>IFERROR(__xludf.DUMMYFUNCTION("""COMPUTED_VALUE"""),"TypeScript")</f>
        <v>TypeScript</v>
      </c>
      <c r="I852" s="9" t="str">
        <f>IFERROR(__xludf.DUMMYFUNCTION("""COMPUTED_VALUE"""),"C#")</f>
        <v>C#</v>
      </c>
      <c r="J852" s="9" t="str">
        <f>IFERROR(__xludf.DUMMYFUNCTION("""COMPUTED_VALUE"""),"JavaScript")</f>
        <v>JavaScript</v>
      </c>
      <c r="K852" s="9" t="str">
        <f>IFERROR(__xludf.DUMMYFUNCTION("""COMPUTED_VALUE"""),"HTML/CSS")</f>
        <v>HTML/CSS</v>
      </c>
      <c r="L852" s="9" t="str">
        <f>IFERROR(__xludf.DUMMYFUNCTION("""COMPUTED_VALUE"""),"HTML/CSS")</f>
        <v>HTML/CSS</v>
      </c>
      <c r="M852" s="9" t="s">
        <v>21</v>
      </c>
    </row>
    <row r="853" ht="15.75" customHeight="1">
      <c r="A853" s="7"/>
      <c r="B853" s="7" t="str">
        <f>IFERROR(__xludf.DUMMYFUNCTION("""COMPUTED_VALUE"""),"Bash/Shell/PowerShell;Dart;Go;HTML/CSS;Java;JavaScript;Python;TypeScript")</f>
        <v>Bash/Shell/PowerShell;Dart;Go;HTML/CSS;Java;JavaScript;Python;TypeScript</v>
      </c>
      <c r="C853" s="9" t="str">
        <f>IFERROR(__xludf.DUMMYFUNCTION("""COMPUTED_VALUE"""),"PHP")</f>
        <v>PHP</v>
      </c>
      <c r="D853" s="9" t="str">
        <f>IFERROR(__xludf.DUMMYFUNCTION("""COMPUTED_VALUE"""),"C")</f>
        <v>C</v>
      </c>
      <c r="E853" s="9" t="str">
        <f>IFERROR(__xludf.DUMMYFUNCTION("""COMPUTED_VALUE"""),"Bash/Shell/PowerShell")</f>
        <v>Bash/Shell/PowerShell</v>
      </c>
      <c r="F853" s="9" t="str">
        <f>IFERROR(__xludf.DUMMYFUNCTION("""COMPUTED_VALUE"""),"C#")</f>
        <v>C#</v>
      </c>
      <c r="G853" s="9" t="str">
        <f>IFERROR(__xludf.DUMMYFUNCTION("""COMPUTED_VALUE"""),"Kotlin")</f>
        <v>Kotlin</v>
      </c>
      <c r="H853" s="9" t="str">
        <f>IFERROR(__xludf.DUMMYFUNCTION("""COMPUTED_VALUE"""),"Go")</f>
        <v>Go</v>
      </c>
      <c r="I853" s="9" t="str">
        <f>IFERROR(__xludf.DUMMYFUNCTION("""COMPUTED_VALUE"""),"HTML/CSS")</f>
        <v>HTML/CSS</v>
      </c>
      <c r="J853" s="9" t="str">
        <f>IFERROR(__xludf.DUMMYFUNCTION("""COMPUTED_VALUE"""),"PHP")</f>
        <v>PHP</v>
      </c>
      <c r="K853" s="9" t="str">
        <f>IFERROR(__xludf.DUMMYFUNCTION("""COMPUTED_VALUE"""),"JavaScript")</f>
        <v>JavaScript</v>
      </c>
      <c r="L853" s="9" t="str">
        <f>IFERROR(__xludf.DUMMYFUNCTION("""COMPUTED_VALUE"""),"Java")</f>
        <v>Java</v>
      </c>
      <c r="M853" s="9" t="s">
        <v>37</v>
      </c>
    </row>
    <row r="854" ht="15.75" customHeight="1">
      <c r="A854" s="7"/>
      <c r="B854" s="7" t="str">
        <f>IFERROR(__xludf.DUMMYFUNCTION("""COMPUTED_VALUE"""),"C#;Java;JavaScript;TypeScript")</f>
        <v>C#;Java;JavaScript;TypeScript</v>
      </c>
      <c r="C854" s="9" t="str">
        <f>IFERROR(__xludf.DUMMYFUNCTION("""COMPUTED_VALUE"""),"Python")</f>
        <v>Python</v>
      </c>
      <c r="D854" s="9" t="str">
        <f>IFERROR(__xludf.DUMMYFUNCTION("""COMPUTED_VALUE"""),"C++")</f>
        <v>C++</v>
      </c>
      <c r="E854" s="9" t="str">
        <f>IFERROR(__xludf.DUMMYFUNCTION("""COMPUTED_VALUE"""),"C")</f>
        <v>C</v>
      </c>
      <c r="F854" s="9" t="str">
        <f>IFERROR(__xludf.DUMMYFUNCTION("""COMPUTED_VALUE"""),"HTML/CSS")</f>
        <v>HTML/CSS</v>
      </c>
      <c r="G854" s="9" t="str">
        <f>IFERROR(__xludf.DUMMYFUNCTION("""COMPUTED_VALUE"""),"Python")</f>
        <v>Python</v>
      </c>
      <c r="H854" s="9" t="str">
        <f>IFERROR(__xludf.DUMMYFUNCTION("""COMPUTED_VALUE"""),"JavaScript")</f>
        <v>JavaScript</v>
      </c>
      <c r="I854" s="9" t="str">
        <f>IFERROR(__xludf.DUMMYFUNCTION("""COMPUTED_VALUE"""),"Java")</f>
        <v>Java</v>
      </c>
      <c r="J854" s="9" t="str">
        <f>IFERROR(__xludf.DUMMYFUNCTION("""COMPUTED_VALUE"""),"C")</f>
        <v>C</v>
      </c>
      <c r="K854" s="9" t="str">
        <f>IFERROR(__xludf.DUMMYFUNCTION("""COMPUTED_VALUE"""),"SQL")</f>
        <v>SQL</v>
      </c>
      <c r="L854" s="9" t="str">
        <f>IFERROR(__xludf.DUMMYFUNCTION("""COMPUTED_VALUE"""),"JavaScript")</f>
        <v>JavaScript</v>
      </c>
      <c r="M854" s="9" t="s">
        <v>22</v>
      </c>
    </row>
    <row r="855" ht="15.75" customHeight="1">
      <c r="A855" s="7"/>
      <c r="B855" s="7" t="str">
        <f>IFERROR(__xludf.DUMMYFUNCTION("""COMPUTED_VALUE"""),"C++;Python;Scala")</f>
        <v>C++;Python;Scala</v>
      </c>
      <c r="C855" s="9" t="str">
        <f>IFERROR(__xludf.DUMMYFUNCTION("""COMPUTED_VALUE"""),"SQL")</f>
        <v>SQL</v>
      </c>
      <c r="D855" s="9" t="str">
        <f>IFERROR(__xludf.DUMMYFUNCTION("""COMPUTED_VALUE"""),"SQL")</f>
        <v>SQL</v>
      </c>
      <c r="E855" s="9" t="str">
        <f>IFERROR(__xludf.DUMMYFUNCTION("""COMPUTED_VALUE"""),"Python")</f>
        <v>Python</v>
      </c>
      <c r="F855" s="9" t="str">
        <f>IFERROR(__xludf.DUMMYFUNCTION("""COMPUTED_VALUE"""),"JavaScript")</f>
        <v>JavaScript</v>
      </c>
      <c r="G855" s="9" t="str">
        <f>IFERROR(__xludf.DUMMYFUNCTION("""COMPUTED_VALUE"""),"Rust")</f>
        <v>Rust</v>
      </c>
      <c r="H855" s="9" t="str">
        <f>IFERROR(__xludf.DUMMYFUNCTION("""COMPUTED_VALUE"""),"SQL")</f>
        <v>SQL</v>
      </c>
      <c r="I855" s="9" t="str">
        <f>IFERROR(__xludf.DUMMYFUNCTION("""COMPUTED_VALUE"""),"JavaScript")</f>
        <v>JavaScript</v>
      </c>
      <c r="J855" s="9" t="str">
        <f>IFERROR(__xludf.DUMMYFUNCTION("""COMPUTED_VALUE"""),"C++")</f>
        <v>C++</v>
      </c>
      <c r="K855" s="9" t="str">
        <f>IFERROR(__xludf.DUMMYFUNCTION("""COMPUTED_VALUE"""),"C")</f>
        <v>C</v>
      </c>
      <c r="L855" s="9" t="str">
        <f>IFERROR(__xludf.DUMMYFUNCTION("""COMPUTED_VALUE"""),"SQL")</f>
        <v>SQL</v>
      </c>
      <c r="M855" s="9" t="s">
        <v>27</v>
      </c>
    </row>
    <row r="856" ht="15.75" customHeight="1">
      <c r="A856" s="7"/>
      <c r="B856" s="7" t="str">
        <f>IFERROR(__xludf.DUMMYFUNCTION("""COMPUTED_VALUE"""),"C#;HTML/CSS;JavaScript")</f>
        <v>C#;HTML/CSS;JavaScript</v>
      </c>
      <c r="C856" s="9" t="str">
        <f>IFERROR(__xludf.DUMMYFUNCTION("""COMPUTED_VALUE"""),"Clojure")</f>
        <v>Clojure</v>
      </c>
      <c r="D856" s="9" t="str">
        <f>IFERROR(__xludf.DUMMYFUNCTION("""COMPUTED_VALUE"""),"Bash/Shell/PowerShell")</f>
        <v>Bash/Shell/PowerShell</v>
      </c>
      <c r="E856" s="9" t="str">
        <f>IFERROR(__xludf.DUMMYFUNCTION("""COMPUTED_VALUE"""),"SQL")</f>
        <v>SQL</v>
      </c>
      <c r="F856" s="9" t="str">
        <f>IFERROR(__xludf.DUMMYFUNCTION("""COMPUTED_VALUE"""),"SQL")</f>
        <v>SQL</v>
      </c>
      <c r="G856" s="9" t="str">
        <f>IFERROR(__xludf.DUMMYFUNCTION("""COMPUTED_VALUE"""),"SQL")</f>
        <v>SQL</v>
      </c>
      <c r="H856" s="9" t="str">
        <f>IFERROR(__xludf.DUMMYFUNCTION("""COMPUTED_VALUE"""),"C#")</f>
        <v>C#</v>
      </c>
      <c r="I856" s="9" t="str">
        <f>IFERROR(__xludf.DUMMYFUNCTION("""COMPUTED_VALUE"""),"TypeScript")</f>
        <v>TypeScript</v>
      </c>
      <c r="J856" s="9" t="str">
        <f>IFERROR(__xludf.DUMMYFUNCTION("""COMPUTED_VALUE"""),"Java")</f>
        <v>Java</v>
      </c>
      <c r="K856" s="9" t="str">
        <f>IFERROR(__xludf.DUMMYFUNCTION("""COMPUTED_VALUE"""),"C++")</f>
        <v>C++</v>
      </c>
      <c r="L856" s="9" t="str">
        <f>IFERROR(__xludf.DUMMYFUNCTION("""COMPUTED_VALUE"""),"HTML/CSS")</f>
        <v>HTML/CSS</v>
      </c>
      <c r="M856" s="9" t="s">
        <v>44</v>
      </c>
    </row>
    <row r="857" ht="15.75" customHeight="1">
      <c r="A857" s="7"/>
      <c r="B857" s="7" t="str">
        <f>IFERROR(__xludf.DUMMYFUNCTION("""COMPUTED_VALUE"""),"Assembly;Bash/Shell/PowerShell;HTML/CSS;Java;JavaScript;PHP;Python;TypeScript")</f>
        <v>Assembly;Bash/Shell/PowerShell;HTML/CSS;Java;JavaScript;PHP;Python;TypeScript</v>
      </c>
      <c r="C857" s="9" t="str">
        <f>IFERROR(__xludf.DUMMYFUNCTION("""COMPUTED_VALUE"""),"Go")</f>
        <v>Go</v>
      </c>
      <c r="D857" s="9" t="str">
        <f>IFERROR(__xludf.DUMMYFUNCTION("""COMPUTED_VALUE"""),"Go")</f>
        <v>Go</v>
      </c>
      <c r="E857" s="9" t="str">
        <f>IFERROR(__xludf.DUMMYFUNCTION("""COMPUTED_VALUE"""),"Bash/Shell/PowerShell")</f>
        <v>Bash/Shell/PowerShell</v>
      </c>
      <c r="F857" s="9" t="str">
        <f>IFERROR(__xludf.DUMMYFUNCTION("""COMPUTED_VALUE"""),"TypeScript")</f>
        <v>TypeScript</v>
      </c>
      <c r="G857" s="9" t="str">
        <f>IFERROR(__xludf.DUMMYFUNCTION("""COMPUTED_VALUE"""),"Swift")</f>
        <v>Swift</v>
      </c>
      <c r="H857" s="9" t="str">
        <f>IFERROR(__xludf.DUMMYFUNCTION("""COMPUTED_VALUE"""),"HTML/CSS")</f>
        <v>HTML/CSS</v>
      </c>
      <c r="I857" s="9" t="str">
        <f>IFERROR(__xludf.DUMMYFUNCTION("""COMPUTED_VALUE"""),"C#")</f>
        <v>C#</v>
      </c>
      <c r="J857" s="9" t="str">
        <f>IFERROR(__xludf.DUMMYFUNCTION("""COMPUTED_VALUE"""),"JavaScript")</f>
        <v>JavaScript</v>
      </c>
      <c r="K857" s="9" t="str">
        <f>IFERROR(__xludf.DUMMYFUNCTION("""COMPUTED_VALUE"""),"Java")</f>
        <v>Java</v>
      </c>
      <c r="L857" s="9" t="str">
        <f>IFERROR(__xludf.DUMMYFUNCTION("""COMPUTED_VALUE"""),"Java")</f>
        <v>Java</v>
      </c>
      <c r="M857" s="9" t="s">
        <v>36</v>
      </c>
    </row>
    <row r="858" ht="15.75" customHeight="1">
      <c r="A858" s="7"/>
      <c r="B858" s="7" t="str">
        <f>IFERROR(__xludf.DUMMYFUNCTION("""COMPUTED_VALUE"""),"Java;JavaScript;Kotlin")</f>
        <v>Java;JavaScript;Kotlin</v>
      </c>
      <c r="C858" s="9" t="str">
        <f>IFERROR(__xludf.DUMMYFUNCTION("""COMPUTED_VALUE"""),"HTML/CSS")</f>
        <v>HTML/CSS</v>
      </c>
      <c r="D858" s="9" t="str">
        <f>IFERROR(__xludf.DUMMYFUNCTION("""COMPUTED_VALUE"""),"HTML/CSS")</f>
        <v>HTML/CSS</v>
      </c>
      <c r="E858" s="9" t="str">
        <f>IFERROR(__xludf.DUMMYFUNCTION("""COMPUTED_VALUE"""),"C++")</f>
        <v>C++</v>
      </c>
      <c r="F858" s="9" t="str">
        <f>IFERROR(__xludf.DUMMYFUNCTION("""COMPUTED_VALUE"""),"HTML/CSS")</f>
        <v>HTML/CSS</v>
      </c>
      <c r="G858" s="9" t="str">
        <f>IFERROR(__xludf.DUMMYFUNCTION("""COMPUTED_VALUE"""),"TypeScript")</f>
        <v>TypeScript</v>
      </c>
      <c r="H858" s="9" t="str">
        <f>IFERROR(__xludf.DUMMYFUNCTION("""COMPUTED_VALUE"""),"TypeScript")</f>
        <v>TypeScript</v>
      </c>
      <c r="I858" s="9" t="str">
        <f>IFERROR(__xludf.DUMMYFUNCTION("""COMPUTED_VALUE"""),"HTML/CSS")</f>
        <v>HTML/CSS</v>
      </c>
      <c r="J858" s="9" t="str">
        <f>IFERROR(__xludf.DUMMYFUNCTION("""COMPUTED_VALUE"""),"SQL")</f>
        <v>SQL</v>
      </c>
      <c r="K858" s="9" t="str">
        <f>IFERROR(__xludf.DUMMYFUNCTION("""COMPUTED_VALUE"""),"SQL")</f>
        <v>SQL</v>
      </c>
      <c r="L858" s="9" t="str">
        <f>IFERROR(__xludf.DUMMYFUNCTION("""COMPUTED_VALUE"""),"SQL")</f>
        <v>SQL</v>
      </c>
      <c r="M858" s="9" t="s">
        <v>24</v>
      </c>
    </row>
    <row r="859" ht="15.75" customHeight="1">
      <c r="A859" s="7"/>
      <c r="B859" s="7" t="str">
        <f>IFERROR(__xludf.DUMMYFUNCTION("""COMPUTED_VALUE"""),"Python;SQL")</f>
        <v>Python;SQL</v>
      </c>
      <c r="C859" s="9" t="str">
        <f>IFERROR(__xludf.DUMMYFUNCTION("""COMPUTED_VALUE"""),"Java")</f>
        <v>Java</v>
      </c>
      <c r="D859" s="9" t="str">
        <f>IFERROR(__xludf.DUMMYFUNCTION("""COMPUTED_VALUE"""),"Java")</f>
        <v>Java</v>
      </c>
      <c r="E859" s="9" t="str">
        <f>IFERROR(__xludf.DUMMYFUNCTION("""COMPUTED_VALUE"""),"Dart")</f>
        <v>Dart</v>
      </c>
      <c r="F859" s="9" t="str">
        <f>IFERROR(__xludf.DUMMYFUNCTION("""COMPUTED_VALUE"""),"Java")</f>
        <v>Java</v>
      </c>
      <c r="G859" s="9" t="str">
        <f>IFERROR(__xludf.DUMMYFUNCTION("""COMPUTED_VALUE"""),"C#")</f>
        <v>C#</v>
      </c>
      <c r="H859" s="9" t="str">
        <f>IFERROR(__xludf.DUMMYFUNCTION("""COMPUTED_VALUE"""),"C#")</f>
        <v>C#</v>
      </c>
      <c r="I859" s="9" t="str">
        <f>IFERROR(__xludf.DUMMYFUNCTION("""COMPUTED_VALUE"""),"Java")</f>
        <v>Java</v>
      </c>
      <c r="J859" s="9" t="str">
        <f>IFERROR(__xludf.DUMMYFUNCTION("""COMPUTED_VALUE"""),"Python")</f>
        <v>Python</v>
      </c>
      <c r="K859" s="9" t="str">
        <f>IFERROR(__xludf.DUMMYFUNCTION("""COMPUTED_VALUE"""),"Go")</f>
        <v>Go</v>
      </c>
      <c r="L859" s="9" t="str">
        <f>IFERROR(__xludf.DUMMYFUNCTION("""COMPUTED_VALUE"""),"Bash/Shell/PowerShell")</f>
        <v>Bash/Shell/PowerShell</v>
      </c>
      <c r="M859" s="9" t="s">
        <v>20</v>
      </c>
    </row>
    <row r="860" ht="15.75" customHeight="1">
      <c r="A860" s="7"/>
      <c r="B860" s="7" t="str">
        <f>IFERROR(__xludf.DUMMYFUNCTION("""COMPUTED_VALUE"""),"Assembly;Bash/Shell/PowerShell;C;C++;HTML/CSS;Java;JavaScript;PHP;Python;Ruby;SQL")</f>
        <v>Assembly;Bash/Shell/PowerShell;C;C++;HTML/CSS;Java;JavaScript;PHP;Python;Ruby;SQL</v>
      </c>
      <c r="C860" s="9" t="str">
        <f>IFERROR(__xludf.DUMMYFUNCTION("""COMPUTED_VALUE"""),"JavaScript")</f>
        <v>JavaScript</v>
      </c>
      <c r="D860" s="9" t="str">
        <f>IFERROR(__xludf.DUMMYFUNCTION("""COMPUTED_VALUE"""),"JavaScript")</f>
        <v>JavaScript</v>
      </c>
      <c r="E860" s="9" t="str">
        <f>IFERROR(__xludf.DUMMYFUNCTION("""COMPUTED_VALUE"""),"HTML/CSS")</f>
        <v>HTML/CSS</v>
      </c>
      <c r="F860" s="9" t="str">
        <f>IFERROR(__xludf.DUMMYFUNCTION("""COMPUTED_VALUE"""),"JavaScript")</f>
        <v>JavaScript</v>
      </c>
      <c r="G860" s="9" t="str">
        <f>IFERROR(__xludf.DUMMYFUNCTION("""COMPUTED_VALUE"""),"HTML/CSS")</f>
        <v>HTML/CSS</v>
      </c>
      <c r="H860" s="9" t="str">
        <f>IFERROR(__xludf.DUMMYFUNCTION("""COMPUTED_VALUE"""),"JavaScript")</f>
        <v>JavaScript</v>
      </c>
      <c r="I860" s="9" t="str">
        <f>IFERROR(__xludf.DUMMYFUNCTION("""COMPUTED_VALUE"""),"JavaScript")</f>
        <v>JavaScript</v>
      </c>
      <c r="J860" s="9" t="str">
        <f>IFERROR(__xludf.DUMMYFUNCTION("""COMPUTED_VALUE"""),"C")</f>
        <v>C</v>
      </c>
      <c r="K860" s="9" t="str">
        <f>IFERROR(__xludf.DUMMYFUNCTION("""COMPUTED_VALUE"""),"JavaScript")</f>
        <v>JavaScript</v>
      </c>
      <c r="L860" s="9" t="str">
        <f>IFERROR(__xludf.DUMMYFUNCTION("""COMPUTED_VALUE"""),"HTML/CSS")</f>
        <v>HTML/CSS</v>
      </c>
      <c r="M860" s="9" t="s">
        <v>21</v>
      </c>
    </row>
    <row r="861" ht="15.75" customHeight="1">
      <c r="A861" s="7"/>
      <c r="B861" s="7" t="str">
        <f>IFERROR(__xludf.DUMMYFUNCTION("""COMPUTED_VALUE"""),"Bash/Shell/PowerShell;C;HTML/CSS;JavaScript;Python;Ruby;SQL;TypeScript")</f>
        <v>Bash/Shell/PowerShell;C;HTML/CSS;JavaScript;Python;Ruby;SQL;TypeScript</v>
      </c>
      <c r="C861" s="9" t="str">
        <f>IFERROR(__xludf.DUMMYFUNCTION("""COMPUTED_VALUE"""),"Python")</f>
        <v>Python</v>
      </c>
      <c r="D861" s="9" t="str">
        <f>IFERROR(__xludf.DUMMYFUNCTION("""COMPUTED_VALUE"""),"PHP")</f>
        <v>PHP</v>
      </c>
      <c r="E861" s="9" t="str">
        <f>IFERROR(__xludf.DUMMYFUNCTION("""COMPUTED_VALUE"""),"Java")</f>
        <v>Java</v>
      </c>
      <c r="F861" s="9" t="str">
        <f>IFERROR(__xludf.DUMMYFUNCTION("""COMPUTED_VALUE"""),"TypeScript")</f>
        <v>TypeScript</v>
      </c>
      <c r="G861" s="9" t="str">
        <f>IFERROR(__xludf.DUMMYFUNCTION("""COMPUTED_VALUE"""),"JavaScript")</f>
        <v>JavaScript</v>
      </c>
      <c r="H861" s="9" t="str">
        <f>IFERROR(__xludf.DUMMYFUNCTION("""COMPUTED_VALUE"""),"SQL")</f>
        <v>SQL</v>
      </c>
      <c r="I861" s="9" t="str">
        <f>IFERROR(__xludf.DUMMYFUNCTION("""COMPUTED_VALUE"""),"SQL")</f>
        <v>SQL</v>
      </c>
      <c r="J861" s="9" t="str">
        <f>IFERROR(__xludf.DUMMYFUNCTION("""COMPUTED_VALUE"""),"C++")</f>
        <v>C++</v>
      </c>
      <c r="K861" s="9" t="str">
        <f>IFERROR(__xludf.DUMMYFUNCTION("""COMPUTED_VALUE"""),"Ruby")</f>
        <v>Ruby</v>
      </c>
      <c r="L861" s="9" t="str">
        <f>IFERROR(__xludf.DUMMYFUNCTION("""COMPUTED_VALUE"""),"Java")</f>
        <v>Java</v>
      </c>
      <c r="M861" s="9" t="s">
        <v>22</v>
      </c>
    </row>
    <row r="862" ht="15.75" customHeight="1">
      <c r="A862" s="7"/>
      <c r="B862" s="7" t="str">
        <f>IFERROR(__xludf.DUMMYFUNCTION("""COMPUTED_VALUE"""),"C++;C#")</f>
        <v>C++;C#</v>
      </c>
      <c r="C862" s="9" t="str">
        <f>IFERROR(__xludf.DUMMYFUNCTION("""COMPUTED_VALUE"""),"Ruby")</f>
        <v>Ruby</v>
      </c>
      <c r="D862" s="9" t="str">
        <f>IFERROR(__xludf.DUMMYFUNCTION("""COMPUTED_VALUE"""),"Python")</f>
        <v>Python</v>
      </c>
      <c r="E862" s="9" t="str">
        <f>IFERROR(__xludf.DUMMYFUNCTION("""COMPUTED_VALUE"""),"JavaScript")</f>
        <v>JavaScript</v>
      </c>
      <c r="F862" s="9" t="str">
        <f>IFERROR(__xludf.DUMMYFUNCTION("""COMPUTED_VALUE"""),"HTML/CSS")</f>
        <v>HTML/CSS</v>
      </c>
      <c r="G862" s="9" t="str">
        <f>IFERROR(__xludf.DUMMYFUNCTION("""COMPUTED_VALUE"""),"PHP")</f>
        <v>PHP</v>
      </c>
      <c r="H862" s="9" t="str">
        <f>IFERROR(__xludf.DUMMYFUNCTION("""COMPUTED_VALUE"""),"Elixir")</f>
        <v>Elixir</v>
      </c>
      <c r="I862" s="9" t="str">
        <f>IFERROR(__xludf.DUMMYFUNCTION("""COMPUTED_VALUE"""),"C#")</f>
        <v>C#</v>
      </c>
      <c r="J862" s="9" t="str">
        <f>IFERROR(__xludf.DUMMYFUNCTION("""COMPUTED_VALUE"""),"HTML/CSS")</f>
        <v>HTML/CSS</v>
      </c>
      <c r="K862" s="9" t="str">
        <f>IFERROR(__xludf.DUMMYFUNCTION("""COMPUTED_VALUE"""),"SQL")</f>
        <v>SQL</v>
      </c>
      <c r="L862" s="9" t="str">
        <f>IFERROR(__xludf.DUMMYFUNCTION("""COMPUTED_VALUE"""),"JavaScript")</f>
        <v>JavaScript</v>
      </c>
      <c r="M862" s="9" t="s">
        <v>31</v>
      </c>
    </row>
    <row r="863" ht="15.75" customHeight="1">
      <c r="A863" s="7"/>
      <c r="B863" s="7" t="str">
        <f>IFERROR(__xludf.DUMMYFUNCTION("""COMPUTED_VALUE"""),"Bash/Shell/PowerShell;Go;JavaScript;Python;Rust;SQL")</f>
        <v>Bash/Shell/PowerShell;Go;JavaScript;Python;Rust;SQL</v>
      </c>
      <c r="C863" s="9" t="str">
        <f>IFERROR(__xludf.DUMMYFUNCTION("""COMPUTED_VALUE"""),"TypeScript")</f>
        <v>TypeScript</v>
      </c>
      <c r="D863" s="9" t="str">
        <f>IFERROR(__xludf.DUMMYFUNCTION("""COMPUTED_VALUE"""),"Rust")</f>
        <v>Rust</v>
      </c>
      <c r="E863" s="9" t="str">
        <f>IFERROR(__xludf.DUMMYFUNCTION("""COMPUTED_VALUE"""),"Kotlin")</f>
        <v>Kotlin</v>
      </c>
      <c r="F863" s="9" t="str">
        <f>IFERROR(__xludf.DUMMYFUNCTION("""COMPUTED_VALUE"""),"Java")</f>
        <v>Java</v>
      </c>
      <c r="G863" s="9" t="str">
        <f>IFERROR(__xludf.DUMMYFUNCTION("""COMPUTED_VALUE"""),"SQL")</f>
        <v>SQL</v>
      </c>
      <c r="H863" s="9" t="str">
        <f>IFERROR(__xludf.DUMMYFUNCTION("""COMPUTED_VALUE"""),"JavaScript")</f>
        <v>JavaScript</v>
      </c>
      <c r="I863" s="9" t="str">
        <f>IFERROR(__xludf.DUMMYFUNCTION("""COMPUTED_VALUE"""),"Java")</f>
        <v>Java</v>
      </c>
      <c r="J863" s="9" t="str">
        <f>IFERROR(__xludf.DUMMYFUNCTION("""COMPUTED_VALUE"""),"Java")</f>
        <v>Java</v>
      </c>
      <c r="K863" s="9" t="str">
        <f>IFERROR(__xludf.DUMMYFUNCTION("""COMPUTED_VALUE"""),"HTML/CSS")</f>
        <v>HTML/CSS</v>
      </c>
      <c r="L863" s="9" t="str">
        <f>IFERROR(__xludf.DUMMYFUNCTION("""COMPUTED_VALUE"""),"Ruby")</f>
        <v>Ruby</v>
      </c>
      <c r="M863" s="9" t="s">
        <v>33</v>
      </c>
    </row>
    <row r="864" ht="15.75" customHeight="1">
      <c r="A864" s="7"/>
      <c r="B864" s="7" t="str">
        <f>IFERROR(__xludf.DUMMYFUNCTION("""COMPUTED_VALUE"""),"Dart;HTML/CSS;JavaScript;Kotlin;Rust")</f>
        <v>Dart;HTML/CSS;JavaScript;Kotlin;Rust</v>
      </c>
      <c r="C864" s="9" t="str">
        <f>IFERROR(__xludf.DUMMYFUNCTION("""COMPUTED_VALUE"""),"Assembly")</f>
        <v>Assembly</v>
      </c>
      <c r="D864" s="9" t="str">
        <f>IFERROR(__xludf.DUMMYFUNCTION("""COMPUTED_VALUE"""),"C++")</f>
        <v>C++</v>
      </c>
      <c r="E864" s="9" t="str">
        <f>IFERROR(__xludf.DUMMYFUNCTION("""COMPUTED_VALUE"""),"Objective-C")</f>
        <v>Objective-C</v>
      </c>
      <c r="F864" s="9" t="str">
        <f>IFERROR(__xludf.DUMMYFUNCTION("""COMPUTED_VALUE"""),"JavaScript")</f>
        <v>JavaScript</v>
      </c>
      <c r="G864" s="9" t="str">
        <f>IFERROR(__xludf.DUMMYFUNCTION("""COMPUTED_VALUE"""),"VBA")</f>
        <v>VBA</v>
      </c>
      <c r="H864" s="9" t="str">
        <f>IFERROR(__xludf.DUMMYFUNCTION("""COMPUTED_VALUE"""),"Ruby")</f>
        <v>Ruby</v>
      </c>
      <c r="I864" s="9" t="str">
        <f>IFERROR(__xludf.DUMMYFUNCTION("""COMPUTED_VALUE"""),"JavaScript")</f>
        <v>JavaScript</v>
      </c>
      <c r="J864" s="9" t="str">
        <f>IFERROR(__xludf.DUMMYFUNCTION("""COMPUTED_VALUE"""),"JavaScript")</f>
        <v>JavaScript</v>
      </c>
      <c r="K864" s="9" t="str">
        <f>IFERROR(__xludf.DUMMYFUNCTION("""COMPUTED_VALUE"""),"Python")</f>
        <v>Python</v>
      </c>
      <c r="L864" s="9" t="str">
        <f>IFERROR(__xludf.DUMMYFUNCTION("""COMPUTED_VALUE"""),"SQL")</f>
        <v>SQL</v>
      </c>
      <c r="M864" s="9" t="s">
        <v>38</v>
      </c>
    </row>
    <row r="865" ht="15.75" customHeight="1">
      <c r="A865" s="7"/>
      <c r="B865" s="7" t="str">
        <f>IFERROR(__xludf.DUMMYFUNCTION("""COMPUTED_VALUE"""),"Java;SQL;Other(s):")</f>
        <v>Java;SQL;Other(s):</v>
      </c>
      <c r="C865" s="9" t="str">
        <f>IFERROR(__xludf.DUMMYFUNCTION("""COMPUTED_VALUE"""),"C")</f>
        <v>C</v>
      </c>
      <c r="D865" s="9" t="str">
        <f>IFERROR(__xludf.DUMMYFUNCTION("""COMPUTED_VALUE"""),"C#")</f>
        <v>C#</v>
      </c>
      <c r="E865" s="9" t="str">
        <f>IFERROR(__xludf.DUMMYFUNCTION("""COMPUTED_VALUE"""),"Python")</f>
        <v>Python</v>
      </c>
      <c r="F865" s="9" t="str">
        <f>IFERROR(__xludf.DUMMYFUNCTION("""COMPUTED_VALUE"""),"SQL")</f>
        <v>SQL</v>
      </c>
      <c r="G865" s="9" t="str">
        <f>IFERROR(__xludf.DUMMYFUNCTION("""COMPUTED_VALUE"""),"HTML/CSS")</f>
        <v>HTML/CSS</v>
      </c>
      <c r="H865" s="9" t="str">
        <f>IFERROR(__xludf.DUMMYFUNCTION("""COMPUTED_VALUE"""),"Java")</f>
        <v>Java</v>
      </c>
      <c r="I865" s="9" t="str">
        <f>IFERROR(__xludf.DUMMYFUNCTION("""COMPUTED_VALUE"""),"TypeScript")</f>
        <v>TypeScript</v>
      </c>
      <c r="J865" s="9" t="str">
        <f>IFERROR(__xludf.DUMMYFUNCTION("""COMPUTED_VALUE"""),"SQL")</f>
        <v>SQL</v>
      </c>
      <c r="K865" s="9" t="str">
        <f>IFERROR(__xludf.DUMMYFUNCTION("""COMPUTED_VALUE"""),"Bash/Shell/PowerShell")</f>
        <v>Bash/Shell/PowerShell</v>
      </c>
      <c r="L865" s="9" t="str">
        <f>IFERROR(__xludf.DUMMYFUNCTION("""COMPUTED_VALUE"""),"TypeScript")</f>
        <v>TypeScript</v>
      </c>
      <c r="M865" s="9" t="s">
        <v>25</v>
      </c>
    </row>
    <row r="866" ht="15.75" customHeight="1">
      <c r="A866" s="7"/>
      <c r="B866" s="7" t="str">
        <f>IFERROR(__xludf.DUMMYFUNCTION("""COMPUTED_VALUE"""),"Bash/Shell/PowerShell;C#;HTML/CSS;Java;JavaScript;SQL;Other(s):")</f>
        <v>Bash/Shell/PowerShell;C#;HTML/CSS;Java;JavaScript;SQL;Other(s):</v>
      </c>
      <c r="C866" s="9" t="str">
        <f>IFERROR(__xludf.DUMMYFUNCTION("""COMPUTED_VALUE"""),"C++")</f>
        <v>C++</v>
      </c>
      <c r="D866" s="9" t="str">
        <f>IFERROR(__xludf.DUMMYFUNCTION("""COMPUTED_VALUE"""),"C++")</f>
        <v>C++</v>
      </c>
      <c r="E866" s="9" t="str">
        <f>IFERROR(__xludf.DUMMYFUNCTION("""COMPUTED_VALUE"""),"SQL")</f>
        <v>SQL</v>
      </c>
      <c r="F866" s="9" t="str">
        <f>IFERROR(__xludf.DUMMYFUNCTION("""COMPUTED_VALUE"""),"C#")</f>
        <v>C#</v>
      </c>
      <c r="G866" s="9" t="str">
        <f>IFERROR(__xludf.DUMMYFUNCTION("""COMPUTED_VALUE"""),"JavaScript")</f>
        <v>JavaScript</v>
      </c>
      <c r="H866" s="9" t="str">
        <f>IFERROR(__xludf.DUMMYFUNCTION("""COMPUTED_VALUE"""),"SQL")</f>
        <v>SQL</v>
      </c>
      <c r="I866" s="9" t="str">
        <f>IFERROR(__xludf.DUMMYFUNCTION("""COMPUTED_VALUE"""),"Bash/Shell/PowerShell")</f>
        <v>Bash/Shell/PowerShell</v>
      </c>
      <c r="J866" s="9" t="str">
        <f>IFERROR(__xludf.DUMMYFUNCTION("""COMPUTED_VALUE"""),"Python")</f>
        <v>Python</v>
      </c>
      <c r="K866" s="9" t="str">
        <f>IFERROR(__xludf.DUMMYFUNCTION("""COMPUTED_VALUE"""),"Java")</f>
        <v>Java</v>
      </c>
      <c r="L866" s="9" t="str">
        <f>IFERROR(__xludf.DUMMYFUNCTION("""COMPUTED_VALUE"""),"C++")</f>
        <v>C++</v>
      </c>
      <c r="M866" s="9" t="s">
        <v>23</v>
      </c>
    </row>
    <row r="867" ht="15.75" customHeight="1">
      <c r="A867" s="7"/>
      <c r="B867" s="7" t="str">
        <f>IFERROR(__xludf.DUMMYFUNCTION("""COMPUTED_VALUE"""),"HTML/CSS;JavaScript;Python;TypeScript")</f>
        <v>HTML/CSS;JavaScript;Python;TypeScript</v>
      </c>
      <c r="C867" s="9" t="str">
        <f>IFERROR(__xludf.DUMMYFUNCTION("""COMPUTED_VALUE"""),"C#")</f>
        <v>C#</v>
      </c>
      <c r="D867" s="9" t="str">
        <f>IFERROR(__xludf.DUMMYFUNCTION("""COMPUTED_VALUE"""),"HTML/CSS")</f>
        <v>HTML/CSS</v>
      </c>
      <c r="E867" s="9" t="str">
        <f>IFERROR(__xludf.DUMMYFUNCTION("""COMPUTED_VALUE"""),"Swift")</f>
        <v>Swift</v>
      </c>
      <c r="F867" s="9" t="str">
        <f>IFERROR(__xludf.DUMMYFUNCTION("""COMPUTED_VALUE"""),"HTML/CSS")</f>
        <v>HTML/CSS</v>
      </c>
      <c r="G867" s="9" t="str">
        <f>IFERROR(__xludf.DUMMYFUNCTION("""COMPUTED_VALUE"""),"SQL")</f>
        <v>SQL</v>
      </c>
      <c r="H867" s="9" t="str">
        <f>IFERROR(__xludf.DUMMYFUNCTION("""COMPUTED_VALUE"""),"C#")</f>
        <v>C#</v>
      </c>
      <c r="I867" s="9" t="str">
        <f>IFERROR(__xludf.DUMMYFUNCTION("""COMPUTED_VALUE"""),"Clojure")</f>
        <v>Clojure</v>
      </c>
      <c r="J867" s="9" t="str">
        <f>IFERROR(__xludf.DUMMYFUNCTION("""COMPUTED_VALUE"""),"Bash/Shell/PowerShell")</f>
        <v>Bash/Shell/PowerShell</v>
      </c>
      <c r="K867" s="9" t="str">
        <f>IFERROR(__xludf.DUMMYFUNCTION("""COMPUTED_VALUE"""),"Other(s):")</f>
        <v>Other(s):</v>
      </c>
      <c r="L867" s="9" t="str">
        <f>IFERROR(__xludf.DUMMYFUNCTION("""COMPUTED_VALUE"""),"HTML/CSS")</f>
        <v>HTML/CSS</v>
      </c>
      <c r="M867" s="9" t="s">
        <v>26</v>
      </c>
    </row>
    <row r="868" ht="15.75" customHeight="1">
      <c r="A868" s="7"/>
      <c r="B868" s="7" t="str">
        <f>IFERROR(__xludf.DUMMYFUNCTION("""COMPUTED_VALUE"""),"C;C++")</f>
        <v>C;C++</v>
      </c>
      <c r="C868" s="9" t="str">
        <f>IFERROR(__xludf.DUMMYFUNCTION("""COMPUTED_VALUE"""),"HTML/CSS")</f>
        <v>HTML/CSS</v>
      </c>
      <c r="D868" s="9" t="str">
        <f>IFERROR(__xludf.DUMMYFUNCTION("""COMPUTED_VALUE"""),"Java")</f>
        <v>Java</v>
      </c>
      <c r="E868" s="9" t="str">
        <f>IFERROR(__xludf.DUMMYFUNCTION("""COMPUTED_VALUE"""),"C#")</f>
        <v>C#</v>
      </c>
      <c r="F868" s="9" t="str">
        <f>IFERROR(__xludf.DUMMYFUNCTION("""COMPUTED_VALUE"""),"JavaScript")</f>
        <v>JavaScript</v>
      </c>
      <c r="G868" s="9" t="str">
        <f>IFERROR(__xludf.DUMMYFUNCTION("""COMPUTED_VALUE"""),"Bash/Shell/PowerShell")</f>
        <v>Bash/Shell/PowerShell</v>
      </c>
      <c r="H868" s="9" t="str">
        <f>IFERROR(__xludf.DUMMYFUNCTION("""COMPUTED_VALUE"""),"HTML/CSS")</f>
        <v>HTML/CSS</v>
      </c>
      <c r="I868" s="9" t="str">
        <f>IFERROR(__xludf.DUMMYFUNCTION("""COMPUTED_VALUE"""),"Dart")</f>
        <v>Dart</v>
      </c>
      <c r="J868" s="9" t="str">
        <f>IFERROR(__xludf.DUMMYFUNCTION("""COMPUTED_VALUE"""),"HTML/CSS")</f>
        <v>HTML/CSS</v>
      </c>
      <c r="K868" s="9" t="str">
        <f>IFERROR(__xludf.DUMMYFUNCTION("""COMPUTED_VALUE"""),"Bash/Shell/PowerShell")</f>
        <v>Bash/Shell/PowerShell</v>
      </c>
      <c r="L868" s="9" t="str">
        <f>IFERROR(__xludf.DUMMYFUNCTION("""COMPUTED_VALUE"""),"JavaScript")</f>
        <v>JavaScript</v>
      </c>
      <c r="M868" s="9" t="s">
        <v>24</v>
      </c>
    </row>
    <row r="869" ht="15.75" customHeight="1">
      <c r="A869" s="7"/>
      <c r="B869" s="7" t="str">
        <f>IFERROR(__xludf.DUMMYFUNCTION("""COMPUTED_VALUE"""),"Bash/Shell/PowerShell;HTML/CSS;JavaScript;PHP;Python;SQL")</f>
        <v>Bash/Shell/PowerShell;HTML/CSS;JavaScript;PHP;Python;SQL</v>
      </c>
      <c r="C869" s="9" t="str">
        <f>IFERROR(__xludf.DUMMYFUNCTION("""COMPUTED_VALUE"""),"Java")</f>
        <v>Java</v>
      </c>
      <c r="D869" s="9" t="str">
        <f>IFERROR(__xludf.DUMMYFUNCTION("""COMPUTED_VALUE"""),"JavaScript")</f>
        <v>JavaScript</v>
      </c>
      <c r="E869" s="9" t="str">
        <f>IFERROR(__xludf.DUMMYFUNCTION("""COMPUTED_VALUE"""),"HTML/CSS")</f>
        <v>HTML/CSS</v>
      </c>
      <c r="F869" s="9" t="str">
        <f>IFERROR(__xludf.DUMMYFUNCTION("""COMPUTED_VALUE"""),"TypeScript")</f>
        <v>TypeScript</v>
      </c>
      <c r="G869" s="9" t="str">
        <f>IFERROR(__xludf.DUMMYFUNCTION("""COMPUTED_VALUE"""),"HTML/CSS")</f>
        <v>HTML/CSS</v>
      </c>
      <c r="H869" s="9" t="str">
        <f>IFERROR(__xludf.DUMMYFUNCTION("""COMPUTED_VALUE"""),"JavaScript")</f>
        <v>JavaScript</v>
      </c>
      <c r="I869" s="9" t="str">
        <f>IFERROR(__xludf.DUMMYFUNCTION("""COMPUTED_VALUE"""),"Go")</f>
        <v>Go</v>
      </c>
      <c r="J869" s="9" t="str">
        <f>IFERROR(__xludf.DUMMYFUNCTION("""COMPUTED_VALUE"""),"Java")</f>
        <v>Java</v>
      </c>
      <c r="K869" s="9" t="str">
        <f>IFERROR(__xludf.DUMMYFUNCTION("""COMPUTED_VALUE"""),"C")</f>
        <v>C</v>
      </c>
      <c r="L869" s="9" t="str">
        <f>IFERROR(__xludf.DUMMYFUNCTION("""COMPUTED_VALUE"""),"PHP")</f>
        <v>PHP</v>
      </c>
      <c r="M869" s="9" t="s">
        <v>20</v>
      </c>
    </row>
    <row r="870" ht="15.75" customHeight="1">
      <c r="A870" s="7"/>
      <c r="B870" s="7" t="str">
        <f>IFERROR(__xludf.DUMMYFUNCTION("""COMPUTED_VALUE"""),"C;HTML/CSS;JavaScript;Python;SQL;TypeScript")</f>
        <v>C;HTML/CSS;JavaScript;Python;SQL;TypeScript</v>
      </c>
      <c r="C870" s="9" t="str">
        <f>IFERROR(__xludf.DUMMYFUNCTION("""COMPUTED_VALUE"""),"Objective-C")</f>
        <v>Objective-C</v>
      </c>
      <c r="D870" s="9" t="str">
        <f>IFERROR(__xludf.DUMMYFUNCTION("""COMPUTED_VALUE"""),"PHP")</f>
        <v>PHP</v>
      </c>
      <c r="E870" s="9" t="str">
        <f>IFERROR(__xludf.DUMMYFUNCTION("""COMPUTED_VALUE"""),"JavaScript")</f>
        <v>JavaScript</v>
      </c>
      <c r="F870" s="9" t="str">
        <f>IFERROR(__xludf.DUMMYFUNCTION("""COMPUTED_VALUE"""),"HTML/CSS")</f>
        <v>HTML/CSS</v>
      </c>
      <c r="G870" s="9" t="str">
        <f>IFERROR(__xludf.DUMMYFUNCTION("""COMPUTED_VALUE"""),"JavaScript")</f>
        <v>JavaScript</v>
      </c>
      <c r="H870" s="9" t="str">
        <f>IFERROR(__xludf.DUMMYFUNCTION("""COMPUTED_VALUE"""),"TypeScript")</f>
        <v>TypeScript</v>
      </c>
      <c r="I870" s="9" t="str">
        <f>IFERROR(__xludf.DUMMYFUNCTION("""COMPUTED_VALUE"""),"HTML/CSS")</f>
        <v>HTML/CSS</v>
      </c>
      <c r="J870" s="9" t="str">
        <f>IFERROR(__xludf.DUMMYFUNCTION("""COMPUTED_VALUE"""),"Python")</f>
        <v>Python</v>
      </c>
      <c r="K870" s="9" t="str">
        <f>IFERROR(__xludf.DUMMYFUNCTION("""COMPUTED_VALUE"""),"C++")</f>
        <v>C++</v>
      </c>
      <c r="L870" s="9" t="str">
        <f>IFERROR(__xludf.DUMMYFUNCTION("""COMPUTED_VALUE"""),"Python")</f>
        <v>Python</v>
      </c>
      <c r="M870" s="9" t="s">
        <v>41</v>
      </c>
    </row>
    <row r="871" ht="15.75" customHeight="1">
      <c r="A871" s="7"/>
      <c r="B871" s="7" t="str">
        <f>IFERROR(__xludf.DUMMYFUNCTION("""COMPUTED_VALUE"""),"C++;HTML/CSS;JavaScript;Rust;SQL;TypeScript;Other(s):")</f>
        <v>C++;HTML/CSS;JavaScript;Rust;SQL;TypeScript;Other(s):</v>
      </c>
      <c r="C871" s="9" t="str">
        <f>IFERROR(__xludf.DUMMYFUNCTION("""COMPUTED_VALUE"""),"PHP")</f>
        <v>PHP</v>
      </c>
      <c r="D871" s="9" t="str">
        <f>IFERROR(__xludf.DUMMYFUNCTION("""COMPUTED_VALUE"""),"Python")</f>
        <v>Python</v>
      </c>
      <c r="E871" s="9" t="str">
        <f>IFERROR(__xludf.DUMMYFUNCTION("""COMPUTED_VALUE"""),"SQL")</f>
        <v>SQL</v>
      </c>
      <c r="F871" s="9" t="str">
        <f>IFERROR(__xludf.DUMMYFUNCTION("""COMPUTED_VALUE"""),"Java")</f>
        <v>Java</v>
      </c>
      <c r="G871" s="9" t="str">
        <f>IFERROR(__xludf.DUMMYFUNCTION("""COMPUTED_VALUE"""),"Python")</f>
        <v>Python</v>
      </c>
      <c r="H871" s="9" t="str">
        <f>IFERROR(__xludf.DUMMYFUNCTION("""COMPUTED_VALUE"""),"Swift")</f>
        <v>Swift</v>
      </c>
      <c r="I871" s="9" t="str">
        <f>IFERROR(__xludf.DUMMYFUNCTION("""COMPUTED_VALUE"""),"Java")</f>
        <v>Java</v>
      </c>
      <c r="J871" s="9" t="str">
        <f>IFERROR(__xludf.DUMMYFUNCTION("""COMPUTED_VALUE"""),"SQL")</f>
        <v>SQL</v>
      </c>
      <c r="K871" s="9" t="str">
        <f>IFERROR(__xludf.DUMMYFUNCTION("""COMPUTED_VALUE"""),"HTML/CSS")</f>
        <v>HTML/CSS</v>
      </c>
      <c r="L871" s="9" t="str">
        <f>IFERROR(__xludf.DUMMYFUNCTION("""COMPUTED_VALUE"""),"HTML/CSS")</f>
        <v>HTML/CSS</v>
      </c>
      <c r="M871" s="9" t="s">
        <v>37</v>
      </c>
    </row>
    <row r="872" ht="15.75" customHeight="1">
      <c r="A872" s="7"/>
      <c r="B872" s="7" t="str">
        <f>IFERROR(__xludf.DUMMYFUNCTION("""COMPUTED_VALUE"""),"Bash/Shell/PowerShell;Objective-C;Ruby;Swift")</f>
        <v>Bash/Shell/PowerShell;Objective-C;Ruby;Swift</v>
      </c>
      <c r="C872" s="9" t="str">
        <f>IFERROR(__xludf.DUMMYFUNCTION("""COMPUTED_VALUE"""),"Python")</f>
        <v>Python</v>
      </c>
      <c r="D872" s="9" t="str">
        <f>IFERROR(__xludf.DUMMYFUNCTION("""COMPUTED_VALUE"""),"Ruby")</f>
        <v>Ruby</v>
      </c>
      <c r="E872" s="9" t="str">
        <f>IFERROR(__xludf.DUMMYFUNCTION("""COMPUTED_VALUE"""),"TypeScript")</f>
        <v>TypeScript</v>
      </c>
      <c r="F872" s="9" t="str">
        <f>IFERROR(__xludf.DUMMYFUNCTION("""COMPUTED_VALUE"""),"SQL")</f>
        <v>SQL</v>
      </c>
      <c r="G872" s="9" t="str">
        <f>IFERROR(__xludf.DUMMYFUNCTION("""COMPUTED_VALUE"""),"HTML/CSS")</f>
        <v>HTML/CSS</v>
      </c>
      <c r="H872" s="9" t="str">
        <f>IFERROR(__xludf.DUMMYFUNCTION("""COMPUTED_VALUE"""),"Bash/Shell/PowerShell")</f>
        <v>Bash/Shell/PowerShell</v>
      </c>
      <c r="I872" s="9" t="str">
        <f>IFERROR(__xludf.DUMMYFUNCTION("""COMPUTED_VALUE"""),"JavaScript")</f>
        <v>JavaScript</v>
      </c>
      <c r="J872" s="9" t="str">
        <f>IFERROR(__xludf.DUMMYFUNCTION("""COMPUTED_VALUE"""),"C")</f>
        <v>C</v>
      </c>
      <c r="K872" s="9" t="str">
        <f>IFERROR(__xludf.DUMMYFUNCTION("""COMPUTED_VALUE"""),"Java")</f>
        <v>Java</v>
      </c>
      <c r="L872" s="9" t="str">
        <f>IFERROR(__xludf.DUMMYFUNCTION("""COMPUTED_VALUE"""),"JavaScript")</f>
        <v>JavaScript</v>
      </c>
      <c r="M872" s="9" t="s">
        <v>22</v>
      </c>
    </row>
    <row r="873" ht="15.75" customHeight="1">
      <c r="A873" s="7"/>
      <c r="B873" s="7" t="str">
        <f>IFERROR(__xludf.DUMMYFUNCTION("""COMPUTED_VALUE"""),"C;Go;JavaScript;SQL;TypeScript")</f>
        <v>C;Go;JavaScript;SQL;TypeScript</v>
      </c>
      <c r="C873" s="9" t="str">
        <f>IFERROR(__xludf.DUMMYFUNCTION("""COMPUTED_VALUE"""),"R")</f>
        <v>R</v>
      </c>
      <c r="D873" s="9" t="str">
        <f>IFERROR(__xludf.DUMMYFUNCTION("""COMPUTED_VALUE"""),"SQL")</f>
        <v>SQL</v>
      </c>
      <c r="E873" s="9" t="str">
        <f>IFERROR(__xludf.DUMMYFUNCTION("""COMPUTED_VALUE"""),"Bash/Shell/PowerShell")</f>
        <v>Bash/Shell/PowerShell</v>
      </c>
      <c r="F873" s="9" t="str">
        <f>IFERROR(__xludf.DUMMYFUNCTION("""COMPUTED_VALUE"""),"HTML/CSS")</f>
        <v>HTML/CSS</v>
      </c>
      <c r="G873" s="9" t="str">
        <f>IFERROR(__xludf.DUMMYFUNCTION("""COMPUTED_VALUE"""),"Java")</f>
        <v>Java</v>
      </c>
      <c r="H873" s="9" t="str">
        <f>IFERROR(__xludf.DUMMYFUNCTION("""COMPUTED_VALUE"""),"HTML/CSS")</f>
        <v>HTML/CSS</v>
      </c>
      <c r="I873" s="9" t="str">
        <f>IFERROR(__xludf.DUMMYFUNCTION("""COMPUTED_VALUE"""),"Python")</f>
        <v>Python</v>
      </c>
      <c r="J873" s="9" t="str">
        <f>IFERROR(__xludf.DUMMYFUNCTION("""COMPUTED_VALUE"""),"C++")</f>
        <v>C++</v>
      </c>
      <c r="K873" s="9" t="str">
        <f>IFERROR(__xludf.DUMMYFUNCTION("""COMPUTED_VALUE"""),"Python")</f>
        <v>Python</v>
      </c>
      <c r="L873" s="9" t="str">
        <f>IFERROR(__xludf.DUMMYFUNCTION("""COMPUTED_VALUE"""),"C#")</f>
        <v>C#</v>
      </c>
      <c r="M873" s="9" t="s">
        <v>29</v>
      </c>
    </row>
    <row r="874" ht="15.75" customHeight="1">
      <c r="A874" s="7"/>
      <c r="B874" s="7" t="str">
        <f>IFERROR(__xludf.DUMMYFUNCTION("""COMPUTED_VALUE"""),"Java;JavaScript;PHP;Python")</f>
        <v>Java;JavaScript;PHP;Python</v>
      </c>
      <c r="C874" s="9" t="str">
        <f>IFERROR(__xludf.DUMMYFUNCTION("""COMPUTED_VALUE"""),"SQL")</f>
        <v>SQL</v>
      </c>
      <c r="D874" s="9" t="str">
        <f>IFERROR(__xludf.DUMMYFUNCTION("""COMPUTED_VALUE"""),"Bash/Shell/PowerShell")</f>
        <v>Bash/Shell/PowerShell</v>
      </c>
      <c r="E874" s="9" t="str">
        <f>IFERROR(__xludf.DUMMYFUNCTION("""COMPUTED_VALUE"""),"HTML/CSS")</f>
        <v>HTML/CSS</v>
      </c>
      <c r="F874" s="9" t="str">
        <f>IFERROR(__xludf.DUMMYFUNCTION("""COMPUTED_VALUE"""),"JavaScript")</f>
        <v>JavaScript</v>
      </c>
      <c r="G874" s="9" t="str">
        <f>IFERROR(__xludf.DUMMYFUNCTION("""COMPUTED_VALUE"""),"JavaScript")</f>
        <v>JavaScript</v>
      </c>
      <c r="H874" s="9" t="str">
        <f>IFERROR(__xludf.DUMMYFUNCTION("""COMPUTED_VALUE"""),"Java")</f>
        <v>Java</v>
      </c>
      <c r="I874" s="9" t="str">
        <f>IFERROR(__xludf.DUMMYFUNCTION("""COMPUTED_VALUE"""),"SQL")</f>
        <v>SQL</v>
      </c>
      <c r="J874" s="9" t="str">
        <f>IFERROR(__xludf.DUMMYFUNCTION("""COMPUTED_VALUE"""),"C#")</f>
        <v>C#</v>
      </c>
      <c r="K874" s="9" t="str">
        <f>IFERROR(__xludf.DUMMYFUNCTION("""COMPUTED_VALUE"""),"SQL")</f>
        <v>SQL</v>
      </c>
      <c r="L874" s="9" t="str">
        <f>IFERROR(__xludf.DUMMYFUNCTION("""COMPUTED_VALUE"""),"HTML/CSS")</f>
        <v>HTML/CSS</v>
      </c>
      <c r="M874" s="9" t="s">
        <v>27</v>
      </c>
    </row>
    <row r="875" ht="15.75" customHeight="1">
      <c r="A875" s="7"/>
      <c r="B875" s="7" t="str">
        <f>IFERROR(__xludf.DUMMYFUNCTION("""COMPUTED_VALUE"""),"C++;Java;SQL;Swift")</f>
        <v>C++;Java;SQL;Swift</v>
      </c>
      <c r="C875" s="9" t="str">
        <f>IFERROR(__xludf.DUMMYFUNCTION("""COMPUTED_VALUE"""),"Swift")</f>
        <v>Swift</v>
      </c>
      <c r="D875" s="9" t="str">
        <f>IFERROR(__xludf.DUMMYFUNCTION("""COMPUTED_VALUE"""),"Python")</f>
        <v>Python</v>
      </c>
      <c r="E875" s="9" t="str">
        <f>IFERROR(__xludf.DUMMYFUNCTION("""COMPUTED_VALUE"""),"Java")</f>
        <v>Java</v>
      </c>
      <c r="F875" s="9" t="str">
        <f>IFERROR(__xludf.DUMMYFUNCTION("""COMPUTED_VALUE"""),"PHP")</f>
        <v>PHP</v>
      </c>
      <c r="G875" s="9" t="str">
        <f>IFERROR(__xludf.DUMMYFUNCTION("""COMPUTED_VALUE"""),"PHP")</f>
        <v>PHP</v>
      </c>
      <c r="H875" s="9" t="str">
        <f>IFERROR(__xludf.DUMMYFUNCTION("""COMPUTED_VALUE"""),"JavaScript")</f>
        <v>JavaScript</v>
      </c>
      <c r="I875" s="9" t="str">
        <f>IFERROR(__xludf.DUMMYFUNCTION("""COMPUTED_VALUE"""),"JavaScript")</f>
        <v>JavaScript</v>
      </c>
      <c r="J875" s="9" t="str">
        <f>IFERROR(__xludf.DUMMYFUNCTION("""COMPUTED_VALUE"""),"Assembly")</f>
        <v>Assembly</v>
      </c>
      <c r="K875" s="9" t="str">
        <f>IFERROR(__xludf.DUMMYFUNCTION("""COMPUTED_VALUE"""),"Bash/Shell/PowerShell")</f>
        <v>Bash/Shell/PowerShell</v>
      </c>
      <c r="L875" s="9" t="str">
        <f>IFERROR(__xludf.DUMMYFUNCTION("""COMPUTED_VALUE"""),"JavaScript")</f>
        <v>JavaScript</v>
      </c>
      <c r="M875" s="9" t="s">
        <v>40</v>
      </c>
    </row>
    <row r="876" ht="15.75" customHeight="1">
      <c r="A876" s="7"/>
      <c r="B876" s="7" t="str">
        <f>IFERROR(__xludf.DUMMYFUNCTION("""COMPUTED_VALUE"""),"C#;HTML/CSS;JavaScript;SQL")</f>
        <v>C#;HTML/CSS;JavaScript;SQL</v>
      </c>
      <c r="C876" s="9" t="str">
        <f>IFERROR(__xludf.DUMMYFUNCTION("""COMPUTED_VALUE"""),"HTML/CSS")</f>
        <v>HTML/CSS</v>
      </c>
      <c r="D876" s="9" t="str">
        <f>IFERROR(__xludf.DUMMYFUNCTION("""COMPUTED_VALUE"""),"SQL")</f>
        <v>SQL</v>
      </c>
      <c r="E876" s="9" t="str">
        <f>IFERROR(__xludf.DUMMYFUNCTION("""COMPUTED_VALUE"""),"JavaScript")</f>
        <v>JavaScript</v>
      </c>
      <c r="F876" s="9" t="str">
        <f>IFERROR(__xludf.DUMMYFUNCTION("""COMPUTED_VALUE"""),"Python")</f>
        <v>Python</v>
      </c>
      <c r="G876" s="9" t="str">
        <f>IFERROR(__xludf.DUMMYFUNCTION("""COMPUTED_VALUE"""),"Java")</f>
        <v>Java</v>
      </c>
      <c r="H876" s="9" t="str">
        <f>IFERROR(__xludf.DUMMYFUNCTION("""COMPUTED_VALUE"""),"Objective-C")</f>
        <v>Objective-C</v>
      </c>
      <c r="I876" s="9" t="str">
        <f>IFERROR(__xludf.DUMMYFUNCTION("""COMPUTED_VALUE"""),"Python")</f>
        <v>Python</v>
      </c>
      <c r="J876" s="9" t="str">
        <f>IFERROR(__xludf.DUMMYFUNCTION("""COMPUTED_VALUE"""),"Bash/Shell/PowerShell")</f>
        <v>Bash/Shell/PowerShell</v>
      </c>
      <c r="K876" s="9" t="str">
        <f>IFERROR(__xludf.DUMMYFUNCTION("""COMPUTED_VALUE"""),"C")</f>
        <v>C</v>
      </c>
      <c r="L876" s="9" t="str">
        <f>IFERROR(__xludf.DUMMYFUNCTION("""COMPUTED_VALUE"""),"PHP")</f>
        <v>PHP</v>
      </c>
      <c r="M876" s="9" t="s">
        <v>24</v>
      </c>
    </row>
    <row r="877" ht="15.75" customHeight="1">
      <c r="A877" s="7"/>
      <c r="B877" s="7" t="str">
        <f>IFERROR(__xludf.DUMMYFUNCTION("""COMPUTED_VALUE"""),"HTML/CSS;Java;PHP;SQL")</f>
        <v>HTML/CSS;Java;PHP;SQL</v>
      </c>
      <c r="C877" s="9" t="str">
        <f>IFERROR(__xludf.DUMMYFUNCTION("""COMPUTED_VALUE"""),"JavaScript")</f>
        <v>JavaScript</v>
      </c>
      <c r="D877" s="9" t="str">
        <f>IFERROR(__xludf.DUMMYFUNCTION("""COMPUTED_VALUE"""),"HTML/CSS")</f>
        <v>HTML/CSS</v>
      </c>
      <c r="E877" s="9" t="str">
        <f>IFERROR(__xludf.DUMMYFUNCTION("""COMPUTED_VALUE"""),"SQL")</f>
        <v>SQL</v>
      </c>
      <c r="F877" s="9" t="str">
        <f>IFERROR(__xludf.DUMMYFUNCTION("""COMPUTED_VALUE"""),"SQL")</f>
        <v>SQL</v>
      </c>
      <c r="G877" s="9" t="str">
        <f>IFERROR(__xludf.DUMMYFUNCTION("""COMPUTED_VALUE"""),"C")</f>
        <v>C</v>
      </c>
      <c r="H877" s="9" t="str">
        <f>IFERROR(__xludf.DUMMYFUNCTION("""COMPUTED_VALUE"""),"Python")</f>
        <v>Python</v>
      </c>
      <c r="I877" s="9" t="str">
        <f>IFERROR(__xludf.DUMMYFUNCTION("""COMPUTED_VALUE"""),"Bash/Shell/PowerShell")</f>
        <v>Bash/Shell/PowerShell</v>
      </c>
      <c r="J877" s="9" t="str">
        <f>IFERROR(__xludf.DUMMYFUNCTION("""COMPUTED_VALUE"""),"C")</f>
        <v>C</v>
      </c>
      <c r="K877" s="9" t="str">
        <f>IFERROR(__xludf.DUMMYFUNCTION("""COMPUTED_VALUE"""),"C++")</f>
        <v>C++</v>
      </c>
      <c r="L877" s="9" t="str">
        <f>IFERROR(__xludf.DUMMYFUNCTION("""COMPUTED_VALUE"""),"Python")</f>
        <v>Python</v>
      </c>
      <c r="M877" s="9" t="s">
        <v>21</v>
      </c>
    </row>
    <row r="878" ht="15.75" customHeight="1">
      <c r="A878" s="7"/>
      <c r="B878" s="7" t="str">
        <f>IFERROR(__xludf.DUMMYFUNCTION("""COMPUTED_VALUE"""),"C#;Clojure;JavaScript;PHP;Python;R;SQL")</f>
        <v>C#;Clojure;JavaScript;PHP;Python;R;SQL</v>
      </c>
      <c r="C878" s="9" t="str">
        <f>IFERROR(__xludf.DUMMYFUNCTION("""COMPUTED_VALUE"""),"Objective-C")</f>
        <v>Objective-C</v>
      </c>
      <c r="D878" s="9" t="str">
        <f>IFERROR(__xludf.DUMMYFUNCTION("""COMPUTED_VALUE"""),"JavaScript")</f>
        <v>JavaScript</v>
      </c>
      <c r="E878" s="9" t="str">
        <f>IFERROR(__xludf.DUMMYFUNCTION("""COMPUTED_VALUE"""),"TypeScript")</f>
        <v>TypeScript</v>
      </c>
      <c r="F878" s="9" t="str">
        <f>IFERROR(__xludf.DUMMYFUNCTION("""COMPUTED_VALUE"""),"VBA")</f>
        <v>VBA</v>
      </c>
      <c r="G878" s="9" t="str">
        <f>IFERROR(__xludf.DUMMYFUNCTION("""COMPUTED_VALUE"""),"C++")</f>
        <v>C++</v>
      </c>
      <c r="H878" s="9" t="str">
        <f>IFERROR(__xludf.DUMMYFUNCTION("""COMPUTED_VALUE"""),"Swift")</f>
        <v>Swift</v>
      </c>
      <c r="I878" s="9" t="str">
        <f>IFERROR(__xludf.DUMMYFUNCTION("""COMPUTED_VALUE"""),"HTML/CSS")</f>
        <v>HTML/CSS</v>
      </c>
      <c r="J878" s="9" t="str">
        <f>IFERROR(__xludf.DUMMYFUNCTION("""COMPUTED_VALUE"""),"HTML/CSS")</f>
        <v>HTML/CSS</v>
      </c>
      <c r="K878" s="9" t="str">
        <f>IFERROR(__xludf.DUMMYFUNCTION("""COMPUTED_VALUE"""),"Go")</f>
        <v>Go</v>
      </c>
      <c r="L878" s="9" t="str">
        <f>IFERROR(__xludf.DUMMYFUNCTION("""COMPUTED_VALUE"""),"SQL")</f>
        <v>SQL</v>
      </c>
      <c r="M878" s="9" t="s">
        <v>41</v>
      </c>
    </row>
    <row r="879" ht="15.75" customHeight="1">
      <c r="A879" s="7"/>
      <c r="B879" s="7" t="str">
        <f>IFERROR(__xludf.DUMMYFUNCTION("""COMPUTED_VALUE"""),"C#;Java;JavaScript;SQL")</f>
        <v>C#;Java;JavaScript;SQL</v>
      </c>
      <c r="C879" s="9" t="str">
        <f>IFERROR(__xludf.DUMMYFUNCTION("""COMPUTED_VALUE"""),"SQL")</f>
        <v>SQL</v>
      </c>
      <c r="D879" s="9" t="str">
        <f>IFERROR(__xludf.DUMMYFUNCTION("""COMPUTED_VALUE"""),"PHP")</f>
        <v>PHP</v>
      </c>
      <c r="E879" s="9" t="str">
        <f>IFERROR(__xludf.DUMMYFUNCTION("""COMPUTED_VALUE"""),"Bash/Shell/PowerShell")</f>
        <v>Bash/Shell/PowerShell</v>
      </c>
      <c r="F879" s="9" t="str">
        <f>IFERROR(__xludf.DUMMYFUNCTION("""COMPUTED_VALUE"""),"HTML/CSS")</f>
        <v>HTML/CSS</v>
      </c>
      <c r="G879" s="9" t="str">
        <f>IFERROR(__xludf.DUMMYFUNCTION("""COMPUTED_VALUE"""),"HTML/CSS")</f>
        <v>HTML/CSS</v>
      </c>
      <c r="H879" s="9" t="str">
        <f>IFERROR(__xludf.DUMMYFUNCTION("""COMPUTED_VALUE"""),"Bash/Shell/PowerShell")</f>
        <v>Bash/Shell/PowerShell</v>
      </c>
      <c r="I879" s="9" t="str">
        <f>IFERROR(__xludf.DUMMYFUNCTION("""COMPUTED_VALUE"""),"PHP")</f>
        <v>PHP</v>
      </c>
      <c r="J879" s="9" t="str">
        <f>IFERROR(__xludf.DUMMYFUNCTION("""COMPUTED_VALUE"""),"Bash/Shell/PowerShell")</f>
        <v>Bash/Shell/PowerShell</v>
      </c>
      <c r="K879" s="9" t="str">
        <f>IFERROR(__xludf.DUMMYFUNCTION("""COMPUTED_VALUE"""),"HTML/CSS")</f>
        <v>HTML/CSS</v>
      </c>
      <c r="L879" s="9" t="str">
        <f>IFERROR(__xludf.DUMMYFUNCTION("""COMPUTED_VALUE"""),"Bash/Shell/PowerShell")</f>
        <v>Bash/Shell/PowerShell</v>
      </c>
      <c r="M879" s="9" t="s">
        <v>27</v>
      </c>
    </row>
    <row r="880" ht="15.75" customHeight="1">
      <c r="A880" s="7"/>
      <c r="B880" s="7" t="str">
        <f>IFERROR(__xludf.DUMMYFUNCTION("""COMPUTED_VALUE"""),"Bash/Shell/PowerShell;C;C#;HTML/CSS;JavaScript;PHP;Python")</f>
        <v>Bash/Shell/PowerShell;C;C#;HTML/CSS;JavaScript;PHP;Python</v>
      </c>
      <c r="C880" s="9" t="str">
        <f>IFERROR(__xludf.DUMMYFUNCTION("""COMPUTED_VALUE"""),"HTML/CSS")</f>
        <v>HTML/CSS</v>
      </c>
      <c r="D880" s="9" t="str">
        <f>IFERROR(__xludf.DUMMYFUNCTION("""COMPUTED_VALUE"""),"Python")</f>
        <v>Python</v>
      </c>
      <c r="E880" s="9" t="str">
        <f>IFERROR(__xludf.DUMMYFUNCTION("""COMPUTED_VALUE"""),"C#")</f>
        <v>C#</v>
      </c>
      <c r="F880" s="9" t="str">
        <f>IFERROR(__xludf.DUMMYFUNCTION("""COMPUTED_VALUE"""),"JavaScript")</f>
        <v>JavaScript</v>
      </c>
      <c r="G880" s="9" t="str">
        <f>IFERROR(__xludf.DUMMYFUNCTION("""COMPUTED_VALUE"""),"Java")</f>
        <v>Java</v>
      </c>
      <c r="H880" s="9" t="str">
        <f>IFERROR(__xludf.DUMMYFUNCTION("""COMPUTED_VALUE"""),"Java")</f>
        <v>Java</v>
      </c>
      <c r="I880" s="9" t="str">
        <f>IFERROR(__xludf.DUMMYFUNCTION("""COMPUTED_VALUE"""),"Python")</f>
        <v>Python</v>
      </c>
      <c r="J880" s="9" t="str">
        <f>IFERROR(__xludf.DUMMYFUNCTION("""COMPUTED_VALUE"""),"C#")</f>
        <v>C#</v>
      </c>
      <c r="K880" s="9" t="str">
        <f>IFERROR(__xludf.DUMMYFUNCTION("""COMPUTED_VALUE"""),"JavaScript")</f>
        <v>JavaScript</v>
      </c>
      <c r="L880" s="9" t="str">
        <f>IFERROR(__xludf.DUMMYFUNCTION("""COMPUTED_VALUE"""),"HTML/CSS")</f>
        <v>HTML/CSS</v>
      </c>
      <c r="M880" s="9" t="s">
        <v>24</v>
      </c>
    </row>
    <row r="881" ht="15.75" customHeight="1">
      <c r="A881" s="7"/>
      <c r="B881" s="7" t="str">
        <f>IFERROR(__xludf.DUMMYFUNCTION("""COMPUTED_VALUE"""),"Bash/Shell/PowerShell;Java;SQL")</f>
        <v>Bash/Shell/PowerShell;Java;SQL</v>
      </c>
      <c r="C881" s="9" t="str">
        <f>IFERROR(__xludf.DUMMYFUNCTION("""COMPUTED_VALUE"""),"JavaScript")</f>
        <v>JavaScript</v>
      </c>
      <c r="D881" s="9" t="str">
        <f>IFERROR(__xludf.DUMMYFUNCTION("""COMPUTED_VALUE"""),"SQL")</f>
        <v>SQL</v>
      </c>
      <c r="E881" s="9" t="str">
        <f>IFERROR(__xludf.DUMMYFUNCTION("""COMPUTED_VALUE"""),"Go")</f>
        <v>Go</v>
      </c>
      <c r="F881" s="9" t="str">
        <f>IFERROR(__xludf.DUMMYFUNCTION("""COMPUTED_VALUE"""),"PHP")</f>
        <v>PHP</v>
      </c>
      <c r="G881" s="9" t="str">
        <f>IFERROR(__xludf.DUMMYFUNCTION("""COMPUTED_VALUE"""),"JavaScript")</f>
        <v>JavaScript</v>
      </c>
      <c r="H881" s="9" t="str">
        <f>IFERROR(__xludf.DUMMYFUNCTION("""COMPUTED_VALUE"""),"Python")</f>
        <v>Python</v>
      </c>
      <c r="I881" s="9" t="str">
        <f>IFERROR(__xludf.DUMMYFUNCTION("""COMPUTED_VALUE"""),"R")</f>
        <v>R</v>
      </c>
      <c r="J881" s="9" t="str">
        <f>IFERROR(__xludf.DUMMYFUNCTION("""COMPUTED_VALUE"""),"HTML/CSS")</f>
        <v>HTML/CSS</v>
      </c>
      <c r="K881" s="9" t="str">
        <f>IFERROR(__xludf.DUMMYFUNCTION("""COMPUTED_VALUE"""),"Objective-C")</f>
        <v>Objective-C</v>
      </c>
      <c r="L881" s="9" t="str">
        <f>IFERROR(__xludf.DUMMYFUNCTION("""COMPUTED_VALUE"""),"Java")</f>
        <v>Java</v>
      </c>
      <c r="M881" s="9" t="s">
        <v>21</v>
      </c>
    </row>
    <row r="882" ht="15.75" customHeight="1">
      <c r="A882" s="7"/>
      <c r="B882" s="7" t="str">
        <f>IFERROR(__xludf.DUMMYFUNCTION("""COMPUTED_VALUE"""),"Java")</f>
        <v>Java</v>
      </c>
      <c r="C882" s="9" t="str">
        <f>IFERROR(__xludf.DUMMYFUNCTION("""COMPUTED_VALUE"""),"PHP")</f>
        <v>PHP</v>
      </c>
      <c r="D882" s="9" t="str">
        <f>IFERROR(__xludf.DUMMYFUNCTION("""COMPUTED_VALUE"""),"HTML/CSS")</f>
        <v>HTML/CSS</v>
      </c>
      <c r="E882" s="9" t="str">
        <f>IFERROR(__xludf.DUMMYFUNCTION("""COMPUTED_VALUE"""),"Java")</f>
        <v>Java</v>
      </c>
      <c r="F882" s="9" t="str">
        <f>IFERROR(__xludf.DUMMYFUNCTION("""COMPUTED_VALUE"""),"SQL")</f>
        <v>SQL</v>
      </c>
      <c r="G882" s="9" t="str">
        <f>IFERROR(__xludf.DUMMYFUNCTION("""COMPUTED_VALUE"""),"PHP")</f>
        <v>PHP</v>
      </c>
      <c r="H882" s="9" t="str">
        <f>IFERROR(__xludf.DUMMYFUNCTION("""COMPUTED_VALUE"""),"Bash/Shell/PowerShell")</f>
        <v>Bash/Shell/PowerShell</v>
      </c>
      <c r="I882" s="9" t="str">
        <f>IFERROR(__xludf.DUMMYFUNCTION("""COMPUTED_VALUE"""),"SQL")</f>
        <v>SQL</v>
      </c>
      <c r="J882" s="9" t="str">
        <f>IFERROR(__xludf.DUMMYFUNCTION("""COMPUTED_VALUE"""),"JavaScript")</f>
        <v>JavaScript</v>
      </c>
      <c r="K882" s="9" t="str">
        <f>IFERROR(__xludf.DUMMYFUNCTION("""COMPUTED_VALUE"""),"Python")</f>
        <v>Python</v>
      </c>
      <c r="L882" s="9" t="str">
        <f>IFERROR(__xludf.DUMMYFUNCTION("""COMPUTED_VALUE"""),"JavaScript")</f>
        <v>JavaScript</v>
      </c>
      <c r="M882" s="9" t="s">
        <v>37</v>
      </c>
    </row>
    <row r="883" ht="15.75" customHeight="1">
      <c r="A883" s="7"/>
      <c r="B883" s="7" t="str">
        <f>IFERROR(__xludf.DUMMYFUNCTION("""COMPUTED_VALUE"""),"C#;Clojure;JavaScript;TypeScript")</f>
        <v>C#;Clojure;JavaScript;TypeScript</v>
      </c>
      <c r="C883" s="9" t="str">
        <f>IFERROR(__xludf.DUMMYFUNCTION("""COMPUTED_VALUE"""),"SQL")</f>
        <v>SQL</v>
      </c>
      <c r="D883" s="9" t="str">
        <f>IFERROR(__xludf.DUMMYFUNCTION("""COMPUTED_VALUE"""),"JavaScript")</f>
        <v>JavaScript</v>
      </c>
      <c r="E883" s="9" t="str">
        <f>IFERROR(__xludf.DUMMYFUNCTION("""COMPUTED_VALUE"""),"JavaScript")</f>
        <v>JavaScript</v>
      </c>
      <c r="F883" s="9" t="str">
        <f>IFERROR(__xludf.DUMMYFUNCTION("""COMPUTED_VALUE"""),"TypeScript")</f>
        <v>TypeScript</v>
      </c>
      <c r="G883" s="9" t="str">
        <f>IFERROR(__xludf.DUMMYFUNCTION("""COMPUTED_VALUE"""),"Python")</f>
        <v>Python</v>
      </c>
      <c r="H883" s="9" t="str">
        <f>IFERROR(__xludf.DUMMYFUNCTION("""COMPUTED_VALUE"""),"C")</f>
        <v>C</v>
      </c>
      <c r="I883" s="9" t="str">
        <f>IFERROR(__xludf.DUMMYFUNCTION("""COMPUTED_VALUE"""),"Bash/Shell/PowerShell")</f>
        <v>Bash/Shell/PowerShell</v>
      </c>
      <c r="J883" s="9" t="str">
        <f>IFERROR(__xludf.DUMMYFUNCTION("""COMPUTED_VALUE"""),"SQL")</f>
        <v>SQL</v>
      </c>
      <c r="K883" s="9" t="str">
        <f>IFERROR(__xludf.DUMMYFUNCTION("""COMPUTED_VALUE"""),"SQL")</f>
        <v>SQL</v>
      </c>
      <c r="L883" s="9" t="str">
        <f>IFERROR(__xludf.DUMMYFUNCTION("""COMPUTED_VALUE"""),"Objective-C")</f>
        <v>Objective-C</v>
      </c>
      <c r="M883" s="9" t="s">
        <v>27</v>
      </c>
    </row>
    <row r="884" ht="15.75" customHeight="1">
      <c r="A884" s="7"/>
      <c r="B884" s="7" t="str">
        <f>IFERROR(__xludf.DUMMYFUNCTION("""COMPUTED_VALUE"""),"Go;HTML/CSS;JavaScript;Python;SQL;TypeScript")</f>
        <v>Go;HTML/CSS;JavaScript;Python;SQL;TypeScript</v>
      </c>
      <c r="C884" s="9" t="str">
        <f>IFERROR(__xludf.DUMMYFUNCTION("""COMPUTED_VALUE"""),"TypeScript")</f>
        <v>TypeScript</v>
      </c>
      <c r="D884" s="9" t="str">
        <f>IFERROR(__xludf.DUMMYFUNCTION("""COMPUTED_VALUE"""),"Bash/Shell/PowerShell")</f>
        <v>Bash/Shell/PowerShell</v>
      </c>
      <c r="E884" s="9" t="str">
        <f>IFERROR(__xludf.DUMMYFUNCTION("""COMPUTED_VALUE"""),"Python")</f>
        <v>Python</v>
      </c>
      <c r="F884" s="9" t="str">
        <f>IFERROR(__xludf.DUMMYFUNCTION("""COMPUTED_VALUE"""),"Bash/Shell/PowerShell")</f>
        <v>Bash/Shell/PowerShell</v>
      </c>
      <c r="G884" s="9" t="str">
        <f>IFERROR(__xludf.DUMMYFUNCTION("""COMPUTED_VALUE"""),"SQL")</f>
        <v>SQL</v>
      </c>
      <c r="H884" s="9" t="str">
        <f>IFERROR(__xludf.DUMMYFUNCTION("""COMPUTED_VALUE"""),"Java")</f>
        <v>Java</v>
      </c>
      <c r="I884" s="9" t="str">
        <f>IFERROR(__xludf.DUMMYFUNCTION("""COMPUTED_VALUE"""),"C#")</f>
        <v>C#</v>
      </c>
      <c r="J884" s="9" t="str">
        <f>IFERROR(__xludf.DUMMYFUNCTION("""COMPUTED_VALUE"""),"Java")</f>
        <v>Java</v>
      </c>
      <c r="K884" s="9" t="str">
        <f>IFERROR(__xludf.DUMMYFUNCTION("""COMPUTED_VALUE"""),"Go")</f>
        <v>Go</v>
      </c>
      <c r="L884" s="9" t="str">
        <f>IFERROR(__xludf.DUMMYFUNCTION("""COMPUTED_VALUE"""),"SQL")</f>
        <v>SQL</v>
      </c>
      <c r="M884" s="9" t="s">
        <v>33</v>
      </c>
    </row>
    <row r="885" ht="15.75" customHeight="1">
      <c r="A885" s="7"/>
      <c r="B885" s="7" t="str">
        <f>IFERROR(__xludf.DUMMYFUNCTION("""COMPUTED_VALUE"""),"C#;HTML/CSS;Java;JavaScript;SQL")</f>
        <v>C#;HTML/CSS;Java;JavaScript;SQL</v>
      </c>
      <c r="C885" s="9" t="str">
        <f>IFERROR(__xludf.DUMMYFUNCTION("""COMPUTED_VALUE"""),"Bash/Shell/PowerShell")</f>
        <v>Bash/Shell/PowerShell</v>
      </c>
      <c r="D885" s="9" t="str">
        <f>IFERROR(__xludf.DUMMYFUNCTION("""COMPUTED_VALUE"""),"C#")</f>
        <v>C#</v>
      </c>
      <c r="E885" s="9" t="str">
        <f>IFERROR(__xludf.DUMMYFUNCTION("""COMPUTED_VALUE"""),"Scala")</f>
        <v>Scala</v>
      </c>
      <c r="F885" s="9" t="str">
        <f>IFERROR(__xludf.DUMMYFUNCTION("""COMPUTED_VALUE"""),"C")</f>
        <v>C</v>
      </c>
      <c r="G885" s="9" t="str">
        <f>IFERROR(__xludf.DUMMYFUNCTION("""COMPUTED_VALUE"""),"TypeScript")</f>
        <v>TypeScript</v>
      </c>
      <c r="H885" s="9" t="str">
        <f>IFERROR(__xludf.DUMMYFUNCTION("""COMPUTED_VALUE"""),"Python")</f>
        <v>Python</v>
      </c>
      <c r="I885" s="9" t="str">
        <f>IFERROR(__xludf.DUMMYFUNCTION("""COMPUTED_VALUE"""),"HTML/CSS")</f>
        <v>HTML/CSS</v>
      </c>
      <c r="J885" s="9" t="str">
        <f>IFERROR(__xludf.DUMMYFUNCTION("""COMPUTED_VALUE"""),"Bash/Shell/PowerShell")</f>
        <v>Bash/Shell/PowerShell</v>
      </c>
      <c r="K885" s="9" t="str">
        <f>IFERROR(__xludf.DUMMYFUNCTION("""COMPUTED_VALUE"""),"Python")</f>
        <v>Python</v>
      </c>
      <c r="L885" s="9" t="str">
        <f>IFERROR(__xludf.DUMMYFUNCTION("""COMPUTED_VALUE"""),"TypeScript")</f>
        <v>TypeScript</v>
      </c>
      <c r="M885" s="9" t="s">
        <v>30</v>
      </c>
    </row>
    <row r="886" ht="15.75" customHeight="1">
      <c r="A886" s="7"/>
      <c r="B886" s="7" t="str">
        <f>IFERROR(__xludf.DUMMYFUNCTION("""COMPUTED_VALUE"""),"Bash/Shell/PowerShell;C;C++;Python")</f>
        <v>Bash/Shell/PowerShell;C;C++;Python</v>
      </c>
      <c r="C886" s="9" t="str">
        <f>IFERROR(__xludf.DUMMYFUNCTION("""COMPUTED_VALUE"""),"C")</f>
        <v>C</v>
      </c>
      <c r="D886" s="9" t="str">
        <f>IFERROR(__xludf.DUMMYFUNCTION("""COMPUTED_VALUE"""),"Python")</f>
        <v>Python</v>
      </c>
      <c r="E886" s="9" t="str">
        <f>IFERROR(__xludf.DUMMYFUNCTION("""COMPUTED_VALUE"""),"SQL")</f>
        <v>SQL</v>
      </c>
      <c r="F886" s="9" t="str">
        <f>IFERROR(__xludf.DUMMYFUNCTION("""COMPUTED_VALUE"""),"C++")</f>
        <v>C++</v>
      </c>
      <c r="G886" s="9" t="str">
        <f>IFERROR(__xludf.DUMMYFUNCTION("""COMPUTED_VALUE"""),"HTML/CSS")</f>
        <v>HTML/CSS</v>
      </c>
      <c r="H886" s="9" t="str">
        <f>IFERROR(__xludf.DUMMYFUNCTION("""COMPUTED_VALUE"""),"R")</f>
        <v>R</v>
      </c>
      <c r="I886" s="9" t="str">
        <f>IFERROR(__xludf.DUMMYFUNCTION("""COMPUTED_VALUE"""),"Java")</f>
        <v>Java</v>
      </c>
      <c r="J886" s="9" t="str">
        <f>IFERROR(__xludf.DUMMYFUNCTION("""COMPUTED_VALUE"""),"C#")</f>
        <v>C#</v>
      </c>
      <c r="K886" s="9" t="str">
        <f>IFERROR(__xludf.DUMMYFUNCTION("""COMPUTED_VALUE"""),"C")</f>
        <v>C</v>
      </c>
      <c r="L886" s="9" t="str">
        <f>IFERROR(__xludf.DUMMYFUNCTION("""COMPUTED_VALUE"""),"Java")</f>
        <v>Java</v>
      </c>
      <c r="M886" s="9" t="s">
        <v>25</v>
      </c>
    </row>
    <row r="887" ht="15.75" customHeight="1">
      <c r="A887" s="7"/>
      <c r="B887" s="7" t="str">
        <f>IFERROR(__xludf.DUMMYFUNCTION("""COMPUTED_VALUE"""),"Bash/Shell/PowerShell;C;C++;C#;HTML/CSS;Java;JavaScript;PHP;Python")</f>
        <v>Bash/Shell/PowerShell;C;C++;C#;HTML/CSS;Java;JavaScript;PHP;Python</v>
      </c>
      <c r="C887" s="9" t="str">
        <f>IFERROR(__xludf.DUMMYFUNCTION("""COMPUTED_VALUE"""),"C++")</f>
        <v>C++</v>
      </c>
      <c r="D887" s="9" t="str">
        <f>IFERROR(__xludf.DUMMYFUNCTION("""COMPUTED_VALUE"""),"Java")</f>
        <v>Java</v>
      </c>
      <c r="E887" s="9" t="str">
        <f>IFERROR(__xludf.DUMMYFUNCTION("""COMPUTED_VALUE"""),"Java")</f>
        <v>Java</v>
      </c>
      <c r="F887" s="9" t="str">
        <f>IFERROR(__xludf.DUMMYFUNCTION("""COMPUTED_VALUE"""),"Dart")</f>
        <v>Dart</v>
      </c>
      <c r="G887" s="9" t="str">
        <f>IFERROR(__xludf.DUMMYFUNCTION("""COMPUTED_VALUE"""),"PHP")</f>
        <v>PHP</v>
      </c>
      <c r="H887" s="9" t="str">
        <f>IFERROR(__xludf.DUMMYFUNCTION("""COMPUTED_VALUE"""),"Scala")</f>
        <v>Scala</v>
      </c>
      <c r="I887" s="9" t="str">
        <f>IFERROR(__xludf.DUMMYFUNCTION("""COMPUTED_VALUE"""),"JavaScript")</f>
        <v>JavaScript</v>
      </c>
      <c r="J887" s="9" t="str">
        <f>IFERROR(__xludf.DUMMYFUNCTION("""COMPUTED_VALUE"""),"HTML/CSS")</f>
        <v>HTML/CSS</v>
      </c>
      <c r="K887" s="9" t="str">
        <f>IFERROR(__xludf.DUMMYFUNCTION("""COMPUTED_VALUE"""),"C++")</f>
        <v>C++</v>
      </c>
      <c r="L887" s="9" t="str">
        <f>IFERROR(__xludf.DUMMYFUNCTION("""COMPUTED_VALUE"""),"Bash/Shell/PowerShell")</f>
        <v>Bash/Shell/PowerShell</v>
      </c>
      <c r="M887" s="9" t="s">
        <v>23</v>
      </c>
    </row>
    <row r="888" ht="15.75" customHeight="1">
      <c r="A888" s="7"/>
      <c r="B888" s="7" t="str">
        <f>IFERROR(__xludf.DUMMYFUNCTION("""COMPUTED_VALUE"""),"Bash/Shell/PowerShell;C++;C#;HTML/CSS;JavaScript;Python")</f>
        <v>Bash/Shell/PowerShell;C++;C#;HTML/CSS;JavaScript;Python</v>
      </c>
      <c r="C888" s="9" t="str">
        <f>IFERROR(__xludf.DUMMYFUNCTION("""COMPUTED_VALUE"""),"HTML/CSS")</f>
        <v>HTML/CSS</v>
      </c>
      <c r="D888" s="9" t="str">
        <f>IFERROR(__xludf.DUMMYFUNCTION("""COMPUTED_VALUE"""),"R")</f>
        <v>R</v>
      </c>
      <c r="E888" s="9" t="str">
        <f>IFERROR(__xludf.DUMMYFUNCTION("""COMPUTED_VALUE"""),"Kotlin")</f>
        <v>Kotlin</v>
      </c>
      <c r="F888" s="9" t="str">
        <f>IFERROR(__xludf.DUMMYFUNCTION("""COMPUTED_VALUE"""),"HTML/CSS")</f>
        <v>HTML/CSS</v>
      </c>
      <c r="G888" s="9" t="str">
        <f>IFERROR(__xludf.DUMMYFUNCTION("""COMPUTED_VALUE"""),"SQL")</f>
        <v>SQL</v>
      </c>
      <c r="H888" s="9" t="str">
        <f>IFERROR(__xludf.DUMMYFUNCTION("""COMPUTED_VALUE"""),"SQL")</f>
        <v>SQL</v>
      </c>
      <c r="I888" s="9" t="str">
        <f>IFERROR(__xludf.DUMMYFUNCTION("""COMPUTED_VALUE"""),"Objective-C")</f>
        <v>Objective-C</v>
      </c>
      <c r="J888" s="9" t="str">
        <f>IFERROR(__xludf.DUMMYFUNCTION("""COMPUTED_VALUE"""),"JavaScript")</f>
        <v>JavaScript</v>
      </c>
      <c r="K888" s="9" t="str">
        <f>IFERROR(__xludf.DUMMYFUNCTION("""COMPUTED_VALUE"""),"HTML/CSS")</f>
        <v>HTML/CSS</v>
      </c>
      <c r="L888" s="9" t="str">
        <f>IFERROR(__xludf.DUMMYFUNCTION("""COMPUTED_VALUE"""),"C#")</f>
        <v>C#</v>
      </c>
      <c r="M888" s="9" t="s">
        <v>24</v>
      </c>
    </row>
    <row r="889" ht="15.75" customHeight="1">
      <c r="A889" s="7"/>
      <c r="B889" s="7" t="str">
        <f>IFERROR(__xludf.DUMMYFUNCTION("""COMPUTED_VALUE"""),"Bash/Shell/PowerShell;C#;HTML/CSS;Java;JavaScript;Python;SQL")</f>
        <v>Bash/Shell/PowerShell;C#;HTML/CSS;Java;JavaScript;Python;SQL</v>
      </c>
      <c r="C889" s="9" t="str">
        <f>IFERROR(__xludf.DUMMYFUNCTION("""COMPUTED_VALUE"""),"Java")</f>
        <v>Java</v>
      </c>
      <c r="D889" s="9" t="str">
        <f>IFERROR(__xludf.DUMMYFUNCTION("""COMPUTED_VALUE"""),"Bash/Shell/PowerShell")</f>
        <v>Bash/Shell/PowerShell</v>
      </c>
      <c r="E889" s="9" t="str">
        <f>IFERROR(__xludf.DUMMYFUNCTION("""COMPUTED_VALUE"""),"HTML/CSS")</f>
        <v>HTML/CSS</v>
      </c>
      <c r="F889" s="9" t="str">
        <f>IFERROR(__xludf.DUMMYFUNCTION("""COMPUTED_VALUE"""),"JavaScript")</f>
        <v>JavaScript</v>
      </c>
      <c r="G889" s="9" t="str">
        <f>IFERROR(__xludf.DUMMYFUNCTION("""COMPUTED_VALUE"""),"Bash/Shell/PowerShell")</f>
        <v>Bash/Shell/PowerShell</v>
      </c>
      <c r="H889" s="9" t="str">
        <f>IFERROR(__xludf.DUMMYFUNCTION("""COMPUTED_VALUE"""),"Assembly")</f>
        <v>Assembly</v>
      </c>
      <c r="I889" s="9" t="str">
        <f>IFERROR(__xludf.DUMMYFUNCTION("""COMPUTED_VALUE"""),"PHP")</f>
        <v>PHP</v>
      </c>
      <c r="J889" s="9" t="str">
        <f>IFERROR(__xludf.DUMMYFUNCTION("""COMPUTED_VALUE"""),"SQL")</f>
        <v>SQL</v>
      </c>
      <c r="K889" s="9" t="str">
        <f>IFERROR(__xludf.DUMMYFUNCTION("""COMPUTED_VALUE"""),"Swift")</f>
        <v>Swift</v>
      </c>
      <c r="L889" s="9" t="str">
        <f>IFERROR(__xludf.DUMMYFUNCTION("""COMPUTED_VALUE"""),"HTML/CSS")</f>
        <v>HTML/CSS</v>
      </c>
      <c r="M889" s="9" t="s">
        <v>20</v>
      </c>
    </row>
    <row r="890" ht="15.75" customHeight="1">
      <c r="A890" s="7"/>
      <c r="B890" s="7" t="str">
        <f>IFERROR(__xludf.DUMMYFUNCTION("""COMPUTED_VALUE"""),"Bash/Shell/PowerShell;C#;HTML/CSS;JavaScript;Python;SQL")</f>
        <v>Bash/Shell/PowerShell;C#;HTML/CSS;JavaScript;Python;SQL</v>
      </c>
      <c r="C890" s="9" t="str">
        <f>IFERROR(__xludf.DUMMYFUNCTION("""COMPUTED_VALUE"""),"JavaScript")</f>
        <v>JavaScript</v>
      </c>
      <c r="D890" s="9" t="str">
        <f>IFERROR(__xludf.DUMMYFUNCTION("""COMPUTED_VALUE"""),"C")</f>
        <v>C</v>
      </c>
      <c r="E890" s="9" t="str">
        <f>IFERROR(__xludf.DUMMYFUNCTION("""COMPUTED_VALUE"""),"JavaScript")</f>
        <v>JavaScript</v>
      </c>
      <c r="F890" s="9" t="str">
        <f>IFERROR(__xludf.DUMMYFUNCTION("""COMPUTED_VALUE"""),"Objective-C")</f>
        <v>Objective-C</v>
      </c>
      <c r="G890" s="9" t="str">
        <f>IFERROR(__xludf.DUMMYFUNCTION("""COMPUTED_VALUE"""),"HTML/CSS")</f>
        <v>HTML/CSS</v>
      </c>
      <c r="H890" s="9" t="str">
        <f>IFERROR(__xludf.DUMMYFUNCTION("""COMPUTED_VALUE"""),"Bash/Shell/PowerShell")</f>
        <v>Bash/Shell/PowerShell</v>
      </c>
      <c r="I890" s="9" t="str">
        <f>IFERROR(__xludf.DUMMYFUNCTION("""COMPUTED_VALUE"""),"SQL")</f>
        <v>SQL</v>
      </c>
      <c r="J890" s="9" t="str">
        <f>IFERROR(__xludf.DUMMYFUNCTION("""COMPUTED_VALUE"""),"Python")</f>
        <v>Python</v>
      </c>
      <c r="K890" s="9" t="str">
        <f>IFERROR(__xludf.DUMMYFUNCTION("""COMPUTED_VALUE"""),"C")</f>
        <v>C</v>
      </c>
      <c r="L890" s="9" t="str">
        <f>IFERROR(__xludf.DUMMYFUNCTION("""COMPUTED_VALUE"""),"Java")</f>
        <v>Java</v>
      </c>
      <c r="M890" s="9" t="s">
        <v>21</v>
      </c>
    </row>
    <row r="891" ht="15.75" customHeight="1">
      <c r="A891" s="7"/>
      <c r="B891" s="7" t="str">
        <f>IFERROR(__xludf.DUMMYFUNCTION("""COMPUTED_VALUE"""),"C;C++;C#;HTML/CSS")</f>
        <v>C;C++;C#;HTML/CSS</v>
      </c>
      <c r="C891" s="9" t="str">
        <f>IFERROR(__xludf.DUMMYFUNCTION("""COMPUTED_VALUE"""),"PHP")</f>
        <v>PHP</v>
      </c>
      <c r="D891" s="9" t="str">
        <f>IFERROR(__xludf.DUMMYFUNCTION("""COMPUTED_VALUE"""),"C#")</f>
        <v>C#</v>
      </c>
      <c r="E891" s="9" t="str">
        <f>IFERROR(__xludf.DUMMYFUNCTION("""COMPUTED_VALUE"""),"PHP")</f>
        <v>PHP</v>
      </c>
      <c r="F891" s="9" t="str">
        <f>IFERROR(__xludf.DUMMYFUNCTION("""COMPUTED_VALUE"""),"PHP")</f>
        <v>PHP</v>
      </c>
      <c r="G891" s="9" t="str">
        <f>IFERROR(__xludf.DUMMYFUNCTION("""COMPUTED_VALUE"""),"JavaScript")</f>
        <v>JavaScript</v>
      </c>
      <c r="H891" s="9" t="str">
        <f>IFERROR(__xludf.DUMMYFUNCTION("""COMPUTED_VALUE"""),"HTML/CSS")</f>
        <v>HTML/CSS</v>
      </c>
      <c r="I891" s="9" t="str">
        <f>IFERROR(__xludf.DUMMYFUNCTION("""COMPUTED_VALUE"""),"TypeScript")</f>
        <v>TypeScript</v>
      </c>
      <c r="J891" s="9" t="str">
        <f>IFERROR(__xludf.DUMMYFUNCTION("""COMPUTED_VALUE"""),"Bash/Shell/PowerShell")</f>
        <v>Bash/Shell/PowerShell</v>
      </c>
      <c r="K891" s="9" t="str">
        <f>IFERROR(__xludf.DUMMYFUNCTION("""COMPUTED_VALUE"""),"HTML/CSS")</f>
        <v>HTML/CSS</v>
      </c>
      <c r="L891" s="9" t="str">
        <f>IFERROR(__xludf.DUMMYFUNCTION("""COMPUTED_VALUE"""),"JavaScript")</f>
        <v>JavaScript</v>
      </c>
      <c r="M891" s="9" t="s">
        <v>37</v>
      </c>
    </row>
    <row r="892" ht="15.75" customHeight="1">
      <c r="A892" s="7"/>
      <c r="B892" s="7" t="str">
        <f>IFERROR(__xludf.DUMMYFUNCTION("""COMPUTED_VALUE"""),"Assembly;Bash/Shell/PowerShell;C;C++;HTML/CSS;Java;JavaScript;PHP;Python;SQL;TypeScript")</f>
        <v>Assembly;Bash/Shell/PowerShell;C;C++;HTML/CSS;Java;JavaScript;PHP;Python;SQL;TypeScript</v>
      </c>
      <c r="C892" s="9" t="str">
        <f>IFERROR(__xludf.DUMMYFUNCTION("""COMPUTED_VALUE"""),"Python")</f>
        <v>Python</v>
      </c>
      <c r="D892" s="9" t="str">
        <f>IFERROR(__xludf.DUMMYFUNCTION("""COMPUTED_VALUE"""),"HTML/CSS")</f>
        <v>HTML/CSS</v>
      </c>
      <c r="E892" s="9" t="str">
        <f>IFERROR(__xludf.DUMMYFUNCTION("""COMPUTED_VALUE"""),"TypeScript")</f>
        <v>TypeScript</v>
      </c>
      <c r="F892" s="9" t="str">
        <f>IFERROR(__xludf.DUMMYFUNCTION("""COMPUTED_VALUE"""),"Python")</f>
        <v>Python</v>
      </c>
      <c r="G892" s="9" t="str">
        <f>IFERROR(__xludf.DUMMYFUNCTION("""COMPUTED_VALUE"""),"PHP")</f>
        <v>PHP</v>
      </c>
      <c r="H892" s="9" t="str">
        <f>IFERROR(__xludf.DUMMYFUNCTION("""COMPUTED_VALUE"""),"JavaScript")</f>
        <v>JavaScript</v>
      </c>
      <c r="I892" s="9" t="str">
        <f>IFERROR(__xludf.DUMMYFUNCTION("""COMPUTED_VALUE"""),"Assembly")</f>
        <v>Assembly</v>
      </c>
      <c r="J892" s="9" t="str">
        <f>IFERROR(__xludf.DUMMYFUNCTION("""COMPUTED_VALUE"""),"HTML/CSS")</f>
        <v>HTML/CSS</v>
      </c>
      <c r="K892" s="9" t="str">
        <f>IFERROR(__xludf.DUMMYFUNCTION("""COMPUTED_VALUE"""),"Java")</f>
        <v>Java</v>
      </c>
      <c r="L892" s="9" t="str">
        <f>IFERROR(__xludf.DUMMYFUNCTION("""COMPUTED_VALUE"""),"Bash/Shell/PowerShell")</f>
        <v>Bash/Shell/PowerShell</v>
      </c>
      <c r="M892" s="9" t="s">
        <v>22</v>
      </c>
    </row>
    <row r="893" ht="15.75" customHeight="1">
      <c r="A893" s="7"/>
      <c r="B893" s="7" t="str">
        <f>IFERROR(__xludf.DUMMYFUNCTION("""COMPUTED_VALUE"""),"Bash/Shell/PowerShell;C++;R;Other(s):")</f>
        <v>Bash/Shell/PowerShell;C++;R;Other(s):</v>
      </c>
      <c r="C893" s="9" t="str">
        <f>IFERROR(__xludf.DUMMYFUNCTION("""COMPUTED_VALUE"""),"R")</f>
        <v>R</v>
      </c>
      <c r="D893" s="9" t="str">
        <f>IFERROR(__xludf.DUMMYFUNCTION("""COMPUTED_VALUE"""),"Java")</f>
        <v>Java</v>
      </c>
      <c r="E893" s="9" t="str">
        <f>IFERROR(__xludf.DUMMYFUNCTION("""COMPUTED_VALUE"""),"Bash/Shell/PowerShell")</f>
        <v>Bash/Shell/PowerShell</v>
      </c>
      <c r="F893" s="9" t="str">
        <f>IFERROR(__xludf.DUMMYFUNCTION("""COMPUTED_VALUE"""),"R")</f>
        <v>R</v>
      </c>
      <c r="G893" s="9" t="str">
        <f>IFERROR(__xludf.DUMMYFUNCTION("""COMPUTED_VALUE"""),"SQL")</f>
        <v>SQL</v>
      </c>
      <c r="H893" s="9" t="str">
        <f>IFERROR(__xludf.DUMMYFUNCTION("""COMPUTED_VALUE"""),"Python")</f>
        <v>Python</v>
      </c>
      <c r="I893" s="9" t="str">
        <f>IFERROR(__xludf.DUMMYFUNCTION("""COMPUTED_VALUE"""),"Bash/Shell/PowerShell")</f>
        <v>Bash/Shell/PowerShell</v>
      </c>
      <c r="J893" s="9" t="str">
        <f>IFERROR(__xludf.DUMMYFUNCTION("""COMPUTED_VALUE"""),"JavaScript")</f>
        <v>JavaScript</v>
      </c>
      <c r="K893" s="9" t="str">
        <f>IFERROR(__xludf.DUMMYFUNCTION("""COMPUTED_VALUE"""),"JavaScript")</f>
        <v>JavaScript</v>
      </c>
      <c r="L893" s="9" t="str">
        <f>IFERROR(__xludf.DUMMYFUNCTION("""COMPUTED_VALUE"""),"C")</f>
        <v>C</v>
      </c>
      <c r="M893" s="9" t="s">
        <v>29</v>
      </c>
    </row>
    <row r="894" ht="15.75" customHeight="1">
      <c r="A894" s="7"/>
      <c r="B894" s="7" t="str">
        <f>IFERROR(__xludf.DUMMYFUNCTION("""COMPUTED_VALUE"""),"HTML/CSS;Java;JavaScript;Objective-C;SQL;Swift")</f>
        <v>HTML/CSS;Java;JavaScript;Objective-C;SQL;Swift</v>
      </c>
      <c r="C894" s="9" t="str">
        <f>IFERROR(__xludf.DUMMYFUNCTION("""COMPUTED_VALUE"""),"Assembly")</f>
        <v>Assembly</v>
      </c>
      <c r="D894" s="9" t="str">
        <f>IFERROR(__xludf.DUMMYFUNCTION("""COMPUTED_VALUE"""),"JavaScript")</f>
        <v>JavaScript</v>
      </c>
      <c r="E894" s="9" t="str">
        <f>IFERROR(__xludf.DUMMYFUNCTION("""COMPUTED_VALUE"""),"C#")</f>
        <v>C#</v>
      </c>
      <c r="F894" s="9" t="str">
        <f>IFERROR(__xludf.DUMMYFUNCTION("""COMPUTED_VALUE"""),"SQL")</f>
        <v>SQL</v>
      </c>
      <c r="G894" s="9" t="str">
        <f>IFERROR(__xludf.DUMMYFUNCTION("""COMPUTED_VALUE"""),"Bash/Shell/PowerShell")</f>
        <v>Bash/Shell/PowerShell</v>
      </c>
      <c r="H894" s="9" t="str">
        <f>IFERROR(__xludf.DUMMYFUNCTION("""COMPUTED_VALUE"""),"Bash/Shell/PowerShell")</f>
        <v>Bash/Shell/PowerShell</v>
      </c>
      <c r="I894" s="9" t="str">
        <f>IFERROR(__xludf.DUMMYFUNCTION("""COMPUTED_VALUE"""),"C++")</f>
        <v>C++</v>
      </c>
      <c r="J894" s="9" t="str">
        <f>IFERROR(__xludf.DUMMYFUNCTION("""COMPUTED_VALUE"""),"PHP")</f>
        <v>PHP</v>
      </c>
      <c r="K894" s="9" t="str">
        <f>IFERROR(__xludf.DUMMYFUNCTION("""COMPUTED_VALUE"""),"Python")</f>
        <v>Python</v>
      </c>
      <c r="L894" s="9" t="str">
        <f>IFERROR(__xludf.DUMMYFUNCTION("""COMPUTED_VALUE"""),"C++")</f>
        <v>C++</v>
      </c>
      <c r="M894" s="9" t="s">
        <v>38</v>
      </c>
    </row>
    <row r="895" ht="15.75" customHeight="1">
      <c r="A895" s="7"/>
      <c r="B895" s="7" t="str">
        <f>IFERROR(__xludf.DUMMYFUNCTION("""COMPUTED_VALUE"""),"Bash/Shell/PowerShell;Python;R;Other(s):")</f>
        <v>Bash/Shell/PowerShell;Python;R;Other(s):</v>
      </c>
      <c r="C895" s="9" t="str">
        <f>IFERROR(__xludf.DUMMYFUNCTION("""COMPUTED_VALUE"""),"Bash/Shell/PowerShell")</f>
        <v>Bash/Shell/PowerShell</v>
      </c>
      <c r="D895" s="9" t="str">
        <f>IFERROR(__xludf.DUMMYFUNCTION("""COMPUTED_VALUE"""),"SQL")</f>
        <v>SQL</v>
      </c>
      <c r="E895" s="9" t="str">
        <f>IFERROR(__xludf.DUMMYFUNCTION("""COMPUTED_VALUE"""),"HTML/CSS")</f>
        <v>HTML/CSS</v>
      </c>
      <c r="F895" s="9" t="str">
        <f>IFERROR(__xludf.DUMMYFUNCTION("""COMPUTED_VALUE"""),"Elixir")</f>
        <v>Elixir</v>
      </c>
      <c r="G895" s="9" t="str">
        <f>IFERROR(__xludf.DUMMYFUNCTION("""COMPUTED_VALUE"""),"HTML/CSS")</f>
        <v>HTML/CSS</v>
      </c>
      <c r="H895" s="9" t="str">
        <f>IFERROR(__xludf.DUMMYFUNCTION("""COMPUTED_VALUE"""),"C++")</f>
        <v>C++</v>
      </c>
      <c r="I895" s="9" t="str">
        <f>IFERROR(__xludf.DUMMYFUNCTION("""COMPUTED_VALUE"""),"Go")</f>
        <v>Go</v>
      </c>
      <c r="J895" s="9" t="str">
        <f>IFERROR(__xludf.DUMMYFUNCTION("""COMPUTED_VALUE"""),"C#")</f>
        <v>C#</v>
      </c>
      <c r="K895" s="9" t="str">
        <f>IFERROR(__xludf.DUMMYFUNCTION("""COMPUTED_VALUE"""),"R")</f>
        <v>R</v>
      </c>
      <c r="L895" s="9" t="str">
        <f>IFERROR(__xludf.DUMMYFUNCTION("""COMPUTED_VALUE"""),"Python")</f>
        <v>Python</v>
      </c>
      <c r="M895" s="9" t="s">
        <v>30</v>
      </c>
    </row>
    <row r="896" ht="15.75" customHeight="1">
      <c r="A896" s="7"/>
      <c r="B896" s="7" t="str">
        <f>IFERROR(__xludf.DUMMYFUNCTION("""COMPUTED_VALUE"""),"Dart;Java;JavaScript;Kotlin;Swift")</f>
        <v>Dart;Java;JavaScript;Kotlin;Swift</v>
      </c>
      <c r="C896" s="9" t="str">
        <f>IFERROR(__xludf.DUMMYFUNCTION("""COMPUTED_VALUE"""),"C")</f>
        <v>C</v>
      </c>
      <c r="D896" s="9" t="str">
        <f>IFERROR(__xludf.DUMMYFUNCTION("""COMPUTED_VALUE"""),"TypeScript")</f>
        <v>TypeScript</v>
      </c>
      <c r="E896" s="9" t="str">
        <f>IFERROR(__xludf.DUMMYFUNCTION("""COMPUTED_VALUE"""),"Java")</f>
        <v>Java</v>
      </c>
      <c r="F896" s="9" t="str">
        <f>IFERROR(__xludf.DUMMYFUNCTION("""COMPUTED_VALUE"""),"HTML/CSS")</f>
        <v>HTML/CSS</v>
      </c>
      <c r="G896" s="9" t="str">
        <f>IFERROR(__xludf.DUMMYFUNCTION("""COMPUTED_VALUE"""),"JavaScript")</f>
        <v>JavaScript</v>
      </c>
      <c r="H896" s="9" t="str">
        <f>IFERROR(__xludf.DUMMYFUNCTION("""COMPUTED_VALUE"""),"C#")</f>
        <v>C#</v>
      </c>
      <c r="I896" s="9" t="str">
        <f>IFERROR(__xludf.DUMMYFUNCTION("""COMPUTED_VALUE"""),"HTML/CSS")</f>
        <v>HTML/CSS</v>
      </c>
      <c r="J896" s="9" t="str">
        <f>IFERROR(__xludf.DUMMYFUNCTION("""COMPUTED_VALUE"""),"Java")</f>
        <v>Java</v>
      </c>
      <c r="K896" s="9" t="str">
        <f>IFERROR(__xludf.DUMMYFUNCTION("""COMPUTED_VALUE"""),"Scala")</f>
        <v>Scala</v>
      </c>
      <c r="L896" s="9" t="str">
        <f>IFERROR(__xludf.DUMMYFUNCTION("""COMPUTED_VALUE"""),"SQL")</f>
        <v>SQL</v>
      </c>
      <c r="M896" s="9" t="s">
        <v>25</v>
      </c>
    </row>
    <row r="897" ht="15.75" customHeight="1">
      <c r="A897" s="7"/>
      <c r="B897" s="7" t="str">
        <f>IFERROR(__xludf.DUMMYFUNCTION("""COMPUTED_VALUE"""),"C++;C#;HTML/CSS;JavaScript;SQL;TypeScript")</f>
        <v>C++;C#;HTML/CSS;JavaScript;SQL;TypeScript</v>
      </c>
      <c r="C897" s="9" t="str">
        <f>IFERROR(__xludf.DUMMYFUNCTION("""COMPUTED_VALUE"""),"C++")</f>
        <v>C++</v>
      </c>
      <c r="D897" s="9" t="str">
        <f>IFERROR(__xludf.DUMMYFUNCTION("""COMPUTED_VALUE"""),"VBA")</f>
        <v>VBA</v>
      </c>
      <c r="E897" s="9" t="str">
        <f>IFERROR(__xludf.DUMMYFUNCTION("""COMPUTED_VALUE"""),"JavaScript")</f>
        <v>JavaScript</v>
      </c>
      <c r="F897" s="9" t="str">
        <f>IFERROR(__xludf.DUMMYFUNCTION("""COMPUTED_VALUE"""),"JavaScript")</f>
        <v>JavaScript</v>
      </c>
      <c r="G897" s="9" t="str">
        <f>IFERROR(__xludf.DUMMYFUNCTION("""COMPUTED_VALUE"""),"Python")</f>
        <v>Python</v>
      </c>
      <c r="H897" s="9" t="str">
        <f>IFERROR(__xludf.DUMMYFUNCTION("""COMPUTED_VALUE"""),"Java")</f>
        <v>Java</v>
      </c>
      <c r="I897" s="9" t="str">
        <f>IFERROR(__xludf.DUMMYFUNCTION("""COMPUTED_VALUE"""),"JavaScript")</f>
        <v>JavaScript</v>
      </c>
      <c r="J897" s="9" t="str">
        <f>IFERROR(__xludf.DUMMYFUNCTION("""COMPUTED_VALUE"""),"Assembly")</f>
        <v>Assembly</v>
      </c>
      <c r="K897" s="9" t="str">
        <f>IFERROR(__xludf.DUMMYFUNCTION("""COMPUTED_VALUE"""),"SQL")</f>
        <v>SQL</v>
      </c>
      <c r="L897" s="9" t="str">
        <f>IFERROR(__xludf.DUMMYFUNCTION("""COMPUTED_VALUE"""),"Assembly")</f>
        <v>Assembly</v>
      </c>
      <c r="M897" s="9" t="s">
        <v>23</v>
      </c>
    </row>
    <row r="898" ht="15.75" customHeight="1">
      <c r="A898" s="7"/>
      <c r="B898" s="7" t="str">
        <f>IFERROR(__xludf.DUMMYFUNCTION("""COMPUTED_VALUE"""),"Elixir;HTML/CSS;JavaScript;Python;Ruby;SQL")</f>
        <v>Elixir;HTML/CSS;JavaScript;Python;Ruby;SQL</v>
      </c>
      <c r="C898" s="9" t="str">
        <f>IFERROR(__xludf.DUMMYFUNCTION("""COMPUTED_VALUE"""),"HTML/CSS")</f>
        <v>HTML/CSS</v>
      </c>
      <c r="D898" s="9" t="str">
        <f>IFERROR(__xludf.DUMMYFUNCTION("""COMPUTED_VALUE"""),"C")</f>
        <v>C</v>
      </c>
      <c r="E898" s="9" t="str">
        <f>IFERROR(__xludf.DUMMYFUNCTION("""COMPUTED_VALUE"""),"SQL")</f>
        <v>SQL</v>
      </c>
      <c r="F898" s="9" t="str">
        <f>IFERROR(__xludf.DUMMYFUNCTION("""COMPUTED_VALUE"""),"Ruby")</f>
        <v>Ruby</v>
      </c>
      <c r="G898" s="9" t="str">
        <f>IFERROR(__xludf.DUMMYFUNCTION("""COMPUTED_VALUE"""),"SQL")</f>
        <v>SQL</v>
      </c>
      <c r="H898" s="9" t="str">
        <f>IFERROR(__xludf.DUMMYFUNCTION("""COMPUTED_VALUE"""),"Rust")</f>
        <v>Rust</v>
      </c>
      <c r="I898" s="9" t="str">
        <f>IFERROR(__xludf.DUMMYFUNCTION("""COMPUTED_VALUE"""),"Python")</f>
        <v>Python</v>
      </c>
      <c r="J898" s="9" t="str">
        <f>IFERROR(__xludf.DUMMYFUNCTION("""COMPUTED_VALUE"""),"Java")</f>
        <v>Java</v>
      </c>
      <c r="K898" s="9" t="str">
        <f>IFERROR(__xludf.DUMMYFUNCTION("""COMPUTED_VALUE"""),"TypeScript")</f>
        <v>TypeScript</v>
      </c>
      <c r="L898" s="9" t="str">
        <f>IFERROR(__xludf.DUMMYFUNCTION("""COMPUTED_VALUE"""),"Bash/Shell/PowerShell")</f>
        <v>Bash/Shell/PowerShell</v>
      </c>
      <c r="M898" s="9" t="s">
        <v>24</v>
      </c>
    </row>
    <row r="899" ht="15.75" customHeight="1">
      <c r="A899" s="7"/>
      <c r="B899" s="7" t="str">
        <f>IFERROR(__xludf.DUMMYFUNCTION("""COMPUTED_VALUE"""),"C#;Java;SQL")</f>
        <v>C#;Java;SQL</v>
      </c>
      <c r="C899" s="9" t="str">
        <f>IFERROR(__xludf.DUMMYFUNCTION("""COMPUTED_VALUE"""),"Java")</f>
        <v>Java</v>
      </c>
      <c r="D899" s="9" t="str">
        <f>IFERROR(__xludf.DUMMYFUNCTION("""COMPUTED_VALUE"""),"C++")</f>
        <v>C++</v>
      </c>
      <c r="E899" s="9" t="str">
        <f>IFERROR(__xludf.DUMMYFUNCTION("""COMPUTED_VALUE"""),"HTML/CSS")</f>
        <v>HTML/CSS</v>
      </c>
      <c r="F899" s="9" t="str">
        <f>IFERROR(__xludf.DUMMYFUNCTION("""COMPUTED_VALUE"""),"Other(s):")</f>
        <v>Other(s):</v>
      </c>
      <c r="G899" s="9" t="str">
        <f>IFERROR(__xludf.DUMMYFUNCTION("""COMPUTED_VALUE"""),"C++")</f>
        <v>C++</v>
      </c>
      <c r="H899" s="9" t="str">
        <f>IFERROR(__xludf.DUMMYFUNCTION("""COMPUTED_VALUE"""),"SQL")</f>
        <v>SQL</v>
      </c>
      <c r="I899" s="9" t="str">
        <f>IFERROR(__xludf.DUMMYFUNCTION("""COMPUTED_VALUE"""),"Rust")</f>
        <v>Rust</v>
      </c>
      <c r="J899" s="9" t="str">
        <f>IFERROR(__xludf.DUMMYFUNCTION("""COMPUTED_VALUE"""),"Bash/Shell/PowerShell")</f>
        <v>Bash/Shell/PowerShell</v>
      </c>
      <c r="K899" s="9" t="str">
        <f>IFERROR(__xludf.DUMMYFUNCTION("""COMPUTED_VALUE"""),"Bash/Shell/PowerShell")</f>
        <v>Bash/Shell/PowerShell</v>
      </c>
      <c r="L899" s="9" t="str">
        <f>IFERROR(__xludf.DUMMYFUNCTION("""COMPUTED_VALUE"""),"C")</f>
        <v>C</v>
      </c>
      <c r="M899" s="9" t="s">
        <v>20</v>
      </c>
    </row>
    <row r="900" ht="15.75" customHeight="1">
      <c r="A900" s="7"/>
      <c r="B900" s="7" t="str">
        <f>IFERROR(__xludf.DUMMYFUNCTION("""COMPUTED_VALUE"""),"HTML/CSS;JavaScript")</f>
        <v>HTML/CSS;JavaScript</v>
      </c>
      <c r="C900" s="9" t="str">
        <f>IFERROR(__xludf.DUMMYFUNCTION("""COMPUTED_VALUE"""),"JavaScript")</f>
        <v>JavaScript</v>
      </c>
      <c r="D900" s="9" t="str">
        <f>IFERROR(__xludf.DUMMYFUNCTION("""COMPUTED_VALUE"""),"HTML/CSS")</f>
        <v>HTML/CSS</v>
      </c>
      <c r="E900" s="9" t="str">
        <f>IFERROR(__xludf.DUMMYFUNCTION("""COMPUTED_VALUE"""),"JavaScript")</f>
        <v>JavaScript</v>
      </c>
      <c r="F900" s="9" t="str">
        <f>IFERROR(__xludf.DUMMYFUNCTION("""COMPUTED_VALUE"""),"Bash/Shell/PowerShell")</f>
        <v>Bash/Shell/PowerShell</v>
      </c>
      <c r="G900" s="9" t="str">
        <f>IFERROR(__xludf.DUMMYFUNCTION("""COMPUTED_VALUE"""),"C#")</f>
        <v>C#</v>
      </c>
      <c r="H900" s="9" t="str">
        <f>IFERROR(__xludf.DUMMYFUNCTION("""COMPUTED_VALUE"""),"HTML/CSS")</f>
        <v>HTML/CSS</v>
      </c>
      <c r="I900" s="9" t="str">
        <f>IFERROR(__xludf.DUMMYFUNCTION("""COMPUTED_VALUE"""),"Bash/Shell/PowerShell")</f>
        <v>Bash/Shell/PowerShell</v>
      </c>
      <c r="J900" s="9" t="str">
        <f>IFERROR(__xludf.DUMMYFUNCTION("""COMPUTED_VALUE"""),"Go")</f>
        <v>Go</v>
      </c>
      <c r="K900" s="9" t="str">
        <f>IFERROR(__xludf.DUMMYFUNCTION("""COMPUTED_VALUE"""),"HTML/CSS")</f>
        <v>HTML/CSS</v>
      </c>
      <c r="L900" s="9" t="str">
        <f>IFERROR(__xludf.DUMMYFUNCTION("""COMPUTED_VALUE"""),"C++")</f>
        <v>C++</v>
      </c>
      <c r="M900" s="9" t="s">
        <v>21</v>
      </c>
    </row>
    <row r="901" ht="15.75" customHeight="1">
      <c r="A901" s="7"/>
      <c r="B901" s="7" t="str">
        <f>IFERROR(__xludf.DUMMYFUNCTION("""COMPUTED_VALUE"""),"Bash/Shell/PowerShell;Go;HTML/CSS;Java;JavaScript;PHP")</f>
        <v>Bash/Shell/PowerShell;Go;HTML/CSS;Java;JavaScript;PHP</v>
      </c>
      <c r="C901" s="9" t="str">
        <f>IFERROR(__xludf.DUMMYFUNCTION("""COMPUTED_VALUE"""),"PHP")</f>
        <v>PHP</v>
      </c>
      <c r="D901" s="9" t="str">
        <f>IFERROR(__xludf.DUMMYFUNCTION("""COMPUTED_VALUE"""),"Java")</f>
        <v>Java</v>
      </c>
      <c r="E901" s="9" t="str">
        <f>IFERROR(__xludf.DUMMYFUNCTION("""COMPUTED_VALUE"""),"PHP")</f>
        <v>PHP</v>
      </c>
      <c r="F901" s="9" t="str">
        <f>IFERROR(__xludf.DUMMYFUNCTION("""COMPUTED_VALUE"""),"C#")</f>
        <v>C#</v>
      </c>
      <c r="G901" s="9" t="str">
        <f>IFERROR(__xludf.DUMMYFUNCTION("""COMPUTED_VALUE"""),"HTML/CSS")</f>
        <v>HTML/CSS</v>
      </c>
      <c r="H901" s="9" t="str">
        <f>IFERROR(__xludf.DUMMYFUNCTION("""COMPUTED_VALUE"""),"JavaScript")</f>
        <v>JavaScript</v>
      </c>
      <c r="I901" s="9" t="str">
        <f>IFERROR(__xludf.DUMMYFUNCTION("""COMPUTED_VALUE"""),"HTML/CSS")</f>
        <v>HTML/CSS</v>
      </c>
      <c r="J901" s="9" t="str">
        <f>IFERROR(__xludf.DUMMYFUNCTION("""COMPUTED_VALUE"""),"JavaScript")</f>
        <v>JavaScript</v>
      </c>
      <c r="K901" s="9" t="str">
        <f>IFERROR(__xludf.DUMMYFUNCTION("""COMPUTED_VALUE"""),"JavaScript")</f>
        <v>JavaScript</v>
      </c>
      <c r="L901" s="9" t="str">
        <f>IFERROR(__xludf.DUMMYFUNCTION("""COMPUTED_VALUE"""),"Dart")</f>
        <v>Dart</v>
      </c>
      <c r="M901" s="9" t="s">
        <v>37</v>
      </c>
    </row>
    <row r="902" ht="15.75" customHeight="1">
      <c r="A902" s="7"/>
      <c r="B902" s="7" t="str">
        <f>IFERROR(__xludf.DUMMYFUNCTION("""COMPUTED_VALUE"""),"C#;HTML/CSS;JavaScript;SQL")</f>
        <v>C#;HTML/CSS;JavaScript;SQL</v>
      </c>
      <c r="C902" s="9" t="str">
        <f>IFERROR(__xludf.DUMMYFUNCTION("""COMPUTED_VALUE"""),"Python")</f>
        <v>Python</v>
      </c>
      <c r="D902" s="9" t="str">
        <f>IFERROR(__xludf.DUMMYFUNCTION("""COMPUTED_VALUE"""),"JavaScript")</f>
        <v>JavaScript</v>
      </c>
      <c r="E902" s="9" t="str">
        <f>IFERROR(__xludf.DUMMYFUNCTION("""COMPUTED_VALUE"""),"SQL")</f>
        <v>SQL</v>
      </c>
      <c r="F902" s="9" t="str">
        <f>IFERROR(__xludf.DUMMYFUNCTION("""COMPUTED_VALUE"""),"HTML/CSS")</f>
        <v>HTML/CSS</v>
      </c>
      <c r="G902" s="9" t="str">
        <f>IFERROR(__xludf.DUMMYFUNCTION("""COMPUTED_VALUE"""),"Java")</f>
        <v>Java</v>
      </c>
      <c r="H902" s="9" t="str">
        <f>IFERROR(__xludf.DUMMYFUNCTION("""COMPUTED_VALUE"""),"Bash/Shell/PowerShell")</f>
        <v>Bash/Shell/PowerShell</v>
      </c>
      <c r="I902" s="9" t="str">
        <f>IFERROR(__xludf.DUMMYFUNCTION("""COMPUTED_VALUE"""),"Java")</f>
        <v>Java</v>
      </c>
      <c r="J902" s="9" t="str">
        <f>IFERROR(__xludf.DUMMYFUNCTION("""COMPUTED_VALUE"""),"SQL")</f>
        <v>SQL</v>
      </c>
      <c r="K902" s="9" t="str">
        <f>IFERROR(__xludf.DUMMYFUNCTION("""COMPUTED_VALUE"""),"PHP")</f>
        <v>PHP</v>
      </c>
      <c r="L902" s="9" t="str">
        <f>IFERROR(__xludf.DUMMYFUNCTION("""COMPUTED_VALUE"""),"Elixir")</f>
        <v>Elixir</v>
      </c>
      <c r="M902" s="9" t="s">
        <v>22</v>
      </c>
    </row>
    <row r="903" ht="15.75" customHeight="1">
      <c r="A903" s="7"/>
      <c r="B903" s="7" t="str">
        <f>IFERROR(__xludf.DUMMYFUNCTION("""COMPUTED_VALUE"""),"Bash/Shell/PowerShell;C#;F#;Java;Kotlin;Scala;SQL;TypeScript")</f>
        <v>Bash/Shell/PowerShell;C#;F#;Java;Kotlin;Scala;SQL;TypeScript</v>
      </c>
      <c r="C903" s="9" t="str">
        <f>IFERROR(__xludf.DUMMYFUNCTION("""COMPUTED_VALUE"""),"SQL")</f>
        <v>SQL</v>
      </c>
      <c r="D903" s="9" t="str">
        <f>IFERROR(__xludf.DUMMYFUNCTION("""COMPUTED_VALUE"""),"SQL")</f>
        <v>SQL</v>
      </c>
      <c r="E903" s="9" t="str">
        <f>IFERROR(__xludf.DUMMYFUNCTION("""COMPUTED_VALUE"""),"Bash/Shell/PowerShell")</f>
        <v>Bash/Shell/PowerShell</v>
      </c>
      <c r="F903" s="9" t="str">
        <f>IFERROR(__xludf.DUMMYFUNCTION("""COMPUTED_VALUE"""),"Java")</f>
        <v>Java</v>
      </c>
      <c r="G903" s="9" t="str">
        <f>IFERROR(__xludf.DUMMYFUNCTION("""COMPUTED_VALUE"""),"Kotlin")</f>
        <v>Kotlin</v>
      </c>
      <c r="H903" s="9" t="str">
        <f>IFERROR(__xludf.DUMMYFUNCTION("""COMPUTED_VALUE"""),"C#")</f>
        <v>C#</v>
      </c>
      <c r="I903" s="9" t="str">
        <f>IFERROR(__xludf.DUMMYFUNCTION("""COMPUTED_VALUE"""),"JavaScript")</f>
        <v>JavaScript</v>
      </c>
      <c r="J903" s="9" t="str">
        <f>IFERROR(__xludf.DUMMYFUNCTION("""COMPUTED_VALUE"""),"C")</f>
        <v>C</v>
      </c>
      <c r="K903" s="9" t="str">
        <f>IFERROR(__xludf.DUMMYFUNCTION("""COMPUTED_VALUE"""),"Python")</f>
        <v>Python</v>
      </c>
      <c r="L903" s="9" t="str">
        <f>IFERROR(__xludf.DUMMYFUNCTION("""COMPUTED_VALUE"""),"Go")</f>
        <v>Go</v>
      </c>
      <c r="M903" s="9" t="s">
        <v>27</v>
      </c>
    </row>
    <row r="904" ht="15.75" customHeight="1">
      <c r="A904" s="7"/>
      <c r="B904" s="7" t="str">
        <f>IFERROR(__xludf.DUMMYFUNCTION("""COMPUTED_VALUE"""),"C#")</f>
        <v>C#</v>
      </c>
      <c r="C904" s="9" t="str">
        <f>IFERROR(__xludf.DUMMYFUNCTION("""COMPUTED_VALUE"""),"C")</f>
        <v>C</v>
      </c>
      <c r="D904" s="9" t="str">
        <f>IFERROR(__xludf.DUMMYFUNCTION("""COMPUTED_VALUE"""),"Bash/Shell/PowerShell")</f>
        <v>Bash/Shell/PowerShell</v>
      </c>
      <c r="E904" s="9" t="str">
        <f>IFERROR(__xludf.DUMMYFUNCTION("""COMPUTED_VALUE"""),"C")</f>
        <v>C</v>
      </c>
      <c r="F904" s="9" t="str">
        <f>IFERROR(__xludf.DUMMYFUNCTION("""COMPUTED_VALUE"""),"JavaScript")</f>
        <v>JavaScript</v>
      </c>
      <c r="G904" s="9" t="str">
        <f>IFERROR(__xludf.DUMMYFUNCTION("""COMPUTED_VALUE"""),"PHP")</f>
        <v>PHP</v>
      </c>
      <c r="H904" s="9" t="str">
        <f>IFERROR(__xludf.DUMMYFUNCTION("""COMPUTED_VALUE"""),"HTML/CSS")</f>
        <v>HTML/CSS</v>
      </c>
      <c r="I904" s="9" t="str">
        <f>IFERROR(__xludf.DUMMYFUNCTION("""COMPUTED_VALUE"""),"SQL")</f>
        <v>SQL</v>
      </c>
      <c r="J904" s="9" t="str">
        <f>IFERROR(__xludf.DUMMYFUNCTION("""COMPUTED_VALUE"""),"C++")</f>
        <v>C++</v>
      </c>
      <c r="K904" s="9" t="str">
        <f>IFERROR(__xludf.DUMMYFUNCTION("""COMPUTED_VALUE"""),"Ruby")</f>
        <v>Ruby</v>
      </c>
      <c r="L904" s="9" t="str">
        <f>IFERROR(__xludf.DUMMYFUNCTION("""COMPUTED_VALUE"""),"HTML/CSS")</f>
        <v>HTML/CSS</v>
      </c>
      <c r="M904" s="9" t="s">
        <v>25</v>
      </c>
    </row>
    <row r="905" ht="15.75" customHeight="1">
      <c r="A905" s="7"/>
      <c r="B905" s="7" t="str">
        <f>IFERROR(__xludf.DUMMYFUNCTION("""COMPUTED_VALUE"""),"Bash/Shell/PowerShell;C++;C#;HTML/CSS;JavaScript;PHP;Python;SQL;TypeScript")</f>
        <v>Bash/Shell/PowerShell;C++;C#;HTML/CSS;JavaScript;PHP;Python;SQL;TypeScript</v>
      </c>
      <c r="C905" s="9" t="str">
        <f>IFERROR(__xludf.DUMMYFUNCTION("""COMPUTED_VALUE"""),"C++")</f>
        <v>C++</v>
      </c>
      <c r="D905" s="9" t="str">
        <f>IFERROR(__xludf.DUMMYFUNCTION("""COMPUTED_VALUE"""),"Go")</f>
        <v>Go</v>
      </c>
      <c r="E905" s="9" t="str">
        <f>IFERROR(__xludf.DUMMYFUNCTION("""COMPUTED_VALUE"""),"C++")</f>
        <v>C++</v>
      </c>
      <c r="F905" s="9" t="str">
        <f>IFERROR(__xludf.DUMMYFUNCTION("""COMPUTED_VALUE"""),"PHP")</f>
        <v>PHP</v>
      </c>
      <c r="G905" s="9" t="str">
        <f>IFERROR(__xludf.DUMMYFUNCTION("""COMPUTED_VALUE"""),"Swift")</f>
        <v>Swift</v>
      </c>
      <c r="H905" s="9" t="str">
        <f>IFERROR(__xludf.DUMMYFUNCTION("""COMPUTED_VALUE"""),"JavaScript")</f>
        <v>JavaScript</v>
      </c>
      <c r="I905" s="9" t="str">
        <f>IFERROR(__xludf.DUMMYFUNCTION("""COMPUTED_VALUE"""),"JavaScript")</f>
        <v>JavaScript</v>
      </c>
      <c r="J905" s="9" t="str">
        <f>IFERROR(__xludf.DUMMYFUNCTION("""COMPUTED_VALUE"""),"C#")</f>
        <v>C#</v>
      </c>
      <c r="K905" s="9" t="str">
        <f>IFERROR(__xludf.DUMMYFUNCTION("""COMPUTED_VALUE"""),"SQL")</f>
        <v>SQL</v>
      </c>
      <c r="L905" s="9" t="str">
        <f>IFERROR(__xludf.DUMMYFUNCTION("""COMPUTED_VALUE"""),"JavaScript")</f>
        <v>JavaScript</v>
      </c>
      <c r="M905" s="9" t="s">
        <v>23</v>
      </c>
    </row>
    <row r="906" ht="15.75" customHeight="1">
      <c r="A906" s="7"/>
      <c r="B906" s="7" t="str">
        <f>IFERROR(__xludf.DUMMYFUNCTION("""COMPUTED_VALUE"""),"HTML/CSS;JavaScript;PHP;SQL;TypeScript")</f>
        <v>HTML/CSS;JavaScript;PHP;SQL;TypeScript</v>
      </c>
      <c r="C906" s="9" t="str">
        <f>IFERROR(__xludf.DUMMYFUNCTION("""COMPUTED_VALUE"""),"C#")</f>
        <v>C#</v>
      </c>
      <c r="D906" s="9" t="str">
        <f>IFERROR(__xludf.DUMMYFUNCTION("""COMPUTED_VALUE"""),"HTML/CSS")</f>
        <v>HTML/CSS</v>
      </c>
      <c r="E906" s="9" t="str">
        <f>IFERROR(__xludf.DUMMYFUNCTION("""COMPUTED_VALUE"""),"C#")</f>
        <v>C#</v>
      </c>
      <c r="F906" s="9" t="str">
        <f>IFERROR(__xludf.DUMMYFUNCTION("""COMPUTED_VALUE"""),"Python")</f>
        <v>Python</v>
      </c>
      <c r="G906" s="9" t="str">
        <f>IFERROR(__xludf.DUMMYFUNCTION("""COMPUTED_VALUE"""),"HTML/CSS")</f>
        <v>HTML/CSS</v>
      </c>
      <c r="H906" s="9" t="str">
        <f>IFERROR(__xludf.DUMMYFUNCTION("""COMPUTED_VALUE"""),"Python")</f>
        <v>Python</v>
      </c>
      <c r="I906" s="9" t="str">
        <f>IFERROR(__xludf.DUMMYFUNCTION("""COMPUTED_VALUE"""),"Python")</f>
        <v>Python</v>
      </c>
      <c r="J906" s="9" t="str">
        <f>IFERROR(__xludf.DUMMYFUNCTION("""COMPUTED_VALUE"""),"Java")</f>
        <v>Java</v>
      </c>
      <c r="K906" s="9" t="str">
        <f>IFERROR(__xludf.DUMMYFUNCTION("""COMPUTED_VALUE"""),"Bash/Shell/PowerShell")</f>
        <v>Bash/Shell/PowerShell</v>
      </c>
      <c r="L906" s="9" t="str">
        <f>IFERROR(__xludf.DUMMYFUNCTION("""COMPUTED_VALUE"""),"Ruby")</f>
        <v>Ruby</v>
      </c>
      <c r="M906" s="9" t="s">
        <v>26</v>
      </c>
    </row>
    <row r="907" ht="15.75" customHeight="1">
      <c r="A907" s="7"/>
      <c r="B907" s="7" t="str">
        <f>IFERROR(__xludf.DUMMYFUNCTION("""COMPUTED_VALUE"""),"Bash/Shell/PowerShell;C++;C#;HTML/CSS;Java;JavaScript;Objective-C;PHP;SQL;VBA")</f>
        <v>Bash/Shell/PowerShell;C++;C#;HTML/CSS;Java;JavaScript;Objective-C;PHP;SQL;VBA</v>
      </c>
      <c r="C907" s="9" t="str">
        <f>IFERROR(__xludf.DUMMYFUNCTION("""COMPUTED_VALUE"""),"HTML/CSS")</f>
        <v>HTML/CSS</v>
      </c>
      <c r="D907" s="9" t="str">
        <f>IFERROR(__xludf.DUMMYFUNCTION("""COMPUTED_VALUE"""),"JavaScript")</f>
        <v>JavaScript</v>
      </c>
      <c r="E907" s="9" t="str">
        <f>IFERROR(__xludf.DUMMYFUNCTION("""COMPUTED_VALUE"""),"HTML/CSS")</f>
        <v>HTML/CSS</v>
      </c>
      <c r="F907" s="9" t="str">
        <f>IFERROR(__xludf.DUMMYFUNCTION("""COMPUTED_VALUE"""),"SQL")</f>
        <v>SQL</v>
      </c>
      <c r="G907" s="9" t="str">
        <f>IFERROR(__xludf.DUMMYFUNCTION("""COMPUTED_VALUE"""),"JavaScript")</f>
        <v>JavaScript</v>
      </c>
      <c r="H907" s="9" t="str">
        <f>IFERROR(__xludf.DUMMYFUNCTION("""COMPUTED_VALUE"""),"Other(s):")</f>
        <v>Other(s):</v>
      </c>
      <c r="I907" s="9" t="str">
        <f>IFERROR(__xludf.DUMMYFUNCTION("""COMPUTED_VALUE"""),"C++")</f>
        <v>C++</v>
      </c>
      <c r="J907" s="9" t="str">
        <f>IFERROR(__xludf.DUMMYFUNCTION("""COMPUTED_VALUE"""),"SQL")</f>
        <v>SQL</v>
      </c>
      <c r="K907" s="9" t="str">
        <f>IFERROR(__xludf.DUMMYFUNCTION("""COMPUTED_VALUE"""),"HTML/CSS")</f>
        <v>HTML/CSS</v>
      </c>
      <c r="L907" s="9" t="str">
        <f>IFERROR(__xludf.DUMMYFUNCTION("""COMPUTED_VALUE"""),"SQL")</f>
        <v>SQL</v>
      </c>
      <c r="M907" s="9" t="s">
        <v>24</v>
      </c>
    </row>
    <row r="908" ht="15.75" customHeight="1">
      <c r="A908" s="7"/>
      <c r="B908" s="7" t="str">
        <f>IFERROR(__xludf.DUMMYFUNCTION("""COMPUTED_VALUE"""),"Bash/Shell/PowerShell;C#;Java;JavaScript;Python;SQL")</f>
        <v>Bash/Shell/PowerShell;C#;Java;JavaScript;Python;SQL</v>
      </c>
      <c r="C908" s="9" t="str">
        <f>IFERROR(__xludf.DUMMYFUNCTION("""COMPUTED_VALUE"""),"Java")</f>
        <v>Java</v>
      </c>
      <c r="D908" s="9" t="str">
        <f>IFERROR(__xludf.DUMMYFUNCTION("""COMPUTED_VALUE"""),"PHP")</f>
        <v>PHP</v>
      </c>
      <c r="E908" s="9" t="str">
        <f>IFERROR(__xludf.DUMMYFUNCTION("""COMPUTED_VALUE"""),"Java")</f>
        <v>Java</v>
      </c>
      <c r="F908" s="9" t="str">
        <f>IFERROR(__xludf.DUMMYFUNCTION("""COMPUTED_VALUE"""),"Bash/Shell/PowerShell")</f>
        <v>Bash/Shell/PowerShell</v>
      </c>
      <c r="G908" s="9" t="str">
        <f>IFERROR(__xludf.DUMMYFUNCTION("""COMPUTED_VALUE"""),"TypeScript")</f>
        <v>TypeScript</v>
      </c>
      <c r="H908" s="9" t="str">
        <f>IFERROR(__xludf.DUMMYFUNCTION("""COMPUTED_VALUE"""),"HTML/CSS")</f>
        <v>HTML/CSS</v>
      </c>
      <c r="I908" s="9" t="str">
        <f>IFERROR(__xludf.DUMMYFUNCTION("""COMPUTED_VALUE"""),"C#")</f>
        <v>C#</v>
      </c>
      <c r="J908" s="9" t="str">
        <f>IFERROR(__xludf.DUMMYFUNCTION("""COMPUTED_VALUE"""),"Python")</f>
        <v>Python</v>
      </c>
      <c r="K908" s="9" t="str">
        <f>IFERROR(__xludf.DUMMYFUNCTION("""COMPUTED_VALUE"""),"JavaScript")</f>
        <v>JavaScript</v>
      </c>
      <c r="L908" s="9" t="str">
        <f>IFERROR(__xludf.DUMMYFUNCTION("""COMPUTED_VALUE"""),"JavaScript")</f>
        <v>JavaScript</v>
      </c>
      <c r="M908" s="9" t="s">
        <v>20</v>
      </c>
    </row>
    <row r="909" ht="15.75" customHeight="1">
      <c r="A909" s="7"/>
      <c r="B909" s="7" t="str">
        <f>IFERROR(__xludf.DUMMYFUNCTION("""COMPUTED_VALUE"""),"C#")</f>
        <v>C#</v>
      </c>
      <c r="C909" s="9" t="str">
        <f>IFERROR(__xludf.DUMMYFUNCTION("""COMPUTED_VALUE"""),"JavaScript")</f>
        <v>JavaScript</v>
      </c>
      <c r="D909" s="9" t="str">
        <f>IFERROR(__xludf.DUMMYFUNCTION("""COMPUTED_VALUE"""),"Python")</f>
        <v>Python</v>
      </c>
      <c r="E909" s="9" t="str">
        <f>IFERROR(__xludf.DUMMYFUNCTION("""COMPUTED_VALUE"""),"JavaScript")</f>
        <v>JavaScript</v>
      </c>
      <c r="F909" s="9" t="str">
        <f>IFERROR(__xludf.DUMMYFUNCTION("""COMPUTED_VALUE"""),"C#")</f>
        <v>C#</v>
      </c>
      <c r="G909" s="9" t="str">
        <f>IFERROR(__xludf.DUMMYFUNCTION("""COMPUTED_VALUE"""),"Go")</f>
        <v>Go</v>
      </c>
      <c r="H909" s="9" t="str">
        <f>IFERROR(__xludf.DUMMYFUNCTION("""COMPUTED_VALUE"""),"JavaScript")</f>
        <v>JavaScript</v>
      </c>
      <c r="I909" s="9" t="str">
        <f>IFERROR(__xludf.DUMMYFUNCTION("""COMPUTED_VALUE"""),"Python")</f>
        <v>Python</v>
      </c>
      <c r="J909" s="9" t="str">
        <f>IFERROR(__xludf.DUMMYFUNCTION("""COMPUTED_VALUE"""),"Other(s):")</f>
        <v>Other(s):</v>
      </c>
      <c r="K909" s="9" t="str">
        <f>IFERROR(__xludf.DUMMYFUNCTION("""COMPUTED_VALUE"""),"Kotlin")</f>
        <v>Kotlin</v>
      </c>
      <c r="L909" s="9" t="str">
        <f>IFERROR(__xludf.DUMMYFUNCTION("""COMPUTED_VALUE"""),"PHP")</f>
        <v>PHP</v>
      </c>
      <c r="M909" s="9" t="s">
        <v>21</v>
      </c>
    </row>
    <row r="910" ht="15.75" customHeight="1">
      <c r="A910" s="7"/>
      <c r="B910" s="7" t="str">
        <f>IFERROR(__xludf.DUMMYFUNCTION("""COMPUTED_VALUE"""),"C++;HTML/CSS;JavaScript;R;Ruby;SQL")</f>
        <v>C++;HTML/CSS;JavaScript;R;Ruby;SQL</v>
      </c>
      <c r="C910" s="9" t="str">
        <f>IFERROR(__xludf.DUMMYFUNCTION("""COMPUTED_VALUE"""),"Python")</f>
        <v>Python</v>
      </c>
      <c r="D910" s="9" t="str">
        <f>IFERROR(__xludf.DUMMYFUNCTION("""COMPUTED_VALUE"""),"SQL")</f>
        <v>SQL</v>
      </c>
      <c r="E910" s="9" t="str">
        <f>IFERROR(__xludf.DUMMYFUNCTION("""COMPUTED_VALUE"""),"PHP")</f>
        <v>PHP</v>
      </c>
      <c r="F910" s="9" t="str">
        <f>IFERROR(__xludf.DUMMYFUNCTION("""COMPUTED_VALUE"""),"Java")</f>
        <v>Java</v>
      </c>
      <c r="G910" s="9" t="str">
        <f>IFERROR(__xludf.DUMMYFUNCTION("""COMPUTED_VALUE"""),"HTML/CSS")</f>
        <v>HTML/CSS</v>
      </c>
      <c r="H910" s="9" t="str">
        <f>IFERROR(__xludf.DUMMYFUNCTION("""COMPUTED_VALUE"""),"PHP")</f>
        <v>PHP</v>
      </c>
      <c r="I910" s="9" t="str">
        <f>IFERROR(__xludf.DUMMYFUNCTION("""COMPUTED_VALUE"""),"R")</f>
        <v>R</v>
      </c>
      <c r="J910" s="9" t="str">
        <f>IFERROR(__xludf.DUMMYFUNCTION("""COMPUTED_VALUE"""),"Bash/Shell/PowerShell")</f>
        <v>Bash/Shell/PowerShell</v>
      </c>
      <c r="K910" s="9" t="str">
        <f>IFERROR(__xludf.DUMMYFUNCTION("""COMPUTED_VALUE"""),"Objective-C")</f>
        <v>Objective-C</v>
      </c>
      <c r="L910" s="9" t="str">
        <f>IFERROR(__xludf.DUMMYFUNCTION("""COMPUTED_VALUE"""),"SQL")</f>
        <v>SQL</v>
      </c>
      <c r="M910" s="9" t="s">
        <v>22</v>
      </c>
    </row>
    <row r="911" ht="15.75" customHeight="1">
      <c r="A911" s="7"/>
      <c r="B911" s="7" t="str">
        <f>IFERROR(__xludf.DUMMYFUNCTION("""COMPUTED_VALUE"""),"Bash/Shell/PowerShell;Java;JavaScript;Python;R;Ruby")</f>
        <v>Bash/Shell/PowerShell;Java;JavaScript;Python;R;Ruby</v>
      </c>
      <c r="C911" s="9" t="str">
        <f>IFERROR(__xludf.DUMMYFUNCTION("""COMPUTED_VALUE"""),"SQL")</f>
        <v>SQL</v>
      </c>
      <c r="D911" s="9" t="str">
        <f>IFERROR(__xludf.DUMMYFUNCTION("""COMPUTED_VALUE"""),"Bash/Shell/PowerShell")</f>
        <v>Bash/Shell/PowerShell</v>
      </c>
      <c r="E911" s="9" t="str">
        <f>IFERROR(__xludf.DUMMYFUNCTION("""COMPUTED_VALUE"""),"Scala")</f>
        <v>Scala</v>
      </c>
      <c r="F911" s="9" t="str">
        <f>IFERROR(__xludf.DUMMYFUNCTION("""COMPUTED_VALUE"""),"Python")</f>
        <v>Python</v>
      </c>
      <c r="G911" s="9" t="str">
        <f>IFERROR(__xludf.DUMMYFUNCTION("""COMPUTED_VALUE"""),"JavaScript")</f>
        <v>JavaScript</v>
      </c>
      <c r="H911" s="9" t="str">
        <f>IFERROR(__xludf.DUMMYFUNCTION("""COMPUTED_VALUE"""),"Ruby")</f>
        <v>Ruby</v>
      </c>
      <c r="I911" s="9" t="str">
        <f>IFERROR(__xludf.DUMMYFUNCTION("""COMPUTED_VALUE"""),"TypeScript")</f>
        <v>TypeScript</v>
      </c>
      <c r="J911" s="9" t="str">
        <f>IFERROR(__xludf.DUMMYFUNCTION("""COMPUTED_VALUE"""),"C")</f>
        <v>C</v>
      </c>
      <c r="K911" s="9" t="str">
        <f>IFERROR(__xludf.DUMMYFUNCTION("""COMPUTED_VALUE"""),"Swift")</f>
        <v>Swift</v>
      </c>
      <c r="L911" s="9" t="str">
        <f>IFERROR(__xludf.DUMMYFUNCTION("""COMPUTED_VALUE"""),"Assembly")</f>
        <v>Assembly</v>
      </c>
      <c r="M911" s="9" t="s">
        <v>27</v>
      </c>
    </row>
    <row r="912" ht="15.75" customHeight="1">
      <c r="A912" s="7"/>
      <c r="B912" s="7" t="str">
        <f>IFERROR(__xludf.DUMMYFUNCTION("""COMPUTED_VALUE"""),"C#")</f>
        <v>C#</v>
      </c>
      <c r="C912" s="9" t="str">
        <f>IFERROR(__xludf.DUMMYFUNCTION("""COMPUTED_VALUE"""),"C#")</f>
        <v>C#</v>
      </c>
      <c r="D912" s="9" t="str">
        <f>IFERROR(__xludf.DUMMYFUNCTION("""COMPUTED_VALUE"""),"HTML/CSS")</f>
        <v>HTML/CSS</v>
      </c>
      <c r="E912" s="9" t="str">
        <f>IFERROR(__xludf.DUMMYFUNCTION("""COMPUTED_VALUE"""),"SQL")</f>
        <v>SQL</v>
      </c>
      <c r="F912" s="9" t="str">
        <f>IFERROR(__xludf.DUMMYFUNCTION("""COMPUTED_VALUE"""),"R")</f>
        <v>R</v>
      </c>
      <c r="G912" s="9" t="str">
        <f>IFERROR(__xludf.DUMMYFUNCTION("""COMPUTED_VALUE"""),"Kotlin")</f>
        <v>Kotlin</v>
      </c>
      <c r="H912" s="9" t="str">
        <f>IFERROR(__xludf.DUMMYFUNCTION("""COMPUTED_VALUE"""),"SQL")</f>
        <v>SQL</v>
      </c>
      <c r="I912" s="9" t="str">
        <f>IFERROR(__xludf.DUMMYFUNCTION("""COMPUTED_VALUE"""),"Bash/Shell/PowerShell")</f>
        <v>Bash/Shell/PowerShell</v>
      </c>
      <c r="J912" s="9" t="str">
        <f>IFERROR(__xludf.DUMMYFUNCTION("""COMPUTED_VALUE"""),"C++")</f>
        <v>C++</v>
      </c>
      <c r="K912" s="9" t="str">
        <f>IFERROR(__xludf.DUMMYFUNCTION("""COMPUTED_VALUE"""),"TypeScript")</f>
        <v>TypeScript</v>
      </c>
      <c r="L912" s="9" t="str">
        <f>IFERROR(__xludf.DUMMYFUNCTION("""COMPUTED_VALUE"""),"C#")</f>
        <v>C#</v>
      </c>
      <c r="M912" s="9" t="s">
        <v>26</v>
      </c>
    </row>
    <row r="913" ht="15.75" customHeight="1">
      <c r="A913" s="7"/>
      <c r="B913" s="7" t="str">
        <f>IFERROR(__xludf.DUMMYFUNCTION("""COMPUTED_VALUE"""),"C;C++")</f>
        <v>C;C++</v>
      </c>
      <c r="C913" s="9" t="str">
        <f>IFERROR(__xludf.DUMMYFUNCTION("""COMPUTED_VALUE"""),"Python")</f>
        <v>Python</v>
      </c>
      <c r="D913" s="9" t="str">
        <f>IFERROR(__xludf.DUMMYFUNCTION("""COMPUTED_VALUE"""),"Python")</f>
        <v>Python</v>
      </c>
      <c r="E913" s="9" t="str">
        <f>IFERROR(__xludf.DUMMYFUNCTION("""COMPUTED_VALUE"""),"HTML/CSS")</f>
        <v>HTML/CSS</v>
      </c>
      <c r="F913" s="9" t="str">
        <f>IFERROR(__xludf.DUMMYFUNCTION("""COMPUTED_VALUE"""),"Scala")</f>
        <v>Scala</v>
      </c>
      <c r="G913" s="9" t="str">
        <f>IFERROR(__xludf.DUMMYFUNCTION("""COMPUTED_VALUE"""),"Python")</f>
        <v>Python</v>
      </c>
      <c r="H913" s="9" t="str">
        <f>IFERROR(__xludf.DUMMYFUNCTION("""COMPUTED_VALUE"""),"Assembly")</f>
        <v>Assembly</v>
      </c>
      <c r="I913" s="9" t="str">
        <f>IFERROR(__xludf.DUMMYFUNCTION("""COMPUTED_VALUE"""),"C")</f>
        <v>C</v>
      </c>
      <c r="J913" s="9" t="str">
        <f>IFERROR(__xludf.DUMMYFUNCTION("""COMPUTED_VALUE"""),"C#")</f>
        <v>C#</v>
      </c>
      <c r="K913" s="9" t="str">
        <f>IFERROR(__xludf.DUMMYFUNCTION("""COMPUTED_VALUE"""),"Bash/Shell/PowerShell")</f>
        <v>Bash/Shell/PowerShell</v>
      </c>
      <c r="L913" s="9" t="str">
        <f>IFERROR(__xludf.DUMMYFUNCTION("""COMPUTED_VALUE"""),"HTML/CSS")</f>
        <v>HTML/CSS</v>
      </c>
      <c r="M913" s="9" t="s">
        <v>22</v>
      </c>
    </row>
    <row r="914" ht="15.75" customHeight="1">
      <c r="A914" s="7"/>
      <c r="B914" s="7" t="str">
        <f>IFERROR(__xludf.DUMMYFUNCTION("""COMPUTED_VALUE"""),"HTML/CSS;Java;Python;Rust;SQL")</f>
        <v>HTML/CSS;Java;Python;Rust;SQL</v>
      </c>
      <c r="C914" s="9" t="str">
        <f>IFERROR(__xludf.DUMMYFUNCTION("""COMPUTED_VALUE"""),"SQL")</f>
        <v>SQL</v>
      </c>
      <c r="D914" s="9" t="str">
        <f>IFERROR(__xludf.DUMMYFUNCTION("""COMPUTED_VALUE"""),"R")</f>
        <v>R</v>
      </c>
      <c r="E914" s="9" t="str">
        <f>IFERROR(__xludf.DUMMYFUNCTION("""COMPUTED_VALUE"""),"Java")</f>
        <v>Java</v>
      </c>
      <c r="F914" s="9" t="str">
        <f>IFERROR(__xludf.DUMMYFUNCTION("""COMPUTED_VALUE"""),"SQL")</f>
        <v>SQL</v>
      </c>
      <c r="G914" s="9" t="str">
        <f>IFERROR(__xludf.DUMMYFUNCTION("""COMPUTED_VALUE"""),"Ruby")</f>
        <v>Ruby</v>
      </c>
      <c r="H914" s="9" t="str">
        <f>IFERROR(__xludf.DUMMYFUNCTION("""COMPUTED_VALUE"""),"Bash/Shell/PowerShell")</f>
        <v>Bash/Shell/PowerShell</v>
      </c>
      <c r="I914" s="9" t="str">
        <f>IFERROR(__xludf.DUMMYFUNCTION("""COMPUTED_VALUE"""),"C++")</f>
        <v>C++</v>
      </c>
      <c r="J914" s="9" t="str">
        <f>IFERROR(__xludf.DUMMYFUNCTION("""COMPUTED_VALUE"""),"HTML/CSS")</f>
        <v>HTML/CSS</v>
      </c>
      <c r="K914" s="9" t="str">
        <f>IFERROR(__xludf.DUMMYFUNCTION("""COMPUTED_VALUE"""),"HTML/CSS")</f>
        <v>HTML/CSS</v>
      </c>
      <c r="L914" s="9" t="str">
        <f>IFERROR(__xludf.DUMMYFUNCTION("""COMPUTED_VALUE"""),"Java")</f>
        <v>Java</v>
      </c>
      <c r="M914" s="9" t="s">
        <v>27</v>
      </c>
    </row>
    <row r="915" ht="15.75" customHeight="1">
      <c r="A915" s="7"/>
      <c r="B915" s="7" t="str">
        <f>IFERROR(__xludf.DUMMYFUNCTION("""COMPUTED_VALUE"""),"C#;HTML/CSS;JavaScript;PHP;Python;SQL")</f>
        <v>C#;HTML/CSS;JavaScript;PHP;Python;SQL</v>
      </c>
      <c r="C915" s="9" t="str">
        <f>IFERROR(__xludf.DUMMYFUNCTION("""COMPUTED_VALUE"""),"JavaScript")</f>
        <v>JavaScript</v>
      </c>
      <c r="D915" s="9" t="str">
        <f>IFERROR(__xludf.DUMMYFUNCTION("""COMPUTED_VALUE"""),"SQL")</f>
        <v>SQL</v>
      </c>
      <c r="E915" s="9" t="str">
        <f>IFERROR(__xludf.DUMMYFUNCTION("""COMPUTED_VALUE"""),"JavaScript")</f>
        <v>JavaScript</v>
      </c>
      <c r="F915" s="9" t="str">
        <f>IFERROR(__xludf.DUMMYFUNCTION("""COMPUTED_VALUE"""),"C")</f>
        <v>C</v>
      </c>
      <c r="G915" s="9" t="str">
        <f>IFERROR(__xludf.DUMMYFUNCTION("""COMPUTED_VALUE"""),"C#")</f>
        <v>C#</v>
      </c>
      <c r="H915" s="9" t="str">
        <f>IFERROR(__xludf.DUMMYFUNCTION("""COMPUTED_VALUE"""),"C")</f>
        <v>C</v>
      </c>
      <c r="I915" s="9" t="str">
        <f>IFERROR(__xludf.DUMMYFUNCTION("""COMPUTED_VALUE"""),"Dart")</f>
        <v>Dart</v>
      </c>
      <c r="J915" s="9" t="str">
        <f>IFERROR(__xludf.DUMMYFUNCTION("""COMPUTED_VALUE"""),"Java")</f>
        <v>Java</v>
      </c>
      <c r="K915" s="9" t="str">
        <f>IFERROR(__xludf.DUMMYFUNCTION("""COMPUTED_VALUE"""),"JavaScript")</f>
        <v>JavaScript</v>
      </c>
      <c r="L915" s="9" t="str">
        <f>IFERROR(__xludf.DUMMYFUNCTION("""COMPUTED_VALUE"""),"C#")</f>
        <v>C#</v>
      </c>
      <c r="M915" s="9" t="s">
        <v>21</v>
      </c>
    </row>
    <row r="916" ht="15.75" customHeight="1">
      <c r="A916" s="7"/>
      <c r="B916" s="7" t="str">
        <f>IFERROR(__xludf.DUMMYFUNCTION("""COMPUTED_VALUE"""),"Assembly;Bash/Shell/PowerShell;C;C++;C#;Python;Ruby")</f>
        <v>Assembly;Bash/Shell/PowerShell;C;C++;C#;Python;Ruby</v>
      </c>
      <c r="C916" s="9" t="str">
        <f>IFERROR(__xludf.DUMMYFUNCTION("""COMPUTED_VALUE"""),"PHP")</f>
        <v>PHP</v>
      </c>
      <c r="D916" s="9" t="str">
        <f>IFERROR(__xludf.DUMMYFUNCTION("""COMPUTED_VALUE"""),"Bash/Shell/PowerShell")</f>
        <v>Bash/Shell/PowerShell</v>
      </c>
      <c r="E916" s="9" t="str">
        <f>IFERROR(__xludf.DUMMYFUNCTION("""COMPUTED_VALUE"""),"Python")</f>
        <v>Python</v>
      </c>
      <c r="F916" s="9" t="str">
        <f>IFERROR(__xludf.DUMMYFUNCTION("""COMPUTED_VALUE"""),"C++")</f>
        <v>C++</v>
      </c>
      <c r="G916" s="9" t="str">
        <f>IFERROR(__xludf.DUMMYFUNCTION("""COMPUTED_VALUE"""),"HTML/CSS")</f>
        <v>HTML/CSS</v>
      </c>
      <c r="H916" s="9" t="str">
        <f>IFERROR(__xludf.DUMMYFUNCTION("""COMPUTED_VALUE"""),"C++")</f>
        <v>C++</v>
      </c>
      <c r="I916" s="9" t="str">
        <f>IFERROR(__xludf.DUMMYFUNCTION("""COMPUTED_VALUE"""),"HTML/CSS")</f>
        <v>HTML/CSS</v>
      </c>
      <c r="J916" s="9" t="str">
        <f>IFERROR(__xludf.DUMMYFUNCTION("""COMPUTED_VALUE"""),"JavaScript")</f>
        <v>JavaScript</v>
      </c>
      <c r="K916" s="9" t="str">
        <f>IFERROR(__xludf.DUMMYFUNCTION("""COMPUTED_VALUE"""),"PHP")</f>
        <v>PHP</v>
      </c>
      <c r="L916" s="9" t="str">
        <f>IFERROR(__xludf.DUMMYFUNCTION("""COMPUTED_VALUE"""),"HTML/CSS")</f>
        <v>HTML/CSS</v>
      </c>
      <c r="M916" s="9" t="s">
        <v>37</v>
      </c>
    </row>
    <row r="917" ht="15.75" customHeight="1">
      <c r="A917" s="7"/>
      <c r="B917" s="7" t="str">
        <f>IFERROR(__xludf.DUMMYFUNCTION("""COMPUTED_VALUE"""),"C#;HTML/CSS;JavaScript;Objective-C;Python;Swift")</f>
        <v>C#;HTML/CSS;JavaScript;Objective-C;Python;Swift</v>
      </c>
      <c r="C917" s="9" t="str">
        <f>IFERROR(__xludf.DUMMYFUNCTION("""COMPUTED_VALUE"""),"Python")</f>
        <v>Python</v>
      </c>
      <c r="D917" s="9" t="str">
        <f>IFERROR(__xludf.DUMMYFUNCTION("""COMPUTED_VALUE"""),"C++")</f>
        <v>C++</v>
      </c>
      <c r="E917" s="9" t="str">
        <f>IFERROR(__xludf.DUMMYFUNCTION("""COMPUTED_VALUE"""),"Bash/Shell/PowerShell")</f>
        <v>Bash/Shell/PowerShell</v>
      </c>
      <c r="F917" s="9" t="str">
        <f>IFERROR(__xludf.DUMMYFUNCTION("""COMPUTED_VALUE"""),"HTML/CSS")</f>
        <v>HTML/CSS</v>
      </c>
      <c r="G917" s="9" t="str">
        <f>IFERROR(__xludf.DUMMYFUNCTION("""COMPUTED_VALUE"""),"Java")</f>
        <v>Java</v>
      </c>
      <c r="H917" s="9" t="str">
        <f>IFERROR(__xludf.DUMMYFUNCTION("""COMPUTED_VALUE"""),"Python")</f>
        <v>Python</v>
      </c>
      <c r="I917" s="9" t="str">
        <f>IFERROR(__xludf.DUMMYFUNCTION("""COMPUTED_VALUE"""),"JavaScript")</f>
        <v>JavaScript</v>
      </c>
      <c r="J917" s="9" t="str">
        <f>IFERROR(__xludf.DUMMYFUNCTION("""COMPUTED_VALUE"""),"PHP")</f>
        <v>PHP</v>
      </c>
      <c r="K917" s="9" t="str">
        <f>IFERROR(__xludf.DUMMYFUNCTION("""COMPUTED_VALUE"""),"Python")</f>
        <v>Python</v>
      </c>
      <c r="L917" s="9" t="str">
        <f>IFERROR(__xludf.DUMMYFUNCTION("""COMPUTED_VALUE"""),"Java")</f>
        <v>Java</v>
      </c>
      <c r="M917" s="9" t="s">
        <v>22</v>
      </c>
    </row>
    <row r="918" ht="15.75" customHeight="1">
      <c r="A918" s="7"/>
      <c r="B918" s="7" t="str">
        <f>IFERROR(__xludf.DUMMYFUNCTION("""COMPUTED_VALUE"""),"Bash/Shell/PowerShell;C++;HTML/CSS;Java;Ruby;SQL;TypeScript")</f>
        <v>Bash/Shell/PowerShell;C++;HTML/CSS;Java;Ruby;SQL;TypeScript</v>
      </c>
      <c r="C918" s="9" t="str">
        <f>IFERROR(__xludf.DUMMYFUNCTION("""COMPUTED_VALUE"""),"Ruby")</f>
        <v>Ruby</v>
      </c>
      <c r="D918" s="9" t="str">
        <f>IFERROR(__xludf.DUMMYFUNCTION("""COMPUTED_VALUE"""),"JavaScript")</f>
        <v>JavaScript</v>
      </c>
      <c r="E918" s="9" t="str">
        <f>IFERROR(__xludf.DUMMYFUNCTION("""COMPUTED_VALUE"""),"C#")</f>
        <v>C#</v>
      </c>
      <c r="F918" s="9" t="str">
        <f>IFERROR(__xludf.DUMMYFUNCTION("""COMPUTED_VALUE"""),"Objective-C")</f>
        <v>Objective-C</v>
      </c>
      <c r="G918" s="9" t="str">
        <f>IFERROR(__xludf.DUMMYFUNCTION("""COMPUTED_VALUE"""),"JavaScript")</f>
        <v>JavaScript</v>
      </c>
      <c r="H918" s="9" t="str">
        <f>IFERROR(__xludf.DUMMYFUNCTION("""COMPUTED_VALUE"""),"Bash/Shell/PowerShell")</f>
        <v>Bash/Shell/PowerShell</v>
      </c>
      <c r="I918" s="9" t="str">
        <f>IFERROR(__xludf.DUMMYFUNCTION("""COMPUTED_VALUE"""),"Python")</f>
        <v>Python</v>
      </c>
      <c r="J918" s="9" t="str">
        <f>IFERROR(__xludf.DUMMYFUNCTION("""COMPUTED_VALUE"""),"Python")</f>
        <v>Python</v>
      </c>
      <c r="K918" s="9" t="str">
        <f>IFERROR(__xludf.DUMMYFUNCTION("""COMPUTED_VALUE"""),"SQL")</f>
        <v>SQL</v>
      </c>
      <c r="L918" s="9" t="str">
        <f>IFERROR(__xludf.DUMMYFUNCTION("""COMPUTED_VALUE"""),"JavaScript")</f>
        <v>JavaScript</v>
      </c>
      <c r="M918" s="9" t="s">
        <v>31</v>
      </c>
    </row>
    <row r="919" ht="15.75" customHeight="1">
      <c r="A919" s="7"/>
      <c r="B919" s="7" t="str">
        <f>IFERROR(__xludf.DUMMYFUNCTION("""COMPUTED_VALUE"""),"Bash/Shell/PowerShell;C;C++;JavaScript")</f>
        <v>Bash/Shell/PowerShell;C;C++;JavaScript</v>
      </c>
      <c r="C919" s="9" t="str">
        <f>IFERROR(__xludf.DUMMYFUNCTION("""COMPUTED_VALUE"""),"SQL")</f>
        <v>SQL</v>
      </c>
      <c r="D919" s="9" t="str">
        <f>IFERROR(__xludf.DUMMYFUNCTION("""COMPUTED_VALUE"""),"Python")</f>
        <v>Python</v>
      </c>
      <c r="E919" s="9" t="str">
        <f>IFERROR(__xludf.DUMMYFUNCTION("""COMPUTED_VALUE"""),"Clojure")</f>
        <v>Clojure</v>
      </c>
      <c r="F919" s="9" t="str">
        <f>IFERROR(__xludf.DUMMYFUNCTION("""COMPUTED_VALUE"""),"Other(s):")</f>
        <v>Other(s):</v>
      </c>
      <c r="G919" s="9" t="str">
        <f>IFERROR(__xludf.DUMMYFUNCTION("""COMPUTED_VALUE"""),"SQL")</f>
        <v>SQL</v>
      </c>
      <c r="H919" s="9" t="str">
        <f>IFERROR(__xludf.DUMMYFUNCTION("""COMPUTED_VALUE"""),"Java")</f>
        <v>Java</v>
      </c>
      <c r="I919" s="9" t="str">
        <f>IFERROR(__xludf.DUMMYFUNCTION("""COMPUTED_VALUE"""),"Ruby")</f>
        <v>Ruby</v>
      </c>
      <c r="J919" s="9" t="str">
        <f>IFERROR(__xludf.DUMMYFUNCTION("""COMPUTED_VALUE"""),"R")</f>
        <v>R</v>
      </c>
      <c r="K919" s="9" t="str">
        <f>IFERROR(__xludf.DUMMYFUNCTION("""COMPUTED_VALUE"""),"Assembly")</f>
        <v>Assembly</v>
      </c>
      <c r="L919" s="9" t="str">
        <f>IFERROR(__xludf.DUMMYFUNCTION("""COMPUTED_VALUE"""),"SQL")</f>
        <v>SQL</v>
      </c>
      <c r="M919" s="9" t="s">
        <v>27</v>
      </c>
    </row>
    <row r="920" ht="15.75" customHeight="1">
      <c r="A920" s="7"/>
      <c r="B920" s="7" t="str">
        <f>IFERROR(__xludf.DUMMYFUNCTION("""COMPUTED_VALUE"""),"Bash/Shell/PowerShell;HTML/CSS;PHP")</f>
        <v>Bash/Shell/PowerShell;HTML/CSS;PHP</v>
      </c>
      <c r="C920" s="9" t="str">
        <f>IFERROR(__xludf.DUMMYFUNCTION("""COMPUTED_VALUE"""),"TypeScript")</f>
        <v>TypeScript</v>
      </c>
      <c r="D920" s="9" t="str">
        <f>IFERROR(__xludf.DUMMYFUNCTION("""COMPUTED_VALUE"""),"R")</f>
        <v>R</v>
      </c>
      <c r="E920" s="9" t="str">
        <f>IFERROR(__xludf.DUMMYFUNCTION("""COMPUTED_VALUE"""),"Java")</f>
        <v>Java</v>
      </c>
      <c r="F920" s="9" t="str">
        <f>IFERROR(__xludf.DUMMYFUNCTION("""COMPUTED_VALUE"""),"HTML/CSS")</f>
        <v>HTML/CSS</v>
      </c>
      <c r="G920" s="9" t="str">
        <f>IFERROR(__xludf.DUMMYFUNCTION("""COMPUTED_VALUE"""),"TypeScript")</f>
        <v>TypeScript</v>
      </c>
      <c r="H920" s="9" t="str">
        <f>IFERROR(__xludf.DUMMYFUNCTION("""COMPUTED_VALUE"""),"Python")</f>
        <v>Python</v>
      </c>
      <c r="I920" s="9" t="str">
        <f>IFERROR(__xludf.DUMMYFUNCTION("""COMPUTED_VALUE"""),"SQL")</f>
        <v>SQL</v>
      </c>
      <c r="J920" s="9" t="str">
        <f>IFERROR(__xludf.DUMMYFUNCTION("""COMPUTED_VALUE"""),"VBA")</f>
        <v>VBA</v>
      </c>
      <c r="K920" s="9" t="str">
        <f>IFERROR(__xludf.DUMMYFUNCTION("""COMPUTED_VALUE"""),"Bash/Shell/PowerShell")</f>
        <v>Bash/Shell/PowerShell</v>
      </c>
      <c r="L920" s="9" t="str">
        <f>IFERROR(__xludf.DUMMYFUNCTION("""COMPUTED_VALUE"""),"TypeScript")</f>
        <v>TypeScript</v>
      </c>
      <c r="M920" s="9" t="s">
        <v>33</v>
      </c>
    </row>
    <row r="921" ht="15.75" customHeight="1">
      <c r="A921" s="7"/>
      <c r="B921" s="7" t="str">
        <f>IFERROR(__xludf.DUMMYFUNCTION("""COMPUTED_VALUE"""),"Bash/Shell/PowerShell;C;C++;Python;R;SQL;Other(s):")</f>
        <v>Bash/Shell/PowerShell;C;C++;Python;R;SQL;Other(s):</v>
      </c>
      <c r="C921" s="9" t="str">
        <f>IFERROR(__xludf.DUMMYFUNCTION("""COMPUTED_VALUE"""),"HTML/CSS")</f>
        <v>HTML/CSS</v>
      </c>
      <c r="D921" s="9" t="str">
        <f>IFERROR(__xludf.DUMMYFUNCTION("""COMPUTED_VALUE"""),"SQL")</f>
        <v>SQL</v>
      </c>
      <c r="E921" s="9" t="str">
        <f>IFERROR(__xludf.DUMMYFUNCTION("""COMPUTED_VALUE"""),"JavaScript")</f>
        <v>JavaScript</v>
      </c>
      <c r="F921" s="9" t="str">
        <f>IFERROR(__xludf.DUMMYFUNCTION("""COMPUTED_VALUE"""),"JavaScript")</f>
        <v>JavaScript</v>
      </c>
      <c r="G921" s="9" t="str">
        <f>IFERROR(__xludf.DUMMYFUNCTION("""COMPUTED_VALUE"""),"Other(s):")</f>
        <v>Other(s):</v>
      </c>
      <c r="H921" s="9" t="str">
        <f>IFERROR(__xludf.DUMMYFUNCTION("""COMPUTED_VALUE"""),"Bash/Shell/PowerShell")</f>
        <v>Bash/Shell/PowerShell</v>
      </c>
      <c r="I921" s="9" t="str">
        <f>IFERROR(__xludf.DUMMYFUNCTION("""COMPUTED_VALUE"""),"C++")</f>
        <v>C++</v>
      </c>
      <c r="J921" s="9" t="str">
        <f>IFERROR(__xludf.DUMMYFUNCTION("""COMPUTED_VALUE"""),"Bash/Shell/PowerShell")</f>
        <v>Bash/Shell/PowerShell</v>
      </c>
      <c r="K921" s="9" t="str">
        <f>IFERROR(__xludf.DUMMYFUNCTION("""COMPUTED_VALUE"""),"Python")</f>
        <v>Python</v>
      </c>
      <c r="L921" s="9" t="str">
        <f>IFERROR(__xludf.DUMMYFUNCTION("""COMPUTED_VALUE"""),"HTML/CSS")</f>
        <v>HTML/CSS</v>
      </c>
      <c r="M921" s="9" t="s">
        <v>24</v>
      </c>
    </row>
    <row r="922" ht="15.75" customHeight="1">
      <c r="A922" s="7"/>
      <c r="B922" s="7" t="str">
        <f>IFERROR(__xludf.DUMMYFUNCTION("""COMPUTED_VALUE"""),"JavaScript;PHP;SQL")</f>
        <v>JavaScript;PHP;SQL</v>
      </c>
      <c r="C922" s="9" t="str">
        <f>IFERROR(__xludf.DUMMYFUNCTION("""COMPUTED_VALUE"""),"Java")</f>
        <v>Java</v>
      </c>
      <c r="D922" s="9" t="str">
        <f>IFERROR(__xludf.DUMMYFUNCTION("""COMPUTED_VALUE"""),"VBA")</f>
        <v>VBA</v>
      </c>
      <c r="E922" s="9" t="str">
        <f>IFERROR(__xludf.DUMMYFUNCTION("""COMPUTED_VALUE"""),"Python")</f>
        <v>Python</v>
      </c>
      <c r="F922" s="9" t="str">
        <f>IFERROR(__xludf.DUMMYFUNCTION("""COMPUTED_VALUE"""),"PHP")</f>
        <v>PHP</v>
      </c>
      <c r="G922" s="9" t="str">
        <f>IFERROR(__xludf.DUMMYFUNCTION("""COMPUTED_VALUE"""),"Bash/Shell/PowerShell")</f>
        <v>Bash/Shell/PowerShell</v>
      </c>
      <c r="H922" s="9" t="str">
        <f>IFERROR(__xludf.DUMMYFUNCTION("""COMPUTED_VALUE"""),"Java")</f>
        <v>Java</v>
      </c>
      <c r="I922" s="9" t="str">
        <f>IFERROR(__xludf.DUMMYFUNCTION("""COMPUTED_VALUE"""),"C#")</f>
        <v>C#</v>
      </c>
      <c r="J922" s="9" t="str">
        <f>IFERROR(__xludf.DUMMYFUNCTION("""COMPUTED_VALUE"""),"Go")</f>
        <v>Go</v>
      </c>
      <c r="K922" s="9" t="str">
        <f>IFERROR(__xludf.DUMMYFUNCTION("""COMPUTED_VALUE"""),"SQL")</f>
        <v>SQL</v>
      </c>
      <c r="L922" s="9" t="str">
        <f>IFERROR(__xludf.DUMMYFUNCTION("""COMPUTED_VALUE"""),"JavaScript")</f>
        <v>JavaScript</v>
      </c>
      <c r="M922" s="9" t="s">
        <v>20</v>
      </c>
    </row>
    <row r="923" ht="15.75" customHeight="1">
      <c r="A923" s="7"/>
      <c r="B923" s="7" t="str">
        <f>IFERROR(__xludf.DUMMYFUNCTION("""COMPUTED_VALUE"""),"Bash/Shell/PowerShell;C#;HTML/CSS;JavaScript;SQL;TypeScript")</f>
        <v>Bash/Shell/PowerShell;C#;HTML/CSS;JavaScript;SQL;TypeScript</v>
      </c>
      <c r="C923" s="9" t="str">
        <f>IFERROR(__xludf.DUMMYFUNCTION("""COMPUTED_VALUE"""),"JavaScript")</f>
        <v>JavaScript</v>
      </c>
      <c r="D923" s="9" t="str">
        <f>IFERROR(__xludf.DUMMYFUNCTION("""COMPUTED_VALUE"""),"Other(s):")</f>
        <v>Other(s):</v>
      </c>
      <c r="E923" s="9" t="str">
        <f>IFERROR(__xludf.DUMMYFUNCTION("""COMPUTED_VALUE"""),"TypeScript")</f>
        <v>TypeScript</v>
      </c>
      <c r="F923" s="9" t="str">
        <f>IFERROR(__xludf.DUMMYFUNCTION("""COMPUTED_VALUE"""),"SQL")</f>
        <v>SQL</v>
      </c>
      <c r="G923" s="9" t="str">
        <f>IFERROR(__xludf.DUMMYFUNCTION("""COMPUTED_VALUE"""),"C")</f>
        <v>C</v>
      </c>
      <c r="H923" s="9" t="str">
        <f>IFERROR(__xludf.DUMMYFUNCTION("""COMPUTED_VALUE"""),"JavaScript")</f>
        <v>JavaScript</v>
      </c>
      <c r="I923" s="9" t="str">
        <f>IFERROR(__xludf.DUMMYFUNCTION("""COMPUTED_VALUE"""),"HTML/CSS")</f>
        <v>HTML/CSS</v>
      </c>
      <c r="J923" s="9" t="str">
        <f>IFERROR(__xludf.DUMMYFUNCTION("""COMPUTED_VALUE"""),"HTML/CSS")</f>
        <v>HTML/CSS</v>
      </c>
      <c r="K923" s="9" t="str">
        <f>IFERROR(__xludf.DUMMYFUNCTION("""COMPUTED_VALUE"""),"HTML/CSS")</f>
        <v>HTML/CSS</v>
      </c>
      <c r="L923" s="9" t="str">
        <f>IFERROR(__xludf.DUMMYFUNCTION("""COMPUTED_VALUE"""),"Python")</f>
        <v>Python</v>
      </c>
      <c r="M923" s="9" t="s">
        <v>21</v>
      </c>
    </row>
    <row r="924" ht="15.75" customHeight="1">
      <c r="A924" s="7"/>
      <c r="B924" s="7" t="str">
        <f>IFERROR(__xludf.DUMMYFUNCTION("""COMPUTED_VALUE"""),"Python;Other(s):")</f>
        <v>Python;Other(s):</v>
      </c>
      <c r="C924" s="9" t="str">
        <f>IFERROR(__xludf.DUMMYFUNCTION("""COMPUTED_VALUE"""),"Objective-C")</f>
        <v>Objective-C</v>
      </c>
      <c r="D924" s="9" t="str">
        <f>IFERROR(__xludf.DUMMYFUNCTION("""COMPUTED_VALUE"""),"Go")</f>
        <v>Go</v>
      </c>
      <c r="E924" s="9" t="str">
        <f>IFERROR(__xludf.DUMMYFUNCTION("""COMPUTED_VALUE"""),"Other(s):")</f>
        <v>Other(s):</v>
      </c>
      <c r="F924" s="9" t="str">
        <f>IFERROR(__xludf.DUMMYFUNCTION("""COMPUTED_VALUE"""),"TypeScript")</f>
        <v>TypeScript</v>
      </c>
      <c r="G924" s="9" t="str">
        <f>IFERROR(__xludf.DUMMYFUNCTION("""COMPUTED_VALUE"""),"C++")</f>
        <v>C++</v>
      </c>
      <c r="H924" s="9" t="str">
        <f>IFERROR(__xludf.DUMMYFUNCTION("""COMPUTED_VALUE"""),"Kotlin")</f>
        <v>Kotlin</v>
      </c>
      <c r="I924" s="9" t="str">
        <f>IFERROR(__xludf.DUMMYFUNCTION("""COMPUTED_VALUE"""),"JavaScript")</f>
        <v>JavaScript</v>
      </c>
      <c r="J924" s="9" t="str">
        <f>IFERROR(__xludf.DUMMYFUNCTION("""COMPUTED_VALUE"""),"Java")</f>
        <v>Java</v>
      </c>
      <c r="K924" s="9" t="str">
        <f>IFERROR(__xludf.DUMMYFUNCTION("""COMPUTED_VALUE"""),"JavaScript")</f>
        <v>JavaScript</v>
      </c>
      <c r="L924" s="9" t="str">
        <f>IFERROR(__xludf.DUMMYFUNCTION("""COMPUTED_VALUE"""),"HTML/CSS")</f>
        <v>HTML/CSS</v>
      </c>
      <c r="M924" s="9" t="s">
        <v>41</v>
      </c>
    </row>
    <row r="925" ht="15.75" customHeight="1">
      <c r="A925" s="7"/>
      <c r="B925" s="7" t="str">
        <f>IFERROR(__xludf.DUMMYFUNCTION("""COMPUTED_VALUE"""),"Dart;Java;Swift")</f>
        <v>Dart;Java;Swift</v>
      </c>
      <c r="C925" s="9" t="str">
        <f>IFERROR(__xludf.DUMMYFUNCTION("""COMPUTED_VALUE"""),"SQL")</f>
        <v>SQL</v>
      </c>
      <c r="D925" s="9" t="str">
        <f>IFERROR(__xludf.DUMMYFUNCTION("""COMPUTED_VALUE"""),"Python")</f>
        <v>Python</v>
      </c>
      <c r="E925" s="9" t="str">
        <f>IFERROR(__xludf.DUMMYFUNCTION("""COMPUTED_VALUE"""),"HTML/CSS")</f>
        <v>HTML/CSS</v>
      </c>
      <c r="F925" s="9" t="str">
        <f>IFERROR(__xludf.DUMMYFUNCTION("""COMPUTED_VALUE"""),"Java")</f>
        <v>Java</v>
      </c>
      <c r="G925" s="9" t="str">
        <f>IFERROR(__xludf.DUMMYFUNCTION("""COMPUTED_VALUE"""),"HTML/CSS")</f>
        <v>HTML/CSS</v>
      </c>
      <c r="H925" s="9" t="str">
        <f>IFERROR(__xludf.DUMMYFUNCTION("""COMPUTED_VALUE"""),"Bash/Shell/PowerShell")</f>
        <v>Bash/Shell/PowerShell</v>
      </c>
      <c r="I925" s="9" t="str">
        <f>IFERROR(__xludf.DUMMYFUNCTION("""COMPUTED_VALUE"""),"HTML/CSS")</f>
        <v>HTML/CSS</v>
      </c>
      <c r="J925" s="9" t="str">
        <f>IFERROR(__xludf.DUMMYFUNCTION("""COMPUTED_VALUE"""),"Python")</f>
        <v>Python</v>
      </c>
      <c r="K925" s="9" t="str">
        <f>IFERROR(__xludf.DUMMYFUNCTION("""COMPUTED_VALUE"""),"PHP")</f>
        <v>PHP</v>
      </c>
      <c r="L925" s="9" t="str">
        <f>IFERROR(__xludf.DUMMYFUNCTION("""COMPUTED_VALUE"""),"JavaScript")</f>
        <v>JavaScript</v>
      </c>
      <c r="M925" s="9" t="s">
        <v>27</v>
      </c>
    </row>
    <row r="926" ht="15.75" customHeight="1">
      <c r="A926" s="7"/>
      <c r="B926" s="7" t="str">
        <f>IFERROR(__xludf.DUMMYFUNCTION("""COMPUTED_VALUE"""),"Bash/Shell/PowerShell;C++;C#;HTML/CSS;Java;JavaScript;PHP;Python;SQL;TypeScript")</f>
        <v>Bash/Shell/PowerShell;C++;C#;HTML/CSS;Java;JavaScript;PHP;Python;SQL;TypeScript</v>
      </c>
      <c r="C926" s="9" t="str">
        <f>IFERROR(__xludf.DUMMYFUNCTION("""COMPUTED_VALUE"""),"Swift")</f>
        <v>Swift</v>
      </c>
      <c r="D926" s="9" t="str">
        <f>IFERROR(__xludf.DUMMYFUNCTION("""COMPUTED_VALUE"""),"Ruby")</f>
        <v>Ruby</v>
      </c>
      <c r="E926" s="9" t="str">
        <f>IFERROR(__xludf.DUMMYFUNCTION("""COMPUTED_VALUE"""),"JavaScript")</f>
        <v>JavaScript</v>
      </c>
      <c r="F926" s="9" t="str">
        <f>IFERROR(__xludf.DUMMYFUNCTION("""COMPUTED_VALUE"""),"JavaScript")</f>
        <v>JavaScript</v>
      </c>
      <c r="G926" s="9" t="str">
        <f>IFERROR(__xludf.DUMMYFUNCTION("""COMPUTED_VALUE"""),"Java")</f>
        <v>Java</v>
      </c>
      <c r="H926" s="9" t="str">
        <f>IFERROR(__xludf.DUMMYFUNCTION("""COMPUTED_VALUE"""),"C++")</f>
        <v>C++</v>
      </c>
      <c r="I926" s="9" t="str">
        <f>IFERROR(__xludf.DUMMYFUNCTION("""COMPUTED_VALUE"""),"Java")</f>
        <v>Java</v>
      </c>
      <c r="J926" s="9" t="str">
        <f>IFERROR(__xludf.DUMMYFUNCTION("""COMPUTED_VALUE"""),"SQL")</f>
        <v>SQL</v>
      </c>
      <c r="K926" s="9" t="str">
        <f>IFERROR(__xludf.DUMMYFUNCTION("""COMPUTED_VALUE"""),"SQL")</f>
        <v>SQL</v>
      </c>
      <c r="L926" s="9" t="str">
        <f>IFERROR(__xludf.DUMMYFUNCTION("""COMPUTED_VALUE"""),"PHP")</f>
        <v>PHP</v>
      </c>
      <c r="M926" s="9" t="s">
        <v>40</v>
      </c>
    </row>
    <row r="927" ht="15.75" customHeight="1">
      <c r="A927" s="7"/>
      <c r="B927" s="7" t="str">
        <f>IFERROR(__xludf.DUMMYFUNCTION("""COMPUTED_VALUE"""),"C#;SQL;Other(s):")</f>
        <v>C#;SQL;Other(s):</v>
      </c>
      <c r="C927" s="9" t="str">
        <f>IFERROR(__xludf.DUMMYFUNCTION("""COMPUTED_VALUE"""),"HTML/CSS")</f>
        <v>HTML/CSS</v>
      </c>
      <c r="D927" s="9" t="str">
        <f>IFERROR(__xludf.DUMMYFUNCTION("""COMPUTED_VALUE"""),"SQL")</f>
        <v>SQL</v>
      </c>
      <c r="E927" s="9" t="str">
        <f>IFERROR(__xludf.DUMMYFUNCTION("""COMPUTED_VALUE"""),"PHP")</f>
        <v>PHP</v>
      </c>
      <c r="F927" s="9" t="str">
        <f>IFERROR(__xludf.DUMMYFUNCTION("""COMPUTED_VALUE"""),"SQL")</f>
        <v>SQL</v>
      </c>
      <c r="G927" s="9" t="str">
        <f>IFERROR(__xludf.DUMMYFUNCTION("""COMPUTED_VALUE"""),"JavaScript")</f>
        <v>JavaScript</v>
      </c>
      <c r="H927" s="9" t="str">
        <f>IFERROR(__xludf.DUMMYFUNCTION("""COMPUTED_VALUE"""),"C#")</f>
        <v>C#</v>
      </c>
      <c r="I927" s="9" t="str">
        <f>IFERROR(__xludf.DUMMYFUNCTION("""COMPUTED_VALUE"""),"Python")</f>
        <v>Python</v>
      </c>
      <c r="J927" s="9" t="str">
        <f>IFERROR(__xludf.DUMMYFUNCTION("""COMPUTED_VALUE"""),"TypeScript")</f>
        <v>TypeScript</v>
      </c>
      <c r="K927" s="9" t="str">
        <f>IFERROR(__xludf.DUMMYFUNCTION("""COMPUTED_VALUE"""),"Other(s):")</f>
        <v>Other(s):</v>
      </c>
      <c r="L927" s="9" t="str">
        <f>IFERROR(__xludf.DUMMYFUNCTION("""COMPUTED_VALUE"""),"SQL")</f>
        <v>SQL</v>
      </c>
      <c r="M927" s="9" t="s">
        <v>24</v>
      </c>
    </row>
    <row r="928" ht="15.75" customHeight="1">
      <c r="A928" s="7"/>
      <c r="B928" s="7" t="str">
        <f>IFERROR(__xludf.DUMMYFUNCTION("""COMPUTED_VALUE"""),"HTML/CSS;Java;PHP;SQL")</f>
        <v>HTML/CSS;Java;PHP;SQL</v>
      </c>
      <c r="C928" s="9" t="str">
        <f>IFERROR(__xludf.DUMMYFUNCTION("""COMPUTED_VALUE"""),"JavaScript")</f>
        <v>JavaScript</v>
      </c>
      <c r="D928" s="9" t="str">
        <f>IFERROR(__xludf.DUMMYFUNCTION("""COMPUTED_VALUE"""),"Bash/Shell/PowerShell")</f>
        <v>Bash/Shell/PowerShell</v>
      </c>
      <c r="E928" s="9" t="str">
        <f>IFERROR(__xludf.DUMMYFUNCTION("""COMPUTED_VALUE"""),"C")</f>
        <v>C</v>
      </c>
      <c r="F928" s="9" t="str">
        <f>IFERROR(__xludf.DUMMYFUNCTION("""COMPUTED_VALUE"""),"C")</f>
        <v>C</v>
      </c>
      <c r="G928" s="9" t="str">
        <f>IFERROR(__xludf.DUMMYFUNCTION("""COMPUTED_VALUE"""),"PHP")</f>
        <v>PHP</v>
      </c>
      <c r="H928" s="9" t="str">
        <f>IFERROR(__xludf.DUMMYFUNCTION("""COMPUTED_VALUE"""),"HTML/CSS")</f>
        <v>HTML/CSS</v>
      </c>
      <c r="I928" s="9" t="str">
        <f>IFERROR(__xludf.DUMMYFUNCTION("""COMPUTED_VALUE"""),"SQL")</f>
        <v>SQL</v>
      </c>
      <c r="J928" s="9" t="str">
        <f>IFERROR(__xludf.DUMMYFUNCTION("""COMPUTED_VALUE"""),"HTML/CSS")</f>
        <v>HTML/CSS</v>
      </c>
      <c r="K928" s="9" t="str">
        <f>IFERROR(__xludf.DUMMYFUNCTION("""COMPUTED_VALUE"""),"Assembly")</f>
        <v>Assembly</v>
      </c>
      <c r="L928" s="9" t="str">
        <f>IFERROR(__xludf.DUMMYFUNCTION("""COMPUTED_VALUE"""),"TypeScript")</f>
        <v>TypeScript</v>
      </c>
      <c r="M928" s="9" t="s">
        <v>21</v>
      </c>
    </row>
    <row r="929" ht="15.75" customHeight="1">
      <c r="A929" s="7"/>
      <c r="B929" s="7" t="str">
        <f>IFERROR(__xludf.DUMMYFUNCTION("""COMPUTED_VALUE"""),"C;C++;C#;Python")</f>
        <v>C;C++;C#;Python</v>
      </c>
      <c r="C929" s="9" t="str">
        <f>IFERROR(__xludf.DUMMYFUNCTION("""COMPUTED_VALUE"""),"Bash/Shell/PowerShell")</f>
        <v>Bash/Shell/PowerShell</v>
      </c>
      <c r="D929" s="9" t="str">
        <f>IFERROR(__xludf.DUMMYFUNCTION("""COMPUTED_VALUE"""),"C")</f>
        <v>C</v>
      </c>
      <c r="E929" s="9" t="str">
        <f>IFERROR(__xludf.DUMMYFUNCTION("""COMPUTED_VALUE"""),"Objective-C")</f>
        <v>Objective-C</v>
      </c>
      <c r="F929" s="9" t="str">
        <f>IFERROR(__xludf.DUMMYFUNCTION("""COMPUTED_VALUE"""),"Java")</f>
        <v>Java</v>
      </c>
      <c r="G929" s="9" t="str">
        <f>IFERROR(__xludf.DUMMYFUNCTION("""COMPUTED_VALUE"""),"Python")</f>
        <v>Python</v>
      </c>
      <c r="H929" s="9" t="str">
        <f>IFERROR(__xludf.DUMMYFUNCTION("""COMPUTED_VALUE"""),"Java")</f>
        <v>Java</v>
      </c>
      <c r="I929" s="9" t="str">
        <f>IFERROR(__xludf.DUMMYFUNCTION("""COMPUTED_VALUE"""),"HTML/CSS")</f>
        <v>HTML/CSS</v>
      </c>
      <c r="J929" s="9" t="str">
        <f>IFERROR(__xludf.DUMMYFUNCTION("""COMPUTED_VALUE"""),"Java")</f>
        <v>Java</v>
      </c>
      <c r="K929" s="9" t="str">
        <f>IFERROR(__xludf.DUMMYFUNCTION("""COMPUTED_VALUE"""),"Bash/Shell/PowerShell")</f>
        <v>Bash/Shell/PowerShell</v>
      </c>
      <c r="L929" s="9" t="str">
        <f>IFERROR(__xludf.DUMMYFUNCTION("""COMPUTED_VALUE"""),"C#")</f>
        <v>C#</v>
      </c>
      <c r="M929" s="9" t="s">
        <v>30</v>
      </c>
    </row>
    <row r="930" ht="15.75" customHeight="1">
      <c r="A930" s="7"/>
      <c r="B930" s="7" t="str">
        <f>IFERROR(__xludf.DUMMYFUNCTION("""COMPUTED_VALUE"""),"Bash/Shell/PowerShell;Java;Kotlin;Python;SQL;Other(s):")</f>
        <v>Bash/Shell/PowerShell;Java;Kotlin;Python;SQL;Other(s):</v>
      </c>
      <c r="C930" s="9" t="str">
        <f>IFERROR(__xludf.DUMMYFUNCTION("""COMPUTED_VALUE"""),"C")</f>
        <v>C</v>
      </c>
      <c r="D930" s="9" t="str">
        <f>IFERROR(__xludf.DUMMYFUNCTION("""COMPUTED_VALUE"""),"C++")</f>
        <v>C++</v>
      </c>
      <c r="E930" s="9" t="str">
        <f>IFERROR(__xludf.DUMMYFUNCTION("""COMPUTED_VALUE"""),"Swift")</f>
        <v>Swift</v>
      </c>
      <c r="F930" s="9" t="str">
        <f>IFERROR(__xludf.DUMMYFUNCTION("""COMPUTED_VALUE"""),"Objective-C")</f>
        <v>Objective-C</v>
      </c>
      <c r="G930" s="9" t="str">
        <f>IFERROR(__xludf.DUMMYFUNCTION("""COMPUTED_VALUE"""),"SQL")</f>
        <v>SQL</v>
      </c>
      <c r="H930" s="9" t="str">
        <f>IFERROR(__xludf.DUMMYFUNCTION("""COMPUTED_VALUE"""),"JavaScript")</f>
        <v>JavaScript</v>
      </c>
      <c r="I930" s="9" t="str">
        <f>IFERROR(__xludf.DUMMYFUNCTION("""COMPUTED_VALUE"""),"JavaScript")</f>
        <v>JavaScript</v>
      </c>
      <c r="J930" s="9" t="str">
        <f>IFERROR(__xludf.DUMMYFUNCTION("""COMPUTED_VALUE"""),"JavaScript")</f>
        <v>JavaScript</v>
      </c>
      <c r="K930" s="9" t="str">
        <f>IFERROR(__xludf.DUMMYFUNCTION("""COMPUTED_VALUE"""),"C")</f>
        <v>C</v>
      </c>
      <c r="L930" s="9" t="str">
        <f>IFERROR(__xludf.DUMMYFUNCTION("""COMPUTED_VALUE"""),"JavaScript")</f>
        <v>JavaScript</v>
      </c>
      <c r="M930" s="9" t="s">
        <v>25</v>
      </c>
    </row>
    <row r="931" ht="15.75" customHeight="1">
      <c r="A931" s="7"/>
      <c r="B931" s="7" t="str">
        <f>IFERROR(__xludf.DUMMYFUNCTION("""COMPUTED_VALUE"""),"Bash/Shell/PowerShell;HTML/CSS;JavaScript;PHP;Python;Ruby;SQL;Swift")</f>
        <v>Bash/Shell/PowerShell;HTML/CSS;JavaScript;PHP;Python;Ruby;SQL;Swift</v>
      </c>
      <c r="C931" s="9" t="str">
        <f>IFERROR(__xludf.DUMMYFUNCTION("""COMPUTED_VALUE"""),"C++")</f>
        <v>C++</v>
      </c>
      <c r="D931" s="9" t="str">
        <f>IFERROR(__xludf.DUMMYFUNCTION("""COMPUTED_VALUE"""),"C#")</f>
        <v>C#</v>
      </c>
      <c r="E931" s="9" t="str">
        <f>IFERROR(__xludf.DUMMYFUNCTION("""COMPUTED_VALUE"""),"C#")</f>
        <v>C#</v>
      </c>
      <c r="F931" s="9" t="str">
        <f>IFERROR(__xludf.DUMMYFUNCTION("""COMPUTED_VALUE"""),"Swift")</f>
        <v>Swift</v>
      </c>
      <c r="G931" s="9" t="str">
        <f>IFERROR(__xludf.DUMMYFUNCTION("""COMPUTED_VALUE"""),"VBA")</f>
        <v>VBA</v>
      </c>
      <c r="H931" s="9" t="str">
        <f>IFERROR(__xludf.DUMMYFUNCTION("""COMPUTED_VALUE"""),"Kotlin")</f>
        <v>Kotlin</v>
      </c>
      <c r="I931" s="9" t="str">
        <f>IFERROR(__xludf.DUMMYFUNCTION("""COMPUTED_VALUE"""),"C++")</f>
        <v>C++</v>
      </c>
      <c r="J931" s="9" t="str">
        <f>IFERROR(__xludf.DUMMYFUNCTION("""COMPUTED_VALUE"""),"Python")</f>
        <v>Python</v>
      </c>
      <c r="K931" s="9" t="str">
        <f>IFERROR(__xludf.DUMMYFUNCTION("""COMPUTED_VALUE"""),"C++")</f>
        <v>C++</v>
      </c>
      <c r="L931" s="9" t="str">
        <f>IFERROR(__xludf.DUMMYFUNCTION("""COMPUTED_VALUE"""),"SQL")</f>
        <v>SQL</v>
      </c>
      <c r="M931" s="9" t="s">
        <v>23</v>
      </c>
    </row>
    <row r="932" ht="15.75" customHeight="1">
      <c r="A932" s="7"/>
      <c r="B932" s="7" t="str">
        <f>IFERROR(__xludf.DUMMYFUNCTION("""COMPUTED_VALUE"""),"C;C++;HTML/CSS;Objective-C;Swift")</f>
        <v>C;C++;HTML/CSS;Objective-C;Swift</v>
      </c>
      <c r="C932" s="9" t="str">
        <f>IFERROR(__xludf.DUMMYFUNCTION("""COMPUTED_VALUE"""),"Go")</f>
        <v>Go</v>
      </c>
      <c r="D932" s="9" t="str">
        <f>IFERROR(__xludf.DUMMYFUNCTION("""COMPUTED_VALUE"""),"HTML/CSS")</f>
        <v>HTML/CSS</v>
      </c>
      <c r="E932" s="9" t="str">
        <f>IFERROR(__xludf.DUMMYFUNCTION("""COMPUTED_VALUE"""),"Go")</f>
        <v>Go</v>
      </c>
      <c r="F932" s="9" t="str">
        <f>IFERROR(__xludf.DUMMYFUNCTION("""COMPUTED_VALUE"""),"HTML/CSS")</f>
        <v>HTML/CSS</v>
      </c>
      <c r="G932" s="9" t="str">
        <f>IFERROR(__xludf.DUMMYFUNCTION("""COMPUTED_VALUE"""),"HTML/CSS")</f>
        <v>HTML/CSS</v>
      </c>
      <c r="H932" s="9" t="str">
        <f>IFERROR(__xludf.DUMMYFUNCTION("""COMPUTED_VALUE"""),"PHP")</f>
        <v>PHP</v>
      </c>
      <c r="I932" s="9" t="str">
        <f>IFERROR(__xludf.DUMMYFUNCTION("""COMPUTED_VALUE"""),"HTML/CSS")</f>
        <v>HTML/CSS</v>
      </c>
      <c r="J932" s="9" t="str">
        <f>IFERROR(__xludf.DUMMYFUNCTION("""COMPUTED_VALUE"""),"SQL")</f>
        <v>SQL</v>
      </c>
      <c r="K932" s="9" t="str">
        <f>IFERROR(__xludf.DUMMYFUNCTION("""COMPUTED_VALUE"""),"HTML/CSS")</f>
        <v>HTML/CSS</v>
      </c>
      <c r="L932" s="9" t="str">
        <f>IFERROR(__xludf.DUMMYFUNCTION("""COMPUTED_VALUE"""),"Bash/Shell/PowerShell")</f>
        <v>Bash/Shell/PowerShell</v>
      </c>
      <c r="M932" s="9" t="s">
        <v>36</v>
      </c>
    </row>
    <row r="933" ht="15.75" customHeight="1">
      <c r="A933" s="7"/>
      <c r="B933" s="7" t="str">
        <f>IFERROR(__xludf.DUMMYFUNCTION("""COMPUTED_VALUE"""),"Bash/Shell/PowerShell;HTML/CSS;JavaScript;Python;R;SQL")</f>
        <v>Bash/Shell/PowerShell;HTML/CSS;JavaScript;Python;R;SQL</v>
      </c>
      <c r="C933" s="9" t="str">
        <f>IFERROR(__xludf.DUMMYFUNCTION("""COMPUTED_VALUE"""),"HTML/CSS")</f>
        <v>HTML/CSS</v>
      </c>
      <c r="D933" s="9" t="str">
        <f>IFERROR(__xludf.DUMMYFUNCTION("""COMPUTED_VALUE"""),"Java")</f>
        <v>Java</v>
      </c>
      <c r="E933" s="9" t="str">
        <f>IFERROR(__xludf.DUMMYFUNCTION("""COMPUTED_VALUE"""),"HTML/CSS")</f>
        <v>HTML/CSS</v>
      </c>
      <c r="F933" s="9" t="str">
        <f>IFERROR(__xludf.DUMMYFUNCTION("""COMPUTED_VALUE"""),"JavaScript")</f>
        <v>JavaScript</v>
      </c>
      <c r="G933" s="9" t="str">
        <f>IFERROR(__xludf.DUMMYFUNCTION("""COMPUTED_VALUE"""),"JavaScript")</f>
        <v>JavaScript</v>
      </c>
      <c r="H933" s="9" t="str">
        <f>IFERROR(__xludf.DUMMYFUNCTION("""COMPUTED_VALUE"""),"Python")</f>
        <v>Python</v>
      </c>
      <c r="I933" s="9" t="str">
        <f>IFERROR(__xludf.DUMMYFUNCTION("""COMPUTED_VALUE"""),"JavaScript")</f>
        <v>JavaScript</v>
      </c>
      <c r="J933" s="9" t="str">
        <f>IFERROR(__xludf.DUMMYFUNCTION("""COMPUTED_VALUE"""),"TypeScript")</f>
        <v>TypeScript</v>
      </c>
      <c r="K933" s="9" t="str">
        <f>IFERROR(__xludf.DUMMYFUNCTION("""COMPUTED_VALUE"""),"Python")</f>
        <v>Python</v>
      </c>
      <c r="L933" s="9" t="str">
        <f>IFERROR(__xludf.DUMMYFUNCTION("""COMPUTED_VALUE"""),"HTML/CSS")</f>
        <v>HTML/CSS</v>
      </c>
      <c r="M933" s="9" t="s">
        <v>24</v>
      </c>
    </row>
    <row r="934" ht="15.75" customHeight="1">
      <c r="A934" s="7"/>
      <c r="B934" s="7" t="str">
        <f>IFERROR(__xludf.DUMMYFUNCTION("""COMPUTED_VALUE"""),"HTML/CSS;JavaScript;TypeScript")</f>
        <v>HTML/CSS;JavaScript;TypeScript</v>
      </c>
      <c r="C934" s="9" t="str">
        <f>IFERROR(__xludf.DUMMYFUNCTION("""COMPUTED_VALUE"""),"Java")</f>
        <v>Java</v>
      </c>
      <c r="D934" s="9" t="str">
        <f>IFERROR(__xludf.DUMMYFUNCTION("""COMPUTED_VALUE"""),"JavaScript")</f>
        <v>JavaScript</v>
      </c>
      <c r="E934" s="9" t="str">
        <f>IFERROR(__xludf.DUMMYFUNCTION("""COMPUTED_VALUE"""),"Java")</f>
        <v>Java</v>
      </c>
      <c r="F934" s="9" t="str">
        <f>IFERROR(__xludf.DUMMYFUNCTION("""COMPUTED_VALUE"""),"Python")</f>
        <v>Python</v>
      </c>
      <c r="G934" s="9" t="str">
        <f>IFERROR(__xludf.DUMMYFUNCTION("""COMPUTED_VALUE"""),"TypeScript")</f>
        <v>TypeScript</v>
      </c>
      <c r="H934" s="9" t="str">
        <f>IFERROR(__xludf.DUMMYFUNCTION("""COMPUTED_VALUE"""),"SQL")</f>
        <v>SQL</v>
      </c>
      <c r="I934" s="9" t="str">
        <f>IFERROR(__xludf.DUMMYFUNCTION("""COMPUTED_VALUE"""),"Python")</f>
        <v>Python</v>
      </c>
      <c r="J934" s="9" t="str">
        <f>IFERROR(__xludf.DUMMYFUNCTION("""COMPUTED_VALUE"""),"Bash/Shell/PowerShell")</f>
        <v>Bash/Shell/PowerShell</v>
      </c>
      <c r="K934" s="9" t="str">
        <f>IFERROR(__xludf.DUMMYFUNCTION("""COMPUTED_VALUE"""),"Bash/Shell/PowerShell")</f>
        <v>Bash/Shell/PowerShell</v>
      </c>
      <c r="L934" s="9" t="str">
        <f>IFERROR(__xludf.DUMMYFUNCTION("""COMPUTED_VALUE"""),"Java")</f>
        <v>Java</v>
      </c>
      <c r="M934" s="9" t="s">
        <v>20</v>
      </c>
    </row>
    <row r="935" ht="15.75" customHeight="1">
      <c r="A935" s="7"/>
      <c r="B935" s="7" t="str">
        <f>IFERROR(__xludf.DUMMYFUNCTION("""COMPUTED_VALUE"""),"Bash/Shell/PowerShell;C#;HTML/CSS;Java;JavaScript;PHP;Python;Rust;SQL")</f>
        <v>Bash/Shell/PowerShell;C#;HTML/CSS;Java;JavaScript;PHP;Python;Rust;SQL</v>
      </c>
      <c r="C935" s="9" t="str">
        <f>IFERROR(__xludf.DUMMYFUNCTION("""COMPUTED_VALUE"""),"JavaScript")</f>
        <v>JavaScript</v>
      </c>
      <c r="D935" s="9" t="str">
        <f>IFERROR(__xludf.DUMMYFUNCTION("""COMPUTED_VALUE"""),"Kotlin")</f>
        <v>Kotlin</v>
      </c>
      <c r="E935" s="9" t="str">
        <f>IFERROR(__xludf.DUMMYFUNCTION("""COMPUTED_VALUE"""),"JavaScript")</f>
        <v>JavaScript</v>
      </c>
      <c r="F935" s="9" t="str">
        <f>IFERROR(__xludf.DUMMYFUNCTION("""COMPUTED_VALUE"""),"R")</f>
        <v>R</v>
      </c>
      <c r="G935" s="9" t="str">
        <f>IFERROR(__xludf.DUMMYFUNCTION("""COMPUTED_VALUE"""),"C++")</f>
        <v>C++</v>
      </c>
      <c r="H935" s="9" t="str">
        <f>IFERROR(__xludf.DUMMYFUNCTION("""COMPUTED_VALUE"""),"Erlang")</f>
        <v>Erlang</v>
      </c>
      <c r="I935" s="9" t="str">
        <f>IFERROR(__xludf.DUMMYFUNCTION("""COMPUTED_VALUE"""),"C#")</f>
        <v>C#</v>
      </c>
      <c r="J935" s="9" t="str">
        <f>IFERROR(__xludf.DUMMYFUNCTION("""COMPUTED_VALUE"""),"HTML/CSS")</f>
        <v>HTML/CSS</v>
      </c>
      <c r="K935" s="9" t="str">
        <f>IFERROR(__xludf.DUMMYFUNCTION("""COMPUTED_VALUE"""),"HTML/CSS")</f>
        <v>HTML/CSS</v>
      </c>
      <c r="L935" s="9" t="str">
        <f>IFERROR(__xludf.DUMMYFUNCTION("""COMPUTED_VALUE"""),"JavaScript")</f>
        <v>JavaScript</v>
      </c>
      <c r="M935" s="9" t="s">
        <v>21</v>
      </c>
    </row>
    <row r="936" ht="15.75" customHeight="1">
      <c r="A936" s="7"/>
      <c r="B936" s="7" t="str">
        <f>IFERROR(__xludf.DUMMYFUNCTION("""COMPUTED_VALUE"""),"C#;HTML/CSS;JavaScript;PHP;SQL;TypeScript")</f>
        <v>C#;HTML/CSS;JavaScript;PHP;SQL;TypeScript</v>
      </c>
      <c r="C936" s="9" t="str">
        <f>IFERROR(__xludf.DUMMYFUNCTION("""COMPUTED_VALUE"""),"PHP")</f>
        <v>PHP</v>
      </c>
      <c r="D936" s="9" t="str">
        <f>IFERROR(__xludf.DUMMYFUNCTION("""COMPUTED_VALUE"""),"Objective-C")</f>
        <v>Objective-C</v>
      </c>
      <c r="E936" s="9" t="str">
        <f>IFERROR(__xludf.DUMMYFUNCTION("""COMPUTED_VALUE"""),"Kotlin")</f>
        <v>Kotlin</v>
      </c>
      <c r="F936" s="9" t="str">
        <f>IFERROR(__xludf.DUMMYFUNCTION("""COMPUTED_VALUE"""),"HTML/CSS")</f>
        <v>HTML/CSS</v>
      </c>
      <c r="G936" s="9" t="str">
        <f>IFERROR(__xludf.DUMMYFUNCTION("""COMPUTED_VALUE"""),"Java")</f>
        <v>Java</v>
      </c>
      <c r="H936" s="9" t="str">
        <f>IFERROR(__xludf.DUMMYFUNCTION("""COMPUTED_VALUE"""),"Java")</f>
        <v>Java</v>
      </c>
      <c r="I936" s="9" t="str">
        <f>IFERROR(__xludf.DUMMYFUNCTION("""COMPUTED_VALUE"""),"HTML/CSS")</f>
        <v>HTML/CSS</v>
      </c>
      <c r="J936" s="9" t="str">
        <f>IFERROR(__xludf.DUMMYFUNCTION("""COMPUTED_VALUE"""),"Java")</f>
        <v>Java</v>
      </c>
      <c r="K936" s="9" t="str">
        <f>IFERROR(__xludf.DUMMYFUNCTION("""COMPUTED_VALUE"""),"Python")</f>
        <v>Python</v>
      </c>
      <c r="L936" s="9" t="str">
        <f>IFERROR(__xludf.DUMMYFUNCTION("""COMPUTED_VALUE"""),"PHP")</f>
        <v>PHP</v>
      </c>
      <c r="M936" s="9" t="s">
        <v>37</v>
      </c>
    </row>
    <row r="937" ht="15.75" customHeight="1">
      <c r="A937" s="7"/>
      <c r="B937" s="7" t="str">
        <f>IFERROR(__xludf.DUMMYFUNCTION("""COMPUTED_VALUE"""),"C++;HTML/CSS;Python;R;SQL")</f>
        <v>C++;HTML/CSS;Python;R;SQL</v>
      </c>
      <c r="C937" s="9" t="str">
        <f>IFERROR(__xludf.DUMMYFUNCTION("""COMPUTED_VALUE"""),"Python")</f>
        <v>Python</v>
      </c>
      <c r="D937" s="9" t="str">
        <f>IFERROR(__xludf.DUMMYFUNCTION("""COMPUTED_VALUE"""),"Ruby")</f>
        <v>Ruby</v>
      </c>
      <c r="E937" s="9" t="str">
        <f>IFERROR(__xludf.DUMMYFUNCTION("""COMPUTED_VALUE"""),"Objective-C")</f>
        <v>Objective-C</v>
      </c>
      <c r="F937" s="9" t="str">
        <f>IFERROR(__xludf.DUMMYFUNCTION("""COMPUTED_VALUE"""),"JavaScript")</f>
        <v>JavaScript</v>
      </c>
      <c r="G937" s="9" t="str">
        <f>IFERROR(__xludf.DUMMYFUNCTION("""COMPUTED_VALUE"""),"Python")</f>
        <v>Python</v>
      </c>
      <c r="H937" s="9" t="str">
        <f>IFERROR(__xludf.DUMMYFUNCTION("""COMPUTED_VALUE"""),"SQL")</f>
        <v>SQL</v>
      </c>
      <c r="I937" s="9" t="str">
        <f>IFERROR(__xludf.DUMMYFUNCTION("""COMPUTED_VALUE"""),"JavaScript")</f>
        <v>JavaScript</v>
      </c>
      <c r="J937" s="9" t="str">
        <f>IFERROR(__xludf.DUMMYFUNCTION("""COMPUTED_VALUE"""),"JavaScript")</f>
        <v>JavaScript</v>
      </c>
      <c r="K937" s="9" t="str">
        <f>IFERROR(__xludf.DUMMYFUNCTION("""COMPUTED_VALUE"""),"Scala")</f>
        <v>Scala</v>
      </c>
      <c r="L937" s="9" t="str">
        <f>IFERROR(__xludf.DUMMYFUNCTION("""COMPUTED_VALUE"""),"SQL")</f>
        <v>SQL</v>
      </c>
      <c r="M937" s="9" t="s">
        <v>22</v>
      </c>
    </row>
    <row r="938" ht="15.75" customHeight="1">
      <c r="A938" s="7"/>
      <c r="B938" s="7" t="str">
        <f>IFERROR(__xludf.DUMMYFUNCTION("""COMPUTED_VALUE"""),"C#;HTML/CSS;JavaScript;SQL")</f>
        <v>C#;HTML/CSS;JavaScript;SQL</v>
      </c>
      <c r="C938" s="9" t="str">
        <f>IFERROR(__xludf.DUMMYFUNCTION("""COMPUTED_VALUE"""),"Rust")</f>
        <v>Rust</v>
      </c>
      <c r="D938" s="9" t="str">
        <f>IFERROR(__xludf.DUMMYFUNCTION("""COMPUTED_VALUE"""),"Swift")</f>
        <v>Swift</v>
      </c>
      <c r="E938" s="9" t="str">
        <f>IFERROR(__xludf.DUMMYFUNCTION("""COMPUTED_VALUE"""),"PHP")</f>
        <v>PHP</v>
      </c>
      <c r="F938" s="9" t="str">
        <f>IFERROR(__xludf.DUMMYFUNCTION("""COMPUTED_VALUE"""),"Java")</f>
        <v>Java</v>
      </c>
      <c r="G938" s="9" t="str">
        <f>IFERROR(__xludf.DUMMYFUNCTION("""COMPUTED_VALUE"""),"SQL")</f>
        <v>SQL</v>
      </c>
      <c r="H938" s="9" t="str">
        <f>IFERROR(__xludf.DUMMYFUNCTION("""COMPUTED_VALUE"""),"Java")</f>
        <v>Java</v>
      </c>
      <c r="I938" s="9" t="str">
        <f>IFERROR(__xludf.DUMMYFUNCTION("""COMPUTED_VALUE"""),"PHP")</f>
        <v>PHP</v>
      </c>
      <c r="J938" s="9" t="str">
        <f>IFERROR(__xludf.DUMMYFUNCTION("""COMPUTED_VALUE"""),"SQL")</f>
        <v>SQL</v>
      </c>
      <c r="K938" s="9" t="str">
        <f>IFERROR(__xludf.DUMMYFUNCTION("""COMPUTED_VALUE"""),"SQL")</f>
        <v>SQL</v>
      </c>
      <c r="L938" s="9" t="str">
        <f>IFERROR(__xludf.DUMMYFUNCTION("""COMPUTED_VALUE"""),"TypeScript")</f>
        <v>TypeScript</v>
      </c>
      <c r="M938" s="9" t="s">
        <v>32</v>
      </c>
    </row>
    <row r="939" ht="15.75" customHeight="1">
      <c r="A939" s="7"/>
      <c r="B939" s="7" t="str">
        <f>IFERROR(__xludf.DUMMYFUNCTION("""COMPUTED_VALUE"""),"Bash/Shell/PowerShell;HTML/CSS;JavaScript;SQL")</f>
        <v>Bash/Shell/PowerShell;HTML/CSS;JavaScript;SQL</v>
      </c>
      <c r="C939" s="9" t="str">
        <f>IFERROR(__xludf.DUMMYFUNCTION("""COMPUTED_VALUE"""),"SQL")</f>
        <v>SQL</v>
      </c>
      <c r="D939" s="9" t="str">
        <f>IFERROR(__xludf.DUMMYFUNCTION("""COMPUTED_VALUE"""),"Assembly")</f>
        <v>Assembly</v>
      </c>
      <c r="E939" s="9" t="str">
        <f>IFERROR(__xludf.DUMMYFUNCTION("""COMPUTED_VALUE"""),"Python")</f>
        <v>Python</v>
      </c>
      <c r="F939" s="9" t="str">
        <f>IFERROR(__xludf.DUMMYFUNCTION("""COMPUTED_VALUE"""),"Python")</f>
        <v>Python</v>
      </c>
      <c r="G939" s="9" t="str">
        <f>IFERROR(__xludf.DUMMYFUNCTION("""COMPUTED_VALUE"""),"Dart")</f>
        <v>Dart</v>
      </c>
      <c r="H939" s="9" t="str">
        <f>IFERROR(__xludf.DUMMYFUNCTION("""COMPUTED_VALUE"""),"JavaScript")</f>
        <v>JavaScript</v>
      </c>
      <c r="I939" s="9" t="str">
        <f>IFERROR(__xludf.DUMMYFUNCTION("""COMPUTED_VALUE"""),"SQL")</f>
        <v>SQL</v>
      </c>
      <c r="J939" s="9" t="str">
        <f>IFERROR(__xludf.DUMMYFUNCTION("""COMPUTED_VALUE"""),"Clojure")</f>
        <v>Clojure</v>
      </c>
      <c r="K939" s="9" t="str">
        <f>IFERROR(__xludf.DUMMYFUNCTION("""COMPUTED_VALUE"""),"Java")</f>
        <v>Java</v>
      </c>
      <c r="L939" s="9" t="str">
        <f>IFERROR(__xludf.DUMMYFUNCTION("""COMPUTED_VALUE"""),"Clojure")</f>
        <v>Clojure</v>
      </c>
      <c r="M939" s="9" t="s">
        <v>27</v>
      </c>
    </row>
    <row r="940" ht="15.75" customHeight="1">
      <c r="A940" s="7"/>
      <c r="B940" s="7" t="str">
        <f>IFERROR(__xludf.DUMMYFUNCTION("""COMPUTED_VALUE"""),"C#;HTML/CSS;JavaScript;SQL;TypeScript")</f>
        <v>C#;HTML/CSS;JavaScript;SQL;TypeScript</v>
      </c>
      <c r="C940" s="9" t="str">
        <f>IFERROR(__xludf.DUMMYFUNCTION("""COMPUTED_VALUE"""),"TypeScript")</f>
        <v>TypeScript</v>
      </c>
      <c r="D940" s="9" t="str">
        <f>IFERROR(__xludf.DUMMYFUNCTION("""COMPUTED_VALUE"""),"C")</f>
        <v>C</v>
      </c>
      <c r="E940" s="9" t="str">
        <f>IFERROR(__xludf.DUMMYFUNCTION("""COMPUTED_VALUE"""),"SQL")</f>
        <v>SQL</v>
      </c>
      <c r="F940" s="9" t="str">
        <f>IFERROR(__xludf.DUMMYFUNCTION("""COMPUTED_VALUE"""),"Bash/Shell/PowerShell")</f>
        <v>Bash/Shell/PowerShell</v>
      </c>
      <c r="G940" s="9" t="str">
        <f>IFERROR(__xludf.DUMMYFUNCTION("""COMPUTED_VALUE"""),"HTML/CSS")</f>
        <v>HTML/CSS</v>
      </c>
      <c r="H940" s="9" t="str">
        <f>IFERROR(__xludf.DUMMYFUNCTION("""COMPUTED_VALUE"""),"Python")</f>
        <v>Python</v>
      </c>
      <c r="I940" s="9" t="str">
        <f>IFERROR(__xludf.DUMMYFUNCTION("""COMPUTED_VALUE"""),"Bash/Shell/PowerShell")</f>
        <v>Bash/Shell/PowerShell</v>
      </c>
      <c r="J940" s="9" t="str">
        <f>IFERROR(__xludf.DUMMYFUNCTION("""COMPUTED_VALUE"""),"TypeScript")</f>
        <v>TypeScript</v>
      </c>
      <c r="K940" s="9" t="str">
        <f>IFERROR(__xludf.DUMMYFUNCTION("""COMPUTED_VALUE"""),"JavaScript")</f>
        <v>JavaScript</v>
      </c>
      <c r="L940" s="9" t="str">
        <f>IFERROR(__xludf.DUMMYFUNCTION("""COMPUTED_VALUE"""),"HTML/CSS")</f>
        <v>HTML/CSS</v>
      </c>
      <c r="M940" s="9" t="s">
        <v>33</v>
      </c>
    </row>
    <row r="941" ht="15.75" customHeight="1">
      <c r="A941" s="7"/>
      <c r="B941" s="7" t="str">
        <f>IFERROR(__xludf.DUMMYFUNCTION("""COMPUTED_VALUE"""),"JavaScript;Ruby")</f>
        <v>JavaScript;Ruby</v>
      </c>
      <c r="C941" s="9" t="str">
        <f>IFERROR(__xludf.DUMMYFUNCTION("""COMPUTED_VALUE"""),"Dart")</f>
        <v>Dart</v>
      </c>
      <c r="D941" s="9" t="str">
        <f>IFERROR(__xludf.DUMMYFUNCTION("""COMPUTED_VALUE"""),"C++")</f>
        <v>C++</v>
      </c>
      <c r="E941" s="9" t="str">
        <f>IFERROR(__xludf.DUMMYFUNCTION("""COMPUTED_VALUE"""),"Swift")</f>
        <v>Swift</v>
      </c>
      <c r="F941" s="9" t="str">
        <f>IFERROR(__xludf.DUMMYFUNCTION("""COMPUTED_VALUE"""),"C++")</f>
        <v>C++</v>
      </c>
      <c r="G941" s="9" t="str">
        <f>IFERROR(__xludf.DUMMYFUNCTION("""COMPUTED_VALUE"""),"Python")</f>
        <v>Python</v>
      </c>
      <c r="H941" s="9" t="str">
        <f>IFERROR(__xludf.DUMMYFUNCTION("""COMPUTED_VALUE"""),"SQL")</f>
        <v>SQL</v>
      </c>
      <c r="I941" s="9" t="str">
        <f>IFERROR(__xludf.DUMMYFUNCTION("""COMPUTED_VALUE"""),"C#")</f>
        <v>C#</v>
      </c>
      <c r="J941" s="9" t="str">
        <f>IFERROR(__xludf.DUMMYFUNCTION("""COMPUTED_VALUE"""),"Other(s):")</f>
        <v>Other(s):</v>
      </c>
      <c r="K941" s="9" t="str">
        <f>IFERROR(__xludf.DUMMYFUNCTION("""COMPUTED_VALUE"""),"Java")</f>
        <v>Java</v>
      </c>
      <c r="L941" s="9" t="str">
        <f>IFERROR(__xludf.DUMMYFUNCTION("""COMPUTED_VALUE"""),"Java")</f>
        <v>Java</v>
      </c>
      <c r="M941" s="9" t="s">
        <v>47</v>
      </c>
    </row>
    <row r="942" ht="15.75" customHeight="1">
      <c r="A942" s="7"/>
      <c r="B942" s="7" t="str">
        <f>IFERROR(__xludf.DUMMYFUNCTION("""COMPUTED_VALUE"""),"C;Python")</f>
        <v>C;Python</v>
      </c>
      <c r="C942" s="9" t="str">
        <f>IFERROR(__xludf.DUMMYFUNCTION("""COMPUTED_VALUE"""),"Go")</f>
        <v>Go</v>
      </c>
      <c r="D942" s="9" t="str">
        <f>IFERROR(__xludf.DUMMYFUNCTION("""COMPUTED_VALUE"""),"C#")</f>
        <v>C#</v>
      </c>
      <c r="E942" s="9" t="str">
        <f>IFERROR(__xludf.DUMMYFUNCTION("""COMPUTED_VALUE"""),"Assembly")</f>
        <v>Assembly</v>
      </c>
      <c r="F942" s="9" t="str">
        <f>IFERROR(__xludf.DUMMYFUNCTION("""COMPUTED_VALUE"""),"HTML/CSS")</f>
        <v>HTML/CSS</v>
      </c>
      <c r="G942" s="9" t="str">
        <f>IFERROR(__xludf.DUMMYFUNCTION("""COMPUTED_VALUE"""),"Bash/Shell/PowerShell")</f>
        <v>Bash/Shell/PowerShell</v>
      </c>
      <c r="H942" s="9" t="str">
        <f>IFERROR(__xludf.DUMMYFUNCTION("""COMPUTED_VALUE"""),"C")</f>
        <v>C</v>
      </c>
      <c r="I942" s="9" t="str">
        <f>IFERROR(__xludf.DUMMYFUNCTION("""COMPUTED_VALUE"""),"HTML/CSS")</f>
        <v>HTML/CSS</v>
      </c>
      <c r="J942" s="9" t="str">
        <f>IFERROR(__xludf.DUMMYFUNCTION("""COMPUTED_VALUE"""),"HTML/CSS")</f>
        <v>HTML/CSS</v>
      </c>
      <c r="K942" s="9" t="str">
        <f>IFERROR(__xludf.DUMMYFUNCTION("""COMPUTED_VALUE"""),"Python")</f>
        <v>Python</v>
      </c>
      <c r="L942" s="9" t="str">
        <f>IFERROR(__xludf.DUMMYFUNCTION("""COMPUTED_VALUE"""),"JavaScript")</f>
        <v>JavaScript</v>
      </c>
      <c r="M942" s="9" t="s">
        <v>36</v>
      </c>
    </row>
    <row r="943" ht="15.75" customHeight="1">
      <c r="A943" s="7"/>
      <c r="B943" s="7" t="str">
        <f>IFERROR(__xludf.DUMMYFUNCTION("""COMPUTED_VALUE"""),"HTML/CSS;Java;JavaScript")</f>
        <v>HTML/CSS;Java;JavaScript</v>
      </c>
      <c r="C943" s="9" t="str">
        <f>IFERROR(__xludf.DUMMYFUNCTION("""COMPUTED_VALUE"""),"Java")</f>
        <v>Java</v>
      </c>
      <c r="D943" s="9" t="str">
        <f>IFERROR(__xludf.DUMMYFUNCTION("""COMPUTED_VALUE"""),"HTML/CSS")</f>
        <v>HTML/CSS</v>
      </c>
      <c r="E943" s="9" t="str">
        <f>IFERROR(__xludf.DUMMYFUNCTION("""COMPUTED_VALUE"""),"Bash/Shell/PowerShell")</f>
        <v>Bash/Shell/PowerShell</v>
      </c>
      <c r="F943" s="9" t="str">
        <f>IFERROR(__xludf.DUMMYFUNCTION("""COMPUTED_VALUE"""),"Java")</f>
        <v>Java</v>
      </c>
      <c r="G943" s="9" t="str">
        <f>IFERROR(__xludf.DUMMYFUNCTION("""COMPUTED_VALUE"""),"C#")</f>
        <v>C#</v>
      </c>
      <c r="H943" s="9" t="str">
        <f>IFERROR(__xludf.DUMMYFUNCTION("""COMPUTED_VALUE"""),"C++")</f>
        <v>C++</v>
      </c>
      <c r="I943" s="9" t="str">
        <f>IFERROR(__xludf.DUMMYFUNCTION("""COMPUTED_VALUE"""),"JavaScript")</f>
        <v>JavaScript</v>
      </c>
      <c r="J943" s="9" t="str">
        <f>IFERROR(__xludf.DUMMYFUNCTION("""COMPUTED_VALUE"""),"JavaScript")</f>
        <v>JavaScript</v>
      </c>
      <c r="K943" s="9" t="str">
        <f>IFERROR(__xludf.DUMMYFUNCTION("""COMPUTED_VALUE"""),"Bash/Shell/PowerShell")</f>
        <v>Bash/Shell/PowerShell</v>
      </c>
      <c r="L943" s="9" t="str">
        <f>IFERROR(__xludf.DUMMYFUNCTION("""COMPUTED_VALUE"""),"C#")</f>
        <v>C#</v>
      </c>
      <c r="M943" s="9" t="s">
        <v>20</v>
      </c>
    </row>
    <row r="944" ht="15.75" customHeight="1">
      <c r="A944" s="7"/>
      <c r="B944" s="7" t="str">
        <f>IFERROR(__xludf.DUMMYFUNCTION("""COMPUTED_VALUE"""),"HTML/CSS;JavaScript;PHP;SQL")</f>
        <v>HTML/CSS;JavaScript;PHP;SQL</v>
      </c>
      <c r="C944" s="9" t="str">
        <f>IFERROR(__xludf.DUMMYFUNCTION("""COMPUTED_VALUE"""),"Kotlin")</f>
        <v>Kotlin</v>
      </c>
      <c r="D944" s="9" t="str">
        <f>IFERROR(__xludf.DUMMYFUNCTION("""COMPUTED_VALUE"""),"Java")</f>
        <v>Java</v>
      </c>
      <c r="E944" s="9" t="str">
        <f>IFERROR(__xludf.DUMMYFUNCTION("""COMPUTED_VALUE"""),"C")</f>
        <v>C</v>
      </c>
      <c r="F944" s="9" t="str">
        <f>IFERROR(__xludf.DUMMYFUNCTION("""COMPUTED_VALUE"""),"JavaScript")</f>
        <v>JavaScript</v>
      </c>
      <c r="G944" s="9" t="str">
        <f>IFERROR(__xludf.DUMMYFUNCTION("""COMPUTED_VALUE"""),"HTML/CSS")</f>
        <v>HTML/CSS</v>
      </c>
      <c r="H944" s="9" t="str">
        <f>IFERROR(__xludf.DUMMYFUNCTION("""COMPUTED_VALUE"""),"Elixir")</f>
        <v>Elixir</v>
      </c>
      <c r="I944" s="9" t="str">
        <f>IFERROR(__xludf.DUMMYFUNCTION("""COMPUTED_VALUE"""),"SQL")</f>
        <v>SQL</v>
      </c>
      <c r="J944" s="9" t="str">
        <f>IFERROR(__xludf.DUMMYFUNCTION("""COMPUTED_VALUE"""),"PHP")</f>
        <v>PHP</v>
      </c>
      <c r="K944" s="9" t="str">
        <f>IFERROR(__xludf.DUMMYFUNCTION("""COMPUTED_VALUE"""),"Python")</f>
        <v>Python</v>
      </c>
      <c r="L944" s="9" t="str">
        <f>IFERROR(__xludf.DUMMYFUNCTION("""COMPUTED_VALUE"""),"HTML/CSS")</f>
        <v>HTML/CSS</v>
      </c>
      <c r="M944" s="9" t="s">
        <v>39</v>
      </c>
    </row>
    <row r="945" ht="15.75" customHeight="1">
      <c r="A945" s="7"/>
      <c r="B945" s="7" t="str">
        <f>IFERROR(__xludf.DUMMYFUNCTION("""COMPUTED_VALUE"""),"C#;HTML/CSS;Java;JavaScript;SQL")</f>
        <v>C#;HTML/CSS;Java;JavaScript;SQL</v>
      </c>
      <c r="C945" s="9" t="str">
        <f>IFERROR(__xludf.DUMMYFUNCTION("""COMPUTED_VALUE"""),"Swift")</f>
        <v>Swift</v>
      </c>
      <c r="D945" s="9" t="str">
        <f>IFERROR(__xludf.DUMMYFUNCTION("""COMPUTED_VALUE"""),"JavaScript")</f>
        <v>JavaScript</v>
      </c>
      <c r="E945" s="9" t="str">
        <f>IFERROR(__xludf.DUMMYFUNCTION("""COMPUTED_VALUE"""),"C++")</f>
        <v>C++</v>
      </c>
      <c r="F945" s="9" t="str">
        <f>IFERROR(__xludf.DUMMYFUNCTION("""COMPUTED_VALUE"""),"PHP")</f>
        <v>PHP</v>
      </c>
      <c r="G945" s="9" t="str">
        <f>IFERROR(__xludf.DUMMYFUNCTION("""COMPUTED_VALUE"""),"JavaScript")</f>
        <v>JavaScript</v>
      </c>
      <c r="H945" s="9" t="str">
        <f>IFERROR(__xludf.DUMMYFUNCTION("""COMPUTED_VALUE"""),"Erlang")</f>
        <v>Erlang</v>
      </c>
      <c r="I945" s="9" t="str">
        <f>IFERROR(__xludf.DUMMYFUNCTION("""COMPUTED_VALUE"""),"TypeScript")</f>
        <v>TypeScript</v>
      </c>
      <c r="J945" s="9" t="str">
        <f>IFERROR(__xludf.DUMMYFUNCTION("""COMPUTED_VALUE"""),"Python")</f>
        <v>Python</v>
      </c>
      <c r="K945" s="9" t="str">
        <f>IFERROR(__xludf.DUMMYFUNCTION("""COMPUTED_VALUE"""),"C#")</f>
        <v>C#</v>
      </c>
      <c r="L945" s="9" t="str">
        <f>IFERROR(__xludf.DUMMYFUNCTION("""COMPUTED_VALUE"""),"JavaScript")</f>
        <v>JavaScript</v>
      </c>
      <c r="M945" s="9" t="s">
        <v>40</v>
      </c>
    </row>
    <row r="946" ht="15.75" customHeight="1">
      <c r="A946" s="7"/>
      <c r="B946" s="7" t="str">
        <f>IFERROR(__xludf.DUMMYFUNCTION("""COMPUTED_VALUE"""),"Bash/Shell/PowerShell;C#;HTML/CSS;JavaScript;Kotlin;SQL")</f>
        <v>Bash/Shell/PowerShell;C#;HTML/CSS;JavaScript;Kotlin;SQL</v>
      </c>
      <c r="C946" s="9" t="str">
        <f>IFERROR(__xludf.DUMMYFUNCTION("""COMPUTED_VALUE"""),"Bash/Shell/PowerShell")</f>
        <v>Bash/Shell/PowerShell</v>
      </c>
      <c r="D946" s="9" t="str">
        <f>IFERROR(__xludf.DUMMYFUNCTION("""COMPUTED_VALUE"""),"Python")</f>
        <v>Python</v>
      </c>
      <c r="E946" s="9" t="str">
        <f>IFERROR(__xludf.DUMMYFUNCTION("""COMPUTED_VALUE"""),"C#")</f>
        <v>C#</v>
      </c>
      <c r="F946" s="9" t="str">
        <f>IFERROR(__xludf.DUMMYFUNCTION("""COMPUTED_VALUE"""),"SQL")</f>
        <v>SQL</v>
      </c>
      <c r="G946" s="9" t="str">
        <f>IFERROR(__xludf.DUMMYFUNCTION("""COMPUTED_VALUE"""),"PHP")</f>
        <v>PHP</v>
      </c>
      <c r="H946" s="9" t="str">
        <f>IFERROR(__xludf.DUMMYFUNCTION("""COMPUTED_VALUE"""),"JavaScript")</f>
        <v>JavaScript</v>
      </c>
      <c r="I946" s="9" t="str">
        <f>IFERROR(__xludf.DUMMYFUNCTION("""COMPUTED_VALUE"""),"Assembly")</f>
        <v>Assembly</v>
      </c>
      <c r="J946" s="9" t="str">
        <f>IFERROR(__xludf.DUMMYFUNCTION("""COMPUTED_VALUE"""),"SQL")</f>
        <v>SQL</v>
      </c>
      <c r="K946" s="9" t="str">
        <f>IFERROR(__xludf.DUMMYFUNCTION("""COMPUTED_VALUE"""),"HTML/CSS")</f>
        <v>HTML/CSS</v>
      </c>
      <c r="L946" s="9" t="str">
        <f>IFERROR(__xludf.DUMMYFUNCTION("""COMPUTED_VALUE"""),"PHP")</f>
        <v>PHP</v>
      </c>
      <c r="M946" s="9" t="s">
        <v>30</v>
      </c>
    </row>
    <row r="947" ht="15.75" customHeight="1">
      <c r="A947" s="7"/>
      <c r="B947" s="7" t="str">
        <f>IFERROR(__xludf.DUMMYFUNCTION("""COMPUTED_VALUE"""),"Bash/Shell/PowerShell;C#;HTML/CSS;JavaScript;SQL;TypeScript;Other(s):")</f>
        <v>Bash/Shell/PowerShell;C#;HTML/CSS;JavaScript;SQL;TypeScript;Other(s):</v>
      </c>
      <c r="C947" s="9" t="str">
        <f>IFERROR(__xludf.DUMMYFUNCTION("""COMPUTED_VALUE"""),"C")</f>
        <v>C</v>
      </c>
      <c r="D947" s="9" t="str">
        <f>IFERROR(__xludf.DUMMYFUNCTION("""COMPUTED_VALUE"""),"SQL")</f>
        <v>SQL</v>
      </c>
      <c r="E947" s="9" t="str">
        <f>IFERROR(__xludf.DUMMYFUNCTION("""COMPUTED_VALUE"""),"HTML/CSS")</f>
        <v>HTML/CSS</v>
      </c>
      <c r="F947" s="9" t="str">
        <f>IFERROR(__xludf.DUMMYFUNCTION("""COMPUTED_VALUE"""),"VBA")</f>
        <v>VBA</v>
      </c>
      <c r="G947" s="9" t="str">
        <f>IFERROR(__xludf.DUMMYFUNCTION("""COMPUTED_VALUE"""),"Other(s):")</f>
        <v>Other(s):</v>
      </c>
      <c r="H947" s="9" t="str">
        <f>IFERROR(__xludf.DUMMYFUNCTION("""COMPUTED_VALUE"""),"Kotlin")</f>
        <v>Kotlin</v>
      </c>
      <c r="I947" s="9" t="str">
        <f>IFERROR(__xludf.DUMMYFUNCTION("""COMPUTED_VALUE"""),"Bash/Shell/PowerShell")</f>
        <v>Bash/Shell/PowerShell</v>
      </c>
      <c r="J947" s="9" t="str">
        <f>IFERROR(__xludf.DUMMYFUNCTION("""COMPUTED_VALUE"""),"Assembly")</f>
        <v>Assembly</v>
      </c>
      <c r="K947" s="9" t="str">
        <f>IFERROR(__xludf.DUMMYFUNCTION("""COMPUTED_VALUE"""),"JavaScript")</f>
        <v>JavaScript</v>
      </c>
      <c r="L947" s="9" t="str">
        <f>IFERROR(__xludf.DUMMYFUNCTION("""COMPUTED_VALUE"""),"SQL")</f>
        <v>SQL</v>
      </c>
      <c r="M947" s="9" t="s">
        <v>25</v>
      </c>
    </row>
    <row r="948" ht="15.75" customHeight="1">
      <c r="A948" s="7"/>
      <c r="B948" s="7" t="str">
        <f>IFERROR(__xludf.DUMMYFUNCTION("""COMPUTED_VALUE"""),"Assembly;HTML/CSS;Java;JavaScript;SQL")</f>
        <v>Assembly;HTML/CSS;Java;JavaScript;SQL</v>
      </c>
      <c r="C948" s="9" t="str">
        <f>IFERROR(__xludf.DUMMYFUNCTION("""COMPUTED_VALUE"""),"C++")</f>
        <v>C++</v>
      </c>
      <c r="D948" s="9" t="str">
        <f>IFERROR(__xludf.DUMMYFUNCTION("""COMPUTED_VALUE"""),"C#")</f>
        <v>C#</v>
      </c>
      <c r="E948" s="9" t="str">
        <f>IFERROR(__xludf.DUMMYFUNCTION("""COMPUTED_VALUE"""),"Java")</f>
        <v>Java</v>
      </c>
      <c r="F948" s="9" t="str">
        <f>IFERROR(__xludf.DUMMYFUNCTION("""COMPUTED_VALUE"""),"Bash/Shell/PowerShell")</f>
        <v>Bash/Shell/PowerShell</v>
      </c>
      <c r="G948" s="9" t="str">
        <f>IFERROR(__xludf.DUMMYFUNCTION("""COMPUTED_VALUE"""),"Erlang")</f>
        <v>Erlang</v>
      </c>
      <c r="H948" s="9" t="str">
        <f>IFERROR(__xludf.DUMMYFUNCTION("""COMPUTED_VALUE"""),"Python")</f>
        <v>Python</v>
      </c>
      <c r="I948" s="9" t="str">
        <f>IFERROR(__xludf.DUMMYFUNCTION("""COMPUTED_VALUE"""),"C")</f>
        <v>C</v>
      </c>
      <c r="J948" s="9" t="str">
        <f>IFERROR(__xludf.DUMMYFUNCTION("""COMPUTED_VALUE"""),"C")</f>
        <v>C</v>
      </c>
      <c r="K948" s="9" t="str">
        <f>IFERROR(__xludf.DUMMYFUNCTION("""COMPUTED_VALUE"""),"PHP")</f>
        <v>PHP</v>
      </c>
      <c r="L948" s="9" t="str">
        <f>IFERROR(__xludf.DUMMYFUNCTION("""COMPUTED_VALUE"""),"Bash/Shell/PowerShell")</f>
        <v>Bash/Shell/PowerShell</v>
      </c>
      <c r="M948" s="9" t="s">
        <v>23</v>
      </c>
    </row>
    <row r="949" ht="15.75" customHeight="1">
      <c r="A949" s="7"/>
      <c r="B949" s="7" t="str">
        <f>IFERROR(__xludf.DUMMYFUNCTION("""COMPUTED_VALUE"""),"JavaScript;Python")</f>
        <v>JavaScript;Python</v>
      </c>
      <c r="C949" s="9" t="str">
        <f>IFERROR(__xludf.DUMMYFUNCTION("""COMPUTED_VALUE"""),"Java")</f>
        <v>Java</v>
      </c>
      <c r="D949" s="9" t="str">
        <f>IFERROR(__xludf.DUMMYFUNCTION("""COMPUTED_VALUE"""),"HTML/CSS")</f>
        <v>HTML/CSS</v>
      </c>
      <c r="E949" s="9" t="str">
        <f>IFERROR(__xludf.DUMMYFUNCTION("""COMPUTED_VALUE"""),"JavaScript")</f>
        <v>JavaScript</v>
      </c>
      <c r="F949" s="9" t="str">
        <f>IFERROR(__xludf.DUMMYFUNCTION("""COMPUTED_VALUE"""),"Java")</f>
        <v>Java</v>
      </c>
      <c r="G949" s="9" t="str">
        <f>IFERROR(__xludf.DUMMYFUNCTION("""COMPUTED_VALUE"""),"Go")</f>
        <v>Go</v>
      </c>
      <c r="H949" s="9" t="str">
        <f>IFERROR(__xludf.DUMMYFUNCTION("""COMPUTED_VALUE"""),"WebAssembly")</f>
        <v>WebAssembly</v>
      </c>
      <c r="I949" s="9" t="str">
        <f>IFERROR(__xludf.DUMMYFUNCTION("""COMPUTED_VALUE"""),"C++")</f>
        <v>C++</v>
      </c>
      <c r="J949" s="9" t="str">
        <f>IFERROR(__xludf.DUMMYFUNCTION("""COMPUTED_VALUE"""),"C++")</f>
        <v>C++</v>
      </c>
      <c r="K949" s="9" t="str">
        <f>IFERROR(__xludf.DUMMYFUNCTION("""COMPUTED_VALUE"""),"TypeScript")</f>
        <v>TypeScript</v>
      </c>
      <c r="L949" s="9" t="str">
        <f>IFERROR(__xludf.DUMMYFUNCTION("""COMPUTED_VALUE"""),"C++")</f>
        <v>C++</v>
      </c>
      <c r="M949" s="9" t="s">
        <v>20</v>
      </c>
    </row>
    <row r="950" ht="15.75" customHeight="1">
      <c r="A950" s="7"/>
      <c r="B950" s="7" t="str">
        <f>IFERROR(__xludf.DUMMYFUNCTION("""COMPUTED_VALUE"""),"HTML/CSS;JavaScript")</f>
        <v>HTML/CSS;JavaScript</v>
      </c>
      <c r="C950" s="9" t="str">
        <f>IFERROR(__xludf.DUMMYFUNCTION("""COMPUTED_VALUE"""),"JavaScript")</f>
        <v>JavaScript</v>
      </c>
      <c r="D950" s="9" t="str">
        <f>IFERROR(__xludf.DUMMYFUNCTION("""COMPUTED_VALUE"""),"Java")</f>
        <v>Java</v>
      </c>
      <c r="E950" s="9" t="str">
        <f>IFERROR(__xludf.DUMMYFUNCTION("""COMPUTED_VALUE"""),"PHP")</f>
        <v>PHP</v>
      </c>
      <c r="F950" s="9" t="str">
        <f>IFERROR(__xludf.DUMMYFUNCTION("""COMPUTED_VALUE"""),"JavaScript")</f>
        <v>JavaScript</v>
      </c>
      <c r="G950" s="9" t="str">
        <f>IFERROR(__xludf.DUMMYFUNCTION("""COMPUTED_VALUE"""),"Python")</f>
        <v>Python</v>
      </c>
      <c r="H950" s="9" t="str">
        <f>IFERROR(__xludf.DUMMYFUNCTION("""COMPUTED_VALUE"""),"Bash/Shell/PowerShell")</f>
        <v>Bash/Shell/PowerShell</v>
      </c>
      <c r="I950" s="9" t="str">
        <f>IFERROR(__xludf.DUMMYFUNCTION("""COMPUTED_VALUE"""),"C#")</f>
        <v>C#</v>
      </c>
      <c r="J950" s="9" t="str">
        <f>IFERROR(__xludf.DUMMYFUNCTION("""COMPUTED_VALUE"""),"C#")</f>
        <v>C#</v>
      </c>
      <c r="K950" s="9" t="str">
        <f>IFERROR(__xludf.DUMMYFUNCTION("""COMPUTED_VALUE"""),"C#")</f>
        <v>C#</v>
      </c>
      <c r="L950" s="9" t="str">
        <f>IFERROR(__xludf.DUMMYFUNCTION("""COMPUTED_VALUE"""),"C")</f>
        <v>C</v>
      </c>
      <c r="M950" s="9" t="s">
        <v>21</v>
      </c>
    </row>
    <row r="951" ht="15.75" customHeight="1">
      <c r="A951" s="7"/>
      <c r="B951" s="7" t="str">
        <f>IFERROR(__xludf.DUMMYFUNCTION("""COMPUTED_VALUE"""),"Assembly;C;C++;HTML/CSS;Java;JavaScript;PHP;Python")</f>
        <v>Assembly;C;C++;HTML/CSS;Java;JavaScript;PHP;Python</v>
      </c>
      <c r="C951" s="9" t="str">
        <f>IFERROR(__xludf.DUMMYFUNCTION("""COMPUTED_VALUE"""),"Kotlin")</f>
        <v>Kotlin</v>
      </c>
      <c r="D951" s="9" t="str">
        <f>IFERROR(__xludf.DUMMYFUNCTION("""COMPUTED_VALUE"""),"JavaScript")</f>
        <v>JavaScript</v>
      </c>
      <c r="E951" s="9" t="str">
        <f>IFERROR(__xludf.DUMMYFUNCTION("""COMPUTED_VALUE"""),"SQL")</f>
        <v>SQL</v>
      </c>
      <c r="F951" s="9" t="str">
        <f>IFERROR(__xludf.DUMMYFUNCTION("""COMPUTED_VALUE"""),"PHP")</f>
        <v>PHP</v>
      </c>
      <c r="G951" s="9" t="str">
        <f>IFERROR(__xludf.DUMMYFUNCTION("""COMPUTED_VALUE"""),"Assembly")</f>
        <v>Assembly</v>
      </c>
      <c r="H951" s="9" t="str">
        <f>IFERROR(__xludf.DUMMYFUNCTION("""COMPUTED_VALUE"""),"HTML/CSS")</f>
        <v>HTML/CSS</v>
      </c>
      <c r="I951" s="9" t="str">
        <f>IFERROR(__xludf.DUMMYFUNCTION("""COMPUTED_VALUE"""),"Clojure")</f>
        <v>Clojure</v>
      </c>
      <c r="J951" s="9" t="str">
        <f>IFERROR(__xludf.DUMMYFUNCTION("""COMPUTED_VALUE"""),"HTML/CSS")</f>
        <v>HTML/CSS</v>
      </c>
      <c r="K951" s="9" t="str">
        <f>IFERROR(__xludf.DUMMYFUNCTION("""COMPUTED_VALUE"""),"HTML/CSS")</f>
        <v>HTML/CSS</v>
      </c>
      <c r="L951" s="9" t="str">
        <f>IFERROR(__xludf.DUMMYFUNCTION("""COMPUTED_VALUE"""),"Python")</f>
        <v>Python</v>
      </c>
      <c r="M951" s="9" t="s">
        <v>39</v>
      </c>
    </row>
    <row r="952" ht="15.75" customHeight="1">
      <c r="A952" s="7"/>
      <c r="B952" s="7" t="str">
        <f>IFERROR(__xludf.DUMMYFUNCTION("""COMPUTED_VALUE"""),"Python;R")</f>
        <v>Python;R</v>
      </c>
      <c r="C952" s="9" t="str">
        <f>IFERROR(__xludf.DUMMYFUNCTION("""COMPUTED_VALUE"""),"Objective-C")</f>
        <v>Objective-C</v>
      </c>
      <c r="D952" s="9" t="str">
        <f>IFERROR(__xludf.DUMMYFUNCTION("""COMPUTED_VALUE"""),"Kotlin")</f>
        <v>Kotlin</v>
      </c>
      <c r="E952" s="9" t="str">
        <f>IFERROR(__xludf.DUMMYFUNCTION("""COMPUTED_VALUE"""),"TypeScript")</f>
        <v>TypeScript</v>
      </c>
      <c r="F952" s="9" t="str">
        <f>IFERROR(__xludf.DUMMYFUNCTION("""COMPUTED_VALUE"""),"SQL")</f>
        <v>SQL</v>
      </c>
      <c r="G952" s="9" t="str">
        <f>IFERROR(__xludf.DUMMYFUNCTION("""COMPUTED_VALUE"""),"Bash/Shell/PowerShell")</f>
        <v>Bash/Shell/PowerShell</v>
      </c>
      <c r="H952" s="9" t="str">
        <f>IFERROR(__xludf.DUMMYFUNCTION("""COMPUTED_VALUE"""),"JavaScript")</f>
        <v>JavaScript</v>
      </c>
      <c r="I952" s="9" t="str">
        <f>IFERROR(__xludf.DUMMYFUNCTION("""COMPUTED_VALUE"""),"F#")</f>
        <v>F#</v>
      </c>
      <c r="J952" s="9" t="str">
        <f>IFERROR(__xludf.DUMMYFUNCTION("""COMPUTED_VALUE"""),"JavaScript")</f>
        <v>JavaScript</v>
      </c>
      <c r="K952" s="9" t="str">
        <f>IFERROR(__xludf.DUMMYFUNCTION("""COMPUTED_VALUE"""),"Java")</f>
        <v>Java</v>
      </c>
      <c r="L952" s="9" t="str">
        <f>IFERROR(__xludf.DUMMYFUNCTION("""COMPUTED_VALUE"""),"Bash/Shell/PowerShell")</f>
        <v>Bash/Shell/PowerShell</v>
      </c>
      <c r="M952" s="9" t="s">
        <v>41</v>
      </c>
    </row>
    <row r="953" ht="15.75" customHeight="1">
      <c r="A953" s="7"/>
      <c r="B953" s="7" t="str">
        <f>IFERROR(__xludf.DUMMYFUNCTION("""COMPUTED_VALUE"""),"C;HTML/CSS;Java;Python;R;TypeScript;Other(s):")</f>
        <v>C;HTML/CSS;Java;Python;R;TypeScript;Other(s):</v>
      </c>
      <c r="C953" s="9" t="str">
        <f>IFERROR(__xludf.DUMMYFUNCTION("""COMPUTED_VALUE"""),"Python")</f>
        <v>Python</v>
      </c>
      <c r="D953" s="9" t="str">
        <f>IFERROR(__xludf.DUMMYFUNCTION("""COMPUTED_VALUE"""),"Objective-C")</f>
        <v>Objective-C</v>
      </c>
      <c r="E953" s="9" t="str">
        <f>IFERROR(__xludf.DUMMYFUNCTION("""COMPUTED_VALUE"""),"VBA")</f>
        <v>VBA</v>
      </c>
      <c r="F953" s="9" t="str">
        <f>IFERROR(__xludf.DUMMYFUNCTION("""COMPUTED_VALUE"""),"Bash/Shell/PowerShell")</f>
        <v>Bash/Shell/PowerShell</v>
      </c>
      <c r="G953" s="9" t="str">
        <f>IFERROR(__xludf.DUMMYFUNCTION("""COMPUTED_VALUE"""),"Erlang")</f>
        <v>Erlang</v>
      </c>
      <c r="H953" s="9" t="str">
        <f>IFERROR(__xludf.DUMMYFUNCTION("""COMPUTED_VALUE"""),"HTML/CSS")</f>
        <v>HTML/CSS</v>
      </c>
      <c r="I953" s="9" t="str">
        <f>IFERROR(__xludf.DUMMYFUNCTION("""COMPUTED_VALUE"""),"Go")</f>
        <v>Go</v>
      </c>
      <c r="J953" s="9" t="str">
        <f>IFERROR(__xludf.DUMMYFUNCTION("""COMPUTED_VALUE"""),"PHP")</f>
        <v>PHP</v>
      </c>
      <c r="K953" s="9" t="str">
        <f>IFERROR(__xludf.DUMMYFUNCTION("""COMPUTED_VALUE"""),"SQL")</f>
        <v>SQL</v>
      </c>
      <c r="L953" s="9" t="str">
        <f>IFERROR(__xludf.DUMMYFUNCTION("""COMPUTED_VALUE"""),"C#")</f>
        <v>C#</v>
      </c>
      <c r="M953" s="9" t="s">
        <v>22</v>
      </c>
    </row>
    <row r="954" ht="15.75" customHeight="1">
      <c r="A954" s="7"/>
      <c r="B954" s="7" t="str">
        <f>IFERROR(__xludf.DUMMYFUNCTION("""COMPUTED_VALUE"""),"Bash/Shell/PowerShell;C;C++;C#;HTML/CSS;Java;JavaScript;Kotlin;Objective-C;PHP;Python;Ruby;SQL;Swift")</f>
        <v>Bash/Shell/PowerShell;C;C++;C#;HTML/CSS;Java;JavaScript;Kotlin;Objective-C;PHP;Python;Ruby;SQL;Swift</v>
      </c>
      <c r="C954" s="9" t="str">
        <f>IFERROR(__xludf.DUMMYFUNCTION("""COMPUTED_VALUE"""),"Rust")</f>
        <v>Rust</v>
      </c>
      <c r="D954" s="9" t="str">
        <f>IFERROR(__xludf.DUMMYFUNCTION("""COMPUTED_VALUE"""),"PHP")</f>
        <v>PHP</v>
      </c>
      <c r="E954" s="9" t="str">
        <f>IFERROR(__xludf.DUMMYFUNCTION("""COMPUTED_VALUE"""),"Assembly")</f>
        <v>Assembly</v>
      </c>
      <c r="F954" s="9" t="str">
        <f>IFERROR(__xludf.DUMMYFUNCTION("""COMPUTED_VALUE"""),"C++")</f>
        <v>C++</v>
      </c>
      <c r="G954" s="9" t="str">
        <f>IFERROR(__xludf.DUMMYFUNCTION("""COMPUTED_VALUE"""),"HTML/CSS")</f>
        <v>HTML/CSS</v>
      </c>
      <c r="H954" s="9" t="str">
        <f>IFERROR(__xludf.DUMMYFUNCTION("""COMPUTED_VALUE"""),"Java")</f>
        <v>Java</v>
      </c>
      <c r="I954" s="9" t="str">
        <f>IFERROR(__xludf.DUMMYFUNCTION("""COMPUTED_VALUE"""),"Java")</f>
        <v>Java</v>
      </c>
      <c r="J954" s="9" t="str">
        <f>IFERROR(__xludf.DUMMYFUNCTION("""COMPUTED_VALUE"""),"Python")</f>
        <v>Python</v>
      </c>
      <c r="K954" s="9" t="str">
        <f>IFERROR(__xludf.DUMMYFUNCTION("""COMPUTED_VALUE"""),"Java")</f>
        <v>Java</v>
      </c>
      <c r="L954" s="9" t="str">
        <f>IFERROR(__xludf.DUMMYFUNCTION("""COMPUTED_VALUE"""),"HTML/CSS")</f>
        <v>HTML/CSS</v>
      </c>
      <c r="M954" s="9" t="s">
        <v>32</v>
      </c>
    </row>
    <row r="955" ht="15.75" customHeight="1">
      <c r="A955" s="7"/>
      <c r="B955" s="7" t="str">
        <f>IFERROR(__xludf.DUMMYFUNCTION("""COMPUTED_VALUE"""),"Bash/Shell/PowerShell;HTML/CSS;JavaScript;TypeScript;WebAssembly")</f>
        <v>Bash/Shell/PowerShell;HTML/CSS;JavaScript;TypeScript;WebAssembly</v>
      </c>
      <c r="C955" s="9" t="str">
        <f>IFERROR(__xludf.DUMMYFUNCTION("""COMPUTED_VALUE"""),"Swift")</f>
        <v>Swift</v>
      </c>
      <c r="D955" s="9" t="str">
        <f>IFERROR(__xludf.DUMMYFUNCTION("""COMPUTED_VALUE"""),"Python")</f>
        <v>Python</v>
      </c>
      <c r="E955" s="9" t="str">
        <f>IFERROR(__xludf.DUMMYFUNCTION("""COMPUTED_VALUE"""),"Bash/Shell/PowerShell")</f>
        <v>Bash/Shell/PowerShell</v>
      </c>
      <c r="F955" s="9" t="str">
        <f>IFERROR(__xludf.DUMMYFUNCTION("""COMPUTED_VALUE"""),"C#")</f>
        <v>C#</v>
      </c>
      <c r="G955" s="9" t="str">
        <f>IFERROR(__xludf.DUMMYFUNCTION("""COMPUTED_VALUE"""),"Java")</f>
        <v>Java</v>
      </c>
      <c r="H955" s="9" t="str">
        <f>IFERROR(__xludf.DUMMYFUNCTION("""COMPUTED_VALUE"""),"SQL")</f>
        <v>SQL</v>
      </c>
      <c r="I955" s="9" t="str">
        <f>IFERROR(__xludf.DUMMYFUNCTION("""COMPUTED_VALUE"""),"Bash/Shell/PowerShell")</f>
        <v>Bash/Shell/PowerShell</v>
      </c>
      <c r="J955" s="9" t="str">
        <f>IFERROR(__xludf.DUMMYFUNCTION("""COMPUTED_VALUE"""),"SQL")</f>
        <v>SQL</v>
      </c>
      <c r="K955" s="9" t="str">
        <f>IFERROR(__xludf.DUMMYFUNCTION("""COMPUTED_VALUE"""),"JavaScript")</f>
        <v>JavaScript</v>
      </c>
      <c r="L955" s="9" t="str">
        <f>IFERROR(__xludf.DUMMYFUNCTION("""COMPUTED_VALUE"""),"JavaScript")</f>
        <v>JavaScript</v>
      </c>
      <c r="M955" s="9" t="s">
        <v>40</v>
      </c>
    </row>
    <row r="956" ht="15.75" customHeight="1">
      <c r="A956" s="7"/>
      <c r="B956" s="7" t="str">
        <f>IFERROR(__xludf.DUMMYFUNCTION("""COMPUTED_VALUE"""),"Bash/Shell/PowerShell;C;Go;Python;SQL")</f>
        <v>Bash/Shell/PowerShell;C;Go;Python;SQL</v>
      </c>
      <c r="C956" s="9" t="str">
        <f>IFERROR(__xludf.DUMMYFUNCTION("""COMPUTED_VALUE"""),"Bash/Shell/PowerShell")</f>
        <v>Bash/Shell/PowerShell</v>
      </c>
      <c r="D956" s="9" t="str">
        <f>IFERROR(__xludf.DUMMYFUNCTION("""COMPUTED_VALUE"""),"SQL")</f>
        <v>SQL</v>
      </c>
      <c r="E956" s="9" t="str">
        <f>IFERROR(__xludf.DUMMYFUNCTION("""COMPUTED_VALUE"""),"C")</f>
        <v>C</v>
      </c>
      <c r="F956" s="9" t="str">
        <f>IFERROR(__xludf.DUMMYFUNCTION("""COMPUTED_VALUE"""),"HTML/CSS")</f>
        <v>HTML/CSS</v>
      </c>
      <c r="G956" s="9" t="str">
        <f>IFERROR(__xludf.DUMMYFUNCTION("""COMPUTED_VALUE"""),"JavaScript")</f>
        <v>JavaScript</v>
      </c>
      <c r="H956" s="9" t="str">
        <f>IFERROR(__xludf.DUMMYFUNCTION("""COMPUTED_VALUE"""),"Bash/Shell/PowerShell")</f>
        <v>Bash/Shell/PowerShell</v>
      </c>
      <c r="I956" s="9" t="str">
        <f>IFERROR(__xludf.DUMMYFUNCTION("""COMPUTED_VALUE"""),"C")</f>
        <v>C</v>
      </c>
      <c r="J956" s="9" t="str">
        <f>IFERROR(__xludf.DUMMYFUNCTION("""COMPUTED_VALUE"""),"HTML/CSS")</f>
        <v>HTML/CSS</v>
      </c>
      <c r="K956" s="9" t="str">
        <f>IFERROR(__xludf.DUMMYFUNCTION("""COMPUTED_VALUE"""),"PHP")</f>
        <v>PHP</v>
      </c>
      <c r="L956" s="9" t="str">
        <f>IFERROR(__xludf.DUMMYFUNCTION("""COMPUTED_VALUE"""),"SQL")</f>
        <v>SQL</v>
      </c>
      <c r="M956" s="9" t="s">
        <v>30</v>
      </c>
    </row>
    <row r="957" ht="15.75" customHeight="1">
      <c r="A957" s="7"/>
      <c r="B957" s="7" t="str">
        <f>IFERROR(__xludf.DUMMYFUNCTION("""COMPUTED_VALUE"""),"Java")</f>
        <v>Java</v>
      </c>
      <c r="C957" s="9" t="str">
        <f>IFERROR(__xludf.DUMMYFUNCTION("""COMPUTED_VALUE"""),"Java")</f>
        <v>Java</v>
      </c>
      <c r="D957" s="9" t="str">
        <f>IFERROR(__xludf.DUMMYFUNCTION("""COMPUTED_VALUE"""),"TypeScript")</f>
        <v>TypeScript</v>
      </c>
      <c r="E957" s="9" t="str">
        <f>IFERROR(__xludf.DUMMYFUNCTION("""COMPUTED_VALUE"""),"HTML/CSS")</f>
        <v>HTML/CSS</v>
      </c>
      <c r="F957" s="9" t="str">
        <f>IFERROR(__xludf.DUMMYFUNCTION("""COMPUTED_VALUE"""),"Java")</f>
        <v>Java</v>
      </c>
      <c r="G957" s="9" t="str">
        <f>IFERROR(__xludf.DUMMYFUNCTION("""COMPUTED_VALUE"""),"SQL")</f>
        <v>SQL</v>
      </c>
      <c r="H957" s="9" t="str">
        <f>IFERROR(__xludf.DUMMYFUNCTION("""COMPUTED_VALUE"""),"C#")</f>
        <v>C#</v>
      </c>
      <c r="I957" s="9" t="str">
        <f>IFERROR(__xludf.DUMMYFUNCTION("""COMPUTED_VALUE"""),"HTML/CSS")</f>
        <v>HTML/CSS</v>
      </c>
      <c r="J957" s="9" t="str">
        <f>IFERROR(__xludf.DUMMYFUNCTION("""COMPUTED_VALUE"""),"Java")</f>
        <v>Java</v>
      </c>
      <c r="K957" s="9" t="str">
        <f>IFERROR(__xludf.DUMMYFUNCTION("""COMPUTED_VALUE"""),"HTML/CSS")</f>
        <v>HTML/CSS</v>
      </c>
      <c r="L957" s="9" t="str">
        <f>IFERROR(__xludf.DUMMYFUNCTION("""COMPUTED_VALUE"""),"TypeScript")</f>
        <v>TypeScript</v>
      </c>
      <c r="M957" s="9" t="s">
        <v>20</v>
      </c>
    </row>
    <row r="958" ht="15.75" customHeight="1">
      <c r="A958" s="7"/>
      <c r="B958" s="7" t="str">
        <f>IFERROR(__xludf.DUMMYFUNCTION("""COMPUTED_VALUE"""),"C#;HTML/CSS;Java;JavaScript;Python;SQL")</f>
        <v>C#;HTML/CSS;Java;JavaScript;Python;SQL</v>
      </c>
      <c r="C958" s="9" t="str">
        <f>IFERROR(__xludf.DUMMYFUNCTION("""COMPUTED_VALUE"""),"Kotlin")</f>
        <v>Kotlin</v>
      </c>
      <c r="D958" s="9" t="str">
        <f>IFERROR(__xludf.DUMMYFUNCTION("""COMPUTED_VALUE"""),"C")</f>
        <v>C</v>
      </c>
      <c r="E958" s="9" t="str">
        <f>IFERROR(__xludf.DUMMYFUNCTION("""COMPUTED_VALUE"""),"Java")</f>
        <v>Java</v>
      </c>
      <c r="F958" s="9" t="str">
        <f>IFERROR(__xludf.DUMMYFUNCTION("""COMPUTED_VALUE"""),"JavaScript")</f>
        <v>JavaScript</v>
      </c>
      <c r="G958" s="9" t="str">
        <f>IFERROR(__xludf.DUMMYFUNCTION("""COMPUTED_VALUE"""),"TypeScript")</f>
        <v>TypeScript</v>
      </c>
      <c r="H958" s="9" t="str">
        <f>IFERROR(__xludf.DUMMYFUNCTION("""COMPUTED_VALUE"""),"HTML/CSS")</f>
        <v>HTML/CSS</v>
      </c>
      <c r="I958" s="9" t="str">
        <f>IFERROR(__xludf.DUMMYFUNCTION("""COMPUTED_VALUE"""),"JavaScript")</f>
        <v>JavaScript</v>
      </c>
      <c r="J958" s="9" t="str">
        <f>IFERROR(__xludf.DUMMYFUNCTION("""COMPUTED_VALUE"""),"JavaScript")</f>
        <v>JavaScript</v>
      </c>
      <c r="K958" s="9" t="str">
        <f>IFERROR(__xludf.DUMMYFUNCTION("""COMPUTED_VALUE"""),"JavaScript")</f>
        <v>JavaScript</v>
      </c>
      <c r="L958" s="9" t="str">
        <f>IFERROR(__xludf.DUMMYFUNCTION("""COMPUTED_VALUE"""),"C")</f>
        <v>C</v>
      </c>
      <c r="M958" s="9" t="s">
        <v>39</v>
      </c>
    </row>
    <row r="959" ht="15.75" customHeight="1">
      <c r="A959" s="7"/>
      <c r="B959" s="7" t="str">
        <f>IFERROR(__xludf.DUMMYFUNCTION("""COMPUTED_VALUE"""),"Bash/Shell/PowerShell;Go;Ruby")</f>
        <v>Bash/Shell/PowerShell;Go;Ruby</v>
      </c>
      <c r="C959" s="9" t="str">
        <f>IFERROR(__xludf.DUMMYFUNCTION("""COMPUTED_VALUE"""),"Assembly")</f>
        <v>Assembly</v>
      </c>
      <c r="D959" s="9" t="str">
        <f>IFERROR(__xludf.DUMMYFUNCTION("""COMPUTED_VALUE"""),"C++")</f>
        <v>C++</v>
      </c>
      <c r="E959" s="9" t="str">
        <f>IFERROR(__xludf.DUMMYFUNCTION("""COMPUTED_VALUE"""),"Python")</f>
        <v>Python</v>
      </c>
      <c r="F959" s="9" t="str">
        <f>IFERROR(__xludf.DUMMYFUNCTION("""COMPUTED_VALUE"""),"Objective-C")</f>
        <v>Objective-C</v>
      </c>
      <c r="G959" s="9" t="str">
        <f>IFERROR(__xludf.DUMMYFUNCTION("""COMPUTED_VALUE"""),"C#")</f>
        <v>C#</v>
      </c>
      <c r="H959" s="9" t="str">
        <f>IFERROR(__xludf.DUMMYFUNCTION("""COMPUTED_VALUE"""),"JavaScript")</f>
        <v>JavaScript</v>
      </c>
      <c r="I959" s="9" t="str">
        <f>IFERROR(__xludf.DUMMYFUNCTION("""COMPUTED_VALUE"""),"PHP")</f>
        <v>PHP</v>
      </c>
      <c r="J959" s="9" t="str">
        <f>IFERROR(__xludf.DUMMYFUNCTION("""COMPUTED_VALUE"""),"Python")</f>
        <v>Python</v>
      </c>
      <c r="K959" s="9" t="str">
        <f>IFERROR(__xludf.DUMMYFUNCTION("""COMPUTED_VALUE"""),"PHP")</f>
        <v>PHP</v>
      </c>
      <c r="L959" s="9" t="str">
        <f>IFERROR(__xludf.DUMMYFUNCTION("""COMPUTED_VALUE"""),"C++")</f>
        <v>C++</v>
      </c>
      <c r="M959" s="9" t="s">
        <v>38</v>
      </c>
    </row>
    <row r="960" ht="15.75" customHeight="1">
      <c r="A960" s="7"/>
      <c r="B960" s="7" t="str">
        <f>IFERROR(__xludf.DUMMYFUNCTION("""COMPUTED_VALUE"""),"Bash/Shell/PowerShell;C;Scala;SQL")</f>
        <v>Bash/Shell/PowerShell;C;Scala;SQL</v>
      </c>
      <c r="C960" s="9" t="str">
        <f>IFERROR(__xludf.DUMMYFUNCTION("""COMPUTED_VALUE"""),"C")</f>
        <v>C</v>
      </c>
      <c r="D960" s="9" t="str">
        <f>IFERROR(__xludf.DUMMYFUNCTION("""COMPUTED_VALUE"""),"C#")</f>
        <v>C#</v>
      </c>
      <c r="E960" s="9" t="str">
        <f>IFERROR(__xludf.DUMMYFUNCTION("""COMPUTED_VALUE"""),"SQL")</f>
        <v>SQL</v>
      </c>
      <c r="F960" s="9" t="str">
        <f>IFERROR(__xludf.DUMMYFUNCTION("""COMPUTED_VALUE"""),"Python")</f>
        <v>Python</v>
      </c>
      <c r="G960" s="9" t="str">
        <f>IFERROR(__xludf.DUMMYFUNCTION("""COMPUTED_VALUE"""),"PHP")</f>
        <v>PHP</v>
      </c>
      <c r="H960" s="9" t="str">
        <f>IFERROR(__xludf.DUMMYFUNCTION("""COMPUTED_VALUE"""),"SQL")</f>
        <v>SQL</v>
      </c>
      <c r="I960" s="9" t="str">
        <f>IFERROR(__xludf.DUMMYFUNCTION("""COMPUTED_VALUE"""),"SQL")</f>
        <v>SQL</v>
      </c>
      <c r="J960" s="9" t="str">
        <f>IFERROR(__xludf.DUMMYFUNCTION("""COMPUTED_VALUE"""),"SQL")</f>
        <v>SQL</v>
      </c>
      <c r="K960" s="9" t="str">
        <f>IFERROR(__xludf.DUMMYFUNCTION("""COMPUTED_VALUE"""),"SQL")</f>
        <v>SQL</v>
      </c>
      <c r="L960" s="9" t="str">
        <f>IFERROR(__xludf.DUMMYFUNCTION("""COMPUTED_VALUE"""),"HTML/CSS")</f>
        <v>HTML/CSS</v>
      </c>
      <c r="M960" s="9" t="s">
        <v>25</v>
      </c>
    </row>
    <row r="961" ht="15.75" customHeight="1">
      <c r="A961" s="7"/>
      <c r="B961" s="7" t="str">
        <f>IFERROR(__xludf.DUMMYFUNCTION("""COMPUTED_VALUE"""),"HTML/CSS;Java;JavaScript;R;SQL")</f>
        <v>HTML/CSS;Java;JavaScript;R;SQL</v>
      </c>
      <c r="C961" s="9" t="str">
        <f>IFERROR(__xludf.DUMMYFUNCTION("""COMPUTED_VALUE"""),"C++")</f>
        <v>C++</v>
      </c>
      <c r="D961" s="9" t="str">
        <f>IFERROR(__xludf.DUMMYFUNCTION("""COMPUTED_VALUE"""),"HTML/CSS")</f>
        <v>HTML/CSS</v>
      </c>
      <c r="E961" s="9" t="str">
        <f>IFERROR(__xludf.DUMMYFUNCTION("""COMPUTED_VALUE"""),"Bash/Shell/PowerShell")</f>
        <v>Bash/Shell/PowerShell</v>
      </c>
      <c r="F961" s="9" t="str">
        <f>IFERROR(__xludf.DUMMYFUNCTION("""COMPUTED_VALUE"""),"SQL")</f>
        <v>SQL</v>
      </c>
      <c r="G961" s="9" t="str">
        <f>IFERROR(__xludf.DUMMYFUNCTION("""COMPUTED_VALUE"""),"SQL")</f>
        <v>SQL</v>
      </c>
      <c r="H961" s="9" t="str">
        <f>IFERROR(__xludf.DUMMYFUNCTION("""COMPUTED_VALUE"""),"TypeScript")</f>
        <v>TypeScript</v>
      </c>
      <c r="I961" s="9" t="str">
        <f>IFERROR(__xludf.DUMMYFUNCTION("""COMPUTED_VALUE"""),"Bash/Shell/PowerShell")</f>
        <v>Bash/Shell/PowerShell</v>
      </c>
      <c r="J961" s="9" t="str">
        <f>IFERROR(__xludf.DUMMYFUNCTION("""COMPUTED_VALUE"""),"Bash/Shell/PowerShell")</f>
        <v>Bash/Shell/PowerShell</v>
      </c>
      <c r="K961" s="9" t="str">
        <f>IFERROR(__xludf.DUMMYFUNCTION("""COMPUTED_VALUE"""),"Bash/Shell/PowerShell")</f>
        <v>Bash/Shell/PowerShell</v>
      </c>
      <c r="L961" s="9" t="str">
        <f>IFERROR(__xludf.DUMMYFUNCTION("""COMPUTED_VALUE"""),"JavaScript")</f>
        <v>JavaScript</v>
      </c>
      <c r="M961" s="9" t="s">
        <v>23</v>
      </c>
    </row>
    <row r="962" ht="15.75" customHeight="1">
      <c r="A962" s="7"/>
      <c r="B962" s="7" t="str">
        <f>IFERROR(__xludf.DUMMYFUNCTION("""COMPUTED_VALUE"""),"C;HTML/CSS;Java;JavaScript;Kotlin;PHP;Python;Swift")</f>
        <v>C;HTML/CSS;Java;JavaScript;Kotlin;PHP;Python;Swift</v>
      </c>
      <c r="C962" s="9" t="str">
        <f>IFERROR(__xludf.DUMMYFUNCTION("""COMPUTED_VALUE"""),"HTML/CSS")</f>
        <v>HTML/CSS</v>
      </c>
      <c r="D962" s="9" t="str">
        <f>IFERROR(__xludf.DUMMYFUNCTION("""COMPUTED_VALUE"""),"Java")</f>
        <v>Java</v>
      </c>
      <c r="E962" s="9" t="str">
        <f>IFERROR(__xludf.DUMMYFUNCTION("""COMPUTED_VALUE"""),"HTML/CSS")</f>
        <v>HTML/CSS</v>
      </c>
      <c r="F962" s="9" t="str">
        <f>IFERROR(__xludf.DUMMYFUNCTION("""COMPUTED_VALUE"""),"Swift")</f>
        <v>Swift</v>
      </c>
      <c r="G962" s="9" t="str">
        <f>IFERROR(__xludf.DUMMYFUNCTION("""COMPUTED_VALUE"""),"Bash/Shell/PowerShell")</f>
        <v>Bash/Shell/PowerShell</v>
      </c>
      <c r="H962" s="9" t="str">
        <f>IFERROR(__xludf.DUMMYFUNCTION("""COMPUTED_VALUE"""),"Bash/Shell/PowerShell")</f>
        <v>Bash/Shell/PowerShell</v>
      </c>
      <c r="I962" s="9" t="str">
        <f>IFERROR(__xludf.DUMMYFUNCTION("""COMPUTED_VALUE"""),"C")</f>
        <v>C</v>
      </c>
      <c r="J962" s="9" t="str">
        <f>IFERROR(__xludf.DUMMYFUNCTION("""COMPUTED_VALUE"""),"HTML/CSS")</f>
        <v>HTML/CSS</v>
      </c>
      <c r="K962" s="9" t="str">
        <f>IFERROR(__xludf.DUMMYFUNCTION("""COMPUTED_VALUE"""),"JavaScript")</f>
        <v>JavaScript</v>
      </c>
      <c r="L962" s="9" t="str">
        <f>IFERROR(__xludf.DUMMYFUNCTION("""COMPUTED_VALUE"""),"PHP")</f>
        <v>PHP</v>
      </c>
      <c r="M962" s="9" t="s">
        <v>24</v>
      </c>
    </row>
    <row r="963" ht="15.75" customHeight="1">
      <c r="A963" s="7"/>
      <c r="B963" s="7" t="str">
        <f>IFERROR(__xludf.DUMMYFUNCTION("""COMPUTED_VALUE"""),"C++;HTML/CSS;Java;JavaScript;Python;SQL;Other(s):")</f>
        <v>C++;HTML/CSS;Java;JavaScript;Python;SQL;Other(s):</v>
      </c>
      <c r="C963" s="9" t="str">
        <f>IFERROR(__xludf.DUMMYFUNCTION("""COMPUTED_VALUE"""),"Java")</f>
        <v>Java</v>
      </c>
      <c r="D963" s="9" t="str">
        <f>IFERROR(__xludf.DUMMYFUNCTION("""COMPUTED_VALUE"""),"JavaScript")</f>
        <v>JavaScript</v>
      </c>
      <c r="E963" s="9" t="str">
        <f>IFERROR(__xludf.DUMMYFUNCTION("""COMPUTED_VALUE"""),"Java")</f>
        <v>Java</v>
      </c>
      <c r="F963" s="9" t="str">
        <f>IFERROR(__xludf.DUMMYFUNCTION("""COMPUTED_VALUE"""),"Python")</f>
        <v>Python</v>
      </c>
      <c r="G963" s="9" t="str">
        <f>IFERROR(__xludf.DUMMYFUNCTION("""COMPUTED_VALUE"""),"C++")</f>
        <v>C++</v>
      </c>
      <c r="H963" s="9" t="str">
        <f>IFERROR(__xludf.DUMMYFUNCTION("""COMPUTED_VALUE"""),"Java")</f>
        <v>Java</v>
      </c>
      <c r="I963" s="9" t="str">
        <f>IFERROR(__xludf.DUMMYFUNCTION("""COMPUTED_VALUE"""),"C#")</f>
        <v>C#</v>
      </c>
      <c r="J963" s="9" t="str">
        <f>IFERROR(__xludf.DUMMYFUNCTION("""COMPUTED_VALUE"""),"JavaScript")</f>
        <v>JavaScript</v>
      </c>
      <c r="K963" s="9" t="str">
        <f>IFERROR(__xludf.DUMMYFUNCTION("""COMPUTED_VALUE"""),"PHP")</f>
        <v>PHP</v>
      </c>
      <c r="L963" s="9" t="str">
        <f>IFERROR(__xludf.DUMMYFUNCTION("""COMPUTED_VALUE"""),"SQL")</f>
        <v>SQL</v>
      </c>
      <c r="M963" s="9" t="s">
        <v>20</v>
      </c>
    </row>
    <row r="964" ht="15.75" customHeight="1">
      <c r="A964" s="7"/>
      <c r="B964" s="7" t="str">
        <f>IFERROR(__xludf.DUMMYFUNCTION("""COMPUTED_VALUE"""),"Java")</f>
        <v>Java</v>
      </c>
      <c r="C964" s="9" t="str">
        <f>IFERROR(__xludf.DUMMYFUNCTION("""COMPUTED_VALUE"""),"JavaScript")</f>
        <v>JavaScript</v>
      </c>
      <c r="D964" s="9" t="str">
        <f>IFERROR(__xludf.DUMMYFUNCTION("""COMPUTED_VALUE"""),"Kotlin")</f>
        <v>Kotlin</v>
      </c>
      <c r="E964" s="9" t="str">
        <f>IFERROR(__xludf.DUMMYFUNCTION("""COMPUTED_VALUE"""),"JavaScript")</f>
        <v>JavaScript</v>
      </c>
      <c r="F964" s="9" t="str">
        <f>IFERROR(__xludf.DUMMYFUNCTION("""COMPUTED_VALUE"""),"SQL")</f>
        <v>SQL</v>
      </c>
      <c r="G964" s="9" t="str">
        <f>IFERROR(__xludf.DUMMYFUNCTION("""COMPUTED_VALUE"""),"HTML/CSS")</f>
        <v>HTML/CSS</v>
      </c>
      <c r="H964" s="9" t="str">
        <f>IFERROR(__xludf.DUMMYFUNCTION("""COMPUTED_VALUE"""),"JavaScript")</f>
        <v>JavaScript</v>
      </c>
      <c r="I964" s="9" t="str">
        <f>IFERROR(__xludf.DUMMYFUNCTION("""COMPUTED_VALUE"""),"HTML/CSS")</f>
        <v>HTML/CSS</v>
      </c>
      <c r="J964" s="9" t="str">
        <f>IFERROR(__xludf.DUMMYFUNCTION("""COMPUTED_VALUE"""),"Python")</f>
        <v>Python</v>
      </c>
      <c r="K964" s="9" t="str">
        <f>IFERROR(__xludf.DUMMYFUNCTION("""COMPUTED_VALUE"""),"SQL")</f>
        <v>SQL</v>
      </c>
      <c r="L964" s="9" t="str">
        <f>IFERROR(__xludf.DUMMYFUNCTION("""COMPUTED_VALUE"""),"Bash/Shell/PowerShell")</f>
        <v>Bash/Shell/PowerShell</v>
      </c>
      <c r="M964" s="9" t="s">
        <v>21</v>
      </c>
    </row>
    <row r="965" ht="15.75" customHeight="1">
      <c r="A965" s="7"/>
      <c r="B965" s="7" t="str">
        <f>IFERROR(__xludf.DUMMYFUNCTION("""COMPUTED_VALUE"""),"C#;HTML/CSS;Java;JavaScript;PHP;SQL;TypeScript")</f>
        <v>C#;HTML/CSS;Java;JavaScript;PHP;SQL;TypeScript</v>
      </c>
      <c r="C965" s="9" t="str">
        <f>IFERROR(__xludf.DUMMYFUNCTION("""COMPUTED_VALUE"""),"Python")</f>
        <v>Python</v>
      </c>
      <c r="D965" s="9" t="str">
        <f>IFERROR(__xludf.DUMMYFUNCTION("""COMPUTED_VALUE"""),"Objective-C")</f>
        <v>Objective-C</v>
      </c>
      <c r="E965" s="9" t="str">
        <f>IFERROR(__xludf.DUMMYFUNCTION("""COMPUTED_VALUE"""),"PHP")</f>
        <v>PHP</v>
      </c>
      <c r="F965" s="9" t="str">
        <f>IFERROR(__xludf.DUMMYFUNCTION("""COMPUTED_VALUE"""),"Other(s):")</f>
        <v>Other(s):</v>
      </c>
      <c r="G965" s="9" t="str">
        <f>IFERROR(__xludf.DUMMYFUNCTION("""COMPUTED_VALUE"""),"Java")</f>
        <v>Java</v>
      </c>
      <c r="H965" s="9" t="str">
        <f>IFERROR(__xludf.DUMMYFUNCTION("""COMPUTED_VALUE"""),"Python")</f>
        <v>Python</v>
      </c>
      <c r="I965" s="9" t="str">
        <f>IFERROR(__xludf.DUMMYFUNCTION("""COMPUTED_VALUE"""),"JavaScript")</f>
        <v>JavaScript</v>
      </c>
      <c r="J965" s="9" t="str">
        <f>IFERROR(__xludf.DUMMYFUNCTION("""COMPUTED_VALUE"""),"Assembly")</f>
        <v>Assembly</v>
      </c>
      <c r="K965" s="9" t="str">
        <f>IFERROR(__xludf.DUMMYFUNCTION("""COMPUTED_VALUE"""),"JavaScript")</f>
        <v>JavaScript</v>
      </c>
      <c r="L965" s="9" t="str">
        <f>IFERROR(__xludf.DUMMYFUNCTION("""COMPUTED_VALUE"""),"C#")</f>
        <v>C#</v>
      </c>
      <c r="M965" s="9" t="s">
        <v>22</v>
      </c>
    </row>
    <row r="966" ht="15.75" customHeight="1">
      <c r="A966" s="7"/>
      <c r="B966" s="7" t="str">
        <f>IFERROR(__xludf.DUMMYFUNCTION("""COMPUTED_VALUE"""),"Java;JavaScript;TypeScript")</f>
        <v>Java;JavaScript;TypeScript</v>
      </c>
      <c r="C966" s="9" t="str">
        <f>IFERROR(__xludf.DUMMYFUNCTION("""COMPUTED_VALUE"""),"HTML/CSS")</f>
        <v>HTML/CSS</v>
      </c>
      <c r="D966" s="9" t="str">
        <f>IFERROR(__xludf.DUMMYFUNCTION("""COMPUTED_VALUE"""),"PHP")</f>
        <v>PHP</v>
      </c>
      <c r="E966" s="9" t="str">
        <f>IFERROR(__xludf.DUMMYFUNCTION("""COMPUTED_VALUE"""),"Ruby")</f>
        <v>Ruby</v>
      </c>
      <c r="F966" s="9" t="str">
        <f>IFERROR(__xludf.DUMMYFUNCTION("""COMPUTED_VALUE"""),"Assembly")</f>
        <v>Assembly</v>
      </c>
      <c r="G966" s="9" t="str">
        <f>IFERROR(__xludf.DUMMYFUNCTION("""COMPUTED_VALUE"""),"C")</f>
        <v>C</v>
      </c>
      <c r="H966" s="9" t="str">
        <f>IFERROR(__xludf.DUMMYFUNCTION("""COMPUTED_VALUE"""),"SQL")</f>
        <v>SQL</v>
      </c>
      <c r="I966" s="9" t="str">
        <f>IFERROR(__xludf.DUMMYFUNCTION("""COMPUTED_VALUE"""),"PHP")</f>
        <v>PHP</v>
      </c>
      <c r="J966" s="9" t="str">
        <f>IFERROR(__xludf.DUMMYFUNCTION("""COMPUTED_VALUE"""),"C")</f>
        <v>C</v>
      </c>
      <c r="K966" s="9" t="str">
        <f>IFERROR(__xludf.DUMMYFUNCTION("""COMPUTED_VALUE"""),"PHP")</f>
        <v>PHP</v>
      </c>
      <c r="L966" s="9" t="str">
        <f>IFERROR(__xludf.DUMMYFUNCTION("""COMPUTED_VALUE"""),"HTML/CSS")</f>
        <v>HTML/CSS</v>
      </c>
      <c r="M966" s="9" t="s">
        <v>24</v>
      </c>
    </row>
    <row r="967" ht="15.75" customHeight="1">
      <c r="A967" s="7"/>
      <c r="B967" s="7" t="str">
        <f>IFERROR(__xludf.DUMMYFUNCTION("""COMPUTED_VALUE"""),"Bash/Shell/PowerShell;C;C++;C#;Java;SQL")</f>
        <v>Bash/Shell/PowerShell;C;C++;C#;Java;SQL</v>
      </c>
      <c r="C967" s="9" t="str">
        <f>IFERROR(__xludf.DUMMYFUNCTION("""COMPUTED_VALUE"""),"JavaScript")</f>
        <v>JavaScript</v>
      </c>
      <c r="D967" s="9" t="str">
        <f>IFERROR(__xludf.DUMMYFUNCTION("""COMPUTED_VALUE"""),"SQL")</f>
        <v>SQL</v>
      </c>
      <c r="E967" s="9" t="str">
        <f>IFERROR(__xludf.DUMMYFUNCTION("""COMPUTED_VALUE"""),"SQL")</f>
        <v>SQL</v>
      </c>
      <c r="F967" s="9" t="str">
        <f>IFERROR(__xludf.DUMMYFUNCTION("""COMPUTED_VALUE"""),"Bash/Shell/PowerShell")</f>
        <v>Bash/Shell/PowerShell</v>
      </c>
      <c r="G967" s="9" t="str">
        <f>IFERROR(__xludf.DUMMYFUNCTION("""COMPUTED_VALUE"""),"C++")</f>
        <v>C++</v>
      </c>
      <c r="H967" s="9" t="str">
        <f>IFERROR(__xludf.DUMMYFUNCTION("""COMPUTED_VALUE"""),"HTML/CSS")</f>
        <v>HTML/CSS</v>
      </c>
      <c r="I967" s="9" t="str">
        <f>IFERROR(__xludf.DUMMYFUNCTION("""COMPUTED_VALUE"""),"HTML/CSS")</f>
        <v>HTML/CSS</v>
      </c>
      <c r="J967" s="9" t="str">
        <f>IFERROR(__xludf.DUMMYFUNCTION("""COMPUTED_VALUE"""),"C++")</f>
        <v>C++</v>
      </c>
      <c r="K967" s="9" t="str">
        <f>IFERROR(__xludf.DUMMYFUNCTION("""COMPUTED_VALUE"""),"C#")</f>
        <v>C#</v>
      </c>
      <c r="L967" s="9" t="str">
        <f>IFERROR(__xludf.DUMMYFUNCTION("""COMPUTED_VALUE"""),"Java")</f>
        <v>Java</v>
      </c>
      <c r="M967" s="9" t="s">
        <v>21</v>
      </c>
    </row>
    <row r="968" ht="15.75" customHeight="1">
      <c r="A968" s="7"/>
      <c r="B968" s="7" t="str">
        <f>IFERROR(__xludf.DUMMYFUNCTION("""COMPUTED_VALUE"""),"Bash/Shell/PowerShell;HTML/CSS;Other(s):")</f>
        <v>Bash/Shell/PowerShell;HTML/CSS;Other(s):</v>
      </c>
      <c r="C968" s="9" t="str">
        <f>IFERROR(__xludf.DUMMYFUNCTION("""COMPUTED_VALUE"""),"Ruby")</f>
        <v>Ruby</v>
      </c>
      <c r="D968" s="9" t="str">
        <f>IFERROR(__xludf.DUMMYFUNCTION("""COMPUTED_VALUE"""),"Swift")</f>
        <v>Swift</v>
      </c>
      <c r="E968" s="9" t="str">
        <f>IFERROR(__xludf.DUMMYFUNCTION("""COMPUTED_VALUE"""),"Swift")</f>
        <v>Swift</v>
      </c>
      <c r="F968" s="9" t="str">
        <f>IFERROR(__xludf.DUMMYFUNCTION("""COMPUTED_VALUE"""),"C")</f>
        <v>C</v>
      </c>
      <c r="G968" s="9" t="str">
        <f>IFERROR(__xludf.DUMMYFUNCTION("""COMPUTED_VALUE"""),"HTML/CSS")</f>
        <v>HTML/CSS</v>
      </c>
      <c r="H968" s="9" t="str">
        <f>IFERROR(__xludf.DUMMYFUNCTION("""COMPUTED_VALUE"""),"JavaScript")</f>
        <v>JavaScript</v>
      </c>
      <c r="I968" s="9" t="str">
        <f>IFERROR(__xludf.DUMMYFUNCTION("""COMPUTED_VALUE"""),"JavaScript")</f>
        <v>JavaScript</v>
      </c>
      <c r="J968" s="9" t="str">
        <f>IFERROR(__xludf.DUMMYFUNCTION("""COMPUTED_VALUE"""),"C#")</f>
        <v>C#</v>
      </c>
      <c r="K968" s="9" t="str">
        <f>IFERROR(__xludf.DUMMYFUNCTION("""COMPUTED_VALUE"""),"HTML/CSS")</f>
        <v>HTML/CSS</v>
      </c>
      <c r="L968" s="9" t="str">
        <f>IFERROR(__xludf.DUMMYFUNCTION("""COMPUTED_VALUE"""),"JavaScript")</f>
        <v>JavaScript</v>
      </c>
      <c r="M968" s="9" t="s">
        <v>31</v>
      </c>
    </row>
    <row r="969" ht="15.75" customHeight="1">
      <c r="A969" s="7"/>
      <c r="B969" s="7" t="str">
        <f>IFERROR(__xludf.DUMMYFUNCTION("""COMPUTED_VALUE"""),"C#;HTML/CSS;JavaScript;SQL;TypeScript")</f>
        <v>C#;HTML/CSS;JavaScript;SQL;TypeScript</v>
      </c>
      <c r="C969" s="9" t="str">
        <f>IFERROR(__xludf.DUMMYFUNCTION("""COMPUTED_VALUE"""),"Scala")</f>
        <v>Scala</v>
      </c>
      <c r="D969" s="9" t="str">
        <f>IFERROR(__xludf.DUMMYFUNCTION("""COMPUTED_VALUE"""),"TypeScript")</f>
        <v>TypeScript</v>
      </c>
      <c r="E969" s="9" t="str">
        <f>IFERROR(__xludf.DUMMYFUNCTION("""COMPUTED_VALUE"""),"TypeScript")</f>
        <v>TypeScript</v>
      </c>
      <c r="F969" s="9" t="str">
        <f>IFERROR(__xludf.DUMMYFUNCTION("""COMPUTED_VALUE"""),"C++")</f>
        <v>C++</v>
      </c>
      <c r="G969" s="9" t="str">
        <f>IFERROR(__xludf.DUMMYFUNCTION("""COMPUTED_VALUE"""),"JavaScript")</f>
        <v>JavaScript</v>
      </c>
      <c r="H969" s="9" t="str">
        <f>IFERROR(__xludf.DUMMYFUNCTION("""COMPUTED_VALUE"""),"Ruby")</f>
        <v>Ruby</v>
      </c>
      <c r="I969" s="9" t="str">
        <f>IFERROR(__xludf.DUMMYFUNCTION("""COMPUTED_VALUE"""),"Bash/Shell/PowerShell")</f>
        <v>Bash/Shell/PowerShell</v>
      </c>
      <c r="J969" s="9" t="str">
        <f>IFERROR(__xludf.DUMMYFUNCTION("""COMPUTED_VALUE"""),"Go")</f>
        <v>Go</v>
      </c>
      <c r="K969" s="9" t="str">
        <f>IFERROR(__xludf.DUMMYFUNCTION("""COMPUTED_VALUE"""),"JavaScript")</f>
        <v>JavaScript</v>
      </c>
      <c r="L969" s="9" t="str">
        <f>IFERROR(__xludf.DUMMYFUNCTION("""COMPUTED_VALUE"""),"PHP")</f>
        <v>PHP</v>
      </c>
      <c r="M969" s="9" t="s">
        <v>46</v>
      </c>
    </row>
    <row r="970" ht="15.75" customHeight="1">
      <c r="A970" s="7"/>
      <c r="B970" s="7" t="str">
        <f>IFERROR(__xludf.DUMMYFUNCTION("""COMPUTED_VALUE"""),"C#;JavaScript;Python;TypeScript")</f>
        <v>C#;JavaScript;Python;TypeScript</v>
      </c>
      <c r="C970" s="9" t="str">
        <f>IFERROR(__xludf.DUMMYFUNCTION("""COMPUTED_VALUE"""),"SQL")</f>
        <v>SQL</v>
      </c>
      <c r="D970" s="9" t="str">
        <f>IFERROR(__xludf.DUMMYFUNCTION("""COMPUTED_VALUE"""),"VBA")</f>
        <v>VBA</v>
      </c>
      <c r="E970" s="9" t="str">
        <f>IFERROR(__xludf.DUMMYFUNCTION("""COMPUTED_VALUE"""),"Bash/Shell/PowerShell")</f>
        <v>Bash/Shell/PowerShell</v>
      </c>
      <c r="F970" s="9" t="str">
        <f>IFERROR(__xludf.DUMMYFUNCTION("""COMPUTED_VALUE"""),"HTML/CSS")</f>
        <v>HTML/CSS</v>
      </c>
      <c r="G970" s="9" t="str">
        <f>IFERROR(__xludf.DUMMYFUNCTION("""COMPUTED_VALUE"""),"PHP")</f>
        <v>PHP</v>
      </c>
      <c r="H970" s="9" t="str">
        <f>IFERROR(__xludf.DUMMYFUNCTION("""COMPUTED_VALUE"""),"Bash/Shell/PowerShell")</f>
        <v>Bash/Shell/PowerShell</v>
      </c>
      <c r="I970" s="9" t="str">
        <f>IFERROR(__xludf.DUMMYFUNCTION("""COMPUTED_VALUE"""),"HTML/CSS")</f>
        <v>HTML/CSS</v>
      </c>
      <c r="J970" s="9" t="str">
        <f>IFERROR(__xludf.DUMMYFUNCTION("""COMPUTED_VALUE"""),"HTML/CSS")</f>
        <v>HTML/CSS</v>
      </c>
      <c r="K970" s="9" t="str">
        <f>IFERROR(__xludf.DUMMYFUNCTION("""COMPUTED_VALUE"""),"SQL")</f>
        <v>SQL</v>
      </c>
      <c r="L970" s="9" t="str">
        <f>IFERROR(__xludf.DUMMYFUNCTION("""COMPUTED_VALUE"""),"Python")</f>
        <v>Python</v>
      </c>
      <c r="M970" s="9" t="s">
        <v>27</v>
      </c>
    </row>
    <row r="971" ht="15.75" customHeight="1">
      <c r="A971" s="7"/>
      <c r="B971" s="7" t="str">
        <f>IFERROR(__xludf.DUMMYFUNCTION("""COMPUTED_VALUE"""),"C#;HTML/CSS;Java;JavaScript;PHP;SQL")</f>
        <v>C#;HTML/CSS;Java;JavaScript;PHP;SQL</v>
      </c>
      <c r="C971" s="9" t="str">
        <f>IFERROR(__xludf.DUMMYFUNCTION("""COMPUTED_VALUE"""),"C#")</f>
        <v>C#</v>
      </c>
      <c r="D971" s="9" t="str">
        <f>IFERROR(__xludf.DUMMYFUNCTION("""COMPUTED_VALUE"""),"HTML/CSS")</f>
        <v>HTML/CSS</v>
      </c>
      <c r="E971" s="9" t="str">
        <f>IFERROR(__xludf.DUMMYFUNCTION("""COMPUTED_VALUE"""),"C++")</f>
        <v>C++</v>
      </c>
      <c r="F971" s="9" t="str">
        <f>IFERROR(__xludf.DUMMYFUNCTION("""COMPUTED_VALUE"""),"Java")</f>
        <v>Java</v>
      </c>
      <c r="G971" s="9" t="str">
        <f>IFERROR(__xludf.DUMMYFUNCTION("""COMPUTED_VALUE"""),"TypeScript")</f>
        <v>TypeScript</v>
      </c>
      <c r="H971" s="9" t="str">
        <f>IFERROR(__xludf.DUMMYFUNCTION("""COMPUTED_VALUE"""),"C")</f>
        <v>C</v>
      </c>
      <c r="I971" s="9" t="str">
        <f>IFERROR(__xludf.DUMMYFUNCTION("""COMPUTED_VALUE"""),"JavaScript")</f>
        <v>JavaScript</v>
      </c>
      <c r="J971" s="9" t="str">
        <f>IFERROR(__xludf.DUMMYFUNCTION("""COMPUTED_VALUE"""),"Java")</f>
        <v>Java</v>
      </c>
      <c r="K971" s="9" t="str">
        <f>IFERROR(__xludf.DUMMYFUNCTION("""COMPUTED_VALUE"""),"Java")</f>
        <v>Java</v>
      </c>
      <c r="L971" s="9" t="str">
        <f>IFERROR(__xludf.DUMMYFUNCTION("""COMPUTED_VALUE"""),"SQL")</f>
        <v>SQL</v>
      </c>
      <c r="M971" s="9" t="s">
        <v>26</v>
      </c>
    </row>
    <row r="972" ht="15.75" customHeight="1">
      <c r="A972" s="7"/>
      <c r="B972" s="7" t="str">
        <f>IFERROR(__xludf.DUMMYFUNCTION("""COMPUTED_VALUE"""),"C++;Go;Other(s):")</f>
        <v>C++;Go;Other(s):</v>
      </c>
      <c r="C972" s="9" t="str">
        <f>IFERROR(__xludf.DUMMYFUNCTION("""COMPUTED_VALUE"""),"Python")</f>
        <v>Python</v>
      </c>
      <c r="D972" s="9" t="str">
        <f>IFERROR(__xludf.DUMMYFUNCTION("""COMPUTED_VALUE"""),"JavaScript")</f>
        <v>JavaScript</v>
      </c>
      <c r="E972" s="9" t="str">
        <f>IFERROR(__xludf.DUMMYFUNCTION("""COMPUTED_VALUE"""),"HTML/CSS")</f>
        <v>HTML/CSS</v>
      </c>
      <c r="F972" s="9" t="str">
        <f>IFERROR(__xludf.DUMMYFUNCTION("""COMPUTED_VALUE"""),"JavaScript")</f>
        <v>JavaScript</v>
      </c>
      <c r="G972" s="9" t="str">
        <f>IFERROR(__xludf.DUMMYFUNCTION("""COMPUTED_VALUE"""),"C#")</f>
        <v>C#</v>
      </c>
      <c r="H972" s="9" t="str">
        <f>IFERROR(__xludf.DUMMYFUNCTION("""COMPUTED_VALUE"""),"C++")</f>
        <v>C++</v>
      </c>
      <c r="I972" s="9" t="str">
        <f>IFERROR(__xludf.DUMMYFUNCTION("""COMPUTED_VALUE"""),"Ruby")</f>
        <v>Ruby</v>
      </c>
      <c r="J972" s="9" t="str">
        <f>IFERROR(__xludf.DUMMYFUNCTION("""COMPUTED_VALUE"""),"JavaScript")</f>
        <v>JavaScript</v>
      </c>
      <c r="K972" s="9" t="str">
        <f>IFERROR(__xludf.DUMMYFUNCTION("""COMPUTED_VALUE"""),"JavaScript")</f>
        <v>JavaScript</v>
      </c>
      <c r="L972" s="9" t="str">
        <f>IFERROR(__xludf.DUMMYFUNCTION("""COMPUTED_VALUE"""),"TypeScript")</f>
        <v>TypeScript</v>
      </c>
      <c r="M972" s="9" t="s">
        <v>22</v>
      </c>
    </row>
    <row r="973" ht="15.75" customHeight="1">
      <c r="A973" s="7"/>
      <c r="B973" s="7" t="str">
        <f>IFERROR(__xludf.DUMMYFUNCTION("""COMPUTED_VALUE"""),"C#;HTML/CSS;JavaScript;SQL")</f>
        <v>C#;HTML/CSS;JavaScript;SQL</v>
      </c>
      <c r="C973" s="9" t="str">
        <f>IFERROR(__xludf.DUMMYFUNCTION("""COMPUTED_VALUE"""),"R")</f>
        <v>R</v>
      </c>
      <c r="D973" s="9" t="str">
        <f>IFERROR(__xludf.DUMMYFUNCTION("""COMPUTED_VALUE"""),"Python")</f>
        <v>Python</v>
      </c>
      <c r="E973" s="9" t="str">
        <f>IFERROR(__xludf.DUMMYFUNCTION("""COMPUTED_VALUE"""),"Java")</f>
        <v>Java</v>
      </c>
      <c r="F973" s="9" t="str">
        <f>IFERROR(__xludf.DUMMYFUNCTION("""COMPUTED_VALUE"""),"PHP")</f>
        <v>PHP</v>
      </c>
      <c r="G973" s="9" t="str">
        <f>IFERROR(__xludf.DUMMYFUNCTION("""COMPUTED_VALUE"""),"HTML/CSS")</f>
        <v>HTML/CSS</v>
      </c>
      <c r="H973" s="9" t="str">
        <f>IFERROR(__xludf.DUMMYFUNCTION("""COMPUTED_VALUE"""),"C#")</f>
        <v>C#</v>
      </c>
      <c r="I973" s="9" t="str">
        <f>IFERROR(__xludf.DUMMYFUNCTION("""COMPUTED_VALUE"""),"SQL")</f>
        <v>SQL</v>
      </c>
      <c r="J973" s="9" t="str">
        <f>IFERROR(__xludf.DUMMYFUNCTION("""COMPUTED_VALUE"""),"PHP")</f>
        <v>PHP</v>
      </c>
      <c r="K973" s="9" t="str">
        <f>IFERROR(__xludf.DUMMYFUNCTION("""COMPUTED_VALUE"""),"Python")</f>
        <v>Python</v>
      </c>
      <c r="L973" s="9" t="str">
        <f>IFERROR(__xludf.DUMMYFUNCTION("""COMPUTED_VALUE"""),"Bash/Shell/PowerShell")</f>
        <v>Bash/Shell/PowerShell</v>
      </c>
      <c r="M973" s="9" t="s">
        <v>29</v>
      </c>
    </row>
    <row r="974" ht="15.75" customHeight="1">
      <c r="A974" s="7"/>
      <c r="B974" s="7" t="str">
        <f>IFERROR(__xludf.DUMMYFUNCTION("""COMPUTED_VALUE"""),"Assembly;Bash/Shell/PowerShell;C;R;Ruby;SQL;Other(s):")</f>
        <v>Assembly;Bash/Shell/PowerShell;C;R;Ruby;SQL;Other(s):</v>
      </c>
      <c r="C974" s="9" t="str">
        <f>IFERROR(__xludf.DUMMYFUNCTION("""COMPUTED_VALUE"""),"SQL")</f>
        <v>SQL</v>
      </c>
      <c r="D974" s="9" t="str">
        <f>IFERROR(__xludf.DUMMYFUNCTION("""COMPUTED_VALUE"""),"R")</f>
        <v>R</v>
      </c>
      <c r="E974" s="9" t="str">
        <f>IFERROR(__xludf.DUMMYFUNCTION("""COMPUTED_VALUE"""),"JavaScript")</f>
        <v>JavaScript</v>
      </c>
      <c r="F974" s="9" t="str">
        <f>IFERROR(__xludf.DUMMYFUNCTION("""COMPUTED_VALUE"""),"Python")</f>
        <v>Python</v>
      </c>
      <c r="G974" s="9" t="str">
        <f>IFERROR(__xludf.DUMMYFUNCTION("""COMPUTED_VALUE"""),"JavaScript")</f>
        <v>JavaScript</v>
      </c>
      <c r="H974" s="9" t="str">
        <f>IFERROR(__xludf.DUMMYFUNCTION("""COMPUTED_VALUE"""),"Go")</f>
        <v>Go</v>
      </c>
      <c r="I974" s="9" t="str">
        <f>IFERROR(__xludf.DUMMYFUNCTION("""COMPUTED_VALUE"""),"HTML/CSS")</f>
        <v>HTML/CSS</v>
      </c>
      <c r="J974" s="9" t="str">
        <f>IFERROR(__xludf.DUMMYFUNCTION("""COMPUTED_VALUE"""),"SQL")</f>
        <v>SQL</v>
      </c>
      <c r="K974" s="9" t="str">
        <f>IFERROR(__xludf.DUMMYFUNCTION("""COMPUTED_VALUE"""),"Scala")</f>
        <v>Scala</v>
      </c>
      <c r="L974" s="9" t="str">
        <f>IFERROR(__xludf.DUMMYFUNCTION("""COMPUTED_VALUE"""),"C#")</f>
        <v>C#</v>
      </c>
      <c r="M974" s="9" t="s">
        <v>27</v>
      </c>
    </row>
    <row r="975" ht="15.75" customHeight="1">
      <c r="A975" s="7"/>
      <c r="B975" s="7" t="str">
        <f>IFERROR(__xludf.DUMMYFUNCTION("""COMPUTED_VALUE"""),"Assembly;C;C++;HTML/CSS;Java;JavaScript;Kotlin;PHP;Python;SQL")</f>
        <v>Assembly;C;C++;HTML/CSS;Java;JavaScript;Kotlin;PHP;Python;SQL</v>
      </c>
      <c r="C975" s="9" t="str">
        <f>IFERROR(__xludf.DUMMYFUNCTION("""COMPUTED_VALUE"""),"VBA")</f>
        <v>VBA</v>
      </c>
      <c r="D975" s="9" t="str">
        <f>IFERROR(__xludf.DUMMYFUNCTION("""COMPUTED_VALUE"""),"SQL")</f>
        <v>SQL</v>
      </c>
      <c r="E975" s="9" t="str">
        <f>IFERROR(__xludf.DUMMYFUNCTION("""COMPUTED_VALUE"""),"PHP")</f>
        <v>PHP</v>
      </c>
      <c r="F975" s="9" t="str">
        <f>IFERROR(__xludf.DUMMYFUNCTION("""COMPUTED_VALUE"""),"SQL")</f>
        <v>SQL</v>
      </c>
      <c r="G975" s="9" t="str">
        <f>IFERROR(__xludf.DUMMYFUNCTION("""COMPUTED_VALUE"""),"Kotlin")</f>
        <v>Kotlin</v>
      </c>
      <c r="H975" s="9" t="str">
        <f>IFERROR(__xludf.DUMMYFUNCTION("""COMPUTED_VALUE"""),"HTML/CSS")</f>
        <v>HTML/CSS</v>
      </c>
      <c r="I975" s="9" t="str">
        <f>IFERROR(__xludf.DUMMYFUNCTION("""COMPUTED_VALUE"""),"JavaScript")</f>
        <v>JavaScript</v>
      </c>
      <c r="J975" s="9" t="str">
        <f>IFERROR(__xludf.DUMMYFUNCTION("""COMPUTED_VALUE"""),"TypeScript")</f>
        <v>TypeScript</v>
      </c>
      <c r="K975" s="9" t="str">
        <f>IFERROR(__xludf.DUMMYFUNCTION("""COMPUTED_VALUE"""),"TypeScript")</f>
        <v>TypeScript</v>
      </c>
      <c r="L975" s="9" t="str">
        <f>IFERROR(__xludf.DUMMYFUNCTION("""COMPUTED_VALUE"""),"HTML/CSS")</f>
        <v>HTML/CSS</v>
      </c>
      <c r="M975" s="9" t="s">
        <v>28</v>
      </c>
    </row>
    <row r="976" ht="15.75" customHeight="1">
      <c r="A976" s="7"/>
      <c r="B976" s="7" t="str">
        <f>IFERROR(__xludf.DUMMYFUNCTION("""COMPUTED_VALUE"""),"JavaScript;Ruby;SQL")</f>
        <v>JavaScript;Ruby;SQL</v>
      </c>
      <c r="C976" s="9" t="str">
        <f>IFERROR(__xludf.DUMMYFUNCTION("""COMPUTED_VALUE"""),"C++")</f>
        <v>C++</v>
      </c>
      <c r="D976" s="9" t="str">
        <f>IFERROR(__xludf.DUMMYFUNCTION("""COMPUTED_VALUE"""),"C++")</f>
        <v>C++</v>
      </c>
      <c r="E976" s="9" t="str">
        <f>IFERROR(__xludf.DUMMYFUNCTION("""COMPUTED_VALUE"""),"Python")</f>
        <v>Python</v>
      </c>
      <c r="F976" s="9" t="str">
        <f>IFERROR(__xludf.DUMMYFUNCTION("""COMPUTED_VALUE"""),"HTML/CSS")</f>
        <v>HTML/CSS</v>
      </c>
      <c r="G976" s="9" t="str">
        <f>IFERROR(__xludf.DUMMYFUNCTION("""COMPUTED_VALUE"""),"SQL")</f>
        <v>SQL</v>
      </c>
      <c r="H976" s="9" t="str">
        <f>IFERROR(__xludf.DUMMYFUNCTION("""COMPUTED_VALUE"""),"Java")</f>
        <v>Java</v>
      </c>
      <c r="I976" s="9" t="str">
        <f>IFERROR(__xludf.DUMMYFUNCTION("""COMPUTED_VALUE"""),"Python")</f>
        <v>Python</v>
      </c>
      <c r="J976" s="9" t="str">
        <f>IFERROR(__xludf.DUMMYFUNCTION("""COMPUTED_VALUE"""),"Bash/Shell/PowerShell")</f>
        <v>Bash/Shell/PowerShell</v>
      </c>
      <c r="K976" s="9" t="str">
        <f>IFERROR(__xludf.DUMMYFUNCTION("""COMPUTED_VALUE"""),"Java")</f>
        <v>Java</v>
      </c>
      <c r="L976" s="9" t="str">
        <f>IFERROR(__xludf.DUMMYFUNCTION("""COMPUTED_VALUE"""),"JavaScript")</f>
        <v>JavaScript</v>
      </c>
      <c r="M976" s="9" t="s">
        <v>23</v>
      </c>
    </row>
    <row r="977" ht="15.75" customHeight="1">
      <c r="A977" s="7"/>
      <c r="B977" s="7" t="str">
        <f>IFERROR(__xludf.DUMMYFUNCTION("""COMPUTED_VALUE"""),"Bash/Shell/PowerShell;C;C++;HTML/CSS;Python")</f>
        <v>Bash/Shell/PowerShell;C;C++;HTML/CSS;Python</v>
      </c>
      <c r="C977" s="9" t="str">
        <f>IFERROR(__xludf.DUMMYFUNCTION("""COMPUTED_VALUE"""),"HTML/CSS")</f>
        <v>HTML/CSS</v>
      </c>
      <c r="D977" s="9" t="str">
        <f>IFERROR(__xludf.DUMMYFUNCTION("""COMPUTED_VALUE"""),"C#")</f>
        <v>C#</v>
      </c>
      <c r="E977" s="9" t="str">
        <f>IFERROR(__xludf.DUMMYFUNCTION("""COMPUTED_VALUE"""),"R")</f>
        <v>R</v>
      </c>
      <c r="F977" s="9" t="str">
        <f>IFERROR(__xludf.DUMMYFUNCTION("""COMPUTED_VALUE"""),"Java")</f>
        <v>Java</v>
      </c>
      <c r="G977" s="9" t="str">
        <f>IFERROR(__xludf.DUMMYFUNCTION("""COMPUTED_VALUE"""),"TypeScript")</f>
        <v>TypeScript</v>
      </c>
      <c r="H977" s="9" t="str">
        <f>IFERROR(__xludf.DUMMYFUNCTION("""COMPUTED_VALUE"""),"JavaScript")</f>
        <v>JavaScript</v>
      </c>
      <c r="I977" s="9" t="str">
        <f>IFERROR(__xludf.DUMMYFUNCTION("""COMPUTED_VALUE"""),"Bash/Shell/PowerShell")</f>
        <v>Bash/Shell/PowerShell</v>
      </c>
      <c r="J977" s="9" t="str">
        <f>IFERROR(__xludf.DUMMYFUNCTION("""COMPUTED_VALUE"""),"Java")</f>
        <v>Java</v>
      </c>
      <c r="K977" s="9" t="str">
        <f>IFERROR(__xludf.DUMMYFUNCTION("""COMPUTED_VALUE"""),"SQL")</f>
        <v>SQL</v>
      </c>
      <c r="L977" s="9" t="str">
        <f>IFERROR(__xludf.DUMMYFUNCTION("""COMPUTED_VALUE"""),"PHP")</f>
        <v>PHP</v>
      </c>
      <c r="M977" s="9" t="s">
        <v>24</v>
      </c>
    </row>
    <row r="978" ht="15.75" customHeight="1">
      <c r="A978" s="7"/>
      <c r="B978" s="7" t="str">
        <f>IFERROR(__xludf.DUMMYFUNCTION("""COMPUTED_VALUE"""),"Python;SQL")</f>
        <v>Python;SQL</v>
      </c>
      <c r="C978" s="9" t="str">
        <f>IFERROR(__xludf.DUMMYFUNCTION("""COMPUTED_VALUE"""),"JavaScript")</f>
        <v>JavaScript</v>
      </c>
      <c r="D978" s="9" t="str">
        <f>IFERROR(__xludf.DUMMYFUNCTION("""COMPUTED_VALUE"""),"HTML/CSS")</f>
        <v>HTML/CSS</v>
      </c>
      <c r="E978" s="9" t="str">
        <f>IFERROR(__xludf.DUMMYFUNCTION("""COMPUTED_VALUE"""),"SQL")</f>
        <v>SQL</v>
      </c>
      <c r="F978" s="9" t="str">
        <f>IFERROR(__xludf.DUMMYFUNCTION("""COMPUTED_VALUE"""),"JavaScript")</f>
        <v>JavaScript</v>
      </c>
      <c r="G978" s="9" t="str">
        <f>IFERROR(__xludf.DUMMYFUNCTION("""COMPUTED_VALUE"""),"VBA")</f>
        <v>VBA</v>
      </c>
      <c r="H978" s="9" t="str">
        <f>IFERROR(__xludf.DUMMYFUNCTION("""COMPUTED_VALUE"""),"Kotlin")</f>
        <v>Kotlin</v>
      </c>
      <c r="I978" s="9" t="str">
        <f>IFERROR(__xludf.DUMMYFUNCTION("""COMPUTED_VALUE"""),"C#")</f>
        <v>C#</v>
      </c>
      <c r="J978" s="9" t="str">
        <f>IFERROR(__xludf.DUMMYFUNCTION("""COMPUTED_VALUE"""),"JavaScript")</f>
        <v>JavaScript</v>
      </c>
      <c r="K978" s="9" t="str">
        <f>IFERROR(__xludf.DUMMYFUNCTION("""COMPUTED_VALUE"""),"Bash/Shell/PowerShell")</f>
        <v>Bash/Shell/PowerShell</v>
      </c>
      <c r="L978" s="9" t="str">
        <f>IFERROR(__xludf.DUMMYFUNCTION("""COMPUTED_VALUE"""),"SQL")</f>
        <v>SQL</v>
      </c>
      <c r="M978" s="9" t="s">
        <v>21</v>
      </c>
    </row>
    <row r="979" ht="15.75" customHeight="1">
      <c r="A979" s="7"/>
      <c r="B979" s="7" t="str">
        <f>IFERROR(__xludf.DUMMYFUNCTION("""COMPUTED_VALUE"""),"HTML/CSS;JavaScript;PHP;Python;SQL;VBA")</f>
        <v>HTML/CSS;JavaScript;PHP;Python;SQL;VBA</v>
      </c>
      <c r="C979" s="9" t="str">
        <f>IFERROR(__xludf.DUMMYFUNCTION("""COMPUTED_VALUE"""),"Python")</f>
        <v>Python</v>
      </c>
      <c r="D979" s="9" t="str">
        <f>IFERROR(__xludf.DUMMYFUNCTION("""COMPUTED_VALUE"""),"Java")</f>
        <v>Java</v>
      </c>
      <c r="E979" s="9" t="str">
        <f>IFERROR(__xludf.DUMMYFUNCTION("""COMPUTED_VALUE"""),"C++")</f>
        <v>C++</v>
      </c>
      <c r="F979" s="9" t="str">
        <f>IFERROR(__xludf.DUMMYFUNCTION("""COMPUTED_VALUE"""),"Bash/Shell/PowerShell")</f>
        <v>Bash/Shell/PowerShell</v>
      </c>
      <c r="G979" s="9" t="str">
        <f>IFERROR(__xludf.DUMMYFUNCTION("""COMPUTED_VALUE"""),"Bash/Shell/PowerShell")</f>
        <v>Bash/Shell/PowerShell</v>
      </c>
      <c r="H979" s="9" t="str">
        <f>IFERROR(__xludf.DUMMYFUNCTION("""COMPUTED_VALUE"""),"PHP")</f>
        <v>PHP</v>
      </c>
      <c r="I979" s="9" t="str">
        <f>IFERROR(__xludf.DUMMYFUNCTION("""COMPUTED_VALUE"""),"R")</f>
        <v>R</v>
      </c>
      <c r="J979" s="9" t="str">
        <f>IFERROR(__xludf.DUMMYFUNCTION("""COMPUTED_VALUE"""),"SQL")</f>
        <v>SQL</v>
      </c>
      <c r="K979" s="9" t="str">
        <f>IFERROR(__xludf.DUMMYFUNCTION("""COMPUTED_VALUE"""),"HTML/CSS")</f>
        <v>HTML/CSS</v>
      </c>
      <c r="L979" s="9" t="str">
        <f>IFERROR(__xludf.DUMMYFUNCTION("""COMPUTED_VALUE"""),"TypeScript")</f>
        <v>TypeScript</v>
      </c>
      <c r="M979" s="9" t="s">
        <v>22</v>
      </c>
    </row>
    <row r="980" ht="15.75" customHeight="1">
      <c r="A980" s="7"/>
      <c r="B980" s="7" t="str">
        <f>IFERROR(__xludf.DUMMYFUNCTION("""COMPUTED_VALUE"""),"Bash/Shell/PowerShell;C;C++;HTML/CSS;Java;JavaScript;Python;SQL;Swift")</f>
        <v>Bash/Shell/PowerShell;C;C++;HTML/CSS;Java;JavaScript;Python;SQL;Swift</v>
      </c>
      <c r="C980" s="9" t="str">
        <f>IFERROR(__xludf.DUMMYFUNCTION("""COMPUTED_VALUE"""),"SQL")</f>
        <v>SQL</v>
      </c>
      <c r="D980" s="9" t="str">
        <f>IFERROR(__xludf.DUMMYFUNCTION("""COMPUTED_VALUE"""),"JavaScript")</f>
        <v>JavaScript</v>
      </c>
      <c r="E980" s="9" t="str">
        <f>IFERROR(__xludf.DUMMYFUNCTION("""COMPUTED_VALUE"""),"Java")</f>
        <v>Java</v>
      </c>
      <c r="F980" s="9" t="str">
        <f>IFERROR(__xludf.DUMMYFUNCTION("""COMPUTED_VALUE"""),"C#")</f>
        <v>C#</v>
      </c>
      <c r="G980" s="9" t="str">
        <f>IFERROR(__xludf.DUMMYFUNCTION("""COMPUTED_VALUE"""),"Java")</f>
        <v>Java</v>
      </c>
      <c r="H980" s="9" t="str">
        <f>IFERROR(__xludf.DUMMYFUNCTION("""COMPUTED_VALUE"""),"Python")</f>
        <v>Python</v>
      </c>
      <c r="I980" s="9" t="str">
        <f>IFERROR(__xludf.DUMMYFUNCTION("""COMPUTED_VALUE"""),"HTML/CSS")</f>
        <v>HTML/CSS</v>
      </c>
      <c r="J980" s="9" t="str">
        <f>IFERROR(__xludf.DUMMYFUNCTION("""COMPUTED_VALUE"""),"Go")</f>
        <v>Go</v>
      </c>
      <c r="K980" s="9" t="str">
        <f>IFERROR(__xludf.DUMMYFUNCTION("""COMPUTED_VALUE"""),"JavaScript")</f>
        <v>JavaScript</v>
      </c>
      <c r="L980" s="9" t="str">
        <f>IFERROR(__xludf.DUMMYFUNCTION("""COMPUTED_VALUE"""),"C#")</f>
        <v>C#</v>
      </c>
      <c r="M980" s="9" t="s">
        <v>27</v>
      </c>
    </row>
    <row r="981" ht="15.75" customHeight="1">
      <c r="A981" s="7"/>
      <c r="B981" s="7" t="str">
        <f>IFERROR(__xludf.DUMMYFUNCTION("""COMPUTED_VALUE"""),"Assembly;Bash/Shell/PowerShell;C;C++;C#;Go;HTML/CSS;Java;JavaScript;PHP;Python;R;Ruby;Rust;SQL;VBA")</f>
        <v>Assembly;Bash/Shell/PowerShell;C;C++;C#;Go;HTML/CSS;Java;JavaScript;PHP;Python;R;Ruby;Rust;SQL;VBA</v>
      </c>
      <c r="C981" s="9" t="str">
        <f>IFERROR(__xludf.DUMMYFUNCTION("""COMPUTED_VALUE"""),"Java")</f>
        <v>Java</v>
      </c>
      <c r="D981" s="9" t="str">
        <f>IFERROR(__xludf.DUMMYFUNCTION("""COMPUTED_VALUE"""),"C#")</f>
        <v>C#</v>
      </c>
      <c r="E981" s="9" t="str">
        <f>IFERROR(__xludf.DUMMYFUNCTION("""COMPUTED_VALUE"""),"Python")</f>
        <v>Python</v>
      </c>
      <c r="F981" s="9" t="str">
        <f>IFERROR(__xludf.DUMMYFUNCTION("""COMPUTED_VALUE"""),"Go")</f>
        <v>Go</v>
      </c>
      <c r="G981" s="9" t="str">
        <f>IFERROR(__xludf.DUMMYFUNCTION("""COMPUTED_VALUE"""),"JavaScript")</f>
        <v>JavaScript</v>
      </c>
      <c r="H981" s="9" t="str">
        <f>IFERROR(__xludf.DUMMYFUNCTION("""COMPUTED_VALUE"""),"Ruby")</f>
        <v>Ruby</v>
      </c>
      <c r="I981" s="9" t="str">
        <f>IFERROR(__xludf.DUMMYFUNCTION("""COMPUTED_VALUE"""),"JavaScript")</f>
        <v>JavaScript</v>
      </c>
      <c r="J981" s="9" t="str">
        <f>IFERROR(__xludf.DUMMYFUNCTION("""COMPUTED_VALUE"""),"JavaScript")</f>
        <v>JavaScript</v>
      </c>
      <c r="K981" s="9" t="str">
        <f>IFERROR(__xludf.DUMMYFUNCTION("""COMPUTED_VALUE"""),"PHP")</f>
        <v>PHP</v>
      </c>
      <c r="L981" s="9" t="str">
        <f>IFERROR(__xludf.DUMMYFUNCTION("""COMPUTED_VALUE"""),"HTML/CSS")</f>
        <v>HTML/CSS</v>
      </c>
      <c r="M981" s="9" t="s">
        <v>20</v>
      </c>
    </row>
    <row r="982" ht="15.75" customHeight="1">
      <c r="A982" s="7"/>
      <c r="B982" s="7" t="str">
        <f>IFERROR(__xludf.DUMMYFUNCTION("""COMPUTED_VALUE"""),"Bash/Shell/PowerShell;JavaScript;Python;SQL")</f>
        <v>Bash/Shell/PowerShell;JavaScript;Python;SQL</v>
      </c>
      <c r="C982" s="9" t="str">
        <f>IFERROR(__xludf.DUMMYFUNCTION("""COMPUTED_VALUE"""),"Scala")</f>
        <v>Scala</v>
      </c>
      <c r="D982" s="9" t="str">
        <f>IFERROR(__xludf.DUMMYFUNCTION("""COMPUTED_VALUE"""),"HTML/CSS")</f>
        <v>HTML/CSS</v>
      </c>
      <c r="E982" s="9" t="str">
        <f>IFERROR(__xludf.DUMMYFUNCTION("""COMPUTED_VALUE"""),"SQL")</f>
        <v>SQL</v>
      </c>
      <c r="F982" s="9" t="str">
        <f>IFERROR(__xludf.DUMMYFUNCTION("""COMPUTED_VALUE"""),"HTML/CSS")</f>
        <v>HTML/CSS</v>
      </c>
      <c r="G982" s="9" t="str">
        <f>IFERROR(__xludf.DUMMYFUNCTION("""COMPUTED_VALUE"""),"SQL")</f>
        <v>SQL</v>
      </c>
      <c r="H982" s="9" t="str">
        <f>IFERROR(__xludf.DUMMYFUNCTION("""COMPUTED_VALUE"""),"Scala")</f>
        <v>Scala</v>
      </c>
      <c r="I982" s="9" t="str">
        <f>IFERROR(__xludf.DUMMYFUNCTION("""COMPUTED_VALUE"""),"Python")</f>
        <v>Python</v>
      </c>
      <c r="J982" s="9" t="str">
        <f>IFERROR(__xludf.DUMMYFUNCTION("""COMPUTED_VALUE"""),"HTML/CSS")</f>
        <v>HTML/CSS</v>
      </c>
      <c r="K982" s="9" t="str">
        <f>IFERROR(__xludf.DUMMYFUNCTION("""COMPUTED_VALUE"""),"SQL")</f>
        <v>SQL</v>
      </c>
      <c r="L982" s="9" t="str">
        <f>IFERROR(__xludf.DUMMYFUNCTION("""COMPUTED_VALUE"""),"JavaScript")</f>
        <v>JavaScript</v>
      </c>
      <c r="M982" s="9" t="s">
        <v>46</v>
      </c>
    </row>
    <row r="983" ht="15.75" customHeight="1">
      <c r="A983" s="7"/>
      <c r="B983" s="7" t="str">
        <f>IFERROR(__xludf.DUMMYFUNCTION("""COMPUTED_VALUE"""),"PHP;Python;SQL")</f>
        <v>PHP;Python;SQL</v>
      </c>
      <c r="C983" s="9" t="str">
        <f>IFERROR(__xludf.DUMMYFUNCTION("""COMPUTED_VALUE"""),"SQL")</f>
        <v>SQL</v>
      </c>
      <c r="D983" s="9" t="str">
        <f>IFERROR(__xludf.DUMMYFUNCTION("""COMPUTED_VALUE"""),"Java")</f>
        <v>Java</v>
      </c>
      <c r="E983" s="9" t="str">
        <f>IFERROR(__xludf.DUMMYFUNCTION("""COMPUTED_VALUE"""),"Assembly")</f>
        <v>Assembly</v>
      </c>
      <c r="F983" s="9" t="str">
        <f>IFERROR(__xludf.DUMMYFUNCTION("""COMPUTED_VALUE"""),"JavaScript")</f>
        <v>JavaScript</v>
      </c>
      <c r="G983" s="9" t="str">
        <f>IFERROR(__xludf.DUMMYFUNCTION("""COMPUTED_VALUE"""),"HTML/CSS")</f>
        <v>HTML/CSS</v>
      </c>
      <c r="H983" s="9" t="str">
        <f>IFERROR(__xludf.DUMMYFUNCTION("""COMPUTED_VALUE"""),"SQL")</f>
        <v>SQL</v>
      </c>
      <c r="I983" s="9" t="str">
        <f>IFERROR(__xludf.DUMMYFUNCTION("""COMPUTED_VALUE"""),"C++")</f>
        <v>C++</v>
      </c>
      <c r="J983" s="9" t="str">
        <f>IFERROR(__xludf.DUMMYFUNCTION("""COMPUTED_VALUE"""),"Java")</f>
        <v>Java</v>
      </c>
      <c r="K983" s="9" t="str">
        <f>IFERROR(__xludf.DUMMYFUNCTION("""COMPUTED_VALUE"""),"HTML/CSS")</f>
        <v>HTML/CSS</v>
      </c>
      <c r="L983" s="9" t="str">
        <f>IFERROR(__xludf.DUMMYFUNCTION("""COMPUTED_VALUE"""),"SQL")</f>
        <v>SQL</v>
      </c>
      <c r="M983" s="9" t="s">
        <v>27</v>
      </c>
    </row>
    <row r="984" ht="15.75" customHeight="1">
      <c r="A984" s="7"/>
      <c r="B984" s="7" t="str">
        <f>IFERROR(__xludf.DUMMYFUNCTION("""COMPUTED_VALUE"""),"Assembly;Bash/Shell/PowerShell;C;HTML/CSS;Java;JavaScript;Kotlin;Python;Other(s):")</f>
        <v>Assembly;Bash/Shell/PowerShell;C;HTML/CSS;Java;JavaScript;Kotlin;Python;Other(s):</v>
      </c>
      <c r="C984" s="9" t="str">
        <f>IFERROR(__xludf.DUMMYFUNCTION("""COMPUTED_VALUE"""),"TypeScript")</f>
        <v>TypeScript</v>
      </c>
      <c r="D984" s="9" t="str">
        <f>IFERROR(__xludf.DUMMYFUNCTION("""COMPUTED_VALUE"""),"JavaScript")</f>
        <v>JavaScript</v>
      </c>
      <c r="E984" s="9" t="str">
        <f>IFERROR(__xludf.DUMMYFUNCTION("""COMPUTED_VALUE"""),"HTML/CSS")</f>
        <v>HTML/CSS</v>
      </c>
      <c r="F984" s="9" t="str">
        <f>IFERROR(__xludf.DUMMYFUNCTION("""COMPUTED_VALUE"""),"SQL")</f>
        <v>SQL</v>
      </c>
      <c r="G984" s="9" t="str">
        <f>IFERROR(__xludf.DUMMYFUNCTION("""COMPUTED_VALUE"""),"JavaScript")</f>
        <v>JavaScript</v>
      </c>
      <c r="H984" s="9" t="str">
        <f>IFERROR(__xludf.DUMMYFUNCTION("""COMPUTED_VALUE"""),"TypeScript")</f>
        <v>TypeScript</v>
      </c>
      <c r="I984" s="9" t="str">
        <f>IFERROR(__xludf.DUMMYFUNCTION("""COMPUTED_VALUE"""),"C#")</f>
        <v>C#</v>
      </c>
      <c r="J984" s="9" t="str">
        <f>IFERROR(__xludf.DUMMYFUNCTION("""COMPUTED_VALUE"""),"JavaScript")</f>
        <v>JavaScript</v>
      </c>
      <c r="K984" s="9" t="str">
        <f>IFERROR(__xludf.DUMMYFUNCTION("""COMPUTED_VALUE"""),"Java")</f>
        <v>Java</v>
      </c>
      <c r="L984" s="9" t="str">
        <f>IFERROR(__xludf.DUMMYFUNCTION("""COMPUTED_VALUE"""),"C")</f>
        <v>C</v>
      </c>
      <c r="M984" s="9" t="s">
        <v>33</v>
      </c>
    </row>
    <row r="985" ht="15.75" customHeight="1">
      <c r="A985" s="7"/>
      <c r="B985" s="7" t="str">
        <f>IFERROR(__xludf.DUMMYFUNCTION("""COMPUTED_VALUE"""),"Bash/Shell/PowerShell;Python;SQL")</f>
        <v>Bash/Shell/PowerShell;Python;SQL</v>
      </c>
      <c r="C985" s="9" t="str">
        <f>IFERROR(__xludf.DUMMYFUNCTION("""COMPUTED_VALUE"""),"C#")</f>
        <v>C#</v>
      </c>
      <c r="D985" s="9" t="str">
        <f>IFERROR(__xludf.DUMMYFUNCTION("""COMPUTED_VALUE"""),"PHP")</f>
        <v>PHP</v>
      </c>
      <c r="E985" s="9" t="str">
        <f>IFERROR(__xludf.DUMMYFUNCTION("""COMPUTED_VALUE"""),"Java")</f>
        <v>Java</v>
      </c>
      <c r="F985" s="9" t="str">
        <f>IFERROR(__xludf.DUMMYFUNCTION("""COMPUTED_VALUE"""),"TypeScript")</f>
        <v>TypeScript</v>
      </c>
      <c r="G985" s="9" t="str">
        <f>IFERROR(__xludf.DUMMYFUNCTION("""COMPUTED_VALUE"""),"Python")</f>
        <v>Python</v>
      </c>
      <c r="H985" s="9" t="str">
        <f>IFERROR(__xludf.DUMMYFUNCTION("""COMPUTED_VALUE"""),"VBA")</f>
        <v>VBA</v>
      </c>
      <c r="I985" s="9" t="str">
        <f>IFERROR(__xludf.DUMMYFUNCTION("""COMPUTED_VALUE"""),"HTML/CSS")</f>
        <v>HTML/CSS</v>
      </c>
      <c r="J985" s="9" t="str">
        <f>IFERROR(__xludf.DUMMYFUNCTION("""COMPUTED_VALUE"""),"PHP")</f>
        <v>PHP</v>
      </c>
      <c r="K985" s="9" t="str">
        <f>IFERROR(__xludf.DUMMYFUNCTION("""COMPUTED_VALUE"""),"JavaScript")</f>
        <v>JavaScript</v>
      </c>
      <c r="L985" s="9" t="str">
        <f>IFERROR(__xludf.DUMMYFUNCTION("""COMPUTED_VALUE"""),"Java")</f>
        <v>Java</v>
      </c>
      <c r="M985" s="9" t="s">
        <v>26</v>
      </c>
    </row>
    <row r="986" ht="15.75" customHeight="1">
      <c r="A986" s="7"/>
      <c r="B986" s="7" t="str">
        <f>IFERROR(__xludf.DUMMYFUNCTION("""COMPUTED_VALUE"""),"Bash/Shell/PowerShell;HTML/CSS;Java;JavaScript;Python;Swift")</f>
        <v>Bash/Shell/PowerShell;HTML/CSS;Java;JavaScript;Python;Swift</v>
      </c>
      <c r="C986" s="9" t="str">
        <f>IFERROR(__xludf.DUMMYFUNCTION("""COMPUTED_VALUE"""),"HTML/CSS")</f>
        <v>HTML/CSS</v>
      </c>
      <c r="D986" s="9" t="str">
        <f>IFERROR(__xludf.DUMMYFUNCTION("""COMPUTED_VALUE"""),"SQL")</f>
        <v>SQL</v>
      </c>
      <c r="E986" s="9" t="str">
        <f>IFERROR(__xludf.DUMMYFUNCTION("""COMPUTED_VALUE"""),"JavaScript")</f>
        <v>JavaScript</v>
      </c>
      <c r="F986" s="9" t="str">
        <f>IFERROR(__xludf.DUMMYFUNCTION("""COMPUTED_VALUE"""),"Bash/Shell/PowerShell")</f>
        <v>Bash/Shell/PowerShell</v>
      </c>
      <c r="G986" s="9" t="str">
        <f>IFERROR(__xludf.DUMMYFUNCTION("""COMPUTED_VALUE"""),"C#")</f>
        <v>C#</v>
      </c>
      <c r="H986" s="9" t="str">
        <f>IFERROR(__xludf.DUMMYFUNCTION("""COMPUTED_VALUE"""),"Java")</f>
        <v>Java</v>
      </c>
      <c r="I986" s="9" t="str">
        <f>IFERROR(__xludf.DUMMYFUNCTION("""COMPUTED_VALUE"""),"JavaScript")</f>
        <v>JavaScript</v>
      </c>
      <c r="J986" s="9" t="str">
        <f>IFERROR(__xludf.DUMMYFUNCTION("""COMPUTED_VALUE"""),"Ruby")</f>
        <v>Ruby</v>
      </c>
      <c r="K986" s="9" t="str">
        <f>IFERROR(__xludf.DUMMYFUNCTION("""COMPUTED_VALUE"""),"Python")</f>
        <v>Python</v>
      </c>
      <c r="L986" s="9" t="str">
        <f>IFERROR(__xludf.DUMMYFUNCTION("""COMPUTED_VALUE"""),"C++")</f>
        <v>C++</v>
      </c>
      <c r="M986" s="9" t="s">
        <v>24</v>
      </c>
    </row>
    <row r="987" ht="15.75" customHeight="1">
      <c r="A987" s="7"/>
      <c r="B987" s="7" t="str">
        <f>IFERROR(__xludf.DUMMYFUNCTION("""COMPUTED_VALUE"""),"HTML/CSS;Java;JavaScript;Python;SQL")</f>
        <v>HTML/CSS;Java;JavaScript;Python;SQL</v>
      </c>
      <c r="C987" s="9" t="str">
        <f>IFERROR(__xludf.DUMMYFUNCTION("""COMPUTED_VALUE"""),"JavaScript")</f>
        <v>JavaScript</v>
      </c>
      <c r="D987" s="9" t="str">
        <f>IFERROR(__xludf.DUMMYFUNCTION("""COMPUTED_VALUE"""),"C#")</f>
        <v>C#</v>
      </c>
      <c r="E987" s="9" t="str">
        <f>IFERROR(__xludf.DUMMYFUNCTION("""COMPUTED_VALUE"""),"Bash/Shell/PowerShell")</f>
        <v>Bash/Shell/PowerShell</v>
      </c>
      <c r="F987" s="9" t="str">
        <f>IFERROR(__xludf.DUMMYFUNCTION("""COMPUTED_VALUE"""),"C")</f>
        <v>C</v>
      </c>
      <c r="G987" s="9" t="str">
        <f>IFERROR(__xludf.DUMMYFUNCTION("""COMPUTED_VALUE"""),"HTML/CSS")</f>
        <v>HTML/CSS</v>
      </c>
      <c r="H987" s="9" t="str">
        <f>IFERROR(__xludf.DUMMYFUNCTION("""COMPUTED_VALUE"""),"Kotlin")</f>
        <v>Kotlin</v>
      </c>
      <c r="I987" s="9" t="str">
        <f>IFERROR(__xludf.DUMMYFUNCTION("""COMPUTED_VALUE"""),"SQL")</f>
        <v>SQL</v>
      </c>
      <c r="J987" s="9" t="str">
        <f>IFERROR(__xludf.DUMMYFUNCTION("""COMPUTED_VALUE"""),"SQL")</f>
        <v>SQL</v>
      </c>
      <c r="K987" s="9" t="str">
        <f>IFERROR(__xludf.DUMMYFUNCTION("""COMPUTED_VALUE"""),"SQL")</f>
        <v>SQL</v>
      </c>
      <c r="L987" s="9" t="str">
        <f>IFERROR(__xludf.DUMMYFUNCTION("""COMPUTED_VALUE"""),"C#")</f>
        <v>C#</v>
      </c>
      <c r="M987" s="9" t="s">
        <v>21</v>
      </c>
    </row>
    <row r="988" ht="15.75" customHeight="1">
      <c r="A988" s="7"/>
      <c r="B988" s="7" t="str">
        <f>IFERROR(__xludf.DUMMYFUNCTION("""COMPUTED_VALUE"""),"Bash/Shell/PowerShell;HTML/CSS;JavaScript;PHP;Python;R;SQL")</f>
        <v>Bash/Shell/PowerShell;HTML/CSS;JavaScript;PHP;Python;R;SQL</v>
      </c>
      <c r="C988" s="9" t="str">
        <f>IFERROR(__xludf.DUMMYFUNCTION("""COMPUTED_VALUE"""),"SQL")</f>
        <v>SQL</v>
      </c>
      <c r="D988" s="9" t="str">
        <f>IFERROR(__xludf.DUMMYFUNCTION("""COMPUTED_VALUE"""),"HTML/CSS")</f>
        <v>HTML/CSS</v>
      </c>
      <c r="E988" s="9" t="str">
        <f>IFERROR(__xludf.DUMMYFUNCTION("""COMPUTED_VALUE"""),"HTML/CSS")</f>
        <v>HTML/CSS</v>
      </c>
      <c r="F988" s="9" t="str">
        <f>IFERROR(__xludf.DUMMYFUNCTION("""COMPUTED_VALUE"""),"Python")</f>
        <v>Python</v>
      </c>
      <c r="G988" s="9" t="str">
        <f>IFERROR(__xludf.DUMMYFUNCTION("""COMPUTED_VALUE"""),"SQL")</f>
        <v>SQL</v>
      </c>
      <c r="H988" s="9" t="str">
        <f>IFERROR(__xludf.DUMMYFUNCTION("""COMPUTED_VALUE"""),"SQL")</f>
        <v>SQL</v>
      </c>
      <c r="I988" s="9" t="str">
        <f>IFERROR(__xludf.DUMMYFUNCTION("""COMPUTED_VALUE"""),"HTML/CSS")</f>
        <v>HTML/CSS</v>
      </c>
      <c r="J988" s="9" t="str">
        <f>IFERROR(__xludf.DUMMYFUNCTION("""COMPUTED_VALUE"""),"HTML/CSS")</f>
        <v>HTML/CSS</v>
      </c>
      <c r="K988" s="9" t="str">
        <f>IFERROR(__xludf.DUMMYFUNCTION("""COMPUTED_VALUE"""),"Bash/Shell/PowerShell")</f>
        <v>Bash/Shell/PowerShell</v>
      </c>
      <c r="L988" s="9" t="str">
        <f>IFERROR(__xludf.DUMMYFUNCTION("""COMPUTED_VALUE"""),"HTML/CSS")</f>
        <v>HTML/CSS</v>
      </c>
      <c r="M988" s="9" t="s">
        <v>27</v>
      </c>
    </row>
    <row r="989" ht="15.75" customHeight="1">
      <c r="A989" s="7"/>
      <c r="B989" s="7" t="str">
        <f>IFERROR(__xludf.DUMMYFUNCTION("""COMPUTED_VALUE"""),"Bash/Shell/PowerShell;HTML/CSS;JavaScript;Python;SQL")</f>
        <v>Bash/Shell/PowerShell;HTML/CSS;JavaScript;Python;SQL</v>
      </c>
      <c r="C989" s="9" t="str">
        <f>IFERROR(__xludf.DUMMYFUNCTION("""COMPUTED_VALUE"""),"TypeScript")</f>
        <v>TypeScript</v>
      </c>
      <c r="D989" s="9" t="str">
        <f>IFERROR(__xludf.DUMMYFUNCTION("""COMPUTED_VALUE"""),"JavaScript")</f>
        <v>JavaScript</v>
      </c>
      <c r="E989" s="9" t="str">
        <f>IFERROR(__xludf.DUMMYFUNCTION("""COMPUTED_VALUE"""),"JavaScript")</f>
        <v>JavaScript</v>
      </c>
      <c r="F989" s="9" t="str">
        <f>IFERROR(__xludf.DUMMYFUNCTION("""COMPUTED_VALUE"""),"C#")</f>
        <v>C#</v>
      </c>
      <c r="G989" s="9" t="str">
        <f>IFERROR(__xludf.DUMMYFUNCTION("""COMPUTED_VALUE"""),"VBA")</f>
        <v>VBA</v>
      </c>
      <c r="H989" s="9" t="str">
        <f>IFERROR(__xludf.DUMMYFUNCTION("""COMPUTED_VALUE"""),"C++")</f>
        <v>C++</v>
      </c>
      <c r="I989" s="9" t="str">
        <f>IFERROR(__xludf.DUMMYFUNCTION("""COMPUTED_VALUE"""),"JavaScript")</f>
        <v>JavaScript</v>
      </c>
      <c r="J989" s="9" t="str">
        <f>IFERROR(__xludf.DUMMYFUNCTION("""COMPUTED_VALUE"""),"JavaScript")</f>
        <v>JavaScript</v>
      </c>
      <c r="K989" s="9" t="str">
        <f>IFERROR(__xludf.DUMMYFUNCTION("""COMPUTED_VALUE"""),"C#")</f>
        <v>C#</v>
      </c>
      <c r="L989" s="9" t="str">
        <f>IFERROR(__xludf.DUMMYFUNCTION("""COMPUTED_VALUE"""),"JavaScript")</f>
        <v>JavaScript</v>
      </c>
      <c r="M989" s="9" t="s">
        <v>33</v>
      </c>
    </row>
    <row r="990" ht="15.75" customHeight="1">
      <c r="A990" s="7"/>
      <c r="B990" s="7" t="str">
        <f>IFERROR(__xludf.DUMMYFUNCTION("""COMPUTED_VALUE"""),"C;C++;HTML/CSS;Java;JavaScript;Python;SQL")</f>
        <v>C;C++;HTML/CSS;Java;JavaScript;Python;SQL</v>
      </c>
      <c r="C990" s="9" t="str">
        <f>IFERROR(__xludf.DUMMYFUNCTION("""COMPUTED_VALUE"""),"Bash/Shell/PowerShell")</f>
        <v>Bash/Shell/PowerShell</v>
      </c>
      <c r="D990" s="9" t="str">
        <f>IFERROR(__xludf.DUMMYFUNCTION("""COMPUTED_VALUE"""),"PHP")</f>
        <v>PHP</v>
      </c>
      <c r="E990" s="9" t="str">
        <f>IFERROR(__xludf.DUMMYFUNCTION("""COMPUTED_VALUE"""),"SQL")</f>
        <v>SQL</v>
      </c>
      <c r="F990" s="9" t="str">
        <f>IFERROR(__xludf.DUMMYFUNCTION("""COMPUTED_VALUE"""),"HTML/CSS")</f>
        <v>HTML/CSS</v>
      </c>
      <c r="G990" s="9" t="str">
        <f>IFERROR(__xludf.DUMMYFUNCTION("""COMPUTED_VALUE"""),"Assembly")</f>
        <v>Assembly</v>
      </c>
      <c r="H990" s="9" t="str">
        <f>IFERROR(__xludf.DUMMYFUNCTION("""COMPUTED_VALUE"""),"Python")</f>
        <v>Python</v>
      </c>
      <c r="I990" s="9" t="str">
        <f>IFERROR(__xludf.DUMMYFUNCTION("""COMPUTED_VALUE"""),"Ruby")</f>
        <v>Ruby</v>
      </c>
      <c r="J990" s="9" t="str">
        <f>IFERROR(__xludf.DUMMYFUNCTION("""COMPUTED_VALUE"""),"Python")</f>
        <v>Python</v>
      </c>
      <c r="K990" s="9" t="str">
        <f>IFERROR(__xludf.DUMMYFUNCTION("""COMPUTED_VALUE"""),"HTML/CSS")</f>
        <v>HTML/CSS</v>
      </c>
      <c r="L990" s="9" t="str">
        <f>IFERROR(__xludf.DUMMYFUNCTION("""COMPUTED_VALUE"""),"PHP")</f>
        <v>PHP</v>
      </c>
      <c r="M990" s="9" t="s">
        <v>30</v>
      </c>
    </row>
    <row r="991" ht="15.75" customHeight="1">
      <c r="A991" s="7"/>
      <c r="B991" s="7" t="str">
        <f>IFERROR(__xludf.DUMMYFUNCTION("""COMPUTED_VALUE"""),"C++;C#;HTML/CSS;Java;JavaScript;PHP;SQL")</f>
        <v>C++;C#;HTML/CSS;Java;JavaScript;PHP;SQL</v>
      </c>
      <c r="C991" s="9" t="str">
        <f>IFERROR(__xludf.DUMMYFUNCTION("""COMPUTED_VALUE"""),"JavaScript")</f>
        <v>JavaScript</v>
      </c>
      <c r="D991" s="9" t="str">
        <f>IFERROR(__xludf.DUMMYFUNCTION("""COMPUTED_VALUE"""),"Python")</f>
        <v>Python</v>
      </c>
      <c r="E991" s="9" t="str">
        <f>IFERROR(__xludf.DUMMYFUNCTION("""COMPUTED_VALUE"""),"Other(s):")</f>
        <v>Other(s):</v>
      </c>
      <c r="F991" s="9" t="str">
        <f>IFERROR(__xludf.DUMMYFUNCTION("""COMPUTED_VALUE"""),"Java")</f>
        <v>Java</v>
      </c>
      <c r="G991" s="9" t="str">
        <f>IFERROR(__xludf.DUMMYFUNCTION("""COMPUTED_VALUE"""),"Bash/Shell/PowerShell")</f>
        <v>Bash/Shell/PowerShell</v>
      </c>
      <c r="H991" s="9" t="str">
        <f>IFERROR(__xludf.DUMMYFUNCTION("""COMPUTED_VALUE"""),"Assembly")</f>
        <v>Assembly</v>
      </c>
      <c r="I991" s="9" t="str">
        <f>IFERROR(__xludf.DUMMYFUNCTION("""COMPUTED_VALUE"""),"Assembly")</f>
        <v>Assembly</v>
      </c>
      <c r="J991" s="9" t="str">
        <f>IFERROR(__xludf.DUMMYFUNCTION("""COMPUTED_VALUE"""),"TypeScript")</f>
        <v>TypeScript</v>
      </c>
      <c r="K991" s="9" t="str">
        <f>IFERROR(__xludf.DUMMYFUNCTION("""COMPUTED_VALUE"""),"JavaScript")</f>
        <v>JavaScript</v>
      </c>
      <c r="L991" s="9" t="str">
        <f>IFERROR(__xludf.DUMMYFUNCTION("""COMPUTED_VALUE"""),"SQL")</f>
        <v>SQL</v>
      </c>
      <c r="M991" s="9" t="s">
        <v>21</v>
      </c>
    </row>
    <row r="992" ht="15.75" customHeight="1">
      <c r="A992" s="7"/>
      <c r="B992" s="7" t="str">
        <f>IFERROR(__xludf.DUMMYFUNCTION("""COMPUTED_VALUE"""),"Objective-C;Swift")</f>
        <v>Objective-C;Swift</v>
      </c>
      <c r="C992" s="9" t="str">
        <f>IFERROR(__xludf.DUMMYFUNCTION("""COMPUTED_VALUE"""),"Python")</f>
        <v>Python</v>
      </c>
      <c r="D992" s="9" t="str">
        <f>IFERROR(__xludf.DUMMYFUNCTION("""COMPUTED_VALUE"""),"SQL")</f>
        <v>SQL</v>
      </c>
      <c r="E992" s="9" t="str">
        <f>IFERROR(__xludf.DUMMYFUNCTION("""COMPUTED_VALUE"""),"Java")</f>
        <v>Java</v>
      </c>
      <c r="F992" s="9" t="str">
        <f>IFERROR(__xludf.DUMMYFUNCTION("""COMPUTED_VALUE"""),"JavaScript")</f>
        <v>JavaScript</v>
      </c>
      <c r="G992" s="9" t="str">
        <f>IFERROR(__xludf.DUMMYFUNCTION("""COMPUTED_VALUE"""),"C++")</f>
        <v>C++</v>
      </c>
      <c r="H992" s="9" t="str">
        <f>IFERROR(__xludf.DUMMYFUNCTION("""COMPUTED_VALUE"""),"Bash/Shell/PowerShell")</f>
        <v>Bash/Shell/PowerShell</v>
      </c>
      <c r="I992" s="9" t="str">
        <f>IFERROR(__xludf.DUMMYFUNCTION("""COMPUTED_VALUE"""),"C++")</f>
        <v>C++</v>
      </c>
      <c r="J992" s="9" t="str">
        <f>IFERROR(__xludf.DUMMYFUNCTION("""COMPUTED_VALUE"""),"HTML/CSS")</f>
        <v>HTML/CSS</v>
      </c>
      <c r="K992" s="9" t="str">
        <f>IFERROR(__xludf.DUMMYFUNCTION("""COMPUTED_VALUE"""),"VBA")</f>
        <v>VBA</v>
      </c>
      <c r="L992" s="9" t="str">
        <f>IFERROR(__xludf.DUMMYFUNCTION("""COMPUTED_VALUE"""),"TypeScript")</f>
        <v>TypeScript</v>
      </c>
      <c r="M992" s="9" t="s">
        <v>22</v>
      </c>
    </row>
    <row r="993" ht="15.75" customHeight="1">
      <c r="A993" s="7"/>
      <c r="B993" s="7" t="str">
        <f>IFERROR(__xludf.DUMMYFUNCTION("""COMPUTED_VALUE"""),"Bash/Shell/PowerShell;Go;HTML/CSS;JavaScript;Python")</f>
        <v>Bash/Shell/PowerShell;Go;HTML/CSS;JavaScript;Python</v>
      </c>
      <c r="C993" s="9" t="str">
        <f>IFERROR(__xludf.DUMMYFUNCTION("""COMPUTED_VALUE"""),"Bash/Shell/PowerShell")</f>
        <v>Bash/Shell/PowerShell</v>
      </c>
      <c r="D993" s="9" t="str">
        <f>IFERROR(__xludf.DUMMYFUNCTION("""COMPUTED_VALUE"""),"TypeScript")</f>
        <v>TypeScript</v>
      </c>
      <c r="E993" s="9" t="str">
        <f>IFERROR(__xludf.DUMMYFUNCTION("""COMPUTED_VALUE"""),"JavaScript")</f>
        <v>JavaScript</v>
      </c>
      <c r="F993" s="9" t="str">
        <f>IFERROR(__xludf.DUMMYFUNCTION("""COMPUTED_VALUE"""),"SQL")</f>
        <v>SQL</v>
      </c>
      <c r="G993" s="9" t="str">
        <f>IFERROR(__xludf.DUMMYFUNCTION("""COMPUTED_VALUE"""),"Java")</f>
        <v>Java</v>
      </c>
      <c r="H993" s="9" t="str">
        <f>IFERROR(__xludf.DUMMYFUNCTION("""COMPUTED_VALUE"""),"C")</f>
        <v>C</v>
      </c>
      <c r="I993" s="9" t="str">
        <f>IFERROR(__xludf.DUMMYFUNCTION("""COMPUTED_VALUE"""),"Go")</f>
        <v>Go</v>
      </c>
      <c r="J993" s="9" t="str">
        <f>IFERROR(__xludf.DUMMYFUNCTION("""COMPUTED_VALUE"""),"Java")</f>
        <v>Java</v>
      </c>
      <c r="K993" s="9" t="str">
        <f>IFERROR(__xludf.DUMMYFUNCTION("""COMPUTED_VALUE"""),"Clojure")</f>
        <v>Clojure</v>
      </c>
      <c r="L993" s="9" t="str">
        <f>IFERROR(__xludf.DUMMYFUNCTION("""COMPUTED_VALUE"""),"VBA")</f>
        <v>VBA</v>
      </c>
      <c r="M993" s="9" t="s">
        <v>30</v>
      </c>
    </row>
    <row r="994" ht="15.75" customHeight="1">
      <c r="A994" s="7"/>
      <c r="B994" s="7" t="str">
        <f>IFERROR(__xludf.DUMMYFUNCTION("""COMPUTED_VALUE"""),"Python")</f>
        <v>Python</v>
      </c>
      <c r="C994" s="9" t="str">
        <f>IFERROR(__xludf.DUMMYFUNCTION("""COMPUTED_VALUE"""),"HTML/CSS")</f>
        <v>HTML/CSS</v>
      </c>
      <c r="D994" s="9" t="str">
        <f>IFERROR(__xludf.DUMMYFUNCTION("""COMPUTED_VALUE"""),"C")</f>
        <v>C</v>
      </c>
      <c r="E994" s="9" t="str">
        <f>IFERROR(__xludf.DUMMYFUNCTION("""COMPUTED_VALUE"""),"SQL")</f>
        <v>SQL</v>
      </c>
      <c r="F994" s="9" t="str">
        <f>IFERROR(__xludf.DUMMYFUNCTION("""COMPUTED_VALUE"""),"HTML/CSS")</f>
        <v>HTML/CSS</v>
      </c>
      <c r="G994" s="9" t="str">
        <f>IFERROR(__xludf.DUMMYFUNCTION("""COMPUTED_VALUE"""),"Kotlin")</f>
        <v>Kotlin</v>
      </c>
      <c r="H994" s="9" t="str">
        <f>IFERROR(__xludf.DUMMYFUNCTION("""COMPUTED_VALUE"""),"C++")</f>
        <v>C++</v>
      </c>
      <c r="I994" s="9" t="str">
        <f>IFERROR(__xludf.DUMMYFUNCTION("""COMPUTED_VALUE"""),"HTML/CSS")</f>
        <v>HTML/CSS</v>
      </c>
      <c r="J994" s="9" t="str">
        <f>IFERROR(__xludf.DUMMYFUNCTION("""COMPUTED_VALUE"""),"JavaScript")</f>
        <v>JavaScript</v>
      </c>
      <c r="K994" s="9" t="str">
        <f>IFERROR(__xludf.DUMMYFUNCTION("""COMPUTED_VALUE"""),"HTML/CSS")</f>
        <v>HTML/CSS</v>
      </c>
      <c r="L994" s="9" t="str">
        <f>IFERROR(__xludf.DUMMYFUNCTION("""COMPUTED_VALUE"""),"Objective-C")</f>
        <v>Objective-C</v>
      </c>
      <c r="M994" s="9" t="s">
        <v>24</v>
      </c>
    </row>
    <row r="995" ht="15.75" customHeight="1">
      <c r="A995" s="7"/>
      <c r="B995" s="7" t="str">
        <f>IFERROR(__xludf.DUMMYFUNCTION("""COMPUTED_VALUE"""),"Clojure;Go;Python")</f>
        <v>Clojure;Go;Python</v>
      </c>
      <c r="C995" s="9" t="str">
        <f>IFERROR(__xludf.DUMMYFUNCTION("""COMPUTED_VALUE"""),"JavaScript")</f>
        <v>JavaScript</v>
      </c>
      <c r="D995" s="9" t="str">
        <f>IFERROR(__xludf.DUMMYFUNCTION("""COMPUTED_VALUE"""),"C++")</f>
        <v>C++</v>
      </c>
      <c r="E995" s="9" t="str">
        <f>IFERROR(__xludf.DUMMYFUNCTION("""COMPUTED_VALUE"""),"Bash/Shell/PowerShell")</f>
        <v>Bash/Shell/PowerShell</v>
      </c>
      <c r="F995" s="9" t="str">
        <f>IFERROR(__xludf.DUMMYFUNCTION("""COMPUTED_VALUE"""),"Java")</f>
        <v>Java</v>
      </c>
      <c r="G995" s="9" t="str">
        <f>IFERROR(__xludf.DUMMYFUNCTION("""COMPUTED_VALUE"""),"Python")</f>
        <v>Python</v>
      </c>
      <c r="H995" s="9" t="str">
        <f>IFERROR(__xludf.DUMMYFUNCTION("""COMPUTED_VALUE"""),"HTML/CSS")</f>
        <v>HTML/CSS</v>
      </c>
      <c r="I995" s="9" t="str">
        <f>IFERROR(__xludf.DUMMYFUNCTION("""COMPUTED_VALUE"""),"Java")</f>
        <v>Java</v>
      </c>
      <c r="J995" s="9" t="str">
        <f>IFERROR(__xludf.DUMMYFUNCTION("""COMPUTED_VALUE"""),"SQL")</f>
        <v>SQL</v>
      </c>
      <c r="K995" s="9" t="str">
        <f>IFERROR(__xludf.DUMMYFUNCTION("""COMPUTED_VALUE"""),"Java")</f>
        <v>Java</v>
      </c>
      <c r="L995" s="9" t="str">
        <f>IFERROR(__xludf.DUMMYFUNCTION("""COMPUTED_VALUE"""),"Swift")</f>
        <v>Swift</v>
      </c>
      <c r="M995" s="9" t="s">
        <v>21</v>
      </c>
    </row>
    <row r="996" ht="15.75" customHeight="1">
      <c r="A996" s="7"/>
      <c r="B996" s="7" t="str">
        <f>IFERROR(__xludf.DUMMYFUNCTION("""COMPUTED_VALUE"""),"Bash/Shell/PowerShell;Go;HTML/CSS;JavaScript;PHP;Python")</f>
        <v>Bash/Shell/PowerShell;Go;HTML/CSS;JavaScript;PHP;Python</v>
      </c>
      <c r="C996" s="9" t="str">
        <f>IFERROR(__xludf.DUMMYFUNCTION("""COMPUTED_VALUE"""),"Ruby")</f>
        <v>Ruby</v>
      </c>
      <c r="D996" s="9" t="str">
        <f>IFERROR(__xludf.DUMMYFUNCTION("""COMPUTED_VALUE"""),"SQL")</f>
        <v>SQL</v>
      </c>
      <c r="E996" s="9" t="str">
        <f>IFERROR(__xludf.DUMMYFUNCTION("""COMPUTED_VALUE"""),"C#")</f>
        <v>C#</v>
      </c>
      <c r="F996" s="9" t="str">
        <f>IFERROR(__xludf.DUMMYFUNCTION("""COMPUTED_VALUE"""),"JavaScript")</f>
        <v>JavaScript</v>
      </c>
      <c r="G996" s="9" t="str">
        <f>IFERROR(__xludf.DUMMYFUNCTION("""COMPUTED_VALUE"""),"Bash/Shell/PowerShell")</f>
        <v>Bash/Shell/PowerShell</v>
      </c>
      <c r="H996" s="9" t="str">
        <f>IFERROR(__xludf.DUMMYFUNCTION("""COMPUTED_VALUE"""),"Java")</f>
        <v>Java</v>
      </c>
      <c r="I996" s="9" t="str">
        <f>IFERROR(__xludf.DUMMYFUNCTION("""COMPUTED_VALUE"""),"Python")</f>
        <v>Python</v>
      </c>
      <c r="J996" s="9" t="str">
        <f>IFERROR(__xludf.DUMMYFUNCTION("""COMPUTED_VALUE"""),"Bash/Shell/PowerShell")</f>
        <v>Bash/Shell/PowerShell</v>
      </c>
      <c r="K996" s="9" t="str">
        <f>IFERROR(__xludf.DUMMYFUNCTION("""COMPUTED_VALUE"""),"Python")</f>
        <v>Python</v>
      </c>
      <c r="L996" s="9" t="str">
        <f>IFERROR(__xludf.DUMMYFUNCTION("""COMPUTED_VALUE"""),"Assembly")</f>
        <v>Assembly</v>
      </c>
      <c r="M996" s="9" t="s">
        <v>31</v>
      </c>
    </row>
    <row r="997" ht="15.75" customHeight="1">
      <c r="A997" s="7"/>
      <c r="B997" s="7" t="str">
        <f>IFERROR(__xludf.DUMMYFUNCTION("""COMPUTED_VALUE"""),"HTML/CSS;JavaScript;PHP;SQL")</f>
        <v>HTML/CSS;JavaScript;PHP;SQL</v>
      </c>
      <c r="C997" s="9" t="str">
        <f>IFERROR(__xludf.DUMMYFUNCTION("""COMPUTED_VALUE"""),"SQL")</f>
        <v>SQL</v>
      </c>
      <c r="D997" s="9" t="str">
        <f>IFERROR(__xludf.DUMMYFUNCTION("""COMPUTED_VALUE"""),"HTML/CSS")</f>
        <v>HTML/CSS</v>
      </c>
      <c r="E997" s="9" t="str">
        <f>IFERROR(__xludf.DUMMYFUNCTION("""COMPUTED_VALUE"""),"HTML/CSS")</f>
        <v>HTML/CSS</v>
      </c>
      <c r="F997" s="9" t="str">
        <f>IFERROR(__xludf.DUMMYFUNCTION("""COMPUTED_VALUE"""),"Kotlin")</f>
        <v>Kotlin</v>
      </c>
      <c r="G997" s="9" t="str">
        <f>IFERROR(__xludf.DUMMYFUNCTION("""COMPUTED_VALUE"""),"HTML/CSS")</f>
        <v>HTML/CSS</v>
      </c>
      <c r="H997" s="9" t="str">
        <f>IFERROR(__xludf.DUMMYFUNCTION("""COMPUTED_VALUE"""),"JavaScript")</f>
        <v>JavaScript</v>
      </c>
      <c r="I997" s="9" t="str">
        <f>IFERROR(__xludf.DUMMYFUNCTION("""COMPUTED_VALUE"""),"Swift")</f>
        <v>Swift</v>
      </c>
      <c r="J997" s="9" t="str">
        <f>IFERROR(__xludf.DUMMYFUNCTION("""COMPUTED_VALUE"""),"C")</f>
        <v>C</v>
      </c>
      <c r="K997" s="9" t="str">
        <f>IFERROR(__xludf.DUMMYFUNCTION("""COMPUTED_VALUE"""),"R")</f>
        <v>R</v>
      </c>
      <c r="L997" s="9" t="str">
        <f>IFERROR(__xludf.DUMMYFUNCTION("""COMPUTED_VALUE"""),"Bash/Shell/PowerShell")</f>
        <v>Bash/Shell/PowerShell</v>
      </c>
      <c r="M997" s="9" t="s">
        <v>27</v>
      </c>
    </row>
    <row r="998" ht="15.75" customHeight="1">
      <c r="A998" s="7"/>
      <c r="B998" s="7" t="str">
        <f>IFERROR(__xludf.DUMMYFUNCTION("""COMPUTED_VALUE"""),"Dart;Java;Kotlin;Python;Scala;Swift")</f>
        <v>Dart;Java;Kotlin;Python;Scala;Swift</v>
      </c>
      <c r="C998" s="9" t="str">
        <f>IFERROR(__xludf.DUMMYFUNCTION("""COMPUTED_VALUE"""),"Assembly")</f>
        <v>Assembly</v>
      </c>
      <c r="D998" s="9" t="str">
        <f>IFERROR(__xludf.DUMMYFUNCTION("""COMPUTED_VALUE"""),"Java")</f>
        <v>Java</v>
      </c>
      <c r="E998" s="9" t="str">
        <f>IFERROR(__xludf.DUMMYFUNCTION("""COMPUTED_VALUE"""),"JavaScript")</f>
        <v>JavaScript</v>
      </c>
      <c r="F998" s="9" t="str">
        <f>IFERROR(__xludf.DUMMYFUNCTION("""COMPUTED_VALUE"""),"Objective-C")</f>
        <v>Objective-C</v>
      </c>
      <c r="G998" s="9" t="str">
        <f>IFERROR(__xludf.DUMMYFUNCTION("""COMPUTED_VALUE"""),"JavaScript")</f>
        <v>JavaScript</v>
      </c>
      <c r="H998" s="9" t="str">
        <f>IFERROR(__xludf.DUMMYFUNCTION("""COMPUTED_VALUE"""),"PHP")</f>
        <v>PHP</v>
      </c>
      <c r="I998" s="9" t="str">
        <f>IFERROR(__xludf.DUMMYFUNCTION("""COMPUTED_VALUE"""),"Bash/Shell/PowerShell")</f>
        <v>Bash/Shell/PowerShell</v>
      </c>
      <c r="J998" s="9" t="str">
        <f>IFERROR(__xludf.DUMMYFUNCTION("""COMPUTED_VALUE"""),"HTML/CSS")</f>
        <v>HTML/CSS</v>
      </c>
      <c r="K998" s="9" t="str">
        <f>IFERROR(__xludf.DUMMYFUNCTION("""COMPUTED_VALUE"""),"Bash/Shell/PowerShell")</f>
        <v>Bash/Shell/PowerShell</v>
      </c>
      <c r="L998" s="9" t="str">
        <f>IFERROR(__xludf.DUMMYFUNCTION("""COMPUTED_VALUE"""),"C")</f>
        <v>C</v>
      </c>
      <c r="M998" s="9" t="s">
        <v>38</v>
      </c>
    </row>
    <row r="999" ht="15.75" customHeight="1">
      <c r="A999" s="7"/>
      <c r="B999" s="7" t="str">
        <f>IFERROR(__xludf.DUMMYFUNCTION("""COMPUTED_VALUE"""),"C#;HTML/CSS;SQL")</f>
        <v>C#;HTML/CSS;SQL</v>
      </c>
      <c r="C999" s="9" t="str">
        <f>IFERROR(__xludf.DUMMYFUNCTION("""COMPUTED_VALUE"""),"Bash/Shell/PowerShell")</f>
        <v>Bash/Shell/PowerShell</v>
      </c>
      <c r="D999" s="9" t="str">
        <f>IFERROR(__xludf.DUMMYFUNCTION("""COMPUTED_VALUE"""),"JavaScript")</f>
        <v>JavaScript</v>
      </c>
      <c r="E999" s="9" t="str">
        <f>IFERROR(__xludf.DUMMYFUNCTION("""COMPUTED_VALUE"""),"PHP")</f>
        <v>PHP</v>
      </c>
      <c r="F999" s="9" t="str">
        <f>IFERROR(__xludf.DUMMYFUNCTION("""COMPUTED_VALUE"""),"PHP")</f>
        <v>PHP</v>
      </c>
      <c r="G999" s="9" t="str">
        <f>IFERROR(__xludf.DUMMYFUNCTION("""COMPUTED_VALUE"""),"PHP")</f>
        <v>PHP</v>
      </c>
      <c r="H999" s="9" t="str">
        <f>IFERROR(__xludf.DUMMYFUNCTION("""COMPUTED_VALUE"""),"Python")</f>
        <v>Python</v>
      </c>
      <c r="I999" s="9" t="str">
        <f>IFERROR(__xludf.DUMMYFUNCTION("""COMPUTED_VALUE"""),"C++")</f>
        <v>C++</v>
      </c>
      <c r="J999" s="9" t="str">
        <f>IFERROR(__xludf.DUMMYFUNCTION("""COMPUTED_VALUE"""),"JavaScript")</f>
        <v>JavaScript</v>
      </c>
      <c r="K999" s="9" t="str">
        <f>IFERROR(__xludf.DUMMYFUNCTION("""COMPUTED_VALUE"""),"HTML/CSS")</f>
        <v>HTML/CSS</v>
      </c>
      <c r="L999" s="9" t="str">
        <f>IFERROR(__xludf.DUMMYFUNCTION("""COMPUTED_VALUE"""),"C++")</f>
        <v>C++</v>
      </c>
      <c r="M999" s="9" t="s">
        <v>30</v>
      </c>
    </row>
    <row r="1000" ht="15.75" customHeight="1">
      <c r="A1000" s="7"/>
      <c r="B1000" s="7" t="str">
        <f>IFERROR(__xludf.DUMMYFUNCTION("""COMPUTED_VALUE"""),"Bash/Shell/PowerShell;C++;HTML/CSS;Swift")</f>
        <v>Bash/Shell/PowerShell;C++;HTML/CSS;Swift</v>
      </c>
      <c r="C1000" s="9" t="str">
        <f>IFERROR(__xludf.DUMMYFUNCTION("""COMPUTED_VALUE"""),"C")</f>
        <v>C</v>
      </c>
      <c r="D1000" s="9" t="str">
        <f>IFERROR(__xludf.DUMMYFUNCTION("""COMPUTED_VALUE"""),"Kotlin")</f>
        <v>Kotlin</v>
      </c>
      <c r="E1000" s="9" t="str">
        <f>IFERROR(__xludf.DUMMYFUNCTION("""COMPUTED_VALUE"""),"SQL")</f>
        <v>SQL</v>
      </c>
      <c r="F1000" s="9" t="str">
        <f>IFERROR(__xludf.DUMMYFUNCTION("""COMPUTED_VALUE"""),"Python")</f>
        <v>Python</v>
      </c>
      <c r="G1000" s="9" t="str">
        <f>IFERROR(__xludf.DUMMYFUNCTION("""COMPUTED_VALUE"""),"SQL")</f>
        <v>SQL</v>
      </c>
      <c r="H1000" s="9" t="str">
        <f>IFERROR(__xludf.DUMMYFUNCTION("""COMPUTED_VALUE"""),"HTML/CSS")</f>
        <v>HTML/CSS</v>
      </c>
      <c r="I1000" s="9" t="str">
        <f>IFERROR(__xludf.DUMMYFUNCTION("""COMPUTED_VALUE"""),"HTML/CSS")</f>
        <v>HTML/CSS</v>
      </c>
      <c r="J1000" s="9" t="str">
        <f>IFERROR(__xludf.DUMMYFUNCTION("""COMPUTED_VALUE"""),"Python")</f>
        <v>Python</v>
      </c>
      <c r="K1000" s="9" t="str">
        <f>IFERROR(__xludf.DUMMYFUNCTION("""COMPUTED_VALUE"""),"JavaScript")</f>
        <v>JavaScript</v>
      </c>
      <c r="L1000" s="9" t="str">
        <f>IFERROR(__xludf.DUMMYFUNCTION("""COMPUTED_VALUE"""),"C#")</f>
        <v>C#</v>
      </c>
      <c r="M1000" s="9" t="s">
        <v>25</v>
      </c>
    </row>
    <row r="1001" ht="15.75" customHeight="1">
      <c r="A1001" s="7"/>
      <c r="B1001" s="7" t="str">
        <f>IFERROR(__xludf.DUMMYFUNCTION("""COMPUTED_VALUE"""),"Bash/Shell/PowerShell;Go;HTML/CSS;Java;JavaScript;PHP;Python;SQL")</f>
        <v>Bash/Shell/PowerShell;Go;HTML/CSS;Java;JavaScript;PHP;Python;SQL</v>
      </c>
      <c r="C1001" s="9" t="str">
        <f>IFERROR(__xludf.DUMMYFUNCTION("""COMPUTED_VALUE"""),"HTML/CSS")</f>
        <v>HTML/CSS</v>
      </c>
      <c r="D1001" s="9" t="str">
        <f>IFERROR(__xludf.DUMMYFUNCTION("""COMPUTED_VALUE"""),"PHP")</f>
        <v>PHP</v>
      </c>
      <c r="E1001" s="9" t="str">
        <f>IFERROR(__xludf.DUMMYFUNCTION("""COMPUTED_VALUE"""),"TypeScript")</f>
        <v>TypeScript</v>
      </c>
      <c r="F1001" s="9" t="str">
        <f>IFERROR(__xludf.DUMMYFUNCTION("""COMPUTED_VALUE"""),"SQL")</f>
        <v>SQL</v>
      </c>
      <c r="G1001" s="9" t="str">
        <f>IFERROR(__xludf.DUMMYFUNCTION("""COMPUTED_VALUE"""),"C++")</f>
        <v>C++</v>
      </c>
      <c r="H1001" s="9" t="str">
        <f>IFERROR(__xludf.DUMMYFUNCTION("""COMPUTED_VALUE"""),"R")</f>
        <v>R</v>
      </c>
      <c r="I1001" s="9" t="str">
        <f>IFERROR(__xludf.DUMMYFUNCTION("""COMPUTED_VALUE"""),"JavaScript")</f>
        <v>JavaScript</v>
      </c>
      <c r="J1001" s="9" t="str">
        <f>IFERROR(__xludf.DUMMYFUNCTION("""COMPUTED_VALUE"""),"Ruby")</f>
        <v>Ruby</v>
      </c>
      <c r="K1001" s="9" t="str">
        <f>IFERROR(__xludf.DUMMYFUNCTION("""COMPUTED_VALUE"""),"PHP")</f>
        <v>PHP</v>
      </c>
      <c r="L1001" s="9" t="str">
        <f>IFERROR(__xludf.DUMMYFUNCTION("""COMPUTED_VALUE"""),"HTML/CSS")</f>
        <v>HTML/CSS</v>
      </c>
      <c r="M1001" s="9" t="s">
        <v>24</v>
      </c>
    </row>
    <row r="1002" ht="15.75" customHeight="1">
      <c r="A1002" s="7"/>
      <c r="B1002" s="7" t="str">
        <f>IFERROR(__xludf.DUMMYFUNCTION("""COMPUTED_VALUE"""),"Bash/Shell/PowerShell;Go;HTML/CSS;JavaScript;PHP;Python;SQL")</f>
        <v>Bash/Shell/PowerShell;Go;HTML/CSS;JavaScript;PHP;Python;SQL</v>
      </c>
      <c r="C1002" s="9" t="str">
        <f>IFERROR(__xludf.DUMMYFUNCTION("""COMPUTED_VALUE"""),"Java")</f>
        <v>Java</v>
      </c>
      <c r="D1002" s="9" t="str">
        <f>IFERROR(__xludf.DUMMYFUNCTION("""COMPUTED_VALUE"""),"SQL")</f>
        <v>SQL</v>
      </c>
      <c r="E1002" s="9" t="str">
        <f>IFERROR(__xludf.DUMMYFUNCTION("""COMPUTED_VALUE"""),"VBA")</f>
        <v>VBA</v>
      </c>
      <c r="F1002" s="9" t="str">
        <f>IFERROR(__xludf.DUMMYFUNCTION("""COMPUTED_VALUE"""),"Swift")</f>
        <v>Swift</v>
      </c>
      <c r="G1002" s="9" t="str">
        <f>IFERROR(__xludf.DUMMYFUNCTION("""COMPUTED_VALUE"""),"HTML/CSS")</f>
        <v>HTML/CSS</v>
      </c>
      <c r="H1002" s="9" t="str">
        <f>IFERROR(__xludf.DUMMYFUNCTION("""COMPUTED_VALUE"""),"SQL")</f>
        <v>SQL</v>
      </c>
      <c r="I1002" s="9" t="str">
        <f>IFERROR(__xludf.DUMMYFUNCTION("""COMPUTED_VALUE"""),"PHP")</f>
        <v>PHP</v>
      </c>
      <c r="J1002" s="9" t="str">
        <f>IFERROR(__xludf.DUMMYFUNCTION("""COMPUTED_VALUE"""),"Rust")</f>
        <v>Rust</v>
      </c>
      <c r="K1002" s="9" t="str">
        <f>IFERROR(__xludf.DUMMYFUNCTION("""COMPUTED_VALUE"""),"TypeScript")</f>
        <v>TypeScript</v>
      </c>
      <c r="L1002" s="9" t="str">
        <f>IFERROR(__xludf.DUMMYFUNCTION("""COMPUTED_VALUE"""),"Java")</f>
        <v>Java</v>
      </c>
      <c r="M1002" s="9" t="s">
        <v>20</v>
      </c>
    </row>
    <row r="1003" ht="15.75" customHeight="1">
      <c r="A1003" s="7"/>
      <c r="B1003" s="7" t="str">
        <f>IFERROR(__xludf.DUMMYFUNCTION("""COMPUTED_VALUE"""),"HTML/CSS;JavaScript;PHP;Python;TypeScript")</f>
        <v>HTML/CSS;JavaScript;PHP;Python;TypeScript</v>
      </c>
      <c r="C1003" s="9" t="str">
        <f>IFERROR(__xludf.DUMMYFUNCTION("""COMPUTED_VALUE"""),"JavaScript")</f>
        <v>JavaScript</v>
      </c>
      <c r="D1003" s="9" t="str">
        <f>IFERROR(__xludf.DUMMYFUNCTION("""COMPUTED_VALUE"""),"HTML/CSS")</f>
        <v>HTML/CSS</v>
      </c>
      <c r="E1003" s="9" t="str">
        <f>IFERROR(__xludf.DUMMYFUNCTION("""COMPUTED_VALUE"""),"HTML/CSS")</f>
        <v>HTML/CSS</v>
      </c>
      <c r="F1003" s="9" t="str">
        <f>IFERROR(__xludf.DUMMYFUNCTION("""COMPUTED_VALUE"""),"TypeScript")</f>
        <v>TypeScript</v>
      </c>
      <c r="G1003" s="9" t="str">
        <f>IFERROR(__xludf.DUMMYFUNCTION("""COMPUTED_VALUE"""),"JavaScript")</f>
        <v>JavaScript</v>
      </c>
      <c r="H1003" s="9" t="str">
        <f>IFERROR(__xludf.DUMMYFUNCTION("""COMPUTED_VALUE"""),"Bash/Shell/PowerShell")</f>
        <v>Bash/Shell/PowerShell</v>
      </c>
      <c r="I1003" s="9" t="str">
        <f>IFERROR(__xludf.DUMMYFUNCTION("""COMPUTED_VALUE"""),"SQL")</f>
        <v>SQL</v>
      </c>
      <c r="J1003" s="9" t="str">
        <f>IFERROR(__xludf.DUMMYFUNCTION("""COMPUTED_VALUE"""),"Swift")</f>
        <v>Swift</v>
      </c>
      <c r="K1003" s="9" t="str">
        <f>IFERROR(__xludf.DUMMYFUNCTION("""COMPUTED_VALUE"""),"HTML/CSS")</f>
        <v>HTML/CSS</v>
      </c>
      <c r="L1003" s="9" t="str">
        <f>IFERROR(__xludf.DUMMYFUNCTION("""COMPUTED_VALUE"""),"PHP")</f>
        <v>PHP</v>
      </c>
      <c r="M1003" s="9" t="s">
        <v>21</v>
      </c>
    </row>
    <row r="1004" ht="15.75" customHeight="1">
      <c r="A1004" s="7"/>
      <c r="B1004" s="7" t="str">
        <f>IFERROR(__xludf.DUMMYFUNCTION("""COMPUTED_VALUE"""),"C#")</f>
        <v>C#</v>
      </c>
      <c r="C1004" s="9" t="str">
        <f>IFERROR(__xludf.DUMMYFUNCTION("""COMPUTED_VALUE"""),"PHP")</f>
        <v>PHP</v>
      </c>
      <c r="D1004" s="9" t="str">
        <f>IFERROR(__xludf.DUMMYFUNCTION("""COMPUTED_VALUE"""),"Java")</f>
        <v>Java</v>
      </c>
      <c r="E1004" s="9" t="str">
        <f>IFERROR(__xludf.DUMMYFUNCTION("""COMPUTED_VALUE"""),"JavaScript")</f>
        <v>JavaScript</v>
      </c>
      <c r="F1004" s="9" t="str">
        <f>IFERROR(__xludf.DUMMYFUNCTION("""COMPUTED_VALUE"""),"Bash/Shell/PowerShell")</f>
        <v>Bash/Shell/PowerShell</v>
      </c>
      <c r="G1004" s="9" t="str">
        <f>IFERROR(__xludf.DUMMYFUNCTION("""COMPUTED_VALUE"""),"Python")</f>
        <v>Python</v>
      </c>
      <c r="H1004" s="9" t="str">
        <f>IFERROR(__xludf.DUMMYFUNCTION("""COMPUTED_VALUE"""),"C++")</f>
        <v>C++</v>
      </c>
      <c r="I1004" s="9" t="str">
        <f>IFERROR(__xludf.DUMMYFUNCTION("""COMPUTED_VALUE"""),"Bash/Shell/PowerShell")</f>
        <v>Bash/Shell/PowerShell</v>
      </c>
      <c r="J1004" s="9" t="str">
        <f>IFERROR(__xludf.DUMMYFUNCTION("""COMPUTED_VALUE"""),"C#")</f>
        <v>C#</v>
      </c>
      <c r="K1004" s="9" t="str">
        <f>IFERROR(__xludf.DUMMYFUNCTION("""COMPUTED_VALUE"""),"Java")</f>
        <v>Java</v>
      </c>
      <c r="L1004" s="9" t="str">
        <f>IFERROR(__xludf.DUMMYFUNCTION("""COMPUTED_VALUE"""),"Python")</f>
        <v>Python</v>
      </c>
      <c r="M1004" s="9" t="s">
        <v>37</v>
      </c>
    </row>
    <row r="1005" ht="15.75" customHeight="1">
      <c r="A1005" s="7"/>
      <c r="B1005" s="7" t="str">
        <f>IFERROR(__xludf.DUMMYFUNCTION("""COMPUTED_VALUE"""),"Go;JavaScript")</f>
        <v>Go;JavaScript</v>
      </c>
      <c r="C1005" s="9" t="str">
        <f>IFERROR(__xludf.DUMMYFUNCTION("""COMPUTED_VALUE"""),"C#")</f>
        <v>C#</v>
      </c>
      <c r="D1005" s="9" t="str">
        <f>IFERROR(__xludf.DUMMYFUNCTION("""COMPUTED_VALUE"""),"Python")</f>
        <v>Python</v>
      </c>
      <c r="E1005" s="9" t="str">
        <f>IFERROR(__xludf.DUMMYFUNCTION("""COMPUTED_VALUE"""),"PHP")</f>
        <v>PHP</v>
      </c>
      <c r="F1005" s="9" t="str">
        <f>IFERROR(__xludf.DUMMYFUNCTION("""COMPUTED_VALUE"""),"Go")</f>
        <v>Go</v>
      </c>
      <c r="G1005" s="9" t="str">
        <f>IFERROR(__xludf.DUMMYFUNCTION("""COMPUTED_VALUE"""),"R")</f>
        <v>R</v>
      </c>
      <c r="H1005" s="9" t="str">
        <f>IFERROR(__xludf.DUMMYFUNCTION("""COMPUTED_VALUE"""),"JavaScript")</f>
        <v>JavaScript</v>
      </c>
      <c r="I1005" s="9" t="str">
        <f>IFERROR(__xludf.DUMMYFUNCTION("""COMPUTED_VALUE"""),"C")</f>
        <v>C</v>
      </c>
      <c r="J1005" s="9" t="str">
        <f>IFERROR(__xludf.DUMMYFUNCTION("""COMPUTED_VALUE"""),"HTML/CSS")</f>
        <v>HTML/CSS</v>
      </c>
      <c r="K1005" s="9" t="str">
        <f>IFERROR(__xludf.DUMMYFUNCTION("""COMPUTED_VALUE"""),"Python")</f>
        <v>Python</v>
      </c>
      <c r="L1005" s="9" t="str">
        <f>IFERROR(__xludf.DUMMYFUNCTION("""COMPUTED_VALUE"""),"SQL")</f>
        <v>SQL</v>
      </c>
      <c r="M1005" s="9" t="s">
        <v>26</v>
      </c>
    </row>
    <row r="1006" ht="15.75" customHeight="1">
      <c r="A1006" s="7"/>
      <c r="B1006" s="7" t="str">
        <f>IFERROR(__xludf.DUMMYFUNCTION("""COMPUTED_VALUE"""),"Bash/Shell/PowerShell;C;HTML/CSS;Java;JavaScript;Python")</f>
        <v>Bash/Shell/PowerShell;C;HTML/CSS;Java;JavaScript;Python</v>
      </c>
      <c r="C1006" s="9" t="str">
        <f>IFERROR(__xludf.DUMMYFUNCTION("""COMPUTED_VALUE"""),"TypeScript")</f>
        <v>TypeScript</v>
      </c>
      <c r="D1006" s="9" t="str">
        <f>IFERROR(__xludf.DUMMYFUNCTION("""COMPUTED_VALUE"""),"VBA")</f>
        <v>VBA</v>
      </c>
      <c r="E1006" s="9" t="str">
        <f>IFERROR(__xludf.DUMMYFUNCTION("""COMPUTED_VALUE"""),"Python")</f>
        <v>Python</v>
      </c>
      <c r="F1006" s="9" t="str">
        <f>IFERROR(__xludf.DUMMYFUNCTION("""COMPUTED_VALUE"""),"Java")</f>
        <v>Java</v>
      </c>
      <c r="G1006" s="9" t="str">
        <f>IFERROR(__xludf.DUMMYFUNCTION("""COMPUTED_VALUE"""),"Ruby")</f>
        <v>Ruby</v>
      </c>
      <c r="H1006" s="9" t="str">
        <f>IFERROR(__xludf.DUMMYFUNCTION("""COMPUTED_VALUE"""),"PHP")</f>
        <v>PHP</v>
      </c>
      <c r="I1006" s="9" t="str">
        <f>IFERROR(__xludf.DUMMYFUNCTION("""COMPUTED_VALUE"""),"C++")</f>
        <v>C++</v>
      </c>
      <c r="J1006" s="9" t="str">
        <f>IFERROR(__xludf.DUMMYFUNCTION("""COMPUTED_VALUE"""),"JavaScript")</f>
        <v>JavaScript</v>
      </c>
      <c r="K1006" s="9" t="str">
        <f>IFERROR(__xludf.DUMMYFUNCTION("""COMPUTED_VALUE"""),"SQL")</f>
        <v>SQL</v>
      </c>
      <c r="L1006" s="9" t="str">
        <f>IFERROR(__xludf.DUMMYFUNCTION("""COMPUTED_VALUE"""),"Bash/Shell/PowerShell")</f>
        <v>Bash/Shell/PowerShell</v>
      </c>
      <c r="M1006" s="9" t="s">
        <v>33</v>
      </c>
    </row>
    <row r="1007" ht="15.75" customHeight="1">
      <c r="A1007" s="7"/>
      <c r="B1007" s="7" t="str">
        <f>IFERROR(__xludf.DUMMYFUNCTION("""COMPUTED_VALUE"""),"Java;JavaScript;PHP;SQL;TypeScript")</f>
        <v>Java;JavaScript;PHP;SQL;TypeScript</v>
      </c>
      <c r="C1007" s="9" t="str">
        <f>IFERROR(__xludf.DUMMYFUNCTION("""COMPUTED_VALUE"""),"Other(s):")</f>
        <v>Other(s):</v>
      </c>
      <c r="D1007" s="9" t="str">
        <f>IFERROR(__xludf.DUMMYFUNCTION("""COMPUTED_VALUE"""),"Bash/Shell/PowerShell")</f>
        <v>Bash/Shell/PowerShell</v>
      </c>
      <c r="E1007" s="9" t="str">
        <f>IFERROR(__xludf.DUMMYFUNCTION("""COMPUTED_VALUE"""),"C++")</f>
        <v>C++</v>
      </c>
      <c r="F1007" s="9" t="str">
        <f>IFERROR(__xludf.DUMMYFUNCTION("""COMPUTED_VALUE"""),"Python")</f>
        <v>Python</v>
      </c>
      <c r="G1007" s="9" t="str">
        <f>IFERROR(__xludf.DUMMYFUNCTION("""COMPUTED_VALUE"""),"SQL")</f>
        <v>SQL</v>
      </c>
      <c r="H1007" s="9" t="str">
        <f>IFERROR(__xludf.DUMMYFUNCTION("""COMPUTED_VALUE"""),"Python")</f>
        <v>Python</v>
      </c>
      <c r="I1007" s="9" t="str">
        <f>IFERROR(__xludf.DUMMYFUNCTION("""COMPUTED_VALUE"""),"C#")</f>
        <v>C#</v>
      </c>
      <c r="J1007" s="9" t="str">
        <f>IFERROR(__xludf.DUMMYFUNCTION("""COMPUTED_VALUE"""),"C#")</f>
        <v>C#</v>
      </c>
      <c r="K1007" s="9" t="str">
        <f>IFERROR(__xludf.DUMMYFUNCTION("""COMPUTED_VALUE"""),"HTML/CSS")</f>
        <v>HTML/CSS</v>
      </c>
      <c r="L1007" s="9" t="str">
        <f>IFERROR(__xludf.DUMMYFUNCTION("""COMPUTED_VALUE"""),"C#")</f>
        <v>C#</v>
      </c>
      <c r="M1007" s="9" t="s">
        <v>35</v>
      </c>
    </row>
    <row r="1008" ht="15.75" customHeight="1">
      <c r="A1008" s="7"/>
      <c r="B1008" s="7" t="str">
        <f>IFERROR(__xludf.DUMMYFUNCTION("""COMPUTED_VALUE"""),"HTML/CSS;Java;JavaScript;Kotlin;PHP;Python;SQL")</f>
        <v>HTML/CSS;Java;JavaScript;Kotlin;PHP;Python;SQL</v>
      </c>
      <c r="C1008" s="9" t="str">
        <f>IFERROR(__xludf.DUMMYFUNCTION("""COMPUTED_VALUE"""),"C#")</f>
        <v>C#</v>
      </c>
      <c r="D1008" s="9" t="str">
        <f>IFERROR(__xludf.DUMMYFUNCTION("""COMPUTED_VALUE"""),"HTML/CSS")</f>
        <v>HTML/CSS</v>
      </c>
      <c r="E1008" s="9" t="str">
        <f>IFERROR(__xludf.DUMMYFUNCTION("""COMPUTED_VALUE"""),"HTML/CSS")</f>
        <v>HTML/CSS</v>
      </c>
      <c r="F1008" s="9" t="str">
        <f>IFERROR(__xludf.DUMMYFUNCTION("""COMPUTED_VALUE"""),"Ruby")</f>
        <v>Ruby</v>
      </c>
      <c r="G1008" s="9" t="str">
        <f>IFERROR(__xludf.DUMMYFUNCTION("""COMPUTED_VALUE"""),"Bash/Shell/PowerShell")</f>
        <v>Bash/Shell/PowerShell</v>
      </c>
      <c r="H1008" s="9" t="str">
        <f>IFERROR(__xludf.DUMMYFUNCTION("""COMPUTED_VALUE"""),"Ruby")</f>
        <v>Ruby</v>
      </c>
      <c r="I1008" s="9" t="str">
        <f>IFERROR(__xludf.DUMMYFUNCTION("""COMPUTED_VALUE"""),"Java")</f>
        <v>Java</v>
      </c>
      <c r="J1008" s="9" t="str">
        <f>IFERROR(__xludf.DUMMYFUNCTION("""COMPUTED_VALUE"""),"JavaScript")</f>
        <v>JavaScript</v>
      </c>
      <c r="K1008" s="9" t="str">
        <f>IFERROR(__xludf.DUMMYFUNCTION("""COMPUTED_VALUE"""),"JavaScript")</f>
        <v>JavaScript</v>
      </c>
      <c r="L1008" s="9" t="str">
        <f>IFERROR(__xludf.DUMMYFUNCTION("""COMPUTED_VALUE"""),"HTML/CSS")</f>
        <v>HTML/CSS</v>
      </c>
      <c r="M1008" s="9" t="s">
        <v>26</v>
      </c>
    </row>
    <row r="1009" ht="15.75" customHeight="1">
      <c r="A1009" s="7"/>
      <c r="B1009" s="7" t="str">
        <f>IFERROR(__xludf.DUMMYFUNCTION("""COMPUTED_VALUE"""),"Bash/Shell/PowerShell;C++;HTML/CSS;JavaScript;Python;SQL")</f>
        <v>Bash/Shell/PowerShell;C++;HTML/CSS;JavaScript;Python;SQL</v>
      </c>
      <c r="C1009" s="9" t="str">
        <f>IFERROR(__xludf.DUMMYFUNCTION("""COMPUTED_VALUE"""),"HTML/CSS")</f>
        <v>HTML/CSS</v>
      </c>
      <c r="D1009" s="9" t="str">
        <f>IFERROR(__xludf.DUMMYFUNCTION("""COMPUTED_VALUE"""),"Java")</f>
        <v>Java</v>
      </c>
      <c r="E1009" s="9" t="str">
        <f>IFERROR(__xludf.DUMMYFUNCTION("""COMPUTED_VALUE"""),"Java")</f>
        <v>Java</v>
      </c>
      <c r="F1009" s="9" t="str">
        <f>IFERROR(__xludf.DUMMYFUNCTION("""COMPUTED_VALUE"""),"SQL")</f>
        <v>SQL</v>
      </c>
      <c r="G1009" s="9" t="str">
        <f>IFERROR(__xludf.DUMMYFUNCTION("""COMPUTED_VALUE"""),"Go")</f>
        <v>Go</v>
      </c>
      <c r="H1009" s="9" t="str">
        <f>IFERROR(__xludf.DUMMYFUNCTION("""COMPUTED_VALUE"""),"SQL")</f>
        <v>SQL</v>
      </c>
      <c r="I1009" s="9" t="str">
        <f>IFERROR(__xludf.DUMMYFUNCTION("""COMPUTED_VALUE"""),"JavaScript")</f>
        <v>JavaScript</v>
      </c>
      <c r="J1009" s="9" t="str">
        <f>IFERROR(__xludf.DUMMYFUNCTION("""COMPUTED_VALUE"""),"TypeScript")</f>
        <v>TypeScript</v>
      </c>
      <c r="K1009" s="9" t="str">
        <f>IFERROR(__xludf.DUMMYFUNCTION("""COMPUTED_VALUE"""),"PHP")</f>
        <v>PHP</v>
      </c>
      <c r="L1009" s="9" t="str">
        <f>IFERROR(__xludf.DUMMYFUNCTION("""COMPUTED_VALUE"""),"JavaScript")</f>
        <v>JavaScript</v>
      </c>
      <c r="M1009" s="9" t="s">
        <v>24</v>
      </c>
    </row>
    <row r="1010" ht="15.75" customHeight="1">
      <c r="A1010" s="7"/>
      <c r="B1010" s="7" t="str">
        <f>IFERROR(__xludf.DUMMYFUNCTION("""COMPUTED_VALUE"""),"Bash/Shell/PowerShell;C#;HTML/CSS;SQL;TypeScript")</f>
        <v>Bash/Shell/PowerShell;C#;HTML/CSS;SQL;TypeScript</v>
      </c>
      <c r="C1010" s="9" t="str">
        <f>IFERROR(__xludf.DUMMYFUNCTION("""COMPUTED_VALUE"""),"JavaScript")</f>
        <v>JavaScript</v>
      </c>
      <c r="D1010" s="9" t="str">
        <f>IFERROR(__xludf.DUMMYFUNCTION("""COMPUTED_VALUE"""),"JavaScript")</f>
        <v>JavaScript</v>
      </c>
      <c r="E1010" s="9" t="str">
        <f>IFERROR(__xludf.DUMMYFUNCTION("""COMPUTED_VALUE"""),"JavaScript")</f>
        <v>JavaScript</v>
      </c>
      <c r="F1010" s="9" t="str">
        <f>IFERROR(__xludf.DUMMYFUNCTION("""COMPUTED_VALUE"""),"Bash/Shell/PowerShell")</f>
        <v>Bash/Shell/PowerShell</v>
      </c>
      <c r="G1010" s="9" t="str">
        <f>IFERROR(__xludf.DUMMYFUNCTION("""COMPUTED_VALUE"""),"HTML/CSS")</f>
        <v>HTML/CSS</v>
      </c>
      <c r="H1010" s="9" t="str">
        <f>IFERROR(__xludf.DUMMYFUNCTION("""COMPUTED_VALUE"""),"Dart")</f>
        <v>Dart</v>
      </c>
      <c r="I1010" s="9" t="str">
        <f>IFERROR(__xludf.DUMMYFUNCTION("""COMPUTED_VALUE"""),"Python")</f>
        <v>Python</v>
      </c>
      <c r="J1010" s="9" t="str">
        <f>IFERROR(__xludf.DUMMYFUNCTION("""COMPUTED_VALUE"""),"C++")</f>
        <v>C++</v>
      </c>
      <c r="K1010" s="9" t="str">
        <f>IFERROR(__xludf.DUMMYFUNCTION("""COMPUTED_VALUE"""),"SQL")</f>
        <v>SQL</v>
      </c>
      <c r="L1010" s="9" t="str">
        <f>IFERROR(__xludf.DUMMYFUNCTION("""COMPUTED_VALUE"""),"SQL")</f>
        <v>SQL</v>
      </c>
      <c r="M1010" s="9" t="s">
        <v>21</v>
      </c>
    </row>
    <row r="1011" ht="15.75" customHeight="1">
      <c r="A1011" s="7"/>
      <c r="B1011" s="7" t="str">
        <f>IFERROR(__xludf.DUMMYFUNCTION("""COMPUTED_VALUE"""),"C#;HTML/CSS;Java;JavaScript;Ruby;SQL;TypeScript")</f>
        <v>C#;HTML/CSS;Java;JavaScript;Ruby;SQL;TypeScript</v>
      </c>
      <c r="C1011" s="9" t="str">
        <f>IFERROR(__xludf.DUMMYFUNCTION("""COMPUTED_VALUE"""),"SQL")</f>
        <v>SQL</v>
      </c>
      <c r="D1011" s="9" t="str">
        <f>IFERROR(__xludf.DUMMYFUNCTION("""COMPUTED_VALUE"""),"Kotlin")</f>
        <v>Kotlin</v>
      </c>
      <c r="E1011" s="9" t="str">
        <f>IFERROR(__xludf.DUMMYFUNCTION("""COMPUTED_VALUE"""),"SQL")</f>
        <v>SQL</v>
      </c>
      <c r="F1011" s="9" t="str">
        <f>IFERROR(__xludf.DUMMYFUNCTION("""COMPUTED_VALUE"""),"HTML/CSS")</f>
        <v>HTML/CSS</v>
      </c>
      <c r="G1011" s="9" t="str">
        <f>IFERROR(__xludf.DUMMYFUNCTION("""COMPUTED_VALUE"""),"Java")</f>
        <v>Java</v>
      </c>
      <c r="H1011" s="9" t="str">
        <f>IFERROR(__xludf.DUMMYFUNCTION("""COMPUTED_VALUE"""),"HTML/CSS")</f>
        <v>HTML/CSS</v>
      </c>
      <c r="I1011" s="9" t="str">
        <f>IFERROR(__xludf.DUMMYFUNCTION("""COMPUTED_VALUE"""),"Ruby")</f>
        <v>Ruby</v>
      </c>
      <c r="J1011" s="9" t="str">
        <f>IFERROR(__xludf.DUMMYFUNCTION("""COMPUTED_VALUE"""),"C#")</f>
        <v>C#</v>
      </c>
      <c r="K1011" s="9" t="str">
        <f>IFERROR(__xludf.DUMMYFUNCTION("""COMPUTED_VALUE"""),"Assembly")</f>
        <v>Assembly</v>
      </c>
      <c r="L1011" s="9" t="str">
        <f>IFERROR(__xludf.DUMMYFUNCTION("""COMPUTED_VALUE"""),"Bash/Shell/PowerShell")</f>
        <v>Bash/Shell/PowerShell</v>
      </c>
      <c r="M1011" s="9" t="s">
        <v>27</v>
      </c>
    </row>
    <row r="1012" ht="15.75" customHeight="1">
      <c r="A1012" s="7"/>
      <c r="B1012" s="7" t="str">
        <f>IFERROR(__xludf.DUMMYFUNCTION("""COMPUTED_VALUE"""),"C++;C#;JavaScript;Objective-C;Rust")</f>
        <v>C++;C#;JavaScript;Objective-C;Rust</v>
      </c>
      <c r="C1012" s="9" t="str">
        <f>IFERROR(__xludf.DUMMYFUNCTION("""COMPUTED_VALUE"""),"TypeScript")</f>
        <v>TypeScript</v>
      </c>
      <c r="D1012" s="9" t="str">
        <f>IFERROR(__xludf.DUMMYFUNCTION("""COMPUTED_VALUE"""),"Python")</f>
        <v>Python</v>
      </c>
      <c r="E1012" s="9" t="str">
        <f>IFERROR(__xludf.DUMMYFUNCTION("""COMPUTED_VALUE"""),"TypeScript")</f>
        <v>TypeScript</v>
      </c>
      <c r="F1012" s="9" t="str">
        <f>IFERROR(__xludf.DUMMYFUNCTION("""COMPUTED_VALUE"""),"Java")</f>
        <v>Java</v>
      </c>
      <c r="G1012" s="9" t="str">
        <f>IFERROR(__xludf.DUMMYFUNCTION("""COMPUTED_VALUE"""),"JavaScript")</f>
        <v>JavaScript</v>
      </c>
      <c r="H1012" s="9" t="str">
        <f>IFERROR(__xludf.DUMMYFUNCTION("""COMPUTED_VALUE"""),"Java")</f>
        <v>Java</v>
      </c>
      <c r="I1012" s="9" t="str">
        <f>IFERROR(__xludf.DUMMYFUNCTION("""COMPUTED_VALUE"""),"SQL")</f>
        <v>SQL</v>
      </c>
      <c r="J1012" s="9" t="str">
        <f>IFERROR(__xludf.DUMMYFUNCTION("""COMPUTED_VALUE"""),"Go")</f>
        <v>Go</v>
      </c>
      <c r="K1012" s="9" t="str">
        <f>IFERROR(__xludf.DUMMYFUNCTION("""COMPUTED_VALUE"""),"Bash/Shell/PowerShell")</f>
        <v>Bash/Shell/PowerShell</v>
      </c>
      <c r="L1012" s="9" t="str">
        <f>IFERROR(__xludf.DUMMYFUNCTION("""COMPUTED_VALUE"""),"Erlang")</f>
        <v>Erlang</v>
      </c>
      <c r="M1012" s="9" t="s">
        <v>33</v>
      </c>
    </row>
    <row r="1013" ht="15.75" customHeight="1">
      <c r="A1013" s="7"/>
      <c r="B1013" s="7" t="str">
        <f>IFERROR(__xludf.DUMMYFUNCTION("""COMPUTED_VALUE"""),"Bash/Shell/PowerShell;Java;JavaScript;Python")</f>
        <v>Bash/Shell/PowerShell;Java;JavaScript;Python</v>
      </c>
      <c r="C1013" s="9" t="str">
        <f>IFERROR(__xludf.DUMMYFUNCTION("""COMPUTED_VALUE"""),"HTML/CSS")</f>
        <v>HTML/CSS</v>
      </c>
      <c r="D1013" s="9" t="str">
        <f>IFERROR(__xludf.DUMMYFUNCTION("""COMPUTED_VALUE"""),"Ruby")</f>
        <v>Ruby</v>
      </c>
      <c r="E1013" s="9" t="str">
        <f>IFERROR(__xludf.DUMMYFUNCTION("""COMPUTED_VALUE"""),"Bash/Shell/PowerShell")</f>
        <v>Bash/Shell/PowerShell</v>
      </c>
      <c r="F1013" s="9" t="str">
        <f>IFERROR(__xludf.DUMMYFUNCTION("""COMPUTED_VALUE"""),"JavaScript")</f>
        <v>JavaScript</v>
      </c>
      <c r="G1013" s="9" t="str">
        <f>IFERROR(__xludf.DUMMYFUNCTION("""COMPUTED_VALUE"""),"PHP")</f>
        <v>PHP</v>
      </c>
      <c r="H1013" s="9" t="str">
        <f>IFERROR(__xludf.DUMMYFUNCTION("""COMPUTED_VALUE"""),"JavaScript")</f>
        <v>JavaScript</v>
      </c>
      <c r="I1013" s="9" t="str">
        <f>IFERROR(__xludf.DUMMYFUNCTION("""COMPUTED_VALUE"""),"Python")</f>
        <v>Python</v>
      </c>
      <c r="J1013" s="9" t="str">
        <f>IFERROR(__xludf.DUMMYFUNCTION("""COMPUTED_VALUE"""),"HTML/CSS")</f>
        <v>HTML/CSS</v>
      </c>
      <c r="K1013" s="9" t="str">
        <f>IFERROR(__xludf.DUMMYFUNCTION("""COMPUTED_VALUE"""),"C")</f>
        <v>C</v>
      </c>
      <c r="L1013" s="9" t="str">
        <f>IFERROR(__xludf.DUMMYFUNCTION("""COMPUTED_VALUE"""),"Go")</f>
        <v>Go</v>
      </c>
      <c r="M1013" s="9" t="s">
        <v>24</v>
      </c>
    </row>
    <row r="1014" ht="15.75" customHeight="1">
      <c r="A1014" s="7"/>
      <c r="B1014" s="7" t="str">
        <f>IFERROR(__xludf.DUMMYFUNCTION("""COMPUTED_VALUE"""),"HTML/CSS;JavaScript")</f>
        <v>HTML/CSS;JavaScript</v>
      </c>
      <c r="C1014" s="9" t="str">
        <f>IFERROR(__xludf.DUMMYFUNCTION("""COMPUTED_VALUE"""),"R")</f>
        <v>R</v>
      </c>
      <c r="D1014" s="9" t="str">
        <f>IFERROR(__xludf.DUMMYFUNCTION("""COMPUTED_VALUE"""),"SQL")</f>
        <v>SQL</v>
      </c>
      <c r="E1014" s="9" t="str">
        <f>IFERROR(__xludf.DUMMYFUNCTION("""COMPUTED_VALUE"""),"C")</f>
        <v>C</v>
      </c>
      <c r="F1014" s="9" t="str">
        <f>IFERROR(__xludf.DUMMYFUNCTION("""COMPUTED_VALUE"""),"PHP")</f>
        <v>PHP</v>
      </c>
      <c r="G1014" s="9" t="str">
        <f>IFERROR(__xludf.DUMMYFUNCTION("""COMPUTED_VALUE"""),"SQL")</f>
        <v>SQL</v>
      </c>
      <c r="H1014" s="9" t="str">
        <f>IFERROR(__xludf.DUMMYFUNCTION("""COMPUTED_VALUE"""),"TypeScript")</f>
        <v>TypeScript</v>
      </c>
      <c r="I1014" s="9" t="str">
        <f>IFERROR(__xludf.DUMMYFUNCTION("""COMPUTED_VALUE"""),"HTML/CSS")</f>
        <v>HTML/CSS</v>
      </c>
      <c r="J1014" s="9" t="str">
        <f>IFERROR(__xludf.DUMMYFUNCTION("""COMPUTED_VALUE"""),"Java")</f>
        <v>Java</v>
      </c>
      <c r="K1014" s="9" t="str">
        <f>IFERROR(__xludf.DUMMYFUNCTION("""COMPUTED_VALUE"""),"C++")</f>
        <v>C++</v>
      </c>
      <c r="L1014" s="9" t="str">
        <f>IFERROR(__xludf.DUMMYFUNCTION("""COMPUTED_VALUE"""),"HTML/CSS")</f>
        <v>HTML/CSS</v>
      </c>
      <c r="M1014" s="9" t="s">
        <v>29</v>
      </c>
    </row>
    <row r="1015" ht="15.75" customHeight="1">
      <c r="A1015" s="7"/>
      <c r="B1015" s="7" t="str">
        <f>IFERROR(__xludf.DUMMYFUNCTION("""COMPUTED_VALUE"""),"C;C++;HTML/CSS;Java;JavaScript;Python;SQL")</f>
        <v>C;C++;HTML/CSS;Java;JavaScript;Python;SQL</v>
      </c>
      <c r="C1015" s="9" t="str">
        <f>IFERROR(__xludf.DUMMYFUNCTION("""COMPUTED_VALUE"""),"VBA")</f>
        <v>VBA</v>
      </c>
      <c r="D1015" s="9" t="str">
        <f>IFERROR(__xludf.DUMMYFUNCTION("""COMPUTED_VALUE"""),"C#")</f>
        <v>C#</v>
      </c>
      <c r="E1015" s="9" t="str">
        <f>IFERROR(__xludf.DUMMYFUNCTION("""COMPUTED_VALUE"""),"C++")</f>
        <v>C++</v>
      </c>
      <c r="F1015" s="9" t="str">
        <f>IFERROR(__xludf.DUMMYFUNCTION("""COMPUTED_VALUE"""),"SQL")</f>
        <v>SQL</v>
      </c>
      <c r="G1015" s="9" t="str">
        <f>IFERROR(__xludf.DUMMYFUNCTION("""COMPUTED_VALUE"""),"TypeScript")</f>
        <v>TypeScript</v>
      </c>
      <c r="H1015" s="9" t="str">
        <f>IFERROR(__xludf.DUMMYFUNCTION("""COMPUTED_VALUE"""),"Bash/Shell/PowerShell")</f>
        <v>Bash/Shell/PowerShell</v>
      </c>
      <c r="I1015" s="9" t="str">
        <f>IFERROR(__xludf.DUMMYFUNCTION("""COMPUTED_VALUE"""),"Java")</f>
        <v>Java</v>
      </c>
      <c r="J1015" s="9" t="str">
        <f>IFERROR(__xludf.DUMMYFUNCTION("""COMPUTED_VALUE"""),"JavaScript")</f>
        <v>JavaScript</v>
      </c>
      <c r="K1015" s="9" t="str">
        <f>IFERROR(__xludf.DUMMYFUNCTION("""COMPUTED_VALUE"""),"C#")</f>
        <v>C#</v>
      </c>
      <c r="L1015" s="9" t="str">
        <f>IFERROR(__xludf.DUMMYFUNCTION("""COMPUTED_VALUE"""),"JavaScript")</f>
        <v>JavaScript</v>
      </c>
      <c r="M1015" s="9" t="s">
        <v>28</v>
      </c>
    </row>
    <row r="1016" ht="15.75" customHeight="1">
      <c r="A1016" s="7"/>
      <c r="B1016" s="7" t="str">
        <f>IFERROR(__xludf.DUMMYFUNCTION("""COMPUTED_VALUE"""),"Bash/Shell/PowerShell;HTML/CSS;JavaScript;PHP;SQL")</f>
        <v>Bash/Shell/PowerShell;HTML/CSS;JavaScript;PHP;SQL</v>
      </c>
      <c r="C1016" s="9" t="str">
        <f>IFERROR(__xludf.DUMMYFUNCTION("""COMPUTED_VALUE"""),"HTML/CSS")</f>
        <v>HTML/CSS</v>
      </c>
      <c r="D1016" s="9" t="str">
        <f>IFERROR(__xludf.DUMMYFUNCTION("""COMPUTED_VALUE"""),"HTML/CSS")</f>
        <v>HTML/CSS</v>
      </c>
      <c r="E1016" s="9" t="str">
        <f>IFERROR(__xludf.DUMMYFUNCTION("""COMPUTED_VALUE"""),"C#")</f>
        <v>C#</v>
      </c>
      <c r="F1016" s="9" t="str">
        <f>IFERROR(__xludf.DUMMYFUNCTION("""COMPUTED_VALUE"""),"Other(s):")</f>
        <v>Other(s):</v>
      </c>
      <c r="G1016" s="9" t="str">
        <f>IFERROR(__xludf.DUMMYFUNCTION("""COMPUTED_VALUE"""),"HTML/CSS")</f>
        <v>HTML/CSS</v>
      </c>
      <c r="H1016" s="9" t="str">
        <f>IFERROR(__xludf.DUMMYFUNCTION("""COMPUTED_VALUE"""),"C")</f>
        <v>C</v>
      </c>
      <c r="I1016" s="9" t="str">
        <f>IFERROR(__xludf.DUMMYFUNCTION("""COMPUTED_VALUE"""),"JavaScript")</f>
        <v>JavaScript</v>
      </c>
      <c r="J1016" s="9" t="str">
        <f>IFERROR(__xludf.DUMMYFUNCTION("""COMPUTED_VALUE"""),"SQL")</f>
        <v>SQL</v>
      </c>
      <c r="K1016" s="9" t="str">
        <f>IFERROR(__xludf.DUMMYFUNCTION("""COMPUTED_VALUE"""),"HTML/CSS")</f>
        <v>HTML/CSS</v>
      </c>
      <c r="L1016" s="9" t="str">
        <f>IFERROR(__xludf.DUMMYFUNCTION("""COMPUTED_VALUE"""),"Python")</f>
        <v>Python</v>
      </c>
      <c r="M1016" s="9" t="s">
        <v>24</v>
      </c>
    </row>
    <row r="1017" ht="15.75" customHeight="1">
      <c r="A1017" s="7"/>
      <c r="B1017" s="7" t="str">
        <f>IFERROR(__xludf.DUMMYFUNCTION("""COMPUTED_VALUE"""),"C#;HTML/CSS;JavaScript;SQL;TypeScript")</f>
        <v>C#;HTML/CSS;JavaScript;SQL;TypeScript</v>
      </c>
      <c r="C1017" s="9" t="str">
        <f>IFERROR(__xludf.DUMMYFUNCTION("""COMPUTED_VALUE"""),"Java")</f>
        <v>Java</v>
      </c>
      <c r="D1017" s="9" t="str">
        <f>IFERROR(__xludf.DUMMYFUNCTION("""COMPUTED_VALUE"""),"JavaScript")</f>
        <v>JavaScript</v>
      </c>
      <c r="E1017" s="9" t="str">
        <f>IFERROR(__xludf.DUMMYFUNCTION("""COMPUTED_VALUE"""),"HTML/CSS")</f>
        <v>HTML/CSS</v>
      </c>
      <c r="F1017" s="9" t="str">
        <f>IFERROR(__xludf.DUMMYFUNCTION("""COMPUTED_VALUE"""),"HTML/CSS")</f>
        <v>HTML/CSS</v>
      </c>
      <c r="G1017" s="9" t="str">
        <f>IFERROR(__xludf.DUMMYFUNCTION("""COMPUTED_VALUE"""),"Java")</f>
        <v>Java</v>
      </c>
      <c r="H1017" s="9" t="str">
        <f>IFERROR(__xludf.DUMMYFUNCTION("""COMPUTED_VALUE"""),"C++")</f>
        <v>C++</v>
      </c>
      <c r="I1017" s="9" t="str">
        <f>IFERROR(__xludf.DUMMYFUNCTION("""COMPUTED_VALUE"""),"SQL")</f>
        <v>SQL</v>
      </c>
      <c r="J1017" s="9" t="str">
        <f>IFERROR(__xludf.DUMMYFUNCTION("""COMPUTED_VALUE"""),"JavaScript")</f>
        <v>JavaScript</v>
      </c>
      <c r="K1017" s="9" t="str">
        <f>IFERROR(__xludf.DUMMYFUNCTION("""COMPUTED_VALUE"""),"Java")</f>
        <v>Java</v>
      </c>
      <c r="L1017" s="9" t="str">
        <f>IFERROR(__xludf.DUMMYFUNCTION("""COMPUTED_VALUE"""),"TypeScript")</f>
        <v>TypeScript</v>
      </c>
      <c r="M1017" s="9" t="s">
        <v>20</v>
      </c>
    </row>
    <row r="1018" ht="15.75" customHeight="1">
      <c r="A1018" s="7"/>
      <c r="B1018" s="7" t="str">
        <f>IFERROR(__xludf.DUMMYFUNCTION("""COMPUTED_VALUE"""),"Bash/Shell/PowerShell;C#;HTML/CSS;JavaScript")</f>
        <v>Bash/Shell/PowerShell;C#;HTML/CSS;JavaScript</v>
      </c>
      <c r="C1018" s="9" t="str">
        <f>IFERROR(__xludf.DUMMYFUNCTION("""COMPUTED_VALUE"""),"JavaScript")</f>
        <v>JavaScript</v>
      </c>
      <c r="D1018" s="9" t="str">
        <f>IFERROR(__xludf.DUMMYFUNCTION("""COMPUTED_VALUE"""),"SQL")</f>
        <v>SQL</v>
      </c>
      <c r="E1018" s="9" t="str">
        <f>IFERROR(__xludf.DUMMYFUNCTION("""COMPUTED_VALUE"""),"JavaScript")</f>
        <v>JavaScript</v>
      </c>
      <c r="F1018" s="9" t="str">
        <f>IFERROR(__xludf.DUMMYFUNCTION("""COMPUTED_VALUE"""),"Java")</f>
        <v>Java</v>
      </c>
      <c r="G1018" s="9" t="str">
        <f>IFERROR(__xludf.DUMMYFUNCTION("""COMPUTED_VALUE"""),"Python")</f>
        <v>Python</v>
      </c>
      <c r="H1018" s="9" t="str">
        <f>IFERROR(__xludf.DUMMYFUNCTION("""COMPUTED_VALUE"""),"HTML/CSS")</f>
        <v>HTML/CSS</v>
      </c>
      <c r="I1018" s="9" t="str">
        <f>IFERROR(__xludf.DUMMYFUNCTION("""COMPUTED_VALUE"""),"TypeScript")</f>
        <v>TypeScript</v>
      </c>
      <c r="J1018" s="9" t="str">
        <f>IFERROR(__xludf.DUMMYFUNCTION("""COMPUTED_VALUE"""),"HTML/CSS")</f>
        <v>HTML/CSS</v>
      </c>
      <c r="K1018" s="9" t="str">
        <f>IFERROR(__xludf.DUMMYFUNCTION("""COMPUTED_VALUE"""),"JavaScript")</f>
        <v>JavaScript</v>
      </c>
      <c r="L1018" s="9" t="str">
        <f>IFERROR(__xludf.DUMMYFUNCTION("""COMPUTED_VALUE"""),"Assembly")</f>
        <v>Assembly</v>
      </c>
      <c r="M1018" s="9" t="s">
        <v>21</v>
      </c>
    </row>
    <row r="1019" ht="15.75" customHeight="1">
      <c r="A1019" s="7"/>
      <c r="B1019" s="7" t="str">
        <f>IFERROR(__xludf.DUMMYFUNCTION("""COMPUTED_VALUE"""),"Java;Kotlin;Swift")</f>
        <v>Java;Kotlin;Swift</v>
      </c>
      <c r="C1019" s="9" t="str">
        <f>IFERROR(__xludf.DUMMYFUNCTION("""COMPUTED_VALUE"""),"Python")</f>
        <v>Python</v>
      </c>
      <c r="D1019" s="9" t="str">
        <f>IFERROR(__xludf.DUMMYFUNCTION("""COMPUTED_VALUE"""),"TypeScript")</f>
        <v>TypeScript</v>
      </c>
      <c r="E1019" s="9" t="str">
        <f>IFERROR(__xludf.DUMMYFUNCTION("""COMPUTED_VALUE"""),"PHP")</f>
        <v>PHP</v>
      </c>
      <c r="F1019" s="9" t="str">
        <f>IFERROR(__xludf.DUMMYFUNCTION("""COMPUTED_VALUE"""),"JavaScript")</f>
        <v>JavaScript</v>
      </c>
      <c r="G1019" s="9" t="str">
        <f>IFERROR(__xludf.DUMMYFUNCTION("""COMPUTED_VALUE"""),"SQL")</f>
        <v>SQL</v>
      </c>
      <c r="H1019" s="9" t="str">
        <f>IFERROR(__xludf.DUMMYFUNCTION("""COMPUTED_VALUE"""),"JavaScript")</f>
        <v>JavaScript</v>
      </c>
      <c r="I1019" s="9" t="str">
        <f>IFERROR(__xludf.DUMMYFUNCTION("""COMPUTED_VALUE"""),"HTML/CSS")</f>
        <v>HTML/CSS</v>
      </c>
      <c r="J1019" s="9" t="str">
        <f>IFERROR(__xludf.DUMMYFUNCTION("""COMPUTED_VALUE"""),"JavaScript")</f>
        <v>JavaScript</v>
      </c>
      <c r="K1019" s="9" t="str">
        <f>IFERROR(__xludf.DUMMYFUNCTION("""COMPUTED_VALUE"""),"Objective-C")</f>
        <v>Objective-C</v>
      </c>
      <c r="L1019" s="9" t="str">
        <f>IFERROR(__xludf.DUMMYFUNCTION("""COMPUTED_VALUE"""),"Java")</f>
        <v>Java</v>
      </c>
      <c r="M1019" s="9" t="s">
        <v>22</v>
      </c>
    </row>
    <row r="1020" ht="15.75" customHeight="1">
      <c r="A1020" s="7"/>
      <c r="B1020" s="7" t="str">
        <f>IFERROR(__xludf.DUMMYFUNCTION("""COMPUTED_VALUE"""),"C#;HTML/CSS;JavaScript;SQL")</f>
        <v>C#;HTML/CSS;JavaScript;SQL</v>
      </c>
      <c r="C1020" s="9" t="str">
        <f>IFERROR(__xludf.DUMMYFUNCTION("""COMPUTED_VALUE"""),"SQL")</f>
        <v>SQL</v>
      </c>
      <c r="D1020" s="9" t="str">
        <f>IFERROR(__xludf.DUMMYFUNCTION("""COMPUTED_VALUE"""),"Bash/Shell/PowerShell")</f>
        <v>Bash/Shell/PowerShell</v>
      </c>
      <c r="E1020" s="9" t="str">
        <f>IFERROR(__xludf.DUMMYFUNCTION("""COMPUTED_VALUE"""),"SQL")</f>
        <v>SQL</v>
      </c>
      <c r="F1020" s="9" t="str">
        <f>IFERROR(__xludf.DUMMYFUNCTION("""COMPUTED_VALUE"""),"C#")</f>
        <v>C#</v>
      </c>
      <c r="G1020" s="9" t="str">
        <f>IFERROR(__xludf.DUMMYFUNCTION("""COMPUTED_VALUE"""),"Assembly")</f>
        <v>Assembly</v>
      </c>
      <c r="H1020" s="9" t="str">
        <f>IFERROR(__xludf.DUMMYFUNCTION("""COMPUTED_VALUE"""),"PHP")</f>
        <v>PHP</v>
      </c>
      <c r="I1020" s="9" t="str">
        <f>IFERROR(__xludf.DUMMYFUNCTION("""COMPUTED_VALUE"""),"Java")</f>
        <v>Java</v>
      </c>
      <c r="J1020" s="9" t="str">
        <f>IFERROR(__xludf.DUMMYFUNCTION("""COMPUTED_VALUE"""),"Objective-C")</f>
        <v>Objective-C</v>
      </c>
      <c r="K1020" s="9" t="str">
        <f>IFERROR(__xludf.DUMMYFUNCTION("""COMPUTED_VALUE"""),"Python")</f>
        <v>Python</v>
      </c>
      <c r="L1020" s="9" t="str">
        <f>IFERROR(__xludf.DUMMYFUNCTION("""COMPUTED_VALUE"""),"Python")</f>
        <v>Python</v>
      </c>
      <c r="M1020" s="9" t="s">
        <v>27</v>
      </c>
    </row>
    <row r="1021" ht="15.75" customHeight="1">
      <c r="A1021" s="7"/>
      <c r="B1021" s="7" t="str">
        <f>IFERROR(__xludf.DUMMYFUNCTION("""COMPUTED_VALUE"""),"Python;Ruby;SQL")</f>
        <v>Python;Ruby;SQL</v>
      </c>
      <c r="C1021" s="9" t="str">
        <f>IFERROR(__xludf.DUMMYFUNCTION("""COMPUTED_VALUE"""),"R")</f>
        <v>R</v>
      </c>
      <c r="D1021" s="9" t="str">
        <f>IFERROR(__xludf.DUMMYFUNCTION("""COMPUTED_VALUE"""),"C")</f>
        <v>C</v>
      </c>
      <c r="E1021" s="9" t="str">
        <f>IFERROR(__xludf.DUMMYFUNCTION("""COMPUTED_VALUE"""),"VBA")</f>
        <v>VBA</v>
      </c>
      <c r="F1021" s="9" t="str">
        <f>IFERROR(__xludf.DUMMYFUNCTION("""COMPUTED_VALUE"""),"Dart")</f>
        <v>Dart</v>
      </c>
      <c r="G1021" s="9" t="str">
        <f>IFERROR(__xludf.DUMMYFUNCTION("""COMPUTED_VALUE"""),"Bash/Shell/PowerShell")</f>
        <v>Bash/Shell/PowerShell</v>
      </c>
      <c r="H1021" s="9" t="str">
        <f>IFERROR(__xludf.DUMMYFUNCTION("""COMPUTED_VALUE"""),"Bash/Shell/PowerShell")</f>
        <v>Bash/Shell/PowerShell</v>
      </c>
      <c r="I1021" s="9" t="str">
        <f>IFERROR(__xludf.DUMMYFUNCTION("""COMPUTED_VALUE"""),"JavaScript")</f>
        <v>JavaScript</v>
      </c>
      <c r="J1021" s="9" t="str">
        <f>IFERROR(__xludf.DUMMYFUNCTION("""COMPUTED_VALUE"""),"Swift")</f>
        <v>Swift</v>
      </c>
      <c r="K1021" s="9" t="str">
        <f>IFERROR(__xludf.DUMMYFUNCTION("""COMPUTED_VALUE"""),"SQL")</f>
        <v>SQL</v>
      </c>
      <c r="L1021" s="9" t="str">
        <f>IFERROR(__xludf.DUMMYFUNCTION("""COMPUTED_VALUE"""),"C++")</f>
        <v>C++</v>
      </c>
      <c r="M1021" s="9" t="s">
        <v>29</v>
      </c>
    </row>
    <row r="1022" ht="15.75" customHeight="1">
      <c r="A1022" s="7"/>
      <c r="B1022" s="7" t="str">
        <f>IFERROR(__xludf.DUMMYFUNCTION("""COMPUTED_VALUE"""),"HTML/CSS;Java;JavaScript;SQL;TypeScript")</f>
        <v>HTML/CSS;Java;JavaScript;SQL;TypeScript</v>
      </c>
      <c r="C1022" s="9" t="str">
        <f>IFERROR(__xludf.DUMMYFUNCTION("""COMPUTED_VALUE"""),"SQL")</f>
        <v>SQL</v>
      </c>
      <c r="D1022" s="9" t="str">
        <f>IFERROR(__xludf.DUMMYFUNCTION("""COMPUTED_VALUE"""),"C++")</f>
        <v>C++</v>
      </c>
      <c r="E1022" s="9" t="str">
        <f>IFERROR(__xludf.DUMMYFUNCTION("""COMPUTED_VALUE"""),"Assembly")</f>
        <v>Assembly</v>
      </c>
      <c r="F1022" s="9" t="str">
        <f>IFERROR(__xludf.DUMMYFUNCTION("""COMPUTED_VALUE"""),"SQL")</f>
        <v>SQL</v>
      </c>
      <c r="G1022" s="9" t="str">
        <f>IFERROR(__xludf.DUMMYFUNCTION("""COMPUTED_VALUE"""),"C")</f>
        <v>C</v>
      </c>
      <c r="H1022" s="9" t="str">
        <f>IFERROR(__xludf.DUMMYFUNCTION("""COMPUTED_VALUE"""),"C#")</f>
        <v>C#</v>
      </c>
      <c r="I1022" s="9" t="str">
        <f>IFERROR(__xludf.DUMMYFUNCTION("""COMPUTED_VALUE"""),"PHP")</f>
        <v>PHP</v>
      </c>
      <c r="J1022" s="9" t="str">
        <f>IFERROR(__xludf.DUMMYFUNCTION("""COMPUTED_VALUE"""),"Bash/Shell/PowerShell")</f>
        <v>Bash/Shell/PowerShell</v>
      </c>
      <c r="K1022" s="9" t="str">
        <f>IFERROR(__xludf.DUMMYFUNCTION("""COMPUTED_VALUE"""),"TypeScript")</f>
        <v>TypeScript</v>
      </c>
      <c r="L1022" s="9" t="str">
        <f>IFERROR(__xludf.DUMMYFUNCTION("""COMPUTED_VALUE"""),"Java")</f>
        <v>Java</v>
      </c>
      <c r="M1022" s="9" t="s">
        <v>27</v>
      </c>
    </row>
    <row r="1023" ht="15.75" customHeight="1">
      <c r="A1023" s="7"/>
      <c r="B1023" s="7" t="str">
        <f>IFERROR(__xludf.DUMMYFUNCTION("""COMPUTED_VALUE"""),"Java;SQL")</f>
        <v>Java;SQL</v>
      </c>
      <c r="C1023" s="9" t="str">
        <f>IFERROR(__xludf.DUMMYFUNCTION("""COMPUTED_VALUE"""),"Java")</f>
        <v>Java</v>
      </c>
      <c r="D1023" s="9" t="str">
        <f>IFERROR(__xludf.DUMMYFUNCTION("""COMPUTED_VALUE"""),"SQL")</f>
        <v>SQL</v>
      </c>
      <c r="E1023" s="9" t="str">
        <f>IFERROR(__xludf.DUMMYFUNCTION("""COMPUTED_VALUE"""),"Bash/Shell/PowerShell")</f>
        <v>Bash/Shell/PowerShell</v>
      </c>
      <c r="F1023" s="9" t="str">
        <f>IFERROR(__xludf.DUMMYFUNCTION("""COMPUTED_VALUE"""),"Other(s):")</f>
        <v>Other(s):</v>
      </c>
      <c r="G1023" s="9" t="str">
        <f>IFERROR(__xludf.DUMMYFUNCTION("""COMPUTED_VALUE"""),"Go")</f>
        <v>Go</v>
      </c>
      <c r="H1023" s="9" t="str">
        <f>IFERROR(__xludf.DUMMYFUNCTION("""COMPUTED_VALUE"""),"HTML/CSS")</f>
        <v>HTML/CSS</v>
      </c>
      <c r="I1023" s="9" t="str">
        <f>IFERROR(__xludf.DUMMYFUNCTION("""COMPUTED_VALUE"""),"SQL")</f>
        <v>SQL</v>
      </c>
      <c r="J1023" s="9" t="str">
        <f>IFERROR(__xludf.DUMMYFUNCTION("""COMPUTED_VALUE"""),"HTML/CSS")</f>
        <v>HTML/CSS</v>
      </c>
      <c r="K1023" s="9" t="str">
        <f>IFERROR(__xludf.DUMMYFUNCTION("""COMPUTED_VALUE"""),"HTML/CSS")</f>
        <v>HTML/CSS</v>
      </c>
      <c r="L1023" s="9" t="str">
        <f>IFERROR(__xludf.DUMMYFUNCTION("""COMPUTED_VALUE"""),"TypeScript")</f>
        <v>TypeScript</v>
      </c>
      <c r="M1023" s="9" t="s">
        <v>20</v>
      </c>
    </row>
    <row r="1024" ht="15.75" customHeight="1">
      <c r="A1024" s="7"/>
      <c r="B1024" s="7" t="str">
        <f>IFERROR(__xludf.DUMMYFUNCTION("""COMPUTED_VALUE"""),"Bash/Shell/PowerShell;C#;Dart;HTML/CSS;Java;JavaScript;Objective-C;Python;SQL;Swift")</f>
        <v>Bash/Shell/PowerShell;C#;Dart;HTML/CSS;Java;JavaScript;Objective-C;Python;SQL;Swift</v>
      </c>
      <c r="C1024" s="9" t="str">
        <f>IFERROR(__xludf.DUMMYFUNCTION("""COMPUTED_VALUE"""),"JavaScript")</f>
        <v>JavaScript</v>
      </c>
      <c r="D1024" s="9" t="str">
        <f>IFERROR(__xludf.DUMMYFUNCTION("""COMPUTED_VALUE"""),"Other(s):")</f>
        <v>Other(s):</v>
      </c>
      <c r="E1024" s="9" t="str">
        <f>IFERROR(__xludf.DUMMYFUNCTION("""COMPUTED_VALUE"""),"C")</f>
        <v>C</v>
      </c>
      <c r="F1024" s="9" t="str">
        <f>IFERROR(__xludf.DUMMYFUNCTION("""COMPUTED_VALUE"""),"Bash/Shell/PowerShell")</f>
        <v>Bash/Shell/PowerShell</v>
      </c>
      <c r="G1024" s="9" t="str">
        <f>IFERROR(__xludf.DUMMYFUNCTION("""COMPUTED_VALUE"""),"HTML/CSS")</f>
        <v>HTML/CSS</v>
      </c>
      <c r="H1024" s="9" t="str">
        <f>IFERROR(__xludf.DUMMYFUNCTION("""COMPUTED_VALUE"""),"JavaScript")</f>
        <v>JavaScript</v>
      </c>
      <c r="I1024" s="9" t="str">
        <f>IFERROR(__xludf.DUMMYFUNCTION("""COMPUTED_VALUE"""),"Other(s):")</f>
        <v>Other(s):</v>
      </c>
      <c r="J1024" s="9" t="str">
        <f>IFERROR(__xludf.DUMMYFUNCTION("""COMPUTED_VALUE"""),"Java")</f>
        <v>Java</v>
      </c>
      <c r="K1024" s="9" t="str">
        <f>IFERROR(__xludf.DUMMYFUNCTION("""COMPUTED_VALUE"""),"JavaScript")</f>
        <v>JavaScript</v>
      </c>
      <c r="L1024" s="9" t="str">
        <f>IFERROR(__xludf.DUMMYFUNCTION("""COMPUTED_VALUE"""),"C++")</f>
        <v>C++</v>
      </c>
      <c r="M1024" s="9" t="s">
        <v>21</v>
      </c>
    </row>
    <row r="1025" ht="15.75" customHeight="1">
      <c r="A1025" s="7"/>
      <c r="B1025" s="7" t="str">
        <f>IFERROR(__xludf.DUMMYFUNCTION("""COMPUTED_VALUE"""),"C;HTML/CSS;JavaScript;Python;Ruby;SQL;VBA")</f>
        <v>C;HTML/CSS;JavaScript;Python;Ruby;SQL;VBA</v>
      </c>
      <c r="C1025" s="9" t="str">
        <f>IFERROR(__xludf.DUMMYFUNCTION("""COMPUTED_VALUE"""),"SQL")</f>
        <v>SQL</v>
      </c>
      <c r="D1025" s="9" t="str">
        <f>IFERROR(__xludf.DUMMYFUNCTION("""COMPUTED_VALUE"""),"C#")</f>
        <v>C#</v>
      </c>
      <c r="E1025" s="9" t="str">
        <f>IFERROR(__xludf.DUMMYFUNCTION("""COMPUTED_VALUE"""),"C++")</f>
        <v>C++</v>
      </c>
      <c r="F1025" s="9" t="str">
        <f>IFERROR(__xludf.DUMMYFUNCTION("""COMPUTED_VALUE"""),"HTML/CSS")</f>
        <v>HTML/CSS</v>
      </c>
      <c r="G1025" s="9" t="str">
        <f>IFERROR(__xludf.DUMMYFUNCTION("""COMPUTED_VALUE"""),"Java")</f>
        <v>Java</v>
      </c>
      <c r="H1025" s="9" t="str">
        <f>IFERROR(__xludf.DUMMYFUNCTION("""COMPUTED_VALUE"""),"Other(s):")</f>
        <v>Other(s):</v>
      </c>
      <c r="I1025" s="9" t="str">
        <f>IFERROR(__xludf.DUMMYFUNCTION("""COMPUTED_VALUE"""),"Bash/Shell/PowerShell")</f>
        <v>Bash/Shell/PowerShell</v>
      </c>
      <c r="J1025" s="9" t="str">
        <f>IFERROR(__xludf.DUMMYFUNCTION("""COMPUTED_VALUE"""),"JavaScript")</f>
        <v>JavaScript</v>
      </c>
      <c r="K1025" s="9" t="str">
        <f>IFERROR(__xludf.DUMMYFUNCTION("""COMPUTED_VALUE"""),"PHP")</f>
        <v>PHP</v>
      </c>
      <c r="L1025" s="9" t="str">
        <f>IFERROR(__xludf.DUMMYFUNCTION("""COMPUTED_VALUE"""),"Python")</f>
        <v>Python</v>
      </c>
      <c r="M1025" s="9" t="s">
        <v>27</v>
      </c>
    </row>
    <row r="1026" ht="15.75" customHeight="1">
      <c r="A1026" s="7"/>
      <c r="B1026" s="7" t="str">
        <f>IFERROR(__xludf.DUMMYFUNCTION("""COMPUTED_VALUE"""),"C;C++;C#;HTML/CSS;Java;JavaScript;Python;SQL;TypeScript")</f>
        <v>C;C++;C#;HTML/CSS;Java;JavaScript;Python;SQL;TypeScript</v>
      </c>
      <c r="C1026" s="9" t="str">
        <f>IFERROR(__xludf.DUMMYFUNCTION("""COMPUTED_VALUE"""),"VBA")</f>
        <v>VBA</v>
      </c>
      <c r="D1026" s="9" t="str">
        <f>IFERROR(__xludf.DUMMYFUNCTION("""COMPUTED_VALUE"""),"Java")</f>
        <v>Java</v>
      </c>
      <c r="E1026" s="9" t="str">
        <f>IFERROR(__xludf.DUMMYFUNCTION("""COMPUTED_VALUE"""),"HTML/CSS")</f>
        <v>HTML/CSS</v>
      </c>
      <c r="F1026" s="9" t="str">
        <f>IFERROR(__xludf.DUMMYFUNCTION("""COMPUTED_VALUE"""),"Java")</f>
        <v>Java</v>
      </c>
      <c r="G1026" s="9" t="str">
        <f>IFERROR(__xludf.DUMMYFUNCTION("""COMPUTED_VALUE"""),"JavaScript")</f>
        <v>JavaScript</v>
      </c>
      <c r="H1026" s="9" t="str">
        <f>IFERROR(__xludf.DUMMYFUNCTION("""COMPUTED_VALUE"""),"Bash/Shell/PowerShell")</f>
        <v>Bash/Shell/PowerShell</v>
      </c>
      <c r="I1026" s="9" t="str">
        <f>IFERROR(__xludf.DUMMYFUNCTION("""COMPUTED_VALUE"""),"HTML/CSS")</f>
        <v>HTML/CSS</v>
      </c>
      <c r="J1026" s="9" t="str">
        <f>IFERROR(__xludf.DUMMYFUNCTION("""COMPUTED_VALUE"""),"PHP")</f>
        <v>PHP</v>
      </c>
      <c r="K1026" s="9" t="str">
        <f>IFERROR(__xludf.DUMMYFUNCTION("""COMPUTED_VALUE"""),"SQL")</f>
        <v>SQL</v>
      </c>
      <c r="L1026" s="9" t="str">
        <f>IFERROR(__xludf.DUMMYFUNCTION("""COMPUTED_VALUE"""),"SQL")</f>
        <v>SQL</v>
      </c>
      <c r="M1026" s="9" t="s">
        <v>28</v>
      </c>
    </row>
    <row r="1027" ht="15.75" customHeight="1">
      <c r="A1027" s="7"/>
      <c r="B1027" s="7" t="str">
        <f>IFERROR(__xludf.DUMMYFUNCTION("""COMPUTED_VALUE"""),"HTML/CSS;Java")</f>
        <v>HTML/CSS;Java</v>
      </c>
      <c r="C1027" s="9" t="str">
        <f>IFERROR(__xludf.DUMMYFUNCTION("""COMPUTED_VALUE"""),"Bash/Shell/PowerShell")</f>
        <v>Bash/Shell/PowerShell</v>
      </c>
      <c r="D1027" s="9" t="str">
        <f>IFERROR(__xludf.DUMMYFUNCTION("""COMPUTED_VALUE"""),"Bash/Shell/PowerShell")</f>
        <v>Bash/Shell/PowerShell</v>
      </c>
      <c r="E1027" s="9" t="str">
        <f>IFERROR(__xludf.DUMMYFUNCTION("""COMPUTED_VALUE"""),"Java")</f>
        <v>Java</v>
      </c>
      <c r="F1027" s="9" t="str">
        <f>IFERROR(__xludf.DUMMYFUNCTION("""COMPUTED_VALUE"""),"JavaScript")</f>
        <v>JavaScript</v>
      </c>
      <c r="G1027" s="9" t="str">
        <f>IFERROR(__xludf.DUMMYFUNCTION("""COMPUTED_VALUE"""),"Objective-C")</f>
        <v>Objective-C</v>
      </c>
      <c r="H1027" s="9" t="str">
        <f>IFERROR(__xludf.DUMMYFUNCTION("""COMPUTED_VALUE"""),"C")</f>
        <v>C</v>
      </c>
      <c r="I1027" s="9" t="str">
        <f>IFERROR(__xludf.DUMMYFUNCTION("""COMPUTED_VALUE"""),"JavaScript")</f>
        <v>JavaScript</v>
      </c>
      <c r="J1027" s="9" t="str">
        <f>IFERROR(__xludf.DUMMYFUNCTION("""COMPUTED_VALUE"""),"Python")</f>
        <v>Python</v>
      </c>
      <c r="K1027" s="9" t="str">
        <f>IFERROR(__xludf.DUMMYFUNCTION("""COMPUTED_VALUE"""),"Bash/Shell/PowerShell")</f>
        <v>Bash/Shell/PowerShell</v>
      </c>
      <c r="L1027" s="9" t="str">
        <f>IFERROR(__xludf.DUMMYFUNCTION("""COMPUTED_VALUE"""),"VBA")</f>
        <v>VBA</v>
      </c>
      <c r="M1027" s="9" t="s">
        <v>30</v>
      </c>
    </row>
    <row r="1028" ht="15.75" customHeight="1">
      <c r="A1028" s="7"/>
      <c r="B1028" s="7" t="str">
        <f>IFERROR(__xludf.DUMMYFUNCTION("""COMPUTED_VALUE"""),"Bash/Shell/PowerShell;Python;SQL")</f>
        <v>Bash/Shell/PowerShell;Python;SQL</v>
      </c>
      <c r="C1028" s="9" t="str">
        <f>IFERROR(__xludf.DUMMYFUNCTION("""COMPUTED_VALUE"""),"Go")</f>
        <v>Go</v>
      </c>
      <c r="D1028" s="9" t="str">
        <f>IFERROR(__xludf.DUMMYFUNCTION("""COMPUTED_VALUE"""),"C")</f>
        <v>C</v>
      </c>
      <c r="E1028" s="9" t="str">
        <f>IFERROR(__xludf.DUMMYFUNCTION("""COMPUTED_VALUE"""),"JavaScript")</f>
        <v>JavaScript</v>
      </c>
      <c r="F1028" s="9" t="str">
        <f>IFERROR(__xludf.DUMMYFUNCTION("""COMPUTED_VALUE"""),"Python")</f>
        <v>Python</v>
      </c>
      <c r="G1028" s="9" t="str">
        <f>IFERROR(__xludf.DUMMYFUNCTION("""COMPUTED_VALUE"""),"Python")</f>
        <v>Python</v>
      </c>
      <c r="H1028" s="9" t="str">
        <f>IFERROR(__xludf.DUMMYFUNCTION("""COMPUTED_VALUE"""),"C++")</f>
        <v>C++</v>
      </c>
      <c r="I1028" s="9" t="str">
        <f>IFERROR(__xludf.DUMMYFUNCTION("""COMPUTED_VALUE"""),"PHP")</f>
        <v>PHP</v>
      </c>
      <c r="J1028" s="9" t="str">
        <f>IFERROR(__xludf.DUMMYFUNCTION("""COMPUTED_VALUE"""),"Ruby")</f>
        <v>Ruby</v>
      </c>
      <c r="K1028" s="9" t="str">
        <f>IFERROR(__xludf.DUMMYFUNCTION("""COMPUTED_VALUE"""),"C")</f>
        <v>C</v>
      </c>
      <c r="L1028" s="9" t="str">
        <f>IFERROR(__xludf.DUMMYFUNCTION("""COMPUTED_VALUE"""),"C++")</f>
        <v>C++</v>
      </c>
      <c r="M1028" s="9" t="s">
        <v>36</v>
      </c>
    </row>
    <row r="1029" ht="15.75" customHeight="1">
      <c r="A1029" s="7"/>
      <c r="B1029" s="7" t="str">
        <f>IFERROR(__xludf.DUMMYFUNCTION("""COMPUTED_VALUE"""),"HTML/CSS;JavaScript;TypeScript")</f>
        <v>HTML/CSS;JavaScript;TypeScript</v>
      </c>
      <c r="C1029" s="9" t="str">
        <f>IFERROR(__xludf.DUMMYFUNCTION("""COMPUTED_VALUE"""),"HTML/CSS")</f>
        <v>HTML/CSS</v>
      </c>
      <c r="D1029" s="9" t="str">
        <f>IFERROR(__xludf.DUMMYFUNCTION("""COMPUTED_VALUE"""),"C++")</f>
        <v>C++</v>
      </c>
      <c r="E1029" s="9" t="str">
        <f>IFERROR(__xludf.DUMMYFUNCTION("""COMPUTED_VALUE"""),"Kotlin")</f>
        <v>Kotlin</v>
      </c>
      <c r="F1029" s="9" t="str">
        <f>IFERROR(__xludf.DUMMYFUNCTION("""COMPUTED_VALUE"""),"SQL")</f>
        <v>SQL</v>
      </c>
      <c r="G1029" s="9" t="str">
        <f>IFERROR(__xludf.DUMMYFUNCTION("""COMPUTED_VALUE"""),"R")</f>
        <v>R</v>
      </c>
      <c r="H1029" s="9" t="str">
        <f>IFERROR(__xludf.DUMMYFUNCTION("""COMPUTED_VALUE"""),"HTML/CSS")</f>
        <v>HTML/CSS</v>
      </c>
      <c r="I1029" s="9" t="str">
        <f>IFERROR(__xludf.DUMMYFUNCTION("""COMPUTED_VALUE"""),"SQL")</f>
        <v>SQL</v>
      </c>
      <c r="J1029" s="9" t="str">
        <f>IFERROR(__xludf.DUMMYFUNCTION("""COMPUTED_VALUE"""),"SQL")</f>
        <v>SQL</v>
      </c>
      <c r="K1029" s="9" t="str">
        <f>IFERROR(__xludf.DUMMYFUNCTION("""COMPUTED_VALUE"""),"C++")</f>
        <v>C++</v>
      </c>
      <c r="L1029" s="9" t="str">
        <f>IFERROR(__xludf.DUMMYFUNCTION("""COMPUTED_VALUE"""),"C#")</f>
        <v>C#</v>
      </c>
      <c r="M1029" s="9" t="s">
        <v>24</v>
      </c>
    </row>
    <row r="1030" ht="15.75" customHeight="1">
      <c r="A1030" s="7"/>
      <c r="B1030" s="7" t="str">
        <f>IFERROR(__xludf.DUMMYFUNCTION("""COMPUTED_VALUE"""),"Python;Rust")</f>
        <v>Python;Rust</v>
      </c>
      <c r="C1030" s="9" t="str">
        <f>IFERROR(__xludf.DUMMYFUNCTION("""COMPUTED_VALUE"""),"Java")</f>
        <v>Java</v>
      </c>
      <c r="D1030" s="9" t="str">
        <f>IFERROR(__xludf.DUMMYFUNCTION("""COMPUTED_VALUE"""),"C#")</f>
        <v>C#</v>
      </c>
      <c r="E1030" s="9" t="str">
        <f>IFERROR(__xludf.DUMMYFUNCTION("""COMPUTED_VALUE"""),"PHP")</f>
        <v>PHP</v>
      </c>
      <c r="F1030" s="9" t="str">
        <f>IFERROR(__xludf.DUMMYFUNCTION("""COMPUTED_VALUE"""),"C")</f>
        <v>C</v>
      </c>
      <c r="G1030" s="9" t="str">
        <f>IFERROR(__xludf.DUMMYFUNCTION("""COMPUTED_VALUE"""),"SQL")</f>
        <v>SQL</v>
      </c>
      <c r="H1030" s="9" t="str">
        <f>IFERROR(__xludf.DUMMYFUNCTION("""COMPUTED_VALUE"""),"Java")</f>
        <v>Java</v>
      </c>
      <c r="I1030" s="9" t="str">
        <f>IFERROR(__xludf.DUMMYFUNCTION("""COMPUTED_VALUE"""),"Bash/Shell/PowerShell")</f>
        <v>Bash/Shell/PowerShell</v>
      </c>
      <c r="J1030" s="9" t="str">
        <f>IFERROR(__xludf.DUMMYFUNCTION("""COMPUTED_VALUE"""),"TypeScript")</f>
        <v>TypeScript</v>
      </c>
      <c r="K1030" s="9" t="str">
        <f>IFERROR(__xludf.DUMMYFUNCTION("""COMPUTED_VALUE"""),"C#")</f>
        <v>C#</v>
      </c>
      <c r="L1030" s="9" t="str">
        <f>IFERROR(__xludf.DUMMYFUNCTION("""COMPUTED_VALUE"""),"HTML/CSS")</f>
        <v>HTML/CSS</v>
      </c>
      <c r="M1030" s="9" t="s">
        <v>20</v>
      </c>
    </row>
    <row r="1031" ht="15.75" customHeight="1">
      <c r="A1031" s="7"/>
      <c r="B1031" s="7" t="str">
        <f>IFERROR(__xludf.DUMMYFUNCTION("""COMPUTED_VALUE"""),"C++;C#;Java;Python")</f>
        <v>C++;C#;Java;Python</v>
      </c>
      <c r="C1031" s="9" t="str">
        <f>IFERROR(__xludf.DUMMYFUNCTION("""COMPUTED_VALUE"""),"JavaScript")</f>
        <v>JavaScript</v>
      </c>
      <c r="D1031" s="9" t="str">
        <f>IFERROR(__xludf.DUMMYFUNCTION("""COMPUTED_VALUE"""),"Java")</f>
        <v>Java</v>
      </c>
      <c r="E1031" s="9" t="str">
        <f>IFERROR(__xludf.DUMMYFUNCTION("""COMPUTED_VALUE"""),"Python")</f>
        <v>Python</v>
      </c>
      <c r="F1031" s="9" t="str">
        <f>IFERROR(__xludf.DUMMYFUNCTION("""COMPUTED_VALUE"""),"Java")</f>
        <v>Java</v>
      </c>
      <c r="G1031" s="9" t="str">
        <f>IFERROR(__xludf.DUMMYFUNCTION("""COMPUTED_VALUE"""),"Dart")</f>
        <v>Dart</v>
      </c>
      <c r="H1031" s="9" t="str">
        <f>IFERROR(__xludf.DUMMYFUNCTION("""COMPUTED_VALUE"""),"JavaScript")</f>
        <v>JavaScript</v>
      </c>
      <c r="I1031" s="9" t="str">
        <f>IFERROR(__xludf.DUMMYFUNCTION("""COMPUTED_VALUE"""),"Elixir")</f>
        <v>Elixir</v>
      </c>
      <c r="J1031" s="9" t="str">
        <f>IFERROR(__xludf.DUMMYFUNCTION("""COMPUTED_VALUE"""),"WebAssembly")</f>
        <v>WebAssembly</v>
      </c>
      <c r="K1031" s="9" t="str">
        <f>IFERROR(__xludf.DUMMYFUNCTION("""COMPUTED_VALUE"""),"HTML/CSS")</f>
        <v>HTML/CSS</v>
      </c>
      <c r="L1031" s="9" t="str">
        <f>IFERROR(__xludf.DUMMYFUNCTION("""COMPUTED_VALUE"""),"JavaScript")</f>
        <v>JavaScript</v>
      </c>
      <c r="M1031" s="9" t="s">
        <v>21</v>
      </c>
    </row>
    <row r="1032" ht="15.75" customHeight="1">
      <c r="A1032" s="7"/>
      <c r="B1032" s="7" t="str">
        <f>IFERROR(__xludf.DUMMYFUNCTION("""COMPUTED_VALUE"""),"C#;JavaScript;TypeScript")</f>
        <v>C#;JavaScript;TypeScript</v>
      </c>
      <c r="C1032" s="9" t="str">
        <f>IFERROR(__xludf.DUMMYFUNCTION("""COMPUTED_VALUE"""),"Python")</f>
        <v>Python</v>
      </c>
      <c r="D1032" s="9" t="str">
        <f>IFERROR(__xludf.DUMMYFUNCTION("""COMPUTED_VALUE"""),"Python")</f>
        <v>Python</v>
      </c>
      <c r="E1032" s="9" t="str">
        <f>IFERROR(__xludf.DUMMYFUNCTION("""COMPUTED_VALUE"""),"SQL")</f>
        <v>SQL</v>
      </c>
      <c r="F1032" s="9" t="str">
        <f>IFERROR(__xludf.DUMMYFUNCTION("""COMPUTED_VALUE"""),"JavaScript")</f>
        <v>JavaScript</v>
      </c>
      <c r="G1032" s="9" t="str">
        <f>IFERROR(__xludf.DUMMYFUNCTION("""COMPUTED_VALUE"""),"Go")</f>
        <v>Go</v>
      </c>
      <c r="H1032" s="9" t="str">
        <f>IFERROR(__xludf.DUMMYFUNCTION("""COMPUTED_VALUE"""),"PHP")</f>
        <v>PHP</v>
      </c>
      <c r="I1032" s="9" t="str">
        <f>IFERROR(__xludf.DUMMYFUNCTION("""COMPUTED_VALUE"""),"HTML/CSS")</f>
        <v>HTML/CSS</v>
      </c>
      <c r="J1032" s="9" t="str">
        <f>IFERROR(__xludf.DUMMYFUNCTION("""COMPUTED_VALUE"""),"Bash/Shell/PowerShell")</f>
        <v>Bash/Shell/PowerShell</v>
      </c>
      <c r="K1032" s="9" t="str">
        <f>IFERROR(__xludf.DUMMYFUNCTION("""COMPUTED_VALUE"""),"Python")</f>
        <v>Python</v>
      </c>
      <c r="L1032" s="9" t="str">
        <f>IFERROR(__xludf.DUMMYFUNCTION("""COMPUTED_VALUE"""),"Python")</f>
        <v>Python</v>
      </c>
      <c r="M1032" s="9" t="s">
        <v>22</v>
      </c>
    </row>
    <row r="1033" ht="15.75" customHeight="1">
      <c r="A1033" s="7"/>
      <c r="B1033" s="7" t="str">
        <f>IFERROR(__xludf.DUMMYFUNCTION("""COMPUTED_VALUE"""),"C++;HTML/CSS;Java;Python;Scala;SQL;TypeScript")</f>
        <v>C++;HTML/CSS;Java;Python;Scala;SQL;TypeScript</v>
      </c>
      <c r="C1033" s="9" t="str">
        <f>IFERROR(__xludf.DUMMYFUNCTION("""COMPUTED_VALUE"""),"Scala")</f>
        <v>Scala</v>
      </c>
      <c r="D1033" s="9" t="str">
        <f>IFERROR(__xludf.DUMMYFUNCTION("""COMPUTED_VALUE"""),"Other(s):")</f>
        <v>Other(s):</v>
      </c>
      <c r="E1033" s="9" t="str">
        <f>IFERROR(__xludf.DUMMYFUNCTION("""COMPUTED_VALUE"""),"Swift")</f>
        <v>Swift</v>
      </c>
      <c r="F1033" s="9" t="str">
        <f>IFERROR(__xludf.DUMMYFUNCTION("""COMPUTED_VALUE"""),"Python")</f>
        <v>Python</v>
      </c>
      <c r="G1033" s="9" t="str">
        <f>IFERROR(__xludf.DUMMYFUNCTION("""COMPUTED_VALUE"""),"Java")</f>
        <v>Java</v>
      </c>
      <c r="H1033" s="9" t="str">
        <f>IFERROR(__xludf.DUMMYFUNCTION("""COMPUTED_VALUE"""),"Python")</f>
        <v>Python</v>
      </c>
      <c r="I1033" s="9" t="str">
        <f>IFERROR(__xludf.DUMMYFUNCTION("""COMPUTED_VALUE"""),"JavaScript")</f>
        <v>JavaScript</v>
      </c>
      <c r="J1033" s="9" t="str">
        <f>IFERROR(__xludf.DUMMYFUNCTION("""COMPUTED_VALUE"""),"C#")</f>
        <v>C#</v>
      </c>
      <c r="K1033" s="9" t="str">
        <f>IFERROR(__xludf.DUMMYFUNCTION("""COMPUTED_VALUE"""),"R")</f>
        <v>R</v>
      </c>
      <c r="L1033" s="9" t="str">
        <f>IFERROR(__xludf.DUMMYFUNCTION("""COMPUTED_VALUE"""),"TypeScript")</f>
        <v>TypeScript</v>
      </c>
      <c r="M1033" s="9" t="s">
        <v>46</v>
      </c>
    </row>
    <row r="1034" ht="15.75" customHeight="1">
      <c r="A1034" s="7"/>
      <c r="B1034" s="7" t="str">
        <f>IFERROR(__xludf.DUMMYFUNCTION("""COMPUTED_VALUE"""),"C;Python")</f>
        <v>C;Python</v>
      </c>
      <c r="C1034" s="9" t="str">
        <f>IFERROR(__xludf.DUMMYFUNCTION("""COMPUTED_VALUE"""),"Bash/Shell/PowerShell")</f>
        <v>Bash/Shell/PowerShell</v>
      </c>
      <c r="D1034" s="9" t="str">
        <f>IFERROR(__xludf.DUMMYFUNCTION("""COMPUTED_VALUE"""),"HTML/CSS")</f>
        <v>HTML/CSS</v>
      </c>
      <c r="E1034" s="9" t="str">
        <f>IFERROR(__xludf.DUMMYFUNCTION("""COMPUTED_VALUE"""),"TypeScript")</f>
        <v>TypeScript</v>
      </c>
      <c r="F1034" s="9" t="str">
        <f>IFERROR(__xludf.DUMMYFUNCTION("""COMPUTED_VALUE"""),"TypeScript")</f>
        <v>TypeScript</v>
      </c>
      <c r="G1034" s="9" t="str">
        <f>IFERROR(__xludf.DUMMYFUNCTION("""COMPUTED_VALUE"""),"JavaScript")</f>
        <v>JavaScript</v>
      </c>
      <c r="H1034" s="9" t="str">
        <f>IFERROR(__xludf.DUMMYFUNCTION("""COMPUTED_VALUE"""),"Ruby")</f>
        <v>Ruby</v>
      </c>
      <c r="I1034" s="9" t="str">
        <f>IFERROR(__xludf.DUMMYFUNCTION("""COMPUTED_VALUE"""),"Ruby")</f>
        <v>Ruby</v>
      </c>
      <c r="J1034" s="9" t="str">
        <f>IFERROR(__xludf.DUMMYFUNCTION("""COMPUTED_VALUE"""),"HTML/CSS")</f>
        <v>HTML/CSS</v>
      </c>
      <c r="K1034" s="9" t="str">
        <f>IFERROR(__xludf.DUMMYFUNCTION("""COMPUTED_VALUE"""),"SQL")</f>
        <v>SQL</v>
      </c>
      <c r="L1034" s="9" t="str">
        <f>IFERROR(__xludf.DUMMYFUNCTION("""COMPUTED_VALUE"""),"Go")</f>
        <v>Go</v>
      </c>
      <c r="M1034" s="9" t="s">
        <v>30</v>
      </c>
    </row>
    <row r="1035" ht="15.75" customHeight="1">
      <c r="A1035" s="7"/>
      <c r="B1035" s="7" t="str">
        <f>IFERROR(__xludf.DUMMYFUNCTION("""COMPUTED_VALUE"""),"HTML/CSS;JavaScript;Python;SQL")</f>
        <v>HTML/CSS;JavaScript;Python;SQL</v>
      </c>
      <c r="C1035" s="9" t="str">
        <f>IFERROR(__xludf.DUMMYFUNCTION("""COMPUTED_VALUE"""),"C")</f>
        <v>C</v>
      </c>
      <c r="D1035" s="9" t="str">
        <f>IFERROR(__xludf.DUMMYFUNCTION("""COMPUTED_VALUE"""),"JavaScript")</f>
        <v>JavaScript</v>
      </c>
      <c r="E1035" s="9" t="str">
        <f>IFERROR(__xludf.DUMMYFUNCTION("""COMPUTED_VALUE"""),"Other(s):")</f>
        <v>Other(s):</v>
      </c>
      <c r="F1035" s="9" t="str">
        <f>IFERROR(__xludf.DUMMYFUNCTION("""COMPUTED_VALUE"""),"Other(s):")</f>
        <v>Other(s):</v>
      </c>
      <c r="G1035" s="9" t="str">
        <f>IFERROR(__xludf.DUMMYFUNCTION("""COMPUTED_VALUE"""),"HTML/CSS")</f>
        <v>HTML/CSS</v>
      </c>
      <c r="H1035" s="9" t="str">
        <f>IFERROR(__xludf.DUMMYFUNCTION("""COMPUTED_VALUE"""),"SQL")</f>
        <v>SQL</v>
      </c>
      <c r="I1035" s="9" t="str">
        <f>IFERROR(__xludf.DUMMYFUNCTION("""COMPUTED_VALUE"""),"SQL")</f>
        <v>SQL</v>
      </c>
      <c r="J1035" s="9" t="str">
        <f>IFERROR(__xludf.DUMMYFUNCTION("""COMPUTED_VALUE"""),"JavaScript")</f>
        <v>JavaScript</v>
      </c>
      <c r="K1035" s="9" t="str">
        <f>IFERROR(__xludf.DUMMYFUNCTION("""COMPUTED_VALUE"""),"HTML/CSS")</f>
        <v>HTML/CSS</v>
      </c>
      <c r="L1035" s="9" t="str">
        <f>IFERROR(__xludf.DUMMYFUNCTION("""COMPUTED_VALUE"""),"HTML/CSS")</f>
        <v>HTML/CSS</v>
      </c>
      <c r="M1035" s="9" t="s">
        <v>25</v>
      </c>
    </row>
    <row r="1036" ht="15.75" customHeight="1">
      <c r="A1036" s="7"/>
      <c r="B1036" s="7" t="str">
        <f>IFERROR(__xludf.DUMMYFUNCTION("""COMPUTED_VALUE"""),"Bash/Shell/PowerShell;C++;HTML/CSS;Python")</f>
        <v>Bash/Shell/PowerShell;C++;HTML/CSS;Python</v>
      </c>
      <c r="C1036" s="9" t="str">
        <f>IFERROR(__xludf.DUMMYFUNCTION("""COMPUTED_VALUE"""),"C++")</f>
        <v>C++</v>
      </c>
      <c r="D1036" s="9" t="str">
        <f>IFERROR(__xludf.DUMMYFUNCTION("""COMPUTED_VALUE"""),"Python")</f>
        <v>Python</v>
      </c>
      <c r="E1036" s="9" t="str">
        <f>IFERROR(__xludf.DUMMYFUNCTION("""COMPUTED_VALUE"""),"Bash/Shell/PowerShell")</f>
        <v>Bash/Shell/PowerShell</v>
      </c>
      <c r="F1036" s="9" t="str">
        <f>IFERROR(__xludf.DUMMYFUNCTION("""COMPUTED_VALUE"""),"C#")</f>
        <v>C#</v>
      </c>
      <c r="G1036" s="9" t="str">
        <f>IFERROR(__xludf.DUMMYFUNCTION("""COMPUTED_VALUE"""),"JavaScript")</f>
        <v>JavaScript</v>
      </c>
      <c r="H1036" s="9" t="str">
        <f>IFERROR(__xludf.DUMMYFUNCTION("""COMPUTED_VALUE"""),"C")</f>
        <v>C</v>
      </c>
      <c r="I1036" s="9" t="str">
        <f>IFERROR(__xludf.DUMMYFUNCTION("""COMPUTED_VALUE"""),"Bash/Shell/PowerShell")</f>
        <v>Bash/Shell/PowerShell</v>
      </c>
      <c r="J1036" s="9" t="str">
        <f>IFERROR(__xludf.DUMMYFUNCTION("""COMPUTED_VALUE"""),"Python")</f>
        <v>Python</v>
      </c>
      <c r="K1036" s="9" t="str">
        <f>IFERROR(__xludf.DUMMYFUNCTION("""COMPUTED_VALUE"""),"JavaScript")</f>
        <v>JavaScript</v>
      </c>
      <c r="L1036" s="9" t="str">
        <f>IFERROR(__xludf.DUMMYFUNCTION("""COMPUTED_VALUE"""),"Kotlin")</f>
        <v>Kotlin</v>
      </c>
      <c r="M1036" s="9" t="s">
        <v>23</v>
      </c>
    </row>
    <row r="1037" ht="15.75" customHeight="1">
      <c r="A1037" s="7"/>
      <c r="B1037" s="7" t="str">
        <f>IFERROR(__xludf.DUMMYFUNCTION("""COMPUTED_VALUE"""),"HTML/CSS;JavaScript;SQL;TypeScript")</f>
        <v>HTML/CSS;JavaScript;SQL;TypeScript</v>
      </c>
      <c r="C1037" s="9" t="str">
        <f>IFERROR(__xludf.DUMMYFUNCTION("""COMPUTED_VALUE"""),"C#")</f>
        <v>C#</v>
      </c>
      <c r="D1037" s="9" t="str">
        <f>IFERROR(__xludf.DUMMYFUNCTION("""COMPUTED_VALUE"""),"C#")</f>
        <v>C#</v>
      </c>
      <c r="E1037" s="9" t="str">
        <f>IFERROR(__xludf.DUMMYFUNCTION("""COMPUTED_VALUE"""),"C#")</f>
        <v>C#</v>
      </c>
      <c r="F1037" s="9" t="str">
        <f>IFERROR(__xludf.DUMMYFUNCTION("""COMPUTED_VALUE"""),"HTML/CSS")</f>
        <v>HTML/CSS</v>
      </c>
      <c r="G1037" s="9" t="str">
        <f>IFERROR(__xludf.DUMMYFUNCTION("""COMPUTED_VALUE"""),"PHP")</f>
        <v>PHP</v>
      </c>
      <c r="H1037" s="9" t="str">
        <f>IFERROR(__xludf.DUMMYFUNCTION("""COMPUTED_VALUE"""),"C#")</f>
        <v>C#</v>
      </c>
      <c r="I1037" s="9" t="str">
        <f>IFERROR(__xludf.DUMMYFUNCTION("""COMPUTED_VALUE"""),"C++")</f>
        <v>C++</v>
      </c>
      <c r="J1037" s="9" t="str">
        <f>IFERROR(__xludf.DUMMYFUNCTION("""COMPUTED_VALUE"""),"SQL")</f>
        <v>SQL</v>
      </c>
      <c r="K1037" s="9" t="str">
        <f>IFERROR(__xludf.DUMMYFUNCTION("""COMPUTED_VALUE"""),"TypeScript")</f>
        <v>TypeScript</v>
      </c>
      <c r="L1037" s="9" t="str">
        <f>IFERROR(__xludf.DUMMYFUNCTION("""COMPUTED_VALUE"""),"Objective-C")</f>
        <v>Objective-C</v>
      </c>
      <c r="M1037" s="9" t="s">
        <v>26</v>
      </c>
    </row>
    <row r="1038" ht="15.75" customHeight="1">
      <c r="A1038" s="7"/>
      <c r="B1038" s="7" t="str">
        <f>IFERROR(__xludf.DUMMYFUNCTION("""COMPUTED_VALUE"""),"C#;HTML/CSS;JavaScript;TypeScript")</f>
        <v>C#;HTML/CSS;JavaScript;TypeScript</v>
      </c>
      <c r="C1038" s="9" t="str">
        <f>IFERROR(__xludf.DUMMYFUNCTION("""COMPUTED_VALUE"""),"HTML/CSS")</f>
        <v>HTML/CSS</v>
      </c>
      <c r="D1038" s="9" t="str">
        <f>IFERROR(__xludf.DUMMYFUNCTION("""COMPUTED_VALUE"""),"HTML/CSS")</f>
        <v>HTML/CSS</v>
      </c>
      <c r="E1038" s="9" t="str">
        <f>IFERROR(__xludf.DUMMYFUNCTION("""COMPUTED_VALUE"""),"HTML/CSS")</f>
        <v>HTML/CSS</v>
      </c>
      <c r="F1038" s="9" t="str">
        <f>IFERROR(__xludf.DUMMYFUNCTION("""COMPUTED_VALUE"""),"JavaScript")</f>
        <v>JavaScript</v>
      </c>
      <c r="G1038" s="9" t="str">
        <f>IFERROR(__xludf.DUMMYFUNCTION("""COMPUTED_VALUE"""),"SQL")</f>
        <v>SQL</v>
      </c>
      <c r="H1038" s="9" t="str">
        <f>IFERROR(__xludf.DUMMYFUNCTION("""COMPUTED_VALUE"""),"HTML/CSS")</f>
        <v>HTML/CSS</v>
      </c>
      <c r="I1038" s="9" t="str">
        <f>IFERROR(__xludf.DUMMYFUNCTION("""COMPUTED_VALUE"""),"C#")</f>
        <v>C#</v>
      </c>
      <c r="J1038" s="9" t="str">
        <f>IFERROR(__xludf.DUMMYFUNCTION("""COMPUTED_VALUE"""),"TypeScript")</f>
        <v>TypeScript</v>
      </c>
      <c r="K1038" s="9" t="str">
        <f>IFERROR(__xludf.DUMMYFUNCTION("""COMPUTED_VALUE"""),"HTML/CSS")</f>
        <v>HTML/CSS</v>
      </c>
      <c r="L1038" s="9" t="str">
        <f>IFERROR(__xludf.DUMMYFUNCTION("""COMPUTED_VALUE"""),"Ruby")</f>
        <v>Ruby</v>
      </c>
      <c r="M1038" s="9" t="s">
        <v>24</v>
      </c>
    </row>
    <row r="1039" ht="15.75" customHeight="1">
      <c r="A1039" s="7"/>
      <c r="B1039" s="7" t="str">
        <f>IFERROR(__xludf.DUMMYFUNCTION("""COMPUTED_VALUE"""),"HTML/CSS;JavaScript;TypeScript")</f>
        <v>HTML/CSS;JavaScript;TypeScript</v>
      </c>
      <c r="C1039" s="9" t="str">
        <f>IFERROR(__xludf.DUMMYFUNCTION("""COMPUTED_VALUE"""),"Java")</f>
        <v>Java</v>
      </c>
      <c r="D1039" s="9" t="str">
        <f>IFERROR(__xludf.DUMMYFUNCTION("""COMPUTED_VALUE"""),"JavaScript")</f>
        <v>JavaScript</v>
      </c>
      <c r="E1039" s="9" t="str">
        <f>IFERROR(__xludf.DUMMYFUNCTION("""COMPUTED_VALUE"""),"Java")</f>
        <v>Java</v>
      </c>
      <c r="F1039" s="9" t="str">
        <f>IFERROR(__xludf.DUMMYFUNCTION("""COMPUTED_VALUE"""),"Python")</f>
        <v>Python</v>
      </c>
      <c r="G1039" s="9" t="str">
        <f>IFERROR(__xludf.DUMMYFUNCTION("""COMPUTED_VALUE"""),"Bash/Shell/PowerShell")</f>
        <v>Bash/Shell/PowerShell</v>
      </c>
      <c r="H1039" s="9" t="str">
        <f>IFERROR(__xludf.DUMMYFUNCTION("""COMPUTED_VALUE"""),"Java")</f>
        <v>Java</v>
      </c>
      <c r="I1039" s="9" t="str">
        <f>IFERROR(__xludf.DUMMYFUNCTION("""COMPUTED_VALUE"""),"HTML/CSS")</f>
        <v>HTML/CSS</v>
      </c>
      <c r="J1039" s="9" t="str">
        <f>IFERROR(__xludf.DUMMYFUNCTION("""COMPUTED_VALUE"""),"C")</f>
        <v>C</v>
      </c>
      <c r="K1039" s="9" t="str">
        <f>IFERROR(__xludf.DUMMYFUNCTION("""COMPUTED_VALUE"""),"Java")</f>
        <v>Java</v>
      </c>
      <c r="L1039" s="9" t="str">
        <f>IFERROR(__xludf.DUMMYFUNCTION("""COMPUTED_VALUE"""),"Swift")</f>
        <v>Swift</v>
      </c>
      <c r="M1039" s="9" t="s">
        <v>20</v>
      </c>
    </row>
    <row r="1040" ht="15.75" customHeight="1">
      <c r="A1040" s="7"/>
      <c r="B1040" s="7" t="str">
        <f>IFERROR(__xludf.DUMMYFUNCTION("""COMPUTED_VALUE"""),"Java;JavaScript")</f>
        <v>Java;JavaScript</v>
      </c>
      <c r="C1040" s="9" t="str">
        <f>IFERROR(__xludf.DUMMYFUNCTION("""COMPUTED_VALUE"""),"JavaScript")</f>
        <v>JavaScript</v>
      </c>
      <c r="D1040" s="9" t="str">
        <f>IFERROR(__xludf.DUMMYFUNCTION("""COMPUTED_VALUE"""),"SQL")</f>
        <v>SQL</v>
      </c>
      <c r="E1040" s="9" t="str">
        <f>IFERROR(__xludf.DUMMYFUNCTION("""COMPUTED_VALUE"""),"JavaScript")</f>
        <v>JavaScript</v>
      </c>
      <c r="F1040" s="9" t="str">
        <f>IFERROR(__xludf.DUMMYFUNCTION("""COMPUTED_VALUE"""),"SQL")</f>
        <v>SQL</v>
      </c>
      <c r="G1040" s="9" t="str">
        <f>IFERROR(__xludf.DUMMYFUNCTION("""COMPUTED_VALUE"""),"C#")</f>
        <v>C#</v>
      </c>
      <c r="H1040" s="9" t="str">
        <f>IFERROR(__xludf.DUMMYFUNCTION("""COMPUTED_VALUE"""),"JavaScript")</f>
        <v>JavaScript</v>
      </c>
      <c r="I1040" s="9" t="str">
        <f>IFERROR(__xludf.DUMMYFUNCTION("""COMPUTED_VALUE"""),"Java")</f>
        <v>Java</v>
      </c>
      <c r="J1040" s="9" t="str">
        <f>IFERROR(__xludf.DUMMYFUNCTION("""COMPUTED_VALUE"""),"HTML/CSS")</f>
        <v>HTML/CSS</v>
      </c>
      <c r="K1040" s="9" t="str">
        <f>IFERROR(__xludf.DUMMYFUNCTION("""COMPUTED_VALUE"""),"JavaScript")</f>
        <v>JavaScript</v>
      </c>
      <c r="L1040" s="9" t="str">
        <f>IFERROR(__xludf.DUMMYFUNCTION("""COMPUTED_VALUE"""),"TypeScript")</f>
        <v>TypeScript</v>
      </c>
      <c r="M1040" s="9" t="s">
        <v>21</v>
      </c>
    </row>
    <row r="1041" ht="15.75" customHeight="1">
      <c r="A1041" s="7"/>
      <c r="B1041" s="7" t="str">
        <f>IFERROR(__xludf.DUMMYFUNCTION("""COMPUTED_VALUE"""),"C#;HTML/CSS;JavaScript;Kotlin;SQL;Swift;TypeScript")</f>
        <v>C#;HTML/CSS;JavaScript;Kotlin;SQL;Swift;TypeScript</v>
      </c>
      <c r="C1041" s="9" t="str">
        <f>IFERROR(__xludf.DUMMYFUNCTION("""COMPUTED_VALUE"""),"Objective-C")</f>
        <v>Objective-C</v>
      </c>
      <c r="D1041" s="9" t="str">
        <f>IFERROR(__xludf.DUMMYFUNCTION("""COMPUTED_VALUE"""),"TypeScript")</f>
        <v>TypeScript</v>
      </c>
      <c r="E1041" s="9" t="str">
        <f>IFERROR(__xludf.DUMMYFUNCTION("""COMPUTED_VALUE"""),"SQL")</f>
        <v>SQL</v>
      </c>
      <c r="F1041" s="9" t="str">
        <f>IFERROR(__xludf.DUMMYFUNCTION("""COMPUTED_VALUE"""),"Other(s):")</f>
        <v>Other(s):</v>
      </c>
      <c r="G1041" s="9" t="str">
        <f>IFERROR(__xludf.DUMMYFUNCTION("""COMPUTED_VALUE"""),"HTML/CSS")</f>
        <v>HTML/CSS</v>
      </c>
      <c r="H1041" s="9" t="str">
        <f>IFERROR(__xludf.DUMMYFUNCTION("""COMPUTED_VALUE"""),"Bash/Shell/PowerShell")</f>
        <v>Bash/Shell/PowerShell</v>
      </c>
      <c r="I1041" s="9" t="str">
        <f>IFERROR(__xludf.DUMMYFUNCTION("""COMPUTED_VALUE"""),"JavaScript")</f>
        <v>JavaScript</v>
      </c>
      <c r="J1041" s="9" t="str">
        <f>IFERROR(__xludf.DUMMYFUNCTION("""COMPUTED_VALUE"""),"JavaScript")</f>
        <v>JavaScript</v>
      </c>
      <c r="K1041" s="9" t="str">
        <f>IFERROR(__xludf.DUMMYFUNCTION("""COMPUTED_VALUE"""),"SQL")</f>
        <v>SQL</v>
      </c>
      <c r="L1041" s="9" t="str">
        <f>IFERROR(__xludf.DUMMYFUNCTION("""COMPUTED_VALUE"""),"Bash/Shell/PowerShell")</f>
        <v>Bash/Shell/PowerShell</v>
      </c>
      <c r="M1041" s="9" t="s">
        <v>41</v>
      </c>
    </row>
    <row r="1042" ht="15.75" customHeight="1">
      <c r="A1042" s="7"/>
      <c r="B1042" s="7" t="str">
        <f>IFERROR(__xludf.DUMMYFUNCTION("""COMPUTED_VALUE"""),"Dart;JavaScript;Kotlin;Swift")</f>
        <v>Dart;JavaScript;Kotlin;Swift</v>
      </c>
      <c r="C1042" s="9" t="str">
        <f>IFERROR(__xludf.DUMMYFUNCTION("""COMPUTED_VALUE"""),"Python")</f>
        <v>Python</v>
      </c>
      <c r="D1042" s="9" t="str">
        <f>IFERROR(__xludf.DUMMYFUNCTION("""COMPUTED_VALUE"""),"VBA")</f>
        <v>VBA</v>
      </c>
      <c r="E1042" s="9" t="str">
        <f>IFERROR(__xludf.DUMMYFUNCTION("""COMPUTED_VALUE"""),"TypeScript")</f>
        <v>TypeScript</v>
      </c>
      <c r="F1042" s="9" t="str">
        <f>IFERROR(__xludf.DUMMYFUNCTION("""COMPUTED_VALUE"""),"C")</f>
        <v>C</v>
      </c>
      <c r="G1042" s="9" t="str">
        <f>IFERROR(__xludf.DUMMYFUNCTION("""COMPUTED_VALUE"""),"Java")</f>
        <v>Java</v>
      </c>
      <c r="H1042" s="9" t="str">
        <f>IFERROR(__xludf.DUMMYFUNCTION("""COMPUTED_VALUE"""),"HTML/CSS")</f>
        <v>HTML/CSS</v>
      </c>
      <c r="I1042" s="9" t="str">
        <f>IFERROR(__xludf.DUMMYFUNCTION("""COMPUTED_VALUE"""),"Ruby")</f>
        <v>Ruby</v>
      </c>
      <c r="J1042" s="9" t="str">
        <f>IFERROR(__xludf.DUMMYFUNCTION("""COMPUTED_VALUE"""),"Python")</f>
        <v>Python</v>
      </c>
      <c r="K1042" s="9" t="str">
        <f>IFERROR(__xludf.DUMMYFUNCTION("""COMPUTED_VALUE"""),"HTML/CSS")</f>
        <v>HTML/CSS</v>
      </c>
      <c r="L1042" s="9" t="str">
        <f>IFERROR(__xludf.DUMMYFUNCTION("""COMPUTED_VALUE"""),"HTML/CSS")</f>
        <v>HTML/CSS</v>
      </c>
      <c r="M1042" s="9" t="s">
        <v>22</v>
      </c>
    </row>
    <row r="1043" ht="15.75" customHeight="1">
      <c r="A1043" s="7"/>
      <c r="B1043" s="7" t="str">
        <f>IFERROR(__xludf.DUMMYFUNCTION("""COMPUTED_VALUE"""),"C#;HTML/CSS;JavaScript;SQL")</f>
        <v>C#;HTML/CSS;JavaScript;SQL</v>
      </c>
      <c r="C1043" s="9" t="str">
        <f>IFERROR(__xludf.DUMMYFUNCTION("""COMPUTED_VALUE"""),"SQL")</f>
        <v>SQL</v>
      </c>
      <c r="D1043" s="9" t="str">
        <f>IFERROR(__xludf.DUMMYFUNCTION("""COMPUTED_VALUE"""),"Bash/Shell/PowerShell")</f>
        <v>Bash/Shell/PowerShell</v>
      </c>
      <c r="E1043" s="9" t="str">
        <f>IFERROR(__xludf.DUMMYFUNCTION("""COMPUTED_VALUE"""),"C")</f>
        <v>C</v>
      </c>
      <c r="F1043" s="9" t="str">
        <f>IFERROR(__xludf.DUMMYFUNCTION("""COMPUTED_VALUE"""),"Go")</f>
        <v>Go</v>
      </c>
      <c r="G1043" s="9" t="str">
        <f>IFERROR(__xludf.DUMMYFUNCTION("""COMPUTED_VALUE"""),"JavaScript")</f>
        <v>JavaScript</v>
      </c>
      <c r="H1043" s="9" t="str">
        <f>IFERROR(__xludf.DUMMYFUNCTION("""COMPUTED_VALUE"""),"JavaScript")</f>
        <v>JavaScript</v>
      </c>
      <c r="I1043" s="9" t="str">
        <f>IFERROR(__xludf.DUMMYFUNCTION("""COMPUTED_VALUE"""),"Scala")</f>
        <v>Scala</v>
      </c>
      <c r="J1043" s="9" t="str">
        <f>IFERROR(__xludf.DUMMYFUNCTION("""COMPUTED_VALUE"""),"C")</f>
        <v>C</v>
      </c>
      <c r="K1043" s="9" t="str">
        <f>IFERROR(__xludf.DUMMYFUNCTION("""COMPUTED_VALUE"""),"JavaScript")</f>
        <v>JavaScript</v>
      </c>
      <c r="L1043" s="9" t="str">
        <f>IFERROR(__xludf.DUMMYFUNCTION("""COMPUTED_VALUE"""),"JavaScript")</f>
        <v>JavaScript</v>
      </c>
      <c r="M1043" s="9" t="s">
        <v>27</v>
      </c>
    </row>
    <row r="1044" ht="15.75" customHeight="1">
      <c r="A1044" s="7"/>
      <c r="B1044" s="7" t="str">
        <f>IFERROR(__xludf.DUMMYFUNCTION("""COMPUTED_VALUE"""),"Bash/Shell/PowerShell")</f>
        <v>Bash/Shell/PowerShell</v>
      </c>
      <c r="C1044" s="9" t="str">
        <f>IFERROR(__xludf.DUMMYFUNCTION("""COMPUTED_VALUE"""),"TypeScript")</f>
        <v>TypeScript</v>
      </c>
      <c r="D1044" s="9" t="str">
        <f>IFERROR(__xludf.DUMMYFUNCTION("""COMPUTED_VALUE"""),"C++")</f>
        <v>C++</v>
      </c>
      <c r="E1044" s="9" t="str">
        <f>IFERROR(__xludf.DUMMYFUNCTION("""COMPUTED_VALUE"""),"C++")</f>
        <v>C++</v>
      </c>
      <c r="F1044" s="9" t="str">
        <f>IFERROR(__xludf.DUMMYFUNCTION("""COMPUTED_VALUE"""),"HTML/CSS")</f>
        <v>HTML/CSS</v>
      </c>
      <c r="G1044" s="9" t="str">
        <f>IFERROR(__xludf.DUMMYFUNCTION("""COMPUTED_VALUE"""),"Python")</f>
        <v>Python</v>
      </c>
      <c r="H1044" s="9" t="str">
        <f>IFERROR(__xludf.DUMMYFUNCTION("""COMPUTED_VALUE"""),"Python")</f>
        <v>Python</v>
      </c>
      <c r="I1044" s="9" t="str">
        <f>IFERROR(__xludf.DUMMYFUNCTION("""COMPUTED_VALUE"""),"SQL")</f>
        <v>SQL</v>
      </c>
      <c r="J1044" s="9" t="str">
        <f>IFERROR(__xludf.DUMMYFUNCTION("""COMPUTED_VALUE"""),"C++")</f>
        <v>C++</v>
      </c>
      <c r="K1044" s="9" t="str">
        <f>IFERROR(__xludf.DUMMYFUNCTION("""COMPUTED_VALUE"""),"Python")</f>
        <v>Python</v>
      </c>
      <c r="L1044" s="9" t="str">
        <f>IFERROR(__xludf.DUMMYFUNCTION("""COMPUTED_VALUE"""),"PHP")</f>
        <v>PHP</v>
      </c>
      <c r="M1044" s="9" t="s">
        <v>33</v>
      </c>
    </row>
    <row r="1045" ht="15.75" customHeight="1">
      <c r="A1045" s="7"/>
      <c r="B1045" s="7" t="str">
        <f>IFERROR(__xludf.DUMMYFUNCTION("""COMPUTED_VALUE"""),"HTML/CSS;Java;JavaScript;PHP;Python;SQL")</f>
        <v>HTML/CSS;Java;JavaScript;PHP;Python;SQL</v>
      </c>
      <c r="C1045" s="9" t="str">
        <f>IFERROR(__xludf.DUMMYFUNCTION("""COMPUTED_VALUE"""),"C")</f>
        <v>C</v>
      </c>
      <c r="D1045" s="9" t="str">
        <f>IFERROR(__xludf.DUMMYFUNCTION("""COMPUTED_VALUE"""),"Go")</f>
        <v>Go</v>
      </c>
      <c r="E1045" s="9" t="str">
        <f>IFERROR(__xludf.DUMMYFUNCTION("""COMPUTED_VALUE"""),"Java")</f>
        <v>Java</v>
      </c>
      <c r="F1045" s="9" t="str">
        <f>IFERROR(__xludf.DUMMYFUNCTION("""COMPUTED_VALUE"""),"JavaScript")</f>
        <v>JavaScript</v>
      </c>
      <c r="G1045" s="9" t="str">
        <f>IFERROR(__xludf.DUMMYFUNCTION("""COMPUTED_VALUE"""),"R")</f>
        <v>R</v>
      </c>
      <c r="H1045" s="9" t="str">
        <f>IFERROR(__xludf.DUMMYFUNCTION("""COMPUTED_VALUE"""),"Ruby")</f>
        <v>Ruby</v>
      </c>
      <c r="I1045" s="9" t="str">
        <f>IFERROR(__xludf.DUMMYFUNCTION("""COMPUTED_VALUE"""),"Assembly")</f>
        <v>Assembly</v>
      </c>
      <c r="J1045" s="9" t="str">
        <f>IFERROR(__xludf.DUMMYFUNCTION("""COMPUTED_VALUE"""),"HTML/CSS")</f>
        <v>HTML/CSS</v>
      </c>
      <c r="K1045" s="9" t="str">
        <f>IFERROR(__xludf.DUMMYFUNCTION("""COMPUTED_VALUE"""),"SQL")</f>
        <v>SQL</v>
      </c>
      <c r="L1045" s="9" t="str">
        <f>IFERROR(__xludf.DUMMYFUNCTION("""COMPUTED_VALUE"""),"C")</f>
        <v>C</v>
      </c>
      <c r="M1045" s="9" t="s">
        <v>25</v>
      </c>
    </row>
    <row r="1046" ht="15.75" customHeight="1">
      <c r="A1046" s="7"/>
      <c r="B1046" s="7" t="str">
        <f>IFERROR(__xludf.DUMMYFUNCTION("""COMPUTED_VALUE"""),"Bash/Shell/PowerShell;C;C++;Java;JavaScript;Python;Rust;TypeScript")</f>
        <v>Bash/Shell/PowerShell;C;C++;Java;JavaScript;Python;Rust;TypeScript</v>
      </c>
      <c r="C1046" s="9" t="str">
        <f>IFERROR(__xludf.DUMMYFUNCTION("""COMPUTED_VALUE"""),"C++")</f>
        <v>C++</v>
      </c>
      <c r="D1046" s="9" t="str">
        <f>IFERROR(__xludf.DUMMYFUNCTION("""COMPUTED_VALUE"""),"HTML/CSS")</f>
        <v>HTML/CSS</v>
      </c>
      <c r="E1046" s="9" t="str">
        <f>IFERROR(__xludf.DUMMYFUNCTION("""COMPUTED_VALUE"""),"JavaScript")</f>
        <v>JavaScript</v>
      </c>
      <c r="F1046" s="9" t="str">
        <f>IFERROR(__xludf.DUMMYFUNCTION("""COMPUTED_VALUE"""),"Ruby")</f>
        <v>Ruby</v>
      </c>
      <c r="G1046" s="9" t="str">
        <f>IFERROR(__xludf.DUMMYFUNCTION("""COMPUTED_VALUE"""),"Ruby")</f>
        <v>Ruby</v>
      </c>
      <c r="H1046" s="9" t="str">
        <f>IFERROR(__xludf.DUMMYFUNCTION("""COMPUTED_VALUE"""),"SQL")</f>
        <v>SQL</v>
      </c>
      <c r="I1046" s="9" t="str">
        <f>IFERROR(__xludf.DUMMYFUNCTION("""COMPUTED_VALUE"""),"Bash/Shell/PowerShell")</f>
        <v>Bash/Shell/PowerShell</v>
      </c>
      <c r="J1046" s="9" t="str">
        <f>IFERROR(__xludf.DUMMYFUNCTION("""COMPUTED_VALUE"""),"JavaScript")</f>
        <v>JavaScript</v>
      </c>
      <c r="K1046" s="9" t="str">
        <f>IFERROR(__xludf.DUMMYFUNCTION("""COMPUTED_VALUE"""),"Bash/Shell/PowerShell")</f>
        <v>Bash/Shell/PowerShell</v>
      </c>
      <c r="L1046" s="9" t="str">
        <f>IFERROR(__xludf.DUMMYFUNCTION("""COMPUTED_VALUE"""),"C++")</f>
        <v>C++</v>
      </c>
      <c r="M1046" s="9" t="s">
        <v>23</v>
      </c>
    </row>
    <row r="1047" ht="15.75" customHeight="1">
      <c r="A1047" s="7"/>
      <c r="B1047" s="7" t="str">
        <f>IFERROR(__xludf.DUMMYFUNCTION("""COMPUTED_VALUE"""),"JavaScript;Python")</f>
        <v>JavaScript;Python</v>
      </c>
      <c r="C1047" s="9" t="str">
        <f>IFERROR(__xludf.DUMMYFUNCTION("""COMPUTED_VALUE"""),"HTML/CSS")</f>
        <v>HTML/CSS</v>
      </c>
      <c r="D1047" s="9" t="str">
        <f>IFERROR(__xludf.DUMMYFUNCTION("""COMPUTED_VALUE"""),"JavaScript")</f>
        <v>JavaScript</v>
      </c>
      <c r="E1047" s="9" t="str">
        <f>IFERROR(__xludf.DUMMYFUNCTION("""COMPUTED_VALUE"""),"SQL")</f>
        <v>SQL</v>
      </c>
      <c r="F1047" s="9" t="str">
        <f>IFERROR(__xludf.DUMMYFUNCTION("""COMPUTED_VALUE"""),"SQL")</f>
        <v>SQL</v>
      </c>
      <c r="G1047" s="9" t="str">
        <f>IFERROR(__xludf.DUMMYFUNCTION("""COMPUTED_VALUE"""),"Scala")</f>
        <v>Scala</v>
      </c>
      <c r="H1047" s="9" t="str">
        <f>IFERROR(__xludf.DUMMYFUNCTION("""COMPUTED_VALUE"""),"Bash/Shell/PowerShell")</f>
        <v>Bash/Shell/PowerShell</v>
      </c>
      <c r="I1047" s="9" t="str">
        <f>IFERROR(__xludf.DUMMYFUNCTION("""COMPUTED_VALUE"""),"HTML/CSS")</f>
        <v>HTML/CSS</v>
      </c>
      <c r="J1047" s="9" t="str">
        <f>IFERROR(__xludf.DUMMYFUNCTION("""COMPUTED_VALUE"""),"PHP")</f>
        <v>PHP</v>
      </c>
      <c r="K1047" s="9" t="str">
        <f>IFERROR(__xludf.DUMMYFUNCTION("""COMPUTED_VALUE"""),"C#")</f>
        <v>C#</v>
      </c>
      <c r="L1047" s="9" t="str">
        <f>IFERROR(__xludf.DUMMYFUNCTION("""COMPUTED_VALUE"""),"HTML/CSS")</f>
        <v>HTML/CSS</v>
      </c>
      <c r="M1047" s="9" t="s">
        <v>24</v>
      </c>
    </row>
    <row r="1048" ht="15.75" customHeight="1">
      <c r="A1048" s="7"/>
      <c r="B1048" s="7" t="str">
        <f>IFERROR(__xludf.DUMMYFUNCTION("""COMPUTED_VALUE"""),"C#;SQL")</f>
        <v>C#;SQL</v>
      </c>
      <c r="C1048" s="9" t="str">
        <f>IFERROR(__xludf.DUMMYFUNCTION("""COMPUTED_VALUE"""),"JavaScript")</f>
        <v>JavaScript</v>
      </c>
      <c r="D1048" s="9" t="str">
        <f>IFERROR(__xludf.DUMMYFUNCTION("""COMPUTED_VALUE"""),"Python")</f>
        <v>Python</v>
      </c>
      <c r="E1048" s="9" t="str">
        <f>IFERROR(__xludf.DUMMYFUNCTION("""COMPUTED_VALUE"""),"TypeScript")</f>
        <v>TypeScript</v>
      </c>
      <c r="F1048" s="9" t="str">
        <f>IFERROR(__xludf.DUMMYFUNCTION("""COMPUTED_VALUE"""),"Python")</f>
        <v>Python</v>
      </c>
      <c r="G1048" s="9" t="str">
        <f>IFERROR(__xludf.DUMMYFUNCTION("""COMPUTED_VALUE"""),"SQL")</f>
        <v>SQL</v>
      </c>
      <c r="H1048" s="9" t="str">
        <f>IFERROR(__xludf.DUMMYFUNCTION("""COMPUTED_VALUE"""),"HTML/CSS")</f>
        <v>HTML/CSS</v>
      </c>
      <c r="I1048" s="9" t="str">
        <f>IFERROR(__xludf.DUMMYFUNCTION("""COMPUTED_VALUE"""),"Java")</f>
        <v>Java</v>
      </c>
      <c r="J1048" s="9" t="str">
        <f>IFERROR(__xludf.DUMMYFUNCTION("""COMPUTED_VALUE"""),"Python")</f>
        <v>Python</v>
      </c>
      <c r="K1048" s="9" t="str">
        <f>IFERROR(__xludf.DUMMYFUNCTION("""COMPUTED_VALUE"""),"HTML/CSS")</f>
        <v>HTML/CSS</v>
      </c>
      <c r="L1048" s="9" t="str">
        <f>IFERROR(__xludf.DUMMYFUNCTION("""COMPUTED_VALUE"""),"Java")</f>
        <v>Java</v>
      </c>
      <c r="M1048" s="9" t="s">
        <v>21</v>
      </c>
    </row>
    <row r="1049" ht="15.75" customHeight="1">
      <c r="A1049" s="7"/>
      <c r="B1049" s="7" t="str">
        <f>IFERROR(__xludf.DUMMYFUNCTION("""COMPUTED_VALUE"""),"HTML/CSS;JavaScript")</f>
        <v>HTML/CSS;JavaScript</v>
      </c>
      <c r="C1049" s="9" t="str">
        <f>IFERROR(__xludf.DUMMYFUNCTION("""COMPUTED_VALUE"""),"PHP")</f>
        <v>PHP</v>
      </c>
      <c r="D1049" s="9" t="str">
        <f>IFERROR(__xludf.DUMMYFUNCTION("""COMPUTED_VALUE"""),"Rust")</f>
        <v>Rust</v>
      </c>
      <c r="E1049" s="9" t="str">
        <f>IFERROR(__xludf.DUMMYFUNCTION("""COMPUTED_VALUE"""),"HTML/CSS")</f>
        <v>HTML/CSS</v>
      </c>
      <c r="F1049" s="9" t="str">
        <f>IFERROR(__xludf.DUMMYFUNCTION("""COMPUTED_VALUE"""),"R")</f>
        <v>R</v>
      </c>
      <c r="G1049" s="9" t="str">
        <f>IFERROR(__xludf.DUMMYFUNCTION("""COMPUTED_VALUE"""),"Assembly")</f>
        <v>Assembly</v>
      </c>
      <c r="H1049" s="9" t="str">
        <f>IFERROR(__xludf.DUMMYFUNCTION("""COMPUTED_VALUE"""),"JavaScript")</f>
        <v>JavaScript</v>
      </c>
      <c r="I1049" s="9" t="str">
        <f>IFERROR(__xludf.DUMMYFUNCTION("""COMPUTED_VALUE"""),"JavaScript")</f>
        <v>JavaScript</v>
      </c>
      <c r="J1049" s="9" t="str">
        <f>IFERROR(__xludf.DUMMYFUNCTION("""COMPUTED_VALUE"""),"SQL")</f>
        <v>SQL</v>
      </c>
      <c r="K1049" s="9" t="str">
        <f>IFERROR(__xludf.DUMMYFUNCTION("""COMPUTED_VALUE"""),"Java")</f>
        <v>Java</v>
      </c>
      <c r="L1049" s="9" t="str">
        <f>IFERROR(__xludf.DUMMYFUNCTION("""COMPUTED_VALUE"""),"JavaScript")</f>
        <v>JavaScript</v>
      </c>
      <c r="M1049" s="9" t="s">
        <v>37</v>
      </c>
    </row>
    <row r="1050" ht="15.75" customHeight="1">
      <c r="A1050" s="7"/>
      <c r="B1050" s="7" t="str">
        <f>IFERROR(__xludf.DUMMYFUNCTION("""COMPUTED_VALUE"""),"Bash/Shell/PowerShell;Python;Ruby;SQL")</f>
        <v>Bash/Shell/PowerShell;Python;Ruby;SQL</v>
      </c>
      <c r="C1050" s="9" t="str">
        <f>IFERROR(__xludf.DUMMYFUNCTION("""COMPUTED_VALUE"""),"SQL")</f>
        <v>SQL</v>
      </c>
      <c r="D1050" s="9" t="str">
        <f>IFERROR(__xludf.DUMMYFUNCTION("""COMPUTED_VALUE"""),"Bash/Shell/PowerShell")</f>
        <v>Bash/Shell/PowerShell</v>
      </c>
      <c r="E1050" s="9" t="str">
        <f>IFERROR(__xludf.DUMMYFUNCTION("""COMPUTED_VALUE"""),"Python")</f>
        <v>Python</v>
      </c>
      <c r="F1050" s="9" t="str">
        <f>IFERROR(__xludf.DUMMYFUNCTION("""COMPUTED_VALUE"""),"Bash/Shell/PowerShell")</f>
        <v>Bash/Shell/PowerShell</v>
      </c>
      <c r="G1050" s="9" t="str">
        <f>IFERROR(__xludf.DUMMYFUNCTION("""COMPUTED_VALUE"""),"Bash/Shell/PowerShell")</f>
        <v>Bash/Shell/PowerShell</v>
      </c>
      <c r="H1050" s="9" t="str">
        <f>IFERROR(__xludf.DUMMYFUNCTION("""COMPUTED_VALUE"""),"Python")</f>
        <v>Python</v>
      </c>
      <c r="I1050" s="9" t="str">
        <f>IFERROR(__xludf.DUMMYFUNCTION("""COMPUTED_VALUE"""),"PHP")</f>
        <v>PHP</v>
      </c>
      <c r="J1050" s="9" t="str">
        <f>IFERROR(__xludf.DUMMYFUNCTION("""COMPUTED_VALUE"""),"TypeScript")</f>
        <v>TypeScript</v>
      </c>
      <c r="K1050" s="9" t="str">
        <f>IFERROR(__xludf.DUMMYFUNCTION("""COMPUTED_VALUE"""),"JavaScript")</f>
        <v>JavaScript</v>
      </c>
      <c r="L1050" s="9" t="str">
        <f>IFERROR(__xludf.DUMMYFUNCTION("""COMPUTED_VALUE"""),"PHP")</f>
        <v>PHP</v>
      </c>
      <c r="M1050" s="9" t="s">
        <v>27</v>
      </c>
    </row>
    <row r="1051" ht="15.75" customHeight="1">
      <c r="A1051" s="7"/>
      <c r="B1051" s="7" t="str">
        <f>IFERROR(__xludf.DUMMYFUNCTION("""COMPUTED_VALUE"""),"Java")</f>
        <v>Java</v>
      </c>
      <c r="C1051" s="9" t="str">
        <f>IFERROR(__xludf.DUMMYFUNCTION("""COMPUTED_VALUE"""),"Python")</f>
        <v>Python</v>
      </c>
      <c r="D1051" s="9" t="str">
        <f>IFERROR(__xludf.DUMMYFUNCTION("""COMPUTED_VALUE"""),"Java")</f>
        <v>Java</v>
      </c>
      <c r="E1051" s="9" t="str">
        <f>IFERROR(__xludf.DUMMYFUNCTION("""COMPUTED_VALUE"""),"R")</f>
        <v>R</v>
      </c>
      <c r="F1051" s="9" t="str">
        <f>IFERROR(__xludf.DUMMYFUNCTION("""COMPUTED_VALUE"""),"HTML/CSS")</f>
        <v>HTML/CSS</v>
      </c>
      <c r="G1051" s="9" t="str">
        <f>IFERROR(__xludf.DUMMYFUNCTION("""COMPUTED_VALUE"""),"C")</f>
        <v>C</v>
      </c>
      <c r="H1051" s="9" t="str">
        <f>IFERROR(__xludf.DUMMYFUNCTION("""COMPUTED_VALUE"""),"SQL")</f>
        <v>SQL</v>
      </c>
      <c r="I1051" s="9" t="str">
        <f>IFERROR(__xludf.DUMMYFUNCTION("""COMPUTED_VALUE"""),"Ruby")</f>
        <v>Ruby</v>
      </c>
      <c r="J1051" s="9" t="str">
        <f>IFERROR(__xludf.DUMMYFUNCTION("""COMPUTED_VALUE"""),"Bash/Shell/PowerShell")</f>
        <v>Bash/Shell/PowerShell</v>
      </c>
      <c r="K1051" s="9" t="str">
        <f>IFERROR(__xludf.DUMMYFUNCTION("""COMPUTED_VALUE"""),"Python")</f>
        <v>Python</v>
      </c>
      <c r="L1051" s="9" t="str">
        <f>IFERROR(__xludf.DUMMYFUNCTION("""COMPUTED_VALUE"""),"SQL")</f>
        <v>SQL</v>
      </c>
      <c r="M1051" s="9" t="s">
        <v>22</v>
      </c>
    </row>
    <row r="1052" ht="15.75" customHeight="1">
      <c r="A1052" s="7"/>
      <c r="B1052" s="7" t="str">
        <f>IFERROR(__xludf.DUMMYFUNCTION("""COMPUTED_VALUE"""),"C#;HTML/CSS;Java;JavaScript;TypeScript")</f>
        <v>C#;HTML/CSS;Java;JavaScript;TypeScript</v>
      </c>
      <c r="C1052" s="9" t="str">
        <f>IFERROR(__xludf.DUMMYFUNCTION("""COMPUTED_VALUE"""),"Other(s):")</f>
        <v>Other(s):</v>
      </c>
      <c r="D1052" s="9" t="str">
        <f>IFERROR(__xludf.DUMMYFUNCTION("""COMPUTED_VALUE"""),"Python")</f>
        <v>Python</v>
      </c>
      <c r="E1052" s="9" t="str">
        <f>IFERROR(__xludf.DUMMYFUNCTION("""COMPUTED_VALUE"""),"C#")</f>
        <v>C#</v>
      </c>
      <c r="F1052" s="9" t="str">
        <f>IFERROR(__xludf.DUMMYFUNCTION("""COMPUTED_VALUE"""),"JavaScript")</f>
        <v>JavaScript</v>
      </c>
      <c r="G1052" s="9" t="str">
        <f>IFERROR(__xludf.DUMMYFUNCTION("""COMPUTED_VALUE"""),"HTML/CSS")</f>
        <v>HTML/CSS</v>
      </c>
      <c r="H1052" s="9" t="str">
        <f>IFERROR(__xludf.DUMMYFUNCTION("""COMPUTED_VALUE"""),"TypeScript")</f>
        <v>TypeScript</v>
      </c>
      <c r="I1052" s="9" t="str">
        <f>IFERROR(__xludf.DUMMYFUNCTION("""COMPUTED_VALUE"""),"SQL")</f>
        <v>SQL</v>
      </c>
      <c r="J1052" s="9" t="str">
        <f>IFERROR(__xludf.DUMMYFUNCTION("""COMPUTED_VALUE"""),"C++")</f>
        <v>C++</v>
      </c>
      <c r="K1052" s="9" t="str">
        <f>IFERROR(__xludf.DUMMYFUNCTION("""COMPUTED_VALUE"""),"SQL")</f>
        <v>SQL</v>
      </c>
      <c r="L1052" s="9" t="str">
        <f>IFERROR(__xludf.DUMMYFUNCTION("""COMPUTED_VALUE"""),"C#")</f>
        <v>C#</v>
      </c>
      <c r="M1052" s="9" t="s">
        <v>35</v>
      </c>
    </row>
    <row r="1053" ht="15.75" customHeight="1">
      <c r="A1053" s="7"/>
      <c r="B1053" s="7" t="str">
        <f>IFERROR(__xludf.DUMMYFUNCTION("""COMPUTED_VALUE"""),"Java;Kotlin")</f>
        <v>Java;Kotlin</v>
      </c>
      <c r="C1053" s="9" t="str">
        <f>IFERROR(__xludf.DUMMYFUNCTION("""COMPUTED_VALUE"""),"C#")</f>
        <v>C#</v>
      </c>
      <c r="D1053" s="9" t="str">
        <f>IFERROR(__xludf.DUMMYFUNCTION("""COMPUTED_VALUE"""),"SQL")</f>
        <v>SQL</v>
      </c>
      <c r="E1053" s="9" t="str">
        <f>IFERROR(__xludf.DUMMYFUNCTION("""COMPUTED_VALUE"""),"HTML/CSS")</f>
        <v>HTML/CSS</v>
      </c>
      <c r="F1053" s="9" t="str">
        <f>IFERROR(__xludf.DUMMYFUNCTION("""COMPUTED_VALUE"""),"PHP")</f>
        <v>PHP</v>
      </c>
      <c r="G1053" s="9" t="str">
        <f>IFERROR(__xludf.DUMMYFUNCTION("""COMPUTED_VALUE"""),"Java")</f>
        <v>Java</v>
      </c>
      <c r="H1053" s="9" t="str">
        <f>IFERROR(__xludf.DUMMYFUNCTION("""COMPUTED_VALUE"""),"C#")</f>
        <v>C#</v>
      </c>
      <c r="I1053" s="9" t="str">
        <f>IFERROR(__xludf.DUMMYFUNCTION("""COMPUTED_VALUE"""),"Bash/Shell/PowerShell")</f>
        <v>Bash/Shell/PowerShell</v>
      </c>
      <c r="J1053" s="9" t="str">
        <f>IFERROR(__xludf.DUMMYFUNCTION("""COMPUTED_VALUE"""),"HTML/CSS")</f>
        <v>HTML/CSS</v>
      </c>
      <c r="K1053" s="9" t="str">
        <f>IFERROR(__xludf.DUMMYFUNCTION("""COMPUTED_VALUE"""),"Swift")</f>
        <v>Swift</v>
      </c>
      <c r="L1053" s="9" t="str">
        <f>IFERROR(__xludf.DUMMYFUNCTION("""COMPUTED_VALUE"""),"HTML/CSS")</f>
        <v>HTML/CSS</v>
      </c>
      <c r="M1053" s="9" t="s">
        <v>26</v>
      </c>
    </row>
    <row r="1054" ht="15.75" customHeight="1">
      <c r="A1054" s="7"/>
      <c r="B1054" s="7" t="str">
        <f>IFERROR(__xludf.DUMMYFUNCTION("""COMPUTED_VALUE"""),"Bash/Shell/PowerShell;Go;Java;JavaScript;Python;Other(s):")</f>
        <v>Bash/Shell/PowerShell;Go;Java;JavaScript;Python;Other(s):</v>
      </c>
      <c r="C1054" s="9" t="str">
        <f>IFERROR(__xludf.DUMMYFUNCTION("""COMPUTED_VALUE"""),"HTML/CSS")</f>
        <v>HTML/CSS</v>
      </c>
      <c r="D1054" s="9" t="str">
        <f>IFERROR(__xludf.DUMMYFUNCTION("""COMPUTED_VALUE"""),"Java")</f>
        <v>Java</v>
      </c>
      <c r="E1054" s="9" t="str">
        <f>IFERROR(__xludf.DUMMYFUNCTION("""COMPUTED_VALUE"""),"JavaScript")</f>
        <v>JavaScript</v>
      </c>
      <c r="F1054" s="9" t="str">
        <f>IFERROR(__xludf.DUMMYFUNCTION("""COMPUTED_VALUE"""),"SQL")</f>
        <v>SQL</v>
      </c>
      <c r="G1054" s="9" t="str">
        <f>IFERROR(__xludf.DUMMYFUNCTION("""COMPUTED_VALUE"""),"JavaScript")</f>
        <v>JavaScript</v>
      </c>
      <c r="H1054" s="9" t="str">
        <f>IFERROR(__xludf.DUMMYFUNCTION("""COMPUTED_VALUE"""),"HTML/CSS")</f>
        <v>HTML/CSS</v>
      </c>
      <c r="I1054" s="9" t="str">
        <f>IFERROR(__xludf.DUMMYFUNCTION("""COMPUTED_VALUE"""),"C")</f>
        <v>C</v>
      </c>
      <c r="J1054" s="9" t="str">
        <f>IFERROR(__xludf.DUMMYFUNCTION("""COMPUTED_VALUE"""),"Java")</f>
        <v>Java</v>
      </c>
      <c r="K1054" s="9" t="str">
        <f>IFERROR(__xludf.DUMMYFUNCTION("""COMPUTED_VALUE"""),"TypeScript")</f>
        <v>TypeScript</v>
      </c>
      <c r="L1054" s="9" t="str">
        <f>IFERROR(__xludf.DUMMYFUNCTION("""COMPUTED_VALUE"""),"JavaScript")</f>
        <v>JavaScript</v>
      </c>
      <c r="M1054" s="9" t="s">
        <v>24</v>
      </c>
    </row>
    <row r="1055" ht="15.75" customHeight="1">
      <c r="A1055" s="7"/>
      <c r="B1055" s="7" t="str">
        <f>IFERROR(__xludf.DUMMYFUNCTION("""COMPUTED_VALUE"""),"HTML/CSS;JavaScript;Python;SQL")</f>
        <v>HTML/CSS;JavaScript;Python;SQL</v>
      </c>
      <c r="C1055" s="9" t="str">
        <f>IFERROR(__xludf.DUMMYFUNCTION("""COMPUTED_VALUE"""),"JavaScript")</f>
        <v>JavaScript</v>
      </c>
      <c r="D1055" s="9" t="str">
        <f>IFERROR(__xludf.DUMMYFUNCTION("""COMPUTED_VALUE"""),"JavaScript")</f>
        <v>JavaScript</v>
      </c>
      <c r="E1055" s="9" t="str">
        <f>IFERROR(__xludf.DUMMYFUNCTION("""COMPUTED_VALUE"""),"Bash/Shell/PowerShell")</f>
        <v>Bash/Shell/PowerShell</v>
      </c>
      <c r="F1055" s="9" t="str">
        <f>IFERROR(__xludf.DUMMYFUNCTION("""COMPUTED_VALUE"""),"C#")</f>
        <v>C#</v>
      </c>
      <c r="G1055" s="9" t="str">
        <f>IFERROR(__xludf.DUMMYFUNCTION("""COMPUTED_VALUE"""),"PHP")</f>
        <v>PHP</v>
      </c>
      <c r="H1055" s="9" t="str">
        <f>IFERROR(__xludf.DUMMYFUNCTION("""COMPUTED_VALUE"""),"Java")</f>
        <v>Java</v>
      </c>
      <c r="I1055" s="9" t="str">
        <f>IFERROR(__xludf.DUMMYFUNCTION("""COMPUTED_VALUE"""),"Python")</f>
        <v>Python</v>
      </c>
      <c r="J1055" s="9" t="str">
        <f>IFERROR(__xludf.DUMMYFUNCTION("""COMPUTED_VALUE"""),"JavaScript")</f>
        <v>JavaScript</v>
      </c>
      <c r="K1055" s="9" t="str">
        <f>IFERROR(__xludf.DUMMYFUNCTION("""COMPUTED_VALUE"""),"Other(s):")</f>
        <v>Other(s):</v>
      </c>
      <c r="L1055" s="9" t="str">
        <f>IFERROR(__xludf.DUMMYFUNCTION("""COMPUTED_VALUE"""),"SQL")</f>
        <v>SQL</v>
      </c>
      <c r="M1055" s="9" t="s">
        <v>21</v>
      </c>
    </row>
    <row r="1056" ht="15.75" customHeight="1">
      <c r="A1056" s="7"/>
      <c r="B1056" s="7" t="str">
        <f>IFERROR(__xludf.DUMMYFUNCTION("""COMPUTED_VALUE"""),"C#;SQL")</f>
        <v>C#;SQL</v>
      </c>
      <c r="C1056" s="9" t="str">
        <f>IFERROR(__xludf.DUMMYFUNCTION("""COMPUTED_VALUE"""),"PHP")</f>
        <v>PHP</v>
      </c>
      <c r="D1056" s="9" t="str">
        <f>IFERROR(__xludf.DUMMYFUNCTION("""COMPUTED_VALUE"""),"PHP")</f>
        <v>PHP</v>
      </c>
      <c r="E1056" s="9" t="str">
        <f>IFERROR(__xludf.DUMMYFUNCTION("""COMPUTED_VALUE"""),"HTML/CSS")</f>
        <v>HTML/CSS</v>
      </c>
      <c r="F1056" s="9" t="str">
        <f>IFERROR(__xludf.DUMMYFUNCTION("""COMPUTED_VALUE"""),"HTML/CSS")</f>
        <v>HTML/CSS</v>
      </c>
      <c r="G1056" s="9" t="str">
        <f>IFERROR(__xludf.DUMMYFUNCTION("""COMPUTED_VALUE"""),"Python")</f>
        <v>Python</v>
      </c>
      <c r="H1056" s="9" t="str">
        <f>IFERROR(__xludf.DUMMYFUNCTION("""COMPUTED_VALUE"""),"JavaScript")</f>
        <v>JavaScript</v>
      </c>
      <c r="I1056" s="9" t="str">
        <f>IFERROR(__xludf.DUMMYFUNCTION("""COMPUTED_VALUE"""),"HTML/CSS")</f>
        <v>HTML/CSS</v>
      </c>
      <c r="J1056" s="9" t="str">
        <f>IFERROR(__xludf.DUMMYFUNCTION("""COMPUTED_VALUE"""),"SQL")</f>
        <v>SQL</v>
      </c>
      <c r="K1056" s="9" t="str">
        <f>IFERROR(__xludf.DUMMYFUNCTION("""COMPUTED_VALUE"""),"Bash/Shell/PowerShell")</f>
        <v>Bash/Shell/PowerShell</v>
      </c>
      <c r="L1056" s="9" t="str">
        <f>IFERROR(__xludf.DUMMYFUNCTION("""COMPUTED_VALUE"""),"Java")</f>
        <v>Java</v>
      </c>
      <c r="M1056" s="9" t="s">
        <v>37</v>
      </c>
    </row>
    <row r="1057" ht="15.75" customHeight="1">
      <c r="A1057" s="7"/>
      <c r="B1057" s="7" t="str">
        <f>IFERROR(__xludf.DUMMYFUNCTION("""COMPUTED_VALUE"""),"C#;F#;HTML/CSS;JavaScript;Python;R;SQL;TypeScript;VBA")</f>
        <v>C#;F#;HTML/CSS;JavaScript;Python;R;SQL;TypeScript;VBA</v>
      </c>
      <c r="C1057" s="9" t="str">
        <f>IFERROR(__xludf.DUMMYFUNCTION("""COMPUTED_VALUE"""),"Scala")</f>
        <v>Scala</v>
      </c>
      <c r="D1057" s="9" t="str">
        <f>IFERROR(__xludf.DUMMYFUNCTION("""COMPUTED_VALUE"""),"TypeScript")</f>
        <v>TypeScript</v>
      </c>
      <c r="E1057" s="9" t="str">
        <f>IFERROR(__xludf.DUMMYFUNCTION("""COMPUTED_VALUE"""),"JavaScript")</f>
        <v>JavaScript</v>
      </c>
      <c r="F1057" s="9" t="str">
        <f>IFERROR(__xludf.DUMMYFUNCTION("""COMPUTED_VALUE"""),"JavaScript")</f>
        <v>JavaScript</v>
      </c>
      <c r="G1057" s="9" t="str">
        <f>IFERROR(__xludf.DUMMYFUNCTION("""COMPUTED_VALUE"""),"Java")</f>
        <v>Java</v>
      </c>
      <c r="H1057" s="9" t="str">
        <f>IFERROR(__xludf.DUMMYFUNCTION("""COMPUTED_VALUE"""),"PHP")</f>
        <v>PHP</v>
      </c>
      <c r="I1057" s="9" t="str">
        <f>IFERROR(__xludf.DUMMYFUNCTION("""COMPUTED_VALUE"""),"Java")</f>
        <v>Java</v>
      </c>
      <c r="J1057" s="9" t="str">
        <f>IFERROR(__xludf.DUMMYFUNCTION("""COMPUTED_VALUE"""),"Other(s):")</f>
        <v>Other(s):</v>
      </c>
      <c r="K1057" s="9" t="str">
        <f>IFERROR(__xludf.DUMMYFUNCTION("""COMPUTED_VALUE"""),"C")</f>
        <v>C</v>
      </c>
      <c r="L1057" s="9" t="str">
        <f>IFERROR(__xludf.DUMMYFUNCTION("""COMPUTED_VALUE"""),"Python")</f>
        <v>Python</v>
      </c>
      <c r="M1057" s="9" t="s">
        <v>46</v>
      </c>
    </row>
    <row r="1058" ht="15.75" customHeight="1">
      <c r="A1058" s="7"/>
      <c r="B1058" s="7" t="str">
        <f>IFERROR(__xludf.DUMMYFUNCTION("""COMPUTED_VALUE"""),"C#;SQL")</f>
        <v>C#;SQL</v>
      </c>
      <c r="C1058" s="9" t="str">
        <f>IFERROR(__xludf.DUMMYFUNCTION("""COMPUTED_VALUE"""),"SQL")</f>
        <v>SQL</v>
      </c>
      <c r="D1058" s="9" t="str">
        <f>IFERROR(__xludf.DUMMYFUNCTION("""COMPUTED_VALUE"""),"HTML/CSS")</f>
        <v>HTML/CSS</v>
      </c>
      <c r="E1058" s="9" t="str">
        <f>IFERROR(__xludf.DUMMYFUNCTION("""COMPUTED_VALUE"""),"PHP")</f>
        <v>PHP</v>
      </c>
      <c r="F1058" s="9" t="str">
        <f>IFERROR(__xludf.DUMMYFUNCTION("""COMPUTED_VALUE"""),"SQL")</f>
        <v>SQL</v>
      </c>
      <c r="G1058" s="9" t="str">
        <f>IFERROR(__xludf.DUMMYFUNCTION("""COMPUTED_VALUE"""),"C#")</f>
        <v>C#</v>
      </c>
      <c r="H1058" s="9" t="str">
        <f>IFERROR(__xludf.DUMMYFUNCTION("""COMPUTED_VALUE"""),"SQL")</f>
        <v>SQL</v>
      </c>
      <c r="I1058" s="9" t="str">
        <f>IFERROR(__xludf.DUMMYFUNCTION("""COMPUTED_VALUE"""),"JavaScript")</f>
        <v>JavaScript</v>
      </c>
      <c r="J1058" s="9" t="str">
        <f>IFERROR(__xludf.DUMMYFUNCTION("""COMPUTED_VALUE"""),"Bash/Shell/PowerShell")</f>
        <v>Bash/Shell/PowerShell</v>
      </c>
      <c r="K1058" s="9" t="str">
        <f>IFERROR(__xludf.DUMMYFUNCTION("""COMPUTED_VALUE"""),"C++")</f>
        <v>C++</v>
      </c>
      <c r="L1058" s="9" t="str">
        <f>IFERROR(__xludf.DUMMYFUNCTION("""COMPUTED_VALUE"""),"SQL")</f>
        <v>SQL</v>
      </c>
      <c r="M1058" s="9" t="s">
        <v>27</v>
      </c>
    </row>
    <row r="1059" ht="15.75" customHeight="1">
      <c r="A1059" s="7"/>
      <c r="B1059" s="7" t="str">
        <f>IFERROR(__xludf.DUMMYFUNCTION("""COMPUTED_VALUE"""),"C++")</f>
        <v>C++</v>
      </c>
      <c r="C1059" s="9" t="str">
        <f>IFERROR(__xludf.DUMMYFUNCTION("""COMPUTED_VALUE"""),"Java")</f>
        <v>Java</v>
      </c>
      <c r="D1059" s="9" t="str">
        <f>IFERROR(__xludf.DUMMYFUNCTION("""COMPUTED_VALUE"""),"JavaScript")</f>
        <v>JavaScript</v>
      </c>
      <c r="E1059" s="9" t="str">
        <f>IFERROR(__xludf.DUMMYFUNCTION("""COMPUTED_VALUE"""),"Python")</f>
        <v>Python</v>
      </c>
      <c r="F1059" s="9" t="str">
        <f>IFERROR(__xludf.DUMMYFUNCTION("""COMPUTED_VALUE"""),"Other(s):")</f>
        <v>Other(s):</v>
      </c>
      <c r="G1059" s="9" t="str">
        <f>IFERROR(__xludf.DUMMYFUNCTION("""COMPUTED_VALUE"""),"TypeScript")</f>
        <v>TypeScript</v>
      </c>
      <c r="H1059" s="9" t="str">
        <f>IFERROR(__xludf.DUMMYFUNCTION("""COMPUTED_VALUE"""),"HTML/CSS")</f>
        <v>HTML/CSS</v>
      </c>
      <c r="I1059" s="9" t="str">
        <f>IFERROR(__xludf.DUMMYFUNCTION("""COMPUTED_VALUE"""),"C#")</f>
        <v>C#</v>
      </c>
      <c r="J1059" s="9" t="str">
        <f>IFERROR(__xludf.DUMMYFUNCTION("""COMPUTED_VALUE"""),"C++")</f>
        <v>C++</v>
      </c>
      <c r="K1059" s="9" t="str">
        <f>IFERROR(__xludf.DUMMYFUNCTION("""COMPUTED_VALUE"""),"Dart")</f>
        <v>Dart</v>
      </c>
      <c r="L1059" s="9" t="str">
        <f>IFERROR(__xludf.DUMMYFUNCTION("""COMPUTED_VALUE"""),"HTML/CSS")</f>
        <v>HTML/CSS</v>
      </c>
      <c r="M1059" s="9" t="s">
        <v>20</v>
      </c>
    </row>
    <row r="1060" ht="15.75" customHeight="1">
      <c r="A1060" s="7"/>
      <c r="B1060" s="7" t="str">
        <f>IFERROR(__xludf.DUMMYFUNCTION("""COMPUTED_VALUE"""),"Bash/Shell/PowerShell;C#;HTML/CSS;JavaScript;SQL")</f>
        <v>Bash/Shell/PowerShell;C#;HTML/CSS;JavaScript;SQL</v>
      </c>
      <c r="C1060" s="9" t="str">
        <f>IFERROR(__xludf.DUMMYFUNCTION("""COMPUTED_VALUE"""),"Other(s):")</f>
        <v>Other(s):</v>
      </c>
      <c r="D1060" s="9" t="str">
        <f>IFERROR(__xludf.DUMMYFUNCTION("""COMPUTED_VALUE"""),"SQL")</f>
        <v>SQL</v>
      </c>
      <c r="E1060" s="9" t="str">
        <f>IFERROR(__xludf.DUMMYFUNCTION("""COMPUTED_VALUE"""),"SQL")</f>
        <v>SQL</v>
      </c>
      <c r="F1060" s="9" t="str">
        <f>IFERROR(__xludf.DUMMYFUNCTION("""COMPUTED_VALUE"""),"HTML/CSS")</f>
        <v>HTML/CSS</v>
      </c>
      <c r="G1060" s="9" t="str">
        <f>IFERROR(__xludf.DUMMYFUNCTION("""COMPUTED_VALUE"""),"Bash/Shell/PowerShell")</f>
        <v>Bash/Shell/PowerShell</v>
      </c>
      <c r="H1060" s="9" t="str">
        <f>IFERROR(__xludf.DUMMYFUNCTION("""COMPUTED_VALUE"""),"JavaScript")</f>
        <v>JavaScript</v>
      </c>
      <c r="I1060" s="9" t="str">
        <f>IFERROR(__xludf.DUMMYFUNCTION("""COMPUTED_VALUE"""),"HTML/CSS")</f>
        <v>HTML/CSS</v>
      </c>
      <c r="J1060" s="9" t="str">
        <f>IFERROR(__xludf.DUMMYFUNCTION("""COMPUTED_VALUE"""),"C#")</f>
        <v>C#</v>
      </c>
      <c r="K1060" s="9" t="str">
        <f>IFERROR(__xludf.DUMMYFUNCTION("""COMPUTED_VALUE"""),"Go")</f>
        <v>Go</v>
      </c>
      <c r="L1060" s="9" t="str">
        <f>IFERROR(__xludf.DUMMYFUNCTION("""COMPUTED_VALUE"""),"Java")</f>
        <v>Java</v>
      </c>
      <c r="M1060" s="9" t="s">
        <v>35</v>
      </c>
    </row>
    <row r="1061" ht="15.75" customHeight="1">
      <c r="A1061" s="7"/>
      <c r="B1061" s="7" t="str">
        <f>IFERROR(__xludf.DUMMYFUNCTION("""COMPUTED_VALUE"""),"C#;JavaScript;SQL;TypeScript")</f>
        <v>C#;JavaScript;SQL;TypeScript</v>
      </c>
      <c r="C1061" s="9" t="str">
        <f>IFERROR(__xludf.DUMMYFUNCTION("""COMPUTED_VALUE"""),"Bash/Shell/PowerShell")</f>
        <v>Bash/Shell/PowerShell</v>
      </c>
      <c r="D1061" s="9" t="str">
        <f>IFERROR(__xludf.DUMMYFUNCTION("""COMPUTED_VALUE"""),"JavaScript")</f>
        <v>JavaScript</v>
      </c>
      <c r="E1061" s="9" t="str">
        <f>IFERROR(__xludf.DUMMYFUNCTION("""COMPUTED_VALUE"""),"TypeScript")</f>
        <v>TypeScript</v>
      </c>
      <c r="F1061" s="9" t="str">
        <f>IFERROR(__xludf.DUMMYFUNCTION("""COMPUTED_VALUE"""),"Java")</f>
        <v>Java</v>
      </c>
      <c r="G1061" s="9" t="str">
        <f>IFERROR(__xludf.DUMMYFUNCTION("""COMPUTED_VALUE"""),"C")</f>
        <v>C</v>
      </c>
      <c r="H1061" s="9" t="str">
        <f>IFERROR(__xludf.DUMMYFUNCTION("""COMPUTED_VALUE"""),"PHP")</f>
        <v>PHP</v>
      </c>
      <c r="I1061" s="9" t="str">
        <f>IFERROR(__xludf.DUMMYFUNCTION("""COMPUTED_VALUE"""),"JavaScript")</f>
        <v>JavaScript</v>
      </c>
      <c r="J1061" s="9" t="str">
        <f>IFERROR(__xludf.DUMMYFUNCTION("""COMPUTED_VALUE"""),"HTML/CSS")</f>
        <v>HTML/CSS</v>
      </c>
      <c r="K1061" s="9" t="str">
        <f>IFERROR(__xludf.DUMMYFUNCTION("""COMPUTED_VALUE"""),"HTML/CSS")</f>
        <v>HTML/CSS</v>
      </c>
      <c r="L1061" s="9" t="str">
        <f>IFERROR(__xludf.DUMMYFUNCTION("""COMPUTED_VALUE"""),"JavaScript")</f>
        <v>JavaScript</v>
      </c>
      <c r="M1061" s="9" t="s">
        <v>30</v>
      </c>
    </row>
    <row r="1062" ht="15.75" customHeight="1">
      <c r="A1062" s="7"/>
      <c r="B1062" s="7" t="str">
        <f>IFERROR(__xludf.DUMMYFUNCTION("""COMPUTED_VALUE"""),"HTML/CSS;JavaScript;TypeScript")</f>
        <v>HTML/CSS;JavaScript;TypeScript</v>
      </c>
      <c r="C1062" s="9" t="str">
        <f>IFERROR(__xludf.DUMMYFUNCTION("""COMPUTED_VALUE"""),"HTML/CSS")</f>
        <v>HTML/CSS</v>
      </c>
      <c r="D1062" s="9" t="str">
        <f>IFERROR(__xludf.DUMMYFUNCTION("""COMPUTED_VALUE"""),"PHP")</f>
        <v>PHP</v>
      </c>
      <c r="E1062" s="9" t="str">
        <f>IFERROR(__xludf.DUMMYFUNCTION("""COMPUTED_VALUE"""),"HTML/CSS")</f>
        <v>HTML/CSS</v>
      </c>
      <c r="F1062" s="9" t="str">
        <f>IFERROR(__xludf.DUMMYFUNCTION("""COMPUTED_VALUE"""),"JavaScript")</f>
        <v>JavaScript</v>
      </c>
      <c r="G1062" s="9" t="str">
        <f>IFERROR(__xludf.DUMMYFUNCTION("""COMPUTED_VALUE"""),"HTML/CSS")</f>
        <v>HTML/CSS</v>
      </c>
      <c r="H1062" s="9" t="str">
        <f>IFERROR(__xludf.DUMMYFUNCTION("""COMPUTED_VALUE"""),"C#")</f>
        <v>C#</v>
      </c>
      <c r="I1062" s="9" t="str">
        <f>IFERROR(__xludf.DUMMYFUNCTION("""COMPUTED_VALUE"""),"SQL")</f>
        <v>SQL</v>
      </c>
      <c r="J1062" s="9" t="str">
        <f>IFERROR(__xludf.DUMMYFUNCTION("""COMPUTED_VALUE"""),"Java")</f>
        <v>Java</v>
      </c>
      <c r="K1062" s="9" t="str">
        <f>IFERROR(__xludf.DUMMYFUNCTION("""COMPUTED_VALUE"""),"Java")</f>
        <v>Java</v>
      </c>
      <c r="L1062" s="9" t="str">
        <f>IFERROR(__xludf.DUMMYFUNCTION("""COMPUTED_VALUE"""),"Python")</f>
        <v>Python</v>
      </c>
      <c r="M1062" s="9" t="s">
        <v>24</v>
      </c>
    </row>
    <row r="1063" ht="15.75" customHeight="1">
      <c r="A1063" s="7"/>
      <c r="B1063" s="7" t="str">
        <f>IFERROR(__xludf.DUMMYFUNCTION("""COMPUTED_VALUE"""),"Bash/Shell/PowerShell;C#;HTML/CSS;JavaScript;PHP;SQL")</f>
        <v>Bash/Shell/PowerShell;C#;HTML/CSS;JavaScript;PHP;SQL</v>
      </c>
      <c r="C1063" s="9" t="str">
        <f>IFERROR(__xludf.DUMMYFUNCTION("""COMPUTED_VALUE"""),"JavaScript")</f>
        <v>JavaScript</v>
      </c>
      <c r="D1063" s="9" t="str">
        <f>IFERROR(__xludf.DUMMYFUNCTION("""COMPUTED_VALUE"""),"C#")</f>
        <v>C#</v>
      </c>
      <c r="E1063" s="9" t="str">
        <f>IFERROR(__xludf.DUMMYFUNCTION("""COMPUTED_VALUE"""),"JavaScript")</f>
        <v>JavaScript</v>
      </c>
      <c r="F1063" s="9" t="str">
        <f>IFERROR(__xludf.DUMMYFUNCTION("""COMPUTED_VALUE"""),"PHP")</f>
        <v>PHP</v>
      </c>
      <c r="G1063" s="9" t="str">
        <f>IFERROR(__xludf.DUMMYFUNCTION("""COMPUTED_VALUE"""),"Java")</f>
        <v>Java</v>
      </c>
      <c r="H1063" s="9" t="str">
        <f>IFERROR(__xludf.DUMMYFUNCTION("""COMPUTED_VALUE"""),"HTML/CSS")</f>
        <v>HTML/CSS</v>
      </c>
      <c r="I1063" s="9" t="str">
        <f>IFERROR(__xludf.DUMMYFUNCTION("""COMPUTED_VALUE"""),"HTML/CSS")</f>
        <v>HTML/CSS</v>
      </c>
      <c r="J1063" s="9" t="str">
        <f>IFERROR(__xludf.DUMMYFUNCTION("""COMPUTED_VALUE"""),"JavaScript")</f>
        <v>JavaScript</v>
      </c>
      <c r="K1063" s="9" t="str">
        <f>IFERROR(__xludf.DUMMYFUNCTION("""COMPUTED_VALUE"""),"JavaScript")</f>
        <v>JavaScript</v>
      </c>
      <c r="L1063" s="9" t="str">
        <f>IFERROR(__xludf.DUMMYFUNCTION("""COMPUTED_VALUE"""),"SQL")</f>
        <v>SQL</v>
      </c>
      <c r="M1063" s="9" t="s">
        <v>21</v>
      </c>
    </row>
    <row r="1064" ht="15.75" customHeight="1">
      <c r="A1064" s="7"/>
      <c r="B1064" s="7" t="str">
        <f>IFERROR(__xludf.DUMMYFUNCTION("""COMPUTED_VALUE"""),"C#;HTML/CSS;Java;JavaScript;TypeScript")</f>
        <v>C#;HTML/CSS;Java;JavaScript;TypeScript</v>
      </c>
      <c r="C1064" s="9" t="str">
        <f>IFERROR(__xludf.DUMMYFUNCTION("""COMPUTED_VALUE"""),"PHP")</f>
        <v>PHP</v>
      </c>
      <c r="D1064" s="9" t="str">
        <f>IFERROR(__xludf.DUMMYFUNCTION("""COMPUTED_VALUE"""),"HTML/CSS")</f>
        <v>HTML/CSS</v>
      </c>
      <c r="E1064" s="9" t="str">
        <f>IFERROR(__xludf.DUMMYFUNCTION("""COMPUTED_VALUE"""),"Python")</f>
        <v>Python</v>
      </c>
      <c r="F1064" s="9" t="str">
        <f>IFERROR(__xludf.DUMMYFUNCTION("""COMPUTED_VALUE"""),"SQL")</f>
        <v>SQL</v>
      </c>
      <c r="G1064" s="9" t="str">
        <f>IFERROR(__xludf.DUMMYFUNCTION("""COMPUTED_VALUE"""),"Python")</f>
        <v>Python</v>
      </c>
      <c r="H1064" s="9" t="str">
        <f>IFERROR(__xludf.DUMMYFUNCTION("""COMPUTED_VALUE"""),"Java")</f>
        <v>Java</v>
      </c>
      <c r="I1064" s="9" t="str">
        <f>IFERROR(__xludf.DUMMYFUNCTION("""COMPUTED_VALUE"""),"Java")</f>
        <v>Java</v>
      </c>
      <c r="J1064" s="9" t="str">
        <f>IFERROR(__xludf.DUMMYFUNCTION("""COMPUTED_VALUE"""),"SQL")</f>
        <v>SQL</v>
      </c>
      <c r="K1064" s="9" t="str">
        <f>IFERROR(__xludf.DUMMYFUNCTION("""COMPUTED_VALUE"""),"Kotlin")</f>
        <v>Kotlin</v>
      </c>
      <c r="L1064" s="9" t="str">
        <f>IFERROR(__xludf.DUMMYFUNCTION("""COMPUTED_VALUE"""),"TypeScript")</f>
        <v>TypeScript</v>
      </c>
      <c r="M1064" s="9" t="s">
        <v>37</v>
      </c>
    </row>
    <row r="1065" ht="15.75" customHeight="1">
      <c r="A1065" s="7"/>
      <c r="B1065" s="7" t="str">
        <f>IFERROR(__xludf.DUMMYFUNCTION("""COMPUTED_VALUE"""),"C#;HTML/CSS;JavaScript;SQL;Other(s):")</f>
        <v>C#;HTML/CSS;JavaScript;SQL;Other(s):</v>
      </c>
      <c r="C1065" s="9" t="str">
        <f>IFERROR(__xludf.DUMMYFUNCTION("""COMPUTED_VALUE"""),"Python")</f>
        <v>Python</v>
      </c>
      <c r="D1065" s="9" t="str">
        <f>IFERROR(__xludf.DUMMYFUNCTION("""COMPUTED_VALUE"""),"JavaScript")</f>
        <v>JavaScript</v>
      </c>
      <c r="E1065" s="9" t="str">
        <f>IFERROR(__xludf.DUMMYFUNCTION("""COMPUTED_VALUE"""),"Assembly")</f>
        <v>Assembly</v>
      </c>
      <c r="F1065" s="9" t="str">
        <f>IFERROR(__xludf.DUMMYFUNCTION("""COMPUTED_VALUE"""),"TypeScript")</f>
        <v>TypeScript</v>
      </c>
      <c r="G1065" s="9" t="str">
        <f>IFERROR(__xludf.DUMMYFUNCTION("""COMPUTED_VALUE"""),"Bash/Shell/PowerShell")</f>
        <v>Bash/Shell/PowerShell</v>
      </c>
      <c r="H1065" s="9" t="str">
        <f>IFERROR(__xludf.DUMMYFUNCTION("""COMPUTED_VALUE"""),"JavaScript")</f>
        <v>JavaScript</v>
      </c>
      <c r="I1065" s="9" t="str">
        <f>IFERROR(__xludf.DUMMYFUNCTION("""COMPUTED_VALUE"""),"JavaScript")</f>
        <v>JavaScript</v>
      </c>
      <c r="J1065" s="9" t="str">
        <f>IFERROR(__xludf.DUMMYFUNCTION("""COMPUTED_VALUE"""),"Bash/Shell/PowerShell")</f>
        <v>Bash/Shell/PowerShell</v>
      </c>
      <c r="K1065" s="9" t="str">
        <f>IFERROR(__xludf.DUMMYFUNCTION("""COMPUTED_VALUE"""),"Objective-C")</f>
        <v>Objective-C</v>
      </c>
      <c r="L1065" s="9" t="str">
        <f>IFERROR(__xludf.DUMMYFUNCTION("""COMPUTED_VALUE"""),"Bash/Shell/PowerShell")</f>
        <v>Bash/Shell/PowerShell</v>
      </c>
      <c r="M1065" s="9" t="s">
        <v>22</v>
      </c>
    </row>
    <row r="1066" ht="15.75" customHeight="1">
      <c r="A1066" s="7"/>
      <c r="B1066" s="7" t="str">
        <f>IFERROR(__xludf.DUMMYFUNCTION("""COMPUTED_VALUE"""),"HTML/CSS;Java;JavaScript")</f>
        <v>HTML/CSS;Java;JavaScript</v>
      </c>
      <c r="C1066" s="9" t="str">
        <f>IFERROR(__xludf.DUMMYFUNCTION("""COMPUTED_VALUE"""),"SQL")</f>
        <v>SQL</v>
      </c>
      <c r="D1066" s="9" t="str">
        <f>IFERROR(__xludf.DUMMYFUNCTION("""COMPUTED_VALUE"""),"R")</f>
        <v>R</v>
      </c>
      <c r="E1066" s="9" t="str">
        <f>IFERROR(__xludf.DUMMYFUNCTION("""COMPUTED_VALUE"""),"C")</f>
        <v>C</v>
      </c>
      <c r="F1066" s="9" t="str">
        <f>IFERROR(__xludf.DUMMYFUNCTION("""COMPUTED_VALUE"""),"JavaScript")</f>
        <v>JavaScript</v>
      </c>
      <c r="G1066" s="9" t="str">
        <f>IFERROR(__xludf.DUMMYFUNCTION("""COMPUTED_VALUE"""),"HTML/CSS")</f>
        <v>HTML/CSS</v>
      </c>
      <c r="H1066" s="9" t="str">
        <f>IFERROR(__xludf.DUMMYFUNCTION("""COMPUTED_VALUE"""),"Kotlin")</f>
        <v>Kotlin</v>
      </c>
      <c r="I1066" s="9" t="str">
        <f>IFERROR(__xludf.DUMMYFUNCTION("""COMPUTED_VALUE"""),"TypeScript")</f>
        <v>TypeScript</v>
      </c>
      <c r="J1066" s="9" t="str">
        <f>IFERROR(__xludf.DUMMYFUNCTION("""COMPUTED_VALUE"""),"HTML/CSS")</f>
        <v>HTML/CSS</v>
      </c>
      <c r="K1066" s="9" t="str">
        <f>IFERROR(__xludf.DUMMYFUNCTION("""COMPUTED_VALUE"""),"Python")</f>
        <v>Python</v>
      </c>
      <c r="L1066" s="9" t="str">
        <f>IFERROR(__xludf.DUMMYFUNCTION("""COMPUTED_VALUE"""),"C#")</f>
        <v>C#</v>
      </c>
      <c r="M1066" s="9" t="s">
        <v>27</v>
      </c>
    </row>
    <row r="1067" ht="15.75" customHeight="1">
      <c r="A1067" s="7"/>
      <c r="B1067" s="7" t="str">
        <f>IFERROR(__xludf.DUMMYFUNCTION("""COMPUTED_VALUE"""),"C++;C#;Java;JavaScript;SQL")</f>
        <v>C++;C#;Java;JavaScript;SQL</v>
      </c>
      <c r="C1067" s="9" t="str">
        <f>IFERROR(__xludf.DUMMYFUNCTION("""COMPUTED_VALUE"""),"C++")</f>
        <v>C++</v>
      </c>
      <c r="D1067" s="9" t="str">
        <f>IFERROR(__xludf.DUMMYFUNCTION("""COMPUTED_VALUE"""),"SQL")</f>
        <v>SQL</v>
      </c>
      <c r="E1067" s="9" t="str">
        <f>IFERROR(__xludf.DUMMYFUNCTION("""COMPUTED_VALUE"""),"C++")</f>
        <v>C++</v>
      </c>
      <c r="F1067" s="9" t="str">
        <f>IFERROR(__xludf.DUMMYFUNCTION("""COMPUTED_VALUE"""),"PHP")</f>
        <v>PHP</v>
      </c>
      <c r="G1067" s="9" t="str">
        <f>IFERROR(__xludf.DUMMYFUNCTION("""COMPUTED_VALUE"""),"JavaScript")</f>
        <v>JavaScript</v>
      </c>
      <c r="H1067" s="9" t="str">
        <f>IFERROR(__xludf.DUMMYFUNCTION("""COMPUTED_VALUE"""),"PHP")</f>
        <v>PHP</v>
      </c>
      <c r="I1067" s="9" t="str">
        <f>IFERROR(__xludf.DUMMYFUNCTION("""COMPUTED_VALUE"""),"Bash/Shell/PowerShell")</f>
        <v>Bash/Shell/PowerShell</v>
      </c>
      <c r="J1067" s="9" t="str">
        <f>IFERROR(__xludf.DUMMYFUNCTION("""COMPUTED_VALUE"""),"JavaScript")</f>
        <v>JavaScript</v>
      </c>
      <c r="K1067" s="9" t="str">
        <f>IFERROR(__xludf.DUMMYFUNCTION("""COMPUTED_VALUE"""),"Ruby")</f>
        <v>Ruby</v>
      </c>
      <c r="L1067" s="9" t="str">
        <f>IFERROR(__xludf.DUMMYFUNCTION("""COMPUTED_VALUE"""),"Go")</f>
        <v>Go</v>
      </c>
      <c r="M1067" s="9" t="s">
        <v>23</v>
      </c>
    </row>
    <row r="1068" ht="15.75" customHeight="1">
      <c r="A1068" s="7"/>
      <c r="B1068" s="7" t="str">
        <f>IFERROR(__xludf.DUMMYFUNCTION("""COMPUTED_VALUE"""),"Bash/Shell/PowerShell;Elixir;JavaScript;Python;SQL")</f>
        <v>Bash/Shell/PowerShell;Elixir;JavaScript;Python;SQL</v>
      </c>
      <c r="C1068" s="9" t="str">
        <f>IFERROR(__xludf.DUMMYFUNCTION("""COMPUTED_VALUE"""),"Go")</f>
        <v>Go</v>
      </c>
      <c r="D1068" s="9" t="str">
        <f>IFERROR(__xludf.DUMMYFUNCTION("""COMPUTED_VALUE"""),"Bash/Shell/PowerShell")</f>
        <v>Bash/Shell/PowerShell</v>
      </c>
      <c r="E1068" s="9" t="str">
        <f>IFERROR(__xludf.DUMMYFUNCTION("""COMPUTED_VALUE"""),"C#")</f>
        <v>C#</v>
      </c>
      <c r="F1068" s="9" t="str">
        <f>IFERROR(__xludf.DUMMYFUNCTION("""COMPUTED_VALUE"""),"Assembly")</f>
        <v>Assembly</v>
      </c>
      <c r="G1068" s="9" t="str">
        <f>IFERROR(__xludf.DUMMYFUNCTION("""COMPUTED_VALUE"""),"PHP")</f>
        <v>PHP</v>
      </c>
      <c r="H1068" s="9" t="str">
        <f>IFERROR(__xludf.DUMMYFUNCTION("""COMPUTED_VALUE"""),"Python")</f>
        <v>Python</v>
      </c>
      <c r="I1068" s="9" t="str">
        <f>IFERROR(__xludf.DUMMYFUNCTION("""COMPUTED_VALUE"""),"C#")</f>
        <v>C#</v>
      </c>
      <c r="J1068" s="9" t="str">
        <f>IFERROR(__xludf.DUMMYFUNCTION("""COMPUTED_VALUE"""),"PHP")</f>
        <v>PHP</v>
      </c>
      <c r="K1068" s="9" t="str">
        <f>IFERROR(__xludf.DUMMYFUNCTION("""COMPUTED_VALUE"""),"SQL")</f>
        <v>SQL</v>
      </c>
      <c r="L1068" s="9" t="str">
        <f>IFERROR(__xludf.DUMMYFUNCTION("""COMPUTED_VALUE"""),"Java")</f>
        <v>Java</v>
      </c>
      <c r="M1068" s="9" t="s">
        <v>36</v>
      </c>
    </row>
    <row r="1069" ht="15.75" customHeight="1">
      <c r="A1069" s="7"/>
      <c r="B1069" s="7" t="str">
        <f>IFERROR(__xludf.DUMMYFUNCTION("""COMPUTED_VALUE"""),"Bash/Shell/PowerShell;C;C++;C#;HTML/CSS;Java;JavaScript;Ruby;SQL;TypeScript;Other(s):")</f>
        <v>Bash/Shell/PowerShell;C;C++;C#;HTML/CSS;Java;JavaScript;Ruby;SQL;TypeScript;Other(s):</v>
      </c>
      <c r="C1069" s="9" t="str">
        <f>IFERROR(__xludf.DUMMYFUNCTION("""COMPUTED_VALUE"""),"Java")</f>
        <v>Java</v>
      </c>
      <c r="D1069" s="9" t="str">
        <f>IFERROR(__xludf.DUMMYFUNCTION("""COMPUTED_VALUE"""),"HTML/CSS")</f>
        <v>HTML/CSS</v>
      </c>
      <c r="E1069" s="9" t="str">
        <f>IFERROR(__xludf.DUMMYFUNCTION("""COMPUTED_VALUE"""),"HTML/CSS")</f>
        <v>HTML/CSS</v>
      </c>
      <c r="F1069" s="9" t="str">
        <f>IFERROR(__xludf.DUMMYFUNCTION("""COMPUTED_VALUE"""),"Bash/Shell/PowerShell")</f>
        <v>Bash/Shell/PowerShell</v>
      </c>
      <c r="G1069" s="9" t="str">
        <f>IFERROR(__xludf.DUMMYFUNCTION("""COMPUTED_VALUE"""),"Python")</f>
        <v>Python</v>
      </c>
      <c r="H1069" s="9" t="str">
        <f>IFERROR(__xludf.DUMMYFUNCTION("""COMPUTED_VALUE"""),"SQL")</f>
        <v>SQL</v>
      </c>
      <c r="I1069" s="9" t="str">
        <f>IFERROR(__xludf.DUMMYFUNCTION("""COMPUTED_VALUE"""),"HTML/CSS")</f>
        <v>HTML/CSS</v>
      </c>
      <c r="J1069" s="9" t="str">
        <f>IFERROR(__xludf.DUMMYFUNCTION("""COMPUTED_VALUE"""),"Python")</f>
        <v>Python</v>
      </c>
      <c r="K1069" s="9" t="str">
        <f>IFERROR(__xludf.DUMMYFUNCTION("""COMPUTED_VALUE"""),"Swift")</f>
        <v>Swift</v>
      </c>
      <c r="L1069" s="9" t="str">
        <f>IFERROR(__xludf.DUMMYFUNCTION("""COMPUTED_VALUE"""),"Python")</f>
        <v>Python</v>
      </c>
      <c r="M1069" s="9" t="s">
        <v>20</v>
      </c>
    </row>
    <row r="1070" ht="15.75" customHeight="1">
      <c r="A1070" s="7"/>
      <c r="B1070" s="7" t="str">
        <f>IFERROR(__xludf.DUMMYFUNCTION("""COMPUTED_VALUE"""),"JavaScript;PHP;Python")</f>
        <v>JavaScript;PHP;Python</v>
      </c>
      <c r="C1070" s="9" t="str">
        <f>IFERROR(__xludf.DUMMYFUNCTION("""COMPUTED_VALUE"""),"JavaScript")</f>
        <v>JavaScript</v>
      </c>
      <c r="D1070" s="9" t="str">
        <f>IFERROR(__xludf.DUMMYFUNCTION("""COMPUTED_VALUE"""),"Java")</f>
        <v>Java</v>
      </c>
      <c r="E1070" s="9" t="str">
        <f>IFERROR(__xludf.DUMMYFUNCTION("""COMPUTED_VALUE"""),"Java")</f>
        <v>Java</v>
      </c>
      <c r="F1070" s="9" t="str">
        <f>IFERROR(__xludf.DUMMYFUNCTION("""COMPUTED_VALUE"""),"C")</f>
        <v>C</v>
      </c>
      <c r="G1070" s="9" t="str">
        <f>IFERROR(__xludf.DUMMYFUNCTION("""COMPUTED_VALUE"""),"SQL")</f>
        <v>SQL</v>
      </c>
      <c r="H1070" s="9" t="str">
        <f>IFERROR(__xludf.DUMMYFUNCTION("""COMPUTED_VALUE"""),"TypeScript")</f>
        <v>TypeScript</v>
      </c>
      <c r="I1070" s="9" t="str">
        <f>IFERROR(__xludf.DUMMYFUNCTION("""COMPUTED_VALUE"""),"JavaScript")</f>
        <v>JavaScript</v>
      </c>
      <c r="J1070" s="9" t="str">
        <f>IFERROR(__xludf.DUMMYFUNCTION("""COMPUTED_VALUE"""),"SQL")</f>
        <v>SQL</v>
      </c>
      <c r="K1070" s="9" t="str">
        <f>IFERROR(__xludf.DUMMYFUNCTION("""COMPUTED_VALUE"""),"Bash/Shell/PowerShell")</f>
        <v>Bash/Shell/PowerShell</v>
      </c>
      <c r="L1070" s="9" t="str">
        <f>IFERROR(__xludf.DUMMYFUNCTION("""COMPUTED_VALUE"""),"Assembly")</f>
        <v>Assembly</v>
      </c>
      <c r="M1070" s="9" t="s">
        <v>21</v>
      </c>
    </row>
    <row r="1071" ht="15.75" customHeight="1">
      <c r="A1071" s="7"/>
      <c r="B1071" s="7" t="str">
        <f>IFERROR(__xludf.DUMMYFUNCTION("""COMPUTED_VALUE"""),"Objective-C;Swift")</f>
        <v>Objective-C;Swift</v>
      </c>
      <c r="C1071" s="9" t="str">
        <f>IFERROR(__xludf.DUMMYFUNCTION("""COMPUTED_VALUE"""),"Python")</f>
        <v>Python</v>
      </c>
      <c r="D1071" s="9" t="str">
        <f>IFERROR(__xludf.DUMMYFUNCTION("""COMPUTED_VALUE"""),"JavaScript")</f>
        <v>JavaScript</v>
      </c>
      <c r="E1071" s="9" t="str">
        <f>IFERROR(__xludf.DUMMYFUNCTION("""COMPUTED_VALUE"""),"JavaScript")</f>
        <v>JavaScript</v>
      </c>
      <c r="F1071" s="9" t="str">
        <f>IFERROR(__xludf.DUMMYFUNCTION("""COMPUTED_VALUE"""),"C++")</f>
        <v>C++</v>
      </c>
      <c r="G1071" s="9" t="str">
        <f>IFERROR(__xludf.DUMMYFUNCTION("""COMPUTED_VALUE"""),"Bash/Shell/PowerShell")</f>
        <v>Bash/Shell/PowerShell</v>
      </c>
      <c r="H1071" s="9" t="str">
        <f>IFERROR(__xludf.DUMMYFUNCTION("""COMPUTED_VALUE"""),"C#")</f>
        <v>C#</v>
      </c>
      <c r="I1071" s="9" t="str">
        <f>IFERROR(__xludf.DUMMYFUNCTION("""COMPUTED_VALUE"""),"Python")</f>
        <v>Python</v>
      </c>
      <c r="J1071" s="9" t="str">
        <f>IFERROR(__xludf.DUMMYFUNCTION("""COMPUTED_VALUE"""),"Bash/Shell/PowerShell")</f>
        <v>Bash/Shell/PowerShell</v>
      </c>
      <c r="K1071" s="9" t="str">
        <f>IFERROR(__xludf.DUMMYFUNCTION("""COMPUTED_VALUE"""),"C#")</f>
        <v>C#</v>
      </c>
      <c r="L1071" s="9" t="str">
        <f>IFERROR(__xludf.DUMMYFUNCTION("""COMPUTED_VALUE"""),"C")</f>
        <v>C</v>
      </c>
      <c r="M1071" s="9" t="s">
        <v>22</v>
      </c>
    </row>
    <row r="1072" ht="15.75" customHeight="1">
      <c r="A1072" s="7"/>
      <c r="B1072" s="7" t="str">
        <f>IFERROR(__xludf.DUMMYFUNCTION("""COMPUTED_VALUE"""),"HTML/CSS;JavaScript")</f>
        <v>HTML/CSS;JavaScript</v>
      </c>
      <c r="C1072" s="9" t="str">
        <f>IFERROR(__xludf.DUMMYFUNCTION("""COMPUTED_VALUE"""),"Rust")</f>
        <v>Rust</v>
      </c>
      <c r="D1072" s="9" t="str">
        <f>IFERROR(__xludf.DUMMYFUNCTION("""COMPUTED_VALUE"""),"PHP")</f>
        <v>PHP</v>
      </c>
      <c r="E1072" s="9" t="str">
        <f>IFERROR(__xludf.DUMMYFUNCTION("""COMPUTED_VALUE"""),"PHP")</f>
        <v>PHP</v>
      </c>
      <c r="F1072" s="9" t="str">
        <f>IFERROR(__xludf.DUMMYFUNCTION("""COMPUTED_VALUE"""),"C#")</f>
        <v>C#</v>
      </c>
      <c r="G1072" s="9" t="str">
        <f>IFERROR(__xludf.DUMMYFUNCTION("""COMPUTED_VALUE"""),"Go")</f>
        <v>Go</v>
      </c>
      <c r="H1072" s="9" t="str">
        <f>IFERROR(__xludf.DUMMYFUNCTION("""COMPUTED_VALUE"""),"HTML/CSS")</f>
        <v>HTML/CSS</v>
      </c>
      <c r="I1072" s="9" t="str">
        <f>IFERROR(__xludf.DUMMYFUNCTION("""COMPUTED_VALUE"""),"Other(s):")</f>
        <v>Other(s):</v>
      </c>
      <c r="J1072" s="9" t="str">
        <f>IFERROR(__xludf.DUMMYFUNCTION("""COMPUTED_VALUE"""),"C#")</f>
        <v>C#</v>
      </c>
      <c r="K1072" s="9" t="str">
        <f>IFERROR(__xludf.DUMMYFUNCTION("""COMPUTED_VALUE"""),"HTML/CSS")</f>
        <v>HTML/CSS</v>
      </c>
      <c r="L1072" s="9" t="str">
        <f>IFERROR(__xludf.DUMMYFUNCTION("""COMPUTED_VALUE"""),"C++")</f>
        <v>C++</v>
      </c>
      <c r="M1072" s="9" t="s">
        <v>32</v>
      </c>
    </row>
    <row r="1073" ht="15.75" customHeight="1">
      <c r="A1073" s="7"/>
      <c r="B1073" s="7" t="str">
        <f>IFERROR(__xludf.DUMMYFUNCTION("""COMPUTED_VALUE"""),"Bash/Shell/PowerShell;C;C++;C#;HTML/CSS;Java;JavaScript")</f>
        <v>Bash/Shell/PowerShell;C;C++;C#;HTML/CSS;Java;JavaScript</v>
      </c>
      <c r="C1073" s="9" t="str">
        <f>IFERROR(__xludf.DUMMYFUNCTION("""COMPUTED_VALUE"""),"WebAssembly")</f>
        <v>WebAssembly</v>
      </c>
      <c r="D1073" s="9" t="str">
        <f>IFERROR(__xludf.DUMMYFUNCTION("""COMPUTED_VALUE"""),"Python")</f>
        <v>Python</v>
      </c>
      <c r="E1073" s="9" t="str">
        <f>IFERROR(__xludf.DUMMYFUNCTION("""COMPUTED_VALUE"""),"SQL")</f>
        <v>SQL</v>
      </c>
      <c r="F1073" s="9" t="str">
        <f>IFERROR(__xludf.DUMMYFUNCTION("""COMPUTED_VALUE"""),"Go")</f>
        <v>Go</v>
      </c>
      <c r="G1073" s="9" t="str">
        <f>IFERROR(__xludf.DUMMYFUNCTION("""COMPUTED_VALUE"""),"JavaScript")</f>
        <v>JavaScript</v>
      </c>
      <c r="H1073" s="9" t="str">
        <f>IFERROR(__xludf.DUMMYFUNCTION("""COMPUTED_VALUE"""),"JavaScript")</f>
        <v>JavaScript</v>
      </c>
      <c r="I1073" s="9" t="str">
        <f>IFERROR(__xludf.DUMMYFUNCTION("""COMPUTED_VALUE"""),"Assembly")</f>
        <v>Assembly</v>
      </c>
      <c r="J1073" s="9" t="str">
        <f>IFERROR(__xludf.DUMMYFUNCTION("""COMPUTED_VALUE"""),"Python")</f>
        <v>Python</v>
      </c>
      <c r="K1073" s="9" t="str">
        <f>IFERROR(__xludf.DUMMYFUNCTION("""COMPUTED_VALUE"""),"Java")</f>
        <v>Java</v>
      </c>
      <c r="L1073" s="9" t="str">
        <f>IFERROR(__xludf.DUMMYFUNCTION("""COMPUTED_VALUE"""),"C#")</f>
        <v>C#</v>
      </c>
      <c r="M1073" s="9" t="s">
        <v>34</v>
      </c>
    </row>
    <row r="1074" ht="15.75" customHeight="1">
      <c r="A1074" s="7"/>
      <c r="B1074" s="7" t="str">
        <f>IFERROR(__xludf.DUMMYFUNCTION("""COMPUTED_VALUE"""),"HTML/CSS;Java;JavaScript;Python")</f>
        <v>HTML/CSS;Java;JavaScript;Python</v>
      </c>
      <c r="C1074" s="9" t="str">
        <f>IFERROR(__xludf.DUMMYFUNCTION("""COMPUTED_VALUE"""),"C#")</f>
        <v>C#</v>
      </c>
      <c r="D1074" s="9" t="str">
        <f>IFERROR(__xludf.DUMMYFUNCTION("""COMPUTED_VALUE"""),"Elixir")</f>
        <v>Elixir</v>
      </c>
      <c r="E1074" s="9" t="str">
        <f>IFERROR(__xludf.DUMMYFUNCTION("""COMPUTED_VALUE"""),"Other(s):")</f>
        <v>Other(s):</v>
      </c>
      <c r="F1074" s="9" t="str">
        <f>IFERROR(__xludf.DUMMYFUNCTION("""COMPUTED_VALUE"""),"Python")</f>
        <v>Python</v>
      </c>
      <c r="G1074" s="9" t="str">
        <f>IFERROR(__xludf.DUMMYFUNCTION("""COMPUTED_VALUE"""),"Ruby")</f>
        <v>Ruby</v>
      </c>
      <c r="H1074" s="9" t="str">
        <f>IFERROR(__xludf.DUMMYFUNCTION("""COMPUTED_VALUE"""),"Kotlin")</f>
        <v>Kotlin</v>
      </c>
      <c r="I1074" s="9" t="str">
        <f>IFERROR(__xludf.DUMMYFUNCTION("""COMPUTED_VALUE"""),"C")</f>
        <v>C</v>
      </c>
      <c r="J1074" s="9" t="str">
        <f>IFERROR(__xludf.DUMMYFUNCTION("""COMPUTED_VALUE"""),"SQL")</f>
        <v>SQL</v>
      </c>
      <c r="K1074" s="9" t="str">
        <f>IFERROR(__xludf.DUMMYFUNCTION("""COMPUTED_VALUE"""),"JavaScript")</f>
        <v>JavaScript</v>
      </c>
      <c r="L1074" s="9" t="str">
        <f>IFERROR(__xludf.DUMMYFUNCTION("""COMPUTED_VALUE"""),"Dart")</f>
        <v>Dart</v>
      </c>
      <c r="M1074" s="9" t="s">
        <v>26</v>
      </c>
    </row>
    <row r="1075" ht="15.75" customHeight="1">
      <c r="A1075" s="7"/>
      <c r="B1075" s="7" t="str">
        <f>IFERROR(__xludf.DUMMYFUNCTION("""COMPUTED_VALUE"""),"Assembly;Bash/Shell/PowerShell;C;C++;C#;HTML/CSS;JavaScript;PHP;SQL;TypeScript;WebAssembly")</f>
        <v>Assembly;Bash/Shell/PowerShell;C;C++;C#;HTML/CSS;JavaScript;PHP;SQL;TypeScript;WebAssembly</v>
      </c>
      <c r="C1075" s="9" t="str">
        <f>IFERROR(__xludf.DUMMYFUNCTION("""COMPUTED_VALUE"""),"HTML/CSS")</f>
        <v>HTML/CSS</v>
      </c>
      <c r="D1075" s="9" t="str">
        <f>IFERROR(__xludf.DUMMYFUNCTION("""COMPUTED_VALUE"""),"HTML/CSS")</f>
        <v>HTML/CSS</v>
      </c>
      <c r="E1075" s="9" t="str">
        <f>IFERROR(__xludf.DUMMYFUNCTION("""COMPUTED_VALUE"""),"C")</f>
        <v>C</v>
      </c>
      <c r="F1075" s="9" t="str">
        <f>IFERROR(__xludf.DUMMYFUNCTION("""COMPUTED_VALUE"""),"SQL")</f>
        <v>SQL</v>
      </c>
      <c r="G1075" s="9" t="str">
        <f>IFERROR(__xludf.DUMMYFUNCTION("""COMPUTED_VALUE"""),"SQL")</f>
        <v>SQL</v>
      </c>
      <c r="H1075" s="9" t="str">
        <f>IFERROR(__xludf.DUMMYFUNCTION("""COMPUTED_VALUE"""),"PHP")</f>
        <v>PHP</v>
      </c>
      <c r="I1075" s="9" t="str">
        <f>IFERROR(__xludf.DUMMYFUNCTION("""COMPUTED_VALUE"""),"C++")</f>
        <v>C++</v>
      </c>
      <c r="J1075" s="9" t="str">
        <f>IFERROR(__xludf.DUMMYFUNCTION("""COMPUTED_VALUE"""),"VBA")</f>
        <v>VBA</v>
      </c>
      <c r="K1075" s="9" t="str">
        <f>IFERROR(__xludf.DUMMYFUNCTION("""COMPUTED_VALUE"""),"SQL")</f>
        <v>SQL</v>
      </c>
      <c r="L1075" s="9" t="str">
        <f>IFERROR(__xludf.DUMMYFUNCTION("""COMPUTED_VALUE"""),"HTML/CSS")</f>
        <v>HTML/CSS</v>
      </c>
      <c r="M1075" s="9" t="s">
        <v>24</v>
      </c>
    </row>
    <row r="1076" ht="15.75" customHeight="1">
      <c r="A1076" s="7"/>
      <c r="B1076" s="7" t="str">
        <f>IFERROR(__xludf.DUMMYFUNCTION("""COMPUTED_VALUE"""),"HTML/CSS;JavaScript;PHP")</f>
        <v>HTML/CSS;JavaScript;PHP</v>
      </c>
      <c r="C1076" s="9" t="str">
        <f>IFERROR(__xludf.DUMMYFUNCTION("""COMPUTED_VALUE"""),"Java")</f>
        <v>Java</v>
      </c>
      <c r="D1076" s="9" t="str">
        <f>IFERROR(__xludf.DUMMYFUNCTION("""COMPUTED_VALUE"""),"JavaScript")</f>
        <v>JavaScript</v>
      </c>
      <c r="E1076" s="9" t="str">
        <f>IFERROR(__xludf.DUMMYFUNCTION("""COMPUTED_VALUE"""),"C++")</f>
        <v>C++</v>
      </c>
      <c r="F1076" s="9" t="str">
        <f>IFERROR(__xludf.DUMMYFUNCTION("""COMPUTED_VALUE"""),"TypeScript")</f>
        <v>TypeScript</v>
      </c>
      <c r="G1076" s="9" t="str">
        <f>IFERROR(__xludf.DUMMYFUNCTION("""COMPUTED_VALUE"""),"HTML/CSS")</f>
        <v>HTML/CSS</v>
      </c>
      <c r="H1076" s="9" t="str">
        <f>IFERROR(__xludf.DUMMYFUNCTION("""COMPUTED_VALUE"""),"SQL")</f>
        <v>SQL</v>
      </c>
      <c r="I1076" s="9" t="str">
        <f>IFERROR(__xludf.DUMMYFUNCTION("""COMPUTED_VALUE"""),"HTML/CSS")</f>
        <v>HTML/CSS</v>
      </c>
      <c r="J1076" s="9" t="str">
        <f>IFERROR(__xludf.DUMMYFUNCTION("""COMPUTED_VALUE"""),"HTML/CSS")</f>
        <v>HTML/CSS</v>
      </c>
      <c r="K1076" s="9" t="str">
        <f>IFERROR(__xludf.DUMMYFUNCTION("""COMPUTED_VALUE"""),"Swift")</f>
        <v>Swift</v>
      </c>
      <c r="L1076" s="9" t="str">
        <f>IFERROR(__xludf.DUMMYFUNCTION("""COMPUTED_VALUE"""),"Java")</f>
        <v>Java</v>
      </c>
      <c r="M1076" s="9" t="s">
        <v>20</v>
      </c>
    </row>
    <row r="1077" ht="15.75" customHeight="1">
      <c r="A1077" s="7"/>
      <c r="B1077" s="7" t="str">
        <f>IFERROR(__xludf.DUMMYFUNCTION("""COMPUTED_VALUE"""),"Assembly;Bash/Shell/PowerShell;C;C++;C#;Python;WebAssembly")</f>
        <v>Assembly;Bash/Shell/PowerShell;C;C++;C#;Python;WebAssembly</v>
      </c>
      <c r="C1077" s="9" t="str">
        <f>IFERROR(__xludf.DUMMYFUNCTION("""COMPUTED_VALUE"""),"JavaScript")</f>
        <v>JavaScript</v>
      </c>
      <c r="D1077" s="9" t="str">
        <f>IFERROR(__xludf.DUMMYFUNCTION("""COMPUTED_VALUE"""),"Ruby")</f>
        <v>Ruby</v>
      </c>
      <c r="E1077" s="9" t="str">
        <f>IFERROR(__xludf.DUMMYFUNCTION("""COMPUTED_VALUE"""),"HTML/CSS")</f>
        <v>HTML/CSS</v>
      </c>
      <c r="F1077" s="9" t="str">
        <f>IFERROR(__xludf.DUMMYFUNCTION("""COMPUTED_VALUE"""),"Assembly")</f>
        <v>Assembly</v>
      </c>
      <c r="G1077" s="9" t="str">
        <f>IFERROR(__xludf.DUMMYFUNCTION("""COMPUTED_VALUE"""),"Java")</f>
        <v>Java</v>
      </c>
      <c r="H1077" s="9" t="str">
        <f>IFERROR(__xludf.DUMMYFUNCTION("""COMPUTED_VALUE"""),"C++")</f>
        <v>C++</v>
      </c>
      <c r="I1077" s="9" t="str">
        <f>IFERROR(__xludf.DUMMYFUNCTION("""COMPUTED_VALUE"""),"Java")</f>
        <v>Java</v>
      </c>
      <c r="J1077" s="9" t="str">
        <f>IFERROR(__xludf.DUMMYFUNCTION("""COMPUTED_VALUE"""),"JavaScript")</f>
        <v>JavaScript</v>
      </c>
      <c r="K1077" s="9" t="str">
        <f>IFERROR(__xludf.DUMMYFUNCTION("""COMPUTED_VALUE"""),"TypeScript")</f>
        <v>TypeScript</v>
      </c>
      <c r="L1077" s="9" t="str">
        <f>IFERROR(__xludf.DUMMYFUNCTION("""COMPUTED_VALUE"""),"JavaScript")</f>
        <v>JavaScript</v>
      </c>
      <c r="M1077" s="9" t="s">
        <v>21</v>
      </c>
    </row>
    <row r="1078" ht="15.75" customHeight="1">
      <c r="A1078" s="7"/>
      <c r="B1078" s="7" t="str">
        <f>IFERROR(__xludf.DUMMYFUNCTION("""COMPUTED_VALUE"""),"Assembly;C;C#;Java;Ruby;TypeScript")</f>
        <v>Assembly;C;C#;Java;Ruby;TypeScript</v>
      </c>
      <c r="C1078" s="9" t="str">
        <f>IFERROR(__xludf.DUMMYFUNCTION("""COMPUTED_VALUE"""),"Objective-C")</f>
        <v>Objective-C</v>
      </c>
      <c r="D1078" s="9" t="str">
        <f>IFERROR(__xludf.DUMMYFUNCTION("""COMPUTED_VALUE"""),"SQL")</f>
        <v>SQL</v>
      </c>
      <c r="E1078" s="9" t="str">
        <f>IFERROR(__xludf.DUMMYFUNCTION("""COMPUTED_VALUE"""),"JavaScript")</f>
        <v>JavaScript</v>
      </c>
      <c r="F1078" s="9" t="str">
        <f>IFERROR(__xludf.DUMMYFUNCTION("""COMPUTED_VALUE"""),"C#")</f>
        <v>C#</v>
      </c>
      <c r="G1078" s="9" t="str">
        <f>IFERROR(__xludf.DUMMYFUNCTION("""COMPUTED_VALUE"""),"JavaScript")</f>
        <v>JavaScript</v>
      </c>
      <c r="H1078" s="9" t="str">
        <f>IFERROR(__xludf.DUMMYFUNCTION("""COMPUTED_VALUE"""),"HTML/CSS")</f>
        <v>HTML/CSS</v>
      </c>
      <c r="I1078" s="9" t="str">
        <f>IFERROR(__xludf.DUMMYFUNCTION("""COMPUTED_VALUE"""),"JavaScript")</f>
        <v>JavaScript</v>
      </c>
      <c r="J1078" s="9" t="str">
        <f>IFERROR(__xludf.DUMMYFUNCTION("""COMPUTED_VALUE"""),"PHP")</f>
        <v>PHP</v>
      </c>
      <c r="K1078" s="9" t="str">
        <f>IFERROR(__xludf.DUMMYFUNCTION("""COMPUTED_VALUE"""),"HTML/CSS")</f>
        <v>HTML/CSS</v>
      </c>
      <c r="L1078" s="9" t="str">
        <f>IFERROR(__xludf.DUMMYFUNCTION("""COMPUTED_VALUE"""),"PHP")</f>
        <v>PHP</v>
      </c>
      <c r="M1078" s="9" t="s">
        <v>41</v>
      </c>
    </row>
    <row r="1079" ht="15.75" customHeight="1">
      <c r="A1079" s="7"/>
      <c r="B1079" s="7" t="str">
        <f>IFERROR(__xludf.DUMMYFUNCTION("""COMPUTED_VALUE"""),"C++;HTML/CSS;Java;JavaScript;Python")</f>
        <v>C++;HTML/CSS;Java;JavaScript;Python</v>
      </c>
      <c r="C1079" s="9" t="str">
        <f>IFERROR(__xludf.DUMMYFUNCTION("""COMPUTED_VALUE"""),"SQL")</f>
        <v>SQL</v>
      </c>
      <c r="D1079" s="9" t="str">
        <f>IFERROR(__xludf.DUMMYFUNCTION("""COMPUTED_VALUE"""),"Other(s):")</f>
        <v>Other(s):</v>
      </c>
      <c r="E1079" s="9" t="str">
        <f>IFERROR(__xludf.DUMMYFUNCTION("""COMPUTED_VALUE"""),"Python")</f>
        <v>Python</v>
      </c>
      <c r="F1079" s="9" t="str">
        <f>IFERROR(__xludf.DUMMYFUNCTION("""COMPUTED_VALUE"""),"HTML/CSS")</f>
        <v>HTML/CSS</v>
      </c>
      <c r="G1079" s="9" t="str">
        <f>IFERROR(__xludf.DUMMYFUNCTION("""COMPUTED_VALUE"""),"SQL")</f>
        <v>SQL</v>
      </c>
      <c r="H1079" s="9" t="str">
        <f>IFERROR(__xludf.DUMMYFUNCTION("""COMPUTED_VALUE"""),"JavaScript")</f>
        <v>JavaScript</v>
      </c>
      <c r="I1079" s="9" t="str">
        <f>IFERROR(__xludf.DUMMYFUNCTION("""COMPUTED_VALUE"""),"PHP")</f>
        <v>PHP</v>
      </c>
      <c r="J1079" s="9" t="str">
        <f>IFERROR(__xludf.DUMMYFUNCTION("""COMPUTED_VALUE"""),"Ruby")</f>
        <v>Ruby</v>
      </c>
      <c r="K1079" s="9" t="str">
        <f>IFERROR(__xludf.DUMMYFUNCTION("""COMPUTED_VALUE"""),"JavaScript")</f>
        <v>JavaScript</v>
      </c>
      <c r="L1079" s="9" t="str">
        <f>IFERROR(__xludf.DUMMYFUNCTION("""COMPUTED_VALUE"""),"Python")</f>
        <v>Python</v>
      </c>
      <c r="M1079" s="9" t="s">
        <v>27</v>
      </c>
    </row>
    <row r="1080" ht="15.75" customHeight="1">
      <c r="A1080" s="7"/>
      <c r="B1080" s="7" t="str">
        <f>IFERROR(__xludf.DUMMYFUNCTION("""COMPUTED_VALUE"""),"Bash/Shell/PowerShell;C#;HTML/CSS;Java;JavaScript;Python;SQL")</f>
        <v>Bash/Shell/PowerShell;C#;HTML/CSS;Java;JavaScript;Python;SQL</v>
      </c>
      <c r="C1080" s="9" t="str">
        <f>IFERROR(__xludf.DUMMYFUNCTION("""COMPUTED_VALUE"""),"C#")</f>
        <v>C#</v>
      </c>
      <c r="D1080" s="9" t="str">
        <f>IFERROR(__xludf.DUMMYFUNCTION("""COMPUTED_VALUE"""),"HTML/CSS")</f>
        <v>HTML/CSS</v>
      </c>
      <c r="E1080" s="9" t="str">
        <f>IFERROR(__xludf.DUMMYFUNCTION("""COMPUTED_VALUE"""),"SQL")</f>
        <v>SQL</v>
      </c>
      <c r="F1080" s="9" t="str">
        <f>IFERROR(__xludf.DUMMYFUNCTION("""COMPUTED_VALUE"""),"JavaScript")</f>
        <v>JavaScript</v>
      </c>
      <c r="G1080" s="9" t="str">
        <f>IFERROR(__xludf.DUMMYFUNCTION("""COMPUTED_VALUE"""),"TypeScript")</f>
        <v>TypeScript</v>
      </c>
      <c r="H1080" s="9" t="str">
        <f>IFERROR(__xludf.DUMMYFUNCTION("""COMPUTED_VALUE"""),"Python")</f>
        <v>Python</v>
      </c>
      <c r="I1080" s="9" t="str">
        <f>IFERROR(__xludf.DUMMYFUNCTION("""COMPUTED_VALUE"""),"R")</f>
        <v>R</v>
      </c>
      <c r="J1080" s="9" t="str">
        <f>IFERROR(__xludf.DUMMYFUNCTION("""COMPUTED_VALUE"""),"SQL")</f>
        <v>SQL</v>
      </c>
      <c r="K1080" s="9" t="str">
        <f>IFERROR(__xludf.DUMMYFUNCTION("""COMPUTED_VALUE"""),"Python")</f>
        <v>Python</v>
      </c>
      <c r="L1080" s="9" t="str">
        <f>IFERROR(__xludf.DUMMYFUNCTION("""COMPUTED_VALUE"""),"SQL")</f>
        <v>SQL</v>
      </c>
      <c r="M1080" s="9" t="s">
        <v>26</v>
      </c>
    </row>
    <row r="1081" ht="15.75" customHeight="1">
      <c r="A1081" s="7"/>
      <c r="B1081" s="7" t="str">
        <f>IFERROR(__xludf.DUMMYFUNCTION("""COMPUTED_VALUE"""),"Bash/Shell/PowerShell;C#;HTML/CSS;JavaScript;SQL;TypeScript;VBA")</f>
        <v>Bash/Shell/PowerShell;C#;HTML/CSS;JavaScript;SQL;TypeScript;VBA</v>
      </c>
      <c r="C1081" s="9" t="str">
        <f>IFERROR(__xludf.DUMMYFUNCTION("""COMPUTED_VALUE"""),"HTML/CSS")</f>
        <v>HTML/CSS</v>
      </c>
      <c r="D1081" s="9" t="str">
        <f>IFERROR(__xludf.DUMMYFUNCTION("""COMPUTED_VALUE"""),"Python")</f>
        <v>Python</v>
      </c>
      <c r="E1081" s="9" t="str">
        <f>IFERROR(__xludf.DUMMYFUNCTION("""COMPUTED_VALUE"""),"HTML/CSS")</f>
        <v>HTML/CSS</v>
      </c>
      <c r="F1081" s="9" t="str">
        <f>IFERROR(__xludf.DUMMYFUNCTION("""COMPUTED_VALUE"""),"SQL")</f>
        <v>SQL</v>
      </c>
      <c r="G1081" s="9" t="str">
        <f>IFERROR(__xludf.DUMMYFUNCTION("""COMPUTED_VALUE"""),"Bash/Shell/PowerShell")</f>
        <v>Bash/Shell/PowerShell</v>
      </c>
      <c r="H1081" s="9" t="str">
        <f>IFERROR(__xludf.DUMMYFUNCTION("""COMPUTED_VALUE"""),"SQL")</f>
        <v>SQL</v>
      </c>
      <c r="I1081" s="9" t="str">
        <f>IFERROR(__xludf.DUMMYFUNCTION("""COMPUTED_VALUE"""),"SQL")</f>
        <v>SQL</v>
      </c>
      <c r="J1081" s="9" t="str">
        <f>IFERROR(__xludf.DUMMYFUNCTION("""COMPUTED_VALUE"""),"TypeScript")</f>
        <v>TypeScript</v>
      </c>
      <c r="K1081" s="9" t="str">
        <f>IFERROR(__xludf.DUMMYFUNCTION("""COMPUTED_VALUE"""),"HTML/CSS")</f>
        <v>HTML/CSS</v>
      </c>
      <c r="L1081" s="9" t="str">
        <f>IFERROR(__xludf.DUMMYFUNCTION("""COMPUTED_VALUE"""),"Python")</f>
        <v>Python</v>
      </c>
      <c r="M1081" s="9" t="s">
        <v>24</v>
      </c>
    </row>
    <row r="1082" ht="15.75" customHeight="1">
      <c r="A1082" s="7"/>
      <c r="B1082" s="7" t="str">
        <f>IFERROR(__xludf.DUMMYFUNCTION("""COMPUTED_VALUE"""),"HTML/CSS;JavaScript;Python")</f>
        <v>HTML/CSS;JavaScript;Python</v>
      </c>
      <c r="C1082" s="9" t="str">
        <f>IFERROR(__xludf.DUMMYFUNCTION("""COMPUTED_VALUE"""),"Java")</f>
        <v>Java</v>
      </c>
      <c r="D1082" s="9" t="str">
        <f>IFERROR(__xludf.DUMMYFUNCTION("""COMPUTED_VALUE"""),"Bash/Shell/PowerShell")</f>
        <v>Bash/Shell/PowerShell</v>
      </c>
      <c r="E1082" s="9" t="str">
        <f>IFERROR(__xludf.DUMMYFUNCTION("""COMPUTED_VALUE"""),"JavaScript")</f>
        <v>JavaScript</v>
      </c>
      <c r="F1082" s="9" t="str">
        <f>IFERROR(__xludf.DUMMYFUNCTION("""COMPUTED_VALUE"""),"TypeScript")</f>
        <v>TypeScript</v>
      </c>
      <c r="G1082" s="9" t="str">
        <f>IFERROR(__xludf.DUMMYFUNCTION("""COMPUTED_VALUE"""),"C")</f>
        <v>C</v>
      </c>
      <c r="H1082" s="9" t="str">
        <f>IFERROR(__xludf.DUMMYFUNCTION("""COMPUTED_VALUE"""),"Bash/Shell/PowerShell")</f>
        <v>Bash/Shell/PowerShell</v>
      </c>
      <c r="I1082" s="9" t="str">
        <f>IFERROR(__xludf.DUMMYFUNCTION("""COMPUTED_VALUE"""),"VBA")</f>
        <v>VBA</v>
      </c>
      <c r="J1082" s="9" t="str">
        <f>IFERROR(__xludf.DUMMYFUNCTION("""COMPUTED_VALUE"""),"C")</f>
        <v>C</v>
      </c>
      <c r="K1082" s="9" t="str">
        <f>IFERROR(__xludf.DUMMYFUNCTION("""COMPUTED_VALUE"""),"Java")</f>
        <v>Java</v>
      </c>
      <c r="L1082" s="9" t="str">
        <f>IFERROR(__xludf.DUMMYFUNCTION("""COMPUTED_VALUE"""),"Scala")</f>
        <v>Scala</v>
      </c>
      <c r="M1082" s="9" t="s">
        <v>20</v>
      </c>
    </row>
    <row r="1083" ht="15.75" customHeight="1">
      <c r="A1083" s="7"/>
      <c r="B1083" s="7" t="str">
        <f>IFERROR(__xludf.DUMMYFUNCTION("""COMPUTED_VALUE"""),"Bash/Shell/PowerShell;C;C++;Dart;HTML/CSS;Java;JavaScript;Kotlin;Scala")</f>
        <v>Bash/Shell/PowerShell;C;C++;Dart;HTML/CSS;Java;JavaScript;Kotlin;Scala</v>
      </c>
      <c r="C1083" s="9" t="str">
        <f>IFERROR(__xludf.DUMMYFUNCTION("""COMPUTED_VALUE"""),"JavaScript")</f>
        <v>JavaScript</v>
      </c>
      <c r="D1083" s="9" t="str">
        <f>IFERROR(__xludf.DUMMYFUNCTION("""COMPUTED_VALUE"""),"C#")</f>
        <v>C#</v>
      </c>
      <c r="E1083" s="9" t="str">
        <f>IFERROR(__xludf.DUMMYFUNCTION("""COMPUTED_VALUE"""),"PHP")</f>
        <v>PHP</v>
      </c>
      <c r="F1083" s="9" t="str">
        <f>IFERROR(__xludf.DUMMYFUNCTION("""COMPUTED_VALUE"""),"Bash/Shell/PowerShell")</f>
        <v>Bash/Shell/PowerShell</v>
      </c>
      <c r="G1083" s="9" t="str">
        <f>IFERROR(__xludf.DUMMYFUNCTION("""COMPUTED_VALUE"""),"C++")</f>
        <v>C++</v>
      </c>
      <c r="H1083" s="9" t="str">
        <f>IFERROR(__xludf.DUMMYFUNCTION("""COMPUTED_VALUE"""),"C#")</f>
        <v>C#</v>
      </c>
      <c r="I1083" s="9" t="str">
        <f>IFERROR(__xludf.DUMMYFUNCTION("""COMPUTED_VALUE"""),"WebAssembly")</f>
        <v>WebAssembly</v>
      </c>
      <c r="J1083" s="9" t="str">
        <f>IFERROR(__xludf.DUMMYFUNCTION("""COMPUTED_VALUE"""),"C++")</f>
        <v>C++</v>
      </c>
      <c r="K1083" s="9" t="str">
        <f>IFERROR(__xludf.DUMMYFUNCTION("""COMPUTED_VALUE"""),"JavaScript")</f>
        <v>JavaScript</v>
      </c>
      <c r="L1083" s="9" t="str">
        <f>IFERROR(__xludf.DUMMYFUNCTION("""COMPUTED_VALUE"""),"SQL")</f>
        <v>SQL</v>
      </c>
      <c r="M1083" s="9" t="s">
        <v>21</v>
      </c>
    </row>
    <row r="1084" ht="15.75" customHeight="1">
      <c r="A1084" s="7"/>
      <c r="B1084" s="7" t="str">
        <f>IFERROR(__xludf.DUMMYFUNCTION("""COMPUTED_VALUE"""),"Go;JavaScript;Python;SQL;TypeScript")</f>
        <v>Go;JavaScript;Python;SQL;TypeScript</v>
      </c>
      <c r="C1084" s="9" t="str">
        <f>IFERROR(__xludf.DUMMYFUNCTION("""COMPUTED_VALUE"""),"PHP")</f>
        <v>PHP</v>
      </c>
      <c r="D1084" s="9" t="str">
        <f>IFERROR(__xludf.DUMMYFUNCTION("""COMPUTED_VALUE"""),"HTML/CSS")</f>
        <v>HTML/CSS</v>
      </c>
      <c r="E1084" s="9" t="str">
        <f>IFERROR(__xludf.DUMMYFUNCTION("""COMPUTED_VALUE"""),"SQL")</f>
        <v>SQL</v>
      </c>
      <c r="F1084" s="9" t="str">
        <f>IFERROR(__xludf.DUMMYFUNCTION("""COMPUTED_VALUE"""),"HTML/CSS")</f>
        <v>HTML/CSS</v>
      </c>
      <c r="G1084" s="9" t="str">
        <f>IFERROR(__xludf.DUMMYFUNCTION("""COMPUTED_VALUE"""),"C#")</f>
        <v>C#</v>
      </c>
      <c r="H1084" s="9" t="str">
        <f>IFERROR(__xludf.DUMMYFUNCTION("""COMPUTED_VALUE"""),"R")</f>
        <v>R</v>
      </c>
      <c r="I1084" s="9" t="str">
        <f>IFERROR(__xludf.DUMMYFUNCTION("""COMPUTED_VALUE"""),"Other(s):")</f>
        <v>Other(s):</v>
      </c>
      <c r="J1084" s="9" t="str">
        <f>IFERROR(__xludf.DUMMYFUNCTION("""COMPUTED_VALUE"""),"C#")</f>
        <v>C#</v>
      </c>
      <c r="K1084" s="9" t="str">
        <f>IFERROR(__xludf.DUMMYFUNCTION("""COMPUTED_VALUE"""),"C#")</f>
        <v>C#</v>
      </c>
      <c r="L1084" s="9" t="str">
        <f>IFERROR(__xludf.DUMMYFUNCTION("""COMPUTED_VALUE"""),"Bash/Shell/PowerShell")</f>
        <v>Bash/Shell/PowerShell</v>
      </c>
      <c r="M1084" s="9" t="s">
        <v>37</v>
      </c>
    </row>
    <row r="1085" ht="15.75" customHeight="1">
      <c r="A1085" s="7"/>
      <c r="B1085" s="7" t="str">
        <f>IFERROR(__xludf.DUMMYFUNCTION("""COMPUTED_VALUE"""),"JavaScript;Python")</f>
        <v>JavaScript;Python</v>
      </c>
      <c r="C1085" s="9" t="str">
        <f>IFERROR(__xludf.DUMMYFUNCTION("""COMPUTED_VALUE"""),"Go")</f>
        <v>Go</v>
      </c>
      <c r="D1085" s="9" t="str">
        <f>IFERROR(__xludf.DUMMYFUNCTION("""COMPUTED_VALUE"""),"JavaScript")</f>
        <v>JavaScript</v>
      </c>
      <c r="E1085" s="9" t="str">
        <f>IFERROR(__xludf.DUMMYFUNCTION("""COMPUTED_VALUE"""),"Bash/Shell/PowerShell")</f>
        <v>Bash/Shell/PowerShell</v>
      </c>
      <c r="F1085" s="9" t="str">
        <f>IFERROR(__xludf.DUMMYFUNCTION("""COMPUTED_VALUE"""),"Java")</f>
        <v>Java</v>
      </c>
      <c r="G1085" s="9" t="str">
        <f>IFERROR(__xludf.DUMMYFUNCTION("""COMPUTED_VALUE"""),"HTML/CSS")</f>
        <v>HTML/CSS</v>
      </c>
      <c r="H1085" s="9" t="str">
        <f>IFERROR(__xludf.DUMMYFUNCTION("""COMPUTED_VALUE"""),"SQL")</f>
        <v>SQL</v>
      </c>
      <c r="I1085" s="9" t="str">
        <f>IFERROR(__xludf.DUMMYFUNCTION("""COMPUTED_VALUE"""),"Bash/Shell/PowerShell")</f>
        <v>Bash/Shell/PowerShell</v>
      </c>
      <c r="J1085" s="9" t="str">
        <f>IFERROR(__xludf.DUMMYFUNCTION("""COMPUTED_VALUE"""),"HTML/CSS")</f>
        <v>HTML/CSS</v>
      </c>
      <c r="K1085" s="9" t="str">
        <f>IFERROR(__xludf.DUMMYFUNCTION("""COMPUTED_VALUE"""),"HTML/CSS")</f>
        <v>HTML/CSS</v>
      </c>
      <c r="L1085" s="9" t="str">
        <f>IFERROR(__xludf.DUMMYFUNCTION("""COMPUTED_VALUE"""),"HTML/CSS")</f>
        <v>HTML/CSS</v>
      </c>
      <c r="M1085" s="9" t="s">
        <v>36</v>
      </c>
    </row>
    <row r="1086" ht="15.75" customHeight="1">
      <c r="A1086" s="7"/>
      <c r="B1086" s="7" t="str">
        <f>IFERROR(__xludf.DUMMYFUNCTION("""COMPUTED_VALUE"""),"Bash/Shell/PowerShell;C#;HTML/CSS;JavaScript;Python;SQL;TypeScript")</f>
        <v>Bash/Shell/PowerShell;C#;HTML/CSS;JavaScript;Python;SQL;TypeScript</v>
      </c>
      <c r="C1086" s="9" t="str">
        <f>IFERROR(__xludf.DUMMYFUNCTION("""COMPUTED_VALUE"""),"Python")</f>
        <v>Python</v>
      </c>
      <c r="D1086" s="9" t="str">
        <f>IFERROR(__xludf.DUMMYFUNCTION("""COMPUTED_VALUE"""),"SQL")</f>
        <v>SQL</v>
      </c>
      <c r="E1086" s="9" t="str">
        <f>IFERROR(__xludf.DUMMYFUNCTION("""COMPUTED_VALUE"""),"C")</f>
        <v>C</v>
      </c>
      <c r="F1086" s="9" t="str">
        <f>IFERROR(__xludf.DUMMYFUNCTION("""COMPUTED_VALUE"""),"Python")</f>
        <v>Python</v>
      </c>
      <c r="G1086" s="9" t="str">
        <f>IFERROR(__xludf.DUMMYFUNCTION("""COMPUTED_VALUE"""),"JavaScript")</f>
        <v>JavaScript</v>
      </c>
      <c r="H1086" s="9" t="str">
        <f>IFERROR(__xludf.DUMMYFUNCTION("""COMPUTED_VALUE"""),"C#")</f>
        <v>C#</v>
      </c>
      <c r="I1086" s="9" t="str">
        <f>IFERROR(__xludf.DUMMYFUNCTION("""COMPUTED_VALUE"""),"Python")</f>
        <v>Python</v>
      </c>
      <c r="J1086" s="9" t="str">
        <f>IFERROR(__xludf.DUMMYFUNCTION("""COMPUTED_VALUE"""),"Python")</f>
        <v>Python</v>
      </c>
      <c r="K1086" s="9" t="str">
        <f>IFERROR(__xludf.DUMMYFUNCTION("""COMPUTED_VALUE"""),"JavaScript")</f>
        <v>JavaScript</v>
      </c>
      <c r="L1086" s="9" t="str">
        <f>IFERROR(__xludf.DUMMYFUNCTION("""COMPUTED_VALUE"""),"SQL")</f>
        <v>SQL</v>
      </c>
      <c r="M1086" s="9" t="s">
        <v>22</v>
      </c>
    </row>
    <row r="1087" ht="15.75" customHeight="1">
      <c r="A1087" s="7"/>
      <c r="B1087" s="7" t="str">
        <f>IFERROR(__xludf.DUMMYFUNCTION("""COMPUTED_VALUE"""),"HTML/CSS;JavaScript;TypeScript")</f>
        <v>HTML/CSS;JavaScript;TypeScript</v>
      </c>
      <c r="C1087" s="9" t="str">
        <f>IFERROR(__xludf.DUMMYFUNCTION("""COMPUTED_VALUE"""),"R")</f>
        <v>R</v>
      </c>
      <c r="D1087" s="9" t="str">
        <f>IFERROR(__xludf.DUMMYFUNCTION("""COMPUTED_VALUE"""),"Bash/Shell/PowerShell")</f>
        <v>Bash/Shell/PowerShell</v>
      </c>
      <c r="E1087" s="9" t="str">
        <f>IFERROR(__xludf.DUMMYFUNCTION("""COMPUTED_VALUE"""),"Java")</f>
        <v>Java</v>
      </c>
      <c r="F1087" s="9" t="str">
        <f>IFERROR(__xludf.DUMMYFUNCTION("""COMPUTED_VALUE"""),"SQL")</f>
        <v>SQL</v>
      </c>
      <c r="G1087" s="9" t="str">
        <f>IFERROR(__xludf.DUMMYFUNCTION("""COMPUTED_VALUE"""),"PHP")</f>
        <v>PHP</v>
      </c>
      <c r="H1087" s="9" t="str">
        <f>IFERROR(__xludf.DUMMYFUNCTION("""COMPUTED_VALUE"""),"C++")</f>
        <v>C++</v>
      </c>
      <c r="I1087" s="9" t="str">
        <f>IFERROR(__xludf.DUMMYFUNCTION("""COMPUTED_VALUE"""),"Dart")</f>
        <v>Dart</v>
      </c>
      <c r="J1087" s="9" t="str">
        <f>IFERROR(__xludf.DUMMYFUNCTION("""COMPUTED_VALUE"""),"SQL")</f>
        <v>SQL</v>
      </c>
      <c r="K1087" s="9" t="str">
        <f>IFERROR(__xludf.DUMMYFUNCTION("""COMPUTED_VALUE"""),"Swift")</f>
        <v>Swift</v>
      </c>
      <c r="L1087" s="9" t="str">
        <f>IFERROR(__xludf.DUMMYFUNCTION("""COMPUTED_VALUE"""),"VBA")</f>
        <v>VBA</v>
      </c>
      <c r="M1087" s="9" t="s">
        <v>29</v>
      </c>
    </row>
    <row r="1088" ht="15.75" customHeight="1">
      <c r="A1088" s="7"/>
      <c r="B1088" s="7" t="str">
        <f>IFERROR(__xludf.DUMMYFUNCTION("""COMPUTED_VALUE"""),"HTML/CSS;JavaScript")</f>
        <v>HTML/CSS;JavaScript</v>
      </c>
      <c r="C1088" s="9" t="str">
        <f>IFERROR(__xludf.DUMMYFUNCTION("""COMPUTED_VALUE"""),"Other(s):")</f>
        <v>Other(s):</v>
      </c>
      <c r="D1088" s="9" t="str">
        <f>IFERROR(__xludf.DUMMYFUNCTION("""COMPUTED_VALUE"""),"HTML/CSS")</f>
        <v>HTML/CSS</v>
      </c>
      <c r="E1088" s="9" t="str">
        <f>IFERROR(__xludf.DUMMYFUNCTION("""COMPUTED_VALUE"""),"JavaScript")</f>
        <v>JavaScript</v>
      </c>
      <c r="F1088" s="9" t="str">
        <f>IFERROR(__xludf.DUMMYFUNCTION("""COMPUTED_VALUE"""),"Bash/Shell/PowerShell")</f>
        <v>Bash/Shell/PowerShell</v>
      </c>
      <c r="G1088" s="9" t="str">
        <f>IFERROR(__xludf.DUMMYFUNCTION("""COMPUTED_VALUE"""),"SQL")</f>
        <v>SQL</v>
      </c>
      <c r="H1088" s="9" t="str">
        <f>IFERROR(__xludf.DUMMYFUNCTION("""COMPUTED_VALUE"""),"C#")</f>
        <v>C#</v>
      </c>
      <c r="I1088" s="9" t="str">
        <f>IFERROR(__xludf.DUMMYFUNCTION("""COMPUTED_VALUE"""),"Java")</f>
        <v>Java</v>
      </c>
      <c r="J1088" s="9" t="str">
        <f>IFERROR(__xludf.DUMMYFUNCTION("""COMPUTED_VALUE"""),"C++")</f>
        <v>C++</v>
      </c>
      <c r="K1088" s="9" t="str">
        <f>IFERROR(__xludf.DUMMYFUNCTION("""COMPUTED_VALUE"""),"HTML/CSS")</f>
        <v>HTML/CSS</v>
      </c>
      <c r="L1088" s="9" t="str">
        <f>IFERROR(__xludf.DUMMYFUNCTION("""COMPUTED_VALUE"""),"C")</f>
        <v>C</v>
      </c>
      <c r="M1088" s="9" t="s">
        <v>35</v>
      </c>
    </row>
    <row r="1089" ht="15.75" customHeight="1">
      <c r="A1089" s="7"/>
      <c r="B1089" s="7" t="str">
        <f>IFERROR(__xludf.DUMMYFUNCTION("""COMPUTED_VALUE"""),"HTML/CSS;JavaScript;PHP;VBA")</f>
        <v>HTML/CSS;JavaScript;PHP;VBA</v>
      </c>
      <c r="C1089" s="9" t="str">
        <f>IFERROR(__xludf.DUMMYFUNCTION("""COMPUTED_VALUE"""),"Python")</f>
        <v>Python</v>
      </c>
      <c r="D1089" s="9" t="str">
        <f>IFERROR(__xludf.DUMMYFUNCTION("""COMPUTED_VALUE"""),"Java")</f>
        <v>Java</v>
      </c>
      <c r="E1089" s="9" t="str">
        <f>IFERROR(__xludf.DUMMYFUNCTION("""COMPUTED_VALUE"""),"PHP")</f>
        <v>PHP</v>
      </c>
      <c r="F1089" s="9" t="str">
        <f>IFERROR(__xludf.DUMMYFUNCTION("""COMPUTED_VALUE"""),"C")</f>
        <v>C</v>
      </c>
      <c r="G1089" s="9" t="str">
        <f>IFERROR(__xludf.DUMMYFUNCTION("""COMPUTED_VALUE"""),"HTML/CSS")</f>
        <v>HTML/CSS</v>
      </c>
      <c r="H1089" s="9" t="str">
        <f>IFERROR(__xludf.DUMMYFUNCTION("""COMPUTED_VALUE"""),"HTML/CSS")</f>
        <v>HTML/CSS</v>
      </c>
      <c r="I1089" s="9" t="str">
        <f>IFERROR(__xludf.DUMMYFUNCTION("""COMPUTED_VALUE"""),"JavaScript")</f>
        <v>JavaScript</v>
      </c>
      <c r="J1089" s="9" t="str">
        <f>IFERROR(__xludf.DUMMYFUNCTION("""COMPUTED_VALUE"""),"Clojure")</f>
        <v>Clojure</v>
      </c>
      <c r="K1089" s="9" t="str">
        <f>IFERROR(__xludf.DUMMYFUNCTION("""COMPUTED_VALUE"""),"JavaScript")</f>
        <v>JavaScript</v>
      </c>
      <c r="L1089" s="9" t="str">
        <f>IFERROR(__xludf.DUMMYFUNCTION("""COMPUTED_VALUE"""),"C#")</f>
        <v>C#</v>
      </c>
      <c r="M1089" s="9" t="s">
        <v>22</v>
      </c>
    </row>
    <row r="1090" ht="15.75" customHeight="1">
      <c r="A1090" s="7"/>
      <c r="B1090" s="7" t="str">
        <f>IFERROR(__xludf.DUMMYFUNCTION("""COMPUTED_VALUE"""),"C++;C#;JavaScript;Other(s):")</f>
        <v>C++;C#;JavaScript;Other(s):</v>
      </c>
      <c r="C1090" s="9" t="str">
        <f>IFERROR(__xludf.DUMMYFUNCTION("""COMPUTED_VALUE"""),"Rust")</f>
        <v>Rust</v>
      </c>
      <c r="D1090" s="9" t="str">
        <f>IFERROR(__xludf.DUMMYFUNCTION("""COMPUTED_VALUE"""),"JavaScript")</f>
        <v>JavaScript</v>
      </c>
      <c r="E1090" s="9" t="str">
        <f>IFERROR(__xludf.DUMMYFUNCTION("""COMPUTED_VALUE"""),"Python")</f>
        <v>Python</v>
      </c>
      <c r="F1090" s="9" t="str">
        <f>IFERROR(__xludf.DUMMYFUNCTION("""COMPUTED_VALUE"""),"HTML/CSS")</f>
        <v>HTML/CSS</v>
      </c>
      <c r="G1090" s="9" t="str">
        <f>IFERROR(__xludf.DUMMYFUNCTION("""COMPUTED_VALUE"""),"Java")</f>
        <v>Java</v>
      </c>
      <c r="H1090" s="9" t="str">
        <f>IFERROR(__xludf.DUMMYFUNCTION("""COMPUTED_VALUE"""),"JavaScript")</f>
        <v>JavaScript</v>
      </c>
      <c r="I1090" s="9" t="str">
        <f>IFERROR(__xludf.DUMMYFUNCTION("""COMPUTED_VALUE"""),"Python")</f>
        <v>Python</v>
      </c>
      <c r="J1090" s="9" t="str">
        <f>IFERROR(__xludf.DUMMYFUNCTION("""COMPUTED_VALUE"""),"Java")</f>
        <v>Java</v>
      </c>
      <c r="K1090" s="9" t="str">
        <f>IFERROR(__xludf.DUMMYFUNCTION("""COMPUTED_VALUE"""),"Python")</f>
        <v>Python</v>
      </c>
      <c r="L1090" s="9" t="str">
        <f>IFERROR(__xludf.DUMMYFUNCTION("""COMPUTED_VALUE"""),"HTML/CSS")</f>
        <v>HTML/CSS</v>
      </c>
      <c r="M1090" s="9" t="s">
        <v>32</v>
      </c>
    </row>
    <row r="1091" ht="15.75" customHeight="1">
      <c r="A1091" s="7"/>
      <c r="B1091" s="7" t="str">
        <f>IFERROR(__xludf.DUMMYFUNCTION("""COMPUTED_VALUE"""),"C;C++;HTML/CSS;Java;JavaScript;PHP;SQL")</f>
        <v>C;C++;HTML/CSS;Java;JavaScript;PHP;SQL</v>
      </c>
      <c r="C1091" s="9" t="str">
        <f>IFERROR(__xludf.DUMMYFUNCTION("""COMPUTED_VALUE"""),"Go")</f>
        <v>Go</v>
      </c>
      <c r="D1091" s="9" t="str">
        <f>IFERROR(__xludf.DUMMYFUNCTION("""COMPUTED_VALUE"""),"PHP")</f>
        <v>PHP</v>
      </c>
      <c r="E1091" s="9" t="str">
        <f>IFERROR(__xludf.DUMMYFUNCTION("""COMPUTED_VALUE"""),"Ruby")</f>
        <v>Ruby</v>
      </c>
      <c r="F1091" s="9" t="str">
        <f>IFERROR(__xludf.DUMMYFUNCTION("""COMPUTED_VALUE"""),"JavaScript")</f>
        <v>JavaScript</v>
      </c>
      <c r="G1091" s="9" t="str">
        <f>IFERROR(__xludf.DUMMYFUNCTION("""COMPUTED_VALUE"""),"JavaScript")</f>
        <v>JavaScript</v>
      </c>
      <c r="H1091" s="9" t="str">
        <f>IFERROR(__xludf.DUMMYFUNCTION("""COMPUTED_VALUE"""),"Bash/Shell/PowerShell")</f>
        <v>Bash/Shell/PowerShell</v>
      </c>
      <c r="I1091" s="9" t="str">
        <f>IFERROR(__xludf.DUMMYFUNCTION("""COMPUTED_VALUE"""),"Bash/Shell/PowerShell")</f>
        <v>Bash/Shell/PowerShell</v>
      </c>
      <c r="J1091" s="9" t="str">
        <f>IFERROR(__xludf.DUMMYFUNCTION("""COMPUTED_VALUE"""),"Kotlin")</f>
        <v>Kotlin</v>
      </c>
      <c r="K1091" s="9" t="str">
        <f>IFERROR(__xludf.DUMMYFUNCTION("""COMPUTED_VALUE"""),"SQL")</f>
        <v>SQL</v>
      </c>
      <c r="L1091" s="9" t="str">
        <f>IFERROR(__xludf.DUMMYFUNCTION("""COMPUTED_VALUE"""),"Java")</f>
        <v>Java</v>
      </c>
      <c r="M1091" s="9" t="s">
        <v>36</v>
      </c>
    </row>
    <row r="1092" ht="15.75" customHeight="1">
      <c r="A1092" s="7"/>
      <c r="B1092" s="7" t="str">
        <f>IFERROR(__xludf.DUMMYFUNCTION("""COMPUTED_VALUE"""),"C;HTML/CSS;JavaScript;PHP;Python;SQL")</f>
        <v>C;HTML/CSS;JavaScript;PHP;Python;SQL</v>
      </c>
      <c r="C1092" s="9" t="str">
        <f>IFERROR(__xludf.DUMMYFUNCTION("""COMPUTED_VALUE"""),"Java")</f>
        <v>Java</v>
      </c>
      <c r="D1092" s="9" t="str">
        <f>IFERROR(__xludf.DUMMYFUNCTION("""COMPUTED_VALUE"""),"SQL")</f>
        <v>SQL</v>
      </c>
      <c r="E1092" s="9" t="str">
        <f>IFERROR(__xludf.DUMMYFUNCTION("""COMPUTED_VALUE"""),"JavaScript")</f>
        <v>JavaScript</v>
      </c>
      <c r="F1092" s="9" t="str">
        <f>IFERROR(__xludf.DUMMYFUNCTION("""COMPUTED_VALUE"""),"Python")</f>
        <v>Python</v>
      </c>
      <c r="G1092" s="9" t="str">
        <f>IFERROR(__xludf.DUMMYFUNCTION("""COMPUTED_VALUE"""),"Python")</f>
        <v>Python</v>
      </c>
      <c r="H1092" s="9" t="str">
        <f>IFERROR(__xludf.DUMMYFUNCTION("""COMPUTED_VALUE"""),"C")</f>
        <v>C</v>
      </c>
      <c r="I1092" s="9" t="str">
        <f>IFERROR(__xludf.DUMMYFUNCTION("""COMPUTED_VALUE"""),"HTML/CSS")</f>
        <v>HTML/CSS</v>
      </c>
      <c r="J1092" s="9" t="str">
        <f>IFERROR(__xludf.DUMMYFUNCTION("""COMPUTED_VALUE"""),"PHP")</f>
        <v>PHP</v>
      </c>
      <c r="K1092" s="9" t="str">
        <f>IFERROR(__xludf.DUMMYFUNCTION("""COMPUTED_VALUE"""),"TypeScript")</f>
        <v>TypeScript</v>
      </c>
      <c r="L1092" s="9" t="str">
        <f>IFERROR(__xludf.DUMMYFUNCTION("""COMPUTED_VALUE"""),"JavaScript")</f>
        <v>JavaScript</v>
      </c>
      <c r="M1092" s="9" t="s">
        <v>20</v>
      </c>
    </row>
    <row r="1093" ht="15.75" customHeight="1">
      <c r="A1093" s="7"/>
      <c r="B1093" s="7" t="str">
        <f>IFERROR(__xludf.DUMMYFUNCTION("""COMPUTED_VALUE"""),"Assembly;C#;HTML/CSS;JavaScript;Python;SQL;VBA")</f>
        <v>Assembly;C#;HTML/CSS;JavaScript;Python;SQL;VBA</v>
      </c>
      <c r="C1093" s="9" t="str">
        <f>IFERROR(__xludf.DUMMYFUNCTION("""COMPUTED_VALUE"""),"Python")</f>
        <v>Python</v>
      </c>
      <c r="D1093" s="9" t="str">
        <f>IFERROR(__xludf.DUMMYFUNCTION("""COMPUTED_VALUE"""),"TypeScript")</f>
        <v>TypeScript</v>
      </c>
      <c r="E1093" s="9" t="str">
        <f>IFERROR(__xludf.DUMMYFUNCTION("""COMPUTED_VALUE"""),"Python")</f>
        <v>Python</v>
      </c>
      <c r="F1093" s="9" t="str">
        <f>IFERROR(__xludf.DUMMYFUNCTION("""COMPUTED_VALUE"""),"Assembly")</f>
        <v>Assembly</v>
      </c>
      <c r="G1093" s="9" t="str">
        <f>IFERROR(__xludf.DUMMYFUNCTION("""COMPUTED_VALUE"""),"Swift")</f>
        <v>Swift</v>
      </c>
      <c r="H1093" s="9" t="str">
        <f>IFERROR(__xludf.DUMMYFUNCTION("""COMPUTED_VALUE"""),"C++")</f>
        <v>C++</v>
      </c>
      <c r="I1093" s="9" t="str">
        <f>IFERROR(__xludf.DUMMYFUNCTION("""COMPUTED_VALUE"""),"Java")</f>
        <v>Java</v>
      </c>
      <c r="J1093" s="9" t="str">
        <f>IFERROR(__xludf.DUMMYFUNCTION("""COMPUTED_VALUE"""),"Python")</f>
        <v>Python</v>
      </c>
      <c r="K1093" s="9" t="str">
        <f>IFERROR(__xludf.DUMMYFUNCTION("""COMPUTED_VALUE"""),"Bash/Shell/PowerShell")</f>
        <v>Bash/Shell/PowerShell</v>
      </c>
      <c r="L1093" s="9" t="str">
        <f>IFERROR(__xludf.DUMMYFUNCTION("""COMPUTED_VALUE"""),"PHP")</f>
        <v>PHP</v>
      </c>
      <c r="M1093" s="9" t="s">
        <v>22</v>
      </c>
    </row>
    <row r="1094" ht="15.75" customHeight="1">
      <c r="A1094" s="7"/>
      <c r="B1094" s="7" t="str">
        <f>IFERROR(__xludf.DUMMYFUNCTION("""COMPUTED_VALUE"""),"HTML/CSS;Java;JavaScript;R;Ruby;SQL;TypeScript")</f>
        <v>HTML/CSS;Java;JavaScript;R;Ruby;SQL;TypeScript</v>
      </c>
      <c r="C1094" s="9" t="str">
        <f>IFERROR(__xludf.DUMMYFUNCTION("""COMPUTED_VALUE"""),"Go")</f>
        <v>Go</v>
      </c>
      <c r="D1094" s="9" t="str">
        <f>IFERROR(__xludf.DUMMYFUNCTION("""COMPUTED_VALUE"""),"C++")</f>
        <v>C++</v>
      </c>
      <c r="E1094" s="9" t="str">
        <f>IFERROR(__xludf.DUMMYFUNCTION("""COMPUTED_VALUE"""),"Java")</f>
        <v>Java</v>
      </c>
      <c r="F1094" s="9" t="str">
        <f>IFERROR(__xludf.DUMMYFUNCTION("""COMPUTED_VALUE"""),"C++")</f>
        <v>C++</v>
      </c>
      <c r="G1094" s="9" t="str">
        <f>IFERROR(__xludf.DUMMYFUNCTION("""COMPUTED_VALUE"""),"Swift")</f>
        <v>Swift</v>
      </c>
      <c r="H1094" s="9" t="str">
        <f>IFERROR(__xludf.DUMMYFUNCTION("""COMPUTED_VALUE"""),"C#")</f>
        <v>C#</v>
      </c>
      <c r="I1094" s="9" t="str">
        <f>IFERROR(__xludf.DUMMYFUNCTION("""COMPUTED_VALUE"""),"JavaScript")</f>
        <v>JavaScript</v>
      </c>
      <c r="J1094" s="9" t="str">
        <f>IFERROR(__xludf.DUMMYFUNCTION("""COMPUTED_VALUE"""),"Ruby")</f>
        <v>Ruby</v>
      </c>
      <c r="K1094" s="9" t="str">
        <f>IFERROR(__xludf.DUMMYFUNCTION("""COMPUTED_VALUE"""),"HTML/CSS")</f>
        <v>HTML/CSS</v>
      </c>
      <c r="L1094" s="9" t="str">
        <f>IFERROR(__xludf.DUMMYFUNCTION("""COMPUTED_VALUE"""),"Python")</f>
        <v>Python</v>
      </c>
      <c r="M1094" s="9" t="s">
        <v>36</v>
      </c>
    </row>
    <row r="1095" ht="15.75" customHeight="1">
      <c r="A1095" s="7"/>
      <c r="B1095" s="7" t="str">
        <f>IFERROR(__xludf.DUMMYFUNCTION("""COMPUTED_VALUE"""),"C++;C#;Java;SQL")</f>
        <v>C++;C#;Java;SQL</v>
      </c>
      <c r="C1095" s="9" t="str">
        <f>IFERROR(__xludf.DUMMYFUNCTION("""COMPUTED_VALUE"""),"HTML/CSS")</f>
        <v>HTML/CSS</v>
      </c>
      <c r="D1095" s="9" t="str">
        <f>IFERROR(__xludf.DUMMYFUNCTION("""COMPUTED_VALUE"""),"HTML/CSS")</f>
        <v>HTML/CSS</v>
      </c>
      <c r="E1095" s="9" t="str">
        <f>IFERROR(__xludf.DUMMYFUNCTION("""COMPUTED_VALUE"""),"JavaScript")</f>
        <v>JavaScript</v>
      </c>
      <c r="F1095" s="9" t="str">
        <f>IFERROR(__xludf.DUMMYFUNCTION("""COMPUTED_VALUE"""),"HTML/CSS")</f>
        <v>HTML/CSS</v>
      </c>
      <c r="G1095" s="9" t="str">
        <f>IFERROR(__xludf.DUMMYFUNCTION("""COMPUTED_VALUE"""),"HTML/CSS")</f>
        <v>HTML/CSS</v>
      </c>
      <c r="H1095" s="9" t="str">
        <f>IFERROR(__xludf.DUMMYFUNCTION("""COMPUTED_VALUE"""),"HTML/CSS")</f>
        <v>HTML/CSS</v>
      </c>
      <c r="I1095" s="9" t="str">
        <f>IFERROR(__xludf.DUMMYFUNCTION("""COMPUTED_VALUE"""),"HTML/CSS")</f>
        <v>HTML/CSS</v>
      </c>
      <c r="J1095" s="9" t="str">
        <f>IFERROR(__xludf.DUMMYFUNCTION("""COMPUTED_VALUE"""),"C")</f>
        <v>C</v>
      </c>
      <c r="K1095" s="9" t="str">
        <f>IFERROR(__xludf.DUMMYFUNCTION("""COMPUTED_VALUE"""),"JavaScript")</f>
        <v>JavaScript</v>
      </c>
      <c r="L1095" s="9" t="str">
        <f>IFERROR(__xludf.DUMMYFUNCTION("""COMPUTED_VALUE"""),"SQL")</f>
        <v>SQL</v>
      </c>
      <c r="M1095" s="9" t="s">
        <v>24</v>
      </c>
    </row>
    <row r="1096" ht="15.75" customHeight="1">
      <c r="A1096" s="7"/>
      <c r="B1096" s="7" t="str">
        <f>IFERROR(__xludf.DUMMYFUNCTION("""COMPUTED_VALUE"""),"HTML/CSS;JavaScript;PHP;SQL")</f>
        <v>HTML/CSS;JavaScript;PHP;SQL</v>
      </c>
      <c r="C1096" s="9" t="str">
        <f>IFERROR(__xludf.DUMMYFUNCTION("""COMPUTED_VALUE"""),"JavaScript")</f>
        <v>JavaScript</v>
      </c>
      <c r="D1096" s="9" t="str">
        <f>IFERROR(__xludf.DUMMYFUNCTION("""COMPUTED_VALUE"""),"PHP")</f>
        <v>PHP</v>
      </c>
      <c r="E1096" s="9" t="str">
        <f>IFERROR(__xludf.DUMMYFUNCTION("""COMPUTED_VALUE"""),"C")</f>
        <v>C</v>
      </c>
      <c r="F1096" s="9" t="str">
        <f>IFERROR(__xludf.DUMMYFUNCTION("""COMPUTED_VALUE"""),"Java")</f>
        <v>Java</v>
      </c>
      <c r="G1096" s="9" t="str">
        <f>IFERROR(__xludf.DUMMYFUNCTION("""COMPUTED_VALUE"""),"Java")</f>
        <v>Java</v>
      </c>
      <c r="H1096" s="9" t="str">
        <f>IFERROR(__xludf.DUMMYFUNCTION("""COMPUTED_VALUE"""),"Java")</f>
        <v>Java</v>
      </c>
      <c r="I1096" s="9" t="str">
        <f>IFERROR(__xludf.DUMMYFUNCTION("""COMPUTED_VALUE"""),"Java")</f>
        <v>Java</v>
      </c>
      <c r="J1096" s="9" t="str">
        <f>IFERROR(__xludf.DUMMYFUNCTION("""COMPUTED_VALUE"""),"C++")</f>
        <v>C++</v>
      </c>
      <c r="K1096" s="9" t="str">
        <f>IFERROR(__xludf.DUMMYFUNCTION("""COMPUTED_VALUE"""),"PHP")</f>
        <v>PHP</v>
      </c>
      <c r="L1096" s="9" t="str">
        <f>IFERROR(__xludf.DUMMYFUNCTION("""COMPUTED_VALUE"""),"TypeScript")</f>
        <v>TypeScript</v>
      </c>
      <c r="M1096" s="9" t="s">
        <v>21</v>
      </c>
    </row>
    <row r="1097" ht="15.75" customHeight="1">
      <c r="A1097" s="7"/>
      <c r="B1097" s="7" t="str">
        <f>IFERROR(__xludf.DUMMYFUNCTION("""COMPUTED_VALUE"""),"HTML/CSS;JavaScript;PHP;SQL")</f>
        <v>HTML/CSS;JavaScript;PHP;SQL</v>
      </c>
      <c r="C1097" s="9" t="str">
        <f>IFERROR(__xludf.DUMMYFUNCTION("""COMPUTED_VALUE"""),"PHP")</f>
        <v>PHP</v>
      </c>
      <c r="D1097" s="9" t="str">
        <f>IFERROR(__xludf.DUMMYFUNCTION("""COMPUTED_VALUE"""),"SQL")</f>
        <v>SQL</v>
      </c>
      <c r="E1097" s="9" t="str">
        <f>IFERROR(__xludf.DUMMYFUNCTION("""COMPUTED_VALUE"""),"C++")</f>
        <v>C++</v>
      </c>
      <c r="F1097" s="9" t="str">
        <f>IFERROR(__xludf.DUMMYFUNCTION("""COMPUTED_VALUE"""),"JavaScript")</f>
        <v>JavaScript</v>
      </c>
      <c r="G1097" s="9" t="str">
        <f>IFERROR(__xludf.DUMMYFUNCTION("""COMPUTED_VALUE"""),"JavaScript")</f>
        <v>JavaScript</v>
      </c>
      <c r="H1097" s="9" t="str">
        <f>IFERROR(__xludf.DUMMYFUNCTION("""COMPUTED_VALUE"""),"JavaScript")</f>
        <v>JavaScript</v>
      </c>
      <c r="I1097" s="9" t="str">
        <f>IFERROR(__xludf.DUMMYFUNCTION("""COMPUTED_VALUE"""),"JavaScript")</f>
        <v>JavaScript</v>
      </c>
      <c r="J1097" s="9" t="str">
        <f>IFERROR(__xludf.DUMMYFUNCTION("""COMPUTED_VALUE"""),"HTML/CSS")</f>
        <v>HTML/CSS</v>
      </c>
      <c r="K1097" s="9" t="str">
        <f>IFERROR(__xludf.DUMMYFUNCTION("""COMPUTED_VALUE"""),"Python")</f>
        <v>Python</v>
      </c>
      <c r="L1097" s="9" t="str">
        <f>IFERROR(__xludf.DUMMYFUNCTION("""COMPUTED_VALUE"""),"C#")</f>
        <v>C#</v>
      </c>
      <c r="M1097" s="9" t="s">
        <v>37</v>
      </c>
    </row>
    <row r="1098" ht="15.75" customHeight="1">
      <c r="A1098" s="7"/>
      <c r="B1098" s="7" t="str">
        <f>IFERROR(__xludf.DUMMYFUNCTION("""COMPUTED_VALUE"""),"C#;JavaScript;Python")</f>
        <v>C#;JavaScript;Python</v>
      </c>
      <c r="C1098" s="9" t="str">
        <f>IFERROR(__xludf.DUMMYFUNCTION("""COMPUTED_VALUE"""),"TypeScript")</f>
        <v>TypeScript</v>
      </c>
      <c r="D1098" s="9" t="str">
        <f>IFERROR(__xludf.DUMMYFUNCTION("""COMPUTED_VALUE"""),"C#")</f>
        <v>C#</v>
      </c>
      <c r="E1098" s="9" t="str">
        <f>IFERROR(__xludf.DUMMYFUNCTION("""COMPUTED_VALUE"""),"HTML/CSS")</f>
        <v>HTML/CSS</v>
      </c>
      <c r="F1098" s="9" t="str">
        <f>IFERROR(__xludf.DUMMYFUNCTION("""COMPUTED_VALUE"""),"Python")</f>
        <v>Python</v>
      </c>
      <c r="G1098" s="9" t="str">
        <f>IFERROR(__xludf.DUMMYFUNCTION("""COMPUTED_VALUE"""),"SQL")</f>
        <v>SQL</v>
      </c>
      <c r="H1098" s="9" t="str">
        <f>IFERROR(__xludf.DUMMYFUNCTION("""COMPUTED_VALUE"""),"PHP")</f>
        <v>PHP</v>
      </c>
      <c r="I1098" s="9" t="str">
        <f>IFERROR(__xludf.DUMMYFUNCTION("""COMPUTED_VALUE"""),"Dart")</f>
        <v>Dart</v>
      </c>
      <c r="J1098" s="9" t="str">
        <f>IFERROR(__xludf.DUMMYFUNCTION("""COMPUTED_VALUE"""),"Java")</f>
        <v>Java</v>
      </c>
      <c r="K1098" s="9" t="str">
        <f>IFERROR(__xludf.DUMMYFUNCTION("""COMPUTED_VALUE"""),"SQL")</f>
        <v>SQL</v>
      </c>
      <c r="L1098" s="9" t="str">
        <f>IFERROR(__xludf.DUMMYFUNCTION("""COMPUTED_VALUE"""),"HTML/CSS")</f>
        <v>HTML/CSS</v>
      </c>
      <c r="M1098" s="9" t="s">
        <v>33</v>
      </c>
    </row>
    <row r="1099" ht="15.75" customHeight="1">
      <c r="A1099" s="7"/>
      <c r="B1099" s="7" t="str">
        <f>IFERROR(__xludf.DUMMYFUNCTION("""COMPUTED_VALUE"""),"Bash/Shell/PowerShell;HTML/CSS;JavaScript;PHP;Python;SQL")</f>
        <v>Bash/Shell/PowerShell;HTML/CSS;JavaScript;PHP;Python;SQL</v>
      </c>
      <c r="C1099" s="9" t="str">
        <f>IFERROR(__xludf.DUMMYFUNCTION("""COMPUTED_VALUE"""),"HTML/CSS")</f>
        <v>HTML/CSS</v>
      </c>
      <c r="D1099" s="9" t="str">
        <f>IFERROR(__xludf.DUMMYFUNCTION("""COMPUTED_VALUE"""),"HTML/CSS")</f>
        <v>HTML/CSS</v>
      </c>
      <c r="E1099" s="9" t="str">
        <f>IFERROR(__xludf.DUMMYFUNCTION("""COMPUTED_VALUE"""),"Java")</f>
        <v>Java</v>
      </c>
      <c r="F1099" s="9" t="str">
        <f>IFERROR(__xludf.DUMMYFUNCTION("""COMPUTED_VALUE"""),"C")</f>
        <v>C</v>
      </c>
      <c r="G1099" s="9" t="str">
        <f>IFERROR(__xludf.DUMMYFUNCTION("""COMPUTED_VALUE"""),"Go")</f>
        <v>Go</v>
      </c>
      <c r="H1099" s="9" t="str">
        <f>IFERROR(__xludf.DUMMYFUNCTION("""COMPUTED_VALUE"""),"Python")</f>
        <v>Python</v>
      </c>
      <c r="I1099" s="9" t="str">
        <f>IFERROR(__xludf.DUMMYFUNCTION("""COMPUTED_VALUE"""),"HTML/CSS")</f>
        <v>HTML/CSS</v>
      </c>
      <c r="J1099" s="9" t="str">
        <f>IFERROR(__xludf.DUMMYFUNCTION("""COMPUTED_VALUE"""),"JavaScript")</f>
        <v>JavaScript</v>
      </c>
      <c r="K1099" s="9" t="str">
        <f>IFERROR(__xludf.DUMMYFUNCTION("""COMPUTED_VALUE"""),"C#")</f>
        <v>C#</v>
      </c>
      <c r="L1099" s="9" t="str">
        <f>IFERROR(__xludf.DUMMYFUNCTION("""COMPUTED_VALUE"""),"JavaScript")</f>
        <v>JavaScript</v>
      </c>
      <c r="M1099" s="9" t="s">
        <v>24</v>
      </c>
    </row>
    <row r="1100" ht="15.75" customHeight="1">
      <c r="A1100" s="7"/>
      <c r="B1100" s="7" t="str">
        <f>IFERROR(__xludf.DUMMYFUNCTION("""COMPUTED_VALUE"""),"Bash/Shell/PowerShell;HTML/CSS;JavaScript;Ruby;SQL")</f>
        <v>Bash/Shell/PowerShell;HTML/CSS;JavaScript;Ruby;SQL</v>
      </c>
      <c r="C1100" s="9" t="str">
        <f>IFERROR(__xludf.DUMMYFUNCTION("""COMPUTED_VALUE"""),"JavaScript")</f>
        <v>JavaScript</v>
      </c>
      <c r="D1100" s="9" t="str">
        <f>IFERROR(__xludf.DUMMYFUNCTION("""COMPUTED_VALUE"""),"JavaScript")</f>
        <v>JavaScript</v>
      </c>
      <c r="E1100" s="9" t="str">
        <f>IFERROR(__xludf.DUMMYFUNCTION("""COMPUTED_VALUE"""),"JavaScript")</f>
        <v>JavaScript</v>
      </c>
      <c r="F1100" s="9" t="str">
        <f>IFERROR(__xludf.DUMMYFUNCTION("""COMPUTED_VALUE"""),"Bash/Shell/PowerShell")</f>
        <v>Bash/Shell/PowerShell</v>
      </c>
      <c r="G1100" s="9" t="str">
        <f>IFERROR(__xludf.DUMMYFUNCTION("""COMPUTED_VALUE"""),"Java")</f>
        <v>Java</v>
      </c>
      <c r="H1100" s="9" t="str">
        <f>IFERROR(__xludf.DUMMYFUNCTION("""COMPUTED_VALUE"""),"R")</f>
        <v>R</v>
      </c>
      <c r="I1100" s="9" t="str">
        <f>IFERROR(__xludf.DUMMYFUNCTION("""COMPUTED_VALUE"""),"Java")</f>
        <v>Java</v>
      </c>
      <c r="J1100" s="9" t="str">
        <f>IFERROR(__xludf.DUMMYFUNCTION("""COMPUTED_VALUE"""),"Python")</f>
        <v>Python</v>
      </c>
      <c r="K1100" s="9" t="str">
        <f>IFERROR(__xludf.DUMMYFUNCTION("""COMPUTED_VALUE"""),"JavaScript")</f>
        <v>JavaScript</v>
      </c>
      <c r="L1100" s="9" t="str">
        <f>IFERROR(__xludf.DUMMYFUNCTION("""COMPUTED_VALUE"""),"Rust")</f>
        <v>Rust</v>
      </c>
      <c r="M1100" s="9" t="s">
        <v>21</v>
      </c>
    </row>
    <row r="1101" ht="15.75" customHeight="1">
      <c r="A1101" s="7"/>
      <c r="B1101" s="7" t="str">
        <f>IFERROR(__xludf.DUMMYFUNCTION("""COMPUTED_VALUE"""),"HTML/CSS;Java;PHP;SQL")</f>
        <v>HTML/CSS;Java;PHP;SQL</v>
      </c>
      <c r="C1101" s="9" t="str">
        <f>IFERROR(__xludf.DUMMYFUNCTION("""COMPUTED_VALUE"""),"PHP")</f>
        <v>PHP</v>
      </c>
      <c r="D1101" s="9" t="str">
        <f>IFERROR(__xludf.DUMMYFUNCTION("""COMPUTED_VALUE"""),"TypeScript")</f>
        <v>TypeScript</v>
      </c>
      <c r="E1101" s="9" t="str">
        <f>IFERROR(__xludf.DUMMYFUNCTION("""COMPUTED_VALUE"""),"PHP")</f>
        <v>PHP</v>
      </c>
      <c r="F1101" s="9" t="str">
        <f>IFERROR(__xludf.DUMMYFUNCTION("""COMPUTED_VALUE"""),"C++")</f>
        <v>C++</v>
      </c>
      <c r="G1101" s="9" t="str">
        <f>IFERROR(__xludf.DUMMYFUNCTION("""COMPUTED_VALUE"""),"JavaScript")</f>
        <v>JavaScript</v>
      </c>
      <c r="H1101" s="9" t="str">
        <f>IFERROR(__xludf.DUMMYFUNCTION("""COMPUTED_VALUE"""),"Ruby")</f>
        <v>Ruby</v>
      </c>
      <c r="I1101" s="9" t="str">
        <f>IFERROR(__xludf.DUMMYFUNCTION("""COMPUTED_VALUE"""),"JavaScript")</f>
        <v>JavaScript</v>
      </c>
      <c r="J1101" s="9" t="str">
        <f>IFERROR(__xludf.DUMMYFUNCTION("""COMPUTED_VALUE"""),"Clojure")</f>
        <v>Clojure</v>
      </c>
      <c r="K1101" s="9" t="str">
        <f>IFERROR(__xludf.DUMMYFUNCTION("""COMPUTED_VALUE"""),"SQL")</f>
        <v>SQL</v>
      </c>
      <c r="L1101" s="9" t="str">
        <f>IFERROR(__xludf.DUMMYFUNCTION("""COMPUTED_VALUE"""),"SQL")</f>
        <v>SQL</v>
      </c>
      <c r="M1101" s="9" t="s">
        <v>37</v>
      </c>
    </row>
    <row r="1102" ht="15.75" customHeight="1">
      <c r="A1102" s="7"/>
      <c r="B1102" s="7" t="str">
        <f>IFERROR(__xludf.DUMMYFUNCTION("""COMPUTED_VALUE"""),"HTML/CSS;JavaScript")</f>
        <v>HTML/CSS;JavaScript</v>
      </c>
      <c r="C1102" s="9" t="str">
        <f>IFERROR(__xludf.DUMMYFUNCTION("""COMPUTED_VALUE"""),"SQL")</f>
        <v>SQL</v>
      </c>
      <c r="D1102" s="9" t="str">
        <f>IFERROR(__xludf.DUMMYFUNCTION("""COMPUTED_VALUE"""),"C++")</f>
        <v>C++</v>
      </c>
      <c r="E1102" s="9" t="str">
        <f>IFERROR(__xludf.DUMMYFUNCTION("""COMPUTED_VALUE"""),"R")</f>
        <v>R</v>
      </c>
      <c r="F1102" s="9" t="str">
        <f>IFERROR(__xludf.DUMMYFUNCTION("""COMPUTED_VALUE"""),"HTML/CSS")</f>
        <v>HTML/CSS</v>
      </c>
      <c r="G1102" s="9" t="str">
        <f>IFERROR(__xludf.DUMMYFUNCTION("""COMPUTED_VALUE"""),"TypeScript")</f>
        <v>TypeScript</v>
      </c>
      <c r="H1102" s="9" t="str">
        <f>IFERROR(__xludf.DUMMYFUNCTION("""COMPUTED_VALUE"""),"SQL")</f>
        <v>SQL</v>
      </c>
      <c r="I1102" s="9" t="str">
        <f>IFERROR(__xludf.DUMMYFUNCTION("""COMPUTED_VALUE"""),"PHP")</f>
        <v>PHP</v>
      </c>
      <c r="J1102" s="9" t="str">
        <f>IFERROR(__xludf.DUMMYFUNCTION("""COMPUTED_VALUE"""),"C#")</f>
        <v>C#</v>
      </c>
      <c r="K1102" s="9" t="str">
        <f>IFERROR(__xludf.DUMMYFUNCTION("""COMPUTED_VALUE"""),"C")</f>
        <v>C</v>
      </c>
      <c r="L1102" s="9" t="str">
        <f>IFERROR(__xludf.DUMMYFUNCTION("""COMPUTED_VALUE"""),"TypeScript")</f>
        <v>TypeScript</v>
      </c>
      <c r="M1102" s="9" t="s">
        <v>27</v>
      </c>
    </row>
    <row r="1103" ht="15.75" customHeight="1">
      <c r="A1103" s="7"/>
      <c r="B1103" s="7" t="str">
        <f>IFERROR(__xludf.DUMMYFUNCTION("""COMPUTED_VALUE"""),"Assembly;Bash/Shell/PowerShell;C;HTML/CSS;JavaScript;PHP;Python;SQL;Other(s):")</f>
        <v>Assembly;Bash/Shell/PowerShell;C;HTML/CSS;JavaScript;PHP;Python;SQL;Other(s):</v>
      </c>
      <c r="C1103" s="9" t="str">
        <f>IFERROR(__xludf.DUMMYFUNCTION("""COMPUTED_VALUE"""),"C#")</f>
        <v>C#</v>
      </c>
      <c r="D1103" s="9" t="str">
        <f>IFERROR(__xludf.DUMMYFUNCTION("""COMPUTED_VALUE"""),"C#")</f>
        <v>C#</v>
      </c>
      <c r="E1103" s="9" t="str">
        <f>IFERROR(__xludf.DUMMYFUNCTION("""COMPUTED_VALUE"""),"SQL")</f>
        <v>SQL</v>
      </c>
      <c r="F1103" s="9" t="str">
        <f>IFERROR(__xludf.DUMMYFUNCTION("""COMPUTED_VALUE"""),"JavaScript")</f>
        <v>JavaScript</v>
      </c>
      <c r="G1103" s="9" t="str">
        <f>IFERROR(__xludf.DUMMYFUNCTION("""COMPUTED_VALUE"""),"C++")</f>
        <v>C++</v>
      </c>
      <c r="H1103" s="9" t="str">
        <f>IFERROR(__xludf.DUMMYFUNCTION("""COMPUTED_VALUE"""),"Assembly")</f>
        <v>Assembly</v>
      </c>
      <c r="I1103" s="9" t="str">
        <f>IFERROR(__xludf.DUMMYFUNCTION("""COMPUTED_VALUE"""),"Python")</f>
        <v>Python</v>
      </c>
      <c r="J1103" s="9" t="str">
        <f>IFERROR(__xludf.DUMMYFUNCTION("""COMPUTED_VALUE"""),"HTML/CSS")</f>
        <v>HTML/CSS</v>
      </c>
      <c r="K1103" s="9" t="str">
        <f>IFERROR(__xludf.DUMMYFUNCTION("""COMPUTED_VALUE"""),"C++")</f>
        <v>C++</v>
      </c>
      <c r="L1103" s="9" t="str">
        <f>IFERROR(__xludf.DUMMYFUNCTION("""COMPUTED_VALUE"""),"C#")</f>
        <v>C#</v>
      </c>
      <c r="M1103" s="9" t="s">
        <v>26</v>
      </c>
    </row>
    <row r="1104" ht="15.75" customHeight="1">
      <c r="A1104" s="7"/>
      <c r="B1104" s="7" t="str">
        <f>IFERROR(__xludf.DUMMYFUNCTION("""COMPUTED_VALUE"""),"Bash/Shell/PowerShell;HTML/CSS;Java;JavaScript;Objective-C")</f>
        <v>Bash/Shell/PowerShell;HTML/CSS;Java;JavaScript;Objective-C</v>
      </c>
      <c r="C1104" s="9" t="str">
        <f>IFERROR(__xludf.DUMMYFUNCTION("""COMPUTED_VALUE"""),"HTML/CSS")</f>
        <v>HTML/CSS</v>
      </c>
      <c r="D1104" s="9" t="str">
        <f>IFERROR(__xludf.DUMMYFUNCTION("""COMPUTED_VALUE"""),"HTML/CSS")</f>
        <v>HTML/CSS</v>
      </c>
      <c r="E1104" s="9" t="str">
        <f>IFERROR(__xludf.DUMMYFUNCTION("""COMPUTED_VALUE"""),"TypeScript")</f>
        <v>TypeScript</v>
      </c>
      <c r="F1104" s="9" t="str">
        <f>IFERROR(__xludf.DUMMYFUNCTION("""COMPUTED_VALUE"""),"PHP")</f>
        <v>PHP</v>
      </c>
      <c r="G1104" s="9" t="str">
        <f>IFERROR(__xludf.DUMMYFUNCTION("""COMPUTED_VALUE"""),"C#")</f>
        <v>C#</v>
      </c>
      <c r="H1104" s="9" t="str">
        <f>IFERROR(__xludf.DUMMYFUNCTION("""COMPUTED_VALUE"""),"Bash/Shell/PowerShell")</f>
        <v>Bash/Shell/PowerShell</v>
      </c>
      <c r="I1104" s="9" t="str">
        <f>IFERROR(__xludf.DUMMYFUNCTION("""COMPUTED_VALUE"""),"Bash/Shell/PowerShell")</f>
        <v>Bash/Shell/PowerShell</v>
      </c>
      <c r="J1104" s="9" t="str">
        <f>IFERROR(__xludf.DUMMYFUNCTION("""COMPUTED_VALUE"""),"JavaScript")</f>
        <v>JavaScript</v>
      </c>
      <c r="K1104" s="9" t="str">
        <f>IFERROR(__xludf.DUMMYFUNCTION("""COMPUTED_VALUE"""),"HTML/CSS")</f>
        <v>HTML/CSS</v>
      </c>
      <c r="L1104" s="9" t="str">
        <f>IFERROR(__xludf.DUMMYFUNCTION("""COMPUTED_VALUE"""),"Python")</f>
        <v>Python</v>
      </c>
      <c r="M1104" s="9" t="s">
        <v>24</v>
      </c>
    </row>
    <row r="1105" ht="15.75" customHeight="1">
      <c r="A1105" s="7"/>
      <c r="B1105" s="7" t="str">
        <f>IFERROR(__xludf.DUMMYFUNCTION("""COMPUTED_VALUE"""),"Bash/Shell/PowerShell;C#;HTML/CSS;JavaScript;PHP;Python")</f>
        <v>Bash/Shell/PowerShell;C#;HTML/CSS;JavaScript;PHP;Python</v>
      </c>
      <c r="C1105" s="9" t="str">
        <f>IFERROR(__xludf.DUMMYFUNCTION("""COMPUTED_VALUE"""),"JavaScript")</f>
        <v>JavaScript</v>
      </c>
      <c r="D1105" s="9" t="str">
        <f>IFERROR(__xludf.DUMMYFUNCTION("""COMPUTED_VALUE"""),"PHP")</f>
        <v>PHP</v>
      </c>
      <c r="E1105" s="9" t="str">
        <f>IFERROR(__xludf.DUMMYFUNCTION("""COMPUTED_VALUE"""),"Bash/Shell/PowerShell")</f>
        <v>Bash/Shell/PowerShell</v>
      </c>
      <c r="F1105" s="9" t="str">
        <f>IFERROR(__xludf.DUMMYFUNCTION("""COMPUTED_VALUE"""),"Python")</f>
        <v>Python</v>
      </c>
      <c r="G1105" s="9" t="str">
        <f>IFERROR(__xludf.DUMMYFUNCTION("""COMPUTED_VALUE"""),"HTML/CSS")</f>
        <v>HTML/CSS</v>
      </c>
      <c r="H1105" s="9" t="str">
        <f>IFERROR(__xludf.DUMMYFUNCTION("""COMPUTED_VALUE"""),"C")</f>
        <v>C</v>
      </c>
      <c r="I1105" s="9" t="str">
        <f>IFERROR(__xludf.DUMMYFUNCTION("""COMPUTED_VALUE"""),"HTML/CSS")</f>
        <v>HTML/CSS</v>
      </c>
      <c r="J1105" s="9" t="str">
        <f>IFERROR(__xludf.DUMMYFUNCTION("""COMPUTED_VALUE"""),"SQL")</f>
        <v>SQL</v>
      </c>
      <c r="K1105" s="9" t="str">
        <f>IFERROR(__xludf.DUMMYFUNCTION("""COMPUTED_VALUE"""),"JavaScript")</f>
        <v>JavaScript</v>
      </c>
      <c r="L1105" s="9" t="str">
        <f>IFERROR(__xludf.DUMMYFUNCTION("""COMPUTED_VALUE"""),"Bash/Shell/PowerShell")</f>
        <v>Bash/Shell/PowerShell</v>
      </c>
      <c r="M1105" s="9" t="s">
        <v>21</v>
      </c>
    </row>
    <row r="1106" ht="15.75" customHeight="1">
      <c r="A1106" s="7"/>
      <c r="B1106" s="7" t="str">
        <f>IFERROR(__xludf.DUMMYFUNCTION("""COMPUTED_VALUE"""),"C;C#;HTML/CSS;Java;JavaScript;Objective-C;PHP;Python;SQL;Swift")</f>
        <v>C;C#;HTML/CSS;Java;JavaScript;Objective-C;PHP;Python;SQL;Swift</v>
      </c>
      <c r="C1106" s="9" t="str">
        <f>IFERROR(__xludf.DUMMYFUNCTION("""COMPUTED_VALUE"""),"SQL")</f>
        <v>SQL</v>
      </c>
      <c r="D1106" s="9" t="str">
        <f>IFERROR(__xludf.DUMMYFUNCTION("""COMPUTED_VALUE"""),"SQL")</f>
        <v>SQL</v>
      </c>
      <c r="E1106" s="9" t="str">
        <f>IFERROR(__xludf.DUMMYFUNCTION("""COMPUTED_VALUE"""),"HTML/CSS")</f>
        <v>HTML/CSS</v>
      </c>
      <c r="F1106" s="9" t="str">
        <f>IFERROR(__xludf.DUMMYFUNCTION("""COMPUTED_VALUE"""),"SQL")</f>
        <v>SQL</v>
      </c>
      <c r="G1106" s="9" t="str">
        <f>IFERROR(__xludf.DUMMYFUNCTION("""COMPUTED_VALUE"""),"Java")</f>
        <v>Java</v>
      </c>
      <c r="H1106" s="9" t="str">
        <f>IFERROR(__xludf.DUMMYFUNCTION("""COMPUTED_VALUE"""),"C++")</f>
        <v>C++</v>
      </c>
      <c r="I1106" s="9" t="str">
        <f>IFERROR(__xludf.DUMMYFUNCTION("""COMPUTED_VALUE"""),"JavaScript")</f>
        <v>JavaScript</v>
      </c>
      <c r="J1106" s="9" t="str">
        <f>IFERROR(__xludf.DUMMYFUNCTION("""COMPUTED_VALUE"""),"C#")</f>
        <v>C#</v>
      </c>
      <c r="K1106" s="9" t="str">
        <f>IFERROR(__xludf.DUMMYFUNCTION("""COMPUTED_VALUE"""),"SQL")</f>
        <v>SQL</v>
      </c>
      <c r="L1106" s="9" t="str">
        <f>IFERROR(__xludf.DUMMYFUNCTION("""COMPUTED_VALUE"""),"HTML/CSS")</f>
        <v>HTML/CSS</v>
      </c>
      <c r="M1106" s="9" t="s">
        <v>27</v>
      </c>
    </row>
    <row r="1107" ht="15.75" customHeight="1">
      <c r="A1107" s="7"/>
      <c r="B1107" s="7" t="str">
        <f>IFERROR(__xludf.DUMMYFUNCTION("""COMPUTED_VALUE"""),"C++;C#;Dart;HTML/CSS;Java;JavaScript;PHP;Python")</f>
        <v>C++;C#;Dart;HTML/CSS;Java;JavaScript;PHP;Python</v>
      </c>
      <c r="C1107" s="9" t="str">
        <f>IFERROR(__xludf.DUMMYFUNCTION("""COMPUTED_VALUE"""),"C#")</f>
        <v>C#</v>
      </c>
      <c r="D1107" s="9" t="str">
        <f>IFERROR(__xludf.DUMMYFUNCTION("""COMPUTED_VALUE"""),"Bash/Shell/PowerShell")</f>
        <v>Bash/Shell/PowerShell</v>
      </c>
      <c r="E1107" s="9" t="str">
        <f>IFERROR(__xludf.DUMMYFUNCTION("""COMPUTED_VALUE"""),"JavaScript")</f>
        <v>JavaScript</v>
      </c>
      <c r="F1107" s="9" t="str">
        <f>IFERROR(__xludf.DUMMYFUNCTION("""COMPUTED_VALUE"""),"Java")</f>
        <v>Java</v>
      </c>
      <c r="G1107" s="9" t="str">
        <f>IFERROR(__xludf.DUMMYFUNCTION("""COMPUTED_VALUE"""),"JavaScript")</f>
        <v>JavaScript</v>
      </c>
      <c r="H1107" s="9" t="str">
        <f>IFERROR(__xludf.DUMMYFUNCTION("""COMPUTED_VALUE"""),"C")</f>
        <v>C</v>
      </c>
      <c r="I1107" s="9" t="str">
        <f>IFERROR(__xludf.DUMMYFUNCTION("""COMPUTED_VALUE"""),"Python")</f>
        <v>Python</v>
      </c>
      <c r="J1107" s="9" t="str">
        <f>IFERROR(__xludf.DUMMYFUNCTION("""COMPUTED_VALUE"""),"HTML/CSS")</f>
        <v>HTML/CSS</v>
      </c>
      <c r="K1107" s="9" t="str">
        <f>IFERROR(__xludf.DUMMYFUNCTION("""COMPUTED_VALUE"""),"C")</f>
        <v>C</v>
      </c>
      <c r="L1107" s="9" t="str">
        <f>IFERROR(__xludf.DUMMYFUNCTION("""COMPUTED_VALUE"""),"Java")</f>
        <v>Java</v>
      </c>
      <c r="M1107" s="9" t="s">
        <v>26</v>
      </c>
    </row>
    <row r="1108" ht="15.75" customHeight="1">
      <c r="A1108" s="7"/>
      <c r="B1108" s="7" t="str">
        <f>IFERROR(__xludf.DUMMYFUNCTION("""COMPUTED_VALUE"""),"PHP;Python;SQL")</f>
        <v>PHP;Python;SQL</v>
      </c>
      <c r="C1108" s="9" t="str">
        <f>IFERROR(__xludf.DUMMYFUNCTION("""COMPUTED_VALUE"""),"HTML/CSS")</f>
        <v>HTML/CSS</v>
      </c>
      <c r="D1108" s="9" t="str">
        <f>IFERROR(__xludf.DUMMYFUNCTION("""COMPUTED_VALUE"""),"Java")</f>
        <v>Java</v>
      </c>
      <c r="E1108" s="9" t="str">
        <f>IFERROR(__xludf.DUMMYFUNCTION("""COMPUTED_VALUE"""),"Python")</f>
        <v>Python</v>
      </c>
      <c r="F1108" s="9" t="str">
        <f>IFERROR(__xludf.DUMMYFUNCTION("""COMPUTED_VALUE"""),"JavaScript")</f>
        <v>JavaScript</v>
      </c>
      <c r="G1108" s="9" t="str">
        <f>IFERROR(__xludf.DUMMYFUNCTION("""COMPUTED_VALUE"""),"PHP")</f>
        <v>PHP</v>
      </c>
      <c r="H1108" s="9" t="str">
        <f>IFERROR(__xludf.DUMMYFUNCTION("""COMPUTED_VALUE"""),"HTML/CSS")</f>
        <v>HTML/CSS</v>
      </c>
      <c r="I1108" s="9" t="str">
        <f>IFERROR(__xludf.DUMMYFUNCTION("""COMPUTED_VALUE"""),"SQL")</f>
        <v>SQL</v>
      </c>
      <c r="J1108" s="9" t="str">
        <f>IFERROR(__xludf.DUMMYFUNCTION("""COMPUTED_VALUE"""),"JavaScript")</f>
        <v>JavaScript</v>
      </c>
      <c r="K1108" s="9" t="str">
        <f>IFERROR(__xludf.DUMMYFUNCTION("""COMPUTED_VALUE"""),"C#")</f>
        <v>C#</v>
      </c>
      <c r="L1108" s="9" t="str">
        <f>IFERROR(__xludf.DUMMYFUNCTION("""COMPUTED_VALUE"""),"JavaScript")</f>
        <v>JavaScript</v>
      </c>
      <c r="M1108" s="9" t="s">
        <v>24</v>
      </c>
    </row>
    <row r="1109" ht="15.75" customHeight="1">
      <c r="A1109" s="7"/>
      <c r="B1109" s="7" t="str">
        <f>IFERROR(__xludf.DUMMYFUNCTION("""COMPUTED_VALUE"""),"HTML/CSS;Java;SQL")</f>
        <v>HTML/CSS;Java;SQL</v>
      </c>
      <c r="C1109" s="9" t="str">
        <f>IFERROR(__xludf.DUMMYFUNCTION("""COMPUTED_VALUE"""),"JavaScript")</f>
        <v>JavaScript</v>
      </c>
      <c r="D1109" s="9" t="str">
        <f>IFERROR(__xludf.DUMMYFUNCTION("""COMPUTED_VALUE"""),"Bash/Shell/PowerShell")</f>
        <v>Bash/Shell/PowerShell</v>
      </c>
      <c r="E1109" s="9" t="str">
        <f>IFERROR(__xludf.DUMMYFUNCTION("""COMPUTED_VALUE"""),"TypeScript")</f>
        <v>TypeScript</v>
      </c>
      <c r="F1109" s="9" t="str">
        <f>IFERROR(__xludf.DUMMYFUNCTION("""COMPUTED_VALUE"""),"PHP")</f>
        <v>PHP</v>
      </c>
      <c r="G1109" s="9" t="str">
        <f>IFERROR(__xludf.DUMMYFUNCTION("""COMPUTED_VALUE"""),"SQL")</f>
        <v>SQL</v>
      </c>
      <c r="H1109" s="9" t="str">
        <f>IFERROR(__xludf.DUMMYFUNCTION("""COMPUTED_VALUE"""),"JavaScript")</f>
        <v>JavaScript</v>
      </c>
      <c r="I1109" s="9" t="str">
        <f>IFERROR(__xludf.DUMMYFUNCTION("""COMPUTED_VALUE"""),"C")</f>
        <v>C</v>
      </c>
      <c r="J1109" s="9" t="str">
        <f>IFERROR(__xludf.DUMMYFUNCTION("""COMPUTED_VALUE"""),"Ruby")</f>
        <v>Ruby</v>
      </c>
      <c r="K1109" s="9" t="str">
        <f>IFERROR(__xludf.DUMMYFUNCTION("""COMPUTED_VALUE"""),"HTML/CSS")</f>
        <v>HTML/CSS</v>
      </c>
      <c r="L1109" s="9" t="str">
        <f>IFERROR(__xludf.DUMMYFUNCTION("""COMPUTED_VALUE"""),"Python")</f>
        <v>Python</v>
      </c>
      <c r="M1109" s="9" t="s">
        <v>21</v>
      </c>
    </row>
    <row r="1110" ht="15.75" customHeight="1">
      <c r="A1110" s="7"/>
      <c r="B1110" s="7" t="str">
        <f>IFERROR(__xludf.DUMMYFUNCTION("""COMPUTED_VALUE"""),"C;C++;JavaScript;TypeScript;Other(s):")</f>
        <v>C;C++;JavaScript;TypeScript;Other(s):</v>
      </c>
      <c r="C1110" s="9" t="str">
        <f>IFERROR(__xludf.DUMMYFUNCTION("""COMPUTED_VALUE"""),"SQL")</f>
        <v>SQL</v>
      </c>
      <c r="D1110" s="9" t="str">
        <f>IFERROR(__xludf.DUMMYFUNCTION("""COMPUTED_VALUE"""),"C")</f>
        <v>C</v>
      </c>
      <c r="E1110" s="9" t="str">
        <f>IFERROR(__xludf.DUMMYFUNCTION("""COMPUTED_VALUE"""),"Bash/Shell/PowerShell")</f>
        <v>Bash/Shell/PowerShell</v>
      </c>
      <c r="F1110" s="9" t="str">
        <f>IFERROR(__xludf.DUMMYFUNCTION("""COMPUTED_VALUE"""),"Bash/Shell/PowerShell")</f>
        <v>Bash/Shell/PowerShell</v>
      </c>
      <c r="G1110" s="9" t="str">
        <f>IFERROR(__xludf.DUMMYFUNCTION("""COMPUTED_VALUE"""),"HTML/CSS")</f>
        <v>HTML/CSS</v>
      </c>
      <c r="H1110" s="9" t="str">
        <f>IFERROR(__xludf.DUMMYFUNCTION("""COMPUTED_VALUE"""),"Python")</f>
        <v>Python</v>
      </c>
      <c r="I1110" s="9" t="str">
        <f>IFERROR(__xludf.DUMMYFUNCTION("""COMPUTED_VALUE"""),"HTML/CSS")</f>
        <v>HTML/CSS</v>
      </c>
      <c r="J1110" s="9" t="str">
        <f>IFERROR(__xludf.DUMMYFUNCTION("""COMPUTED_VALUE"""),"TypeScript")</f>
        <v>TypeScript</v>
      </c>
      <c r="K1110" s="9" t="str">
        <f>IFERROR(__xludf.DUMMYFUNCTION("""COMPUTED_VALUE"""),"JavaScript")</f>
        <v>JavaScript</v>
      </c>
      <c r="L1110" s="9" t="str">
        <f>IFERROR(__xludf.DUMMYFUNCTION("""COMPUTED_VALUE"""),"Ruby")</f>
        <v>Ruby</v>
      </c>
      <c r="M1110" s="9" t="s">
        <v>27</v>
      </c>
    </row>
    <row r="1111" ht="15.75" customHeight="1">
      <c r="A1111" s="7"/>
      <c r="B1111" s="7" t="str">
        <f>IFERROR(__xludf.DUMMYFUNCTION("""COMPUTED_VALUE"""),"Bash/Shell/PowerShell;C#;Go;Java;Python")</f>
        <v>Bash/Shell/PowerShell;C#;Go;Java;Python</v>
      </c>
      <c r="C1111" s="9" t="str">
        <f>IFERROR(__xludf.DUMMYFUNCTION("""COMPUTED_VALUE"""),"C")</f>
        <v>C</v>
      </c>
      <c r="D1111" s="9" t="str">
        <f>IFERROR(__xludf.DUMMYFUNCTION("""COMPUTED_VALUE"""),"Clojure")</f>
        <v>Clojure</v>
      </c>
      <c r="E1111" s="9" t="str">
        <f>IFERROR(__xludf.DUMMYFUNCTION("""COMPUTED_VALUE"""),"HTML/CSS")</f>
        <v>HTML/CSS</v>
      </c>
      <c r="F1111" s="9" t="str">
        <f>IFERROR(__xludf.DUMMYFUNCTION("""COMPUTED_VALUE"""),"HTML/CSS")</f>
        <v>HTML/CSS</v>
      </c>
      <c r="G1111" s="9" t="str">
        <f>IFERROR(__xludf.DUMMYFUNCTION("""COMPUTED_VALUE"""),"Java")</f>
        <v>Java</v>
      </c>
      <c r="H1111" s="9" t="str">
        <f>IFERROR(__xludf.DUMMYFUNCTION("""COMPUTED_VALUE"""),"SQL")</f>
        <v>SQL</v>
      </c>
      <c r="I1111" s="9" t="str">
        <f>IFERROR(__xludf.DUMMYFUNCTION("""COMPUTED_VALUE"""),"JavaScript")</f>
        <v>JavaScript</v>
      </c>
      <c r="J1111" s="9" t="str">
        <f>IFERROR(__xludf.DUMMYFUNCTION("""COMPUTED_VALUE"""),"C++")</f>
        <v>C++</v>
      </c>
      <c r="K1111" s="9" t="str">
        <f>IFERROR(__xludf.DUMMYFUNCTION("""COMPUTED_VALUE"""),"Python")</f>
        <v>Python</v>
      </c>
      <c r="L1111" s="9" t="str">
        <f>IFERROR(__xludf.DUMMYFUNCTION("""COMPUTED_VALUE"""),"C")</f>
        <v>C</v>
      </c>
      <c r="M1111" s="9" t="s">
        <v>25</v>
      </c>
    </row>
    <row r="1112" ht="15.75" customHeight="1">
      <c r="A1112" s="7"/>
      <c r="B1112" s="7" t="str">
        <f>IFERROR(__xludf.DUMMYFUNCTION("""COMPUTED_VALUE"""),"Bash/Shell/PowerShell;C++;C#;HTML/CSS;JavaScript;Python;SQL;Other(s):")</f>
        <v>Bash/Shell/PowerShell;C++;C#;HTML/CSS;JavaScript;Python;SQL;Other(s):</v>
      </c>
      <c r="C1112" s="9" t="str">
        <f>IFERROR(__xludf.DUMMYFUNCTION("""COMPUTED_VALUE"""),"C++")</f>
        <v>C++</v>
      </c>
      <c r="D1112" s="9" t="str">
        <f>IFERROR(__xludf.DUMMYFUNCTION("""COMPUTED_VALUE"""),"Go")</f>
        <v>Go</v>
      </c>
      <c r="E1112" s="9" t="str">
        <f>IFERROR(__xludf.DUMMYFUNCTION("""COMPUTED_VALUE"""),"JavaScript")</f>
        <v>JavaScript</v>
      </c>
      <c r="F1112" s="9" t="str">
        <f>IFERROR(__xludf.DUMMYFUNCTION("""COMPUTED_VALUE"""),"JavaScript")</f>
        <v>JavaScript</v>
      </c>
      <c r="G1112" s="9" t="str">
        <f>IFERROR(__xludf.DUMMYFUNCTION("""COMPUTED_VALUE"""),"JavaScript")</f>
        <v>JavaScript</v>
      </c>
      <c r="H1112" s="9" t="str">
        <f>IFERROR(__xludf.DUMMYFUNCTION("""COMPUTED_VALUE"""),"TypeScript")</f>
        <v>TypeScript</v>
      </c>
      <c r="I1112" s="9" t="str">
        <f>IFERROR(__xludf.DUMMYFUNCTION("""COMPUTED_VALUE"""),"Python")</f>
        <v>Python</v>
      </c>
      <c r="J1112" s="9" t="str">
        <f>IFERROR(__xludf.DUMMYFUNCTION("""COMPUTED_VALUE"""),"Go")</f>
        <v>Go</v>
      </c>
      <c r="K1112" s="9" t="str">
        <f>IFERROR(__xludf.DUMMYFUNCTION("""COMPUTED_VALUE"""),"Bash/Shell/PowerShell")</f>
        <v>Bash/Shell/PowerShell</v>
      </c>
      <c r="L1112" s="9" t="str">
        <f>IFERROR(__xludf.DUMMYFUNCTION("""COMPUTED_VALUE"""),"C++")</f>
        <v>C++</v>
      </c>
      <c r="M1112" s="9" t="s">
        <v>23</v>
      </c>
    </row>
    <row r="1113" ht="15.75" customHeight="1">
      <c r="A1113" s="7"/>
      <c r="B1113" s="7" t="str">
        <f>IFERROR(__xludf.DUMMYFUNCTION("""COMPUTED_VALUE"""),"C++;Python")</f>
        <v>C++;Python</v>
      </c>
      <c r="C1113" s="9" t="str">
        <f>IFERROR(__xludf.DUMMYFUNCTION("""COMPUTED_VALUE"""),"HTML/CSS")</f>
        <v>HTML/CSS</v>
      </c>
      <c r="D1113" s="9" t="str">
        <f>IFERROR(__xludf.DUMMYFUNCTION("""COMPUTED_VALUE"""),"HTML/CSS")</f>
        <v>HTML/CSS</v>
      </c>
      <c r="E1113" s="9" t="str">
        <f>IFERROR(__xludf.DUMMYFUNCTION("""COMPUTED_VALUE"""),"Python")</f>
        <v>Python</v>
      </c>
      <c r="F1113" s="9" t="str">
        <f>IFERROR(__xludf.DUMMYFUNCTION("""COMPUTED_VALUE"""),"PHP")</f>
        <v>PHP</v>
      </c>
      <c r="G1113" s="9" t="str">
        <f>IFERROR(__xludf.DUMMYFUNCTION("""COMPUTED_VALUE"""),"Python")</f>
        <v>Python</v>
      </c>
      <c r="H1113" s="9" t="str">
        <f>IFERROR(__xludf.DUMMYFUNCTION("""COMPUTED_VALUE"""),"Other(s):")</f>
        <v>Other(s):</v>
      </c>
      <c r="I1113" s="9" t="str">
        <f>IFERROR(__xludf.DUMMYFUNCTION("""COMPUTED_VALUE"""),"Bash/Shell/PowerShell")</f>
        <v>Bash/Shell/PowerShell</v>
      </c>
      <c r="J1113" s="9" t="str">
        <f>IFERROR(__xludf.DUMMYFUNCTION("""COMPUTED_VALUE"""),"Java")</f>
        <v>Java</v>
      </c>
      <c r="K1113" s="9" t="str">
        <f>IFERROR(__xludf.DUMMYFUNCTION("""COMPUTED_VALUE"""),"HTML/CSS")</f>
        <v>HTML/CSS</v>
      </c>
      <c r="L1113" s="9" t="str">
        <f>IFERROR(__xludf.DUMMYFUNCTION("""COMPUTED_VALUE"""),"C#")</f>
        <v>C#</v>
      </c>
      <c r="M1113" s="9" t="s">
        <v>24</v>
      </c>
    </row>
    <row r="1114" ht="15.75" customHeight="1">
      <c r="A1114" s="7"/>
      <c r="B1114" s="7" t="str">
        <f>IFERROR(__xludf.DUMMYFUNCTION("""COMPUTED_VALUE"""),"HTML/CSS;Java;JavaScript;TypeScript")</f>
        <v>HTML/CSS;Java;JavaScript;TypeScript</v>
      </c>
      <c r="C1114" s="9" t="str">
        <f>IFERROR(__xludf.DUMMYFUNCTION("""COMPUTED_VALUE"""),"Java")</f>
        <v>Java</v>
      </c>
      <c r="D1114" s="9" t="str">
        <f>IFERROR(__xludf.DUMMYFUNCTION("""COMPUTED_VALUE"""),"JavaScript")</f>
        <v>JavaScript</v>
      </c>
      <c r="E1114" s="9" t="str">
        <f>IFERROR(__xludf.DUMMYFUNCTION("""COMPUTED_VALUE"""),"SQL")</f>
        <v>SQL</v>
      </c>
      <c r="F1114" s="9" t="str">
        <f>IFERROR(__xludf.DUMMYFUNCTION("""COMPUTED_VALUE"""),"SQL")</f>
        <v>SQL</v>
      </c>
      <c r="G1114" s="9" t="str">
        <f>IFERROR(__xludf.DUMMYFUNCTION("""COMPUTED_VALUE"""),"SQL")</f>
        <v>SQL</v>
      </c>
      <c r="H1114" s="9" t="str">
        <f>IFERROR(__xludf.DUMMYFUNCTION("""COMPUTED_VALUE"""),"Bash/Shell/PowerShell")</f>
        <v>Bash/Shell/PowerShell</v>
      </c>
      <c r="I1114" s="9" t="str">
        <f>IFERROR(__xludf.DUMMYFUNCTION("""COMPUTED_VALUE"""),"C++")</f>
        <v>C++</v>
      </c>
      <c r="J1114" s="9" t="str">
        <f>IFERROR(__xludf.DUMMYFUNCTION("""COMPUTED_VALUE"""),"JavaScript")</f>
        <v>JavaScript</v>
      </c>
      <c r="K1114" s="9" t="str">
        <f>IFERROR(__xludf.DUMMYFUNCTION("""COMPUTED_VALUE"""),"JavaScript")</f>
        <v>JavaScript</v>
      </c>
      <c r="L1114" s="9" t="str">
        <f>IFERROR(__xludf.DUMMYFUNCTION("""COMPUTED_VALUE"""),"Go")</f>
        <v>Go</v>
      </c>
      <c r="M1114" s="9" t="s">
        <v>20</v>
      </c>
    </row>
    <row r="1115" ht="15.75" customHeight="1">
      <c r="A1115" s="7"/>
      <c r="B1115" s="7" t="str">
        <f>IFERROR(__xludf.DUMMYFUNCTION("""COMPUTED_VALUE"""),"HTML/CSS;JavaScript;PHP;SQL;TypeScript")</f>
        <v>HTML/CSS;JavaScript;PHP;SQL;TypeScript</v>
      </c>
      <c r="C1115" s="9" t="str">
        <f>IFERROR(__xludf.DUMMYFUNCTION("""COMPUTED_VALUE"""),"JavaScript")</f>
        <v>JavaScript</v>
      </c>
      <c r="D1115" s="9" t="str">
        <f>IFERROR(__xludf.DUMMYFUNCTION("""COMPUTED_VALUE"""),"Objective-C")</f>
        <v>Objective-C</v>
      </c>
      <c r="E1115" s="9" t="str">
        <f>IFERROR(__xludf.DUMMYFUNCTION("""COMPUTED_VALUE"""),"TypeScript")</f>
        <v>TypeScript</v>
      </c>
      <c r="F1115" s="9" t="str">
        <f>IFERROR(__xludf.DUMMYFUNCTION("""COMPUTED_VALUE"""),"Dart")</f>
        <v>Dart</v>
      </c>
      <c r="G1115" s="9" t="str">
        <f>IFERROR(__xludf.DUMMYFUNCTION("""COMPUTED_VALUE"""),"Assembly")</f>
        <v>Assembly</v>
      </c>
      <c r="H1115" s="9" t="str">
        <f>IFERROR(__xludf.DUMMYFUNCTION("""COMPUTED_VALUE"""),"HTML/CSS")</f>
        <v>HTML/CSS</v>
      </c>
      <c r="I1115" s="9" t="str">
        <f>IFERROR(__xludf.DUMMYFUNCTION("""COMPUTED_VALUE"""),"C#")</f>
        <v>C#</v>
      </c>
      <c r="J1115" s="9" t="str">
        <f>IFERROR(__xludf.DUMMYFUNCTION("""COMPUTED_VALUE"""),"Python")</f>
        <v>Python</v>
      </c>
      <c r="K1115" s="9" t="str">
        <f>IFERROR(__xludf.DUMMYFUNCTION("""COMPUTED_VALUE"""),"PHP")</f>
        <v>PHP</v>
      </c>
      <c r="L1115" s="9" t="str">
        <f>IFERROR(__xludf.DUMMYFUNCTION("""COMPUTED_VALUE"""),"HTML/CSS")</f>
        <v>HTML/CSS</v>
      </c>
      <c r="M1115" s="9" t="s">
        <v>21</v>
      </c>
    </row>
    <row r="1116" ht="15.75" customHeight="1">
      <c r="A1116" s="7"/>
      <c r="B1116" s="7" t="str">
        <f>IFERROR(__xludf.DUMMYFUNCTION("""COMPUTED_VALUE"""),"HTML/CSS;JavaScript;PHP")</f>
        <v>HTML/CSS;JavaScript;PHP</v>
      </c>
      <c r="C1116" s="9" t="str">
        <f>IFERROR(__xludf.DUMMYFUNCTION("""COMPUTED_VALUE"""),"PHP")</f>
        <v>PHP</v>
      </c>
      <c r="D1116" s="9" t="str">
        <f>IFERROR(__xludf.DUMMYFUNCTION("""COMPUTED_VALUE"""),"PHP")</f>
        <v>PHP</v>
      </c>
      <c r="E1116" s="9" t="str">
        <f>IFERROR(__xludf.DUMMYFUNCTION("""COMPUTED_VALUE"""),"Other(s):")</f>
        <v>Other(s):</v>
      </c>
      <c r="F1116" s="9" t="str">
        <f>IFERROR(__xludf.DUMMYFUNCTION("""COMPUTED_VALUE"""),"Java")</f>
        <v>Java</v>
      </c>
      <c r="G1116" s="9" t="str">
        <f>IFERROR(__xludf.DUMMYFUNCTION("""COMPUTED_VALUE"""),"Bash/Shell/PowerShell")</f>
        <v>Bash/Shell/PowerShell</v>
      </c>
      <c r="H1116" s="9" t="str">
        <f>IFERROR(__xludf.DUMMYFUNCTION("""COMPUTED_VALUE"""),"PHP")</f>
        <v>PHP</v>
      </c>
      <c r="I1116" s="9" t="str">
        <f>IFERROR(__xludf.DUMMYFUNCTION("""COMPUTED_VALUE"""),"Go")</f>
        <v>Go</v>
      </c>
      <c r="J1116" s="9" t="str">
        <f>IFERROR(__xludf.DUMMYFUNCTION("""COMPUTED_VALUE"""),"R")</f>
        <v>R</v>
      </c>
      <c r="K1116" s="9" t="str">
        <f>IFERROR(__xludf.DUMMYFUNCTION("""COMPUTED_VALUE"""),"R")</f>
        <v>R</v>
      </c>
      <c r="L1116" s="9" t="str">
        <f>IFERROR(__xludf.DUMMYFUNCTION("""COMPUTED_VALUE"""),"Java")</f>
        <v>Java</v>
      </c>
      <c r="M1116" s="9" t="s">
        <v>37</v>
      </c>
    </row>
    <row r="1117" ht="15.75" customHeight="1">
      <c r="A1117" s="7"/>
      <c r="B1117" s="7" t="str">
        <f>IFERROR(__xludf.DUMMYFUNCTION("""COMPUTED_VALUE"""),"Bash/Shell/PowerShell;HTML/CSS;JavaScript;TypeScript")</f>
        <v>Bash/Shell/PowerShell;HTML/CSS;JavaScript;TypeScript</v>
      </c>
      <c r="C1117" s="9" t="str">
        <f>IFERROR(__xludf.DUMMYFUNCTION("""COMPUTED_VALUE"""),"SQL")</f>
        <v>SQL</v>
      </c>
      <c r="D1117" s="9" t="str">
        <f>IFERROR(__xludf.DUMMYFUNCTION("""COMPUTED_VALUE"""),"Python")</f>
        <v>Python</v>
      </c>
      <c r="E1117" s="9" t="str">
        <f>IFERROR(__xludf.DUMMYFUNCTION("""COMPUTED_VALUE"""),"Bash/Shell/PowerShell")</f>
        <v>Bash/Shell/PowerShell</v>
      </c>
      <c r="F1117" s="9" t="str">
        <f>IFERROR(__xludf.DUMMYFUNCTION("""COMPUTED_VALUE"""),"Kotlin")</f>
        <v>Kotlin</v>
      </c>
      <c r="G1117" s="9" t="str">
        <f>IFERROR(__xludf.DUMMYFUNCTION("""COMPUTED_VALUE"""),"C")</f>
        <v>C</v>
      </c>
      <c r="H1117" s="9" t="str">
        <f>IFERROR(__xludf.DUMMYFUNCTION("""COMPUTED_VALUE"""),"SQL")</f>
        <v>SQL</v>
      </c>
      <c r="I1117" s="9" t="str">
        <f>IFERROR(__xludf.DUMMYFUNCTION("""COMPUTED_VALUE"""),"HTML/CSS")</f>
        <v>HTML/CSS</v>
      </c>
      <c r="J1117" s="9" t="str">
        <f>IFERROR(__xludf.DUMMYFUNCTION("""COMPUTED_VALUE"""),"VBA")</f>
        <v>VBA</v>
      </c>
      <c r="K1117" s="9" t="str">
        <f>IFERROR(__xludf.DUMMYFUNCTION("""COMPUTED_VALUE"""),"SQL")</f>
        <v>SQL</v>
      </c>
      <c r="L1117" s="9" t="str">
        <f>IFERROR(__xludf.DUMMYFUNCTION("""COMPUTED_VALUE"""),"JavaScript")</f>
        <v>JavaScript</v>
      </c>
      <c r="M1117" s="9" t="s">
        <v>27</v>
      </c>
    </row>
    <row r="1118" ht="15.75" customHeight="1">
      <c r="A1118" s="7"/>
      <c r="B1118" s="7" t="str">
        <f>IFERROR(__xludf.DUMMYFUNCTION("""COMPUTED_VALUE"""),"C#;HTML/CSS;Java;JavaScript;SQL")</f>
        <v>C#;HTML/CSS;Java;JavaScript;SQL</v>
      </c>
      <c r="C1118" s="9" t="str">
        <f>IFERROR(__xludf.DUMMYFUNCTION("""COMPUTED_VALUE"""),"Assembly")</f>
        <v>Assembly</v>
      </c>
      <c r="D1118" s="9" t="str">
        <f>IFERROR(__xludf.DUMMYFUNCTION("""COMPUTED_VALUE"""),"Ruby")</f>
        <v>Ruby</v>
      </c>
      <c r="E1118" s="9" t="str">
        <f>IFERROR(__xludf.DUMMYFUNCTION("""COMPUTED_VALUE"""),"C#")</f>
        <v>C#</v>
      </c>
      <c r="F1118" s="9" t="str">
        <f>IFERROR(__xludf.DUMMYFUNCTION("""COMPUTED_VALUE"""),"PHP")</f>
        <v>PHP</v>
      </c>
      <c r="G1118" s="9" t="str">
        <f>IFERROR(__xludf.DUMMYFUNCTION("""COMPUTED_VALUE"""),"C++")</f>
        <v>C++</v>
      </c>
      <c r="H1118" s="9" t="str">
        <f>IFERROR(__xludf.DUMMYFUNCTION("""COMPUTED_VALUE"""),"C")</f>
        <v>C</v>
      </c>
      <c r="I1118" s="9" t="str">
        <f>IFERROR(__xludf.DUMMYFUNCTION("""COMPUTED_VALUE"""),"JavaScript")</f>
        <v>JavaScript</v>
      </c>
      <c r="J1118" s="9" t="str">
        <f>IFERROR(__xludf.DUMMYFUNCTION("""COMPUTED_VALUE"""),"Bash/Shell/PowerShell")</f>
        <v>Bash/Shell/PowerShell</v>
      </c>
      <c r="K1118" s="9" t="str">
        <f>IFERROR(__xludf.DUMMYFUNCTION("""COMPUTED_VALUE"""),"Bash/Shell/PowerShell")</f>
        <v>Bash/Shell/PowerShell</v>
      </c>
      <c r="L1118" s="9" t="str">
        <f>IFERROR(__xludf.DUMMYFUNCTION("""COMPUTED_VALUE"""),"PHP")</f>
        <v>PHP</v>
      </c>
      <c r="M1118" s="9" t="s">
        <v>38</v>
      </c>
    </row>
    <row r="1119" ht="15.75" customHeight="1">
      <c r="A1119" s="7"/>
      <c r="B1119" s="7" t="str">
        <f>IFERROR(__xludf.DUMMYFUNCTION("""COMPUTED_VALUE"""),"C#;HTML/CSS;Java;JavaScript;TypeScript")</f>
        <v>C#;HTML/CSS;Java;JavaScript;TypeScript</v>
      </c>
      <c r="C1119" s="9" t="str">
        <f>IFERROR(__xludf.DUMMYFUNCTION("""COMPUTED_VALUE"""),"Bash/Shell/PowerShell")</f>
        <v>Bash/Shell/PowerShell</v>
      </c>
      <c r="D1119" s="9" t="str">
        <f>IFERROR(__xludf.DUMMYFUNCTION("""COMPUTED_VALUE"""),"SQL")</f>
        <v>SQL</v>
      </c>
      <c r="E1119" s="9" t="str">
        <f>IFERROR(__xludf.DUMMYFUNCTION("""COMPUTED_VALUE"""),"HTML/CSS")</f>
        <v>HTML/CSS</v>
      </c>
      <c r="F1119" s="9" t="str">
        <f>IFERROR(__xludf.DUMMYFUNCTION("""COMPUTED_VALUE"""),"Python")</f>
        <v>Python</v>
      </c>
      <c r="G1119" s="9" t="str">
        <f>IFERROR(__xludf.DUMMYFUNCTION("""COMPUTED_VALUE"""),"Python")</f>
        <v>Python</v>
      </c>
      <c r="H1119" s="9" t="str">
        <f>IFERROR(__xludf.DUMMYFUNCTION("""COMPUTED_VALUE"""),"C++")</f>
        <v>C++</v>
      </c>
      <c r="I1119" s="9" t="str">
        <f>IFERROR(__xludf.DUMMYFUNCTION("""COMPUTED_VALUE"""),"Python")</f>
        <v>Python</v>
      </c>
      <c r="J1119" s="9" t="str">
        <f>IFERROR(__xludf.DUMMYFUNCTION("""COMPUTED_VALUE"""),"C#")</f>
        <v>C#</v>
      </c>
      <c r="K1119" s="9" t="str">
        <f>IFERROR(__xludf.DUMMYFUNCTION("""COMPUTED_VALUE"""),"HTML/CSS")</f>
        <v>HTML/CSS</v>
      </c>
      <c r="L1119" s="9" t="str">
        <f>IFERROR(__xludf.DUMMYFUNCTION("""COMPUTED_VALUE"""),"Python")</f>
        <v>Python</v>
      </c>
      <c r="M1119" s="9" t="s">
        <v>30</v>
      </c>
    </row>
    <row r="1120" ht="15.75" customHeight="1">
      <c r="A1120" s="7"/>
      <c r="B1120" s="7" t="str">
        <f>IFERROR(__xludf.DUMMYFUNCTION("""COMPUTED_VALUE"""),"HTML/CSS;JavaScript;SQL")</f>
        <v>HTML/CSS;JavaScript;SQL</v>
      </c>
      <c r="C1120" s="9" t="str">
        <f>IFERROR(__xludf.DUMMYFUNCTION("""COMPUTED_VALUE"""),"C")</f>
        <v>C</v>
      </c>
      <c r="D1120" s="9" t="str">
        <f>IFERROR(__xludf.DUMMYFUNCTION("""COMPUTED_VALUE"""),"Swift")</f>
        <v>Swift</v>
      </c>
      <c r="E1120" s="9" t="str">
        <f>IFERROR(__xludf.DUMMYFUNCTION("""COMPUTED_VALUE"""),"JavaScript")</f>
        <v>JavaScript</v>
      </c>
      <c r="F1120" s="9" t="str">
        <f>IFERROR(__xludf.DUMMYFUNCTION("""COMPUTED_VALUE"""),"C#")</f>
        <v>C#</v>
      </c>
      <c r="G1120" s="9" t="str">
        <f>IFERROR(__xludf.DUMMYFUNCTION("""COMPUTED_VALUE"""),"C#")</f>
        <v>C#</v>
      </c>
      <c r="H1120" s="9" t="str">
        <f>IFERROR(__xludf.DUMMYFUNCTION("""COMPUTED_VALUE"""),"HTML/CSS")</f>
        <v>HTML/CSS</v>
      </c>
      <c r="I1120" s="9" t="str">
        <f>IFERROR(__xludf.DUMMYFUNCTION("""COMPUTED_VALUE"""),"SQL")</f>
        <v>SQL</v>
      </c>
      <c r="J1120" s="9" t="str">
        <f>IFERROR(__xludf.DUMMYFUNCTION("""COMPUTED_VALUE"""),"F#")</f>
        <v>F#</v>
      </c>
      <c r="K1120" s="9" t="str">
        <f>IFERROR(__xludf.DUMMYFUNCTION("""COMPUTED_VALUE"""),"JavaScript")</f>
        <v>JavaScript</v>
      </c>
      <c r="L1120" s="9" t="str">
        <f>IFERROR(__xludf.DUMMYFUNCTION("""COMPUTED_VALUE"""),"SQL")</f>
        <v>SQL</v>
      </c>
      <c r="M1120" s="9" t="s">
        <v>25</v>
      </c>
    </row>
    <row r="1121" ht="15.75" customHeight="1">
      <c r="A1121" s="7"/>
      <c r="B1121" s="7" t="str">
        <f>IFERROR(__xludf.DUMMYFUNCTION("""COMPUTED_VALUE"""),"Go;JavaScript;PHP;TypeScript")</f>
        <v>Go;JavaScript;PHP;TypeScript</v>
      </c>
      <c r="C1121" s="9" t="str">
        <f>IFERROR(__xludf.DUMMYFUNCTION("""COMPUTED_VALUE"""),"HTML/CSS")</f>
        <v>HTML/CSS</v>
      </c>
      <c r="D1121" s="9" t="str">
        <f>IFERROR(__xludf.DUMMYFUNCTION("""COMPUTED_VALUE"""),"TypeScript")</f>
        <v>TypeScript</v>
      </c>
      <c r="E1121" s="9" t="str">
        <f>IFERROR(__xludf.DUMMYFUNCTION("""COMPUTED_VALUE"""),"SQL")</f>
        <v>SQL</v>
      </c>
      <c r="F1121" s="9" t="str">
        <f>IFERROR(__xludf.DUMMYFUNCTION("""COMPUTED_VALUE"""),"SQL")</f>
        <v>SQL</v>
      </c>
      <c r="G1121" s="9" t="str">
        <f>IFERROR(__xludf.DUMMYFUNCTION("""COMPUTED_VALUE"""),"HTML/CSS")</f>
        <v>HTML/CSS</v>
      </c>
      <c r="H1121" s="9" t="str">
        <f>IFERROR(__xludf.DUMMYFUNCTION("""COMPUTED_VALUE"""),"Java")</f>
        <v>Java</v>
      </c>
      <c r="I1121" s="9" t="str">
        <f>IFERROR(__xludf.DUMMYFUNCTION("""COMPUTED_VALUE"""),"Other(s):")</f>
        <v>Other(s):</v>
      </c>
      <c r="J1121" s="9" t="str">
        <f>IFERROR(__xludf.DUMMYFUNCTION("""COMPUTED_VALUE"""),"HTML/CSS")</f>
        <v>HTML/CSS</v>
      </c>
      <c r="K1121" s="9" t="str">
        <f>IFERROR(__xludf.DUMMYFUNCTION("""COMPUTED_VALUE"""),"PHP")</f>
        <v>PHP</v>
      </c>
      <c r="L1121" s="9" t="str">
        <f>IFERROR(__xludf.DUMMYFUNCTION("""COMPUTED_VALUE"""),"TypeScript")</f>
        <v>TypeScript</v>
      </c>
      <c r="M1121" s="9" t="s">
        <v>24</v>
      </c>
    </row>
    <row r="1122" ht="15.75" customHeight="1">
      <c r="A1122" s="7"/>
      <c r="B1122" s="7" t="str">
        <f>IFERROR(__xludf.DUMMYFUNCTION("""COMPUTED_VALUE"""),"HTML/CSS;Java;JavaScript;Kotlin;Python;R;TypeScript")</f>
        <v>HTML/CSS;Java;JavaScript;Kotlin;Python;R;TypeScript</v>
      </c>
      <c r="C1122" s="9" t="str">
        <f>IFERROR(__xludf.DUMMYFUNCTION("""COMPUTED_VALUE"""),"JavaScript")</f>
        <v>JavaScript</v>
      </c>
      <c r="D1122" s="9" t="str">
        <f>IFERROR(__xludf.DUMMYFUNCTION("""COMPUTED_VALUE"""),"HTML/CSS")</f>
        <v>HTML/CSS</v>
      </c>
      <c r="E1122" s="9" t="str">
        <f>IFERROR(__xludf.DUMMYFUNCTION("""COMPUTED_VALUE"""),"TypeScript")</f>
        <v>TypeScript</v>
      </c>
      <c r="F1122" s="9" t="str">
        <f>IFERROR(__xludf.DUMMYFUNCTION("""COMPUTED_VALUE"""),"C++")</f>
        <v>C++</v>
      </c>
      <c r="G1122" s="9" t="str">
        <f>IFERROR(__xludf.DUMMYFUNCTION("""COMPUTED_VALUE"""),"JavaScript")</f>
        <v>JavaScript</v>
      </c>
      <c r="H1122" s="9" t="str">
        <f>IFERROR(__xludf.DUMMYFUNCTION("""COMPUTED_VALUE"""),"JavaScript")</f>
        <v>JavaScript</v>
      </c>
      <c r="I1122" s="9" t="str">
        <f>IFERROR(__xludf.DUMMYFUNCTION("""COMPUTED_VALUE"""),"Bash/Shell/PowerShell")</f>
        <v>Bash/Shell/PowerShell</v>
      </c>
      <c r="J1122" s="9" t="str">
        <f>IFERROR(__xludf.DUMMYFUNCTION("""COMPUTED_VALUE"""),"JavaScript")</f>
        <v>JavaScript</v>
      </c>
      <c r="K1122" s="9" t="str">
        <f>IFERROR(__xludf.DUMMYFUNCTION("""COMPUTED_VALUE"""),"Rust")</f>
        <v>Rust</v>
      </c>
      <c r="L1122" s="9" t="str">
        <f>IFERROR(__xludf.DUMMYFUNCTION("""COMPUTED_VALUE"""),"Bash/Shell/PowerShell")</f>
        <v>Bash/Shell/PowerShell</v>
      </c>
      <c r="M1122" s="9" t="s">
        <v>21</v>
      </c>
    </row>
    <row r="1123" ht="15.75" customHeight="1">
      <c r="A1123" s="7"/>
      <c r="B1123" s="7" t="str">
        <f>IFERROR(__xludf.DUMMYFUNCTION("""COMPUTED_VALUE"""),"Assembly;Bash/Shell/PowerShell;C;Objective-C;Python;Ruby;Swift")</f>
        <v>Assembly;Bash/Shell/PowerShell;C;Objective-C;Python;Ruby;Swift</v>
      </c>
      <c r="C1123" s="9" t="str">
        <f>IFERROR(__xludf.DUMMYFUNCTION("""COMPUTED_VALUE"""),"Other(s):")</f>
        <v>Other(s):</v>
      </c>
      <c r="D1123" s="9" t="str">
        <f>IFERROR(__xludf.DUMMYFUNCTION("""COMPUTED_VALUE"""),"Java")</f>
        <v>Java</v>
      </c>
      <c r="E1123" s="9" t="str">
        <f>IFERROR(__xludf.DUMMYFUNCTION("""COMPUTED_VALUE"""),"Bash/Shell/PowerShell")</f>
        <v>Bash/Shell/PowerShell</v>
      </c>
      <c r="F1123" s="9" t="str">
        <f>IFERROR(__xludf.DUMMYFUNCTION("""COMPUTED_VALUE"""),"C#")</f>
        <v>C#</v>
      </c>
      <c r="G1123" s="9" t="str">
        <f>IFERROR(__xludf.DUMMYFUNCTION("""COMPUTED_VALUE"""),"PHP")</f>
        <v>PHP</v>
      </c>
      <c r="H1123" s="9" t="str">
        <f>IFERROR(__xludf.DUMMYFUNCTION("""COMPUTED_VALUE"""),"SQL")</f>
        <v>SQL</v>
      </c>
      <c r="I1123" s="9" t="str">
        <f>IFERROR(__xludf.DUMMYFUNCTION("""COMPUTED_VALUE"""),"C#")</f>
        <v>C#</v>
      </c>
      <c r="J1123" s="9" t="str">
        <f>IFERROR(__xludf.DUMMYFUNCTION("""COMPUTED_VALUE"""),"PHP")</f>
        <v>PHP</v>
      </c>
      <c r="K1123" s="9" t="str">
        <f>IFERROR(__xludf.DUMMYFUNCTION("""COMPUTED_VALUE"""),"SQL")</f>
        <v>SQL</v>
      </c>
      <c r="L1123" s="9" t="str">
        <f>IFERROR(__xludf.DUMMYFUNCTION("""COMPUTED_VALUE"""),"C")</f>
        <v>C</v>
      </c>
      <c r="M1123" s="9" t="s">
        <v>35</v>
      </c>
    </row>
    <row r="1124" ht="15.75" customHeight="1">
      <c r="A1124" s="7"/>
      <c r="B1124" s="7" t="str">
        <f>IFERROR(__xludf.DUMMYFUNCTION("""COMPUTED_VALUE"""),"C#;HTML/CSS;JavaScript;Python;Rust;TypeScript")</f>
        <v>C#;HTML/CSS;JavaScript;Python;Rust;TypeScript</v>
      </c>
      <c r="C1124" s="9" t="str">
        <f>IFERROR(__xludf.DUMMYFUNCTION("""COMPUTED_VALUE"""),"Java")</f>
        <v>Java</v>
      </c>
      <c r="D1124" s="9" t="str">
        <f>IFERROR(__xludf.DUMMYFUNCTION("""COMPUTED_VALUE"""),"JavaScript")</f>
        <v>JavaScript</v>
      </c>
      <c r="E1124" s="9" t="str">
        <f>IFERROR(__xludf.DUMMYFUNCTION("""COMPUTED_VALUE"""),"C#")</f>
        <v>C#</v>
      </c>
      <c r="F1124" s="9" t="str">
        <f>IFERROR(__xludf.DUMMYFUNCTION("""COMPUTED_VALUE"""),"HTML/CSS")</f>
        <v>HTML/CSS</v>
      </c>
      <c r="G1124" s="9" t="str">
        <f>IFERROR(__xludf.DUMMYFUNCTION("""COMPUTED_VALUE"""),"SQL")</f>
        <v>SQL</v>
      </c>
      <c r="H1124" s="9" t="str">
        <f>IFERROR(__xludf.DUMMYFUNCTION("""COMPUTED_VALUE"""),"C#")</f>
        <v>C#</v>
      </c>
      <c r="I1124" s="9" t="str">
        <f>IFERROR(__xludf.DUMMYFUNCTION("""COMPUTED_VALUE"""),"HTML/CSS")</f>
        <v>HTML/CSS</v>
      </c>
      <c r="J1124" s="9" t="str">
        <f>IFERROR(__xludf.DUMMYFUNCTION("""COMPUTED_VALUE"""),"Python")</f>
        <v>Python</v>
      </c>
      <c r="K1124" s="9" t="str">
        <f>IFERROR(__xludf.DUMMYFUNCTION("""COMPUTED_VALUE"""),"TypeScript")</f>
        <v>TypeScript</v>
      </c>
      <c r="L1124" s="9" t="str">
        <f>IFERROR(__xludf.DUMMYFUNCTION("""COMPUTED_VALUE"""),"C++")</f>
        <v>C++</v>
      </c>
      <c r="M1124" s="9" t="s">
        <v>20</v>
      </c>
    </row>
    <row r="1125" ht="15.75" customHeight="1">
      <c r="A1125" s="7"/>
      <c r="B1125" s="7" t="str">
        <f>IFERROR(__xludf.DUMMYFUNCTION("""COMPUTED_VALUE"""),"C++;C#;JavaScript;PHP;Python;SQL;TypeScript")</f>
        <v>C++;C#;JavaScript;PHP;Python;SQL;TypeScript</v>
      </c>
      <c r="C1125" s="9" t="str">
        <f>IFERROR(__xludf.DUMMYFUNCTION("""COMPUTED_VALUE"""),"Kotlin")</f>
        <v>Kotlin</v>
      </c>
      <c r="D1125" s="9" t="str">
        <f>IFERROR(__xludf.DUMMYFUNCTION("""COMPUTED_VALUE"""),"Bash/Shell/PowerShell")</f>
        <v>Bash/Shell/PowerShell</v>
      </c>
      <c r="E1125" s="9" t="str">
        <f>IFERROR(__xludf.DUMMYFUNCTION("""COMPUTED_VALUE"""),"HTML/CSS")</f>
        <v>HTML/CSS</v>
      </c>
      <c r="F1125" s="9" t="str">
        <f>IFERROR(__xludf.DUMMYFUNCTION("""COMPUTED_VALUE"""),"Java")</f>
        <v>Java</v>
      </c>
      <c r="G1125" s="9" t="str">
        <f>IFERROR(__xludf.DUMMYFUNCTION("""COMPUTED_VALUE"""),"TypeScript")</f>
        <v>TypeScript</v>
      </c>
      <c r="H1125" s="9" t="str">
        <f>IFERROR(__xludf.DUMMYFUNCTION("""COMPUTED_VALUE"""),"Java")</f>
        <v>Java</v>
      </c>
      <c r="I1125" s="9" t="str">
        <f>IFERROR(__xludf.DUMMYFUNCTION("""COMPUTED_VALUE"""),"JavaScript")</f>
        <v>JavaScript</v>
      </c>
      <c r="J1125" s="9" t="str">
        <f>IFERROR(__xludf.DUMMYFUNCTION("""COMPUTED_VALUE"""),"TypeScript")</f>
        <v>TypeScript</v>
      </c>
      <c r="K1125" s="9" t="str">
        <f>IFERROR(__xludf.DUMMYFUNCTION("""COMPUTED_VALUE"""),"Java")</f>
        <v>Java</v>
      </c>
      <c r="L1125" s="9" t="str">
        <f>IFERROR(__xludf.DUMMYFUNCTION("""COMPUTED_VALUE"""),"Java")</f>
        <v>Java</v>
      </c>
      <c r="M1125" s="9" t="s">
        <v>39</v>
      </c>
    </row>
    <row r="1126" ht="15.75" customHeight="1">
      <c r="A1126" s="7"/>
      <c r="B1126" s="7" t="str">
        <f>IFERROR(__xludf.DUMMYFUNCTION("""COMPUTED_VALUE"""),"C;C++;Java;Python")</f>
        <v>C;C++;Java;Python</v>
      </c>
      <c r="C1126" s="9" t="str">
        <f>IFERROR(__xludf.DUMMYFUNCTION("""COMPUTED_VALUE"""),"Go")</f>
        <v>Go</v>
      </c>
      <c r="D1126" s="9" t="str">
        <f>IFERROR(__xludf.DUMMYFUNCTION("""COMPUTED_VALUE"""),"C")</f>
        <v>C</v>
      </c>
      <c r="E1126" s="9" t="str">
        <f>IFERROR(__xludf.DUMMYFUNCTION("""COMPUTED_VALUE"""),"JavaScript")</f>
        <v>JavaScript</v>
      </c>
      <c r="F1126" s="9" t="str">
        <f>IFERROR(__xludf.DUMMYFUNCTION("""COMPUTED_VALUE"""),"JavaScript")</f>
        <v>JavaScript</v>
      </c>
      <c r="G1126" s="9" t="str">
        <f>IFERROR(__xludf.DUMMYFUNCTION("""COMPUTED_VALUE"""),"C#")</f>
        <v>C#</v>
      </c>
      <c r="H1126" s="9" t="str">
        <f>IFERROR(__xludf.DUMMYFUNCTION("""COMPUTED_VALUE"""),"Kotlin")</f>
        <v>Kotlin</v>
      </c>
      <c r="I1126" s="9" t="str">
        <f>IFERROR(__xludf.DUMMYFUNCTION("""COMPUTED_VALUE"""),"PHP")</f>
        <v>PHP</v>
      </c>
      <c r="J1126" s="9" t="str">
        <f>IFERROR(__xludf.DUMMYFUNCTION("""COMPUTED_VALUE"""),"Other(s):")</f>
        <v>Other(s):</v>
      </c>
      <c r="K1126" s="9" t="str">
        <f>IFERROR(__xludf.DUMMYFUNCTION("""COMPUTED_VALUE"""),"Bash/Shell/PowerShell")</f>
        <v>Bash/Shell/PowerShell</v>
      </c>
      <c r="L1126" s="9" t="str">
        <f>IFERROR(__xludf.DUMMYFUNCTION("""COMPUTED_VALUE"""),"JavaScript")</f>
        <v>JavaScript</v>
      </c>
      <c r="M1126" s="9" t="s">
        <v>36</v>
      </c>
    </row>
    <row r="1127" ht="15.75" customHeight="1">
      <c r="A1127" s="7"/>
      <c r="B1127" s="7" t="str">
        <f>IFERROR(__xludf.DUMMYFUNCTION("""COMPUTED_VALUE"""),"Python;SQL")</f>
        <v>Python;SQL</v>
      </c>
      <c r="C1127" s="9" t="str">
        <f>IFERROR(__xludf.DUMMYFUNCTION("""COMPUTED_VALUE"""),"Bash/Shell/PowerShell")</f>
        <v>Bash/Shell/PowerShell</v>
      </c>
      <c r="D1127" s="9" t="str">
        <f>IFERROR(__xludf.DUMMYFUNCTION("""COMPUTED_VALUE"""),"C++")</f>
        <v>C++</v>
      </c>
      <c r="E1127" s="9" t="str">
        <f>IFERROR(__xludf.DUMMYFUNCTION("""COMPUTED_VALUE"""),"Python")</f>
        <v>Python</v>
      </c>
      <c r="F1127" s="9" t="str">
        <f>IFERROR(__xludf.DUMMYFUNCTION("""COMPUTED_VALUE"""),"Python")</f>
        <v>Python</v>
      </c>
      <c r="G1127" s="9" t="str">
        <f>IFERROR(__xludf.DUMMYFUNCTION("""COMPUTED_VALUE"""),"HTML/CSS")</f>
        <v>HTML/CSS</v>
      </c>
      <c r="H1127" s="9" t="str">
        <f>IFERROR(__xludf.DUMMYFUNCTION("""COMPUTED_VALUE"""),"Ruby")</f>
        <v>Ruby</v>
      </c>
      <c r="I1127" s="9" t="str">
        <f>IFERROR(__xludf.DUMMYFUNCTION("""COMPUTED_VALUE"""),"SQL")</f>
        <v>SQL</v>
      </c>
      <c r="J1127" s="9" t="str">
        <f>IFERROR(__xludf.DUMMYFUNCTION("""COMPUTED_VALUE"""),"C++")</f>
        <v>C++</v>
      </c>
      <c r="K1127" s="9" t="str">
        <f>IFERROR(__xludf.DUMMYFUNCTION("""COMPUTED_VALUE"""),"Go")</f>
        <v>Go</v>
      </c>
      <c r="L1127" s="9" t="str">
        <f>IFERROR(__xludf.DUMMYFUNCTION("""COMPUTED_VALUE"""),"C")</f>
        <v>C</v>
      </c>
      <c r="M1127" s="9" t="s">
        <v>30</v>
      </c>
    </row>
    <row r="1128" ht="15.75" customHeight="1">
      <c r="A1128" s="7"/>
      <c r="B1128" s="7" t="str">
        <f>IFERROR(__xludf.DUMMYFUNCTION("""COMPUTED_VALUE"""),"C#;HTML/CSS;Java;JavaScript")</f>
        <v>C#;HTML/CSS;Java;JavaScript</v>
      </c>
      <c r="C1128" s="9" t="str">
        <f>IFERROR(__xludf.DUMMYFUNCTION("""COMPUTED_VALUE"""),"C")</f>
        <v>C</v>
      </c>
      <c r="D1128" s="9" t="str">
        <f>IFERROR(__xludf.DUMMYFUNCTION("""COMPUTED_VALUE"""),"C#")</f>
        <v>C#</v>
      </c>
      <c r="E1128" s="9" t="str">
        <f>IFERROR(__xludf.DUMMYFUNCTION("""COMPUTED_VALUE"""),"Scala")</f>
        <v>Scala</v>
      </c>
      <c r="F1128" s="9" t="str">
        <f>IFERROR(__xludf.DUMMYFUNCTION("""COMPUTED_VALUE"""),"HTML/CSS")</f>
        <v>HTML/CSS</v>
      </c>
      <c r="G1128" s="9" t="str">
        <f>IFERROR(__xludf.DUMMYFUNCTION("""COMPUTED_VALUE"""),"JavaScript")</f>
        <v>JavaScript</v>
      </c>
      <c r="H1128" s="9" t="str">
        <f>IFERROR(__xludf.DUMMYFUNCTION("""COMPUTED_VALUE"""),"SQL")</f>
        <v>SQL</v>
      </c>
      <c r="I1128" s="9" t="str">
        <f>IFERROR(__xludf.DUMMYFUNCTION("""COMPUTED_VALUE"""),"Swift")</f>
        <v>Swift</v>
      </c>
      <c r="J1128" s="9" t="str">
        <f>IFERROR(__xludf.DUMMYFUNCTION("""COMPUTED_VALUE"""),"JavaScript")</f>
        <v>JavaScript</v>
      </c>
      <c r="K1128" s="9" t="str">
        <f>IFERROR(__xludf.DUMMYFUNCTION("""COMPUTED_VALUE"""),"HTML/CSS")</f>
        <v>HTML/CSS</v>
      </c>
      <c r="L1128" s="9" t="str">
        <f>IFERROR(__xludf.DUMMYFUNCTION("""COMPUTED_VALUE"""),"C++")</f>
        <v>C++</v>
      </c>
      <c r="M1128" s="9" t="s">
        <v>25</v>
      </c>
    </row>
    <row r="1129" ht="15.75" customHeight="1">
      <c r="A1129" s="7"/>
      <c r="B1129" s="7" t="str">
        <f>IFERROR(__xludf.DUMMYFUNCTION("""COMPUTED_VALUE"""),"C#;HTML/CSS;Java;JavaScript;Kotlin;PHP;Ruby;TypeScript;Other(s):")</f>
        <v>C#;HTML/CSS;Java;JavaScript;Kotlin;PHP;Ruby;TypeScript;Other(s):</v>
      </c>
      <c r="C1129" s="9" t="str">
        <f>IFERROR(__xludf.DUMMYFUNCTION("""COMPUTED_VALUE"""),"C++")</f>
        <v>C++</v>
      </c>
      <c r="D1129" s="9" t="str">
        <f>IFERROR(__xludf.DUMMYFUNCTION("""COMPUTED_VALUE"""),"HTML/CSS")</f>
        <v>HTML/CSS</v>
      </c>
      <c r="E1129" s="9" t="str">
        <f>IFERROR(__xludf.DUMMYFUNCTION("""COMPUTED_VALUE"""),"SQL")</f>
        <v>SQL</v>
      </c>
      <c r="F1129" s="9" t="str">
        <f>IFERROR(__xludf.DUMMYFUNCTION("""COMPUTED_VALUE"""),"JavaScript")</f>
        <v>JavaScript</v>
      </c>
      <c r="G1129" s="9" t="str">
        <f>IFERROR(__xludf.DUMMYFUNCTION("""COMPUTED_VALUE"""),"SQL")</f>
        <v>SQL</v>
      </c>
      <c r="H1129" s="9" t="str">
        <f>IFERROR(__xludf.DUMMYFUNCTION("""COMPUTED_VALUE"""),"HTML/CSS")</f>
        <v>HTML/CSS</v>
      </c>
      <c r="I1129" s="9" t="str">
        <f>IFERROR(__xludf.DUMMYFUNCTION("""COMPUTED_VALUE"""),"C")</f>
        <v>C</v>
      </c>
      <c r="J1129" s="9" t="str">
        <f>IFERROR(__xludf.DUMMYFUNCTION("""COMPUTED_VALUE"""),"Python")</f>
        <v>Python</v>
      </c>
      <c r="K1129" s="9" t="str">
        <f>IFERROR(__xludf.DUMMYFUNCTION("""COMPUTED_VALUE"""),"JavaScript")</f>
        <v>JavaScript</v>
      </c>
      <c r="L1129" s="9" t="str">
        <f>IFERROR(__xludf.DUMMYFUNCTION("""COMPUTED_VALUE"""),"C#")</f>
        <v>C#</v>
      </c>
      <c r="M1129" s="9" t="s">
        <v>23</v>
      </c>
    </row>
    <row r="1130" ht="15.75" customHeight="1">
      <c r="A1130" s="7"/>
      <c r="B1130" s="7" t="str">
        <f>IFERROR(__xludf.DUMMYFUNCTION("""COMPUTED_VALUE"""),"C#;HTML/CSS;JavaScript;SQL;TypeScript")</f>
        <v>C#;HTML/CSS;JavaScript;SQL;TypeScript</v>
      </c>
      <c r="C1130" s="9" t="str">
        <f>IFERROR(__xludf.DUMMYFUNCTION("""COMPUTED_VALUE"""),"C#")</f>
        <v>C#</v>
      </c>
      <c r="D1130" s="9" t="str">
        <f>IFERROR(__xludf.DUMMYFUNCTION("""COMPUTED_VALUE"""),"JavaScript")</f>
        <v>JavaScript</v>
      </c>
      <c r="E1130" s="9" t="str">
        <f>IFERROR(__xludf.DUMMYFUNCTION("""COMPUTED_VALUE"""),"Assembly")</f>
        <v>Assembly</v>
      </c>
      <c r="F1130" s="9" t="str">
        <f>IFERROR(__xludf.DUMMYFUNCTION("""COMPUTED_VALUE"""),"Python")</f>
        <v>Python</v>
      </c>
      <c r="G1130" s="9" t="str">
        <f>IFERROR(__xludf.DUMMYFUNCTION("""COMPUTED_VALUE"""),"TypeScript")</f>
        <v>TypeScript</v>
      </c>
      <c r="H1130" s="9" t="str">
        <f>IFERROR(__xludf.DUMMYFUNCTION("""COMPUTED_VALUE"""),"JavaScript")</f>
        <v>JavaScript</v>
      </c>
      <c r="I1130" s="9" t="str">
        <f>IFERROR(__xludf.DUMMYFUNCTION("""COMPUTED_VALUE"""),"C++")</f>
        <v>C++</v>
      </c>
      <c r="J1130" s="9" t="str">
        <f>IFERROR(__xludf.DUMMYFUNCTION("""COMPUTED_VALUE"""),"SQL")</f>
        <v>SQL</v>
      </c>
      <c r="K1130" s="9" t="str">
        <f>IFERROR(__xludf.DUMMYFUNCTION("""COMPUTED_VALUE"""),"Python")</f>
        <v>Python</v>
      </c>
      <c r="L1130" s="9" t="str">
        <f>IFERROR(__xludf.DUMMYFUNCTION("""COMPUTED_VALUE"""),"HTML/CSS")</f>
        <v>HTML/CSS</v>
      </c>
      <c r="M1130" s="9" t="s">
        <v>26</v>
      </c>
    </row>
    <row r="1131" ht="15.75" customHeight="1">
      <c r="A1131" s="7"/>
      <c r="B1131" s="7" t="str">
        <f>IFERROR(__xludf.DUMMYFUNCTION("""COMPUTED_VALUE"""),"Bash/Shell/PowerShell;HTML/CSS;JavaScript;Ruby;SQL")</f>
        <v>Bash/Shell/PowerShell;HTML/CSS;JavaScript;Ruby;SQL</v>
      </c>
      <c r="C1131" s="9" t="str">
        <f>IFERROR(__xludf.DUMMYFUNCTION("""COMPUTED_VALUE"""),"HTML/CSS")</f>
        <v>HTML/CSS</v>
      </c>
      <c r="D1131" s="9" t="str">
        <f>IFERROR(__xludf.DUMMYFUNCTION("""COMPUTED_VALUE"""),"PHP")</f>
        <v>PHP</v>
      </c>
      <c r="E1131" s="9" t="str">
        <f>IFERROR(__xludf.DUMMYFUNCTION("""COMPUTED_VALUE"""),"Bash/Shell/PowerShell")</f>
        <v>Bash/Shell/PowerShell</v>
      </c>
      <c r="F1131" s="9" t="str">
        <f>IFERROR(__xludf.DUMMYFUNCTION("""COMPUTED_VALUE"""),"Ruby")</f>
        <v>Ruby</v>
      </c>
      <c r="G1131" s="9" t="str">
        <f>IFERROR(__xludf.DUMMYFUNCTION("""COMPUTED_VALUE"""),"Dart")</f>
        <v>Dart</v>
      </c>
      <c r="H1131" s="9" t="str">
        <f>IFERROR(__xludf.DUMMYFUNCTION("""COMPUTED_VALUE"""),"Swift")</f>
        <v>Swift</v>
      </c>
      <c r="I1131" s="9" t="str">
        <f>IFERROR(__xludf.DUMMYFUNCTION("""COMPUTED_VALUE"""),"C#")</f>
        <v>C#</v>
      </c>
      <c r="J1131" s="9" t="str">
        <f>IFERROR(__xludf.DUMMYFUNCTION("""COMPUTED_VALUE"""),"C++")</f>
        <v>C++</v>
      </c>
      <c r="K1131" s="9" t="str">
        <f>IFERROR(__xludf.DUMMYFUNCTION("""COMPUTED_VALUE"""),"TypeScript")</f>
        <v>TypeScript</v>
      </c>
      <c r="L1131" s="9" t="str">
        <f>IFERROR(__xludf.DUMMYFUNCTION("""COMPUTED_VALUE"""),"Java")</f>
        <v>Java</v>
      </c>
      <c r="M1131" s="9" t="s">
        <v>24</v>
      </c>
    </row>
    <row r="1132" ht="15.75" customHeight="1">
      <c r="A1132" s="7"/>
      <c r="B1132" s="7" t="str">
        <f>IFERROR(__xludf.DUMMYFUNCTION("""COMPUTED_VALUE"""),"C#;HTML/CSS;Java;JavaScript;PHP;Python;TypeScript")</f>
        <v>C#;HTML/CSS;Java;JavaScript;PHP;Python;TypeScript</v>
      </c>
      <c r="C1132" s="9" t="str">
        <f>IFERROR(__xludf.DUMMYFUNCTION("""COMPUTED_VALUE"""),"Java")</f>
        <v>Java</v>
      </c>
      <c r="D1132" s="9" t="str">
        <f>IFERROR(__xludf.DUMMYFUNCTION("""COMPUTED_VALUE"""),"SQL")</f>
        <v>SQL</v>
      </c>
      <c r="E1132" s="9" t="str">
        <f>IFERROR(__xludf.DUMMYFUNCTION("""COMPUTED_VALUE"""),"C")</f>
        <v>C</v>
      </c>
      <c r="F1132" s="9" t="str">
        <f>IFERROR(__xludf.DUMMYFUNCTION("""COMPUTED_VALUE"""),"SQL")</f>
        <v>SQL</v>
      </c>
      <c r="G1132" s="9" t="str">
        <f>IFERROR(__xludf.DUMMYFUNCTION("""COMPUTED_VALUE"""),"JavaScript")</f>
        <v>JavaScript</v>
      </c>
      <c r="H1132" s="9" t="str">
        <f>IFERROR(__xludf.DUMMYFUNCTION("""COMPUTED_VALUE"""),"HTML/CSS")</f>
        <v>HTML/CSS</v>
      </c>
      <c r="I1132" s="9" t="str">
        <f>IFERROR(__xludf.DUMMYFUNCTION("""COMPUTED_VALUE"""),"HTML/CSS")</f>
        <v>HTML/CSS</v>
      </c>
      <c r="J1132" s="9" t="str">
        <f>IFERROR(__xludf.DUMMYFUNCTION("""COMPUTED_VALUE"""),"C#")</f>
        <v>C#</v>
      </c>
      <c r="K1132" s="9" t="str">
        <f>IFERROR(__xludf.DUMMYFUNCTION("""COMPUTED_VALUE"""),"Python")</f>
        <v>Python</v>
      </c>
      <c r="L1132" s="9" t="str">
        <f>IFERROR(__xludf.DUMMYFUNCTION("""COMPUTED_VALUE"""),"JavaScript")</f>
        <v>JavaScript</v>
      </c>
      <c r="M1132" s="9" t="s">
        <v>20</v>
      </c>
    </row>
    <row r="1133" ht="15.75" customHeight="1">
      <c r="A1133" s="7"/>
      <c r="B1133" s="7" t="str">
        <f>IFERROR(__xludf.DUMMYFUNCTION("""COMPUTED_VALUE"""),"JavaScript")</f>
        <v>JavaScript</v>
      </c>
      <c r="C1133" s="9" t="str">
        <f>IFERROR(__xludf.DUMMYFUNCTION("""COMPUTED_VALUE"""),"JavaScript")</f>
        <v>JavaScript</v>
      </c>
      <c r="D1133" s="9" t="str">
        <f>IFERROR(__xludf.DUMMYFUNCTION("""COMPUTED_VALUE"""),"Java")</f>
        <v>Java</v>
      </c>
      <c r="E1133" s="9" t="str">
        <f>IFERROR(__xludf.DUMMYFUNCTION("""COMPUTED_VALUE"""),"C++")</f>
        <v>C++</v>
      </c>
      <c r="F1133" s="9" t="str">
        <f>IFERROR(__xludf.DUMMYFUNCTION("""COMPUTED_VALUE"""),"TypeScript")</f>
        <v>TypeScript</v>
      </c>
      <c r="G1133" s="9" t="str">
        <f>IFERROR(__xludf.DUMMYFUNCTION("""COMPUTED_VALUE"""),"Swift")</f>
        <v>Swift</v>
      </c>
      <c r="H1133" s="9" t="str">
        <f>IFERROR(__xludf.DUMMYFUNCTION("""COMPUTED_VALUE"""),"JavaScript")</f>
        <v>JavaScript</v>
      </c>
      <c r="I1133" s="9" t="str">
        <f>IFERROR(__xludf.DUMMYFUNCTION("""COMPUTED_VALUE"""),"PHP")</f>
        <v>PHP</v>
      </c>
      <c r="J1133" s="9" t="str">
        <f>IFERROR(__xludf.DUMMYFUNCTION("""COMPUTED_VALUE"""),"HTML/CSS")</f>
        <v>HTML/CSS</v>
      </c>
      <c r="K1133" s="9" t="str">
        <f>IFERROR(__xludf.DUMMYFUNCTION("""COMPUTED_VALUE"""),"SQL")</f>
        <v>SQL</v>
      </c>
      <c r="L1133" s="9" t="str">
        <f>IFERROR(__xludf.DUMMYFUNCTION("""COMPUTED_VALUE"""),"PHP")</f>
        <v>PHP</v>
      </c>
      <c r="M1133" s="9" t="s">
        <v>21</v>
      </c>
    </row>
    <row r="1134" ht="15.75" customHeight="1">
      <c r="A1134" s="7"/>
      <c r="B1134" s="7" t="str">
        <f>IFERROR(__xludf.DUMMYFUNCTION("""COMPUTED_VALUE"""),"Python;R;Other(s):")</f>
        <v>Python;R;Other(s):</v>
      </c>
      <c r="C1134" s="9" t="str">
        <f>IFERROR(__xludf.DUMMYFUNCTION("""COMPUTED_VALUE"""),"PHP")</f>
        <v>PHP</v>
      </c>
      <c r="D1134" s="9" t="str">
        <f>IFERROR(__xludf.DUMMYFUNCTION("""COMPUTED_VALUE"""),"JavaScript")</f>
        <v>JavaScript</v>
      </c>
      <c r="E1134" s="9" t="str">
        <f>IFERROR(__xludf.DUMMYFUNCTION("""COMPUTED_VALUE"""),"C#")</f>
        <v>C#</v>
      </c>
      <c r="F1134" s="9" t="str">
        <f>IFERROR(__xludf.DUMMYFUNCTION("""COMPUTED_VALUE"""),"Bash/Shell/PowerShell")</f>
        <v>Bash/Shell/PowerShell</v>
      </c>
      <c r="G1134" s="9" t="str">
        <f>IFERROR(__xludf.DUMMYFUNCTION("""COMPUTED_VALUE"""),"Java")</f>
        <v>Java</v>
      </c>
      <c r="H1134" s="9" t="str">
        <f>IFERROR(__xludf.DUMMYFUNCTION("""COMPUTED_VALUE"""),"Python")</f>
        <v>Python</v>
      </c>
      <c r="I1134" s="9" t="str">
        <f>IFERROR(__xludf.DUMMYFUNCTION("""COMPUTED_VALUE"""),"C")</f>
        <v>C</v>
      </c>
      <c r="J1134" s="9" t="str">
        <f>IFERROR(__xludf.DUMMYFUNCTION("""COMPUTED_VALUE"""),"Java")</f>
        <v>Java</v>
      </c>
      <c r="K1134" s="9" t="str">
        <f>IFERROR(__xludf.DUMMYFUNCTION("""COMPUTED_VALUE"""),"HTML/CSS")</f>
        <v>HTML/CSS</v>
      </c>
      <c r="L1134" s="9" t="str">
        <f>IFERROR(__xludf.DUMMYFUNCTION("""COMPUTED_VALUE"""),"SQL")</f>
        <v>SQL</v>
      </c>
      <c r="M1134" s="9" t="s">
        <v>37</v>
      </c>
    </row>
    <row r="1135" ht="15.75" customHeight="1">
      <c r="A1135" s="7"/>
      <c r="B1135" s="7" t="str">
        <f>IFERROR(__xludf.DUMMYFUNCTION("""COMPUTED_VALUE"""),"Bash/Shell/PowerShell;Dart;HTML/CSS;Java;JavaScript;Objective-C;Swift")</f>
        <v>Bash/Shell/PowerShell;Dart;HTML/CSS;Java;JavaScript;Objective-C;Swift</v>
      </c>
      <c r="C1135" s="9" t="str">
        <f>IFERROR(__xludf.DUMMYFUNCTION("""COMPUTED_VALUE"""),"Python")</f>
        <v>Python</v>
      </c>
      <c r="D1135" s="9" t="str">
        <f>IFERROR(__xludf.DUMMYFUNCTION("""COMPUTED_VALUE"""),"PHP")</f>
        <v>PHP</v>
      </c>
      <c r="E1135" s="9" t="str">
        <f>IFERROR(__xludf.DUMMYFUNCTION("""COMPUTED_VALUE"""),"HTML/CSS")</f>
        <v>HTML/CSS</v>
      </c>
      <c r="F1135" s="9" t="str">
        <f>IFERROR(__xludf.DUMMYFUNCTION("""COMPUTED_VALUE"""),"HTML/CSS")</f>
        <v>HTML/CSS</v>
      </c>
      <c r="G1135" s="9" t="str">
        <f>IFERROR(__xludf.DUMMYFUNCTION("""COMPUTED_VALUE"""),"JavaScript")</f>
        <v>JavaScript</v>
      </c>
      <c r="H1135" s="9" t="str">
        <f>IFERROR(__xludf.DUMMYFUNCTION("""COMPUTED_VALUE"""),"Bash/Shell/PowerShell")</f>
        <v>Bash/Shell/PowerShell</v>
      </c>
      <c r="I1135" s="9" t="str">
        <f>IFERROR(__xludf.DUMMYFUNCTION("""COMPUTED_VALUE"""),"HTML/CSS")</f>
        <v>HTML/CSS</v>
      </c>
      <c r="J1135" s="9" t="str">
        <f>IFERROR(__xludf.DUMMYFUNCTION("""COMPUTED_VALUE"""),"JavaScript")</f>
        <v>JavaScript</v>
      </c>
      <c r="K1135" s="9" t="str">
        <f>IFERROR(__xludf.DUMMYFUNCTION("""COMPUTED_VALUE"""),"JavaScript")</f>
        <v>JavaScript</v>
      </c>
      <c r="L1135" s="9" t="str">
        <f>IFERROR(__xludf.DUMMYFUNCTION("""COMPUTED_VALUE"""),"C++")</f>
        <v>C++</v>
      </c>
      <c r="M1135" s="9" t="s">
        <v>22</v>
      </c>
    </row>
    <row r="1136" ht="15.75" customHeight="1">
      <c r="A1136" s="7"/>
      <c r="B1136" s="7" t="str">
        <f>IFERROR(__xludf.DUMMYFUNCTION("""COMPUTED_VALUE"""),"Bash/Shell/PowerShell;Python;SQL;Other(s):")</f>
        <v>Bash/Shell/PowerShell;Python;SQL;Other(s):</v>
      </c>
      <c r="C1136" s="9" t="str">
        <f>IFERROR(__xludf.DUMMYFUNCTION("""COMPUTED_VALUE"""),"R")</f>
        <v>R</v>
      </c>
      <c r="D1136" s="9" t="str">
        <f>IFERROR(__xludf.DUMMYFUNCTION("""COMPUTED_VALUE"""),"C++")</f>
        <v>C++</v>
      </c>
      <c r="E1136" s="9" t="str">
        <f>IFERROR(__xludf.DUMMYFUNCTION("""COMPUTED_VALUE"""),"Java")</f>
        <v>Java</v>
      </c>
      <c r="F1136" s="9" t="str">
        <f>IFERROR(__xludf.DUMMYFUNCTION("""COMPUTED_VALUE"""),"Python")</f>
        <v>Python</v>
      </c>
      <c r="G1136" s="9" t="str">
        <f>IFERROR(__xludf.DUMMYFUNCTION("""COMPUTED_VALUE"""),"Kotlin")</f>
        <v>Kotlin</v>
      </c>
      <c r="H1136" s="9" t="str">
        <f>IFERROR(__xludf.DUMMYFUNCTION("""COMPUTED_VALUE"""),"PHP")</f>
        <v>PHP</v>
      </c>
      <c r="I1136" s="9" t="str">
        <f>IFERROR(__xludf.DUMMYFUNCTION("""COMPUTED_VALUE"""),"Java")</f>
        <v>Java</v>
      </c>
      <c r="J1136" s="9" t="str">
        <f>IFERROR(__xludf.DUMMYFUNCTION("""COMPUTED_VALUE"""),"SQL")</f>
        <v>SQL</v>
      </c>
      <c r="K1136" s="9" t="str">
        <f>IFERROR(__xludf.DUMMYFUNCTION("""COMPUTED_VALUE"""),"SQL")</f>
        <v>SQL</v>
      </c>
      <c r="L1136" s="9" t="str">
        <f>IFERROR(__xludf.DUMMYFUNCTION("""COMPUTED_VALUE"""),"C#")</f>
        <v>C#</v>
      </c>
      <c r="M1136" s="9" t="s">
        <v>29</v>
      </c>
    </row>
    <row r="1137" ht="15.75" customHeight="1">
      <c r="A1137" s="7"/>
      <c r="B1137" s="7" t="str">
        <f>IFERROR(__xludf.DUMMYFUNCTION("""COMPUTED_VALUE"""),"C#;HTML/CSS;JavaScript;SQL;TypeScript")</f>
        <v>C#;HTML/CSS;JavaScript;SQL;TypeScript</v>
      </c>
      <c r="C1137" s="9" t="str">
        <f>IFERROR(__xludf.DUMMYFUNCTION("""COMPUTED_VALUE"""),"SQL")</f>
        <v>SQL</v>
      </c>
      <c r="D1137" s="9" t="str">
        <f>IFERROR(__xludf.DUMMYFUNCTION("""COMPUTED_VALUE"""),"C#")</f>
        <v>C#</v>
      </c>
      <c r="E1137" s="9" t="str">
        <f>IFERROR(__xludf.DUMMYFUNCTION("""COMPUTED_VALUE"""),"JavaScript")</f>
        <v>JavaScript</v>
      </c>
      <c r="F1137" s="9" t="str">
        <f>IFERROR(__xludf.DUMMYFUNCTION("""COMPUTED_VALUE"""),"R")</f>
        <v>R</v>
      </c>
      <c r="G1137" s="9" t="str">
        <f>IFERROR(__xludf.DUMMYFUNCTION("""COMPUTED_VALUE"""),"Bash/Shell/PowerShell")</f>
        <v>Bash/Shell/PowerShell</v>
      </c>
      <c r="H1137" s="9" t="str">
        <f>IFERROR(__xludf.DUMMYFUNCTION("""COMPUTED_VALUE"""),"Clojure")</f>
        <v>Clojure</v>
      </c>
      <c r="I1137" s="9" t="str">
        <f>IFERROR(__xludf.DUMMYFUNCTION("""COMPUTED_VALUE"""),"JavaScript")</f>
        <v>JavaScript</v>
      </c>
      <c r="J1137" s="9" t="str">
        <f>IFERROR(__xludf.DUMMYFUNCTION("""COMPUTED_VALUE"""),"C#")</f>
        <v>C#</v>
      </c>
      <c r="K1137" s="9" t="str">
        <f>IFERROR(__xludf.DUMMYFUNCTION("""COMPUTED_VALUE"""),"Bash/Shell/PowerShell")</f>
        <v>Bash/Shell/PowerShell</v>
      </c>
      <c r="L1137" s="9" t="str">
        <f>IFERROR(__xludf.DUMMYFUNCTION("""COMPUTED_VALUE"""),"HTML/CSS")</f>
        <v>HTML/CSS</v>
      </c>
      <c r="M1137" s="9" t="s">
        <v>27</v>
      </c>
    </row>
    <row r="1138" ht="15.75" customHeight="1">
      <c r="A1138" s="7"/>
      <c r="B1138" s="7" t="str">
        <f>IFERROR(__xludf.DUMMYFUNCTION("""COMPUTED_VALUE"""),"JavaScript;PHP;SQL")</f>
        <v>JavaScript;PHP;SQL</v>
      </c>
      <c r="C1138" s="9" t="str">
        <f>IFERROR(__xludf.DUMMYFUNCTION("""COMPUTED_VALUE"""),"HTML/CSS")</f>
        <v>HTML/CSS</v>
      </c>
      <c r="D1138" s="9" t="str">
        <f>IFERROR(__xludf.DUMMYFUNCTION("""COMPUTED_VALUE"""),"HTML/CSS")</f>
        <v>HTML/CSS</v>
      </c>
      <c r="E1138" s="9" t="str">
        <f>IFERROR(__xludf.DUMMYFUNCTION("""COMPUTED_VALUE"""),"PHP")</f>
        <v>PHP</v>
      </c>
      <c r="F1138" s="9" t="str">
        <f>IFERROR(__xludf.DUMMYFUNCTION("""COMPUTED_VALUE"""),"SQL")</f>
        <v>SQL</v>
      </c>
      <c r="G1138" s="9" t="str">
        <f>IFERROR(__xludf.DUMMYFUNCTION("""COMPUTED_VALUE"""),"C")</f>
        <v>C</v>
      </c>
      <c r="H1138" s="9" t="str">
        <f>IFERROR(__xludf.DUMMYFUNCTION("""COMPUTED_VALUE"""),"Java")</f>
        <v>Java</v>
      </c>
      <c r="I1138" s="9" t="str">
        <f>IFERROR(__xludf.DUMMYFUNCTION("""COMPUTED_VALUE"""),"Python")</f>
        <v>Python</v>
      </c>
      <c r="J1138" s="9" t="str">
        <f>IFERROR(__xludf.DUMMYFUNCTION("""COMPUTED_VALUE"""),"HTML/CSS")</f>
        <v>HTML/CSS</v>
      </c>
      <c r="K1138" s="9" t="str">
        <f>IFERROR(__xludf.DUMMYFUNCTION("""COMPUTED_VALUE"""),"Python")</f>
        <v>Python</v>
      </c>
      <c r="L1138" s="9" t="str">
        <f>IFERROR(__xludf.DUMMYFUNCTION("""COMPUTED_VALUE"""),"JavaScript")</f>
        <v>JavaScript</v>
      </c>
      <c r="M1138" s="9" t="s">
        <v>24</v>
      </c>
    </row>
    <row r="1139" ht="15.75" customHeight="1">
      <c r="A1139" s="7"/>
      <c r="B1139" s="7" t="str">
        <f>IFERROR(__xludf.DUMMYFUNCTION("""COMPUTED_VALUE"""),"Assembly;Bash/Shell/PowerShell;Go;Python")</f>
        <v>Assembly;Bash/Shell/PowerShell;Go;Python</v>
      </c>
      <c r="C1139" s="9" t="str">
        <f>IFERROR(__xludf.DUMMYFUNCTION("""COMPUTED_VALUE"""),"JavaScript")</f>
        <v>JavaScript</v>
      </c>
      <c r="D1139" s="9" t="str">
        <f>IFERROR(__xludf.DUMMYFUNCTION("""COMPUTED_VALUE"""),"Java")</f>
        <v>Java</v>
      </c>
      <c r="E1139" s="9" t="str">
        <f>IFERROR(__xludf.DUMMYFUNCTION("""COMPUTED_VALUE"""),"SQL")</f>
        <v>SQL</v>
      </c>
      <c r="F1139" s="9" t="str">
        <f>IFERROR(__xludf.DUMMYFUNCTION("""COMPUTED_VALUE"""),"HTML/CSS")</f>
        <v>HTML/CSS</v>
      </c>
      <c r="G1139" s="9" t="str">
        <f>IFERROR(__xludf.DUMMYFUNCTION("""COMPUTED_VALUE"""),"HTML/CSS")</f>
        <v>HTML/CSS</v>
      </c>
      <c r="H1139" s="9" t="str">
        <f>IFERROR(__xludf.DUMMYFUNCTION("""COMPUTED_VALUE"""),"C")</f>
        <v>C</v>
      </c>
      <c r="I1139" s="9" t="str">
        <f>IFERROR(__xludf.DUMMYFUNCTION("""COMPUTED_VALUE"""),"R")</f>
        <v>R</v>
      </c>
      <c r="J1139" s="9" t="str">
        <f>IFERROR(__xludf.DUMMYFUNCTION("""COMPUTED_VALUE"""),"JavaScript")</f>
        <v>JavaScript</v>
      </c>
      <c r="K1139" s="9" t="str">
        <f>IFERROR(__xludf.DUMMYFUNCTION("""COMPUTED_VALUE"""),"Bash/Shell/PowerShell")</f>
        <v>Bash/Shell/PowerShell</v>
      </c>
      <c r="L1139" s="9" t="str">
        <f>IFERROR(__xludf.DUMMYFUNCTION("""COMPUTED_VALUE"""),"PHP")</f>
        <v>PHP</v>
      </c>
      <c r="M1139" s="9" t="s">
        <v>21</v>
      </c>
    </row>
    <row r="1140" ht="15.75" customHeight="1">
      <c r="A1140" s="7"/>
      <c r="B1140" s="7" t="str">
        <f>IFERROR(__xludf.DUMMYFUNCTION("""COMPUTED_VALUE"""),"Bash/Shell/PowerShell;Go;HTML/CSS;Java;JavaScript;Kotlin;TypeScript")</f>
        <v>Bash/Shell/PowerShell;Go;HTML/CSS;Java;JavaScript;Kotlin;TypeScript</v>
      </c>
      <c r="C1140" s="9" t="str">
        <f>IFERROR(__xludf.DUMMYFUNCTION("""COMPUTED_VALUE"""),"PHP")</f>
        <v>PHP</v>
      </c>
      <c r="D1140" s="9" t="str">
        <f>IFERROR(__xludf.DUMMYFUNCTION("""COMPUTED_VALUE"""),"JavaScript")</f>
        <v>JavaScript</v>
      </c>
      <c r="E1140" s="9" t="str">
        <f>IFERROR(__xludf.DUMMYFUNCTION("""COMPUTED_VALUE"""),"Bash/Shell/PowerShell")</f>
        <v>Bash/Shell/PowerShell</v>
      </c>
      <c r="F1140" s="9" t="str">
        <f>IFERROR(__xludf.DUMMYFUNCTION("""COMPUTED_VALUE"""),"Java")</f>
        <v>Java</v>
      </c>
      <c r="G1140" s="9" t="str">
        <f>IFERROR(__xludf.DUMMYFUNCTION("""COMPUTED_VALUE"""),"Java")</f>
        <v>Java</v>
      </c>
      <c r="H1140" s="9" t="str">
        <f>IFERROR(__xludf.DUMMYFUNCTION("""COMPUTED_VALUE"""),"C++")</f>
        <v>C++</v>
      </c>
      <c r="I1140" s="9" t="str">
        <f>IFERROR(__xludf.DUMMYFUNCTION("""COMPUTED_VALUE"""),"TypeScript")</f>
        <v>TypeScript</v>
      </c>
      <c r="J1140" s="9" t="str">
        <f>IFERROR(__xludf.DUMMYFUNCTION("""COMPUTED_VALUE"""),"SQL")</f>
        <v>SQL</v>
      </c>
      <c r="K1140" s="9" t="str">
        <f>IFERROR(__xludf.DUMMYFUNCTION("""COMPUTED_VALUE"""),"C")</f>
        <v>C</v>
      </c>
      <c r="L1140" s="9" t="str">
        <f>IFERROR(__xludf.DUMMYFUNCTION("""COMPUTED_VALUE"""),"SQL")</f>
        <v>SQL</v>
      </c>
      <c r="M1140" s="9" t="s">
        <v>37</v>
      </c>
    </row>
    <row r="1141" ht="15.75" customHeight="1">
      <c r="A1141" s="7"/>
      <c r="B1141" s="7" t="str">
        <f>IFERROR(__xludf.DUMMYFUNCTION("""COMPUTED_VALUE"""),"Bash/Shell/PowerShell;C;HTML/CSS;Java;JavaScript;Objective-C;PHP;Python;Ruby;SQL;TypeScript")</f>
        <v>Bash/Shell/PowerShell;C;HTML/CSS;Java;JavaScript;Objective-C;PHP;Python;Ruby;SQL;TypeScript</v>
      </c>
      <c r="C1141" s="9" t="str">
        <f>IFERROR(__xludf.DUMMYFUNCTION("""COMPUTED_VALUE"""),"Python")</f>
        <v>Python</v>
      </c>
      <c r="D1141" s="9" t="str">
        <f>IFERROR(__xludf.DUMMYFUNCTION("""COMPUTED_VALUE"""),"PHP")</f>
        <v>PHP</v>
      </c>
      <c r="E1141" s="9" t="str">
        <f>IFERROR(__xludf.DUMMYFUNCTION("""COMPUTED_VALUE"""),"Python")</f>
        <v>Python</v>
      </c>
      <c r="F1141" s="9" t="str">
        <f>IFERROR(__xludf.DUMMYFUNCTION("""COMPUTED_VALUE"""),"JavaScript")</f>
        <v>JavaScript</v>
      </c>
      <c r="G1141" s="9" t="str">
        <f>IFERROR(__xludf.DUMMYFUNCTION("""COMPUTED_VALUE"""),"JavaScript")</f>
        <v>JavaScript</v>
      </c>
      <c r="H1141" s="9" t="str">
        <f>IFERROR(__xludf.DUMMYFUNCTION("""COMPUTED_VALUE"""),"HTML/CSS")</f>
        <v>HTML/CSS</v>
      </c>
      <c r="I1141" s="9" t="str">
        <f>IFERROR(__xludf.DUMMYFUNCTION("""COMPUTED_VALUE"""),"Java")</f>
        <v>Java</v>
      </c>
      <c r="J1141" s="9" t="str">
        <f>IFERROR(__xludf.DUMMYFUNCTION("""COMPUTED_VALUE"""),"SQL")</f>
        <v>SQL</v>
      </c>
      <c r="K1141" s="9" t="str">
        <f>IFERROR(__xludf.DUMMYFUNCTION("""COMPUTED_VALUE"""),"Java")</f>
        <v>Java</v>
      </c>
      <c r="L1141" s="9" t="str">
        <f>IFERROR(__xludf.DUMMYFUNCTION("""COMPUTED_VALUE"""),"HTML/CSS")</f>
        <v>HTML/CSS</v>
      </c>
      <c r="M1141" s="9" t="s">
        <v>22</v>
      </c>
    </row>
    <row r="1142" ht="15.75" customHeight="1">
      <c r="A1142" s="7"/>
      <c r="B1142" s="7" t="str">
        <f>IFERROR(__xludf.DUMMYFUNCTION("""COMPUTED_VALUE"""),"C;C++")</f>
        <v>C;C++</v>
      </c>
      <c r="C1142" s="9" t="str">
        <f>IFERROR(__xludf.DUMMYFUNCTION("""COMPUTED_VALUE"""),"SQL")</f>
        <v>SQL</v>
      </c>
      <c r="D1142" s="9" t="str">
        <f>IFERROR(__xludf.DUMMYFUNCTION("""COMPUTED_VALUE"""),"SQL")</f>
        <v>SQL</v>
      </c>
      <c r="E1142" s="9" t="str">
        <f>IFERROR(__xludf.DUMMYFUNCTION("""COMPUTED_VALUE"""),"C++")</f>
        <v>C++</v>
      </c>
      <c r="F1142" s="9" t="str">
        <f>IFERROR(__xludf.DUMMYFUNCTION("""COMPUTED_VALUE"""),"PHP")</f>
        <v>PHP</v>
      </c>
      <c r="G1142" s="9" t="str">
        <f>IFERROR(__xludf.DUMMYFUNCTION("""COMPUTED_VALUE"""),"PHP")</f>
        <v>PHP</v>
      </c>
      <c r="H1142" s="9" t="str">
        <f>IFERROR(__xludf.DUMMYFUNCTION("""COMPUTED_VALUE"""),"Java")</f>
        <v>Java</v>
      </c>
      <c r="I1142" s="9" t="str">
        <f>IFERROR(__xludf.DUMMYFUNCTION("""COMPUTED_VALUE"""),"Bash/Shell/PowerShell")</f>
        <v>Bash/Shell/PowerShell</v>
      </c>
      <c r="J1142" s="9" t="str">
        <f>IFERROR(__xludf.DUMMYFUNCTION("""COMPUTED_VALUE"""),"HTML/CSS")</f>
        <v>HTML/CSS</v>
      </c>
      <c r="K1142" s="9" t="str">
        <f>IFERROR(__xludf.DUMMYFUNCTION("""COMPUTED_VALUE"""),"JavaScript")</f>
        <v>JavaScript</v>
      </c>
      <c r="L1142" s="9" t="str">
        <f>IFERROR(__xludf.DUMMYFUNCTION("""COMPUTED_VALUE"""),"JavaScript")</f>
        <v>JavaScript</v>
      </c>
      <c r="M1142" s="9" t="s">
        <v>27</v>
      </c>
    </row>
    <row r="1143" ht="15.75" customHeight="1">
      <c r="A1143" s="7"/>
      <c r="B1143" s="7" t="str">
        <f>IFERROR(__xludf.DUMMYFUNCTION("""COMPUTED_VALUE"""),"HTML/CSS;Java;JavaScript;PHP;SQL")</f>
        <v>HTML/CSS;Java;JavaScript;PHP;SQL</v>
      </c>
      <c r="C1143" s="9" t="str">
        <f>IFERROR(__xludf.DUMMYFUNCTION("""COMPUTED_VALUE"""),"Bash/Shell/PowerShell")</f>
        <v>Bash/Shell/PowerShell</v>
      </c>
      <c r="D1143" s="9" t="str">
        <f>IFERROR(__xludf.DUMMYFUNCTION("""COMPUTED_VALUE"""),"TypeScript")</f>
        <v>TypeScript</v>
      </c>
      <c r="E1143" s="9" t="str">
        <f>IFERROR(__xludf.DUMMYFUNCTION("""COMPUTED_VALUE"""),"C#")</f>
        <v>C#</v>
      </c>
      <c r="F1143" s="9" t="str">
        <f>IFERROR(__xludf.DUMMYFUNCTION("""COMPUTED_VALUE"""),"Python")</f>
        <v>Python</v>
      </c>
      <c r="G1143" s="9" t="str">
        <f>IFERROR(__xludf.DUMMYFUNCTION("""COMPUTED_VALUE"""),"SQL")</f>
        <v>SQL</v>
      </c>
      <c r="H1143" s="9" t="str">
        <f>IFERROR(__xludf.DUMMYFUNCTION("""COMPUTED_VALUE"""),"JavaScript")</f>
        <v>JavaScript</v>
      </c>
      <c r="I1143" s="9" t="str">
        <f>IFERROR(__xludf.DUMMYFUNCTION("""COMPUTED_VALUE"""),"C++")</f>
        <v>C++</v>
      </c>
      <c r="J1143" s="9" t="str">
        <f>IFERROR(__xludf.DUMMYFUNCTION("""COMPUTED_VALUE"""),"JavaScript")</f>
        <v>JavaScript</v>
      </c>
      <c r="K1143" s="9" t="str">
        <f>IFERROR(__xludf.DUMMYFUNCTION("""COMPUTED_VALUE"""),"Scala")</f>
        <v>Scala</v>
      </c>
      <c r="L1143" s="9" t="str">
        <f>IFERROR(__xludf.DUMMYFUNCTION("""COMPUTED_VALUE"""),"Python")</f>
        <v>Python</v>
      </c>
      <c r="M1143" s="9" t="s">
        <v>30</v>
      </c>
    </row>
    <row r="1144" ht="15.75" customHeight="1">
      <c r="A1144" s="7"/>
      <c r="B1144" s="7" t="str">
        <f>IFERROR(__xludf.DUMMYFUNCTION("""COMPUTED_VALUE"""),"Bash/Shell/PowerShell;HTML/CSS;JavaScript;Python")</f>
        <v>Bash/Shell/PowerShell;HTML/CSS;JavaScript;Python</v>
      </c>
      <c r="C1144" s="9" t="str">
        <f>IFERROR(__xludf.DUMMYFUNCTION("""COMPUTED_VALUE"""),"HTML/CSS")</f>
        <v>HTML/CSS</v>
      </c>
      <c r="D1144" s="9" t="str">
        <f>IFERROR(__xludf.DUMMYFUNCTION("""COMPUTED_VALUE"""),"C#")</f>
        <v>C#</v>
      </c>
      <c r="E1144" s="9" t="str">
        <f>IFERROR(__xludf.DUMMYFUNCTION("""COMPUTED_VALUE"""),"HTML/CSS")</f>
        <v>HTML/CSS</v>
      </c>
      <c r="F1144" s="9" t="str">
        <f>IFERROR(__xludf.DUMMYFUNCTION("""COMPUTED_VALUE"""),"Assembly")</f>
        <v>Assembly</v>
      </c>
      <c r="G1144" s="9" t="str">
        <f>IFERROR(__xludf.DUMMYFUNCTION("""COMPUTED_VALUE"""),"Dart")</f>
        <v>Dart</v>
      </c>
      <c r="H1144" s="9" t="str">
        <f>IFERROR(__xludf.DUMMYFUNCTION("""COMPUTED_VALUE"""),"SQL")</f>
        <v>SQL</v>
      </c>
      <c r="I1144" s="9" t="str">
        <f>IFERROR(__xludf.DUMMYFUNCTION("""COMPUTED_VALUE"""),"HTML/CSS")</f>
        <v>HTML/CSS</v>
      </c>
      <c r="J1144" s="9" t="str">
        <f>IFERROR(__xludf.DUMMYFUNCTION("""COMPUTED_VALUE"""),"Python")</f>
        <v>Python</v>
      </c>
      <c r="K1144" s="9" t="str">
        <f>IFERROR(__xludf.DUMMYFUNCTION("""COMPUTED_VALUE"""),"SQL")</f>
        <v>SQL</v>
      </c>
      <c r="L1144" s="9" t="str">
        <f>IFERROR(__xludf.DUMMYFUNCTION("""COMPUTED_VALUE"""),"Rust")</f>
        <v>Rust</v>
      </c>
      <c r="M1144" s="9" t="s">
        <v>24</v>
      </c>
    </row>
    <row r="1145" ht="15.75" customHeight="1">
      <c r="A1145" s="7"/>
      <c r="B1145" s="7" t="str">
        <f>IFERROR(__xludf.DUMMYFUNCTION("""COMPUTED_VALUE"""),"Bash/Shell/PowerShell;C#;HTML/CSS;JavaScript;TypeScript;Other(s):")</f>
        <v>Bash/Shell/PowerShell;C#;HTML/CSS;JavaScript;TypeScript;Other(s):</v>
      </c>
      <c r="C1145" s="9" t="str">
        <f>IFERROR(__xludf.DUMMYFUNCTION("""COMPUTED_VALUE"""),"JavaScript")</f>
        <v>JavaScript</v>
      </c>
      <c r="D1145" s="9" t="str">
        <f>IFERROR(__xludf.DUMMYFUNCTION("""COMPUTED_VALUE"""),"Java")</f>
        <v>Java</v>
      </c>
      <c r="E1145" s="9" t="str">
        <f>IFERROR(__xludf.DUMMYFUNCTION("""COMPUTED_VALUE"""),"Java")</f>
        <v>Java</v>
      </c>
      <c r="F1145" s="9" t="str">
        <f>IFERROR(__xludf.DUMMYFUNCTION("""COMPUTED_VALUE"""),"C")</f>
        <v>C</v>
      </c>
      <c r="G1145" s="9" t="str">
        <f>IFERROR(__xludf.DUMMYFUNCTION("""COMPUTED_VALUE"""),"Java")</f>
        <v>Java</v>
      </c>
      <c r="H1145" s="9" t="str">
        <f>IFERROR(__xludf.DUMMYFUNCTION("""COMPUTED_VALUE"""),"C#")</f>
        <v>C#</v>
      </c>
      <c r="I1145" s="9" t="str">
        <f>IFERROR(__xludf.DUMMYFUNCTION("""COMPUTED_VALUE"""),"Java")</f>
        <v>Java</v>
      </c>
      <c r="J1145" s="9" t="str">
        <f>IFERROR(__xludf.DUMMYFUNCTION("""COMPUTED_VALUE"""),"Java")</f>
        <v>Java</v>
      </c>
      <c r="K1145" s="9" t="str">
        <f>IFERROR(__xludf.DUMMYFUNCTION("""COMPUTED_VALUE"""),"C#")</f>
        <v>C#</v>
      </c>
      <c r="L1145" s="9" t="str">
        <f>IFERROR(__xludf.DUMMYFUNCTION("""COMPUTED_VALUE"""),"SQL")</f>
        <v>SQL</v>
      </c>
      <c r="M1145" s="9" t="s">
        <v>21</v>
      </c>
    </row>
    <row r="1146" ht="15.75" customHeight="1">
      <c r="A1146" s="7"/>
      <c r="B1146" s="7" t="str">
        <f>IFERROR(__xludf.DUMMYFUNCTION("""COMPUTED_VALUE"""),"C;C++;Python;SQL")</f>
        <v>C;C++;Python;SQL</v>
      </c>
      <c r="C1146" s="9" t="str">
        <f>IFERROR(__xludf.DUMMYFUNCTION("""COMPUTED_VALUE"""),"Python")</f>
        <v>Python</v>
      </c>
      <c r="D1146" s="9" t="str">
        <f>IFERROR(__xludf.DUMMYFUNCTION("""COMPUTED_VALUE"""),"HTML/CSS")</f>
        <v>HTML/CSS</v>
      </c>
      <c r="E1146" s="9" t="str">
        <f>IFERROR(__xludf.DUMMYFUNCTION("""COMPUTED_VALUE"""),"JavaScript")</f>
        <v>JavaScript</v>
      </c>
      <c r="F1146" s="9" t="str">
        <f>IFERROR(__xludf.DUMMYFUNCTION("""COMPUTED_VALUE"""),"C++")</f>
        <v>C++</v>
      </c>
      <c r="G1146" s="9" t="str">
        <f>IFERROR(__xludf.DUMMYFUNCTION("""COMPUTED_VALUE"""),"HTML/CSS")</f>
        <v>HTML/CSS</v>
      </c>
      <c r="H1146" s="9" t="str">
        <f>IFERROR(__xludf.DUMMYFUNCTION("""COMPUTED_VALUE"""),"JavaScript")</f>
        <v>JavaScript</v>
      </c>
      <c r="I1146" s="9" t="str">
        <f>IFERROR(__xludf.DUMMYFUNCTION("""COMPUTED_VALUE"""),"Python")</f>
        <v>Python</v>
      </c>
      <c r="J1146" s="9" t="str">
        <f>IFERROR(__xludf.DUMMYFUNCTION("""COMPUTED_VALUE"""),"Bash/Shell/PowerShell")</f>
        <v>Bash/Shell/PowerShell</v>
      </c>
      <c r="K1146" s="9" t="str">
        <f>IFERROR(__xludf.DUMMYFUNCTION("""COMPUTED_VALUE"""),"HTML/CSS")</f>
        <v>HTML/CSS</v>
      </c>
      <c r="L1146" s="9" t="str">
        <f>IFERROR(__xludf.DUMMYFUNCTION("""COMPUTED_VALUE"""),"TypeScript")</f>
        <v>TypeScript</v>
      </c>
      <c r="M1146" s="9" t="s">
        <v>22</v>
      </c>
    </row>
    <row r="1147" ht="15.75" customHeight="1">
      <c r="A1147" s="7"/>
      <c r="B1147" s="7" t="str">
        <f>IFERROR(__xludf.DUMMYFUNCTION("""COMPUTED_VALUE"""),"HTML/CSS;JavaScript;Ruby;SQL")</f>
        <v>HTML/CSS;JavaScript;Ruby;SQL</v>
      </c>
      <c r="C1147" s="9" t="str">
        <f>IFERROR(__xludf.DUMMYFUNCTION("""COMPUTED_VALUE"""),"SQL")</f>
        <v>SQL</v>
      </c>
      <c r="D1147" s="9" t="str">
        <f>IFERROR(__xludf.DUMMYFUNCTION("""COMPUTED_VALUE"""),"Java")</f>
        <v>Java</v>
      </c>
      <c r="E1147" s="9" t="str">
        <f>IFERROR(__xludf.DUMMYFUNCTION("""COMPUTED_VALUE"""),"PHP")</f>
        <v>PHP</v>
      </c>
      <c r="F1147" s="9" t="str">
        <f>IFERROR(__xludf.DUMMYFUNCTION("""COMPUTED_VALUE"""),"JavaScript")</f>
        <v>JavaScript</v>
      </c>
      <c r="G1147" s="9" t="str">
        <f>IFERROR(__xludf.DUMMYFUNCTION("""COMPUTED_VALUE"""),"Java")</f>
        <v>Java</v>
      </c>
      <c r="H1147" s="9" t="str">
        <f>IFERROR(__xludf.DUMMYFUNCTION("""COMPUTED_VALUE"""),"SQL")</f>
        <v>SQL</v>
      </c>
      <c r="I1147" s="9" t="str">
        <f>IFERROR(__xludf.DUMMYFUNCTION("""COMPUTED_VALUE"""),"Bash/Shell/PowerShell")</f>
        <v>Bash/Shell/PowerShell</v>
      </c>
      <c r="J1147" s="9" t="str">
        <f>IFERROR(__xludf.DUMMYFUNCTION("""COMPUTED_VALUE"""),"C")</f>
        <v>C</v>
      </c>
      <c r="K1147" s="9" t="str">
        <f>IFERROR(__xludf.DUMMYFUNCTION("""COMPUTED_VALUE"""),"JavaScript")</f>
        <v>JavaScript</v>
      </c>
      <c r="L1147" s="9" t="str">
        <f>IFERROR(__xludf.DUMMYFUNCTION("""COMPUTED_VALUE"""),"Bash/Shell/PowerShell")</f>
        <v>Bash/Shell/PowerShell</v>
      </c>
      <c r="M1147" s="9" t="s">
        <v>27</v>
      </c>
    </row>
    <row r="1148" ht="15.75" customHeight="1">
      <c r="A1148" s="7"/>
      <c r="B1148" s="7" t="str">
        <f>IFERROR(__xludf.DUMMYFUNCTION("""COMPUTED_VALUE"""),"C#")</f>
        <v>C#</v>
      </c>
      <c r="C1148" s="9" t="str">
        <f>IFERROR(__xludf.DUMMYFUNCTION("""COMPUTED_VALUE"""),"HTML/CSS")</f>
        <v>HTML/CSS</v>
      </c>
      <c r="D1148" s="9" t="str">
        <f>IFERROR(__xludf.DUMMYFUNCTION("""COMPUTED_VALUE"""),"JavaScript")</f>
        <v>JavaScript</v>
      </c>
      <c r="E1148" s="9" t="str">
        <f>IFERROR(__xludf.DUMMYFUNCTION("""COMPUTED_VALUE"""),"SQL")</f>
        <v>SQL</v>
      </c>
      <c r="F1148" s="9" t="str">
        <f>IFERROR(__xludf.DUMMYFUNCTION("""COMPUTED_VALUE"""),"Python")</f>
        <v>Python</v>
      </c>
      <c r="G1148" s="9" t="str">
        <f>IFERROR(__xludf.DUMMYFUNCTION("""COMPUTED_VALUE"""),"JavaScript")</f>
        <v>JavaScript</v>
      </c>
      <c r="H1148" s="9" t="str">
        <f>IFERROR(__xludf.DUMMYFUNCTION("""COMPUTED_VALUE"""),"Python")</f>
        <v>Python</v>
      </c>
      <c r="I1148" s="9" t="str">
        <f>IFERROR(__xludf.DUMMYFUNCTION("""COMPUTED_VALUE"""),"HTML/CSS")</f>
        <v>HTML/CSS</v>
      </c>
      <c r="J1148" s="9" t="str">
        <f>IFERROR(__xludf.DUMMYFUNCTION("""COMPUTED_VALUE"""),"HTML/CSS")</f>
        <v>HTML/CSS</v>
      </c>
      <c r="K1148" s="9" t="str">
        <f>IFERROR(__xludf.DUMMYFUNCTION("""COMPUTED_VALUE"""),"PHP")</f>
        <v>PHP</v>
      </c>
      <c r="L1148" s="9" t="str">
        <f>IFERROR(__xludf.DUMMYFUNCTION("""COMPUTED_VALUE"""),"C#")</f>
        <v>C#</v>
      </c>
      <c r="M1148" s="9" t="s">
        <v>24</v>
      </c>
    </row>
    <row r="1149" ht="15.75" customHeight="1">
      <c r="A1149" s="7"/>
      <c r="B1149" s="7" t="str">
        <f>IFERROR(__xludf.DUMMYFUNCTION("""COMPUTED_VALUE"""),"Swift")</f>
        <v>Swift</v>
      </c>
      <c r="C1149" s="9" t="str">
        <f>IFERROR(__xludf.DUMMYFUNCTION("""COMPUTED_VALUE"""),"Java")</f>
        <v>Java</v>
      </c>
      <c r="D1149" s="9" t="str">
        <f>IFERROR(__xludf.DUMMYFUNCTION("""COMPUTED_VALUE"""),"Bash/Shell/PowerShell")</f>
        <v>Bash/Shell/PowerShell</v>
      </c>
      <c r="E1149" s="9" t="str">
        <f>IFERROR(__xludf.DUMMYFUNCTION("""COMPUTED_VALUE"""),"TypeScript")</f>
        <v>TypeScript</v>
      </c>
      <c r="F1149" s="9" t="str">
        <f>IFERROR(__xludf.DUMMYFUNCTION("""COMPUTED_VALUE"""),"Bash/Shell/PowerShell")</f>
        <v>Bash/Shell/PowerShell</v>
      </c>
      <c r="G1149" s="9" t="str">
        <f>IFERROR(__xludf.DUMMYFUNCTION("""COMPUTED_VALUE"""),"PHP")</f>
        <v>PHP</v>
      </c>
      <c r="H1149" s="9" t="str">
        <f>IFERROR(__xludf.DUMMYFUNCTION("""COMPUTED_VALUE"""),"R")</f>
        <v>R</v>
      </c>
      <c r="I1149" s="9" t="str">
        <f>IFERROR(__xludf.DUMMYFUNCTION("""COMPUTED_VALUE"""),"JavaScript")</f>
        <v>JavaScript</v>
      </c>
      <c r="J1149" s="9" t="str">
        <f>IFERROR(__xludf.DUMMYFUNCTION("""COMPUTED_VALUE"""),"JavaScript")</f>
        <v>JavaScript</v>
      </c>
      <c r="K1149" s="9" t="str">
        <f>IFERROR(__xludf.DUMMYFUNCTION("""COMPUTED_VALUE"""),"SQL")</f>
        <v>SQL</v>
      </c>
      <c r="L1149" s="9" t="str">
        <f>IFERROR(__xludf.DUMMYFUNCTION("""COMPUTED_VALUE"""),"Go")</f>
        <v>Go</v>
      </c>
      <c r="M1149" s="9" t="s">
        <v>20</v>
      </c>
    </row>
    <row r="1150" ht="15.75" customHeight="1">
      <c r="A1150" s="7"/>
      <c r="B1150" s="7" t="str">
        <f>IFERROR(__xludf.DUMMYFUNCTION("""COMPUTED_VALUE"""),"Bash/Shell/PowerShell;C++;C#;Dart;HTML/CSS;Java;JavaScript;Python;R;SQL;TypeScript")</f>
        <v>Bash/Shell/PowerShell;C++;C#;Dart;HTML/CSS;Java;JavaScript;Python;R;SQL;TypeScript</v>
      </c>
      <c r="C1150" s="9" t="str">
        <f>IFERROR(__xludf.DUMMYFUNCTION("""COMPUTED_VALUE"""),"JavaScript")</f>
        <v>JavaScript</v>
      </c>
      <c r="D1150" s="9" t="str">
        <f>IFERROR(__xludf.DUMMYFUNCTION("""COMPUTED_VALUE"""),"HTML/CSS")</f>
        <v>HTML/CSS</v>
      </c>
      <c r="E1150" s="9" t="str">
        <f>IFERROR(__xludf.DUMMYFUNCTION("""COMPUTED_VALUE"""),"Bash/Shell/PowerShell")</f>
        <v>Bash/Shell/PowerShell</v>
      </c>
      <c r="F1150" s="9" t="str">
        <f>IFERROR(__xludf.DUMMYFUNCTION("""COMPUTED_VALUE"""),"C")</f>
        <v>C</v>
      </c>
      <c r="G1150" s="9" t="str">
        <f>IFERROR(__xludf.DUMMYFUNCTION("""COMPUTED_VALUE"""),"SQL")</f>
        <v>SQL</v>
      </c>
      <c r="H1150" s="9" t="str">
        <f>IFERROR(__xludf.DUMMYFUNCTION("""COMPUTED_VALUE"""),"VBA")</f>
        <v>VBA</v>
      </c>
      <c r="I1150" s="9" t="str">
        <f>IFERROR(__xludf.DUMMYFUNCTION("""COMPUTED_VALUE"""),"Objective-C")</f>
        <v>Objective-C</v>
      </c>
      <c r="J1150" s="9" t="str">
        <f>IFERROR(__xludf.DUMMYFUNCTION("""COMPUTED_VALUE"""),"Python")</f>
        <v>Python</v>
      </c>
      <c r="K1150" s="9" t="str">
        <f>IFERROR(__xludf.DUMMYFUNCTION("""COMPUTED_VALUE"""),"HTML/CSS")</f>
        <v>HTML/CSS</v>
      </c>
      <c r="L1150" s="9" t="str">
        <f>IFERROR(__xludf.DUMMYFUNCTION("""COMPUTED_VALUE"""),"HTML/CSS")</f>
        <v>HTML/CSS</v>
      </c>
      <c r="M1150" s="9" t="s">
        <v>21</v>
      </c>
    </row>
    <row r="1151" ht="15.75" customHeight="1">
      <c r="A1151" s="7"/>
      <c r="B1151" s="7" t="str">
        <f>IFERROR(__xludf.DUMMYFUNCTION("""COMPUTED_VALUE"""),"C++;Erlang;Python")</f>
        <v>C++;Erlang;Python</v>
      </c>
      <c r="C1151" s="9" t="str">
        <f>IFERROR(__xludf.DUMMYFUNCTION("""COMPUTED_VALUE"""),"Python")</f>
        <v>Python</v>
      </c>
      <c r="D1151" s="9" t="str">
        <f>IFERROR(__xludf.DUMMYFUNCTION("""COMPUTED_VALUE"""),"Java")</f>
        <v>Java</v>
      </c>
      <c r="E1151" s="9" t="str">
        <f>IFERROR(__xludf.DUMMYFUNCTION("""COMPUTED_VALUE"""),"Go")</f>
        <v>Go</v>
      </c>
      <c r="F1151" s="9" t="str">
        <f>IFERROR(__xludf.DUMMYFUNCTION("""COMPUTED_VALUE"""),"C++")</f>
        <v>C++</v>
      </c>
      <c r="G1151" s="9" t="str">
        <f>IFERROR(__xludf.DUMMYFUNCTION("""COMPUTED_VALUE"""),"C#")</f>
        <v>C#</v>
      </c>
      <c r="H1151" s="9" t="str">
        <f>IFERROR(__xludf.DUMMYFUNCTION("""COMPUTED_VALUE"""),"Bash/Shell/PowerShell")</f>
        <v>Bash/Shell/PowerShell</v>
      </c>
      <c r="I1151" s="9" t="str">
        <f>IFERROR(__xludf.DUMMYFUNCTION("""COMPUTED_VALUE"""),"PHP")</f>
        <v>PHP</v>
      </c>
      <c r="J1151" s="9" t="str">
        <f>IFERROR(__xludf.DUMMYFUNCTION("""COMPUTED_VALUE"""),"SQL")</f>
        <v>SQL</v>
      </c>
      <c r="K1151" s="9" t="str">
        <f>IFERROR(__xludf.DUMMYFUNCTION("""COMPUTED_VALUE"""),"JavaScript")</f>
        <v>JavaScript</v>
      </c>
      <c r="L1151" s="9" t="str">
        <f>IFERROR(__xludf.DUMMYFUNCTION("""COMPUTED_VALUE"""),"JavaScript")</f>
        <v>JavaScript</v>
      </c>
      <c r="M1151" s="9" t="s">
        <v>22</v>
      </c>
    </row>
    <row r="1152" ht="15.75" customHeight="1">
      <c r="A1152" s="7"/>
      <c r="B1152" s="7" t="str">
        <f>IFERROR(__xludf.DUMMYFUNCTION("""COMPUTED_VALUE"""),"HTML/CSS;Java;JavaScript;PHP;SQL;TypeScript")</f>
        <v>HTML/CSS;Java;JavaScript;PHP;SQL;TypeScript</v>
      </c>
      <c r="C1152" s="9" t="str">
        <f>IFERROR(__xludf.DUMMYFUNCTION("""COMPUTED_VALUE"""),"Scala")</f>
        <v>Scala</v>
      </c>
      <c r="D1152" s="9" t="str">
        <f>IFERROR(__xludf.DUMMYFUNCTION("""COMPUTED_VALUE"""),"JavaScript")</f>
        <v>JavaScript</v>
      </c>
      <c r="E1152" s="9" t="str">
        <f>IFERROR(__xludf.DUMMYFUNCTION("""COMPUTED_VALUE"""),"HTML/CSS")</f>
        <v>HTML/CSS</v>
      </c>
      <c r="F1152" s="9" t="str">
        <f>IFERROR(__xludf.DUMMYFUNCTION("""COMPUTED_VALUE"""),"C#")</f>
        <v>C#</v>
      </c>
      <c r="G1152" s="9" t="str">
        <f>IFERROR(__xludf.DUMMYFUNCTION("""COMPUTED_VALUE"""),"HTML/CSS")</f>
        <v>HTML/CSS</v>
      </c>
      <c r="H1152" s="9" t="str">
        <f>IFERROR(__xludf.DUMMYFUNCTION("""COMPUTED_VALUE"""),"HTML/CSS")</f>
        <v>HTML/CSS</v>
      </c>
      <c r="I1152" s="9" t="str">
        <f>IFERROR(__xludf.DUMMYFUNCTION("""COMPUTED_VALUE"""),"Bash/Shell/PowerShell")</f>
        <v>Bash/Shell/PowerShell</v>
      </c>
      <c r="J1152" s="9" t="str">
        <f>IFERROR(__xludf.DUMMYFUNCTION("""COMPUTED_VALUE"""),"Other(s):")</f>
        <v>Other(s):</v>
      </c>
      <c r="K1152" s="9" t="str">
        <f>IFERROR(__xludf.DUMMYFUNCTION("""COMPUTED_VALUE"""),"PHP")</f>
        <v>PHP</v>
      </c>
      <c r="L1152" s="9" t="str">
        <f>IFERROR(__xludf.DUMMYFUNCTION("""COMPUTED_VALUE"""),"PHP")</f>
        <v>PHP</v>
      </c>
      <c r="M1152" s="9" t="s">
        <v>46</v>
      </c>
    </row>
    <row r="1153" ht="15.75" customHeight="1">
      <c r="A1153" s="7"/>
      <c r="B1153" s="7" t="str">
        <f>IFERROR(__xludf.DUMMYFUNCTION("""COMPUTED_VALUE"""),"JavaScript")</f>
        <v>JavaScript</v>
      </c>
      <c r="C1153" s="9" t="str">
        <f>IFERROR(__xludf.DUMMYFUNCTION("""COMPUTED_VALUE"""),"SQL")</f>
        <v>SQL</v>
      </c>
      <c r="D1153" s="9" t="str">
        <f>IFERROR(__xludf.DUMMYFUNCTION("""COMPUTED_VALUE"""),"Python")</f>
        <v>Python</v>
      </c>
      <c r="E1153" s="9" t="str">
        <f>IFERROR(__xludf.DUMMYFUNCTION("""COMPUTED_VALUE"""),"JavaScript")</f>
        <v>JavaScript</v>
      </c>
      <c r="F1153" s="9" t="str">
        <f>IFERROR(__xludf.DUMMYFUNCTION("""COMPUTED_VALUE"""),"HTML/CSS")</f>
        <v>HTML/CSS</v>
      </c>
      <c r="G1153" s="9" t="str">
        <f>IFERROR(__xludf.DUMMYFUNCTION("""COMPUTED_VALUE"""),"JavaScript")</f>
        <v>JavaScript</v>
      </c>
      <c r="H1153" s="9" t="str">
        <f>IFERROR(__xludf.DUMMYFUNCTION("""COMPUTED_VALUE"""),"Java")</f>
        <v>Java</v>
      </c>
      <c r="I1153" s="9" t="str">
        <f>IFERROR(__xludf.DUMMYFUNCTION("""COMPUTED_VALUE"""),"HTML/CSS")</f>
        <v>HTML/CSS</v>
      </c>
      <c r="J1153" s="9" t="str">
        <f>IFERROR(__xludf.DUMMYFUNCTION("""COMPUTED_VALUE"""),"C#")</f>
        <v>C#</v>
      </c>
      <c r="K1153" s="9" t="str">
        <f>IFERROR(__xludf.DUMMYFUNCTION("""COMPUTED_VALUE"""),"Python")</f>
        <v>Python</v>
      </c>
      <c r="L1153" s="9" t="str">
        <f>IFERROR(__xludf.DUMMYFUNCTION("""COMPUTED_VALUE"""),"SQL")</f>
        <v>SQL</v>
      </c>
      <c r="M1153" s="9" t="s">
        <v>27</v>
      </c>
    </row>
    <row r="1154" ht="15.75" customHeight="1">
      <c r="A1154" s="7"/>
      <c r="B1154" s="7" t="str">
        <f>IFERROR(__xludf.DUMMYFUNCTION("""COMPUTED_VALUE"""),"Assembly;C++;HTML/CSS")</f>
        <v>Assembly;C++;HTML/CSS</v>
      </c>
      <c r="C1154" s="9" t="str">
        <f>IFERROR(__xludf.DUMMYFUNCTION("""COMPUTED_VALUE"""),"HTML/CSS")</f>
        <v>HTML/CSS</v>
      </c>
      <c r="D1154" s="9" t="str">
        <f>IFERROR(__xludf.DUMMYFUNCTION("""COMPUTED_VALUE"""),"TypeScript")</f>
        <v>TypeScript</v>
      </c>
      <c r="E1154" s="9" t="str">
        <f>IFERROR(__xludf.DUMMYFUNCTION("""COMPUTED_VALUE"""),"Ruby")</f>
        <v>Ruby</v>
      </c>
      <c r="F1154" s="9" t="str">
        <f>IFERROR(__xludf.DUMMYFUNCTION("""COMPUTED_VALUE"""),"Java")</f>
        <v>Java</v>
      </c>
      <c r="G1154" s="9" t="str">
        <f>IFERROR(__xludf.DUMMYFUNCTION("""COMPUTED_VALUE"""),"SQL")</f>
        <v>SQL</v>
      </c>
      <c r="H1154" s="9" t="str">
        <f>IFERROR(__xludf.DUMMYFUNCTION("""COMPUTED_VALUE"""),"Python")</f>
        <v>Python</v>
      </c>
      <c r="I1154" s="9" t="str">
        <f>IFERROR(__xludf.DUMMYFUNCTION("""COMPUTED_VALUE"""),"Java")</f>
        <v>Java</v>
      </c>
      <c r="J1154" s="9" t="str">
        <f>IFERROR(__xludf.DUMMYFUNCTION("""COMPUTED_VALUE"""),"Other(s):")</f>
        <v>Other(s):</v>
      </c>
      <c r="K1154" s="9" t="str">
        <f>IFERROR(__xludf.DUMMYFUNCTION("""COMPUTED_VALUE"""),"Rust")</f>
        <v>Rust</v>
      </c>
      <c r="L1154" s="9" t="str">
        <f>IFERROR(__xludf.DUMMYFUNCTION("""COMPUTED_VALUE"""),"WebAssembly")</f>
        <v>WebAssembly</v>
      </c>
      <c r="M1154" s="9" t="s">
        <v>24</v>
      </c>
    </row>
    <row r="1155" ht="15.75" customHeight="1">
      <c r="A1155" s="7"/>
      <c r="B1155" s="7" t="str">
        <f>IFERROR(__xludf.DUMMYFUNCTION("""COMPUTED_VALUE"""),"Bash/Shell/PowerShell;C++;Java;JavaScript;Python;SQL")</f>
        <v>Bash/Shell/PowerShell;C++;Java;JavaScript;Python;SQL</v>
      </c>
      <c r="C1155" s="9" t="str">
        <f>IFERROR(__xludf.DUMMYFUNCTION("""COMPUTED_VALUE"""),"Java")</f>
        <v>Java</v>
      </c>
      <c r="D1155" s="9" t="str">
        <f>IFERROR(__xludf.DUMMYFUNCTION("""COMPUTED_VALUE"""),"Assembly")</f>
        <v>Assembly</v>
      </c>
      <c r="E1155" s="9" t="str">
        <f>IFERROR(__xludf.DUMMYFUNCTION("""COMPUTED_VALUE"""),"C++")</f>
        <v>C++</v>
      </c>
      <c r="F1155" s="9" t="str">
        <f>IFERROR(__xludf.DUMMYFUNCTION("""COMPUTED_VALUE"""),"JavaScript")</f>
        <v>JavaScript</v>
      </c>
      <c r="G1155" s="9" t="str">
        <f>IFERROR(__xludf.DUMMYFUNCTION("""COMPUTED_VALUE"""),"TypeScript")</f>
        <v>TypeScript</v>
      </c>
      <c r="H1155" s="9" t="str">
        <f>IFERROR(__xludf.DUMMYFUNCTION("""COMPUTED_VALUE"""),"Assembly")</f>
        <v>Assembly</v>
      </c>
      <c r="I1155" s="9" t="str">
        <f>IFERROR(__xludf.DUMMYFUNCTION("""COMPUTED_VALUE"""),"JavaScript")</f>
        <v>JavaScript</v>
      </c>
      <c r="J1155" s="9" t="str">
        <f>IFERROR(__xludf.DUMMYFUNCTION("""COMPUTED_VALUE"""),"HTML/CSS")</f>
        <v>HTML/CSS</v>
      </c>
      <c r="K1155" s="9" t="str">
        <f>IFERROR(__xludf.DUMMYFUNCTION("""COMPUTED_VALUE"""),"SQL")</f>
        <v>SQL</v>
      </c>
      <c r="L1155" s="9" t="str">
        <f>IFERROR(__xludf.DUMMYFUNCTION("""COMPUTED_VALUE"""),"Assembly")</f>
        <v>Assembly</v>
      </c>
      <c r="M1155" s="9" t="s">
        <v>20</v>
      </c>
    </row>
    <row r="1156" ht="15.75" customHeight="1">
      <c r="A1156" s="7"/>
      <c r="B1156" s="7" t="str">
        <f>IFERROR(__xludf.DUMMYFUNCTION("""COMPUTED_VALUE"""),"JavaScript")</f>
        <v>JavaScript</v>
      </c>
      <c r="C1156" s="9" t="str">
        <f>IFERROR(__xludf.DUMMYFUNCTION("""COMPUTED_VALUE"""),"JavaScript")</f>
        <v>JavaScript</v>
      </c>
      <c r="D1156" s="9" t="str">
        <f>IFERROR(__xludf.DUMMYFUNCTION("""COMPUTED_VALUE"""),"Bash/Shell/PowerShell")</f>
        <v>Bash/Shell/PowerShell</v>
      </c>
      <c r="E1156" s="9" t="str">
        <f>IFERROR(__xludf.DUMMYFUNCTION("""COMPUTED_VALUE"""),"C#")</f>
        <v>C#</v>
      </c>
      <c r="F1156" s="9" t="str">
        <f>IFERROR(__xludf.DUMMYFUNCTION("""COMPUTED_VALUE"""),"PHP")</f>
        <v>PHP</v>
      </c>
      <c r="G1156" s="9" t="str">
        <f>IFERROR(__xludf.DUMMYFUNCTION("""COMPUTED_VALUE"""),"C")</f>
        <v>C</v>
      </c>
      <c r="H1156" s="9" t="str">
        <f>IFERROR(__xludf.DUMMYFUNCTION("""COMPUTED_VALUE"""),"Bash/Shell/PowerShell")</f>
        <v>Bash/Shell/PowerShell</v>
      </c>
      <c r="I1156" s="9" t="str">
        <f>IFERROR(__xludf.DUMMYFUNCTION("""COMPUTED_VALUE"""),"Python")</f>
        <v>Python</v>
      </c>
      <c r="J1156" s="9" t="str">
        <f>IFERROR(__xludf.DUMMYFUNCTION("""COMPUTED_VALUE"""),"Java")</f>
        <v>Java</v>
      </c>
      <c r="K1156" s="9" t="str">
        <f>IFERROR(__xludf.DUMMYFUNCTION("""COMPUTED_VALUE"""),"TypeScript")</f>
        <v>TypeScript</v>
      </c>
      <c r="L1156" s="9" t="str">
        <f>IFERROR(__xludf.DUMMYFUNCTION("""COMPUTED_VALUE"""),"C")</f>
        <v>C</v>
      </c>
      <c r="M1156" s="9" t="s">
        <v>21</v>
      </c>
    </row>
    <row r="1157" ht="15.75" customHeight="1">
      <c r="A1157" s="7"/>
      <c r="B1157" s="7" t="str">
        <f>IFERROR(__xludf.DUMMYFUNCTION("""COMPUTED_VALUE"""),"HTML/CSS;JavaScript;PHP")</f>
        <v>HTML/CSS;JavaScript;PHP</v>
      </c>
      <c r="C1157" s="9" t="str">
        <f>IFERROR(__xludf.DUMMYFUNCTION("""COMPUTED_VALUE"""),"Python")</f>
        <v>Python</v>
      </c>
      <c r="D1157" s="9" t="str">
        <f>IFERROR(__xludf.DUMMYFUNCTION("""COMPUTED_VALUE"""),"C")</f>
        <v>C</v>
      </c>
      <c r="E1157" s="9" t="str">
        <f>IFERROR(__xludf.DUMMYFUNCTION("""COMPUTED_VALUE"""),"Java")</f>
        <v>Java</v>
      </c>
      <c r="F1157" s="9" t="str">
        <f>IFERROR(__xludf.DUMMYFUNCTION("""COMPUTED_VALUE"""),"SQL")</f>
        <v>SQL</v>
      </c>
      <c r="G1157" s="9" t="str">
        <f>IFERROR(__xludf.DUMMYFUNCTION("""COMPUTED_VALUE"""),"C++")</f>
        <v>C++</v>
      </c>
      <c r="H1157" s="9" t="str">
        <f>IFERROR(__xludf.DUMMYFUNCTION("""COMPUTED_VALUE"""),"C")</f>
        <v>C</v>
      </c>
      <c r="I1157" s="9" t="str">
        <f>IFERROR(__xludf.DUMMYFUNCTION("""COMPUTED_VALUE"""),"SQL")</f>
        <v>SQL</v>
      </c>
      <c r="J1157" s="9" t="str">
        <f>IFERROR(__xludf.DUMMYFUNCTION("""COMPUTED_VALUE"""),"JavaScript")</f>
        <v>JavaScript</v>
      </c>
      <c r="K1157" s="9" t="str">
        <f>IFERROR(__xludf.DUMMYFUNCTION("""COMPUTED_VALUE"""),"C")</f>
        <v>C</v>
      </c>
      <c r="L1157" s="9" t="str">
        <f>IFERROR(__xludf.DUMMYFUNCTION("""COMPUTED_VALUE"""),"C++")</f>
        <v>C++</v>
      </c>
      <c r="M1157" s="9" t="s">
        <v>22</v>
      </c>
    </row>
    <row r="1158" ht="15.75" customHeight="1">
      <c r="A1158" s="7"/>
      <c r="B1158" s="7" t="str">
        <f>IFERROR(__xludf.DUMMYFUNCTION("""COMPUTED_VALUE"""),"PHP;Other(s):")</f>
        <v>PHP;Other(s):</v>
      </c>
      <c r="C1158" s="9" t="str">
        <f>IFERROR(__xludf.DUMMYFUNCTION("""COMPUTED_VALUE"""),"TypeScript")</f>
        <v>TypeScript</v>
      </c>
      <c r="D1158" s="9" t="str">
        <f>IFERROR(__xludf.DUMMYFUNCTION("""COMPUTED_VALUE"""),"C++")</f>
        <v>C++</v>
      </c>
      <c r="E1158" s="9" t="str">
        <f>IFERROR(__xludf.DUMMYFUNCTION("""COMPUTED_VALUE"""),"JavaScript")</f>
        <v>JavaScript</v>
      </c>
      <c r="F1158" s="9" t="str">
        <f>IFERROR(__xludf.DUMMYFUNCTION("""COMPUTED_VALUE"""),"TypeScript")</f>
        <v>TypeScript</v>
      </c>
      <c r="G1158" s="9" t="str">
        <f>IFERROR(__xludf.DUMMYFUNCTION("""COMPUTED_VALUE"""),"C#")</f>
        <v>C#</v>
      </c>
      <c r="H1158" s="9" t="str">
        <f>IFERROR(__xludf.DUMMYFUNCTION("""COMPUTED_VALUE"""),"HTML/CSS")</f>
        <v>HTML/CSS</v>
      </c>
      <c r="I1158" s="9" t="str">
        <f>IFERROR(__xludf.DUMMYFUNCTION("""COMPUTED_VALUE"""),"C")</f>
        <v>C</v>
      </c>
      <c r="J1158" s="9" t="str">
        <f>IFERROR(__xludf.DUMMYFUNCTION("""COMPUTED_VALUE"""),"PHP")</f>
        <v>PHP</v>
      </c>
      <c r="K1158" s="9" t="str">
        <f>IFERROR(__xludf.DUMMYFUNCTION("""COMPUTED_VALUE"""),"Java")</f>
        <v>Java</v>
      </c>
      <c r="L1158" s="9" t="str">
        <f>IFERROR(__xludf.DUMMYFUNCTION("""COMPUTED_VALUE"""),"C#")</f>
        <v>C#</v>
      </c>
      <c r="M1158" s="9" t="s">
        <v>33</v>
      </c>
    </row>
    <row r="1159" ht="15.75" customHeight="1">
      <c r="A1159" s="7"/>
      <c r="B1159" s="7" t="str">
        <f>IFERROR(__xludf.DUMMYFUNCTION("""COMPUTED_VALUE"""),"C;HTML/CSS;Java;JavaScript;Python;SQL;TypeScript")</f>
        <v>C;HTML/CSS;Java;JavaScript;Python;SQL;TypeScript</v>
      </c>
      <c r="C1159" s="9" t="str">
        <f>IFERROR(__xludf.DUMMYFUNCTION("""COMPUTED_VALUE"""),"Bash/Shell/PowerShell")</f>
        <v>Bash/Shell/PowerShell</v>
      </c>
      <c r="D1159" s="9" t="str">
        <f>IFERROR(__xludf.DUMMYFUNCTION("""COMPUTED_VALUE"""),"C#")</f>
        <v>C#</v>
      </c>
      <c r="E1159" s="9" t="str">
        <f>IFERROR(__xludf.DUMMYFUNCTION("""COMPUTED_VALUE"""),"PHP")</f>
        <v>PHP</v>
      </c>
      <c r="F1159" s="9" t="str">
        <f>IFERROR(__xludf.DUMMYFUNCTION("""COMPUTED_VALUE"""),"C++")</f>
        <v>C++</v>
      </c>
      <c r="G1159" s="9" t="str">
        <f>IFERROR(__xludf.DUMMYFUNCTION("""COMPUTED_VALUE"""),"HTML/CSS")</f>
        <v>HTML/CSS</v>
      </c>
      <c r="H1159" s="9" t="str">
        <f>IFERROR(__xludf.DUMMYFUNCTION("""COMPUTED_VALUE"""),"Java")</f>
        <v>Java</v>
      </c>
      <c r="I1159" s="9" t="str">
        <f>IFERROR(__xludf.DUMMYFUNCTION("""COMPUTED_VALUE"""),"C++")</f>
        <v>C++</v>
      </c>
      <c r="J1159" s="9" t="str">
        <f>IFERROR(__xludf.DUMMYFUNCTION("""COMPUTED_VALUE"""),"SQL")</f>
        <v>SQL</v>
      </c>
      <c r="K1159" s="9" t="str">
        <f>IFERROR(__xludf.DUMMYFUNCTION("""COMPUTED_VALUE"""),"Python")</f>
        <v>Python</v>
      </c>
      <c r="L1159" s="9" t="str">
        <f>IFERROR(__xludf.DUMMYFUNCTION("""COMPUTED_VALUE"""),"HTML/CSS")</f>
        <v>HTML/CSS</v>
      </c>
      <c r="M1159" s="9" t="s">
        <v>30</v>
      </c>
    </row>
    <row r="1160" ht="15.75" customHeight="1">
      <c r="A1160" s="7"/>
      <c r="B1160" s="7" t="str">
        <f>IFERROR(__xludf.DUMMYFUNCTION("""COMPUTED_VALUE"""),"Bash/Shell/PowerShell;C;C++;C#;HTML/CSS;Java;JavaScript;PHP;Python;SQL")</f>
        <v>Bash/Shell/PowerShell;C;C++;C#;HTML/CSS;Java;JavaScript;PHP;Python;SQL</v>
      </c>
      <c r="C1160" s="9" t="str">
        <f>IFERROR(__xludf.DUMMYFUNCTION("""COMPUTED_VALUE"""),"Go")</f>
        <v>Go</v>
      </c>
      <c r="D1160" s="9" t="str">
        <f>IFERROR(__xludf.DUMMYFUNCTION("""COMPUTED_VALUE"""),"HTML/CSS")</f>
        <v>HTML/CSS</v>
      </c>
      <c r="E1160" s="9" t="str">
        <f>IFERROR(__xludf.DUMMYFUNCTION("""COMPUTED_VALUE"""),"Python")</f>
        <v>Python</v>
      </c>
      <c r="F1160" s="9" t="str">
        <f>IFERROR(__xludf.DUMMYFUNCTION("""COMPUTED_VALUE"""),"HTML/CSS")</f>
        <v>HTML/CSS</v>
      </c>
      <c r="G1160" s="9" t="str">
        <f>IFERROR(__xludf.DUMMYFUNCTION("""COMPUTED_VALUE"""),"Java")</f>
        <v>Java</v>
      </c>
      <c r="H1160" s="9" t="str">
        <f>IFERROR(__xludf.DUMMYFUNCTION("""COMPUTED_VALUE"""),"JavaScript")</f>
        <v>JavaScript</v>
      </c>
      <c r="I1160" s="9" t="str">
        <f>IFERROR(__xludf.DUMMYFUNCTION("""COMPUTED_VALUE"""),"C#")</f>
        <v>C#</v>
      </c>
      <c r="J1160" s="9" t="str">
        <f>IFERROR(__xludf.DUMMYFUNCTION("""COMPUTED_VALUE"""),"HTML/CSS")</f>
        <v>HTML/CSS</v>
      </c>
      <c r="K1160" s="9" t="str">
        <f>IFERROR(__xludf.DUMMYFUNCTION("""COMPUTED_VALUE"""),"SQL")</f>
        <v>SQL</v>
      </c>
      <c r="L1160" s="9" t="str">
        <f>IFERROR(__xludf.DUMMYFUNCTION("""COMPUTED_VALUE"""),"JavaScript")</f>
        <v>JavaScript</v>
      </c>
      <c r="M1160" s="9" t="s">
        <v>36</v>
      </c>
    </row>
    <row r="1161" ht="15.75" customHeight="1">
      <c r="A1161" s="7"/>
      <c r="B1161" s="7" t="str">
        <f>IFERROR(__xludf.DUMMYFUNCTION("""COMPUTED_VALUE"""),"Bash/Shell/PowerShell;C;HTML/CSS;Java;JavaScript;PHP;Python;SQL")</f>
        <v>Bash/Shell/PowerShell;C;HTML/CSS;Java;JavaScript;PHP;Python;SQL</v>
      </c>
      <c r="C1161" s="9" t="str">
        <f>IFERROR(__xludf.DUMMYFUNCTION("""COMPUTED_VALUE"""),"Python")</f>
        <v>Python</v>
      </c>
      <c r="D1161" s="9" t="str">
        <f>IFERROR(__xludf.DUMMYFUNCTION("""COMPUTED_VALUE"""),"Java")</f>
        <v>Java</v>
      </c>
      <c r="E1161" s="9" t="str">
        <f>IFERROR(__xludf.DUMMYFUNCTION("""COMPUTED_VALUE"""),"Other(s):")</f>
        <v>Other(s):</v>
      </c>
      <c r="F1161" s="9" t="str">
        <f>IFERROR(__xludf.DUMMYFUNCTION("""COMPUTED_VALUE"""),"Python")</f>
        <v>Python</v>
      </c>
      <c r="G1161" s="9" t="str">
        <f>IFERROR(__xludf.DUMMYFUNCTION("""COMPUTED_VALUE"""),"Python")</f>
        <v>Python</v>
      </c>
      <c r="H1161" s="9" t="str">
        <f>IFERROR(__xludf.DUMMYFUNCTION("""COMPUTED_VALUE"""),"PHP")</f>
        <v>PHP</v>
      </c>
      <c r="I1161" s="9" t="str">
        <f>IFERROR(__xludf.DUMMYFUNCTION("""COMPUTED_VALUE"""),"HTML/CSS")</f>
        <v>HTML/CSS</v>
      </c>
      <c r="J1161" s="9" t="str">
        <f>IFERROR(__xludf.DUMMYFUNCTION("""COMPUTED_VALUE"""),"Java")</f>
        <v>Java</v>
      </c>
      <c r="K1161" s="9" t="str">
        <f>IFERROR(__xludf.DUMMYFUNCTION("""COMPUTED_VALUE"""),"Bash/Shell/PowerShell")</f>
        <v>Bash/Shell/PowerShell</v>
      </c>
      <c r="L1161" s="9" t="str">
        <f>IFERROR(__xludf.DUMMYFUNCTION("""COMPUTED_VALUE"""),"PHP")</f>
        <v>PHP</v>
      </c>
      <c r="M1161" s="9" t="s">
        <v>22</v>
      </c>
    </row>
    <row r="1162" ht="15.75" customHeight="1">
      <c r="A1162" s="7"/>
      <c r="B1162" s="7" t="str">
        <f>IFERROR(__xludf.DUMMYFUNCTION("""COMPUTED_VALUE"""),"C#;SQL;VBA")</f>
        <v>C#;SQL;VBA</v>
      </c>
      <c r="C1162" s="9" t="str">
        <f>IFERROR(__xludf.DUMMYFUNCTION("""COMPUTED_VALUE"""),"Elixir")</f>
        <v>Elixir</v>
      </c>
      <c r="D1162" s="9" t="str">
        <f>IFERROR(__xludf.DUMMYFUNCTION("""COMPUTED_VALUE"""),"JavaScript")</f>
        <v>JavaScript</v>
      </c>
      <c r="E1162" s="9" t="str">
        <f>IFERROR(__xludf.DUMMYFUNCTION("""COMPUTED_VALUE"""),"C++")</f>
        <v>C++</v>
      </c>
      <c r="F1162" s="9" t="str">
        <f>IFERROR(__xludf.DUMMYFUNCTION("""COMPUTED_VALUE"""),"Bash/Shell/PowerShell")</f>
        <v>Bash/Shell/PowerShell</v>
      </c>
      <c r="G1162" s="9" t="str">
        <f>IFERROR(__xludf.DUMMYFUNCTION("""COMPUTED_VALUE"""),"SQL")</f>
        <v>SQL</v>
      </c>
      <c r="H1162" s="9" t="str">
        <f>IFERROR(__xludf.DUMMYFUNCTION("""COMPUTED_VALUE"""),"Python")</f>
        <v>Python</v>
      </c>
      <c r="I1162" s="9" t="str">
        <f>IFERROR(__xludf.DUMMYFUNCTION("""COMPUTED_VALUE"""),"Java")</f>
        <v>Java</v>
      </c>
      <c r="J1162" s="9" t="str">
        <f>IFERROR(__xludf.DUMMYFUNCTION("""COMPUTED_VALUE"""),"JavaScript")</f>
        <v>JavaScript</v>
      </c>
      <c r="K1162" s="9" t="str">
        <f>IFERROR(__xludf.DUMMYFUNCTION("""COMPUTED_VALUE"""),"C#")</f>
        <v>C#</v>
      </c>
      <c r="L1162" s="9" t="str">
        <f>IFERROR(__xludf.DUMMYFUNCTION("""COMPUTED_VALUE"""),"Python")</f>
        <v>Python</v>
      </c>
      <c r="M1162" s="9" t="s">
        <v>42</v>
      </c>
    </row>
    <row r="1163" ht="15.75" customHeight="1">
      <c r="A1163" s="7"/>
      <c r="B1163" s="7" t="str">
        <f>IFERROR(__xludf.DUMMYFUNCTION("""COMPUTED_VALUE"""),"Bash/Shell/PowerShell;C++;HTML/CSS;Java;Python")</f>
        <v>Bash/Shell/PowerShell;C++;HTML/CSS;Java;Python</v>
      </c>
      <c r="C1163" s="9" t="str">
        <f>IFERROR(__xludf.DUMMYFUNCTION("""COMPUTED_VALUE"""),"Go")</f>
        <v>Go</v>
      </c>
      <c r="D1163" s="9" t="str">
        <f>IFERROR(__xludf.DUMMYFUNCTION("""COMPUTED_VALUE"""),"Kotlin")</f>
        <v>Kotlin</v>
      </c>
      <c r="E1163" s="9" t="str">
        <f>IFERROR(__xludf.DUMMYFUNCTION("""COMPUTED_VALUE"""),"C#")</f>
        <v>C#</v>
      </c>
      <c r="F1163" s="9" t="str">
        <f>IFERROR(__xludf.DUMMYFUNCTION("""COMPUTED_VALUE"""),"C++")</f>
        <v>C++</v>
      </c>
      <c r="G1163" s="9" t="str">
        <f>IFERROR(__xludf.DUMMYFUNCTION("""COMPUTED_VALUE"""),"Bash/Shell/PowerShell")</f>
        <v>Bash/Shell/PowerShell</v>
      </c>
      <c r="H1163" s="9" t="str">
        <f>IFERROR(__xludf.DUMMYFUNCTION("""COMPUTED_VALUE"""),"SQL")</f>
        <v>SQL</v>
      </c>
      <c r="I1163" s="9" t="str">
        <f>IFERROR(__xludf.DUMMYFUNCTION("""COMPUTED_VALUE"""),"JavaScript")</f>
        <v>JavaScript</v>
      </c>
      <c r="J1163" s="9" t="str">
        <f>IFERROR(__xludf.DUMMYFUNCTION("""COMPUTED_VALUE"""),"SQL")</f>
        <v>SQL</v>
      </c>
      <c r="K1163" s="9" t="str">
        <f>IFERROR(__xludf.DUMMYFUNCTION("""COMPUTED_VALUE"""),"Python")</f>
        <v>Python</v>
      </c>
      <c r="L1163" s="9" t="str">
        <f>IFERROR(__xludf.DUMMYFUNCTION("""COMPUTED_VALUE"""),"R")</f>
        <v>R</v>
      </c>
      <c r="M1163" s="9" t="s">
        <v>36</v>
      </c>
    </row>
    <row r="1164" ht="15.75" customHeight="1">
      <c r="A1164" s="7"/>
      <c r="B1164" s="7" t="str">
        <f>IFERROR(__xludf.DUMMYFUNCTION("""COMPUTED_VALUE"""),"Java;Python")</f>
        <v>Java;Python</v>
      </c>
      <c r="C1164" s="9" t="str">
        <f>IFERROR(__xludf.DUMMYFUNCTION("""COMPUTED_VALUE"""),"JavaScript")</f>
        <v>JavaScript</v>
      </c>
      <c r="D1164" s="9" t="str">
        <f>IFERROR(__xludf.DUMMYFUNCTION("""COMPUTED_VALUE"""),"Objective-C")</f>
        <v>Objective-C</v>
      </c>
      <c r="E1164" s="9" t="str">
        <f>IFERROR(__xludf.DUMMYFUNCTION("""COMPUTED_VALUE"""),"JavaScript")</f>
        <v>JavaScript</v>
      </c>
      <c r="F1164" s="9" t="str">
        <f>IFERROR(__xludf.DUMMYFUNCTION("""COMPUTED_VALUE"""),"C#")</f>
        <v>C#</v>
      </c>
      <c r="G1164" s="9" t="str">
        <f>IFERROR(__xludf.DUMMYFUNCTION("""COMPUTED_VALUE"""),"C")</f>
        <v>C</v>
      </c>
      <c r="H1164" s="9" t="str">
        <f>IFERROR(__xludf.DUMMYFUNCTION("""COMPUTED_VALUE"""),"Bash/Shell/PowerShell")</f>
        <v>Bash/Shell/PowerShell</v>
      </c>
      <c r="I1164" s="9" t="str">
        <f>IFERROR(__xludf.DUMMYFUNCTION("""COMPUTED_VALUE"""),"Kotlin")</f>
        <v>Kotlin</v>
      </c>
      <c r="J1164" s="9" t="str">
        <f>IFERROR(__xludf.DUMMYFUNCTION("""COMPUTED_VALUE"""),"Java")</f>
        <v>Java</v>
      </c>
      <c r="K1164" s="9" t="str">
        <f>IFERROR(__xludf.DUMMYFUNCTION("""COMPUTED_VALUE"""),"TypeScript")</f>
        <v>TypeScript</v>
      </c>
      <c r="L1164" s="9" t="str">
        <f>IFERROR(__xludf.DUMMYFUNCTION("""COMPUTED_VALUE"""),"SQL")</f>
        <v>SQL</v>
      </c>
      <c r="M1164" s="9" t="s">
        <v>21</v>
      </c>
    </row>
    <row r="1165" ht="15.75" customHeight="1">
      <c r="A1165" s="7"/>
      <c r="B1165" s="7" t="str">
        <f>IFERROR(__xludf.DUMMYFUNCTION("""COMPUTED_VALUE"""),"Go;HTML/CSS;Java;JavaScript;SQL;TypeScript")</f>
        <v>Go;HTML/CSS;Java;JavaScript;SQL;TypeScript</v>
      </c>
      <c r="C1165" s="9" t="str">
        <f>IFERROR(__xludf.DUMMYFUNCTION("""COMPUTED_VALUE"""),"Ruby")</f>
        <v>Ruby</v>
      </c>
      <c r="D1165" s="9" t="str">
        <f>IFERROR(__xludf.DUMMYFUNCTION("""COMPUTED_VALUE"""),"PHP")</f>
        <v>PHP</v>
      </c>
      <c r="E1165" s="9" t="str">
        <f>IFERROR(__xludf.DUMMYFUNCTION("""COMPUTED_VALUE"""),"Objective-C")</f>
        <v>Objective-C</v>
      </c>
      <c r="F1165" s="9" t="str">
        <f>IFERROR(__xludf.DUMMYFUNCTION("""COMPUTED_VALUE"""),"F#")</f>
        <v>F#</v>
      </c>
      <c r="G1165" s="9" t="str">
        <f>IFERROR(__xludf.DUMMYFUNCTION("""COMPUTED_VALUE"""),"Python")</f>
        <v>Python</v>
      </c>
      <c r="H1165" s="9" t="str">
        <f>IFERROR(__xludf.DUMMYFUNCTION("""COMPUTED_VALUE"""),"C")</f>
        <v>C</v>
      </c>
      <c r="I1165" s="9" t="str">
        <f>IFERROR(__xludf.DUMMYFUNCTION("""COMPUTED_VALUE"""),"PHP")</f>
        <v>PHP</v>
      </c>
      <c r="J1165" s="9" t="str">
        <f>IFERROR(__xludf.DUMMYFUNCTION("""COMPUTED_VALUE"""),"Kotlin")</f>
        <v>Kotlin</v>
      </c>
      <c r="K1165" s="9" t="str">
        <f>IFERROR(__xludf.DUMMYFUNCTION("""COMPUTED_VALUE"""),"C++")</f>
        <v>C++</v>
      </c>
      <c r="L1165" s="9" t="str">
        <f>IFERROR(__xludf.DUMMYFUNCTION("""COMPUTED_VALUE"""),"Bash/Shell/PowerShell")</f>
        <v>Bash/Shell/PowerShell</v>
      </c>
      <c r="M1165" s="9" t="s">
        <v>31</v>
      </c>
    </row>
    <row r="1166" ht="15.75" customHeight="1">
      <c r="A1166" s="7"/>
      <c r="B1166" s="7" t="str">
        <f>IFERROR(__xludf.DUMMYFUNCTION("""COMPUTED_VALUE"""),"Assembly;Bash/Shell/PowerShell;C;Clojure;JavaScript;Kotlin;Python;TypeScript")</f>
        <v>Assembly;Bash/Shell/PowerShell;C;Clojure;JavaScript;Kotlin;Python;TypeScript</v>
      </c>
      <c r="C1166" s="9" t="str">
        <f>IFERROR(__xludf.DUMMYFUNCTION("""COMPUTED_VALUE"""),"SQL")</f>
        <v>SQL</v>
      </c>
      <c r="D1166" s="9" t="str">
        <f>IFERROR(__xludf.DUMMYFUNCTION("""COMPUTED_VALUE"""),"Python")</f>
        <v>Python</v>
      </c>
      <c r="E1166" s="9" t="str">
        <f>IFERROR(__xludf.DUMMYFUNCTION("""COMPUTED_VALUE"""),"Python")</f>
        <v>Python</v>
      </c>
      <c r="F1166" s="9" t="str">
        <f>IFERROR(__xludf.DUMMYFUNCTION("""COMPUTED_VALUE"""),"HTML/CSS")</f>
        <v>HTML/CSS</v>
      </c>
      <c r="G1166" s="9" t="str">
        <f>IFERROR(__xludf.DUMMYFUNCTION("""COMPUTED_VALUE"""),"C")</f>
        <v>C</v>
      </c>
      <c r="H1166" s="9" t="str">
        <f>IFERROR(__xludf.DUMMYFUNCTION("""COMPUTED_VALUE"""),"C++")</f>
        <v>C++</v>
      </c>
      <c r="I1166" s="9" t="str">
        <f>IFERROR(__xludf.DUMMYFUNCTION("""COMPUTED_VALUE"""),"Python")</f>
        <v>Python</v>
      </c>
      <c r="J1166" s="9" t="str">
        <f>IFERROR(__xludf.DUMMYFUNCTION("""COMPUTED_VALUE"""),"Swift")</f>
        <v>Swift</v>
      </c>
      <c r="K1166" s="9" t="str">
        <f>IFERROR(__xludf.DUMMYFUNCTION("""COMPUTED_VALUE"""),"HTML/CSS")</f>
        <v>HTML/CSS</v>
      </c>
      <c r="L1166" s="9" t="str">
        <f>IFERROR(__xludf.DUMMYFUNCTION("""COMPUTED_VALUE"""),"C++")</f>
        <v>C++</v>
      </c>
      <c r="M1166" s="9" t="s">
        <v>27</v>
      </c>
    </row>
    <row r="1167" ht="15.75" customHeight="1">
      <c r="A1167" s="7"/>
      <c r="B1167" s="7" t="str">
        <f>IFERROR(__xludf.DUMMYFUNCTION("""COMPUTED_VALUE"""),"C++;Go;HTML/CSS;JavaScript;Ruby")</f>
        <v>C++;Go;HTML/CSS;JavaScript;Ruby</v>
      </c>
      <c r="C1167" s="9" t="str">
        <f>IFERROR(__xludf.DUMMYFUNCTION("""COMPUTED_VALUE"""),"Bash/Shell/PowerShell")</f>
        <v>Bash/Shell/PowerShell</v>
      </c>
      <c r="D1167" s="9" t="str">
        <f>IFERROR(__xludf.DUMMYFUNCTION("""COMPUTED_VALUE"""),"Ruby")</f>
        <v>Ruby</v>
      </c>
      <c r="E1167" s="9" t="str">
        <f>IFERROR(__xludf.DUMMYFUNCTION("""COMPUTED_VALUE"""),"Ruby")</f>
        <v>Ruby</v>
      </c>
      <c r="F1167" s="9" t="str">
        <f>IFERROR(__xludf.DUMMYFUNCTION("""COMPUTED_VALUE"""),"Python")</f>
        <v>Python</v>
      </c>
      <c r="G1167" s="9" t="str">
        <f>IFERROR(__xludf.DUMMYFUNCTION("""COMPUTED_VALUE"""),"C++")</f>
        <v>C++</v>
      </c>
      <c r="H1167" s="9" t="str">
        <f>IFERROR(__xludf.DUMMYFUNCTION("""COMPUTED_VALUE"""),"C#")</f>
        <v>C#</v>
      </c>
      <c r="I1167" s="9" t="str">
        <f>IFERROR(__xludf.DUMMYFUNCTION("""COMPUTED_VALUE"""),"SQL")</f>
        <v>SQL</v>
      </c>
      <c r="J1167" s="9" t="str">
        <f>IFERROR(__xludf.DUMMYFUNCTION("""COMPUTED_VALUE"""),"Bash/Shell/PowerShell")</f>
        <v>Bash/Shell/PowerShell</v>
      </c>
      <c r="K1167" s="9" t="str">
        <f>IFERROR(__xludf.DUMMYFUNCTION("""COMPUTED_VALUE"""),"Java")</f>
        <v>Java</v>
      </c>
      <c r="L1167" s="9" t="str">
        <f>IFERROR(__xludf.DUMMYFUNCTION("""COMPUTED_VALUE"""),"JavaScript")</f>
        <v>JavaScript</v>
      </c>
      <c r="M1167" s="9" t="s">
        <v>30</v>
      </c>
    </row>
    <row r="1168" ht="15.75" customHeight="1">
      <c r="A1168" s="7"/>
      <c r="B1168" s="7" t="str">
        <f>IFERROR(__xludf.DUMMYFUNCTION("""COMPUTED_VALUE"""),"HTML/CSS;Java;JavaScript;SQL;TypeScript")</f>
        <v>HTML/CSS;Java;JavaScript;SQL;TypeScript</v>
      </c>
      <c r="C1168" s="9" t="str">
        <f>IFERROR(__xludf.DUMMYFUNCTION("""COMPUTED_VALUE"""),"C#")</f>
        <v>C#</v>
      </c>
      <c r="D1168" s="9" t="str">
        <f>IFERROR(__xludf.DUMMYFUNCTION("""COMPUTED_VALUE"""),"SQL")</f>
        <v>SQL</v>
      </c>
      <c r="E1168" s="9" t="str">
        <f>IFERROR(__xludf.DUMMYFUNCTION("""COMPUTED_VALUE"""),"SQL")</f>
        <v>SQL</v>
      </c>
      <c r="F1168" s="9" t="str">
        <f>IFERROR(__xludf.DUMMYFUNCTION("""COMPUTED_VALUE"""),"SQL")</f>
        <v>SQL</v>
      </c>
      <c r="G1168" s="9" t="str">
        <f>IFERROR(__xludf.DUMMYFUNCTION("""COMPUTED_VALUE"""),"HTML/CSS")</f>
        <v>HTML/CSS</v>
      </c>
      <c r="H1168" s="9" t="str">
        <f>IFERROR(__xludf.DUMMYFUNCTION("""COMPUTED_VALUE"""),"HTML/CSS")</f>
        <v>HTML/CSS</v>
      </c>
      <c r="I1168" s="9" t="str">
        <f>IFERROR(__xludf.DUMMYFUNCTION("""COMPUTED_VALUE"""),"VBA")</f>
        <v>VBA</v>
      </c>
      <c r="J1168" s="9" t="str">
        <f>IFERROR(__xludf.DUMMYFUNCTION("""COMPUTED_VALUE"""),"HTML/CSS")</f>
        <v>HTML/CSS</v>
      </c>
      <c r="K1168" s="9" t="str">
        <f>IFERROR(__xludf.DUMMYFUNCTION("""COMPUTED_VALUE"""),"JavaScript")</f>
        <v>JavaScript</v>
      </c>
      <c r="L1168" s="9" t="str">
        <f>IFERROR(__xludf.DUMMYFUNCTION("""COMPUTED_VALUE"""),"Python")</f>
        <v>Python</v>
      </c>
      <c r="M1168" s="9" t="s">
        <v>26</v>
      </c>
    </row>
    <row r="1169" ht="15.75" customHeight="1">
      <c r="A1169" s="7"/>
      <c r="B1169" s="7" t="str">
        <f>IFERROR(__xludf.DUMMYFUNCTION("""COMPUTED_VALUE"""),"Bash/Shell/PowerShell;HTML/CSS;Java;JavaScript;Python;SQL")</f>
        <v>Bash/Shell/PowerShell;HTML/CSS;Java;JavaScript;Python;SQL</v>
      </c>
      <c r="C1169" s="9" t="str">
        <f>IFERROR(__xludf.DUMMYFUNCTION("""COMPUTED_VALUE"""),"Dart")</f>
        <v>Dart</v>
      </c>
      <c r="D1169" s="9" t="str">
        <f>IFERROR(__xludf.DUMMYFUNCTION("""COMPUTED_VALUE"""),"Swift")</f>
        <v>Swift</v>
      </c>
      <c r="E1169" s="9" t="str">
        <f>IFERROR(__xludf.DUMMYFUNCTION("""COMPUTED_VALUE"""),"Swift")</f>
        <v>Swift</v>
      </c>
      <c r="F1169" s="9" t="str">
        <f>IFERROR(__xludf.DUMMYFUNCTION("""COMPUTED_VALUE"""),"TypeScript")</f>
        <v>TypeScript</v>
      </c>
      <c r="G1169" s="9" t="str">
        <f>IFERROR(__xludf.DUMMYFUNCTION("""COMPUTED_VALUE"""),"Java")</f>
        <v>Java</v>
      </c>
      <c r="H1169" s="9" t="str">
        <f>IFERROR(__xludf.DUMMYFUNCTION("""COMPUTED_VALUE"""),"JavaScript")</f>
        <v>JavaScript</v>
      </c>
      <c r="I1169" s="9" t="str">
        <f>IFERROR(__xludf.DUMMYFUNCTION("""COMPUTED_VALUE"""),"Bash/Shell/PowerShell")</f>
        <v>Bash/Shell/PowerShell</v>
      </c>
      <c r="J1169" s="9" t="str">
        <f>IFERROR(__xludf.DUMMYFUNCTION("""COMPUTED_VALUE"""),"JavaScript")</f>
        <v>JavaScript</v>
      </c>
      <c r="K1169" s="9" t="str">
        <f>IFERROR(__xludf.DUMMYFUNCTION("""COMPUTED_VALUE"""),"Python")</f>
        <v>Python</v>
      </c>
      <c r="L1169" s="9" t="str">
        <f>IFERROR(__xludf.DUMMYFUNCTION("""COMPUTED_VALUE"""),"SQL")</f>
        <v>SQL</v>
      </c>
      <c r="M1169" s="9" t="s">
        <v>47</v>
      </c>
    </row>
    <row r="1170" ht="15.75" customHeight="1">
      <c r="A1170" s="7"/>
      <c r="B1170" s="7" t="str">
        <f>IFERROR(__xludf.DUMMYFUNCTION("""COMPUTED_VALUE"""),"Bash/Shell/PowerShell;HTML/CSS;JavaScript;PHP;SQL;TypeScript")</f>
        <v>Bash/Shell/PowerShell;HTML/CSS;JavaScript;PHP;SQL;TypeScript</v>
      </c>
      <c r="C1170" s="9" t="str">
        <f>IFERROR(__xludf.DUMMYFUNCTION("""COMPUTED_VALUE"""),"HTML/CSS")</f>
        <v>HTML/CSS</v>
      </c>
      <c r="D1170" s="9" t="str">
        <f>IFERROR(__xludf.DUMMYFUNCTION("""COMPUTED_VALUE"""),"VBA")</f>
        <v>VBA</v>
      </c>
      <c r="E1170" s="9" t="str">
        <f>IFERROR(__xludf.DUMMYFUNCTION("""COMPUTED_VALUE"""),"TypeScript")</f>
        <v>TypeScript</v>
      </c>
      <c r="F1170" s="9" t="str">
        <f>IFERROR(__xludf.DUMMYFUNCTION("""COMPUTED_VALUE"""),"Other(s):")</f>
        <v>Other(s):</v>
      </c>
      <c r="G1170" s="9" t="str">
        <f>IFERROR(__xludf.DUMMYFUNCTION("""COMPUTED_VALUE"""),"C")</f>
        <v>C</v>
      </c>
      <c r="H1170" s="9" t="str">
        <f>IFERROR(__xludf.DUMMYFUNCTION("""COMPUTED_VALUE"""),"PHP")</f>
        <v>PHP</v>
      </c>
      <c r="I1170" s="9" t="str">
        <f>IFERROR(__xludf.DUMMYFUNCTION("""COMPUTED_VALUE"""),"Clojure")</f>
        <v>Clojure</v>
      </c>
      <c r="J1170" s="9" t="str">
        <f>IFERROR(__xludf.DUMMYFUNCTION("""COMPUTED_VALUE"""),"Python")</f>
        <v>Python</v>
      </c>
      <c r="K1170" s="9" t="str">
        <f>IFERROR(__xludf.DUMMYFUNCTION("""COMPUTED_VALUE"""),"Ruby")</f>
        <v>Ruby</v>
      </c>
      <c r="L1170" s="9" t="str">
        <f>IFERROR(__xludf.DUMMYFUNCTION("""COMPUTED_VALUE"""),"Assembly")</f>
        <v>Assembly</v>
      </c>
      <c r="M1170" s="9" t="s">
        <v>24</v>
      </c>
    </row>
    <row r="1171" ht="15.75" customHeight="1">
      <c r="A1171" s="7"/>
      <c r="B1171" s="7" t="str">
        <f>IFERROR(__xludf.DUMMYFUNCTION("""COMPUTED_VALUE"""),"Go;HTML/CSS;JavaScript;Python;R")</f>
        <v>Go;HTML/CSS;JavaScript;Python;R</v>
      </c>
      <c r="C1171" s="9" t="str">
        <f>IFERROR(__xludf.DUMMYFUNCTION("""COMPUTED_VALUE"""),"JavaScript")</f>
        <v>JavaScript</v>
      </c>
      <c r="D1171" s="9" t="str">
        <f>IFERROR(__xludf.DUMMYFUNCTION("""COMPUTED_VALUE"""),"Other(s):")</f>
        <v>Other(s):</v>
      </c>
      <c r="E1171" s="9" t="str">
        <f>IFERROR(__xludf.DUMMYFUNCTION("""COMPUTED_VALUE"""),"C#")</f>
        <v>C#</v>
      </c>
      <c r="F1171" s="9" t="str">
        <f>IFERROR(__xludf.DUMMYFUNCTION("""COMPUTED_VALUE"""),"Clojure")</f>
        <v>Clojure</v>
      </c>
      <c r="G1171" s="9" t="str">
        <f>IFERROR(__xludf.DUMMYFUNCTION("""COMPUTED_VALUE"""),"JavaScript")</f>
        <v>JavaScript</v>
      </c>
      <c r="H1171" s="9" t="str">
        <f>IFERROR(__xludf.DUMMYFUNCTION("""COMPUTED_VALUE"""),"Python")</f>
        <v>Python</v>
      </c>
      <c r="I1171" s="9" t="str">
        <f>IFERROR(__xludf.DUMMYFUNCTION("""COMPUTED_VALUE"""),"Erlang")</f>
        <v>Erlang</v>
      </c>
      <c r="J1171" s="9" t="str">
        <f>IFERROR(__xludf.DUMMYFUNCTION("""COMPUTED_VALUE"""),"SQL")</f>
        <v>SQL</v>
      </c>
      <c r="K1171" s="9" t="str">
        <f>IFERROR(__xludf.DUMMYFUNCTION("""COMPUTED_VALUE"""),"SQL")</f>
        <v>SQL</v>
      </c>
      <c r="L1171" s="9" t="str">
        <f>IFERROR(__xludf.DUMMYFUNCTION("""COMPUTED_VALUE"""),"Bash/Shell/PowerShell")</f>
        <v>Bash/Shell/PowerShell</v>
      </c>
      <c r="M1171" s="9" t="s">
        <v>21</v>
      </c>
    </row>
    <row r="1172" ht="15.75" customHeight="1">
      <c r="A1172" s="7"/>
      <c r="B1172" s="7" t="str">
        <f>IFERROR(__xludf.DUMMYFUNCTION("""COMPUTED_VALUE"""),"HTML/CSS;JavaScript;PHP")</f>
        <v>HTML/CSS;JavaScript;PHP</v>
      </c>
      <c r="C1172" s="9" t="str">
        <f>IFERROR(__xludf.DUMMYFUNCTION("""COMPUTED_VALUE"""),"C++")</f>
        <v>C++</v>
      </c>
      <c r="D1172" s="9" t="str">
        <f>IFERROR(__xludf.DUMMYFUNCTION("""COMPUTED_VALUE"""),"Go")</f>
        <v>Go</v>
      </c>
      <c r="E1172" s="9" t="str">
        <f>IFERROR(__xludf.DUMMYFUNCTION("""COMPUTED_VALUE"""),"F#")</f>
        <v>F#</v>
      </c>
      <c r="F1172" s="9" t="str">
        <f>IFERROR(__xludf.DUMMYFUNCTION("""COMPUTED_VALUE"""),"HTML/CSS")</f>
        <v>HTML/CSS</v>
      </c>
      <c r="G1172" s="9" t="str">
        <f>IFERROR(__xludf.DUMMYFUNCTION("""COMPUTED_VALUE"""),"Python")</f>
        <v>Python</v>
      </c>
      <c r="H1172" s="9" t="str">
        <f>IFERROR(__xludf.DUMMYFUNCTION("""COMPUTED_VALUE"""),"SQL")</f>
        <v>SQL</v>
      </c>
      <c r="I1172" s="9" t="str">
        <f>IFERROR(__xludf.DUMMYFUNCTION("""COMPUTED_VALUE"""),"Go")</f>
        <v>Go</v>
      </c>
      <c r="J1172" s="9" t="str">
        <f>IFERROR(__xludf.DUMMYFUNCTION("""COMPUTED_VALUE"""),"TypeScript")</f>
        <v>TypeScript</v>
      </c>
      <c r="K1172" s="9" t="str">
        <f>IFERROR(__xludf.DUMMYFUNCTION("""COMPUTED_VALUE"""),"C#")</f>
        <v>C#</v>
      </c>
      <c r="L1172" s="9" t="str">
        <f>IFERROR(__xludf.DUMMYFUNCTION("""COMPUTED_VALUE"""),"C++")</f>
        <v>C++</v>
      </c>
      <c r="M1172" s="9" t="s">
        <v>23</v>
      </c>
    </row>
    <row r="1173" ht="15.75" customHeight="1">
      <c r="A1173" s="7"/>
      <c r="B1173" s="7" t="str">
        <f>IFERROR(__xludf.DUMMYFUNCTION("""COMPUTED_VALUE"""),"Bash/Shell/PowerShell;C++;Python")</f>
        <v>Bash/Shell/PowerShell;C++;Python</v>
      </c>
      <c r="C1173" s="9" t="str">
        <f>IFERROR(__xludf.DUMMYFUNCTION("""COMPUTED_VALUE"""),"Python")</f>
        <v>Python</v>
      </c>
      <c r="D1173" s="9" t="str">
        <f>IFERROR(__xludf.DUMMYFUNCTION("""COMPUTED_VALUE"""),"HTML/CSS")</f>
        <v>HTML/CSS</v>
      </c>
      <c r="E1173" s="9" t="str">
        <f>IFERROR(__xludf.DUMMYFUNCTION("""COMPUTED_VALUE"""),"HTML/CSS")</f>
        <v>HTML/CSS</v>
      </c>
      <c r="F1173" s="9" t="str">
        <f>IFERROR(__xludf.DUMMYFUNCTION("""COMPUTED_VALUE"""),"C++")</f>
        <v>C++</v>
      </c>
      <c r="G1173" s="9" t="str">
        <f>IFERROR(__xludf.DUMMYFUNCTION("""COMPUTED_VALUE"""),"Other(s):")</f>
        <v>Other(s):</v>
      </c>
      <c r="H1173" s="9" t="str">
        <f>IFERROR(__xludf.DUMMYFUNCTION("""COMPUTED_VALUE"""),"TypeScript")</f>
        <v>TypeScript</v>
      </c>
      <c r="I1173" s="9" t="str">
        <f>IFERROR(__xludf.DUMMYFUNCTION("""COMPUTED_VALUE"""),"HTML/CSS")</f>
        <v>HTML/CSS</v>
      </c>
      <c r="J1173" s="9" t="str">
        <f>IFERROR(__xludf.DUMMYFUNCTION("""COMPUTED_VALUE"""),"C#")</f>
        <v>C#</v>
      </c>
      <c r="K1173" s="9" t="str">
        <f>IFERROR(__xludf.DUMMYFUNCTION("""COMPUTED_VALUE"""),"Java")</f>
        <v>Java</v>
      </c>
      <c r="L1173" s="9" t="str">
        <f>IFERROR(__xludf.DUMMYFUNCTION("""COMPUTED_VALUE"""),"HTML/CSS")</f>
        <v>HTML/CSS</v>
      </c>
      <c r="M1173" s="9" t="s">
        <v>22</v>
      </c>
    </row>
    <row r="1174" ht="15.75" customHeight="1">
      <c r="A1174" s="7"/>
      <c r="B1174" s="7" t="str">
        <f>IFERROR(__xludf.DUMMYFUNCTION("""COMPUTED_VALUE"""),"C#;HTML/CSS;Java;JavaScript;TypeScript")</f>
        <v>C#;HTML/CSS;Java;JavaScript;TypeScript</v>
      </c>
      <c r="C1174" s="9" t="str">
        <f>IFERROR(__xludf.DUMMYFUNCTION("""COMPUTED_VALUE"""),"Bash/Shell/PowerShell")</f>
        <v>Bash/Shell/PowerShell</v>
      </c>
      <c r="D1174" s="9" t="str">
        <f>IFERROR(__xludf.DUMMYFUNCTION("""COMPUTED_VALUE"""),"JavaScript")</f>
        <v>JavaScript</v>
      </c>
      <c r="E1174" s="9" t="str">
        <f>IFERROR(__xludf.DUMMYFUNCTION("""COMPUTED_VALUE"""),"Java")</f>
        <v>Java</v>
      </c>
      <c r="F1174" s="9" t="str">
        <f>IFERROR(__xludf.DUMMYFUNCTION("""COMPUTED_VALUE"""),"Assembly")</f>
        <v>Assembly</v>
      </c>
      <c r="G1174" s="9" t="str">
        <f>IFERROR(__xludf.DUMMYFUNCTION("""COMPUTED_VALUE"""),"Go")</f>
        <v>Go</v>
      </c>
      <c r="H1174" s="9" t="str">
        <f>IFERROR(__xludf.DUMMYFUNCTION("""COMPUTED_VALUE"""),"Bash/Shell/PowerShell")</f>
        <v>Bash/Shell/PowerShell</v>
      </c>
      <c r="I1174" s="9" t="str">
        <f>IFERROR(__xludf.DUMMYFUNCTION("""COMPUTED_VALUE"""),"JavaScript")</f>
        <v>JavaScript</v>
      </c>
      <c r="J1174" s="9" t="str">
        <f>IFERROR(__xludf.DUMMYFUNCTION("""COMPUTED_VALUE"""),"Bash/Shell/PowerShell")</f>
        <v>Bash/Shell/PowerShell</v>
      </c>
      <c r="K1174" s="9" t="str">
        <f>IFERROR(__xludf.DUMMYFUNCTION("""COMPUTED_VALUE"""),"Java")</f>
        <v>Java</v>
      </c>
      <c r="L1174" s="9" t="str">
        <f>IFERROR(__xludf.DUMMYFUNCTION("""COMPUTED_VALUE"""),"JavaScript")</f>
        <v>JavaScript</v>
      </c>
      <c r="M1174" s="9" t="s">
        <v>30</v>
      </c>
    </row>
    <row r="1175" ht="15.75" customHeight="1">
      <c r="A1175" s="7"/>
      <c r="B1175" s="7" t="str">
        <f>IFERROR(__xludf.DUMMYFUNCTION("""COMPUTED_VALUE"""),"C++;C#;HTML/CSS;Java;SQL;WebAssembly")</f>
        <v>C++;C#;HTML/CSS;Java;SQL;WebAssembly</v>
      </c>
      <c r="C1175" s="9" t="str">
        <f>IFERROR(__xludf.DUMMYFUNCTION("""COMPUTED_VALUE"""),"C")</f>
        <v>C</v>
      </c>
      <c r="D1175" s="9" t="str">
        <f>IFERROR(__xludf.DUMMYFUNCTION("""COMPUTED_VALUE"""),"Ruby")</f>
        <v>Ruby</v>
      </c>
      <c r="E1175" s="9" t="str">
        <f>IFERROR(__xludf.DUMMYFUNCTION("""COMPUTED_VALUE"""),"JavaScript")</f>
        <v>JavaScript</v>
      </c>
      <c r="F1175" s="9" t="str">
        <f>IFERROR(__xludf.DUMMYFUNCTION("""COMPUTED_VALUE"""),"C")</f>
        <v>C</v>
      </c>
      <c r="G1175" s="9" t="str">
        <f>IFERROR(__xludf.DUMMYFUNCTION("""COMPUTED_VALUE"""),"HTML/CSS")</f>
        <v>HTML/CSS</v>
      </c>
      <c r="H1175" s="9" t="str">
        <f>IFERROR(__xludf.DUMMYFUNCTION("""COMPUTED_VALUE"""),"C++")</f>
        <v>C++</v>
      </c>
      <c r="I1175" s="9" t="str">
        <f>IFERROR(__xludf.DUMMYFUNCTION("""COMPUTED_VALUE"""),"Python")</f>
        <v>Python</v>
      </c>
      <c r="J1175" s="9" t="str">
        <f>IFERROR(__xludf.DUMMYFUNCTION("""COMPUTED_VALUE"""),"C")</f>
        <v>C</v>
      </c>
      <c r="K1175" s="9" t="str">
        <f>IFERROR(__xludf.DUMMYFUNCTION("""COMPUTED_VALUE"""),"Python")</f>
        <v>Python</v>
      </c>
      <c r="L1175" s="9" t="str">
        <f>IFERROR(__xludf.DUMMYFUNCTION("""COMPUTED_VALUE"""),"TypeScript")</f>
        <v>TypeScript</v>
      </c>
      <c r="M1175" s="9" t="s">
        <v>25</v>
      </c>
    </row>
    <row r="1176" ht="15.75" customHeight="1">
      <c r="A1176" s="7"/>
      <c r="B1176" s="7" t="str">
        <f>IFERROR(__xludf.DUMMYFUNCTION("""COMPUTED_VALUE"""),"C#;HTML/CSS;Java;JavaScript;Python")</f>
        <v>C#;HTML/CSS;Java;JavaScript;Python</v>
      </c>
      <c r="C1176" s="9" t="str">
        <f>IFERROR(__xludf.DUMMYFUNCTION("""COMPUTED_VALUE"""),"Python")</f>
        <v>Python</v>
      </c>
      <c r="D1176" s="9" t="str">
        <f>IFERROR(__xludf.DUMMYFUNCTION("""COMPUTED_VALUE"""),"SQL")</f>
        <v>SQL</v>
      </c>
      <c r="E1176" s="9" t="str">
        <f>IFERROR(__xludf.DUMMYFUNCTION("""COMPUTED_VALUE"""),"Ruby")</f>
        <v>Ruby</v>
      </c>
      <c r="F1176" s="9" t="str">
        <f>IFERROR(__xludf.DUMMYFUNCTION("""COMPUTED_VALUE"""),"C++")</f>
        <v>C++</v>
      </c>
      <c r="G1176" s="9" t="str">
        <f>IFERROR(__xludf.DUMMYFUNCTION("""COMPUTED_VALUE"""),"Java")</f>
        <v>Java</v>
      </c>
      <c r="H1176" s="9" t="str">
        <f>IFERROR(__xludf.DUMMYFUNCTION("""COMPUTED_VALUE"""),"Java")</f>
        <v>Java</v>
      </c>
      <c r="I1176" s="9" t="str">
        <f>IFERROR(__xludf.DUMMYFUNCTION("""COMPUTED_VALUE"""),"Bash/Shell/PowerShell")</f>
        <v>Bash/Shell/PowerShell</v>
      </c>
      <c r="J1176" s="9" t="str">
        <f>IFERROR(__xludf.DUMMYFUNCTION("""COMPUTED_VALUE"""),"C++")</f>
        <v>C++</v>
      </c>
      <c r="K1176" s="9" t="str">
        <f>IFERROR(__xludf.DUMMYFUNCTION("""COMPUTED_VALUE"""),"C")</f>
        <v>C</v>
      </c>
      <c r="L1176" s="9" t="str">
        <f>IFERROR(__xludf.DUMMYFUNCTION("""COMPUTED_VALUE"""),"HTML/CSS")</f>
        <v>HTML/CSS</v>
      </c>
      <c r="M1176" s="9" t="s">
        <v>22</v>
      </c>
    </row>
    <row r="1177" ht="15.75" customHeight="1">
      <c r="A1177" s="7"/>
      <c r="B1177" s="7" t="str">
        <f>IFERROR(__xludf.DUMMYFUNCTION("""COMPUTED_VALUE"""),"Bash/Shell/PowerShell;Java;SQL")</f>
        <v>Bash/Shell/PowerShell;Java;SQL</v>
      </c>
      <c r="C1177" s="9" t="str">
        <f>IFERROR(__xludf.DUMMYFUNCTION("""COMPUTED_VALUE"""),"HTML/CSS")</f>
        <v>HTML/CSS</v>
      </c>
      <c r="D1177" s="9" t="str">
        <f>IFERROR(__xludf.DUMMYFUNCTION("""COMPUTED_VALUE"""),"Bash/Shell/PowerShell")</f>
        <v>Bash/Shell/PowerShell</v>
      </c>
      <c r="E1177" s="9" t="str">
        <f>IFERROR(__xludf.DUMMYFUNCTION("""COMPUTED_VALUE"""),"SQL")</f>
        <v>SQL</v>
      </c>
      <c r="F1177" s="9" t="str">
        <f>IFERROR(__xludf.DUMMYFUNCTION("""COMPUTED_VALUE"""),"HTML/CSS")</f>
        <v>HTML/CSS</v>
      </c>
      <c r="G1177" s="9" t="str">
        <f>IFERROR(__xludf.DUMMYFUNCTION("""COMPUTED_VALUE"""),"JavaScript")</f>
        <v>JavaScript</v>
      </c>
      <c r="H1177" s="9" t="str">
        <f>IFERROR(__xludf.DUMMYFUNCTION("""COMPUTED_VALUE"""),"JavaScript")</f>
        <v>JavaScript</v>
      </c>
      <c r="I1177" s="9" t="str">
        <f>IFERROR(__xludf.DUMMYFUNCTION("""COMPUTED_VALUE"""),"Java")</f>
        <v>Java</v>
      </c>
      <c r="J1177" s="9" t="str">
        <f>IFERROR(__xludf.DUMMYFUNCTION("""COMPUTED_VALUE"""),"Go")</f>
        <v>Go</v>
      </c>
      <c r="K1177" s="9" t="str">
        <f>IFERROR(__xludf.DUMMYFUNCTION("""COMPUTED_VALUE"""),"C++")</f>
        <v>C++</v>
      </c>
      <c r="L1177" s="9" t="str">
        <f>IFERROR(__xludf.DUMMYFUNCTION("""COMPUTED_VALUE"""),"PHP")</f>
        <v>PHP</v>
      </c>
      <c r="M1177" s="9" t="s">
        <v>24</v>
      </c>
    </row>
    <row r="1178" ht="15.75" customHeight="1">
      <c r="A1178" s="7"/>
      <c r="B1178" s="7" t="str">
        <f>IFERROR(__xludf.DUMMYFUNCTION("""COMPUTED_VALUE"""),"Bash/Shell/PowerShell;Elixir;Go;HTML/CSS;Java;JavaScript;Python")</f>
        <v>Bash/Shell/PowerShell;Elixir;Go;HTML/CSS;Java;JavaScript;Python</v>
      </c>
      <c r="C1178" s="9" t="str">
        <f>IFERROR(__xludf.DUMMYFUNCTION("""COMPUTED_VALUE"""),"Java")</f>
        <v>Java</v>
      </c>
      <c r="D1178" s="9" t="str">
        <f>IFERROR(__xludf.DUMMYFUNCTION("""COMPUTED_VALUE"""),"HTML/CSS")</f>
        <v>HTML/CSS</v>
      </c>
      <c r="E1178" s="9" t="str">
        <f>IFERROR(__xludf.DUMMYFUNCTION("""COMPUTED_VALUE"""),"C++")</f>
        <v>C++</v>
      </c>
      <c r="F1178" s="9" t="str">
        <f>IFERROR(__xludf.DUMMYFUNCTION("""COMPUTED_VALUE"""),"Java")</f>
        <v>Java</v>
      </c>
      <c r="G1178" s="9" t="str">
        <f>IFERROR(__xludf.DUMMYFUNCTION("""COMPUTED_VALUE"""),"PHP")</f>
        <v>PHP</v>
      </c>
      <c r="H1178" s="9" t="str">
        <f>IFERROR(__xludf.DUMMYFUNCTION("""COMPUTED_VALUE"""),"Python")</f>
        <v>Python</v>
      </c>
      <c r="I1178" s="9" t="str">
        <f>IFERROR(__xludf.DUMMYFUNCTION("""COMPUTED_VALUE"""),"JavaScript")</f>
        <v>JavaScript</v>
      </c>
      <c r="J1178" s="9" t="str">
        <f>IFERROR(__xludf.DUMMYFUNCTION("""COMPUTED_VALUE"""),"HTML/CSS")</f>
        <v>HTML/CSS</v>
      </c>
      <c r="K1178" s="9" t="str">
        <f>IFERROR(__xludf.DUMMYFUNCTION("""COMPUTED_VALUE"""),"Python")</f>
        <v>Python</v>
      </c>
      <c r="L1178" s="9" t="str">
        <f>IFERROR(__xludf.DUMMYFUNCTION("""COMPUTED_VALUE"""),"SQL")</f>
        <v>SQL</v>
      </c>
      <c r="M1178" s="9" t="s">
        <v>20</v>
      </c>
    </row>
    <row r="1179" ht="15.75" customHeight="1">
      <c r="A1179" s="7"/>
      <c r="B1179" s="7" t="str">
        <f>IFERROR(__xludf.DUMMYFUNCTION("""COMPUTED_VALUE"""),"Bash/Shell/PowerShell;Erlang;JavaScript;R;Ruby")</f>
        <v>Bash/Shell/PowerShell;Erlang;JavaScript;R;Ruby</v>
      </c>
      <c r="C1179" s="9" t="str">
        <f>IFERROR(__xludf.DUMMYFUNCTION("""COMPUTED_VALUE"""),"Python")</f>
        <v>Python</v>
      </c>
      <c r="D1179" s="9" t="str">
        <f>IFERROR(__xludf.DUMMYFUNCTION("""COMPUTED_VALUE"""),"JavaScript")</f>
        <v>JavaScript</v>
      </c>
      <c r="E1179" s="9" t="str">
        <f>IFERROR(__xludf.DUMMYFUNCTION("""COMPUTED_VALUE"""),"Python")</f>
        <v>Python</v>
      </c>
      <c r="F1179" s="9" t="str">
        <f>IFERROR(__xludf.DUMMYFUNCTION("""COMPUTED_VALUE"""),"JavaScript")</f>
        <v>JavaScript</v>
      </c>
      <c r="G1179" s="9" t="str">
        <f>IFERROR(__xludf.DUMMYFUNCTION("""COMPUTED_VALUE"""),"SQL")</f>
        <v>SQL</v>
      </c>
      <c r="H1179" s="9" t="str">
        <f>IFERROR(__xludf.DUMMYFUNCTION("""COMPUTED_VALUE"""),"SQL")</f>
        <v>SQL</v>
      </c>
      <c r="I1179" s="9" t="str">
        <f>IFERROR(__xludf.DUMMYFUNCTION("""COMPUTED_VALUE"""),"PHP")</f>
        <v>PHP</v>
      </c>
      <c r="J1179" s="9" t="str">
        <f>IFERROR(__xludf.DUMMYFUNCTION("""COMPUTED_VALUE"""),"JavaScript")</f>
        <v>JavaScript</v>
      </c>
      <c r="K1179" s="9" t="str">
        <f>IFERROR(__xludf.DUMMYFUNCTION("""COMPUTED_VALUE"""),"Other(s):")</f>
        <v>Other(s):</v>
      </c>
      <c r="L1179" s="9" t="str">
        <f>IFERROR(__xludf.DUMMYFUNCTION("""COMPUTED_VALUE"""),"Bash/Shell/PowerShell")</f>
        <v>Bash/Shell/PowerShell</v>
      </c>
      <c r="M1179" s="9" t="s">
        <v>22</v>
      </c>
    </row>
    <row r="1180" ht="15.75" customHeight="1">
      <c r="A1180" s="7"/>
      <c r="B1180" s="7" t="str">
        <f>IFERROR(__xludf.DUMMYFUNCTION("""COMPUTED_VALUE"""),"C#;Other(s):")</f>
        <v>C#;Other(s):</v>
      </c>
      <c r="C1180" s="9" t="str">
        <f>IFERROR(__xludf.DUMMYFUNCTION("""COMPUTED_VALUE"""),"SQL")</f>
        <v>SQL</v>
      </c>
      <c r="D1180" s="9" t="str">
        <f>IFERROR(__xludf.DUMMYFUNCTION("""COMPUTED_VALUE"""),"PHP")</f>
        <v>PHP</v>
      </c>
      <c r="E1180" s="9" t="str">
        <f>IFERROR(__xludf.DUMMYFUNCTION("""COMPUTED_VALUE"""),"Python")</f>
        <v>Python</v>
      </c>
      <c r="F1180" s="9" t="str">
        <f>IFERROR(__xludf.DUMMYFUNCTION("""COMPUTED_VALUE"""),"PHP")</f>
        <v>PHP</v>
      </c>
      <c r="G1180" s="9" t="str">
        <f>IFERROR(__xludf.DUMMYFUNCTION("""COMPUTED_VALUE"""),"TypeScript")</f>
        <v>TypeScript</v>
      </c>
      <c r="H1180" s="9" t="str">
        <f>IFERROR(__xludf.DUMMYFUNCTION("""COMPUTED_VALUE"""),"Bash/Shell/PowerShell")</f>
        <v>Bash/Shell/PowerShell</v>
      </c>
      <c r="I1180" s="9" t="str">
        <f>IFERROR(__xludf.DUMMYFUNCTION("""COMPUTED_VALUE"""),"Python")</f>
        <v>Python</v>
      </c>
      <c r="J1180" s="9" t="str">
        <f>IFERROR(__xludf.DUMMYFUNCTION("""COMPUTED_VALUE"""),"PHP")</f>
        <v>PHP</v>
      </c>
      <c r="K1180" s="9" t="str">
        <f>IFERROR(__xludf.DUMMYFUNCTION("""COMPUTED_VALUE"""),"HTML/CSS")</f>
        <v>HTML/CSS</v>
      </c>
      <c r="L1180" s="9" t="str">
        <f>IFERROR(__xludf.DUMMYFUNCTION("""COMPUTED_VALUE"""),"Java")</f>
        <v>Java</v>
      </c>
      <c r="M1180" s="9" t="s">
        <v>27</v>
      </c>
    </row>
    <row r="1181" ht="15.75" customHeight="1">
      <c r="A1181" s="7"/>
      <c r="B1181" s="7" t="str">
        <f>IFERROR(__xludf.DUMMYFUNCTION("""COMPUTED_VALUE"""),"C;C++;SQL")</f>
        <v>C;C++;SQL</v>
      </c>
      <c r="C1181" s="9" t="str">
        <f>IFERROR(__xludf.DUMMYFUNCTION("""COMPUTED_VALUE"""),"HTML/CSS")</f>
        <v>HTML/CSS</v>
      </c>
      <c r="D1181" s="9" t="str">
        <f>IFERROR(__xludf.DUMMYFUNCTION("""COMPUTED_VALUE"""),"SQL")</f>
        <v>SQL</v>
      </c>
      <c r="E1181" s="9" t="str">
        <f>IFERROR(__xludf.DUMMYFUNCTION("""COMPUTED_VALUE"""),"C++")</f>
        <v>C++</v>
      </c>
      <c r="F1181" s="9" t="str">
        <f>IFERROR(__xludf.DUMMYFUNCTION("""COMPUTED_VALUE"""),"Python")</f>
        <v>Python</v>
      </c>
      <c r="G1181" s="9" t="str">
        <f>IFERROR(__xludf.DUMMYFUNCTION("""COMPUTED_VALUE"""),"Bash/Shell/PowerShell")</f>
        <v>Bash/Shell/PowerShell</v>
      </c>
      <c r="H1181" s="9" t="str">
        <f>IFERROR(__xludf.DUMMYFUNCTION("""COMPUTED_VALUE"""),"HTML/CSS")</f>
        <v>HTML/CSS</v>
      </c>
      <c r="I1181" s="9" t="str">
        <f>IFERROR(__xludf.DUMMYFUNCTION("""COMPUTED_VALUE"""),"Scala")</f>
        <v>Scala</v>
      </c>
      <c r="J1181" s="9" t="str">
        <f>IFERROR(__xludf.DUMMYFUNCTION("""COMPUTED_VALUE"""),"Python")</f>
        <v>Python</v>
      </c>
      <c r="K1181" s="9" t="str">
        <f>IFERROR(__xludf.DUMMYFUNCTION("""COMPUTED_VALUE"""),"JavaScript")</f>
        <v>JavaScript</v>
      </c>
      <c r="L1181" s="9" t="str">
        <f>IFERROR(__xludf.DUMMYFUNCTION("""COMPUTED_VALUE"""),"JavaScript")</f>
        <v>JavaScript</v>
      </c>
      <c r="M1181" s="9" t="s">
        <v>24</v>
      </c>
    </row>
    <row r="1182" ht="15.75" customHeight="1">
      <c r="A1182" s="7"/>
      <c r="B1182" s="7" t="str">
        <f>IFERROR(__xludf.DUMMYFUNCTION("""COMPUTED_VALUE"""),"Bash/Shell/PowerShell;Go;HTML/CSS;Java;JavaScript;PHP;Python;Rust")</f>
        <v>Bash/Shell/PowerShell;Go;HTML/CSS;Java;JavaScript;PHP;Python;Rust</v>
      </c>
      <c r="C1182" s="9" t="str">
        <f>IFERROR(__xludf.DUMMYFUNCTION("""COMPUTED_VALUE"""),"JavaScript")</f>
        <v>JavaScript</v>
      </c>
      <c r="D1182" s="9" t="str">
        <f>IFERROR(__xludf.DUMMYFUNCTION("""COMPUTED_VALUE"""),"C")</f>
        <v>C</v>
      </c>
      <c r="E1182" s="9" t="str">
        <f>IFERROR(__xludf.DUMMYFUNCTION("""COMPUTED_VALUE"""),"HTML/CSS")</f>
        <v>HTML/CSS</v>
      </c>
      <c r="F1182" s="9" t="str">
        <f>IFERROR(__xludf.DUMMYFUNCTION("""COMPUTED_VALUE"""),"R")</f>
        <v>R</v>
      </c>
      <c r="G1182" s="9" t="str">
        <f>IFERROR(__xludf.DUMMYFUNCTION("""COMPUTED_VALUE"""),"C++")</f>
        <v>C++</v>
      </c>
      <c r="H1182" s="9" t="str">
        <f>IFERROR(__xludf.DUMMYFUNCTION("""COMPUTED_VALUE"""),"JavaScript")</f>
        <v>JavaScript</v>
      </c>
      <c r="I1182" s="9" t="str">
        <f>IFERROR(__xludf.DUMMYFUNCTION("""COMPUTED_VALUE"""),"SQL")</f>
        <v>SQL</v>
      </c>
      <c r="J1182" s="9" t="str">
        <f>IFERROR(__xludf.DUMMYFUNCTION("""COMPUTED_VALUE"""),"R")</f>
        <v>R</v>
      </c>
      <c r="K1182" s="9" t="str">
        <f>IFERROR(__xludf.DUMMYFUNCTION("""COMPUTED_VALUE"""),"PHP")</f>
        <v>PHP</v>
      </c>
      <c r="L1182" s="9" t="str">
        <f>IFERROR(__xludf.DUMMYFUNCTION("""COMPUTED_VALUE"""),"Python")</f>
        <v>Python</v>
      </c>
      <c r="M1182" s="9" t="s">
        <v>21</v>
      </c>
    </row>
    <row r="1183" ht="15.75" customHeight="1">
      <c r="A1183" s="7"/>
      <c r="B1183" s="7" t="str">
        <f>IFERROR(__xludf.DUMMYFUNCTION("""COMPUTED_VALUE"""),"C++;C#")</f>
        <v>C++;C#</v>
      </c>
      <c r="C1183" s="9" t="str">
        <f>IFERROR(__xludf.DUMMYFUNCTION("""COMPUTED_VALUE"""),"C++")</f>
        <v>C++</v>
      </c>
      <c r="D1183" s="9" t="str">
        <f>IFERROR(__xludf.DUMMYFUNCTION("""COMPUTED_VALUE"""),"C++")</f>
        <v>C++</v>
      </c>
      <c r="E1183" s="9" t="str">
        <f>IFERROR(__xludf.DUMMYFUNCTION("""COMPUTED_VALUE"""),"JavaScript")</f>
        <v>JavaScript</v>
      </c>
      <c r="F1183" s="9" t="str">
        <f>IFERROR(__xludf.DUMMYFUNCTION("""COMPUTED_VALUE"""),"SQL")</f>
        <v>SQL</v>
      </c>
      <c r="G1183" s="9" t="str">
        <f>IFERROR(__xludf.DUMMYFUNCTION("""COMPUTED_VALUE"""),"C#")</f>
        <v>C#</v>
      </c>
      <c r="H1183" s="9" t="str">
        <f>IFERROR(__xludf.DUMMYFUNCTION("""COMPUTED_VALUE"""),"PHP")</f>
        <v>PHP</v>
      </c>
      <c r="I1183" s="9" t="str">
        <f>IFERROR(__xludf.DUMMYFUNCTION("""COMPUTED_VALUE"""),"C")</f>
        <v>C</v>
      </c>
      <c r="J1183" s="9" t="str">
        <f>IFERROR(__xludf.DUMMYFUNCTION("""COMPUTED_VALUE"""),"Rust")</f>
        <v>Rust</v>
      </c>
      <c r="K1183" s="9" t="str">
        <f>IFERROR(__xludf.DUMMYFUNCTION("""COMPUTED_VALUE"""),"SQL")</f>
        <v>SQL</v>
      </c>
      <c r="L1183" s="9" t="str">
        <f>IFERROR(__xludf.DUMMYFUNCTION("""COMPUTED_VALUE"""),"SQL")</f>
        <v>SQL</v>
      </c>
      <c r="M1183" s="9" t="s">
        <v>23</v>
      </c>
    </row>
    <row r="1184" ht="15.75" customHeight="1">
      <c r="A1184" s="7"/>
      <c r="B1184" s="7" t="str">
        <f>IFERROR(__xludf.DUMMYFUNCTION("""COMPUTED_VALUE"""),"C++;HTML/CSS;Java;JavaScript;PHP;Python;Ruby;SQL")</f>
        <v>C++;HTML/CSS;Java;JavaScript;PHP;Python;Ruby;SQL</v>
      </c>
      <c r="C1184" s="9" t="str">
        <f>IFERROR(__xludf.DUMMYFUNCTION("""COMPUTED_VALUE"""),"JavaScript")</f>
        <v>JavaScript</v>
      </c>
      <c r="D1184" s="9" t="str">
        <f>IFERROR(__xludf.DUMMYFUNCTION("""COMPUTED_VALUE"""),"HTML/CSS")</f>
        <v>HTML/CSS</v>
      </c>
      <c r="E1184" s="9" t="str">
        <f>IFERROR(__xludf.DUMMYFUNCTION("""COMPUTED_VALUE"""),"C")</f>
        <v>C</v>
      </c>
      <c r="F1184" s="9" t="str">
        <f>IFERROR(__xludf.DUMMYFUNCTION("""COMPUTED_VALUE"""),"HTML/CSS")</f>
        <v>HTML/CSS</v>
      </c>
      <c r="G1184" s="9" t="str">
        <f>IFERROR(__xludf.DUMMYFUNCTION("""COMPUTED_VALUE"""),"HTML/CSS")</f>
        <v>HTML/CSS</v>
      </c>
      <c r="H1184" s="9" t="str">
        <f>IFERROR(__xludf.DUMMYFUNCTION("""COMPUTED_VALUE"""),"Python")</f>
        <v>Python</v>
      </c>
      <c r="I1184" s="9" t="str">
        <f>IFERROR(__xludf.DUMMYFUNCTION("""COMPUTED_VALUE"""),"C++")</f>
        <v>C++</v>
      </c>
      <c r="J1184" s="9" t="str">
        <f>IFERROR(__xludf.DUMMYFUNCTION("""COMPUTED_VALUE"""),"SQL")</f>
        <v>SQL</v>
      </c>
      <c r="K1184" s="9" t="str">
        <f>IFERROR(__xludf.DUMMYFUNCTION("""COMPUTED_VALUE"""),"TypeScript")</f>
        <v>TypeScript</v>
      </c>
      <c r="L1184" s="9" t="str">
        <f>IFERROR(__xludf.DUMMYFUNCTION("""COMPUTED_VALUE"""),"HTML/CSS")</f>
        <v>HTML/CSS</v>
      </c>
      <c r="M1184" s="9" t="s">
        <v>21</v>
      </c>
    </row>
    <row r="1185" ht="15.75" customHeight="1">
      <c r="A1185" s="7"/>
      <c r="B1185" s="7" t="str">
        <f>IFERROR(__xludf.DUMMYFUNCTION("""COMPUTED_VALUE"""),"Bash/Shell/PowerShell;Python;SQL")</f>
        <v>Bash/Shell/PowerShell;Python;SQL</v>
      </c>
      <c r="C1185" s="9" t="str">
        <f>IFERROR(__xludf.DUMMYFUNCTION("""COMPUTED_VALUE"""),"Rust")</f>
        <v>Rust</v>
      </c>
      <c r="D1185" s="9" t="str">
        <f>IFERROR(__xludf.DUMMYFUNCTION("""COMPUTED_VALUE"""),"Python")</f>
        <v>Python</v>
      </c>
      <c r="E1185" s="9" t="str">
        <f>IFERROR(__xludf.DUMMYFUNCTION("""COMPUTED_VALUE"""),"HTML/CSS")</f>
        <v>HTML/CSS</v>
      </c>
      <c r="F1185" s="9" t="str">
        <f>IFERROR(__xludf.DUMMYFUNCTION("""COMPUTED_VALUE"""),"JavaScript")</f>
        <v>JavaScript</v>
      </c>
      <c r="G1185" s="9" t="str">
        <f>IFERROR(__xludf.DUMMYFUNCTION("""COMPUTED_VALUE"""),"Java")</f>
        <v>Java</v>
      </c>
      <c r="H1185" s="9" t="str">
        <f>IFERROR(__xludf.DUMMYFUNCTION("""COMPUTED_VALUE"""),"SQL")</f>
        <v>SQL</v>
      </c>
      <c r="I1185" s="9" t="str">
        <f>IFERROR(__xludf.DUMMYFUNCTION("""COMPUTED_VALUE"""),"HTML/CSS")</f>
        <v>HTML/CSS</v>
      </c>
      <c r="J1185" s="9" t="str">
        <f>IFERROR(__xludf.DUMMYFUNCTION("""COMPUTED_VALUE"""),"Other(s):")</f>
        <v>Other(s):</v>
      </c>
      <c r="K1185" s="9" t="str">
        <f>IFERROR(__xludf.DUMMYFUNCTION("""COMPUTED_VALUE"""),"HTML/CSS")</f>
        <v>HTML/CSS</v>
      </c>
      <c r="L1185" s="9" t="str">
        <f>IFERROR(__xludf.DUMMYFUNCTION("""COMPUTED_VALUE"""),"JavaScript")</f>
        <v>JavaScript</v>
      </c>
      <c r="M1185" s="9" t="s">
        <v>32</v>
      </c>
    </row>
    <row r="1186" ht="15.75" customHeight="1">
      <c r="A1186" s="7"/>
      <c r="B1186" s="7" t="str">
        <f>IFERROR(__xludf.DUMMYFUNCTION("""COMPUTED_VALUE"""),"HTML/CSS;JavaScript;PHP;Python;SQL")</f>
        <v>HTML/CSS;JavaScript;PHP;Python;SQL</v>
      </c>
      <c r="C1186" s="9" t="str">
        <f>IFERROR(__xludf.DUMMYFUNCTION("""COMPUTED_VALUE"""),"HTML/CSS")</f>
        <v>HTML/CSS</v>
      </c>
      <c r="D1186" s="9" t="str">
        <f>IFERROR(__xludf.DUMMYFUNCTION("""COMPUTED_VALUE"""),"C#")</f>
        <v>C#</v>
      </c>
      <c r="E1186" s="9" t="str">
        <f>IFERROR(__xludf.DUMMYFUNCTION("""COMPUTED_VALUE"""),"JavaScript")</f>
        <v>JavaScript</v>
      </c>
      <c r="F1186" s="9" t="str">
        <f>IFERROR(__xludf.DUMMYFUNCTION("""COMPUTED_VALUE"""),"TypeScript")</f>
        <v>TypeScript</v>
      </c>
      <c r="G1186" s="9" t="str">
        <f>IFERROR(__xludf.DUMMYFUNCTION("""COMPUTED_VALUE"""),"JavaScript")</f>
        <v>JavaScript</v>
      </c>
      <c r="H1186" s="9" t="str">
        <f>IFERROR(__xludf.DUMMYFUNCTION("""COMPUTED_VALUE"""),"Assembly")</f>
        <v>Assembly</v>
      </c>
      <c r="I1186" s="9" t="str">
        <f>IFERROR(__xludf.DUMMYFUNCTION("""COMPUTED_VALUE"""),"JavaScript")</f>
        <v>JavaScript</v>
      </c>
      <c r="J1186" s="9" t="str">
        <f>IFERROR(__xludf.DUMMYFUNCTION("""COMPUTED_VALUE"""),"Bash/Shell/PowerShell")</f>
        <v>Bash/Shell/PowerShell</v>
      </c>
      <c r="K1186" s="9" t="str">
        <f>IFERROR(__xludf.DUMMYFUNCTION("""COMPUTED_VALUE"""),"JavaScript")</f>
        <v>JavaScript</v>
      </c>
      <c r="L1186" s="9" t="str">
        <f>IFERROR(__xludf.DUMMYFUNCTION("""COMPUTED_VALUE"""),"PHP")</f>
        <v>PHP</v>
      </c>
      <c r="M1186" s="9" t="s">
        <v>24</v>
      </c>
    </row>
    <row r="1187" ht="15.75" customHeight="1">
      <c r="A1187" s="7"/>
      <c r="B1187" s="7" t="str">
        <f>IFERROR(__xludf.DUMMYFUNCTION("""COMPUTED_VALUE"""),"HTML/CSS;JavaScript")</f>
        <v>HTML/CSS;JavaScript</v>
      </c>
      <c r="C1187" s="9" t="str">
        <f>IFERROR(__xludf.DUMMYFUNCTION("""COMPUTED_VALUE"""),"JavaScript")</f>
        <v>JavaScript</v>
      </c>
      <c r="D1187" s="9" t="str">
        <f>IFERROR(__xludf.DUMMYFUNCTION("""COMPUTED_VALUE"""),"HTML/CSS")</f>
        <v>HTML/CSS</v>
      </c>
      <c r="E1187" s="9" t="str">
        <f>IFERROR(__xludf.DUMMYFUNCTION("""COMPUTED_VALUE"""),"VBA")</f>
        <v>VBA</v>
      </c>
      <c r="F1187" s="9" t="str">
        <f>IFERROR(__xludf.DUMMYFUNCTION("""COMPUTED_VALUE"""),"Bash/Shell/PowerShell")</f>
        <v>Bash/Shell/PowerShell</v>
      </c>
      <c r="G1187" s="9" t="str">
        <f>IFERROR(__xludf.DUMMYFUNCTION("""COMPUTED_VALUE"""),"PHP")</f>
        <v>PHP</v>
      </c>
      <c r="H1187" s="9" t="str">
        <f>IFERROR(__xludf.DUMMYFUNCTION("""COMPUTED_VALUE"""),"Bash/Shell/PowerShell")</f>
        <v>Bash/Shell/PowerShell</v>
      </c>
      <c r="I1187" s="9" t="str">
        <f>IFERROR(__xludf.DUMMYFUNCTION("""COMPUTED_VALUE"""),"PHP")</f>
        <v>PHP</v>
      </c>
      <c r="J1187" s="9" t="str">
        <f>IFERROR(__xludf.DUMMYFUNCTION("""COMPUTED_VALUE"""),"HTML/CSS")</f>
        <v>HTML/CSS</v>
      </c>
      <c r="K1187" s="9" t="str">
        <f>IFERROR(__xludf.DUMMYFUNCTION("""COMPUTED_VALUE"""),"TypeScript")</f>
        <v>TypeScript</v>
      </c>
      <c r="L1187" s="9" t="str">
        <f>IFERROR(__xludf.DUMMYFUNCTION("""COMPUTED_VALUE"""),"SQL")</f>
        <v>SQL</v>
      </c>
      <c r="M1187" s="9" t="s">
        <v>21</v>
      </c>
    </row>
    <row r="1188" ht="15.75" customHeight="1">
      <c r="A1188" s="7"/>
      <c r="B1188" s="7" t="str">
        <f>IFERROR(__xludf.DUMMYFUNCTION("""COMPUTED_VALUE"""),"Bash/Shell/PowerShell;C#;Python")</f>
        <v>Bash/Shell/PowerShell;C#;Python</v>
      </c>
      <c r="C1188" s="9" t="str">
        <f>IFERROR(__xludf.DUMMYFUNCTION("""COMPUTED_VALUE"""),"Objective-C")</f>
        <v>Objective-C</v>
      </c>
      <c r="D1188" s="9" t="str">
        <f>IFERROR(__xludf.DUMMYFUNCTION("""COMPUTED_VALUE"""),"Java")</f>
        <v>Java</v>
      </c>
      <c r="E1188" s="9" t="str">
        <f>IFERROR(__xludf.DUMMYFUNCTION("""COMPUTED_VALUE"""),"Other(s):")</f>
        <v>Other(s):</v>
      </c>
      <c r="F1188" s="9" t="str">
        <f>IFERROR(__xludf.DUMMYFUNCTION("""COMPUTED_VALUE"""),"C#")</f>
        <v>C#</v>
      </c>
      <c r="G1188" s="9" t="str">
        <f>IFERROR(__xludf.DUMMYFUNCTION("""COMPUTED_VALUE"""),"Python")</f>
        <v>Python</v>
      </c>
      <c r="H1188" s="9" t="str">
        <f>IFERROR(__xludf.DUMMYFUNCTION("""COMPUTED_VALUE"""),"C")</f>
        <v>C</v>
      </c>
      <c r="I1188" s="9" t="str">
        <f>IFERROR(__xludf.DUMMYFUNCTION("""COMPUTED_VALUE"""),"SQL")</f>
        <v>SQL</v>
      </c>
      <c r="J1188" s="9" t="str">
        <f>IFERROR(__xludf.DUMMYFUNCTION("""COMPUTED_VALUE"""),"SQL")</f>
        <v>SQL</v>
      </c>
      <c r="K1188" s="9" t="str">
        <f>IFERROR(__xludf.DUMMYFUNCTION("""COMPUTED_VALUE"""),"Bash/Shell/PowerShell")</f>
        <v>Bash/Shell/PowerShell</v>
      </c>
      <c r="L1188" s="9" t="str">
        <f>IFERROR(__xludf.DUMMYFUNCTION("""COMPUTED_VALUE"""),"Bash/Shell/PowerShell")</f>
        <v>Bash/Shell/PowerShell</v>
      </c>
      <c r="M1188" s="9" t="s">
        <v>41</v>
      </c>
    </row>
    <row r="1189" ht="15.75" customHeight="1">
      <c r="A1189" s="7"/>
      <c r="B1189" s="7" t="str">
        <f>IFERROR(__xludf.DUMMYFUNCTION("""COMPUTED_VALUE"""),"Java;R")</f>
        <v>Java;R</v>
      </c>
      <c r="C1189" s="9" t="str">
        <f>IFERROR(__xludf.DUMMYFUNCTION("""COMPUTED_VALUE"""),"PHP")</f>
        <v>PHP</v>
      </c>
      <c r="D1189" s="9" t="str">
        <f>IFERROR(__xludf.DUMMYFUNCTION("""COMPUTED_VALUE"""),"JavaScript")</f>
        <v>JavaScript</v>
      </c>
      <c r="E1189" s="9" t="str">
        <f>IFERROR(__xludf.DUMMYFUNCTION("""COMPUTED_VALUE"""),"C")</f>
        <v>C</v>
      </c>
      <c r="F1189" s="9" t="str">
        <f>IFERROR(__xludf.DUMMYFUNCTION("""COMPUTED_VALUE"""),"HTML/CSS")</f>
        <v>HTML/CSS</v>
      </c>
      <c r="G1189" s="9" t="str">
        <f>IFERROR(__xludf.DUMMYFUNCTION("""COMPUTED_VALUE"""),"SQL")</f>
        <v>SQL</v>
      </c>
      <c r="H1189" s="9" t="str">
        <f>IFERROR(__xludf.DUMMYFUNCTION("""COMPUTED_VALUE"""),"C++")</f>
        <v>C++</v>
      </c>
      <c r="I1189" s="9" t="str">
        <f>IFERROR(__xludf.DUMMYFUNCTION("""COMPUTED_VALUE"""),"TypeScript")</f>
        <v>TypeScript</v>
      </c>
      <c r="J1189" s="9" t="str">
        <f>IFERROR(__xludf.DUMMYFUNCTION("""COMPUTED_VALUE"""),"VBA")</f>
        <v>VBA</v>
      </c>
      <c r="K1189" s="9" t="str">
        <f>IFERROR(__xludf.DUMMYFUNCTION("""COMPUTED_VALUE"""),"C#")</f>
        <v>C#</v>
      </c>
      <c r="L1189" s="9" t="str">
        <f>IFERROR(__xludf.DUMMYFUNCTION("""COMPUTED_VALUE"""),"C#")</f>
        <v>C#</v>
      </c>
      <c r="M1189" s="9" t="s">
        <v>37</v>
      </c>
    </row>
    <row r="1190" ht="15.75" customHeight="1">
      <c r="A1190" s="7"/>
      <c r="B1190" s="7" t="str">
        <f>IFERROR(__xludf.DUMMYFUNCTION("""COMPUTED_VALUE"""),"Bash/Shell/PowerShell;C;C#;HTML/CSS;Java;JavaScript;SQL;TypeScript;VBA")</f>
        <v>Bash/Shell/PowerShell;C;C#;HTML/CSS;Java;JavaScript;SQL;TypeScript;VBA</v>
      </c>
      <c r="C1190" s="9" t="str">
        <f>IFERROR(__xludf.DUMMYFUNCTION("""COMPUTED_VALUE"""),"Python")</f>
        <v>Python</v>
      </c>
      <c r="D1190" s="9" t="str">
        <f>IFERROR(__xludf.DUMMYFUNCTION("""COMPUTED_VALUE"""),"SQL")</f>
        <v>SQL</v>
      </c>
      <c r="E1190" s="9" t="str">
        <f>IFERROR(__xludf.DUMMYFUNCTION("""COMPUTED_VALUE"""),"C++")</f>
        <v>C++</v>
      </c>
      <c r="F1190" s="9" t="str">
        <f>IFERROR(__xludf.DUMMYFUNCTION("""COMPUTED_VALUE"""),"JavaScript")</f>
        <v>JavaScript</v>
      </c>
      <c r="G1190" s="9" t="str">
        <f>IFERROR(__xludf.DUMMYFUNCTION("""COMPUTED_VALUE"""),"Assembly")</f>
        <v>Assembly</v>
      </c>
      <c r="H1190" s="9" t="str">
        <f>IFERROR(__xludf.DUMMYFUNCTION("""COMPUTED_VALUE"""),"Go")</f>
        <v>Go</v>
      </c>
      <c r="I1190" s="9" t="str">
        <f>IFERROR(__xludf.DUMMYFUNCTION("""COMPUTED_VALUE"""),"Go")</f>
        <v>Go</v>
      </c>
      <c r="J1190" s="9" t="str">
        <f>IFERROR(__xludf.DUMMYFUNCTION("""COMPUTED_VALUE"""),"Bash/Shell/PowerShell")</f>
        <v>Bash/Shell/PowerShell</v>
      </c>
      <c r="K1190" s="9" t="str">
        <f>IFERROR(__xludf.DUMMYFUNCTION("""COMPUTED_VALUE"""),"HTML/CSS")</f>
        <v>HTML/CSS</v>
      </c>
      <c r="L1190" s="9" t="str">
        <f>IFERROR(__xludf.DUMMYFUNCTION("""COMPUTED_VALUE"""),"Go")</f>
        <v>Go</v>
      </c>
      <c r="M1190" s="9" t="s">
        <v>22</v>
      </c>
    </row>
    <row r="1191" ht="15.75" customHeight="1">
      <c r="A1191" s="7"/>
      <c r="B1191" s="7" t="str">
        <f>IFERROR(__xludf.DUMMYFUNCTION("""COMPUTED_VALUE"""),"C;C++;HTML/CSS;Java;JavaScript;SQL")</f>
        <v>C;C++;HTML/CSS;Java;JavaScript;SQL</v>
      </c>
      <c r="C1191" s="9" t="str">
        <f>IFERROR(__xludf.DUMMYFUNCTION("""COMPUTED_VALUE"""),"C#")</f>
        <v>C#</v>
      </c>
      <c r="D1191" s="9" t="str">
        <f>IFERROR(__xludf.DUMMYFUNCTION("""COMPUTED_VALUE"""),"TypeScript")</f>
        <v>TypeScript</v>
      </c>
      <c r="E1191" s="9" t="str">
        <f>IFERROR(__xludf.DUMMYFUNCTION("""COMPUTED_VALUE"""),"C#")</f>
        <v>C#</v>
      </c>
      <c r="F1191" s="9" t="str">
        <f>IFERROR(__xludf.DUMMYFUNCTION("""COMPUTED_VALUE"""),"Python")</f>
        <v>Python</v>
      </c>
      <c r="G1191" s="9" t="str">
        <f>IFERROR(__xludf.DUMMYFUNCTION("""COMPUTED_VALUE"""),"C++")</f>
        <v>C++</v>
      </c>
      <c r="H1191" s="9" t="str">
        <f>IFERROR(__xludf.DUMMYFUNCTION("""COMPUTED_VALUE"""),"HTML/CSS")</f>
        <v>HTML/CSS</v>
      </c>
      <c r="I1191" s="9" t="str">
        <f>IFERROR(__xludf.DUMMYFUNCTION("""COMPUTED_VALUE"""),"Java")</f>
        <v>Java</v>
      </c>
      <c r="J1191" s="9" t="str">
        <f>IFERROR(__xludf.DUMMYFUNCTION("""COMPUTED_VALUE"""),"Ruby")</f>
        <v>Ruby</v>
      </c>
      <c r="K1191" s="9" t="str">
        <f>IFERROR(__xludf.DUMMYFUNCTION("""COMPUTED_VALUE"""),"Java")</f>
        <v>Java</v>
      </c>
      <c r="L1191" s="9" t="str">
        <f>IFERROR(__xludf.DUMMYFUNCTION("""COMPUTED_VALUE"""),"HTML/CSS")</f>
        <v>HTML/CSS</v>
      </c>
      <c r="M1191" s="9" t="s">
        <v>26</v>
      </c>
    </row>
    <row r="1192" ht="15.75" customHeight="1">
      <c r="A1192" s="7"/>
      <c r="B1192" s="7" t="str">
        <f>IFERROR(__xludf.DUMMYFUNCTION("""COMPUTED_VALUE"""),"Bash/Shell/PowerShell;Go;HTML/CSS;JavaScript;PHP;Python;SQL")</f>
        <v>Bash/Shell/PowerShell;Go;HTML/CSS;JavaScript;PHP;Python;SQL</v>
      </c>
      <c r="C1192" s="9" t="str">
        <f>IFERROR(__xludf.DUMMYFUNCTION("""COMPUTED_VALUE"""),"HTML/CSS")</f>
        <v>HTML/CSS</v>
      </c>
      <c r="D1192" s="9" t="str">
        <f>IFERROR(__xludf.DUMMYFUNCTION("""COMPUTED_VALUE"""),"Bash/Shell/PowerShell")</f>
        <v>Bash/Shell/PowerShell</v>
      </c>
      <c r="E1192" s="9" t="str">
        <f>IFERROR(__xludf.DUMMYFUNCTION("""COMPUTED_VALUE"""),"Bash/Shell/PowerShell")</f>
        <v>Bash/Shell/PowerShell</v>
      </c>
      <c r="F1192" s="9" t="str">
        <f>IFERROR(__xludf.DUMMYFUNCTION("""COMPUTED_VALUE"""),"HTML/CSS")</f>
        <v>HTML/CSS</v>
      </c>
      <c r="G1192" s="9" t="str">
        <f>IFERROR(__xludf.DUMMYFUNCTION("""COMPUTED_VALUE"""),"HTML/CSS")</f>
        <v>HTML/CSS</v>
      </c>
      <c r="H1192" s="9" t="str">
        <f>IFERROR(__xludf.DUMMYFUNCTION("""COMPUTED_VALUE"""),"JavaScript")</f>
        <v>JavaScript</v>
      </c>
      <c r="I1192" s="9" t="str">
        <f>IFERROR(__xludf.DUMMYFUNCTION("""COMPUTED_VALUE"""),"Bash/Shell/PowerShell")</f>
        <v>Bash/Shell/PowerShell</v>
      </c>
      <c r="J1192" s="9" t="str">
        <f>IFERROR(__xludf.DUMMYFUNCTION("""COMPUTED_VALUE"""),"SQL")</f>
        <v>SQL</v>
      </c>
      <c r="K1192" s="9" t="str">
        <f>IFERROR(__xludf.DUMMYFUNCTION("""COMPUTED_VALUE"""),"JavaScript")</f>
        <v>JavaScript</v>
      </c>
      <c r="L1192" s="9" t="str">
        <f>IFERROR(__xludf.DUMMYFUNCTION("""COMPUTED_VALUE"""),"Java")</f>
        <v>Java</v>
      </c>
      <c r="M1192" s="9" t="s">
        <v>24</v>
      </c>
    </row>
    <row r="1193" ht="15.75" customHeight="1">
      <c r="A1193" s="7"/>
      <c r="B1193" s="7" t="str">
        <f>IFERROR(__xludf.DUMMYFUNCTION("""COMPUTED_VALUE"""),"Bash/Shell/PowerShell;HTML/CSS;Python;R;SQL")</f>
        <v>Bash/Shell/PowerShell;HTML/CSS;Python;R;SQL</v>
      </c>
      <c r="C1193" s="9" t="str">
        <f>IFERROR(__xludf.DUMMYFUNCTION("""COMPUTED_VALUE"""),"JavaScript")</f>
        <v>JavaScript</v>
      </c>
      <c r="D1193" s="9" t="str">
        <f>IFERROR(__xludf.DUMMYFUNCTION("""COMPUTED_VALUE"""),"Elixir")</f>
        <v>Elixir</v>
      </c>
      <c r="E1193" s="9" t="str">
        <f>IFERROR(__xludf.DUMMYFUNCTION("""COMPUTED_VALUE"""),"HTML/CSS")</f>
        <v>HTML/CSS</v>
      </c>
      <c r="F1193" s="9" t="str">
        <f>IFERROR(__xludf.DUMMYFUNCTION("""COMPUTED_VALUE"""),"JavaScript")</f>
        <v>JavaScript</v>
      </c>
      <c r="G1193" s="9" t="str">
        <f>IFERROR(__xludf.DUMMYFUNCTION("""COMPUTED_VALUE"""),"Java")</f>
        <v>Java</v>
      </c>
      <c r="H1193" s="9" t="str">
        <f>IFERROR(__xludf.DUMMYFUNCTION("""COMPUTED_VALUE"""),"PHP")</f>
        <v>PHP</v>
      </c>
      <c r="I1193" s="9" t="str">
        <f>IFERROR(__xludf.DUMMYFUNCTION("""COMPUTED_VALUE"""),"C++")</f>
        <v>C++</v>
      </c>
      <c r="J1193" s="9" t="str">
        <f>IFERROR(__xludf.DUMMYFUNCTION("""COMPUTED_VALUE"""),"JavaScript")</f>
        <v>JavaScript</v>
      </c>
      <c r="K1193" s="9" t="str">
        <f>IFERROR(__xludf.DUMMYFUNCTION("""COMPUTED_VALUE"""),"Kotlin")</f>
        <v>Kotlin</v>
      </c>
      <c r="L1193" s="9" t="str">
        <f>IFERROR(__xludf.DUMMYFUNCTION("""COMPUTED_VALUE"""),"JavaScript")</f>
        <v>JavaScript</v>
      </c>
      <c r="M1193" s="9" t="s">
        <v>21</v>
      </c>
    </row>
    <row r="1194" ht="15.75" customHeight="1">
      <c r="A1194" s="7"/>
      <c r="B1194" s="7" t="str">
        <f>IFERROR(__xludf.DUMMYFUNCTION("""COMPUTED_VALUE"""),"Bash/Shell/PowerShell;C++;JavaScript;Python;R;SQL;VBA;Other(s):")</f>
        <v>Bash/Shell/PowerShell;C++;JavaScript;Python;R;SQL;VBA;Other(s):</v>
      </c>
      <c r="C1194" s="9" t="str">
        <f>IFERROR(__xludf.DUMMYFUNCTION("""COMPUTED_VALUE"""),"TypeScript")</f>
        <v>TypeScript</v>
      </c>
      <c r="D1194" s="9" t="str">
        <f>IFERROR(__xludf.DUMMYFUNCTION("""COMPUTED_VALUE"""),"Erlang")</f>
        <v>Erlang</v>
      </c>
      <c r="E1194" s="9" t="str">
        <f>IFERROR(__xludf.DUMMYFUNCTION("""COMPUTED_VALUE"""),"JavaScript")</f>
        <v>JavaScript</v>
      </c>
      <c r="F1194" s="9" t="str">
        <f>IFERROR(__xludf.DUMMYFUNCTION("""COMPUTED_VALUE"""),"TypeScript")</f>
        <v>TypeScript</v>
      </c>
      <c r="G1194" s="9" t="str">
        <f>IFERROR(__xludf.DUMMYFUNCTION("""COMPUTED_VALUE"""),"JavaScript")</f>
        <v>JavaScript</v>
      </c>
      <c r="H1194" s="9" t="str">
        <f>IFERROR(__xludf.DUMMYFUNCTION("""COMPUTED_VALUE"""),"SQL")</f>
        <v>SQL</v>
      </c>
      <c r="I1194" s="9" t="str">
        <f>IFERROR(__xludf.DUMMYFUNCTION("""COMPUTED_VALUE"""),"HTML/CSS")</f>
        <v>HTML/CSS</v>
      </c>
      <c r="J1194" s="9" t="str">
        <f>IFERROR(__xludf.DUMMYFUNCTION("""COMPUTED_VALUE"""),"Objective-C")</f>
        <v>Objective-C</v>
      </c>
      <c r="K1194" s="9" t="str">
        <f>IFERROR(__xludf.DUMMYFUNCTION("""COMPUTED_VALUE"""),"SQL")</f>
        <v>SQL</v>
      </c>
      <c r="L1194" s="9" t="str">
        <f>IFERROR(__xludf.DUMMYFUNCTION("""COMPUTED_VALUE"""),"Objective-C")</f>
        <v>Objective-C</v>
      </c>
      <c r="M1194" s="9" t="s">
        <v>33</v>
      </c>
    </row>
    <row r="1195" ht="15.75" customHeight="1">
      <c r="A1195" s="7"/>
      <c r="B1195" s="7" t="str">
        <f>IFERROR(__xludf.DUMMYFUNCTION("""COMPUTED_VALUE"""),"Go;Python;Ruby;SQL")</f>
        <v>Go;Python;Ruby;SQL</v>
      </c>
      <c r="C1195" s="9" t="str">
        <f>IFERROR(__xludf.DUMMYFUNCTION("""COMPUTED_VALUE"""),"Bash/Shell/PowerShell")</f>
        <v>Bash/Shell/PowerShell</v>
      </c>
      <c r="D1195" s="9" t="str">
        <f>IFERROR(__xludf.DUMMYFUNCTION("""COMPUTED_VALUE"""),"HTML/CSS")</f>
        <v>HTML/CSS</v>
      </c>
      <c r="E1195" s="9" t="str">
        <f>IFERROR(__xludf.DUMMYFUNCTION("""COMPUTED_VALUE"""),"PHP")</f>
        <v>PHP</v>
      </c>
      <c r="F1195" s="9" t="str">
        <f>IFERROR(__xludf.DUMMYFUNCTION("""COMPUTED_VALUE"""),"Java")</f>
        <v>Java</v>
      </c>
      <c r="G1195" s="9" t="str">
        <f>IFERROR(__xludf.DUMMYFUNCTION("""COMPUTED_VALUE"""),"Swift")</f>
        <v>Swift</v>
      </c>
      <c r="H1195" s="9" t="str">
        <f>IFERROR(__xludf.DUMMYFUNCTION("""COMPUTED_VALUE"""),"Swift")</f>
        <v>Swift</v>
      </c>
      <c r="I1195" s="9" t="str">
        <f>IFERROR(__xludf.DUMMYFUNCTION("""COMPUTED_VALUE"""),"Java")</f>
        <v>Java</v>
      </c>
      <c r="J1195" s="9" t="str">
        <f>IFERROR(__xludf.DUMMYFUNCTION("""COMPUTED_VALUE"""),"SQL")</f>
        <v>SQL</v>
      </c>
      <c r="K1195" s="9" t="str">
        <f>IFERROR(__xludf.DUMMYFUNCTION("""COMPUTED_VALUE"""),"C#")</f>
        <v>C#</v>
      </c>
      <c r="L1195" s="9" t="str">
        <f>IFERROR(__xludf.DUMMYFUNCTION("""COMPUTED_VALUE"""),"Ruby")</f>
        <v>Ruby</v>
      </c>
      <c r="M1195" s="9" t="s">
        <v>30</v>
      </c>
    </row>
    <row r="1196" ht="15.75" customHeight="1">
      <c r="A1196" s="7"/>
      <c r="B1196" s="7" t="str">
        <f>IFERROR(__xludf.DUMMYFUNCTION("""COMPUTED_VALUE"""),"Bash/Shell/PowerShell;C;C++;C#;HTML/CSS;Java;JavaScript;Kotlin;Objective-C;Ruby;Swift")</f>
        <v>Bash/Shell/PowerShell;C;C++;C#;HTML/CSS;Java;JavaScript;Kotlin;Objective-C;Ruby;Swift</v>
      </c>
      <c r="C1196" s="9" t="str">
        <f>IFERROR(__xludf.DUMMYFUNCTION("""COMPUTED_VALUE"""),"HTML/CSS")</f>
        <v>HTML/CSS</v>
      </c>
      <c r="D1196" s="9" t="str">
        <f>IFERROR(__xludf.DUMMYFUNCTION("""COMPUTED_VALUE"""),"Java")</f>
        <v>Java</v>
      </c>
      <c r="E1196" s="9" t="str">
        <f>IFERROR(__xludf.DUMMYFUNCTION("""COMPUTED_VALUE"""),"Python")</f>
        <v>Python</v>
      </c>
      <c r="F1196" s="9" t="str">
        <f>IFERROR(__xludf.DUMMYFUNCTION("""COMPUTED_VALUE"""),"JavaScript")</f>
        <v>JavaScript</v>
      </c>
      <c r="G1196" s="9" t="str">
        <f>IFERROR(__xludf.DUMMYFUNCTION("""COMPUTED_VALUE"""),"Bash/Shell/PowerShell")</f>
        <v>Bash/Shell/PowerShell</v>
      </c>
      <c r="H1196" s="9" t="str">
        <f>IFERROR(__xludf.DUMMYFUNCTION("""COMPUTED_VALUE"""),"Bash/Shell/PowerShell")</f>
        <v>Bash/Shell/PowerShell</v>
      </c>
      <c r="I1196" s="9" t="str">
        <f>IFERROR(__xludf.DUMMYFUNCTION("""COMPUTED_VALUE"""),"JavaScript")</f>
        <v>JavaScript</v>
      </c>
      <c r="J1196" s="9" t="str">
        <f>IFERROR(__xludf.DUMMYFUNCTION("""COMPUTED_VALUE"""),"Swift")</f>
        <v>Swift</v>
      </c>
      <c r="K1196" s="9" t="str">
        <f>IFERROR(__xludf.DUMMYFUNCTION("""COMPUTED_VALUE"""),"Bash/Shell/PowerShell")</f>
        <v>Bash/Shell/PowerShell</v>
      </c>
      <c r="L1196" s="9" t="str">
        <f>IFERROR(__xludf.DUMMYFUNCTION("""COMPUTED_VALUE"""),"Swift")</f>
        <v>Swift</v>
      </c>
      <c r="M1196" s="9" t="s">
        <v>24</v>
      </c>
    </row>
    <row r="1197" ht="15.75" customHeight="1">
      <c r="A1197" s="7"/>
      <c r="B1197" s="7" t="str">
        <f>IFERROR(__xludf.DUMMYFUNCTION("""COMPUTED_VALUE"""),"Assembly;C;C++;C#;HTML/CSS;Java;JavaScript;Python;SQL")</f>
        <v>Assembly;C;C++;C#;HTML/CSS;Java;JavaScript;Python;SQL</v>
      </c>
      <c r="C1197" s="9" t="str">
        <f>IFERROR(__xludf.DUMMYFUNCTION("""COMPUTED_VALUE"""),"Java")</f>
        <v>Java</v>
      </c>
      <c r="D1197" s="9" t="str">
        <f>IFERROR(__xludf.DUMMYFUNCTION("""COMPUTED_VALUE"""),"JavaScript")</f>
        <v>JavaScript</v>
      </c>
      <c r="E1197" s="9" t="str">
        <f>IFERROR(__xludf.DUMMYFUNCTION("""COMPUTED_VALUE"""),"SQL")</f>
        <v>SQL</v>
      </c>
      <c r="F1197" s="9" t="str">
        <f>IFERROR(__xludf.DUMMYFUNCTION("""COMPUTED_VALUE"""),"TypeScript")</f>
        <v>TypeScript</v>
      </c>
      <c r="G1197" s="9" t="str">
        <f>IFERROR(__xludf.DUMMYFUNCTION("""COMPUTED_VALUE"""),"Go")</f>
        <v>Go</v>
      </c>
      <c r="H1197" s="9" t="str">
        <f>IFERROR(__xludf.DUMMYFUNCTION("""COMPUTED_VALUE"""),"Go")</f>
        <v>Go</v>
      </c>
      <c r="I1197" s="9" t="str">
        <f>IFERROR(__xludf.DUMMYFUNCTION("""COMPUTED_VALUE"""),"Python")</f>
        <v>Python</v>
      </c>
      <c r="J1197" s="9" t="str">
        <f>IFERROR(__xludf.DUMMYFUNCTION("""COMPUTED_VALUE"""),"Bash/Shell/PowerShell")</f>
        <v>Bash/Shell/PowerShell</v>
      </c>
      <c r="K1197" s="9" t="str">
        <f>IFERROR(__xludf.DUMMYFUNCTION("""COMPUTED_VALUE"""),"HTML/CSS")</f>
        <v>HTML/CSS</v>
      </c>
      <c r="L1197" s="9" t="str">
        <f>IFERROR(__xludf.DUMMYFUNCTION("""COMPUTED_VALUE"""),"C++")</f>
        <v>C++</v>
      </c>
      <c r="M1197" s="9" t="s">
        <v>20</v>
      </c>
    </row>
    <row r="1198" ht="15.75" customHeight="1">
      <c r="A1198" s="7"/>
      <c r="B1198" s="7" t="str">
        <f>IFERROR(__xludf.DUMMYFUNCTION("""COMPUTED_VALUE"""),"C#;HTML/CSS;Java;JavaScript;Kotlin;Objective-C;PHP;Python;SQL;TypeScript")</f>
        <v>C#;HTML/CSS;Java;JavaScript;Kotlin;Objective-C;PHP;Python;SQL;TypeScript</v>
      </c>
      <c r="C1198" s="9" t="str">
        <f>IFERROR(__xludf.DUMMYFUNCTION("""COMPUTED_VALUE"""),"JavaScript")</f>
        <v>JavaScript</v>
      </c>
      <c r="D1198" s="9" t="str">
        <f>IFERROR(__xludf.DUMMYFUNCTION("""COMPUTED_VALUE"""),"Kotlin")</f>
        <v>Kotlin</v>
      </c>
      <c r="E1198" s="9" t="str">
        <f>IFERROR(__xludf.DUMMYFUNCTION("""COMPUTED_VALUE"""),"C#")</f>
        <v>C#</v>
      </c>
      <c r="F1198" s="9" t="str">
        <f>IFERROR(__xludf.DUMMYFUNCTION("""COMPUTED_VALUE"""),"Java")</f>
        <v>Java</v>
      </c>
      <c r="G1198" s="9" t="str">
        <f>IFERROR(__xludf.DUMMYFUNCTION("""COMPUTED_VALUE"""),"HTML/CSS")</f>
        <v>HTML/CSS</v>
      </c>
      <c r="H1198" s="9" t="str">
        <f>IFERROR(__xludf.DUMMYFUNCTION("""COMPUTED_VALUE"""),"HTML/CSS")</f>
        <v>HTML/CSS</v>
      </c>
      <c r="I1198" s="9" t="str">
        <f>IFERROR(__xludf.DUMMYFUNCTION("""COMPUTED_VALUE"""),"SQL")</f>
        <v>SQL</v>
      </c>
      <c r="J1198" s="9" t="str">
        <f>IFERROR(__xludf.DUMMYFUNCTION("""COMPUTED_VALUE"""),"C")</f>
        <v>C</v>
      </c>
      <c r="K1198" s="9" t="str">
        <f>IFERROR(__xludf.DUMMYFUNCTION("""COMPUTED_VALUE"""),"Python")</f>
        <v>Python</v>
      </c>
      <c r="L1198" s="9" t="str">
        <f>IFERROR(__xludf.DUMMYFUNCTION("""COMPUTED_VALUE"""),"C#")</f>
        <v>C#</v>
      </c>
      <c r="M1198" s="9" t="s">
        <v>21</v>
      </c>
    </row>
    <row r="1199" ht="15.75" customHeight="1">
      <c r="A1199" s="7"/>
      <c r="B1199" s="7" t="str">
        <f>IFERROR(__xludf.DUMMYFUNCTION("""COMPUTED_VALUE"""),"C;C++;C#;HTML/CSS;Java;JavaScript;Kotlin;Objective-C;PHP;SQL;Swift;TypeScript;VBA")</f>
        <v>C;C++;C#;HTML/CSS;Java;JavaScript;Kotlin;Objective-C;PHP;SQL;Swift;TypeScript;VBA</v>
      </c>
      <c r="C1199" s="9" t="str">
        <f>IFERROR(__xludf.DUMMYFUNCTION("""COMPUTED_VALUE"""),"Python")</f>
        <v>Python</v>
      </c>
      <c r="D1199" s="9" t="str">
        <f>IFERROR(__xludf.DUMMYFUNCTION("""COMPUTED_VALUE"""),"Objective-C")</f>
        <v>Objective-C</v>
      </c>
      <c r="E1199" s="9" t="str">
        <f>IFERROR(__xludf.DUMMYFUNCTION("""COMPUTED_VALUE"""),"SQL")</f>
        <v>SQL</v>
      </c>
      <c r="F1199" s="9" t="str">
        <f>IFERROR(__xludf.DUMMYFUNCTION("""COMPUTED_VALUE"""),"JavaScript")</f>
        <v>JavaScript</v>
      </c>
      <c r="G1199" s="9" t="str">
        <f>IFERROR(__xludf.DUMMYFUNCTION("""COMPUTED_VALUE"""),"JavaScript")</f>
        <v>JavaScript</v>
      </c>
      <c r="H1199" s="9" t="str">
        <f>IFERROR(__xludf.DUMMYFUNCTION("""COMPUTED_VALUE"""),"Java")</f>
        <v>Java</v>
      </c>
      <c r="I1199" s="9" t="str">
        <f>IFERROR(__xludf.DUMMYFUNCTION("""COMPUTED_VALUE"""),"Other(s):")</f>
        <v>Other(s):</v>
      </c>
      <c r="J1199" s="9" t="str">
        <f>IFERROR(__xludf.DUMMYFUNCTION("""COMPUTED_VALUE"""),"C++")</f>
        <v>C++</v>
      </c>
      <c r="K1199" s="9" t="str">
        <f>IFERROR(__xludf.DUMMYFUNCTION("""COMPUTED_VALUE"""),"Assembly")</f>
        <v>Assembly</v>
      </c>
      <c r="L1199" s="9" t="str">
        <f>IFERROR(__xludf.DUMMYFUNCTION("""COMPUTED_VALUE"""),"HTML/CSS")</f>
        <v>HTML/CSS</v>
      </c>
      <c r="M1199" s="9" t="s">
        <v>22</v>
      </c>
    </row>
    <row r="1200" ht="15.75" customHeight="1">
      <c r="A1200" s="7"/>
      <c r="B1200" s="7" t="str">
        <f>IFERROR(__xludf.DUMMYFUNCTION("""COMPUTED_VALUE"""),"HTML/CSS;JavaScript;Python;R;SQL")</f>
        <v>HTML/CSS;JavaScript;Python;R;SQL</v>
      </c>
      <c r="C1200" s="9" t="str">
        <f>IFERROR(__xludf.DUMMYFUNCTION("""COMPUTED_VALUE"""),"SQL")</f>
        <v>SQL</v>
      </c>
      <c r="D1200" s="9" t="str">
        <f>IFERROR(__xludf.DUMMYFUNCTION("""COMPUTED_VALUE"""),"Python")</f>
        <v>Python</v>
      </c>
      <c r="E1200" s="9" t="str">
        <f>IFERROR(__xludf.DUMMYFUNCTION("""COMPUTED_VALUE"""),"HTML/CSS")</f>
        <v>HTML/CSS</v>
      </c>
      <c r="F1200" s="9" t="str">
        <f>IFERROR(__xludf.DUMMYFUNCTION("""COMPUTED_VALUE"""),"TypeScript")</f>
        <v>TypeScript</v>
      </c>
      <c r="G1200" s="9" t="str">
        <f>IFERROR(__xludf.DUMMYFUNCTION("""COMPUTED_VALUE"""),"Python")</f>
        <v>Python</v>
      </c>
      <c r="H1200" s="9" t="str">
        <f>IFERROR(__xludf.DUMMYFUNCTION("""COMPUTED_VALUE"""),"JavaScript")</f>
        <v>JavaScript</v>
      </c>
      <c r="I1200" s="9" t="str">
        <f>IFERROR(__xludf.DUMMYFUNCTION("""COMPUTED_VALUE"""),"Go")</f>
        <v>Go</v>
      </c>
      <c r="J1200" s="9" t="str">
        <f>IFERROR(__xludf.DUMMYFUNCTION("""COMPUTED_VALUE"""),"C#")</f>
        <v>C#</v>
      </c>
      <c r="K1200" s="9" t="str">
        <f>IFERROR(__xludf.DUMMYFUNCTION("""COMPUTED_VALUE"""),"Bash/Shell/PowerShell")</f>
        <v>Bash/Shell/PowerShell</v>
      </c>
      <c r="L1200" s="9" t="str">
        <f>IFERROR(__xludf.DUMMYFUNCTION("""COMPUTED_VALUE"""),"Java")</f>
        <v>Java</v>
      </c>
      <c r="M1200" s="9" t="s">
        <v>27</v>
      </c>
    </row>
    <row r="1201" ht="15.75" customHeight="1">
      <c r="A1201" s="7"/>
      <c r="B1201" s="7" t="str">
        <f>IFERROR(__xludf.DUMMYFUNCTION("""COMPUTED_VALUE"""),"C++;C#;HTML/CSS;Java;JavaScript")</f>
        <v>C++;C#;HTML/CSS;Java;JavaScript</v>
      </c>
      <c r="C1201" s="9" t="str">
        <f>IFERROR(__xludf.DUMMYFUNCTION("""COMPUTED_VALUE"""),"Bash/Shell/PowerShell")</f>
        <v>Bash/Shell/PowerShell</v>
      </c>
      <c r="D1201" s="9" t="str">
        <f>IFERROR(__xludf.DUMMYFUNCTION("""COMPUTED_VALUE"""),"Ruby")</f>
        <v>Ruby</v>
      </c>
      <c r="E1201" s="9" t="str">
        <f>IFERROR(__xludf.DUMMYFUNCTION("""COMPUTED_VALUE"""),"Java")</f>
        <v>Java</v>
      </c>
      <c r="F1201" s="9" t="str">
        <f>IFERROR(__xludf.DUMMYFUNCTION("""COMPUTED_VALUE"""),"Python")</f>
        <v>Python</v>
      </c>
      <c r="G1201" s="9" t="str">
        <f>IFERROR(__xludf.DUMMYFUNCTION("""COMPUTED_VALUE"""),"Ruby")</f>
        <v>Ruby</v>
      </c>
      <c r="H1201" s="9" t="str">
        <f>IFERROR(__xludf.DUMMYFUNCTION("""COMPUTED_VALUE"""),"Kotlin")</f>
        <v>Kotlin</v>
      </c>
      <c r="I1201" s="9" t="str">
        <f>IFERROR(__xludf.DUMMYFUNCTION("""COMPUTED_VALUE"""),"Java")</f>
        <v>Java</v>
      </c>
      <c r="J1201" s="9" t="str">
        <f>IFERROR(__xludf.DUMMYFUNCTION("""COMPUTED_VALUE"""),"HTML/CSS")</f>
        <v>HTML/CSS</v>
      </c>
      <c r="K1201" s="9" t="str">
        <f>IFERROR(__xludf.DUMMYFUNCTION("""COMPUTED_VALUE"""),"C")</f>
        <v>C</v>
      </c>
      <c r="L1201" s="9" t="str">
        <f>IFERROR(__xludf.DUMMYFUNCTION("""COMPUTED_VALUE"""),"JavaScript")</f>
        <v>JavaScript</v>
      </c>
      <c r="M1201" s="9" t="s">
        <v>30</v>
      </c>
    </row>
    <row r="1202" ht="15.75" customHeight="1">
      <c r="A1202" s="7"/>
      <c r="B1202" s="7" t="str">
        <f>IFERROR(__xludf.DUMMYFUNCTION("""COMPUTED_VALUE"""),"C#;HTML/CSS;Java;JavaScript;PHP;SQL")</f>
        <v>C#;HTML/CSS;Java;JavaScript;PHP;SQL</v>
      </c>
      <c r="C1202" s="9" t="str">
        <f>IFERROR(__xludf.DUMMYFUNCTION("""COMPUTED_VALUE"""),"C#")</f>
        <v>C#</v>
      </c>
      <c r="D1202" s="9" t="str">
        <f>IFERROR(__xludf.DUMMYFUNCTION("""COMPUTED_VALUE"""),"Scala")</f>
        <v>Scala</v>
      </c>
      <c r="E1202" s="9" t="str">
        <f>IFERROR(__xludf.DUMMYFUNCTION("""COMPUTED_VALUE"""),"JavaScript")</f>
        <v>JavaScript</v>
      </c>
      <c r="F1202" s="9" t="str">
        <f>IFERROR(__xludf.DUMMYFUNCTION("""COMPUTED_VALUE"""),"Bash/Shell/PowerShell")</f>
        <v>Bash/Shell/PowerShell</v>
      </c>
      <c r="G1202" s="9" t="str">
        <f>IFERROR(__xludf.DUMMYFUNCTION("""COMPUTED_VALUE"""),"SQL")</f>
        <v>SQL</v>
      </c>
      <c r="H1202" s="9" t="str">
        <f>IFERROR(__xludf.DUMMYFUNCTION("""COMPUTED_VALUE"""),"SQL")</f>
        <v>SQL</v>
      </c>
      <c r="I1202" s="9" t="str">
        <f>IFERROR(__xludf.DUMMYFUNCTION("""COMPUTED_VALUE"""),"Python")</f>
        <v>Python</v>
      </c>
      <c r="J1202" s="9" t="str">
        <f>IFERROR(__xludf.DUMMYFUNCTION("""COMPUTED_VALUE"""),"JavaScript")</f>
        <v>JavaScript</v>
      </c>
      <c r="K1202" s="9" t="str">
        <f>IFERROR(__xludf.DUMMYFUNCTION("""COMPUTED_VALUE"""),"C++")</f>
        <v>C++</v>
      </c>
      <c r="L1202" s="9" t="str">
        <f>IFERROR(__xludf.DUMMYFUNCTION("""COMPUTED_VALUE"""),"PHP")</f>
        <v>PHP</v>
      </c>
      <c r="M1202" s="9" t="s">
        <v>26</v>
      </c>
    </row>
    <row r="1203" ht="15.75" customHeight="1">
      <c r="A1203" s="7"/>
      <c r="B1203" s="7" t="str">
        <f>IFERROR(__xludf.DUMMYFUNCTION("""COMPUTED_VALUE"""),"C#;HTML/CSS;JavaScript;PHP;Python;SQL;TypeScript")</f>
        <v>C#;HTML/CSS;JavaScript;PHP;Python;SQL;TypeScript</v>
      </c>
      <c r="C1203" s="9" t="str">
        <f>IFERROR(__xludf.DUMMYFUNCTION("""COMPUTED_VALUE"""),"HTML/CSS")</f>
        <v>HTML/CSS</v>
      </c>
      <c r="D1203" s="9" t="str">
        <f>IFERROR(__xludf.DUMMYFUNCTION("""COMPUTED_VALUE"""),"SQL")</f>
        <v>SQL</v>
      </c>
      <c r="E1203" s="9" t="str">
        <f>IFERROR(__xludf.DUMMYFUNCTION("""COMPUTED_VALUE"""),"PHP")</f>
        <v>PHP</v>
      </c>
      <c r="F1203" s="9" t="str">
        <f>IFERROR(__xludf.DUMMYFUNCTION("""COMPUTED_VALUE"""),"Python")</f>
        <v>Python</v>
      </c>
      <c r="G1203" s="9" t="str">
        <f>IFERROR(__xludf.DUMMYFUNCTION("""COMPUTED_VALUE"""),"C#")</f>
        <v>C#</v>
      </c>
      <c r="H1203" s="9" t="str">
        <f>IFERROR(__xludf.DUMMYFUNCTION("""COMPUTED_VALUE"""),"Bash/Shell/PowerShell")</f>
        <v>Bash/Shell/PowerShell</v>
      </c>
      <c r="I1203" s="9" t="str">
        <f>IFERROR(__xludf.DUMMYFUNCTION("""COMPUTED_VALUE"""),"HTML/CSS")</f>
        <v>HTML/CSS</v>
      </c>
      <c r="J1203" s="9" t="str">
        <f>IFERROR(__xludf.DUMMYFUNCTION("""COMPUTED_VALUE"""),"TypeScript")</f>
        <v>TypeScript</v>
      </c>
      <c r="K1203" s="9" t="str">
        <f>IFERROR(__xludf.DUMMYFUNCTION("""COMPUTED_VALUE"""),"C#")</f>
        <v>C#</v>
      </c>
      <c r="L1203" s="9" t="str">
        <f>IFERROR(__xludf.DUMMYFUNCTION("""COMPUTED_VALUE"""),"Python")</f>
        <v>Python</v>
      </c>
      <c r="M1203" s="9" t="s">
        <v>24</v>
      </c>
    </row>
    <row r="1204" ht="15.75" customHeight="1">
      <c r="A1204" s="7"/>
      <c r="B1204" s="7" t="str">
        <f>IFERROR(__xludf.DUMMYFUNCTION("""COMPUTED_VALUE"""),"C;C++;SQL")</f>
        <v>C;C++;SQL</v>
      </c>
      <c r="C1204" s="9" t="str">
        <f>IFERROR(__xludf.DUMMYFUNCTION("""COMPUTED_VALUE"""),"JavaScript")</f>
        <v>JavaScript</v>
      </c>
      <c r="D1204" s="9" t="str">
        <f>IFERROR(__xludf.DUMMYFUNCTION("""COMPUTED_VALUE"""),"Swift")</f>
        <v>Swift</v>
      </c>
      <c r="E1204" s="9" t="str">
        <f>IFERROR(__xludf.DUMMYFUNCTION("""COMPUTED_VALUE"""),"SQL")</f>
        <v>SQL</v>
      </c>
      <c r="F1204" s="9" t="str">
        <f>IFERROR(__xludf.DUMMYFUNCTION("""COMPUTED_VALUE"""),"Assembly")</f>
        <v>Assembly</v>
      </c>
      <c r="G1204" s="9" t="str">
        <f>IFERROR(__xludf.DUMMYFUNCTION("""COMPUTED_VALUE"""),"Assembly")</f>
        <v>Assembly</v>
      </c>
      <c r="H1204" s="9" t="str">
        <f>IFERROR(__xludf.DUMMYFUNCTION("""COMPUTED_VALUE"""),"C")</f>
        <v>C</v>
      </c>
      <c r="I1204" s="9" t="str">
        <f>IFERROR(__xludf.DUMMYFUNCTION("""COMPUTED_VALUE"""),"JavaScript")</f>
        <v>JavaScript</v>
      </c>
      <c r="J1204" s="9" t="str">
        <f>IFERROR(__xludf.DUMMYFUNCTION("""COMPUTED_VALUE"""),"C")</f>
        <v>C</v>
      </c>
      <c r="K1204" s="9" t="str">
        <f>IFERROR(__xludf.DUMMYFUNCTION("""COMPUTED_VALUE"""),"Dart")</f>
        <v>Dart</v>
      </c>
      <c r="L1204" s="9" t="str">
        <f>IFERROR(__xludf.DUMMYFUNCTION("""COMPUTED_VALUE"""),"SQL")</f>
        <v>SQL</v>
      </c>
      <c r="M1204" s="9" t="s">
        <v>21</v>
      </c>
    </row>
    <row r="1205" ht="15.75" customHeight="1">
      <c r="A1205" s="7"/>
      <c r="B1205" s="7" t="str">
        <f>IFERROR(__xludf.DUMMYFUNCTION("""COMPUTED_VALUE"""),"HTML/CSS;Java;JavaScript;Kotlin;PHP;SQL")</f>
        <v>HTML/CSS;Java;JavaScript;Kotlin;PHP;SQL</v>
      </c>
      <c r="C1205" s="9" t="str">
        <f>IFERROR(__xludf.DUMMYFUNCTION("""COMPUTED_VALUE"""),"SQL")</f>
        <v>SQL</v>
      </c>
      <c r="D1205" s="9" t="str">
        <f>IFERROR(__xludf.DUMMYFUNCTION("""COMPUTED_VALUE"""),"TypeScript")</f>
        <v>TypeScript</v>
      </c>
      <c r="E1205" s="9" t="str">
        <f>IFERROR(__xludf.DUMMYFUNCTION("""COMPUTED_VALUE"""),"HTML/CSS")</f>
        <v>HTML/CSS</v>
      </c>
      <c r="F1205" s="9" t="str">
        <f>IFERROR(__xludf.DUMMYFUNCTION("""COMPUTED_VALUE"""),"Bash/Shell/PowerShell")</f>
        <v>Bash/Shell/PowerShell</v>
      </c>
      <c r="G1205" s="9" t="str">
        <f>IFERROR(__xludf.DUMMYFUNCTION("""COMPUTED_VALUE"""),"Bash/Shell/PowerShell")</f>
        <v>Bash/Shell/PowerShell</v>
      </c>
      <c r="H1205" s="9" t="str">
        <f>IFERROR(__xludf.DUMMYFUNCTION("""COMPUTED_VALUE"""),"Java")</f>
        <v>Java</v>
      </c>
      <c r="I1205" s="9" t="str">
        <f>IFERROR(__xludf.DUMMYFUNCTION("""COMPUTED_VALUE"""),"Bash/Shell/PowerShell")</f>
        <v>Bash/Shell/PowerShell</v>
      </c>
      <c r="J1205" s="9" t="str">
        <f>IFERROR(__xludf.DUMMYFUNCTION("""COMPUTED_VALUE"""),"HTML/CSS")</f>
        <v>HTML/CSS</v>
      </c>
      <c r="K1205" s="9" t="str">
        <f>IFERROR(__xludf.DUMMYFUNCTION("""COMPUTED_VALUE"""),"HTML/CSS")</f>
        <v>HTML/CSS</v>
      </c>
      <c r="L1205" s="9" t="str">
        <f>IFERROR(__xludf.DUMMYFUNCTION("""COMPUTED_VALUE"""),"TypeScript")</f>
        <v>TypeScript</v>
      </c>
      <c r="M1205" s="9" t="s">
        <v>27</v>
      </c>
    </row>
    <row r="1206" ht="15.75" customHeight="1">
      <c r="A1206" s="7"/>
      <c r="B1206" s="7" t="str">
        <f>IFERROR(__xludf.DUMMYFUNCTION("""COMPUTED_VALUE"""),"HTML/CSS;Java;Python;VBA")</f>
        <v>HTML/CSS;Java;Python;VBA</v>
      </c>
      <c r="C1206" s="9" t="str">
        <f>IFERROR(__xludf.DUMMYFUNCTION("""COMPUTED_VALUE"""),"HTML/CSS")</f>
        <v>HTML/CSS</v>
      </c>
      <c r="D1206" s="9" t="str">
        <f>IFERROR(__xludf.DUMMYFUNCTION("""COMPUTED_VALUE"""),"Other(s):")</f>
        <v>Other(s):</v>
      </c>
      <c r="E1206" s="9" t="str">
        <f>IFERROR(__xludf.DUMMYFUNCTION("""COMPUTED_VALUE"""),"JavaScript")</f>
        <v>JavaScript</v>
      </c>
      <c r="F1206" s="9" t="str">
        <f>IFERROR(__xludf.DUMMYFUNCTION("""COMPUTED_VALUE"""),"C")</f>
        <v>C</v>
      </c>
      <c r="G1206" s="9" t="str">
        <f>IFERROR(__xludf.DUMMYFUNCTION("""COMPUTED_VALUE"""),"C")</f>
        <v>C</v>
      </c>
      <c r="H1206" s="9" t="str">
        <f>IFERROR(__xludf.DUMMYFUNCTION("""COMPUTED_VALUE"""),"PHP")</f>
        <v>PHP</v>
      </c>
      <c r="I1206" s="9" t="str">
        <f>IFERROR(__xludf.DUMMYFUNCTION("""COMPUTED_VALUE"""),"HTML/CSS")</f>
        <v>HTML/CSS</v>
      </c>
      <c r="J1206" s="9" t="str">
        <f>IFERROR(__xludf.DUMMYFUNCTION("""COMPUTED_VALUE"""),"Java")</f>
        <v>Java</v>
      </c>
      <c r="K1206" s="9" t="str">
        <f>IFERROR(__xludf.DUMMYFUNCTION("""COMPUTED_VALUE"""),"Java")</f>
        <v>Java</v>
      </c>
      <c r="L1206" s="9" t="str">
        <f>IFERROR(__xludf.DUMMYFUNCTION("""COMPUTED_VALUE"""),"Bash/Shell/PowerShell")</f>
        <v>Bash/Shell/PowerShell</v>
      </c>
      <c r="M1206" s="9" t="s">
        <v>24</v>
      </c>
    </row>
    <row r="1207" ht="15.75" customHeight="1">
      <c r="A1207" s="7"/>
      <c r="B1207" s="7" t="str">
        <f>IFERROR(__xludf.DUMMYFUNCTION("""COMPUTED_VALUE"""),"Bash/Shell/PowerShell;HTML/CSS;Java;JavaScript;Kotlin;Python;Ruby;SQL")</f>
        <v>Bash/Shell/PowerShell;HTML/CSS;Java;JavaScript;Kotlin;Python;Ruby;SQL</v>
      </c>
      <c r="C1207" s="9" t="str">
        <f>IFERROR(__xludf.DUMMYFUNCTION("""COMPUTED_VALUE"""),"Java")</f>
        <v>Java</v>
      </c>
      <c r="D1207" s="9" t="str">
        <f>IFERROR(__xludf.DUMMYFUNCTION("""COMPUTED_VALUE"""),"Bash/Shell/PowerShell")</f>
        <v>Bash/Shell/PowerShell</v>
      </c>
      <c r="E1207" s="9" t="str">
        <f>IFERROR(__xludf.DUMMYFUNCTION("""COMPUTED_VALUE"""),"SQL")</f>
        <v>SQL</v>
      </c>
      <c r="F1207" s="9" t="str">
        <f>IFERROR(__xludf.DUMMYFUNCTION("""COMPUTED_VALUE"""),"C++")</f>
        <v>C++</v>
      </c>
      <c r="G1207" s="9" t="str">
        <f>IFERROR(__xludf.DUMMYFUNCTION("""COMPUTED_VALUE"""),"C++")</f>
        <v>C++</v>
      </c>
      <c r="H1207" s="9" t="str">
        <f>IFERROR(__xludf.DUMMYFUNCTION("""COMPUTED_VALUE"""),"Python")</f>
        <v>Python</v>
      </c>
      <c r="I1207" s="9" t="str">
        <f>IFERROR(__xludf.DUMMYFUNCTION("""COMPUTED_VALUE"""),"Java")</f>
        <v>Java</v>
      </c>
      <c r="J1207" s="9" t="str">
        <f>IFERROR(__xludf.DUMMYFUNCTION("""COMPUTED_VALUE"""),"JavaScript")</f>
        <v>JavaScript</v>
      </c>
      <c r="K1207" s="9" t="str">
        <f>IFERROR(__xludf.DUMMYFUNCTION("""COMPUTED_VALUE"""),"JavaScript")</f>
        <v>JavaScript</v>
      </c>
      <c r="L1207" s="9" t="str">
        <f>IFERROR(__xludf.DUMMYFUNCTION("""COMPUTED_VALUE"""),"C++")</f>
        <v>C++</v>
      </c>
      <c r="M1207" s="9" t="s">
        <v>20</v>
      </c>
    </row>
    <row r="1208" ht="15.75" customHeight="1">
      <c r="A1208" s="7"/>
      <c r="B1208" s="7" t="str">
        <f>IFERROR(__xludf.DUMMYFUNCTION("""COMPUTED_VALUE"""),"C#;HTML/CSS;JavaScript;SQL;TypeScript")</f>
        <v>C#;HTML/CSS;JavaScript;SQL;TypeScript</v>
      </c>
      <c r="C1208" s="9" t="str">
        <f>IFERROR(__xludf.DUMMYFUNCTION("""COMPUTED_VALUE"""),"JavaScript")</f>
        <v>JavaScript</v>
      </c>
      <c r="D1208" s="9" t="str">
        <f>IFERROR(__xludf.DUMMYFUNCTION("""COMPUTED_VALUE"""),"C#")</f>
        <v>C#</v>
      </c>
      <c r="E1208" s="9" t="str">
        <f>IFERROR(__xludf.DUMMYFUNCTION("""COMPUTED_VALUE"""),"C++")</f>
        <v>C++</v>
      </c>
      <c r="F1208" s="9" t="str">
        <f>IFERROR(__xludf.DUMMYFUNCTION("""COMPUTED_VALUE"""),"HTML/CSS")</f>
        <v>HTML/CSS</v>
      </c>
      <c r="G1208" s="9" t="str">
        <f>IFERROR(__xludf.DUMMYFUNCTION("""COMPUTED_VALUE"""),"HTML/CSS")</f>
        <v>HTML/CSS</v>
      </c>
      <c r="H1208" s="9" t="str">
        <f>IFERROR(__xludf.DUMMYFUNCTION("""COMPUTED_VALUE"""),"R")</f>
        <v>R</v>
      </c>
      <c r="I1208" s="9" t="str">
        <f>IFERROR(__xludf.DUMMYFUNCTION("""COMPUTED_VALUE"""),"JavaScript")</f>
        <v>JavaScript</v>
      </c>
      <c r="J1208" s="9" t="str">
        <f>IFERROR(__xludf.DUMMYFUNCTION("""COMPUTED_VALUE"""),"PHP")</f>
        <v>PHP</v>
      </c>
      <c r="K1208" s="9" t="str">
        <f>IFERROR(__xludf.DUMMYFUNCTION("""COMPUTED_VALUE"""),"PHP")</f>
        <v>PHP</v>
      </c>
      <c r="L1208" s="9" t="str">
        <f>IFERROR(__xludf.DUMMYFUNCTION("""COMPUTED_VALUE"""),"C#")</f>
        <v>C#</v>
      </c>
      <c r="M1208" s="9" t="s">
        <v>21</v>
      </c>
    </row>
    <row r="1209" ht="15.75" customHeight="1">
      <c r="A1209" s="7"/>
      <c r="B1209" s="7" t="str">
        <f>IFERROR(__xludf.DUMMYFUNCTION("""COMPUTED_VALUE"""),"Bash/Shell/PowerShell;C;C++;SQL;Other(s):")</f>
        <v>Bash/Shell/PowerShell;C;C++;SQL;Other(s):</v>
      </c>
      <c r="C1209" s="9" t="str">
        <f>IFERROR(__xludf.DUMMYFUNCTION("""COMPUTED_VALUE"""),"SQL")</f>
        <v>SQL</v>
      </c>
      <c r="D1209" s="9" t="str">
        <f>IFERROR(__xludf.DUMMYFUNCTION("""COMPUTED_VALUE"""),"HTML/CSS")</f>
        <v>HTML/CSS</v>
      </c>
      <c r="E1209" s="9" t="str">
        <f>IFERROR(__xludf.DUMMYFUNCTION("""COMPUTED_VALUE"""),"C#")</f>
        <v>C#</v>
      </c>
      <c r="F1209" s="9" t="str">
        <f>IFERROR(__xludf.DUMMYFUNCTION("""COMPUTED_VALUE"""),"JavaScript")</f>
        <v>JavaScript</v>
      </c>
      <c r="G1209" s="9" t="str">
        <f>IFERROR(__xludf.DUMMYFUNCTION("""COMPUTED_VALUE"""),"Java")</f>
        <v>Java</v>
      </c>
      <c r="H1209" s="9" t="str">
        <f>IFERROR(__xludf.DUMMYFUNCTION("""COMPUTED_VALUE"""),"SQL")</f>
        <v>SQL</v>
      </c>
      <c r="I1209" s="9" t="str">
        <f>IFERROR(__xludf.DUMMYFUNCTION("""COMPUTED_VALUE"""),"Objective-C")</f>
        <v>Objective-C</v>
      </c>
      <c r="J1209" s="9" t="str">
        <f>IFERROR(__xludf.DUMMYFUNCTION("""COMPUTED_VALUE"""),"Python")</f>
        <v>Python</v>
      </c>
      <c r="K1209" s="9" t="str">
        <f>IFERROR(__xludf.DUMMYFUNCTION("""COMPUTED_VALUE"""),"Python")</f>
        <v>Python</v>
      </c>
      <c r="L1209" s="9" t="str">
        <f>IFERROR(__xludf.DUMMYFUNCTION("""COMPUTED_VALUE"""),"Java")</f>
        <v>Java</v>
      </c>
      <c r="M1209" s="9" t="s">
        <v>27</v>
      </c>
    </row>
    <row r="1210" ht="15.75" customHeight="1">
      <c r="A1210" s="7"/>
      <c r="B1210" s="7" t="str">
        <f>IFERROR(__xludf.DUMMYFUNCTION("""COMPUTED_VALUE"""),"C#;Java")</f>
        <v>C#;Java</v>
      </c>
      <c r="C1210" s="9" t="str">
        <f>IFERROR(__xludf.DUMMYFUNCTION("""COMPUTED_VALUE"""),"TypeScript")</f>
        <v>TypeScript</v>
      </c>
      <c r="D1210" s="9" t="str">
        <f>IFERROR(__xludf.DUMMYFUNCTION("""COMPUTED_VALUE"""),"JavaScript")</f>
        <v>JavaScript</v>
      </c>
      <c r="E1210" s="9" t="str">
        <f>IFERROR(__xludf.DUMMYFUNCTION("""COMPUTED_VALUE"""),"HTML/CSS")</f>
        <v>HTML/CSS</v>
      </c>
      <c r="F1210" s="9" t="str">
        <f>IFERROR(__xludf.DUMMYFUNCTION("""COMPUTED_VALUE"""),"Ruby")</f>
        <v>Ruby</v>
      </c>
      <c r="G1210" s="9" t="str">
        <f>IFERROR(__xludf.DUMMYFUNCTION("""COMPUTED_VALUE"""),"PHP")</f>
        <v>PHP</v>
      </c>
      <c r="H1210" s="9" t="str">
        <f>IFERROR(__xludf.DUMMYFUNCTION("""COMPUTED_VALUE"""),"VBA")</f>
        <v>VBA</v>
      </c>
      <c r="I1210" s="9" t="str">
        <f>IFERROR(__xludf.DUMMYFUNCTION("""COMPUTED_VALUE"""),"SQL")</f>
        <v>SQL</v>
      </c>
      <c r="J1210" s="9" t="str">
        <f>IFERROR(__xludf.DUMMYFUNCTION("""COMPUTED_VALUE"""),"R")</f>
        <v>R</v>
      </c>
      <c r="K1210" s="9" t="str">
        <f>IFERROR(__xludf.DUMMYFUNCTION("""COMPUTED_VALUE"""),"R")</f>
        <v>R</v>
      </c>
      <c r="L1210" s="9" t="str">
        <f>IFERROR(__xludf.DUMMYFUNCTION("""COMPUTED_VALUE"""),"JavaScript")</f>
        <v>JavaScript</v>
      </c>
      <c r="M1210" s="9" t="s">
        <v>33</v>
      </c>
    </row>
    <row r="1211" ht="15.75" customHeight="1">
      <c r="A1211" s="7"/>
      <c r="B1211" s="7" t="str">
        <f>IFERROR(__xludf.DUMMYFUNCTION("""COMPUTED_VALUE"""),"Bash/Shell/PowerShell;C;C++;C#;Java;Python;Other(s):")</f>
        <v>Bash/Shell/PowerShell;C;C++;C#;Java;Python;Other(s):</v>
      </c>
      <c r="C1211" s="9" t="str">
        <f>IFERROR(__xludf.DUMMYFUNCTION("""COMPUTED_VALUE"""),"C")</f>
        <v>C</v>
      </c>
      <c r="D1211" s="9" t="str">
        <f>IFERROR(__xludf.DUMMYFUNCTION("""COMPUTED_VALUE"""),"TypeScript")</f>
        <v>TypeScript</v>
      </c>
      <c r="E1211" s="9" t="str">
        <f>IFERROR(__xludf.DUMMYFUNCTION("""COMPUTED_VALUE"""),"JavaScript")</f>
        <v>JavaScript</v>
      </c>
      <c r="F1211" s="9" t="str">
        <f>IFERROR(__xludf.DUMMYFUNCTION("""COMPUTED_VALUE"""),"Rust")</f>
        <v>Rust</v>
      </c>
      <c r="G1211" s="9" t="str">
        <f>IFERROR(__xludf.DUMMYFUNCTION("""COMPUTED_VALUE"""),"Python")</f>
        <v>Python</v>
      </c>
      <c r="H1211" s="9" t="str">
        <f>IFERROR(__xludf.DUMMYFUNCTION("""COMPUTED_VALUE"""),"Other(s):")</f>
        <v>Other(s):</v>
      </c>
      <c r="I1211" s="9" t="str">
        <f>IFERROR(__xludf.DUMMYFUNCTION("""COMPUTED_VALUE"""),"Swift")</f>
        <v>Swift</v>
      </c>
      <c r="J1211" s="9" t="str">
        <f>IFERROR(__xludf.DUMMYFUNCTION("""COMPUTED_VALUE"""),"Ruby")</f>
        <v>Ruby</v>
      </c>
      <c r="K1211" s="9" t="str">
        <f>IFERROR(__xludf.DUMMYFUNCTION("""COMPUTED_VALUE"""),"SQL")</f>
        <v>SQL</v>
      </c>
      <c r="L1211" s="9" t="str">
        <f>IFERROR(__xludf.DUMMYFUNCTION("""COMPUTED_VALUE"""),"Python")</f>
        <v>Python</v>
      </c>
      <c r="M1211" s="9" t="s">
        <v>25</v>
      </c>
    </row>
    <row r="1212" ht="15.75" customHeight="1">
      <c r="A1212" s="7"/>
      <c r="B1212" s="7" t="str">
        <f>IFERROR(__xludf.DUMMYFUNCTION("""COMPUTED_VALUE"""),"HTML/CSS;JavaScript;Python")</f>
        <v>HTML/CSS;JavaScript;Python</v>
      </c>
      <c r="C1212" s="9" t="str">
        <f>IFERROR(__xludf.DUMMYFUNCTION("""COMPUTED_VALUE"""),"C++")</f>
        <v>C++</v>
      </c>
      <c r="D1212" s="9" t="str">
        <f>IFERROR(__xludf.DUMMYFUNCTION("""COMPUTED_VALUE"""),"C#")</f>
        <v>C#</v>
      </c>
      <c r="E1212" s="9" t="str">
        <f>IFERROR(__xludf.DUMMYFUNCTION("""COMPUTED_VALUE"""),"PHP")</f>
        <v>PHP</v>
      </c>
      <c r="F1212" s="9" t="str">
        <f>IFERROR(__xludf.DUMMYFUNCTION("""COMPUTED_VALUE"""),"Go")</f>
        <v>Go</v>
      </c>
      <c r="G1212" s="9" t="str">
        <f>IFERROR(__xludf.DUMMYFUNCTION("""COMPUTED_VALUE"""),"SQL")</f>
        <v>SQL</v>
      </c>
      <c r="H1212" s="9" t="str">
        <f>IFERROR(__xludf.DUMMYFUNCTION("""COMPUTED_VALUE"""),"C++")</f>
        <v>C++</v>
      </c>
      <c r="I1212" s="9" t="str">
        <f>IFERROR(__xludf.DUMMYFUNCTION("""COMPUTED_VALUE"""),"Bash/Shell/PowerShell")</f>
        <v>Bash/Shell/PowerShell</v>
      </c>
      <c r="J1212" s="9" t="str">
        <f>IFERROR(__xludf.DUMMYFUNCTION("""COMPUTED_VALUE"""),"TypeScript")</f>
        <v>TypeScript</v>
      </c>
      <c r="K1212" s="9" t="str">
        <f>IFERROR(__xludf.DUMMYFUNCTION("""COMPUTED_VALUE"""),"TypeScript")</f>
        <v>TypeScript</v>
      </c>
      <c r="L1212" s="9" t="str">
        <f>IFERROR(__xludf.DUMMYFUNCTION("""COMPUTED_VALUE"""),"SQL")</f>
        <v>SQL</v>
      </c>
      <c r="M1212" s="9" t="s">
        <v>23</v>
      </c>
    </row>
    <row r="1213" ht="15.75" customHeight="1">
      <c r="A1213" s="7"/>
      <c r="B1213" s="7" t="str">
        <f>IFERROR(__xludf.DUMMYFUNCTION("""COMPUTED_VALUE"""),"C#;HTML/CSS;JavaScript;SQL;TypeScript;VBA")</f>
        <v>C#;HTML/CSS;JavaScript;SQL;TypeScript;VBA</v>
      </c>
      <c r="C1213" s="9" t="str">
        <f>IFERROR(__xludf.DUMMYFUNCTION("""COMPUTED_VALUE"""),"C#")</f>
        <v>C#</v>
      </c>
      <c r="D1213" s="9" t="str">
        <f>IFERROR(__xludf.DUMMYFUNCTION("""COMPUTED_VALUE"""),"Swift")</f>
        <v>Swift</v>
      </c>
      <c r="E1213" s="9" t="str">
        <f>IFERROR(__xludf.DUMMYFUNCTION("""COMPUTED_VALUE"""),"Rust")</f>
        <v>Rust</v>
      </c>
      <c r="F1213" s="9" t="str">
        <f>IFERROR(__xludf.DUMMYFUNCTION("""COMPUTED_VALUE"""),"HTML/CSS")</f>
        <v>HTML/CSS</v>
      </c>
      <c r="G1213" s="9" t="str">
        <f>IFERROR(__xludf.DUMMYFUNCTION("""COMPUTED_VALUE"""),"Swift")</f>
        <v>Swift</v>
      </c>
      <c r="H1213" s="9" t="str">
        <f>IFERROR(__xludf.DUMMYFUNCTION("""COMPUTED_VALUE"""),"JavaScript")</f>
        <v>JavaScript</v>
      </c>
      <c r="I1213" s="9" t="str">
        <f>IFERROR(__xludf.DUMMYFUNCTION("""COMPUTED_VALUE"""),"C")</f>
        <v>C</v>
      </c>
      <c r="J1213" s="9" t="str">
        <f>IFERROR(__xludf.DUMMYFUNCTION("""COMPUTED_VALUE"""),"C++")</f>
        <v>C++</v>
      </c>
      <c r="K1213" s="9" t="str">
        <f>IFERROR(__xludf.DUMMYFUNCTION("""COMPUTED_VALUE"""),"C")</f>
        <v>C</v>
      </c>
      <c r="L1213" s="9" t="str">
        <f>IFERROR(__xludf.DUMMYFUNCTION("""COMPUTED_VALUE"""),"HTML/CSS")</f>
        <v>HTML/CSS</v>
      </c>
      <c r="M1213" s="9" t="s">
        <v>26</v>
      </c>
    </row>
    <row r="1214" ht="15.75" customHeight="1">
      <c r="A1214" s="7"/>
      <c r="B1214" s="7" t="str">
        <f>IFERROR(__xludf.DUMMYFUNCTION("""COMPUTED_VALUE"""),"Bash/Shell/PowerShell;C++;Go;HTML/CSS;JavaScript;Python;Rust")</f>
        <v>Bash/Shell/PowerShell;C++;Go;HTML/CSS;JavaScript;Python;Rust</v>
      </c>
      <c r="C1214" s="9" t="str">
        <f>IFERROR(__xludf.DUMMYFUNCTION("""COMPUTED_VALUE"""),"HTML/CSS")</f>
        <v>HTML/CSS</v>
      </c>
      <c r="D1214" s="9" t="str">
        <f>IFERROR(__xludf.DUMMYFUNCTION("""COMPUTED_VALUE"""),"C")</f>
        <v>C</v>
      </c>
      <c r="E1214" s="9" t="str">
        <f>IFERROR(__xludf.DUMMYFUNCTION("""COMPUTED_VALUE"""),"TypeScript")</f>
        <v>TypeScript</v>
      </c>
      <c r="F1214" s="9" t="str">
        <f>IFERROR(__xludf.DUMMYFUNCTION("""COMPUTED_VALUE"""),"JavaScript")</f>
        <v>JavaScript</v>
      </c>
      <c r="G1214" s="9" t="str">
        <f>IFERROR(__xludf.DUMMYFUNCTION("""COMPUTED_VALUE"""),"VBA")</f>
        <v>VBA</v>
      </c>
      <c r="H1214" s="9" t="str">
        <f>IFERROR(__xludf.DUMMYFUNCTION("""COMPUTED_VALUE"""),"C")</f>
        <v>C</v>
      </c>
      <c r="I1214" s="9" t="str">
        <f>IFERROR(__xludf.DUMMYFUNCTION("""COMPUTED_VALUE"""),"Java")</f>
        <v>Java</v>
      </c>
      <c r="J1214" s="9" t="str">
        <f>IFERROR(__xludf.DUMMYFUNCTION("""COMPUTED_VALUE"""),"HTML/CSS")</f>
        <v>HTML/CSS</v>
      </c>
      <c r="K1214" s="9" t="str">
        <f>IFERROR(__xludf.DUMMYFUNCTION("""COMPUTED_VALUE"""),"C++")</f>
        <v>C++</v>
      </c>
      <c r="L1214" s="9" t="str">
        <f>IFERROR(__xludf.DUMMYFUNCTION("""COMPUTED_VALUE"""),"JavaScript")</f>
        <v>JavaScript</v>
      </c>
      <c r="M1214" s="9" t="s">
        <v>24</v>
      </c>
    </row>
    <row r="1215" ht="15.75" customHeight="1">
      <c r="A1215" s="7"/>
      <c r="B1215" s="7" t="str">
        <f>IFERROR(__xludf.DUMMYFUNCTION("""COMPUTED_VALUE"""),"Bash/Shell/PowerShell;Java;Python;SQL")</f>
        <v>Bash/Shell/PowerShell;Java;Python;SQL</v>
      </c>
      <c r="C1215" s="9" t="str">
        <f>IFERROR(__xludf.DUMMYFUNCTION("""COMPUTED_VALUE"""),"Java")</f>
        <v>Java</v>
      </c>
      <c r="D1215" s="9" t="str">
        <f>IFERROR(__xludf.DUMMYFUNCTION("""COMPUTED_VALUE"""),"C++")</f>
        <v>C++</v>
      </c>
      <c r="E1215" s="9" t="str">
        <f>IFERROR(__xludf.DUMMYFUNCTION("""COMPUTED_VALUE"""),"WebAssembly")</f>
        <v>WebAssembly</v>
      </c>
      <c r="F1215" s="9" t="str">
        <f>IFERROR(__xludf.DUMMYFUNCTION("""COMPUTED_VALUE"""),"SQL")</f>
        <v>SQL</v>
      </c>
      <c r="G1215" s="9" t="str">
        <f>IFERROR(__xludf.DUMMYFUNCTION("""COMPUTED_VALUE"""),"JavaScript")</f>
        <v>JavaScript</v>
      </c>
      <c r="H1215" s="9" t="str">
        <f>IFERROR(__xludf.DUMMYFUNCTION("""COMPUTED_VALUE"""),"C++")</f>
        <v>C++</v>
      </c>
      <c r="I1215" s="9" t="str">
        <f>IFERROR(__xludf.DUMMYFUNCTION("""COMPUTED_VALUE"""),"Python")</f>
        <v>Python</v>
      </c>
      <c r="J1215" s="9" t="str">
        <f>IFERROR(__xludf.DUMMYFUNCTION("""COMPUTED_VALUE"""),"Java")</f>
        <v>Java</v>
      </c>
      <c r="K1215" s="9" t="str">
        <f>IFERROR(__xludf.DUMMYFUNCTION("""COMPUTED_VALUE"""),"C#")</f>
        <v>C#</v>
      </c>
      <c r="L1215" s="9" t="str">
        <f>IFERROR(__xludf.DUMMYFUNCTION("""COMPUTED_VALUE"""),"HTML/CSS")</f>
        <v>HTML/CSS</v>
      </c>
      <c r="M1215" s="9" t="s">
        <v>20</v>
      </c>
    </row>
    <row r="1216" ht="15.75" customHeight="1">
      <c r="A1216" s="7"/>
      <c r="B1216" s="7" t="str">
        <f>IFERROR(__xludf.DUMMYFUNCTION("""COMPUTED_VALUE"""),"Java;JavaScript;PHP;TypeScript")</f>
        <v>Java;JavaScript;PHP;TypeScript</v>
      </c>
      <c r="C1216" s="9" t="str">
        <f>IFERROR(__xludf.DUMMYFUNCTION("""COMPUTED_VALUE"""),"JavaScript")</f>
        <v>JavaScript</v>
      </c>
      <c r="D1216" s="9" t="str">
        <f>IFERROR(__xludf.DUMMYFUNCTION("""COMPUTED_VALUE"""),"Java")</f>
        <v>Java</v>
      </c>
      <c r="E1216" s="9" t="str">
        <f>IFERROR(__xludf.DUMMYFUNCTION("""COMPUTED_VALUE"""),"Bash/Shell/PowerShell")</f>
        <v>Bash/Shell/PowerShell</v>
      </c>
      <c r="F1216" s="9" t="str">
        <f>IFERROR(__xludf.DUMMYFUNCTION("""COMPUTED_VALUE"""),"SQL")</f>
        <v>SQL</v>
      </c>
      <c r="G1216" s="9" t="str">
        <f>IFERROR(__xludf.DUMMYFUNCTION("""COMPUTED_VALUE"""),"TypeScript")</f>
        <v>TypeScript</v>
      </c>
      <c r="H1216" s="9" t="str">
        <f>IFERROR(__xludf.DUMMYFUNCTION("""COMPUTED_VALUE"""),"HTML/CSS")</f>
        <v>HTML/CSS</v>
      </c>
      <c r="I1216" s="9" t="str">
        <f>IFERROR(__xludf.DUMMYFUNCTION("""COMPUTED_VALUE"""),"C++")</f>
        <v>C++</v>
      </c>
      <c r="J1216" s="9" t="str">
        <f>IFERROR(__xludf.DUMMYFUNCTION("""COMPUTED_VALUE"""),"JavaScript")</f>
        <v>JavaScript</v>
      </c>
      <c r="K1216" s="9" t="str">
        <f>IFERROR(__xludf.DUMMYFUNCTION("""COMPUTED_VALUE"""),"HTML/CSS")</f>
        <v>HTML/CSS</v>
      </c>
      <c r="L1216" s="9" t="str">
        <f>IFERROR(__xludf.DUMMYFUNCTION("""COMPUTED_VALUE"""),"JavaScript")</f>
        <v>JavaScript</v>
      </c>
      <c r="M1216" s="9" t="s">
        <v>21</v>
      </c>
    </row>
    <row r="1217" ht="15.75" customHeight="1">
      <c r="A1217" s="7"/>
      <c r="B1217" s="7" t="str">
        <f>IFERROR(__xludf.DUMMYFUNCTION("""COMPUTED_VALUE"""),"HTML/CSS;JavaScript;SQL")</f>
        <v>HTML/CSS;JavaScript;SQL</v>
      </c>
      <c r="C1217" s="9" t="str">
        <f>IFERROR(__xludf.DUMMYFUNCTION("""COMPUTED_VALUE"""),"Objective-C")</f>
        <v>Objective-C</v>
      </c>
      <c r="D1217" s="9" t="str">
        <f>IFERROR(__xludf.DUMMYFUNCTION("""COMPUTED_VALUE"""),"R")</f>
        <v>R</v>
      </c>
      <c r="E1217" s="9" t="str">
        <f>IFERROR(__xludf.DUMMYFUNCTION("""COMPUTED_VALUE"""),"C")</f>
        <v>C</v>
      </c>
      <c r="F1217" s="9" t="str">
        <f>IFERROR(__xludf.DUMMYFUNCTION("""COMPUTED_VALUE"""),"Other(s):")</f>
        <v>Other(s):</v>
      </c>
      <c r="G1217" s="9" t="str">
        <f>IFERROR(__xludf.DUMMYFUNCTION("""COMPUTED_VALUE"""),"Bash/Shell/PowerShell")</f>
        <v>Bash/Shell/PowerShell</v>
      </c>
      <c r="H1217" s="9" t="str">
        <f>IFERROR(__xludf.DUMMYFUNCTION("""COMPUTED_VALUE"""),"Java")</f>
        <v>Java</v>
      </c>
      <c r="I1217" s="9" t="str">
        <f>IFERROR(__xludf.DUMMYFUNCTION("""COMPUTED_VALUE"""),"JavaScript")</f>
        <v>JavaScript</v>
      </c>
      <c r="J1217" s="9" t="str">
        <f>IFERROR(__xludf.DUMMYFUNCTION("""COMPUTED_VALUE"""),"Kotlin")</f>
        <v>Kotlin</v>
      </c>
      <c r="K1217" s="9" t="str">
        <f>IFERROR(__xludf.DUMMYFUNCTION("""COMPUTED_VALUE"""),"Java")</f>
        <v>Java</v>
      </c>
      <c r="L1217" s="9" t="str">
        <f>IFERROR(__xludf.DUMMYFUNCTION("""COMPUTED_VALUE"""),"PHP")</f>
        <v>PHP</v>
      </c>
      <c r="M1217" s="9" t="s">
        <v>41</v>
      </c>
    </row>
    <row r="1218" ht="15.75" customHeight="1">
      <c r="A1218" s="7"/>
      <c r="B1218" s="7" t="str">
        <f>IFERROR(__xludf.DUMMYFUNCTION("""COMPUTED_VALUE"""),"JavaScript;PHP")</f>
        <v>JavaScript;PHP</v>
      </c>
      <c r="C1218" s="9" t="str">
        <f>IFERROR(__xludf.DUMMYFUNCTION("""COMPUTED_VALUE"""),"PHP")</f>
        <v>PHP</v>
      </c>
      <c r="D1218" s="9" t="str">
        <f>IFERROR(__xludf.DUMMYFUNCTION("""COMPUTED_VALUE"""),"Bash/Shell/PowerShell")</f>
        <v>Bash/Shell/PowerShell</v>
      </c>
      <c r="E1218" s="9" t="str">
        <f>IFERROR(__xludf.DUMMYFUNCTION("""COMPUTED_VALUE"""),"C++")</f>
        <v>C++</v>
      </c>
      <c r="F1218" s="9" t="str">
        <f>IFERROR(__xludf.DUMMYFUNCTION("""COMPUTED_VALUE"""),"Bash/Shell/PowerShell")</f>
        <v>Bash/Shell/PowerShell</v>
      </c>
      <c r="G1218" s="9" t="str">
        <f>IFERROR(__xludf.DUMMYFUNCTION("""COMPUTED_VALUE"""),"Java")</f>
        <v>Java</v>
      </c>
      <c r="H1218" s="9" t="str">
        <f>IFERROR(__xludf.DUMMYFUNCTION("""COMPUTED_VALUE"""),"JavaScript")</f>
        <v>JavaScript</v>
      </c>
      <c r="I1218" s="9" t="str">
        <f>IFERROR(__xludf.DUMMYFUNCTION("""COMPUTED_VALUE"""),"Swift")</f>
        <v>Swift</v>
      </c>
      <c r="J1218" s="9" t="str">
        <f>IFERROR(__xludf.DUMMYFUNCTION("""COMPUTED_VALUE"""),"PHP")</f>
        <v>PHP</v>
      </c>
      <c r="K1218" s="9" t="str">
        <f>IFERROR(__xludf.DUMMYFUNCTION("""COMPUTED_VALUE"""),"JavaScript")</f>
        <v>JavaScript</v>
      </c>
      <c r="L1218" s="9" t="str">
        <f>IFERROR(__xludf.DUMMYFUNCTION("""COMPUTED_VALUE"""),"SQL")</f>
        <v>SQL</v>
      </c>
      <c r="M1218" s="9" t="s">
        <v>37</v>
      </c>
    </row>
    <row r="1219" ht="15.75" customHeight="1">
      <c r="A1219" s="7"/>
      <c r="B1219" s="7" t="str">
        <f>IFERROR(__xludf.DUMMYFUNCTION("""COMPUTED_VALUE"""),"C#;HTML/CSS;JavaScript;R;SQL")</f>
        <v>C#;HTML/CSS;JavaScript;R;SQL</v>
      </c>
      <c r="C1219" s="9" t="str">
        <f>IFERROR(__xludf.DUMMYFUNCTION("""COMPUTED_VALUE"""),"Python")</f>
        <v>Python</v>
      </c>
      <c r="D1219" s="9" t="str">
        <f>IFERROR(__xludf.DUMMYFUNCTION("""COMPUTED_VALUE"""),"C")</f>
        <v>C</v>
      </c>
      <c r="E1219" s="9" t="str">
        <f>IFERROR(__xludf.DUMMYFUNCTION("""COMPUTED_VALUE"""),"C#")</f>
        <v>C#</v>
      </c>
      <c r="F1219" s="9" t="str">
        <f>IFERROR(__xludf.DUMMYFUNCTION("""COMPUTED_VALUE"""),"C#")</f>
        <v>C#</v>
      </c>
      <c r="G1219" s="9" t="str">
        <f>IFERROR(__xludf.DUMMYFUNCTION("""COMPUTED_VALUE"""),"JavaScript")</f>
        <v>JavaScript</v>
      </c>
      <c r="H1219" s="9" t="str">
        <f>IFERROR(__xludf.DUMMYFUNCTION("""COMPUTED_VALUE"""),"Kotlin")</f>
        <v>Kotlin</v>
      </c>
      <c r="I1219" s="9" t="str">
        <f>IFERROR(__xludf.DUMMYFUNCTION("""COMPUTED_VALUE"""),"C")</f>
        <v>C</v>
      </c>
      <c r="J1219" s="9" t="str">
        <f>IFERROR(__xludf.DUMMYFUNCTION("""COMPUTED_VALUE"""),"Python")</f>
        <v>Python</v>
      </c>
      <c r="K1219" s="9" t="str">
        <f>IFERROR(__xludf.DUMMYFUNCTION("""COMPUTED_VALUE"""),"Ruby")</f>
        <v>Ruby</v>
      </c>
      <c r="L1219" s="9" t="str">
        <f>IFERROR(__xludf.DUMMYFUNCTION("""COMPUTED_VALUE"""),"Bash/Shell/PowerShell")</f>
        <v>Bash/Shell/PowerShell</v>
      </c>
      <c r="M1219" s="9" t="s">
        <v>22</v>
      </c>
    </row>
    <row r="1220" ht="15.75" customHeight="1">
      <c r="A1220" s="7"/>
      <c r="B1220" s="7" t="str">
        <f>IFERROR(__xludf.DUMMYFUNCTION("""COMPUTED_VALUE"""),"Bash/Shell/PowerShell;HTML/CSS;Java;JavaScript;PHP;Python")</f>
        <v>Bash/Shell/PowerShell;HTML/CSS;Java;JavaScript;PHP;Python</v>
      </c>
      <c r="C1220" s="9" t="str">
        <f>IFERROR(__xludf.DUMMYFUNCTION("""COMPUTED_VALUE"""),"Swift")</f>
        <v>Swift</v>
      </c>
      <c r="D1220" s="9" t="str">
        <f>IFERROR(__xludf.DUMMYFUNCTION("""COMPUTED_VALUE"""),"C++")</f>
        <v>C++</v>
      </c>
      <c r="E1220" s="9" t="str">
        <f>IFERROR(__xludf.DUMMYFUNCTION("""COMPUTED_VALUE"""),"HTML/CSS")</f>
        <v>HTML/CSS</v>
      </c>
      <c r="F1220" s="9" t="str">
        <f>IFERROR(__xludf.DUMMYFUNCTION("""COMPUTED_VALUE"""),"HTML/CSS")</f>
        <v>HTML/CSS</v>
      </c>
      <c r="G1220" s="9" t="str">
        <f>IFERROR(__xludf.DUMMYFUNCTION("""COMPUTED_VALUE"""),"Objective-C")</f>
        <v>Objective-C</v>
      </c>
      <c r="H1220" s="9" t="str">
        <f>IFERROR(__xludf.DUMMYFUNCTION("""COMPUTED_VALUE"""),"R")</f>
        <v>R</v>
      </c>
      <c r="I1220" s="9" t="str">
        <f>IFERROR(__xludf.DUMMYFUNCTION("""COMPUTED_VALUE"""),"C++")</f>
        <v>C++</v>
      </c>
      <c r="J1220" s="9" t="str">
        <f>IFERROR(__xludf.DUMMYFUNCTION("""COMPUTED_VALUE"""),"SQL")</f>
        <v>SQL</v>
      </c>
      <c r="K1220" s="9" t="str">
        <f>IFERROR(__xludf.DUMMYFUNCTION("""COMPUTED_VALUE"""),"SQL")</f>
        <v>SQL</v>
      </c>
      <c r="L1220" s="9" t="str">
        <f>IFERROR(__xludf.DUMMYFUNCTION("""COMPUTED_VALUE"""),"C")</f>
        <v>C</v>
      </c>
      <c r="M1220" s="9" t="s">
        <v>40</v>
      </c>
    </row>
    <row r="1221" ht="15.75" customHeight="1">
      <c r="A1221" s="7"/>
      <c r="B1221" s="7" t="str">
        <f>IFERROR(__xludf.DUMMYFUNCTION("""COMPUTED_VALUE"""),"Elixir;HTML/CSS;JavaScript;Ruby;SQL;Other(s):")</f>
        <v>Elixir;HTML/CSS;JavaScript;Ruby;SQL;Other(s):</v>
      </c>
      <c r="C1221" s="9" t="str">
        <f>IFERROR(__xludf.DUMMYFUNCTION("""COMPUTED_VALUE"""),"Assembly")</f>
        <v>Assembly</v>
      </c>
      <c r="D1221" s="9" t="str">
        <f>IFERROR(__xludf.DUMMYFUNCTION("""COMPUTED_VALUE"""),"C")</f>
        <v>C</v>
      </c>
      <c r="E1221" s="9" t="str">
        <f>IFERROR(__xludf.DUMMYFUNCTION("""COMPUTED_VALUE"""),"JavaScript")</f>
        <v>JavaScript</v>
      </c>
      <c r="F1221" s="9" t="str">
        <f>IFERROR(__xludf.DUMMYFUNCTION("""COMPUTED_VALUE"""),"JavaScript")</f>
        <v>JavaScript</v>
      </c>
      <c r="G1221" s="9" t="str">
        <f>IFERROR(__xludf.DUMMYFUNCTION("""COMPUTED_VALUE"""),"Ruby")</f>
        <v>Ruby</v>
      </c>
      <c r="H1221" s="9" t="str">
        <f>IFERROR(__xludf.DUMMYFUNCTION("""COMPUTED_VALUE"""),"Ruby")</f>
        <v>Ruby</v>
      </c>
      <c r="I1221" s="9" t="str">
        <f>IFERROR(__xludf.DUMMYFUNCTION("""COMPUTED_VALUE"""),"HTML/CSS")</f>
        <v>HTML/CSS</v>
      </c>
      <c r="J1221" s="9" t="str">
        <f>IFERROR(__xludf.DUMMYFUNCTION("""COMPUTED_VALUE"""),"HTML/CSS")</f>
        <v>HTML/CSS</v>
      </c>
      <c r="K1221" s="9" t="str">
        <f>IFERROR(__xludf.DUMMYFUNCTION("""COMPUTED_VALUE"""),"Elixir")</f>
        <v>Elixir</v>
      </c>
      <c r="L1221" s="9" t="str">
        <f>IFERROR(__xludf.DUMMYFUNCTION("""COMPUTED_VALUE"""),"HTML/CSS")</f>
        <v>HTML/CSS</v>
      </c>
      <c r="M1221" s="9" t="s">
        <v>38</v>
      </c>
    </row>
    <row r="1222" ht="15.75" customHeight="1">
      <c r="A1222" s="7"/>
      <c r="B1222" s="7" t="str">
        <f>IFERROR(__xludf.DUMMYFUNCTION("""COMPUTED_VALUE"""),"HTML/CSS;Python")</f>
        <v>HTML/CSS;Python</v>
      </c>
      <c r="C1222" s="9" t="str">
        <f>IFERROR(__xludf.DUMMYFUNCTION("""COMPUTED_VALUE"""),"Bash/Shell/PowerShell")</f>
        <v>Bash/Shell/PowerShell</v>
      </c>
      <c r="D1222" s="9" t="str">
        <f>IFERROR(__xludf.DUMMYFUNCTION("""COMPUTED_VALUE"""),"C++")</f>
        <v>C++</v>
      </c>
      <c r="E1222" s="9" t="str">
        <f>IFERROR(__xludf.DUMMYFUNCTION("""COMPUTED_VALUE"""),"Kotlin")</f>
        <v>Kotlin</v>
      </c>
      <c r="F1222" s="9" t="str">
        <f>IFERROR(__xludf.DUMMYFUNCTION("""COMPUTED_VALUE"""),"SQL")</f>
        <v>SQL</v>
      </c>
      <c r="G1222" s="9" t="str">
        <f>IFERROR(__xludf.DUMMYFUNCTION("""COMPUTED_VALUE"""),"SQL")</f>
        <v>SQL</v>
      </c>
      <c r="H1222" s="9" t="str">
        <f>IFERROR(__xludf.DUMMYFUNCTION("""COMPUTED_VALUE"""),"SQL")</f>
        <v>SQL</v>
      </c>
      <c r="I1222" s="9" t="str">
        <f>IFERROR(__xludf.DUMMYFUNCTION("""COMPUTED_VALUE"""),"Java")</f>
        <v>Java</v>
      </c>
      <c r="J1222" s="9" t="str">
        <f>IFERROR(__xludf.DUMMYFUNCTION("""COMPUTED_VALUE"""),"Java")</f>
        <v>Java</v>
      </c>
      <c r="K1222" s="9" t="str">
        <f>IFERROR(__xludf.DUMMYFUNCTION("""COMPUTED_VALUE"""),"Erlang")</f>
        <v>Erlang</v>
      </c>
      <c r="L1222" s="9" t="str">
        <f>IFERROR(__xludf.DUMMYFUNCTION("""COMPUTED_VALUE"""),"Java")</f>
        <v>Java</v>
      </c>
      <c r="M1222" s="9" t="s">
        <v>30</v>
      </c>
    </row>
    <row r="1223" ht="15.75" customHeight="1">
      <c r="A1223" s="7"/>
      <c r="B1223" s="7" t="str">
        <f>IFERROR(__xludf.DUMMYFUNCTION("""COMPUTED_VALUE"""),"Bash/Shell/PowerShell;C#;HTML/CSS;JavaScript;SQL")</f>
        <v>Bash/Shell/PowerShell;C#;HTML/CSS;JavaScript;SQL</v>
      </c>
      <c r="C1223" s="9" t="str">
        <f>IFERROR(__xludf.DUMMYFUNCTION("""COMPUTED_VALUE"""),"C")</f>
        <v>C</v>
      </c>
      <c r="D1223" s="9" t="str">
        <f>IFERROR(__xludf.DUMMYFUNCTION("""COMPUTED_VALUE"""),"C#")</f>
        <v>C#</v>
      </c>
      <c r="E1223" s="9" t="str">
        <f>IFERROR(__xludf.DUMMYFUNCTION("""COMPUTED_VALUE"""),"PHP")</f>
        <v>PHP</v>
      </c>
      <c r="F1223" s="9" t="str">
        <f>IFERROR(__xludf.DUMMYFUNCTION("""COMPUTED_VALUE"""),"TypeScript")</f>
        <v>TypeScript</v>
      </c>
      <c r="G1223" s="9" t="str">
        <f>IFERROR(__xludf.DUMMYFUNCTION("""COMPUTED_VALUE"""),"Swift")</f>
        <v>Swift</v>
      </c>
      <c r="H1223" s="9" t="str">
        <f>IFERROR(__xludf.DUMMYFUNCTION("""COMPUTED_VALUE"""),"Swift")</f>
        <v>Swift</v>
      </c>
      <c r="I1223" s="9" t="str">
        <f>IFERROR(__xludf.DUMMYFUNCTION("""COMPUTED_VALUE"""),"JavaScript")</f>
        <v>JavaScript</v>
      </c>
      <c r="J1223" s="9" t="str">
        <f>IFERROR(__xludf.DUMMYFUNCTION("""COMPUTED_VALUE"""),"JavaScript")</f>
        <v>JavaScript</v>
      </c>
      <c r="K1223" s="9" t="str">
        <f>IFERROR(__xludf.DUMMYFUNCTION("""COMPUTED_VALUE"""),"JavaScript")</f>
        <v>JavaScript</v>
      </c>
      <c r="L1223" s="9" t="str">
        <f>IFERROR(__xludf.DUMMYFUNCTION("""COMPUTED_VALUE"""),"JavaScript")</f>
        <v>JavaScript</v>
      </c>
      <c r="M1223" s="9" t="s">
        <v>25</v>
      </c>
    </row>
    <row r="1224" ht="15.75" customHeight="1">
      <c r="A1224" s="7"/>
      <c r="B1224" s="7" t="str">
        <f>IFERROR(__xludf.DUMMYFUNCTION("""COMPUTED_VALUE"""),"Bash/Shell/PowerShell;HTML/CSS;Java;JavaScript;PHP;SQL;TypeScript")</f>
        <v>Bash/Shell/PowerShell;HTML/CSS;Java;JavaScript;PHP;SQL;TypeScript</v>
      </c>
      <c r="C1224" s="9" t="str">
        <f>IFERROR(__xludf.DUMMYFUNCTION("""COMPUTED_VALUE"""),"Python")</f>
        <v>Python</v>
      </c>
      <c r="D1224" s="9" t="str">
        <f>IFERROR(__xludf.DUMMYFUNCTION("""COMPUTED_VALUE"""),"F#")</f>
        <v>F#</v>
      </c>
      <c r="E1224" s="9" t="str">
        <f>IFERROR(__xludf.DUMMYFUNCTION("""COMPUTED_VALUE"""),"Python")</f>
        <v>Python</v>
      </c>
      <c r="F1224" s="9" t="str">
        <f>IFERROR(__xludf.DUMMYFUNCTION("""COMPUTED_VALUE"""),"Bash/Shell/PowerShell")</f>
        <v>Bash/Shell/PowerShell</v>
      </c>
      <c r="G1224" s="9" t="str">
        <f>IFERROR(__xludf.DUMMYFUNCTION("""COMPUTED_VALUE"""),"TypeScript")</f>
        <v>TypeScript</v>
      </c>
      <c r="H1224" s="9" t="str">
        <f>IFERROR(__xludf.DUMMYFUNCTION("""COMPUTED_VALUE"""),"TypeScript")</f>
        <v>TypeScript</v>
      </c>
      <c r="I1224" s="9" t="str">
        <f>IFERROR(__xludf.DUMMYFUNCTION("""COMPUTED_VALUE"""),"Python")</f>
        <v>Python</v>
      </c>
      <c r="J1224" s="9" t="str">
        <f>IFERROR(__xludf.DUMMYFUNCTION("""COMPUTED_VALUE"""),"SQL")</f>
        <v>SQL</v>
      </c>
      <c r="K1224" s="9" t="str">
        <f>IFERROR(__xludf.DUMMYFUNCTION("""COMPUTED_VALUE"""),"PHP")</f>
        <v>PHP</v>
      </c>
      <c r="L1224" s="9" t="str">
        <f>IFERROR(__xludf.DUMMYFUNCTION("""COMPUTED_VALUE"""),"Python")</f>
        <v>Python</v>
      </c>
      <c r="M1224" s="9" t="s">
        <v>22</v>
      </c>
    </row>
    <row r="1225" ht="15.75" customHeight="1">
      <c r="A1225" s="7"/>
      <c r="B1225" s="7" t="str">
        <f>IFERROR(__xludf.DUMMYFUNCTION("""COMPUTED_VALUE"""),"C++;HTML/CSS;PHP;SQL")</f>
        <v>C++;HTML/CSS;PHP;SQL</v>
      </c>
      <c r="C1225" s="9" t="str">
        <f>IFERROR(__xludf.DUMMYFUNCTION("""COMPUTED_VALUE"""),"VBA")</f>
        <v>VBA</v>
      </c>
      <c r="D1225" s="9" t="str">
        <f>IFERROR(__xludf.DUMMYFUNCTION("""COMPUTED_VALUE"""),"HTML/CSS")</f>
        <v>HTML/CSS</v>
      </c>
      <c r="E1225" s="9" t="str">
        <f>IFERROR(__xludf.DUMMYFUNCTION("""COMPUTED_VALUE"""),"Rust")</f>
        <v>Rust</v>
      </c>
      <c r="F1225" s="9" t="str">
        <f>IFERROR(__xludf.DUMMYFUNCTION("""COMPUTED_VALUE"""),"C")</f>
        <v>C</v>
      </c>
      <c r="G1225" s="9" t="str">
        <f>IFERROR(__xludf.DUMMYFUNCTION("""COMPUTED_VALUE"""),"Java")</f>
        <v>Java</v>
      </c>
      <c r="H1225" s="9" t="str">
        <f>IFERROR(__xludf.DUMMYFUNCTION("""COMPUTED_VALUE"""),"C++")</f>
        <v>C++</v>
      </c>
      <c r="I1225" s="9" t="str">
        <f>IFERROR(__xludf.DUMMYFUNCTION("""COMPUTED_VALUE"""),"SQL")</f>
        <v>SQL</v>
      </c>
      <c r="J1225" s="9" t="str">
        <f>IFERROR(__xludf.DUMMYFUNCTION("""COMPUTED_VALUE"""),"TypeScript")</f>
        <v>TypeScript</v>
      </c>
      <c r="K1225" s="9" t="str">
        <f>IFERROR(__xludf.DUMMYFUNCTION("""COMPUTED_VALUE"""),"SQL")</f>
        <v>SQL</v>
      </c>
      <c r="L1225" s="9" t="str">
        <f>IFERROR(__xludf.DUMMYFUNCTION("""COMPUTED_VALUE"""),"SQL")</f>
        <v>SQL</v>
      </c>
      <c r="M1225" s="9" t="s">
        <v>28</v>
      </c>
    </row>
    <row r="1226" ht="15.75" customHeight="1">
      <c r="A1226" s="7"/>
      <c r="B1226" s="7" t="str">
        <f>IFERROR(__xludf.DUMMYFUNCTION("""COMPUTED_VALUE"""),"C#;HTML/CSS;JavaScript;TypeScript")</f>
        <v>C#;HTML/CSS;JavaScript;TypeScript</v>
      </c>
      <c r="C1226" s="9" t="str">
        <f>IFERROR(__xludf.DUMMYFUNCTION("""COMPUTED_VALUE"""),"C#")</f>
        <v>C#</v>
      </c>
      <c r="D1226" s="9" t="str">
        <f>IFERROR(__xludf.DUMMYFUNCTION("""COMPUTED_VALUE"""),"Java")</f>
        <v>Java</v>
      </c>
      <c r="E1226" s="9" t="str">
        <f>IFERROR(__xludf.DUMMYFUNCTION("""COMPUTED_VALUE"""),"SQL")</f>
        <v>SQL</v>
      </c>
      <c r="F1226" s="9" t="str">
        <f>IFERROR(__xludf.DUMMYFUNCTION("""COMPUTED_VALUE"""),"C++")</f>
        <v>C++</v>
      </c>
      <c r="G1226" s="9" t="str">
        <f>IFERROR(__xludf.DUMMYFUNCTION("""COMPUTED_VALUE"""),"JavaScript")</f>
        <v>JavaScript</v>
      </c>
      <c r="H1226" s="9" t="str">
        <f>IFERROR(__xludf.DUMMYFUNCTION("""COMPUTED_VALUE"""),"Python")</f>
        <v>Python</v>
      </c>
      <c r="I1226" s="9" t="str">
        <f>IFERROR(__xludf.DUMMYFUNCTION("""COMPUTED_VALUE"""),"C#")</f>
        <v>C#</v>
      </c>
      <c r="J1226" s="9" t="str">
        <f>IFERROR(__xludf.DUMMYFUNCTION("""COMPUTED_VALUE"""),"SQL")</f>
        <v>SQL</v>
      </c>
      <c r="K1226" s="9" t="str">
        <f>IFERROR(__xludf.DUMMYFUNCTION("""COMPUTED_VALUE"""),"TypeScript")</f>
        <v>TypeScript</v>
      </c>
      <c r="L1226" s="9" t="str">
        <f>IFERROR(__xludf.DUMMYFUNCTION("""COMPUTED_VALUE"""),"C#")</f>
        <v>C#</v>
      </c>
      <c r="M1226" s="9" t="s">
        <v>26</v>
      </c>
    </row>
    <row r="1227" ht="15.75" customHeight="1">
      <c r="A1227" s="7"/>
      <c r="B1227" s="7" t="str">
        <f>IFERROR(__xludf.DUMMYFUNCTION("""COMPUTED_VALUE"""),"C++;C#;HTML/CSS;PHP;SQL")</f>
        <v>C++;C#;HTML/CSS;PHP;SQL</v>
      </c>
      <c r="C1227" s="9" t="str">
        <f>IFERROR(__xludf.DUMMYFUNCTION("""COMPUTED_VALUE"""),"JavaScript")</f>
        <v>JavaScript</v>
      </c>
      <c r="D1227" s="9" t="str">
        <f>IFERROR(__xludf.DUMMYFUNCTION("""COMPUTED_VALUE"""),"JavaScript")</f>
        <v>JavaScript</v>
      </c>
      <c r="E1227" s="9" t="str">
        <f>IFERROR(__xludf.DUMMYFUNCTION("""COMPUTED_VALUE"""),"TypeScript")</f>
        <v>TypeScript</v>
      </c>
      <c r="F1227" s="9" t="str">
        <f>IFERROR(__xludf.DUMMYFUNCTION("""COMPUTED_VALUE"""),"Go")</f>
        <v>Go</v>
      </c>
      <c r="G1227" s="9" t="str">
        <f>IFERROR(__xludf.DUMMYFUNCTION("""COMPUTED_VALUE"""),"Scala")</f>
        <v>Scala</v>
      </c>
      <c r="H1227" s="9" t="str">
        <f>IFERROR(__xludf.DUMMYFUNCTION("""COMPUTED_VALUE"""),"HTML/CSS")</f>
        <v>HTML/CSS</v>
      </c>
      <c r="I1227" s="9" t="str">
        <f>IFERROR(__xludf.DUMMYFUNCTION("""COMPUTED_VALUE"""),"HTML/CSS")</f>
        <v>HTML/CSS</v>
      </c>
      <c r="J1227" s="9" t="str">
        <f>IFERROR(__xludf.DUMMYFUNCTION("""COMPUTED_VALUE"""),"Other(s):")</f>
        <v>Other(s):</v>
      </c>
      <c r="K1227" s="9" t="str">
        <f>IFERROR(__xludf.DUMMYFUNCTION("""COMPUTED_VALUE"""),"C++")</f>
        <v>C++</v>
      </c>
      <c r="L1227" s="9" t="str">
        <f>IFERROR(__xludf.DUMMYFUNCTION("""COMPUTED_VALUE"""),"SQL")</f>
        <v>SQL</v>
      </c>
      <c r="M1227" s="9" t="s">
        <v>21</v>
      </c>
    </row>
    <row r="1228" ht="15.75" customHeight="1">
      <c r="A1228" s="7"/>
      <c r="B1228" s="7" t="str">
        <f>IFERROR(__xludf.DUMMYFUNCTION("""COMPUTED_VALUE"""),"Bash/Shell/PowerShell;Java")</f>
        <v>Bash/Shell/PowerShell;Java</v>
      </c>
      <c r="C1228" s="9" t="str">
        <f>IFERROR(__xludf.DUMMYFUNCTION("""COMPUTED_VALUE"""),"TypeScript")</f>
        <v>TypeScript</v>
      </c>
      <c r="D1228" s="9" t="str">
        <f>IFERROR(__xludf.DUMMYFUNCTION("""COMPUTED_VALUE"""),"Kotlin")</f>
        <v>Kotlin</v>
      </c>
      <c r="E1228" s="9" t="str">
        <f>IFERROR(__xludf.DUMMYFUNCTION("""COMPUTED_VALUE"""),"Java")</f>
        <v>Java</v>
      </c>
      <c r="F1228" s="9" t="str">
        <f>IFERROR(__xludf.DUMMYFUNCTION("""COMPUTED_VALUE"""),"HTML/CSS")</f>
        <v>HTML/CSS</v>
      </c>
      <c r="G1228" s="9" t="str">
        <f>IFERROR(__xludf.DUMMYFUNCTION("""COMPUTED_VALUE"""),"SQL")</f>
        <v>SQL</v>
      </c>
      <c r="H1228" s="9" t="str">
        <f>IFERROR(__xludf.DUMMYFUNCTION("""COMPUTED_VALUE"""),"JavaScript")</f>
        <v>JavaScript</v>
      </c>
      <c r="I1228" s="9" t="str">
        <f>IFERROR(__xludf.DUMMYFUNCTION("""COMPUTED_VALUE"""),"JavaScript")</f>
        <v>JavaScript</v>
      </c>
      <c r="J1228" s="9" t="str">
        <f>IFERROR(__xludf.DUMMYFUNCTION("""COMPUTED_VALUE"""),"C")</f>
        <v>C</v>
      </c>
      <c r="K1228" s="9" t="str">
        <f>IFERROR(__xludf.DUMMYFUNCTION("""COMPUTED_VALUE"""),"Objective-C")</f>
        <v>Objective-C</v>
      </c>
      <c r="L1228" s="9" t="str">
        <f>IFERROR(__xludf.DUMMYFUNCTION("""COMPUTED_VALUE"""),"TypeScript")</f>
        <v>TypeScript</v>
      </c>
      <c r="M1228" s="9" t="s">
        <v>33</v>
      </c>
    </row>
    <row r="1229" ht="15.75" customHeight="1">
      <c r="A1229" s="7"/>
      <c r="B1229" s="7" t="str">
        <f>IFERROR(__xludf.DUMMYFUNCTION("""COMPUTED_VALUE"""),"Bash/Shell/PowerShell;C;Clojure;Go;HTML/CSS;JavaScript;Objective-C;PHP;Python;Ruby;SQL;Swift;TypeScript")</f>
        <v>Bash/Shell/PowerShell;C;Clojure;Go;HTML/CSS;JavaScript;Objective-C;PHP;Python;Ruby;SQL;Swift;TypeScript</v>
      </c>
      <c r="C1229" s="9" t="str">
        <f>IFERROR(__xludf.DUMMYFUNCTION("""COMPUTED_VALUE"""),"C#")</f>
        <v>C#</v>
      </c>
      <c r="D1229" s="9" t="str">
        <f>IFERROR(__xludf.DUMMYFUNCTION("""COMPUTED_VALUE"""),"PHP")</f>
        <v>PHP</v>
      </c>
      <c r="E1229" s="9" t="str">
        <f>IFERROR(__xludf.DUMMYFUNCTION("""COMPUTED_VALUE"""),"Python")</f>
        <v>Python</v>
      </c>
      <c r="F1229" s="9" t="str">
        <f>IFERROR(__xludf.DUMMYFUNCTION("""COMPUTED_VALUE"""),"Java")</f>
        <v>Java</v>
      </c>
      <c r="G1229" s="9" t="str">
        <f>IFERROR(__xludf.DUMMYFUNCTION("""COMPUTED_VALUE"""),"Bash/Shell/PowerShell")</f>
        <v>Bash/Shell/PowerShell</v>
      </c>
      <c r="H1229" s="9" t="str">
        <f>IFERROR(__xludf.DUMMYFUNCTION("""COMPUTED_VALUE"""),"Java")</f>
        <v>Java</v>
      </c>
      <c r="I1229" s="9" t="str">
        <f>IFERROR(__xludf.DUMMYFUNCTION("""COMPUTED_VALUE"""),"SQL")</f>
        <v>SQL</v>
      </c>
      <c r="J1229" s="9" t="str">
        <f>IFERROR(__xludf.DUMMYFUNCTION("""COMPUTED_VALUE"""),"C++")</f>
        <v>C++</v>
      </c>
      <c r="K1229" s="9" t="str">
        <f>IFERROR(__xludf.DUMMYFUNCTION("""COMPUTED_VALUE"""),"Python")</f>
        <v>Python</v>
      </c>
      <c r="L1229" s="9" t="str">
        <f>IFERROR(__xludf.DUMMYFUNCTION("""COMPUTED_VALUE"""),"Bash/Shell/PowerShell")</f>
        <v>Bash/Shell/PowerShell</v>
      </c>
      <c r="M1229" s="9" t="s">
        <v>26</v>
      </c>
    </row>
    <row r="1230" ht="15.75" customHeight="1">
      <c r="A1230" s="7"/>
      <c r="B1230" s="7" t="str">
        <f>IFERROR(__xludf.DUMMYFUNCTION("""COMPUTED_VALUE"""),"HTML/CSS;Java;JavaScript")</f>
        <v>HTML/CSS;Java;JavaScript</v>
      </c>
      <c r="C1230" s="9" t="str">
        <f>IFERROR(__xludf.DUMMYFUNCTION("""COMPUTED_VALUE"""),"HTML/CSS")</f>
        <v>HTML/CSS</v>
      </c>
      <c r="D1230" s="9" t="str">
        <f>IFERROR(__xludf.DUMMYFUNCTION("""COMPUTED_VALUE"""),"SQL")</f>
        <v>SQL</v>
      </c>
      <c r="E1230" s="9" t="str">
        <f>IFERROR(__xludf.DUMMYFUNCTION("""COMPUTED_VALUE"""),"Java")</f>
        <v>Java</v>
      </c>
      <c r="F1230" s="9" t="str">
        <f>IFERROR(__xludf.DUMMYFUNCTION("""COMPUTED_VALUE"""),"JavaScript")</f>
        <v>JavaScript</v>
      </c>
      <c r="G1230" s="9" t="str">
        <f>IFERROR(__xludf.DUMMYFUNCTION("""COMPUTED_VALUE"""),"C")</f>
        <v>C</v>
      </c>
      <c r="H1230" s="9" t="str">
        <f>IFERROR(__xludf.DUMMYFUNCTION("""COMPUTED_VALUE"""),"Objective-C")</f>
        <v>Objective-C</v>
      </c>
      <c r="I1230" s="9" t="str">
        <f>IFERROR(__xludf.DUMMYFUNCTION("""COMPUTED_VALUE"""),"C")</f>
        <v>C</v>
      </c>
      <c r="J1230" s="9" t="str">
        <f>IFERROR(__xludf.DUMMYFUNCTION("""COMPUTED_VALUE"""),"Objective-C")</f>
        <v>Objective-C</v>
      </c>
      <c r="K1230" s="9" t="str">
        <f>IFERROR(__xludf.DUMMYFUNCTION("""COMPUTED_VALUE"""),"JavaScript")</f>
        <v>JavaScript</v>
      </c>
      <c r="L1230" s="9" t="str">
        <f>IFERROR(__xludf.DUMMYFUNCTION("""COMPUTED_VALUE"""),"C")</f>
        <v>C</v>
      </c>
      <c r="M1230" s="9" t="s">
        <v>24</v>
      </c>
    </row>
    <row r="1231" ht="15.75" customHeight="1">
      <c r="A1231" s="7"/>
      <c r="B1231" s="7" t="str">
        <f>IFERROR(__xludf.DUMMYFUNCTION("""COMPUTED_VALUE"""),"Bash/Shell/PowerShell;C;C++;C#;HTML/CSS;JavaScript;PHP;SQL")</f>
        <v>Bash/Shell/PowerShell;C;C++;C#;HTML/CSS;JavaScript;PHP;SQL</v>
      </c>
      <c r="C1231" s="9" t="str">
        <f>IFERROR(__xludf.DUMMYFUNCTION("""COMPUTED_VALUE"""),"JavaScript")</f>
        <v>JavaScript</v>
      </c>
      <c r="D1231" s="9" t="str">
        <f>IFERROR(__xludf.DUMMYFUNCTION("""COMPUTED_VALUE"""),"C")</f>
        <v>C</v>
      </c>
      <c r="E1231" s="9" t="str">
        <f>IFERROR(__xludf.DUMMYFUNCTION("""COMPUTED_VALUE"""),"Kotlin")</f>
        <v>Kotlin</v>
      </c>
      <c r="F1231" s="9" t="str">
        <f>IFERROR(__xludf.DUMMYFUNCTION("""COMPUTED_VALUE"""),"Kotlin")</f>
        <v>Kotlin</v>
      </c>
      <c r="G1231" s="9" t="str">
        <f>IFERROR(__xludf.DUMMYFUNCTION("""COMPUTED_VALUE"""),"C++")</f>
        <v>C++</v>
      </c>
      <c r="H1231" s="9" t="str">
        <f>IFERROR(__xludf.DUMMYFUNCTION("""COMPUTED_VALUE"""),"Swift")</f>
        <v>Swift</v>
      </c>
      <c r="I1231" s="9" t="str">
        <f>IFERROR(__xludf.DUMMYFUNCTION("""COMPUTED_VALUE"""),"C++")</f>
        <v>C++</v>
      </c>
      <c r="J1231" s="9" t="str">
        <f>IFERROR(__xludf.DUMMYFUNCTION("""COMPUTED_VALUE"""),"HTML/CSS")</f>
        <v>HTML/CSS</v>
      </c>
      <c r="K1231" s="9" t="str">
        <f>IFERROR(__xludf.DUMMYFUNCTION("""COMPUTED_VALUE"""),"Python")</f>
        <v>Python</v>
      </c>
      <c r="L1231" s="9" t="str">
        <f>IFERROR(__xludf.DUMMYFUNCTION("""COMPUTED_VALUE"""),"C++")</f>
        <v>C++</v>
      </c>
      <c r="M1231" s="9" t="s">
        <v>21</v>
      </c>
    </row>
    <row r="1232" ht="15.75" customHeight="1">
      <c r="A1232" s="7"/>
      <c r="B1232" s="7" t="str">
        <f>IFERROR(__xludf.DUMMYFUNCTION("""COMPUTED_VALUE"""),"Java;JavaScript;PHP")</f>
        <v>Java;JavaScript;PHP</v>
      </c>
      <c r="C1232" s="9" t="str">
        <f>IFERROR(__xludf.DUMMYFUNCTION("""COMPUTED_VALUE"""),"SQL")</f>
        <v>SQL</v>
      </c>
      <c r="D1232" s="9" t="str">
        <f>IFERROR(__xludf.DUMMYFUNCTION("""COMPUTED_VALUE"""),"C++")</f>
        <v>C++</v>
      </c>
      <c r="E1232" s="9" t="str">
        <f>IFERROR(__xludf.DUMMYFUNCTION("""COMPUTED_VALUE"""),"Python")</f>
        <v>Python</v>
      </c>
      <c r="F1232" s="9" t="str">
        <f>IFERROR(__xludf.DUMMYFUNCTION("""COMPUTED_VALUE"""),"Python")</f>
        <v>Python</v>
      </c>
      <c r="G1232" s="9" t="str">
        <f>IFERROR(__xludf.DUMMYFUNCTION("""COMPUTED_VALUE"""),"C#")</f>
        <v>C#</v>
      </c>
      <c r="H1232" s="9" t="str">
        <f>IFERROR(__xludf.DUMMYFUNCTION("""COMPUTED_VALUE"""),"C#")</f>
        <v>C#</v>
      </c>
      <c r="I1232" s="9" t="str">
        <f>IFERROR(__xludf.DUMMYFUNCTION("""COMPUTED_VALUE"""),"C#")</f>
        <v>C#</v>
      </c>
      <c r="J1232" s="9" t="str">
        <f>IFERROR(__xludf.DUMMYFUNCTION("""COMPUTED_VALUE"""),"JavaScript")</f>
        <v>JavaScript</v>
      </c>
      <c r="K1232" s="9" t="str">
        <f>IFERROR(__xludf.DUMMYFUNCTION("""COMPUTED_VALUE"""),"R")</f>
        <v>R</v>
      </c>
      <c r="L1232" s="9" t="str">
        <f>IFERROR(__xludf.DUMMYFUNCTION("""COMPUTED_VALUE"""),"Go")</f>
        <v>Go</v>
      </c>
      <c r="M1232" s="9" t="s">
        <v>27</v>
      </c>
    </row>
    <row r="1233" ht="15.75" customHeight="1">
      <c r="A1233" s="7"/>
      <c r="B1233" s="7" t="str">
        <f>IFERROR(__xludf.DUMMYFUNCTION("""COMPUTED_VALUE"""),"C++;C#;HTML/CSS;Java;JavaScript;PHP;SQL;TypeScript")</f>
        <v>C++;C#;HTML/CSS;Java;JavaScript;PHP;SQL;TypeScript</v>
      </c>
      <c r="C1233" s="9" t="str">
        <f>IFERROR(__xludf.DUMMYFUNCTION("""COMPUTED_VALUE"""),"TypeScript")</f>
        <v>TypeScript</v>
      </c>
      <c r="D1233" s="9" t="str">
        <f>IFERROR(__xludf.DUMMYFUNCTION("""COMPUTED_VALUE"""),"HTML/CSS")</f>
        <v>HTML/CSS</v>
      </c>
      <c r="E1233" s="9" t="str">
        <f>IFERROR(__xludf.DUMMYFUNCTION("""COMPUTED_VALUE"""),"Bash/Shell/PowerShell")</f>
        <v>Bash/Shell/PowerShell</v>
      </c>
      <c r="F1233" s="9" t="str">
        <f>IFERROR(__xludf.DUMMYFUNCTION("""COMPUTED_VALUE"""),"SQL")</f>
        <v>SQL</v>
      </c>
      <c r="G1233" s="9" t="str">
        <f>IFERROR(__xludf.DUMMYFUNCTION("""COMPUTED_VALUE"""),"HTML/CSS")</f>
        <v>HTML/CSS</v>
      </c>
      <c r="H1233" s="9" t="str">
        <f>IFERROR(__xludf.DUMMYFUNCTION("""COMPUTED_VALUE"""),"C#")</f>
        <v>C#</v>
      </c>
      <c r="I1233" s="9" t="str">
        <f>IFERROR(__xludf.DUMMYFUNCTION("""COMPUTED_VALUE"""),"Java")</f>
        <v>Java</v>
      </c>
      <c r="J1233" s="9" t="str">
        <f>IFERROR(__xludf.DUMMYFUNCTION("""COMPUTED_VALUE"""),"PHP")</f>
        <v>PHP</v>
      </c>
      <c r="K1233" s="9" t="str">
        <f>IFERROR(__xludf.DUMMYFUNCTION("""COMPUTED_VALUE"""),"SQL")</f>
        <v>SQL</v>
      </c>
      <c r="L1233" s="9" t="str">
        <f>IFERROR(__xludf.DUMMYFUNCTION("""COMPUTED_VALUE"""),"HTML/CSS")</f>
        <v>HTML/CSS</v>
      </c>
      <c r="M1233" s="9" t="s">
        <v>33</v>
      </c>
    </row>
    <row r="1234" ht="15.75" customHeight="1">
      <c r="A1234" s="7"/>
      <c r="B1234" s="7" t="str">
        <f>IFERROR(__xludf.DUMMYFUNCTION("""COMPUTED_VALUE"""),"C#;Java")</f>
        <v>C#;Java</v>
      </c>
      <c r="C1234" s="9" t="str">
        <f>IFERROR(__xludf.DUMMYFUNCTION("""COMPUTED_VALUE"""),"C++")</f>
        <v>C++</v>
      </c>
      <c r="D1234" s="9" t="str">
        <f>IFERROR(__xludf.DUMMYFUNCTION("""COMPUTED_VALUE"""),"Java")</f>
        <v>Java</v>
      </c>
      <c r="E1234" s="9" t="str">
        <f>IFERROR(__xludf.DUMMYFUNCTION("""COMPUTED_VALUE"""),"HTML/CSS")</f>
        <v>HTML/CSS</v>
      </c>
      <c r="F1234" s="9" t="str">
        <f>IFERROR(__xludf.DUMMYFUNCTION("""COMPUTED_VALUE"""),"Swift")</f>
        <v>Swift</v>
      </c>
      <c r="G1234" s="9" t="str">
        <f>IFERROR(__xludf.DUMMYFUNCTION("""COMPUTED_VALUE"""),"SQL")</f>
        <v>SQL</v>
      </c>
      <c r="H1234" s="9" t="str">
        <f>IFERROR(__xludf.DUMMYFUNCTION("""COMPUTED_VALUE"""),"F#")</f>
        <v>F#</v>
      </c>
      <c r="I1234" s="9" t="str">
        <f>IFERROR(__xludf.DUMMYFUNCTION("""COMPUTED_VALUE"""),"PHP")</f>
        <v>PHP</v>
      </c>
      <c r="J1234" s="9" t="str">
        <f>IFERROR(__xludf.DUMMYFUNCTION("""COMPUTED_VALUE"""),"SQL")</f>
        <v>SQL</v>
      </c>
      <c r="K1234" s="9" t="str">
        <f>IFERROR(__xludf.DUMMYFUNCTION("""COMPUTED_VALUE"""),"Bash/Shell/PowerShell")</f>
        <v>Bash/Shell/PowerShell</v>
      </c>
      <c r="L1234" s="9" t="str">
        <f>IFERROR(__xludf.DUMMYFUNCTION("""COMPUTED_VALUE"""),"JavaScript")</f>
        <v>JavaScript</v>
      </c>
      <c r="M1234" s="9" t="s">
        <v>23</v>
      </c>
    </row>
    <row r="1235" ht="15.75" customHeight="1">
      <c r="A1235" s="7"/>
      <c r="B1235" s="7" t="str">
        <f>IFERROR(__xludf.DUMMYFUNCTION("""COMPUTED_VALUE"""),"HTML/CSS;Java;JavaScript")</f>
        <v>HTML/CSS;Java;JavaScript</v>
      </c>
      <c r="C1235" s="9" t="str">
        <f>IFERROR(__xludf.DUMMYFUNCTION("""COMPUTED_VALUE"""),"C#")</f>
        <v>C#</v>
      </c>
      <c r="D1235" s="9" t="str">
        <f>IFERROR(__xludf.DUMMYFUNCTION("""COMPUTED_VALUE"""),"Python")</f>
        <v>Python</v>
      </c>
      <c r="E1235" s="9" t="str">
        <f>IFERROR(__xludf.DUMMYFUNCTION("""COMPUTED_VALUE"""),"JavaScript")</f>
        <v>JavaScript</v>
      </c>
      <c r="F1235" s="9" t="str">
        <f>IFERROR(__xludf.DUMMYFUNCTION("""COMPUTED_VALUE"""),"TypeScript")</f>
        <v>TypeScript</v>
      </c>
      <c r="G1235" s="9" t="str">
        <f>IFERROR(__xludf.DUMMYFUNCTION("""COMPUTED_VALUE"""),"WebAssembly")</f>
        <v>WebAssembly</v>
      </c>
      <c r="H1235" s="9" t="str">
        <f>IFERROR(__xludf.DUMMYFUNCTION("""COMPUTED_VALUE"""),"HTML/CSS")</f>
        <v>HTML/CSS</v>
      </c>
      <c r="I1235" s="9" t="str">
        <f>IFERROR(__xludf.DUMMYFUNCTION("""COMPUTED_VALUE"""),"C++")</f>
        <v>C++</v>
      </c>
      <c r="J1235" s="9" t="str">
        <f>IFERROR(__xludf.DUMMYFUNCTION("""COMPUTED_VALUE"""),"Assembly")</f>
        <v>Assembly</v>
      </c>
      <c r="K1235" s="9" t="str">
        <f>IFERROR(__xludf.DUMMYFUNCTION("""COMPUTED_VALUE"""),"HTML/CSS")</f>
        <v>HTML/CSS</v>
      </c>
      <c r="L1235" s="9" t="str">
        <f>IFERROR(__xludf.DUMMYFUNCTION("""COMPUTED_VALUE"""),"PHP")</f>
        <v>PHP</v>
      </c>
      <c r="M1235" s="9" t="s">
        <v>26</v>
      </c>
    </row>
    <row r="1236" ht="15.75" customHeight="1">
      <c r="A1236" s="7"/>
      <c r="B1236" s="7" t="str">
        <f>IFERROR(__xludf.DUMMYFUNCTION("""COMPUTED_VALUE"""),"Bash/Shell/PowerShell;HTML/CSS;Java;JavaScript;Python;TypeScript")</f>
        <v>Bash/Shell/PowerShell;HTML/CSS;Java;JavaScript;Python;TypeScript</v>
      </c>
      <c r="C1236" s="9" t="str">
        <f>IFERROR(__xludf.DUMMYFUNCTION("""COMPUTED_VALUE"""),"HTML/CSS")</f>
        <v>HTML/CSS</v>
      </c>
      <c r="D1236" s="9" t="str">
        <f>IFERROR(__xludf.DUMMYFUNCTION("""COMPUTED_VALUE"""),"HTML/CSS")</f>
        <v>HTML/CSS</v>
      </c>
      <c r="E1236" s="9" t="str">
        <f>IFERROR(__xludf.DUMMYFUNCTION("""COMPUTED_VALUE"""),"Python")</f>
        <v>Python</v>
      </c>
      <c r="F1236" s="9" t="str">
        <f>IFERROR(__xludf.DUMMYFUNCTION("""COMPUTED_VALUE"""),"WebAssembly")</f>
        <v>WebAssembly</v>
      </c>
      <c r="G1236" s="9" t="str">
        <f>IFERROR(__xludf.DUMMYFUNCTION("""COMPUTED_VALUE"""),"HTML/CSS")</f>
        <v>HTML/CSS</v>
      </c>
      <c r="H1236" s="9" t="str">
        <f>IFERROR(__xludf.DUMMYFUNCTION("""COMPUTED_VALUE"""),"JavaScript")</f>
        <v>JavaScript</v>
      </c>
      <c r="I1236" s="9" t="str">
        <f>IFERROR(__xludf.DUMMYFUNCTION("""COMPUTED_VALUE"""),"HTML/CSS")</f>
        <v>HTML/CSS</v>
      </c>
      <c r="J1236" s="9" t="str">
        <f>IFERROR(__xludf.DUMMYFUNCTION("""COMPUTED_VALUE"""),"C")</f>
        <v>C</v>
      </c>
      <c r="K1236" s="9" t="str">
        <f>IFERROR(__xludf.DUMMYFUNCTION("""COMPUTED_VALUE"""),"JavaScript")</f>
        <v>JavaScript</v>
      </c>
      <c r="L1236" s="9" t="str">
        <f>IFERROR(__xludf.DUMMYFUNCTION("""COMPUTED_VALUE"""),"Rust")</f>
        <v>Rust</v>
      </c>
      <c r="M1236" s="9" t="s">
        <v>24</v>
      </c>
    </row>
    <row r="1237" ht="15.75" customHeight="1">
      <c r="A1237" s="7"/>
      <c r="B1237" s="7" t="str">
        <f>IFERROR(__xludf.DUMMYFUNCTION("""COMPUTED_VALUE"""),"Assembly;Bash/Shell/PowerShell;C;C++;C#;HTML/CSS;Java;JavaScript;Kotlin;Objective-C;PHP;Python;Ruby;SQL;Swift;VBA;Other(s):")</f>
        <v>Assembly;Bash/Shell/PowerShell;C;C++;C#;HTML/CSS;Java;JavaScript;Kotlin;Objective-C;PHP;Python;Ruby;SQL;Swift;VBA;Other(s):</v>
      </c>
      <c r="C1237" s="9" t="str">
        <f>IFERROR(__xludf.DUMMYFUNCTION("""COMPUTED_VALUE"""),"Java")</f>
        <v>Java</v>
      </c>
      <c r="D1237" s="9" t="str">
        <f>IFERROR(__xludf.DUMMYFUNCTION("""COMPUTED_VALUE"""),"JavaScript")</f>
        <v>JavaScript</v>
      </c>
      <c r="E1237" s="9" t="str">
        <f>IFERROR(__xludf.DUMMYFUNCTION("""COMPUTED_VALUE"""),"Ruby")</f>
        <v>Ruby</v>
      </c>
      <c r="F1237" s="9" t="str">
        <f>IFERROR(__xludf.DUMMYFUNCTION("""COMPUTED_VALUE"""),"Other(s):")</f>
        <v>Other(s):</v>
      </c>
      <c r="G1237" s="9" t="str">
        <f>IFERROR(__xludf.DUMMYFUNCTION("""COMPUTED_VALUE"""),"JavaScript")</f>
        <v>JavaScript</v>
      </c>
      <c r="H1237" s="9" t="str">
        <f>IFERROR(__xludf.DUMMYFUNCTION("""COMPUTED_VALUE"""),"PHP")</f>
        <v>PHP</v>
      </c>
      <c r="I1237" s="9" t="str">
        <f>IFERROR(__xludf.DUMMYFUNCTION("""COMPUTED_VALUE"""),"Python")</f>
        <v>Python</v>
      </c>
      <c r="J1237" s="9" t="str">
        <f>IFERROR(__xludf.DUMMYFUNCTION("""COMPUTED_VALUE"""),"Clojure")</f>
        <v>Clojure</v>
      </c>
      <c r="K1237" s="9" t="str">
        <f>IFERROR(__xludf.DUMMYFUNCTION("""COMPUTED_VALUE"""),"Bash/Shell/PowerShell")</f>
        <v>Bash/Shell/PowerShell</v>
      </c>
      <c r="L1237" s="9" t="str">
        <f>IFERROR(__xludf.DUMMYFUNCTION("""COMPUTED_VALUE"""),"SQL")</f>
        <v>SQL</v>
      </c>
      <c r="M1237" s="9" t="s">
        <v>20</v>
      </c>
    </row>
    <row r="1238" ht="15.75" customHeight="1">
      <c r="A1238" s="7"/>
      <c r="B1238" s="7" t="str">
        <f>IFERROR(__xludf.DUMMYFUNCTION("""COMPUTED_VALUE"""),"Go;HTML/CSS;JavaScript;Ruby;SQL")</f>
        <v>Go;HTML/CSS;JavaScript;Ruby;SQL</v>
      </c>
      <c r="C1238" s="9" t="str">
        <f>IFERROR(__xludf.DUMMYFUNCTION("""COMPUTED_VALUE"""),"JavaScript")</f>
        <v>JavaScript</v>
      </c>
      <c r="D1238" s="9" t="str">
        <f>IFERROR(__xludf.DUMMYFUNCTION("""COMPUTED_VALUE"""),"PHP")</f>
        <v>PHP</v>
      </c>
      <c r="E1238" s="9" t="str">
        <f>IFERROR(__xludf.DUMMYFUNCTION("""COMPUTED_VALUE"""),"SQL")</f>
        <v>SQL</v>
      </c>
      <c r="F1238" s="9" t="str">
        <f>IFERROR(__xludf.DUMMYFUNCTION("""COMPUTED_VALUE"""),"C#")</f>
        <v>C#</v>
      </c>
      <c r="G1238" s="9" t="str">
        <f>IFERROR(__xludf.DUMMYFUNCTION("""COMPUTED_VALUE"""),"PHP")</f>
        <v>PHP</v>
      </c>
      <c r="H1238" s="9" t="str">
        <f>IFERROR(__xludf.DUMMYFUNCTION("""COMPUTED_VALUE"""),"Python")</f>
        <v>Python</v>
      </c>
      <c r="I1238" s="9" t="str">
        <f>IFERROR(__xludf.DUMMYFUNCTION("""COMPUTED_VALUE"""),"SQL")</f>
        <v>SQL</v>
      </c>
      <c r="J1238" s="9" t="str">
        <f>IFERROR(__xludf.DUMMYFUNCTION("""COMPUTED_VALUE"""),"Erlang")</f>
        <v>Erlang</v>
      </c>
      <c r="K1238" s="9" t="str">
        <f>IFERROR(__xludf.DUMMYFUNCTION("""COMPUTED_VALUE"""),"C++")</f>
        <v>C++</v>
      </c>
      <c r="L1238" s="9" t="str">
        <f>IFERROR(__xludf.DUMMYFUNCTION("""COMPUTED_VALUE"""),"TypeScript")</f>
        <v>TypeScript</v>
      </c>
      <c r="M1238" s="9" t="s">
        <v>21</v>
      </c>
    </row>
    <row r="1239" ht="15.75" customHeight="1">
      <c r="A1239" s="7"/>
      <c r="B1239" s="7" t="str">
        <f>IFERROR(__xludf.DUMMYFUNCTION("""COMPUTED_VALUE"""),"Bash/Shell/PowerShell;HTML/CSS;JavaScript;PHP;SQL")</f>
        <v>Bash/Shell/PowerShell;HTML/CSS;JavaScript;PHP;SQL</v>
      </c>
      <c r="C1239" s="9" t="str">
        <f>IFERROR(__xludf.DUMMYFUNCTION("""COMPUTED_VALUE"""),"Python")</f>
        <v>Python</v>
      </c>
      <c r="D1239" s="9" t="str">
        <f>IFERROR(__xludf.DUMMYFUNCTION("""COMPUTED_VALUE"""),"SQL")</f>
        <v>SQL</v>
      </c>
      <c r="E1239" s="9" t="str">
        <f>IFERROR(__xludf.DUMMYFUNCTION("""COMPUTED_VALUE"""),"Bash/Shell/PowerShell")</f>
        <v>Bash/Shell/PowerShell</v>
      </c>
      <c r="F1239" s="9" t="str">
        <f>IFERROR(__xludf.DUMMYFUNCTION("""COMPUTED_VALUE"""),"SQL")</f>
        <v>SQL</v>
      </c>
      <c r="G1239" s="9" t="str">
        <f>IFERROR(__xludf.DUMMYFUNCTION("""COMPUTED_VALUE"""),"SQL")</f>
        <v>SQL</v>
      </c>
      <c r="H1239" s="9" t="str">
        <f>IFERROR(__xludf.DUMMYFUNCTION("""COMPUTED_VALUE"""),"R")</f>
        <v>R</v>
      </c>
      <c r="I1239" s="9" t="str">
        <f>IFERROR(__xludf.DUMMYFUNCTION("""COMPUTED_VALUE"""),"Bash/Shell/PowerShell")</f>
        <v>Bash/Shell/PowerShell</v>
      </c>
      <c r="J1239" s="9" t="str">
        <f>IFERROR(__xludf.DUMMYFUNCTION("""COMPUTED_VALUE"""),"Java")</f>
        <v>Java</v>
      </c>
      <c r="K1239" s="9" t="str">
        <f>IFERROR(__xludf.DUMMYFUNCTION("""COMPUTED_VALUE"""),"C#")</f>
        <v>C#</v>
      </c>
      <c r="L1239" s="9" t="str">
        <f>IFERROR(__xludf.DUMMYFUNCTION("""COMPUTED_VALUE"""),"Java")</f>
        <v>Java</v>
      </c>
      <c r="M1239" s="9" t="s">
        <v>22</v>
      </c>
    </row>
    <row r="1240" ht="15.75" customHeight="1">
      <c r="A1240" s="7"/>
      <c r="B1240" s="7" t="str">
        <f>IFERROR(__xludf.DUMMYFUNCTION("""COMPUTED_VALUE"""),"C;C++;HTML/CSS;Python")</f>
        <v>C;C++;HTML/CSS;Python</v>
      </c>
      <c r="C1240" s="9" t="str">
        <f>IFERROR(__xludf.DUMMYFUNCTION("""COMPUTED_VALUE"""),"SQL")</f>
        <v>SQL</v>
      </c>
      <c r="D1240" s="9" t="str">
        <f>IFERROR(__xludf.DUMMYFUNCTION("""COMPUTED_VALUE"""),"C#")</f>
        <v>C#</v>
      </c>
      <c r="E1240" s="9" t="str">
        <f>IFERROR(__xludf.DUMMYFUNCTION("""COMPUTED_VALUE"""),"Go")</f>
        <v>Go</v>
      </c>
      <c r="F1240" s="9" t="str">
        <f>IFERROR(__xludf.DUMMYFUNCTION("""COMPUTED_VALUE"""),"VBA")</f>
        <v>VBA</v>
      </c>
      <c r="G1240" s="9" t="str">
        <f>IFERROR(__xludf.DUMMYFUNCTION("""COMPUTED_VALUE"""),"Python")</f>
        <v>Python</v>
      </c>
      <c r="H1240" s="9" t="str">
        <f>IFERROR(__xludf.DUMMYFUNCTION("""COMPUTED_VALUE"""),"SQL")</f>
        <v>SQL</v>
      </c>
      <c r="I1240" s="9" t="str">
        <f>IFERROR(__xludf.DUMMYFUNCTION("""COMPUTED_VALUE"""),"HTML/CSS")</f>
        <v>HTML/CSS</v>
      </c>
      <c r="J1240" s="9" t="str">
        <f>IFERROR(__xludf.DUMMYFUNCTION("""COMPUTED_VALUE"""),"R")</f>
        <v>R</v>
      </c>
      <c r="K1240" s="9" t="str">
        <f>IFERROR(__xludf.DUMMYFUNCTION("""COMPUTED_VALUE"""),"HTML/CSS")</f>
        <v>HTML/CSS</v>
      </c>
      <c r="L1240" s="9" t="str">
        <f>IFERROR(__xludf.DUMMYFUNCTION("""COMPUTED_VALUE"""),"JavaScript")</f>
        <v>JavaScript</v>
      </c>
      <c r="M1240" s="9" t="s">
        <v>27</v>
      </c>
    </row>
    <row r="1241" ht="15.75" customHeight="1">
      <c r="A1241" s="7"/>
      <c r="B1241" s="7" t="str">
        <f>IFERROR(__xludf.DUMMYFUNCTION("""COMPUTED_VALUE"""),"C#;HTML/CSS;Java;JavaScript;SQL;TypeScript")</f>
        <v>C#;HTML/CSS;Java;JavaScript;SQL;TypeScript</v>
      </c>
      <c r="C1241" s="9" t="str">
        <f>IFERROR(__xludf.DUMMYFUNCTION("""COMPUTED_VALUE"""),"Bash/Shell/PowerShell")</f>
        <v>Bash/Shell/PowerShell</v>
      </c>
      <c r="D1241" s="9" t="str">
        <f>IFERROR(__xludf.DUMMYFUNCTION("""COMPUTED_VALUE"""),"HTML/CSS")</f>
        <v>HTML/CSS</v>
      </c>
      <c r="E1241" s="9" t="str">
        <f>IFERROR(__xludf.DUMMYFUNCTION("""COMPUTED_VALUE"""),"HTML/CSS")</f>
        <v>HTML/CSS</v>
      </c>
      <c r="F1241" s="9" t="str">
        <f>IFERROR(__xludf.DUMMYFUNCTION("""COMPUTED_VALUE"""),"Assembly")</f>
        <v>Assembly</v>
      </c>
      <c r="G1241" s="9" t="str">
        <f>IFERROR(__xludf.DUMMYFUNCTION("""COMPUTED_VALUE"""),"Bash/Shell/PowerShell")</f>
        <v>Bash/Shell/PowerShell</v>
      </c>
      <c r="H1241" s="9" t="str">
        <f>IFERROR(__xludf.DUMMYFUNCTION("""COMPUTED_VALUE"""),"Bash/Shell/PowerShell")</f>
        <v>Bash/Shell/PowerShell</v>
      </c>
      <c r="I1241" s="9" t="str">
        <f>IFERROR(__xludf.DUMMYFUNCTION("""COMPUTED_VALUE"""),"JavaScript")</f>
        <v>JavaScript</v>
      </c>
      <c r="J1241" s="9" t="str">
        <f>IFERROR(__xludf.DUMMYFUNCTION("""COMPUTED_VALUE"""),"Ruby")</f>
        <v>Ruby</v>
      </c>
      <c r="K1241" s="9" t="str">
        <f>IFERROR(__xludf.DUMMYFUNCTION("""COMPUTED_VALUE"""),"JavaScript")</f>
        <v>JavaScript</v>
      </c>
      <c r="L1241" s="9" t="str">
        <f>IFERROR(__xludf.DUMMYFUNCTION("""COMPUTED_VALUE"""),"Python")</f>
        <v>Python</v>
      </c>
      <c r="M1241" s="9" t="s">
        <v>30</v>
      </c>
    </row>
    <row r="1242" ht="15.75" customHeight="1">
      <c r="A1242" s="7"/>
      <c r="B1242" s="7" t="str">
        <f>IFERROR(__xludf.DUMMYFUNCTION("""COMPUTED_VALUE"""),"Bash/Shell/PowerShell;Elixir;Erlang;HTML/CSS;Java;JavaScript;Kotlin;Objective-C;Python;Ruby;Scala;SQL;Swift;TypeScript;Other(s):")</f>
        <v>Bash/Shell/PowerShell;Elixir;Erlang;HTML/CSS;Java;JavaScript;Kotlin;Objective-C;Python;Ruby;Scala;SQL;Swift;TypeScript;Other(s):</v>
      </c>
      <c r="C1242" s="9" t="str">
        <f>IFERROR(__xludf.DUMMYFUNCTION("""COMPUTED_VALUE"""),"C#")</f>
        <v>C#</v>
      </c>
      <c r="D1242" s="9" t="str">
        <f>IFERROR(__xludf.DUMMYFUNCTION("""COMPUTED_VALUE"""),"JavaScript")</f>
        <v>JavaScript</v>
      </c>
      <c r="E1242" s="9" t="str">
        <f>IFERROR(__xludf.DUMMYFUNCTION("""COMPUTED_VALUE"""),"Java")</f>
        <v>Java</v>
      </c>
      <c r="F1242" s="9" t="str">
        <f>IFERROR(__xludf.DUMMYFUNCTION("""COMPUTED_VALUE"""),"C")</f>
        <v>C</v>
      </c>
      <c r="G1242" s="9" t="str">
        <f>IFERROR(__xludf.DUMMYFUNCTION("""COMPUTED_VALUE"""),"C")</f>
        <v>C</v>
      </c>
      <c r="H1242" s="9" t="str">
        <f>IFERROR(__xludf.DUMMYFUNCTION("""COMPUTED_VALUE"""),"Java")</f>
        <v>Java</v>
      </c>
      <c r="I1242" s="9" t="str">
        <f>IFERROR(__xludf.DUMMYFUNCTION("""COMPUTED_VALUE"""),"PHP")</f>
        <v>PHP</v>
      </c>
      <c r="J1242" s="9" t="str">
        <f>IFERROR(__xludf.DUMMYFUNCTION("""COMPUTED_VALUE"""),"Rust")</f>
        <v>Rust</v>
      </c>
      <c r="K1242" s="9" t="str">
        <f>IFERROR(__xludf.DUMMYFUNCTION("""COMPUTED_VALUE"""),"PHP")</f>
        <v>PHP</v>
      </c>
      <c r="L1242" s="9" t="str">
        <f>IFERROR(__xludf.DUMMYFUNCTION("""COMPUTED_VALUE"""),"JavaScript")</f>
        <v>JavaScript</v>
      </c>
      <c r="M1242" s="9" t="s">
        <v>26</v>
      </c>
    </row>
    <row r="1243" ht="15.75" customHeight="1">
      <c r="A1243" s="7"/>
      <c r="B1243" s="7" t="str">
        <f>IFERROR(__xludf.DUMMYFUNCTION("""COMPUTED_VALUE"""),"Bash/Shell/PowerShell;C#;HTML/CSS;JavaScript;TypeScript")</f>
        <v>Bash/Shell/PowerShell;C#;HTML/CSS;JavaScript;TypeScript</v>
      </c>
      <c r="C1243" s="9" t="str">
        <f>IFERROR(__xludf.DUMMYFUNCTION("""COMPUTED_VALUE"""),"HTML/CSS")</f>
        <v>HTML/CSS</v>
      </c>
      <c r="D1243" s="9" t="str">
        <f>IFERROR(__xludf.DUMMYFUNCTION("""COMPUTED_VALUE"""),"SQL")</f>
        <v>SQL</v>
      </c>
      <c r="E1243" s="9" t="str">
        <f>IFERROR(__xludf.DUMMYFUNCTION("""COMPUTED_VALUE"""),"JavaScript")</f>
        <v>JavaScript</v>
      </c>
      <c r="F1243" s="9" t="str">
        <f>IFERROR(__xludf.DUMMYFUNCTION("""COMPUTED_VALUE"""),"C++")</f>
        <v>C++</v>
      </c>
      <c r="G1243" s="9" t="str">
        <f>IFERROR(__xludf.DUMMYFUNCTION("""COMPUTED_VALUE"""),"C++")</f>
        <v>C++</v>
      </c>
      <c r="H1243" s="9" t="str">
        <f>IFERROR(__xludf.DUMMYFUNCTION("""COMPUTED_VALUE"""),"JavaScript")</f>
        <v>JavaScript</v>
      </c>
      <c r="I1243" s="9" t="str">
        <f>IFERROR(__xludf.DUMMYFUNCTION("""COMPUTED_VALUE"""),"Python")</f>
        <v>Python</v>
      </c>
      <c r="J1243" s="9" t="str">
        <f>IFERROR(__xludf.DUMMYFUNCTION("""COMPUTED_VALUE"""),"WebAssembly")</f>
        <v>WebAssembly</v>
      </c>
      <c r="K1243" s="9" t="str">
        <f>IFERROR(__xludf.DUMMYFUNCTION("""COMPUTED_VALUE"""),"Python")</f>
        <v>Python</v>
      </c>
      <c r="L1243" s="9" t="str">
        <f>IFERROR(__xludf.DUMMYFUNCTION("""COMPUTED_VALUE"""),"Objective-C")</f>
        <v>Objective-C</v>
      </c>
      <c r="M1243" s="9" t="s">
        <v>24</v>
      </c>
    </row>
    <row r="1244" ht="15.75" customHeight="1">
      <c r="A1244" s="7"/>
      <c r="B1244" s="7" t="str">
        <f>IFERROR(__xludf.DUMMYFUNCTION("""COMPUTED_VALUE"""),"C#;Swift")</f>
        <v>C#;Swift</v>
      </c>
      <c r="C1244" s="9" t="str">
        <f>IFERROR(__xludf.DUMMYFUNCTION("""COMPUTED_VALUE"""),"Java")</f>
        <v>Java</v>
      </c>
      <c r="D1244" s="9" t="str">
        <f>IFERROR(__xludf.DUMMYFUNCTION("""COMPUTED_VALUE"""),"TypeScript")</f>
        <v>TypeScript</v>
      </c>
      <c r="E1244" s="9" t="str">
        <f>IFERROR(__xludf.DUMMYFUNCTION("""COMPUTED_VALUE"""),"PHP")</f>
        <v>PHP</v>
      </c>
      <c r="F1244" s="9" t="str">
        <f>IFERROR(__xludf.DUMMYFUNCTION("""COMPUTED_VALUE"""),"HTML/CSS")</f>
        <v>HTML/CSS</v>
      </c>
      <c r="G1244" s="9" t="str">
        <f>IFERROR(__xludf.DUMMYFUNCTION("""COMPUTED_VALUE"""),"C#")</f>
        <v>C#</v>
      </c>
      <c r="H1244" s="9" t="str">
        <f>IFERROR(__xludf.DUMMYFUNCTION("""COMPUTED_VALUE"""),"TypeScript")</f>
        <v>TypeScript</v>
      </c>
      <c r="I1244" s="9" t="str">
        <f>IFERROR(__xludf.DUMMYFUNCTION("""COMPUTED_VALUE"""),"SQL")</f>
        <v>SQL</v>
      </c>
      <c r="J1244" s="9" t="str">
        <f>IFERROR(__xludf.DUMMYFUNCTION("""COMPUTED_VALUE"""),"Other(s):")</f>
        <v>Other(s):</v>
      </c>
      <c r="K1244" s="9" t="str">
        <f>IFERROR(__xludf.DUMMYFUNCTION("""COMPUTED_VALUE"""),"SQL")</f>
        <v>SQL</v>
      </c>
      <c r="L1244" s="9" t="str">
        <f>IFERROR(__xludf.DUMMYFUNCTION("""COMPUTED_VALUE"""),"Swift")</f>
        <v>Swift</v>
      </c>
      <c r="M1244" s="9" t="s">
        <v>20</v>
      </c>
    </row>
    <row r="1245" ht="15.75" customHeight="1">
      <c r="A1245" s="7"/>
      <c r="B1245" s="7" t="str">
        <f>IFERROR(__xludf.DUMMYFUNCTION("""COMPUTED_VALUE"""),"C;C++;Java;R")</f>
        <v>C;C++;Java;R</v>
      </c>
      <c r="C1245" s="9" t="str">
        <f>IFERROR(__xludf.DUMMYFUNCTION("""COMPUTED_VALUE"""),"Python")</f>
        <v>Python</v>
      </c>
      <c r="D1245" s="9" t="str">
        <f>IFERROR(__xludf.DUMMYFUNCTION("""COMPUTED_VALUE"""),"C++")</f>
        <v>C++</v>
      </c>
      <c r="E1245" s="9" t="str">
        <f>IFERROR(__xludf.DUMMYFUNCTION("""COMPUTED_VALUE"""),"Python")</f>
        <v>Python</v>
      </c>
      <c r="F1245" s="9" t="str">
        <f>IFERROR(__xludf.DUMMYFUNCTION("""COMPUTED_VALUE"""),"Java")</f>
        <v>Java</v>
      </c>
      <c r="G1245" s="9" t="str">
        <f>IFERROR(__xludf.DUMMYFUNCTION("""COMPUTED_VALUE"""),"HTML/CSS")</f>
        <v>HTML/CSS</v>
      </c>
      <c r="H1245" s="9" t="str">
        <f>IFERROR(__xludf.DUMMYFUNCTION("""COMPUTED_VALUE"""),"C#")</f>
        <v>C#</v>
      </c>
      <c r="I1245" s="9" t="str">
        <f>IFERROR(__xludf.DUMMYFUNCTION("""COMPUTED_VALUE"""),"TypeScript")</f>
        <v>TypeScript</v>
      </c>
      <c r="J1245" s="9" t="str">
        <f>IFERROR(__xludf.DUMMYFUNCTION("""COMPUTED_VALUE"""),"C++")</f>
        <v>C++</v>
      </c>
      <c r="K1245" s="9" t="str">
        <f>IFERROR(__xludf.DUMMYFUNCTION("""COMPUTED_VALUE"""),"Other(s):")</f>
        <v>Other(s):</v>
      </c>
      <c r="L1245" s="9" t="str">
        <f>IFERROR(__xludf.DUMMYFUNCTION("""COMPUTED_VALUE"""),"HTML/CSS")</f>
        <v>HTML/CSS</v>
      </c>
      <c r="M1245" s="9" t="s">
        <v>22</v>
      </c>
    </row>
    <row r="1246" ht="15.75" customHeight="1">
      <c r="A1246" s="7"/>
      <c r="B1246" s="7" t="str">
        <f>IFERROR(__xludf.DUMMYFUNCTION("""COMPUTED_VALUE"""),"Bash/Shell/PowerShell;C;C++")</f>
        <v>Bash/Shell/PowerShell;C;C++</v>
      </c>
      <c r="C1246" s="9" t="str">
        <f>IFERROR(__xludf.DUMMYFUNCTION("""COMPUTED_VALUE"""),"SQL")</f>
        <v>SQL</v>
      </c>
      <c r="D1246" s="9" t="str">
        <f>IFERROR(__xludf.DUMMYFUNCTION("""COMPUTED_VALUE"""),"Other(s):")</f>
        <v>Other(s):</v>
      </c>
      <c r="E1246" s="9" t="str">
        <f>IFERROR(__xludf.DUMMYFUNCTION("""COMPUTED_VALUE"""),"SQL")</f>
        <v>SQL</v>
      </c>
      <c r="F1246" s="9" t="str">
        <f>IFERROR(__xludf.DUMMYFUNCTION("""COMPUTED_VALUE"""),"JavaScript")</f>
        <v>JavaScript</v>
      </c>
      <c r="G1246" s="9" t="str">
        <f>IFERROR(__xludf.DUMMYFUNCTION("""COMPUTED_VALUE"""),"JavaScript")</f>
        <v>JavaScript</v>
      </c>
      <c r="H1246" s="9" t="str">
        <f>IFERROR(__xludf.DUMMYFUNCTION("""COMPUTED_VALUE"""),"HTML/CSS")</f>
        <v>HTML/CSS</v>
      </c>
      <c r="I1246" s="9" t="str">
        <f>IFERROR(__xludf.DUMMYFUNCTION("""COMPUTED_VALUE"""),"C++")</f>
        <v>C++</v>
      </c>
      <c r="J1246" s="9" t="str">
        <f>IFERROR(__xludf.DUMMYFUNCTION("""COMPUTED_VALUE"""),"C#")</f>
        <v>C#</v>
      </c>
      <c r="K1246" s="9" t="str">
        <f>IFERROR(__xludf.DUMMYFUNCTION("""COMPUTED_VALUE"""),"HTML/CSS")</f>
        <v>HTML/CSS</v>
      </c>
      <c r="L1246" s="9" t="str">
        <f>IFERROR(__xludf.DUMMYFUNCTION("""COMPUTED_VALUE"""),"JavaScript")</f>
        <v>JavaScript</v>
      </c>
      <c r="M1246" s="9" t="s">
        <v>27</v>
      </c>
    </row>
    <row r="1247" ht="15.75" customHeight="1">
      <c r="A1247" s="7"/>
      <c r="B1247" s="7" t="str">
        <f>IFERROR(__xludf.DUMMYFUNCTION("""COMPUTED_VALUE"""),"C;C++;C#;F#;HTML/CSS;Java;JavaScript;Kotlin;PHP;SQL")</f>
        <v>C;C++;C#;F#;HTML/CSS;Java;JavaScript;Kotlin;PHP;SQL</v>
      </c>
      <c r="C1247" s="9" t="str">
        <f>IFERROR(__xludf.DUMMYFUNCTION("""COMPUTED_VALUE"""),"Python")</f>
        <v>Python</v>
      </c>
      <c r="D1247" s="9" t="str">
        <f>IFERROR(__xludf.DUMMYFUNCTION("""COMPUTED_VALUE"""),"HTML/CSS")</f>
        <v>HTML/CSS</v>
      </c>
      <c r="E1247" s="9" t="str">
        <f>IFERROR(__xludf.DUMMYFUNCTION("""COMPUTED_VALUE"""),"C++")</f>
        <v>C++</v>
      </c>
      <c r="F1247" s="9" t="str">
        <f>IFERROR(__xludf.DUMMYFUNCTION("""COMPUTED_VALUE"""),"PHP")</f>
        <v>PHP</v>
      </c>
      <c r="G1247" s="9" t="str">
        <f>IFERROR(__xludf.DUMMYFUNCTION("""COMPUTED_VALUE"""),"PHP")</f>
        <v>PHP</v>
      </c>
      <c r="H1247" s="9" t="str">
        <f>IFERROR(__xludf.DUMMYFUNCTION("""COMPUTED_VALUE"""),"JavaScript")</f>
        <v>JavaScript</v>
      </c>
      <c r="I1247" s="9" t="str">
        <f>IFERROR(__xludf.DUMMYFUNCTION("""COMPUTED_VALUE"""),"Java")</f>
        <v>Java</v>
      </c>
      <c r="J1247" s="9" t="str">
        <f>IFERROR(__xludf.DUMMYFUNCTION("""COMPUTED_VALUE"""),"Go")</f>
        <v>Go</v>
      </c>
      <c r="K1247" s="9" t="str">
        <f>IFERROR(__xludf.DUMMYFUNCTION("""COMPUTED_VALUE"""),"JavaScript")</f>
        <v>JavaScript</v>
      </c>
      <c r="L1247" s="9" t="str">
        <f>IFERROR(__xludf.DUMMYFUNCTION("""COMPUTED_VALUE"""),"PHP")</f>
        <v>PHP</v>
      </c>
      <c r="M1247" s="9" t="s">
        <v>22</v>
      </c>
    </row>
    <row r="1248" ht="15.75" customHeight="1">
      <c r="A1248" s="7"/>
      <c r="B1248" s="7" t="str">
        <f>IFERROR(__xludf.DUMMYFUNCTION("""COMPUTED_VALUE"""),"C;C++;HTML/CSS;Java;Python")</f>
        <v>C;C++;HTML/CSS;Java;Python</v>
      </c>
      <c r="C1248" s="9" t="str">
        <f>IFERROR(__xludf.DUMMYFUNCTION("""COMPUTED_VALUE"""),"Other(s):")</f>
        <v>Other(s):</v>
      </c>
      <c r="D1248" s="9" t="str">
        <f>IFERROR(__xludf.DUMMYFUNCTION("""COMPUTED_VALUE"""),"JavaScript")</f>
        <v>JavaScript</v>
      </c>
      <c r="E1248" s="9" t="str">
        <f>IFERROR(__xludf.DUMMYFUNCTION("""COMPUTED_VALUE"""),"Python")</f>
        <v>Python</v>
      </c>
      <c r="F1248" s="9" t="str">
        <f>IFERROR(__xludf.DUMMYFUNCTION("""COMPUTED_VALUE"""),"SQL")</f>
        <v>SQL</v>
      </c>
      <c r="G1248" s="9" t="str">
        <f>IFERROR(__xludf.DUMMYFUNCTION("""COMPUTED_VALUE"""),"Python")</f>
        <v>Python</v>
      </c>
      <c r="H1248" s="9" t="str">
        <f>IFERROR(__xludf.DUMMYFUNCTION("""COMPUTED_VALUE"""),"PHP")</f>
        <v>PHP</v>
      </c>
      <c r="I1248" s="9" t="str">
        <f>IFERROR(__xludf.DUMMYFUNCTION("""COMPUTED_VALUE"""),"Kotlin")</f>
        <v>Kotlin</v>
      </c>
      <c r="J1248" s="9" t="str">
        <f>IFERROR(__xludf.DUMMYFUNCTION("""COMPUTED_VALUE"""),"HTML/CSS")</f>
        <v>HTML/CSS</v>
      </c>
      <c r="K1248" s="9" t="str">
        <f>IFERROR(__xludf.DUMMYFUNCTION("""COMPUTED_VALUE"""),"R")</f>
        <v>R</v>
      </c>
      <c r="L1248" s="9" t="str">
        <f>IFERROR(__xludf.DUMMYFUNCTION("""COMPUTED_VALUE"""),"SQL")</f>
        <v>SQL</v>
      </c>
      <c r="M1248" s="9" t="s">
        <v>35</v>
      </c>
    </row>
    <row r="1249" ht="15.75" customHeight="1">
      <c r="A1249" s="7"/>
      <c r="B1249" s="7" t="str">
        <f>IFERROR(__xludf.DUMMYFUNCTION("""COMPUTED_VALUE"""),"HTML/CSS;JavaScript;PHP;SQL")</f>
        <v>HTML/CSS;JavaScript;PHP;SQL</v>
      </c>
      <c r="C1249" s="9" t="str">
        <f>IFERROR(__xludf.DUMMYFUNCTION("""COMPUTED_VALUE"""),"Assembly")</f>
        <v>Assembly</v>
      </c>
      <c r="D1249" s="9" t="str">
        <f>IFERROR(__xludf.DUMMYFUNCTION("""COMPUTED_VALUE"""),"PHP")</f>
        <v>PHP</v>
      </c>
      <c r="E1249" s="9" t="str">
        <f>IFERROR(__xludf.DUMMYFUNCTION("""COMPUTED_VALUE"""),"Bash/Shell/PowerShell")</f>
        <v>Bash/Shell/PowerShell</v>
      </c>
      <c r="F1249" s="9" t="str">
        <f>IFERROR(__xludf.DUMMYFUNCTION("""COMPUTED_VALUE"""),"C#")</f>
        <v>C#</v>
      </c>
      <c r="G1249" s="9" t="str">
        <f>IFERROR(__xludf.DUMMYFUNCTION("""COMPUTED_VALUE"""),"Rust")</f>
        <v>Rust</v>
      </c>
      <c r="H1249" s="9" t="str">
        <f>IFERROR(__xludf.DUMMYFUNCTION("""COMPUTED_VALUE"""),"SQL")</f>
        <v>SQL</v>
      </c>
      <c r="I1249" s="9" t="str">
        <f>IFERROR(__xludf.DUMMYFUNCTION("""COMPUTED_VALUE"""),"Java")</f>
        <v>Java</v>
      </c>
      <c r="J1249" s="9" t="str">
        <f>IFERROR(__xludf.DUMMYFUNCTION("""COMPUTED_VALUE"""),"JavaScript")</f>
        <v>JavaScript</v>
      </c>
      <c r="K1249" s="9" t="str">
        <f>IFERROR(__xludf.DUMMYFUNCTION("""COMPUTED_VALUE"""),"SQL")</f>
        <v>SQL</v>
      </c>
      <c r="L1249" s="9" t="str">
        <f>IFERROR(__xludf.DUMMYFUNCTION("""COMPUTED_VALUE"""),"Java")</f>
        <v>Java</v>
      </c>
      <c r="M1249" s="9" t="s">
        <v>38</v>
      </c>
    </row>
    <row r="1250" ht="15.75" customHeight="1">
      <c r="A1250" s="7"/>
      <c r="B1250" s="7" t="str">
        <f>IFERROR(__xludf.DUMMYFUNCTION("""COMPUTED_VALUE"""),"C#;HTML/CSS;JavaScript;SQL;TypeScript")</f>
        <v>C#;HTML/CSS;JavaScript;SQL;TypeScript</v>
      </c>
      <c r="C1250" s="9" t="str">
        <f>IFERROR(__xludf.DUMMYFUNCTION("""COMPUTED_VALUE"""),"C")</f>
        <v>C</v>
      </c>
      <c r="D1250" s="9" t="str">
        <f>IFERROR(__xludf.DUMMYFUNCTION("""COMPUTED_VALUE"""),"Bash/Shell/PowerShell")</f>
        <v>Bash/Shell/PowerShell</v>
      </c>
      <c r="E1250" s="9" t="str">
        <f>IFERROR(__xludf.DUMMYFUNCTION("""COMPUTED_VALUE"""),"HTML/CSS")</f>
        <v>HTML/CSS</v>
      </c>
      <c r="F1250" s="9" t="str">
        <f>IFERROR(__xludf.DUMMYFUNCTION("""COMPUTED_VALUE"""),"TypeScript")</f>
        <v>TypeScript</v>
      </c>
      <c r="G1250" s="9" t="str">
        <f>IFERROR(__xludf.DUMMYFUNCTION("""COMPUTED_VALUE"""),"SQL")</f>
        <v>SQL</v>
      </c>
      <c r="H1250" s="9" t="str">
        <f>IFERROR(__xludf.DUMMYFUNCTION("""COMPUTED_VALUE"""),"TypeScript")</f>
        <v>TypeScript</v>
      </c>
      <c r="I1250" s="9" t="str">
        <f>IFERROR(__xludf.DUMMYFUNCTION("""COMPUTED_VALUE"""),"Objective-C")</f>
        <v>Objective-C</v>
      </c>
      <c r="J1250" s="9" t="str">
        <f>IFERROR(__xludf.DUMMYFUNCTION("""COMPUTED_VALUE"""),"TypeScript")</f>
        <v>TypeScript</v>
      </c>
      <c r="K1250" s="9" t="str">
        <f>IFERROR(__xludf.DUMMYFUNCTION("""COMPUTED_VALUE"""),"VBA")</f>
        <v>VBA</v>
      </c>
      <c r="L1250" s="9" t="str">
        <f>IFERROR(__xludf.DUMMYFUNCTION("""COMPUTED_VALUE"""),"JavaScript")</f>
        <v>JavaScript</v>
      </c>
      <c r="M1250" s="9" t="s">
        <v>25</v>
      </c>
    </row>
    <row r="1251" ht="15.75" customHeight="1">
      <c r="A1251" s="7"/>
      <c r="B1251" s="7" t="str">
        <f>IFERROR(__xludf.DUMMYFUNCTION("""COMPUTED_VALUE"""),"C++;Other(s):")</f>
        <v>C++;Other(s):</v>
      </c>
      <c r="C1251" s="9" t="str">
        <f>IFERROR(__xludf.DUMMYFUNCTION("""COMPUTED_VALUE"""),"C++")</f>
        <v>C++</v>
      </c>
      <c r="D1251" s="9" t="str">
        <f>IFERROR(__xludf.DUMMYFUNCTION("""COMPUTED_VALUE"""),"HTML/CSS")</f>
        <v>HTML/CSS</v>
      </c>
      <c r="E1251" s="9" t="str">
        <f>IFERROR(__xludf.DUMMYFUNCTION("""COMPUTED_VALUE"""),"Java")</f>
        <v>Java</v>
      </c>
      <c r="F1251" s="9" t="str">
        <f>IFERROR(__xludf.DUMMYFUNCTION("""COMPUTED_VALUE"""),"C#")</f>
        <v>C#</v>
      </c>
      <c r="G1251" s="9" t="str">
        <f>IFERROR(__xludf.DUMMYFUNCTION("""COMPUTED_VALUE"""),"Bash/Shell/PowerShell")</f>
        <v>Bash/Shell/PowerShell</v>
      </c>
      <c r="H1251" s="9" t="str">
        <f>IFERROR(__xludf.DUMMYFUNCTION("""COMPUTED_VALUE"""),"Swift")</f>
        <v>Swift</v>
      </c>
      <c r="I1251" s="9" t="str">
        <f>IFERROR(__xludf.DUMMYFUNCTION("""COMPUTED_VALUE"""),"Swift")</f>
        <v>Swift</v>
      </c>
      <c r="J1251" s="9" t="str">
        <f>IFERROR(__xludf.DUMMYFUNCTION("""COMPUTED_VALUE"""),"HTML/CSS")</f>
        <v>HTML/CSS</v>
      </c>
      <c r="K1251" s="9" t="str">
        <f>IFERROR(__xludf.DUMMYFUNCTION("""COMPUTED_VALUE"""),"HTML/CSS")</f>
        <v>HTML/CSS</v>
      </c>
      <c r="L1251" s="9" t="str">
        <f>IFERROR(__xludf.DUMMYFUNCTION("""COMPUTED_VALUE"""),"HTML/CSS")</f>
        <v>HTML/CSS</v>
      </c>
      <c r="M1251" s="9" t="s">
        <v>23</v>
      </c>
    </row>
    <row r="1252" ht="15.75" customHeight="1">
      <c r="A1252" s="7"/>
      <c r="B1252" s="7" t="str">
        <f>IFERROR(__xludf.DUMMYFUNCTION("""COMPUTED_VALUE"""),"HTML/CSS;JavaScript;PHP")</f>
        <v>HTML/CSS;JavaScript;PHP</v>
      </c>
      <c r="C1252" s="9" t="str">
        <f>IFERROR(__xludf.DUMMYFUNCTION("""COMPUTED_VALUE"""),"C#")</f>
        <v>C#</v>
      </c>
      <c r="D1252" s="9" t="str">
        <f>IFERROR(__xludf.DUMMYFUNCTION("""COMPUTED_VALUE"""),"Python")</f>
        <v>Python</v>
      </c>
      <c r="E1252" s="9" t="str">
        <f>IFERROR(__xludf.DUMMYFUNCTION("""COMPUTED_VALUE"""),"JavaScript")</f>
        <v>JavaScript</v>
      </c>
      <c r="F1252" s="9" t="str">
        <f>IFERROR(__xludf.DUMMYFUNCTION("""COMPUTED_VALUE"""),"HTML/CSS")</f>
        <v>HTML/CSS</v>
      </c>
      <c r="G1252" s="9" t="str">
        <f>IFERROR(__xludf.DUMMYFUNCTION("""COMPUTED_VALUE"""),"C++")</f>
        <v>C++</v>
      </c>
      <c r="H1252" s="9" t="str">
        <f>IFERROR(__xludf.DUMMYFUNCTION("""COMPUTED_VALUE"""),"C#")</f>
        <v>C#</v>
      </c>
      <c r="I1252" s="9" t="str">
        <f>IFERROR(__xludf.DUMMYFUNCTION("""COMPUTED_VALUE"""),"C++")</f>
        <v>C++</v>
      </c>
      <c r="J1252" s="9" t="str">
        <f>IFERROR(__xludf.DUMMYFUNCTION("""COMPUTED_VALUE"""),"Java")</f>
        <v>Java</v>
      </c>
      <c r="K1252" s="9" t="str">
        <f>IFERROR(__xludf.DUMMYFUNCTION("""COMPUTED_VALUE"""),"JavaScript")</f>
        <v>JavaScript</v>
      </c>
      <c r="L1252" s="9" t="str">
        <f>IFERROR(__xludf.DUMMYFUNCTION("""COMPUTED_VALUE"""),"JavaScript")</f>
        <v>JavaScript</v>
      </c>
      <c r="M1252" s="9" t="s">
        <v>26</v>
      </c>
    </row>
    <row r="1253" ht="15.75" customHeight="1">
      <c r="A1253" s="7"/>
      <c r="B1253" s="7" t="str">
        <f>IFERROR(__xludf.DUMMYFUNCTION("""COMPUTED_VALUE"""),"Bash/Shell/PowerShell;HTML/CSS;Python")</f>
        <v>Bash/Shell/PowerShell;HTML/CSS;Python</v>
      </c>
      <c r="C1253" s="9" t="str">
        <f>IFERROR(__xludf.DUMMYFUNCTION("""COMPUTED_VALUE"""),"HTML/CSS")</f>
        <v>HTML/CSS</v>
      </c>
      <c r="D1253" s="9" t="str">
        <f>IFERROR(__xludf.DUMMYFUNCTION("""COMPUTED_VALUE"""),"Java")</f>
        <v>Java</v>
      </c>
      <c r="E1253" s="9" t="str">
        <f>IFERROR(__xludf.DUMMYFUNCTION("""COMPUTED_VALUE"""),"PHP")</f>
        <v>PHP</v>
      </c>
      <c r="F1253" s="9" t="str">
        <f>IFERROR(__xludf.DUMMYFUNCTION("""COMPUTED_VALUE"""),"JavaScript")</f>
        <v>JavaScript</v>
      </c>
      <c r="G1253" s="9" t="str">
        <f>IFERROR(__xludf.DUMMYFUNCTION("""COMPUTED_VALUE"""),"HTML/CSS")</f>
        <v>HTML/CSS</v>
      </c>
      <c r="H1253" s="9" t="str">
        <f>IFERROR(__xludf.DUMMYFUNCTION("""COMPUTED_VALUE"""),"HTML/CSS")</f>
        <v>HTML/CSS</v>
      </c>
      <c r="I1253" s="9" t="str">
        <f>IFERROR(__xludf.DUMMYFUNCTION("""COMPUTED_VALUE"""),"HTML/CSS")</f>
        <v>HTML/CSS</v>
      </c>
      <c r="J1253" s="9" t="str">
        <f>IFERROR(__xludf.DUMMYFUNCTION("""COMPUTED_VALUE"""),"JavaScript")</f>
        <v>JavaScript</v>
      </c>
      <c r="K1253" s="9" t="str">
        <f>IFERROR(__xludf.DUMMYFUNCTION("""COMPUTED_VALUE"""),"PHP")</f>
        <v>PHP</v>
      </c>
      <c r="L1253" s="9" t="str">
        <f>IFERROR(__xludf.DUMMYFUNCTION("""COMPUTED_VALUE"""),"Python")</f>
        <v>Python</v>
      </c>
      <c r="M1253" s="9" t="s">
        <v>24</v>
      </c>
    </row>
    <row r="1254" ht="15.75" customHeight="1">
      <c r="A1254" s="7"/>
      <c r="B1254" s="7" t="str">
        <f>IFERROR(__xludf.DUMMYFUNCTION("""COMPUTED_VALUE"""),"Java;Kotlin;Objective-C;Swift")</f>
        <v>Java;Kotlin;Objective-C;Swift</v>
      </c>
      <c r="C1254" s="9" t="str">
        <f>IFERROR(__xludf.DUMMYFUNCTION("""COMPUTED_VALUE"""),"JavaScript")</f>
        <v>JavaScript</v>
      </c>
      <c r="D1254" s="9" t="str">
        <f>IFERROR(__xludf.DUMMYFUNCTION("""COMPUTED_VALUE"""),"Kotlin")</f>
        <v>Kotlin</v>
      </c>
      <c r="E1254" s="9" t="str">
        <f>IFERROR(__xludf.DUMMYFUNCTION("""COMPUTED_VALUE"""),"Python")</f>
        <v>Python</v>
      </c>
      <c r="F1254" s="9" t="str">
        <f>IFERROR(__xludf.DUMMYFUNCTION("""COMPUTED_VALUE"""),"SQL")</f>
        <v>SQL</v>
      </c>
      <c r="G1254" s="9" t="str">
        <f>IFERROR(__xludf.DUMMYFUNCTION("""COMPUTED_VALUE"""),"JavaScript")</f>
        <v>JavaScript</v>
      </c>
      <c r="H1254" s="9" t="str">
        <f>IFERROR(__xludf.DUMMYFUNCTION("""COMPUTED_VALUE"""),"JavaScript")</f>
        <v>JavaScript</v>
      </c>
      <c r="I1254" s="9" t="str">
        <f>IFERROR(__xludf.DUMMYFUNCTION("""COMPUTED_VALUE"""),"Java")</f>
        <v>Java</v>
      </c>
      <c r="J1254" s="9" t="str">
        <f>IFERROR(__xludf.DUMMYFUNCTION("""COMPUTED_VALUE"""),"SQL")</f>
        <v>SQL</v>
      </c>
      <c r="K1254" s="9" t="str">
        <f>IFERROR(__xludf.DUMMYFUNCTION("""COMPUTED_VALUE"""),"Ruby")</f>
        <v>Ruby</v>
      </c>
      <c r="L1254" s="9" t="str">
        <f>IFERROR(__xludf.DUMMYFUNCTION("""COMPUTED_VALUE"""),"SQL")</f>
        <v>SQL</v>
      </c>
      <c r="M1254" s="9" t="s">
        <v>21</v>
      </c>
    </row>
    <row r="1255" ht="15.75" customHeight="1">
      <c r="A1255" s="7"/>
      <c r="B1255" s="7" t="str">
        <f>IFERROR(__xludf.DUMMYFUNCTION("""COMPUTED_VALUE"""),"C;C++;C#;HTML/CSS;JavaScript;PHP;SQL;TypeScript")</f>
        <v>C;C++;C#;HTML/CSS;JavaScript;PHP;SQL;TypeScript</v>
      </c>
      <c r="C1255" s="9" t="str">
        <f>IFERROR(__xludf.DUMMYFUNCTION("""COMPUTED_VALUE"""),"Python")</f>
        <v>Python</v>
      </c>
      <c r="D1255" s="9" t="str">
        <f>IFERROR(__xludf.DUMMYFUNCTION("""COMPUTED_VALUE"""),"Objective-C")</f>
        <v>Objective-C</v>
      </c>
      <c r="E1255" s="9" t="str">
        <f>IFERROR(__xludf.DUMMYFUNCTION("""COMPUTED_VALUE"""),"SQL")</f>
        <v>SQL</v>
      </c>
      <c r="F1255" s="9" t="str">
        <f>IFERROR(__xludf.DUMMYFUNCTION("""COMPUTED_VALUE"""),"VBA")</f>
        <v>VBA</v>
      </c>
      <c r="G1255" s="9" t="str">
        <f>IFERROR(__xludf.DUMMYFUNCTION("""COMPUTED_VALUE"""),"PHP")</f>
        <v>PHP</v>
      </c>
      <c r="H1255" s="9" t="str">
        <f>IFERROR(__xludf.DUMMYFUNCTION("""COMPUTED_VALUE"""),"TypeScript")</f>
        <v>TypeScript</v>
      </c>
      <c r="I1255" s="9" t="str">
        <f>IFERROR(__xludf.DUMMYFUNCTION("""COMPUTED_VALUE"""),"JavaScript")</f>
        <v>JavaScript</v>
      </c>
      <c r="J1255" s="9" t="str">
        <f>IFERROR(__xludf.DUMMYFUNCTION("""COMPUTED_VALUE"""),"Other(s):")</f>
        <v>Other(s):</v>
      </c>
      <c r="K1255" s="9" t="str">
        <f>IFERROR(__xludf.DUMMYFUNCTION("""COMPUTED_VALUE"""),"SQL")</f>
        <v>SQL</v>
      </c>
      <c r="L1255" s="9" t="str">
        <f>IFERROR(__xludf.DUMMYFUNCTION("""COMPUTED_VALUE"""),"TypeScript")</f>
        <v>TypeScript</v>
      </c>
      <c r="M1255" s="9" t="s">
        <v>22</v>
      </c>
    </row>
    <row r="1256" ht="15.75" customHeight="1">
      <c r="A1256" s="7"/>
      <c r="B1256" s="7" t="str">
        <f>IFERROR(__xludf.DUMMYFUNCTION("""COMPUTED_VALUE"""),"HTML/CSS;JavaScript")</f>
        <v>HTML/CSS;JavaScript</v>
      </c>
      <c r="C1256" s="9" t="str">
        <f>IFERROR(__xludf.DUMMYFUNCTION("""COMPUTED_VALUE"""),"VBA")</f>
        <v>VBA</v>
      </c>
      <c r="D1256" s="9" t="str">
        <f>IFERROR(__xludf.DUMMYFUNCTION("""COMPUTED_VALUE"""),"Swift")</f>
        <v>Swift</v>
      </c>
      <c r="E1256" s="9" t="str">
        <f>IFERROR(__xludf.DUMMYFUNCTION("""COMPUTED_VALUE"""),"TypeScript")</f>
        <v>TypeScript</v>
      </c>
      <c r="F1256" s="9" t="str">
        <f>IFERROR(__xludf.DUMMYFUNCTION("""COMPUTED_VALUE"""),"Bash/Shell/PowerShell")</f>
        <v>Bash/Shell/PowerShell</v>
      </c>
      <c r="G1256" s="9" t="str">
        <f>IFERROR(__xludf.DUMMYFUNCTION("""COMPUTED_VALUE"""),"SQL")</f>
        <v>SQL</v>
      </c>
      <c r="H1256" s="9" t="str">
        <f>IFERROR(__xludf.DUMMYFUNCTION("""COMPUTED_VALUE"""),"Bash/Shell/PowerShell")</f>
        <v>Bash/Shell/PowerShell</v>
      </c>
      <c r="I1256" s="9" t="str">
        <f>IFERROR(__xludf.DUMMYFUNCTION("""COMPUTED_VALUE"""),"Python")</f>
        <v>Python</v>
      </c>
      <c r="J1256" s="9" t="str">
        <f>IFERROR(__xludf.DUMMYFUNCTION("""COMPUTED_VALUE"""),"HTML/CSS")</f>
        <v>HTML/CSS</v>
      </c>
      <c r="K1256" s="9" t="str">
        <f>IFERROR(__xludf.DUMMYFUNCTION("""COMPUTED_VALUE"""),"HTML/CSS")</f>
        <v>HTML/CSS</v>
      </c>
      <c r="L1256" s="9" t="str">
        <f>IFERROR(__xludf.DUMMYFUNCTION("""COMPUTED_VALUE"""),"Java")</f>
        <v>Java</v>
      </c>
      <c r="M1256" s="9" t="s">
        <v>28</v>
      </c>
    </row>
    <row r="1257" ht="15.75" customHeight="1">
      <c r="A1257" s="7"/>
      <c r="B1257" s="7" t="str">
        <f>IFERROR(__xludf.DUMMYFUNCTION("""COMPUTED_VALUE"""),"Bash/Shell/PowerShell;C;C#;HTML/CSS;Java;JavaScript;Python;SQL")</f>
        <v>Bash/Shell/PowerShell;C;C#;HTML/CSS;Java;JavaScript;Python;SQL</v>
      </c>
      <c r="C1257" s="9" t="str">
        <f>IFERROR(__xludf.DUMMYFUNCTION("""COMPUTED_VALUE"""),"HTML/CSS")</f>
        <v>HTML/CSS</v>
      </c>
      <c r="D1257" s="9" t="str">
        <f>IFERROR(__xludf.DUMMYFUNCTION("""COMPUTED_VALUE"""),"C")</f>
        <v>C</v>
      </c>
      <c r="E1257" s="9" t="str">
        <f>IFERROR(__xludf.DUMMYFUNCTION("""COMPUTED_VALUE"""),"C")</f>
        <v>C</v>
      </c>
      <c r="F1257" s="9" t="str">
        <f>IFERROR(__xludf.DUMMYFUNCTION("""COMPUTED_VALUE"""),"HTML/CSS")</f>
        <v>HTML/CSS</v>
      </c>
      <c r="G1257" s="9" t="str">
        <f>IFERROR(__xludf.DUMMYFUNCTION("""COMPUTED_VALUE"""),"HTML/CSS")</f>
        <v>HTML/CSS</v>
      </c>
      <c r="H1257" s="9" t="str">
        <f>IFERROR(__xludf.DUMMYFUNCTION("""COMPUTED_VALUE"""),"HTML/CSS")</f>
        <v>HTML/CSS</v>
      </c>
      <c r="I1257" s="9" t="str">
        <f>IFERROR(__xludf.DUMMYFUNCTION("""COMPUTED_VALUE"""),"JavaScript")</f>
        <v>JavaScript</v>
      </c>
      <c r="J1257" s="9" t="str">
        <f>IFERROR(__xludf.DUMMYFUNCTION("""COMPUTED_VALUE"""),"JavaScript")</f>
        <v>JavaScript</v>
      </c>
      <c r="K1257" s="9" t="str">
        <f>IFERROR(__xludf.DUMMYFUNCTION("""COMPUTED_VALUE"""),"JavaScript")</f>
        <v>JavaScript</v>
      </c>
      <c r="L1257" s="9" t="str">
        <f>IFERROR(__xludf.DUMMYFUNCTION("""COMPUTED_VALUE"""),"JavaScript")</f>
        <v>JavaScript</v>
      </c>
      <c r="M1257" s="9" t="s">
        <v>24</v>
      </c>
    </row>
    <row r="1258" ht="15.75" customHeight="1">
      <c r="A1258" s="7"/>
      <c r="B1258" s="7" t="str">
        <f>IFERROR(__xludf.DUMMYFUNCTION("""COMPUTED_VALUE"""),"Bash/Shell/PowerShell;C;C++;C#;HTML/CSS;Java;JavaScript;Python;R;SQL;Swift")</f>
        <v>Bash/Shell/PowerShell;C;C++;C#;HTML/CSS;Java;JavaScript;Python;R;SQL;Swift</v>
      </c>
      <c r="C1258" s="9" t="str">
        <f>IFERROR(__xludf.DUMMYFUNCTION("""COMPUTED_VALUE"""),"JavaScript")</f>
        <v>JavaScript</v>
      </c>
      <c r="D1258" s="9" t="str">
        <f>IFERROR(__xludf.DUMMYFUNCTION("""COMPUTED_VALUE"""),"C++")</f>
        <v>C++</v>
      </c>
      <c r="E1258" s="9" t="str">
        <f>IFERROR(__xludf.DUMMYFUNCTION("""COMPUTED_VALUE"""),"C#")</f>
        <v>C#</v>
      </c>
      <c r="F1258" s="9" t="str">
        <f>IFERROR(__xludf.DUMMYFUNCTION("""COMPUTED_VALUE"""),"Java")</f>
        <v>Java</v>
      </c>
      <c r="G1258" s="9" t="str">
        <f>IFERROR(__xludf.DUMMYFUNCTION("""COMPUTED_VALUE"""),"Java")</f>
        <v>Java</v>
      </c>
      <c r="H1258" s="9" t="str">
        <f>IFERROR(__xludf.DUMMYFUNCTION("""COMPUTED_VALUE"""),"JavaScript")</f>
        <v>JavaScript</v>
      </c>
      <c r="I1258" s="9" t="str">
        <f>IFERROR(__xludf.DUMMYFUNCTION("""COMPUTED_VALUE"""),"Kotlin")</f>
        <v>Kotlin</v>
      </c>
      <c r="J1258" s="9" t="str">
        <f>IFERROR(__xludf.DUMMYFUNCTION("""COMPUTED_VALUE"""),"Java")</f>
        <v>Java</v>
      </c>
      <c r="K1258" s="9" t="str">
        <f>IFERROR(__xludf.DUMMYFUNCTION("""COMPUTED_VALUE"""),"Python")</f>
        <v>Python</v>
      </c>
      <c r="L1258" s="9" t="str">
        <f>IFERROR(__xludf.DUMMYFUNCTION("""COMPUTED_VALUE"""),"PHP")</f>
        <v>PHP</v>
      </c>
      <c r="M1258" s="9" t="s">
        <v>21</v>
      </c>
    </row>
    <row r="1259" ht="15.75" customHeight="1">
      <c r="A1259" s="7"/>
      <c r="B1259" s="7" t="str">
        <f>IFERROR(__xludf.DUMMYFUNCTION("""COMPUTED_VALUE"""),"Bash/Shell/PowerShell;C#;HTML/CSS;JavaScript;Python;TypeScript")</f>
        <v>Bash/Shell/PowerShell;C#;HTML/CSS;JavaScript;Python;TypeScript</v>
      </c>
      <c r="C1259" s="9" t="str">
        <f>IFERROR(__xludf.DUMMYFUNCTION("""COMPUTED_VALUE"""),"Rust")</f>
        <v>Rust</v>
      </c>
      <c r="D1259" s="9" t="str">
        <f>IFERROR(__xludf.DUMMYFUNCTION("""COMPUTED_VALUE"""),"C#")</f>
        <v>C#</v>
      </c>
      <c r="E1259" s="9" t="str">
        <f>IFERROR(__xludf.DUMMYFUNCTION("""COMPUTED_VALUE"""),"F#")</f>
        <v>F#</v>
      </c>
      <c r="F1259" s="9" t="str">
        <f>IFERROR(__xludf.DUMMYFUNCTION("""COMPUTED_VALUE"""),"JavaScript")</f>
        <v>JavaScript</v>
      </c>
      <c r="G1259" s="9" t="str">
        <f>IFERROR(__xludf.DUMMYFUNCTION("""COMPUTED_VALUE"""),"R")</f>
        <v>R</v>
      </c>
      <c r="H1259" s="9" t="str">
        <f>IFERROR(__xludf.DUMMYFUNCTION("""COMPUTED_VALUE"""),"PHP")</f>
        <v>PHP</v>
      </c>
      <c r="I1259" s="9" t="str">
        <f>IFERROR(__xludf.DUMMYFUNCTION("""COMPUTED_VALUE"""),"PHP")</f>
        <v>PHP</v>
      </c>
      <c r="J1259" s="9" t="str">
        <f>IFERROR(__xludf.DUMMYFUNCTION("""COMPUTED_VALUE"""),"Java")</f>
        <v>Java</v>
      </c>
      <c r="K1259" s="9" t="str">
        <f>IFERROR(__xludf.DUMMYFUNCTION("""COMPUTED_VALUE"""),"Bash/Shell/PowerShell")</f>
        <v>Bash/Shell/PowerShell</v>
      </c>
      <c r="L1259" s="9" t="str">
        <f>IFERROR(__xludf.DUMMYFUNCTION("""COMPUTED_VALUE"""),"Python")</f>
        <v>Python</v>
      </c>
      <c r="M1259" s="9" t="s">
        <v>32</v>
      </c>
    </row>
    <row r="1260" ht="15.75" customHeight="1">
      <c r="A1260" s="7"/>
      <c r="B1260" s="7" t="str">
        <f>IFERROR(__xludf.DUMMYFUNCTION("""COMPUTED_VALUE"""),"C;C++;C#;Dart;Java")</f>
        <v>C;C++;C#;Dart;Java</v>
      </c>
      <c r="C1260" s="9" t="str">
        <f>IFERROR(__xludf.DUMMYFUNCTION("""COMPUTED_VALUE"""),"Swift")</f>
        <v>Swift</v>
      </c>
      <c r="D1260" s="9" t="str">
        <f>IFERROR(__xludf.DUMMYFUNCTION("""COMPUTED_VALUE"""),"HTML/CSS")</f>
        <v>HTML/CSS</v>
      </c>
      <c r="E1260" s="9" t="str">
        <f>IFERROR(__xludf.DUMMYFUNCTION("""COMPUTED_VALUE"""),"Java")</f>
        <v>Java</v>
      </c>
      <c r="F1260" s="9" t="str">
        <f>IFERROR(__xludf.DUMMYFUNCTION("""COMPUTED_VALUE"""),"SQL")</f>
        <v>SQL</v>
      </c>
      <c r="G1260" s="9" t="str">
        <f>IFERROR(__xludf.DUMMYFUNCTION("""COMPUTED_VALUE"""),"SQL")</f>
        <v>SQL</v>
      </c>
      <c r="H1260" s="9" t="str">
        <f>IFERROR(__xludf.DUMMYFUNCTION("""COMPUTED_VALUE"""),"SQL")</f>
        <v>SQL</v>
      </c>
      <c r="I1260" s="9" t="str">
        <f>IFERROR(__xludf.DUMMYFUNCTION("""COMPUTED_VALUE"""),"Python")</f>
        <v>Python</v>
      </c>
      <c r="J1260" s="9" t="str">
        <f>IFERROR(__xludf.DUMMYFUNCTION("""COMPUTED_VALUE"""),"SQL")</f>
        <v>SQL</v>
      </c>
      <c r="K1260" s="9" t="str">
        <f>IFERROR(__xludf.DUMMYFUNCTION("""COMPUTED_VALUE"""),"HTML/CSS")</f>
        <v>HTML/CSS</v>
      </c>
      <c r="L1260" s="9" t="str">
        <f>IFERROR(__xludf.DUMMYFUNCTION("""COMPUTED_VALUE"""),"SQL")</f>
        <v>SQL</v>
      </c>
      <c r="M1260" s="9" t="s">
        <v>40</v>
      </c>
    </row>
    <row r="1261" ht="15.75" customHeight="1">
      <c r="A1261" s="7"/>
      <c r="B1261" s="7" t="str">
        <f>IFERROR(__xludf.DUMMYFUNCTION("""COMPUTED_VALUE"""),"C;Objective-C")</f>
        <v>C;Objective-C</v>
      </c>
      <c r="C1261" s="9" t="str">
        <f>IFERROR(__xludf.DUMMYFUNCTION("""COMPUTED_VALUE"""),"Other(s):")</f>
        <v>Other(s):</v>
      </c>
      <c r="D1261" s="9" t="str">
        <f>IFERROR(__xludf.DUMMYFUNCTION("""COMPUTED_VALUE"""),"JavaScript")</f>
        <v>JavaScript</v>
      </c>
      <c r="E1261" s="9" t="str">
        <f>IFERROR(__xludf.DUMMYFUNCTION("""COMPUTED_VALUE"""),"Objective-C")</f>
        <v>Objective-C</v>
      </c>
      <c r="F1261" s="9" t="str">
        <f>IFERROR(__xludf.DUMMYFUNCTION("""COMPUTED_VALUE"""),"Assembly")</f>
        <v>Assembly</v>
      </c>
      <c r="G1261" s="9" t="str">
        <f>IFERROR(__xludf.DUMMYFUNCTION("""COMPUTED_VALUE"""),"C#")</f>
        <v>C#</v>
      </c>
      <c r="H1261" s="9" t="str">
        <f>IFERROR(__xludf.DUMMYFUNCTION("""COMPUTED_VALUE"""),"Bash/Shell/PowerShell")</f>
        <v>Bash/Shell/PowerShell</v>
      </c>
      <c r="I1261" s="9" t="str">
        <f>IFERROR(__xludf.DUMMYFUNCTION("""COMPUTED_VALUE"""),"R")</f>
        <v>R</v>
      </c>
      <c r="J1261" s="9" t="str">
        <f>IFERROR(__xludf.DUMMYFUNCTION("""COMPUTED_VALUE"""),"Java")</f>
        <v>Java</v>
      </c>
      <c r="K1261" s="9" t="str">
        <f>IFERROR(__xludf.DUMMYFUNCTION("""COMPUTED_VALUE"""),"JavaScript")</f>
        <v>JavaScript</v>
      </c>
      <c r="L1261" s="9" t="str">
        <f>IFERROR(__xludf.DUMMYFUNCTION("""COMPUTED_VALUE"""),"Bash/Shell/PowerShell")</f>
        <v>Bash/Shell/PowerShell</v>
      </c>
      <c r="M1261" s="9" t="s">
        <v>35</v>
      </c>
    </row>
    <row r="1262" ht="15.75" customHeight="1">
      <c r="A1262" s="7"/>
      <c r="B1262" s="7" t="str">
        <f>IFERROR(__xludf.DUMMYFUNCTION("""COMPUTED_VALUE"""),"Bash/Shell/PowerShell;C;C++;Python")</f>
        <v>Bash/Shell/PowerShell;C;C++;Python</v>
      </c>
      <c r="C1262" s="9" t="str">
        <f>IFERROR(__xludf.DUMMYFUNCTION("""COMPUTED_VALUE"""),"Bash/Shell/PowerShell")</f>
        <v>Bash/Shell/PowerShell</v>
      </c>
      <c r="D1262" s="9" t="str">
        <f>IFERROR(__xludf.DUMMYFUNCTION("""COMPUTED_VALUE"""),"PHP")</f>
        <v>PHP</v>
      </c>
      <c r="E1262" s="9" t="str">
        <f>IFERROR(__xludf.DUMMYFUNCTION("""COMPUTED_VALUE"""),"Swift")</f>
        <v>Swift</v>
      </c>
      <c r="F1262" s="9" t="str">
        <f>IFERROR(__xludf.DUMMYFUNCTION("""COMPUTED_VALUE"""),"Bash/Shell/PowerShell")</f>
        <v>Bash/Shell/PowerShell</v>
      </c>
      <c r="G1262" s="9" t="str">
        <f>IFERROR(__xludf.DUMMYFUNCTION("""COMPUTED_VALUE"""),"HTML/CSS")</f>
        <v>HTML/CSS</v>
      </c>
      <c r="H1262" s="9" t="str">
        <f>IFERROR(__xludf.DUMMYFUNCTION("""COMPUTED_VALUE"""),"HTML/CSS")</f>
        <v>HTML/CSS</v>
      </c>
      <c r="I1262" s="9" t="str">
        <f>IFERROR(__xludf.DUMMYFUNCTION("""COMPUTED_VALUE"""),"Bash/Shell/PowerShell")</f>
        <v>Bash/Shell/PowerShell</v>
      </c>
      <c r="J1262" s="9" t="str">
        <f>IFERROR(__xludf.DUMMYFUNCTION("""COMPUTED_VALUE"""),"Python")</f>
        <v>Python</v>
      </c>
      <c r="K1262" s="9" t="str">
        <f>IFERROR(__xludf.DUMMYFUNCTION("""COMPUTED_VALUE"""),"Python")</f>
        <v>Python</v>
      </c>
      <c r="L1262" s="9" t="str">
        <f>IFERROR(__xludf.DUMMYFUNCTION("""COMPUTED_VALUE"""),"HTML/CSS")</f>
        <v>HTML/CSS</v>
      </c>
      <c r="M1262" s="9" t="s">
        <v>30</v>
      </c>
    </row>
    <row r="1263" ht="15.75" customHeight="1">
      <c r="A1263" s="7"/>
      <c r="B1263" s="7" t="str">
        <f>IFERROR(__xludf.DUMMYFUNCTION("""COMPUTED_VALUE"""),"Bash/Shell/PowerShell;C;C++;C#;Elixir;HTML/CSS;Java;JavaScript;PHP;Python;SQL;TypeScript")</f>
        <v>Bash/Shell/PowerShell;C;C++;C#;Elixir;HTML/CSS;Java;JavaScript;PHP;Python;SQL;TypeScript</v>
      </c>
      <c r="C1263" s="9" t="str">
        <f>IFERROR(__xludf.DUMMYFUNCTION("""COMPUTED_VALUE"""),"HTML/CSS")</f>
        <v>HTML/CSS</v>
      </c>
      <c r="D1263" s="9" t="str">
        <f>IFERROR(__xludf.DUMMYFUNCTION("""COMPUTED_VALUE"""),"SQL")</f>
        <v>SQL</v>
      </c>
      <c r="E1263" s="9" t="str">
        <f>IFERROR(__xludf.DUMMYFUNCTION("""COMPUTED_VALUE"""),"Objective-C")</f>
        <v>Objective-C</v>
      </c>
      <c r="F1263" s="9" t="str">
        <f>IFERROR(__xludf.DUMMYFUNCTION("""COMPUTED_VALUE"""),"C")</f>
        <v>C</v>
      </c>
      <c r="G1263" s="9" t="str">
        <f>IFERROR(__xludf.DUMMYFUNCTION("""COMPUTED_VALUE"""),"JavaScript")</f>
        <v>JavaScript</v>
      </c>
      <c r="H1263" s="9" t="str">
        <f>IFERROR(__xludf.DUMMYFUNCTION("""COMPUTED_VALUE"""),"JavaScript")</f>
        <v>JavaScript</v>
      </c>
      <c r="I1263" s="9" t="str">
        <f>IFERROR(__xludf.DUMMYFUNCTION("""COMPUTED_VALUE"""),"HTML/CSS")</f>
        <v>HTML/CSS</v>
      </c>
      <c r="J1263" s="9" t="str">
        <f>IFERROR(__xludf.DUMMYFUNCTION("""COMPUTED_VALUE"""),"Other(s):")</f>
        <v>Other(s):</v>
      </c>
      <c r="K1263" s="9" t="str">
        <f>IFERROR(__xludf.DUMMYFUNCTION("""COMPUTED_VALUE"""),"SQL")</f>
        <v>SQL</v>
      </c>
      <c r="L1263" s="9" t="str">
        <f>IFERROR(__xludf.DUMMYFUNCTION("""COMPUTED_VALUE"""),"SQL")</f>
        <v>SQL</v>
      </c>
      <c r="M1263" s="9" t="s">
        <v>24</v>
      </c>
    </row>
    <row r="1264" ht="15.75" customHeight="1">
      <c r="A1264" s="7"/>
      <c r="B1264" s="7" t="str">
        <f>IFERROR(__xludf.DUMMYFUNCTION("""COMPUTED_VALUE"""),"Bash/Shell/PowerShell;C;HTML/CSS;JavaScript;Objective-C;PHP;Python;SQL;Swift")</f>
        <v>Bash/Shell/PowerShell;C;HTML/CSS;JavaScript;Objective-C;PHP;Python;SQL;Swift</v>
      </c>
      <c r="C1264" s="9" t="str">
        <f>IFERROR(__xludf.DUMMYFUNCTION("""COMPUTED_VALUE"""),"JavaScript")</f>
        <v>JavaScript</v>
      </c>
      <c r="D1264" s="9" t="str">
        <f>IFERROR(__xludf.DUMMYFUNCTION("""COMPUTED_VALUE"""),"TypeScript")</f>
        <v>TypeScript</v>
      </c>
      <c r="E1264" s="9" t="str">
        <f>IFERROR(__xludf.DUMMYFUNCTION("""COMPUTED_VALUE"""),"Swift")</f>
        <v>Swift</v>
      </c>
      <c r="F1264" s="9" t="str">
        <f>IFERROR(__xludf.DUMMYFUNCTION("""COMPUTED_VALUE"""),"C++")</f>
        <v>C++</v>
      </c>
      <c r="G1264" s="9" t="str">
        <f>IFERROR(__xludf.DUMMYFUNCTION("""COMPUTED_VALUE"""),"SQL")</f>
        <v>SQL</v>
      </c>
      <c r="H1264" s="9" t="str">
        <f>IFERROR(__xludf.DUMMYFUNCTION("""COMPUTED_VALUE"""),"PHP")</f>
        <v>PHP</v>
      </c>
      <c r="I1264" s="9" t="str">
        <f>IFERROR(__xludf.DUMMYFUNCTION("""COMPUTED_VALUE"""),"Java")</f>
        <v>Java</v>
      </c>
      <c r="J1264" s="9" t="str">
        <f>IFERROR(__xludf.DUMMYFUNCTION("""COMPUTED_VALUE"""),"HTML/CSS")</f>
        <v>HTML/CSS</v>
      </c>
      <c r="K1264" s="9" t="str">
        <f>IFERROR(__xludf.DUMMYFUNCTION("""COMPUTED_VALUE"""),"Assembly")</f>
        <v>Assembly</v>
      </c>
      <c r="L1264" s="9" t="str">
        <f>IFERROR(__xludf.DUMMYFUNCTION("""COMPUTED_VALUE"""),"Swift")</f>
        <v>Swift</v>
      </c>
      <c r="M1264" s="9" t="s">
        <v>21</v>
      </c>
    </row>
    <row r="1265" ht="15.75" customHeight="1">
      <c r="A1265" s="7"/>
      <c r="B1265" s="7" t="str">
        <f>IFERROR(__xludf.DUMMYFUNCTION("""COMPUTED_VALUE"""),"C++;C#;HTML/CSS;Java;JavaScript;PHP")</f>
        <v>C++;C#;HTML/CSS;Java;JavaScript;PHP</v>
      </c>
      <c r="C1265" s="9" t="str">
        <f>IFERROR(__xludf.DUMMYFUNCTION("""COMPUTED_VALUE"""),"PHP")</f>
        <v>PHP</v>
      </c>
      <c r="D1265" s="9" t="str">
        <f>IFERROR(__xludf.DUMMYFUNCTION("""COMPUTED_VALUE"""),"HTML/CSS")</f>
        <v>HTML/CSS</v>
      </c>
      <c r="E1265" s="9" t="str">
        <f>IFERROR(__xludf.DUMMYFUNCTION("""COMPUTED_VALUE"""),"C#")</f>
        <v>C#</v>
      </c>
      <c r="F1265" s="9" t="str">
        <f>IFERROR(__xludf.DUMMYFUNCTION("""COMPUTED_VALUE"""),"C#")</f>
        <v>C#</v>
      </c>
      <c r="G1265" s="9" t="str">
        <f>IFERROR(__xludf.DUMMYFUNCTION("""COMPUTED_VALUE"""),"TypeScript")</f>
        <v>TypeScript</v>
      </c>
      <c r="H1265" s="9" t="str">
        <f>IFERROR(__xludf.DUMMYFUNCTION("""COMPUTED_VALUE"""),"SQL")</f>
        <v>SQL</v>
      </c>
      <c r="I1265" s="9" t="str">
        <f>IFERROR(__xludf.DUMMYFUNCTION("""COMPUTED_VALUE"""),"JavaScript")</f>
        <v>JavaScript</v>
      </c>
      <c r="J1265" s="9" t="str">
        <f>IFERROR(__xludf.DUMMYFUNCTION("""COMPUTED_VALUE"""),"Java")</f>
        <v>Java</v>
      </c>
      <c r="K1265" s="9" t="str">
        <f>IFERROR(__xludf.DUMMYFUNCTION("""COMPUTED_VALUE"""),"Bash/Shell/PowerShell")</f>
        <v>Bash/Shell/PowerShell</v>
      </c>
      <c r="L1265" s="9" t="str">
        <f>IFERROR(__xludf.DUMMYFUNCTION("""COMPUTED_VALUE"""),"TypeScript")</f>
        <v>TypeScript</v>
      </c>
      <c r="M1265" s="9" t="s">
        <v>37</v>
      </c>
    </row>
    <row r="1266" ht="15.75" customHeight="1">
      <c r="A1266" s="7"/>
      <c r="B1266" s="7" t="str">
        <f>IFERROR(__xludf.DUMMYFUNCTION("""COMPUTED_VALUE"""),"HTML/CSS;JavaScript")</f>
        <v>HTML/CSS;JavaScript</v>
      </c>
      <c r="C1266" s="9" t="str">
        <f>IFERROR(__xludf.DUMMYFUNCTION("""COMPUTED_VALUE"""),"Ruby")</f>
        <v>Ruby</v>
      </c>
      <c r="D1266" s="9" t="str">
        <f>IFERROR(__xludf.DUMMYFUNCTION("""COMPUTED_VALUE"""),"JavaScript")</f>
        <v>JavaScript</v>
      </c>
      <c r="E1266" s="9" t="str">
        <f>IFERROR(__xludf.DUMMYFUNCTION("""COMPUTED_VALUE"""),"HTML/CSS")</f>
        <v>HTML/CSS</v>
      </c>
      <c r="F1266" s="9" t="str">
        <f>IFERROR(__xludf.DUMMYFUNCTION("""COMPUTED_VALUE"""),"HTML/CSS")</f>
        <v>HTML/CSS</v>
      </c>
      <c r="G1266" s="9" t="str">
        <f>IFERROR(__xludf.DUMMYFUNCTION("""COMPUTED_VALUE"""),"Bash/Shell/PowerShell")</f>
        <v>Bash/Shell/PowerShell</v>
      </c>
      <c r="H1266" s="9" t="str">
        <f>IFERROR(__xludf.DUMMYFUNCTION("""COMPUTED_VALUE"""),"Assembly")</f>
        <v>Assembly</v>
      </c>
      <c r="I1266" s="9" t="str">
        <f>IFERROR(__xludf.DUMMYFUNCTION("""COMPUTED_VALUE"""),"Python")</f>
        <v>Python</v>
      </c>
      <c r="J1266" s="9" t="str">
        <f>IFERROR(__xludf.DUMMYFUNCTION("""COMPUTED_VALUE"""),"JavaScript")</f>
        <v>JavaScript</v>
      </c>
      <c r="K1266" s="9" t="str">
        <f>IFERROR(__xludf.DUMMYFUNCTION("""COMPUTED_VALUE"""),"C++")</f>
        <v>C++</v>
      </c>
      <c r="L1266" s="9" t="str">
        <f>IFERROR(__xludf.DUMMYFUNCTION("""COMPUTED_VALUE"""),"Bash/Shell/PowerShell")</f>
        <v>Bash/Shell/PowerShell</v>
      </c>
      <c r="M1266" s="9" t="s">
        <v>31</v>
      </c>
    </row>
    <row r="1267" ht="15.75" customHeight="1">
      <c r="A1267" s="7"/>
      <c r="B1267" s="7" t="str">
        <f>IFERROR(__xludf.DUMMYFUNCTION("""COMPUTED_VALUE"""),"C#;HTML/CSS;JavaScript;SQL;TypeScript")</f>
        <v>C#;HTML/CSS;JavaScript;SQL;TypeScript</v>
      </c>
      <c r="C1267" s="9" t="str">
        <f>IFERROR(__xludf.DUMMYFUNCTION("""COMPUTED_VALUE"""),"SQL")</f>
        <v>SQL</v>
      </c>
      <c r="D1267" s="9" t="str">
        <f>IFERROR(__xludf.DUMMYFUNCTION("""COMPUTED_VALUE"""),"Bash/Shell/PowerShell")</f>
        <v>Bash/Shell/PowerShell</v>
      </c>
      <c r="E1267" s="9" t="str">
        <f>IFERROR(__xludf.DUMMYFUNCTION("""COMPUTED_VALUE"""),"Java")</f>
        <v>Java</v>
      </c>
      <c r="F1267" s="9" t="str">
        <f>IFERROR(__xludf.DUMMYFUNCTION("""COMPUTED_VALUE"""),"Java")</f>
        <v>Java</v>
      </c>
      <c r="G1267" s="9" t="str">
        <f>IFERROR(__xludf.DUMMYFUNCTION("""COMPUTED_VALUE"""),"JavaScript")</f>
        <v>JavaScript</v>
      </c>
      <c r="H1267" s="9" t="str">
        <f>IFERROR(__xludf.DUMMYFUNCTION("""COMPUTED_VALUE"""),"C")</f>
        <v>C</v>
      </c>
      <c r="I1267" s="9" t="str">
        <f>IFERROR(__xludf.DUMMYFUNCTION("""COMPUTED_VALUE"""),"SQL")</f>
        <v>SQL</v>
      </c>
      <c r="J1267" s="9" t="str">
        <f>IFERROR(__xludf.DUMMYFUNCTION("""COMPUTED_VALUE"""),"PHP")</f>
        <v>PHP</v>
      </c>
      <c r="K1267" s="9" t="str">
        <f>IFERROR(__xludf.DUMMYFUNCTION("""COMPUTED_VALUE"""),"HTML/CSS")</f>
        <v>HTML/CSS</v>
      </c>
      <c r="L1267" s="9" t="str">
        <f>IFERROR(__xludf.DUMMYFUNCTION("""COMPUTED_VALUE"""),"C++")</f>
        <v>C++</v>
      </c>
      <c r="M1267" s="9" t="s">
        <v>27</v>
      </c>
    </row>
    <row r="1268" ht="15.75" customHeight="1">
      <c r="A1268" s="7"/>
      <c r="B1268" s="7" t="str">
        <f>IFERROR(__xludf.DUMMYFUNCTION("""COMPUTED_VALUE"""),"Bash/Shell/PowerShell;C;C++;C#;HTML/CSS;Java;JavaScript;Python;R;SQL;TypeScript")</f>
        <v>Bash/Shell/PowerShell;C;C++;C#;HTML/CSS;Java;JavaScript;Python;R;SQL;TypeScript</v>
      </c>
      <c r="C1268" s="9" t="str">
        <f>IFERROR(__xludf.DUMMYFUNCTION("""COMPUTED_VALUE"""),"C#")</f>
        <v>C#</v>
      </c>
      <c r="D1268" s="9" t="str">
        <f>IFERROR(__xludf.DUMMYFUNCTION("""COMPUTED_VALUE"""),"C")</f>
        <v>C</v>
      </c>
      <c r="E1268" s="9" t="str">
        <f>IFERROR(__xludf.DUMMYFUNCTION("""COMPUTED_VALUE"""),"JavaScript")</f>
        <v>JavaScript</v>
      </c>
      <c r="F1268" s="9" t="str">
        <f>IFERROR(__xludf.DUMMYFUNCTION("""COMPUTED_VALUE"""),"JavaScript")</f>
        <v>JavaScript</v>
      </c>
      <c r="G1268" s="9" t="str">
        <f>IFERROR(__xludf.DUMMYFUNCTION("""COMPUTED_VALUE"""),"Python")</f>
        <v>Python</v>
      </c>
      <c r="H1268" s="9" t="str">
        <f>IFERROR(__xludf.DUMMYFUNCTION("""COMPUTED_VALUE"""),"C++")</f>
        <v>C++</v>
      </c>
      <c r="I1268" s="9" t="str">
        <f>IFERROR(__xludf.DUMMYFUNCTION("""COMPUTED_VALUE"""),"TypeScript")</f>
        <v>TypeScript</v>
      </c>
      <c r="J1268" s="9" t="str">
        <f>IFERROR(__xludf.DUMMYFUNCTION("""COMPUTED_VALUE"""),"SQL")</f>
        <v>SQL</v>
      </c>
      <c r="K1268" s="9" t="str">
        <f>IFERROR(__xludf.DUMMYFUNCTION("""COMPUTED_VALUE"""),"JavaScript")</f>
        <v>JavaScript</v>
      </c>
      <c r="L1268" s="9" t="str">
        <f>IFERROR(__xludf.DUMMYFUNCTION("""COMPUTED_VALUE"""),"Python")</f>
        <v>Python</v>
      </c>
      <c r="M1268" s="9" t="s">
        <v>26</v>
      </c>
    </row>
    <row r="1269" ht="15.75" customHeight="1">
      <c r="A1269" s="7"/>
      <c r="B1269" s="7" t="str">
        <f>IFERROR(__xludf.DUMMYFUNCTION("""COMPUTED_VALUE"""),"Bash/Shell/PowerShell;C;HTML/CSS;Java;JavaScript;Python;SQL;Other(s):")</f>
        <v>Bash/Shell/PowerShell;C;HTML/CSS;Java;JavaScript;Python;SQL;Other(s):</v>
      </c>
      <c r="C1269" s="9" t="str">
        <f>IFERROR(__xludf.DUMMYFUNCTION("""COMPUTED_VALUE"""),"Python")</f>
        <v>Python</v>
      </c>
      <c r="D1269" s="9" t="str">
        <f>IFERROR(__xludf.DUMMYFUNCTION("""COMPUTED_VALUE"""),"C#")</f>
        <v>C#</v>
      </c>
      <c r="E1269" s="9" t="str">
        <f>IFERROR(__xludf.DUMMYFUNCTION("""COMPUTED_VALUE"""),"Python")</f>
        <v>Python</v>
      </c>
      <c r="F1269" s="9" t="str">
        <f>IFERROR(__xludf.DUMMYFUNCTION("""COMPUTED_VALUE"""),"Python")</f>
        <v>Python</v>
      </c>
      <c r="G1269" s="9" t="str">
        <f>IFERROR(__xludf.DUMMYFUNCTION("""COMPUTED_VALUE"""),"SQL")</f>
        <v>SQL</v>
      </c>
      <c r="H1269" s="9" t="str">
        <f>IFERROR(__xludf.DUMMYFUNCTION("""COMPUTED_VALUE"""),"C#")</f>
        <v>C#</v>
      </c>
      <c r="I1269" s="9" t="str">
        <f>IFERROR(__xludf.DUMMYFUNCTION("""COMPUTED_VALUE"""),"C")</f>
        <v>C</v>
      </c>
      <c r="J1269" s="9" t="str">
        <f>IFERROR(__xludf.DUMMYFUNCTION("""COMPUTED_VALUE"""),"C#")</f>
        <v>C#</v>
      </c>
      <c r="K1269" s="9" t="str">
        <f>IFERROR(__xludf.DUMMYFUNCTION("""COMPUTED_VALUE"""),"PHP")</f>
        <v>PHP</v>
      </c>
      <c r="L1269" s="9" t="str">
        <f>IFERROR(__xludf.DUMMYFUNCTION("""COMPUTED_VALUE"""),"Python")</f>
        <v>Python</v>
      </c>
      <c r="M1269" s="9" t="s">
        <v>22</v>
      </c>
    </row>
    <row r="1270" ht="15.75" customHeight="1">
      <c r="A1270" s="7"/>
      <c r="B1270" s="7" t="str">
        <f>IFERROR(__xludf.DUMMYFUNCTION("""COMPUTED_VALUE"""),"Bash/Shell/PowerShell;HTML/CSS;JavaScript;PHP;Python;Ruby;SQL;TypeScript")</f>
        <v>Bash/Shell/PowerShell;HTML/CSS;JavaScript;PHP;Python;Ruby;SQL;TypeScript</v>
      </c>
      <c r="C1270" s="9" t="str">
        <f>IFERROR(__xludf.DUMMYFUNCTION("""COMPUTED_VALUE"""),"SQL")</f>
        <v>SQL</v>
      </c>
      <c r="D1270" s="9" t="str">
        <f>IFERROR(__xludf.DUMMYFUNCTION("""COMPUTED_VALUE"""),"HTML/CSS")</f>
        <v>HTML/CSS</v>
      </c>
      <c r="E1270" s="9" t="str">
        <f>IFERROR(__xludf.DUMMYFUNCTION("""COMPUTED_VALUE"""),"SQL")</f>
        <v>SQL</v>
      </c>
      <c r="F1270" s="9" t="str">
        <f>IFERROR(__xludf.DUMMYFUNCTION("""COMPUTED_VALUE"""),"Rust")</f>
        <v>Rust</v>
      </c>
      <c r="G1270" s="9" t="str">
        <f>IFERROR(__xludf.DUMMYFUNCTION("""COMPUTED_VALUE"""),"TypeScript")</f>
        <v>TypeScript</v>
      </c>
      <c r="H1270" s="9" t="str">
        <f>IFERROR(__xludf.DUMMYFUNCTION("""COMPUTED_VALUE"""),"Java")</f>
        <v>Java</v>
      </c>
      <c r="I1270" s="9" t="str">
        <f>IFERROR(__xludf.DUMMYFUNCTION("""COMPUTED_VALUE"""),"C++")</f>
        <v>C++</v>
      </c>
      <c r="J1270" s="9" t="str">
        <f>IFERROR(__xludf.DUMMYFUNCTION("""COMPUTED_VALUE"""),"HTML/CSS")</f>
        <v>HTML/CSS</v>
      </c>
      <c r="K1270" s="9" t="str">
        <f>IFERROR(__xludf.DUMMYFUNCTION("""COMPUTED_VALUE"""),"Python")</f>
        <v>Python</v>
      </c>
      <c r="L1270" s="9" t="str">
        <f>IFERROR(__xludf.DUMMYFUNCTION("""COMPUTED_VALUE"""),"R")</f>
        <v>R</v>
      </c>
      <c r="M1270" s="9" t="s">
        <v>27</v>
      </c>
    </row>
    <row r="1271" ht="15.75" customHeight="1">
      <c r="A1271" s="7"/>
      <c r="B1271" s="7" t="str">
        <f>IFERROR(__xludf.DUMMYFUNCTION("""COMPUTED_VALUE"""),"Assembly;Bash/Shell/PowerShell;C;C++;HTML/CSS;Java;JavaScript;Python;R;Scala;SQL;Swift;TypeScript")</f>
        <v>Assembly;Bash/Shell/PowerShell;C;C++;HTML/CSS;Java;JavaScript;Python;R;Scala;SQL;Swift;TypeScript</v>
      </c>
      <c r="C1271" s="9" t="str">
        <f>IFERROR(__xludf.DUMMYFUNCTION("""COMPUTED_VALUE"""),"TypeScript")</f>
        <v>TypeScript</v>
      </c>
      <c r="D1271" s="9" t="str">
        <f>IFERROR(__xludf.DUMMYFUNCTION("""COMPUTED_VALUE"""),"Java")</f>
        <v>Java</v>
      </c>
      <c r="E1271" s="9" t="str">
        <f>IFERROR(__xludf.DUMMYFUNCTION("""COMPUTED_VALUE"""),"TypeScript")</f>
        <v>TypeScript</v>
      </c>
      <c r="F1271" s="9" t="str">
        <f>IFERROR(__xludf.DUMMYFUNCTION("""COMPUTED_VALUE"""),"Scala")</f>
        <v>Scala</v>
      </c>
      <c r="G1271" s="9" t="str">
        <f>IFERROR(__xludf.DUMMYFUNCTION("""COMPUTED_VALUE"""),"C++")</f>
        <v>C++</v>
      </c>
      <c r="H1271" s="9" t="str">
        <f>IFERROR(__xludf.DUMMYFUNCTION("""COMPUTED_VALUE"""),"HTML/CSS")</f>
        <v>HTML/CSS</v>
      </c>
      <c r="I1271" s="9" t="str">
        <f>IFERROR(__xludf.DUMMYFUNCTION("""COMPUTED_VALUE"""),"HTML/CSS")</f>
        <v>HTML/CSS</v>
      </c>
      <c r="J1271" s="9" t="str">
        <f>IFERROR(__xludf.DUMMYFUNCTION("""COMPUTED_VALUE"""),"JavaScript")</f>
        <v>JavaScript</v>
      </c>
      <c r="K1271" s="9" t="str">
        <f>IFERROR(__xludf.DUMMYFUNCTION("""COMPUTED_VALUE"""),"Bash/Shell/PowerShell")</f>
        <v>Bash/Shell/PowerShell</v>
      </c>
      <c r="L1271" s="9" t="str">
        <f>IFERROR(__xludf.DUMMYFUNCTION("""COMPUTED_VALUE"""),"SQL")</f>
        <v>SQL</v>
      </c>
      <c r="M1271" s="9" t="s">
        <v>33</v>
      </c>
    </row>
    <row r="1272" ht="15.75" customHeight="1">
      <c r="A1272" s="7"/>
      <c r="B1272" s="7" t="str">
        <f>IFERROR(__xludf.DUMMYFUNCTION("""COMPUTED_VALUE"""),"Bash/Shell/PowerShell;C#;F#;HTML/CSS;JavaScript;SQL;Swift")</f>
        <v>Bash/Shell/PowerShell;C#;F#;HTML/CSS;JavaScript;SQL;Swift</v>
      </c>
      <c r="C1272" s="9" t="str">
        <f>IFERROR(__xludf.DUMMYFUNCTION("""COMPUTED_VALUE"""),"Bash/Shell/PowerShell")</f>
        <v>Bash/Shell/PowerShell</v>
      </c>
      <c r="D1272" s="9" t="str">
        <f>IFERROR(__xludf.DUMMYFUNCTION("""COMPUTED_VALUE"""),"JavaScript")</f>
        <v>JavaScript</v>
      </c>
      <c r="E1272" s="9" t="str">
        <f>IFERROR(__xludf.DUMMYFUNCTION("""COMPUTED_VALUE"""),"Java")</f>
        <v>Java</v>
      </c>
      <c r="F1272" s="9" t="str">
        <f>IFERROR(__xludf.DUMMYFUNCTION("""COMPUTED_VALUE"""),"SQL")</f>
        <v>SQL</v>
      </c>
      <c r="G1272" s="9" t="str">
        <f>IFERROR(__xludf.DUMMYFUNCTION("""COMPUTED_VALUE"""),"HTML/CSS")</f>
        <v>HTML/CSS</v>
      </c>
      <c r="H1272" s="9" t="str">
        <f>IFERROR(__xludf.DUMMYFUNCTION("""COMPUTED_VALUE"""),"JavaScript")</f>
        <v>JavaScript</v>
      </c>
      <c r="I1272" s="9" t="str">
        <f>IFERROR(__xludf.DUMMYFUNCTION("""COMPUTED_VALUE"""),"Java")</f>
        <v>Java</v>
      </c>
      <c r="J1272" s="9" t="str">
        <f>IFERROR(__xludf.DUMMYFUNCTION("""COMPUTED_VALUE"""),"PHP")</f>
        <v>PHP</v>
      </c>
      <c r="K1272" s="9" t="str">
        <f>IFERROR(__xludf.DUMMYFUNCTION("""COMPUTED_VALUE"""),"C++")</f>
        <v>C++</v>
      </c>
      <c r="L1272" s="9" t="str">
        <f>IFERROR(__xludf.DUMMYFUNCTION("""COMPUTED_VALUE"""),"VBA")</f>
        <v>VBA</v>
      </c>
      <c r="M1272" s="9" t="s">
        <v>30</v>
      </c>
    </row>
    <row r="1273" ht="15.75" customHeight="1">
      <c r="A1273" s="7"/>
      <c r="B1273" s="7" t="str">
        <f>IFERROR(__xludf.DUMMYFUNCTION("""COMPUTED_VALUE"""),"HTML/CSS;JavaScript;Python;Ruby;SQL")</f>
        <v>HTML/CSS;JavaScript;Python;Ruby;SQL</v>
      </c>
      <c r="C1273" s="9" t="str">
        <f>IFERROR(__xludf.DUMMYFUNCTION("""COMPUTED_VALUE"""),"C")</f>
        <v>C</v>
      </c>
      <c r="D1273" s="9" t="str">
        <f>IFERROR(__xludf.DUMMYFUNCTION("""COMPUTED_VALUE"""),"Python")</f>
        <v>Python</v>
      </c>
      <c r="E1273" s="9" t="str">
        <f>IFERROR(__xludf.DUMMYFUNCTION("""COMPUTED_VALUE"""),"JavaScript")</f>
        <v>JavaScript</v>
      </c>
      <c r="F1273" s="9" t="str">
        <f>IFERROR(__xludf.DUMMYFUNCTION("""COMPUTED_VALUE"""),"TypeScript")</f>
        <v>TypeScript</v>
      </c>
      <c r="G1273" s="9" t="str">
        <f>IFERROR(__xludf.DUMMYFUNCTION("""COMPUTED_VALUE"""),"Java")</f>
        <v>Java</v>
      </c>
      <c r="H1273" s="9" t="str">
        <f>IFERROR(__xludf.DUMMYFUNCTION("""COMPUTED_VALUE"""),"PHP")</f>
        <v>PHP</v>
      </c>
      <c r="I1273" s="9" t="str">
        <f>IFERROR(__xludf.DUMMYFUNCTION("""COMPUTED_VALUE"""),"PHP")</f>
        <v>PHP</v>
      </c>
      <c r="J1273" s="9" t="str">
        <f>IFERROR(__xludf.DUMMYFUNCTION("""COMPUTED_VALUE"""),"SQL")</f>
        <v>SQL</v>
      </c>
      <c r="K1273" s="9" t="str">
        <f>IFERROR(__xludf.DUMMYFUNCTION("""COMPUTED_VALUE"""),"C#")</f>
        <v>C#</v>
      </c>
      <c r="L1273" s="9" t="str">
        <f>IFERROR(__xludf.DUMMYFUNCTION("""COMPUTED_VALUE"""),"Bash/Shell/PowerShell")</f>
        <v>Bash/Shell/PowerShell</v>
      </c>
      <c r="M1273" s="9" t="s">
        <v>25</v>
      </c>
    </row>
    <row r="1274" ht="15.75" customHeight="1">
      <c r="A1274" s="7"/>
      <c r="B1274" s="7" t="str">
        <f>IFERROR(__xludf.DUMMYFUNCTION("""COMPUTED_VALUE"""),"HTML/CSS;Java;JavaScript;PHP;Python;SQL;VBA")</f>
        <v>HTML/CSS;Java;JavaScript;PHP;Python;SQL;VBA</v>
      </c>
      <c r="C1274" s="9" t="str">
        <f>IFERROR(__xludf.DUMMYFUNCTION("""COMPUTED_VALUE"""),"HTML/CSS")</f>
        <v>HTML/CSS</v>
      </c>
      <c r="D1274" s="9" t="str">
        <f>IFERROR(__xludf.DUMMYFUNCTION("""COMPUTED_VALUE"""),"SQL")</f>
        <v>SQL</v>
      </c>
      <c r="E1274" s="9" t="str">
        <f>IFERROR(__xludf.DUMMYFUNCTION("""COMPUTED_VALUE"""),"Kotlin")</f>
        <v>Kotlin</v>
      </c>
      <c r="F1274" s="9" t="str">
        <f>IFERROR(__xludf.DUMMYFUNCTION("""COMPUTED_VALUE"""),"Bash/Shell/PowerShell")</f>
        <v>Bash/Shell/PowerShell</v>
      </c>
      <c r="G1274" s="9" t="str">
        <f>IFERROR(__xludf.DUMMYFUNCTION("""COMPUTED_VALUE"""),"JavaScript")</f>
        <v>JavaScript</v>
      </c>
      <c r="H1274" s="9" t="str">
        <f>IFERROR(__xludf.DUMMYFUNCTION("""COMPUTED_VALUE"""),"SQL")</f>
        <v>SQL</v>
      </c>
      <c r="I1274" s="9" t="str">
        <f>IFERROR(__xludf.DUMMYFUNCTION("""COMPUTED_VALUE"""),"SQL")</f>
        <v>SQL</v>
      </c>
      <c r="J1274" s="9" t="str">
        <f>IFERROR(__xludf.DUMMYFUNCTION("""COMPUTED_VALUE"""),"TypeScript")</f>
        <v>TypeScript</v>
      </c>
      <c r="K1274" s="9" t="str">
        <f>IFERROR(__xludf.DUMMYFUNCTION("""COMPUTED_VALUE"""),"Go")</f>
        <v>Go</v>
      </c>
      <c r="L1274" s="9" t="str">
        <f>IFERROR(__xludf.DUMMYFUNCTION("""COMPUTED_VALUE"""),"HTML/CSS")</f>
        <v>HTML/CSS</v>
      </c>
      <c r="M1274" s="9" t="s">
        <v>24</v>
      </c>
    </row>
    <row r="1275" ht="15.75" customHeight="1">
      <c r="A1275" s="7"/>
      <c r="B1275" s="7" t="str">
        <f>IFERROR(__xludf.DUMMYFUNCTION("""COMPUTED_VALUE"""),"HTML/CSS;PHP;SQL")</f>
        <v>HTML/CSS;PHP;SQL</v>
      </c>
      <c r="C1275" s="9" t="str">
        <f>IFERROR(__xludf.DUMMYFUNCTION("""COMPUTED_VALUE"""),"Java")</f>
        <v>Java</v>
      </c>
      <c r="D1275" s="9" t="str">
        <f>IFERROR(__xludf.DUMMYFUNCTION("""COMPUTED_VALUE"""),"Bash/Shell/PowerShell")</f>
        <v>Bash/Shell/PowerShell</v>
      </c>
      <c r="E1275" s="9" t="str">
        <f>IFERROR(__xludf.DUMMYFUNCTION("""COMPUTED_VALUE"""),"Python")</f>
        <v>Python</v>
      </c>
      <c r="F1275" s="9" t="str">
        <f>IFERROR(__xludf.DUMMYFUNCTION("""COMPUTED_VALUE"""),"HTML/CSS")</f>
        <v>HTML/CSS</v>
      </c>
      <c r="G1275" s="9" t="str">
        <f>IFERROR(__xludf.DUMMYFUNCTION("""COMPUTED_VALUE"""),"PHP")</f>
        <v>PHP</v>
      </c>
      <c r="H1275" s="9" t="str">
        <f>IFERROR(__xludf.DUMMYFUNCTION("""COMPUTED_VALUE"""),"C#")</f>
        <v>C#</v>
      </c>
      <c r="I1275" s="9" t="str">
        <f>IFERROR(__xludf.DUMMYFUNCTION("""COMPUTED_VALUE"""),"Go")</f>
        <v>Go</v>
      </c>
      <c r="J1275" s="9" t="str">
        <f>IFERROR(__xludf.DUMMYFUNCTION("""COMPUTED_VALUE"""),"Bash/Shell/PowerShell")</f>
        <v>Bash/Shell/PowerShell</v>
      </c>
      <c r="K1275" s="9" t="str">
        <f>IFERROR(__xludf.DUMMYFUNCTION("""COMPUTED_VALUE"""),"HTML/CSS")</f>
        <v>HTML/CSS</v>
      </c>
      <c r="L1275" s="9" t="str">
        <f>IFERROR(__xludf.DUMMYFUNCTION("""COMPUTED_VALUE"""),"Java")</f>
        <v>Java</v>
      </c>
      <c r="M1275" s="9" t="s">
        <v>20</v>
      </c>
    </row>
    <row r="1276" ht="15.75" customHeight="1">
      <c r="A1276" s="7"/>
      <c r="B1276" s="7" t="str">
        <f>IFERROR(__xludf.DUMMYFUNCTION("""COMPUTED_VALUE"""),"Assembly;C#;SQL")</f>
        <v>Assembly;C#;SQL</v>
      </c>
      <c r="C1276" s="9" t="str">
        <f>IFERROR(__xludf.DUMMYFUNCTION("""COMPUTED_VALUE"""),"JavaScript")</f>
        <v>JavaScript</v>
      </c>
      <c r="D1276" s="9" t="str">
        <f>IFERROR(__xludf.DUMMYFUNCTION("""COMPUTED_VALUE"""),"C")</f>
        <v>C</v>
      </c>
      <c r="E1276" s="9" t="str">
        <f>IFERROR(__xludf.DUMMYFUNCTION("""COMPUTED_VALUE"""),"R")</f>
        <v>R</v>
      </c>
      <c r="F1276" s="9" t="str">
        <f>IFERROR(__xludf.DUMMYFUNCTION("""COMPUTED_VALUE"""),"JavaScript")</f>
        <v>JavaScript</v>
      </c>
      <c r="G1276" s="9" t="str">
        <f>IFERROR(__xludf.DUMMYFUNCTION("""COMPUTED_VALUE"""),"Python")</f>
        <v>Python</v>
      </c>
      <c r="H1276" s="9" t="str">
        <f>IFERROR(__xludf.DUMMYFUNCTION("""COMPUTED_VALUE"""),"Java")</f>
        <v>Java</v>
      </c>
      <c r="I1276" s="9" t="str">
        <f>IFERROR(__xludf.DUMMYFUNCTION("""COMPUTED_VALUE"""),"HTML/CSS")</f>
        <v>HTML/CSS</v>
      </c>
      <c r="J1276" s="9" t="str">
        <f>IFERROR(__xludf.DUMMYFUNCTION("""COMPUTED_VALUE"""),"C++")</f>
        <v>C++</v>
      </c>
      <c r="K1276" s="9" t="str">
        <f>IFERROR(__xludf.DUMMYFUNCTION("""COMPUTED_VALUE"""),"Java")</f>
        <v>Java</v>
      </c>
      <c r="L1276" s="9" t="str">
        <f>IFERROR(__xludf.DUMMYFUNCTION("""COMPUTED_VALUE"""),"Python")</f>
        <v>Python</v>
      </c>
      <c r="M1276" s="9" t="s">
        <v>21</v>
      </c>
    </row>
    <row r="1277" ht="15.75" customHeight="1">
      <c r="A1277" s="7"/>
      <c r="B1277" s="7" t="str">
        <f>IFERROR(__xludf.DUMMYFUNCTION("""COMPUTED_VALUE"""),"C;HTML/CSS;JavaScript;Python;R;Ruby")</f>
        <v>C;HTML/CSS;JavaScript;Python;R;Ruby</v>
      </c>
      <c r="C1277" s="9" t="str">
        <f>IFERROR(__xludf.DUMMYFUNCTION("""COMPUTED_VALUE"""),"Python")</f>
        <v>Python</v>
      </c>
      <c r="D1277" s="9" t="str">
        <f>IFERROR(__xludf.DUMMYFUNCTION("""COMPUTED_VALUE"""),"C++")</f>
        <v>C++</v>
      </c>
      <c r="E1277" s="9" t="str">
        <f>IFERROR(__xludf.DUMMYFUNCTION("""COMPUTED_VALUE"""),"Scala")</f>
        <v>Scala</v>
      </c>
      <c r="F1277" s="9" t="str">
        <f>IFERROR(__xludf.DUMMYFUNCTION("""COMPUTED_VALUE"""),"Python")</f>
        <v>Python</v>
      </c>
      <c r="G1277" s="9" t="str">
        <f>IFERROR(__xludf.DUMMYFUNCTION("""COMPUTED_VALUE"""),"SQL")</f>
        <v>SQL</v>
      </c>
      <c r="H1277" s="9" t="str">
        <f>IFERROR(__xludf.DUMMYFUNCTION("""COMPUTED_VALUE"""),"JavaScript")</f>
        <v>JavaScript</v>
      </c>
      <c r="I1277" s="9" t="str">
        <f>IFERROR(__xludf.DUMMYFUNCTION("""COMPUTED_VALUE"""),"JavaScript")</f>
        <v>JavaScript</v>
      </c>
      <c r="J1277" s="9" t="str">
        <f>IFERROR(__xludf.DUMMYFUNCTION("""COMPUTED_VALUE"""),"HTML/CSS")</f>
        <v>HTML/CSS</v>
      </c>
      <c r="K1277" s="9" t="str">
        <f>IFERROR(__xludf.DUMMYFUNCTION("""COMPUTED_VALUE"""),"JavaScript")</f>
        <v>JavaScript</v>
      </c>
      <c r="L1277" s="9" t="str">
        <f>IFERROR(__xludf.DUMMYFUNCTION("""COMPUTED_VALUE"""),"Scala")</f>
        <v>Scala</v>
      </c>
      <c r="M1277" s="9" t="s">
        <v>22</v>
      </c>
    </row>
    <row r="1278" ht="15.75" customHeight="1">
      <c r="A1278" s="7"/>
      <c r="B1278" s="7" t="str">
        <f>IFERROR(__xludf.DUMMYFUNCTION("""COMPUTED_VALUE"""),"Bash/Shell/PowerShell;C#;HTML/CSS;JavaScript;Python;SQL")</f>
        <v>Bash/Shell/PowerShell;C#;HTML/CSS;JavaScript;Python;SQL</v>
      </c>
      <c r="C1278" s="9" t="str">
        <f>IFERROR(__xludf.DUMMYFUNCTION("""COMPUTED_VALUE"""),"TypeScript")</f>
        <v>TypeScript</v>
      </c>
      <c r="D1278" s="9" t="str">
        <f>IFERROR(__xludf.DUMMYFUNCTION("""COMPUTED_VALUE"""),"C#")</f>
        <v>C#</v>
      </c>
      <c r="E1278" s="9" t="str">
        <f>IFERROR(__xludf.DUMMYFUNCTION("""COMPUTED_VALUE"""),"TypeScript")</f>
        <v>TypeScript</v>
      </c>
      <c r="F1278" s="9" t="str">
        <f>IFERROR(__xludf.DUMMYFUNCTION("""COMPUTED_VALUE"""),"Assembly")</f>
        <v>Assembly</v>
      </c>
      <c r="G1278" s="9" t="str">
        <f>IFERROR(__xludf.DUMMYFUNCTION("""COMPUTED_VALUE"""),"HTML/CSS")</f>
        <v>HTML/CSS</v>
      </c>
      <c r="H1278" s="9" t="str">
        <f>IFERROR(__xludf.DUMMYFUNCTION("""COMPUTED_VALUE"""),"TypeScript")</f>
        <v>TypeScript</v>
      </c>
      <c r="I1278" s="9" t="str">
        <f>IFERROR(__xludf.DUMMYFUNCTION("""COMPUTED_VALUE"""),"TypeScript")</f>
        <v>TypeScript</v>
      </c>
      <c r="J1278" s="9" t="str">
        <f>IFERROR(__xludf.DUMMYFUNCTION("""COMPUTED_VALUE"""),"JavaScript")</f>
        <v>JavaScript</v>
      </c>
      <c r="K1278" s="9" t="str">
        <f>IFERROR(__xludf.DUMMYFUNCTION("""COMPUTED_VALUE"""),"Python")</f>
        <v>Python</v>
      </c>
      <c r="L1278" s="9" t="str">
        <f>IFERROR(__xludf.DUMMYFUNCTION("""COMPUTED_VALUE"""),"SQL")</f>
        <v>SQL</v>
      </c>
      <c r="M1278" s="9" t="s">
        <v>33</v>
      </c>
    </row>
    <row r="1279" ht="15.75" customHeight="1">
      <c r="A1279" s="7"/>
      <c r="B1279" s="7" t="str">
        <f>IFERROR(__xludf.DUMMYFUNCTION("""COMPUTED_VALUE"""),"Java;Objective-C;PHP")</f>
        <v>Java;Objective-C;PHP</v>
      </c>
      <c r="C1279" s="9" t="str">
        <f>IFERROR(__xludf.DUMMYFUNCTION("""COMPUTED_VALUE"""),"Other(s):")</f>
        <v>Other(s):</v>
      </c>
      <c r="D1279" s="9" t="str">
        <f>IFERROR(__xludf.DUMMYFUNCTION("""COMPUTED_VALUE"""),"HTML/CSS")</f>
        <v>HTML/CSS</v>
      </c>
      <c r="E1279" s="9" t="str">
        <f>IFERROR(__xludf.DUMMYFUNCTION("""COMPUTED_VALUE"""),"Bash/Shell/PowerShell")</f>
        <v>Bash/Shell/PowerShell</v>
      </c>
      <c r="F1279" s="9" t="str">
        <f>IFERROR(__xludf.DUMMYFUNCTION("""COMPUTED_VALUE"""),"C")</f>
        <v>C</v>
      </c>
      <c r="G1279" s="9" t="str">
        <f>IFERROR(__xludf.DUMMYFUNCTION("""COMPUTED_VALUE"""),"JavaScript")</f>
        <v>JavaScript</v>
      </c>
      <c r="H1279" s="9" t="str">
        <f>IFERROR(__xludf.DUMMYFUNCTION("""COMPUTED_VALUE"""),"HTML/CSS")</f>
        <v>HTML/CSS</v>
      </c>
      <c r="I1279" s="9" t="str">
        <f>IFERROR(__xludf.DUMMYFUNCTION("""COMPUTED_VALUE"""),"C#")</f>
        <v>C#</v>
      </c>
      <c r="J1279" s="9" t="str">
        <f>IFERROR(__xludf.DUMMYFUNCTION("""COMPUTED_VALUE"""),"Python")</f>
        <v>Python</v>
      </c>
      <c r="K1279" s="9" t="str">
        <f>IFERROR(__xludf.DUMMYFUNCTION("""COMPUTED_VALUE"""),"SQL")</f>
        <v>SQL</v>
      </c>
      <c r="L1279" s="9" t="str">
        <f>IFERROR(__xludf.DUMMYFUNCTION("""COMPUTED_VALUE"""),"Assembly")</f>
        <v>Assembly</v>
      </c>
      <c r="M1279" s="9" t="s">
        <v>35</v>
      </c>
    </row>
    <row r="1280" ht="15.75" customHeight="1">
      <c r="A1280" s="7"/>
      <c r="B1280" s="7" t="str">
        <f>IFERROR(__xludf.DUMMYFUNCTION("""COMPUTED_VALUE"""),"HTML/CSS;JavaScript")</f>
        <v>HTML/CSS;JavaScript</v>
      </c>
      <c r="C1280" s="9" t="str">
        <f>IFERROR(__xludf.DUMMYFUNCTION("""COMPUTED_VALUE"""),"C")</f>
        <v>C</v>
      </c>
      <c r="D1280" s="9" t="str">
        <f>IFERROR(__xludf.DUMMYFUNCTION("""COMPUTED_VALUE"""),"Java")</f>
        <v>Java</v>
      </c>
      <c r="E1280" s="9" t="str">
        <f>IFERROR(__xludf.DUMMYFUNCTION("""COMPUTED_VALUE"""),"HTML/CSS")</f>
        <v>HTML/CSS</v>
      </c>
      <c r="F1280" s="9" t="str">
        <f>IFERROR(__xludf.DUMMYFUNCTION("""COMPUTED_VALUE"""),"HTML/CSS")</f>
        <v>HTML/CSS</v>
      </c>
      <c r="G1280" s="9" t="str">
        <f>IFERROR(__xludf.DUMMYFUNCTION("""COMPUTED_VALUE"""),"HTML/CSS")</f>
        <v>HTML/CSS</v>
      </c>
      <c r="H1280" s="9" t="str">
        <f>IFERROR(__xludf.DUMMYFUNCTION("""COMPUTED_VALUE"""),"JavaScript")</f>
        <v>JavaScript</v>
      </c>
      <c r="I1280" s="9" t="str">
        <f>IFERROR(__xludf.DUMMYFUNCTION("""COMPUTED_VALUE"""),"HTML/CSS")</f>
        <v>HTML/CSS</v>
      </c>
      <c r="J1280" s="9" t="str">
        <f>IFERROR(__xludf.DUMMYFUNCTION("""COMPUTED_VALUE"""),"SQL")</f>
        <v>SQL</v>
      </c>
      <c r="K1280" s="9" t="str">
        <f>IFERROR(__xludf.DUMMYFUNCTION("""COMPUTED_VALUE"""),"Bash/Shell/PowerShell")</f>
        <v>Bash/Shell/PowerShell</v>
      </c>
      <c r="L1280" s="9" t="str">
        <f>IFERROR(__xludf.DUMMYFUNCTION("""COMPUTED_VALUE"""),"C++")</f>
        <v>C++</v>
      </c>
      <c r="M1280" s="9" t="s">
        <v>25</v>
      </c>
    </row>
    <row r="1281" ht="15.75" customHeight="1">
      <c r="A1281" s="7"/>
      <c r="B1281" s="7" t="str">
        <f>IFERROR(__xludf.DUMMYFUNCTION("""COMPUTED_VALUE"""),"HTML/CSS;JavaScript;PHP")</f>
        <v>HTML/CSS;JavaScript;PHP</v>
      </c>
      <c r="C1281" s="9" t="str">
        <f>IFERROR(__xludf.DUMMYFUNCTION("""COMPUTED_VALUE"""),"C++")</f>
        <v>C++</v>
      </c>
      <c r="D1281" s="9" t="str">
        <f>IFERROR(__xludf.DUMMYFUNCTION("""COMPUTED_VALUE"""),"JavaScript")</f>
        <v>JavaScript</v>
      </c>
      <c r="E1281" s="9" t="str">
        <f>IFERROR(__xludf.DUMMYFUNCTION("""COMPUTED_VALUE"""),"JavaScript")</f>
        <v>JavaScript</v>
      </c>
      <c r="F1281" s="9" t="str">
        <f>IFERROR(__xludf.DUMMYFUNCTION("""COMPUTED_VALUE"""),"Java")</f>
        <v>Java</v>
      </c>
      <c r="G1281" s="9" t="str">
        <f>IFERROR(__xludf.DUMMYFUNCTION("""COMPUTED_VALUE"""),"Objective-C")</f>
        <v>Objective-C</v>
      </c>
      <c r="H1281" s="9" t="str">
        <f>IFERROR(__xludf.DUMMYFUNCTION("""COMPUTED_VALUE"""),"PHP")</f>
        <v>PHP</v>
      </c>
      <c r="I1281" s="9" t="str">
        <f>IFERROR(__xludf.DUMMYFUNCTION("""COMPUTED_VALUE"""),"JavaScript")</f>
        <v>JavaScript</v>
      </c>
      <c r="J1281" s="9" t="str">
        <f>IFERROR(__xludf.DUMMYFUNCTION("""COMPUTED_VALUE"""),"HTML/CSS")</f>
        <v>HTML/CSS</v>
      </c>
      <c r="K1281" s="9" t="str">
        <f>IFERROR(__xludf.DUMMYFUNCTION("""COMPUTED_VALUE"""),"HTML/CSS")</f>
        <v>HTML/CSS</v>
      </c>
      <c r="L1281" s="9" t="str">
        <f>IFERROR(__xludf.DUMMYFUNCTION("""COMPUTED_VALUE"""),"HTML/CSS")</f>
        <v>HTML/CSS</v>
      </c>
      <c r="M1281" s="9" t="s">
        <v>23</v>
      </c>
    </row>
    <row r="1282" ht="15.75" customHeight="1">
      <c r="A1282" s="7"/>
      <c r="B1282" s="7" t="str">
        <f>IFERROR(__xludf.DUMMYFUNCTION("""COMPUTED_VALUE"""),"HTML/CSS;Java;JavaScript;SQL;TypeScript")</f>
        <v>HTML/CSS;Java;JavaScript;SQL;TypeScript</v>
      </c>
      <c r="C1282" s="9" t="str">
        <f>IFERROR(__xludf.DUMMYFUNCTION("""COMPUTED_VALUE"""),"Java")</f>
        <v>Java</v>
      </c>
      <c r="D1282" s="9" t="str">
        <f>IFERROR(__xludf.DUMMYFUNCTION("""COMPUTED_VALUE"""),"Python")</f>
        <v>Python</v>
      </c>
      <c r="E1282" s="9" t="str">
        <f>IFERROR(__xludf.DUMMYFUNCTION("""COMPUTED_VALUE"""),"Python")</f>
        <v>Python</v>
      </c>
      <c r="F1282" s="9" t="str">
        <f>IFERROR(__xludf.DUMMYFUNCTION("""COMPUTED_VALUE"""),"JavaScript")</f>
        <v>JavaScript</v>
      </c>
      <c r="G1282" s="9" t="str">
        <f>IFERROR(__xludf.DUMMYFUNCTION("""COMPUTED_VALUE"""),"Swift")</f>
        <v>Swift</v>
      </c>
      <c r="H1282" s="9" t="str">
        <f>IFERROR(__xludf.DUMMYFUNCTION("""COMPUTED_VALUE"""),"SQL")</f>
        <v>SQL</v>
      </c>
      <c r="I1282" s="9" t="str">
        <f>IFERROR(__xludf.DUMMYFUNCTION("""COMPUTED_VALUE"""),"Python")</f>
        <v>Python</v>
      </c>
      <c r="J1282" s="9" t="str">
        <f>IFERROR(__xludf.DUMMYFUNCTION("""COMPUTED_VALUE"""),"JavaScript")</f>
        <v>JavaScript</v>
      </c>
      <c r="K1282" s="9" t="str">
        <f>IFERROR(__xludf.DUMMYFUNCTION("""COMPUTED_VALUE"""),"Java")</f>
        <v>Java</v>
      </c>
      <c r="L1282" s="9" t="str">
        <f>IFERROR(__xludf.DUMMYFUNCTION("""COMPUTED_VALUE"""),"JavaScript")</f>
        <v>JavaScript</v>
      </c>
      <c r="M1282" s="9" t="s">
        <v>20</v>
      </c>
    </row>
    <row r="1283" ht="15.75" customHeight="1">
      <c r="A1283" s="7"/>
      <c r="B1283" s="7" t="str">
        <f>IFERROR(__xludf.DUMMYFUNCTION("""COMPUTED_VALUE"""),"Python;SQL")</f>
        <v>Python;SQL</v>
      </c>
      <c r="C1283" s="9" t="str">
        <f>IFERROR(__xludf.DUMMYFUNCTION("""COMPUTED_VALUE"""),"Bash/Shell/PowerShell")</f>
        <v>Bash/Shell/PowerShell</v>
      </c>
      <c r="D1283" s="9" t="str">
        <f>IFERROR(__xludf.DUMMYFUNCTION("""COMPUTED_VALUE"""),"R")</f>
        <v>R</v>
      </c>
      <c r="E1283" s="9" t="str">
        <f>IFERROR(__xludf.DUMMYFUNCTION("""COMPUTED_VALUE"""),"VBA")</f>
        <v>VBA</v>
      </c>
      <c r="F1283" s="9" t="str">
        <f>IFERROR(__xludf.DUMMYFUNCTION("""COMPUTED_VALUE"""),"PHP")</f>
        <v>PHP</v>
      </c>
      <c r="G1283" s="9" t="str">
        <f>IFERROR(__xludf.DUMMYFUNCTION("""COMPUTED_VALUE"""),"Java")</f>
        <v>Java</v>
      </c>
      <c r="H1283" s="9" t="str">
        <f>IFERROR(__xludf.DUMMYFUNCTION("""COMPUTED_VALUE"""),"HTML/CSS")</f>
        <v>HTML/CSS</v>
      </c>
      <c r="I1283" s="9" t="str">
        <f>IFERROR(__xludf.DUMMYFUNCTION("""COMPUTED_VALUE"""),"SQL")</f>
        <v>SQL</v>
      </c>
      <c r="J1283" s="9" t="str">
        <f>IFERROR(__xludf.DUMMYFUNCTION("""COMPUTED_VALUE"""),"Python")</f>
        <v>Python</v>
      </c>
      <c r="K1283" s="9" t="str">
        <f>IFERROR(__xludf.DUMMYFUNCTION("""COMPUTED_VALUE"""),"JavaScript")</f>
        <v>JavaScript</v>
      </c>
      <c r="L1283" s="9" t="str">
        <f>IFERROR(__xludf.DUMMYFUNCTION("""COMPUTED_VALUE"""),"C++")</f>
        <v>C++</v>
      </c>
      <c r="M1283" s="9" t="s">
        <v>30</v>
      </c>
    </row>
    <row r="1284" ht="15.75" customHeight="1">
      <c r="A1284" s="7"/>
      <c r="B1284" s="7" t="str">
        <f>IFERROR(__xludf.DUMMYFUNCTION("""COMPUTED_VALUE"""),"Bash/Shell/PowerShell;HTML/CSS;JavaScript;Python;Scala;SQL;TypeScript")</f>
        <v>Bash/Shell/PowerShell;HTML/CSS;JavaScript;Python;Scala;SQL;TypeScript</v>
      </c>
      <c r="C1284" s="9" t="str">
        <f>IFERROR(__xludf.DUMMYFUNCTION("""COMPUTED_VALUE"""),"Other(s):")</f>
        <v>Other(s):</v>
      </c>
      <c r="D1284" s="9" t="str">
        <f>IFERROR(__xludf.DUMMYFUNCTION("""COMPUTED_VALUE"""),"SQL")</f>
        <v>SQL</v>
      </c>
      <c r="E1284" s="9" t="str">
        <f>IFERROR(__xludf.DUMMYFUNCTION("""COMPUTED_VALUE"""),"HTML/CSS")</f>
        <v>HTML/CSS</v>
      </c>
      <c r="F1284" s="9" t="str">
        <f>IFERROR(__xludf.DUMMYFUNCTION("""COMPUTED_VALUE"""),"SQL")</f>
        <v>SQL</v>
      </c>
      <c r="G1284" s="9" t="str">
        <f>IFERROR(__xludf.DUMMYFUNCTION("""COMPUTED_VALUE"""),"VBA")</f>
        <v>VBA</v>
      </c>
      <c r="H1284" s="9" t="str">
        <f>IFERROR(__xludf.DUMMYFUNCTION("""COMPUTED_VALUE"""),"JavaScript")</f>
        <v>JavaScript</v>
      </c>
      <c r="I1284" s="9" t="str">
        <f>IFERROR(__xludf.DUMMYFUNCTION("""COMPUTED_VALUE"""),"Assembly")</f>
        <v>Assembly</v>
      </c>
      <c r="J1284" s="9" t="str">
        <f>IFERROR(__xludf.DUMMYFUNCTION("""COMPUTED_VALUE"""),"R")</f>
        <v>R</v>
      </c>
      <c r="K1284" s="9" t="str">
        <f>IFERROR(__xludf.DUMMYFUNCTION("""COMPUTED_VALUE"""),"Python")</f>
        <v>Python</v>
      </c>
      <c r="L1284" s="9" t="str">
        <f>IFERROR(__xludf.DUMMYFUNCTION("""COMPUTED_VALUE"""),"C#")</f>
        <v>C#</v>
      </c>
      <c r="M1284" s="9" t="s">
        <v>35</v>
      </c>
    </row>
    <row r="1285" ht="15.75" customHeight="1">
      <c r="A1285" s="7"/>
      <c r="B1285" s="7" t="str">
        <f>IFERROR(__xludf.DUMMYFUNCTION("""COMPUTED_VALUE"""),"C;C++;Java;JavaScript;PHP;Python")</f>
        <v>C;C++;Java;JavaScript;PHP;Python</v>
      </c>
      <c r="C1285" s="9" t="str">
        <f>IFERROR(__xludf.DUMMYFUNCTION("""COMPUTED_VALUE"""),"C")</f>
        <v>C</v>
      </c>
      <c r="D1285" s="9" t="str">
        <f>IFERROR(__xludf.DUMMYFUNCTION("""COMPUTED_VALUE"""),"Swift")</f>
        <v>Swift</v>
      </c>
      <c r="E1285" s="9" t="str">
        <f>IFERROR(__xludf.DUMMYFUNCTION("""COMPUTED_VALUE"""),"JavaScript")</f>
        <v>JavaScript</v>
      </c>
      <c r="F1285" s="9" t="str">
        <f>IFERROR(__xludf.DUMMYFUNCTION("""COMPUTED_VALUE"""),"Bash/Shell/PowerShell")</f>
        <v>Bash/Shell/PowerShell</v>
      </c>
      <c r="G1285" s="9" t="str">
        <f>IFERROR(__xludf.DUMMYFUNCTION("""COMPUTED_VALUE"""),"Bash/Shell/PowerShell")</f>
        <v>Bash/Shell/PowerShell</v>
      </c>
      <c r="H1285" s="9" t="str">
        <f>IFERROR(__xludf.DUMMYFUNCTION("""COMPUTED_VALUE"""),"C#")</f>
        <v>C#</v>
      </c>
      <c r="I1285" s="9" t="str">
        <f>IFERROR(__xludf.DUMMYFUNCTION("""COMPUTED_VALUE"""),"C")</f>
        <v>C</v>
      </c>
      <c r="J1285" s="9" t="str">
        <f>IFERROR(__xludf.DUMMYFUNCTION("""COMPUTED_VALUE"""),"SQL")</f>
        <v>SQL</v>
      </c>
      <c r="K1285" s="9" t="str">
        <f>IFERROR(__xludf.DUMMYFUNCTION("""COMPUTED_VALUE"""),"Ruby")</f>
        <v>Ruby</v>
      </c>
      <c r="L1285" s="9" t="str">
        <f>IFERROR(__xludf.DUMMYFUNCTION("""COMPUTED_VALUE"""),"HTML/CSS")</f>
        <v>HTML/CSS</v>
      </c>
      <c r="M1285" s="9" t="s">
        <v>25</v>
      </c>
    </row>
    <row r="1286" ht="15.75" customHeight="1">
      <c r="A1286" s="7"/>
      <c r="B1286" s="7" t="str">
        <f>IFERROR(__xludf.DUMMYFUNCTION("""COMPUTED_VALUE"""),"C;HTML/CSS;Java;JavaScript;Kotlin;PHP;Python;SQL")</f>
        <v>C;HTML/CSS;Java;JavaScript;Kotlin;PHP;Python;SQL</v>
      </c>
      <c r="C1286" s="9" t="str">
        <f>IFERROR(__xludf.DUMMYFUNCTION("""COMPUTED_VALUE"""),"HTML/CSS")</f>
        <v>HTML/CSS</v>
      </c>
      <c r="D1286" s="9" t="str">
        <f>IFERROR(__xludf.DUMMYFUNCTION("""COMPUTED_VALUE"""),"Bash/Shell/PowerShell")</f>
        <v>Bash/Shell/PowerShell</v>
      </c>
      <c r="E1286" s="9" t="str">
        <f>IFERROR(__xludf.DUMMYFUNCTION("""COMPUTED_VALUE"""),"Bash/Shell/PowerShell")</f>
        <v>Bash/Shell/PowerShell</v>
      </c>
      <c r="F1286" s="9" t="str">
        <f>IFERROR(__xludf.DUMMYFUNCTION("""COMPUTED_VALUE"""),"Go")</f>
        <v>Go</v>
      </c>
      <c r="G1286" s="9" t="str">
        <f>IFERROR(__xludf.DUMMYFUNCTION("""COMPUTED_VALUE"""),"C")</f>
        <v>C</v>
      </c>
      <c r="H1286" s="9" t="str">
        <f>IFERROR(__xludf.DUMMYFUNCTION("""COMPUTED_VALUE"""),"HTML/CSS")</f>
        <v>HTML/CSS</v>
      </c>
      <c r="I1286" s="9" t="str">
        <f>IFERROR(__xludf.DUMMYFUNCTION("""COMPUTED_VALUE"""),"C++")</f>
        <v>C++</v>
      </c>
      <c r="J1286" s="9" t="str">
        <f>IFERROR(__xludf.DUMMYFUNCTION("""COMPUTED_VALUE"""),"VBA")</f>
        <v>VBA</v>
      </c>
      <c r="K1286" s="9" t="str">
        <f>IFERROR(__xludf.DUMMYFUNCTION("""COMPUTED_VALUE"""),"SQL")</f>
        <v>SQL</v>
      </c>
      <c r="L1286" s="9" t="str">
        <f>IFERROR(__xludf.DUMMYFUNCTION("""COMPUTED_VALUE"""),"Python")</f>
        <v>Python</v>
      </c>
      <c r="M1286" s="9" t="s">
        <v>24</v>
      </c>
    </row>
    <row r="1287" ht="15.75" customHeight="1">
      <c r="A1287" s="7"/>
      <c r="B1287" s="7" t="str">
        <f>IFERROR(__xludf.DUMMYFUNCTION("""COMPUTED_VALUE"""),"C++;JavaScript;Python;SQL")</f>
        <v>C++;JavaScript;Python;SQL</v>
      </c>
      <c r="C1287" s="9" t="str">
        <f>IFERROR(__xludf.DUMMYFUNCTION("""COMPUTED_VALUE"""),"Java")</f>
        <v>Java</v>
      </c>
      <c r="D1287" s="9" t="str">
        <f>IFERROR(__xludf.DUMMYFUNCTION("""COMPUTED_VALUE"""),"C#")</f>
        <v>C#</v>
      </c>
      <c r="E1287" s="9" t="str">
        <f>IFERROR(__xludf.DUMMYFUNCTION("""COMPUTED_VALUE"""),"Java")</f>
        <v>Java</v>
      </c>
      <c r="F1287" s="9" t="str">
        <f>IFERROR(__xludf.DUMMYFUNCTION("""COMPUTED_VALUE"""),"JavaScript")</f>
        <v>JavaScript</v>
      </c>
      <c r="G1287" s="9" t="str">
        <f>IFERROR(__xludf.DUMMYFUNCTION("""COMPUTED_VALUE"""),"C++")</f>
        <v>C++</v>
      </c>
      <c r="H1287" s="9" t="str">
        <f>IFERROR(__xludf.DUMMYFUNCTION("""COMPUTED_VALUE"""),"Java")</f>
        <v>Java</v>
      </c>
      <c r="I1287" s="9" t="str">
        <f>IFERROR(__xludf.DUMMYFUNCTION("""COMPUTED_VALUE"""),"HTML/CSS")</f>
        <v>HTML/CSS</v>
      </c>
      <c r="J1287" s="9" t="str">
        <f>IFERROR(__xludf.DUMMYFUNCTION("""COMPUTED_VALUE"""),"HTML/CSS")</f>
        <v>HTML/CSS</v>
      </c>
      <c r="K1287" s="9" t="str">
        <f>IFERROR(__xludf.DUMMYFUNCTION("""COMPUTED_VALUE"""),"Bash/Shell/PowerShell")</f>
        <v>Bash/Shell/PowerShell</v>
      </c>
      <c r="L1287" s="9" t="str">
        <f>IFERROR(__xludf.DUMMYFUNCTION("""COMPUTED_VALUE"""),"SQL")</f>
        <v>SQL</v>
      </c>
      <c r="M1287" s="9" t="s">
        <v>20</v>
      </c>
    </row>
    <row r="1288" ht="15.75" customHeight="1">
      <c r="A1288" s="7"/>
      <c r="B1288" s="7" t="str">
        <f>IFERROR(__xludf.DUMMYFUNCTION("""COMPUTED_VALUE"""),"Bash/Shell/PowerShell;HTML/CSS;Python;Ruby;SQL;Other(s):")</f>
        <v>Bash/Shell/PowerShell;HTML/CSS;Python;Ruby;SQL;Other(s):</v>
      </c>
      <c r="C1288" s="9" t="str">
        <f>IFERROR(__xludf.DUMMYFUNCTION("""COMPUTED_VALUE"""),"JavaScript")</f>
        <v>JavaScript</v>
      </c>
      <c r="D1288" s="9" t="str">
        <f>IFERROR(__xludf.DUMMYFUNCTION("""COMPUTED_VALUE"""),"HTML/CSS")</f>
        <v>HTML/CSS</v>
      </c>
      <c r="E1288" s="9" t="str">
        <f>IFERROR(__xludf.DUMMYFUNCTION("""COMPUTED_VALUE"""),"JavaScript")</f>
        <v>JavaScript</v>
      </c>
      <c r="F1288" s="9" t="str">
        <f>IFERROR(__xludf.DUMMYFUNCTION("""COMPUTED_VALUE"""),"SQL")</f>
        <v>SQL</v>
      </c>
      <c r="G1288" s="9" t="str">
        <f>IFERROR(__xludf.DUMMYFUNCTION("""COMPUTED_VALUE"""),"C#")</f>
        <v>C#</v>
      </c>
      <c r="H1288" s="9" t="str">
        <f>IFERROR(__xludf.DUMMYFUNCTION("""COMPUTED_VALUE"""),"JavaScript")</f>
        <v>JavaScript</v>
      </c>
      <c r="I1288" s="9" t="str">
        <f>IFERROR(__xludf.DUMMYFUNCTION("""COMPUTED_VALUE"""),"JavaScript")</f>
        <v>JavaScript</v>
      </c>
      <c r="J1288" s="9" t="str">
        <f>IFERROR(__xludf.DUMMYFUNCTION("""COMPUTED_VALUE"""),"JavaScript")</f>
        <v>JavaScript</v>
      </c>
      <c r="K1288" s="9" t="str">
        <f>IFERROR(__xludf.DUMMYFUNCTION("""COMPUTED_VALUE"""),"HTML/CSS")</f>
        <v>HTML/CSS</v>
      </c>
      <c r="L1288" s="9" t="str">
        <f>IFERROR(__xludf.DUMMYFUNCTION("""COMPUTED_VALUE"""),"VBA")</f>
        <v>VBA</v>
      </c>
      <c r="M1288" s="9" t="s">
        <v>21</v>
      </c>
    </row>
    <row r="1289" ht="15.75" customHeight="1">
      <c r="A1289" s="7"/>
      <c r="B1289" s="7" t="str">
        <f>IFERROR(__xludf.DUMMYFUNCTION("""COMPUTED_VALUE"""),"C++;Dart;HTML/CSS;Java;PHP;Python;SQL")</f>
        <v>C++;Dart;HTML/CSS;Java;PHP;Python;SQL</v>
      </c>
      <c r="C1289" s="9" t="str">
        <f>IFERROR(__xludf.DUMMYFUNCTION("""COMPUTED_VALUE"""),"PHP")</f>
        <v>PHP</v>
      </c>
      <c r="D1289" s="9" t="str">
        <f>IFERROR(__xludf.DUMMYFUNCTION("""COMPUTED_VALUE"""),"JavaScript")</f>
        <v>JavaScript</v>
      </c>
      <c r="E1289" s="9" t="str">
        <f>IFERROR(__xludf.DUMMYFUNCTION("""COMPUTED_VALUE"""),"Python")</f>
        <v>Python</v>
      </c>
      <c r="F1289" s="9" t="str">
        <f>IFERROR(__xludf.DUMMYFUNCTION("""COMPUTED_VALUE"""),"C")</f>
        <v>C</v>
      </c>
      <c r="G1289" s="9" t="str">
        <f>IFERROR(__xludf.DUMMYFUNCTION("""COMPUTED_VALUE"""),"HTML/CSS")</f>
        <v>HTML/CSS</v>
      </c>
      <c r="H1289" s="9" t="str">
        <f>IFERROR(__xludf.DUMMYFUNCTION("""COMPUTED_VALUE"""),"TypeScript")</f>
        <v>TypeScript</v>
      </c>
      <c r="I1289" s="9" t="str">
        <f>IFERROR(__xludf.DUMMYFUNCTION("""COMPUTED_VALUE"""),"Python")</f>
        <v>Python</v>
      </c>
      <c r="J1289" s="9" t="str">
        <f>IFERROR(__xludf.DUMMYFUNCTION("""COMPUTED_VALUE"""),"Python")</f>
        <v>Python</v>
      </c>
      <c r="K1289" s="9" t="str">
        <f>IFERROR(__xludf.DUMMYFUNCTION("""COMPUTED_VALUE"""),"JavaScript")</f>
        <v>JavaScript</v>
      </c>
      <c r="L1289" s="9" t="str">
        <f>IFERROR(__xludf.DUMMYFUNCTION("""COMPUTED_VALUE"""),"Other(s):")</f>
        <v>Other(s):</v>
      </c>
      <c r="M1289" s="9" t="s">
        <v>37</v>
      </c>
    </row>
    <row r="1290" ht="15.75" customHeight="1">
      <c r="A1290" s="7"/>
      <c r="B1290" s="7" t="str">
        <f>IFERROR(__xludf.DUMMYFUNCTION("""COMPUTED_VALUE"""),"Bash/Shell/PowerShell;PHP;Python;SQL")</f>
        <v>Bash/Shell/PowerShell;PHP;Python;SQL</v>
      </c>
      <c r="C1290" s="9" t="str">
        <f>IFERROR(__xludf.DUMMYFUNCTION("""COMPUTED_VALUE"""),"Python")</f>
        <v>Python</v>
      </c>
      <c r="D1290" s="9" t="str">
        <f>IFERROR(__xludf.DUMMYFUNCTION("""COMPUTED_VALUE"""),"Python")</f>
        <v>Python</v>
      </c>
      <c r="E1290" s="9" t="str">
        <f>IFERROR(__xludf.DUMMYFUNCTION("""COMPUTED_VALUE"""),"SQL")</f>
        <v>SQL</v>
      </c>
      <c r="F1290" s="9" t="str">
        <f>IFERROR(__xludf.DUMMYFUNCTION("""COMPUTED_VALUE"""),"HTML/CSS")</f>
        <v>HTML/CSS</v>
      </c>
      <c r="G1290" s="9" t="str">
        <f>IFERROR(__xludf.DUMMYFUNCTION("""COMPUTED_VALUE"""),"Java")</f>
        <v>Java</v>
      </c>
      <c r="H1290" s="9" t="str">
        <f>IFERROR(__xludf.DUMMYFUNCTION("""COMPUTED_VALUE"""),"VBA")</f>
        <v>VBA</v>
      </c>
      <c r="I1290" s="9" t="str">
        <f>IFERROR(__xludf.DUMMYFUNCTION("""COMPUTED_VALUE"""),"Ruby")</f>
        <v>Ruby</v>
      </c>
      <c r="J1290" s="9" t="str">
        <f>IFERROR(__xludf.DUMMYFUNCTION("""COMPUTED_VALUE"""),"R")</f>
        <v>R</v>
      </c>
      <c r="K1290" s="9" t="str">
        <f>IFERROR(__xludf.DUMMYFUNCTION("""COMPUTED_VALUE"""),"Python")</f>
        <v>Python</v>
      </c>
      <c r="L1290" s="9" t="str">
        <f>IFERROR(__xludf.DUMMYFUNCTION("""COMPUTED_VALUE"""),"Bash/Shell/PowerShell")</f>
        <v>Bash/Shell/PowerShell</v>
      </c>
      <c r="M1290" s="9" t="s">
        <v>22</v>
      </c>
    </row>
    <row r="1291" ht="15.75" customHeight="1">
      <c r="A1291" s="7"/>
      <c r="B1291" s="7" t="str">
        <f>IFERROR(__xludf.DUMMYFUNCTION("""COMPUTED_VALUE"""),"Java;Scala")</f>
        <v>Java;Scala</v>
      </c>
      <c r="C1291" s="9" t="str">
        <f>IFERROR(__xludf.DUMMYFUNCTION("""COMPUTED_VALUE"""),"C#")</f>
        <v>C#</v>
      </c>
      <c r="D1291" s="9" t="str">
        <f>IFERROR(__xludf.DUMMYFUNCTION("""COMPUTED_VALUE"""),"TypeScript")</f>
        <v>TypeScript</v>
      </c>
      <c r="E1291" s="9" t="str">
        <f>IFERROR(__xludf.DUMMYFUNCTION("""COMPUTED_VALUE"""),"Bash/Shell/PowerShell")</f>
        <v>Bash/Shell/PowerShell</v>
      </c>
      <c r="F1291" s="9" t="str">
        <f>IFERROR(__xludf.DUMMYFUNCTION("""COMPUTED_VALUE"""),"JavaScript")</f>
        <v>JavaScript</v>
      </c>
      <c r="G1291" s="9" t="str">
        <f>IFERROR(__xludf.DUMMYFUNCTION("""COMPUTED_VALUE"""),"JavaScript")</f>
        <v>JavaScript</v>
      </c>
      <c r="H1291" s="9" t="str">
        <f>IFERROR(__xludf.DUMMYFUNCTION("""COMPUTED_VALUE"""),"C#")</f>
        <v>C#</v>
      </c>
      <c r="I1291" s="9" t="str">
        <f>IFERROR(__xludf.DUMMYFUNCTION("""COMPUTED_VALUE"""),"Rust")</f>
        <v>Rust</v>
      </c>
      <c r="J1291" s="9" t="str">
        <f>IFERROR(__xludf.DUMMYFUNCTION("""COMPUTED_VALUE"""),"Bash/Shell/PowerShell")</f>
        <v>Bash/Shell/PowerShell</v>
      </c>
      <c r="K1291" s="9" t="str">
        <f>IFERROR(__xludf.DUMMYFUNCTION("""COMPUTED_VALUE"""),"SQL")</f>
        <v>SQL</v>
      </c>
      <c r="L1291" s="9" t="str">
        <f>IFERROR(__xludf.DUMMYFUNCTION("""COMPUTED_VALUE"""),"HTML/CSS")</f>
        <v>HTML/CSS</v>
      </c>
      <c r="M1291" s="9" t="s">
        <v>26</v>
      </c>
    </row>
    <row r="1292" ht="15.75" customHeight="1">
      <c r="A1292" s="7"/>
      <c r="B1292" s="7" t="str">
        <f>IFERROR(__xludf.DUMMYFUNCTION("""COMPUTED_VALUE"""),"C;C++;Python")</f>
        <v>C;C++;Python</v>
      </c>
      <c r="C1292" s="9" t="str">
        <f>IFERROR(__xludf.DUMMYFUNCTION("""COMPUTED_VALUE"""),"HTML/CSS")</f>
        <v>HTML/CSS</v>
      </c>
      <c r="D1292" s="9" t="str">
        <f>IFERROR(__xludf.DUMMYFUNCTION("""COMPUTED_VALUE"""),"C")</f>
        <v>C</v>
      </c>
      <c r="E1292" s="9" t="str">
        <f>IFERROR(__xludf.DUMMYFUNCTION("""COMPUTED_VALUE"""),"C++")</f>
        <v>C++</v>
      </c>
      <c r="F1292" s="9" t="str">
        <f>IFERROR(__xludf.DUMMYFUNCTION("""COMPUTED_VALUE"""),"Python")</f>
        <v>Python</v>
      </c>
      <c r="G1292" s="9" t="str">
        <f>IFERROR(__xludf.DUMMYFUNCTION("""COMPUTED_VALUE"""),"Objective-C")</f>
        <v>Objective-C</v>
      </c>
      <c r="H1292" s="9" t="str">
        <f>IFERROR(__xludf.DUMMYFUNCTION("""COMPUTED_VALUE"""),"Other(s):")</f>
        <v>Other(s):</v>
      </c>
      <c r="I1292" s="9" t="str">
        <f>IFERROR(__xludf.DUMMYFUNCTION("""COMPUTED_VALUE"""),"SQL")</f>
        <v>SQL</v>
      </c>
      <c r="J1292" s="9" t="str">
        <f>IFERROR(__xludf.DUMMYFUNCTION("""COMPUTED_VALUE"""),"C")</f>
        <v>C</v>
      </c>
      <c r="K1292" s="9" t="str">
        <f>IFERROR(__xludf.DUMMYFUNCTION("""COMPUTED_VALUE"""),"C++")</f>
        <v>C++</v>
      </c>
      <c r="L1292" s="9" t="str">
        <f>IFERROR(__xludf.DUMMYFUNCTION("""COMPUTED_VALUE"""),"JavaScript")</f>
        <v>JavaScript</v>
      </c>
      <c r="M1292" s="9" t="s">
        <v>24</v>
      </c>
    </row>
    <row r="1293" ht="15.75" customHeight="1">
      <c r="A1293" s="7"/>
      <c r="B1293" s="7" t="str">
        <f>IFERROR(__xludf.DUMMYFUNCTION("""COMPUTED_VALUE"""),"JavaScript;Ruby")</f>
        <v>JavaScript;Ruby</v>
      </c>
      <c r="C1293" s="9" t="str">
        <f>IFERROR(__xludf.DUMMYFUNCTION("""COMPUTED_VALUE"""),"Java")</f>
        <v>Java</v>
      </c>
      <c r="D1293" s="9" t="str">
        <f>IFERROR(__xludf.DUMMYFUNCTION("""COMPUTED_VALUE"""),"C++")</f>
        <v>C++</v>
      </c>
      <c r="E1293" s="9" t="str">
        <f>IFERROR(__xludf.DUMMYFUNCTION("""COMPUTED_VALUE"""),"Go")</f>
        <v>Go</v>
      </c>
      <c r="F1293" s="9" t="str">
        <f>IFERROR(__xludf.DUMMYFUNCTION("""COMPUTED_VALUE"""),"Rust")</f>
        <v>Rust</v>
      </c>
      <c r="G1293" s="9" t="str">
        <f>IFERROR(__xludf.DUMMYFUNCTION("""COMPUTED_VALUE"""),"PHP")</f>
        <v>PHP</v>
      </c>
      <c r="H1293" s="9" t="str">
        <f>IFERROR(__xludf.DUMMYFUNCTION("""COMPUTED_VALUE"""),"C#")</f>
        <v>C#</v>
      </c>
      <c r="I1293" s="9" t="str">
        <f>IFERROR(__xludf.DUMMYFUNCTION("""COMPUTED_VALUE"""),"Bash/Shell/PowerShell")</f>
        <v>Bash/Shell/PowerShell</v>
      </c>
      <c r="J1293" s="9" t="str">
        <f>IFERROR(__xludf.DUMMYFUNCTION("""COMPUTED_VALUE"""),"HTML/CSS")</f>
        <v>HTML/CSS</v>
      </c>
      <c r="K1293" s="9" t="str">
        <f>IFERROR(__xludf.DUMMYFUNCTION("""COMPUTED_VALUE"""),"HTML/CSS")</f>
        <v>HTML/CSS</v>
      </c>
      <c r="L1293" s="9" t="str">
        <f>IFERROR(__xludf.DUMMYFUNCTION("""COMPUTED_VALUE"""),"Assembly")</f>
        <v>Assembly</v>
      </c>
      <c r="M1293" s="9" t="s">
        <v>20</v>
      </c>
    </row>
    <row r="1294" ht="15.75" customHeight="1">
      <c r="A1294" s="7"/>
      <c r="B1294" s="7" t="str">
        <f>IFERROR(__xludf.DUMMYFUNCTION("""COMPUTED_VALUE"""),"Bash/Shell/PowerShell;C;C++;Clojure;Elixir;Erlang;Python")</f>
        <v>Bash/Shell/PowerShell;C;C++;Clojure;Elixir;Erlang;Python</v>
      </c>
      <c r="C1294" s="9" t="str">
        <f>IFERROR(__xludf.DUMMYFUNCTION("""COMPUTED_VALUE"""),"JavaScript")</f>
        <v>JavaScript</v>
      </c>
      <c r="D1294" s="9" t="str">
        <f>IFERROR(__xludf.DUMMYFUNCTION("""COMPUTED_VALUE"""),"C#")</f>
        <v>C#</v>
      </c>
      <c r="E1294" s="9" t="str">
        <f>IFERROR(__xludf.DUMMYFUNCTION("""COMPUTED_VALUE"""),"HTML/CSS")</f>
        <v>HTML/CSS</v>
      </c>
      <c r="F1294" s="9" t="str">
        <f>IFERROR(__xludf.DUMMYFUNCTION("""COMPUTED_VALUE"""),"C++")</f>
        <v>C++</v>
      </c>
      <c r="G1294" s="9" t="str">
        <f>IFERROR(__xludf.DUMMYFUNCTION("""COMPUTED_VALUE"""),"SQL")</f>
        <v>SQL</v>
      </c>
      <c r="H1294" s="9" t="str">
        <f>IFERROR(__xludf.DUMMYFUNCTION("""COMPUTED_VALUE"""),"HTML/CSS")</f>
        <v>HTML/CSS</v>
      </c>
      <c r="I1294" s="9" t="str">
        <f>IFERROR(__xludf.DUMMYFUNCTION("""COMPUTED_VALUE"""),"C#")</f>
        <v>C#</v>
      </c>
      <c r="J1294" s="9" t="str">
        <f>IFERROR(__xludf.DUMMYFUNCTION("""COMPUTED_VALUE"""),"Java")</f>
        <v>Java</v>
      </c>
      <c r="K1294" s="9" t="str">
        <f>IFERROR(__xludf.DUMMYFUNCTION("""COMPUTED_VALUE"""),"Kotlin")</f>
        <v>Kotlin</v>
      </c>
      <c r="L1294" s="9" t="str">
        <f>IFERROR(__xludf.DUMMYFUNCTION("""COMPUTED_VALUE"""),"Bash/Shell/PowerShell")</f>
        <v>Bash/Shell/PowerShell</v>
      </c>
      <c r="M1294" s="9" t="s">
        <v>21</v>
      </c>
    </row>
    <row r="1295" ht="15.75" customHeight="1">
      <c r="A1295" s="7"/>
      <c r="B1295" s="7" t="str">
        <f>IFERROR(__xludf.DUMMYFUNCTION("""COMPUTED_VALUE"""),"C#;JavaScript;SQL")</f>
        <v>C#;JavaScript;SQL</v>
      </c>
      <c r="C1295" s="9" t="str">
        <f>IFERROR(__xludf.DUMMYFUNCTION("""COMPUTED_VALUE"""),"Python")</f>
        <v>Python</v>
      </c>
      <c r="D1295" s="9" t="str">
        <f>IFERROR(__xludf.DUMMYFUNCTION("""COMPUTED_VALUE"""),"Dart")</f>
        <v>Dart</v>
      </c>
      <c r="E1295" s="9" t="str">
        <f>IFERROR(__xludf.DUMMYFUNCTION("""COMPUTED_VALUE"""),"Python")</f>
        <v>Python</v>
      </c>
      <c r="F1295" s="9" t="str">
        <f>IFERROR(__xludf.DUMMYFUNCTION("""COMPUTED_VALUE"""),"HTML/CSS")</f>
        <v>HTML/CSS</v>
      </c>
      <c r="G1295" s="9" t="str">
        <f>IFERROR(__xludf.DUMMYFUNCTION("""COMPUTED_VALUE"""),"Other(s):")</f>
        <v>Other(s):</v>
      </c>
      <c r="H1295" s="9" t="str">
        <f>IFERROR(__xludf.DUMMYFUNCTION("""COMPUTED_VALUE"""),"Java")</f>
        <v>Java</v>
      </c>
      <c r="I1295" s="9" t="str">
        <f>IFERROR(__xludf.DUMMYFUNCTION("""COMPUTED_VALUE"""),"HTML/CSS")</f>
        <v>HTML/CSS</v>
      </c>
      <c r="J1295" s="9" t="str">
        <f>IFERROR(__xludf.DUMMYFUNCTION("""COMPUTED_VALUE"""),"JavaScript")</f>
        <v>JavaScript</v>
      </c>
      <c r="K1295" s="9" t="str">
        <f>IFERROR(__xludf.DUMMYFUNCTION("""COMPUTED_VALUE"""),"Objective-C")</f>
        <v>Objective-C</v>
      </c>
      <c r="L1295" s="9" t="str">
        <f>IFERROR(__xludf.DUMMYFUNCTION("""COMPUTED_VALUE"""),"C")</f>
        <v>C</v>
      </c>
      <c r="M1295" s="9" t="s">
        <v>22</v>
      </c>
    </row>
    <row r="1296" ht="15.75" customHeight="1">
      <c r="A1296" s="7"/>
      <c r="B1296" s="7" t="str">
        <f>IFERROR(__xludf.DUMMYFUNCTION("""COMPUTED_VALUE"""),"Bash/Shell/PowerShell;HTML/CSS;Java;TypeScript")</f>
        <v>Bash/Shell/PowerShell;HTML/CSS;Java;TypeScript</v>
      </c>
      <c r="C1296" s="9" t="str">
        <f>IFERROR(__xludf.DUMMYFUNCTION("""COMPUTED_VALUE"""),"SQL")</f>
        <v>SQL</v>
      </c>
      <c r="D1296" s="9" t="str">
        <f>IFERROR(__xludf.DUMMYFUNCTION("""COMPUTED_VALUE"""),"Java")</f>
        <v>Java</v>
      </c>
      <c r="E1296" s="9" t="str">
        <f>IFERROR(__xludf.DUMMYFUNCTION("""COMPUTED_VALUE"""),"R")</f>
        <v>R</v>
      </c>
      <c r="F1296" s="9" t="str">
        <f>IFERROR(__xludf.DUMMYFUNCTION("""COMPUTED_VALUE"""),"Java")</f>
        <v>Java</v>
      </c>
      <c r="G1296" s="9" t="str">
        <f>IFERROR(__xludf.DUMMYFUNCTION("""COMPUTED_VALUE"""),"Bash/Shell/PowerShell")</f>
        <v>Bash/Shell/PowerShell</v>
      </c>
      <c r="H1296" s="9" t="str">
        <f>IFERROR(__xludf.DUMMYFUNCTION("""COMPUTED_VALUE"""),"JavaScript")</f>
        <v>JavaScript</v>
      </c>
      <c r="I1296" s="9" t="str">
        <f>IFERROR(__xludf.DUMMYFUNCTION("""COMPUTED_VALUE"""),"Java")</f>
        <v>Java</v>
      </c>
      <c r="J1296" s="9" t="str">
        <f>IFERROR(__xludf.DUMMYFUNCTION("""COMPUTED_VALUE"""),"PHP")</f>
        <v>PHP</v>
      </c>
      <c r="K1296" s="9" t="str">
        <f>IFERROR(__xludf.DUMMYFUNCTION("""COMPUTED_VALUE"""),"Ruby")</f>
        <v>Ruby</v>
      </c>
      <c r="L1296" s="9" t="str">
        <f>IFERROR(__xludf.DUMMYFUNCTION("""COMPUTED_VALUE"""),"Bash/Shell/PowerShell")</f>
        <v>Bash/Shell/PowerShell</v>
      </c>
      <c r="M1296" s="9" t="s">
        <v>27</v>
      </c>
    </row>
    <row r="1297" ht="15.75" customHeight="1">
      <c r="A1297" s="7"/>
      <c r="B1297" s="7" t="str">
        <f>IFERROR(__xludf.DUMMYFUNCTION("""COMPUTED_VALUE"""),"Assembly;HTML/CSS;Java;JavaScript;SQL")</f>
        <v>Assembly;HTML/CSS;Java;JavaScript;SQL</v>
      </c>
      <c r="C1297" s="9" t="str">
        <f>IFERROR(__xludf.DUMMYFUNCTION("""COMPUTED_VALUE"""),"TypeScript")</f>
        <v>TypeScript</v>
      </c>
      <c r="D1297" s="9" t="str">
        <f>IFERROR(__xludf.DUMMYFUNCTION("""COMPUTED_VALUE"""),"C")</f>
        <v>C</v>
      </c>
      <c r="E1297" s="9" t="str">
        <f>IFERROR(__xludf.DUMMYFUNCTION("""COMPUTED_VALUE"""),"Scala")</f>
        <v>Scala</v>
      </c>
      <c r="F1297" s="9" t="str">
        <f>IFERROR(__xludf.DUMMYFUNCTION("""COMPUTED_VALUE"""),"SQL")</f>
        <v>SQL</v>
      </c>
      <c r="G1297" s="9" t="str">
        <f>IFERROR(__xludf.DUMMYFUNCTION("""COMPUTED_VALUE"""),"C++")</f>
        <v>C++</v>
      </c>
      <c r="H1297" s="9" t="str">
        <f>IFERROR(__xludf.DUMMYFUNCTION("""COMPUTED_VALUE"""),"SQL")</f>
        <v>SQL</v>
      </c>
      <c r="I1297" s="9" t="str">
        <f>IFERROR(__xludf.DUMMYFUNCTION("""COMPUTED_VALUE"""),"JavaScript")</f>
        <v>JavaScript</v>
      </c>
      <c r="J1297" s="9" t="str">
        <f>IFERROR(__xludf.DUMMYFUNCTION("""COMPUTED_VALUE"""),"SQL")</f>
        <v>SQL</v>
      </c>
      <c r="K1297" s="9" t="str">
        <f>IFERROR(__xludf.DUMMYFUNCTION("""COMPUTED_VALUE"""),"Swift")</f>
        <v>Swift</v>
      </c>
      <c r="L1297" s="9" t="str">
        <f>IFERROR(__xludf.DUMMYFUNCTION("""COMPUTED_VALUE"""),"C")</f>
        <v>C</v>
      </c>
      <c r="M1297" s="9" t="s">
        <v>33</v>
      </c>
    </row>
    <row r="1298" ht="15.75" customHeight="1">
      <c r="A1298" s="7"/>
      <c r="B1298" s="7" t="str">
        <f>IFERROR(__xludf.DUMMYFUNCTION("""COMPUTED_VALUE"""),"Bash/Shell/PowerShell;HTML/CSS;JavaScript;PHP;SQL;TypeScript")</f>
        <v>Bash/Shell/PowerShell;HTML/CSS;JavaScript;PHP;SQL;TypeScript</v>
      </c>
      <c r="C1298" s="9" t="str">
        <f>IFERROR(__xludf.DUMMYFUNCTION("""COMPUTED_VALUE"""),"Bash/Shell/PowerShell")</f>
        <v>Bash/Shell/PowerShell</v>
      </c>
      <c r="D1298" s="9" t="str">
        <f>IFERROR(__xludf.DUMMYFUNCTION("""COMPUTED_VALUE"""),"Objective-C")</f>
        <v>Objective-C</v>
      </c>
      <c r="E1298" s="9" t="str">
        <f>IFERROR(__xludf.DUMMYFUNCTION("""COMPUTED_VALUE"""),"SQL")</f>
        <v>SQL</v>
      </c>
      <c r="F1298" s="9" t="str">
        <f>IFERROR(__xludf.DUMMYFUNCTION("""COMPUTED_VALUE"""),"C++")</f>
        <v>C++</v>
      </c>
      <c r="G1298" s="9" t="str">
        <f>IFERROR(__xludf.DUMMYFUNCTION("""COMPUTED_VALUE"""),"Java")</f>
        <v>Java</v>
      </c>
      <c r="H1298" s="9" t="str">
        <f>IFERROR(__xludf.DUMMYFUNCTION("""COMPUTED_VALUE"""),"C#")</f>
        <v>C#</v>
      </c>
      <c r="I1298" s="9" t="str">
        <f>IFERROR(__xludf.DUMMYFUNCTION("""COMPUTED_VALUE"""),"Python")</f>
        <v>Python</v>
      </c>
      <c r="J1298" s="9" t="str">
        <f>IFERROR(__xludf.DUMMYFUNCTION("""COMPUTED_VALUE"""),"Other(s):")</f>
        <v>Other(s):</v>
      </c>
      <c r="K1298" s="9" t="str">
        <f>IFERROR(__xludf.DUMMYFUNCTION("""COMPUTED_VALUE"""),"TypeScript")</f>
        <v>TypeScript</v>
      </c>
      <c r="L1298" s="9" t="str">
        <f>IFERROR(__xludf.DUMMYFUNCTION("""COMPUTED_VALUE"""),"C++")</f>
        <v>C++</v>
      </c>
      <c r="M1298" s="9" t="s">
        <v>30</v>
      </c>
    </row>
    <row r="1299" ht="15.75" customHeight="1">
      <c r="A1299" s="7"/>
      <c r="B1299" s="7" t="str">
        <f>IFERROR(__xludf.DUMMYFUNCTION("""COMPUTED_VALUE"""),"Assembly;Bash/Shell/PowerShell;C;C++;C#;Go;Java;JavaScript;Python;Ruby;SQL;Other(s):")</f>
        <v>Assembly;Bash/Shell/PowerShell;C;C++;C#;Go;Java;JavaScript;Python;Ruby;SQL;Other(s):</v>
      </c>
      <c r="C1299" s="9" t="str">
        <f>IFERROR(__xludf.DUMMYFUNCTION("""COMPUTED_VALUE"""),"HTML/CSS")</f>
        <v>HTML/CSS</v>
      </c>
      <c r="D1299" s="9" t="str">
        <f>IFERROR(__xludf.DUMMYFUNCTION("""COMPUTED_VALUE"""),"Bash/Shell/PowerShell")</f>
        <v>Bash/Shell/PowerShell</v>
      </c>
      <c r="E1299" s="9" t="str">
        <f>IFERROR(__xludf.DUMMYFUNCTION("""COMPUTED_VALUE"""),"C#")</f>
        <v>C#</v>
      </c>
      <c r="F1299" s="9" t="str">
        <f>IFERROR(__xludf.DUMMYFUNCTION("""COMPUTED_VALUE"""),"C#")</f>
        <v>C#</v>
      </c>
      <c r="G1299" s="9" t="str">
        <f>IFERROR(__xludf.DUMMYFUNCTION("""COMPUTED_VALUE"""),"Python")</f>
        <v>Python</v>
      </c>
      <c r="H1299" s="9" t="str">
        <f>IFERROR(__xludf.DUMMYFUNCTION("""COMPUTED_VALUE"""),"JavaScript")</f>
        <v>JavaScript</v>
      </c>
      <c r="I1299" s="9" t="str">
        <f>IFERROR(__xludf.DUMMYFUNCTION("""COMPUTED_VALUE"""),"Ruby")</f>
        <v>Ruby</v>
      </c>
      <c r="J1299" s="9" t="str">
        <f>IFERROR(__xludf.DUMMYFUNCTION("""COMPUTED_VALUE"""),"Bash/Shell/PowerShell")</f>
        <v>Bash/Shell/PowerShell</v>
      </c>
      <c r="K1299" s="9" t="str">
        <f>IFERROR(__xludf.DUMMYFUNCTION("""COMPUTED_VALUE"""),"C#")</f>
        <v>C#</v>
      </c>
      <c r="L1299" s="9" t="str">
        <f>IFERROR(__xludf.DUMMYFUNCTION("""COMPUTED_VALUE"""),"C#")</f>
        <v>C#</v>
      </c>
      <c r="M1299" s="9" t="s">
        <v>24</v>
      </c>
    </row>
    <row r="1300" ht="15.75" customHeight="1">
      <c r="A1300" s="7"/>
      <c r="B1300" s="7" t="str">
        <f>IFERROR(__xludf.DUMMYFUNCTION("""COMPUTED_VALUE"""),"C#;JavaScript")</f>
        <v>C#;JavaScript</v>
      </c>
      <c r="C1300" s="9" t="str">
        <f>IFERROR(__xludf.DUMMYFUNCTION("""COMPUTED_VALUE"""),"Java")</f>
        <v>Java</v>
      </c>
      <c r="D1300" s="9" t="str">
        <f>IFERROR(__xludf.DUMMYFUNCTION("""COMPUTED_VALUE"""),"C")</f>
        <v>C</v>
      </c>
      <c r="E1300" s="9" t="str">
        <f>IFERROR(__xludf.DUMMYFUNCTION("""COMPUTED_VALUE"""),"HTML/CSS")</f>
        <v>HTML/CSS</v>
      </c>
      <c r="F1300" s="9" t="str">
        <f>IFERROR(__xludf.DUMMYFUNCTION("""COMPUTED_VALUE"""),"HTML/CSS")</f>
        <v>HTML/CSS</v>
      </c>
      <c r="G1300" s="9" t="str">
        <f>IFERROR(__xludf.DUMMYFUNCTION("""COMPUTED_VALUE"""),"SQL")</f>
        <v>SQL</v>
      </c>
      <c r="H1300" s="9" t="str">
        <f>IFERROR(__xludf.DUMMYFUNCTION("""COMPUTED_VALUE"""),"SQL")</f>
        <v>SQL</v>
      </c>
      <c r="I1300" s="9" t="str">
        <f>IFERROR(__xludf.DUMMYFUNCTION("""COMPUTED_VALUE"""),"SQL")</f>
        <v>SQL</v>
      </c>
      <c r="J1300" s="9" t="str">
        <f>IFERROR(__xludf.DUMMYFUNCTION("""COMPUTED_VALUE"""),"HTML/CSS")</f>
        <v>HTML/CSS</v>
      </c>
      <c r="K1300" s="9" t="str">
        <f>IFERROR(__xludf.DUMMYFUNCTION("""COMPUTED_VALUE"""),"HTML/CSS")</f>
        <v>HTML/CSS</v>
      </c>
      <c r="L1300" s="9" t="str">
        <f>IFERROR(__xludf.DUMMYFUNCTION("""COMPUTED_VALUE"""),"HTML/CSS")</f>
        <v>HTML/CSS</v>
      </c>
      <c r="M1300" s="9" t="s">
        <v>20</v>
      </c>
    </row>
    <row r="1301" ht="15.75" customHeight="1">
      <c r="A1301" s="7"/>
      <c r="B1301" s="7" t="str">
        <f>IFERROR(__xludf.DUMMYFUNCTION("""COMPUTED_VALUE"""),"Assembly;C;C++;C#;Objective-C;PHP;SQL")</f>
        <v>Assembly;C;C++;C#;Objective-C;PHP;SQL</v>
      </c>
      <c r="C1301" s="9" t="str">
        <f>IFERROR(__xludf.DUMMYFUNCTION("""COMPUTED_VALUE"""),"JavaScript")</f>
        <v>JavaScript</v>
      </c>
      <c r="D1301" s="9" t="str">
        <f>IFERROR(__xludf.DUMMYFUNCTION("""COMPUTED_VALUE"""),"C++")</f>
        <v>C++</v>
      </c>
      <c r="E1301" s="9" t="str">
        <f>IFERROR(__xludf.DUMMYFUNCTION("""COMPUTED_VALUE"""),"Java")</f>
        <v>Java</v>
      </c>
      <c r="F1301" s="9" t="str">
        <f>IFERROR(__xludf.DUMMYFUNCTION("""COMPUTED_VALUE"""),"Java")</f>
        <v>Java</v>
      </c>
      <c r="G1301" s="9" t="str">
        <f>IFERROR(__xludf.DUMMYFUNCTION("""COMPUTED_VALUE"""),"Java")</f>
        <v>Java</v>
      </c>
      <c r="H1301" s="9" t="str">
        <f>IFERROR(__xludf.DUMMYFUNCTION("""COMPUTED_VALUE"""),"Other(s):")</f>
        <v>Other(s):</v>
      </c>
      <c r="I1301" s="9" t="str">
        <f>IFERROR(__xludf.DUMMYFUNCTION("""COMPUTED_VALUE"""),"Bash/Shell/PowerShell")</f>
        <v>Bash/Shell/PowerShell</v>
      </c>
      <c r="J1301" s="9" t="str">
        <f>IFERROR(__xludf.DUMMYFUNCTION("""COMPUTED_VALUE"""),"JavaScript")</f>
        <v>JavaScript</v>
      </c>
      <c r="K1301" s="9" t="str">
        <f>IFERROR(__xludf.DUMMYFUNCTION("""COMPUTED_VALUE"""),"JavaScript")</f>
        <v>JavaScript</v>
      </c>
      <c r="L1301" s="9" t="str">
        <f>IFERROR(__xludf.DUMMYFUNCTION("""COMPUTED_VALUE"""),"JavaScript")</f>
        <v>JavaScript</v>
      </c>
      <c r="M1301" s="9" t="s">
        <v>21</v>
      </c>
    </row>
    <row r="1302" ht="15.75" customHeight="1">
      <c r="A1302" s="7"/>
      <c r="B1302" s="7" t="str">
        <f>IFERROR(__xludf.DUMMYFUNCTION("""COMPUTED_VALUE"""),"Bash/Shell/PowerShell;C++;C#;Dart;Go;Java;Python;Other(s):")</f>
        <v>Bash/Shell/PowerShell;C++;C#;Dart;Go;Java;Python;Other(s):</v>
      </c>
      <c r="C1302" s="9" t="str">
        <f>IFERROR(__xludf.DUMMYFUNCTION("""COMPUTED_VALUE"""),"PHP")</f>
        <v>PHP</v>
      </c>
      <c r="D1302" s="9" t="str">
        <f>IFERROR(__xludf.DUMMYFUNCTION("""COMPUTED_VALUE"""),"Python")</f>
        <v>Python</v>
      </c>
      <c r="E1302" s="9" t="str">
        <f>IFERROR(__xludf.DUMMYFUNCTION("""COMPUTED_VALUE"""),"Python")</f>
        <v>Python</v>
      </c>
      <c r="F1302" s="9" t="str">
        <f>IFERROR(__xludf.DUMMYFUNCTION("""COMPUTED_VALUE"""),"JavaScript")</f>
        <v>JavaScript</v>
      </c>
      <c r="G1302" s="9" t="str">
        <f>IFERROR(__xludf.DUMMYFUNCTION("""COMPUTED_VALUE"""),"JavaScript")</f>
        <v>JavaScript</v>
      </c>
      <c r="H1302" s="9" t="str">
        <f>IFERROR(__xludf.DUMMYFUNCTION("""COMPUTED_VALUE"""),"HTML/CSS")</f>
        <v>HTML/CSS</v>
      </c>
      <c r="I1302" s="9" t="str">
        <f>IFERROR(__xludf.DUMMYFUNCTION("""COMPUTED_VALUE"""),"Elixir")</f>
        <v>Elixir</v>
      </c>
      <c r="J1302" s="9" t="str">
        <f>IFERROR(__xludf.DUMMYFUNCTION("""COMPUTED_VALUE"""),"PHP")</f>
        <v>PHP</v>
      </c>
      <c r="K1302" s="9" t="str">
        <f>IFERROR(__xludf.DUMMYFUNCTION("""COMPUTED_VALUE"""),"SQL")</f>
        <v>SQL</v>
      </c>
      <c r="L1302" s="9" t="str">
        <f>IFERROR(__xludf.DUMMYFUNCTION("""COMPUTED_VALUE"""),"Objective-C")</f>
        <v>Objective-C</v>
      </c>
      <c r="M1302" s="9" t="s">
        <v>37</v>
      </c>
    </row>
    <row r="1303" ht="15.75" customHeight="1">
      <c r="A1303" s="7"/>
      <c r="B1303" s="7" t="str">
        <f>IFERROR(__xludf.DUMMYFUNCTION("""COMPUTED_VALUE"""),"Bash/Shell/PowerShell;HTML/CSS;Java;JavaScript;Ruby")</f>
        <v>Bash/Shell/PowerShell;HTML/CSS;Java;JavaScript;Ruby</v>
      </c>
      <c r="C1303" s="9" t="str">
        <f>IFERROR(__xludf.DUMMYFUNCTION("""COMPUTED_VALUE"""),"SQL")</f>
        <v>SQL</v>
      </c>
      <c r="D1303" s="9" t="str">
        <f>IFERROR(__xludf.DUMMYFUNCTION("""COMPUTED_VALUE"""),"Bash/Shell/PowerShell")</f>
        <v>Bash/Shell/PowerShell</v>
      </c>
      <c r="E1303" s="9" t="str">
        <f>IFERROR(__xludf.DUMMYFUNCTION("""COMPUTED_VALUE"""),"SQL")</f>
        <v>SQL</v>
      </c>
      <c r="F1303" s="9" t="str">
        <f>IFERROR(__xludf.DUMMYFUNCTION("""COMPUTED_VALUE"""),"Python")</f>
        <v>Python</v>
      </c>
      <c r="G1303" s="9" t="str">
        <f>IFERROR(__xludf.DUMMYFUNCTION("""COMPUTED_VALUE"""),"SQL")</f>
        <v>SQL</v>
      </c>
      <c r="H1303" s="9" t="str">
        <f>IFERROR(__xludf.DUMMYFUNCTION("""COMPUTED_VALUE"""),"JavaScript")</f>
        <v>JavaScript</v>
      </c>
      <c r="I1303" s="9" t="str">
        <f>IFERROR(__xludf.DUMMYFUNCTION("""COMPUTED_VALUE"""),"HTML/CSS")</f>
        <v>HTML/CSS</v>
      </c>
      <c r="J1303" s="9" t="str">
        <f>IFERROR(__xludf.DUMMYFUNCTION("""COMPUTED_VALUE"""),"Python")</f>
        <v>Python</v>
      </c>
      <c r="K1303" s="9" t="str">
        <f>IFERROR(__xludf.DUMMYFUNCTION("""COMPUTED_VALUE"""),"TypeScript")</f>
        <v>TypeScript</v>
      </c>
      <c r="L1303" s="9" t="str">
        <f>IFERROR(__xludf.DUMMYFUNCTION("""COMPUTED_VALUE"""),"PHP")</f>
        <v>PHP</v>
      </c>
      <c r="M1303" s="9" t="s">
        <v>27</v>
      </c>
    </row>
    <row r="1304" ht="15.75" customHeight="1">
      <c r="A1304" s="7"/>
      <c r="B1304" s="7" t="str">
        <f>IFERROR(__xludf.DUMMYFUNCTION("""COMPUTED_VALUE"""),"C#;HTML/CSS;JavaScript;TypeScript")</f>
        <v>C#;HTML/CSS;JavaScript;TypeScript</v>
      </c>
      <c r="C1304" s="9" t="str">
        <f>IFERROR(__xludf.DUMMYFUNCTION("""COMPUTED_VALUE"""),"HTML/CSS")</f>
        <v>HTML/CSS</v>
      </c>
      <c r="D1304" s="9" t="str">
        <f>IFERROR(__xludf.DUMMYFUNCTION("""COMPUTED_VALUE"""),"C")</f>
        <v>C</v>
      </c>
      <c r="E1304" s="9" t="str">
        <f>IFERROR(__xludf.DUMMYFUNCTION("""COMPUTED_VALUE"""),"C")</f>
        <v>C</v>
      </c>
      <c r="F1304" s="9" t="str">
        <f>IFERROR(__xludf.DUMMYFUNCTION("""COMPUTED_VALUE"""),"TypeScript")</f>
        <v>TypeScript</v>
      </c>
      <c r="G1304" s="9" t="str">
        <f>IFERROR(__xludf.DUMMYFUNCTION("""COMPUTED_VALUE"""),"TypeScript")</f>
        <v>TypeScript</v>
      </c>
      <c r="H1304" s="9" t="str">
        <f>IFERROR(__xludf.DUMMYFUNCTION("""COMPUTED_VALUE"""),"TypeScript")</f>
        <v>TypeScript</v>
      </c>
      <c r="I1304" s="9" t="str">
        <f>IFERROR(__xludf.DUMMYFUNCTION("""COMPUTED_VALUE"""),"Java")</f>
        <v>Java</v>
      </c>
      <c r="J1304" s="9" t="str">
        <f>IFERROR(__xludf.DUMMYFUNCTION("""COMPUTED_VALUE"""),"SQL")</f>
        <v>SQL</v>
      </c>
      <c r="K1304" s="9" t="str">
        <f>IFERROR(__xludf.DUMMYFUNCTION("""COMPUTED_VALUE"""),"Bash/Shell/PowerShell")</f>
        <v>Bash/Shell/PowerShell</v>
      </c>
      <c r="L1304" s="9" t="str">
        <f>IFERROR(__xludf.DUMMYFUNCTION("""COMPUTED_VALUE"""),"Python")</f>
        <v>Python</v>
      </c>
      <c r="M1304" s="9" t="s">
        <v>24</v>
      </c>
    </row>
    <row r="1305" ht="15.75" customHeight="1">
      <c r="A1305" s="7"/>
      <c r="B1305" s="7" t="str">
        <f>IFERROR(__xludf.DUMMYFUNCTION("""COMPUTED_VALUE"""),"C#;HTML/CSS;JavaScript;SQL")</f>
        <v>C#;HTML/CSS;JavaScript;SQL</v>
      </c>
      <c r="C1305" s="9" t="str">
        <f>IFERROR(__xludf.DUMMYFUNCTION("""COMPUTED_VALUE"""),"JavaScript")</f>
        <v>JavaScript</v>
      </c>
      <c r="D1305" s="9" t="str">
        <f>IFERROR(__xludf.DUMMYFUNCTION("""COMPUTED_VALUE"""),"C++")</f>
        <v>C++</v>
      </c>
      <c r="E1305" s="9" t="str">
        <f>IFERROR(__xludf.DUMMYFUNCTION("""COMPUTED_VALUE"""),"C#")</f>
        <v>C#</v>
      </c>
      <c r="F1305" s="9" t="str">
        <f>IFERROR(__xludf.DUMMYFUNCTION("""COMPUTED_VALUE"""),"HTML/CSS")</f>
        <v>HTML/CSS</v>
      </c>
      <c r="G1305" s="9" t="str">
        <f>IFERROR(__xludf.DUMMYFUNCTION("""COMPUTED_VALUE"""),"Bash/Shell/PowerShell")</f>
        <v>Bash/Shell/PowerShell</v>
      </c>
      <c r="H1305" s="9" t="str">
        <f>IFERROR(__xludf.DUMMYFUNCTION("""COMPUTED_VALUE"""),"HTML/CSS")</f>
        <v>HTML/CSS</v>
      </c>
      <c r="I1305" s="9" t="str">
        <f>IFERROR(__xludf.DUMMYFUNCTION("""COMPUTED_VALUE"""),"JavaScript")</f>
        <v>JavaScript</v>
      </c>
      <c r="J1305" s="9" t="str">
        <f>IFERROR(__xludf.DUMMYFUNCTION("""COMPUTED_VALUE"""),"Other(s):")</f>
        <v>Other(s):</v>
      </c>
      <c r="K1305" s="9" t="str">
        <f>IFERROR(__xludf.DUMMYFUNCTION("""COMPUTED_VALUE"""),"JavaScript")</f>
        <v>JavaScript</v>
      </c>
      <c r="L1305" s="9" t="str">
        <f>IFERROR(__xludf.DUMMYFUNCTION("""COMPUTED_VALUE"""),"SQL")</f>
        <v>SQL</v>
      </c>
      <c r="M1305" s="9" t="s">
        <v>21</v>
      </c>
    </row>
    <row r="1306" ht="15.75" customHeight="1">
      <c r="A1306" s="7"/>
      <c r="B1306" s="7" t="str">
        <f>IFERROR(__xludf.DUMMYFUNCTION("""COMPUTED_VALUE"""),"Bash/Shell/PowerShell;C;C++;C#;HTML/CSS;Java;JavaScript")</f>
        <v>Bash/Shell/PowerShell;C;C++;C#;HTML/CSS;Java;JavaScript</v>
      </c>
      <c r="C1306" s="9" t="str">
        <f>IFERROR(__xludf.DUMMYFUNCTION("""COMPUTED_VALUE"""),"C++")</f>
        <v>C++</v>
      </c>
      <c r="D1306" s="9" t="str">
        <f>IFERROR(__xludf.DUMMYFUNCTION("""COMPUTED_VALUE"""),"C#")</f>
        <v>C#</v>
      </c>
      <c r="E1306" s="9" t="str">
        <f>IFERROR(__xludf.DUMMYFUNCTION("""COMPUTED_VALUE"""),"HTML/CSS")</f>
        <v>HTML/CSS</v>
      </c>
      <c r="F1306" s="9" t="str">
        <f>IFERROR(__xludf.DUMMYFUNCTION("""COMPUTED_VALUE"""),"JavaScript")</f>
        <v>JavaScript</v>
      </c>
      <c r="G1306" s="9" t="str">
        <f>IFERROR(__xludf.DUMMYFUNCTION("""COMPUTED_VALUE"""),"C++")</f>
        <v>C++</v>
      </c>
      <c r="H1306" s="9" t="str">
        <f>IFERROR(__xludf.DUMMYFUNCTION("""COMPUTED_VALUE"""),"JavaScript")</f>
        <v>JavaScript</v>
      </c>
      <c r="I1306" s="9" t="str">
        <f>IFERROR(__xludf.DUMMYFUNCTION("""COMPUTED_VALUE"""),"PHP")</f>
        <v>PHP</v>
      </c>
      <c r="J1306" s="9" t="str">
        <f>IFERROR(__xludf.DUMMYFUNCTION("""COMPUTED_VALUE"""),"C#")</f>
        <v>C#</v>
      </c>
      <c r="K1306" s="9" t="str">
        <f>IFERROR(__xludf.DUMMYFUNCTION("""COMPUTED_VALUE"""),"Python")</f>
        <v>Python</v>
      </c>
      <c r="L1306" s="9" t="str">
        <f>IFERROR(__xludf.DUMMYFUNCTION("""COMPUTED_VALUE"""),"TypeScript")</f>
        <v>TypeScript</v>
      </c>
      <c r="M1306" s="9" t="s">
        <v>23</v>
      </c>
    </row>
    <row r="1307" ht="15.75" customHeight="1">
      <c r="A1307" s="7"/>
      <c r="B1307" s="7" t="str">
        <f>IFERROR(__xludf.DUMMYFUNCTION("""COMPUTED_VALUE"""),"Bash/Shell/PowerShell;Go;HTML/CSS;JavaScript;Ruby;Rust;SQL;Swift")</f>
        <v>Bash/Shell/PowerShell;Go;HTML/CSS;JavaScript;Ruby;Rust;SQL;Swift</v>
      </c>
      <c r="C1307" s="9" t="str">
        <f>IFERROR(__xludf.DUMMYFUNCTION("""COMPUTED_VALUE"""),"C#")</f>
        <v>C#</v>
      </c>
      <c r="D1307" s="9" t="str">
        <f>IFERROR(__xludf.DUMMYFUNCTION("""COMPUTED_VALUE"""),"Elixir")</f>
        <v>Elixir</v>
      </c>
      <c r="E1307" s="9" t="str">
        <f>IFERROR(__xludf.DUMMYFUNCTION("""COMPUTED_VALUE"""),"JavaScript")</f>
        <v>JavaScript</v>
      </c>
      <c r="F1307" s="9" t="str">
        <f>IFERROR(__xludf.DUMMYFUNCTION("""COMPUTED_VALUE"""),"SQL")</f>
        <v>SQL</v>
      </c>
      <c r="G1307" s="9" t="str">
        <f>IFERROR(__xludf.DUMMYFUNCTION("""COMPUTED_VALUE"""),"JavaScript")</f>
        <v>JavaScript</v>
      </c>
      <c r="H1307" s="9" t="str">
        <f>IFERROR(__xludf.DUMMYFUNCTION("""COMPUTED_VALUE"""),"PHP")</f>
        <v>PHP</v>
      </c>
      <c r="I1307" s="9" t="str">
        <f>IFERROR(__xludf.DUMMYFUNCTION("""COMPUTED_VALUE"""),"Python")</f>
        <v>Python</v>
      </c>
      <c r="J1307" s="9" t="str">
        <f>IFERROR(__xludf.DUMMYFUNCTION("""COMPUTED_VALUE"""),"HTML/CSS")</f>
        <v>HTML/CSS</v>
      </c>
      <c r="K1307" s="9" t="str">
        <f>IFERROR(__xludf.DUMMYFUNCTION("""COMPUTED_VALUE"""),"SQL")</f>
        <v>SQL</v>
      </c>
      <c r="L1307" s="9" t="str">
        <f>IFERROR(__xludf.DUMMYFUNCTION("""COMPUTED_VALUE"""),"Assembly")</f>
        <v>Assembly</v>
      </c>
      <c r="M1307" s="9" t="s">
        <v>26</v>
      </c>
    </row>
    <row r="1308" ht="15.75" customHeight="1">
      <c r="A1308" s="7"/>
      <c r="B1308" s="7" t="str">
        <f>IFERROR(__xludf.DUMMYFUNCTION("""COMPUTED_VALUE"""),"Java;SQL")</f>
        <v>Java;SQL</v>
      </c>
      <c r="C1308" s="9" t="str">
        <f>IFERROR(__xludf.DUMMYFUNCTION("""COMPUTED_VALUE"""),"HTML/CSS")</f>
        <v>HTML/CSS</v>
      </c>
      <c r="D1308" s="9" t="str">
        <f>IFERROR(__xludf.DUMMYFUNCTION("""COMPUTED_VALUE"""),"HTML/CSS")</f>
        <v>HTML/CSS</v>
      </c>
      <c r="E1308" s="9" t="str">
        <f>IFERROR(__xludf.DUMMYFUNCTION("""COMPUTED_VALUE"""),"Python")</f>
        <v>Python</v>
      </c>
      <c r="F1308" s="9" t="str">
        <f>IFERROR(__xludf.DUMMYFUNCTION("""COMPUTED_VALUE"""),"Bash/Shell/PowerShell")</f>
        <v>Bash/Shell/PowerShell</v>
      </c>
      <c r="G1308" s="9" t="str">
        <f>IFERROR(__xludf.DUMMYFUNCTION("""COMPUTED_VALUE"""),"Kotlin")</f>
        <v>Kotlin</v>
      </c>
      <c r="H1308" s="9" t="str">
        <f>IFERROR(__xludf.DUMMYFUNCTION("""COMPUTED_VALUE"""),"Bash/Shell/PowerShell")</f>
        <v>Bash/Shell/PowerShell</v>
      </c>
      <c r="I1308" s="9" t="str">
        <f>IFERROR(__xludf.DUMMYFUNCTION("""COMPUTED_VALUE"""),"SQL")</f>
        <v>SQL</v>
      </c>
      <c r="J1308" s="9" t="str">
        <f>IFERROR(__xludf.DUMMYFUNCTION("""COMPUTED_VALUE"""),"JavaScript")</f>
        <v>JavaScript</v>
      </c>
      <c r="K1308" s="9" t="str">
        <f>IFERROR(__xludf.DUMMYFUNCTION("""COMPUTED_VALUE"""),"VBA")</f>
        <v>VBA</v>
      </c>
      <c r="L1308" s="9" t="str">
        <f>IFERROR(__xludf.DUMMYFUNCTION("""COMPUTED_VALUE"""),"Bash/Shell/PowerShell")</f>
        <v>Bash/Shell/PowerShell</v>
      </c>
      <c r="M1308" s="9" t="s">
        <v>24</v>
      </c>
    </row>
    <row r="1309" ht="15.75" customHeight="1">
      <c r="A1309" s="7"/>
      <c r="B1309" s="7" t="str">
        <f>IFERROR(__xludf.DUMMYFUNCTION("""COMPUTED_VALUE"""),"Bash/Shell/PowerShell;C++;C#;HTML/CSS;JavaScript;Python;TypeScript;Other(s):")</f>
        <v>Bash/Shell/PowerShell;C++;C#;HTML/CSS;JavaScript;Python;TypeScript;Other(s):</v>
      </c>
      <c r="C1309" s="9" t="str">
        <f>IFERROR(__xludf.DUMMYFUNCTION("""COMPUTED_VALUE"""),"Java")</f>
        <v>Java</v>
      </c>
      <c r="D1309" s="9" t="str">
        <f>IFERROR(__xludf.DUMMYFUNCTION("""COMPUTED_VALUE"""),"Java")</f>
        <v>Java</v>
      </c>
      <c r="E1309" s="9" t="str">
        <f>IFERROR(__xludf.DUMMYFUNCTION("""COMPUTED_VALUE"""),"C#")</f>
        <v>C#</v>
      </c>
      <c r="F1309" s="9" t="str">
        <f>IFERROR(__xludf.DUMMYFUNCTION("""COMPUTED_VALUE"""),"Java")</f>
        <v>Java</v>
      </c>
      <c r="G1309" s="9" t="str">
        <f>IFERROR(__xludf.DUMMYFUNCTION("""COMPUTED_VALUE"""),"Bash/Shell/PowerShell")</f>
        <v>Bash/Shell/PowerShell</v>
      </c>
      <c r="H1309" s="9" t="str">
        <f>IFERROR(__xludf.DUMMYFUNCTION("""COMPUTED_VALUE"""),"HTML/CSS")</f>
        <v>HTML/CSS</v>
      </c>
      <c r="I1309" s="9" t="str">
        <f>IFERROR(__xludf.DUMMYFUNCTION("""COMPUTED_VALUE"""),"Swift")</f>
        <v>Swift</v>
      </c>
      <c r="J1309" s="9" t="str">
        <f>IFERROR(__xludf.DUMMYFUNCTION("""COMPUTED_VALUE"""),"SQL")</f>
        <v>SQL</v>
      </c>
      <c r="K1309" s="9" t="str">
        <f>IFERROR(__xludf.DUMMYFUNCTION("""COMPUTED_VALUE"""),"Java")</f>
        <v>Java</v>
      </c>
      <c r="L1309" s="9" t="str">
        <f>IFERROR(__xludf.DUMMYFUNCTION("""COMPUTED_VALUE"""),"C")</f>
        <v>C</v>
      </c>
      <c r="M1309" s="9" t="s">
        <v>20</v>
      </c>
    </row>
    <row r="1310" ht="15.75" customHeight="1">
      <c r="A1310" s="7"/>
      <c r="B1310" s="7" t="str">
        <f>IFERROR(__xludf.DUMMYFUNCTION("""COMPUTED_VALUE"""),"HTML/CSS;JavaScript;PHP;SQL")</f>
        <v>HTML/CSS;JavaScript;PHP;SQL</v>
      </c>
      <c r="C1310" s="9" t="str">
        <f>IFERROR(__xludf.DUMMYFUNCTION("""COMPUTED_VALUE"""),"JavaScript")</f>
        <v>JavaScript</v>
      </c>
      <c r="D1310" s="9" t="str">
        <f>IFERROR(__xludf.DUMMYFUNCTION("""COMPUTED_VALUE"""),"JavaScript")</f>
        <v>JavaScript</v>
      </c>
      <c r="E1310" s="9" t="str">
        <f>IFERROR(__xludf.DUMMYFUNCTION("""COMPUTED_VALUE"""),"Python")</f>
        <v>Python</v>
      </c>
      <c r="F1310" s="9" t="str">
        <f>IFERROR(__xludf.DUMMYFUNCTION("""COMPUTED_VALUE"""),"SQL")</f>
        <v>SQL</v>
      </c>
      <c r="G1310" s="9" t="str">
        <f>IFERROR(__xludf.DUMMYFUNCTION("""COMPUTED_VALUE"""),"HTML/CSS")</f>
        <v>HTML/CSS</v>
      </c>
      <c r="H1310" s="9" t="str">
        <f>IFERROR(__xludf.DUMMYFUNCTION("""COMPUTED_VALUE"""),"Python")</f>
        <v>Python</v>
      </c>
      <c r="I1310" s="9" t="str">
        <f>IFERROR(__xludf.DUMMYFUNCTION("""COMPUTED_VALUE"""),"VBA")</f>
        <v>VBA</v>
      </c>
      <c r="J1310" s="9" t="str">
        <f>IFERROR(__xludf.DUMMYFUNCTION("""COMPUTED_VALUE"""),"Bash/Shell/PowerShell")</f>
        <v>Bash/Shell/PowerShell</v>
      </c>
      <c r="K1310" s="9" t="str">
        <f>IFERROR(__xludf.DUMMYFUNCTION("""COMPUTED_VALUE"""),"JavaScript")</f>
        <v>JavaScript</v>
      </c>
      <c r="L1310" s="9" t="str">
        <f>IFERROR(__xludf.DUMMYFUNCTION("""COMPUTED_VALUE"""),"C++")</f>
        <v>C++</v>
      </c>
      <c r="M1310" s="9" t="s">
        <v>21</v>
      </c>
    </row>
    <row r="1311" ht="15.75" customHeight="1">
      <c r="A1311" s="7"/>
      <c r="B1311" s="7" t="str">
        <f>IFERROR(__xludf.DUMMYFUNCTION("""COMPUTED_VALUE"""),"Bash/Shell/PowerShell;C;C++;Clojure;Go;HTML/CSS;Java;JavaScript;Kotlin;PHP;Python;SQL;TypeScript;Other(s):")</f>
        <v>Bash/Shell/PowerShell;C;C++;Clojure;Go;HTML/CSS;Java;JavaScript;Kotlin;PHP;Python;SQL;TypeScript;Other(s):</v>
      </c>
      <c r="C1311" s="9" t="str">
        <f>IFERROR(__xludf.DUMMYFUNCTION("""COMPUTED_VALUE"""),"PHP")</f>
        <v>PHP</v>
      </c>
      <c r="D1311" s="9" t="str">
        <f>IFERROR(__xludf.DUMMYFUNCTION("""COMPUTED_VALUE"""),"PHP")</f>
        <v>PHP</v>
      </c>
      <c r="E1311" s="9" t="str">
        <f>IFERROR(__xludf.DUMMYFUNCTION("""COMPUTED_VALUE"""),"C#")</f>
        <v>C#</v>
      </c>
      <c r="F1311" s="9" t="str">
        <f>IFERROR(__xludf.DUMMYFUNCTION("""COMPUTED_VALUE"""),"Other(s):")</f>
        <v>Other(s):</v>
      </c>
      <c r="G1311" s="9" t="str">
        <f>IFERROR(__xludf.DUMMYFUNCTION("""COMPUTED_VALUE"""),"Java")</f>
        <v>Java</v>
      </c>
      <c r="H1311" s="9" t="str">
        <f>IFERROR(__xludf.DUMMYFUNCTION("""COMPUTED_VALUE"""),"Ruby")</f>
        <v>Ruby</v>
      </c>
      <c r="I1311" s="9" t="str">
        <f>IFERROR(__xludf.DUMMYFUNCTION("""COMPUTED_VALUE"""),"Bash/Shell/PowerShell")</f>
        <v>Bash/Shell/PowerShell</v>
      </c>
      <c r="J1311" s="9" t="str">
        <f>IFERROR(__xludf.DUMMYFUNCTION("""COMPUTED_VALUE"""),"C++")</f>
        <v>C++</v>
      </c>
      <c r="K1311" s="9" t="str">
        <f>IFERROR(__xludf.DUMMYFUNCTION("""COMPUTED_VALUE"""),"Python")</f>
        <v>Python</v>
      </c>
      <c r="L1311" s="9" t="str">
        <f>IFERROR(__xludf.DUMMYFUNCTION("""COMPUTED_VALUE"""),"HTML/CSS")</f>
        <v>HTML/CSS</v>
      </c>
      <c r="M1311" s="9" t="s">
        <v>37</v>
      </c>
    </row>
    <row r="1312" ht="15.75" customHeight="1">
      <c r="A1312" s="7"/>
      <c r="B1312" s="7" t="str">
        <f>IFERROR(__xludf.DUMMYFUNCTION("""COMPUTED_VALUE"""),"HTML/CSS;Java;JavaScript;PHP;Python;R;Scala;SQL;TypeScript")</f>
        <v>HTML/CSS;Java;JavaScript;PHP;Python;R;Scala;SQL;TypeScript</v>
      </c>
      <c r="C1312" s="9" t="str">
        <f>IFERROR(__xludf.DUMMYFUNCTION("""COMPUTED_VALUE"""),"Python")</f>
        <v>Python</v>
      </c>
      <c r="D1312" s="9" t="str">
        <f>IFERROR(__xludf.DUMMYFUNCTION("""COMPUTED_VALUE"""),"Python")</f>
        <v>Python</v>
      </c>
      <c r="E1312" s="9" t="str">
        <f>IFERROR(__xludf.DUMMYFUNCTION("""COMPUTED_VALUE"""),"SQL")</f>
        <v>SQL</v>
      </c>
      <c r="F1312" s="9" t="str">
        <f>IFERROR(__xludf.DUMMYFUNCTION("""COMPUTED_VALUE"""),"HTML/CSS")</f>
        <v>HTML/CSS</v>
      </c>
      <c r="G1312" s="9" t="str">
        <f>IFERROR(__xludf.DUMMYFUNCTION("""COMPUTED_VALUE"""),"JavaScript")</f>
        <v>JavaScript</v>
      </c>
      <c r="H1312" s="9" t="str">
        <f>IFERROR(__xludf.DUMMYFUNCTION("""COMPUTED_VALUE"""),"Other(s):")</f>
        <v>Other(s):</v>
      </c>
      <c r="I1312" s="9" t="str">
        <f>IFERROR(__xludf.DUMMYFUNCTION("""COMPUTED_VALUE"""),"HTML/CSS")</f>
        <v>HTML/CSS</v>
      </c>
      <c r="J1312" s="9" t="str">
        <f>IFERROR(__xludf.DUMMYFUNCTION("""COMPUTED_VALUE"""),"C#")</f>
        <v>C#</v>
      </c>
      <c r="K1312" s="9" t="str">
        <f>IFERROR(__xludf.DUMMYFUNCTION("""COMPUTED_VALUE"""),"Ruby")</f>
        <v>Ruby</v>
      </c>
      <c r="L1312" s="9" t="str">
        <f>IFERROR(__xludf.DUMMYFUNCTION("""COMPUTED_VALUE"""),"Java")</f>
        <v>Java</v>
      </c>
      <c r="M1312" s="9" t="s">
        <v>22</v>
      </c>
    </row>
    <row r="1313" ht="15.75" customHeight="1">
      <c r="A1313" s="7"/>
      <c r="B1313" s="7" t="str">
        <f>IFERROR(__xludf.DUMMYFUNCTION("""COMPUTED_VALUE"""),"C++;C#;Java;Python")</f>
        <v>C++;C#;Java;Python</v>
      </c>
      <c r="C1313" s="9" t="str">
        <f>IFERROR(__xludf.DUMMYFUNCTION("""COMPUTED_VALUE"""),"SQL")</f>
        <v>SQL</v>
      </c>
      <c r="D1313" s="9" t="str">
        <f>IFERROR(__xludf.DUMMYFUNCTION("""COMPUTED_VALUE"""),"SQL")</f>
        <v>SQL</v>
      </c>
      <c r="E1313" s="9" t="str">
        <f>IFERROR(__xludf.DUMMYFUNCTION("""COMPUTED_VALUE"""),"Bash/Shell/PowerShell")</f>
        <v>Bash/Shell/PowerShell</v>
      </c>
      <c r="F1313" s="9" t="str">
        <f>IFERROR(__xludf.DUMMYFUNCTION("""COMPUTED_VALUE"""),"JavaScript")</f>
        <v>JavaScript</v>
      </c>
      <c r="G1313" s="9" t="str">
        <f>IFERROR(__xludf.DUMMYFUNCTION("""COMPUTED_VALUE"""),"Kotlin")</f>
        <v>Kotlin</v>
      </c>
      <c r="H1313" s="9" t="str">
        <f>IFERROR(__xludf.DUMMYFUNCTION("""COMPUTED_VALUE"""),"HTML/CSS")</f>
        <v>HTML/CSS</v>
      </c>
      <c r="I1313" s="9" t="str">
        <f>IFERROR(__xludf.DUMMYFUNCTION("""COMPUTED_VALUE"""),"Objective-C")</f>
        <v>Objective-C</v>
      </c>
      <c r="J1313" s="9" t="str">
        <f>IFERROR(__xludf.DUMMYFUNCTION("""COMPUTED_VALUE"""),"HTML/CSS")</f>
        <v>HTML/CSS</v>
      </c>
      <c r="K1313" s="9" t="str">
        <f>IFERROR(__xludf.DUMMYFUNCTION("""COMPUTED_VALUE"""),"C#")</f>
        <v>C#</v>
      </c>
      <c r="L1313" s="9" t="str">
        <f>IFERROR(__xludf.DUMMYFUNCTION("""COMPUTED_VALUE"""),"Objective-C")</f>
        <v>Objective-C</v>
      </c>
      <c r="M1313" s="9" t="s">
        <v>27</v>
      </c>
    </row>
    <row r="1314" ht="15.75" customHeight="1">
      <c r="A1314" s="7"/>
      <c r="B1314" s="7" t="str">
        <f>IFERROR(__xludf.DUMMYFUNCTION("""COMPUTED_VALUE"""),"C++")</f>
        <v>C++</v>
      </c>
      <c r="C1314" s="9" t="str">
        <f>IFERROR(__xludf.DUMMYFUNCTION("""COMPUTED_VALUE"""),"TypeScript")</f>
        <v>TypeScript</v>
      </c>
      <c r="D1314" s="9" t="str">
        <f>IFERROR(__xludf.DUMMYFUNCTION("""COMPUTED_VALUE"""),"TypeScript")</f>
        <v>TypeScript</v>
      </c>
      <c r="E1314" s="9" t="str">
        <f>IFERROR(__xludf.DUMMYFUNCTION("""COMPUTED_VALUE"""),"C++")</f>
        <v>C++</v>
      </c>
      <c r="F1314" s="9" t="str">
        <f>IFERROR(__xludf.DUMMYFUNCTION("""COMPUTED_VALUE"""),"PHP")</f>
        <v>PHP</v>
      </c>
      <c r="G1314" s="9" t="str">
        <f>IFERROR(__xludf.DUMMYFUNCTION("""COMPUTED_VALUE"""),"PHP")</f>
        <v>PHP</v>
      </c>
      <c r="H1314" s="9" t="str">
        <f>IFERROR(__xludf.DUMMYFUNCTION("""COMPUTED_VALUE"""),"JavaScript")</f>
        <v>JavaScript</v>
      </c>
      <c r="I1314" s="9" t="str">
        <f>IFERROR(__xludf.DUMMYFUNCTION("""COMPUTED_VALUE"""),"Python")</f>
        <v>Python</v>
      </c>
      <c r="J1314" s="9" t="str">
        <f>IFERROR(__xludf.DUMMYFUNCTION("""COMPUTED_VALUE"""),"JavaScript")</f>
        <v>JavaScript</v>
      </c>
      <c r="K1314" s="9" t="str">
        <f>IFERROR(__xludf.DUMMYFUNCTION("""COMPUTED_VALUE"""),"HTML/CSS")</f>
        <v>HTML/CSS</v>
      </c>
      <c r="L1314" s="9" t="str">
        <f>IFERROR(__xludf.DUMMYFUNCTION("""COMPUTED_VALUE"""),"PHP")</f>
        <v>PHP</v>
      </c>
      <c r="M1314" s="9" t="s">
        <v>33</v>
      </c>
    </row>
    <row r="1315" ht="15.75" customHeight="1">
      <c r="A1315" s="7"/>
      <c r="B1315" s="7" t="str">
        <f>IFERROR(__xludf.DUMMYFUNCTION("""COMPUTED_VALUE"""),"Bash/Shell/PowerShell;C;C#;HTML/CSS;Java;JavaScript;Python;SQL;Other(s):")</f>
        <v>Bash/Shell/PowerShell;C;C#;HTML/CSS;Java;JavaScript;Python;SQL;Other(s):</v>
      </c>
      <c r="C1315" s="9" t="str">
        <f>IFERROR(__xludf.DUMMYFUNCTION("""COMPUTED_VALUE"""),"HTML/CSS")</f>
        <v>HTML/CSS</v>
      </c>
      <c r="D1315" s="9" t="str">
        <f>IFERROR(__xludf.DUMMYFUNCTION("""COMPUTED_VALUE"""),"Bash/Shell/PowerShell")</f>
        <v>Bash/Shell/PowerShell</v>
      </c>
      <c r="E1315" s="9" t="str">
        <f>IFERROR(__xludf.DUMMYFUNCTION("""COMPUTED_VALUE"""),"Elixir")</f>
        <v>Elixir</v>
      </c>
      <c r="F1315" s="9" t="str">
        <f>IFERROR(__xludf.DUMMYFUNCTION("""COMPUTED_VALUE"""),"R")</f>
        <v>R</v>
      </c>
      <c r="G1315" s="9" t="str">
        <f>IFERROR(__xludf.DUMMYFUNCTION("""COMPUTED_VALUE"""),"Python")</f>
        <v>Python</v>
      </c>
      <c r="H1315" s="9" t="str">
        <f>IFERROR(__xludf.DUMMYFUNCTION("""COMPUTED_VALUE"""),"SQL")</f>
        <v>SQL</v>
      </c>
      <c r="I1315" s="9" t="str">
        <f>IFERROR(__xludf.DUMMYFUNCTION("""COMPUTED_VALUE"""),"Swift")</f>
        <v>Swift</v>
      </c>
      <c r="J1315" s="9" t="str">
        <f>IFERROR(__xludf.DUMMYFUNCTION("""COMPUTED_VALUE"""),"PHP")</f>
        <v>PHP</v>
      </c>
      <c r="K1315" s="9" t="str">
        <f>IFERROR(__xludf.DUMMYFUNCTION("""COMPUTED_VALUE"""),"Java")</f>
        <v>Java</v>
      </c>
      <c r="L1315" s="9" t="str">
        <f>IFERROR(__xludf.DUMMYFUNCTION("""COMPUTED_VALUE"""),"SQL")</f>
        <v>SQL</v>
      </c>
      <c r="M1315" s="9" t="s">
        <v>24</v>
      </c>
    </row>
    <row r="1316" ht="15.75" customHeight="1">
      <c r="A1316" s="7"/>
      <c r="B1316" s="7" t="str">
        <f>IFERROR(__xludf.DUMMYFUNCTION("""COMPUTED_VALUE"""),"Clojure;HTML/CSS;JavaScript;Kotlin;PHP;Ruby")</f>
        <v>Clojure;HTML/CSS;JavaScript;Kotlin;PHP;Ruby</v>
      </c>
      <c r="C1316" s="9" t="str">
        <f>IFERROR(__xludf.DUMMYFUNCTION("""COMPUTED_VALUE"""),"JavaScript")</f>
        <v>JavaScript</v>
      </c>
      <c r="D1316" s="9" t="str">
        <f>IFERROR(__xludf.DUMMYFUNCTION("""COMPUTED_VALUE"""),"C")</f>
        <v>C</v>
      </c>
      <c r="E1316" s="9" t="str">
        <f>IFERROR(__xludf.DUMMYFUNCTION("""COMPUTED_VALUE"""),"HTML/CSS")</f>
        <v>HTML/CSS</v>
      </c>
      <c r="F1316" s="9" t="str">
        <f>IFERROR(__xludf.DUMMYFUNCTION("""COMPUTED_VALUE"""),"SQL")</f>
        <v>SQL</v>
      </c>
      <c r="G1316" s="9" t="str">
        <f>IFERROR(__xludf.DUMMYFUNCTION("""COMPUTED_VALUE"""),"SQL")</f>
        <v>SQL</v>
      </c>
      <c r="H1316" s="9" t="str">
        <f>IFERROR(__xludf.DUMMYFUNCTION("""COMPUTED_VALUE"""),"C++")</f>
        <v>C++</v>
      </c>
      <c r="I1316" s="9" t="str">
        <f>IFERROR(__xludf.DUMMYFUNCTION("""COMPUTED_VALUE"""),"Bash/Shell/PowerShell")</f>
        <v>Bash/Shell/PowerShell</v>
      </c>
      <c r="J1316" s="9" t="str">
        <f>IFERROR(__xludf.DUMMYFUNCTION("""COMPUTED_VALUE"""),"R")</f>
        <v>R</v>
      </c>
      <c r="K1316" s="9" t="str">
        <f>IFERROR(__xludf.DUMMYFUNCTION("""COMPUTED_VALUE"""),"JavaScript")</f>
        <v>JavaScript</v>
      </c>
      <c r="L1316" s="9" t="str">
        <f>IFERROR(__xludf.DUMMYFUNCTION("""COMPUTED_VALUE"""),"HTML/CSS")</f>
        <v>HTML/CSS</v>
      </c>
      <c r="M1316" s="9" t="s">
        <v>21</v>
      </c>
    </row>
    <row r="1317" ht="15.75" customHeight="1">
      <c r="A1317" s="7"/>
      <c r="B1317" s="7" t="str">
        <f>IFERROR(__xludf.DUMMYFUNCTION("""COMPUTED_VALUE"""),"Bash/Shell/PowerShell;C;C++;Python;Other(s):")</f>
        <v>Bash/Shell/PowerShell;C;C++;Python;Other(s):</v>
      </c>
      <c r="C1317" s="9" t="str">
        <f>IFERROR(__xludf.DUMMYFUNCTION("""COMPUTED_VALUE"""),"Kotlin")</f>
        <v>Kotlin</v>
      </c>
      <c r="D1317" s="9" t="str">
        <f>IFERROR(__xludf.DUMMYFUNCTION("""COMPUTED_VALUE"""),"HTML/CSS")</f>
        <v>HTML/CSS</v>
      </c>
      <c r="E1317" s="9" t="str">
        <f>IFERROR(__xludf.DUMMYFUNCTION("""COMPUTED_VALUE"""),"Java")</f>
        <v>Java</v>
      </c>
      <c r="F1317" s="9" t="str">
        <f>IFERROR(__xludf.DUMMYFUNCTION("""COMPUTED_VALUE"""),"TypeScript")</f>
        <v>TypeScript</v>
      </c>
      <c r="G1317" s="9" t="str">
        <f>IFERROR(__xludf.DUMMYFUNCTION("""COMPUTED_VALUE"""),"WebAssembly")</f>
        <v>WebAssembly</v>
      </c>
      <c r="H1317" s="9" t="str">
        <f>IFERROR(__xludf.DUMMYFUNCTION("""COMPUTED_VALUE"""),"C#")</f>
        <v>C#</v>
      </c>
      <c r="I1317" s="9" t="str">
        <f>IFERROR(__xludf.DUMMYFUNCTION("""COMPUTED_VALUE"""),"C#")</f>
        <v>C#</v>
      </c>
      <c r="J1317" s="9" t="str">
        <f>IFERROR(__xludf.DUMMYFUNCTION("""COMPUTED_VALUE"""),"SQL")</f>
        <v>SQL</v>
      </c>
      <c r="K1317" s="9" t="str">
        <f>IFERROR(__xludf.DUMMYFUNCTION("""COMPUTED_VALUE"""),"PHP")</f>
        <v>PHP</v>
      </c>
      <c r="L1317" s="9" t="str">
        <f>IFERROR(__xludf.DUMMYFUNCTION("""COMPUTED_VALUE"""),"Java")</f>
        <v>Java</v>
      </c>
      <c r="M1317" s="9" t="s">
        <v>39</v>
      </c>
    </row>
    <row r="1318" ht="15.75" customHeight="1">
      <c r="A1318" s="7"/>
      <c r="B1318" s="7" t="str">
        <f>IFERROR(__xludf.DUMMYFUNCTION("""COMPUTED_VALUE"""),"C#;HTML/CSS;JavaScript;SQL;TypeScript")</f>
        <v>C#;HTML/CSS;JavaScript;SQL;TypeScript</v>
      </c>
      <c r="C1318" s="9" t="str">
        <f>IFERROR(__xludf.DUMMYFUNCTION("""COMPUTED_VALUE"""),"Python")</f>
        <v>Python</v>
      </c>
      <c r="D1318" s="9" t="str">
        <f>IFERROR(__xludf.DUMMYFUNCTION("""COMPUTED_VALUE"""),"JavaScript")</f>
        <v>JavaScript</v>
      </c>
      <c r="E1318" s="9" t="str">
        <f>IFERROR(__xludf.DUMMYFUNCTION("""COMPUTED_VALUE"""),"JavaScript")</f>
        <v>JavaScript</v>
      </c>
      <c r="F1318" s="9" t="str">
        <f>IFERROR(__xludf.DUMMYFUNCTION("""COMPUTED_VALUE"""),"VBA")</f>
        <v>VBA</v>
      </c>
      <c r="G1318" s="9" t="str">
        <f>IFERROR(__xludf.DUMMYFUNCTION("""COMPUTED_VALUE"""),"Bash/Shell/PowerShell")</f>
        <v>Bash/Shell/PowerShell</v>
      </c>
      <c r="H1318" s="9" t="str">
        <f>IFERROR(__xludf.DUMMYFUNCTION("""COMPUTED_VALUE"""),"HTML/CSS")</f>
        <v>HTML/CSS</v>
      </c>
      <c r="I1318" s="9" t="str">
        <f>IFERROR(__xludf.DUMMYFUNCTION("""COMPUTED_VALUE"""),"HTML/CSS")</f>
        <v>HTML/CSS</v>
      </c>
      <c r="J1318" s="9" t="str">
        <f>IFERROR(__xludf.DUMMYFUNCTION("""COMPUTED_VALUE"""),"C#")</f>
        <v>C#</v>
      </c>
      <c r="K1318" s="9" t="str">
        <f>IFERROR(__xludf.DUMMYFUNCTION("""COMPUTED_VALUE"""),"C++")</f>
        <v>C++</v>
      </c>
      <c r="L1318" s="9" t="str">
        <f>IFERROR(__xludf.DUMMYFUNCTION("""COMPUTED_VALUE"""),"JavaScript")</f>
        <v>JavaScript</v>
      </c>
      <c r="M1318" s="9" t="s">
        <v>22</v>
      </c>
    </row>
    <row r="1319" ht="15.75" customHeight="1">
      <c r="A1319" s="7"/>
      <c r="B1319" s="7" t="str">
        <f>IFERROR(__xludf.DUMMYFUNCTION("""COMPUTED_VALUE"""),"Bash/Shell/PowerShell;C#;HTML/CSS;JavaScript;PHP;Python;R;SQL")</f>
        <v>Bash/Shell/PowerShell;C#;HTML/CSS;JavaScript;PHP;Python;R;SQL</v>
      </c>
      <c r="C1319" s="9" t="str">
        <f>IFERROR(__xludf.DUMMYFUNCTION("""COMPUTED_VALUE"""),"HTML/CSS")</f>
        <v>HTML/CSS</v>
      </c>
      <c r="D1319" s="9" t="str">
        <f>IFERROR(__xludf.DUMMYFUNCTION("""COMPUTED_VALUE"""),"Objective-C")</f>
        <v>Objective-C</v>
      </c>
      <c r="E1319" s="9" t="str">
        <f>IFERROR(__xludf.DUMMYFUNCTION("""COMPUTED_VALUE"""),"Python")</f>
        <v>Python</v>
      </c>
      <c r="F1319" s="9" t="str">
        <f>IFERROR(__xludf.DUMMYFUNCTION("""COMPUTED_VALUE"""),"Java")</f>
        <v>Java</v>
      </c>
      <c r="G1319" s="9" t="str">
        <f>IFERROR(__xludf.DUMMYFUNCTION("""COMPUTED_VALUE"""),"HTML/CSS")</f>
        <v>HTML/CSS</v>
      </c>
      <c r="H1319" s="9" t="str">
        <f>IFERROR(__xludf.DUMMYFUNCTION("""COMPUTED_VALUE"""),"JavaScript")</f>
        <v>JavaScript</v>
      </c>
      <c r="I1319" s="9" t="str">
        <f>IFERROR(__xludf.DUMMYFUNCTION("""COMPUTED_VALUE"""),"JavaScript")</f>
        <v>JavaScript</v>
      </c>
      <c r="J1319" s="9" t="str">
        <f>IFERROR(__xludf.DUMMYFUNCTION("""COMPUTED_VALUE"""),"HTML/CSS")</f>
        <v>HTML/CSS</v>
      </c>
      <c r="K1319" s="9" t="str">
        <f>IFERROR(__xludf.DUMMYFUNCTION("""COMPUTED_VALUE"""),"Python")</f>
        <v>Python</v>
      </c>
      <c r="L1319" s="9" t="str">
        <f>IFERROR(__xludf.DUMMYFUNCTION("""COMPUTED_VALUE"""),"TypeScript")</f>
        <v>TypeScript</v>
      </c>
      <c r="M1319" s="9" t="s">
        <v>24</v>
      </c>
    </row>
    <row r="1320" ht="15.75" customHeight="1">
      <c r="A1320" s="7"/>
      <c r="B1320" s="7" t="str">
        <f>IFERROR(__xludf.DUMMYFUNCTION("""COMPUTED_VALUE"""),"C++;HTML/CSS;JavaScript;PHP;SQL")</f>
        <v>C++;HTML/CSS;JavaScript;PHP;SQL</v>
      </c>
      <c r="C1320" s="9" t="str">
        <f>IFERROR(__xludf.DUMMYFUNCTION("""COMPUTED_VALUE"""),"Java")</f>
        <v>Java</v>
      </c>
      <c r="D1320" s="9" t="str">
        <f>IFERROR(__xludf.DUMMYFUNCTION("""COMPUTED_VALUE"""),"PHP")</f>
        <v>PHP</v>
      </c>
      <c r="E1320" s="9" t="str">
        <f>IFERROR(__xludf.DUMMYFUNCTION("""COMPUTED_VALUE"""),"Scala")</f>
        <v>Scala</v>
      </c>
      <c r="F1320" s="9" t="str">
        <f>IFERROR(__xludf.DUMMYFUNCTION("""COMPUTED_VALUE"""),"JavaScript")</f>
        <v>JavaScript</v>
      </c>
      <c r="G1320" s="9" t="str">
        <f>IFERROR(__xludf.DUMMYFUNCTION("""COMPUTED_VALUE"""),"Java")</f>
        <v>Java</v>
      </c>
      <c r="H1320" s="9" t="str">
        <f>IFERROR(__xludf.DUMMYFUNCTION("""COMPUTED_VALUE"""),"SQL")</f>
        <v>SQL</v>
      </c>
      <c r="I1320" s="9" t="str">
        <f>IFERROR(__xludf.DUMMYFUNCTION("""COMPUTED_VALUE"""),"TypeScript")</f>
        <v>TypeScript</v>
      </c>
      <c r="J1320" s="9" t="str">
        <f>IFERROR(__xludf.DUMMYFUNCTION("""COMPUTED_VALUE"""),"JavaScript")</f>
        <v>JavaScript</v>
      </c>
      <c r="K1320" s="9" t="str">
        <f>IFERROR(__xludf.DUMMYFUNCTION("""COMPUTED_VALUE"""),"Bash/Shell/PowerShell")</f>
        <v>Bash/Shell/PowerShell</v>
      </c>
      <c r="L1320" s="9" t="str">
        <f>IFERROR(__xludf.DUMMYFUNCTION("""COMPUTED_VALUE"""),"HTML/CSS")</f>
        <v>HTML/CSS</v>
      </c>
      <c r="M1320" s="9" t="s">
        <v>20</v>
      </c>
    </row>
    <row r="1321" ht="15.75" customHeight="1">
      <c r="A1321" s="7"/>
      <c r="B1321" s="7" t="str">
        <f>IFERROR(__xludf.DUMMYFUNCTION("""COMPUTED_VALUE"""),"HTML/CSS;JavaScript;Python;SQL;TypeScript")</f>
        <v>HTML/CSS;JavaScript;Python;SQL;TypeScript</v>
      </c>
      <c r="C1321" s="9" t="str">
        <f>IFERROR(__xludf.DUMMYFUNCTION("""COMPUTED_VALUE"""),"JavaScript")</f>
        <v>JavaScript</v>
      </c>
      <c r="D1321" s="9" t="str">
        <f>IFERROR(__xludf.DUMMYFUNCTION("""COMPUTED_VALUE"""),"Python")</f>
        <v>Python</v>
      </c>
      <c r="E1321" s="9" t="str">
        <f>IFERROR(__xludf.DUMMYFUNCTION("""COMPUTED_VALUE"""),"SQL")</f>
        <v>SQL</v>
      </c>
      <c r="F1321" s="9" t="str">
        <f>IFERROR(__xludf.DUMMYFUNCTION("""COMPUTED_VALUE"""),"PHP")</f>
        <v>PHP</v>
      </c>
      <c r="G1321" s="9" t="str">
        <f>IFERROR(__xludf.DUMMYFUNCTION("""COMPUTED_VALUE"""),"JavaScript")</f>
        <v>JavaScript</v>
      </c>
      <c r="H1321" s="9" t="str">
        <f>IFERROR(__xludf.DUMMYFUNCTION("""COMPUTED_VALUE"""),"Python")</f>
        <v>Python</v>
      </c>
      <c r="I1321" s="9" t="str">
        <f>IFERROR(__xludf.DUMMYFUNCTION("""COMPUTED_VALUE"""),"Java")</f>
        <v>Java</v>
      </c>
      <c r="J1321" s="9" t="str">
        <f>IFERROR(__xludf.DUMMYFUNCTION("""COMPUTED_VALUE"""),"SQL")</f>
        <v>SQL</v>
      </c>
      <c r="K1321" s="9" t="str">
        <f>IFERROR(__xludf.DUMMYFUNCTION("""COMPUTED_VALUE"""),"Java")</f>
        <v>Java</v>
      </c>
      <c r="L1321" s="9" t="str">
        <f>IFERROR(__xludf.DUMMYFUNCTION("""COMPUTED_VALUE"""),"JavaScript")</f>
        <v>JavaScript</v>
      </c>
      <c r="M1321" s="9" t="s">
        <v>21</v>
      </c>
    </row>
    <row r="1322" ht="15.75" customHeight="1">
      <c r="A1322" s="7"/>
      <c r="B1322" s="7" t="str">
        <f>IFERROR(__xludf.DUMMYFUNCTION("""COMPUTED_VALUE"""),"Assembly;C;HTML/CSS;Java")</f>
        <v>Assembly;C;HTML/CSS;Java</v>
      </c>
      <c r="C1322" s="9" t="str">
        <f>IFERROR(__xludf.DUMMYFUNCTION("""COMPUTED_VALUE"""),"Python")</f>
        <v>Python</v>
      </c>
      <c r="D1322" s="9" t="str">
        <f>IFERROR(__xludf.DUMMYFUNCTION("""COMPUTED_VALUE"""),"SQL")</f>
        <v>SQL</v>
      </c>
      <c r="E1322" s="9" t="str">
        <f>IFERROR(__xludf.DUMMYFUNCTION("""COMPUTED_VALUE"""),"TypeScript")</f>
        <v>TypeScript</v>
      </c>
      <c r="F1322" s="9" t="str">
        <f>IFERROR(__xludf.DUMMYFUNCTION("""COMPUTED_VALUE"""),"Bash/Shell/PowerShell")</f>
        <v>Bash/Shell/PowerShell</v>
      </c>
      <c r="G1322" s="9" t="str">
        <f>IFERROR(__xludf.DUMMYFUNCTION("""COMPUTED_VALUE"""),"SQL")</f>
        <v>SQL</v>
      </c>
      <c r="H1322" s="9" t="str">
        <f>IFERROR(__xludf.DUMMYFUNCTION("""COMPUTED_VALUE"""),"SQL")</f>
        <v>SQL</v>
      </c>
      <c r="I1322" s="9" t="str">
        <f>IFERROR(__xludf.DUMMYFUNCTION("""COMPUTED_VALUE"""),"JavaScript")</f>
        <v>JavaScript</v>
      </c>
      <c r="J1322" s="9" t="str">
        <f>IFERROR(__xludf.DUMMYFUNCTION("""COMPUTED_VALUE"""),"Bash/Shell/PowerShell")</f>
        <v>Bash/Shell/PowerShell</v>
      </c>
      <c r="K1322" s="9" t="str">
        <f>IFERROR(__xludf.DUMMYFUNCTION("""COMPUTED_VALUE"""),"Rust")</f>
        <v>Rust</v>
      </c>
      <c r="L1322" s="9" t="str">
        <f>IFERROR(__xludf.DUMMYFUNCTION("""COMPUTED_VALUE"""),"PHP")</f>
        <v>PHP</v>
      </c>
      <c r="M1322" s="9" t="s">
        <v>22</v>
      </c>
    </row>
    <row r="1323" ht="15.75" customHeight="1">
      <c r="A1323" s="7"/>
      <c r="B1323" s="7" t="str">
        <f>IFERROR(__xludf.DUMMYFUNCTION("""COMPUTED_VALUE"""),"HTML/CSS;JavaScript;PHP;SQL")</f>
        <v>HTML/CSS;JavaScript;PHP;SQL</v>
      </c>
      <c r="C1323" s="9" t="str">
        <f>IFERROR(__xludf.DUMMYFUNCTION("""COMPUTED_VALUE"""),"SQL")</f>
        <v>SQL</v>
      </c>
      <c r="D1323" s="9" t="str">
        <f>IFERROR(__xludf.DUMMYFUNCTION("""COMPUTED_VALUE"""),"Swift")</f>
        <v>Swift</v>
      </c>
      <c r="E1323" s="9" t="str">
        <f>IFERROR(__xludf.DUMMYFUNCTION("""COMPUTED_VALUE"""),"HTML/CSS")</f>
        <v>HTML/CSS</v>
      </c>
      <c r="F1323" s="9" t="str">
        <f>IFERROR(__xludf.DUMMYFUNCTION("""COMPUTED_VALUE"""),"HTML/CSS")</f>
        <v>HTML/CSS</v>
      </c>
      <c r="G1323" s="9" t="str">
        <f>IFERROR(__xludf.DUMMYFUNCTION("""COMPUTED_VALUE"""),"Other(s):")</f>
        <v>Other(s):</v>
      </c>
      <c r="H1323" s="9" t="str">
        <f>IFERROR(__xludf.DUMMYFUNCTION("""COMPUTED_VALUE"""),"VBA")</f>
        <v>VBA</v>
      </c>
      <c r="I1323" s="9" t="str">
        <f>IFERROR(__xludf.DUMMYFUNCTION("""COMPUTED_VALUE"""),"PHP")</f>
        <v>PHP</v>
      </c>
      <c r="J1323" s="9" t="str">
        <f>IFERROR(__xludf.DUMMYFUNCTION("""COMPUTED_VALUE"""),"C")</f>
        <v>C</v>
      </c>
      <c r="K1323" s="9" t="str">
        <f>IFERROR(__xludf.DUMMYFUNCTION("""COMPUTED_VALUE"""),"Bash/Shell/PowerShell")</f>
        <v>Bash/Shell/PowerShell</v>
      </c>
      <c r="L1323" s="9" t="str">
        <f>IFERROR(__xludf.DUMMYFUNCTION("""COMPUTED_VALUE"""),"SQL")</f>
        <v>SQL</v>
      </c>
      <c r="M1323" s="9" t="s">
        <v>27</v>
      </c>
    </row>
    <row r="1324" ht="15.75" customHeight="1">
      <c r="A1324" s="7"/>
      <c r="B1324" s="7" t="str">
        <f>IFERROR(__xludf.DUMMYFUNCTION("""COMPUTED_VALUE"""),"HTML/CSS;JavaScript;TypeScript")</f>
        <v>HTML/CSS;JavaScript;TypeScript</v>
      </c>
      <c r="C1324" s="9" t="str">
        <f>IFERROR(__xludf.DUMMYFUNCTION("""COMPUTED_VALUE"""),"Other(s):")</f>
        <v>Other(s):</v>
      </c>
      <c r="D1324" s="9" t="str">
        <f>IFERROR(__xludf.DUMMYFUNCTION("""COMPUTED_VALUE"""),"C++")</f>
        <v>C++</v>
      </c>
      <c r="E1324" s="9" t="str">
        <f>IFERROR(__xludf.DUMMYFUNCTION("""COMPUTED_VALUE"""),"Java")</f>
        <v>Java</v>
      </c>
      <c r="F1324" s="9" t="str">
        <f>IFERROR(__xludf.DUMMYFUNCTION("""COMPUTED_VALUE"""),"Java")</f>
        <v>Java</v>
      </c>
      <c r="G1324" s="9" t="str">
        <f>IFERROR(__xludf.DUMMYFUNCTION("""COMPUTED_VALUE"""),"C")</f>
        <v>C</v>
      </c>
      <c r="H1324" s="9" t="str">
        <f>IFERROR(__xludf.DUMMYFUNCTION("""COMPUTED_VALUE"""),"Assembly")</f>
        <v>Assembly</v>
      </c>
      <c r="I1324" s="9" t="str">
        <f>IFERROR(__xludf.DUMMYFUNCTION("""COMPUTED_VALUE"""),"HTML/CSS")</f>
        <v>HTML/CSS</v>
      </c>
      <c r="J1324" s="9" t="str">
        <f>IFERROR(__xludf.DUMMYFUNCTION("""COMPUTED_VALUE"""),"C++")</f>
        <v>C++</v>
      </c>
      <c r="K1324" s="9" t="str">
        <f>IFERROR(__xludf.DUMMYFUNCTION("""COMPUTED_VALUE"""),"C#")</f>
        <v>C#</v>
      </c>
      <c r="L1324" s="9" t="str">
        <f>IFERROR(__xludf.DUMMYFUNCTION("""COMPUTED_VALUE"""),"Bash/Shell/PowerShell")</f>
        <v>Bash/Shell/PowerShell</v>
      </c>
      <c r="M1324" s="9" t="s">
        <v>35</v>
      </c>
    </row>
    <row r="1325" ht="15.75" customHeight="1">
      <c r="A1325" s="7"/>
      <c r="B1325" s="7" t="str">
        <f>IFERROR(__xludf.DUMMYFUNCTION("""COMPUTED_VALUE"""),"HTML/CSS;JavaScript;PHP;SQL")</f>
        <v>HTML/CSS;JavaScript;PHP;SQL</v>
      </c>
      <c r="C1325" s="9" t="str">
        <f>IFERROR(__xludf.DUMMYFUNCTION("""COMPUTED_VALUE"""),"HTML/CSS")</f>
        <v>HTML/CSS</v>
      </c>
      <c r="D1325" s="9" t="str">
        <f>IFERROR(__xludf.DUMMYFUNCTION("""COMPUTED_VALUE"""),"C#")</f>
        <v>C#</v>
      </c>
      <c r="E1325" s="9" t="str">
        <f>IFERROR(__xludf.DUMMYFUNCTION("""COMPUTED_VALUE"""),"JavaScript")</f>
        <v>JavaScript</v>
      </c>
      <c r="F1325" s="9" t="str">
        <f>IFERROR(__xludf.DUMMYFUNCTION("""COMPUTED_VALUE"""),"JavaScript")</f>
        <v>JavaScript</v>
      </c>
      <c r="G1325" s="9" t="str">
        <f>IFERROR(__xludf.DUMMYFUNCTION("""COMPUTED_VALUE"""),"C++")</f>
        <v>C++</v>
      </c>
      <c r="H1325" s="9" t="str">
        <f>IFERROR(__xludf.DUMMYFUNCTION("""COMPUTED_VALUE"""),"C")</f>
        <v>C</v>
      </c>
      <c r="I1325" s="9" t="str">
        <f>IFERROR(__xludf.DUMMYFUNCTION("""COMPUTED_VALUE"""),"Java")</f>
        <v>Java</v>
      </c>
      <c r="J1325" s="9" t="str">
        <f>IFERROR(__xludf.DUMMYFUNCTION("""COMPUTED_VALUE"""),"R")</f>
        <v>R</v>
      </c>
      <c r="K1325" s="9" t="str">
        <f>IFERROR(__xludf.DUMMYFUNCTION("""COMPUTED_VALUE"""),"HTML/CSS")</f>
        <v>HTML/CSS</v>
      </c>
      <c r="L1325" s="9" t="str">
        <f>IFERROR(__xludf.DUMMYFUNCTION("""COMPUTED_VALUE"""),"C")</f>
        <v>C</v>
      </c>
      <c r="M1325" s="9" t="s">
        <v>24</v>
      </c>
    </row>
    <row r="1326" ht="15.75" customHeight="1">
      <c r="A1326" s="7"/>
      <c r="B1326" s="7" t="str">
        <f>IFERROR(__xludf.DUMMYFUNCTION("""COMPUTED_VALUE"""),"HTML/CSS;Java;JavaScript;PHP;Python;SQL;VBA")</f>
        <v>HTML/CSS;Java;JavaScript;PHP;Python;SQL;VBA</v>
      </c>
      <c r="C1326" s="9" t="str">
        <f>IFERROR(__xludf.DUMMYFUNCTION("""COMPUTED_VALUE"""),"JavaScript")</f>
        <v>JavaScript</v>
      </c>
      <c r="D1326" s="9" t="str">
        <f>IFERROR(__xludf.DUMMYFUNCTION("""COMPUTED_VALUE"""),"HTML/CSS")</f>
        <v>HTML/CSS</v>
      </c>
      <c r="E1326" s="9" t="str">
        <f>IFERROR(__xludf.DUMMYFUNCTION("""COMPUTED_VALUE"""),"PHP")</f>
        <v>PHP</v>
      </c>
      <c r="F1326" s="9" t="str">
        <f>IFERROR(__xludf.DUMMYFUNCTION("""COMPUTED_VALUE"""),"Python")</f>
        <v>Python</v>
      </c>
      <c r="G1326" s="9" t="str">
        <f>IFERROR(__xludf.DUMMYFUNCTION("""COMPUTED_VALUE"""),"HTML/CSS")</f>
        <v>HTML/CSS</v>
      </c>
      <c r="H1326" s="9" t="str">
        <f>IFERROR(__xludf.DUMMYFUNCTION("""COMPUTED_VALUE"""),"Java")</f>
        <v>Java</v>
      </c>
      <c r="I1326" s="9" t="str">
        <f>IFERROR(__xludf.DUMMYFUNCTION("""COMPUTED_VALUE"""),"JavaScript")</f>
        <v>JavaScript</v>
      </c>
      <c r="J1326" s="9" t="str">
        <f>IFERROR(__xludf.DUMMYFUNCTION("""COMPUTED_VALUE"""),"SQL")</f>
        <v>SQL</v>
      </c>
      <c r="K1326" s="9" t="str">
        <f>IFERROR(__xludf.DUMMYFUNCTION("""COMPUTED_VALUE"""),"JavaScript")</f>
        <v>JavaScript</v>
      </c>
      <c r="L1326" s="9" t="str">
        <f>IFERROR(__xludf.DUMMYFUNCTION("""COMPUTED_VALUE"""),"HTML/CSS")</f>
        <v>HTML/CSS</v>
      </c>
      <c r="M1326" s="9" t="s">
        <v>21</v>
      </c>
    </row>
    <row r="1327" ht="15.75" customHeight="1">
      <c r="A1327" s="7"/>
      <c r="B1327" s="7" t="str">
        <f>IFERROR(__xludf.DUMMYFUNCTION("""COMPUTED_VALUE"""),"C#;HTML/CSS;JavaScript;SQL")</f>
        <v>C#;HTML/CSS;JavaScript;SQL</v>
      </c>
      <c r="C1327" s="9" t="str">
        <f>IFERROR(__xludf.DUMMYFUNCTION("""COMPUTED_VALUE"""),"HTML/CSS")</f>
        <v>HTML/CSS</v>
      </c>
      <c r="D1327" s="9" t="str">
        <f>IFERROR(__xludf.DUMMYFUNCTION("""COMPUTED_VALUE"""),"Java")</f>
        <v>Java</v>
      </c>
      <c r="E1327" s="9" t="str">
        <f>IFERROR(__xludf.DUMMYFUNCTION("""COMPUTED_VALUE"""),"R")</f>
        <v>R</v>
      </c>
      <c r="F1327" s="9" t="str">
        <f>IFERROR(__xludf.DUMMYFUNCTION("""COMPUTED_VALUE"""),"Assembly")</f>
        <v>Assembly</v>
      </c>
      <c r="G1327" s="9" t="str">
        <f>IFERROR(__xludf.DUMMYFUNCTION("""COMPUTED_VALUE"""),"JavaScript")</f>
        <v>JavaScript</v>
      </c>
      <c r="H1327" s="9" t="str">
        <f>IFERROR(__xludf.DUMMYFUNCTION("""COMPUTED_VALUE"""),"Python")</f>
        <v>Python</v>
      </c>
      <c r="I1327" s="9" t="str">
        <f>IFERROR(__xludf.DUMMYFUNCTION("""COMPUTED_VALUE"""),"PHP")</f>
        <v>PHP</v>
      </c>
      <c r="J1327" s="9" t="str">
        <f>IFERROR(__xludf.DUMMYFUNCTION("""COMPUTED_VALUE"""),"Bash/Shell/PowerShell")</f>
        <v>Bash/Shell/PowerShell</v>
      </c>
      <c r="K1327" s="9" t="str">
        <f>IFERROR(__xludf.DUMMYFUNCTION("""COMPUTED_VALUE"""),"SQL")</f>
        <v>SQL</v>
      </c>
      <c r="L1327" s="9" t="str">
        <f>IFERROR(__xludf.DUMMYFUNCTION("""COMPUTED_VALUE"""),"Java")</f>
        <v>Java</v>
      </c>
      <c r="M1327" s="9" t="s">
        <v>24</v>
      </c>
    </row>
    <row r="1328" ht="15.75" customHeight="1">
      <c r="A1328" s="7"/>
      <c r="B1328" s="7" t="str">
        <f>IFERROR(__xludf.DUMMYFUNCTION("""COMPUTED_VALUE"""),"Bash/Shell/PowerShell;Java;Kotlin;Python")</f>
        <v>Bash/Shell/PowerShell;Java;Kotlin;Python</v>
      </c>
      <c r="C1328" s="9" t="str">
        <f>IFERROR(__xludf.DUMMYFUNCTION("""COMPUTED_VALUE"""),"JavaScript")</f>
        <v>JavaScript</v>
      </c>
      <c r="D1328" s="9" t="str">
        <f>IFERROR(__xludf.DUMMYFUNCTION("""COMPUTED_VALUE"""),"JavaScript")</f>
        <v>JavaScript</v>
      </c>
      <c r="E1328" s="9" t="str">
        <f>IFERROR(__xludf.DUMMYFUNCTION("""COMPUTED_VALUE"""),"SQL")</f>
        <v>SQL</v>
      </c>
      <c r="F1328" s="9" t="str">
        <f>IFERROR(__xludf.DUMMYFUNCTION("""COMPUTED_VALUE"""),"Bash/Shell/PowerShell")</f>
        <v>Bash/Shell/PowerShell</v>
      </c>
      <c r="G1328" s="9" t="str">
        <f>IFERROR(__xludf.DUMMYFUNCTION("""COMPUTED_VALUE"""),"Python")</f>
        <v>Python</v>
      </c>
      <c r="H1328" s="9" t="str">
        <f>IFERROR(__xludf.DUMMYFUNCTION("""COMPUTED_VALUE"""),"C#")</f>
        <v>C#</v>
      </c>
      <c r="I1328" s="9" t="str">
        <f>IFERROR(__xludf.DUMMYFUNCTION("""COMPUTED_VALUE"""),"Python")</f>
        <v>Python</v>
      </c>
      <c r="J1328" s="9" t="str">
        <f>IFERROR(__xludf.DUMMYFUNCTION("""COMPUTED_VALUE"""),"Go")</f>
        <v>Go</v>
      </c>
      <c r="K1328" s="9" t="str">
        <f>IFERROR(__xludf.DUMMYFUNCTION("""COMPUTED_VALUE"""),"Bash/Shell/PowerShell")</f>
        <v>Bash/Shell/PowerShell</v>
      </c>
      <c r="L1328" s="9" t="str">
        <f>IFERROR(__xludf.DUMMYFUNCTION("""COMPUTED_VALUE"""),"Python")</f>
        <v>Python</v>
      </c>
      <c r="M1328" s="9" t="s">
        <v>21</v>
      </c>
    </row>
    <row r="1329" ht="15.75" customHeight="1">
      <c r="A1329" s="7"/>
      <c r="B1329" s="7" t="str">
        <f>IFERROR(__xludf.DUMMYFUNCTION("""COMPUTED_VALUE"""),"HTML/CSS;Java;JavaScript;Python;R;Other(s):")</f>
        <v>HTML/CSS;Java;JavaScript;Python;R;Other(s):</v>
      </c>
      <c r="C1329" s="9" t="str">
        <f>IFERROR(__xludf.DUMMYFUNCTION("""COMPUTED_VALUE"""),"TypeScript")</f>
        <v>TypeScript</v>
      </c>
      <c r="D1329" s="9" t="str">
        <f>IFERROR(__xludf.DUMMYFUNCTION("""COMPUTED_VALUE"""),"PHP")</f>
        <v>PHP</v>
      </c>
      <c r="E1329" s="9" t="str">
        <f>IFERROR(__xludf.DUMMYFUNCTION("""COMPUTED_VALUE"""),"HTML/CSS")</f>
        <v>HTML/CSS</v>
      </c>
      <c r="F1329" s="9" t="str">
        <f>IFERROR(__xludf.DUMMYFUNCTION("""COMPUTED_VALUE"""),"C")</f>
        <v>C</v>
      </c>
      <c r="G1329" s="9" t="str">
        <f>IFERROR(__xludf.DUMMYFUNCTION("""COMPUTED_VALUE"""),"WebAssembly")</f>
        <v>WebAssembly</v>
      </c>
      <c r="H1329" s="9" t="str">
        <f>IFERROR(__xludf.DUMMYFUNCTION("""COMPUTED_VALUE"""),"HTML/CSS")</f>
        <v>HTML/CSS</v>
      </c>
      <c r="I1329" s="9" t="str">
        <f>IFERROR(__xludf.DUMMYFUNCTION("""COMPUTED_VALUE"""),"SQL")</f>
        <v>SQL</v>
      </c>
      <c r="J1329" s="9" t="str">
        <f>IFERROR(__xludf.DUMMYFUNCTION("""COMPUTED_VALUE"""),"Java")</f>
        <v>Java</v>
      </c>
      <c r="K1329" s="9" t="str">
        <f>IFERROR(__xludf.DUMMYFUNCTION("""COMPUTED_VALUE"""),"HTML/CSS")</f>
        <v>HTML/CSS</v>
      </c>
      <c r="L1329" s="9" t="str">
        <f>IFERROR(__xludf.DUMMYFUNCTION("""COMPUTED_VALUE"""),"R")</f>
        <v>R</v>
      </c>
      <c r="M1329" s="9" t="s">
        <v>33</v>
      </c>
    </row>
    <row r="1330" ht="15.75" customHeight="1">
      <c r="A1330" s="7"/>
      <c r="B1330" s="7" t="str">
        <f>IFERROR(__xludf.DUMMYFUNCTION("""COMPUTED_VALUE"""),"C#;HTML/CSS;JavaScript;SQL;TypeScript")</f>
        <v>C#;HTML/CSS;JavaScript;SQL;TypeScript</v>
      </c>
      <c r="C1330" s="9" t="str">
        <f>IFERROR(__xludf.DUMMYFUNCTION("""COMPUTED_VALUE"""),"Other(s):")</f>
        <v>Other(s):</v>
      </c>
      <c r="D1330" s="9" t="str">
        <f>IFERROR(__xludf.DUMMYFUNCTION("""COMPUTED_VALUE"""),"HTML/CSS")</f>
        <v>HTML/CSS</v>
      </c>
      <c r="E1330" s="9" t="str">
        <f>IFERROR(__xludf.DUMMYFUNCTION("""COMPUTED_VALUE"""),"Java")</f>
        <v>Java</v>
      </c>
      <c r="F1330" s="9" t="str">
        <f>IFERROR(__xludf.DUMMYFUNCTION("""COMPUTED_VALUE"""),"C++")</f>
        <v>C++</v>
      </c>
      <c r="G1330" s="9" t="str">
        <f>IFERROR(__xludf.DUMMYFUNCTION("""COMPUTED_VALUE"""),"HTML/CSS")</f>
        <v>HTML/CSS</v>
      </c>
      <c r="H1330" s="9" t="str">
        <f>IFERROR(__xludf.DUMMYFUNCTION("""COMPUTED_VALUE"""),"JavaScript")</f>
        <v>JavaScript</v>
      </c>
      <c r="I1330" s="9" t="str">
        <f>IFERROR(__xludf.DUMMYFUNCTION("""COMPUTED_VALUE"""),"C")</f>
        <v>C</v>
      </c>
      <c r="J1330" s="9" t="str">
        <f>IFERROR(__xludf.DUMMYFUNCTION("""COMPUTED_VALUE"""),"Python")</f>
        <v>Python</v>
      </c>
      <c r="K1330" s="9" t="str">
        <f>IFERROR(__xludf.DUMMYFUNCTION("""COMPUTED_VALUE"""),"Java")</f>
        <v>Java</v>
      </c>
      <c r="L1330" s="9" t="str">
        <f>IFERROR(__xludf.DUMMYFUNCTION("""COMPUTED_VALUE"""),"SQL")</f>
        <v>SQL</v>
      </c>
      <c r="M1330" s="9" t="s">
        <v>35</v>
      </c>
    </row>
    <row r="1331" ht="15.75" customHeight="1">
      <c r="A1331" s="7"/>
      <c r="B1331" s="7" t="str">
        <f>IFERROR(__xludf.DUMMYFUNCTION("""COMPUTED_VALUE"""),"Assembly;C#;HTML/CSS;Java;JavaScript;SQL;VBA")</f>
        <v>Assembly;C#;HTML/CSS;Java;JavaScript;SQL;VBA</v>
      </c>
      <c r="C1331" s="9" t="str">
        <f>IFERROR(__xludf.DUMMYFUNCTION("""COMPUTED_VALUE"""),"HTML/CSS")</f>
        <v>HTML/CSS</v>
      </c>
      <c r="D1331" s="9" t="str">
        <f>IFERROR(__xludf.DUMMYFUNCTION("""COMPUTED_VALUE"""),"JavaScript")</f>
        <v>JavaScript</v>
      </c>
      <c r="E1331" s="9" t="str">
        <f>IFERROR(__xludf.DUMMYFUNCTION("""COMPUTED_VALUE"""),"JavaScript")</f>
        <v>JavaScript</v>
      </c>
      <c r="F1331" s="9" t="str">
        <f>IFERROR(__xludf.DUMMYFUNCTION("""COMPUTED_VALUE"""),"Go")</f>
        <v>Go</v>
      </c>
      <c r="G1331" s="9" t="str">
        <f>IFERROR(__xludf.DUMMYFUNCTION("""COMPUTED_VALUE"""),"JavaScript")</f>
        <v>JavaScript</v>
      </c>
      <c r="H1331" s="9" t="str">
        <f>IFERROR(__xludf.DUMMYFUNCTION("""COMPUTED_VALUE"""),"PHP")</f>
        <v>PHP</v>
      </c>
      <c r="I1331" s="9" t="str">
        <f>IFERROR(__xludf.DUMMYFUNCTION("""COMPUTED_VALUE"""),"HTML/CSS")</f>
        <v>HTML/CSS</v>
      </c>
      <c r="J1331" s="9" t="str">
        <f>IFERROR(__xludf.DUMMYFUNCTION("""COMPUTED_VALUE"""),"R")</f>
        <v>R</v>
      </c>
      <c r="K1331" s="9" t="str">
        <f>IFERROR(__xludf.DUMMYFUNCTION("""COMPUTED_VALUE"""),"JavaScript")</f>
        <v>JavaScript</v>
      </c>
      <c r="L1331" s="9" t="str">
        <f>IFERROR(__xludf.DUMMYFUNCTION("""COMPUTED_VALUE"""),"Objective-C")</f>
        <v>Objective-C</v>
      </c>
      <c r="M1331" s="9" t="s">
        <v>24</v>
      </c>
    </row>
    <row r="1332" ht="15.75" customHeight="1">
      <c r="A1332" s="7"/>
      <c r="B1332" s="7" t="str">
        <f>IFERROR(__xludf.DUMMYFUNCTION("""COMPUTED_VALUE"""),"C++;Dart;Java;Kotlin")</f>
        <v>C++;Dart;Java;Kotlin</v>
      </c>
      <c r="C1332" s="9" t="str">
        <f>IFERROR(__xludf.DUMMYFUNCTION("""COMPUTED_VALUE"""),"JavaScript")</f>
        <v>JavaScript</v>
      </c>
      <c r="D1332" s="9" t="str">
        <f>IFERROR(__xludf.DUMMYFUNCTION("""COMPUTED_VALUE"""),"C#")</f>
        <v>C#</v>
      </c>
      <c r="E1332" s="9" t="str">
        <f>IFERROR(__xludf.DUMMYFUNCTION("""COMPUTED_VALUE"""),"PHP")</f>
        <v>PHP</v>
      </c>
      <c r="F1332" s="9" t="str">
        <f>IFERROR(__xludf.DUMMYFUNCTION("""COMPUTED_VALUE"""),"Python")</f>
        <v>Python</v>
      </c>
      <c r="G1332" s="9" t="str">
        <f>IFERROR(__xludf.DUMMYFUNCTION("""COMPUTED_VALUE"""),"PHP")</f>
        <v>PHP</v>
      </c>
      <c r="H1332" s="9" t="str">
        <f>IFERROR(__xludf.DUMMYFUNCTION("""COMPUTED_VALUE"""),"Python")</f>
        <v>Python</v>
      </c>
      <c r="I1332" s="9" t="str">
        <f>IFERROR(__xludf.DUMMYFUNCTION("""COMPUTED_VALUE"""),"Java")</f>
        <v>Java</v>
      </c>
      <c r="J1332" s="9" t="str">
        <f>IFERROR(__xludf.DUMMYFUNCTION("""COMPUTED_VALUE"""),"Scala")</f>
        <v>Scala</v>
      </c>
      <c r="K1332" s="9" t="str">
        <f>IFERROR(__xludf.DUMMYFUNCTION("""COMPUTED_VALUE"""),"Python")</f>
        <v>Python</v>
      </c>
      <c r="L1332" s="9" t="str">
        <f>IFERROR(__xludf.DUMMYFUNCTION("""COMPUTED_VALUE"""),"Swift")</f>
        <v>Swift</v>
      </c>
      <c r="M1332" s="9" t="s">
        <v>21</v>
      </c>
    </row>
    <row r="1333" ht="15.75" customHeight="1">
      <c r="A1333" s="7"/>
      <c r="B1333" s="7" t="str">
        <f>IFERROR(__xludf.DUMMYFUNCTION("""COMPUTED_VALUE"""),"Bash/Shell/PowerShell;HTML/CSS;JavaScript;Python;Ruby;SQL")</f>
        <v>Bash/Shell/PowerShell;HTML/CSS;JavaScript;Python;Ruby;SQL</v>
      </c>
      <c r="C1333" s="9" t="str">
        <f>IFERROR(__xludf.DUMMYFUNCTION("""COMPUTED_VALUE"""),"Python")</f>
        <v>Python</v>
      </c>
      <c r="D1333" s="9" t="str">
        <f>IFERROR(__xludf.DUMMYFUNCTION("""COMPUTED_VALUE"""),"HTML/CSS")</f>
        <v>HTML/CSS</v>
      </c>
      <c r="E1333" s="9" t="str">
        <f>IFERROR(__xludf.DUMMYFUNCTION("""COMPUTED_VALUE"""),"SQL")</f>
        <v>SQL</v>
      </c>
      <c r="F1333" s="9" t="str">
        <f>IFERROR(__xludf.DUMMYFUNCTION("""COMPUTED_VALUE"""),"HTML/CSS")</f>
        <v>HTML/CSS</v>
      </c>
      <c r="G1333" s="9" t="str">
        <f>IFERROR(__xludf.DUMMYFUNCTION("""COMPUTED_VALUE"""),"SQL")</f>
        <v>SQL</v>
      </c>
      <c r="H1333" s="9" t="str">
        <f>IFERROR(__xludf.DUMMYFUNCTION("""COMPUTED_VALUE"""),"SQL")</f>
        <v>SQL</v>
      </c>
      <c r="I1333" s="9" t="str">
        <f>IFERROR(__xludf.DUMMYFUNCTION("""COMPUTED_VALUE"""),"Assembly")</f>
        <v>Assembly</v>
      </c>
      <c r="J1333" s="9" t="str">
        <f>IFERROR(__xludf.DUMMYFUNCTION("""COMPUTED_VALUE"""),"SQL")</f>
        <v>SQL</v>
      </c>
      <c r="K1333" s="9" t="str">
        <f>IFERROR(__xludf.DUMMYFUNCTION("""COMPUTED_VALUE"""),"Ruby")</f>
        <v>Ruby</v>
      </c>
      <c r="L1333" s="9" t="str">
        <f>IFERROR(__xludf.DUMMYFUNCTION("""COMPUTED_VALUE"""),"Bash/Shell/PowerShell")</f>
        <v>Bash/Shell/PowerShell</v>
      </c>
      <c r="M1333" s="9" t="s">
        <v>22</v>
      </c>
    </row>
    <row r="1334" ht="15.75" customHeight="1">
      <c r="A1334" s="7"/>
      <c r="B1334" s="7" t="str">
        <f>IFERROR(__xludf.DUMMYFUNCTION("""COMPUTED_VALUE"""),"Objective-C")</f>
        <v>Objective-C</v>
      </c>
      <c r="C1334" s="9" t="str">
        <f>IFERROR(__xludf.DUMMYFUNCTION("""COMPUTED_VALUE"""),"Ruby")</f>
        <v>Ruby</v>
      </c>
      <c r="D1334" s="9" t="str">
        <f>IFERROR(__xludf.DUMMYFUNCTION("""COMPUTED_VALUE"""),"JavaScript")</f>
        <v>JavaScript</v>
      </c>
      <c r="E1334" s="9" t="str">
        <f>IFERROR(__xludf.DUMMYFUNCTION("""COMPUTED_VALUE"""),"TypeScript")</f>
        <v>TypeScript</v>
      </c>
      <c r="F1334" s="9" t="str">
        <f>IFERROR(__xludf.DUMMYFUNCTION("""COMPUTED_VALUE"""),"JavaScript")</f>
        <v>JavaScript</v>
      </c>
      <c r="G1334" s="9" t="str">
        <f>IFERROR(__xludf.DUMMYFUNCTION("""COMPUTED_VALUE"""),"VBA")</f>
        <v>VBA</v>
      </c>
      <c r="H1334" s="9" t="str">
        <f>IFERROR(__xludf.DUMMYFUNCTION("""COMPUTED_VALUE"""),"Go")</f>
        <v>Go</v>
      </c>
      <c r="I1334" s="9" t="str">
        <f>IFERROR(__xludf.DUMMYFUNCTION("""COMPUTED_VALUE"""),"Bash/Shell/PowerShell")</f>
        <v>Bash/Shell/PowerShell</v>
      </c>
      <c r="J1334" s="9" t="str">
        <f>IFERROR(__xludf.DUMMYFUNCTION("""COMPUTED_VALUE"""),"VBA")</f>
        <v>VBA</v>
      </c>
      <c r="K1334" s="9" t="str">
        <f>IFERROR(__xludf.DUMMYFUNCTION("""COMPUTED_VALUE"""),"SQL")</f>
        <v>SQL</v>
      </c>
      <c r="L1334" s="9" t="str">
        <f>IFERROR(__xludf.DUMMYFUNCTION("""COMPUTED_VALUE"""),"C#")</f>
        <v>C#</v>
      </c>
      <c r="M1334" s="9" t="s">
        <v>31</v>
      </c>
    </row>
    <row r="1335" ht="15.75" customHeight="1">
      <c r="A1335" s="7"/>
      <c r="B1335" s="7" t="str">
        <f>IFERROR(__xludf.DUMMYFUNCTION("""COMPUTED_VALUE"""),"HTML/CSS;Java;JavaScript;SQL;TypeScript")</f>
        <v>HTML/CSS;Java;JavaScript;SQL;TypeScript</v>
      </c>
      <c r="C1335" s="9" t="str">
        <f>IFERROR(__xludf.DUMMYFUNCTION("""COMPUTED_VALUE"""),"C")</f>
        <v>C</v>
      </c>
      <c r="D1335" s="9" t="str">
        <f>IFERROR(__xludf.DUMMYFUNCTION("""COMPUTED_VALUE"""),"SQL")</f>
        <v>SQL</v>
      </c>
      <c r="E1335" s="9" t="str">
        <f>IFERROR(__xludf.DUMMYFUNCTION("""COMPUTED_VALUE"""),"C")</f>
        <v>C</v>
      </c>
      <c r="F1335" s="9" t="str">
        <f>IFERROR(__xludf.DUMMYFUNCTION("""COMPUTED_VALUE"""),"PHP")</f>
        <v>PHP</v>
      </c>
      <c r="G1335" s="9" t="str">
        <f>IFERROR(__xludf.DUMMYFUNCTION("""COMPUTED_VALUE"""),"C++")</f>
        <v>C++</v>
      </c>
      <c r="H1335" s="9" t="str">
        <f>IFERROR(__xludf.DUMMYFUNCTION("""COMPUTED_VALUE"""),"Ruby")</f>
        <v>Ruby</v>
      </c>
      <c r="I1335" s="9" t="str">
        <f>IFERROR(__xludf.DUMMYFUNCTION("""COMPUTED_VALUE"""),"C")</f>
        <v>C</v>
      </c>
      <c r="J1335" s="9" t="str">
        <f>IFERROR(__xludf.DUMMYFUNCTION("""COMPUTED_VALUE"""),"Bash/Shell/PowerShell")</f>
        <v>Bash/Shell/PowerShell</v>
      </c>
      <c r="K1335" s="9" t="str">
        <f>IFERROR(__xludf.DUMMYFUNCTION("""COMPUTED_VALUE"""),"Other(s):")</f>
        <v>Other(s):</v>
      </c>
      <c r="L1335" s="9" t="str">
        <f>IFERROR(__xludf.DUMMYFUNCTION("""COMPUTED_VALUE"""),"Go")</f>
        <v>Go</v>
      </c>
      <c r="M1335" s="9" t="s">
        <v>25</v>
      </c>
    </row>
    <row r="1336" ht="15.75" customHeight="1">
      <c r="A1336" s="7"/>
      <c r="B1336" s="7" t="str">
        <f>IFERROR(__xludf.DUMMYFUNCTION("""COMPUTED_VALUE"""),"Bash/Shell/PowerShell;C#;HTML/CSS;JavaScript;Objective-C;PHP;SQL;Swift;TypeScript")</f>
        <v>Bash/Shell/PowerShell;C#;HTML/CSS;JavaScript;Objective-C;PHP;SQL;Swift;TypeScript</v>
      </c>
      <c r="C1336" s="9" t="str">
        <f>IFERROR(__xludf.DUMMYFUNCTION("""COMPUTED_VALUE"""),"Java")</f>
        <v>Java</v>
      </c>
      <c r="D1336" s="9" t="str">
        <f>IFERROR(__xludf.DUMMYFUNCTION("""COMPUTED_VALUE"""),"TypeScript")</f>
        <v>TypeScript</v>
      </c>
      <c r="E1336" s="9" t="str">
        <f>IFERROR(__xludf.DUMMYFUNCTION("""COMPUTED_VALUE"""),"Java")</f>
        <v>Java</v>
      </c>
      <c r="F1336" s="9" t="str">
        <f>IFERROR(__xludf.DUMMYFUNCTION("""COMPUTED_VALUE"""),"Swift")</f>
        <v>Swift</v>
      </c>
      <c r="G1336" s="9" t="str">
        <f>IFERROR(__xludf.DUMMYFUNCTION("""COMPUTED_VALUE"""),"C#")</f>
        <v>C#</v>
      </c>
      <c r="H1336" s="9" t="str">
        <f>IFERROR(__xludf.DUMMYFUNCTION("""COMPUTED_VALUE"""),"Assembly")</f>
        <v>Assembly</v>
      </c>
      <c r="I1336" s="9" t="str">
        <f>IFERROR(__xludf.DUMMYFUNCTION("""COMPUTED_VALUE"""),"C++")</f>
        <v>C++</v>
      </c>
      <c r="J1336" s="9" t="str">
        <f>IFERROR(__xludf.DUMMYFUNCTION("""COMPUTED_VALUE"""),"C")</f>
        <v>C</v>
      </c>
      <c r="K1336" s="9" t="str">
        <f>IFERROR(__xludf.DUMMYFUNCTION("""COMPUTED_VALUE"""),"Bash/Shell/PowerShell")</f>
        <v>Bash/Shell/PowerShell</v>
      </c>
      <c r="L1336" s="9" t="str">
        <f>IFERROR(__xludf.DUMMYFUNCTION("""COMPUTED_VALUE"""),"HTML/CSS")</f>
        <v>HTML/CSS</v>
      </c>
      <c r="M1336" s="9" t="s">
        <v>20</v>
      </c>
    </row>
    <row r="1337" ht="15.75" customHeight="1">
      <c r="A1337" s="7"/>
      <c r="B1337" s="7" t="str">
        <f>IFERROR(__xludf.DUMMYFUNCTION("""COMPUTED_VALUE"""),"HTML/CSS;JavaScript;PHP")</f>
        <v>HTML/CSS;JavaScript;PHP</v>
      </c>
      <c r="C1337" s="9" t="str">
        <f>IFERROR(__xludf.DUMMYFUNCTION("""COMPUTED_VALUE"""),"PHP")</f>
        <v>PHP</v>
      </c>
      <c r="D1337" s="9" t="str">
        <f>IFERROR(__xludf.DUMMYFUNCTION("""COMPUTED_VALUE"""),"Bash/Shell/PowerShell")</f>
        <v>Bash/Shell/PowerShell</v>
      </c>
      <c r="E1337" s="9" t="str">
        <f>IFERROR(__xludf.DUMMYFUNCTION("""COMPUTED_VALUE"""),"Python")</f>
        <v>Python</v>
      </c>
      <c r="F1337" s="9" t="str">
        <f>IFERROR(__xludf.DUMMYFUNCTION("""COMPUTED_VALUE"""),"C#")</f>
        <v>C#</v>
      </c>
      <c r="G1337" s="9" t="str">
        <f>IFERROR(__xludf.DUMMYFUNCTION("""COMPUTED_VALUE"""),"HTML/CSS")</f>
        <v>HTML/CSS</v>
      </c>
      <c r="H1337" s="9" t="str">
        <f>IFERROR(__xludf.DUMMYFUNCTION("""COMPUTED_VALUE"""),"C")</f>
        <v>C</v>
      </c>
      <c r="I1337" s="9" t="str">
        <f>IFERROR(__xludf.DUMMYFUNCTION("""COMPUTED_VALUE"""),"HTML/CSS")</f>
        <v>HTML/CSS</v>
      </c>
      <c r="J1337" s="9" t="str">
        <f>IFERROR(__xludf.DUMMYFUNCTION("""COMPUTED_VALUE"""),"C++")</f>
        <v>C++</v>
      </c>
      <c r="K1337" s="9" t="str">
        <f>IFERROR(__xludf.DUMMYFUNCTION("""COMPUTED_VALUE"""),"C")</f>
        <v>C</v>
      </c>
      <c r="L1337" s="9" t="str">
        <f>IFERROR(__xludf.DUMMYFUNCTION("""COMPUTED_VALUE"""),"JavaScript")</f>
        <v>JavaScript</v>
      </c>
      <c r="M1337" s="9" t="s">
        <v>37</v>
      </c>
    </row>
    <row r="1338" ht="15.75" customHeight="1">
      <c r="A1338" s="7"/>
      <c r="B1338" s="7" t="str">
        <f>IFERROR(__xludf.DUMMYFUNCTION("""COMPUTED_VALUE"""),"C#;HTML/CSS;JavaScript;Rust;SQL")</f>
        <v>C#;HTML/CSS;JavaScript;Rust;SQL</v>
      </c>
      <c r="C1338" s="9" t="str">
        <f>IFERROR(__xludf.DUMMYFUNCTION("""COMPUTED_VALUE"""),"Ruby")</f>
        <v>Ruby</v>
      </c>
      <c r="D1338" s="9" t="str">
        <f>IFERROR(__xludf.DUMMYFUNCTION("""COMPUTED_VALUE"""),"C")</f>
        <v>C</v>
      </c>
      <c r="E1338" s="9" t="str">
        <f>IFERROR(__xludf.DUMMYFUNCTION("""COMPUTED_VALUE"""),"HTML/CSS")</f>
        <v>HTML/CSS</v>
      </c>
      <c r="F1338" s="9" t="str">
        <f>IFERROR(__xludf.DUMMYFUNCTION("""COMPUTED_VALUE"""),"HTML/CSS")</f>
        <v>HTML/CSS</v>
      </c>
      <c r="G1338" s="9" t="str">
        <f>IFERROR(__xludf.DUMMYFUNCTION("""COMPUTED_VALUE"""),"JavaScript")</f>
        <v>JavaScript</v>
      </c>
      <c r="H1338" s="9" t="str">
        <f>IFERROR(__xludf.DUMMYFUNCTION("""COMPUTED_VALUE"""),"C++")</f>
        <v>C++</v>
      </c>
      <c r="I1338" s="9" t="str">
        <f>IFERROR(__xludf.DUMMYFUNCTION("""COMPUTED_VALUE"""),"Java")</f>
        <v>Java</v>
      </c>
      <c r="J1338" s="9" t="str">
        <f>IFERROR(__xludf.DUMMYFUNCTION("""COMPUTED_VALUE"""),"C#")</f>
        <v>C#</v>
      </c>
      <c r="K1338" s="9" t="str">
        <f>IFERROR(__xludf.DUMMYFUNCTION("""COMPUTED_VALUE"""),"C++")</f>
        <v>C++</v>
      </c>
      <c r="L1338" s="9" t="str">
        <f>IFERROR(__xludf.DUMMYFUNCTION("""COMPUTED_VALUE"""),"Python")</f>
        <v>Python</v>
      </c>
      <c r="M1338" s="9" t="s">
        <v>31</v>
      </c>
    </row>
    <row r="1339" ht="15.75" customHeight="1">
      <c r="A1339" s="7"/>
      <c r="B1339" s="7" t="str">
        <f>IFERROR(__xludf.DUMMYFUNCTION("""COMPUTED_VALUE"""),"Assembly;C#;HTML/CSS;Java;JavaScript;SQL;TypeScript")</f>
        <v>Assembly;C#;HTML/CSS;Java;JavaScript;SQL;TypeScript</v>
      </c>
      <c r="C1339" s="9" t="str">
        <f>IFERROR(__xludf.DUMMYFUNCTION("""COMPUTED_VALUE"""),"C#")</f>
        <v>C#</v>
      </c>
      <c r="D1339" s="9" t="str">
        <f>IFERROR(__xludf.DUMMYFUNCTION("""COMPUTED_VALUE"""),"C++")</f>
        <v>C++</v>
      </c>
      <c r="E1339" s="9" t="str">
        <f>IFERROR(__xludf.DUMMYFUNCTION("""COMPUTED_VALUE"""),"Java")</f>
        <v>Java</v>
      </c>
      <c r="F1339" s="9" t="str">
        <f>IFERROR(__xludf.DUMMYFUNCTION("""COMPUTED_VALUE"""),"JavaScript")</f>
        <v>JavaScript</v>
      </c>
      <c r="G1339" s="9" t="str">
        <f>IFERROR(__xludf.DUMMYFUNCTION("""COMPUTED_VALUE"""),"TypeScript")</f>
        <v>TypeScript</v>
      </c>
      <c r="H1339" s="9" t="str">
        <f>IFERROR(__xludf.DUMMYFUNCTION("""COMPUTED_VALUE"""),"HTML/CSS")</f>
        <v>HTML/CSS</v>
      </c>
      <c r="I1339" s="9" t="str">
        <f>IFERROR(__xludf.DUMMYFUNCTION("""COMPUTED_VALUE"""),"JavaScript")</f>
        <v>JavaScript</v>
      </c>
      <c r="J1339" s="9" t="str">
        <f>IFERROR(__xludf.DUMMYFUNCTION("""COMPUTED_VALUE"""),"HTML/CSS")</f>
        <v>HTML/CSS</v>
      </c>
      <c r="K1339" s="9" t="str">
        <f>IFERROR(__xludf.DUMMYFUNCTION("""COMPUTED_VALUE"""),"HTML/CSS")</f>
        <v>HTML/CSS</v>
      </c>
      <c r="L1339" s="9" t="str">
        <f>IFERROR(__xludf.DUMMYFUNCTION("""COMPUTED_VALUE"""),"SQL")</f>
        <v>SQL</v>
      </c>
      <c r="M1339" s="9" t="s">
        <v>26</v>
      </c>
    </row>
    <row r="1340" ht="15.75" customHeight="1">
      <c r="A1340" s="7"/>
      <c r="B1340" s="7" t="str">
        <f>IFERROR(__xludf.DUMMYFUNCTION("""COMPUTED_VALUE"""),"Bash/Shell/PowerShell;C;HTML/CSS;Java;JavaScript;PHP;Python;SQL")</f>
        <v>Bash/Shell/PowerShell;C;HTML/CSS;Java;JavaScript;PHP;Python;SQL</v>
      </c>
      <c r="C1340" s="9" t="str">
        <f>IFERROR(__xludf.DUMMYFUNCTION("""COMPUTED_VALUE"""),"HTML/CSS")</f>
        <v>HTML/CSS</v>
      </c>
      <c r="D1340" s="9" t="str">
        <f>IFERROR(__xludf.DUMMYFUNCTION("""COMPUTED_VALUE"""),"C#")</f>
        <v>C#</v>
      </c>
      <c r="E1340" s="9" t="str">
        <f>IFERROR(__xludf.DUMMYFUNCTION("""COMPUTED_VALUE"""),"JavaScript")</f>
        <v>JavaScript</v>
      </c>
      <c r="F1340" s="9" t="str">
        <f>IFERROR(__xludf.DUMMYFUNCTION("""COMPUTED_VALUE"""),"Bash/Shell/PowerShell")</f>
        <v>Bash/Shell/PowerShell</v>
      </c>
      <c r="G1340" s="9" t="str">
        <f>IFERROR(__xludf.DUMMYFUNCTION("""COMPUTED_VALUE"""),"Assembly")</f>
        <v>Assembly</v>
      </c>
      <c r="H1340" s="9" t="str">
        <f>IFERROR(__xludf.DUMMYFUNCTION("""COMPUTED_VALUE"""),"JavaScript")</f>
        <v>JavaScript</v>
      </c>
      <c r="I1340" s="9" t="str">
        <f>IFERROR(__xludf.DUMMYFUNCTION("""COMPUTED_VALUE"""),"PHP")</f>
        <v>PHP</v>
      </c>
      <c r="J1340" s="9" t="str">
        <f>IFERROR(__xludf.DUMMYFUNCTION("""COMPUTED_VALUE"""),"Java")</f>
        <v>Java</v>
      </c>
      <c r="K1340" s="9" t="str">
        <f>IFERROR(__xludf.DUMMYFUNCTION("""COMPUTED_VALUE"""),"Python")</f>
        <v>Python</v>
      </c>
      <c r="L1340" s="9" t="str">
        <f>IFERROR(__xludf.DUMMYFUNCTION("""COMPUTED_VALUE"""),"HTML/CSS")</f>
        <v>HTML/CSS</v>
      </c>
      <c r="M1340" s="9" t="s">
        <v>24</v>
      </c>
    </row>
    <row r="1341" ht="15.75" customHeight="1">
      <c r="A1341" s="7"/>
      <c r="B1341" s="7" t="str">
        <f>IFERROR(__xludf.DUMMYFUNCTION("""COMPUTED_VALUE"""),"C++;C#")</f>
        <v>C++;C#</v>
      </c>
      <c r="C1341" s="9" t="str">
        <f>IFERROR(__xludf.DUMMYFUNCTION("""COMPUTED_VALUE"""),"Java")</f>
        <v>Java</v>
      </c>
      <c r="D1341" s="9" t="str">
        <f>IFERROR(__xludf.DUMMYFUNCTION("""COMPUTED_VALUE"""),"HTML/CSS")</f>
        <v>HTML/CSS</v>
      </c>
      <c r="E1341" s="9" t="str">
        <f>IFERROR(__xludf.DUMMYFUNCTION("""COMPUTED_VALUE"""),"Go")</f>
        <v>Go</v>
      </c>
      <c r="F1341" s="9" t="str">
        <f>IFERROR(__xludf.DUMMYFUNCTION("""COMPUTED_VALUE"""),"C")</f>
        <v>C</v>
      </c>
      <c r="G1341" s="9" t="str">
        <f>IFERROR(__xludf.DUMMYFUNCTION("""COMPUTED_VALUE"""),"C")</f>
        <v>C</v>
      </c>
      <c r="H1341" s="9" t="str">
        <f>IFERROR(__xludf.DUMMYFUNCTION("""COMPUTED_VALUE"""),"Python")</f>
        <v>Python</v>
      </c>
      <c r="I1341" s="9" t="str">
        <f>IFERROR(__xludf.DUMMYFUNCTION("""COMPUTED_VALUE"""),"Python")</f>
        <v>Python</v>
      </c>
      <c r="J1341" s="9" t="str">
        <f>IFERROR(__xludf.DUMMYFUNCTION("""COMPUTED_VALUE"""),"JavaScript")</f>
        <v>JavaScript</v>
      </c>
      <c r="K1341" s="9" t="str">
        <f>IFERROR(__xludf.DUMMYFUNCTION("""COMPUTED_VALUE"""),"C")</f>
        <v>C</v>
      </c>
      <c r="L1341" s="9" t="str">
        <f>IFERROR(__xludf.DUMMYFUNCTION("""COMPUTED_VALUE"""),"Java")</f>
        <v>Java</v>
      </c>
      <c r="M1341" s="9" t="s">
        <v>20</v>
      </c>
    </row>
    <row r="1342" ht="15.75" customHeight="1">
      <c r="A1342" s="7"/>
      <c r="B1342" s="7" t="str">
        <f>IFERROR(__xludf.DUMMYFUNCTION("""COMPUTED_VALUE"""),"C#;HTML/CSS;Java;JavaScript;PHP;SQL")</f>
        <v>C#;HTML/CSS;Java;JavaScript;PHP;SQL</v>
      </c>
      <c r="C1342" s="9" t="str">
        <f>IFERROR(__xludf.DUMMYFUNCTION("""COMPUTED_VALUE"""),"JavaScript")</f>
        <v>JavaScript</v>
      </c>
      <c r="D1342" s="9" t="str">
        <f>IFERROR(__xludf.DUMMYFUNCTION("""COMPUTED_VALUE"""),"Java")</f>
        <v>Java</v>
      </c>
      <c r="E1342" s="9" t="str">
        <f>IFERROR(__xludf.DUMMYFUNCTION("""COMPUTED_VALUE"""),"HTML/CSS")</f>
        <v>HTML/CSS</v>
      </c>
      <c r="F1342" s="9" t="str">
        <f>IFERROR(__xludf.DUMMYFUNCTION("""COMPUTED_VALUE"""),"HTML/CSS")</f>
        <v>HTML/CSS</v>
      </c>
      <c r="G1342" s="9" t="str">
        <f>IFERROR(__xludf.DUMMYFUNCTION("""COMPUTED_VALUE"""),"C++")</f>
        <v>C++</v>
      </c>
      <c r="H1342" s="9" t="str">
        <f>IFERROR(__xludf.DUMMYFUNCTION("""COMPUTED_VALUE"""),"C#")</f>
        <v>C#</v>
      </c>
      <c r="I1342" s="9" t="str">
        <f>IFERROR(__xludf.DUMMYFUNCTION("""COMPUTED_VALUE"""),"SQL")</f>
        <v>SQL</v>
      </c>
      <c r="J1342" s="9" t="str">
        <f>IFERROR(__xludf.DUMMYFUNCTION("""COMPUTED_VALUE"""),"Objective-C")</f>
        <v>Objective-C</v>
      </c>
      <c r="K1342" s="9" t="str">
        <f>IFERROR(__xludf.DUMMYFUNCTION("""COMPUTED_VALUE"""),"HTML/CSS")</f>
        <v>HTML/CSS</v>
      </c>
      <c r="L1342" s="9" t="str">
        <f>IFERROR(__xludf.DUMMYFUNCTION("""COMPUTED_VALUE"""),"JavaScript")</f>
        <v>JavaScript</v>
      </c>
      <c r="M1342" s="9" t="s">
        <v>21</v>
      </c>
    </row>
    <row r="1343" ht="15.75" customHeight="1">
      <c r="A1343" s="7"/>
      <c r="B1343" s="7" t="str">
        <f>IFERROR(__xludf.DUMMYFUNCTION("""COMPUTED_VALUE"""),"Bash/Shell/PowerShell;Go;HTML/CSS;Java;JavaScript;SQL")</f>
        <v>Bash/Shell/PowerShell;Go;HTML/CSS;Java;JavaScript;SQL</v>
      </c>
      <c r="C1343" s="9" t="str">
        <f>IFERROR(__xludf.DUMMYFUNCTION("""COMPUTED_VALUE"""),"SQL")</f>
        <v>SQL</v>
      </c>
      <c r="D1343" s="9" t="str">
        <f>IFERROR(__xludf.DUMMYFUNCTION("""COMPUTED_VALUE"""),"JavaScript")</f>
        <v>JavaScript</v>
      </c>
      <c r="E1343" s="9" t="str">
        <f>IFERROR(__xludf.DUMMYFUNCTION("""COMPUTED_VALUE"""),"Java")</f>
        <v>Java</v>
      </c>
      <c r="F1343" s="9" t="str">
        <f>IFERROR(__xludf.DUMMYFUNCTION("""COMPUTED_VALUE"""),"Java")</f>
        <v>Java</v>
      </c>
      <c r="G1343" s="9" t="str">
        <f>IFERROR(__xludf.DUMMYFUNCTION("""COMPUTED_VALUE"""),"C#")</f>
        <v>C#</v>
      </c>
      <c r="H1343" s="9" t="str">
        <f>IFERROR(__xludf.DUMMYFUNCTION("""COMPUTED_VALUE"""),"HTML/CSS")</f>
        <v>HTML/CSS</v>
      </c>
      <c r="I1343" s="9" t="str">
        <f>IFERROR(__xludf.DUMMYFUNCTION("""COMPUTED_VALUE"""),"C#")</f>
        <v>C#</v>
      </c>
      <c r="J1343" s="9" t="str">
        <f>IFERROR(__xludf.DUMMYFUNCTION("""COMPUTED_VALUE"""),"Python")</f>
        <v>Python</v>
      </c>
      <c r="K1343" s="9" t="str">
        <f>IFERROR(__xludf.DUMMYFUNCTION("""COMPUTED_VALUE"""),"Java")</f>
        <v>Java</v>
      </c>
      <c r="L1343" s="9" t="str">
        <f>IFERROR(__xludf.DUMMYFUNCTION("""COMPUTED_VALUE"""),"Scala")</f>
        <v>Scala</v>
      </c>
      <c r="M1343" s="9" t="s">
        <v>27</v>
      </c>
    </row>
    <row r="1344" ht="15.75" customHeight="1">
      <c r="A1344" s="7"/>
      <c r="B1344" s="7" t="str">
        <f>IFERROR(__xludf.DUMMYFUNCTION("""COMPUTED_VALUE"""),"Bash/Shell/PowerShell;C#;Go;HTML/CSS;Java;JavaScript;Kotlin;Python;Ruby;Rust;SQL")</f>
        <v>Bash/Shell/PowerShell;C#;Go;HTML/CSS;Java;JavaScript;Kotlin;Python;Ruby;Rust;SQL</v>
      </c>
      <c r="C1344" s="9" t="str">
        <f>IFERROR(__xludf.DUMMYFUNCTION("""COMPUTED_VALUE"""),"Swift")</f>
        <v>Swift</v>
      </c>
      <c r="D1344" s="9" t="str">
        <f>IFERROR(__xludf.DUMMYFUNCTION("""COMPUTED_VALUE"""),"Python")</f>
        <v>Python</v>
      </c>
      <c r="E1344" s="9" t="str">
        <f>IFERROR(__xludf.DUMMYFUNCTION("""COMPUTED_VALUE"""),"JavaScript")</f>
        <v>JavaScript</v>
      </c>
      <c r="F1344" s="9" t="str">
        <f>IFERROR(__xludf.DUMMYFUNCTION("""COMPUTED_VALUE"""),"JavaScript")</f>
        <v>JavaScript</v>
      </c>
      <c r="G1344" s="9" t="str">
        <f>IFERROR(__xludf.DUMMYFUNCTION("""COMPUTED_VALUE"""),"Dart")</f>
        <v>Dart</v>
      </c>
      <c r="H1344" s="9" t="str">
        <f>IFERROR(__xludf.DUMMYFUNCTION("""COMPUTED_VALUE"""),"JavaScript")</f>
        <v>JavaScript</v>
      </c>
      <c r="I1344" s="9" t="str">
        <f>IFERROR(__xludf.DUMMYFUNCTION("""COMPUTED_VALUE"""),"JavaScript")</f>
        <v>JavaScript</v>
      </c>
      <c r="J1344" s="9" t="str">
        <f>IFERROR(__xludf.DUMMYFUNCTION("""COMPUTED_VALUE"""),"SQL")</f>
        <v>SQL</v>
      </c>
      <c r="K1344" s="9" t="str">
        <f>IFERROR(__xludf.DUMMYFUNCTION("""COMPUTED_VALUE"""),"PHP")</f>
        <v>PHP</v>
      </c>
      <c r="L1344" s="9" t="str">
        <f>IFERROR(__xludf.DUMMYFUNCTION("""COMPUTED_VALUE"""),"SQL")</f>
        <v>SQL</v>
      </c>
      <c r="M1344" s="9" t="s">
        <v>40</v>
      </c>
    </row>
    <row r="1345" ht="15.75" customHeight="1">
      <c r="A1345" s="7"/>
      <c r="B1345" s="7" t="str">
        <f>IFERROR(__xludf.DUMMYFUNCTION("""COMPUTED_VALUE"""),"Bash/Shell/PowerShell;HTML/CSS;Java;JavaScript;SQL;TypeScript")</f>
        <v>Bash/Shell/PowerShell;HTML/CSS;Java;JavaScript;SQL;TypeScript</v>
      </c>
      <c r="C1345" s="9" t="str">
        <f>IFERROR(__xludf.DUMMYFUNCTION("""COMPUTED_VALUE"""),"C++")</f>
        <v>C++</v>
      </c>
      <c r="D1345" s="9" t="str">
        <f>IFERROR(__xludf.DUMMYFUNCTION("""COMPUTED_VALUE"""),"R")</f>
        <v>R</v>
      </c>
      <c r="E1345" s="9" t="str">
        <f>IFERROR(__xludf.DUMMYFUNCTION("""COMPUTED_VALUE"""),"Python")</f>
        <v>Python</v>
      </c>
      <c r="F1345" s="9" t="str">
        <f>IFERROR(__xludf.DUMMYFUNCTION("""COMPUTED_VALUE"""),"PHP")</f>
        <v>PHP</v>
      </c>
      <c r="G1345" s="9" t="str">
        <f>IFERROR(__xludf.DUMMYFUNCTION("""COMPUTED_VALUE"""),"HTML/CSS")</f>
        <v>HTML/CSS</v>
      </c>
      <c r="H1345" s="9" t="str">
        <f>IFERROR(__xludf.DUMMYFUNCTION("""COMPUTED_VALUE"""),"Python")</f>
        <v>Python</v>
      </c>
      <c r="I1345" s="9" t="str">
        <f>IFERROR(__xludf.DUMMYFUNCTION("""COMPUTED_VALUE"""),"SQL")</f>
        <v>SQL</v>
      </c>
      <c r="J1345" s="9" t="str">
        <f>IFERROR(__xludf.DUMMYFUNCTION("""COMPUTED_VALUE"""),"HTML/CSS")</f>
        <v>HTML/CSS</v>
      </c>
      <c r="K1345" s="9" t="str">
        <f>IFERROR(__xludf.DUMMYFUNCTION("""COMPUTED_VALUE"""),"Other(s):")</f>
        <v>Other(s):</v>
      </c>
      <c r="L1345" s="9" t="str">
        <f>IFERROR(__xludf.DUMMYFUNCTION("""COMPUTED_VALUE"""),"C++")</f>
        <v>C++</v>
      </c>
      <c r="M1345" s="9" t="s">
        <v>23</v>
      </c>
    </row>
    <row r="1346" ht="15.75" customHeight="1">
      <c r="A1346" s="7"/>
      <c r="B1346" s="7" t="str">
        <f>IFERROR(__xludf.DUMMYFUNCTION("""COMPUTED_VALUE"""),"Java")</f>
        <v>Java</v>
      </c>
      <c r="C1346" s="9" t="str">
        <f>IFERROR(__xludf.DUMMYFUNCTION("""COMPUTED_VALUE"""),"HTML/CSS")</f>
        <v>HTML/CSS</v>
      </c>
      <c r="D1346" s="9" t="str">
        <f>IFERROR(__xludf.DUMMYFUNCTION("""COMPUTED_VALUE"""),"SQL")</f>
        <v>SQL</v>
      </c>
      <c r="E1346" s="9" t="str">
        <f>IFERROR(__xludf.DUMMYFUNCTION("""COMPUTED_VALUE"""),"Ruby")</f>
        <v>Ruby</v>
      </c>
      <c r="F1346" s="9" t="str">
        <f>IFERROR(__xludf.DUMMYFUNCTION("""COMPUTED_VALUE"""),"Python")</f>
        <v>Python</v>
      </c>
      <c r="G1346" s="9" t="str">
        <f>IFERROR(__xludf.DUMMYFUNCTION("""COMPUTED_VALUE"""),"Java")</f>
        <v>Java</v>
      </c>
      <c r="H1346" s="9" t="str">
        <f>IFERROR(__xludf.DUMMYFUNCTION("""COMPUTED_VALUE"""),"SQL")</f>
        <v>SQL</v>
      </c>
      <c r="I1346" s="9" t="str">
        <f>IFERROR(__xludf.DUMMYFUNCTION("""COMPUTED_VALUE"""),"Other(s):")</f>
        <v>Other(s):</v>
      </c>
      <c r="J1346" s="9" t="str">
        <f>IFERROR(__xludf.DUMMYFUNCTION("""COMPUTED_VALUE"""),"JavaScript")</f>
        <v>JavaScript</v>
      </c>
      <c r="K1346" s="9" t="str">
        <f>IFERROR(__xludf.DUMMYFUNCTION("""COMPUTED_VALUE"""),"Bash/Shell/PowerShell")</f>
        <v>Bash/Shell/PowerShell</v>
      </c>
      <c r="L1346" s="9" t="str">
        <f>IFERROR(__xludf.DUMMYFUNCTION("""COMPUTED_VALUE"""),"HTML/CSS")</f>
        <v>HTML/CSS</v>
      </c>
      <c r="M1346" s="9" t="s">
        <v>24</v>
      </c>
    </row>
    <row r="1347" ht="15.75" customHeight="1">
      <c r="A1347" s="7"/>
      <c r="B1347" s="7" t="str">
        <f>IFERROR(__xludf.DUMMYFUNCTION("""COMPUTED_VALUE"""),"C#;HTML/CSS;JavaScript;Objective-C;SQL;Swift")</f>
        <v>C#;HTML/CSS;JavaScript;Objective-C;SQL;Swift</v>
      </c>
      <c r="C1347" s="9" t="str">
        <f>IFERROR(__xludf.DUMMYFUNCTION("""COMPUTED_VALUE"""),"JavaScript")</f>
        <v>JavaScript</v>
      </c>
      <c r="D1347" s="9" t="str">
        <f>IFERROR(__xludf.DUMMYFUNCTION("""COMPUTED_VALUE"""),"TypeScript")</f>
        <v>TypeScript</v>
      </c>
      <c r="E1347" s="9" t="str">
        <f>IFERROR(__xludf.DUMMYFUNCTION("""COMPUTED_VALUE"""),"SQL")</f>
        <v>SQL</v>
      </c>
      <c r="F1347" s="9" t="str">
        <f>IFERROR(__xludf.DUMMYFUNCTION("""COMPUTED_VALUE"""),"R")</f>
        <v>R</v>
      </c>
      <c r="G1347" s="9" t="str">
        <f>IFERROR(__xludf.DUMMYFUNCTION("""COMPUTED_VALUE"""),"JavaScript")</f>
        <v>JavaScript</v>
      </c>
      <c r="H1347" s="9" t="str">
        <f>IFERROR(__xludf.DUMMYFUNCTION("""COMPUTED_VALUE"""),"TypeScript")</f>
        <v>TypeScript</v>
      </c>
      <c r="I1347" s="9" t="str">
        <f>IFERROR(__xludf.DUMMYFUNCTION("""COMPUTED_VALUE"""),"Assembly")</f>
        <v>Assembly</v>
      </c>
      <c r="J1347" s="9" t="str">
        <f>IFERROR(__xludf.DUMMYFUNCTION("""COMPUTED_VALUE"""),"Ruby")</f>
        <v>Ruby</v>
      </c>
      <c r="K1347" s="9" t="str">
        <f>IFERROR(__xludf.DUMMYFUNCTION("""COMPUTED_VALUE"""),"Python")</f>
        <v>Python</v>
      </c>
      <c r="L1347" s="9" t="str">
        <f>IFERROR(__xludf.DUMMYFUNCTION("""COMPUTED_VALUE"""),"Java")</f>
        <v>Java</v>
      </c>
      <c r="M1347" s="9" t="s">
        <v>21</v>
      </c>
    </row>
    <row r="1348" ht="15.75" customHeight="1">
      <c r="A1348" s="7"/>
      <c r="B1348" s="7" t="str">
        <f>IFERROR(__xludf.DUMMYFUNCTION("""COMPUTED_VALUE"""),"Assembly;Bash/Shell/PowerShell;C#;HTML/CSS;Java;JavaScript;PHP;Python;SQL")</f>
        <v>Assembly;Bash/Shell/PowerShell;C#;HTML/CSS;Java;JavaScript;PHP;Python;SQL</v>
      </c>
      <c r="C1348" s="9" t="str">
        <f>IFERROR(__xludf.DUMMYFUNCTION("""COMPUTED_VALUE"""),"C#")</f>
        <v>C#</v>
      </c>
      <c r="D1348" s="9" t="str">
        <f>IFERROR(__xludf.DUMMYFUNCTION("""COMPUTED_VALUE"""),"Bash/Shell/PowerShell")</f>
        <v>Bash/Shell/PowerShell</v>
      </c>
      <c r="E1348" s="9" t="str">
        <f>IFERROR(__xludf.DUMMYFUNCTION("""COMPUTED_VALUE"""),"Bash/Shell/PowerShell")</f>
        <v>Bash/Shell/PowerShell</v>
      </c>
      <c r="F1348" s="9" t="str">
        <f>IFERROR(__xludf.DUMMYFUNCTION("""COMPUTED_VALUE"""),"SQL")</f>
        <v>SQL</v>
      </c>
      <c r="G1348" s="9" t="str">
        <f>IFERROR(__xludf.DUMMYFUNCTION("""COMPUTED_VALUE"""),"Objective-C")</f>
        <v>Objective-C</v>
      </c>
      <c r="H1348" s="9" t="str">
        <f>IFERROR(__xludf.DUMMYFUNCTION("""COMPUTED_VALUE"""),"Bash/Shell/PowerShell")</f>
        <v>Bash/Shell/PowerShell</v>
      </c>
      <c r="I1348" s="9" t="str">
        <f>IFERROR(__xludf.DUMMYFUNCTION("""COMPUTED_VALUE"""),"C")</f>
        <v>C</v>
      </c>
      <c r="J1348" s="9" t="str">
        <f>IFERROR(__xludf.DUMMYFUNCTION("""COMPUTED_VALUE"""),"SQL")</f>
        <v>SQL</v>
      </c>
      <c r="K1348" s="9" t="str">
        <f>IFERROR(__xludf.DUMMYFUNCTION("""COMPUTED_VALUE"""),"SQL")</f>
        <v>SQL</v>
      </c>
      <c r="L1348" s="9" t="str">
        <f>IFERROR(__xludf.DUMMYFUNCTION("""COMPUTED_VALUE"""),"JavaScript")</f>
        <v>JavaScript</v>
      </c>
      <c r="M1348" s="9" t="s">
        <v>26</v>
      </c>
    </row>
    <row r="1349" ht="15.75" customHeight="1">
      <c r="A1349" s="7"/>
      <c r="B1349" s="7" t="str">
        <f>IFERROR(__xludf.DUMMYFUNCTION("""COMPUTED_VALUE"""),"C;HTML/CSS;Java;JavaScript;PHP;Python;SQL")</f>
        <v>C;HTML/CSS;Java;JavaScript;PHP;Python;SQL</v>
      </c>
      <c r="C1349" s="9" t="str">
        <f>IFERROR(__xludf.DUMMYFUNCTION("""COMPUTED_VALUE"""),"JavaScript")</f>
        <v>JavaScript</v>
      </c>
      <c r="D1349" s="9" t="str">
        <f>IFERROR(__xludf.DUMMYFUNCTION("""COMPUTED_VALUE"""),"C")</f>
        <v>C</v>
      </c>
      <c r="E1349" s="9" t="str">
        <f>IFERROR(__xludf.DUMMYFUNCTION("""COMPUTED_VALUE"""),"C")</f>
        <v>C</v>
      </c>
      <c r="F1349" s="9" t="str">
        <f>IFERROR(__xludf.DUMMYFUNCTION("""COMPUTED_VALUE"""),"TypeScript")</f>
        <v>TypeScript</v>
      </c>
      <c r="G1349" s="9" t="str">
        <f>IFERROR(__xludf.DUMMYFUNCTION("""COMPUTED_VALUE"""),"PHP")</f>
        <v>PHP</v>
      </c>
      <c r="H1349" s="9" t="str">
        <f>IFERROR(__xludf.DUMMYFUNCTION("""COMPUTED_VALUE"""),"PHP")</f>
        <v>PHP</v>
      </c>
      <c r="I1349" s="9" t="str">
        <f>IFERROR(__xludf.DUMMYFUNCTION("""COMPUTED_VALUE"""),"Elixir")</f>
        <v>Elixir</v>
      </c>
      <c r="J1349" s="9" t="str">
        <f>IFERROR(__xludf.DUMMYFUNCTION("""COMPUTED_VALUE"""),"C#")</f>
        <v>C#</v>
      </c>
      <c r="K1349" s="9" t="str">
        <f>IFERROR(__xludf.DUMMYFUNCTION("""COMPUTED_VALUE"""),"HTML/CSS")</f>
        <v>HTML/CSS</v>
      </c>
      <c r="L1349" s="9" t="str">
        <f>IFERROR(__xludf.DUMMYFUNCTION("""COMPUTED_VALUE"""),"PHP")</f>
        <v>PHP</v>
      </c>
      <c r="M1349" s="9" t="s">
        <v>21</v>
      </c>
    </row>
    <row r="1350" ht="15.75" customHeight="1">
      <c r="A1350" s="7"/>
      <c r="B1350" s="7" t="str">
        <f>IFERROR(__xludf.DUMMYFUNCTION("""COMPUTED_VALUE"""),"C++;Java")</f>
        <v>C++;Java</v>
      </c>
      <c r="C1350" s="9" t="str">
        <f>IFERROR(__xludf.DUMMYFUNCTION("""COMPUTED_VALUE"""),"SQL")</f>
        <v>SQL</v>
      </c>
      <c r="D1350" s="9" t="str">
        <f>IFERROR(__xludf.DUMMYFUNCTION("""COMPUTED_VALUE"""),"HTML/CSS")</f>
        <v>HTML/CSS</v>
      </c>
      <c r="E1350" s="9" t="str">
        <f>IFERROR(__xludf.DUMMYFUNCTION("""COMPUTED_VALUE"""),"C++")</f>
        <v>C++</v>
      </c>
      <c r="F1350" s="9" t="str">
        <f>IFERROR(__xludf.DUMMYFUNCTION("""COMPUTED_VALUE"""),"Elixir")</f>
        <v>Elixir</v>
      </c>
      <c r="G1350" s="9" t="str">
        <f>IFERROR(__xludf.DUMMYFUNCTION("""COMPUTED_VALUE"""),"Python")</f>
        <v>Python</v>
      </c>
      <c r="H1350" s="9" t="str">
        <f>IFERROR(__xludf.DUMMYFUNCTION("""COMPUTED_VALUE"""),"SQL")</f>
        <v>SQL</v>
      </c>
      <c r="I1350" s="9" t="str">
        <f>IFERROR(__xludf.DUMMYFUNCTION("""COMPUTED_VALUE"""),"Go")</f>
        <v>Go</v>
      </c>
      <c r="J1350" s="9" t="str">
        <f>IFERROR(__xludf.DUMMYFUNCTION("""COMPUTED_VALUE"""),"HTML/CSS")</f>
        <v>HTML/CSS</v>
      </c>
      <c r="K1350" s="9" t="str">
        <f>IFERROR(__xludf.DUMMYFUNCTION("""COMPUTED_VALUE"""),"Java")</f>
        <v>Java</v>
      </c>
      <c r="L1350" s="9" t="str">
        <f>IFERROR(__xludf.DUMMYFUNCTION("""COMPUTED_VALUE"""),"Python")</f>
        <v>Python</v>
      </c>
      <c r="M1350" s="9" t="s">
        <v>27</v>
      </c>
    </row>
    <row r="1351" ht="15.75" customHeight="1">
      <c r="A1351" s="7"/>
      <c r="B1351" s="7" t="str">
        <f>IFERROR(__xludf.DUMMYFUNCTION("""COMPUTED_VALUE"""),"C;C++;Swift")</f>
        <v>C;C++;Swift</v>
      </c>
      <c r="C1351" s="9" t="str">
        <f>IFERROR(__xludf.DUMMYFUNCTION("""COMPUTED_VALUE"""),"HTML/CSS")</f>
        <v>HTML/CSS</v>
      </c>
      <c r="D1351" s="9" t="str">
        <f>IFERROR(__xludf.DUMMYFUNCTION("""COMPUTED_VALUE"""),"Java")</f>
        <v>Java</v>
      </c>
      <c r="E1351" s="9" t="str">
        <f>IFERROR(__xludf.DUMMYFUNCTION("""COMPUTED_VALUE"""),"HTML/CSS")</f>
        <v>HTML/CSS</v>
      </c>
      <c r="F1351" s="9" t="str">
        <f>IFERROR(__xludf.DUMMYFUNCTION("""COMPUTED_VALUE"""),"JavaScript")</f>
        <v>JavaScript</v>
      </c>
      <c r="G1351" s="9" t="str">
        <f>IFERROR(__xludf.DUMMYFUNCTION("""COMPUTED_VALUE"""),"R")</f>
        <v>R</v>
      </c>
      <c r="H1351" s="9" t="str">
        <f>IFERROR(__xludf.DUMMYFUNCTION("""COMPUTED_VALUE"""),"Assembly")</f>
        <v>Assembly</v>
      </c>
      <c r="I1351" s="9" t="str">
        <f>IFERROR(__xludf.DUMMYFUNCTION("""COMPUTED_VALUE"""),"Java")</f>
        <v>Java</v>
      </c>
      <c r="J1351" s="9" t="str">
        <f>IFERROR(__xludf.DUMMYFUNCTION("""COMPUTED_VALUE"""),"JavaScript")</f>
        <v>JavaScript</v>
      </c>
      <c r="K1351" s="9" t="str">
        <f>IFERROR(__xludf.DUMMYFUNCTION("""COMPUTED_VALUE"""),"JavaScript")</f>
        <v>JavaScript</v>
      </c>
      <c r="L1351" s="9" t="str">
        <f>IFERROR(__xludf.DUMMYFUNCTION("""COMPUTED_VALUE"""),"Ruby")</f>
        <v>Ruby</v>
      </c>
      <c r="M1351" s="9" t="s">
        <v>24</v>
      </c>
    </row>
    <row r="1352" ht="15.75" customHeight="1">
      <c r="A1352" s="7"/>
      <c r="B1352" s="7" t="str">
        <f>IFERROR(__xludf.DUMMYFUNCTION("""COMPUTED_VALUE"""),"Bash/Shell/PowerShell;C++;SQL")</f>
        <v>Bash/Shell/PowerShell;C++;SQL</v>
      </c>
      <c r="C1352" s="9" t="str">
        <f>IFERROR(__xludf.DUMMYFUNCTION("""COMPUTED_VALUE"""),"JavaScript")</f>
        <v>JavaScript</v>
      </c>
      <c r="D1352" s="9" t="str">
        <f>IFERROR(__xludf.DUMMYFUNCTION("""COMPUTED_VALUE"""),"JavaScript")</f>
        <v>JavaScript</v>
      </c>
      <c r="E1352" s="9" t="str">
        <f>IFERROR(__xludf.DUMMYFUNCTION("""COMPUTED_VALUE"""),"JavaScript")</f>
        <v>JavaScript</v>
      </c>
      <c r="F1352" s="9" t="str">
        <f>IFERROR(__xludf.DUMMYFUNCTION("""COMPUTED_VALUE"""),"Ruby")</f>
        <v>Ruby</v>
      </c>
      <c r="G1352" s="9" t="str">
        <f>IFERROR(__xludf.DUMMYFUNCTION("""COMPUTED_VALUE"""),"SQL")</f>
        <v>SQL</v>
      </c>
      <c r="H1352" s="9" t="str">
        <f>IFERROR(__xludf.DUMMYFUNCTION("""COMPUTED_VALUE"""),"Bash/Shell/PowerShell")</f>
        <v>Bash/Shell/PowerShell</v>
      </c>
      <c r="I1352" s="9" t="str">
        <f>IFERROR(__xludf.DUMMYFUNCTION("""COMPUTED_VALUE"""),"JavaScript")</f>
        <v>JavaScript</v>
      </c>
      <c r="J1352" s="9" t="str">
        <f>IFERROR(__xludf.DUMMYFUNCTION("""COMPUTED_VALUE"""),"Python")</f>
        <v>Python</v>
      </c>
      <c r="K1352" s="9" t="str">
        <f>IFERROR(__xludf.DUMMYFUNCTION("""COMPUTED_VALUE"""),"PHP")</f>
        <v>PHP</v>
      </c>
      <c r="L1352" s="9" t="str">
        <f>IFERROR(__xludf.DUMMYFUNCTION("""COMPUTED_VALUE"""),"SQL")</f>
        <v>SQL</v>
      </c>
      <c r="M1352" s="9" t="s">
        <v>21</v>
      </c>
    </row>
    <row r="1353" ht="15.75" customHeight="1">
      <c r="A1353" s="7"/>
      <c r="B1353" s="7" t="str">
        <f>IFERROR(__xludf.DUMMYFUNCTION("""COMPUTED_VALUE"""),"HTML/CSS;JavaScript;TypeScript")</f>
        <v>HTML/CSS;JavaScript;TypeScript</v>
      </c>
      <c r="C1353" s="9" t="str">
        <f>IFERROR(__xludf.DUMMYFUNCTION("""COMPUTED_VALUE"""),"PHP")</f>
        <v>PHP</v>
      </c>
      <c r="D1353" s="9" t="str">
        <f>IFERROR(__xludf.DUMMYFUNCTION("""COMPUTED_VALUE"""),"Python")</f>
        <v>Python</v>
      </c>
      <c r="E1353" s="9" t="str">
        <f>IFERROR(__xludf.DUMMYFUNCTION("""COMPUTED_VALUE"""),"Python")</f>
        <v>Python</v>
      </c>
      <c r="F1353" s="9" t="str">
        <f>IFERROR(__xludf.DUMMYFUNCTION("""COMPUTED_VALUE"""),"SQL")</f>
        <v>SQL</v>
      </c>
      <c r="G1353" s="9" t="str">
        <f>IFERROR(__xludf.DUMMYFUNCTION("""COMPUTED_VALUE"""),"TypeScript")</f>
        <v>TypeScript</v>
      </c>
      <c r="H1353" s="9" t="str">
        <f>IFERROR(__xludf.DUMMYFUNCTION("""COMPUTED_VALUE"""),"C++")</f>
        <v>C++</v>
      </c>
      <c r="I1353" s="9" t="str">
        <f>IFERROR(__xludf.DUMMYFUNCTION("""COMPUTED_VALUE"""),"PHP")</f>
        <v>PHP</v>
      </c>
      <c r="J1353" s="9" t="str">
        <f>IFERROR(__xludf.DUMMYFUNCTION("""COMPUTED_VALUE"""),"SQL")</f>
        <v>SQL</v>
      </c>
      <c r="K1353" s="9" t="str">
        <f>IFERROR(__xludf.DUMMYFUNCTION("""COMPUTED_VALUE"""),"SQL")</f>
        <v>SQL</v>
      </c>
      <c r="L1353" s="9" t="str">
        <f>IFERROR(__xludf.DUMMYFUNCTION("""COMPUTED_VALUE"""),"Bash/Shell/PowerShell")</f>
        <v>Bash/Shell/PowerShell</v>
      </c>
      <c r="M1353" s="9" t="s">
        <v>37</v>
      </c>
    </row>
    <row r="1354" ht="15.75" customHeight="1">
      <c r="A1354" s="7"/>
      <c r="B1354" s="7" t="str">
        <f>IFERROR(__xludf.DUMMYFUNCTION("""COMPUTED_VALUE"""),"Bash/Shell/PowerShell;C++;HTML/CSS;Java;JavaScript;PHP;SQL")</f>
        <v>Bash/Shell/PowerShell;C++;HTML/CSS;Java;JavaScript;PHP;SQL</v>
      </c>
      <c r="C1354" s="9" t="str">
        <f>IFERROR(__xludf.DUMMYFUNCTION("""COMPUTED_VALUE"""),"Bash/Shell/PowerShell")</f>
        <v>Bash/Shell/PowerShell</v>
      </c>
      <c r="D1354" s="9" t="str">
        <f>IFERROR(__xludf.DUMMYFUNCTION("""COMPUTED_VALUE"""),"SQL")</f>
        <v>SQL</v>
      </c>
      <c r="E1354" s="9" t="str">
        <f>IFERROR(__xludf.DUMMYFUNCTION("""COMPUTED_VALUE"""),"Bash/Shell/PowerShell")</f>
        <v>Bash/Shell/PowerShell</v>
      </c>
      <c r="F1354" s="9" t="str">
        <f>IFERROR(__xludf.DUMMYFUNCTION("""COMPUTED_VALUE"""),"C#")</f>
        <v>C#</v>
      </c>
      <c r="G1354" s="9" t="str">
        <f>IFERROR(__xludf.DUMMYFUNCTION("""COMPUTED_VALUE"""),"Bash/Shell/PowerShell")</f>
        <v>Bash/Shell/PowerShell</v>
      </c>
      <c r="H1354" s="9" t="str">
        <f>IFERROR(__xludf.DUMMYFUNCTION("""COMPUTED_VALUE"""),"C#")</f>
        <v>C#</v>
      </c>
      <c r="I1354" s="9" t="str">
        <f>IFERROR(__xludf.DUMMYFUNCTION("""COMPUTED_VALUE"""),"Python")</f>
        <v>Python</v>
      </c>
      <c r="J1354" s="9" t="str">
        <f>IFERROR(__xludf.DUMMYFUNCTION("""COMPUTED_VALUE"""),"TypeScript")</f>
        <v>TypeScript</v>
      </c>
      <c r="K1354" s="9" t="str">
        <f>IFERROR(__xludf.DUMMYFUNCTION("""COMPUTED_VALUE"""),"VBA")</f>
        <v>VBA</v>
      </c>
      <c r="L1354" s="9" t="str">
        <f>IFERROR(__xludf.DUMMYFUNCTION("""COMPUTED_VALUE"""),"C++")</f>
        <v>C++</v>
      </c>
      <c r="M1354" s="9" t="s">
        <v>30</v>
      </c>
    </row>
    <row r="1355" ht="15.75" customHeight="1">
      <c r="A1355" s="7"/>
      <c r="B1355" s="7" t="str">
        <f>IFERROR(__xludf.DUMMYFUNCTION("""COMPUTED_VALUE"""),"JavaScript")</f>
        <v>JavaScript</v>
      </c>
      <c r="C1355" s="9" t="str">
        <f>IFERROR(__xludf.DUMMYFUNCTION("""COMPUTED_VALUE"""),"C++")</f>
        <v>C++</v>
      </c>
      <c r="D1355" s="9" t="str">
        <f>IFERROR(__xludf.DUMMYFUNCTION("""COMPUTED_VALUE"""),"Other(s):")</f>
        <v>Other(s):</v>
      </c>
      <c r="E1355" s="9" t="str">
        <f>IFERROR(__xludf.DUMMYFUNCTION("""COMPUTED_VALUE"""),"C++")</f>
        <v>C++</v>
      </c>
      <c r="F1355" s="9" t="str">
        <f>IFERROR(__xludf.DUMMYFUNCTION("""COMPUTED_VALUE"""),"Java")</f>
        <v>Java</v>
      </c>
      <c r="G1355" s="9" t="str">
        <f>IFERROR(__xludf.DUMMYFUNCTION("""COMPUTED_VALUE"""),"C++")</f>
        <v>C++</v>
      </c>
      <c r="H1355" s="9" t="str">
        <f>IFERROR(__xludf.DUMMYFUNCTION("""COMPUTED_VALUE"""),"HTML/CSS")</f>
        <v>HTML/CSS</v>
      </c>
      <c r="I1355" s="9" t="str">
        <f>IFERROR(__xludf.DUMMYFUNCTION("""COMPUTED_VALUE"""),"Rust")</f>
        <v>Rust</v>
      </c>
      <c r="J1355" s="9" t="str">
        <f>IFERROR(__xludf.DUMMYFUNCTION("""COMPUTED_VALUE"""),"HTML/CSS")</f>
        <v>HTML/CSS</v>
      </c>
      <c r="K1355" s="9" t="str">
        <f>IFERROR(__xludf.DUMMYFUNCTION("""COMPUTED_VALUE"""),"HTML/CSS")</f>
        <v>HTML/CSS</v>
      </c>
      <c r="L1355" s="9" t="str">
        <f>IFERROR(__xludf.DUMMYFUNCTION("""COMPUTED_VALUE"""),"C#")</f>
        <v>C#</v>
      </c>
      <c r="M1355" s="9" t="s">
        <v>23</v>
      </c>
    </row>
    <row r="1356" ht="15.75" customHeight="1">
      <c r="A1356" s="7"/>
      <c r="B1356" s="7" t="str">
        <f>IFERROR(__xludf.DUMMYFUNCTION("""COMPUTED_VALUE"""),"Bash/Shell/PowerShell;C#;HTML/CSS;JavaScript;SQL;TypeScript")</f>
        <v>Bash/Shell/PowerShell;C#;HTML/CSS;JavaScript;SQL;TypeScript</v>
      </c>
      <c r="C1356" s="9" t="str">
        <f>IFERROR(__xludf.DUMMYFUNCTION("""COMPUTED_VALUE"""),"Clojure")</f>
        <v>Clojure</v>
      </c>
      <c r="D1356" s="9" t="str">
        <f>IFERROR(__xludf.DUMMYFUNCTION("""COMPUTED_VALUE"""),"Bash/Shell/PowerShell")</f>
        <v>Bash/Shell/PowerShell</v>
      </c>
      <c r="E1356" s="9" t="str">
        <f>IFERROR(__xludf.DUMMYFUNCTION("""COMPUTED_VALUE"""),"HTML/CSS")</f>
        <v>HTML/CSS</v>
      </c>
      <c r="F1356" s="9" t="str">
        <f>IFERROR(__xludf.DUMMYFUNCTION("""COMPUTED_VALUE"""),"SQL")</f>
        <v>SQL</v>
      </c>
      <c r="G1356" s="9" t="str">
        <f>IFERROR(__xludf.DUMMYFUNCTION("""COMPUTED_VALUE"""),"Go")</f>
        <v>Go</v>
      </c>
      <c r="H1356" s="9" t="str">
        <f>IFERROR(__xludf.DUMMYFUNCTION("""COMPUTED_VALUE"""),"Java")</f>
        <v>Java</v>
      </c>
      <c r="I1356" s="9" t="str">
        <f>IFERROR(__xludf.DUMMYFUNCTION("""COMPUTED_VALUE"""),"TypeScript")</f>
        <v>TypeScript</v>
      </c>
      <c r="J1356" s="9" t="str">
        <f>IFERROR(__xludf.DUMMYFUNCTION("""COMPUTED_VALUE"""),"Java")</f>
        <v>Java</v>
      </c>
      <c r="K1356" s="9" t="str">
        <f>IFERROR(__xludf.DUMMYFUNCTION("""COMPUTED_VALUE"""),"Java")</f>
        <v>Java</v>
      </c>
      <c r="L1356" s="9" t="str">
        <f>IFERROR(__xludf.DUMMYFUNCTION("""COMPUTED_VALUE"""),"Python")</f>
        <v>Python</v>
      </c>
      <c r="M1356" s="9" t="s">
        <v>44</v>
      </c>
    </row>
    <row r="1357" ht="15.75" customHeight="1">
      <c r="A1357" s="7"/>
      <c r="B1357" s="7" t="str">
        <f>IFERROR(__xludf.DUMMYFUNCTION("""COMPUTED_VALUE"""),"Assembly;Bash/Shell/PowerShell;C;C++;C#;Clojure;Dart;Elixir;Erlang;F#;Go;HTML/CSS;Java;JavaScript;Kotlin;Objective-C;PHP;Python;R;Ruby;Rust;Scala;SQL;Swift;TypeScript;VBA;WebAssembly;Other(s):")</f>
        <v>Assembly;Bash/Shell/PowerShell;C;C++;C#;Clojure;Dart;Elixir;Erlang;F#;Go;HTML/CSS;Java;JavaScript;Kotlin;Objective-C;PHP;Python;R;Ruby;Rust;Scala;SQL;Swift;TypeScript;VBA;WebAssembly;Other(s):</v>
      </c>
      <c r="C1357" s="9" t="str">
        <f>IFERROR(__xludf.DUMMYFUNCTION("""COMPUTED_VALUE"""),"Erlang")</f>
        <v>Erlang</v>
      </c>
      <c r="D1357" s="9" t="str">
        <f>IFERROR(__xludf.DUMMYFUNCTION("""COMPUTED_VALUE"""),"HTML/CSS")</f>
        <v>HTML/CSS</v>
      </c>
      <c r="E1357" s="9" t="str">
        <f>IFERROR(__xludf.DUMMYFUNCTION("""COMPUTED_VALUE"""),"JavaScript")</f>
        <v>JavaScript</v>
      </c>
      <c r="F1357" s="9" t="str">
        <f>IFERROR(__xludf.DUMMYFUNCTION("""COMPUTED_VALUE"""),"Bash/Shell/PowerShell")</f>
        <v>Bash/Shell/PowerShell</v>
      </c>
      <c r="G1357" s="9" t="str">
        <f>IFERROR(__xludf.DUMMYFUNCTION("""COMPUTED_VALUE"""),"HTML/CSS")</f>
        <v>HTML/CSS</v>
      </c>
      <c r="H1357" s="9" t="str">
        <f>IFERROR(__xludf.DUMMYFUNCTION("""COMPUTED_VALUE"""),"JavaScript")</f>
        <v>JavaScript</v>
      </c>
      <c r="I1357" s="9" t="str">
        <f>IFERROR(__xludf.DUMMYFUNCTION("""COMPUTED_VALUE"""),"Bash/Shell/PowerShell")</f>
        <v>Bash/Shell/PowerShell</v>
      </c>
      <c r="J1357" s="9" t="str">
        <f>IFERROR(__xludf.DUMMYFUNCTION("""COMPUTED_VALUE"""),"Kotlin")</f>
        <v>Kotlin</v>
      </c>
      <c r="K1357" s="9" t="str">
        <f>IFERROR(__xludf.DUMMYFUNCTION("""COMPUTED_VALUE"""),"JavaScript")</f>
        <v>JavaScript</v>
      </c>
      <c r="L1357" s="9" t="str">
        <f>IFERROR(__xludf.DUMMYFUNCTION("""COMPUTED_VALUE"""),"C#")</f>
        <v>C#</v>
      </c>
      <c r="M1357" s="9" t="s">
        <v>43</v>
      </c>
    </row>
    <row r="1358" ht="15.75" customHeight="1">
      <c r="A1358" s="7"/>
      <c r="B1358" s="7" t="str">
        <f>IFERROR(__xludf.DUMMYFUNCTION("""COMPUTED_VALUE"""),"Bash/Shell/PowerShell;Dart;Go;Java;Kotlin;Python;Scala;SQL")</f>
        <v>Bash/Shell/PowerShell;Dart;Go;Java;Kotlin;Python;Scala;SQL</v>
      </c>
      <c r="C1358" s="9" t="str">
        <f>IFERROR(__xludf.DUMMYFUNCTION("""COMPUTED_VALUE"""),"HTML/CSS")</f>
        <v>HTML/CSS</v>
      </c>
      <c r="D1358" s="9" t="str">
        <f>IFERROR(__xludf.DUMMYFUNCTION("""COMPUTED_VALUE"""),"JavaScript")</f>
        <v>JavaScript</v>
      </c>
      <c r="E1358" s="9" t="str">
        <f>IFERROR(__xludf.DUMMYFUNCTION("""COMPUTED_VALUE"""),"SQL")</f>
        <v>SQL</v>
      </c>
      <c r="F1358" s="9" t="str">
        <f>IFERROR(__xludf.DUMMYFUNCTION("""COMPUTED_VALUE"""),"Go")</f>
        <v>Go</v>
      </c>
      <c r="G1358" s="9" t="str">
        <f>IFERROR(__xludf.DUMMYFUNCTION("""COMPUTED_VALUE"""),"Java")</f>
        <v>Java</v>
      </c>
      <c r="H1358" s="9" t="str">
        <f>IFERROR(__xludf.DUMMYFUNCTION("""COMPUTED_VALUE"""),"Bash/Shell/PowerShell")</f>
        <v>Bash/Shell/PowerShell</v>
      </c>
      <c r="I1358" s="9" t="str">
        <f>IFERROR(__xludf.DUMMYFUNCTION("""COMPUTED_VALUE"""),"HTML/CSS")</f>
        <v>HTML/CSS</v>
      </c>
      <c r="J1358" s="9" t="str">
        <f>IFERROR(__xludf.DUMMYFUNCTION("""COMPUTED_VALUE"""),"Bash/Shell/PowerShell")</f>
        <v>Bash/Shell/PowerShell</v>
      </c>
      <c r="K1358" s="9" t="str">
        <f>IFERROR(__xludf.DUMMYFUNCTION("""COMPUTED_VALUE"""),"SQL")</f>
        <v>SQL</v>
      </c>
      <c r="L1358" s="9" t="str">
        <f>IFERROR(__xludf.DUMMYFUNCTION("""COMPUTED_VALUE"""),"HTML/CSS")</f>
        <v>HTML/CSS</v>
      </c>
      <c r="M1358" s="9" t="s">
        <v>24</v>
      </c>
    </row>
    <row r="1359" ht="15.75" customHeight="1">
      <c r="A1359" s="7"/>
      <c r="B1359" s="7" t="str">
        <f>IFERROR(__xludf.DUMMYFUNCTION("""COMPUTED_VALUE"""),"HTML/CSS;JavaScript;Python;Other(s):")</f>
        <v>HTML/CSS;JavaScript;Python;Other(s):</v>
      </c>
      <c r="C1359" s="9" t="str">
        <f>IFERROR(__xludf.DUMMYFUNCTION("""COMPUTED_VALUE"""),"Java")</f>
        <v>Java</v>
      </c>
      <c r="D1359" s="9" t="str">
        <f>IFERROR(__xludf.DUMMYFUNCTION("""COMPUTED_VALUE"""),"PHP")</f>
        <v>PHP</v>
      </c>
      <c r="E1359" s="9" t="str">
        <f>IFERROR(__xludf.DUMMYFUNCTION("""COMPUTED_VALUE"""),"Other(s):")</f>
        <v>Other(s):</v>
      </c>
      <c r="F1359" s="9" t="str">
        <f>IFERROR(__xludf.DUMMYFUNCTION("""COMPUTED_VALUE"""),"JavaScript")</f>
        <v>JavaScript</v>
      </c>
      <c r="G1359" s="9" t="str">
        <f>IFERROR(__xludf.DUMMYFUNCTION("""COMPUTED_VALUE"""),"JavaScript")</f>
        <v>JavaScript</v>
      </c>
      <c r="H1359" s="9" t="str">
        <f>IFERROR(__xludf.DUMMYFUNCTION("""COMPUTED_VALUE"""),"HTML/CSS")</f>
        <v>HTML/CSS</v>
      </c>
      <c r="I1359" s="9" t="str">
        <f>IFERROR(__xludf.DUMMYFUNCTION("""COMPUTED_VALUE"""),"Python")</f>
        <v>Python</v>
      </c>
      <c r="J1359" s="9" t="str">
        <f>IFERROR(__xludf.DUMMYFUNCTION("""COMPUTED_VALUE"""),"C#")</f>
        <v>C#</v>
      </c>
      <c r="K1359" s="9" t="str">
        <f>IFERROR(__xludf.DUMMYFUNCTION("""COMPUTED_VALUE"""),"TypeScript")</f>
        <v>TypeScript</v>
      </c>
      <c r="L1359" s="9" t="str">
        <f>IFERROR(__xludf.DUMMYFUNCTION("""COMPUTED_VALUE"""),"JavaScript")</f>
        <v>JavaScript</v>
      </c>
      <c r="M1359" s="9" t="s">
        <v>20</v>
      </c>
    </row>
    <row r="1360" ht="15.75" customHeight="1">
      <c r="A1360" s="7"/>
      <c r="B1360" s="7" t="str">
        <f>IFERROR(__xludf.DUMMYFUNCTION("""COMPUTED_VALUE"""),"C;C++;HTML/CSS;Java;JavaScript;SQL;TypeScript")</f>
        <v>C;C++;HTML/CSS;Java;JavaScript;SQL;TypeScript</v>
      </c>
      <c r="C1360" s="9" t="str">
        <f>IFERROR(__xludf.DUMMYFUNCTION("""COMPUTED_VALUE"""),"JavaScript")</f>
        <v>JavaScript</v>
      </c>
      <c r="D1360" s="9" t="str">
        <f>IFERROR(__xludf.DUMMYFUNCTION("""COMPUTED_VALUE"""),"Python")</f>
        <v>Python</v>
      </c>
      <c r="E1360" s="9" t="str">
        <f>IFERROR(__xludf.DUMMYFUNCTION("""COMPUTED_VALUE"""),"Bash/Shell/PowerShell")</f>
        <v>Bash/Shell/PowerShell</v>
      </c>
      <c r="F1360" s="9" t="str">
        <f>IFERROR(__xludf.DUMMYFUNCTION("""COMPUTED_VALUE"""),"Python")</f>
        <v>Python</v>
      </c>
      <c r="G1360" s="9" t="str">
        <f>IFERROR(__xludf.DUMMYFUNCTION("""COMPUTED_VALUE"""),"Objective-C")</f>
        <v>Objective-C</v>
      </c>
      <c r="H1360" s="9" t="str">
        <f>IFERROR(__xludf.DUMMYFUNCTION("""COMPUTED_VALUE"""),"Java")</f>
        <v>Java</v>
      </c>
      <c r="I1360" s="9" t="str">
        <f>IFERROR(__xludf.DUMMYFUNCTION("""COMPUTED_VALUE"""),"Rust")</f>
        <v>Rust</v>
      </c>
      <c r="J1360" s="9" t="str">
        <f>IFERROR(__xludf.DUMMYFUNCTION("""COMPUTED_VALUE"""),"Dart")</f>
        <v>Dart</v>
      </c>
      <c r="K1360" s="9" t="str">
        <f>IFERROR(__xludf.DUMMYFUNCTION("""COMPUTED_VALUE"""),"C#")</f>
        <v>C#</v>
      </c>
      <c r="L1360" s="9" t="str">
        <f>IFERROR(__xludf.DUMMYFUNCTION("""COMPUTED_VALUE"""),"Bash/Shell/PowerShell")</f>
        <v>Bash/Shell/PowerShell</v>
      </c>
      <c r="M1360" s="9" t="s">
        <v>21</v>
      </c>
    </row>
    <row r="1361" ht="15.75" customHeight="1">
      <c r="A1361" s="7"/>
      <c r="B1361" s="7" t="str">
        <f>IFERROR(__xludf.DUMMYFUNCTION("""COMPUTED_VALUE"""),"Bash/Shell/PowerShell;Dart;HTML/CSS;JavaScript;PHP;SQL")</f>
        <v>Bash/Shell/PowerShell;Dart;HTML/CSS;JavaScript;PHP;SQL</v>
      </c>
      <c r="C1361" s="9" t="str">
        <f>IFERROR(__xludf.DUMMYFUNCTION("""COMPUTED_VALUE"""),"Ruby")</f>
        <v>Ruby</v>
      </c>
      <c r="D1361" s="9" t="str">
        <f>IFERROR(__xludf.DUMMYFUNCTION("""COMPUTED_VALUE"""),"Ruby")</f>
        <v>Ruby</v>
      </c>
      <c r="E1361" s="9" t="str">
        <f>IFERROR(__xludf.DUMMYFUNCTION("""COMPUTED_VALUE"""),"HTML/CSS")</f>
        <v>HTML/CSS</v>
      </c>
      <c r="F1361" s="9" t="str">
        <f>IFERROR(__xludf.DUMMYFUNCTION("""COMPUTED_VALUE"""),"TypeScript")</f>
        <v>TypeScript</v>
      </c>
      <c r="G1361" s="9" t="str">
        <f>IFERROR(__xludf.DUMMYFUNCTION("""COMPUTED_VALUE"""),"Python")</f>
        <v>Python</v>
      </c>
      <c r="H1361" s="9" t="str">
        <f>IFERROR(__xludf.DUMMYFUNCTION("""COMPUTED_VALUE"""),"JavaScript")</f>
        <v>JavaScript</v>
      </c>
      <c r="I1361" s="9" t="str">
        <f>IFERROR(__xludf.DUMMYFUNCTION("""COMPUTED_VALUE"""),"HTML/CSS")</f>
        <v>HTML/CSS</v>
      </c>
      <c r="J1361" s="9" t="str">
        <f>IFERROR(__xludf.DUMMYFUNCTION("""COMPUTED_VALUE"""),"HTML/CSS")</f>
        <v>HTML/CSS</v>
      </c>
      <c r="K1361" s="9" t="str">
        <f>IFERROR(__xludf.DUMMYFUNCTION("""COMPUTED_VALUE"""),"JavaScript")</f>
        <v>JavaScript</v>
      </c>
      <c r="L1361" s="9" t="str">
        <f>IFERROR(__xludf.DUMMYFUNCTION("""COMPUTED_VALUE"""),"JavaScript")</f>
        <v>JavaScript</v>
      </c>
      <c r="M1361" s="9" t="s">
        <v>31</v>
      </c>
    </row>
    <row r="1362" ht="15.75" customHeight="1">
      <c r="A1362" s="7"/>
      <c r="B1362" s="7" t="str">
        <f>IFERROR(__xludf.DUMMYFUNCTION("""COMPUTED_VALUE"""),"Bash/Shell/PowerShell;HTML/CSS;JavaScript;PHP;SQL;Other(s):")</f>
        <v>Bash/Shell/PowerShell;HTML/CSS;JavaScript;PHP;SQL;Other(s):</v>
      </c>
      <c r="C1362" s="9" t="str">
        <f>IFERROR(__xludf.DUMMYFUNCTION("""COMPUTED_VALUE"""),"Scala")</f>
        <v>Scala</v>
      </c>
      <c r="D1362" s="9" t="str">
        <f>IFERROR(__xludf.DUMMYFUNCTION("""COMPUTED_VALUE"""),"SQL")</f>
        <v>SQL</v>
      </c>
      <c r="E1362" s="9" t="str">
        <f>IFERROR(__xludf.DUMMYFUNCTION("""COMPUTED_VALUE"""),"JavaScript")</f>
        <v>JavaScript</v>
      </c>
      <c r="F1362" s="9" t="str">
        <f>IFERROR(__xludf.DUMMYFUNCTION("""COMPUTED_VALUE"""),"Java")</f>
        <v>Java</v>
      </c>
      <c r="G1362" s="9" t="str">
        <f>IFERROR(__xludf.DUMMYFUNCTION("""COMPUTED_VALUE"""),"SQL")</f>
        <v>SQL</v>
      </c>
      <c r="H1362" s="9" t="str">
        <f>IFERROR(__xludf.DUMMYFUNCTION("""COMPUTED_VALUE"""),"Python")</f>
        <v>Python</v>
      </c>
      <c r="I1362" s="9" t="str">
        <f>IFERROR(__xludf.DUMMYFUNCTION("""COMPUTED_VALUE"""),"JavaScript")</f>
        <v>JavaScript</v>
      </c>
      <c r="J1362" s="9" t="str">
        <f>IFERROR(__xludf.DUMMYFUNCTION("""COMPUTED_VALUE"""),"Python")</f>
        <v>Python</v>
      </c>
      <c r="K1362" s="9" t="str">
        <f>IFERROR(__xludf.DUMMYFUNCTION("""COMPUTED_VALUE"""),"SQL")</f>
        <v>SQL</v>
      </c>
      <c r="L1362" s="9" t="str">
        <f>IFERROR(__xludf.DUMMYFUNCTION("""COMPUTED_VALUE"""),"TypeScript")</f>
        <v>TypeScript</v>
      </c>
      <c r="M1362" s="9" t="s">
        <v>46</v>
      </c>
    </row>
    <row r="1363" ht="15.75" customHeight="1">
      <c r="A1363" s="7"/>
      <c r="B1363" s="7" t="str">
        <f>IFERROR(__xludf.DUMMYFUNCTION("""COMPUTED_VALUE"""),"C#;F#;JavaScript;TypeScript")</f>
        <v>C#;F#;JavaScript;TypeScript</v>
      </c>
      <c r="C1363" s="9" t="str">
        <f>IFERROR(__xludf.DUMMYFUNCTION("""COMPUTED_VALUE"""),"Java")</f>
        <v>Java</v>
      </c>
      <c r="D1363" s="9" t="str">
        <f>IFERROR(__xludf.DUMMYFUNCTION("""COMPUTED_VALUE"""),"TypeScript")</f>
        <v>TypeScript</v>
      </c>
      <c r="E1363" s="9" t="str">
        <f>IFERROR(__xludf.DUMMYFUNCTION("""COMPUTED_VALUE"""),"PHP")</f>
        <v>PHP</v>
      </c>
      <c r="F1363" s="9" t="str">
        <f>IFERROR(__xludf.DUMMYFUNCTION("""COMPUTED_VALUE"""),"Kotlin")</f>
        <v>Kotlin</v>
      </c>
      <c r="G1363" s="9" t="str">
        <f>IFERROR(__xludf.DUMMYFUNCTION("""COMPUTED_VALUE"""),"Java")</f>
        <v>Java</v>
      </c>
      <c r="H1363" s="9" t="str">
        <f>IFERROR(__xludf.DUMMYFUNCTION("""COMPUTED_VALUE"""),"SQL")</f>
        <v>SQL</v>
      </c>
      <c r="I1363" s="9" t="str">
        <f>IFERROR(__xludf.DUMMYFUNCTION("""COMPUTED_VALUE"""),"TypeScript")</f>
        <v>TypeScript</v>
      </c>
      <c r="J1363" s="9" t="str">
        <f>IFERROR(__xludf.DUMMYFUNCTION("""COMPUTED_VALUE"""),"SQL")</f>
        <v>SQL</v>
      </c>
      <c r="K1363" s="9" t="str">
        <f>IFERROR(__xludf.DUMMYFUNCTION("""COMPUTED_VALUE"""),"Assembly")</f>
        <v>Assembly</v>
      </c>
      <c r="L1363" s="9" t="str">
        <f>IFERROR(__xludf.DUMMYFUNCTION("""COMPUTED_VALUE"""),"C#")</f>
        <v>C#</v>
      </c>
      <c r="M1363" s="9" t="s">
        <v>20</v>
      </c>
    </row>
    <row r="1364" ht="15.75" customHeight="1">
      <c r="A1364" s="7"/>
      <c r="B1364" s="7" t="str">
        <f>IFERROR(__xludf.DUMMYFUNCTION("""COMPUTED_VALUE"""),"C#;HTML/CSS;JavaScript;SQL")</f>
        <v>C#;HTML/CSS;JavaScript;SQL</v>
      </c>
      <c r="C1364" s="9" t="str">
        <f>IFERROR(__xludf.DUMMYFUNCTION("""COMPUTED_VALUE"""),"JavaScript")</f>
        <v>JavaScript</v>
      </c>
      <c r="D1364" s="9" t="str">
        <f>IFERROR(__xludf.DUMMYFUNCTION("""COMPUTED_VALUE"""),"Assembly")</f>
        <v>Assembly</v>
      </c>
      <c r="E1364" s="9" t="str">
        <f>IFERROR(__xludf.DUMMYFUNCTION("""COMPUTED_VALUE"""),"TypeScript")</f>
        <v>TypeScript</v>
      </c>
      <c r="F1364" s="9" t="str">
        <f>IFERROR(__xludf.DUMMYFUNCTION("""COMPUTED_VALUE"""),"SQL")</f>
        <v>SQL</v>
      </c>
      <c r="G1364" s="9" t="str">
        <f>IFERROR(__xludf.DUMMYFUNCTION("""COMPUTED_VALUE"""),"JavaScript")</f>
        <v>JavaScript</v>
      </c>
      <c r="H1364" s="9" t="str">
        <f>IFERROR(__xludf.DUMMYFUNCTION("""COMPUTED_VALUE"""),"Bash/Shell/PowerShell")</f>
        <v>Bash/Shell/PowerShell</v>
      </c>
      <c r="I1364" s="9" t="str">
        <f>IFERROR(__xludf.DUMMYFUNCTION("""COMPUTED_VALUE"""),"Assembly")</f>
        <v>Assembly</v>
      </c>
      <c r="J1364" s="9" t="str">
        <f>IFERROR(__xludf.DUMMYFUNCTION("""COMPUTED_VALUE"""),"TypeScript")</f>
        <v>TypeScript</v>
      </c>
      <c r="K1364" s="9" t="str">
        <f>IFERROR(__xludf.DUMMYFUNCTION("""COMPUTED_VALUE"""),"C++")</f>
        <v>C++</v>
      </c>
      <c r="L1364" s="9" t="str">
        <f>IFERROR(__xludf.DUMMYFUNCTION("""COMPUTED_VALUE"""),"VBA")</f>
        <v>VBA</v>
      </c>
      <c r="M1364" s="9" t="s">
        <v>21</v>
      </c>
    </row>
    <row r="1365" ht="15.75" customHeight="1">
      <c r="A1365" s="7"/>
      <c r="B1365" s="7" t="str">
        <f>IFERROR(__xludf.DUMMYFUNCTION("""COMPUTED_VALUE"""),"Python;R")</f>
        <v>Python;R</v>
      </c>
      <c r="C1365" s="9" t="str">
        <f>IFERROR(__xludf.DUMMYFUNCTION("""COMPUTED_VALUE"""),"C#")</f>
        <v>C#</v>
      </c>
      <c r="D1365" s="9" t="str">
        <f>IFERROR(__xludf.DUMMYFUNCTION("""COMPUTED_VALUE"""),"Bash/Shell/PowerShell")</f>
        <v>Bash/Shell/PowerShell</v>
      </c>
      <c r="E1365" s="9" t="str">
        <f>IFERROR(__xludf.DUMMYFUNCTION("""COMPUTED_VALUE"""),"C#")</f>
        <v>C#</v>
      </c>
      <c r="F1365" s="9" t="str">
        <f>IFERROR(__xludf.DUMMYFUNCTION("""COMPUTED_VALUE"""),"Bash/Shell/PowerShell")</f>
        <v>Bash/Shell/PowerShell</v>
      </c>
      <c r="G1365" s="9" t="str">
        <f>IFERROR(__xludf.DUMMYFUNCTION("""COMPUTED_VALUE"""),"PHP")</f>
        <v>PHP</v>
      </c>
      <c r="H1365" s="9" t="str">
        <f>IFERROR(__xludf.DUMMYFUNCTION("""COMPUTED_VALUE"""),"Go")</f>
        <v>Go</v>
      </c>
      <c r="I1365" s="9" t="str">
        <f>IFERROR(__xludf.DUMMYFUNCTION("""COMPUTED_VALUE"""),"Python")</f>
        <v>Python</v>
      </c>
      <c r="J1365" s="9" t="str">
        <f>IFERROR(__xludf.DUMMYFUNCTION("""COMPUTED_VALUE"""),"Other(s):")</f>
        <v>Other(s):</v>
      </c>
      <c r="K1365" s="9" t="str">
        <f>IFERROR(__xludf.DUMMYFUNCTION("""COMPUTED_VALUE"""),"C#")</f>
        <v>C#</v>
      </c>
      <c r="L1365" s="9" t="str">
        <f>IFERROR(__xludf.DUMMYFUNCTION("""COMPUTED_VALUE"""),"Bash/Shell/PowerShell")</f>
        <v>Bash/Shell/PowerShell</v>
      </c>
      <c r="M1365" s="9" t="s">
        <v>26</v>
      </c>
    </row>
    <row r="1366" ht="15.75" customHeight="1">
      <c r="A1366" s="7"/>
      <c r="B1366" s="7" t="str">
        <f>IFERROR(__xludf.DUMMYFUNCTION("""COMPUTED_VALUE"""),"Bash/Shell/PowerShell;HTML/CSS;JavaScript;PHP;Python;SQL")</f>
        <v>Bash/Shell/PowerShell;HTML/CSS;JavaScript;PHP;Python;SQL</v>
      </c>
      <c r="C1366" s="9" t="str">
        <f>IFERROR(__xludf.DUMMYFUNCTION("""COMPUTED_VALUE"""),"HTML/CSS")</f>
        <v>HTML/CSS</v>
      </c>
      <c r="D1366" s="9" t="str">
        <f>IFERROR(__xludf.DUMMYFUNCTION("""COMPUTED_VALUE"""),"C")</f>
        <v>C</v>
      </c>
      <c r="E1366" s="9" t="str">
        <f>IFERROR(__xludf.DUMMYFUNCTION("""COMPUTED_VALUE"""),"Java")</f>
        <v>Java</v>
      </c>
      <c r="F1366" s="9" t="str">
        <f>IFERROR(__xludf.DUMMYFUNCTION("""COMPUTED_VALUE"""),"HTML/CSS")</f>
        <v>HTML/CSS</v>
      </c>
      <c r="G1366" s="9" t="str">
        <f>IFERROR(__xludf.DUMMYFUNCTION("""COMPUTED_VALUE"""),"Bash/Shell/PowerShell")</f>
        <v>Bash/Shell/PowerShell</v>
      </c>
      <c r="H1366" s="9" t="str">
        <f>IFERROR(__xludf.DUMMYFUNCTION("""COMPUTED_VALUE"""),"Python")</f>
        <v>Python</v>
      </c>
      <c r="I1366" s="9" t="str">
        <f>IFERROR(__xludf.DUMMYFUNCTION("""COMPUTED_VALUE"""),"C")</f>
        <v>C</v>
      </c>
      <c r="J1366" s="9" t="str">
        <f>IFERROR(__xludf.DUMMYFUNCTION("""COMPUTED_VALUE"""),"HTML/CSS")</f>
        <v>HTML/CSS</v>
      </c>
      <c r="K1366" s="9" t="str">
        <f>IFERROR(__xludf.DUMMYFUNCTION("""COMPUTED_VALUE"""),"HTML/CSS")</f>
        <v>HTML/CSS</v>
      </c>
      <c r="L1366" s="9" t="str">
        <f>IFERROR(__xludf.DUMMYFUNCTION("""COMPUTED_VALUE"""),"C++")</f>
        <v>C++</v>
      </c>
      <c r="M1366" s="9" t="s">
        <v>24</v>
      </c>
    </row>
    <row r="1367" ht="15.75" customHeight="1">
      <c r="A1367" s="7"/>
      <c r="B1367" s="7" t="str">
        <f>IFERROR(__xludf.DUMMYFUNCTION("""COMPUTED_VALUE"""),"Bash/Shell/PowerShell;HTML/CSS;Java;JavaScript;SQL")</f>
        <v>Bash/Shell/PowerShell;HTML/CSS;Java;JavaScript;SQL</v>
      </c>
      <c r="C1367" s="9" t="str">
        <f>IFERROR(__xludf.DUMMYFUNCTION("""COMPUTED_VALUE"""),"Java")</f>
        <v>Java</v>
      </c>
      <c r="D1367" s="9" t="str">
        <f>IFERROR(__xludf.DUMMYFUNCTION("""COMPUTED_VALUE"""),"C++")</f>
        <v>C++</v>
      </c>
      <c r="E1367" s="9" t="str">
        <f>IFERROR(__xludf.DUMMYFUNCTION("""COMPUTED_VALUE"""),"Kotlin")</f>
        <v>Kotlin</v>
      </c>
      <c r="F1367" s="9" t="str">
        <f>IFERROR(__xludf.DUMMYFUNCTION("""COMPUTED_VALUE"""),"Python")</f>
        <v>Python</v>
      </c>
      <c r="G1367" s="9" t="str">
        <f>IFERROR(__xludf.DUMMYFUNCTION("""COMPUTED_VALUE"""),"JavaScript")</f>
        <v>JavaScript</v>
      </c>
      <c r="H1367" s="9" t="str">
        <f>IFERROR(__xludf.DUMMYFUNCTION("""COMPUTED_VALUE"""),"Rust")</f>
        <v>Rust</v>
      </c>
      <c r="I1367" s="9" t="str">
        <f>IFERROR(__xludf.DUMMYFUNCTION("""COMPUTED_VALUE"""),"C++")</f>
        <v>C++</v>
      </c>
      <c r="J1367" s="9" t="str">
        <f>IFERROR(__xludf.DUMMYFUNCTION("""COMPUTED_VALUE"""),"Java")</f>
        <v>Java</v>
      </c>
      <c r="K1367" s="9" t="str">
        <f>IFERROR(__xludf.DUMMYFUNCTION("""COMPUTED_VALUE"""),"Java")</f>
        <v>Java</v>
      </c>
      <c r="L1367" s="9" t="str">
        <f>IFERROR(__xludf.DUMMYFUNCTION("""COMPUTED_VALUE"""),"JavaScript")</f>
        <v>JavaScript</v>
      </c>
      <c r="M1367" s="9" t="s">
        <v>20</v>
      </c>
    </row>
    <row r="1368" ht="15.75" customHeight="1">
      <c r="A1368" s="7"/>
      <c r="B1368" s="7" t="str">
        <f>IFERROR(__xludf.DUMMYFUNCTION("""COMPUTED_VALUE"""),"HTML/CSS;Java;JavaScript")</f>
        <v>HTML/CSS;Java;JavaScript</v>
      </c>
      <c r="C1368" s="9" t="str">
        <f>IFERROR(__xludf.DUMMYFUNCTION("""COMPUTED_VALUE"""),"JavaScript")</f>
        <v>JavaScript</v>
      </c>
      <c r="D1368" s="9" t="str">
        <f>IFERROR(__xludf.DUMMYFUNCTION("""COMPUTED_VALUE"""),"HTML/CSS")</f>
        <v>HTML/CSS</v>
      </c>
      <c r="E1368" s="9" t="str">
        <f>IFERROR(__xludf.DUMMYFUNCTION("""COMPUTED_VALUE"""),"Python")</f>
        <v>Python</v>
      </c>
      <c r="F1368" s="9" t="str">
        <f>IFERROR(__xludf.DUMMYFUNCTION("""COMPUTED_VALUE"""),"SQL")</f>
        <v>SQL</v>
      </c>
      <c r="G1368" s="9" t="str">
        <f>IFERROR(__xludf.DUMMYFUNCTION("""COMPUTED_VALUE"""),"Ruby")</f>
        <v>Ruby</v>
      </c>
      <c r="H1368" s="9" t="str">
        <f>IFERROR(__xludf.DUMMYFUNCTION("""COMPUTED_VALUE"""),"Python")</f>
        <v>Python</v>
      </c>
      <c r="I1368" s="9" t="str">
        <f>IFERROR(__xludf.DUMMYFUNCTION("""COMPUTED_VALUE"""),"C#")</f>
        <v>C#</v>
      </c>
      <c r="J1368" s="9" t="str">
        <f>IFERROR(__xludf.DUMMYFUNCTION("""COMPUTED_VALUE"""),"JavaScript")</f>
        <v>JavaScript</v>
      </c>
      <c r="K1368" s="9" t="str">
        <f>IFERROR(__xludf.DUMMYFUNCTION("""COMPUTED_VALUE"""),"JavaScript")</f>
        <v>JavaScript</v>
      </c>
      <c r="L1368" s="9" t="str">
        <f>IFERROR(__xludf.DUMMYFUNCTION("""COMPUTED_VALUE"""),"Python")</f>
        <v>Python</v>
      </c>
      <c r="M1368" s="9" t="s">
        <v>21</v>
      </c>
    </row>
    <row r="1369" ht="15.75" customHeight="1">
      <c r="A1369" s="7"/>
      <c r="B1369" s="7" t="str">
        <f>IFERROR(__xludf.DUMMYFUNCTION("""COMPUTED_VALUE"""),"Bash/Shell/PowerShell")</f>
        <v>Bash/Shell/PowerShell</v>
      </c>
      <c r="C1369" s="9" t="str">
        <f>IFERROR(__xludf.DUMMYFUNCTION("""COMPUTED_VALUE"""),"Objective-C")</f>
        <v>Objective-C</v>
      </c>
      <c r="D1369" s="9" t="str">
        <f>IFERROR(__xludf.DUMMYFUNCTION("""COMPUTED_VALUE"""),"Java")</f>
        <v>Java</v>
      </c>
      <c r="E1369" s="9" t="str">
        <f>IFERROR(__xludf.DUMMYFUNCTION("""COMPUTED_VALUE"""),"C++")</f>
        <v>C++</v>
      </c>
      <c r="F1369" s="9" t="str">
        <f>IFERROR(__xludf.DUMMYFUNCTION("""COMPUTED_VALUE"""),"Other(s):")</f>
        <v>Other(s):</v>
      </c>
      <c r="G1369" s="9" t="str">
        <f>IFERROR(__xludf.DUMMYFUNCTION("""COMPUTED_VALUE"""),"SQL")</f>
        <v>SQL</v>
      </c>
      <c r="H1369" s="9" t="str">
        <f>IFERROR(__xludf.DUMMYFUNCTION("""COMPUTED_VALUE"""),"HTML/CSS")</f>
        <v>HTML/CSS</v>
      </c>
      <c r="I1369" s="9" t="str">
        <f>IFERROR(__xludf.DUMMYFUNCTION("""COMPUTED_VALUE"""),"Java")</f>
        <v>Java</v>
      </c>
      <c r="J1369" s="9" t="str">
        <f>IFERROR(__xludf.DUMMYFUNCTION("""COMPUTED_VALUE"""),"C")</f>
        <v>C</v>
      </c>
      <c r="K1369" s="9" t="str">
        <f>IFERROR(__xludf.DUMMYFUNCTION("""COMPUTED_VALUE"""),"Python")</f>
        <v>Python</v>
      </c>
      <c r="L1369" s="9" t="str">
        <f>IFERROR(__xludf.DUMMYFUNCTION("""COMPUTED_VALUE"""),"Swift")</f>
        <v>Swift</v>
      </c>
      <c r="M1369" s="9" t="s">
        <v>41</v>
      </c>
    </row>
    <row r="1370" ht="15.75" customHeight="1">
      <c r="A1370" s="7"/>
      <c r="B1370" s="7" t="str">
        <f>IFERROR(__xludf.DUMMYFUNCTION("""COMPUTED_VALUE"""),"Kotlin;Objective-C;Swift")</f>
        <v>Kotlin;Objective-C;Swift</v>
      </c>
      <c r="C1370" s="9" t="str">
        <f>IFERROR(__xludf.DUMMYFUNCTION("""COMPUTED_VALUE"""),"Python")</f>
        <v>Python</v>
      </c>
      <c r="D1370" s="9" t="str">
        <f>IFERROR(__xludf.DUMMYFUNCTION("""COMPUTED_VALUE"""),"JavaScript")</f>
        <v>JavaScript</v>
      </c>
      <c r="E1370" s="9" t="str">
        <f>IFERROR(__xludf.DUMMYFUNCTION("""COMPUTED_VALUE"""),"Go")</f>
        <v>Go</v>
      </c>
      <c r="F1370" s="9" t="str">
        <f>IFERROR(__xludf.DUMMYFUNCTION("""COMPUTED_VALUE"""),"Bash/Shell/PowerShell")</f>
        <v>Bash/Shell/PowerShell</v>
      </c>
      <c r="G1370" s="9" t="str">
        <f>IFERROR(__xludf.DUMMYFUNCTION("""COMPUTED_VALUE"""),"TypeScript")</f>
        <v>TypeScript</v>
      </c>
      <c r="H1370" s="9" t="str">
        <f>IFERROR(__xludf.DUMMYFUNCTION("""COMPUTED_VALUE"""),"Ruby")</f>
        <v>Ruby</v>
      </c>
      <c r="I1370" s="9" t="str">
        <f>IFERROR(__xludf.DUMMYFUNCTION("""COMPUTED_VALUE"""),"JavaScript")</f>
        <v>JavaScript</v>
      </c>
      <c r="J1370" s="9" t="str">
        <f>IFERROR(__xludf.DUMMYFUNCTION("""COMPUTED_VALUE"""),"C#")</f>
        <v>C#</v>
      </c>
      <c r="K1370" s="9" t="str">
        <f>IFERROR(__xludf.DUMMYFUNCTION("""COMPUTED_VALUE"""),"SQL")</f>
        <v>SQL</v>
      </c>
      <c r="L1370" s="9" t="str">
        <f>IFERROR(__xludf.DUMMYFUNCTION("""COMPUTED_VALUE"""),"Other(s):")</f>
        <v>Other(s):</v>
      </c>
      <c r="M1370" s="9" t="s">
        <v>22</v>
      </c>
    </row>
    <row r="1371" ht="15.75" customHeight="1">
      <c r="A1371" s="7"/>
      <c r="B1371" s="7" t="str">
        <f>IFERROR(__xludf.DUMMYFUNCTION("""COMPUTED_VALUE"""),"C;C#;HTML/CSS;Java;JavaScript;PHP;Python;SQL;VBA")</f>
        <v>C;C#;HTML/CSS;Java;JavaScript;PHP;Python;SQL;VBA</v>
      </c>
      <c r="C1371" s="9" t="str">
        <f>IFERROR(__xludf.DUMMYFUNCTION("""COMPUTED_VALUE"""),"Ruby")</f>
        <v>Ruby</v>
      </c>
      <c r="D1371" s="9" t="str">
        <f>IFERROR(__xludf.DUMMYFUNCTION("""COMPUTED_VALUE"""),"Python")</f>
        <v>Python</v>
      </c>
      <c r="E1371" s="9" t="str">
        <f>IFERROR(__xludf.DUMMYFUNCTION("""COMPUTED_VALUE"""),"Python")</f>
        <v>Python</v>
      </c>
      <c r="F1371" s="9" t="str">
        <f>IFERROR(__xludf.DUMMYFUNCTION("""COMPUTED_VALUE"""),"C++")</f>
        <v>C++</v>
      </c>
      <c r="G1371" s="9" t="str">
        <f>IFERROR(__xludf.DUMMYFUNCTION("""COMPUTED_VALUE"""),"VBA")</f>
        <v>VBA</v>
      </c>
      <c r="H1371" s="9" t="str">
        <f>IFERROR(__xludf.DUMMYFUNCTION("""COMPUTED_VALUE"""),"SQL")</f>
        <v>SQL</v>
      </c>
      <c r="I1371" s="9" t="str">
        <f>IFERROR(__xludf.DUMMYFUNCTION("""COMPUTED_VALUE"""),"Kotlin")</f>
        <v>Kotlin</v>
      </c>
      <c r="J1371" s="9" t="str">
        <f>IFERROR(__xludf.DUMMYFUNCTION("""COMPUTED_VALUE"""),"JavaScript")</f>
        <v>JavaScript</v>
      </c>
      <c r="K1371" s="9" t="str">
        <f>IFERROR(__xludf.DUMMYFUNCTION("""COMPUTED_VALUE"""),"Bash/Shell/PowerShell")</f>
        <v>Bash/Shell/PowerShell</v>
      </c>
      <c r="L1371" s="9" t="str">
        <f>IFERROR(__xludf.DUMMYFUNCTION("""COMPUTED_VALUE"""),"C")</f>
        <v>C</v>
      </c>
      <c r="M1371" s="9" t="s">
        <v>31</v>
      </c>
    </row>
    <row r="1372" ht="15.75" customHeight="1">
      <c r="A1372" s="7"/>
      <c r="B1372" s="7" t="str">
        <f>IFERROR(__xludf.DUMMYFUNCTION("""COMPUTED_VALUE"""),"C#;HTML/CSS;JavaScript;PHP;SQL;TypeScript")</f>
        <v>C#;HTML/CSS;JavaScript;PHP;SQL;TypeScript</v>
      </c>
      <c r="C1372" s="9" t="str">
        <f>IFERROR(__xludf.DUMMYFUNCTION("""COMPUTED_VALUE"""),"Rust")</f>
        <v>Rust</v>
      </c>
      <c r="D1372" s="9" t="str">
        <f>IFERROR(__xludf.DUMMYFUNCTION("""COMPUTED_VALUE"""),"R")</f>
        <v>R</v>
      </c>
      <c r="E1372" s="9" t="str">
        <f>IFERROR(__xludf.DUMMYFUNCTION("""COMPUTED_VALUE"""),"HTML/CSS")</f>
        <v>HTML/CSS</v>
      </c>
      <c r="F1372" s="9" t="str">
        <f>IFERROR(__xludf.DUMMYFUNCTION("""COMPUTED_VALUE"""),"HTML/CSS")</f>
        <v>HTML/CSS</v>
      </c>
      <c r="G1372" s="9" t="str">
        <f>IFERROR(__xludf.DUMMYFUNCTION("""COMPUTED_VALUE"""),"Bash/Shell/PowerShell")</f>
        <v>Bash/Shell/PowerShell</v>
      </c>
      <c r="H1372" s="9" t="str">
        <f>IFERROR(__xludf.DUMMYFUNCTION("""COMPUTED_VALUE"""),"C++")</f>
        <v>C++</v>
      </c>
      <c r="I1372" s="9" t="str">
        <f>IFERROR(__xludf.DUMMYFUNCTION("""COMPUTED_VALUE"""),"Objective-C")</f>
        <v>Objective-C</v>
      </c>
      <c r="J1372" s="9" t="str">
        <f>IFERROR(__xludf.DUMMYFUNCTION("""COMPUTED_VALUE"""),"VBA")</f>
        <v>VBA</v>
      </c>
      <c r="K1372" s="9" t="str">
        <f>IFERROR(__xludf.DUMMYFUNCTION("""COMPUTED_VALUE"""),"Python")</f>
        <v>Python</v>
      </c>
      <c r="L1372" s="9" t="str">
        <f>IFERROR(__xludf.DUMMYFUNCTION("""COMPUTED_VALUE"""),"C++")</f>
        <v>C++</v>
      </c>
      <c r="M1372" s="9" t="s">
        <v>32</v>
      </c>
    </row>
    <row r="1373" ht="15.75" customHeight="1">
      <c r="A1373" s="7"/>
      <c r="B1373" s="7" t="str">
        <f>IFERROR(__xludf.DUMMYFUNCTION("""COMPUTED_VALUE"""),"HTML/CSS;Python;SQL;TypeScript;Other(s):")</f>
        <v>HTML/CSS;Python;SQL;TypeScript;Other(s):</v>
      </c>
      <c r="C1373" s="9" t="str">
        <f>IFERROR(__xludf.DUMMYFUNCTION("""COMPUTED_VALUE"""),"SQL")</f>
        <v>SQL</v>
      </c>
      <c r="D1373" s="9" t="str">
        <f>IFERROR(__xludf.DUMMYFUNCTION("""COMPUTED_VALUE"""),"Scala")</f>
        <v>Scala</v>
      </c>
      <c r="E1373" s="9" t="str">
        <f>IFERROR(__xludf.DUMMYFUNCTION("""COMPUTED_VALUE"""),"JavaScript")</f>
        <v>JavaScript</v>
      </c>
      <c r="F1373" s="9" t="str">
        <f>IFERROR(__xludf.DUMMYFUNCTION("""COMPUTED_VALUE"""),"JavaScript")</f>
        <v>JavaScript</v>
      </c>
      <c r="G1373" s="9" t="str">
        <f>IFERROR(__xludf.DUMMYFUNCTION("""COMPUTED_VALUE"""),"C#")</f>
        <v>C#</v>
      </c>
      <c r="H1373" s="9" t="str">
        <f>IFERROR(__xludf.DUMMYFUNCTION("""COMPUTED_VALUE"""),"HTML/CSS")</f>
        <v>HTML/CSS</v>
      </c>
      <c r="I1373" s="9" t="str">
        <f>IFERROR(__xludf.DUMMYFUNCTION("""COMPUTED_VALUE"""),"PHP")</f>
        <v>PHP</v>
      </c>
      <c r="J1373" s="9" t="str">
        <f>IFERROR(__xludf.DUMMYFUNCTION("""COMPUTED_VALUE"""),"Java")</f>
        <v>Java</v>
      </c>
      <c r="K1373" s="9" t="str">
        <f>IFERROR(__xludf.DUMMYFUNCTION("""COMPUTED_VALUE"""),"R")</f>
        <v>R</v>
      </c>
      <c r="L1373" s="9" t="str">
        <f>IFERROR(__xludf.DUMMYFUNCTION("""COMPUTED_VALUE"""),"C#")</f>
        <v>C#</v>
      </c>
      <c r="M1373" s="9" t="s">
        <v>27</v>
      </c>
    </row>
    <row r="1374" ht="15.75" customHeight="1">
      <c r="A1374" s="7"/>
      <c r="B1374" s="7" t="str">
        <f>IFERROR(__xludf.DUMMYFUNCTION("""COMPUTED_VALUE"""),"C#;JavaScript;SQL;Other(s):")</f>
        <v>C#;JavaScript;SQL;Other(s):</v>
      </c>
      <c r="C1374" s="9" t="str">
        <f>IFERROR(__xludf.DUMMYFUNCTION("""COMPUTED_VALUE"""),"TypeScript")</f>
        <v>TypeScript</v>
      </c>
      <c r="D1374" s="9" t="str">
        <f>IFERROR(__xludf.DUMMYFUNCTION("""COMPUTED_VALUE"""),"SQL")</f>
        <v>SQL</v>
      </c>
      <c r="E1374" s="9" t="str">
        <f>IFERROR(__xludf.DUMMYFUNCTION("""COMPUTED_VALUE"""),"PHP")</f>
        <v>PHP</v>
      </c>
      <c r="F1374" s="9" t="str">
        <f>IFERROR(__xludf.DUMMYFUNCTION("""COMPUTED_VALUE"""),"Python")</f>
        <v>Python</v>
      </c>
      <c r="G1374" s="9" t="str">
        <f>IFERROR(__xludf.DUMMYFUNCTION("""COMPUTED_VALUE"""),"HTML/CSS")</f>
        <v>HTML/CSS</v>
      </c>
      <c r="H1374" s="9" t="str">
        <f>IFERROR(__xludf.DUMMYFUNCTION("""COMPUTED_VALUE"""),"Java")</f>
        <v>Java</v>
      </c>
      <c r="I1374" s="9" t="str">
        <f>IFERROR(__xludf.DUMMYFUNCTION("""COMPUTED_VALUE"""),"Python")</f>
        <v>Python</v>
      </c>
      <c r="J1374" s="9" t="str">
        <f>IFERROR(__xludf.DUMMYFUNCTION("""COMPUTED_VALUE"""),"JavaScript")</f>
        <v>JavaScript</v>
      </c>
      <c r="K1374" s="9" t="str">
        <f>IFERROR(__xludf.DUMMYFUNCTION("""COMPUTED_VALUE"""),"SQL")</f>
        <v>SQL</v>
      </c>
      <c r="L1374" s="9" t="str">
        <f>IFERROR(__xludf.DUMMYFUNCTION("""COMPUTED_VALUE"""),"C")</f>
        <v>C</v>
      </c>
      <c r="M1374" s="9" t="s">
        <v>33</v>
      </c>
    </row>
    <row r="1375" ht="15.75" customHeight="1">
      <c r="A1375" s="7"/>
      <c r="B1375" s="7" t="str">
        <f>IFERROR(__xludf.DUMMYFUNCTION("""COMPUTED_VALUE"""),"C#;HTML/CSS;Java;JavaScript")</f>
        <v>C#;HTML/CSS;Java;JavaScript</v>
      </c>
      <c r="C1375" s="9" t="str">
        <f>IFERROR(__xludf.DUMMYFUNCTION("""COMPUTED_VALUE"""),"HTML/CSS")</f>
        <v>HTML/CSS</v>
      </c>
      <c r="D1375" s="9" t="str">
        <f>IFERROR(__xludf.DUMMYFUNCTION("""COMPUTED_VALUE"""),"Swift")</f>
        <v>Swift</v>
      </c>
      <c r="E1375" s="9" t="str">
        <f>IFERROR(__xludf.DUMMYFUNCTION("""COMPUTED_VALUE"""),"Python")</f>
        <v>Python</v>
      </c>
      <c r="F1375" s="9" t="str">
        <f>IFERROR(__xludf.DUMMYFUNCTION("""COMPUTED_VALUE"""),"R")</f>
        <v>R</v>
      </c>
      <c r="G1375" s="9" t="str">
        <f>IFERROR(__xludf.DUMMYFUNCTION("""COMPUTED_VALUE"""),"JavaScript")</f>
        <v>JavaScript</v>
      </c>
      <c r="H1375" s="9" t="str">
        <f>IFERROR(__xludf.DUMMYFUNCTION("""COMPUTED_VALUE"""),"JavaScript")</f>
        <v>JavaScript</v>
      </c>
      <c r="I1375" s="9" t="str">
        <f>IFERROR(__xludf.DUMMYFUNCTION("""COMPUTED_VALUE"""),"Ruby")</f>
        <v>Ruby</v>
      </c>
      <c r="J1375" s="9" t="str">
        <f>IFERROR(__xludf.DUMMYFUNCTION("""COMPUTED_VALUE"""),"SQL")</f>
        <v>SQL</v>
      </c>
      <c r="K1375" s="9" t="str">
        <f>IFERROR(__xludf.DUMMYFUNCTION("""COMPUTED_VALUE"""),"Java")</f>
        <v>Java</v>
      </c>
      <c r="L1375" s="9" t="str">
        <f>IFERROR(__xludf.DUMMYFUNCTION("""COMPUTED_VALUE"""),"C++")</f>
        <v>C++</v>
      </c>
      <c r="M1375" s="9" t="s">
        <v>24</v>
      </c>
    </row>
    <row r="1376" ht="15.75" customHeight="1">
      <c r="A1376" s="7"/>
      <c r="B1376" s="7" t="str">
        <f>IFERROR(__xludf.DUMMYFUNCTION("""COMPUTED_VALUE"""),"Bash/Shell/PowerShell;C#;HTML/CSS;JavaScript;PHP;SQL")</f>
        <v>Bash/Shell/PowerShell;C#;HTML/CSS;JavaScript;PHP;SQL</v>
      </c>
      <c r="C1376" s="9" t="str">
        <f>IFERROR(__xludf.DUMMYFUNCTION("""COMPUTED_VALUE"""),"Java")</f>
        <v>Java</v>
      </c>
      <c r="D1376" s="9" t="str">
        <f>IFERROR(__xludf.DUMMYFUNCTION("""COMPUTED_VALUE"""),"TypeScript")</f>
        <v>TypeScript</v>
      </c>
      <c r="E1376" s="9" t="str">
        <f>IFERROR(__xludf.DUMMYFUNCTION("""COMPUTED_VALUE"""),"SQL")</f>
        <v>SQL</v>
      </c>
      <c r="F1376" s="9" t="str">
        <f>IFERROR(__xludf.DUMMYFUNCTION("""COMPUTED_VALUE"""),"VBA")</f>
        <v>VBA</v>
      </c>
      <c r="G1376" s="9" t="str">
        <f>IFERROR(__xludf.DUMMYFUNCTION("""COMPUTED_VALUE"""),"SQL")</f>
        <v>SQL</v>
      </c>
      <c r="H1376" s="9" t="str">
        <f>IFERROR(__xludf.DUMMYFUNCTION("""COMPUTED_VALUE"""),"Kotlin")</f>
        <v>Kotlin</v>
      </c>
      <c r="I1376" s="9" t="str">
        <f>IFERROR(__xludf.DUMMYFUNCTION("""COMPUTED_VALUE"""),"SQL")</f>
        <v>SQL</v>
      </c>
      <c r="J1376" s="9" t="str">
        <f>IFERROR(__xludf.DUMMYFUNCTION("""COMPUTED_VALUE"""),"C#")</f>
        <v>C#</v>
      </c>
      <c r="K1376" s="9" t="str">
        <f>IFERROR(__xludf.DUMMYFUNCTION("""COMPUTED_VALUE"""),"JavaScript")</f>
        <v>JavaScript</v>
      </c>
      <c r="L1376" s="9" t="str">
        <f>IFERROR(__xludf.DUMMYFUNCTION("""COMPUTED_VALUE"""),"C#")</f>
        <v>C#</v>
      </c>
      <c r="M1376" s="9" t="s">
        <v>20</v>
      </c>
    </row>
    <row r="1377" ht="15.75" customHeight="1">
      <c r="A1377" s="7"/>
      <c r="B1377" s="7" t="str">
        <f>IFERROR(__xludf.DUMMYFUNCTION("""COMPUTED_VALUE"""),"HTML/CSS;Java;JavaScript;PHP;SQL;TypeScript")</f>
        <v>HTML/CSS;Java;JavaScript;PHP;SQL;TypeScript</v>
      </c>
      <c r="C1377" s="9" t="str">
        <f>IFERROR(__xludf.DUMMYFUNCTION("""COMPUTED_VALUE"""),"JavaScript")</f>
        <v>JavaScript</v>
      </c>
      <c r="D1377" s="9" t="str">
        <f>IFERROR(__xludf.DUMMYFUNCTION("""COMPUTED_VALUE"""),"Bash/Shell/PowerShell")</f>
        <v>Bash/Shell/PowerShell</v>
      </c>
      <c r="E1377" s="9" t="str">
        <f>IFERROR(__xludf.DUMMYFUNCTION("""COMPUTED_VALUE"""),"Bash/Shell/PowerShell")</f>
        <v>Bash/Shell/PowerShell</v>
      </c>
      <c r="F1377" s="9" t="str">
        <f>IFERROR(__xludf.DUMMYFUNCTION("""COMPUTED_VALUE"""),"Other(s):")</f>
        <v>Other(s):</v>
      </c>
      <c r="G1377" s="9" t="str">
        <f>IFERROR(__xludf.DUMMYFUNCTION("""COMPUTED_VALUE"""),"TypeScript")</f>
        <v>TypeScript</v>
      </c>
      <c r="H1377" s="9" t="str">
        <f>IFERROR(__xludf.DUMMYFUNCTION("""COMPUTED_VALUE"""),"Ruby")</f>
        <v>Ruby</v>
      </c>
      <c r="I1377" s="9" t="str">
        <f>IFERROR(__xludf.DUMMYFUNCTION("""COMPUTED_VALUE"""),"Swift")</f>
        <v>Swift</v>
      </c>
      <c r="J1377" s="9" t="str">
        <f>IFERROR(__xludf.DUMMYFUNCTION("""COMPUTED_VALUE"""),"C")</f>
        <v>C</v>
      </c>
      <c r="K1377" s="9" t="str">
        <f>IFERROR(__xludf.DUMMYFUNCTION("""COMPUTED_VALUE"""),"Scala")</f>
        <v>Scala</v>
      </c>
      <c r="L1377" s="9" t="str">
        <f>IFERROR(__xludf.DUMMYFUNCTION("""COMPUTED_VALUE"""),"HTML/CSS")</f>
        <v>HTML/CSS</v>
      </c>
      <c r="M1377" s="9" t="s">
        <v>21</v>
      </c>
    </row>
    <row r="1378" ht="15.75" customHeight="1">
      <c r="A1378" s="7"/>
      <c r="B1378" s="7" t="str">
        <f>IFERROR(__xludf.DUMMYFUNCTION("""COMPUTED_VALUE"""),"HTML/CSS;JavaScript;SQL;TypeScript")</f>
        <v>HTML/CSS;JavaScript;SQL;TypeScript</v>
      </c>
      <c r="C1378" s="9" t="str">
        <f>IFERROR(__xludf.DUMMYFUNCTION("""COMPUTED_VALUE"""),"Scala")</f>
        <v>Scala</v>
      </c>
      <c r="D1378" s="9" t="str">
        <f>IFERROR(__xludf.DUMMYFUNCTION("""COMPUTED_VALUE"""),"C#")</f>
        <v>C#</v>
      </c>
      <c r="E1378" s="9" t="str">
        <f>IFERROR(__xludf.DUMMYFUNCTION("""COMPUTED_VALUE"""),"C")</f>
        <v>C</v>
      </c>
      <c r="F1378" s="9" t="str">
        <f>IFERROR(__xludf.DUMMYFUNCTION("""COMPUTED_VALUE"""),"Bash/Shell/PowerShell")</f>
        <v>Bash/Shell/PowerShell</v>
      </c>
      <c r="G1378" s="9" t="str">
        <f>IFERROR(__xludf.DUMMYFUNCTION("""COMPUTED_VALUE"""),"Bash/Shell/PowerShell")</f>
        <v>Bash/Shell/PowerShell</v>
      </c>
      <c r="H1378" s="9" t="str">
        <f>IFERROR(__xludf.DUMMYFUNCTION("""COMPUTED_VALUE"""),"TypeScript")</f>
        <v>TypeScript</v>
      </c>
      <c r="I1378" s="9" t="str">
        <f>IFERROR(__xludf.DUMMYFUNCTION("""COMPUTED_VALUE"""),"Bash/Shell/PowerShell")</f>
        <v>Bash/Shell/PowerShell</v>
      </c>
      <c r="J1378" s="9" t="str">
        <f>IFERROR(__xludf.DUMMYFUNCTION("""COMPUTED_VALUE"""),"C++")</f>
        <v>C++</v>
      </c>
      <c r="K1378" s="9" t="str">
        <f>IFERROR(__xludf.DUMMYFUNCTION("""COMPUTED_VALUE"""),"SQL")</f>
        <v>SQL</v>
      </c>
      <c r="L1378" s="9" t="str">
        <f>IFERROR(__xludf.DUMMYFUNCTION("""COMPUTED_VALUE"""),"JavaScript")</f>
        <v>JavaScript</v>
      </c>
      <c r="M1378" s="9" t="s">
        <v>46</v>
      </c>
    </row>
    <row r="1379" ht="15.75" customHeight="1">
      <c r="A1379" s="7"/>
      <c r="B1379" s="7" t="str">
        <f>IFERROR(__xludf.DUMMYFUNCTION("""COMPUTED_VALUE"""),"Assembly;C;C++;C#;HTML/CSS;Java;Kotlin;Python;Ruby;SQL;Swift")</f>
        <v>Assembly;C;C++;C#;HTML/CSS;Java;Kotlin;Python;Ruby;SQL;Swift</v>
      </c>
      <c r="C1379" s="9" t="str">
        <f>IFERROR(__xludf.DUMMYFUNCTION("""COMPUTED_VALUE"""),"SQL")</f>
        <v>SQL</v>
      </c>
      <c r="D1379" s="9" t="str">
        <f>IFERROR(__xludf.DUMMYFUNCTION("""COMPUTED_VALUE"""),"F#")</f>
        <v>F#</v>
      </c>
      <c r="E1379" s="9" t="str">
        <f>IFERROR(__xludf.DUMMYFUNCTION("""COMPUTED_VALUE"""),"HTML/CSS")</f>
        <v>HTML/CSS</v>
      </c>
      <c r="F1379" s="9" t="str">
        <f>IFERROR(__xludf.DUMMYFUNCTION("""COMPUTED_VALUE"""),"HTML/CSS")</f>
        <v>HTML/CSS</v>
      </c>
      <c r="G1379" s="9" t="str">
        <f>IFERROR(__xludf.DUMMYFUNCTION("""COMPUTED_VALUE"""),"C++")</f>
        <v>C++</v>
      </c>
      <c r="H1379" s="9" t="str">
        <f>IFERROR(__xludf.DUMMYFUNCTION("""COMPUTED_VALUE"""),"Bash/Shell/PowerShell")</f>
        <v>Bash/Shell/PowerShell</v>
      </c>
      <c r="I1379" s="9" t="str">
        <f>IFERROR(__xludf.DUMMYFUNCTION("""COMPUTED_VALUE"""),"C")</f>
        <v>C</v>
      </c>
      <c r="J1379" s="9" t="str">
        <f>IFERROR(__xludf.DUMMYFUNCTION("""COMPUTED_VALUE"""),"Go")</f>
        <v>Go</v>
      </c>
      <c r="K1379" s="9" t="str">
        <f>IFERROR(__xludf.DUMMYFUNCTION("""COMPUTED_VALUE"""),"Bash/Shell/PowerShell")</f>
        <v>Bash/Shell/PowerShell</v>
      </c>
      <c r="L1379" s="9" t="str">
        <f>IFERROR(__xludf.DUMMYFUNCTION("""COMPUTED_VALUE"""),"PHP")</f>
        <v>PHP</v>
      </c>
      <c r="M1379" s="9" t="s">
        <v>27</v>
      </c>
    </row>
    <row r="1380" ht="15.75" customHeight="1">
      <c r="A1380" s="7"/>
      <c r="B1380" s="7" t="str">
        <f>IFERROR(__xludf.DUMMYFUNCTION("""COMPUTED_VALUE"""),"C++;Python")</f>
        <v>C++;Python</v>
      </c>
      <c r="C1380" s="9" t="str">
        <f>IFERROR(__xludf.DUMMYFUNCTION("""COMPUTED_VALUE"""),"Bash/Shell/PowerShell")</f>
        <v>Bash/Shell/PowerShell</v>
      </c>
      <c r="D1380" s="9" t="str">
        <f>IFERROR(__xludf.DUMMYFUNCTION("""COMPUTED_VALUE"""),"HTML/CSS")</f>
        <v>HTML/CSS</v>
      </c>
      <c r="E1380" s="9" t="str">
        <f>IFERROR(__xludf.DUMMYFUNCTION("""COMPUTED_VALUE"""),"Java")</f>
        <v>Java</v>
      </c>
      <c r="F1380" s="9" t="str">
        <f>IFERROR(__xludf.DUMMYFUNCTION("""COMPUTED_VALUE"""),"Java")</f>
        <v>Java</v>
      </c>
      <c r="G1380" s="9" t="str">
        <f>IFERROR(__xludf.DUMMYFUNCTION("""COMPUTED_VALUE"""),"C#")</f>
        <v>C#</v>
      </c>
      <c r="H1380" s="9" t="str">
        <f>IFERROR(__xludf.DUMMYFUNCTION("""COMPUTED_VALUE"""),"HTML/CSS")</f>
        <v>HTML/CSS</v>
      </c>
      <c r="I1380" s="9" t="str">
        <f>IFERROR(__xludf.DUMMYFUNCTION("""COMPUTED_VALUE"""),"C++")</f>
        <v>C++</v>
      </c>
      <c r="J1380" s="9" t="str">
        <f>IFERROR(__xludf.DUMMYFUNCTION("""COMPUTED_VALUE"""),"HTML/CSS")</f>
        <v>HTML/CSS</v>
      </c>
      <c r="K1380" s="9" t="str">
        <f>IFERROR(__xludf.DUMMYFUNCTION("""COMPUTED_VALUE"""),"C#")</f>
        <v>C#</v>
      </c>
      <c r="L1380" s="9" t="str">
        <f>IFERROR(__xludf.DUMMYFUNCTION("""COMPUTED_VALUE"""),"SQL")</f>
        <v>SQL</v>
      </c>
      <c r="M1380" s="9" t="s">
        <v>30</v>
      </c>
    </row>
    <row r="1381" ht="15.75" customHeight="1">
      <c r="A1381" s="7"/>
      <c r="B1381" s="7" t="str">
        <f>IFERROR(__xludf.DUMMYFUNCTION("""COMPUTED_VALUE"""),"C++;Python")</f>
        <v>C++;Python</v>
      </c>
      <c r="C1381" s="9" t="str">
        <f>IFERROR(__xludf.DUMMYFUNCTION("""COMPUTED_VALUE"""),"C")</f>
        <v>C</v>
      </c>
      <c r="D1381" s="9" t="str">
        <f>IFERROR(__xludf.DUMMYFUNCTION("""COMPUTED_VALUE"""),"JavaScript")</f>
        <v>JavaScript</v>
      </c>
      <c r="E1381" s="9" t="str">
        <f>IFERROR(__xludf.DUMMYFUNCTION("""COMPUTED_VALUE"""),"JavaScript")</f>
        <v>JavaScript</v>
      </c>
      <c r="F1381" s="9" t="str">
        <f>IFERROR(__xludf.DUMMYFUNCTION("""COMPUTED_VALUE"""),"JavaScript")</f>
        <v>JavaScript</v>
      </c>
      <c r="G1381" s="9" t="str">
        <f>IFERROR(__xludf.DUMMYFUNCTION("""COMPUTED_VALUE"""),"HTML/CSS")</f>
        <v>HTML/CSS</v>
      </c>
      <c r="H1381" s="9" t="str">
        <f>IFERROR(__xludf.DUMMYFUNCTION("""COMPUTED_VALUE"""),"JavaScript")</f>
        <v>JavaScript</v>
      </c>
      <c r="I1381" s="9" t="str">
        <f>IFERROR(__xludf.DUMMYFUNCTION("""COMPUTED_VALUE"""),"Dart")</f>
        <v>Dart</v>
      </c>
      <c r="J1381" s="9" t="str">
        <f>IFERROR(__xludf.DUMMYFUNCTION("""COMPUTED_VALUE"""),"Java")</f>
        <v>Java</v>
      </c>
      <c r="K1381" s="9" t="str">
        <f>IFERROR(__xludf.DUMMYFUNCTION("""COMPUTED_VALUE"""),"F#")</f>
        <v>F#</v>
      </c>
      <c r="L1381" s="9" t="str">
        <f>IFERROR(__xludf.DUMMYFUNCTION("""COMPUTED_VALUE"""),"Java")</f>
        <v>Java</v>
      </c>
      <c r="M1381" s="9" t="s">
        <v>25</v>
      </c>
    </row>
    <row r="1382" ht="15.75" customHeight="1">
      <c r="A1382" s="7"/>
      <c r="B1382" s="7" t="str">
        <f>IFERROR(__xludf.DUMMYFUNCTION("""COMPUTED_VALUE"""),"SQL;Other(s):")</f>
        <v>SQL;Other(s):</v>
      </c>
      <c r="C1382" s="9" t="str">
        <f>IFERROR(__xludf.DUMMYFUNCTION("""COMPUTED_VALUE"""),"C++")</f>
        <v>C++</v>
      </c>
      <c r="D1382" s="9" t="str">
        <f>IFERROR(__xludf.DUMMYFUNCTION("""COMPUTED_VALUE"""),"SQL")</f>
        <v>SQL</v>
      </c>
      <c r="E1382" s="9" t="str">
        <f>IFERROR(__xludf.DUMMYFUNCTION("""COMPUTED_VALUE"""),"Python")</f>
        <v>Python</v>
      </c>
      <c r="F1382" s="9" t="str">
        <f>IFERROR(__xludf.DUMMYFUNCTION("""COMPUTED_VALUE"""),"PHP")</f>
        <v>PHP</v>
      </c>
      <c r="G1382" s="9" t="str">
        <f>IFERROR(__xludf.DUMMYFUNCTION("""COMPUTED_VALUE"""),"JavaScript")</f>
        <v>JavaScript</v>
      </c>
      <c r="H1382" s="9" t="str">
        <f>IFERROR(__xludf.DUMMYFUNCTION("""COMPUTED_VALUE"""),"Python")</f>
        <v>Python</v>
      </c>
      <c r="I1382" s="9" t="str">
        <f>IFERROR(__xludf.DUMMYFUNCTION("""COMPUTED_VALUE"""),"F#")</f>
        <v>F#</v>
      </c>
      <c r="J1382" s="9" t="str">
        <f>IFERROR(__xludf.DUMMYFUNCTION("""COMPUTED_VALUE"""),"Python")</f>
        <v>Python</v>
      </c>
      <c r="K1382" s="9" t="str">
        <f>IFERROR(__xludf.DUMMYFUNCTION("""COMPUTED_VALUE"""),"SQL")</f>
        <v>SQL</v>
      </c>
      <c r="L1382" s="9" t="str">
        <f>IFERROR(__xludf.DUMMYFUNCTION("""COMPUTED_VALUE"""),"JavaScript")</f>
        <v>JavaScript</v>
      </c>
      <c r="M1382" s="9" t="s">
        <v>23</v>
      </c>
    </row>
    <row r="1383" ht="15.75" customHeight="1">
      <c r="A1383" s="7"/>
      <c r="B1383" s="7" t="str">
        <f>IFERROR(__xludf.DUMMYFUNCTION("""COMPUTED_VALUE"""),"Assembly;Bash/Shell/PowerShell;C;C++;HTML/CSS;Java;JavaScript;Python;Ruby;SQL")</f>
        <v>Assembly;Bash/Shell/PowerShell;C;C++;HTML/CSS;Java;JavaScript;Python;Ruby;SQL</v>
      </c>
      <c r="C1383" s="9" t="str">
        <f>IFERROR(__xludf.DUMMYFUNCTION("""COMPUTED_VALUE"""),"Python")</f>
        <v>Python</v>
      </c>
      <c r="D1383" s="9" t="str">
        <f>IFERROR(__xludf.DUMMYFUNCTION("""COMPUTED_VALUE"""),"Swift")</f>
        <v>Swift</v>
      </c>
      <c r="E1383" s="9" t="str">
        <f>IFERROR(__xludf.DUMMYFUNCTION("""COMPUTED_VALUE"""),"SQL")</f>
        <v>SQL</v>
      </c>
      <c r="F1383" s="9" t="str">
        <f>IFERROR(__xludf.DUMMYFUNCTION("""COMPUTED_VALUE"""),"Python")</f>
        <v>Python</v>
      </c>
      <c r="G1383" s="9" t="str">
        <f>IFERROR(__xludf.DUMMYFUNCTION("""COMPUTED_VALUE"""),"Objective-C")</f>
        <v>Objective-C</v>
      </c>
      <c r="H1383" s="9" t="str">
        <f>IFERROR(__xludf.DUMMYFUNCTION("""COMPUTED_VALUE"""),"R")</f>
        <v>R</v>
      </c>
      <c r="I1383" s="9" t="str">
        <f>IFERROR(__xludf.DUMMYFUNCTION("""COMPUTED_VALUE"""),"Go")</f>
        <v>Go</v>
      </c>
      <c r="J1383" s="9" t="str">
        <f>IFERROR(__xludf.DUMMYFUNCTION("""COMPUTED_VALUE"""),"C#")</f>
        <v>C#</v>
      </c>
      <c r="K1383" s="9" t="str">
        <f>IFERROR(__xludf.DUMMYFUNCTION("""COMPUTED_VALUE"""),"JavaScript")</f>
        <v>JavaScript</v>
      </c>
      <c r="L1383" s="9" t="str">
        <f>IFERROR(__xludf.DUMMYFUNCTION("""COMPUTED_VALUE"""),"SQL")</f>
        <v>SQL</v>
      </c>
      <c r="M1383" s="9" t="s">
        <v>22</v>
      </c>
    </row>
    <row r="1384" ht="15.75" customHeight="1">
      <c r="A1384" s="7"/>
      <c r="B1384" s="7" t="str">
        <f>IFERROR(__xludf.DUMMYFUNCTION("""COMPUTED_VALUE"""),"C#;HTML/CSS;JavaScript;SQL")</f>
        <v>C#;HTML/CSS;JavaScript;SQL</v>
      </c>
      <c r="C1384" s="9" t="str">
        <f>IFERROR(__xludf.DUMMYFUNCTION("""COMPUTED_VALUE"""),"Bash/Shell/PowerShell")</f>
        <v>Bash/Shell/PowerShell</v>
      </c>
      <c r="D1384" s="9" t="str">
        <f>IFERROR(__xludf.DUMMYFUNCTION("""COMPUTED_VALUE"""),"HTML/CSS")</f>
        <v>HTML/CSS</v>
      </c>
      <c r="E1384" s="9" t="str">
        <f>IFERROR(__xludf.DUMMYFUNCTION("""COMPUTED_VALUE"""),"JavaScript")</f>
        <v>JavaScript</v>
      </c>
      <c r="F1384" s="9" t="str">
        <f>IFERROR(__xludf.DUMMYFUNCTION("""COMPUTED_VALUE"""),"SQL")</f>
        <v>SQL</v>
      </c>
      <c r="G1384" s="9" t="str">
        <f>IFERROR(__xludf.DUMMYFUNCTION("""COMPUTED_VALUE"""),"PHP")</f>
        <v>PHP</v>
      </c>
      <c r="H1384" s="9" t="str">
        <f>IFERROR(__xludf.DUMMYFUNCTION("""COMPUTED_VALUE"""),"SQL")</f>
        <v>SQL</v>
      </c>
      <c r="I1384" s="9" t="str">
        <f>IFERROR(__xludf.DUMMYFUNCTION("""COMPUTED_VALUE"""),"HTML/CSS")</f>
        <v>HTML/CSS</v>
      </c>
      <c r="J1384" s="9" t="str">
        <f>IFERROR(__xludf.DUMMYFUNCTION("""COMPUTED_VALUE"""),"Dart")</f>
        <v>Dart</v>
      </c>
      <c r="K1384" s="9" t="str">
        <f>IFERROR(__xludf.DUMMYFUNCTION("""COMPUTED_VALUE"""),"PHP")</f>
        <v>PHP</v>
      </c>
      <c r="L1384" s="9" t="str">
        <f>IFERROR(__xludf.DUMMYFUNCTION("""COMPUTED_VALUE"""),"HTML/CSS")</f>
        <v>HTML/CSS</v>
      </c>
      <c r="M1384" s="9" t="s">
        <v>30</v>
      </c>
    </row>
    <row r="1385" ht="15.75" customHeight="1">
      <c r="A1385" s="7"/>
      <c r="B1385" s="7" t="str">
        <f>IFERROR(__xludf.DUMMYFUNCTION("""COMPUTED_VALUE"""),"Python")</f>
        <v>Python</v>
      </c>
      <c r="C1385" s="9" t="str">
        <f>IFERROR(__xludf.DUMMYFUNCTION("""COMPUTED_VALUE"""),"C#")</f>
        <v>C#</v>
      </c>
      <c r="D1385" s="9" t="str">
        <f>IFERROR(__xludf.DUMMYFUNCTION("""COMPUTED_VALUE"""),"JavaScript")</f>
        <v>JavaScript</v>
      </c>
      <c r="E1385" s="9" t="str">
        <f>IFERROR(__xludf.DUMMYFUNCTION("""COMPUTED_VALUE"""),"PHP")</f>
        <v>PHP</v>
      </c>
      <c r="F1385" s="9" t="str">
        <f>IFERROR(__xludf.DUMMYFUNCTION("""COMPUTED_VALUE"""),"Java")</f>
        <v>Java</v>
      </c>
      <c r="G1385" s="9" t="str">
        <f>IFERROR(__xludf.DUMMYFUNCTION("""COMPUTED_VALUE"""),"Python")</f>
        <v>Python</v>
      </c>
      <c r="H1385" s="9" t="str">
        <f>IFERROR(__xludf.DUMMYFUNCTION("""COMPUTED_VALUE"""),"VBA")</f>
        <v>VBA</v>
      </c>
      <c r="I1385" s="9" t="str">
        <f>IFERROR(__xludf.DUMMYFUNCTION("""COMPUTED_VALUE"""),"Java")</f>
        <v>Java</v>
      </c>
      <c r="J1385" s="9" t="str">
        <f>IFERROR(__xludf.DUMMYFUNCTION("""COMPUTED_VALUE"""),"HTML/CSS")</f>
        <v>HTML/CSS</v>
      </c>
      <c r="K1385" s="9" t="str">
        <f>IFERROR(__xludf.DUMMYFUNCTION("""COMPUTED_VALUE"""),"SQL")</f>
        <v>SQL</v>
      </c>
      <c r="L1385" s="9" t="str">
        <f>IFERROR(__xludf.DUMMYFUNCTION("""COMPUTED_VALUE"""),"JavaScript")</f>
        <v>JavaScript</v>
      </c>
      <c r="M1385" s="9" t="s">
        <v>26</v>
      </c>
    </row>
    <row r="1386" ht="15.75" customHeight="1">
      <c r="A1386" s="7"/>
      <c r="B1386" s="7" t="str">
        <f>IFERROR(__xludf.DUMMYFUNCTION("""COMPUTED_VALUE"""),"Bash/Shell/PowerShell;C;Python")</f>
        <v>Bash/Shell/PowerShell;C;Python</v>
      </c>
      <c r="C1386" s="9" t="str">
        <f>IFERROR(__xludf.DUMMYFUNCTION("""COMPUTED_VALUE"""),"HTML/CSS")</f>
        <v>HTML/CSS</v>
      </c>
      <c r="D1386" s="9" t="str">
        <f>IFERROR(__xludf.DUMMYFUNCTION("""COMPUTED_VALUE"""),"Python")</f>
        <v>Python</v>
      </c>
      <c r="E1386" s="9" t="str">
        <f>IFERROR(__xludf.DUMMYFUNCTION("""COMPUTED_VALUE"""),"C++")</f>
        <v>C++</v>
      </c>
      <c r="F1386" s="9" t="str">
        <f>IFERROR(__xludf.DUMMYFUNCTION("""COMPUTED_VALUE"""),"Bash/Shell/PowerShell")</f>
        <v>Bash/Shell/PowerShell</v>
      </c>
      <c r="G1386" s="9" t="str">
        <f>IFERROR(__xludf.DUMMYFUNCTION("""COMPUTED_VALUE"""),"Ruby")</f>
        <v>Ruby</v>
      </c>
      <c r="H1386" s="9" t="str">
        <f>IFERROR(__xludf.DUMMYFUNCTION("""COMPUTED_VALUE"""),"C++")</f>
        <v>C++</v>
      </c>
      <c r="I1386" s="9" t="str">
        <f>IFERROR(__xludf.DUMMYFUNCTION("""COMPUTED_VALUE"""),"JavaScript")</f>
        <v>JavaScript</v>
      </c>
      <c r="J1386" s="9" t="str">
        <f>IFERROR(__xludf.DUMMYFUNCTION("""COMPUTED_VALUE"""),"Java")</f>
        <v>Java</v>
      </c>
      <c r="K1386" s="9" t="str">
        <f>IFERROR(__xludf.DUMMYFUNCTION("""COMPUTED_VALUE"""),"Bash/Shell/PowerShell")</f>
        <v>Bash/Shell/PowerShell</v>
      </c>
      <c r="L1386" s="9" t="str">
        <f>IFERROR(__xludf.DUMMYFUNCTION("""COMPUTED_VALUE"""),"PHP")</f>
        <v>PHP</v>
      </c>
      <c r="M1386" s="9" t="s">
        <v>24</v>
      </c>
    </row>
    <row r="1387" ht="15.75" customHeight="1">
      <c r="A1387" s="7"/>
      <c r="B1387" s="7" t="str">
        <f>IFERROR(__xludf.DUMMYFUNCTION("""COMPUTED_VALUE"""),"Bash/Shell/PowerShell;C#;JavaScript;Rust")</f>
        <v>Bash/Shell/PowerShell;C#;JavaScript;Rust</v>
      </c>
      <c r="C1387" s="9" t="str">
        <f>IFERROR(__xludf.DUMMYFUNCTION("""COMPUTED_VALUE"""),"JavaScript")</f>
        <v>JavaScript</v>
      </c>
      <c r="D1387" s="9" t="str">
        <f>IFERROR(__xludf.DUMMYFUNCTION("""COMPUTED_VALUE"""),"Ruby")</f>
        <v>Ruby</v>
      </c>
      <c r="E1387" s="9" t="str">
        <f>IFERROR(__xludf.DUMMYFUNCTION("""COMPUTED_VALUE"""),"Java")</f>
        <v>Java</v>
      </c>
      <c r="F1387" s="9" t="str">
        <f>IFERROR(__xludf.DUMMYFUNCTION("""COMPUTED_VALUE"""),"HTML/CSS")</f>
        <v>HTML/CSS</v>
      </c>
      <c r="G1387" s="9" t="str">
        <f>IFERROR(__xludf.DUMMYFUNCTION("""COMPUTED_VALUE"""),"SQL")</f>
        <v>SQL</v>
      </c>
      <c r="H1387" s="9" t="str">
        <f>IFERROR(__xludf.DUMMYFUNCTION("""COMPUTED_VALUE"""),"Python")</f>
        <v>Python</v>
      </c>
      <c r="I1387" s="9" t="str">
        <f>IFERROR(__xludf.DUMMYFUNCTION("""COMPUTED_VALUE"""),"Kotlin")</f>
        <v>Kotlin</v>
      </c>
      <c r="J1387" s="9" t="str">
        <f>IFERROR(__xludf.DUMMYFUNCTION("""COMPUTED_VALUE"""),"JavaScript")</f>
        <v>JavaScript</v>
      </c>
      <c r="K1387" s="9" t="str">
        <f>IFERROR(__xludf.DUMMYFUNCTION("""COMPUTED_VALUE"""),"HTML/CSS")</f>
        <v>HTML/CSS</v>
      </c>
      <c r="L1387" s="9" t="str">
        <f>IFERROR(__xludf.DUMMYFUNCTION("""COMPUTED_VALUE"""),"HTML/CSS")</f>
        <v>HTML/CSS</v>
      </c>
      <c r="M1387" s="9" t="s">
        <v>21</v>
      </c>
    </row>
    <row r="1388" ht="15.75" customHeight="1">
      <c r="A1388" s="7"/>
      <c r="B1388" s="7" t="str">
        <f>IFERROR(__xludf.DUMMYFUNCTION("""COMPUTED_VALUE"""),"C++;Java;Kotlin;Objective-C;Swift")</f>
        <v>C++;Java;Kotlin;Objective-C;Swift</v>
      </c>
      <c r="C1388" s="9" t="str">
        <f>IFERROR(__xludf.DUMMYFUNCTION("""COMPUTED_VALUE"""),"PHP")</f>
        <v>PHP</v>
      </c>
      <c r="D1388" s="9" t="str">
        <f>IFERROR(__xludf.DUMMYFUNCTION("""COMPUTED_VALUE"""),"SQL")</f>
        <v>SQL</v>
      </c>
      <c r="E1388" s="9" t="str">
        <f>IFERROR(__xludf.DUMMYFUNCTION("""COMPUTED_VALUE"""),"Scala")</f>
        <v>Scala</v>
      </c>
      <c r="F1388" s="9" t="str">
        <f>IFERROR(__xludf.DUMMYFUNCTION("""COMPUTED_VALUE"""),"JavaScript")</f>
        <v>JavaScript</v>
      </c>
      <c r="G1388" s="9" t="str">
        <f>IFERROR(__xludf.DUMMYFUNCTION("""COMPUTED_VALUE"""),"TypeScript")</f>
        <v>TypeScript</v>
      </c>
      <c r="H1388" s="9" t="str">
        <f>IFERROR(__xludf.DUMMYFUNCTION("""COMPUTED_VALUE"""),"Scala")</f>
        <v>Scala</v>
      </c>
      <c r="I1388" s="9" t="str">
        <f>IFERROR(__xludf.DUMMYFUNCTION("""COMPUTED_VALUE"""),"Python")</f>
        <v>Python</v>
      </c>
      <c r="J1388" s="9" t="str">
        <f>IFERROR(__xludf.DUMMYFUNCTION("""COMPUTED_VALUE"""),"TypeScript")</f>
        <v>TypeScript</v>
      </c>
      <c r="K1388" s="9" t="str">
        <f>IFERROR(__xludf.DUMMYFUNCTION("""COMPUTED_VALUE"""),"Java")</f>
        <v>Java</v>
      </c>
      <c r="L1388" s="9" t="str">
        <f>IFERROR(__xludf.DUMMYFUNCTION("""COMPUTED_VALUE"""),"Java")</f>
        <v>Java</v>
      </c>
      <c r="M1388" s="9" t="s">
        <v>37</v>
      </c>
    </row>
    <row r="1389" ht="15.75" customHeight="1">
      <c r="A1389" s="7"/>
      <c r="B1389" s="7" t="str">
        <f>IFERROR(__xludf.DUMMYFUNCTION("""COMPUTED_VALUE"""),"HTML/CSS;Java;JavaScript;Python;Scala")</f>
        <v>HTML/CSS;Java;JavaScript;Python;Scala</v>
      </c>
      <c r="C1389" s="9" t="str">
        <f>IFERROR(__xludf.DUMMYFUNCTION("""COMPUTED_VALUE"""),"Python")</f>
        <v>Python</v>
      </c>
      <c r="D1389" s="9" t="str">
        <f>IFERROR(__xludf.DUMMYFUNCTION("""COMPUTED_VALUE"""),"HTML/CSS")</f>
        <v>HTML/CSS</v>
      </c>
      <c r="E1389" s="9" t="str">
        <f>IFERROR(__xludf.DUMMYFUNCTION("""COMPUTED_VALUE"""),"SQL")</f>
        <v>SQL</v>
      </c>
      <c r="F1389" s="9" t="str">
        <f>IFERROR(__xludf.DUMMYFUNCTION("""COMPUTED_VALUE"""),"Python")</f>
        <v>Python</v>
      </c>
      <c r="G1389" s="9" t="str">
        <f>IFERROR(__xludf.DUMMYFUNCTION("""COMPUTED_VALUE"""),"Bash/Shell/PowerShell")</f>
        <v>Bash/Shell/PowerShell</v>
      </c>
      <c r="H1389" s="9" t="str">
        <f>IFERROR(__xludf.DUMMYFUNCTION("""COMPUTED_VALUE"""),"SQL")</f>
        <v>SQL</v>
      </c>
      <c r="I1389" s="9" t="str">
        <f>IFERROR(__xludf.DUMMYFUNCTION("""COMPUTED_VALUE"""),"SQL")</f>
        <v>SQL</v>
      </c>
      <c r="J1389" s="9" t="str">
        <f>IFERROR(__xludf.DUMMYFUNCTION("""COMPUTED_VALUE"""),"Bash/Shell/PowerShell")</f>
        <v>Bash/Shell/PowerShell</v>
      </c>
      <c r="K1389" s="9" t="str">
        <f>IFERROR(__xludf.DUMMYFUNCTION("""COMPUTED_VALUE"""),"JavaScript")</f>
        <v>JavaScript</v>
      </c>
      <c r="L1389" s="9" t="str">
        <f>IFERROR(__xludf.DUMMYFUNCTION("""COMPUTED_VALUE"""),"Bash/Shell/PowerShell")</f>
        <v>Bash/Shell/PowerShell</v>
      </c>
      <c r="M1389" s="9" t="s">
        <v>22</v>
      </c>
    </row>
    <row r="1390" ht="15.75" customHeight="1">
      <c r="A1390" s="7"/>
      <c r="B1390" s="7" t="str">
        <f>IFERROR(__xludf.DUMMYFUNCTION("""COMPUTED_VALUE"""),"Bash/Shell/PowerShell;HTML/CSS;JavaScript;Python;SQL")</f>
        <v>Bash/Shell/PowerShell;HTML/CSS;JavaScript;Python;SQL</v>
      </c>
      <c r="C1390" s="9" t="str">
        <f>IFERROR(__xludf.DUMMYFUNCTION("""COMPUTED_VALUE"""),"SQL")</f>
        <v>SQL</v>
      </c>
      <c r="D1390" s="9" t="str">
        <f>IFERROR(__xludf.DUMMYFUNCTION("""COMPUTED_VALUE"""),"Java")</f>
        <v>Java</v>
      </c>
      <c r="E1390" s="9" t="str">
        <f>IFERROR(__xludf.DUMMYFUNCTION("""COMPUTED_VALUE"""),"Java")</f>
        <v>Java</v>
      </c>
      <c r="F1390" s="9" t="str">
        <f>IFERROR(__xludf.DUMMYFUNCTION("""COMPUTED_VALUE"""),"SQL")</f>
        <v>SQL</v>
      </c>
      <c r="G1390" s="9" t="str">
        <f>IFERROR(__xludf.DUMMYFUNCTION("""COMPUTED_VALUE"""),"Java")</f>
        <v>Java</v>
      </c>
      <c r="H1390" s="9" t="str">
        <f>IFERROR(__xludf.DUMMYFUNCTION("""COMPUTED_VALUE"""),"HTML/CSS")</f>
        <v>HTML/CSS</v>
      </c>
      <c r="I1390" s="9" t="str">
        <f>IFERROR(__xludf.DUMMYFUNCTION("""COMPUTED_VALUE"""),"SQL")</f>
        <v>SQL</v>
      </c>
      <c r="J1390" s="9" t="str">
        <f>IFERROR(__xludf.DUMMYFUNCTION("""COMPUTED_VALUE"""),"HTML/CSS")</f>
        <v>HTML/CSS</v>
      </c>
      <c r="K1390" s="9" t="str">
        <f>IFERROR(__xludf.DUMMYFUNCTION("""COMPUTED_VALUE"""),"Bash/Shell/PowerShell")</f>
        <v>Bash/Shell/PowerShell</v>
      </c>
      <c r="L1390" s="9" t="str">
        <f>IFERROR(__xludf.DUMMYFUNCTION("""COMPUTED_VALUE"""),"C#")</f>
        <v>C#</v>
      </c>
      <c r="M1390" s="9" t="s">
        <v>27</v>
      </c>
    </row>
    <row r="1391" ht="15.75" customHeight="1">
      <c r="A1391" s="7"/>
      <c r="B1391" s="7" t="str">
        <f>IFERROR(__xludf.DUMMYFUNCTION("""COMPUTED_VALUE"""),"Elixir;HTML/CSS;JavaScript;Ruby;SQL")</f>
        <v>Elixir;HTML/CSS;JavaScript;Ruby;SQL</v>
      </c>
      <c r="C1391" s="9" t="str">
        <f>IFERROR(__xludf.DUMMYFUNCTION("""COMPUTED_VALUE"""),"HTML/CSS")</f>
        <v>HTML/CSS</v>
      </c>
      <c r="D1391" s="9" t="str">
        <f>IFERROR(__xludf.DUMMYFUNCTION("""COMPUTED_VALUE"""),"JavaScript")</f>
        <v>JavaScript</v>
      </c>
      <c r="E1391" s="9" t="str">
        <f>IFERROR(__xludf.DUMMYFUNCTION("""COMPUTED_VALUE"""),"Scala")</f>
        <v>Scala</v>
      </c>
      <c r="F1391" s="9" t="str">
        <f>IFERROR(__xludf.DUMMYFUNCTION("""COMPUTED_VALUE"""),"C#")</f>
        <v>C#</v>
      </c>
      <c r="G1391" s="9" t="str">
        <f>IFERROR(__xludf.DUMMYFUNCTION("""COMPUTED_VALUE"""),"JavaScript")</f>
        <v>JavaScript</v>
      </c>
      <c r="H1391" s="9" t="str">
        <f>IFERROR(__xludf.DUMMYFUNCTION("""COMPUTED_VALUE"""),"Java")</f>
        <v>Java</v>
      </c>
      <c r="I1391" s="9" t="str">
        <f>IFERROR(__xludf.DUMMYFUNCTION("""COMPUTED_VALUE"""),"VBA")</f>
        <v>VBA</v>
      </c>
      <c r="J1391" s="9" t="str">
        <f>IFERROR(__xludf.DUMMYFUNCTION("""COMPUTED_VALUE"""),"JavaScript")</f>
        <v>JavaScript</v>
      </c>
      <c r="K1391" s="9" t="str">
        <f>IFERROR(__xludf.DUMMYFUNCTION("""COMPUTED_VALUE"""),"C")</f>
        <v>C</v>
      </c>
      <c r="L1391" s="9" t="str">
        <f>IFERROR(__xludf.DUMMYFUNCTION("""COMPUTED_VALUE"""),"HTML/CSS")</f>
        <v>HTML/CSS</v>
      </c>
      <c r="M1391" s="9" t="s">
        <v>24</v>
      </c>
    </row>
    <row r="1392" ht="15.75" customHeight="1">
      <c r="A1392" s="7"/>
      <c r="B1392" s="7" t="str">
        <f>IFERROR(__xludf.DUMMYFUNCTION("""COMPUTED_VALUE"""),"Bash/Shell/PowerShell;HTML/CSS;JavaScript;PHP;SQL;TypeScript")</f>
        <v>Bash/Shell/PowerShell;HTML/CSS;JavaScript;PHP;SQL;TypeScript</v>
      </c>
      <c r="C1392" s="9" t="str">
        <f>IFERROR(__xludf.DUMMYFUNCTION("""COMPUTED_VALUE"""),"Java")</f>
        <v>Java</v>
      </c>
      <c r="D1392" s="9" t="str">
        <f>IFERROR(__xludf.DUMMYFUNCTION("""COMPUTED_VALUE"""),"PHP")</f>
        <v>PHP</v>
      </c>
      <c r="E1392" s="9" t="str">
        <f>IFERROR(__xludf.DUMMYFUNCTION("""COMPUTED_VALUE"""),"SQL")</f>
        <v>SQL</v>
      </c>
      <c r="F1392" s="9" t="str">
        <f>IFERROR(__xludf.DUMMYFUNCTION("""COMPUTED_VALUE"""),"HTML/CSS")</f>
        <v>HTML/CSS</v>
      </c>
      <c r="G1392" s="9" t="str">
        <f>IFERROR(__xludf.DUMMYFUNCTION("""COMPUTED_VALUE"""),"SQL")</f>
        <v>SQL</v>
      </c>
      <c r="H1392" s="9" t="str">
        <f>IFERROR(__xludf.DUMMYFUNCTION("""COMPUTED_VALUE"""),"JavaScript")</f>
        <v>JavaScript</v>
      </c>
      <c r="I1392" s="9" t="str">
        <f>IFERROR(__xludf.DUMMYFUNCTION("""COMPUTED_VALUE"""),"Java")</f>
        <v>Java</v>
      </c>
      <c r="J1392" s="9" t="str">
        <f>IFERROR(__xludf.DUMMYFUNCTION("""COMPUTED_VALUE"""),"Python")</f>
        <v>Python</v>
      </c>
      <c r="K1392" s="9" t="str">
        <f>IFERROR(__xludf.DUMMYFUNCTION("""COMPUTED_VALUE"""),"C++")</f>
        <v>C++</v>
      </c>
      <c r="L1392" s="9" t="str">
        <f>IFERROR(__xludf.DUMMYFUNCTION("""COMPUTED_VALUE"""),"JavaScript")</f>
        <v>JavaScript</v>
      </c>
      <c r="M1392" s="9" t="s">
        <v>20</v>
      </c>
    </row>
    <row r="1393" ht="15.75" customHeight="1">
      <c r="A1393" s="7"/>
      <c r="B1393" s="7" t="str">
        <f>IFERROR(__xludf.DUMMYFUNCTION("""COMPUTED_VALUE"""),"Bash/Shell/PowerShell;HTML/CSS;Java;JavaScript;Python")</f>
        <v>Bash/Shell/PowerShell;HTML/CSS;Java;JavaScript;Python</v>
      </c>
      <c r="C1393" s="9" t="str">
        <f>IFERROR(__xludf.DUMMYFUNCTION("""COMPUTED_VALUE"""),"JavaScript")</f>
        <v>JavaScript</v>
      </c>
      <c r="D1393" s="9" t="str">
        <f>IFERROR(__xludf.DUMMYFUNCTION("""COMPUTED_VALUE"""),"Python")</f>
        <v>Python</v>
      </c>
      <c r="E1393" s="9" t="str">
        <f>IFERROR(__xludf.DUMMYFUNCTION("""COMPUTED_VALUE"""),"Bash/Shell/PowerShell")</f>
        <v>Bash/Shell/PowerShell</v>
      </c>
      <c r="F1393" s="9" t="str">
        <f>IFERROR(__xludf.DUMMYFUNCTION("""COMPUTED_VALUE"""),"JavaScript")</f>
        <v>JavaScript</v>
      </c>
      <c r="G1393" s="9" t="str">
        <f>IFERROR(__xludf.DUMMYFUNCTION("""COMPUTED_VALUE"""),"Swift")</f>
        <v>Swift</v>
      </c>
      <c r="H1393" s="9" t="str">
        <f>IFERROR(__xludf.DUMMYFUNCTION("""COMPUTED_VALUE"""),"SQL")</f>
        <v>SQL</v>
      </c>
      <c r="I1393" s="9" t="str">
        <f>IFERROR(__xludf.DUMMYFUNCTION("""COMPUTED_VALUE"""),"Kotlin")</f>
        <v>Kotlin</v>
      </c>
      <c r="J1393" s="9" t="str">
        <f>IFERROR(__xludf.DUMMYFUNCTION("""COMPUTED_VALUE"""),"C++")</f>
        <v>C++</v>
      </c>
      <c r="K1393" s="9" t="str">
        <f>IFERROR(__xludf.DUMMYFUNCTION("""COMPUTED_VALUE"""),"C#")</f>
        <v>C#</v>
      </c>
      <c r="L1393" s="9" t="str">
        <f>IFERROR(__xludf.DUMMYFUNCTION("""COMPUTED_VALUE"""),"SQL")</f>
        <v>SQL</v>
      </c>
      <c r="M1393" s="9" t="s">
        <v>21</v>
      </c>
    </row>
    <row r="1394" ht="15.75" customHeight="1">
      <c r="A1394" s="7"/>
      <c r="B1394" s="7" t="str">
        <f>IFERROR(__xludf.DUMMYFUNCTION("""COMPUTED_VALUE"""),"C;C++;Java;SQL")</f>
        <v>C;C++;Java;SQL</v>
      </c>
      <c r="C1394" s="9" t="str">
        <f>IFERROR(__xludf.DUMMYFUNCTION("""COMPUTED_VALUE"""),"PHP")</f>
        <v>PHP</v>
      </c>
      <c r="D1394" s="9" t="str">
        <f>IFERROR(__xludf.DUMMYFUNCTION("""COMPUTED_VALUE"""),"SQL")</f>
        <v>SQL</v>
      </c>
      <c r="E1394" s="9" t="str">
        <f>IFERROR(__xludf.DUMMYFUNCTION("""COMPUTED_VALUE"""),"HTML/CSS")</f>
        <v>HTML/CSS</v>
      </c>
      <c r="F1394" s="9" t="str">
        <f>IFERROR(__xludf.DUMMYFUNCTION("""COMPUTED_VALUE"""),"C++")</f>
        <v>C++</v>
      </c>
      <c r="G1394" s="9" t="str">
        <f>IFERROR(__xludf.DUMMYFUNCTION("""COMPUTED_VALUE"""),"Go")</f>
        <v>Go</v>
      </c>
      <c r="H1394" s="9" t="str">
        <f>IFERROR(__xludf.DUMMYFUNCTION("""COMPUTED_VALUE"""),"HTML/CSS")</f>
        <v>HTML/CSS</v>
      </c>
      <c r="I1394" s="9" t="str">
        <f>IFERROR(__xludf.DUMMYFUNCTION("""COMPUTED_VALUE"""),"Python")</f>
        <v>Python</v>
      </c>
      <c r="J1394" s="9" t="str">
        <f>IFERROR(__xludf.DUMMYFUNCTION("""COMPUTED_VALUE"""),"Java")</f>
        <v>Java</v>
      </c>
      <c r="K1394" s="9" t="str">
        <f>IFERROR(__xludf.DUMMYFUNCTION("""COMPUTED_VALUE"""),"Go")</f>
        <v>Go</v>
      </c>
      <c r="L1394" s="9" t="str">
        <f>IFERROR(__xludf.DUMMYFUNCTION("""COMPUTED_VALUE"""),"HTML/CSS")</f>
        <v>HTML/CSS</v>
      </c>
      <c r="M1394" s="9" t="s">
        <v>37</v>
      </c>
    </row>
    <row r="1395" ht="15.75" customHeight="1">
      <c r="A1395" s="7"/>
      <c r="B1395" s="7" t="str">
        <f>IFERROR(__xludf.DUMMYFUNCTION("""COMPUTED_VALUE"""),"C#;HTML/CSS;JavaScript;PHP;TypeScript")</f>
        <v>C#;HTML/CSS;JavaScript;PHP;TypeScript</v>
      </c>
      <c r="C1395" s="9" t="str">
        <f>IFERROR(__xludf.DUMMYFUNCTION("""COMPUTED_VALUE"""),"Python")</f>
        <v>Python</v>
      </c>
      <c r="D1395" s="9" t="str">
        <f>IFERROR(__xludf.DUMMYFUNCTION("""COMPUTED_VALUE"""),"VBA")</f>
        <v>VBA</v>
      </c>
      <c r="E1395" s="9" t="str">
        <f>IFERROR(__xludf.DUMMYFUNCTION("""COMPUTED_VALUE"""),"Java")</f>
        <v>Java</v>
      </c>
      <c r="F1395" s="9" t="str">
        <f>IFERROR(__xludf.DUMMYFUNCTION("""COMPUTED_VALUE"""),"C#")</f>
        <v>C#</v>
      </c>
      <c r="G1395" s="9" t="str">
        <f>IFERROR(__xludf.DUMMYFUNCTION("""COMPUTED_VALUE"""),"HTML/CSS")</f>
        <v>HTML/CSS</v>
      </c>
      <c r="H1395" s="9" t="str">
        <f>IFERROR(__xludf.DUMMYFUNCTION("""COMPUTED_VALUE"""),"JavaScript")</f>
        <v>JavaScript</v>
      </c>
      <c r="I1395" s="9" t="str">
        <f>IFERROR(__xludf.DUMMYFUNCTION("""COMPUTED_VALUE"""),"Assembly")</f>
        <v>Assembly</v>
      </c>
      <c r="J1395" s="9" t="str">
        <f>IFERROR(__xludf.DUMMYFUNCTION("""COMPUTED_VALUE"""),"Kotlin")</f>
        <v>Kotlin</v>
      </c>
      <c r="K1395" s="9" t="str">
        <f>IFERROR(__xludf.DUMMYFUNCTION("""COMPUTED_VALUE"""),"HTML/CSS")</f>
        <v>HTML/CSS</v>
      </c>
      <c r="L1395" s="9" t="str">
        <f>IFERROR(__xludf.DUMMYFUNCTION("""COMPUTED_VALUE"""),"PHP")</f>
        <v>PHP</v>
      </c>
      <c r="M1395" s="9" t="s">
        <v>22</v>
      </c>
    </row>
    <row r="1396" ht="15.75" customHeight="1">
      <c r="A1396" s="7"/>
      <c r="B1396" s="7" t="str">
        <f>IFERROR(__xludf.DUMMYFUNCTION("""COMPUTED_VALUE"""),"Java")</f>
        <v>Java</v>
      </c>
      <c r="C1396" s="9" t="str">
        <f>IFERROR(__xludf.DUMMYFUNCTION("""COMPUTED_VALUE"""),"SQL")</f>
        <v>SQL</v>
      </c>
      <c r="D1396" s="9" t="str">
        <f>IFERROR(__xludf.DUMMYFUNCTION("""COMPUTED_VALUE"""),"HTML/CSS")</f>
        <v>HTML/CSS</v>
      </c>
      <c r="E1396" s="9" t="str">
        <f>IFERROR(__xludf.DUMMYFUNCTION("""COMPUTED_VALUE"""),"JavaScript")</f>
        <v>JavaScript</v>
      </c>
      <c r="F1396" s="9" t="str">
        <f>IFERROR(__xludf.DUMMYFUNCTION("""COMPUTED_VALUE"""),"Python")</f>
        <v>Python</v>
      </c>
      <c r="G1396" s="9" t="str">
        <f>IFERROR(__xludf.DUMMYFUNCTION("""COMPUTED_VALUE"""),"JavaScript")</f>
        <v>JavaScript</v>
      </c>
      <c r="H1396" s="9" t="str">
        <f>IFERROR(__xludf.DUMMYFUNCTION("""COMPUTED_VALUE"""),"PHP")</f>
        <v>PHP</v>
      </c>
      <c r="I1396" s="9" t="str">
        <f>IFERROR(__xludf.DUMMYFUNCTION("""COMPUTED_VALUE"""),"Bash/Shell/PowerShell")</f>
        <v>Bash/Shell/PowerShell</v>
      </c>
      <c r="J1396" s="9" t="str">
        <f>IFERROR(__xludf.DUMMYFUNCTION("""COMPUTED_VALUE"""),"TypeScript")</f>
        <v>TypeScript</v>
      </c>
      <c r="K1396" s="9" t="str">
        <f>IFERROR(__xludf.DUMMYFUNCTION("""COMPUTED_VALUE"""),"Java")</f>
        <v>Java</v>
      </c>
      <c r="L1396" s="9" t="str">
        <f>IFERROR(__xludf.DUMMYFUNCTION("""COMPUTED_VALUE"""),"Python")</f>
        <v>Python</v>
      </c>
      <c r="M1396" s="9" t="s">
        <v>27</v>
      </c>
    </row>
    <row r="1397" ht="15.75" customHeight="1">
      <c r="A1397" s="7"/>
      <c r="B1397" s="7" t="str">
        <f>IFERROR(__xludf.DUMMYFUNCTION("""COMPUTED_VALUE"""),"HTML/CSS;JavaScript;TypeScript")</f>
        <v>HTML/CSS;JavaScript;TypeScript</v>
      </c>
      <c r="C1397" s="9" t="str">
        <f>IFERROR(__xludf.DUMMYFUNCTION("""COMPUTED_VALUE"""),"C#")</f>
        <v>C#</v>
      </c>
      <c r="D1397" s="9" t="str">
        <f>IFERROR(__xludf.DUMMYFUNCTION("""COMPUTED_VALUE"""),"PHP")</f>
        <v>PHP</v>
      </c>
      <c r="E1397" s="9" t="str">
        <f>IFERROR(__xludf.DUMMYFUNCTION("""COMPUTED_VALUE"""),"Kotlin")</f>
        <v>Kotlin</v>
      </c>
      <c r="F1397" s="9" t="str">
        <f>IFERROR(__xludf.DUMMYFUNCTION("""COMPUTED_VALUE"""),"Bash/Shell/PowerShell")</f>
        <v>Bash/Shell/PowerShell</v>
      </c>
      <c r="G1397" s="9" t="str">
        <f>IFERROR(__xludf.DUMMYFUNCTION("""COMPUTED_VALUE"""),"Python")</f>
        <v>Python</v>
      </c>
      <c r="H1397" s="9" t="str">
        <f>IFERROR(__xludf.DUMMYFUNCTION("""COMPUTED_VALUE"""),"SQL")</f>
        <v>SQL</v>
      </c>
      <c r="I1397" s="9" t="str">
        <f>IFERROR(__xludf.DUMMYFUNCTION("""COMPUTED_VALUE"""),"C")</f>
        <v>C</v>
      </c>
      <c r="J1397" s="9" t="str">
        <f>IFERROR(__xludf.DUMMYFUNCTION("""COMPUTED_VALUE"""),"HTML/CSS")</f>
        <v>HTML/CSS</v>
      </c>
      <c r="K1397" s="9" t="str">
        <f>IFERROR(__xludf.DUMMYFUNCTION("""COMPUTED_VALUE"""),"JavaScript")</f>
        <v>JavaScript</v>
      </c>
      <c r="L1397" s="9" t="str">
        <f>IFERROR(__xludf.DUMMYFUNCTION("""COMPUTED_VALUE"""),"C#")</f>
        <v>C#</v>
      </c>
      <c r="M1397" s="9" t="s">
        <v>26</v>
      </c>
    </row>
    <row r="1398" ht="15.75" customHeight="1">
      <c r="A1398" s="7"/>
      <c r="B1398" s="7" t="str">
        <f>IFERROR(__xludf.DUMMYFUNCTION("""COMPUTED_VALUE"""),"C;Erlang;HTML/CSS;Java;JavaScript;Kotlin;Python;Rust;Swift")</f>
        <v>C;Erlang;HTML/CSS;Java;JavaScript;Kotlin;Python;Rust;Swift</v>
      </c>
      <c r="C1398" s="9" t="str">
        <f>IFERROR(__xludf.DUMMYFUNCTION("""COMPUTED_VALUE"""),"HTML/CSS")</f>
        <v>HTML/CSS</v>
      </c>
      <c r="D1398" s="9" t="str">
        <f>IFERROR(__xludf.DUMMYFUNCTION("""COMPUTED_VALUE"""),"SQL")</f>
        <v>SQL</v>
      </c>
      <c r="E1398" s="9" t="str">
        <f>IFERROR(__xludf.DUMMYFUNCTION("""COMPUTED_VALUE"""),"PHP")</f>
        <v>PHP</v>
      </c>
      <c r="F1398" s="9" t="str">
        <f>IFERROR(__xludf.DUMMYFUNCTION("""COMPUTED_VALUE"""),"Java")</f>
        <v>Java</v>
      </c>
      <c r="G1398" s="9" t="str">
        <f>IFERROR(__xludf.DUMMYFUNCTION("""COMPUTED_VALUE"""),"SQL")</f>
        <v>SQL</v>
      </c>
      <c r="H1398" s="9" t="str">
        <f>IFERROR(__xludf.DUMMYFUNCTION("""COMPUTED_VALUE"""),"HTML/CSS")</f>
        <v>HTML/CSS</v>
      </c>
      <c r="I1398" s="9" t="str">
        <f>IFERROR(__xludf.DUMMYFUNCTION("""COMPUTED_VALUE"""),"C++")</f>
        <v>C++</v>
      </c>
      <c r="J1398" s="9" t="str">
        <f>IFERROR(__xludf.DUMMYFUNCTION("""COMPUTED_VALUE"""),"JavaScript")</f>
        <v>JavaScript</v>
      </c>
      <c r="K1398" s="9" t="str">
        <f>IFERROR(__xludf.DUMMYFUNCTION("""COMPUTED_VALUE"""),"Kotlin")</f>
        <v>Kotlin</v>
      </c>
      <c r="L1398" s="9" t="str">
        <f>IFERROR(__xludf.DUMMYFUNCTION("""COMPUTED_VALUE"""),"HTML/CSS")</f>
        <v>HTML/CSS</v>
      </c>
      <c r="M1398" s="9" t="s">
        <v>24</v>
      </c>
    </row>
    <row r="1399" ht="15.75" customHeight="1">
      <c r="A1399" s="7"/>
      <c r="B1399" s="7" t="str">
        <f>IFERROR(__xludf.DUMMYFUNCTION("""COMPUTED_VALUE"""),"C++;C#;JavaScript;TypeScript")</f>
        <v>C++;C#;JavaScript;TypeScript</v>
      </c>
      <c r="C1399" s="9" t="str">
        <f>IFERROR(__xludf.DUMMYFUNCTION("""COMPUTED_VALUE"""),"JavaScript")</f>
        <v>JavaScript</v>
      </c>
      <c r="D1399" s="9" t="str">
        <f>IFERROR(__xludf.DUMMYFUNCTION("""COMPUTED_VALUE"""),"Assembly")</f>
        <v>Assembly</v>
      </c>
      <c r="E1399" s="9" t="str">
        <f>IFERROR(__xludf.DUMMYFUNCTION("""COMPUTED_VALUE"""),"Python")</f>
        <v>Python</v>
      </c>
      <c r="F1399" s="9" t="str">
        <f>IFERROR(__xludf.DUMMYFUNCTION("""COMPUTED_VALUE"""),"JavaScript")</f>
        <v>JavaScript</v>
      </c>
      <c r="G1399" s="9" t="str">
        <f>IFERROR(__xludf.DUMMYFUNCTION("""COMPUTED_VALUE"""),"Bash/Shell/PowerShell")</f>
        <v>Bash/Shell/PowerShell</v>
      </c>
      <c r="H1399" s="9" t="str">
        <f>IFERROR(__xludf.DUMMYFUNCTION("""COMPUTED_VALUE"""),"JavaScript")</f>
        <v>JavaScript</v>
      </c>
      <c r="I1399" s="9" t="str">
        <f>IFERROR(__xludf.DUMMYFUNCTION("""COMPUTED_VALUE"""),"Clojure")</f>
        <v>Clojure</v>
      </c>
      <c r="J1399" s="9" t="str">
        <f>IFERROR(__xludf.DUMMYFUNCTION("""COMPUTED_VALUE"""),"PHP")</f>
        <v>PHP</v>
      </c>
      <c r="K1399" s="9" t="str">
        <f>IFERROR(__xludf.DUMMYFUNCTION("""COMPUTED_VALUE"""),"Python")</f>
        <v>Python</v>
      </c>
      <c r="L1399" s="9" t="str">
        <f>IFERROR(__xludf.DUMMYFUNCTION("""COMPUTED_VALUE"""),"JavaScript")</f>
        <v>JavaScript</v>
      </c>
      <c r="M1399" s="9" t="s">
        <v>21</v>
      </c>
    </row>
    <row r="1400" ht="15.75" customHeight="1">
      <c r="A1400" s="7"/>
      <c r="B1400" s="7" t="str">
        <f>IFERROR(__xludf.DUMMYFUNCTION("""COMPUTED_VALUE"""),"Java;JavaScript")</f>
        <v>Java;JavaScript</v>
      </c>
      <c r="C1400" s="9" t="str">
        <f>IFERROR(__xludf.DUMMYFUNCTION("""COMPUTED_VALUE"""),"SQL")</f>
        <v>SQL</v>
      </c>
      <c r="D1400" s="9" t="str">
        <f>IFERROR(__xludf.DUMMYFUNCTION("""COMPUTED_VALUE"""),"C#")</f>
        <v>C#</v>
      </c>
      <c r="E1400" s="9" t="str">
        <f>IFERROR(__xludf.DUMMYFUNCTION("""COMPUTED_VALUE"""),"Ruby")</f>
        <v>Ruby</v>
      </c>
      <c r="F1400" s="9" t="str">
        <f>IFERROR(__xludf.DUMMYFUNCTION("""COMPUTED_VALUE"""),"Python")</f>
        <v>Python</v>
      </c>
      <c r="G1400" s="9" t="str">
        <f>IFERROR(__xludf.DUMMYFUNCTION("""COMPUTED_VALUE"""),"HTML/CSS")</f>
        <v>HTML/CSS</v>
      </c>
      <c r="H1400" s="9" t="str">
        <f>IFERROR(__xludf.DUMMYFUNCTION("""COMPUTED_VALUE"""),"PHP")</f>
        <v>PHP</v>
      </c>
      <c r="I1400" s="9" t="str">
        <f>IFERROR(__xludf.DUMMYFUNCTION("""COMPUTED_VALUE"""),"Go")</f>
        <v>Go</v>
      </c>
      <c r="J1400" s="9" t="str">
        <f>IFERROR(__xludf.DUMMYFUNCTION("""COMPUTED_VALUE"""),"Bash/Shell/PowerShell")</f>
        <v>Bash/Shell/PowerShell</v>
      </c>
      <c r="K1400" s="9" t="str">
        <f>IFERROR(__xludf.DUMMYFUNCTION("""COMPUTED_VALUE"""),"SQL")</f>
        <v>SQL</v>
      </c>
      <c r="L1400" s="9" t="str">
        <f>IFERROR(__xludf.DUMMYFUNCTION("""COMPUTED_VALUE"""),"Other(s):")</f>
        <v>Other(s):</v>
      </c>
      <c r="M1400" s="9" t="s">
        <v>27</v>
      </c>
    </row>
    <row r="1401" ht="15.75" customHeight="1">
      <c r="A1401" s="7"/>
      <c r="B1401" s="7" t="str">
        <f>IFERROR(__xludf.DUMMYFUNCTION("""COMPUTED_VALUE"""),"C#;F#;HTML/CSS;Java;JavaScript;SQL;TypeScript;WebAssembly")</f>
        <v>C#;F#;HTML/CSS;Java;JavaScript;SQL;TypeScript;WebAssembly</v>
      </c>
      <c r="C1401" s="9" t="str">
        <f>IFERROR(__xludf.DUMMYFUNCTION("""COMPUTED_VALUE"""),"TypeScript")</f>
        <v>TypeScript</v>
      </c>
      <c r="D1401" s="9" t="str">
        <f>IFERROR(__xludf.DUMMYFUNCTION("""COMPUTED_VALUE"""),"SQL")</f>
        <v>SQL</v>
      </c>
      <c r="E1401" s="9" t="str">
        <f>IFERROR(__xludf.DUMMYFUNCTION("""COMPUTED_VALUE"""),"SQL")</f>
        <v>SQL</v>
      </c>
      <c r="F1401" s="9" t="str">
        <f>IFERROR(__xludf.DUMMYFUNCTION("""COMPUTED_VALUE"""),"Rust")</f>
        <v>Rust</v>
      </c>
      <c r="G1401" s="9" t="str">
        <f>IFERROR(__xludf.DUMMYFUNCTION("""COMPUTED_VALUE"""),"Java")</f>
        <v>Java</v>
      </c>
      <c r="H1401" s="9" t="str">
        <f>IFERROR(__xludf.DUMMYFUNCTION("""COMPUTED_VALUE"""),"Python")</f>
        <v>Python</v>
      </c>
      <c r="I1401" s="9" t="str">
        <f>IFERROR(__xludf.DUMMYFUNCTION("""COMPUTED_VALUE"""),"HTML/CSS")</f>
        <v>HTML/CSS</v>
      </c>
      <c r="J1401" s="9" t="str">
        <f>IFERROR(__xludf.DUMMYFUNCTION("""COMPUTED_VALUE"""),"HTML/CSS")</f>
        <v>HTML/CSS</v>
      </c>
      <c r="K1401" s="9" t="str">
        <f>IFERROR(__xludf.DUMMYFUNCTION("""COMPUTED_VALUE"""),"Swift")</f>
        <v>Swift</v>
      </c>
      <c r="L1401" s="9" t="str">
        <f>IFERROR(__xludf.DUMMYFUNCTION("""COMPUTED_VALUE"""),"Java")</f>
        <v>Java</v>
      </c>
      <c r="M1401" s="9" t="s">
        <v>33</v>
      </c>
    </row>
    <row r="1402" ht="15.75" customHeight="1">
      <c r="A1402" s="7"/>
      <c r="B1402" s="7" t="str">
        <f>IFERROR(__xludf.DUMMYFUNCTION("""COMPUTED_VALUE"""),"Bash/Shell/PowerShell;HTML/CSS;JavaScript;PHP;SQL")</f>
        <v>Bash/Shell/PowerShell;HTML/CSS;JavaScript;PHP;SQL</v>
      </c>
      <c r="C1402" s="9" t="str">
        <f>IFERROR(__xludf.DUMMYFUNCTION("""COMPUTED_VALUE"""),"C#")</f>
        <v>C#</v>
      </c>
      <c r="D1402" s="9" t="str">
        <f>IFERROR(__xludf.DUMMYFUNCTION("""COMPUTED_VALUE"""),"C")</f>
        <v>C</v>
      </c>
      <c r="E1402" s="9" t="str">
        <f>IFERROR(__xludf.DUMMYFUNCTION("""COMPUTED_VALUE"""),"Swift")</f>
        <v>Swift</v>
      </c>
      <c r="F1402" s="9" t="str">
        <f>IFERROR(__xludf.DUMMYFUNCTION("""COMPUTED_VALUE"""),"SQL")</f>
        <v>SQL</v>
      </c>
      <c r="G1402" s="9" t="str">
        <f>IFERROR(__xludf.DUMMYFUNCTION("""COMPUTED_VALUE"""),"JavaScript")</f>
        <v>JavaScript</v>
      </c>
      <c r="H1402" s="9" t="str">
        <f>IFERROR(__xludf.DUMMYFUNCTION("""COMPUTED_VALUE"""),"SQL")</f>
        <v>SQL</v>
      </c>
      <c r="I1402" s="9" t="str">
        <f>IFERROR(__xludf.DUMMYFUNCTION("""COMPUTED_VALUE"""),"Java")</f>
        <v>Java</v>
      </c>
      <c r="J1402" s="9" t="str">
        <f>IFERROR(__xludf.DUMMYFUNCTION("""COMPUTED_VALUE"""),"JavaScript")</f>
        <v>JavaScript</v>
      </c>
      <c r="K1402" s="9" t="str">
        <f>IFERROR(__xludf.DUMMYFUNCTION("""COMPUTED_VALUE"""),"Bash/Shell/PowerShell")</f>
        <v>Bash/Shell/PowerShell</v>
      </c>
      <c r="L1402" s="9" t="str">
        <f>IFERROR(__xludf.DUMMYFUNCTION("""COMPUTED_VALUE"""),"Bash/Shell/PowerShell")</f>
        <v>Bash/Shell/PowerShell</v>
      </c>
      <c r="M1402" s="9" t="s">
        <v>26</v>
      </c>
    </row>
    <row r="1403" ht="15.75" customHeight="1">
      <c r="A1403" s="7"/>
      <c r="B1403" s="7" t="str">
        <f>IFERROR(__xludf.DUMMYFUNCTION("""COMPUTED_VALUE"""),"Clojure;JavaScript;Python;Other(s):")</f>
        <v>Clojure;JavaScript;Python;Other(s):</v>
      </c>
      <c r="C1403" s="9" t="str">
        <f>IFERROR(__xludf.DUMMYFUNCTION("""COMPUTED_VALUE"""),"HTML/CSS")</f>
        <v>HTML/CSS</v>
      </c>
      <c r="D1403" s="9" t="str">
        <f>IFERROR(__xludf.DUMMYFUNCTION("""COMPUTED_VALUE"""),"HTML/CSS")</f>
        <v>HTML/CSS</v>
      </c>
      <c r="E1403" s="9" t="str">
        <f>IFERROR(__xludf.DUMMYFUNCTION("""COMPUTED_VALUE"""),"TypeScript")</f>
        <v>TypeScript</v>
      </c>
      <c r="F1403" s="9" t="str">
        <f>IFERROR(__xludf.DUMMYFUNCTION("""COMPUTED_VALUE"""),"C#")</f>
        <v>C#</v>
      </c>
      <c r="G1403" s="9" t="str">
        <f>IFERROR(__xludf.DUMMYFUNCTION("""COMPUTED_VALUE"""),"Assembly")</f>
        <v>Assembly</v>
      </c>
      <c r="H1403" s="9" t="str">
        <f>IFERROR(__xludf.DUMMYFUNCTION("""COMPUTED_VALUE"""),"Other(s):")</f>
        <v>Other(s):</v>
      </c>
      <c r="I1403" s="9" t="str">
        <f>IFERROR(__xludf.DUMMYFUNCTION("""COMPUTED_VALUE"""),"Python")</f>
        <v>Python</v>
      </c>
      <c r="J1403" s="9" t="str">
        <f>IFERROR(__xludf.DUMMYFUNCTION("""COMPUTED_VALUE"""),"PHP")</f>
        <v>PHP</v>
      </c>
      <c r="K1403" s="9" t="str">
        <f>IFERROR(__xludf.DUMMYFUNCTION("""COMPUTED_VALUE"""),"C#")</f>
        <v>C#</v>
      </c>
      <c r="L1403" s="9" t="str">
        <f>IFERROR(__xludf.DUMMYFUNCTION("""COMPUTED_VALUE"""),"HTML/CSS")</f>
        <v>HTML/CSS</v>
      </c>
      <c r="M1403" s="9" t="s">
        <v>24</v>
      </c>
    </row>
    <row r="1404" ht="15.75" customHeight="1">
      <c r="A1404" s="7"/>
      <c r="B1404" s="7" t="str">
        <f>IFERROR(__xludf.DUMMYFUNCTION("""COMPUTED_VALUE"""),"Java")</f>
        <v>Java</v>
      </c>
      <c r="C1404" s="9" t="str">
        <f>IFERROR(__xludf.DUMMYFUNCTION("""COMPUTED_VALUE"""),"Java")</f>
        <v>Java</v>
      </c>
      <c r="D1404" s="9" t="str">
        <f>IFERROR(__xludf.DUMMYFUNCTION("""COMPUTED_VALUE"""),"JavaScript")</f>
        <v>JavaScript</v>
      </c>
      <c r="E1404" s="9" t="str">
        <f>IFERROR(__xludf.DUMMYFUNCTION("""COMPUTED_VALUE"""),"Bash/Shell/PowerShell")</f>
        <v>Bash/Shell/PowerShell</v>
      </c>
      <c r="F1404" s="9" t="str">
        <f>IFERROR(__xludf.DUMMYFUNCTION("""COMPUTED_VALUE"""),"HTML/CSS")</f>
        <v>HTML/CSS</v>
      </c>
      <c r="G1404" s="9" t="str">
        <f>IFERROR(__xludf.DUMMYFUNCTION("""COMPUTED_VALUE"""),"Bash/Shell/PowerShell")</f>
        <v>Bash/Shell/PowerShell</v>
      </c>
      <c r="H1404" s="9" t="str">
        <f>IFERROR(__xludf.DUMMYFUNCTION("""COMPUTED_VALUE"""),"Bash/Shell/PowerShell")</f>
        <v>Bash/Shell/PowerShell</v>
      </c>
      <c r="I1404" s="9" t="str">
        <f>IFERROR(__xludf.DUMMYFUNCTION("""COMPUTED_VALUE"""),"C")</f>
        <v>C</v>
      </c>
      <c r="J1404" s="9" t="str">
        <f>IFERROR(__xludf.DUMMYFUNCTION("""COMPUTED_VALUE"""),"SQL")</f>
        <v>SQL</v>
      </c>
      <c r="K1404" s="9" t="str">
        <f>IFERROR(__xludf.DUMMYFUNCTION("""COMPUTED_VALUE"""),"HTML/CSS")</f>
        <v>HTML/CSS</v>
      </c>
      <c r="L1404" s="9" t="str">
        <f>IFERROR(__xludf.DUMMYFUNCTION("""COMPUTED_VALUE"""),"JavaScript")</f>
        <v>JavaScript</v>
      </c>
      <c r="M1404" s="9" t="s">
        <v>20</v>
      </c>
    </row>
    <row r="1405" ht="15.75" customHeight="1">
      <c r="A1405" s="7"/>
      <c r="B1405" s="7" t="str">
        <f>IFERROR(__xludf.DUMMYFUNCTION("""COMPUTED_VALUE"""),"Bash/Shell/PowerShell;Java;Python;Scala;SQL")</f>
        <v>Bash/Shell/PowerShell;Java;Python;Scala;SQL</v>
      </c>
      <c r="C1405" s="9" t="str">
        <f>IFERROR(__xludf.DUMMYFUNCTION("""COMPUTED_VALUE"""),"JavaScript")</f>
        <v>JavaScript</v>
      </c>
      <c r="D1405" s="9" t="str">
        <f>IFERROR(__xludf.DUMMYFUNCTION("""COMPUTED_VALUE"""),"Python")</f>
        <v>Python</v>
      </c>
      <c r="E1405" s="9" t="str">
        <f>IFERROR(__xludf.DUMMYFUNCTION("""COMPUTED_VALUE"""),"C")</f>
        <v>C</v>
      </c>
      <c r="F1405" s="9" t="str">
        <f>IFERROR(__xludf.DUMMYFUNCTION("""COMPUTED_VALUE"""),"SQL")</f>
        <v>SQL</v>
      </c>
      <c r="G1405" s="9" t="str">
        <f>IFERROR(__xludf.DUMMYFUNCTION("""COMPUTED_VALUE"""),"C")</f>
        <v>C</v>
      </c>
      <c r="H1405" s="9" t="str">
        <f>IFERROR(__xludf.DUMMYFUNCTION("""COMPUTED_VALUE"""),"C")</f>
        <v>C</v>
      </c>
      <c r="I1405" s="9" t="str">
        <f>IFERROR(__xludf.DUMMYFUNCTION("""COMPUTED_VALUE"""),"C++")</f>
        <v>C++</v>
      </c>
      <c r="J1405" s="9" t="str">
        <f>IFERROR(__xludf.DUMMYFUNCTION("""COMPUTED_VALUE"""),"TypeScript")</f>
        <v>TypeScript</v>
      </c>
      <c r="K1405" s="9" t="str">
        <f>IFERROR(__xludf.DUMMYFUNCTION("""COMPUTED_VALUE"""),"JavaScript")</f>
        <v>JavaScript</v>
      </c>
      <c r="L1405" s="9" t="str">
        <f>IFERROR(__xludf.DUMMYFUNCTION("""COMPUTED_VALUE"""),"PHP")</f>
        <v>PHP</v>
      </c>
      <c r="M1405" s="9" t="s">
        <v>21</v>
      </c>
    </row>
    <row r="1406" ht="15.75" customHeight="1">
      <c r="A1406" s="7"/>
      <c r="B1406" s="7" t="str">
        <f>IFERROR(__xludf.DUMMYFUNCTION("""COMPUTED_VALUE"""),"HTML/CSS;JavaScript;TypeScript")</f>
        <v>HTML/CSS;JavaScript;TypeScript</v>
      </c>
      <c r="C1406" s="9" t="str">
        <f>IFERROR(__xludf.DUMMYFUNCTION("""COMPUTED_VALUE"""),"TypeScript")</f>
        <v>TypeScript</v>
      </c>
      <c r="D1406" s="9" t="str">
        <f>IFERROR(__xludf.DUMMYFUNCTION("""COMPUTED_VALUE"""),"R")</f>
        <v>R</v>
      </c>
      <c r="E1406" s="9" t="str">
        <f>IFERROR(__xludf.DUMMYFUNCTION("""COMPUTED_VALUE"""),"C++")</f>
        <v>C++</v>
      </c>
      <c r="F1406" s="9" t="str">
        <f>IFERROR(__xludf.DUMMYFUNCTION("""COMPUTED_VALUE"""),"Bash/Shell/PowerShell")</f>
        <v>Bash/Shell/PowerShell</v>
      </c>
      <c r="G1406" s="9" t="str">
        <f>IFERROR(__xludf.DUMMYFUNCTION("""COMPUTED_VALUE"""),"C++")</f>
        <v>C++</v>
      </c>
      <c r="H1406" s="9" t="str">
        <f>IFERROR(__xludf.DUMMYFUNCTION("""COMPUTED_VALUE"""),"C++")</f>
        <v>C++</v>
      </c>
      <c r="I1406" s="9" t="str">
        <f>IFERROR(__xludf.DUMMYFUNCTION("""COMPUTED_VALUE"""),"C#")</f>
        <v>C#</v>
      </c>
      <c r="J1406" s="9" t="str">
        <f>IFERROR(__xludf.DUMMYFUNCTION("""COMPUTED_VALUE"""),"Other(s):")</f>
        <v>Other(s):</v>
      </c>
      <c r="K1406" s="9" t="str">
        <f>IFERROR(__xludf.DUMMYFUNCTION("""COMPUTED_VALUE"""),"Bash/Shell/PowerShell")</f>
        <v>Bash/Shell/PowerShell</v>
      </c>
      <c r="L1406" s="9" t="str">
        <f>IFERROR(__xludf.DUMMYFUNCTION("""COMPUTED_VALUE"""),"Python")</f>
        <v>Python</v>
      </c>
      <c r="M1406" s="9" t="s">
        <v>33</v>
      </c>
    </row>
    <row r="1407" ht="15.75" customHeight="1">
      <c r="A1407" s="7"/>
      <c r="B1407" s="7" t="str">
        <f>IFERROR(__xludf.DUMMYFUNCTION("""COMPUTED_VALUE"""),"C#;HTML/CSS;JavaScript;SQL")</f>
        <v>C#;HTML/CSS;JavaScript;SQL</v>
      </c>
      <c r="C1407" s="9" t="str">
        <f>IFERROR(__xludf.DUMMYFUNCTION("""COMPUTED_VALUE"""),"Python")</f>
        <v>Python</v>
      </c>
      <c r="D1407" s="9" t="str">
        <f>IFERROR(__xludf.DUMMYFUNCTION("""COMPUTED_VALUE"""),"Ruby")</f>
        <v>Ruby</v>
      </c>
      <c r="E1407" s="9" t="str">
        <f>IFERROR(__xludf.DUMMYFUNCTION("""COMPUTED_VALUE"""),"JavaScript")</f>
        <v>JavaScript</v>
      </c>
      <c r="F1407" s="9" t="str">
        <f>IFERROR(__xludf.DUMMYFUNCTION("""COMPUTED_VALUE"""),"C++")</f>
        <v>C++</v>
      </c>
      <c r="G1407" s="9" t="str">
        <f>IFERROR(__xludf.DUMMYFUNCTION("""COMPUTED_VALUE"""),"C#")</f>
        <v>C#</v>
      </c>
      <c r="H1407" s="9" t="str">
        <f>IFERROR(__xludf.DUMMYFUNCTION("""COMPUTED_VALUE"""),"Python")</f>
        <v>Python</v>
      </c>
      <c r="I1407" s="9" t="str">
        <f>IFERROR(__xludf.DUMMYFUNCTION("""COMPUTED_VALUE"""),"HTML/CSS")</f>
        <v>HTML/CSS</v>
      </c>
      <c r="J1407" s="9" t="str">
        <f>IFERROR(__xludf.DUMMYFUNCTION("""COMPUTED_VALUE"""),"Clojure")</f>
        <v>Clojure</v>
      </c>
      <c r="K1407" s="9" t="str">
        <f>IFERROR(__xludf.DUMMYFUNCTION("""COMPUTED_VALUE"""),"C#")</f>
        <v>C#</v>
      </c>
      <c r="L1407" s="9" t="str">
        <f>IFERROR(__xludf.DUMMYFUNCTION("""COMPUTED_VALUE"""),"SQL")</f>
        <v>SQL</v>
      </c>
      <c r="M1407" s="9" t="s">
        <v>22</v>
      </c>
    </row>
    <row r="1408" ht="15.75" customHeight="1">
      <c r="A1408" s="7"/>
      <c r="B1408" s="7" t="str">
        <f>IFERROR(__xludf.DUMMYFUNCTION("""COMPUTED_VALUE"""),"HTML/CSS;Python;R;SQL")</f>
        <v>HTML/CSS;Python;R;SQL</v>
      </c>
      <c r="C1408" s="9" t="str">
        <f>IFERROR(__xludf.DUMMYFUNCTION("""COMPUTED_VALUE"""),"SQL")</f>
        <v>SQL</v>
      </c>
      <c r="D1408" s="9" t="str">
        <f>IFERROR(__xludf.DUMMYFUNCTION("""COMPUTED_VALUE"""),"Bash/Shell/PowerShell")</f>
        <v>Bash/Shell/PowerShell</v>
      </c>
      <c r="E1408" s="9" t="str">
        <f>IFERROR(__xludf.DUMMYFUNCTION("""COMPUTED_VALUE"""),"Python")</f>
        <v>Python</v>
      </c>
      <c r="F1408" s="9" t="str">
        <f>IFERROR(__xludf.DUMMYFUNCTION("""COMPUTED_VALUE"""),"C#")</f>
        <v>C#</v>
      </c>
      <c r="G1408" s="9" t="str">
        <f>IFERROR(__xludf.DUMMYFUNCTION("""COMPUTED_VALUE"""),"Java")</f>
        <v>Java</v>
      </c>
      <c r="H1408" s="9" t="str">
        <f>IFERROR(__xludf.DUMMYFUNCTION("""COMPUTED_VALUE"""),"Other(s):")</f>
        <v>Other(s):</v>
      </c>
      <c r="I1408" s="9" t="str">
        <f>IFERROR(__xludf.DUMMYFUNCTION("""COMPUTED_VALUE"""),"Kotlin")</f>
        <v>Kotlin</v>
      </c>
      <c r="J1408" s="9" t="str">
        <f>IFERROR(__xludf.DUMMYFUNCTION("""COMPUTED_VALUE"""),"Java")</f>
        <v>Java</v>
      </c>
      <c r="K1408" s="9" t="str">
        <f>IFERROR(__xludf.DUMMYFUNCTION("""COMPUTED_VALUE"""),"HTML/CSS")</f>
        <v>HTML/CSS</v>
      </c>
      <c r="L1408" s="9" t="str">
        <f>IFERROR(__xludf.DUMMYFUNCTION("""COMPUTED_VALUE"""),"TypeScript")</f>
        <v>TypeScript</v>
      </c>
      <c r="M1408" s="9" t="s">
        <v>27</v>
      </c>
    </row>
    <row r="1409" ht="15.75" customHeight="1">
      <c r="A1409" s="7"/>
      <c r="B1409" s="7" t="str">
        <f>IFERROR(__xludf.DUMMYFUNCTION("""COMPUTED_VALUE"""),"C++;C#;Java;SQL")</f>
        <v>C++;C#;Java;SQL</v>
      </c>
      <c r="C1409" s="9" t="str">
        <f>IFERROR(__xludf.DUMMYFUNCTION("""COMPUTED_VALUE"""),"Swift")</f>
        <v>Swift</v>
      </c>
      <c r="D1409" s="9" t="str">
        <f>IFERROR(__xludf.DUMMYFUNCTION("""COMPUTED_VALUE"""),"C#")</f>
        <v>C#</v>
      </c>
      <c r="E1409" s="9" t="str">
        <f>IFERROR(__xludf.DUMMYFUNCTION("""COMPUTED_VALUE"""),"C")</f>
        <v>C</v>
      </c>
      <c r="F1409" s="9" t="str">
        <f>IFERROR(__xludf.DUMMYFUNCTION("""COMPUTED_VALUE"""),"Go")</f>
        <v>Go</v>
      </c>
      <c r="G1409" s="9" t="str">
        <f>IFERROR(__xludf.DUMMYFUNCTION("""COMPUTED_VALUE"""),"Python")</f>
        <v>Python</v>
      </c>
      <c r="H1409" s="9" t="str">
        <f>IFERROR(__xludf.DUMMYFUNCTION("""COMPUTED_VALUE"""),"HTML/CSS")</f>
        <v>HTML/CSS</v>
      </c>
      <c r="I1409" s="9" t="str">
        <f>IFERROR(__xludf.DUMMYFUNCTION("""COMPUTED_VALUE"""),"PHP")</f>
        <v>PHP</v>
      </c>
      <c r="J1409" s="9" t="str">
        <f>IFERROR(__xludf.DUMMYFUNCTION("""COMPUTED_VALUE"""),"Java")</f>
        <v>Java</v>
      </c>
      <c r="K1409" s="9" t="str">
        <f>IFERROR(__xludf.DUMMYFUNCTION("""COMPUTED_VALUE"""),"SQL")</f>
        <v>SQL</v>
      </c>
      <c r="L1409" s="9" t="str">
        <f>IFERROR(__xludf.DUMMYFUNCTION("""COMPUTED_VALUE"""),"Python")</f>
        <v>Python</v>
      </c>
      <c r="M1409" s="9" t="s">
        <v>40</v>
      </c>
    </row>
    <row r="1410" ht="15.75" customHeight="1">
      <c r="A1410" s="7"/>
      <c r="B1410" s="7" t="str">
        <f>IFERROR(__xludf.DUMMYFUNCTION("""COMPUTED_VALUE"""),"Assembly;C;C++;JavaScript;Python;Rust;SQL;Other(s):")</f>
        <v>Assembly;C;C++;JavaScript;Python;Rust;SQL;Other(s):</v>
      </c>
      <c r="C1410" s="9" t="str">
        <f>IFERROR(__xludf.DUMMYFUNCTION("""COMPUTED_VALUE"""),"HTML/CSS")</f>
        <v>HTML/CSS</v>
      </c>
      <c r="D1410" s="9" t="str">
        <f>IFERROR(__xludf.DUMMYFUNCTION("""COMPUTED_VALUE"""),"HTML/CSS")</f>
        <v>HTML/CSS</v>
      </c>
      <c r="E1410" s="9" t="str">
        <f>IFERROR(__xludf.DUMMYFUNCTION("""COMPUTED_VALUE"""),"C++")</f>
        <v>C++</v>
      </c>
      <c r="F1410" s="9" t="str">
        <f>IFERROR(__xludf.DUMMYFUNCTION("""COMPUTED_VALUE"""),"HTML/CSS")</f>
        <v>HTML/CSS</v>
      </c>
      <c r="G1410" s="9" t="str">
        <f>IFERROR(__xludf.DUMMYFUNCTION("""COMPUTED_VALUE"""),"Other(s):")</f>
        <v>Other(s):</v>
      </c>
      <c r="H1410" s="9" t="str">
        <f>IFERROR(__xludf.DUMMYFUNCTION("""COMPUTED_VALUE"""),"JavaScript")</f>
        <v>JavaScript</v>
      </c>
      <c r="I1410" s="9" t="str">
        <f>IFERROR(__xludf.DUMMYFUNCTION("""COMPUTED_VALUE"""),"Python")</f>
        <v>Python</v>
      </c>
      <c r="J1410" s="9" t="str">
        <f>IFERROR(__xludf.DUMMYFUNCTION("""COMPUTED_VALUE"""),"JavaScript")</f>
        <v>JavaScript</v>
      </c>
      <c r="K1410" s="9" t="str">
        <f>IFERROR(__xludf.DUMMYFUNCTION("""COMPUTED_VALUE"""),"TypeScript")</f>
        <v>TypeScript</v>
      </c>
      <c r="L1410" s="9" t="str">
        <f>IFERROR(__xludf.DUMMYFUNCTION("""COMPUTED_VALUE"""),"Bash/Shell/PowerShell")</f>
        <v>Bash/Shell/PowerShell</v>
      </c>
      <c r="M1410" s="9" t="s">
        <v>24</v>
      </c>
    </row>
    <row r="1411" ht="15.75" customHeight="1">
      <c r="A1411" s="7"/>
      <c r="B1411" s="7" t="str">
        <f>IFERROR(__xludf.DUMMYFUNCTION("""COMPUTED_VALUE"""),"HTML/CSS;Java;JavaScript")</f>
        <v>HTML/CSS;Java;JavaScript</v>
      </c>
      <c r="C1411" s="9" t="str">
        <f>IFERROR(__xludf.DUMMYFUNCTION("""COMPUTED_VALUE"""),"JavaScript")</f>
        <v>JavaScript</v>
      </c>
      <c r="D1411" s="9" t="str">
        <f>IFERROR(__xludf.DUMMYFUNCTION("""COMPUTED_VALUE"""),"JavaScript")</f>
        <v>JavaScript</v>
      </c>
      <c r="E1411" s="9" t="str">
        <f>IFERROR(__xludf.DUMMYFUNCTION("""COMPUTED_VALUE"""),"HTML/CSS")</f>
        <v>HTML/CSS</v>
      </c>
      <c r="F1411" s="9" t="str">
        <f>IFERROR(__xludf.DUMMYFUNCTION("""COMPUTED_VALUE"""),"Java")</f>
        <v>Java</v>
      </c>
      <c r="G1411" s="9" t="str">
        <f>IFERROR(__xludf.DUMMYFUNCTION("""COMPUTED_VALUE"""),"C++")</f>
        <v>C++</v>
      </c>
      <c r="H1411" s="9" t="str">
        <f>IFERROR(__xludf.DUMMYFUNCTION("""COMPUTED_VALUE"""),"Bash/Shell/PowerShell")</f>
        <v>Bash/Shell/PowerShell</v>
      </c>
      <c r="I1411" s="9" t="str">
        <f>IFERROR(__xludf.DUMMYFUNCTION("""COMPUTED_VALUE"""),"HTML/CSS")</f>
        <v>HTML/CSS</v>
      </c>
      <c r="J1411" s="9" t="str">
        <f>IFERROR(__xludf.DUMMYFUNCTION("""COMPUTED_VALUE"""),"Python")</f>
        <v>Python</v>
      </c>
      <c r="K1411" s="9" t="str">
        <f>IFERROR(__xludf.DUMMYFUNCTION("""COMPUTED_VALUE"""),"Bash/Shell/PowerShell")</f>
        <v>Bash/Shell/PowerShell</v>
      </c>
      <c r="L1411" s="9" t="str">
        <f>IFERROR(__xludf.DUMMYFUNCTION("""COMPUTED_VALUE"""),"C++")</f>
        <v>C++</v>
      </c>
      <c r="M1411" s="9" t="s">
        <v>21</v>
      </c>
    </row>
    <row r="1412" ht="15.75" customHeight="1">
      <c r="A1412" s="7"/>
      <c r="B1412" s="7" t="str">
        <f>IFERROR(__xludf.DUMMYFUNCTION("""COMPUTED_VALUE"""),"C#;SQL;Other(s):")</f>
        <v>C#;SQL;Other(s):</v>
      </c>
      <c r="C1412" s="9" t="str">
        <f>IFERROR(__xludf.DUMMYFUNCTION("""COMPUTED_VALUE"""),"TypeScript")</f>
        <v>TypeScript</v>
      </c>
      <c r="D1412" s="9" t="str">
        <f>IFERROR(__xludf.DUMMYFUNCTION("""COMPUTED_VALUE"""),"Python")</f>
        <v>Python</v>
      </c>
      <c r="E1412" s="9" t="str">
        <f>IFERROR(__xludf.DUMMYFUNCTION("""COMPUTED_VALUE"""),"Java")</f>
        <v>Java</v>
      </c>
      <c r="F1412" s="9" t="str">
        <f>IFERROR(__xludf.DUMMYFUNCTION("""COMPUTED_VALUE"""),"JavaScript")</f>
        <v>JavaScript</v>
      </c>
      <c r="G1412" s="9" t="str">
        <f>IFERROR(__xludf.DUMMYFUNCTION("""COMPUTED_VALUE"""),"C#")</f>
        <v>C#</v>
      </c>
      <c r="H1412" s="9" t="str">
        <f>IFERROR(__xludf.DUMMYFUNCTION("""COMPUTED_VALUE"""),"Clojure")</f>
        <v>Clojure</v>
      </c>
      <c r="I1412" s="9" t="str">
        <f>IFERROR(__xludf.DUMMYFUNCTION("""COMPUTED_VALUE"""),"Java")</f>
        <v>Java</v>
      </c>
      <c r="J1412" s="9" t="str">
        <f>IFERROR(__xludf.DUMMYFUNCTION("""COMPUTED_VALUE"""),"SQL")</f>
        <v>SQL</v>
      </c>
      <c r="K1412" s="9" t="str">
        <f>IFERROR(__xludf.DUMMYFUNCTION("""COMPUTED_VALUE"""),"HTML/CSS")</f>
        <v>HTML/CSS</v>
      </c>
      <c r="L1412" s="9" t="str">
        <f>IFERROR(__xludf.DUMMYFUNCTION("""COMPUTED_VALUE"""),"Java")</f>
        <v>Java</v>
      </c>
      <c r="M1412" s="9" t="s">
        <v>33</v>
      </c>
    </row>
    <row r="1413" ht="15.75" customHeight="1">
      <c r="A1413" s="7"/>
      <c r="B1413" s="7" t="str">
        <f>IFERROR(__xludf.DUMMYFUNCTION("""COMPUTED_VALUE"""),"Bash/Shell/PowerShell;C;C++;HTML/CSS;Java;JavaScript;SQL")</f>
        <v>Bash/Shell/PowerShell;C;C++;HTML/CSS;Java;JavaScript;SQL</v>
      </c>
      <c r="C1413" s="9" t="str">
        <f>IFERROR(__xludf.DUMMYFUNCTION("""COMPUTED_VALUE"""),"Assembly")</f>
        <v>Assembly</v>
      </c>
      <c r="D1413" s="9" t="str">
        <f>IFERROR(__xludf.DUMMYFUNCTION("""COMPUTED_VALUE"""),"SQL")</f>
        <v>SQL</v>
      </c>
      <c r="E1413" s="9" t="str">
        <f>IFERROR(__xludf.DUMMYFUNCTION("""COMPUTED_VALUE"""),"JavaScript")</f>
        <v>JavaScript</v>
      </c>
      <c r="F1413" s="9" t="str">
        <f>IFERROR(__xludf.DUMMYFUNCTION("""COMPUTED_VALUE"""),"PHP")</f>
        <v>PHP</v>
      </c>
      <c r="G1413" s="9" t="str">
        <f>IFERROR(__xludf.DUMMYFUNCTION("""COMPUTED_VALUE"""),"HTML/CSS")</f>
        <v>HTML/CSS</v>
      </c>
      <c r="H1413" s="9" t="str">
        <f>IFERROR(__xludf.DUMMYFUNCTION("""COMPUTED_VALUE"""),"HTML/CSS")</f>
        <v>HTML/CSS</v>
      </c>
      <c r="I1413" s="9" t="str">
        <f>IFERROR(__xludf.DUMMYFUNCTION("""COMPUTED_VALUE"""),"JavaScript")</f>
        <v>JavaScript</v>
      </c>
      <c r="J1413" s="9" t="str">
        <f>IFERROR(__xludf.DUMMYFUNCTION("""COMPUTED_VALUE"""),"C++")</f>
        <v>C++</v>
      </c>
      <c r="K1413" s="9" t="str">
        <f>IFERROR(__xludf.DUMMYFUNCTION("""COMPUTED_VALUE"""),"JavaScript")</f>
        <v>JavaScript</v>
      </c>
      <c r="L1413" s="9" t="str">
        <f>IFERROR(__xludf.DUMMYFUNCTION("""COMPUTED_VALUE"""),"Kotlin")</f>
        <v>Kotlin</v>
      </c>
      <c r="M1413" s="9" t="s">
        <v>38</v>
      </c>
    </row>
    <row r="1414" ht="15.75" customHeight="1">
      <c r="A1414" s="7"/>
      <c r="B1414" s="7" t="str">
        <f>IFERROR(__xludf.DUMMYFUNCTION("""COMPUTED_VALUE"""),"HTML/CSS;JavaScript;Kotlin;Python;SQL")</f>
        <v>HTML/CSS;JavaScript;Kotlin;Python;SQL</v>
      </c>
      <c r="C1414" s="9" t="str">
        <f>IFERROR(__xludf.DUMMYFUNCTION("""COMPUTED_VALUE"""),"Bash/Shell/PowerShell")</f>
        <v>Bash/Shell/PowerShell</v>
      </c>
      <c r="D1414" s="9" t="str">
        <f>IFERROR(__xludf.DUMMYFUNCTION("""COMPUTED_VALUE"""),"Java")</f>
        <v>Java</v>
      </c>
      <c r="E1414" s="9" t="str">
        <f>IFERROR(__xludf.DUMMYFUNCTION("""COMPUTED_VALUE"""),"PHP")</f>
        <v>PHP</v>
      </c>
      <c r="F1414" s="9" t="str">
        <f>IFERROR(__xludf.DUMMYFUNCTION("""COMPUTED_VALUE"""),"SQL")</f>
        <v>SQL</v>
      </c>
      <c r="G1414" s="9" t="str">
        <f>IFERROR(__xludf.DUMMYFUNCTION("""COMPUTED_VALUE"""),"Java")</f>
        <v>Java</v>
      </c>
      <c r="H1414" s="9" t="str">
        <f>IFERROR(__xludf.DUMMYFUNCTION("""COMPUTED_VALUE"""),"Java")</f>
        <v>Java</v>
      </c>
      <c r="I1414" s="9" t="str">
        <f>IFERROR(__xludf.DUMMYFUNCTION("""COMPUTED_VALUE"""),"PHP")</f>
        <v>PHP</v>
      </c>
      <c r="J1414" s="9" t="str">
        <f>IFERROR(__xludf.DUMMYFUNCTION("""COMPUTED_VALUE"""),"Python")</f>
        <v>Python</v>
      </c>
      <c r="K1414" s="9" t="str">
        <f>IFERROR(__xludf.DUMMYFUNCTION("""COMPUTED_VALUE"""),"PHP")</f>
        <v>PHP</v>
      </c>
      <c r="L1414" s="9" t="str">
        <f>IFERROR(__xludf.DUMMYFUNCTION("""COMPUTED_VALUE"""),"Bash/Shell/PowerShell")</f>
        <v>Bash/Shell/PowerShell</v>
      </c>
      <c r="M1414" s="9" t="s">
        <v>30</v>
      </c>
    </row>
    <row r="1415" ht="15.75" customHeight="1">
      <c r="A1415" s="7"/>
      <c r="B1415" s="7" t="str">
        <f>IFERROR(__xludf.DUMMYFUNCTION("""COMPUTED_VALUE"""),"Java;Scala")</f>
        <v>Java;Scala</v>
      </c>
      <c r="C1415" s="9" t="str">
        <f>IFERROR(__xludf.DUMMYFUNCTION("""COMPUTED_VALUE"""),"C")</f>
        <v>C</v>
      </c>
      <c r="D1415" s="9" t="str">
        <f>IFERROR(__xludf.DUMMYFUNCTION("""COMPUTED_VALUE"""),"Objective-C")</f>
        <v>Objective-C</v>
      </c>
      <c r="E1415" s="9" t="str">
        <f>IFERROR(__xludf.DUMMYFUNCTION("""COMPUTED_VALUE"""),"Python")</f>
        <v>Python</v>
      </c>
      <c r="F1415" s="9" t="str">
        <f>IFERROR(__xludf.DUMMYFUNCTION("""COMPUTED_VALUE"""),"VBA")</f>
        <v>VBA</v>
      </c>
      <c r="G1415" s="9" t="str">
        <f>IFERROR(__xludf.DUMMYFUNCTION("""COMPUTED_VALUE"""),"JavaScript")</f>
        <v>JavaScript</v>
      </c>
      <c r="H1415" s="9" t="str">
        <f>IFERROR(__xludf.DUMMYFUNCTION("""COMPUTED_VALUE"""),"JavaScript")</f>
        <v>JavaScript</v>
      </c>
      <c r="I1415" s="9" t="str">
        <f>IFERROR(__xludf.DUMMYFUNCTION("""COMPUTED_VALUE"""),"Python")</f>
        <v>Python</v>
      </c>
      <c r="J1415" s="9" t="str">
        <f>IFERROR(__xludf.DUMMYFUNCTION("""COMPUTED_VALUE"""),"Assembly")</f>
        <v>Assembly</v>
      </c>
      <c r="K1415" s="9" t="str">
        <f>IFERROR(__xludf.DUMMYFUNCTION("""COMPUTED_VALUE"""),"TypeScript")</f>
        <v>TypeScript</v>
      </c>
      <c r="L1415" s="9" t="str">
        <f>IFERROR(__xludf.DUMMYFUNCTION("""COMPUTED_VALUE"""),"Python")</f>
        <v>Python</v>
      </c>
      <c r="M1415" s="9" t="s">
        <v>25</v>
      </c>
    </row>
    <row r="1416" ht="15.75" customHeight="1">
      <c r="A1416" s="7"/>
      <c r="B1416" s="7" t="str">
        <f>IFERROR(__xludf.DUMMYFUNCTION("""COMPUTED_VALUE"""),"Assembly;Bash/Shell/PowerShell;C;C++;C#;Go;HTML/CSS;Java;Python;Scala")</f>
        <v>Assembly;Bash/Shell/PowerShell;C;C++;C#;Go;HTML/CSS;Java;Python;Scala</v>
      </c>
      <c r="C1416" s="9" t="str">
        <f>IFERROR(__xludf.DUMMYFUNCTION("""COMPUTED_VALUE"""),"C++")</f>
        <v>C++</v>
      </c>
      <c r="D1416" s="9" t="str">
        <f>IFERROR(__xludf.DUMMYFUNCTION("""COMPUTED_VALUE"""),"PHP")</f>
        <v>PHP</v>
      </c>
      <c r="E1416" s="9" t="str">
        <f>IFERROR(__xludf.DUMMYFUNCTION("""COMPUTED_VALUE"""),"SQL")</f>
        <v>SQL</v>
      </c>
      <c r="F1416" s="9" t="str">
        <f>IFERROR(__xludf.DUMMYFUNCTION("""COMPUTED_VALUE"""),"Dart")</f>
        <v>Dart</v>
      </c>
      <c r="G1416" s="9" t="str">
        <f>IFERROR(__xludf.DUMMYFUNCTION("""COMPUTED_VALUE"""),"PHP")</f>
        <v>PHP</v>
      </c>
      <c r="H1416" s="9" t="str">
        <f>IFERROR(__xludf.DUMMYFUNCTION("""COMPUTED_VALUE"""),"R")</f>
        <v>R</v>
      </c>
      <c r="I1416" s="9" t="str">
        <f>IFERROR(__xludf.DUMMYFUNCTION("""COMPUTED_VALUE"""),"Python")</f>
        <v>Python</v>
      </c>
      <c r="J1416" s="9" t="str">
        <f>IFERROR(__xludf.DUMMYFUNCTION("""COMPUTED_VALUE"""),"C#")</f>
        <v>C#</v>
      </c>
      <c r="K1416" s="9" t="str">
        <f>IFERROR(__xludf.DUMMYFUNCTION("""COMPUTED_VALUE"""),"HTML/CSS")</f>
        <v>HTML/CSS</v>
      </c>
      <c r="L1416" s="9" t="str">
        <f>IFERROR(__xludf.DUMMYFUNCTION("""COMPUTED_VALUE"""),"Bash/Shell/PowerShell")</f>
        <v>Bash/Shell/PowerShell</v>
      </c>
      <c r="M1416" s="9" t="s">
        <v>23</v>
      </c>
    </row>
    <row r="1417" ht="15.75" customHeight="1">
      <c r="A1417" s="7"/>
      <c r="B1417" s="7" t="str">
        <f>IFERROR(__xludf.DUMMYFUNCTION("""COMPUTED_VALUE"""),"C#;HTML/CSS;JavaScript;SQL;TypeScript")</f>
        <v>C#;HTML/CSS;JavaScript;SQL;TypeScript</v>
      </c>
      <c r="C1417" s="9" t="str">
        <f>IFERROR(__xludf.DUMMYFUNCTION("""COMPUTED_VALUE"""),"C#")</f>
        <v>C#</v>
      </c>
      <c r="D1417" s="9" t="str">
        <f>IFERROR(__xludf.DUMMYFUNCTION("""COMPUTED_VALUE"""),"HTML/CSS")</f>
        <v>HTML/CSS</v>
      </c>
      <c r="E1417" s="9" t="str">
        <f>IFERROR(__xludf.DUMMYFUNCTION("""COMPUTED_VALUE"""),"Bash/Shell/PowerShell")</f>
        <v>Bash/Shell/PowerShell</v>
      </c>
      <c r="F1417" s="9" t="str">
        <f>IFERROR(__xludf.DUMMYFUNCTION("""COMPUTED_VALUE"""),"HTML/CSS")</f>
        <v>HTML/CSS</v>
      </c>
      <c r="G1417" s="9" t="str">
        <f>IFERROR(__xludf.DUMMYFUNCTION("""COMPUTED_VALUE"""),"SQL")</f>
        <v>SQL</v>
      </c>
      <c r="H1417" s="9" t="str">
        <f>IFERROR(__xludf.DUMMYFUNCTION("""COMPUTED_VALUE"""),"Elixir")</f>
        <v>Elixir</v>
      </c>
      <c r="I1417" s="9" t="str">
        <f>IFERROR(__xludf.DUMMYFUNCTION("""COMPUTED_VALUE"""),"SQL")</f>
        <v>SQL</v>
      </c>
      <c r="J1417" s="9" t="str">
        <f>IFERROR(__xludf.DUMMYFUNCTION("""COMPUTED_VALUE"""),"Clojure")</f>
        <v>Clojure</v>
      </c>
      <c r="K1417" s="9" t="str">
        <f>IFERROR(__xludf.DUMMYFUNCTION("""COMPUTED_VALUE"""),"JavaScript")</f>
        <v>JavaScript</v>
      </c>
      <c r="L1417" s="9" t="str">
        <f>IFERROR(__xludf.DUMMYFUNCTION("""COMPUTED_VALUE"""),"C")</f>
        <v>C</v>
      </c>
      <c r="M1417" s="9" t="s">
        <v>26</v>
      </c>
    </row>
    <row r="1418" ht="15.75" customHeight="1">
      <c r="A1418" s="7"/>
      <c r="B1418" s="7" t="str">
        <f>IFERROR(__xludf.DUMMYFUNCTION("""COMPUTED_VALUE"""),"HTML/CSS;JavaScript;PHP;SQL")</f>
        <v>HTML/CSS;JavaScript;PHP;SQL</v>
      </c>
      <c r="C1418" s="9" t="str">
        <f>IFERROR(__xludf.DUMMYFUNCTION("""COMPUTED_VALUE"""),"Java")</f>
        <v>Java</v>
      </c>
      <c r="D1418" s="9" t="str">
        <f>IFERROR(__xludf.DUMMYFUNCTION("""COMPUTED_VALUE"""),"JavaScript")</f>
        <v>JavaScript</v>
      </c>
      <c r="E1418" s="9" t="str">
        <f>IFERROR(__xludf.DUMMYFUNCTION("""COMPUTED_VALUE"""),"HTML/CSS")</f>
        <v>HTML/CSS</v>
      </c>
      <c r="F1418" s="9" t="str">
        <f>IFERROR(__xludf.DUMMYFUNCTION("""COMPUTED_VALUE"""),"JavaScript")</f>
        <v>JavaScript</v>
      </c>
      <c r="G1418" s="9" t="str">
        <f>IFERROR(__xludf.DUMMYFUNCTION("""COMPUTED_VALUE"""),"Bash/Shell/PowerShell")</f>
        <v>Bash/Shell/PowerShell</v>
      </c>
      <c r="H1418" s="9" t="str">
        <f>IFERROR(__xludf.DUMMYFUNCTION("""COMPUTED_VALUE"""),"HTML/CSS")</f>
        <v>HTML/CSS</v>
      </c>
      <c r="I1418" s="9" t="str">
        <f>IFERROR(__xludf.DUMMYFUNCTION("""COMPUTED_VALUE"""),"HTML/CSS")</f>
        <v>HTML/CSS</v>
      </c>
      <c r="J1418" s="9" t="str">
        <f>IFERROR(__xludf.DUMMYFUNCTION("""COMPUTED_VALUE"""),"HTML/CSS")</f>
        <v>HTML/CSS</v>
      </c>
      <c r="K1418" s="9" t="str">
        <f>IFERROR(__xludf.DUMMYFUNCTION("""COMPUTED_VALUE"""),"TypeScript")</f>
        <v>TypeScript</v>
      </c>
      <c r="L1418" s="9" t="str">
        <f>IFERROR(__xludf.DUMMYFUNCTION("""COMPUTED_VALUE"""),"C++")</f>
        <v>C++</v>
      </c>
      <c r="M1418" s="9" t="s">
        <v>20</v>
      </c>
    </row>
    <row r="1419" ht="15.75" customHeight="1">
      <c r="A1419" s="7"/>
      <c r="B1419" s="7" t="str">
        <f>IFERROR(__xludf.DUMMYFUNCTION("""COMPUTED_VALUE"""),"HTML/CSS;JavaScript;PHP;SQL")</f>
        <v>HTML/CSS;JavaScript;PHP;SQL</v>
      </c>
      <c r="C1419" s="9" t="str">
        <f>IFERROR(__xludf.DUMMYFUNCTION("""COMPUTED_VALUE"""),"C#")</f>
        <v>C#</v>
      </c>
      <c r="D1419" s="9" t="str">
        <f>IFERROR(__xludf.DUMMYFUNCTION("""COMPUTED_VALUE"""),"HTML/CSS")</f>
        <v>HTML/CSS</v>
      </c>
      <c r="E1419" s="9" t="str">
        <f>IFERROR(__xludf.DUMMYFUNCTION("""COMPUTED_VALUE"""),"JavaScript")</f>
        <v>JavaScript</v>
      </c>
      <c r="F1419" s="9" t="str">
        <f>IFERROR(__xludf.DUMMYFUNCTION("""COMPUTED_VALUE"""),"PHP")</f>
        <v>PHP</v>
      </c>
      <c r="G1419" s="9" t="str">
        <f>IFERROR(__xludf.DUMMYFUNCTION("""COMPUTED_VALUE"""),"C#")</f>
        <v>C#</v>
      </c>
      <c r="H1419" s="9" t="str">
        <f>IFERROR(__xludf.DUMMYFUNCTION("""COMPUTED_VALUE"""),"JavaScript")</f>
        <v>JavaScript</v>
      </c>
      <c r="I1419" s="9" t="str">
        <f>IFERROR(__xludf.DUMMYFUNCTION("""COMPUTED_VALUE"""),"Java")</f>
        <v>Java</v>
      </c>
      <c r="J1419" s="9" t="str">
        <f>IFERROR(__xludf.DUMMYFUNCTION("""COMPUTED_VALUE"""),"Java")</f>
        <v>Java</v>
      </c>
      <c r="K1419" s="9" t="str">
        <f>IFERROR(__xludf.DUMMYFUNCTION("""COMPUTED_VALUE"""),"C#")</f>
        <v>C#</v>
      </c>
      <c r="L1419" s="9" t="str">
        <f>IFERROR(__xludf.DUMMYFUNCTION("""COMPUTED_VALUE"""),"C#")</f>
        <v>C#</v>
      </c>
      <c r="M1419" s="9" t="s">
        <v>26</v>
      </c>
    </row>
    <row r="1420" ht="15.75" customHeight="1">
      <c r="A1420" s="7"/>
      <c r="B1420" s="7" t="str">
        <f>IFERROR(__xludf.DUMMYFUNCTION("""COMPUTED_VALUE"""),"C++;C#;HTML/CSS;JavaScript")</f>
        <v>C++;C#;HTML/CSS;JavaScript</v>
      </c>
      <c r="C1420" s="9" t="str">
        <f>IFERROR(__xludf.DUMMYFUNCTION("""COMPUTED_VALUE"""),"HTML/CSS")</f>
        <v>HTML/CSS</v>
      </c>
      <c r="D1420" s="9" t="str">
        <f>IFERROR(__xludf.DUMMYFUNCTION("""COMPUTED_VALUE"""),"JavaScript")</f>
        <v>JavaScript</v>
      </c>
      <c r="E1420" s="9" t="str">
        <f>IFERROR(__xludf.DUMMYFUNCTION("""COMPUTED_VALUE"""),"Python")</f>
        <v>Python</v>
      </c>
      <c r="F1420" s="9" t="str">
        <f>IFERROR(__xludf.DUMMYFUNCTION("""COMPUTED_VALUE"""),"SQL")</f>
        <v>SQL</v>
      </c>
      <c r="G1420" s="9" t="str">
        <f>IFERROR(__xludf.DUMMYFUNCTION("""COMPUTED_VALUE"""),"F#")</f>
        <v>F#</v>
      </c>
      <c r="H1420" s="9" t="str">
        <f>IFERROR(__xludf.DUMMYFUNCTION("""COMPUTED_VALUE"""),"Ruby")</f>
        <v>Ruby</v>
      </c>
      <c r="I1420" s="9" t="str">
        <f>IFERROR(__xludf.DUMMYFUNCTION("""COMPUTED_VALUE"""),"JavaScript")</f>
        <v>JavaScript</v>
      </c>
      <c r="J1420" s="9" t="str">
        <f>IFERROR(__xludf.DUMMYFUNCTION("""COMPUTED_VALUE"""),"JavaScript")</f>
        <v>JavaScript</v>
      </c>
      <c r="K1420" s="9" t="str">
        <f>IFERROR(__xludf.DUMMYFUNCTION("""COMPUTED_VALUE"""),"HTML/CSS")</f>
        <v>HTML/CSS</v>
      </c>
      <c r="L1420" s="9" t="str">
        <f>IFERROR(__xludf.DUMMYFUNCTION("""COMPUTED_VALUE"""),"Java")</f>
        <v>Java</v>
      </c>
      <c r="M1420" s="9" t="s">
        <v>24</v>
      </c>
    </row>
    <row r="1421" ht="15.75" customHeight="1">
      <c r="A1421" s="7"/>
      <c r="B1421" s="7" t="str">
        <f>IFERROR(__xludf.DUMMYFUNCTION("""COMPUTED_VALUE"""),"C#;Python;Rust")</f>
        <v>C#;Python;Rust</v>
      </c>
      <c r="C1421" s="9" t="str">
        <f>IFERROR(__xludf.DUMMYFUNCTION("""COMPUTED_VALUE"""),"JavaScript")</f>
        <v>JavaScript</v>
      </c>
      <c r="D1421" s="9" t="str">
        <f>IFERROR(__xludf.DUMMYFUNCTION("""COMPUTED_VALUE"""),"PHP")</f>
        <v>PHP</v>
      </c>
      <c r="E1421" s="9" t="str">
        <f>IFERROR(__xludf.DUMMYFUNCTION("""COMPUTED_VALUE"""),"HTML/CSS")</f>
        <v>HTML/CSS</v>
      </c>
      <c r="F1421" s="9" t="str">
        <f>IFERROR(__xludf.DUMMYFUNCTION("""COMPUTED_VALUE"""),"Other(s):")</f>
        <v>Other(s):</v>
      </c>
      <c r="G1421" s="9" t="str">
        <f>IFERROR(__xludf.DUMMYFUNCTION("""COMPUTED_VALUE"""),"HTML/CSS")</f>
        <v>HTML/CSS</v>
      </c>
      <c r="H1421" s="9" t="str">
        <f>IFERROR(__xludf.DUMMYFUNCTION("""COMPUTED_VALUE"""),"TypeScript")</f>
        <v>TypeScript</v>
      </c>
      <c r="I1421" s="9" t="str">
        <f>IFERROR(__xludf.DUMMYFUNCTION("""COMPUTED_VALUE"""),"Other(s):")</f>
        <v>Other(s):</v>
      </c>
      <c r="J1421" s="9" t="str">
        <f>IFERROR(__xludf.DUMMYFUNCTION("""COMPUTED_VALUE"""),"Kotlin")</f>
        <v>Kotlin</v>
      </c>
      <c r="K1421" s="9" t="str">
        <f>IFERROR(__xludf.DUMMYFUNCTION("""COMPUTED_VALUE"""),"JavaScript")</f>
        <v>JavaScript</v>
      </c>
      <c r="L1421" s="9" t="str">
        <f>IFERROR(__xludf.DUMMYFUNCTION("""COMPUTED_VALUE"""),"Bash/Shell/PowerShell")</f>
        <v>Bash/Shell/PowerShell</v>
      </c>
      <c r="M1421" s="9" t="s">
        <v>21</v>
      </c>
    </row>
    <row r="1422" ht="15.75" customHeight="1">
      <c r="A1422" s="7"/>
      <c r="B1422" s="7" t="str">
        <f>IFERROR(__xludf.DUMMYFUNCTION("""COMPUTED_VALUE"""),"HTML/CSS;JavaScript;PHP;SQL")</f>
        <v>HTML/CSS;JavaScript;PHP;SQL</v>
      </c>
      <c r="C1422" s="9" t="str">
        <f>IFERROR(__xludf.DUMMYFUNCTION("""COMPUTED_VALUE"""),"PHP")</f>
        <v>PHP</v>
      </c>
      <c r="D1422" s="9" t="str">
        <f>IFERROR(__xludf.DUMMYFUNCTION("""COMPUTED_VALUE"""),"HTML/CSS")</f>
        <v>HTML/CSS</v>
      </c>
      <c r="E1422" s="9" t="str">
        <f>IFERROR(__xludf.DUMMYFUNCTION("""COMPUTED_VALUE"""),"Java")</f>
        <v>Java</v>
      </c>
      <c r="F1422" s="9" t="str">
        <f>IFERROR(__xludf.DUMMYFUNCTION("""COMPUTED_VALUE"""),"HTML/CSS")</f>
        <v>HTML/CSS</v>
      </c>
      <c r="G1422" s="9" t="str">
        <f>IFERROR(__xludf.DUMMYFUNCTION("""COMPUTED_VALUE"""),"JavaScript")</f>
        <v>JavaScript</v>
      </c>
      <c r="H1422" s="9" t="str">
        <f>IFERROR(__xludf.DUMMYFUNCTION("""COMPUTED_VALUE"""),"Assembly")</f>
        <v>Assembly</v>
      </c>
      <c r="I1422" s="9" t="str">
        <f>IFERROR(__xludf.DUMMYFUNCTION("""COMPUTED_VALUE"""),"C++")</f>
        <v>C++</v>
      </c>
      <c r="J1422" s="9" t="str">
        <f>IFERROR(__xludf.DUMMYFUNCTION("""COMPUTED_VALUE"""),"PHP")</f>
        <v>PHP</v>
      </c>
      <c r="K1422" s="9" t="str">
        <f>IFERROR(__xludf.DUMMYFUNCTION("""COMPUTED_VALUE"""),"SQL")</f>
        <v>SQL</v>
      </c>
      <c r="L1422" s="9" t="str">
        <f>IFERROR(__xludf.DUMMYFUNCTION("""COMPUTED_VALUE"""),"HTML/CSS")</f>
        <v>HTML/CSS</v>
      </c>
      <c r="M1422" s="9" t="s">
        <v>37</v>
      </c>
    </row>
    <row r="1423" ht="15.75" customHeight="1">
      <c r="A1423" s="7"/>
      <c r="B1423" s="7" t="str">
        <f>IFERROR(__xludf.DUMMYFUNCTION("""COMPUTED_VALUE"""),"Bash/Shell/PowerShell;Java;JavaScript;Python;SQL")</f>
        <v>Bash/Shell/PowerShell;Java;JavaScript;Python;SQL</v>
      </c>
      <c r="C1423" s="9" t="str">
        <f>IFERROR(__xludf.DUMMYFUNCTION("""COMPUTED_VALUE"""),"SQL")</f>
        <v>SQL</v>
      </c>
      <c r="D1423" s="9" t="str">
        <f>IFERROR(__xludf.DUMMYFUNCTION("""COMPUTED_VALUE"""),"Java")</f>
        <v>Java</v>
      </c>
      <c r="E1423" s="9" t="str">
        <f>IFERROR(__xludf.DUMMYFUNCTION("""COMPUTED_VALUE"""),"JavaScript")</f>
        <v>JavaScript</v>
      </c>
      <c r="F1423" s="9" t="str">
        <f>IFERROR(__xludf.DUMMYFUNCTION("""COMPUTED_VALUE"""),"Java")</f>
        <v>Java</v>
      </c>
      <c r="G1423" s="9" t="str">
        <f>IFERROR(__xludf.DUMMYFUNCTION("""COMPUTED_VALUE"""),"SQL")</f>
        <v>SQL</v>
      </c>
      <c r="H1423" s="9" t="str">
        <f>IFERROR(__xludf.DUMMYFUNCTION("""COMPUTED_VALUE"""),"Bash/Shell/PowerShell")</f>
        <v>Bash/Shell/PowerShell</v>
      </c>
      <c r="I1423" s="9" t="str">
        <f>IFERROR(__xludf.DUMMYFUNCTION("""COMPUTED_VALUE"""),"PHP")</f>
        <v>PHP</v>
      </c>
      <c r="J1423" s="9" t="str">
        <f>IFERROR(__xludf.DUMMYFUNCTION("""COMPUTED_VALUE"""),"Swift")</f>
        <v>Swift</v>
      </c>
      <c r="K1423" s="9" t="str">
        <f>IFERROR(__xludf.DUMMYFUNCTION("""COMPUTED_VALUE"""),"Java")</f>
        <v>Java</v>
      </c>
      <c r="L1423" s="9" t="str">
        <f>IFERROR(__xludf.DUMMYFUNCTION("""COMPUTED_VALUE"""),"JavaScript")</f>
        <v>JavaScript</v>
      </c>
      <c r="M1423" s="9" t="s">
        <v>27</v>
      </c>
    </row>
    <row r="1424" ht="15.75" customHeight="1">
      <c r="A1424" s="7"/>
      <c r="B1424" s="7" t="str">
        <f>IFERROR(__xludf.DUMMYFUNCTION("""COMPUTED_VALUE"""),"C++;Java;Kotlin;Python;SQL")</f>
        <v>C++;Java;Kotlin;Python;SQL</v>
      </c>
      <c r="C1424" s="9" t="str">
        <f>IFERROR(__xludf.DUMMYFUNCTION("""COMPUTED_VALUE"""),"Dart")</f>
        <v>Dart</v>
      </c>
      <c r="D1424" s="9" t="str">
        <f>IFERROR(__xludf.DUMMYFUNCTION("""COMPUTED_VALUE"""),"JavaScript")</f>
        <v>JavaScript</v>
      </c>
      <c r="E1424" s="9" t="str">
        <f>IFERROR(__xludf.DUMMYFUNCTION("""COMPUTED_VALUE"""),"TypeScript")</f>
        <v>TypeScript</v>
      </c>
      <c r="F1424" s="9" t="str">
        <f>IFERROR(__xludf.DUMMYFUNCTION("""COMPUTED_VALUE"""),"JavaScript")</f>
        <v>JavaScript</v>
      </c>
      <c r="G1424" s="9" t="str">
        <f>IFERROR(__xludf.DUMMYFUNCTION("""COMPUTED_VALUE"""),"TypeScript")</f>
        <v>TypeScript</v>
      </c>
      <c r="H1424" s="9" t="str">
        <f>IFERROR(__xludf.DUMMYFUNCTION("""COMPUTED_VALUE"""),"C")</f>
        <v>C</v>
      </c>
      <c r="I1424" s="9" t="str">
        <f>IFERROR(__xludf.DUMMYFUNCTION("""COMPUTED_VALUE"""),"Bash/Shell/PowerShell")</f>
        <v>Bash/Shell/PowerShell</v>
      </c>
      <c r="J1424" s="9" t="str">
        <f>IFERROR(__xludf.DUMMYFUNCTION("""COMPUTED_VALUE"""),"TypeScript")</f>
        <v>TypeScript</v>
      </c>
      <c r="K1424" s="9" t="str">
        <f>IFERROR(__xludf.DUMMYFUNCTION("""COMPUTED_VALUE"""),"Rust")</f>
        <v>Rust</v>
      </c>
      <c r="L1424" s="9" t="str">
        <f>IFERROR(__xludf.DUMMYFUNCTION("""COMPUTED_VALUE"""),"PHP")</f>
        <v>PHP</v>
      </c>
      <c r="M1424" s="9" t="s">
        <v>47</v>
      </c>
    </row>
    <row r="1425" ht="15.75" customHeight="1">
      <c r="A1425" s="7"/>
      <c r="B1425" s="7" t="str">
        <f>IFERROR(__xludf.DUMMYFUNCTION("""COMPUTED_VALUE"""),"C;C++;C#;Java;SQL;VBA")</f>
        <v>C;C++;C#;Java;SQL;VBA</v>
      </c>
      <c r="C1425" s="9" t="str">
        <f>IFERROR(__xludf.DUMMYFUNCTION("""COMPUTED_VALUE"""),"HTML/CSS")</f>
        <v>HTML/CSS</v>
      </c>
      <c r="D1425" s="9" t="str">
        <f>IFERROR(__xludf.DUMMYFUNCTION("""COMPUTED_VALUE"""),"SQL")</f>
        <v>SQL</v>
      </c>
      <c r="E1425" s="9" t="str">
        <f>IFERROR(__xludf.DUMMYFUNCTION("""COMPUTED_VALUE"""),"WebAssembly")</f>
        <v>WebAssembly</v>
      </c>
      <c r="F1425" s="9" t="str">
        <f>IFERROR(__xludf.DUMMYFUNCTION("""COMPUTED_VALUE"""),"PHP")</f>
        <v>PHP</v>
      </c>
      <c r="G1425" s="9" t="str">
        <f>IFERROR(__xludf.DUMMYFUNCTION("""COMPUTED_VALUE"""),"JavaScript")</f>
        <v>JavaScript</v>
      </c>
      <c r="H1425" s="9" t="str">
        <f>IFERROR(__xludf.DUMMYFUNCTION("""COMPUTED_VALUE"""),"C#")</f>
        <v>C#</v>
      </c>
      <c r="I1425" s="9" t="str">
        <f>IFERROR(__xludf.DUMMYFUNCTION("""COMPUTED_VALUE"""),"HTML/CSS")</f>
        <v>HTML/CSS</v>
      </c>
      <c r="J1425" s="9" t="str">
        <f>IFERROR(__xludf.DUMMYFUNCTION("""COMPUTED_VALUE"""),"HTML/CSS")</f>
        <v>HTML/CSS</v>
      </c>
      <c r="K1425" s="9" t="str">
        <f>IFERROR(__xludf.DUMMYFUNCTION("""COMPUTED_VALUE"""),"C#")</f>
        <v>C#</v>
      </c>
      <c r="L1425" s="9" t="str">
        <f>IFERROR(__xludf.DUMMYFUNCTION("""COMPUTED_VALUE"""),"Python")</f>
        <v>Python</v>
      </c>
      <c r="M1425" s="9" t="s">
        <v>24</v>
      </c>
    </row>
    <row r="1426" ht="15.75" customHeight="1">
      <c r="A1426" s="7"/>
      <c r="B1426" s="7" t="str">
        <f>IFERROR(__xludf.DUMMYFUNCTION("""COMPUTED_VALUE"""),"HTML/CSS;JavaScript;PHP;SQL")</f>
        <v>HTML/CSS;JavaScript;PHP;SQL</v>
      </c>
      <c r="C1426" s="9" t="str">
        <f>IFERROR(__xludf.DUMMYFUNCTION("""COMPUTED_VALUE"""),"JavaScript")</f>
        <v>JavaScript</v>
      </c>
      <c r="D1426" s="9" t="str">
        <f>IFERROR(__xludf.DUMMYFUNCTION("""COMPUTED_VALUE"""),"TypeScript")</f>
        <v>TypeScript</v>
      </c>
      <c r="E1426" s="9" t="str">
        <f>IFERROR(__xludf.DUMMYFUNCTION("""COMPUTED_VALUE"""),"Bash/Shell/PowerShell")</f>
        <v>Bash/Shell/PowerShell</v>
      </c>
      <c r="F1426" s="9" t="str">
        <f>IFERROR(__xludf.DUMMYFUNCTION("""COMPUTED_VALUE"""),"SQL")</f>
        <v>SQL</v>
      </c>
      <c r="G1426" s="9" t="str">
        <f>IFERROR(__xludf.DUMMYFUNCTION("""COMPUTED_VALUE"""),"Ruby")</f>
        <v>Ruby</v>
      </c>
      <c r="H1426" s="9" t="str">
        <f>IFERROR(__xludf.DUMMYFUNCTION("""COMPUTED_VALUE"""),"HTML/CSS")</f>
        <v>HTML/CSS</v>
      </c>
      <c r="I1426" s="9" t="str">
        <f>IFERROR(__xludf.DUMMYFUNCTION("""COMPUTED_VALUE"""),"Java")</f>
        <v>Java</v>
      </c>
      <c r="J1426" s="9" t="str">
        <f>IFERROR(__xludf.DUMMYFUNCTION("""COMPUTED_VALUE"""),"JavaScript")</f>
        <v>JavaScript</v>
      </c>
      <c r="K1426" s="9" t="str">
        <f>IFERROR(__xludf.DUMMYFUNCTION("""COMPUTED_VALUE"""),"HTML/CSS")</f>
        <v>HTML/CSS</v>
      </c>
      <c r="L1426" s="9" t="str">
        <f>IFERROR(__xludf.DUMMYFUNCTION("""COMPUTED_VALUE"""),"Rust")</f>
        <v>Rust</v>
      </c>
      <c r="M1426" s="9" t="s">
        <v>21</v>
      </c>
    </row>
    <row r="1427" ht="15.75" customHeight="1">
      <c r="A1427" s="7"/>
      <c r="B1427" s="7" t="str">
        <f>IFERROR(__xludf.DUMMYFUNCTION("""COMPUTED_VALUE"""),"C#;HTML/CSS;Java;JavaScript;PHP")</f>
        <v>C#;HTML/CSS;Java;JavaScript;PHP</v>
      </c>
      <c r="C1427" s="9" t="str">
        <f>IFERROR(__xludf.DUMMYFUNCTION("""COMPUTED_VALUE"""),"Python")</f>
        <v>Python</v>
      </c>
      <c r="D1427" s="9" t="str">
        <f>IFERROR(__xludf.DUMMYFUNCTION("""COMPUTED_VALUE"""),"Python")</f>
        <v>Python</v>
      </c>
      <c r="E1427" s="9" t="str">
        <f>IFERROR(__xludf.DUMMYFUNCTION("""COMPUTED_VALUE"""),"C#")</f>
        <v>C#</v>
      </c>
      <c r="F1427" s="9" t="str">
        <f>IFERROR(__xludf.DUMMYFUNCTION("""COMPUTED_VALUE"""),"TypeScript")</f>
        <v>TypeScript</v>
      </c>
      <c r="G1427" s="9" t="str">
        <f>IFERROR(__xludf.DUMMYFUNCTION("""COMPUTED_VALUE"""),"HTML/CSS")</f>
        <v>HTML/CSS</v>
      </c>
      <c r="H1427" s="9" t="str">
        <f>IFERROR(__xludf.DUMMYFUNCTION("""COMPUTED_VALUE"""),"Java")</f>
        <v>Java</v>
      </c>
      <c r="I1427" s="9" t="str">
        <f>IFERROR(__xludf.DUMMYFUNCTION("""COMPUTED_VALUE"""),"JavaScript")</f>
        <v>JavaScript</v>
      </c>
      <c r="J1427" s="9" t="str">
        <f>IFERROR(__xludf.DUMMYFUNCTION("""COMPUTED_VALUE"""),"Bash/Shell/PowerShell")</f>
        <v>Bash/Shell/PowerShell</v>
      </c>
      <c r="K1427" s="9" t="str">
        <f>IFERROR(__xludf.DUMMYFUNCTION("""COMPUTED_VALUE"""),"JavaScript")</f>
        <v>JavaScript</v>
      </c>
      <c r="L1427" s="9" t="str">
        <f>IFERROR(__xludf.DUMMYFUNCTION("""COMPUTED_VALUE"""),"SQL")</f>
        <v>SQL</v>
      </c>
      <c r="M1427" s="9" t="s">
        <v>22</v>
      </c>
    </row>
    <row r="1428" ht="15.75" customHeight="1">
      <c r="A1428" s="7"/>
      <c r="B1428" s="7" t="str">
        <f>IFERROR(__xludf.DUMMYFUNCTION("""COMPUTED_VALUE"""),"HTML/CSS;JavaScript;PHP;Python;Swift")</f>
        <v>HTML/CSS;JavaScript;PHP;Python;Swift</v>
      </c>
      <c r="C1428" s="9" t="str">
        <f>IFERROR(__xludf.DUMMYFUNCTION("""COMPUTED_VALUE"""),"TypeScript")</f>
        <v>TypeScript</v>
      </c>
      <c r="D1428" s="9" t="str">
        <f>IFERROR(__xludf.DUMMYFUNCTION("""COMPUTED_VALUE"""),"SQL")</f>
        <v>SQL</v>
      </c>
      <c r="E1428" s="9" t="str">
        <f>IFERROR(__xludf.DUMMYFUNCTION("""COMPUTED_VALUE"""),"Erlang")</f>
        <v>Erlang</v>
      </c>
      <c r="F1428" s="9" t="str">
        <f>IFERROR(__xludf.DUMMYFUNCTION("""COMPUTED_VALUE"""),"HTML/CSS")</f>
        <v>HTML/CSS</v>
      </c>
      <c r="G1428" s="9" t="str">
        <f>IFERROR(__xludf.DUMMYFUNCTION("""COMPUTED_VALUE"""),"Java")</f>
        <v>Java</v>
      </c>
      <c r="H1428" s="9" t="str">
        <f>IFERROR(__xludf.DUMMYFUNCTION("""COMPUTED_VALUE"""),"JavaScript")</f>
        <v>JavaScript</v>
      </c>
      <c r="I1428" s="9" t="str">
        <f>IFERROR(__xludf.DUMMYFUNCTION("""COMPUTED_VALUE"""),"SQL")</f>
        <v>SQL</v>
      </c>
      <c r="J1428" s="9" t="str">
        <f>IFERROR(__xludf.DUMMYFUNCTION("""COMPUTED_VALUE"""),"C")</f>
        <v>C</v>
      </c>
      <c r="K1428" s="9" t="str">
        <f>IFERROR(__xludf.DUMMYFUNCTION("""COMPUTED_VALUE"""),"SQL")</f>
        <v>SQL</v>
      </c>
      <c r="L1428" s="9" t="str">
        <f>IFERROR(__xludf.DUMMYFUNCTION("""COMPUTED_VALUE"""),"Other(s):")</f>
        <v>Other(s):</v>
      </c>
      <c r="M1428" s="9" t="s">
        <v>33</v>
      </c>
    </row>
    <row r="1429" ht="15.75" customHeight="1">
      <c r="A1429" s="7"/>
      <c r="B1429" s="7" t="str">
        <f>IFERROR(__xludf.DUMMYFUNCTION("""COMPUTED_VALUE"""),"Bash/Shell/PowerShell;PHP")</f>
        <v>Bash/Shell/PowerShell;PHP</v>
      </c>
      <c r="C1429" s="9" t="str">
        <f>IFERROR(__xludf.DUMMYFUNCTION("""COMPUTED_VALUE"""),"Other(s):")</f>
        <v>Other(s):</v>
      </c>
      <c r="D1429" s="9" t="str">
        <f>IFERROR(__xludf.DUMMYFUNCTION("""COMPUTED_VALUE"""),"Bash/Shell/PowerShell")</f>
        <v>Bash/Shell/PowerShell</v>
      </c>
      <c r="E1429" s="9" t="str">
        <f>IFERROR(__xludf.DUMMYFUNCTION("""COMPUTED_VALUE"""),"HTML/CSS")</f>
        <v>HTML/CSS</v>
      </c>
      <c r="F1429" s="9" t="str">
        <f>IFERROR(__xludf.DUMMYFUNCTION("""COMPUTED_VALUE"""),"JavaScript")</f>
        <v>JavaScript</v>
      </c>
      <c r="G1429" s="9" t="str">
        <f>IFERROR(__xludf.DUMMYFUNCTION("""COMPUTED_VALUE"""),"JavaScript")</f>
        <v>JavaScript</v>
      </c>
      <c r="H1429" s="9" t="str">
        <f>IFERROR(__xludf.DUMMYFUNCTION("""COMPUTED_VALUE"""),"Python")</f>
        <v>Python</v>
      </c>
      <c r="I1429" s="9" t="str">
        <f>IFERROR(__xludf.DUMMYFUNCTION("""COMPUTED_VALUE"""),"Other(s):")</f>
        <v>Other(s):</v>
      </c>
      <c r="J1429" s="9" t="str">
        <f>IFERROR(__xludf.DUMMYFUNCTION("""COMPUTED_VALUE"""),"C#")</f>
        <v>C#</v>
      </c>
      <c r="K1429" s="9" t="str">
        <f>IFERROR(__xludf.DUMMYFUNCTION("""COMPUTED_VALUE"""),"TypeScript")</f>
        <v>TypeScript</v>
      </c>
      <c r="L1429" s="9" t="str">
        <f>IFERROR(__xludf.DUMMYFUNCTION("""COMPUTED_VALUE"""),"C")</f>
        <v>C</v>
      </c>
      <c r="M1429" s="9" t="s">
        <v>35</v>
      </c>
    </row>
    <row r="1430" ht="15.75" customHeight="1">
      <c r="A1430" s="7"/>
      <c r="B1430" s="7" t="str">
        <f>IFERROR(__xludf.DUMMYFUNCTION("""COMPUTED_VALUE"""),"C#;JavaScript;SQL;TypeScript")</f>
        <v>C#;JavaScript;SQL;TypeScript</v>
      </c>
      <c r="C1430" s="9" t="str">
        <f>IFERROR(__xludf.DUMMYFUNCTION("""COMPUTED_VALUE"""),"Java")</f>
        <v>Java</v>
      </c>
      <c r="D1430" s="9" t="str">
        <f>IFERROR(__xludf.DUMMYFUNCTION("""COMPUTED_VALUE"""),"HTML/CSS")</f>
        <v>HTML/CSS</v>
      </c>
      <c r="E1430" s="9" t="str">
        <f>IFERROR(__xludf.DUMMYFUNCTION("""COMPUTED_VALUE"""),"JavaScript")</f>
        <v>JavaScript</v>
      </c>
      <c r="F1430" s="9" t="str">
        <f>IFERROR(__xludf.DUMMYFUNCTION("""COMPUTED_VALUE"""),"PHP")</f>
        <v>PHP</v>
      </c>
      <c r="G1430" s="9" t="str">
        <f>IFERROR(__xludf.DUMMYFUNCTION("""COMPUTED_VALUE"""),"Python")</f>
        <v>Python</v>
      </c>
      <c r="H1430" s="9" t="str">
        <f>IFERROR(__xludf.DUMMYFUNCTION("""COMPUTED_VALUE"""),"R")</f>
        <v>R</v>
      </c>
      <c r="I1430" s="9" t="str">
        <f>IFERROR(__xludf.DUMMYFUNCTION("""COMPUTED_VALUE"""),"Bash/Shell/PowerShell")</f>
        <v>Bash/Shell/PowerShell</v>
      </c>
      <c r="J1430" s="9" t="str">
        <f>IFERROR(__xludf.DUMMYFUNCTION("""COMPUTED_VALUE"""),"HTML/CSS")</f>
        <v>HTML/CSS</v>
      </c>
      <c r="K1430" s="9" t="str">
        <f>IFERROR(__xludf.DUMMYFUNCTION("""COMPUTED_VALUE"""),"C#")</f>
        <v>C#</v>
      </c>
      <c r="L1430" s="9" t="str">
        <f>IFERROR(__xludf.DUMMYFUNCTION("""COMPUTED_VALUE"""),"JavaScript")</f>
        <v>JavaScript</v>
      </c>
      <c r="M1430" s="9" t="s">
        <v>20</v>
      </c>
    </row>
    <row r="1431" ht="15.75" customHeight="1">
      <c r="A1431" s="7"/>
      <c r="B1431" s="7" t="str">
        <f>IFERROR(__xludf.DUMMYFUNCTION("""COMPUTED_VALUE"""),"HTML/CSS;Java;Kotlin;Python;SQL")</f>
        <v>HTML/CSS;Java;Kotlin;Python;SQL</v>
      </c>
      <c r="C1431" s="9" t="str">
        <f>IFERROR(__xludf.DUMMYFUNCTION("""COMPUTED_VALUE"""),"Kotlin")</f>
        <v>Kotlin</v>
      </c>
      <c r="D1431" s="9" t="str">
        <f>IFERROR(__xludf.DUMMYFUNCTION("""COMPUTED_VALUE"""),"JavaScript")</f>
        <v>JavaScript</v>
      </c>
      <c r="E1431" s="9" t="str">
        <f>IFERROR(__xludf.DUMMYFUNCTION("""COMPUTED_VALUE"""),"Python")</f>
        <v>Python</v>
      </c>
      <c r="F1431" s="9" t="str">
        <f>IFERROR(__xludf.DUMMYFUNCTION("""COMPUTED_VALUE"""),"TypeScript")</f>
        <v>TypeScript</v>
      </c>
      <c r="G1431" s="9" t="str">
        <f>IFERROR(__xludf.DUMMYFUNCTION("""COMPUTED_VALUE"""),"SQL")</f>
        <v>SQL</v>
      </c>
      <c r="H1431" s="9" t="str">
        <f>IFERROR(__xludf.DUMMYFUNCTION("""COMPUTED_VALUE"""),"Bash/Shell/PowerShell")</f>
        <v>Bash/Shell/PowerShell</v>
      </c>
      <c r="I1431" s="9" t="str">
        <f>IFERROR(__xludf.DUMMYFUNCTION("""COMPUTED_VALUE"""),"C++")</f>
        <v>C++</v>
      </c>
      <c r="J1431" s="9" t="str">
        <f>IFERROR(__xludf.DUMMYFUNCTION("""COMPUTED_VALUE"""),"PHP")</f>
        <v>PHP</v>
      </c>
      <c r="K1431" s="9" t="str">
        <f>IFERROR(__xludf.DUMMYFUNCTION("""COMPUTED_VALUE"""),"HTML/CSS")</f>
        <v>HTML/CSS</v>
      </c>
      <c r="L1431" s="9" t="str">
        <f>IFERROR(__xludf.DUMMYFUNCTION("""COMPUTED_VALUE"""),"Python")</f>
        <v>Python</v>
      </c>
      <c r="M1431" s="9" t="s">
        <v>39</v>
      </c>
    </row>
    <row r="1432" ht="15.75" customHeight="1">
      <c r="A1432" s="7"/>
      <c r="B1432" s="7" t="str">
        <f>IFERROR(__xludf.DUMMYFUNCTION("""COMPUTED_VALUE"""),"Bash/Shell/PowerShell;HTML/CSS;Java;JavaScript;PHP;Python;SQL")</f>
        <v>Bash/Shell/PowerShell;HTML/CSS;Java;JavaScript;PHP;Python;SQL</v>
      </c>
      <c r="C1432" s="9" t="str">
        <f>IFERROR(__xludf.DUMMYFUNCTION("""COMPUTED_VALUE"""),"HTML/CSS")</f>
        <v>HTML/CSS</v>
      </c>
      <c r="D1432" s="9" t="str">
        <f>IFERROR(__xludf.DUMMYFUNCTION("""COMPUTED_VALUE"""),"Python")</f>
        <v>Python</v>
      </c>
      <c r="E1432" s="9" t="str">
        <f>IFERROR(__xludf.DUMMYFUNCTION("""COMPUTED_VALUE"""),"SQL")</f>
        <v>SQL</v>
      </c>
      <c r="F1432" s="9" t="str">
        <f>IFERROR(__xludf.DUMMYFUNCTION("""COMPUTED_VALUE"""),"Bash/Shell/PowerShell")</f>
        <v>Bash/Shell/PowerShell</v>
      </c>
      <c r="G1432" s="9" t="str">
        <f>IFERROR(__xludf.DUMMYFUNCTION("""COMPUTED_VALUE"""),"TypeScript")</f>
        <v>TypeScript</v>
      </c>
      <c r="H1432" s="9" t="str">
        <f>IFERROR(__xludf.DUMMYFUNCTION("""COMPUTED_VALUE"""),"Java")</f>
        <v>Java</v>
      </c>
      <c r="I1432" s="9" t="str">
        <f>IFERROR(__xludf.DUMMYFUNCTION("""COMPUTED_VALUE"""),"Python")</f>
        <v>Python</v>
      </c>
      <c r="J1432" s="9" t="str">
        <f>IFERROR(__xludf.DUMMYFUNCTION("""COMPUTED_VALUE"""),"Python")</f>
        <v>Python</v>
      </c>
      <c r="K1432" s="9" t="str">
        <f>IFERROR(__xludf.DUMMYFUNCTION("""COMPUTED_VALUE"""),"Java")</f>
        <v>Java</v>
      </c>
      <c r="L1432" s="9" t="str">
        <f>IFERROR(__xludf.DUMMYFUNCTION("""COMPUTED_VALUE"""),"SQL")</f>
        <v>SQL</v>
      </c>
      <c r="M1432" s="9" t="s">
        <v>24</v>
      </c>
    </row>
    <row r="1433" ht="15.75" customHeight="1">
      <c r="A1433" s="7"/>
      <c r="B1433" s="7" t="str">
        <f>IFERROR(__xludf.DUMMYFUNCTION("""COMPUTED_VALUE"""),"Bash/Shell/PowerShell;HTML/CSS;Java;JavaScript;PHP;Python;R;Scala;SQL;VBA")</f>
        <v>Bash/Shell/PowerShell;HTML/CSS;Java;JavaScript;PHP;Python;R;Scala;SQL;VBA</v>
      </c>
      <c r="C1433" s="9" t="str">
        <f>IFERROR(__xludf.DUMMYFUNCTION("""COMPUTED_VALUE"""),"JavaScript")</f>
        <v>JavaScript</v>
      </c>
      <c r="D1433" s="9" t="str">
        <f>IFERROR(__xludf.DUMMYFUNCTION("""COMPUTED_VALUE"""),"Scala")</f>
        <v>Scala</v>
      </c>
      <c r="E1433" s="9" t="str">
        <f>IFERROR(__xludf.DUMMYFUNCTION("""COMPUTED_VALUE"""),"TypeScript")</f>
        <v>TypeScript</v>
      </c>
      <c r="F1433" s="9" t="str">
        <f>IFERROR(__xludf.DUMMYFUNCTION("""COMPUTED_VALUE"""),"C")</f>
        <v>C</v>
      </c>
      <c r="G1433" s="9" t="str">
        <f>IFERROR(__xludf.DUMMYFUNCTION("""COMPUTED_VALUE"""),"HTML/CSS")</f>
        <v>HTML/CSS</v>
      </c>
      <c r="H1433" s="9" t="str">
        <f>IFERROR(__xludf.DUMMYFUNCTION("""COMPUTED_VALUE"""),"Bash/Shell/PowerShell")</f>
        <v>Bash/Shell/PowerShell</v>
      </c>
      <c r="I1433" s="9" t="str">
        <f>IFERROR(__xludf.DUMMYFUNCTION("""COMPUTED_VALUE"""),"R")</f>
        <v>R</v>
      </c>
      <c r="J1433" s="9" t="str">
        <f>IFERROR(__xludf.DUMMYFUNCTION("""COMPUTED_VALUE"""),"Ruby")</f>
        <v>Ruby</v>
      </c>
      <c r="K1433" s="9" t="str">
        <f>IFERROR(__xludf.DUMMYFUNCTION("""COMPUTED_VALUE"""),"JavaScript")</f>
        <v>JavaScript</v>
      </c>
      <c r="L1433" s="9" t="str">
        <f>IFERROR(__xludf.DUMMYFUNCTION("""COMPUTED_VALUE"""),"Java")</f>
        <v>Java</v>
      </c>
      <c r="M1433" s="9" t="s">
        <v>21</v>
      </c>
    </row>
    <row r="1434" ht="15.75" customHeight="1">
      <c r="A1434" s="7"/>
      <c r="B1434" s="7" t="str">
        <f>IFERROR(__xludf.DUMMYFUNCTION("""COMPUTED_VALUE"""),"Bash/Shell/PowerShell;C#;HTML/CSS;Java;JavaScript;Python;SQL")</f>
        <v>Bash/Shell/PowerShell;C#;HTML/CSS;Java;JavaScript;Python;SQL</v>
      </c>
      <c r="C1434" s="9" t="str">
        <f>IFERROR(__xludf.DUMMYFUNCTION("""COMPUTED_VALUE"""),"PHP")</f>
        <v>PHP</v>
      </c>
      <c r="D1434" s="9" t="str">
        <f>IFERROR(__xludf.DUMMYFUNCTION("""COMPUTED_VALUE"""),"SQL")</f>
        <v>SQL</v>
      </c>
      <c r="E1434" s="9" t="str">
        <f>IFERROR(__xludf.DUMMYFUNCTION("""COMPUTED_VALUE"""),"C#")</f>
        <v>C#</v>
      </c>
      <c r="F1434" s="9" t="str">
        <f>IFERROR(__xludf.DUMMYFUNCTION("""COMPUTED_VALUE"""),"C++")</f>
        <v>C++</v>
      </c>
      <c r="G1434" s="9" t="str">
        <f>IFERROR(__xludf.DUMMYFUNCTION("""COMPUTED_VALUE"""),"Java")</f>
        <v>Java</v>
      </c>
      <c r="H1434" s="9" t="str">
        <f>IFERROR(__xludf.DUMMYFUNCTION("""COMPUTED_VALUE"""),"HTML/CSS")</f>
        <v>HTML/CSS</v>
      </c>
      <c r="I1434" s="9" t="str">
        <f>IFERROR(__xludf.DUMMYFUNCTION("""COMPUTED_VALUE"""),"Bash/Shell/PowerShell")</f>
        <v>Bash/Shell/PowerShell</v>
      </c>
      <c r="J1434" s="9" t="str">
        <f>IFERROR(__xludf.DUMMYFUNCTION("""COMPUTED_VALUE"""),"Rust")</f>
        <v>Rust</v>
      </c>
      <c r="K1434" s="9" t="str">
        <f>IFERROR(__xludf.DUMMYFUNCTION("""COMPUTED_VALUE"""),"PHP")</f>
        <v>PHP</v>
      </c>
      <c r="L1434" s="9" t="str">
        <f>IFERROR(__xludf.DUMMYFUNCTION("""COMPUTED_VALUE"""),"JavaScript")</f>
        <v>JavaScript</v>
      </c>
      <c r="M1434" s="9" t="s">
        <v>37</v>
      </c>
    </row>
    <row r="1435" ht="15.75" customHeight="1">
      <c r="A1435" s="7"/>
      <c r="B1435" s="7" t="str">
        <f>IFERROR(__xludf.DUMMYFUNCTION("""COMPUTED_VALUE"""),"Python")</f>
        <v>Python</v>
      </c>
      <c r="C1435" s="9" t="str">
        <f>IFERROR(__xludf.DUMMYFUNCTION("""COMPUTED_VALUE"""),"SQL")</f>
        <v>SQL</v>
      </c>
      <c r="D1435" s="9" t="str">
        <f>IFERROR(__xludf.DUMMYFUNCTION("""COMPUTED_VALUE"""),"TypeScript")</f>
        <v>TypeScript</v>
      </c>
      <c r="E1435" s="9" t="str">
        <f>IFERROR(__xludf.DUMMYFUNCTION("""COMPUTED_VALUE"""),"HTML/CSS")</f>
        <v>HTML/CSS</v>
      </c>
      <c r="F1435" s="9" t="str">
        <f>IFERROR(__xludf.DUMMYFUNCTION("""COMPUTED_VALUE"""),"Java")</f>
        <v>Java</v>
      </c>
      <c r="G1435" s="9" t="str">
        <f>IFERROR(__xludf.DUMMYFUNCTION("""COMPUTED_VALUE"""),"JavaScript")</f>
        <v>JavaScript</v>
      </c>
      <c r="H1435" s="9" t="str">
        <f>IFERROR(__xludf.DUMMYFUNCTION("""COMPUTED_VALUE"""),"Java")</f>
        <v>Java</v>
      </c>
      <c r="I1435" s="9" t="str">
        <f>IFERROR(__xludf.DUMMYFUNCTION("""COMPUTED_VALUE"""),"C++")</f>
        <v>C++</v>
      </c>
      <c r="J1435" s="9" t="str">
        <f>IFERROR(__xludf.DUMMYFUNCTION("""COMPUTED_VALUE"""),"SQL")</f>
        <v>SQL</v>
      </c>
      <c r="K1435" s="9" t="str">
        <f>IFERROR(__xludf.DUMMYFUNCTION("""COMPUTED_VALUE"""),"SQL")</f>
        <v>SQL</v>
      </c>
      <c r="L1435" s="9" t="str">
        <f>IFERROR(__xludf.DUMMYFUNCTION("""COMPUTED_VALUE"""),"SQL")</f>
        <v>SQL</v>
      </c>
      <c r="M1435" s="9" t="s">
        <v>27</v>
      </c>
    </row>
    <row r="1436" ht="15.75" customHeight="1">
      <c r="A1436" s="7"/>
      <c r="B1436" s="7" t="str">
        <f>IFERROR(__xludf.DUMMYFUNCTION("""COMPUTED_VALUE"""),"Bash/Shell/PowerShell;HTML/CSS;Java;JavaScript;PHP;SQL")</f>
        <v>Bash/Shell/PowerShell;HTML/CSS;Java;JavaScript;PHP;SQL</v>
      </c>
      <c r="C1436" s="9" t="str">
        <f>IFERROR(__xludf.DUMMYFUNCTION("""COMPUTED_VALUE"""),"C++")</f>
        <v>C++</v>
      </c>
      <c r="D1436" s="9" t="str">
        <f>IFERROR(__xludf.DUMMYFUNCTION("""COMPUTED_VALUE"""),"C")</f>
        <v>C</v>
      </c>
      <c r="E1436" s="9" t="str">
        <f>IFERROR(__xludf.DUMMYFUNCTION("""COMPUTED_VALUE"""),"JavaScript")</f>
        <v>JavaScript</v>
      </c>
      <c r="F1436" s="9" t="str">
        <f>IFERROR(__xludf.DUMMYFUNCTION("""COMPUTED_VALUE"""),"Python")</f>
        <v>Python</v>
      </c>
      <c r="G1436" s="9" t="str">
        <f>IFERROR(__xludf.DUMMYFUNCTION("""COMPUTED_VALUE"""),"SQL")</f>
        <v>SQL</v>
      </c>
      <c r="H1436" s="9" t="str">
        <f>IFERROR(__xludf.DUMMYFUNCTION("""COMPUTED_VALUE"""),"Python")</f>
        <v>Python</v>
      </c>
      <c r="I1436" s="9" t="str">
        <f>IFERROR(__xludf.DUMMYFUNCTION("""COMPUTED_VALUE"""),"HTML/CSS")</f>
        <v>HTML/CSS</v>
      </c>
      <c r="J1436" s="9" t="str">
        <f>IFERROR(__xludf.DUMMYFUNCTION("""COMPUTED_VALUE"""),"VBA")</f>
        <v>VBA</v>
      </c>
      <c r="K1436" s="9" t="str">
        <f>IFERROR(__xludf.DUMMYFUNCTION("""COMPUTED_VALUE"""),"TypeScript")</f>
        <v>TypeScript</v>
      </c>
      <c r="L1436" s="9" t="str">
        <f>IFERROR(__xludf.DUMMYFUNCTION("""COMPUTED_VALUE"""),"Swift")</f>
        <v>Swift</v>
      </c>
      <c r="M1436" s="9" t="s">
        <v>23</v>
      </c>
    </row>
    <row r="1437" ht="15.75" customHeight="1">
      <c r="A1437" s="7"/>
      <c r="B1437" s="7" t="str">
        <f>IFERROR(__xludf.DUMMYFUNCTION("""COMPUTED_VALUE"""),"Python;R")</f>
        <v>Python;R</v>
      </c>
      <c r="C1437" s="9" t="str">
        <f>IFERROR(__xludf.DUMMYFUNCTION("""COMPUTED_VALUE"""),"C#")</f>
        <v>C#</v>
      </c>
      <c r="D1437" s="9" t="str">
        <f>IFERROR(__xludf.DUMMYFUNCTION("""COMPUTED_VALUE"""),"C++")</f>
        <v>C++</v>
      </c>
      <c r="E1437" s="9" t="str">
        <f>IFERROR(__xludf.DUMMYFUNCTION("""COMPUTED_VALUE"""),"SQL")</f>
        <v>SQL</v>
      </c>
      <c r="F1437" s="9" t="str">
        <f>IFERROR(__xludf.DUMMYFUNCTION("""COMPUTED_VALUE"""),"Bash/Shell/PowerShell")</f>
        <v>Bash/Shell/PowerShell</v>
      </c>
      <c r="G1437" s="9" t="str">
        <f>IFERROR(__xludf.DUMMYFUNCTION("""COMPUTED_VALUE"""),"C++")</f>
        <v>C++</v>
      </c>
      <c r="H1437" s="9" t="str">
        <f>IFERROR(__xludf.DUMMYFUNCTION("""COMPUTED_VALUE"""),"Assembly")</f>
        <v>Assembly</v>
      </c>
      <c r="I1437" s="9" t="str">
        <f>IFERROR(__xludf.DUMMYFUNCTION("""COMPUTED_VALUE"""),"Java")</f>
        <v>Java</v>
      </c>
      <c r="J1437" s="9" t="str">
        <f>IFERROR(__xludf.DUMMYFUNCTION("""COMPUTED_VALUE"""),"HTML/CSS")</f>
        <v>HTML/CSS</v>
      </c>
      <c r="K1437" s="9" t="str">
        <f>IFERROR(__xludf.DUMMYFUNCTION("""COMPUTED_VALUE"""),"Bash/Shell/PowerShell")</f>
        <v>Bash/Shell/PowerShell</v>
      </c>
      <c r="L1437" s="9" t="str">
        <f>IFERROR(__xludf.DUMMYFUNCTION("""COMPUTED_VALUE"""),"C#")</f>
        <v>C#</v>
      </c>
      <c r="M1437" s="9" t="s">
        <v>26</v>
      </c>
    </row>
    <row r="1438" ht="15.75" customHeight="1">
      <c r="A1438" s="7"/>
      <c r="B1438" s="7" t="str">
        <f>IFERROR(__xludf.DUMMYFUNCTION("""COMPUTED_VALUE"""),"HTML/CSS;JavaScript;PHP;SQL;TypeScript")</f>
        <v>HTML/CSS;JavaScript;PHP;SQL;TypeScript</v>
      </c>
      <c r="C1438" s="9" t="str">
        <f>IFERROR(__xludf.DUMMYFUNCTION("""COMPUTED_VALUE"""),"PHP")</f>
        <v>PHP</v>
      </c>
      <c r="D1438" s="9" t="str">
        <f>IFERROR(__xludf.DUMMYFUNCTION("""COMPUTED_VALUE"""),"Java")</f>
        <v>Java</v>
      </c>
      <c r="E1438" s="9" t="str">
        <f>IFERROR(__xludf.DUMMYFUNCTION("""COMPUTED_VALUE"""),"Bash/Shell/PowerShell")</f>
        <v>Bash/Shell/PowerShell</v>
      </c>
      <c r="F1438" s="9" t="str">
        <f>IFERROR(__xludf.DUMMYFUNCTION("""COMPUTED_VALUE"""),"Java")</f>
        <v>Java</v>
      </c>
      <c r="G1438" s="9" t="str">
        <f>IFERROR(__xludf.DUMMYFUNCTION("""COMPUTED_VALUE"""),"HTML/CSS")</f>
        <v>HTML/CSS</v>
      </c>
      <c r="H1438" s="9" t="str">
        <f>IFERROR(__xludf.DUMMYFUNCTION("""COMPUTED_VALUE"""),"C")</f>
        <v>C</v>
      </c>
      <c r="I1438" s="9" t="str">
        <f>IFERROR(__xludf.DUMMYFUNCTION("""COMPUTED_VALUE"""),"JavaScript")</f>
        <v>JavaScript</v>
      </c>
      <c r="J1438" s="9" t="str">
        <f>IFERROR(__xludf.DUMMYFUNCTION("""COMPUTED_VALUE"""),"Java")</f>
        <v>Java</v>
      </c>
      <c r="K1438" s="9" t="str">
        <f>IFERROR(__xludf.DUMMYFUNCTION("""COMPUTED_VALUE"""),"C")</f>
        <v>C</v>
      </c>
      <c r="L1438" s="9" t="str">
        <f>IFERROR(__xludf.DUMMYFUNCTION("""COMPUTED_VALUE"""),"JavaScript")</f>
        <v>JavaScript</v>
      </c>
      <c r="M1438" s="9" t="s">
        <v>37</v>
      </c>
    </row>
    <row r="1439" ht="15.75" customHeight="1">
      <c r="A1439" s="7"/>
      <c r="B1439" s="7" t="str">
        <f>IFERROR(__xludf.DUMMYFUNCTION("""COMPUTED_VALUE"""),"HTML/CSS;JavaScript;Python")</f>
        <v>HTML/CSS;JavaScript;Python</v>
      </c>
      <c r="C1439" s="9" t="str">
        <f>IFERROR(__xludf.DUMMYFUNCTION("""COMPUTED_VALUE"""),"Rust")</f>
        <v>Rust</v>
      </c>
      <c r="D1439" s="9" t="str">
        <f>IFERROR(__xludf.DUMMYFUNCTION("""COMPUTED_VALUE"""),"JavaScript")</f>
        <v>JavaScript</v>
      </c>
      <c r="E1439" s="9" t="str">
        <f>IFERROR(__xludf.DUMMYFUNCTION("""COMPUTED_VALUE"""),"HTML/CSS")</f>
        <v>HTML/CSS</v>
      </c>
      <c r="F1439" s="9" t="str">
        <f>IFERROR(__xludf.DUMMYFUNCTION("""COMPUTED_VALUE"""),"Python")</f>
        <v>Python</v>
      </c>
      <c r="G1439" s="9" t="str">
        <f>IFERROR(__xludf.DUMMYFUNCTION("""COMPUTED_VALUE"""),"Java")</f>
        <v>Java</v>
      </c>
      <c r="H1439" s="9" t="str">
        <f>IFERROR(__xludf.DUMMYFUNCTION("""COMPUTED_VALUE"""),"C++")</f>
        <v>C++</v>
      </c>
      <c r="I1439" s="9" t="str">
        <f>IFERROR(__xludf.DUMMYFUNCTION("""COMPUTED_VALUE"""),"PHP")</f>
        <v>PHP</v>
      </c>
      <c r="J1439" s="9" t="str">
        <f>IFERROR(__xludf.DUMMYFUNCTION("""COMPUTED_VALUE"""),"JavaScript")</f>
        <v>JavaScript</v>
      </c>
      <c r="K1439" s="9" t="str">
        <f>IFERROR(__xludf.DUMMYFUNCTION("""COMPUTED_VALUE"""),"C++")</f>
        <v>C++</v>
      </c>
      <c r="L1439" s="9" t="str">
        <f>IFERROR(__xludf.DUMMYFUNCTION("""COMPUTED_VALUE"""),"Python")</f>
        <v>Python</v>
      </c>
      <c r="M1439" s="9" t="s">
        <v>32</v>
      </c>
    </row>
    <row r="1440" ht="15.75" customHeight="1">
      <c r="A1440" s="7"/>
      <c r="B1440" s="7" t="str">
        <f>IFERROR(__xludf.DUMMYFUNCTION("""COMPUTED_VALUE"""),"HTML/CSS;Java;JavaScript;SQL")</f>
        <v>HTML/CSS;Java;JavaScript;SQL</v>
      </c>
      <c r="C1440" s="9" t="str">
        <f>IFERROR(__xludf.DUMMYFUNCTION("""COMPUTED_VALUE"""),"TypeScript")</f>
        <v>TypeScript</v>
      </c>
      <c r="D1440" s="9" t="str">
        <f>IFERROR(__xludf.DUMMYFUNCTION("""COMPUTED_VALUE"""),"PHP")</f>
        <v>PHP</v>
      </c>
      <c r="E1440" s="9" t="str">
        <f>IFERROR(__xludf.DUMMYFUNCTION("""COMPUTED_VALUE"""),"JavaScript")</f>
        <v>JavaScript</v>
      </c>
      <c r="F1440" s="9" t="str">
        <f>IFERROR(__xludf.DUMMYFUNCTION("""COMPUTED_VALUE"""),"C#")</f>
        <v>C#</v>
      </c>
      <c r="G1440" s="9" t="str">
        <f>IFERROR(__xludf.DUMMYFUNCTION("""COMPUTED_VALUE"""),"C#")</f>
        <v>C#</v>
      </c>
      <c r="H1440" s="9" t="str">
        <f>IFERROR(__xludf.DUMMYFUNCTION("""COMPUTED_VALUE"""),"HTML/CSS")</f>
        <v>HTML/CSS</v>
      </c>
      <c r="I1440" s="9" t="str">
        <f>IFERROR(__xludf.DUMMYFUNCTION("""COMPUTED_VALUE"""),"Python")</f>
        <v>Python</v>
      </c>
      <c r="J1440" s="9" t="str">
        <f>IFERROR(__xludf.DUMMYFUNCTION("""COMPUTED_VALUE"""),"SQL")</f>
        <v>SQL</v>
      </c>
      <c r="K1440" s="9" t="str">
        <f>IFERROR(__xludf.DUMMYFUNCTION("""COMPUTED_VALUE"""),"HTML/CSS")</f>
        <v>HTML/CSS</v>
      </c>
      <c r="L1440" s="9" t="str">
        <f>IFERROR(__xludf.DUMMYFUNCTION("""COMPUTED_VALUE"""),"R")</f>
        <v>R</v>
      </c>
      <c r="M1440" s="9" t="s">
        <v>33</v>
      </c>
    </row>
    <row r="1441" ht="15.75" customHeight="1">
      <c r="A1441" s="7"/>
      <c r="B1441" s="7" t="str">
        <f>IFERROR(__xludf.DUMMYFUNCTION("""COMPUTED_VALUE"""),"Bash/Shell/PowerShell;Other(s):")</f>
        <v>Bash/Shell/PowerShell;Other(s):</v>
      </c>
      <c r="C1441" s="9" t="str">
        <f>IFERROR(__xludf.DUMMYFUNCTION("""COMPUTED_VALUE"""),"HTML/CSS")</f>
        <v>HTML/CSS</v>
      </c>
      <c r="D1441" s="9" t="str">
        <f>IFERROR(__xludf.DUMMYFUNCTION("""COMPUTED_VALUE"""),"Python")</f>
        <v>Python</v>
      </c>
      <c r="E1441" s="9" t="str">
        <f>IFERROR(__xludf.DUMMYFUNCTION("""COMPUTED_VALUE"""),"Python")</f>
        <v>Python</v>
      </c>
      <c r="F1441" s="9" t="str">
        <f>IFERROR(__xludf.DUMMYFUNCTION("""COMPUTED_VALUE"""),"HTML/CSS")</f>
        <v>HTML/CSS</v>
      </c>
      <c r="G1441" s="9" t="str">
        <f>IFERROR(__xludf.DUMMYFUNCTION("""COMPUTED_VALUE"""),"HTML/CSS")</f>
        <v>HTML/CSS</v>
      </c>
      <c r="H1441" s="9" t="str">
        <f>IFERROR(__xludf.DUMMYFUNCTION("""COMPUTED_VALUE"""),"Java")</f>
        <v>Java</v>
      </c>
      <c r="I1441" s="9" t="str">
        <f>IFERROR(__xludf.DUMMYFUNCTION("""COMPUTED_VALUE"""),"Python")</f>
        <v>Python</v>
      </c>
      <c r="J1441" s="9" t="str">
        <f>IFERROR(__xludf.DUMMYFUNCTION("""COMPUTED_VALUE"""),"TypeScript")</f>
        <v>TypeScript</v>
      </c>
      <c r="K1441" s="9" t="str">
        <f>IFERROR(__xludf.DUMMYFUNCTION("""COMPUTED_VALUE"""),"Java")</f>
        <v>Java</v>
      </c>
      <c r="L1441" s="9" t="str">
        <f>IFERROR(__xludf.DUMMYFUNCTION("""COMPUTED_VALUE"""),"SQL")</f>
        <v>SQL</v>
      </c>
      <c r="M1441" s="9" t="s">
        <v>24</v>
      </c>
    </row>
    <row r="1442" ht="15.75" customHeight="1">
      <c r="A1442" s="7"/>
      <c r="B1442" s="7" t="str">
        <f>IFERROR(__xludf.DUMMYFUNCTION("""COMPUTED_VALUE"""),"C#;HTML/CSS;JavaScript;PHP;SQL;TypeScript")</f>
        <v>C#;HTML/CSS;JavaScript;PHP;SQL;TypeScript</v>
      </c>
      <c r="C1442" s="9" t="str">
        <f>IFERROR(__xludf.DUMMYFUNCTION("""COMPUTED_VALUE"""),"PHP")</f>
        <v>PHP</v>
      </c>
      <c r="D1442" s="9" t="str">
        <f>IFERROR(__xludf.DUMMYFUNCTION("""COMPUTED_VALUE"""),"C")</f>
        <v>C</v>
      </c>
      <c r="E1442" s="9" t="str">
        <f>IFERROR(__xludf.DUMMYFUNCTION("""COMPUTED_VALUE"""),"R")</f>
        <v>R</v>
      </c>
      <c r="F1442" s="9" t="str">
        <f>IFERROR(__xludf.DUMMYFUNCTION("""COMPUTED_VALUE"""),"JavaScript")</f>
        <v>JavaScript</v>
      </c>
      <c r="G1442" s="9" t="str">
        <f>IFERROR(__xludf.DUMMYFUNCTION("""COMPUTED_VALUE"""),"PHP")</f>
        <v>PHP</v>
      </c>
      <c r="H1442" s="9" t="str">
        <f>IFERROR(__xludf.DUMMYFUNCTION("""COMPUTED_VALUE"""),"Bash/Shell/PowerShell")</f>
        <v>Bash/Shell/PowerShell</v>
      </c>
      <c r="I1442" s="9" t="str">
        <f>IFERROR(__xludf.DUMMYFUNCTION("""COMPUTED_VALUE"""),"Other(s):")</f>
        <v>Other(s):</v>
      </c>
      <c r="J1442" s="9" t="str">
        <f>IFERROR(__xludf.DUMMYFUNCTION("""COMPUTED_VALUE"""),"Java")</f>
        <v>Java</v>
      </c>
      <c r="K1442" s="9" t="str">
        <f>IFERROR(__xludf.DUMMYFUNCTION("""COMPUTED_VALUE"""),"JavaScript")</f>
        <v>JavaScript</v>
      </c>
      <c r="L1442" s="9" t="str">
        <f>IFERROR(__xludf.DUMMYFUNCTION("""COMPUTED_VALUE"""),"Bash/Shell/PowerShell")</f>
        <v>Bash/Shell/PowerShell</v>
      </c>
      <c r="M1442" s="9" t="s">
        <v>37</v>
      </c>
    </row>
    <row r="1443" ht="15.75" customHeight="1">
      <c r="A1443" s="7"/>
      <c r="B1443" s="7" t="str">
        <f>IFERROR(__xludf.DUMMYFUNCTION("""COMPUTED_VALUE"""),"HTML/CSS;JavaScript;Rust;SQL")</f>
        <v>HTML/CSS;JavaScript;Rust;SQL</v>
      </c>
      <c r="C1443" s="9" t="str">
        <f>IFERROR(__xludf.DUMMYFUNCTION("""COMPUTED_VALUE"""),"Python")</f>
        <v>Python</v>
      </c>
      <c r="D1443" s="9" t="str">
        <f>IFERROR(__xludf.DUMMYFUNCTION("""COMPUTED_VALUE"""),"HTML/CSS")</f>
        <v>HTML/CSS</v>
      </c>
      <c r="E1443" s="9" t="str">
        <f>IFERROR(__xludf.DUMMYFUNCTION("""COMPUTED_VALUE"""),"Scala")</f>
        <v>Scala</v>
      </c>
      <c r="F1443" s="9" t="str">
        <f>IFERROR(__xludf.DUMMYFUNCTION("""COMPUTED_VALUE"""),"PHP")</f>
        <v>PHP</v>
      </c>
      <c r="G1443" s="9" t="str">
        <f>IFERROR(__xludf.DUMMYFUNCTION("""COMPUTED_VALUE"""),"Python")</f>
        <v>Python</v>
      </c>
      <c r="H1443" s="9" t="str">
        <f>IFERROR(__xludf.DUMMYFUNCTION("""COMPUTED_VALUE"""),"HTML/CSS")</f>
        <v>HTML/CSS</v>
      </c>
      <c r="I1443" s="9" t="str">
        <f>IFERROR(__xludf.DUMMYFUNCTION("""COMPUTED_VALUE"""),"Java")</f>
        <v>Java</v>
      </c>
      <c r="J1443" s="9" t="str">
        <f>IFERROR(__xludf.DUMMYFUNCTION("""COMPUTED_VALUE"""),"Kotlin")</f>
        <v>Kotlin</v>
      </c>
      <c r="K1443" s="9" t="str">
        <f>IFERROR(__xludf.DUMMYFUNCTION("""COMPUTED_VALUE"""),"Python")</f>
        <v>Python</v>
      </c>
      <c r="L1443" s="9" t="str">
        <f>IFERROR(__xludf.DUMMYFUNCTION("""COMPUTED_VALUE"""),"C")</f>
        <v>C</v>
      </c>
      <c r="M1443" s="9" t="s">
        <v>22</v>
      </c>
    </row>
    <row r="1444" ht="15.75" customHeight="1">
      <c r="A1444" s="7"/>
      <c r="B1444" s="7" t="str">
        <f>IFERROR(__xludf.DUMMYFUNCTION("""COMPUTED_VALUE"""),"C;C++;HTML/CSS;Java;JavaScript;PHP;SQL")</f>
        <v>C;C++;HTML/CSS;Java;JavaScript;PHP;SQL</v>
      </c>
      <c r="C1444" s="9" t="str">
        <f>IFERROR(__xludf.DUMMYFUNCTION("""COMPUTED_VALUE"""),"Go")</f>
        <v>Go</v>
      </c>
      <c r="D1444" s="9" t="str">
        <f>IFERROR(__xludf.DUMMYFUNCTION("""COMPUTED_VALUE"""),"Java")</f>
        <v>Java</v>
      </c>
      <c r="E1444" s="9" t="str">
        <f>IFERROR(__xludf.DUMMYFUNCTION("""COMPUTED_VALUE"""),"SQL")</f>
        <v>SQL</v>
      </c>
      <c r="F1444" s="9" t="str">
        <f>IFERROR(__xludf.DUMMYFUNCTION("""COMPUTED_VALUE"""),"Python")</f>
        <v>Python</v>
      </c>
      <c r="G1444" s="9" t="str">
        <f>IFERROR(__xludf.DUMMYFUNCTION("""COMPUTED_VALUE"""),"Bash/Shell/PowerShell")</f>
        <v>Bash/Shell/PowerShell</v>
      </c>
      <c r="H1444" s="9" t="str">
        <f>IFERROR(__xludf.DUMMYFUNCTION("""COMPUTED_VALUE"""),"Java")</f>
        <v>Java</v>
      </c>
      <c r="I1444" s="9" t="str">
        <f>IFERROR(__xludf.DUMMYFUNCTION("""COMPUTED_VALUE"""),"SQL")</f>
        <v>SQL</v>
      </c>
      <c r="J1444" s="9" t="str">
        <f>IFERROR(__xludf.DUMMYFUNCTION("""COMPUTED_VALUE"""),"Python")</f>
        <v>Python</v>
      </c>
      <c r="K1444" s="9" t="str">
        <f>IFERROR(__xludf.DUMMYFUNCTION("""COMPUTED_VALUE"""),"R")</f>
        <v>R</v>
      </c>
      <c r="L1444" s="9" t="str">
        <f>IFERROR(__xludf.DUMMYFUNCTION("""COMPUTED_VALUE"""),"Python")</f>
        <v>Python</v>
      </c>
      <c r="M1444" s="9" t="s">
        <v>36</v>
      </c>
    </row>
    <row r="1445" ht="15.75" customHeight="1">
      <c r="A1445" s="7"/>
      <c r="B1445" s="7" t="str">
        <f>IFERROR(__xludf.DUMMYFUNCTION("""COMPUTED_VALUE"""),"Java")</f>
        <v>Java</v>
      </c>
      <c r="C1445" s="9" t="str">
        <f>IFERROR(__xludf.DUMMYFUNCTION("""COMPUTED_VALUE"""),"HTML/CSS")</f>
        <v>HTML/CSS</v>
      </c>
      <c r="D1445" s="9" t="str">
        <f>IFERROR(__xludf.DUMMYFUNCTION("""COMPUTED_VALUE"""),"JavaScript")</f>
        <v>JavaScript</v>
      </c>
      <c r="E1445" s="9" t="str">
        <f>IFERROR(__xludf.DUMMYFUNCTION("""COMPUTED_VALUE"""),"HTML/CSS")</f>
        <v>HTML/CSS</v>
      </c>
      <c r="F1445" s="9" t="str">
        <f>IFERROR(__xludf.DUMMYFUNCTION("""COMPUTED_VALUE"""),"SQL")</f>
        <v>SQL</v>
      </c>
      <c r="G1445" s="9" t="str">
        <f>IFERROR(__xludf.DUMMYFUNCTION("""COMPUTED_VALUE"""),"Clojure")</f>
        <v>Clojure</v>
      </c>
      <c r="H1445" s="9" t="str">
        <f>IFERROR(__xludf.DUMMYFUNCTION("""COMPUTED_VALUE"""),"JavaScript")</f>
        <v>JavaScript</v>
      </c>
      <c r="I1445" s="9" t="str">
        <f>IFERROR(__xludf.DUMMYFUNCTION("""COMPUTED_VALUE"""),"C++")</f>
        <v>C++</v>
      </c>
      <c r="J1445" s="9" t="str">
        <f>IFERROR(__xludf.DUMMYFUNCTION("""COMPUTED_VALUE"""),"Ruby")</f>
        <v>Ruby</v>
      </c>
      <c r="K1445" s="9" t="str">
        <f>IFERROR(__xludf.DUMMYFUNCTION("""COMPUTED_VALUE"""),"SQL")</f>
        <v>SQL</v>
      </c>
      <c r="L1445" s="9" t="str">
        <f>IFERROR(__xludf.DUMMYFUNCTION("""COMPUTED_VALUE"""),"SQL")</f>
        <v>SQL</v>
      </c>
      <c r="M1445" s="9" t="s">
        <v>24</v>
      </c>
    </row>
    <row r="1446" ht="15.75" customHeight="1">
      <c r="A1446" s="7"/>
      <c r="B1446" s="7" t="str">
        <f>IFERROR(__xludf.DUMMYFUNCTION("""COMPUTED_VALUE"""),"Python;SQL")</f>
        <v>Python;SQL</v>
      </c>
      <c r="C1446" s="9" t="str">
        <f>IFERROR(__xludf.DUMMYFUNCTION("""COMPUTED_VALUE"""),"Python")</f>
        <v>Python</v>
      </c>
      <c r="D1446" s="9" t="str">
        <f>IFERROR(__xludf.DUMMYFUNCTION("""COMPUTED_VALUE"""),"Kotlin")</f>
        <v>Kotlin</v>
      </c>
      <c r="E1446" s="9" t="str">
        <f>IFERROR(__xludf.DUMMYFUNCTION("""COMPUTED_VALUE"""),"JavaScript")</f>
        <v>JavaScript</v>
      </c>
      <c r="F1446" s="9" t="str">
        <f>IFERROR(__xludf.DUMMYFUNCTION("""COMPUTED_VALUE"""),"TypeScript")</f>
        <v>TypeScript</v>
      </c>
      <c r="G1446" s="9" t="str">
        <f>IFERROR(__xludf.DUMMYFUNCTION("""COMPUTED_VALUE"""),"Go")</f>
        <v>Go</v>
      </c>
      <c r="H1446" s="9" t="str">
        <f>IFERROR(__xludf.DUMMYFUNCTION("""COMPUTED_VALUE"""),"Ruby")</f>
        <v>Ruby</v>
      </c>
      <c r="I1446" s="9" t="str">
        <f>IFERROR(__xludf.DUMMYFUNCTION("""COMPUTED_VALUE"""),"C#")</f>
        <v>C#</v>
      </c>
      <c r="J1446" s="9" t="str">
        <f>IFERROR(__xludf.DUMMYFUNCTION("""COMPUTED_VALUE"""),"SQL")</f>
        <v>SQL</v>
      </c>
      <c r="K1446" s="9" t="str">
        <f>IFERROR(__xludf.DUMMYFUNCTION("""COMPUTED_VALUE"""),"Other(s):")</f>
        <v>Other(s):</v>
      </c>
      <c r="L1446" s="9" t="str">
        <f>IFERROR(__xludf.DUMMYFUNCTION("""COMPUTED_VALUE"""),"VBA")</f>
        <v>VBA</v>
      </c>
      <c r="M1446" s="9" t="s">
        <v>22</v>
      </c>
    </row>
    <row r="1447" ht="15.75" customHeight="1">
      <c r="A1447" s="7"/>
      <c r="B1447" s="7" t="str">
        <f>IFERROR(__xludf.DUMMYFUNCTION("""COMPUTED_VALUE"""),"C++;JavaScript;TypeScript")</f>
        <v>C++;JavaScript;TypeScript</v>
      </c>
      <c r="C1447" s="9" t="str">
        <f>IFERROR(__xludf.DUMMYFUNCTION("""COMPUTED_VALUE"""),"SQL")</f>
        <v>SQL</v>
      </c>
      <c r="D1447" s="9" t="str">
        <f>IFERROR(__xludf.DUMMYFUNCTION("""COMPUTED_VALUE"""),"PHP")</f>
        <v>PHP</v>
      </c>
      <c r="E1447" s="9" t="str">
        <f>IFERROR(__xludf.DUMMYFUNCTION("""COMPUTED_VALUE"""),"Bash/Shell/PowerShell")</f>
        <v>Bash/Shell/PowerShell</v>
      </c>
      <c r="F1447" s="9" t="str">
        <f>IFERROR(__xludf.DUMMYFUNCTION("""COMPUTED_VALUE"""),"VBA")</f>
        <v>VBA</v>
      </c>
      <c r="G1447" s="9" t="str">
        <f>IFERROR(__xludf.DUMMYFUNCTION("""COMPUTED_VALUE"""),"HTML/CSS")</f>
        <v>HTML/CSS</v>
      </c>
      <c r="H1447" s="9" t="str">
        <f>IFERROR(__xludf.DUMMYFUNCTION("""COMPUTED_VALUE"""),"SQL")</f>
        <v>SQL</v>
      </c>
      <c r="I1447" s="9" t="str">
        <f>IFERROR(__xludf.DUMMYFUNCTION("""COMPUTED_VALUE"""),"SQL")</f>
        <v>SQL</v>
      </c>
      <c r="J1447" s="9" t="str">
        <f>IFERROR(__xludf.DUMMYFUNCTION("""COMPUTED_VALUE"""),"C#")</f>
        <v>C#</v>
      </c>
      <c r="K1447" s="9" t="str">
        <f>IFERROR(__xludf.DUMMYFUNCTION("""COMPUTED_VALUE"""),"Bash/Shell/PowerShell")</f>
        <v>Bash/Shell/PowerShell</v>
      </c>
      <c r="L1447" s="9" t="str">
        <f>IFERROR(__xludf.DUMMYFUNCTION("""COMPUTED_VALUE"""),"Bash/Shell/PowerShell")</f>
        <v>Bash/Shell/PowerShell</v>
      </c>
      <c r="M1447" s="9" t="s">
        <v>27</v>
      </c>
    </row>
    <row r="1448" ht="15.75" customHeight="1">
      <c r="A1448" s="7"/>
      <c r="B1448" s="7" t="str">
        <f>IFERROR(__xludf.DUMMYFUNCTION("""COMPUTED_VALUE"""),"Python;SQL")</f>
        <v>Python;SQL</v>
      </c>
      <c r="C1448" s="9" t="str">
        <f>IFERROR(__xludf.DUMMYFUNCTION("""COMPUTED_VALUE"""),"TypeScript")</f>
        <v>TypeScript</v>
      </c>
      <c r="D1448" s="9" t="str">
        <f>IFERROR(__xludf.DUMMYFUNCTION("""COMPUTED_VALUE"""),"Python")</f>
        <v>Python</v>
      </c>
      <c r="E1448" s="9" t="str">
        <f>IFERROR(__xludf.DUMMYFUNCTION("""COMPUTED_VALUE"""),"C++")</f>
        <v>C++</v>
      </c>
      <c r="F1448" s="9" t="str">
        <f>IFERROR(__xludf.DUMMYFUNCTION("""COMPUTED_VALUE"""),"HTML/CSS")</f>
        <v>HTML/CSS</v>
      </c>
      <c r="G1448" s="9" t="str">
        <f>IFERROR(__xludf.DUMMYFUNCTION("""COMPUTED_VALUE"""),"Java")</f>
        <v>Java</v>
      </c>
      <c r="H1448" s="9" t="str">
        <f>IFERROR(__xludf.DUMMYFUNCTION("""COMPUTED_VALUE"""),"Bash/Shell/PowerShell")</f>
        <v>Bash/Shell/PowerShell</v>
      </c>
      <c r="I1448" s="9" t="str">
        <f>IFERROR(__xludf.DUMMYFUNCTION("""COMPUTED_VALUE"""),"C#")</f>
        <v>C#</v>
      </c>
      <c r="J1448" s="9" t="str">
        <f>IFERROR(__xludf.DUMMYFUNCTION("""COMPUTED_VALUE"""),"JavaScript")</f>
        <v>JavaScript</v>
      </c>
      <c r="K1448" s="9" t="str">
        <f>IFERROR(__xludf.DUMMYFUNCTION("""COMPUTED_VALUE"""),"HTML/CSS")</f>
        <v>HTML/CSS</v>
      </c>
      <c r="L1448" s="9" t="str">
        <f>IFERROR(__xludf.DUMMYFUNCTION("""COMPUTED_VALUE"""),"C#")</f>
        <v>C#</v>
      </c>
      <c r="M1448" s="9" t="s">
        <v>33</v>
      </c>
    </row>
    <row r="1449" ht="15.75" customHeight="1">
      <c r="A1449" s="7"/>
      <c r="B1449" s="7" t="str">
        <f>IFERROR(__xludf.DUMMYFUNCTION("""COMPUTED_VALUE"""),"C#;HTML/CSS;JavaScript")</f>
        <v>C#;HTML/CSS;JavaScript</v>
      </c>
      <c r="C1449" s="9" t="str">
        <f>IFERROR(__xludf.DUMMYFUNCTION("""COMPUTED_VALUE"""),"Bash/Shell/PowerShell")</f>
        <v>Bash/Shell/PowerShell</v>
      </c>
      <c r="D1449" s="9" t="str">
        <f>IFERROR(__xludf.DUMMYFUNCTION("""COMPUTED_VALUE"""),"SQL")</f>
        <v>SQL</v>
      </c>
      <c r="E1449" s="9" t="str">
        <f>IFERROR(__xludf.DUMMYFUNCTION("""COMPUTED_VALUE"""),"Go")</f>
        <v>Go</v>
      </c>
      <c r="F1449" s="9" t="str">
        <f>IFERROR(__xludf.DUMMYFUNCTION("""COMPUTED_VALUE"""),"JavaScript")</f>
        <v>JavaScript</v>
      </c>
      <c r="G1449" s="9" t="str">
        <f>IFERROR(__xludf.DUMMYFUNCTION("""COMPUTED_VALUE"""),"JavaScript")</f>
        <v>JavaScript</v>
      </c>
      <c r="H1449" s="9" t="str">
        <f>IFERROR(__xludf.DUMMYFUNCTION("""COMPUTED_VALUE"""),"JavaScript")</f>
        <v>JavaScript</v>
      </c>
      <c r="I1449" s="9" t="str">
        <f>IFERROR(__xludf.DUMMYFUNCTION("""COMPUTED_VALUE"""),"HTML/CSS")</f>
        <v>HTML/CSS</v>
      </c>
      <c r="J1449" s="9" t="str">
        <f>IFERROR(__xludf.DUMMYFUNCTION("""COMPUTED_VALUE"""),"HTML/CSS")</f>
        <v>HTML/CSS</v>
      </c>
      <c r="K1449" s="9" t="str">
        <f>IFERROR(__xludf.DUMMYFUNCTION("""COMPUTED_VALUE"""),"Java")</f>
        <v>Java</v>
      </c>
      <c r="L1449" s="9" t="str">
        <f>IFERROR(__xludf.DUMMYFUNCTION("""COMPUTED_VALUE"""),"Python")</f>
        <v>Python</v>
      </c>
      <c r="M1449" s="9" t="s">
        <v>30</v>
      </c>
    </row>
    <row r="1450" ht="15.75" customHeight="1">
      <c r="A1450" s="7"/>
      <c r="B1450" s="7" t="str">
        <f>IFERROR(__xludf.DUMMYFUNCTION("""COMPUTED_VALUE"""),"C;C++;Java;JavaScript")</f>
        <v>C;C++;Java;JavaScript</v>
      </c>
      <c r="C1450" s="9" t="str">
        <f>IFERROR(__xludf.DUMMYFUNCTION("""COMPUTED_VALUE"""),"C#")</f>
        <v>C#</v>
      </c>
      <c r="D1450" s="9" t="str">
        <f>IFERROR(__xludf.DUMMYFUNCTION("""COMPUTED_VALUE"""),"C++")</f>
        <v>C++</v>
      </c>
      <c r="E1450" s="9" t="str">
        <f>IFERROR(__xludf.DUMMYFUNCTION("""COMPUTED_VALUE"""),"HTML/CSS")</f>
        <v>HTML/CSS</v>
      </c>
      <c r="F1450" s="9" t="str">
        <f>IFERROR(__xludf.DUMMYFUNCTION("""COMPUTED_VALUE"""),"Other(s):")</f>
        <v>Other(s):</v>
      </c>
      <c r="G1450" s="9" t="str">
        <f>IFERROR(__xludf.DUMMYFUNCTION("""COMPUTED_VALUE"""),"Kotlin")</f>
        <v>Kotlin</v>
      </c>
      <c r="H1450" s="9" t="str">
        <f>IFERROR(__xludf.DUMMYFUNCTION("""COMPUTED_VALUE"""),"Python")</f>
        <v>Python</v>
      </c>
      <c r="I1450" s="9" t="str">
        <f>IFERROR(__xludf.DUMMYFUNCTION("""COMPUTED_VALUE"""),"PHP")</f>
        <v>PHP</v>
      </c>
      <c r="J1450" s="9" t="str">
        <f>IFERROR(__xludf.DUMMYFUNCTION("""COMPUTED_VALUE"""),"Java")</f>
        <v>Java</v>
      </c>
      <c r="K1450" s="9" t="str">
        <f>IFERROR(__xludf.DUMMYFUNCTION("""COMPUTED_VALUE"""),"JavaScript")</f>
        <v>JavaScript</v>
      </c>
      <c r="L1450" s="9" t="str">
        <f>IFERROR(__xludf.DUMMYFUNCTION("""COMPUTED_VALUE"""),"C#")</f>
        <v>C#</v>
      </c>
      <c r="M1450" s="9" t="s">
        <v>26</v>
      </c>
    </row>
    <row r="1451" ht="15.75" customHeight="1">
      <c r="A1451" s="7"/>
      <c r="B1451" s="7" t="str">
        <f>IFERROR(__xludf.DUMMYFUNCTION("""COMPUTED_VALUE"""),"Bash/Shell/PowerShell;Dart;Go;HTML/CSS;Java;JavaScript;PHP;Python;Ruby;Scala;TypeScript")</f>
        <v>Bash/Shell/PowerShell;Dart;Go;HTML/CSS;Java;JavaScript;PHP;Python;Ruby;Scala;TypeScript</v>
      </c>
      <c r="C1451" s="9" t="str">
        <f>IFERROR(__xludf.DUMMYFUNCTION("""COMPUTED_VALUE"""),"HTML/CSS")</f>
        <v>HTML/CSS</v>
      </c>
      <c r="D1451" s="9" t="str">
        <f>IFERROR(__xludf.DUMMYFUNCTION("""COMPUTED_VALUE"""),"JavaScript")</f>
        <v>JavaScript</v>
      </c>
      <c r="E1451" s="9" t="str">
        <f>IFERROR(__xludf.DUMMYFUNCTION("""COMPUTED_VALUE"""),"JavaScript")</f>
        <v>JavaScript</v>
      </c>
      <c r="F1451" s="9" t="str">
        <f>IFERROR(__xludf.DUMMYFUNCTION("""COMPUTED_VALUE"""),"C#")</f>
        <v>C#</v>
      </c>
      <c r="G1451" s="9" t="str">
        <f>IFERROR(__xludf.DUMMYFUNCTION("""COMPUTED_VALUE"""),"Python")</f>
        <v>Python</v>
      </c>
      <c r="H1451" s="9" t="str">
        <f>IFERROR(__xludf.DUMMYFUNCTION("""COMPUTED_VALUE"""),"R")</f>
        <v>R</v>
      </c>
      <c r="I1451" s="9" t="str">
        <f>IFERROR(__xludf.DUMMYFUNCTION("""COMPUTED_VALUE"""),"Other(s):")</f>
        <v>Other(s):</v>
      </c>
      <c r="J1451" s="9" t="str">
        <f>IFERROR(__xludf.DUMMYFUNCTION("""COMPUTED_VALUE"""),"JavaScript")</f>
        <v>JavaScript</v>
      </c>
      <c r="K1451" s="9" t="str">
        <f>IFERROR(__xludf.DUMMYFUNCTION("""COMPUTED_VALUE"""),"Kotlin")</f>
        <v>Kotlin</v>
      </c>
      <c r="L1451" s="9" t="str">
        <f>IFERROR(__xludf.DUMMYFUNCTION("""COMPUTED_VALUE"""),"HTML/CSS")</f>
        <v>HTML/CSS</v>
      </c>
      <c r="M1451" s="9" t="s">
        <v>24</v>
      </c>
    </row>
    <row r="1452" ht="15.75" customHeight="1">
      <c r="A1452" s="7"/>
      <c r="B1452" s="7" t="str">
        <f>IFERROR(__xludf.DUMMYFUNCTION("""COMPUTED_VALUE"""),"C;HTML/CSS;PHP")</f>
        <v>C;HTML/CSS;PHP</v>
      </c>
      <c r="C1452" s="9" t="str">
        <f>IFERROR(__xludf.DUMMYFUNCTION("""COMPUTED_VALUE"""),"JavaScript")</f>
        <v>JavaScript</v>
      </c>
      <c r="D1452" s="9" t="str">
        <f>IFERROR(__xludf.DUMMYFUNCTION("""COMPUTED_VALUE"""),"Python")</f>
        <v>Python</v>
      </c>
      <c r="E1452" s="9" t="str">
        <f>IFERROR(__xludf.DUMMYFUNCTION("""COMPUTED_VALUE"""),"PHP")</f>
        <v>PHP</v>
      </c>
      <c r="F1452" s="9" t="str">
        <f>IFERROR(__xludf.DUMMYFUNCTION("""COMPUTED_VALUE"""),"HTML/CSS")</f>
        <v>HTML/CSS</v>
      </c>
      <c r="G1452" s="9" t="str">
        <f>IFERROR(__xludf.DUMMYFUNCTION("""COMPUTED_VALUE"""),"SQL")</f>
        <v>SQL</v>
      </c>
      <c r="H1452" s="9" t="str">
        <f>IFERROR(__xludf.DUMMYFUNCTION("""COMPUTED_VALUE"""),"Ruby")</f>
        <v>Ruby</v>
      </c>
      <c r="I1452" s="9" t="str">
        <f>IFERROR(__xludf.DUMMYFUNCTION("""COMPUTED_VALUE"""),"Bash/Shell/PowerShell")</f>
        <v>Bash/Shell/PowerShell</v>
      </c>
      <c r="J1452" s="9" t="str">
        <f>IFERROR(__xludf.DUMMYFUNCTION("""COMPUTED_VALUE"""),"PHP")</f>
        <v>PHP</v>
      </c>
      <c r="K1452" s="9" t="str">
        <f>IFERROR(__xludf.DUMMYFUNCTION("""COMPUTED_VALUE"""),"Python")</f>
        <v>Python</v>
      </c>
      <c r="L1452" s="9" t="str">
        <f>IFERROR(__xludf.DUMMYFUNCTION("""COMPUTED_VALUE"""),"JavaScript")</f>
        <v>JavaScript</v>
      </c>
      <c r="M1452" s="9" t="s">
        <v>21</v>
      </c>
    </row>
    <row r="1453" ht="15.75" customHeight="1">
      <c r="A1453" s="7"/>
      <c r="B1453" s="7" t="str">
        <f>IFERROR(__xludf.DUMMYFUNCTION("""COMPUTED_VALUE"""),"Bash/Shell/PowerShell;Java;JavaScript;Python;Scala;SQL;TypeScript")</f>
        <v>Bash/Shell/PowerShell;Java;JavaScript;Python;Scala;SQL;TypeScript</v>
      </c>
      <c r="C1453" s="9" t="str">
        <f>IFERROR(__xludf.DUMMYFUNCTION("""COMPUTED_VALUE"""),"SQL")</f>
        <v>SQL</v>
      </c>
      <c r="D1453" s="9" t="str">
        <f>IFERROR(__xludf.DUMMYFUNCTION("""COMPUTED_VALUE"""),"SQL")</f>
        <v>SQL</v>
      </c>
      <c r="E1453" s="9" t="str">
        <f>IFERROR(__xludf.DUMMYFUNCTION("""COMPUTED_VALUE"""),"Python")</f>
        <v>Python</v>
      </c>
      <c r="F1453" s="9" t="str">
        <f>IFERROR(__xludf.DUMMYFUNCTION("""COMPUTED_VALUE"""),"JavaScript")</f>
        <v>JavaScript</v>
      </c>
      <c r="G1453" s="9" t="str">
        <f>IFERROR(__xludf.DUMMYFUNCTION("""COMPUTED_VALUE"""),"C#")</f>
        <v>C#</v>
      </c>
      <c r="H1453" s="9" t="str">
        <f>IFERROR(__xludf.DUMMYFUNCTION("""COMPUTED_VALUE"""),"SQL")</f>
        <v>SQL</v>
      </c>
      <c r="I1453" s="9" t="str">
        <f>IFERROR(__xludf.DUMMYFUNCTION("""COMPUTED_VALUE"""),"C#")</f>
        <v>C#</v>
      </c>
      <c r="J1453" s="9" t="str">
        <f>IFERROR(__xludf.DUMMYFUNCTION("""COMPUTED_VALUE"""),"Python")</f>
        <v>Python</v>
      </c>
      <c r="K1453" s="9" t="str">
        <f>IFERROR(__xludf.DUMMYFUNCTION("""COMPUTED_VALUE"""),"C")</f>
        <v>C</v>
      </c>
      <c r="L1453" s="9" t="str">
        <f>IFERROR(__xludf.DUMMYFUNCTION("""COMPUTED_VALUE"""),"SQL")</f>
        <v>SQL</v>
      </c>
      <c r="M1453" s="9" t="s">
        <v>27</v>
      </c>
    </row>
    <row r="1454" ht="15.75" customHeight="1">
      <c r="A1454" s="7"/>
      <c r="B1454" s="7" t="str">
        <f>IFERROR(__xludf.DUMMYFUNCTION("""COMPUTED_VALUE"""),"Bash/Shell/PowerShell;HTML/CSS;JavaScript;Python")</f>
        <v>Bash/Shell/PowerShell;HTML/CSS;JavaScript;Python</v>
      </c>
      <c r="C1454" s="9" t="str">
        <f>IFERROR(__xludf.DUMMYFUNCTION("""COMPUTED_VALUE"""),"TypeScript")</f>
        <v>TypeScript</v>
      </c>
      <c r="D1454" s="9" t="str">
        <f>IFERROR(__xludf.DUMMYFUNCTION("""COMPUTED_VALUE"""),"Bash/Shell/PowerShell")</f>
        <v>Bash/Shell/PowerShell</v>
      </c>
      <c r="E1454" s="9" t="str">
        <f>IFERROR(__xludf.DUMMYFUNCTION("""COMPUTED_VALUE"""),"SQL")</f>
        <v>SQL</v>
      </c>
      <c r="F1454" s="9" t="str">
        <f>IFERROR(__xludf.DUMMYFUNCTION("""COMPUTED_VALUE"""),"TypeScript")</f>
        <v>TypeScript</v>
      </c>
      <c r="G1454" s="9" t="str">
        <f>IFERROR(__xludf.DUMMYFUNCTION("""COMPUTED_VALUE"""),"HTML/CSS")</f>
        <v>HTML/CSS</v>
      </c>
      <c r="H1454" s="9" t="str">
        <f>IFERROR(__xludf.DUMMYFUNCTION("""COMPUTED_VALUE"""),"Bash/Shell/PowerShell")</f>
        <v>Bash/Shell/PowerShell</v>
      </c>
      <c r="I1454" s="9" t="str">
        <f>IFERROR(__xludf.DUMMYFUNCTION("""COMPUTED_VALUE"""),"HTML/CSS")</f>
        <v>HTML/CSS</v>
      </c>
      <c r="J1454" s="9" t="str">
        <f>IFERROR(__xludf.DUMMYFUNCTION("""COMPUTED_VALUE"""),"SQL")</f>
        <v>SQL</v>
      </c>
      <c r="K1454" s="9" t="str">
        <f>IFERROR(__xludf.DUMMYFUNCTION("""COMPUTED_VALUE"""),"HTML/CSS")</f>
        <v>HTML/CSS</v>
      </c>
      <c r="L1454" s="9" t="str">
        <f>IFERROR(__xludf.DUMMYFUNCTION("""COMPUTED_VALUE"""),"C")</f>
        <v>C</v>
      </c>
      <c r="M1454" s="9" t="s">
        <v>33</v>
      </c>
    </row>
    <row r="1455" ht="15.75" customHeight="1">
      <c r="A1455" s="7"/>
      <c r="B1455" s="7" t="str">
        <f>IFERROR(__xludf.DUMMYFUNCTION("""COMPUTED_VALUE"""),"C#;JavaScript")</f>
        <v>C#;JavaScript</v>
      </c>
      <c r="C1455" s="9" t="str">
        <f>IFERROR(__xludf.DUMMYFUNCTION("""COMPUTED_VALUE"""),"HTML/CSS")</f>
        <v>HTML/CSS</v>
      </c>
      <c r="D1455" s="9" t="str">
        <f>IFERROR(__xludf.DUMMYFUNCTION("""COMPUTED_VALUE"""),"HTML/CSS")</f>
        <v>HTML/CSS</v>
      </c>
      <c r="E1455" s="9" t="str">
        <f>IFERROR(__xludf.DUMMYFUNCTION("""COMPUTED_VALUE"""),"TypeScript")</f>
        <v>TypeScript</v>
      </c>
      <c r="F1455" s="9" t="str">
        <f>IFERROR(__xludf.DUMMYFUNCTION("""COMPUTED_VALUE"""),"VBA")</f>
        <v>VBA</v>
      </c>
      <c r="G1455" s="9" t="str">
        <f>IFERROR(__xludf.DUMMYFUNCTION("""COMPUTED_VALUE"""),"Java")</f>
        <v>Java</v>
      </c>
      <c r="H1455" s="9" t="str">
        <f>IFERROR(__xludf.DUMMYFUNCTION("""COMPUTED_VALUE"""),"Java")</f>
        <v>Java</v>
      </c>
      <c r="I1455" s="9" t="str">
        <f>IFERROR(__xludf.DUMMYFUNCTION("""COMPUTED_VALUE"""),"JavaScript")</f>
        <v>JavaScript</v>
      </c>
      <c r="J1455" s="9" t="str">
        <f>IFERROR(__xludf.DUMMYFUNCTION("""COMPUTED_VALUE"""),"Java")</f>
        <v>Java</v>
      </c>
      <c r="K1455" s="9" t="str">
        <f>IFERROR(__xludf.DUMMYFUNCTION("""COMPUTED_VALUE"""),"Java")</f>
        <v>Java</v>
      </c>
      <c r="L1455" s="9" t="str">
        <f>IFERROR(__xludf.DUMMYFUNCTION("""COMPUTED_VALUE"""),"C++")</f>
        <v>C++</v>
      </c>
      <c r="M1455" s="9" t="s">
        <v>24</v>
      </c>
    </row>
    <row r="1456" ht="15.75" customHeight="1">
      <c r="A1456" s="7"/>
      <c r="B1456" s="7" t="str">
        <f>IFERROR(__xludf.DUMMYFUNCTION("""COMPUTED_VALUE"""),"C++;Python;SQL")</f>
        <v>C++;Python;SQL</v>
      </c>
      <c r="C1456" s="9" t="str">
        <f>IFERROR(__xludf.DUMMYFUNCTION("""COMPUTED_VALUE"""),"Java")</f>
        <v>Java</v>
      </c>
      <c r="D1456" s="9" t="str">
        <f>IFERROR(__xludf.DUMMYFUNCTION("""COMPUTED_VALUE"""),"Python")</f>
        <v>Python</v>
      </c>
      <c r="E1456" s="9" t="str">
        <f>IFERROR(__xludf.DUMMYFUNCTION("""COMPUTED_VALUE"""),"C#")</f>
        <v>C#</v>
      </c>
      <c r="F1456" s="9" t="str">
        <f>IFERROR(__xludf.DUMMYFUNCTION("""COMPUTED_VALUE"""),"Other(s):")</f>
        <v>Other(s):</v>
      </c>
      <c r="G1456" s="9" t="str">
        <f>IFERROR(__xludf.DUMMYFUNCTION("""COMPUTED_VALUE"""),"JavaScript")</f>
        <v>JavaScript</v>
      </c>
      <c r="H1456" s="9" t="str">
        <f>IFERROR(__xludf.DUMMYFUNCTION("""COMPUTED_VALUE"""),"JavaScript")</f>
        <v>JavaScript</v>
      </c>
      <c r="I1456" s="9" t="str">
        <f>IFERROR(__xludf.DUMMYFUNCTION("""COMPUTED_VALUE"""),"PHP")</f>
        <v>PHP</v>
      </c>
      <c r="J1456" s="9" t="str">
        <f>IFERROR(__xludf.DUMMYFUNCTION("""COMPUTED_VALUE"""),"Python")</f>
        <v>Python</v>
      </c>
      <c r="K1456" s="9" t="str">
        <f>IFERROR(__xludf.DUMMYFUNCTION("""COMPUTED_VALUE"""),"JavaScript")</f>
        <v>JavaScript</v>
      </c>
      <c r="L1456" s="9" t="str">
        <f>IFERROR(__xludf.DUMMYFUNCTION("""COMPUTED_VALUE"""),"Java")</f>
        <v>Java</v>
      </c>
      <c r="M1456" s="9" t="s">
        <v>20</v>
      </c>
    </row>
    <row r="1457" ht="15.75" customHeight="1">
      <c r="A1457" s="7"/>
      <c r="B1457" s="7" t="str">
        <f>IFERROR(__xludf.DUMMYFUNCTION("""COMPUTED_VALUE"""),"Bash/Shell/PowerShell;HTML/CSS;Java;JavaScript;Python")</f>
        <v>Bash/Shell/PowerShell;HTML/CSS;Java;JavaScript;Python</v>
      </c>
      <c r="C1457" s="9" t="str">
        <f>IFERROR(__xludf.DUMMYFUNCTION("""COMPUTED_VALUE"""),"JavaScript")</f>
        <v>JavaScript</v>
      </c>
      <c r="D1457" s="9" t="str">
        <f>IFERROR(__xludf.DUMMYFUNCTION("""COMPUTED_VALUE"""),"Ruby")</f>
        <v>Ruby</v>
      </c>
      <c r="E1457" s="9" t="str">
        <f>IFERROR(__xludf.DUMMYFUNCTION("""COMPUTED_VALUE"""),"HTML/CSS")</f>
        <v>HTML/CSS</v>
      </c>
      <c r="F1457" s="9" t="str">
        <f>IFERROR(__xludf.DUMMYFUNCTION("""COMPUTED_VALUE"""),"HTML/CSS")</f>
        <v>HTML/CSS</v>
      </c>
      <c r="G1457" s="9" t="str">
        <f>IFERROR(__xludf.DUMMYFUNCTION("""COMPUTED_VALUE"""),"SQL")</f>
        <v>SQL</v>
      </c>
      <c r="H1457" s="9" t="str">
        <f>IFERROR(__xludf.DUMMYFUNCTION("""COMPUTED_VALUE"""),"C#")</f>
        <v>C#</v>
      </c>
      <c r="I1457" s="9" t="str">
        <f>IFERROR(__xludf.DUMMYFUNCTION("""COMPUTED_VALUE"""),"SQL")</f>
        <v>SQL</v>
      </c>
      <c r="J1457" s="9" t="str">
        <f>IFERROR(__xludf.DUMMYFUNCTION("""COMPUTED_VALUE"""),"Ruby")</f>
        <v>Ruby</v>
      </c>
      <c r="K1457" s="9" t="str">
        <f>IFERROR(__xludf.DUMMYFUNCTION("""COMPUTED_VALUE"""),"Python")</f>
        <v>Python</v>
      </c>
      <c r="L1457" s="9" t="str">
        <f>IFERROR(__xludf.DUMMYFUNCTION("""COMPUTED_VALUE"""),"Python")</f>
        <v>Python</v>
      </c>
      <c r="M1457" s="9" t="s">
        <v>21</v>
      </c>
    </row>
    <row r="1458" ht="15.75" customHeight="1">
      <c r="A1458" s="7"/>
      <c r="B1458" s="7" t="str">
        <f>IFERROR(__xludf.DUMMYFUNCTION("""COMPUTED_VALUE"""),"HTML/CSS;JavaScript;PHP")</f>
        <v>HTML/CSS;JavaScript;PHP</v>
      </c>
      <c r="C1458" s="9" t="str">
        <f>IFERROR(__xludf.DUMMYFUNCTION("""COMPUTED_VALUE"""),"SQL")</f>
        <v>SQL</v>
      </c>
      <c r="D1458" s="9" t="str">
        <f>IFERROR(__xludf.DUMMYFUNCTION("""COMPUTED_VALUE"""),"SQL")</f>
        <v>SQL</v>
      </c>
      <c r="E1458" s="9" t="str">
        <f>IFERROR(__xludf.DUMMYFUNCTION("""COMPUTED_VALUE"""),"Java")</f>
        <v>Java</v>
      </c>
      <c r="F1458" s="9" t="str">
        <f>IFERROR(__xludf.DUMMYFUNCTION("""COMPUTED_VALUE"""),"Java")</f>
        <v>Java</v>
      </c>
      <c r="G1458" s="9" t="str">
        <f>IFERROR(__xludf.DUMMYFUNCTION("""COMPUTED_VALUE"""),"Bash/Shell/PowerShell")</f>
        <v>Bash/Shell/PowerShell</v>
      </c>
      <c r="H1458" s="9" t="str">
        <f>IFERROR(__xludf.DUMMYFUNCTION("""COMPUTED_VALUE"""),"HTML/CSS")</f>
        <v>HTML/CSS</v>
      </c>
      <c r="I1458" s="9" t="str">
        <f>IFERROR(__xludf.DUMMYFUNCTION("""COMPUTED_VALUE"""),"VBA")</f>
        <v>VBA</v>
      </c>
      <c r="J1458" s="9" t="str">
        <f>IFERROR(__xludf.DUMMYFUNCTION("""COMPUTED_VALUE"""),"SQL")</f>
        <v>SQL</v>
      </c>
      <c r="K1458" s="9" t="str">
        <f>IFERROR(__xludf.DUMMYFUNCTION("""COMPUTED_VALUE"""),"R")</f>
        <v>R</v>
      </c>
      <c r="L1458" s="9" t="str">
        <f>IFERROR(__xludf.DUMMYFUNCTION("""COMPUTED_VALUE"""),"SQL")</f>
        <v>SQL</v>
      </c>
      <c r="M1458" s="9" t="s">
        <v>27</v>
      </c>
    </row>
    <row r="1459" ht="15.75" customHeight="1">
      <c r="A1459" s="7"/>
      <c r="B1459" s="7" t="str">
        <f>IFERROR(__xludf.DUMMYFUNCTION("""COMPUTED_VALUE"""),"C#;HTML/CSS;Java;JavaScript;Python")</f>
        <v>C#;HTML/CSS;Java;JavaScript;Python</v>
      </c>
      <c r="C1459" s="9" t="str">
        <f>IFERROR(__xludf.DUMMYFUNCTION("""COMPUTED_VALUE"""),"C")</f>
        <v>C</v>
      </c>
      <c r="D1459" s="9" t="str">
        <f>IFERROR(__xludf.DUMMYFUNCTION("""COMPUTED_VALUE"""),"Other(s):")</f>
        <v>Other(s):</v>
      </c>
      <c r="E1459" s="9" t="str">
        <f>IFERROR(__xludf.DUMMYFUNCTION("""COMPUTED_VALUE"""),"JavaScript")</f>
        <v>JavaScript</v>
      </c>
      <c r="F1459" s="9" t="str">
        <f>IFERROR(__xludf.DUMMYFUNCTION("""COMPUTED_VALUE"""),"Ruby")</f>
        <v>Ruby</v>
      </c>
      <c r="G1459" s="9" t="str">
        <f>IFERROR(__xludf.DUMMYFUNCTION("""COMPUTED_VALUE"""),"HTML/CSS")</f>
        <v>HTML/CSS</v>
      </c>
      <c r="H1459" s="9" t="str">
        <f>IFERROR(__xludf.DUMMYFUNCTION("""COMPUTED_VALUE"""),"Java")</f>
        <v>Java</v>
      </c>
      <c r="I1459" s="9" t="str">
        <f>IFERROR(__xludf.DUMMYFUNCTION("""COMPUTED_VALUE"""),"C++")</f>
        <v>C++</v>
      </c>
      <c r="J1459" s="9" t="str">
        <f>IFERROR(__xludf.DUMMYFUNCTION("""COMPUTED_VALUE"""),"HTML/CSS")</f>
        <v>HTML/CSS</v>
      </c>
      <c r="K1459" s="9" t="str">
        <f>IFERROR(__xludf.DUMMYFUNCTION("""COMPUTED_VALUE"""),"SQL")</f>
        <v>SQL</v>
      </c>
      <c r="L1459" s="9" t="str">
        <f>IFERROR(__xludf.DUMMYFUNCTION("""COMPUTED_VALUE"""),"Bash/Shell/PowerShell")</f>
        <v>Bash/Shell/PowerShell</v>
      </c>
      <c r="M1459" s="9" t="s">
        <v>25</v>
      </c>
    </row>
    <row r="1460" ht="15.75" customHeight="1">
      <c r="A1460" s="7"/>
      <c r="B1460" s="7" t="str">
        <f>IFERROR(__xludf.DUMMYFUNCTION("""COMPUTED_VALUE"""),"C++;C#;Java;JavaScript")</f>
        <v>C++;C#;Java;JavaScript</v>
      </c>
      <c r="C1460" s="9" t="str">
        <f>IFERROR(__xludf.DUMMYFUNCTION("""COMPUTED_VALUE"""),"C++")</f>
        <v>C++</v>
      </c>
      <c r="D1460" s="9" t="str">
        <f>IFERROR(__xludf.DUMMYFUNCTION("""COMPUTED_VALUE"""),"C++")</f>
        <v>C++</v>
      </c>
      <c r="E1460" s="9" t="str">
        <f>IFERROR(__xludf.DUMMYFUNCTION("""COMPUTED_VALUE"""),"Kotlin")</f>
        <v>Kotlin</v>
      </c>
      <c r="F1460" s="9" t="str">
        <f>IFERROR(__xludf.DUMMYFUNCTION("""COMPUTED_VALUE"""),"HTML/CSS")</f>
        <v>HTML/CSS</v>
      </c>
      <c r="G1460" s="9" t="str">
        <f>IFERROR(__xludf.DUMMYFUNCTION("""COMPUTED_VALUE"""),"Java")</f>
        <v>Java</v>
      </c>
      <c r="H1460" s="9" t="str">
        <f>IFERROR(__xludf.DUMMYFUNCTION("""COMPUTED_VALUE"""),"JavaScript")</f>
        <v>JavaScript</v>
      </c>
      <c r="I1460" s="9" t="str">
        <f>IFERROR(__xludf.DUMMYFUNCTION("""COMPUTED_VALUE"""),"C#")</f>
        <v>C#</v>
      </c>
      <c r="J1460" s="9" t="str">
        <f>IFERROR(__xludf.DUMMYFUNCTION("""COMPUTED_VALUE"""),"JavaScript")</f>
        <v>JavaScript</v>
      </c>
      <c r="K1460" s="9" t="str">
        <f>IFERROR(__xludf.DUMMYFUNCTION("""COMPUTED_VALUE"""),"Bash/Shell/PowerShell")</f>
        <v>Bash/Shell/PowerShell</v>
      </c>
      <c r="L1460" s="9" t="str">
        <f>IFERROR(__xludf.DUMMYFUNCTION("""COMPUTED_VALUE"""),"C#")</f>
        <v>C#</v>
      </c>
      <c r="M1460" s="9" t="s">
        <v>23</v>
      </c>
    </row>
    <row r="1461" ht="15.75" customHeight="1">
      <c r="A1461" s="7"/>
      <c r="B1461" s="7" t="str">
        <f>IFERROR(__xludf.DUMMYFUNCTION("""COMPUTED_VALUE"""),"HTML/CSS;JavaScript;PHP;Other(s):")</f>
        <v>HTML/CSS;JavaScript;PHP;Other(s):</v>
      </c>
      <c r="C1461" s="9" t="str">
        <f>IFERROR(__xludf.DUMMYFUNCTION("""COMPUTED_VALUE"""),"C#")</f>
        <v>C#</v>
      </c>
      <c r="D1461" s="9" t="str">
        <f>IFERROR(__xludf.DUMMYFUNCTION("""COMPUTED_VALUE"""),"Dart")</f>
        <v>Dart</v>
      </c>
      <c r="E1461" s="9" t="str">
        <f>IFERROR(__xludf.DUMMYFUNCTION("""COMPUTED_VALUE"""),"Python")</f>
        <v>Python</v>
      </c>
      <c r="F1461" s="9" t="str">
        <f>IFERROR(__xludf.DUMMYFUNCTION("""COMPUTED_VALUE"""),"JavaScript")</f>
        <v>JavaScript</v>
      </c>
      <c r="G1461" s="9" t="str">
        <f>IFERROR(__xludf.DUMMYFUNCTION("""COMPUTED_VALUE"""),"JavaScript")</f>
        <v>JavaScript</v>
      </c>
      <c r="H1461" s="9" t="str">
        <f>IFERROR(__xludf.DUMMYFUNCTION("""COMPUTED_VALUE"""),"PHP")</f>
        <v>PHP</v>
      </c>
      <c r="I1461" s="9" t="str">
        <f>IFERROR(__xludf.DUMMYFUNCTION("""COMPUTED_VALUE"""),"Other(s):")</f>
        <v>Other(s):</v>
      </c>
      <c r="J1461" s="9" t="str">
        <f>IFERROR(__xludf.DUMMYFUNCTION("""COMPUTED_VALUE"""),"Ruby")</f>
        <v>Ruby</v>
      </c>
      <c r="K1461" s="9" t="str">
        <f>IFERROR(__xludf.DUMMYFUNCTION("""COMPUTED_VALUE"""),"C#")</f>
        <v>C#</v>
      </c>
      <c r="L1461" s="9" t="str">
        <f>IFERROR(__xludf.DUMMYFUNCTION("""COMPUTED_VALUE"""),"Swift")</f>
        <v>Swift</v>
      </c>
      <c r="M1461" s="9" t="s">
        <v>26</v>
      </c>
    </row>
    <row r="1462" ht="15.75" customHeight="1">
      <c r="A1462" s="7"/>
      <c r="B1462" s="7" t="str">
        <f>IFERROR(__xludf.DUMMYFUNCTION("""COMPUTED_VALUE"""),"Clojure;Java;Scala")</f>
        <v>Clojure;Java;Scala</v>
      </c>
      <c r="C1462" s="9" t="str">
        <f>IFERROR(__xludf.DUMMYFUNCTION("""COMPUTED_VALUE"""),"HTML/CSS")</f>
        <v>HTML/CSS</v>
      </c>
      <c r="D1462" s="9" t="str">
        <f>IFERROR(__xludf.DUMMYFUNCTION("""COMPUTED_VALUE"""),"HTML/CSS")</f>
        <v>HTML/CSS</v>
      </c>
      <c r="E1462" s="9" t="str">
        <f>IFERROR(__xludf.DUMMYFUNCTION("""COMPUTED_VALUE"""),"R")</f>
        <v>R</v>
      </c>
      <c r="F1462" s="9" t="str">
        <f>IFERROR(__xludf.DUMMYFUNCTION("""COMPUTED_VALUE"""),"Scala")</f>
        <v>Scala</v>
      </c>
      <c r="G1462" s="9" t="str">
        <f>IFERROR(__xludf.DUMMYFUNCTION("""COMPUTED_VALUE"""),"PHP")</f>
        <v>PHP</v>
      </c>
      <c r="H1462" s="9" t="str">
        <f>IFERROR(__xludf.DUMMYFUNCTION("""COMPUTED_VALUE"""),"SQL")</f>
        <v>SQL</v>
      </c>
      <c r="I1462" s="9" t="str">
        <f>IFERROR(__xludf.DUMMYFUNCTION("""COMPUTED_VALUE"""),"Bash/Shell/PowerShell")</f>
        <v>Bash/Shell/PowerShell</v>
      </c>
      <c r="J1462" s="9" t="str">
        <f>IFERROR(__xludf.DUMMYFUNCTION("""COMPUTED_VALUE"""),"SQL")</f>
        <v>SQL</v>
      </c>
      <c r="K1462" s="9" t="str">
        <f>IFERROR(__xludf.DUMMYFUNCTION("""COMPUTED_VALUE"""),"HTML/CSS")</f>
        <v>HTML/CSS</v>
      </c>
      <c r="L1462" s="9" t="str">
        <f>IFERROR(__xludf.DUMMYFUNCTION("""COMPUTED_VALUE"""),"Java")</f>
        <v>Java</v>
      </c>
      <c r="M1462" s="9" t="s">
        <v>24</v>
      </c>
    </row>
    <row r="1463" ht="15.75" customHeight="1">
      <c r="A1463" s="7"/>
      <c r="B1463" s="7" t="str">
        <f>IFERROR(__xludf.DUMMYFUNCTION("""COMPUTED_VALUE"""),"HTML/CSS;Java")</f>
        <v>HTML/CSS;Java</v>
      </c>
      <c r="C1463" s="9" t="str">
        <f>IFERROR(__xludf.DUMMYFUNCTION("""COMPUTED_VALUE"""),"Java")</f>
        <v>Java</v>
      </c>
      <c r="D1463" s="9" t="str">
        <f>IFERROR(__xludf.DUMMYFUNCTION("""COMPUTED_VALUE"""),"Java")</f>
        <v>Java</v>
      </c>
      <c r="E1463" s="9" t="str">
        <f>IFERROR(__xludf.DUMMYFUNCTION("""COMPUTED_VALUE"""),"Scala")</f>
        <v>Scala</v>
      </c>
      <c r="F1463" s="9" t="str">
        <f>IFERROR(__xludf.DUMMYFUNCTION("""COMPUTED_VALUE"""),"C++")</f>
        <v>C++</v>
      </c>
      <c r="G1463" s="9" t="str">
        <f>IFERROR(__xludf.DUMMYFUNCTION("""COMPUTED_VALUE"""),"SQL")</f>
        <v>SQL</v>
      </c>
      <c r="H1463" s="9" t="str">
        <f>IFERROR(__xludf.DUMMYFUNCTION("""COMPUTED_VALUE"""),"HTML/CSS")</f>
        <v>HTML/CSS</v>
      </c>
      <c r="I1463" s="9" t="str">
        <f>IFERROR(__xludf.DUMMYFUNCTION("""COMPUTED_VALUE"""),"C")</f>
        <v>C</v>
      </c>
      <c r="J1463" s="9" t="str">
        <f>IFERROR(__xludf.DUMMYFUNCTION("""COMPUTED_VALUE"""),"C#")</f>
        <v>C#</v>
      </c>
      <c r="K1463" s="9" t="str">
        <f>IFERROR(__xludf.DUMMYFUNCTION("""COMPUTED_VALUE"""),"JavaScript")</f>
        <v>JavaScript</v>
      </c>
      <c r="L1463" s="9" t="str">
        <f>IFERROR(__xludf.DUMMYFUNCTION("""COMPUTED_VALUE"""),"Kotlin")</f>
        <v>Kotlin</v>
      </c>
      <c r="M1463" s="9" t="s">
        <v>20</v>
      </c>
    </row>
    <row r="1464" ht="15.75" customHeight="1">
      <c r="A1464" s="7"/>
      <c r="B1464" s="7" t="str">
        <f>IFERROR(__xludf.DUMMYFUNCTION("""COMPUTED_VALUE"""),"Java")</f>
        <v>Java</v>
      </c>
      <c r="C1464" s="9" t="str">
        <f>IFERROR(__xludf.DUMMYFUNCTION("""COMPUTED_VALUE"""),"JavaScript")</f>
        <v>JavaScript</v>
      </c>
      <c r="D1464" s="9" t="str">
        <f>IFERROR(__xludf.DUMMYFUNCTION("""COMPUTED_VALUE"""),"PHP")</f>
        <v>PHP</v>
      </c>
      <c r="E1464" s="9" t="str">
        <f>IFERROR(__xludf.DUMMYFUNCTION("""COMPUTED_VALUE"""),"SQL")</f>
        <v>SQL</v>
      </c>
      <c r="F1464" s="9" t="str">
        <f>IFERROR(__xludf.DUMMYFUNCTION("""COMPUTED_VALUE"""),"HTML/CSS")</f>
        <v>HTML/CSS</v>
      </c>
      <c r="G1464" s="9" t="str">
        <f>IFERROR(__xludf.DUMMYFUNCTION("""COMPUTED_VALUE"""),"TypeScript")</f>
        <v>TypeScript</v>
      </c>
      <c r="H1464" s="9" t="str">
        <f>IFERROR(__xludf.DUMMYFUNCTION("""COMPUTED_VALUE"""),"Java")</f>
        <v>Java</v>
      </c>
      <c r="I1464" s="9" t="str">
        <f>IFERROR(__xludf.DUMMYFUNCTION("""COMPUTED_VALUE"""),"C#")</f>
        <v>C#</v>
      </c>
      <c r="J1464" s="9" t="str">
        <f>IFERROR(__xludf.DUMMYFUNCTION("""COMPUTED_VALUE"""),"Rust")</f>
        <v>Rust</v>
      </c>
      <c r="K1464" s="9" t="str">
        <f>IFERROR(__xludf.DUMMYFUNCTION("""COMPUTED_VALUE"""),"SQL")</f>
        <v>SQL</v>
      </c>
      <c r="L1464" s="9" t="str">
        <f>IFERROR(__xludf.DUMMYFUNCTION("""COMPUTED_VALUE"""),"Objective-C")</f>
        <v>Objective-C</v>
      </c>
      <c r="M1464" s="9" t="s">
        <v>21</v>
      </c>
    </row>
    <row r="1465" ht="15.75" customHeight="1">
      <c r="A1465" s="7"/>
      <c r="B1465" s="7" t="str">
        <f>IFERROR(__xludf.DUMMYFUNCTION("""COMPUTED_VALUE"""),"Bash/Shell/PowerShell;C;C++;Clojure;HTML/CSS;Java;JavaScript;Python;SQL")</f>
        <v>Bash/Shell/PowerShell;C;C++;Clojure;HTML/CSS;Java;JavaScript;Python;SQL</v>
      </c>
      <c r="C1465" s="9" t="str">
        <f>IFERROR(__xludf.DUMMYFUNCTION("""COMPUTED_VALUE"""),"Kotlin")</f>
        <v>Kotlin</v>
      </c>
      <c r="D1465" s="9" t="str">
        <f>IFERROR(__xludf.DUMMYFUNCTION("""COMPUTED_VALUE"""),"Python")</f>
        <v>Python</v>
      </c>
      <c r="E1465" s="9" t="str">
        <f>IFERROR(__xludf.DUMMYFUNCTION("""COMPUTED_VALUE"""),"TypeScript")</f>
        <v>TypeScript</v>
      </c>
      <c r="F1465" s="9" t="str">
        <f>IFERROR(__xludf.DUMMYFUNCTION("""COMPUTED_VALUE"""),"Java")</f>
        <v>Java</v>
      </c>
      <c r="G1465" s="9" t="str">
        <f>IFERROR(__xludf.DUMMYFUNCTION("""COMPUTED_VALUE"""),"Elixir")</f>
        <v>Elixir</v>
      </c>
      <c r="H1465" s="9" t="str">
        <f>IFERROR(__xludf.DUMMYFUNCTION("""COMPUTED_VALUE"""),"JavaScript")</f>
        <v>JavaScript</v>
      </c>
      <c r="I1465" s="9" t="str">
        <f>IFERROR(__xludf.DUMMYFUNCTION("""COMPUTED_VALUE"""),"HTML/CSS")</f>
        <v>HTML/CSS</v>
      </c>
      <c r="J1465" s="9" t="str">
        <f>IFERROR(__xludf.DUMMYFUNCTION("""COMPUTED_VALUE"""),"SQL")</f>
        <v>SQL</v>
      </c>
      <c r="K1465" s="9" t="str">
        <f>IFERROR(__xludf.DUMMYFUNCTION("""COMPUTED_VALUE"""),"TypeScript")</f>
        <v>TypeScript</v>
      </c>
      <c r="L1465" s="9" t="str">
        <f>IFERROR(__xludf.DUMMYFUNCTION("""COMPUTED_VALUE"""),"Assembly")</f>
        <v>Assembly</v>
      </c>
      <c r="M1465" s="9" t="s">
        <v>39</v>
      </c>
    </row>
    <row r="1466" ht="15.75" customHeight="1">
      <c r="A1466" s="7"/>
      <c r="B1466" s="7" t="str">
        <f>IFERROR(__xludf.DUMMYFUNCTION("""COMPUTED_VALUE"""),"Bash/Shell/PowerShell;C#;HTML/CSS;Java;JavaScript;Python;SQL")</f>
        <v>Bash/Shell/PowerShell;C#;HTML/CSS;Java;JavaScript;Python;SQL</v>
      </c>
      <c r="C1466" s="9" t="str">
        <f>IFERROR(__xludf.DUMMYFUNCTION("""COMPUTED_VALUE"""),"PHP")</f>
        <v>PHP</v>
      </c>
      <c r="D1466" s="9" t="str">
        <f>IFERROR(__xludf.DUMMYFUNCTION("""COMPUTED_VALUE"""),"SQL")</f>
        <v>SQL</v>
      </c>
      <c r="E1466" s="9" t="str">
        <f>IFERROR(__xludf.DUMMYFUNCTION("""COMPUTED_VALUE"""),"Bash/Shell/PowerShell")</f>
        <v>Bash/Shell/PowerShell</v>
      </c>
      <c r="F1466" s="9" t="str">
        <f>IFERROR(__xludf.DUMMYFUNCTION("""COMPUTED_VALUE"""),"JavaScript")</f>
        <v>JavaScript</v>
      </c>
      <c r="G1466" s="9" t="str">
        <f>IFERROR(__xludf.DUMMYFUNCTION("""COMPUTED_VALUE"""),"HTML/CSS")</f>
        <v>HTML/CSS</v>
      </c>
      <c r="H1466" s="9" t="str">
        <f>IFERROR(__xludf.DUMMYFUNCTION("""COMPUTED_VALUE"""),"Python")</f>
        <v>Python</v>
      </c>
      <c r="I1466" s="9" t="str">
        <f>IFERROR(__xludf.DUMMYFUNCTION("""COMPUTED_VALUE"""),"Java")</f>
        <v>Java</v>
      </c>
      <c r="J1466" s="9" t="str">
        <f>IFERROR(__xludf.DUMMYFUNCTION("""COMPUTED_VALUE"""),"JavaScript")</f>
        <v>JavaScript</v>
      </c>
      <c r="K1466" s="9" t="str">
        <f>IFERROR(__xludf.DUMMYFUNCTION("""COMPUTED_VALUE"""),"HTML/CSS")</f>
        <v>HTML/CSS</v>
      </c>
      <c r="L1466" s="9" t="str">
        <f>IFERROR(__xludf.DUMMYFUNCTION("""COMPUTED_VALUE"""),"C")</f>
        <v>C</v>
      </c>
      <c r="M1466" s="9" t="s">
        <v>37</v>
      </c>
    </row>
    <row r="1467" ht="15.75" customHeight="1">
      <c r="A1467" s="7"/>
      <c r="B1467" s="7" t="str">
        <f>IFERROR(__xludf.DUMMYFUNCTION("""COMPUTED_VALUE"""),"C#;Dart;HTML/CSS;JavaScript;SQL")</f>
        <v>C#;Dart;HTML/CSS;JavaScript;SQL</v>
      </c>
      <c r="C1467" s="9" t="str">
        <f>IFERROR(__xludf.DUMMYFUNCTION("""COMPUTED_VALUE"""),"Python")</f>
        <v>Python</v>
      </c>
      <c r="D1467" s="9" t="str">
        <f>IFERROR(__xludf.DUMMYFUNCTION("""COMPUTED_VALUE"""),"Bash/Shell/PowerShell")</f>
        <v>Bash/Shell/PowerShell</v>
      </c>
      <c r="E1467" s="9" t="str">
        <f>IFERROR(__xludf.DUMMYFUNCTION("""COMPUTED_VALUE"""),"HTML/CSS")</f>
        <v>HTML/CSS</v>
      </c>
      <c r="F1467" s="9" t="str">
        <f>IFERROR(__xludf.DUMMYFUNCTION("""COMPUTED_VALUE"""),"Python")</f>
        <v>Python</v>
      </c>
      <c r="G1467" s="9" t="str">
        <f>IFERROR(__xludf.DUMMYFUNCTION("""COMPUTED_VALUE"""),"JavaScript")</f>
        <v>JavaScript</v>
      </c>
      <c r="H1467" s="9" t="str">
        <f>IFERROR(__xludf.DUMMYFUNCTION("""COMPUTED_VALUE"""),"HTML/CSS")</f>
        <v>HTML/CSS</v>
      </c>
      <c r="I1467" s="9" t="str">
        <f>IFERROR(__xludf.DUMMYFUNCTION("""COMPUTED_VALUE"""),"JavaScript")</f>
        <v>JavaScript</v>
      </c>
      <c r="J1467" s="9" t="str">
        <f>IFERROR(__xludf.DUMMYFUNCTION("""COMPUTED_VALUE"""),"PHP")</f>
        <v>PHP</v>
      </c>
      <c r="K1467" s="9" t="str">
        <f>IFERROR(__xludf.DUMMYFUNCTION("""COMPUTED_VALUE"""),"JavaScript")</f>
        <v>JavaScript</v>
      </c>
      <c r="L1467" s="9" t="str">
        <f>IFERROR(__xludf.DUMMYFUNCTION("""COMPUTED_VALUE"""),"Java")</f>
        <v>Java</v>
      </c>
      <c r="M1467" s="9" t="s">
        <v>22</v>
      </c>
    </row>
    <row r="1468" ht="15.75" customHeight="1">
      <c r="A1468" s="7"/>
      <c r="B1468" s="7" t="str">
        <f>IFERROR(__xludf.DUMMYFUNCTION("""COMPUTED_VALUE"""),"C;C++;HTML/CSS;JavaScript;SQL")</f>
        <v>C;C++;HTML/CSS;JavaScript;SQL</v>
      </c>
      <c r="C1468" s="9" t="str">
        <f>IFERROR(__xludf.DUMMYFUNCTION("""COMPUTED_VALUE"""),"Ruby")</f>
        <v>Ruby</v>
      </c>
      <c r="D1468" s="9" t="str">
        <f>IFERROR(__xludf.DUMMYFUNCTION("""COMPUTED_VALUE"""),"PHP")</f>
        <v>PHP</v>
      </c>
      <c r="E1468" s="9" t="str">
        <f>IFERROR(__xludf.DUMMYFUNCTION("""COMPUTED_VALUE"""),"Java")</f>
        <v>Java</v>
      </c>
      <c r="F1468" s="9" t="str">
        <f>IFERROR(__xludf.DUMMYFUNCTION("""COMPUTED_VALUE"""),"SQL")</f>
        <v>SQL</v>
      </c>
      <c r="G1468" s="9" t="str">
        <f>IFERROR(__xludf.DUMMYFUNCTION("""COMPUTED_VALUE"""),"PHP")</f>
        <v>PHP</v>
      </c>
      <c r="H1468" s="9" t="str">
        <f>IFERROR(__xludf.DUMMYFUNCTION("""COMPUTED_VALUE"""),"Java")</f>
        <v>Java</v>
      </c>
      <c r="I1468" s="9" t="str">
        <f>IFERROR(__xludf.DUMMYFUNCTION("""COMPUTED_VALUE"""),"PHP")</f>
        <v>PHP</v>
      </c>
      <c r="J1468" s="9" t="str">
        <f>IFERROR(__xludf.DUMMYFUNCTION("""COMPUTED_VALUE"""),"Bash/Shell/PowerShell")</f>
        <v>Bash/Shell/PowerShell</v>
      </c>
      <c r="K1468" s="9" t="str">
        <f>IFERROR(__xludf.DUMMYFUNCTION("""COMPUTED_VALUE"""),"PHP")</f>
        <v>PHP</v>
      </c>
      <c r="L1468" s="9" t="str">
        <f>IFERROR(__xludf.DUMMYFUNCTION("""COMPUTED_VALUE"""),"JavaScript")</f>
        <v>JavaScript</v>
      </c>
      <c r="M1468" s="9" t="s">
        <v>31</v>
      </c>
    </row>
    <row r="1469" ht="15.75" customHeight="1">
      <c r="A1469" s="7"/>
      <c r="B1469" s="7" t="str">
        <f>IFERROR(__xludf.DUMMYFUNCTION("""COMPUTED_VALUE"""),"C#;HTML/CSS;JavaScript;Python;SQL")</f>
        <v>C#;HTML/CSS;JavaScript;Python;SQL</v>
      </c>
      <c r="C1469" s="9" t="str">
        <f>IFERROR(__xludf.DUMMYFUNCTION("""COMPUTED_VALUE"""),"SQL")</f>
        <v>SQL</v>
      </c>
      <c r="D1469" s="9" t="str">
        <f>IFERROR(__xludf.DUMMYFUNCTION("""COMPUTED_VALUE"""),"Python")</f>
        <v>Python</v>
      </c>
      <c r="E1469" s="9" t="str">
        <f>IFERROR(__xludf.DUMMYFUNCTION("""COMPUTED_VALUE"""),"JavaScript")</f>
        <v>JavaScript</v>
      </c>
      <c r="F1469" s="9" t="str">
        <f>IFERROR(__xludf.DUMMYFUNCTION("""COMPUTED_VALUE"""),"C++")</f>
        <v>C++</v>
      </c>
      <c r="G1469" s="9" t="str">
        <f>IFERROR(__xludf.DUMMYFUNCTION("""COMPUTED_VALUE"""),"SQL")</f>
        <v>SQL</v>
      </c>
      <c r="H1469" s="9" t="str">
        <f>IFERROR(__xludf.DUMMYFUNCTION("""COMPUTED_VALUE"""),"Kotlin")</f>
        <v>Kotlin</v>
      </c>
      <c r="I1469" s="9" t="str">
        <f>IFERROR(__xludf.DUMMYFUNCTION("""COMPUTED_VALUE"""),"Python")</f>
        <v>Python</v>
      </c>
      <c r="J1469" s="9" t="str">
        <f>IFERROR(__xludf.DUMMYFUNCTION("""COMPUTED_VALUE"""),"Go")</f>
        <v>Go</v>
      </c>
      <c r="K1469" s="9" t="str">
        <f>IFERROR(__xludf.DUMMYFUNCTION("""COMPUTED_VALUE"""),"Python")</f>
        <v>Python</v>
      </c>
      <c r="L1469" s="9" t="str">
        <f>IFERROR(__xludf.DUMMYFUNCTION("""COMPUTED_VALUE"""),"Python")</f>
        <v>Python</v>
      </c>
      <c r="M1469" s="9" t="s">
        <v>27</v>
      </c>
    </row>
    <row r="1470" ht="15.75" customHeight="1">
      <c r="A1470" s="7"/>
      <c r="B1470" s="7" t="str">
        <f>IFERROR(__xludf.DUMMYFUNCTION("""COMPUTED_VALUE"""),"HTML/CSS;JavaScript;Other(s):")</f>
        <v>HTML/CSS;JavaScript;Other(s):</v>
      </c>
      <c r="C1470" s="9" t="str">
        <f>IFERROR(__xludf.DUMMYFUNCTION("""COMPUTED_VALUE"""),"TypeScript")</f>
        <v>TypeScript</v>
      </c>
      <c r="D1470" s="9" t="str">
        <f>IFERROR(__xludf.DUMMYFUNCTION("""COMPUTED_VALUE"""),"SQL")</f>
        <v>SQL</v>
      </c>
      <c r="E1470" s="9" t="str">
        <f>IFERROR(__xludf.DUMMYFUNCTION("""COMPUTED_VALUE"""),"Python")</f>
        <v>Python</v>
      </c>
      <c r="F1470" s="9" t="str">
        <f>IFERROR(__xludf.DUMMYFUNCTION("""COMPUTED_VALUE"""),"C#")</f>
        <v>C#</v>
      </c>
      <c r="G1470" s="9" t="str">
        <f>IFERROR(__xludf.DUMMYFUNCTION("""COMPUTED_VALUE"""),"C++")</f>
        <v>C++</v>
      </c>
      <c r="H1470" s="9" t="str">
        <f>IFERROR(__xludf.DUMMYFUNCTION("""COMPUTED_VALUE"""),"Python")</f>
        <v>Python</v>
      </c>
      <c r="I1470" s="9" t="str">
        <f>IFERROR(__xludf.DUMMYFUNCTION("""COMPUTED_VALUE"""),"SQL")</f>
        <v>SQL</v>
      </c>
      <c r="J1470" s="9" t="str">
        <f>IFERROR(__xludf.DUMMYFUNCTION("""COMPUTED_VALUE"""),"HTML/CSS")</f>
        <v>HTML/CSS</v>
      </c>
      <c r="K1470" s="9" t="str">
        <f>IFERROR(__xludf.DUMMYFUNCTION("""COMPUTED_VALUE"""),"SQL")</f>
        <v>SQL</v>
      </c>
      <c r="L1470" s="9" t="str">
        <f>IFERROR(__xludf.DUMMYFUNCTION("""COMPUTED_VALUE"""),"Python")</f>
        <v>Python</v>
      </c>
      <c r="M1470" s="9" t="s">
        <v>33</v>
      </c>
    </row>
    <row r="1471" ht="15.75" customHeight="1">
      <c r="A1471" s="7"/>
      <c r="B1471" s="7" t="str">
        <f>IFERROR(__xludf.DUMMYFUNCTION("""COMPUTED_VALUE"""),"C#;HTML/CSS;Java;Scala;SQL;TypeScript")</f>
        <v>C#;HTML/CSS;Java;Scala;SQL;TypeScript</v>
      </c>
      <c r="C1471" s="9" t="str">
        <f>IFERROR(__xludf.DUMMYFUNCTION("""COMPUTED_VALUE"""),"WebAssembly")</f>
        <v>WebAssembly</v>
      </c>
      <c r="D1471" s="9" t="str">
        <f>IFERROR(__xludf.DUMMYFUNCTION("""COMPUTED_VALUE"""),"Java")</f>
        <v>Java</v>
      </c>
      <c r="E1471" s="9" t="str">
        <f>IFERROR(__xludf.DUMMYFUNCTION("""COMPUTED_VALUE"""),"SQL")</f>
        <v>SQL</v>
      </c>
      <c r="F1471" s="9" t="str">
        <f>IFERROR(__xludf.DUMMYFUNCTION("""COMPUTED_VALUE"""),"Python")</f>
        <v>Python</v>
      </c>
      <c r="G1471" s="9" t="str">
        <f>IFERROR(__xludf.DUMMYFUNCTION("""COMPUTED_VALUE"""),"C#")</f>
        <v>C#</v>
      </c>
      <c r="H1471" s="9" t="str">
        <f>IFERROR(__xludf.DUMMYFUNCTION("""COMPUTED_VALUE"""),"Bash/Shell/PowerShell")</f>
        <v>Bash/Shell/PowerShell</v>
      </c>
      <c r="I1471" s="9" t="str">
        <f>IFERROR(__xludf.DUMMYFUNCTION("""COMPUTED_VALUE"""),"VBA")</f>
        <v>VBA</v>
      </c>
      <c r="J1471" s="9" t="str">
        <f>IFERROR(__xludf.DUMMYFUNCTION("""COMPUTED_VALUE"""),"JavaScript")</f>
        <v>JavaScript</v>
      </c>
      <c r="K1471" s="9" t="str">
        <f>IFERROR(__xludf.DUMMYFUNCTION("""COMPUTED_VALUE"""),"C#")</f>
        <v>C#</v>
      </c>
      <c r="L1471" s="9" t="str">
        <f>IFERROR(__xludf.DUMMYFUNCTION("""COMPUTED_VALUE"""),"Python")</f>
        <v>Python</v>
      </c>
      <c r="M1471" s="9" t="s">
        <v>34</v>
      </c>
    </row>
    <row r="1472" ht="15.75" customHeight="1">
      <c r="A1472" s="7"/>
      <c r="B1472" s="7" t="str">
        <f>IFERROR(__xludf.DUMMYFUNCTION("""COMPUTED_VALUE"""),"C++;Go;JavaScript;Python")</f>
        <v>C++;Go;JavaScript;Python</v>
      </c>
      <c r="C1472" s="9" t="str">
        <f>IFERROR(__xludf.DUMMYFUNCTION("""COMPUTED_VALUE"""),"HTML/CSS")</f>
        <v>HTML/CSS</v>
      </c>
      <c r="D1472" s="9" t="str">
        <f>IFERROR(__xludf.DUMMYFUNCTION("""COMPUTED_VALUE"""),"Scala")</f>
        <v>Scala</v>
      </c>
      <c r="E1472" s="9" t="str">
        <f>IFERROR(__xludf.DUMMYFUNCTION("""COMPUTED_VALUE"""),"Bash/Shell/PowerShell")</f>
        <v>Bash/Shell/PowerShell</v>
      </c>
      <c r="F1472" s="9" t="str">
        <f>IFERROR(__xludf.DUMMYFUNCTION("""COMPUTED_VALUE"""),"C")</f>
        <v>C</v>
      </c>
      <c r="G1472" s="9" t="str">
        <f>IFERROR(__xludf.DUMMYFUNCTION("""COMPUTED_VALUE"""),"Python")</f>
        <v>Python</v>
      </c>
      <c r="H1472" s="9" t="str">
        <f>IFERROR(__xludf.DUMMYFUNCTION("""COMPUTED_VALUE"""),"C")</f>
        <v>C</v>
      </c>
      <c r="I1472" s="9" t="str">
        <f>IFERROR(__xludf.DUMMYFUNCTION("""COMPUTED_VALUE"""),"Bash/Shell/PowerShell")</f>
        <v>Bash/Shell/PowerShell</v>
      </c>
      <c r="J1472" s="9" t="str">
        <f>IFERROR(__xludf.DUMMYFUNCTION("""COMPUTED_VALUE"""),"PHP")</f>
        <v>PHP</v>
      </c>
      <c r="K1472" s="9" t="str">
        <f>IFERROR(__xludf.DUMMYFUNCTION("""COMPUTED_VALUE"""),"Elixir")</f>
        <v>Elixir</v>
      </c>
      <c r="L1472" s="9" t="str">
        <f>IFERROR(__xludf.DUMMYFUNCTION("""COMPUTED_VALUE"""),"R")</f>
        <v>R</v>
      </c>
      <c r="M1472" s="9" t="s">
        <v>24</v>
      </c>
    </row>
    <row r="1473" ht="15.75" customHeight="1">
      <c r="A1473" s="7"/>
      <c r="B1473" s="7" t="str">
        <f>IFERROR(__xludf.DUMMYFUNCTION("""COMPUTED_VALUE"""),"HTML/CSS;JavaScript;Python")</f>
        <v>HTML/CSS;JavaScript;Python</v>
      </c>
      <c r="C1473" s="9" t="str">
        <f>IFERROR(__xludf.DUMMYFUNCTION("""COMPUTED_VALUE"""),"Java")</f>
        <v>Java</v>
      </c>
      <c r="D1473" s="9" t="str">
        <f>IFERROR(__xludf.DUMMYFUNCTION("""COMPUTED_VALUE"""),"C")</f>
        <v>C</v>
      </c>
      <c r="E1473" s="9" t="str">
        <f>IFERROR(__xludf.DUMMYFUNCTION("""COMPUTED_VALUE"""),"C")</f>
        <v>C</v>
      </c>
      <c r="F1473" s="9" t="str">
        <f>IFERROR(__xludf.DUMMYFUNCTION("""COMPUTED_VALUE"""),"Bash/Shell/PowerShell")</f>
        <v>Bash/Shell/PowerShell</v>
      </c>
      <c r="G1473" s="9" t="str">
        <f>IFERROR(__xludf.DUMMYFUNCTION("""COMPUTED_VALUE"""),"Assembly")</f>
        <v>Assembly</v>
      </c>
      <c r="H1473" s="9" t="str">
        <f>IFERROR(__xludf.DUMMYFUNCTION("""COMPUTED_VALUE"""),"C++")</f>
        <v>C++</v>
      </c>
      <c r="I1473" s="9" t="str">
        <f>IFERROR(__xludf.DUMMYFUNCTION("""COMPUTED_VALUE"""),"HTML/CSS")</f>
        <v>HTML/CSS</v>
      </c>
      <c r="J1473" s="9" t="str">
        <f>IFERROR(__xludf.DUMMYFUNCTION("""COMPUTED_VALUE"""),"SQL")</f>
        <v>SQL</v>
      </c>
      <c r="K1473" s="9" t="str">
        <f>IFERROR(__xludf.DUMMYFUNCTION("""COMPUTED_VALUE"""),"HTML/CSS")</f>
        <v>HTML/CSS</v>
      </c>
      <c r="L1473" s="9" t="str">
        <f>IFERROR(__xludf.DUMMYFUNCTION("""COMPUTED_VALUE"""),"SQL")</f>
        <v>SQL</v>
      </c>
      <c r="M1473" s="9" t="s">
        <v>20</v>
      </c>
    </row>
    <row r="1474" ht="15.75" customHeight="1">
      <c r="A1474" s="7"/>
      <c r="B1474" s="7" t="str">
        <f>IFERROR(__xludf.DUMMYFUNCTION("""COMPUTED_VALUE"""),"Assembly;Bash/Shell/PowerShell;C#;HTML/CSS;JavaScript;PHP;SQL;Other(s):")</f>
        <v>Assembly;Bash/Shell/PowerShell;C#;HTML/CSS;JavaScript;PHP;SQL;Other(s):</v>
      </c>
      <c r="C1474" s="9" t="str">
        <f>IFERROR(__xludf.DUMMYFUNCTION("""COMPUTED_VALUE"""),"JavaScript")</f>
        <v>JavaScript</v>
      </c>
      <c r="D1474" s="9" t="str">
        <f>IFERROR(__xludf.DUMMYFUNCTION("""COMPUTED_VALUE"""),"C++")</f>
        <v>C++</v>
      </c>
      <c r="E1474" s="9" t="str">
        <f>IFERROR(__xludf.DUMMYFUNCTION("""COMPUTED_VALUE"""),"C++")</f>
        <v>C++</v>
      </c>
      <c r="F1474" s="9" t="str">
        <f>IFERROR(__xludf.DUMMYFUNCTION("""COMPUTED_VALUE"""),"HTML/CSS")</f>
        <v>HTML/CSS</v>
      </c>
      <c r="G1474" s="9" t="str">
        <f>IFERROR(__xludf.DUMMYFUNCTION("""COMPUTED_VALUE"""),"Python")</f>
        <v>Python</v>
      </c>
      <c r="H1474" s="9" t="str">
        <f>IFERROR(__xludf.DUMMYFUNCTION("""COMPUTED_VALUE"""),"Java")</f>
        <v>Java</v>
      </c>
      <c r="I1474" s="9" t="str">
        <f>IFERROR(__xludf.DUMMYFUNCTION("""COMPUTED_VALUE"""),"Java")</f>
        <v>Java</v>
      </c>
      <c r="J1474" s="9" t="str">
        <f>IFERROR(__xludf.DUMMYFUNCTION("""COMPUTED_VALUE"""),"Java")</f>
        <v>Java</v>
      </c>
      <c r="K1474" s="9" t="str">
        <f>IFERROR(__xludf.DUMMYFUNCTION("""COMPUTED_VALUE"""),"JavaScript")</f>
        <v>JavaScript</v>
      </c>
      <c r="L1474" s="9" t="str">
        <f>IFERROR(__xludf.DUMMYFUNCTION("""COMPUTED_VALUE"""),"VBA")</f>
        <v>VBA</v>
      </c>
      <c r="M1474" s="9" t="s">
        <v>21</v>
      </c>
    </row>
    <row r="1475" ht="15.75" customHeight="1">
      <c r="A1475" s="7"/>
      <c r="B1475" s="7" t="str">
        <f>IFERROR(__xludf.DUMMYFUNCTION("""COMPUTED_VALUE"""),"Bash/Shell/PowerShell;C++;HTML/CSS;JavaScript;Python;Ruby;TypeScript")</f>
        <v>Bash/Shell/PowerShell;C++;HTML/CSS;JavaScript;Python;Ruby;TypeScript</v>
      </c>
      <c r="C1475" s="9" t="str">
        <f>IFERROR(__xludf.DUMMYFUNCTION("""COMPUTED_VALUE"""),"SQL")</f>
        <v>SQL</v>
      </c>
      <c r="D1475" s="9" t="str">
        <f>IFERROR(__xludf.DUMMYFUNCTION("""COMPUTED_VALUE"""),"Python")</f>
        <v>Python</v>
      </c>
      <c r="E1475" s="9" t="str">
        <f>IFERROR(__xludf.DUMMYFUNCTION("""COMPUTED_VALUE"""),"C#")</f>
        <v>C#</v>
      </c>
      <c r="F1475" s="9" t="str">
        <f>IFERROR(__xludf.DUMMYFUNCTION("""COMPUTED_VALUE"""),"Java")</f>
        <v>Java</v>
      </c>
      <c r="G1475" s="9" t="str">
        <f>IFERROR(__xludf.DUMMYFUNCTION("""COMPUTED_VALUE"""),"C")</f>
        <v>C</v>
      </c>
      <c r="H1475" s="9" t="str">
        <f>IFERROR(__xludf.DUMMYFUNCTION("""COMPUTED_VALUE"""),"JavaScript")</f>
        <v>JavaScript</v>
      </c>
      <c r="I1475" s="9" t="str">
        <f>IFERROR(__xludf.DUMMYFUNCTION("""COMPUTED_VALUE"""),"JavaScript")</f>
        <v>JavaScript</v>
      </c>
      <c r="J1475" s="9" t="str">
        <f>IFERROR(__xludf.DUMMYFUNCTION("""COMPUTED_VALUE"""),"JavaScript")</f>
        <v>JavaScript</v>
      </c>
      <c r="K1475" s="9" t="str">
        <f>IFERROR(__xludf.DUMMYFUNCTION("""COMPUTED_VALUE"""),"Bash/Shell/PowerShell")</f>
        <v>Bash/Shell/PowerShell</v>
      </c>
      <c r="L1475" s="9" t="str">
        <f>IFERROR(__xludf.DUMMYFUNCTION("""COMPUTED_VALUE"""),"C#")</f>
        <v>C#</v>
      </c>
      <c r="M1475" s="9" t="s">
        <v>27</v>
      </c>
    </row>
    <row r="1476" ht="15.75" customHeight="1">
      <c r="A1476" s="7"/>
      <c r="B1476" s="7" t="str">
        <f>IFERROR(__xludf.DUMMYFUNCTION("""COMPUTED_VALUE"""),"JavaScript;R")</f>
        <v>JavaScript;R</v>
      </c>
      <c r="C1476" s="9" t="str">
        <f>IFERROR(__xludf.DUMMYFUNCTION("""COMPUTED_VALUE"""),"HTML/CSS")</f>
        <v>HTML/CSS</v>
      </c>
      <c r="D1476" s="9" t="str">
        <f>IFERROR(__xludf.DUMMYFUNCTION("""COMPUTED_VALUE"""),"JavaScript")</f>
        <v>JavaScript</v>
      </c>
      <c r="E1476" s="9" t="str">
        <f>IFERROR(__xludf.DUMMYFUNCTION("""COMPUTED_VALUE"""),"C#")</f>
        <v>C#</v>
      </c>
      <c r="F1476" s="9" t="str">
        <f>IFERROR(__xludf.DUMMYFUNCTION("""COMPUTED_VALUE"""),"JavaScript")</f>
        <v>JavaScript</v>
      </c>
      <c r="G1476" s="9" t="str">
        <f>IFERROR(__xludf.DUMMYFUNCTION("""COMPUTED_VALUE"""),"C++")</f>
        <v>C++</v>
      </c>
      <c r="H1476" s="9" t="str">
        <f>IFERROR(__xludf.DUMMYFUNCTION("""COMPUTED_VALUE"""),"Python")</f>
        <v>Python</v>
      </c>
      <c r="I1476" s="9" t="str">
        <f>IFERROR(__xludf.DUMMYFUNCTION("""COMPUTED_VALUE"""),"Kotlin")</f>
        <v>Kotlin</v>
      </c>
      <c r="J1476" s="9" t="str">
        <f>IFERROR(__xludf.DUMMYFUNCTION("""COMPUTED_VALUE"""),"TypeScript")</f>
        <v>TypeScript</v>
      </c>
      <c r="K1476" s="9" t="str">
        <f>IFERROR(__xludf.DUMMYFUNCTION("""COMPUTED_VALUE"""),"C#")</f>
        <v>C#</v>
      </c>
      <c r="L1476" s="9" t="str">
        <f>IFERROR(__xludf.DUMMYFUNCTION("""COMPUTED_VALUE"""),"HTML/CSS")</f>
        <v>HTML/CSS</v>
      </c>
      <c r="M1476" s="9" t="s">
        <v>24</v>
      </c>
    </row>
    <row r="1477" ht="15.75" customHeight="1">
      <c r="A1477" s="7"/>
      <c r="B1477" s="7" t="str">
        <f>IFERROR(__xludf.DUMMYFUNCTION("""COMPUTED_VALUE"""),"HTML/CSS;Java;JavaScript;TypeScript")</f>
        <v>HTML/CSS;Java;JavaScript;TypeScript</v>
      </c>
      <c r="C1477" s="9" t="str">
        <f>IFERROR(__xludf.DUMMYFUNCTION("""COMPUTED_VALUE"""),"Java")</f>
        <v>Java</v>
      </c>
      <c r="D1477" s="9" t="str">
        <f>IFERROR(__xludf.DUMMYFUNCTION("""COMPUTED_VALUE"""),"Ruby")</f>
        <v>Ruby</v>
      </c>
      <c r="E1477" s="9" t="str">
        <f>IFERROR(__xludf.DUMMYFUNCTION("""COMPUTED_VALUE"""),"HTML/CSS")</f>
        <v>HTML/CSS</v>
      </c>
      <c r="F1477" s="9" t="str">
        <f>IFERROR(__xludf.DUMMYFUNCTION("""COMPUTED_VALUE"""),"PHP")</f>
        <v>PHP</v>
      </c>
      <c r="G1477" s="9" t="str">
        <f>IFERROR(__xludf.DUMMYFUNCTION("""COMPUTED_VALUE"""),"Java")</f>
        <v>Java</v>
      </c>
      <c r="H1477" s="9" t="str">
        <f>IFERROR(__xludf.DUMMYFUNCTION("""COMPUTED_VALUE"""),"R")</f>
        <v>R</v>
      </c>
      <c r="I1477" s="9" t="str">
        <f>IFERROR(__xludf.DUMMYFUNCTION("""COMPUTED_VALUE"""),"Python")</f>
        <v>Python</v>
      </c>
      <c r="J1477" s="9" t="str">
        <f>IFERROR(__xludf.DUMMYFUNCTION("""COMPUTED_VALUE"""),"HTML/CSS")</f>
        <v>HTML/CSS</v>
      </c>
      <c r="K1477" s="9" t="str">
        <f>IFERROR(__xludf.DUMMYFUNCTION("""COMPUTED_VALUE"""),"HTML/CSS")</f>
        <v>HTML/CSS</v>
      </c>
      <c r="L1477" s="9" t="str">
        <f>IFERROR(__xludf.DUMMYFUNCTION("""COMPUTED_VALUE"""),"Python")</f>
        <v>Python</v>
      </c>
      <c r="M1477" s="9" t="s">
        <v>20</v>
      </c>
    </row>
    <row r="1478" ht="15.75" customHeight="1">
      <c r="A1478" s="7"/>
      <c r="B1478" s="7" t="str">
        <f>IFERROR(__xludf.DUMMYFUNCTION("""COMPUTED_VALUE"""),"Bash/Shell/PowerShell;HTML/CSS;JavaScript;Python;SQL;TypeScript")</f>
        <v>Bash/Shell/PowerShell;HTML/CSS;JavaScript;Python;SQL;TypeScript</v>
      </c>
      <c r="C1478" s="9" t="str">
        <f>IFERROR(__xludf.DUMMYFUNCTION("""COMPUTED_VALUE"""),"JavaScript")</f>
        <v>JavaScript</v>
      </c>
      <c r="D1478" s="9" t="str">
        <f>IFERROR(__xludf.DUMMYFUNCTION("""COMPUTED_VALUE"""),"Bash/Shell/PowerShell")</f>
        <v>Bash/Shell/PowerShell</v>
      </c>
      <c r="E1478" s="9" t="str">
        <f>IFERROR(__xludf.DUMMYFUNCTION("""COMPUTED_VALUE"""),"JavaScript")</f>
        <v>JavaScript</v>
      </c>
      <c r="F1478" s="9" t="str">
        <f>IFERROR(__xludf.DUMMYFUNCTION("""COMPUTED_VALUE"""),"Python")</f>
        <v>Python</v>
      </c>
      <c r="G1478" s="9" t="str">
        <f>IFERROR(__xludf.DUMMYFUNCTION("""COMPUTED_VALUE"""),"Python")</f>
        <v>Python</v>
      </c>
      <c r="H1478" s="9" t="str">
        <f>IFERROR(__xludf.DUMMYFUNCTION("""COMPUTED_VALUE"""),"TypeScript")</f>
        <v>TypeScript</v>
      </c>
      <c r="I1478" s="9" t="str">
        <f>IFERROR(__xludf.DUMMYFUNCTION("""COMPUTED_VALUE"""),"SQL")</f>
        <v>SQL</v>
      </c>
      <c r="J1478" s="9" t="str">
        <f>IFERROR(__xludf.DUMMYFUNCTION("""COMPUTED_VALUE"""),"Java")</f>
        <v>Java</v>
      </c>
      <c r="K1478" s="9" t="str">
        <f>IFERROR(__xludf.DUMMYFUNCTION("""COMPUTED_VALUE"""),"Java")</f>
        <v>Java</v>
      </c>
      <c r="L1478" s="9" t="str">
        <f>IFERROR(__xludf.DUMMYFUNCTION("""COMPUTED_VALUE"""),"VBA")</f>
        <v>VBA</v>
      </c>
      <c r="M1478" s="9" t="s">
        <v>21</v>
      </c>
    </row>
    <row r="1479" ht="15.75" customHeight="1">
      <c r="A1479" s="7"/>
      <c r="B1479" s="7" t="str">
        <f>IFERROR(__xludf.DUMMYFUNCTION("""COMPUTED_VALUE"""),"R")</f>
        <v>R</v>
      </c>
      <c r="C1479" s="9" t="str">
        <f>IFERROR(__xludf.DUMMYFUNCTION("""COMPUTED_VALUE"""),"SQL")</f>
        <v>SQL</v>
      </c>
      <c r="D1479" s="9" t="str">
        <f>IFERROR(__xludf.DUMMYFUNCTION("""COMPUTED_VALUE"""),"C")</f>
        <v>C</v>
      </c>
      <c r="E1479" s="9" t="str">
        <f>IFERROR(__xludf.DUMMYFUNCTION("""COMPUTED_VALUE"""),"SQL")</f>
        <v>SQL</v>
      </c>
      <c r="F1479" s="9" t="str">
        <f>IFERROR(__xludf.DUMMYFUNCTION("""COMPUTED_VALUE"""),"SQL")</f>
        <v>SQL</v>
      </c>
      <c r="G1479" s="9" t="str">
        <f>IFERROR(__xludf.DUMMYFUNCTION("""COMPUTED_VALUE"""),"R")</f>
        <v>R</v>
      </c>
      <c r="H1479" s="9" t="str">
        <f>IFERROR(__xludf.DUMMYFUNCTION("""COMPUTED_VALUE"""),"Clojure")</f>
        <v>Clojure</v>
      </c>
      <c r="I1479" s="9" t="str">
        <f>IFERROR(__xludf.DUMMYFUNCTION("""COMPUTED_VALUE"""),"TypeScript")</f>
        <v>TypeScript</v>
      </c>
      <c r="J1479" s="9" t="str">
        <f>IFERROR(__xludf.DUMMYFUNCTION("""COMPUTED_VALUE"""),"Python")</f>
        <v>Python</v>
      </c>
      <c r="K1479" s="9" t="str">
        <f>IFERROR(__xludf.DUMMYFUNCTION("""COMPUTED_VALUE"""),"JavaScript")</f>
        <v>JavaScript</v>
      </c>
      <c r="L1479" s="9" t="str">
        <f>IFERROR(__xludf.DUMMYFUNCTION("""COMPUTED_VALUE"""),"C")</f>
        <v>C</v>
      </c>
      <c r="M1479" s="9" t="s">
        <v>27</v>
      </c>
    </row>
    <row r="1480" ht="15.75" customHeight="1">
      <c r="A1480" s="7"/>
      <c r="B1480" s="7" t="str">
        <f>IFERROR(__xludf.DUMMYFUNCTION("""COMPUTED_VALUE"""),"C++;HTML/CSS;Java;JavaScript;PHP;SQL;TypeScript")</f>
        <v>C++;HTML/CSS;Java;JavaScript;PHP;SQL;TypeScript</v>
      </c>
      <c r="C1480" s="9" t="str">
        <f>IFERROR(__xludf.DUMMYFUNCTION("""COMPUTED_VALUE"""),"TypeScript")</f>
        <v>TypeScript</v>
      </c>
      <c r="D1480" s="9" t="str">
        <f>IFERROR(__xludf.DUMMYFUNCTION("""COMPUTED_VALUE"""),"C++")</f>
        <v>C++</v>
      </c>
      <c r="E1480" s="9" t="str">
        <f>IFERROR(__xludf.DUMMYFUNCTION("""COMPUTED_VALUE"""),"HTML/CSS")</f>
        <v>HTML/CSS</v>
      </c>
      <c r="F1480" s="9" t="str">
        <f>IFERROR(__xludf.DUMMYFUNCTION("""COMPUTED_VALUE"""),"TypeScript")</f>
        <v>TypeScript</v>
      </c>
      <c r="G1480" s="9" t="str">
        <f>IFERROR(__xludf.DUMMYFUNCTION("""COMPUTED_VALUE"""),"VBA")</f>
        <v>VBA</v>
      </c>
      <c r="H1480" s="9" t="str">
        <f>IFERROR(__xludf.DUMMYFUNCTION("""COMPUTED_VALUE"""),"Python")</f>
        <v>Python</v>
      </c>
      <c r="I1480" s="9" t="str">
        <f>IFERROR(__xludf.DUMMYFUNCTION("""COMPUTED_VALUE"""),"C++")</f>
        <v>C++</v>
      </c>
      <c r="J1480" s="9" t="str">
        <f>IFERROR(__xludf.DUMMYFUNCTION("""COMPUTED_VALUE"""),"Bash/Shell/PowerShell")</f>
        <v>Bash/Shell/PowerShell</v>
      </c>
      <c r="K1480" s="9" t="str">
        <f>IFERROR(__xludf.DUMMYFUNCTION("""COMPUTED_VALUE"""),"Python")</f>
        <v>Python</v>
      </c>
      <c r="L1480" s="9" t="str">
        <f>IFERROR(__xludf.DUMMYFUNCTION("""COMPUTED_VALUE"""),"C++")</f>
        <v>C++</v>
      </c>
      <c r="M1480" s="9" t="s">
        <v>33</v>
      </c>
    </row>
    <row r="1481" ht="15.75" customHeight="1">
      <c r="A1481" s="7"/>
      <c r="B1481" s="7" t="str">
        <f>IFERROR(__xludf.DUMMYFUNCTION("""COMPUTED_VALUE"""),"Assembly;Bash/Shell/PowerShell;C;C++;C#;HTML/CSS;Java;JavaScript;Python;SQL")</f>
        <v>Assembly;Bash/Shell/PowerShell;C;C++;C#;HTML/CSS;Java;JavaScript;Python;SQL</v>
      </c>
      <c r="C1481" s="9" t="str">
        <f>IFERROR(__xludf.DUMMYFUNCTION("""COMPUTED_VALUE"""),"HTML/CSS")</f>
        <v>HTML/CSS</v>
      </c>
      <c r="D1481" s="9" t="str">
        <f>IFERROR(__xludf.DUMMYFUNCTION("""COMPUTED_VALUE"""),"Clojure")</f>
        <v>Clojure</v>
      </c>
      <c r="E1481" s="9" t="str">
        <f>IFERROR(__xludf.DUMMYFUNCTION("""COMPUTED_VALUE"""),"JavaScript")</f>
        <v>JavaScript</v>
      </c>
      <c r="F1481" s="9" t="str">
        <f>IFERROR(__xludf.DUMMYFUNCTION("""COMPUTED_VALUE"""),"Bash/Shell/PowerShell")</f>
        <v>Bash/Shell/PowerShell</v>
      </c>
      <c r="G1481" s="9" t="str">
        <f>IFERROR(__xludf.DUMMYFUNCTION("""COMPUTED_VALUE"""),"Other(s):")</f>
        <v>Other(s):</v>
      </c>
      <c r="H1481" s="9" t="str">
        <f>IFERROR(__xludf.DUMMYFUNCTION("""COMPUTED_VALUE"""),"HTML/CSS")</f>
        <v>HTML/CSS</v>
      </c>
      <c r="I1481" s="9" t="str">
        <f>IFERROR(__xludf.DUMMYFUNCTION("""COMPUTED_VALUE"""),"Python")</f>
        <v>Python</v>
      </c>
      <c r="J1481" s="9" t="str">
        <f>IFERROR(__xludf.DUMMYFUNCTION("""COMPUTED_VALUE"""),"Go")</f>
        <v>Go</v>
      </c>
      <c r="K1481" s="9" t="str">
        <f>IFERROR(__xludf.DUMMYFUNCTION("""COMPUTED_VALUE"""),"SQL")</f>
        <v>SQL</v>
      </c>
      <c r="L1481" s="9" t="str">
        <f>IFERROR(__xludf.DUMMYFUNCTION("""COMPUTED_VALUE"""),"HTML/CSS")</f>
        <v>HTML/CSS</v>
      </c>
      <c r="M1481" s="9" t="s">
        <v>24</v>
      </c>
    </row>
    <row r="1482" ht="15.75" customHeight="1">
      <c r="A1482" s="7"/>
      <c r="B1482" s="7" t="str">
        <f>IFERROR(__xludf.DUMMYFUNCTION("""COMPUTED_VALUE"""),"C;C++;C#;HTML/CSS;TypeScript")</f>
        <v>C;C++;C#;HTML/CSS;TypeScript</v>
      </c>
      <c r="C1482" s="9" t="str">
        <f>IFERROR(__xludf.DUMMYFUNCTION("""COMPUTED_VALUE"""),"JavaScript")</f>
        <v>JavaScript</v>
      </c>
      <c r="D1482" s="9" t="str">
        <f>IFERROR(__xludf.DUMMYFUNCTION("""COMPUTED_VALUE"""),"Elixir")</f>
        <v>Elixir</v>
      </c>
      <c r="E1482" s="9" t="str">
        <f>IFERROR(__xludf.DUMMYFUNCTION("""COMPUTED_VALUE"""),"PHP")</f>
        <v>PHP</v>
      </c>
      <c r="F1482" s="9" t="str">
        <f>IFERROR(__xludf.DUMMYFUNCTION("""COMPUTED_VALUE"""),"C")</f>
        <v>C</v>
      </c>
      <c r="G1482" s="9" t="str">
        <f>IFERROR(__xludf.DUMMYFUNCTION("""COMPUTED_VALUE"""),"Java")</f>
        <v>Java</v>
      </c>
      <c r="H1482" s="9" t="str">
        <f>IFERROR(__xludf.DUMMYFUNCTION("""COMPUTED_VALUE"""),"Java")</f>
        <v>Java</v>
      </c>
      <c r="I1482" s="9" t="str">
        <f>IFERROR(__xludf.DUMMYFUNCTION("""COMPUTED_VALUE"""),"HTML/CSS")</f>
        <v>HTML/CSS</v>
      </c>
      <c r="J1482" s="9" t="str">
        <f>IFERROR(__xludf.DUMMYFUNCTION("""COMPUTED_VALUE"""),"Java")</f>
        <v>Java</v>
      </c>
      <c r="K1482" s="9" t="str">
        <f>IFERROR(__xludf.DUMMYFUNCTION("""COMPUTED_VALUE"""),"Bash/Shell/PowerShell")</f>
        <v>Bash/Shell/PowerShell</v>
      </c>
      <c r="L1482" s="9" t="str">
        <f>IFERROR(__xludf.DUMMYFUNCTION("""COMPUTED_VALUE"""),"Java")</f>
        <v>Java</v>
      </c>
      <c r="M1482" s="9" t="s">
        <v>21</v>
      </c>
    </row>
    <row r="1483" ht="15.75" customHeight="1">
      <c r="A1483" s="7"/>
      <c r="B1483" s="7" t="str">
        <f>IFERROR(__xludf.DUMMYFUNCTION("""COMPUTED_VALUE"""),"Bash/Shell/PowerShell;HTML/CSS;JavaScript;Python;Ruby;Rust")</f>
        <v>Bash/Shell/PowerShell;HTML/CSS;JavaScript;Python;Ruby;Rust</v>
      </c>
      <c r="C1483" s="9" t="str">
        <f>IFERROR(__xludf.DUMMYFUNCTION("""COMPUTED_VALUE"""),"PHP")</f>
        <v>PHP</v>
      </c>
      <c r="D1483" s="9" t="str">
        <f>IFERROR(__xludf.DUMMYFUNCTION("""COMPUTED_VALUE"""),"Erlang")</f>
        <v>Erlang</v>
      </c>
      <c r="E1483" s="9" t="str">
        <f>IFERROR(__xludf.DUMMYFUNCTION("""COMPUTED_VALUE"""),"SQL")</f>
        <v>SQL</v>
      </c>
      <c r="F1483" s="9" t="str">
        <f>IFERROR(__xludf.DUMMYFUNCTION("""COMPUTED_VALUE"""),"C++")</f>
        <v>C++</v>
      </c>
      <c r="G1483" s="9" t="str">
        <f>IFERROR(__xludf.DUMMYFUNCTION("""COMPUTED_VALUE"""),"SQL")</f>
        <v>SQL</v>
      </c>
      <c r="H1483" s="9" t="str">
        <f>IFERROR(__xludf.DUMMYFUNCTION("""COMPUTED_VALUE"""),"JavaScript")</f>
        <v>JavaScript</v>
      </c>
      <c r="I1483" s="9" t="str">
        <f>IFERROR(__xludf.DUMMYFUNCTION("""COMPUTED_VALUE"""),"JavaScript")</f>
        <v>JavaScript</v>
      </c>
      <c r="J1483" s="9" t="str">
        <f>IFERROR(__xludf.DUMMYFUNCTION("""COMPUTED_VALUE"""),"Python")</f>
        <v>Python</v>
      </c>
      <c r="K1483" s="9" t="str">
        <f>IFERROR(__xludf.DUMMYFUNCTION("""COMPUTED_VALUE"""),"HTML/CSS")</f>
        <v>HTML/CSS</v>
      </c>
      <c r="L1483" s="9" t="str">
        <f>IFERROR(__xludf.DUMMYFUNCTION("""COMPUTED_VALUE"""),"JavaScript")</f>
        <v>JavaScript</v>
      </c>
      <c r="M1483" s="9" t="s">
        <v>37</v>
      </c>
    </row>
    <row r="1484" ht="15.75" customHeight="1">
      <c r="A1484" s="7"/>
      <c r="B1484" s="7" t="str">
        <f>IFERROR(__xludf.DUMMYFUNCTION("""COMPUTED_VALUE"""),"Bash/Shell/PowerShell;C;HTML/CSS;Java;JavaScript;PHP;Python")</f>
        <v>Bash/Shell/PowerShell;C;HTML/CSS;Java;JavaScript;PHP;Python</v>
      </c>
      <c r="C1484" s="9" t="str">
        <f>IFERROR(__xludf.DUMMYFUNCTION("""COMPUTED_VALUE"""),"SQL")</f>
        <v>SQL</v>
      </c>
      <c r="D1484" s="9" t="str">
        <f>IFERROR(__xludf.DUMMYFUNCTION("""COMPUTED_VALUE"""),"Python")</f>
        <v>Python</v>
      </c>
      <c r="E1484" s="9" t="str">
        <f>IFERROR(__xludf.DUMMYFUNCTION("""COMPUTED_VALUE"""),"TypeScript")</f>
        <v>TypeScript</v>
      </c>
      <c r="F1484" s="9" t="str">
        <f>IFERROR(__xludf.DUMMYFUNCTION("""COMPUTED_VALUE"""),"Go")</f>
        <v>Go</v>
      </c>
      <c r="G1484" s="9" t="str">
        <f>IFERROR(__xludf.DUMMYFUNCTION("""COMPUTED_VALUE"""),"HTML/CSS")</f>
        <v>HTML/CSS</v>
      </c>
      <c r="H1484" s="9" t="str">
        <f>IFERROR(__xludf.DUMMYFUNCTION("""COMPUTED_VALUE"""),"Scala")</f>
        <v>Scala</v>
      </c>
      <c r="I1484" s="9" t="str">
        <f>IFERROR(__xludf.DUMMYFUNCTION("""COMPUTED_VALUE"""),"PHP")</f>
        <v>PHP</v>
      </c>
      <c r="J1484" s="9" t="str">
        <f>IFERROR(__xludf.DUMMYFUNCTION("""COMPUTED_VALUE"""),"Bash/Shell/PowerShell")</f>
        <v>Bash/Shell/PowerShell</v>
      </c>
      <c r="K1484" s="9" t="str">
        <f>IFERROR(__xludf.DUMMYFUNCTION("""COMPUTED_VALUE"""),"Java")</f>
        <v>Java</v>
      </c>
      <c r="L1484" s="9" t="str">
        <f>IFERROR(__xludf.DUMMYFUNCTION("""COMPUTED_VALUE"""),"PHP")</f>
        <v>PHP</v>
      </c>
      <c r="M1484" s="9" t="s">
        <v>27</v>
      </c>
    </row>
    <row r="1485" ht="15.75" customHeight="1">
      <c r="A1485" s="7"/>
      <c r="B1485" s="7" t="str">
        <f>IFERROR(__xludf.DUMMYFUNCTION("""COMPUTED_VALUE"""),"Bash/Shell/PowerShell;Java;Kotlin;Ruby;Scala")</f>
        <v>Bash/Shell/PowerShell;Java;Kotlin;Ruby;Scala</v>
      </c>
      <c r="C1485" s="9" t="str">
        <f>IFERROR(__xludf.DUMMYFUNCTION("""COMPUTED_VALUE"""),"Other(s):")</f>
        <v>Other(s):</v>
      </c>
      <c r="D1485" s="9" t="str">
        <f>IFERROR(__xludf.DUMMYFUNCTION("""COMPUTED_VALUE"""),"C#")</f>
        <v>C#</v>
      </c>
      <c r="E1485" s="9" t="str">
        <f>IFERROR(__xludf.DUMMYFUNCTION("""COMPUTED_VALUE"""),"HTML/CSS")</f>
        <v>HTML/CSS</v>
      </c>
      <c r="F1485" s="9" t="str">
        <f>IFERROR(__xludf.DUMMYFUNCTION("""COMPUTED_VALUE"""),"HTML/CSS")</f>
        <v>HTML/CSS</v>
      </c>
      <c r="G1485" s="9" t="str">
        <f>IFERROR(__xludf.DUMMYFUNCTION("""COMPUTED_VALUE"""),"JavaScript")</f>
        <v>JavaScript</v>
      </c>
      <c r="H1485" s="9" t="str">
        <f>IFERROR(__xludf.DUMMYFUNCTION("""COMPUTED_VALUE"""),"Bash/Shell/PowerShell")</f>
        <v>Bash/Shell/PowerShell</v>
      </c>
      <c r="I1485" s="9" t="str">
        <f>IFERROR(__xludf.DUMMYFUNCTION("""COMPUTED_VALUE"""),"Python")</f>
        <v>Python</v>
      </c>
      <c r="J1485" s="9" t="str">
        <f>IFERROR(__xludf.DUMMYFUNCTION("""COMPUTED_VALUE"""),"Go")</f>
        <v>Go</v>
      </c>
      <c r="K1485" s="9" t="str">
        <f>IFERROR(__xludf.DUMMYFUNCTION("""COMPUTED_VALUE"""),"JavaScript")</f>
        <v>JavaScript</v>
      </c>
      <c r="L1485" s="9" t="str">
        <f>IFERROR(__xludf.DUMMYFUNCTION("""COMPUTED_VALUE"""),"SQL")</f>
        <v>SQL</v>
      </c>
      <c r="M1485" s="9" t="s">
        <v>35</v>
      </c>
    </row>
    <row r="1486" ht="15.75" customHeight="1">
      <c r="A1486" s="7"/>
      <c r="B1486" s="7" t="str">
        <f>IFERROR(__xludf.DUMMYFUNCTION("""COMPUTED_VALUE"""),"C;C++;Java")</f>
        <v>C;C++;Java</v>
      </c>
      <c r="C1486" s="9" t="str">
        <f>IFERROR(__xludf.DUMMYFUNCTION("""COMPUTED_VALUE"""),"Assembly")</f>
        <v>Assembly</v>
      </c>
      <c r="D1486" s="9" t="str">
        <f>IFERROR(__xludf.DUMMYFUNCTION("""COMPUTED_VALUE"""),"JavaScript")</f>
        <v>JavaScript</v>
      </c>
      <c r="E1486" s="9" t="str">
        <f>IFERROR(__xludf.DUMMYFUNCTION("""COMPUTED_VALUE"""),"Java")</f>
        <v>Java</v>
      </c>
      <c r="F1486" s="9" t="str">
        <f>IFERROR(__xludf.DUMMYFUNCTION("""COMPUTED_VALUE"""),"Python")</f>
        <v>Python</v>
      </c>
      <c r="G1486" s="9" t="str">
        <f>IFERROR(__xludf.DUMMYFUNCTION("""COMPUTED_VALUE"""),"Ruby")</f>
        <v>Ruby</v>
      </c>
      <c r="H1486" s="9" t="str">
        <f>IFERROR(__xludf.DUMMYFUNCTION("""COMPUTED_VALUE"""),"Python")</f>
        <v>Python</v>
      </c>
      <c r="I1486" s="9" t="str">
        <f>IFERROR(__xludf.DUMMYFUNCTION("""COMPUTED_VALUE"""),"Java")</f>
        <v>Java</v>
      </c>
      <c r="J1486" s="9" t="str">
        <f>IFERROR(__xludf.DUMMYFUNCTION("""COMPUTED_VALUE"""),"Python")</f>
        <v>Python</v>
      </c>
      <c r="K1486" s="9" t="str">
        <f>IFERROR(__xludf.DUMMYFUNCTION("""COMPUTED_VALUE"""),"SQL")</f>
        <v>SQL</v>
      </c>
      <c r="L1486" s="9" t="str">
        <f>IFERROR(__xludf.DUMMYFUNCTION("""COMPUTED_VALUE"""),"Bash/Shell/PowerShell")</f>
        <v>Bash/Shell/PowerShell</v>
      </c>
      <c r="M1486" s="9" t="s">
        <v>38</v>
      </c>
    </row>
    <row r="1487" ht="15.75" customHeight="1">
      <c r="A1487" s="7"/>
      <c r="B1487" s="7" t="str">
        <f>IFERROR(__xludf.DUMMYFUNCTION("""COMPUTED_VALUE"""),"C++;C#;Java;Python;VBA")</f>
        <v>C++;C#;Java;Python;VBA</v>
      </c>
      <c r="C1487" s="9" t="str">
        <f>IFERROR(__xludf.DUMMYFUNCTION("""COMPUTED_VALUE"""),"C")</f>
        <v>C</v>
      </c>
      <c r="D1487" s="9" t="str">
        <f>IFERROR(__xludf.DUMMYFUNCTION("""COMPUTED_VALUE"""),"SQL")</f>
        <v>SQL</v>
      </c>
      <c r="E1487" s="9" t="str">
        <f>IFERROR(__xludf.DUMMYFUNCTION("""COMPUTED_VALUE"""),"JavaScript")</f>
        <v>JavaScript</v>
      </c>
      <c r="F1487" s="9" t="str">
        <f>IFERROR(__xludf.DUMMYFUNCTION("""COMPUTED_VALUE"""),"SQL")</f>
        <v>SQL</v>
      </c>
      <c r="G1487" s="9" t="str">
        <f>IFERROR(__xludf.DUMMYFUNCTION("""COMPUTED_VALUE"""),"SQL")</f>
        <v>SQL</v>
      </c>
      <c r="H1487" s="9" t="str">
        <f>IFERROR(__xludf.DUMMYFUNCTION("""COMPUTED_VALUE"""),"HTML/CSS")</f>
        <v>HTML/CSS</v>
      </c>
      <c r="I1487" s="9" t="str">
        <f>IFERROR(__xludf.DUMMYFUNCTION("""COMPUTED_VALUE"""),"Kotlin")</f>
        <v>Kotlin</v>
      </c>
      <c r="J1487" s="9" t="str">
        <f>IFERROR(__xludf.DUMMYFUNCTION("""COMPUTED_VALUE"""),"Ruby")</f>
        <v>Ruby</v>
      </c>
      <c r="K1487" s="9" t="str">
        <f>IFERROR(__xludf.DUMMYFUNCTION("""COMPUTED_VALUE"""),"TypeScript")</f>
        <v>TypeScript</v>
      </c>
      <c r="L1487" s="9" t="str">
        <f>IFERROR(__xludf.DUMMYFUNCTION("""COMPUTED_VALUE"""),"C")</f>
        <v>C</v>
      </c>
      <c r="M1487" s="9" t="s">
        <v>25</v>
      </c>
    </row>
    <row r="1488" ht="15.75" customHeight="1">
      <c r="A1488" s="7"/>
      <c r="B1488" s="7" t="str">
        <f>IFERROR(__xludf.DUMMYFUNCTION("""COMPUTED_VALUE"""),"Bash/Shell/PowerShell;C;C++;HTML/CSS")</f>
        <v>Bash/Shell/PowerShell;C;C++;HTML/CSS</v>
      </c>
      <c r="C1488" s="9" t="str">
        <f>IFERROR(__xludf.DUMMYFUNCTION("""COMPUTED_VALUE"""),"C++")</f>
        <v>C++</v>
      </c>
      <c r="D1488" s="9" t="str">
        <f>IFERROR(__xludf.DUMMYFUNCTION("""COMPUTED_VALUE"""),"Bash/Shell/PowerShell")</f>
        <v>Bash/Shell/PowerShell</v>
      </c>
      <c r="E1488" s="9" t="str">
        <f>IFERROR(__xludf.DUMMYFUNCTION("""COMPUTED_VALUE"""),"PHP")</f>
        <v>PHP</v>
      </c>
      <c r="F1488" s="9" t="str">
        <f>IFERROR(__xludf.DUMMYFUNCTION("""COMPUTED_VALUE"""),"WebAssembly")</f>
        <v>WebAssembly</v>
      </c>
      <c r="G1488" s="9" t="str">
        <f>IFERROR(__xludf.DUMMYFUNCTION("""COMPUTED_VALUE"""),"C#")</f>
        <v>C#</v>
      </c>
      <c r="H1488" s="9" t="str">
        <f>IFERROR(__xludf.DUMMYFUNCTION("""COMPUTED_VALUE"""),"JavaScript")</f>
        <v>JavaScript</v>
      </c>
      <c r="I1488" s="9" t="str">
        <f>IFERROR(__xludf.DUMMYFUNCTION("""COMPUTED_VALUE"""),"C")</f>
        <v>C</v>
      </c>
      <c r="J1488" s="9" t="str">
        <f>IFERROR(__xludf.DUMMYFUNCTION("""COMPUTED_VALUE"""),"Other(s):")</f>
        <v>Other(s):</v>
      </c>
      <c r="K1488" s="9" t="str">
        <f>IFERROR(__xludf.DUMMYFUNCTION("""COMPUTED_VALUE"""),"Bash/Shell/PowerShell")</f>
        <v>Bash/Shell/PowerShell</v>
      </c>
      <c r="L1488" s="9" t="str">
        <f>IFERROR(__xludf.DUMMYFUNCTION("""COMPUTED_VALUE"""),"C++")</f>
        <v>C++</v>
      </c>
      <c r="M1488" s="9" t="s">
        <v>23</v>
      </c>
    </row>
    <row r="1489" ht="15.75" customHeight="1">
      <c r="A1489" s="7"/>
      <c r="B1489" s="7" t="str">
        <f>IFERROR(__xludf.DUMMYFUNCTION("""COMPUTED_VALUE"""),"Bash/Shell/PowerShell;HTML/CSS;JavaScript;Python;SQL;VBA")</f>
        <v>Bash/Shell/PowerShell;HTML/CSS;JavaScript;Python;SQL;VBA</v>
      </c>
      <c r="C1489" s="9" t="str">
        <f>IFERROR(__xludf.DUMMYFUNCTION("""COMPUTED_VALUE"""),"Java")</f>
        <v>Java</v>
      </c>
      <c r="D1489" s="9" t="str">
        <f>IFERROR(__xludf.DUMMYFUNCTION("""COMPUTED_VALUE"""),"HTML/CSS")</f>
        <v>HTML/CSS</v>
      </c>
      <c r="E1489" s="9" t="str">
        <f>IFERROR(__xludf.DUMMYFUNCTION("""COMPUTED_VALUE"""),"Python")</f>
        <v>Python</v>
      </c>
      <c r="F1489" s="9" t="str">
        <f>IFERROR(__xludf.DUMMYFUNCTION("""COMPUTED_VALUE"""),"C++")</f>
        <v>C++</v>
      </c>
      <c r="G1489" s="9" t="str">
        <f>IFERROR(__xludf.DUMMYFUNCTION("""COMPUTED_VALUE"""),"HTML/CSS")</f>
        <v>HTML/CSS</v>
      </c>
      <c r="H1489" s="9" t="str">
        <f>IFERROR(__xludf.DUMMYFUNCTION("""COMPUTED_VALUE"""),"Objective-C")</f>
        <v>Objective-C</v>
      </c>
      <c r="I1489" s="9" t="str">
        <f>IFERROR(__xludf.DUMMYFUNCTION("""COMPUTED_VALUE"""),"C++")</f>
        <v>C++</v>
      </c>
      <c r="J1489" s="9" t="str">
        <f>IFERROR(__xludf.DUMMYFUNCTION("""COMPUTED_VALUE"""),"HTML/CSS")</f>
        <v>HTML/CSS</v>
      </c>
      <c r="K1489" s="9" t="str">
        <f>IFERROR(__xludf.DUMMYFUNCTION("""COMPUTED_VALUE"""),"HTML/CSS")</f>
        <v>HTML/CSS</v>
      </c>
      <c r="L1489" s="9" t="str">
        <f>IFERROR(__xludf.DUMMYFUNCTION("""COMPUTED_VALUE"""),"Go")</f>
        <v>Go</v>
      </c>
      <c r="M1489" s="9" t="s">
        <v>20</v>
      </c>
    </row>
    <row r="1490" ht="15.75" customHeight="1">
      <c r="A1490" s="7"/>
      <c r="B1490" s="7" t="str">
        <f>IFERROR(__xludf.DUMMYFUNCTION("""COMPUTED_VALUE"""),"Bash/Shell/PowerShell;HTML/CSS;JavaScript")</f>
        <v>Bash/Shell/PowerShell;HTML/CSS;JavaScript</v>
      </c>
      <c r="C1490" s="9" t="str">
        <f>IFERROR(__xludf.DUMMYFUNCTION("""COMPUTED_VALUE"""),"Python")</f>
        <v>Python</v>
      </c>
      <c r="D1490" s="9" t="str">
        <f>IFERROR(__xludf.DUMMYFUNCTION("""COMPUTED_VALUE"""),"Java")</f>
        <v>Java</v>
      </c>
      <c r="E1490" s="9" t="str">
        <f>IFERROR(__xludf.DUMMYFUNCTION("""COMPUTED_VALUE"""),"R")</f>
        <v>R</v>
      </c>
      <c r="F1490" s="9" t="str">
        <f>IFERROR(__xludf.DUMMYFUNCTION("""COMPUTED_VALUE"""),"HTML/CSS")</f>
        <v>HTML/CSS</v>
      </c>
      <c r="G1490" s="9" t="str">
        <f>IFERROR(__xludf.DUMMYFUNCTION("""COMPUTED_VALUE"""),"Java")</f>
        <v>Java</v>
      </c>
      <c r="H1490" s="9" t="str">
        <f>IFERROR(__xludf.DUMMYFUNCTION("""COMPUTED_VALUE"""),"Python")</f>
        <v>Python</v>
      </c>
      <c r="I1490" s="9" t="str">
        <f>IFERROR(__xludf.DUMMYFUNCTION("""COMPUTED_VALUE"""),"HTML/CSS")</f>
        <v>HTML/CSS</v>
      </c>
      <c r="J1490" s="9" t="str">
        <f>IFERROR(__xludf.DUMMYFUNCTION("""COMPUTED_VALUE"""),"JavaScript")</f>
        <v>JavaScript</v>
      </c>
      <c r="K1490" s="9" t="str">
        <f>IFERROR(__xludf.DUMMYFUNCTION("""COMPUTED_VALUE"""),"Java")</f>
        <v>Java</v>
      </c>
      <c r="L1490" s="9" t="str">
        <f>IFERROR(__xludf.DUMMYFUNCTION("""COMPUTED_VALUE"""),"HTML/CSS")</f>
        <v>HTML/CSS</v>
      </c>
      <c r="M1490" s="9" t="s">
        <v>22</v>
      </c>
    </row>
    <row r="1491" ht="15.75" customHeight="1">
      <c r="A1491" s="7"/>
      <c r="B1491" s="7" t="str">
        <f>IFERROR(__xludf.DUMMYFUNCTION("""COMPUTED_VALUE"""),"HTML/CSS;JavaScript;R;SQL;TypeScript")</f>
        <v>HTML/CSS;JavaScript;R;SQL;TypeScript</v>
      </c>
      <c r="C1491" s="9" t="str">
        <f>IFERROR(__xludf.DUMMYFUNCTION("""COMPUTED_VALUE"""),"SQL")</f>
        <v>SQL</v>
      </c>
      <c r="D1491" s="9" t="str">
        <f>IFERROR(__xludf.DUMMYFUNCTION("""COMPUTED_VALUE"""),"TypeScript")</f>
        <v>TypeScript</v>
      </c>
      <c r="E1491" s="9" t="str">
        <f>IFERROR(__xludf.DUMMYFUNCTION("""COMPUTED_VALUE"""),"SQL")</f>
        <v>SQL</v>
      </c>
      <c r="F1491" s="9" t="str">
        <f>IFERROR(__xludf.DUMMYFUNCTION("""COMPUTED_VALUE"""),"Java")</f>
        <v>Java</v>
      </c>
      <c r="G1491" s="9" t="str">
        <f>IFERROR(__xludf.DUMMYFUNCTION("""COMPUTED_VALUE"""),"JavaScript")</f>
        <v>JavaScript</v>
      </c>
      <c r="H1491" s="9" t="str">
        <f>IFERROR(__xludf.DUMMYFUNCTION("""COMPUTED_VALUE"""),"Assembly")</f>
        <v>Assembly</v>
      </c>
      <c r="I1491" s="9" t="str">
        <f>IFERROR(__xludf.DUMMYFUNCTION("""COMPUTED_VALUE"""),"Java")</f>
        <v>Java</v>
      </c>
      <c r="J1491" s="9" t="str">
        <f>IFERROR(__xludf.DUMMYFUNCTION("""COMPUTED_VALUE"""),"PHP")</f>
        <v>PHP</v>
      </c>
      <c r="K1491" s="9" t="str">
        <f>IFERROR(__xludf.DUMMYFUNCTION("""COMPUTED_VALUE"""),"JavaScript")</f>
        <v>JavaScript</v>
      </c>
      <c r="L1491" s="9" t="str">
        <f>IFERROR(__xludf.DUMMYFUNCTION("""COMPUTED_VALUE"""),"Java")</f>
        <v>Java</v>
      </c>
      <c r="M1491" s="9" t="s">
        <v>27</v>
      </c>
    </row>
    <row r="1492" ht="15.75" customHeight="1">
      <c r="A1492" s="7"/>
      <c r="B1492" s="7" t="str">
        <f>IFERROR(__xludf.DUMMYFUNCTION("""COMPUTED_VALUE"""),"Bash/Shell/PowerShell;Python;SQL")</f>
        <v>Bash/Shell/PowerShell;Python;SQL</v>
      </c>
      <c r="C1492" s="9" t="str">
        <f>IFERROR(__xludf.DUMMYFUNCTION("""COMPUTED_VALUE"""),"HTML/CSS")</f>
        <v>HTML/CSS</v>
      </c>
      <c r="D1492" s="9" t="str">
        <f>IFERROR(__xludf.DUMMYFUNCTION("""COMPUTED_VALUE"""),"Assembly")</f>
        <v>Assembly</v>
      </c>
      <c r="E1492" s="9" t="str">
        <f>IFERROR(__xludf.DUMMYFUNCTION("""COMPUTED_VALUE"""),"Swift")</f>
        <v>Swift</v>
      </c>
      <c r="F1492" s="9" t="str">
        <f>IFERROR(__xludf.DUMMYFUNCTION("""COMPUTED_VALUE"""),"JavaScript")</f>
        <v>JavaScript</v>
      </c>
      <c r="G1492" s="9" t="str">
        <f>IFERROR(__xludf.DUMMYFUNCTION("""COMPUTED_VALUE"""),"Kotlin")</f>
        <v>Kotlin</v>
      </c>
      <c r="H1492" s="9" t="str">
        <f>IFERROR(__xludf.DUMMYFUNCTION("""COMPUTED_VALUE"""),"C#")</f>
        <v>C#</v>
      </c>
      <c r="I1492" s="9" t="str">
        <f>IFERROR(__xludf.DUMMYFUNCTION("""COMPUTED_VALUE"""),"PHP")</f>
        <v>PHP</v>
      </c>
      <c r="J1492" s="9" t="str">
        <f>IFERROR(__xludf.DUMMYFUNCTION("""COMPUTED_VALUE"""),"SQL")</f>
        <v>SQL</v>
      </c>
      <c r="K1492" s="9" t="str">
        <f>IFERROR(__xludf.DUMMYFUNCTION("""COMPUTED_VALUE"""),"PHP")</f>
        <v>PHP</v>
      </c>
      <c r="L1492" s="9" t="str">
        <f>IFERROR(__xludf.DUMMYFUNCTION("""COMPUTED_VALUE"""),"JavaScript")</f>
        <v>JavaScript</v>
      </c>
      <c r="M1492" s="9" t="s">
        <v>24</v>
      </c>
    </row>
    <row r="1493" ht="15.75" customHeight="1">
      <c r="A1493" s="7"/>
      <c r="B1493" s="7" t="str">
        <f>IFERROR(__xludf.DUMMYFUNCTION("""COMPUTED_VALUE"""),"Bash/Shell/PowerShell;C#;Go;Java;JavaScript;Kotlin;SQL;TypeScript")</f>
        <v>Bash/Shell/PowerShell;C#;Go;Java;JavaScript;Kotlin;SQL;TypeScript</v>
      </c>
      <c r="C1493" s="9" t="str">
        <f>IFERROR(__xludf.DUMMYFUNCTION("""COMPUTED_VALUE"""),"Java")</f>
        <v>Java</v>
      </c>
      <c r="D1493" s="9" t="str">
        <f>IFERROR(__xludf.DUMMYFUNCTION("""COMPUTED_VALUE"""),"HTML/CSS")</f>
        <v>HTML/CSS</v>
      </c>
      <c r="E1493" s="9" t="str">
        <f>IFERROR(__xludf.DUMMYFUNCTION("""COMPUTED_VALUE"""),"TypeScript")</f>
        <v>TypeScript</v>
      </c>
      <c r="F1493" s="9" t="str">
        <f>IFERROR(__xludf.DUMMYFUNCTION("""COMPUTED_VALUE"""),"Kotlin")</f>
        <v>Kotlin</v>
      </c>
      <c r="G1493" s="9" t="str">
        <f>IFERROR(__xludf.DUMMYFUNCTION("""COMPUTED_VALUE"""),"Scala")</f>
        <v>Scala</v>
      </c>
      <c r="H1493" s="9" t="str">
        <f>IFERROR(__xludf.DUMMYFUNCTION("""COMPUTED_VALUE"""),"Ruby")</f>
        <v>Ruby</v>
      </c>
      <c r="I1493" s="9" t="str">
        <f>IFERROR(__xludf.DUMMYFUNCTION("""COMPUTED_VALUE"""),"Bash/Shell/PowerShell")</f>
        <v>Bash/Shell/PowerShell</v>
      </c>
      <c r="J1493" s="9" t="str">
        <f>IFERROR(__xludf.DUMMYFUNCTION("""COMPUTED_VALUE"""),"Assembly")</f>
        <v>Assembly</v>
      </c>
      <c r="K1493" s="9" t="str">
        <f>IFERROR(__xludf.DUMMYFUNCTION("""COMPUTED_VALUE"""),"SQL")</f>
        <v>SQL</v>
      </c>
      <c r="L1493" s="9" t="str">
        <f>IFERROR(__xludf.DUMMYFUNCTION("""COMPUTED_VALUE"""),"Python")</f>
        <v>Python</v>
      </c>
      <c r="M1493" s="9" t="s">
        <v>20</v>
      </c>
    </row>
    <row r="1494" ht="15.75" customHeight="1">
      <c r="A1494" s="7"/>
      <c r="B1494" s="7" t="str">
        <f>IFERROR(__xludf.DUMMYFUNCTION("""COMPUTED_VALUE"""),"HTML/CSS;JavaScript;PHP")</f>
        <v>HTML/CSS;JavaScript;PHP</v>
      </c>
      <c r="C1494" s="9" t="str">
        <f>IFERROR(__xludf.DUMMYFUNCTION("""COMPUTED_VALUE"""),"JavaScript")</f>
        <v>JavaScript</v>
      </c>
      <c r="D1494" s="9" t="str">
        <f>IFERROR(__xludf.DUMMYFUNCTION("""COMPUTED_VALUE"""),"Java")</f>
        <v>Java</v>
      </c>
      <c r="E1494" s="9" t="str">
        <f>IFERROR(__xludf.DUMMYFUNCTION("""COMPUTED_VALUE"""),"Assembly")</f>
        <v>Assembly</v>
      </c>
      <c r="F1494" s="9" t="str">
        <f>IFERROR(__xludf.DUMMYFUNCTION("""COMPUTED_VALUE"""),"Swift")</f>
        <v>Swift</v>
      </c>
      <c r="G1494" s="9" t="str">
        <f>IFERROR(__xludf.DUMMYFUNCTION("""COMPUTED_VALUE"""),"SQL")</f>
        <v>SQL</v>
      </c>
      <c r="H1494" s="9" t="str">
        <f>IFERROR(__xludf.DUMMYFUNCTION("""COMPUTED_VALUE"""),"Other(s):")</f>
        <v>Other(s):</v>
      </c>
      <c r="I1494" s="9" t="str">
        <f>IFERROR(__xludf.DUMMYFUNCTION("""COMPUTED_VALUE"""),"Go")</f>
        <v>Go</v>
      </c>
      <c r="J1494" s="9" t="str">
        <f>IFERROR(__xludf.DUMMYFUNCTION("""COMPUTED_VALUE"""),"Bash/Shell/PowerShell")</f>
        <v>Bash/Shell/PowerShell</v>
      </c>
      <c r="K1494" s="9" t="str">
        <f>IFERROR(__xludf.DUMMYFUNCTION("""COMPUTED_VALUE"""),"Bash/Shell/PowerShell")</f>
        <v>Bash/Shell/PowerShell</v>
      </c>
      <c r="L1494" s="9" t="str">
        <f>IFERROR(__xludf.DUMMYFUNCTION("""COMPUTED_VALUE"""),"Elixir")</f>
        <v>Elixir</v>
      </c>
      <c r="M1494" s="9" t="s">
        <v>21</v>
      </c>
    </row>
    <row r="1495" ht="15.75" customHeight="1">
      <c r="A1495" s="7"/>
      <c r="B1495" s="7" t="str">
        <f>IFERROR(__xludf.DUMMYFUNCTION("""COMPUTED_VALUE"""),"Python")</f>
        <v>Python</v>
      </c>
      <c r="C1495" s="9" t="str">
        <f>IFERROR(__xludf.DUMMYFUNCTION("""COMPUTED_VALUE"""),"SQL")</f>
        <v>SQL</v>
      </c>
      <c r="D1495" s="9" t="str">
        <f>IFERROR(__xludf.DUMMYFUNCTION("""COMPUTED_VALUE"""),"JavaScript")</f>
        <v>JavaScript</v>
      </c>
      <c r="E1495" s="9" t="str">
        <f>IFERROR(__xludf.DUMMYFUNCTION("""COMPUTED_VALUE"""),"Bash/Shell/PowerShell")</f>
        <v>Bash/Shell/PowerShell</v>
      </c>
      <c r="F1495" s="9" t="str">
        <f>IFERROR(__xludf.DUMMYFUNCTION("""COMPUTED_VALUE"""),"TypeScript")</f>
        <v>TypeScript</v>
      </c>
      <c r="G1495" s="9" t="str">
        <f>IFERROR(__xludf.DUMMYFUNCTION("""COMPUTED_VALUE"""),"C#")</f>
        <v>C#</v>
      </c>
      <c r="H1495" s="9" t="str">
        <f>IFERROR(__xludf.DUMMYFUNCTION("""COMPUTED_VALUE"""),"Bash/Shell/PowerShell")</f>
        <v>Bash/Shell/PowerShell</v>
      </c>
      <c r="I1495" s="9" t="str">
        <f>IFERROR(__xludf.DUMMYFUNCTION("""COMPUTED_VALUE"""),"HTML/CSS")</f>
        <v>HTML/CSS</v>
      </c>
      <c r="J1495" s="9" t="str">
        <f>IFERROR(__xludf.DUMMYFUNCTION("""COMPUTED_VALUE"""),"C")</f>
        <v>C</v>
      </c>
      <c r="K1495" s="9" t="str">
        <f>IFERROR(__xludf.DUMMYFUNCTION("""COMPUTED_VALUE"""),"Java")</f>
        <v>Java</v>
      </c>
      <c r="L1495" s="9" t="str">
        <f>IFERROR(__xludf.DUMMYFUNCTION("""COMPUTED_VALUE"""),"Ruby")</f>
        <v>Ruby</v>
      </c>
      <c r="M1495" s="9" t="s">
        <v>27</v>
      </c>
    </row>
    <row r="1496" ht="15.75" customHeight="1">
      <c r="A1496" s="7"/>
      <c r="B1496" s="7" t="str">
        <f>IFERROR(__xludf.DUMMYFUNCTION("""COMPUTED_VALUE"""),"Bash/Shell/PowerShell;HTML/CSS;Java;JavaScript;Python;Swift;TypeScript")</f>
        <v>Bash/Shell/PowerShell;HTML/CSS;Java;JavaScript;Python;Swift;TypeScript</v>
      </c>
      <c r="C1496" s="9" t="str">
        <f>IFERROR(__xludf.DUMMYFUNCTION("""COMPUTED_VALUE"""),"C++")</f>
        <v>C++</v>
      </c>
      <c r="D1496" s="9" t="str">
        <f>IFERROR(__xludf.DUMMYFUNCTION("""COMPUTED_VALUE"""),"SQL")</f>
        <v>SQL</v>
      </c>
      <c r="E1496" s="9" t="str">
        <f>IFERROR(__xludf.DUMMYFUNCTION("""COMPUTED_VALUE"""),"C")</f>
        <v>C</v>
      </c>
      <c r="F1496" s="9" t="str">
        <f>IFERROR(__xludf.DUMMYFUNCTION("""COMPUTED_VALUE"""),"Java")</f>
        <v>Java</v>
      </c>
      <c r="G1496" s="9" t="str">
        <f>IFERROR(__xludf.DUMMYFUNCTION("""COMPUTED_VALUE"""),"Java")</f>
        <v>Java</v>
      </c>
      <c r="H1496" s="9" t="str">
        <f>IFERROR(__xludf.DUMMYFUNCTION("""COMPUTED_VALUE"""),"C#")</f>
        <v>C#</v>
      </c>
      <c r="I1496" s="9" t="str">
        <f>IFERROR(__xludf.DUMMYFUNCTION("""COMPUTED_VALUE"""),"Java")</f>
        <v>Java</v>
      </c>
      <c r="J1496" s="9" t="str">
        <f>IFERROR(__xludf.DUMMYFUNCTION("""COMPUTED_VALUE"""),"C++")</f>
        <v>C++</v>
      </c>
      <c r="K1496" s="9" t="str">
        <f>IFERROR(__xludf.DUMMYFUNCTION("""COMPUTED_VALUE"""),"JavaScript")</f>
        <v>JavaScript</v>
      </c>
      <c r="L1496" s="9" t="str">
        <f>IFERROR(__xludf.DUMMYFUNCTION("""COMPUTED_VALUE"""),"Bash/Shell/PowerShell")</f>
        <v>Bash/Shell/PowerShell</v>
      </c>
      <c r="M1496" s="9" t="s">
        <v>23</v>
      </c>
    </row>
    <row r="1497" ht="15.75" customHeight="1">
      <c r="A1497" s="7"/>
      <c r="B1497" s="7" t="str">
        <f>IFERROR(__xludf.DUMMYFUNCTION("""COMPUTED_VALUE"""),"Bash/Shell/PowerShell;C;Go;Java;Python;Scala;SQL")</f>
        <v>Bash/Shell/PowerShell;C;Go;Java;Python;Scala;SQL</v>
      </c>
      <c r="C1497" s="9" t="str">
        <f>IFERROR(__xludf.DUMMYFUNCTION("""COMPUTED_VALUE"""),"C#")</f>
        <v>C#</v>
      </c>
      <c r="D1497" s="9" t="str">
        <f>IFERROR(__xludf.DUMMYFUNCTION("""COMPUTED_VALUE"""),"Bash/Shell/PowerShell")</f>
        <v>Bash/Shell/PowerShell</v>
      </c>
      <c r="E1497" s="9" t="str">
        <f>IFERROR(__xludf.DUMMYFUNCTION("""COMPUTED_VALUE"""),"C++")</f>
        <v>C++</v>
      </c>
      <c r="F1497" s="9" t="str">
        <f>IFERROR(__xludf.DUMMYFUNCTION("""COMPUTED_VALUE"""),"JavaScript")</f>
        <v>JavaScript</v>
      </c>
      <c r="G1497" s="9" t="str">
        <f>IFERROR(__xludf.DUMMYFUNCTION("""COMPUTED_VALUE"""),"Bash/Shell/PowerShell")</f>
        <v>Bash/Shell/PowerShell</v>
      </c>
      <c r="H1497" s="9" t="str">
        <f>IFERROR(__xludf.DUMMYFUNCTION("""COMPUTED_VALUE"""),"Objective-C")</f>
        <v>Objective-C</v>
      </c>
      <c r="I1497" s="9" t="str">
        <f>IFERROR(__xludf.DUMMYFUNCTION("""COMPUTED_VALUE"""),"JavaScript")</f>
        <v>JavaScript</v>
      </c>
      <c r="J1497" s="9" t="str">
        <f>IFERROR(__xludf.DUMMYFUNCTION("""COMPUTED_VALUE"""),"HTML/CSS")</f>
        <v>HTML/CSS</v>
      </c>
      <c r="K1497" s="9" t="str">
        <f>IFERROR(__xludf.DUMMYFUNCTION("""COMPUTED_VALUE"""),"SQL")</f>
        <v>SQL</v>
      </c>
      <c r="L1497" s="9" t="str">
        <f>IFERROR(__xludf.DUMMYFUNCTION("""COMPUTED_VALUE"""),"C")</f>
        <v>C</v>
      </c>
      <c r="M1497" s="9" t="s">
        <v>26</v>
      </c>
    </row>
    <row r="1498" ht="15.75" customHeight="1">
      <c r="A1498" s="7"/>
      <c r="B1498" s="7" t="str">
        <f>IFERROR(__xludf.DUMMYFUNCTION("""COMPUTED_VALUE"""),"C#;SQL")</f>
        <v>C#;SQL</v>
      </c>
      <c r="C1498" s="9" t="str">
        <f>IFERROR(__xludf.DUMMYFUNCTION("""COMPUTED_VALUE"""),"Clojure")</f>
        <v>Clojure</v>
      </c>
      <c r="D1498" s="9" t="str">
        <f>IFERROR(__xludf.DUMMYFUNCTION("""COMPUTED_VALUE"""),"HTML/CSS")</f>
        <v>HTML/CSS</v>
      </c>
      <c r="E1498" s="9" t="str">
        <f>IFERROR(__xludf.DUMMYFUNCTION("""COMPUTED_VALUE"""),"HTML/CSS")</f>
        <v>HTML/CSS</v>
      </c>
      <c r="F1498" s="9" t="str">
        <f>IFERROR(__xludf.DUMMYFUNCTION("""COMPUTED_VALUE"""),"Python")</f>
        <v>Python</v>
      </c>
      <c r="G1498" s="9" t="str">
        <f>IFERROR(__xludf.DUMMYFUNCTION("""COMPUTED_VALUE"""),"C++")</f>
        <v>C++</v>
      </c>
      <c r="H1498" s="9" t="str">
        <f>IFERROR(__xludf.DUMMYFUNCTION("""COMPUTED_VALUE"""),"Ruby")</f>
        <v>Ruby</v>
      </c>
      <c r="I1498" s="9" t="str">
        <f>IFERROR(__xludf.DUMMYFUNCTION("""COMPUTED_VALUE"""),"PHP")</f>
        <v>PHP</v>
      </c>
      <c r="J1498" s="9" t="str">
        <f>IFERROR(__xludf.DUMMYFUNCTION("""COMPUTED_VALUE"""),"JavaScript")</f>
        <v>JavaScript</v>
      </c>
      <c r="K1498" s="9" t="str">
        <f>IFERROR(__xludf.DUMMYFUNCTION("""COMPUTED_VALUE"""),"C#")</f>
        <v>C#</v>
      </c>
      <c r="L1498" s="9" t="str">
        <f>IFERROR(__xludf.DUMMYFUNCTION("""COMPUTED_VALUE"""),"C#")</f>
        <v>C#</v>
      </c>
      <c r="M1498" s="9" t="s">
        <v>44</v>
      </c>
    </row>
    <row r="1499" ht="15.75" customHeight="1">
      <c r="A1499" s="7"/>
      <c r="B1499" s="7" t="str">
        <f>IFERROR(__xludf.DUMMYFUNCTION("""COMPUTED_VALUE"""),"Go;HTML/CSS;Java;JavaScript;Kotlin;SQL")</f>
        <v>Go;HTML/CSS;Java;JavaScript;Kotlin;SQL</v>
      </c>
      <c r="C1499" s="9" t="str">
        <f>IFERROR(__xludf.DUMMYFUNCTION("""COMPUTED_VALUE"""),"JavaScript")</f>
        <v>JavaScript</v>
      </c>
      <c r="D1499" s="9" t="str">
        <f>IFERROR(__xludf.DUMMYFUNCTION("""COMPUTED_VALUE"""),"JavaScript")</f>
        <v>JavaScript</v>
      </c>
      <c r="E1499" s="9" t="str">
        <f>IFERROR(__xludf.DUMMYFUNCTION("""COMPUTED_VALUE"""),"Java")</f>
        <v>Java</v>
      </c>
      <c r="F1499" s="9" t="str">
        <f>IFERROR(__xludf.DUMMYFUNCTION("""COMPUTED_VALUE"""),"Ruby")</f>
        <v>Ruby</v>
      </c>
      <c r="G1499" s="9" t="str">
        <f>IFERROR(__xludf.DUMMYFUNCTION("""COMPUTED_VALUE"""),"HTML/CSS")</f>
        <v>HTML/CSS</v>
      </c>
      <c r="H1499" s="9" t="str">
        <f>IFERROR(__xludf.DUMMYFUNCTION("""COMPUTED_VALUE"""),"SQL")</f>
        <v>SQL</v>
      </c>
      <c r="I1499" s="9" t="str">
        <f>IFERROR(__xludf.DUMMYFUNCTION("""COMPUTED_VALUE"""),"Python")</f>
        <v>Python</v>
      </c>
      <c r="J1499" s="9" t="str">
        <f>IFERROR(__xludf.DUMMYFUNCTION("""COMPUTED_VALUE"""),"PHP")</f>
        <v>PHP</v>
      </c>
      <c r="K1499" s="9" t="str">
        <f>IFERROR(__xludf.DUMMYFUNCTION("""COMPUTED_VALUE"""),"HTML/CSS")</f>
        <v>HTML/CSS</v>
      </c>
      <c r="L1499" s="9" t="str">
        <f>IFERROR(__xludf.DUMMYFUNCTION("""COMPUTED_VALUE"""),"HTML/CSS")</f>
        <v>HTML/CSS</v>
      </c>
      <c r="M1499" s="9" t="s">
        <v>21</v>
      </c>
    </row>
    <row r="1500" ht="15.75" customHeight="1">
      <c r="A1500" s="7"/>
      <c r="B1500" s="7" t="str">
        <f>IFERROR(__xludf.DUMMYFUNCTION("""COMPUTED_VALUE"""),"Bash/Shell/PowerShell;Python;Other(s):")</f>
        <v>Bash/Shell/PowerShell;Python;Other(s):</v>
      </c>
      <c r="C1500" s="9" t="str">
        <f>IFERROR(__xludf.DUMMYFUNCTION("""COMPUTED_VALUE"""),"PHP")</f>
        <v>PHP</v>
      </c>
      <c r="D1500" s="9" t="str">
        <f>IFERROR(__xludf.DUMMYFUNCTION("""COMPUTED_VALUE"""),"PHP")</f>
        <v>PHP</v>
      </c>
      <c r="E1500" s="9" t="str">
        <f>IFERROR(__xludf.DUMMYFUNCTION("""COMPUTED_VALUE"""),"JavaScript")</f>
        <v>JavaScript</v>
      </c>
      <c r="F1500" s="9" t="str">
        <f>IFERROR(__xludf.DUMMYFUNCTION("""COMPUTED_VALUE"""),"Assembly")</f>
        <v>Assembly</v>
      </c>
      <c r="G1500" s="9" t="str">
        <f>IFERROR(__xludf.DUMMYFUNCTION("""COMPUTED_VALUE"""),"JavaScript")</f>
        <v>JavaScript</v>
      </c>
      <c r="H1500" s="9" t="str">
        <f>IFERROR(__xludf.DUMMYFUNCTION("""COMPUTED_VALUE"""),"Swift")</f>
        <v>Swift</v>
      </c>
      <c r="I1500" s="9" t="str">
        <f>IFERROR(__xludf.DUMMYFUNCTION("""COMPUTED_VALUE"""),"Ruby")</f>
        <v>Ruby</v>
      </c>
      <c r="J1500" s="9" t="str">
        <f>IFERROR(__xludf.DUMMYFUNCTION("""COMPUTED_VALUE"""),"Python")</f>
        <v>Python</v>
      </c>
      <c r="K1500" s="9" t="str">
        <f>IFERROR(__xludf.DUMMYFUNCTION("""COMPUTED_VALUE"""),"JavaScript")</f>
        <v>JavaScript</v>
      </c>
      <c r="L1500" s="9" t="str">
        <f>IFERROR(__xludf.DUMMYFUNCTION("""COMPUTED_VALUE"""),"Java")</f>
        <v>Java</v>
      </c>
      <c r="M1500" s="9" t="s">
        <v>37</v>
      </c>
    </row>
    <row r="1501" ht="15.75" customHeight="1">
      <c r="A1501" s="7"/>
      <c r="B1501" s="7" t="str">
        <f>IFERROR(__xludf.DUMMYFUNCTION("""COMPUTED_VALUE"""),"Assembly;Bash/Shell/PowerShell;C;C++;C#;HTML/CSS;Java;JavaScript;Objective-C;PHP;Python;R;SQL;VBA")</f>
        <v>Assembly;Bash/Shell/PowerShell;C;C++;C#;HTML/CSS;Java;JavaScript;Objective-C;PHP;Python;R;SQL;VBA</v>
      </c>
      <c r="C1501" s="9" t="str">
        <f>IFERROR(__xludf.DUMMYFUNCTION("""COMPUTED_VALUE"""),"Python")</f>
        <v>Python</v>
      </c>
      <c r="D1501" s="9" t="str">
        <f>IFERROR(__xludf.DUMMYFUNCTION("""COMPUTED_VALUE"""),"SQL")</f>
        <v>SQL</v>
      </c>
      <c r="E1501" s="9" t="str">
        <f>IFERROR(__xludf.DUMMYFUNCTION("""COMPUTED_VALUE"""),"Objective-C")</f>
        <v>Objective-C</v>
      </c>
      <c r="F1501" s="9" t="str">
        <f>IFERROR(__xludf.DUMMYFUNCTION("""COMPUTED_VALUE"""),"Bash/Shell/PowerShell")</f>
        <v>Bash/Shell/PowerShell</v>
      </c>
      <c r="G1501" s="9" t="str">
        <f>IFERROR(__xludf.DUMMYFUNCTION("""COMPUTED_VALUE"""),"PHP")</f>
        <v>PHP</v>
      </c>
      <c r="H1501" s="9" t="str">
        <f>IFERROR(__xludf.DUMMYFUNCTION("""COMPUTED_VALUE"""),"Bash/Shell/PowerShell")</f>
        <v>Bash/Shell/PowerShell</v>
      </c>
      <c r="I1501" s="9" t="str">
        <f>IFERROR(__xludf.DUMMYFUNCTION("""COMPUTED_VALUE"""),"SQL")</f>
        <v>SQL</v>
      </c>
      <c r="J1501" s="9" t="str">
        <f>IFERROR(__xludf.DUMMYFUNCTION("""COMPUTED_VALUE"""),"SQL")</f>
        <v>SQL</v>
      </c>
      <c r="K1501" s="9" t="str">
        <f>IFERROR(__xludf.DUMMYFUNCTION("""COMPUTED_VALUE"""),"PHP")</f>
        <v>PHP</v>
      </c>
      <c r="L1501" s="9" t="str">
        <f>IFERROR(__xludf.DUMMYFUNCTION("""COMPUTED_VALUE"""),"JavaScript")</f>
        <v>JavaScript</v>
      </c>
      <c r="M1501" s="9" t="s">
        <v>22</v>
      </c>
    </row>
    <row r="1502" ht="15.75" customHeight="1">
      <c r="A1502" s="7"/>
      <c r="B1502" s="7" t="str">
        <f>IFERROR(__xludf.DUMMYFUNCTION("""COMPUTED_VALUE"""),"Go;HTML/CSS;JavaScript")</f>
        <v>Go;HTML/CSS;JavaScript</v>
      </c>
      <c r="C1502" s="9" t="str">
        <f>IFERROR(__xludf.DUMMYFUNCTION("""COMPUTED_VALUE"""),"SQL")</f>
        <v>SQL</v>
      </c>
      <c r="D1502" s="9" t="str">
        <f>IFERROR(__xludf.DUMMYFUNCTION("""COMPUTED_VALUE"""),"TypeScript")</f>
        <v>TypeScript</v>
      </c>
      <c r="E1502" s="9" t="str">
        <f>IFERROR(__xludf.DUMMYFUNCTION("""COMPUTED_VALUE"""),"PHP")</f>
        <v>PHP</v>
      </c>
      <c r="F1502" s="9" t="str">
        <f>IFERROR(__xludf.DUMMYFUNCTION("""COMPUTED_VALUE"""),"C")</f>
        <v>C</v>
      </c>
      <c r="G1502" s="9" t="str">
        <f>IFERROR(__xludf.DUMMYFUNCTION("""COMPUTED_VALUE"""),"Python")</f>
        <v>Python</v>
      </c>
      <c r="H1502" s="9" t="str">
        <f>IFERROR(__xludf.DUMMYFUNCTION("""COMPUTED_VALUE"""),"Python")</f>
        <v>Python</v>
      </c>
      <c r="I1502" s="9" t="str">
        <f>IFERROR(__xludf.DUMMYFUNCTION("""COMPUTED_VALUE"""),"SQL")</f>
        <v>SQL</v>
      </c>
      <c r="J1502" s="9" t="str">
        <f>IFERROR(__xludf.DUMMYFUNCTION("""COMPUTED_VALUE"""),"HTML/CSS")</f>
        <v>HTML/CSS</v>
      </c>
      <c r="K1502" s="9" t="str">
        <f>IFERROR(__xludf.DUMMYFUNCTION("""COMPUTED_VALUE"""),"Other(s):")</f>
        <v>Other(s):</v>
      </c>
      <c r="L1502" s="9" t="str">
        <f>IFERROR(__xludf.DUMMYFUNCTION("""COMPUTED_VALUE"""),"PHP")</f>
        <v>PHP</v>
      </c>
      <c r="M1502" s="9" t="s">
        <v>27</v>
      </c>
    </row>
    <row r="1503" ht="15.75" customHeight="1">
      <c r="A1503" s="7"/>
      <c r="B1503" s="7" t="str">
        <f>IFERROR(__xludf.DUMMYFUNCTION("""COMPUTED_VALUE"""),"HTML/CSS;TypeScript")</f>
        <v>HTML/CSS;TypeScript</v>
      </c>
      <c r="C1503" s="9" t="str">
        <f>IFERROR(__xludf.DUMMYFUNCTION("""COMPUTED_VALUE"""),"VBA")</f>
        <v>VBA</v>
      </c>
      <c r="D1503" s="9" t="str">
        <f>IFERROR(__xludf.DUMMYFUNCTION("""COMPUTED_VALUE"""),"Assembly")</f>
        <v>Assembly</v>
      </c>
      <c r="E1503" s="9" t="str">
        <f>IFERROR(__xludf.DUMMYFUNCTION("""COMPUTED_VALUE"""),"Python")</f>
        <v>Python</v>
      </c>
      <c r="F1503" s="9" t="str">
        <f>IFERROR(__xludf.DUMMYFUNCTION("""COMPUTED_VALUE"""),"C++")</f>
        <v>C++</v>
      </c>
      <c r="G1503" s="9" t="str">
        <f>IFERROR(__xludf.DUMMYFUNCTION("""COMPUTED_VALUE"""),"SQL")</f>
        <v>SQL</v>
      </c>
      <c r="H1503" s="9" t="str">
        <f>IFERROR(__xludf.DUMMYFUNCTION("""COMPUTED_VALUE"""),"VBA")</f>
        <v>VBA</v>
      </c>
      <c r="I1503" s="9" t="str">
        <f>IFERROR(__xludf.DUMMYFUNCTION("""COMPUTED_VALUE"""),"Bash/Shell/PowerShell")</f>
        <v>Bash/Shell/PowerShell</v>
      </c>
      <c r="J1503" s="9" t="str">
        <f>IFERROR(__xludf.DUMMYFUNCTION("""COMPUTED_VALUE"""),"JavaScript")</f>
        <v>JavaScript</v>
      </c>
      <c r="K1503" s="9" t="str">
        <f>IFERROR(__xludf.DUMMYFUNCTION("""COMPUTED_VALUE"""),"Assembly")</f>
        <v>Assembly</v>
      </c>
      <c r="L1503" s="9" t="str">
        <f>IFERROR(__xludf.DUMMYFUNCTION("""COMPUTED_VALUE"""),"Python")</f>
        <v>Python</v>
      </c>
      <c r="M1503" s="9" t="s">
        <v>28</v>
      </c>
    </row>
    <row r="1504" ht="15.75" customHeight="1">
      <c r="A1504" s="7"/>
      <c r="B1504" s="7" t="str">
        <f>IFERROR(__xludf.DUMMYFUNCTION("""COMPUTED_VALUE"""),"Bash/Shell/PowerShell;C#;Java;JavaScript;Kotlin;PHP;Swift")</f>
        <v>Bash/Shell/PowerShell;C#;Java;JavaScript;Kotlin;PHP;Swift</v>
      </c>
      <c r="C1504" s="9" t="str">
        <f>IFERROR(__xludf.DUMMYFUNCTION("""COMPUTED_VALUE"""),"Bash/Shell/PowerShell")</f>
        <v>Bash/Shell/PowerShell</v>
      </c>
      <c r="D1504" s="9" t="str">
        <f>IFERROR(__xludf.DUMMYFUNCTION("""COMPUTED_VALUE"""),"Bash/Shell/PowerShell")</f>
        <v>Bash/Shell/PowerShell</v>
      </c>
      <c r="E1504" s="9" t="str">
        <f>IFERROR(__xludf.DUMMYFUNCTION("""COMPUTED_VALUE"""),"SQL")</f>
        <v>SQL</v>
      </c>
      <c r="F1504" s="9" t="str">
        <f>IFERROR(__xludf.DUMMYFUNCTION("""COMPUTED_VALUE"""),"C#")</f>
        <v>C#</v>
      </c>
      <c r="G1504" s="9" t="str">
        <f>IFERROR(__xludf.DUMMYFUNCTION("""COMPUTED_VALUE"""),"Bash/Shell/PowerShell")</f>
        <v>Bash/Shell/PowerShell</v>
      </c>
      <c r="H1504" s="9" t="str">
        <f>IFERROR(__xludf.DUMMYFUNCTION("""COMPUTED_VALUE"""),"Assembly")</f>
        <v>Assembly</v>
      </c>
      <c r="I1504" s="9" t="str">
        <f>IFERROR(__xludf.DUMMYFUNCTION("""COMPUTED_VALUE"""),"C")</f>
        <v>C</v>
      </c>
      <c r="J1504" s="9" t="str">
        <f>IFERROR(__xludf.DUMMYFUNCTION("""COMPUTED_VALUE"""),"PHP")</f>
        <v>PHP</v>
      </c>
      <c r="K1504" s="9" t="str">
        <f>IFERROR(__xludf.DUMMYFUNCTION("""COMPUTED_VALUE"""),"Bash/Shell/PowerShell")</f>
        <v>Bash/Shell/PowerShell</v>
      </c>
      <c r="L1504" s="9" t="str">
        <f>IFERROR(__xludf.DUMMYFUNCTION("""COMPUTED_VALUE"""),"Ruby")</f>
        <v>Ruby</v>
      </c>
      <c r="M1504" s="9" t="s">
        <v>30</v>
      </c>
    </row>
    <row r="1505" ht="15.75" customHeight="1">
      <c r="A1505" s="7"/>
      <c r="B1505" s="7" t="str">
        <f>IFERROR(__xludf.DUMMYFUNCTION("""COMPUTED_VALUE"""),"Go;HTML/CSS;JavaScript;SQL;Swift")</f>
        <v>Go;HTML/CSS;JavaScript;SQL;Swift</v>
      </c>
      <c r="C1505" s="9" t="str">
        <f>IFERROR(__xludf.DUMMYFUNCTION("""COMPUTED_VALUE"""),"C#")</f>
        <v>C#</v>
      </c>
      <c r="D1505" s="9" t="str">
        <f>IFERROR(__xludf.DUMMYFUNCTION("""COMPUTED_VALUE"""),"C")</f>
        <v>C</v>
      </c>
      <c r="E1505" s="9" t="str">
        <f>IFERROR(__xludf.DUMMYFUNCTION("""COMPUTED_VALUE"""),"TypeScript")</f>
        <v>TypeScript</v>
      </c>
      <c r="F1505" s="9" t="str">
        <f>IFERROR(__xludf.DUMMYFUNCTION("""COMPUTED_VALUE"""),"Go")</f>
        <v>Go</v>
      </c>
      <c r="G1505" s="9" t="str">
        <f>IFERROR(__xludf.DUMMYFUNCTION("""COMPUTED_VALUE"""),"C")</f>
        <v>C</v>
      </c>
      <c r="H1505" s="9" t="str">
        <f>IFERROR(__xludf.DUMMYFUNCTION("""COMPUTED_VALUE"""),"C")</f>
        <v>C</v>
      </c>
      <c r="I1505" s="9" t="str">
        <f>IFERROR(__xludf.DUMMYFUNCTION("""COMPUTED_VALUE"""),"C++")</f>
        <v>C++</v>
      </c>
      <c r="J1505" s="9" t="str">
        <f>IFERROR(__xludf.DUMMYFUNCTION("""COMPUTED_VALUE"""),"SQL")</f>
        <v>SQL</v>
      </c>
      <c r="K1505" s="9" t="str">
        <f>IFERROR(__xludf.DUMMYFUNCTION("""COMPUTED_VALUE"""),"C")</f>
        <v>C</v>
      </c>
      <c r="L1505" s="9" t="str">
        <f>IFERROR(__xludf.DUMMYFUNCTION("""COMPUTED_VALUE"""),"SQL")</f>
        <v>SQL</v>
      </c>
      <c r="M1505" s="9" t="s">
        <v>26</v>
      </c>
    </row>
    <row r="1506" ht="15.75" customHeight="1">
      <c r="A1506" s="7"/>
      <c r="B1506" s="7" t="str">
        <f>IFERROR(__xludf.DUMMYFUNCTION("""COMPUTED_VALUE"""),"Python;R")</f>
        <v>Python;R</v>
      </c>
      <c r="C1506" s="9" t="str">
        <f>IFERROR(__xludf.DUMMYFUNCTION("""COMPUTED_VALUE"""),"Python")</f>
        <v>Python</v>
      </c>
      <c r="D1506" s="9" t="str">
        <f>IFERROR(__xludf.DUMMYFUNCTION("""COMPUTED_VALUE"""),"C++")</f>
        <v>C++</v>
      </c>
      <c r="E1506" s="9" t="str">
        <f>IFERROR(__xludf.DUMMYFUNCTION("""COMPUTED_VALUE"""),"Bash/Shell/PowerShell")</f>
        <v>Bash/Shell/PowerShell</v>
      </c>
      <c r="F1506" s="9" t="str">
        <f>IFERROR(__xludf.DUMMYFUNCTION("""COMPUTED_VALUE"""),"HTML/CSS")</f>
        <v>HTML/CSS</v>
      </c>
      <c r="G1506" s="9" t="str">
        <f>IFERROR(__xludf.DUMMYFUNCTION("""COMPUTED_VALUE"""),"C++")</f>
        <v>C++</v>
      </c>
      <c r="H1506" s="9" t="str">
        <f>IFERROR(__xludf.DUMMYFUNCTION("""COMPUTED_VALUE"""),"C++")</f>
        <v>C++</v>
      </c>
      <c r="I1506" s="9" t="str">
        <f>IFERROR(__xludf.DUMMYFUNCTION("""COMPUTED_VALUE"""),"C#")</f>
        <v>C#</v>
      </c>
      <c r="J1506" s="9" t="str">
        <f>IFERROR(__xludf.DUMMYFUNCTION("""COMPUTED_VALUE"""),"C")</f>
        <v>C</v>
      </c>
      <c r="K1506" s="9" t="str">
        <f>IFERROR(__xludf.DUMMYFUNCTION("""COMPUTED_VALUE"""),"C++")</f>
        <v>C++</v>
      </c>
      <c r="L1506" s="9" t="str">
        <f>IFERROR(__xludf.DUMMYFUNCTION("""COMPUTED_VALUE"""),"HTML/CSS")</f>
        <v>HTML/CSS</v>
      </c>
      <c r="M1506" s="9" t="s">
        <v>22</v>
      </c>
    </row>
    <row r="1507" ht="15.75" customHeight="1">
      <c r="A1507" s="7"/>
      <c r="B1507" s="7" t="str">
        <f>IFERROR(__xludf.DUMMYFUNCTION("""COMPUTED_VALUE"""),"HTML/CSS;Python")</f>
        <v>HTML/CSS;Python</v>
      </c>
      <c r="C1507" s="9" t="str">
        <f>IFERROR(__xludf.DUMMYFUNCTION("""COMPUTED_VALUE"""),"Other(s):")</f>
        <v>Other(s):</v>
      </c>
      <c r="D1507" s="9" t="str">
        <f>IFERROR(__xludf.DUMMYFUNCTION("""COMPUTED_VALUE"""),"C#")</f>
        <v>C#</v>
      </c>
      <c r="E1507" s="9" t="str">
        <f>IFERROR(__xludf.DUMMYFUNCTION("""COMPUTED_VALUE"""),"Java")</f>
        <v>Java</v>
      </c>
      <c r="F1507" s="9" t="str">
        <f>IFERROR(__xludf.DUMMYFUNCTION("""COMPUTED_VALUE"""),"Java")</f>
        <v>Java</v>
      </c>
      <c r="G1507" s="9" t="str">
        <f>IFERROR(__xludf.DUMMYFUNCTION("""COMPUTED_VALUE"""),"HTML/CSS")</f>
        <v>HTML/CSS</v>
      </c>
      <c r="H1507" s="9" t="str">
        <f>IFERROR(__xludf.DUMMYFUNCTION("""COMPUTED_VALUE"""),"C#")</f>
        <v>C#</v>
      </c>
      <c r="I1507" s="9" t="str">
        <f>IFERROR(__xludf.DUMMYFUNCTION("""COMPUTED_VALUE"""),"HTML/CSS")</f>
        <v>HTML/CSS</v>
      </c>
      <c r="J1507" s="9" t="str">
        <f>IFERROR(__xludf.DUMMYFUNCTION("""COMPUTED_VALUE"""),"C++")</f>
        <v>C++</v>
      </c>
      <c r="K1507" s="9" t="str">
        <f>IFERROR(__xludf.DUMMYFUNCTION("""COMPUTED_VALUE"""),"HTML/CSS")</f>
        <v>HTML/CSS</v>
      </c>
      <c r="L1507" s="9" t="str">
        <f>IFERROR(__xludf.DUMMYFUNCTION("""COMPUTED_VALUE"""),"Java")</f>
        <v>Java</v>
      </c>
      <c r="M1507" s="9" t="s">
        <v>35</v>
      </c>
    </row>
    <row r="1508" ht="15.75" customHeight="1">
      <c r="A1508" s="7"/>
      <c r="B1508" s="7" t="str">
        <f>IFERROR(__xludf.DUMMYFUNCTION("""COMPUTED_VALUE"""),"C;C++;C#;HTML/CSS;Java;JavaScript;Swift")</f>
        <v>C;C++;C#;HTML/CSS;Java;JavaScript;Swift</v>
      </c>
      <c r="C1508" s="9" t="str">
        <f>IFERROR(__xludf.DUMMYFUNCTION("""COMPUTED_VALUE"""),"JavaScript")</f>
        <v>JavaScript</v>
      </c>
      <c r="D1508" s="9" t="str">
        <f>IFERROR(__xludf.DUMMYFUNCTION("""COMPUTED_VALUE"""),"Go")</f>
        <v>Go</v>
      </c>
      <c r="E1508" s="9" t="str">
        <f>IFERROR(__xludf.DUMMYFUNCTION("""COMPUTED_VALUE"""),"JavaScript")</f>
        <v>JavaScript</v>
      </c>
      <c r="F1508" s="9" t="str">
        <f>IFERROR(__xludf.DUMMYFUNCTION("""COMPUTED_VALUE"""),"JavaScript")</f>
        <v>JavaScript</v>
      </c>
      <c r="G1508" s="9" t="str">
        <f>IFERROR(__xludf.DUMMYFUNCTION("""COMPUTED_VALUE"""),"Java")</f>
        <v>Java</v>
      </c>
      <c r="H1508" s="9" t="str">
        <f>IFERROR(__xludf.DUMMYFUNCTION("""COMPUTED_VALUE"""),"HTML/CSS")</f>
        <v>HTML/CSS</v>
      </c>
      <c r="I1508" s="9" t="str">
        <f>IFERROR(__xludf.DUMMYFUNCTION("""COMPUTED_VALUE"""),"Java")</f>
        <v>Java</v>
      </c>
      <c r="J1508" s="9" t="str">
        <f>IFERROR(__xludf.DUMMYFUNCTION("""COMPUTED_VALUE"""),"HTML/CSS")</f>
        <v>HTML/CSS</v>
      </c>
      <c r="K1508" s="9" t="str">
        <f>IFERROR(__xludf.DUMMYFUNCTION("""COMPUTED_VALUE"""),"Java")</f>
        <v>Java</v>
      </c>
      <c r="L1508" s="9" t="str">
        <f>IFERROR(__xludf.DUMMYFUNCTION("""COMPUTED_VALUE"""),"JavaScript")</f>
        <v>JavaScript</v>
      </c>
      <c r="M1508" s="9" t="s">
        <v>21</v>
      </c>
    </row>
    <row r="1509" ht="15.75" customHeight="1">
      <c r="A1509" s="7"/>
      <c r="B1509" s="7" t="str">
        <f>IFERROR(__xludf.DUMMYFUNCTION("""COMPUTED_VALUE"""),"Bash/Shell/PowerShell;Go;Java;JavaScript;Python")</f>
        <v>Bash/Shell/PowerShell;Go;Java;JavaScript;Python</v>
      </c>
      <c r="C1509" s="9" t="str">
        <f>IFERROR(__xludf.DUMMYFUNCTION("""COMPUTED_VALUE"""),"Bash/Shell/PowerShell")</f>
        <v>Bash/Shell/PowerShell</v>
      </c>
      <c r="D1509" s="9" t="str">
        <f>IFERROR(__xludf.DUMMYFUNCTION("""COMPUTED_VALUE"""),"Java")</f>
        <v>Java</v>
      </c>
      <c r="E1509" s="9" t="str">
        <f>IFERROR(__xludf.DUMMYFUNCTION("""COMPUTED_VALUE"""),"Python")</f>
        <v>Python</v>
      </c>
      <c r="F1509" s="9" t="str">
        <f>IFERROR(__xludf.DUMMYFUNCTION("""COMPUTED_VALUE"""),"Objective-C")</f>
        <v>Objective-C</v>
      </c>
      <c r="G1509" s="9" t="str">
        <f>IFERROR(__xludf.DUMMYFUNCTION("""COMPUTED_VALUE"""),"JavaScript")</f>
        <v>JavaScript</v>
      </c>
      <c r="H1509" s="9" t="str">
        <f>IFERROR(__xludf.DUMMYFUNCTION("""COMPUTED_VALUE"""),"Java")</f>
        <v>Java</v>
      </c>
      <c r="I1509" s="9" t="str">
        <f>IFERROR(__xludf.DUMMYFUNCTION("""COMPUTED_VALUE"""),"JavaScript")</f>
        <v>JavaScript</v>
      </c>
      <c r="J1509" s="9" t="str">
        <f>IFERROR(__xludf.DUMMYFUNCTION("""COMPUTED_VALUE"""),"Java")</f>
        <v>Java</v>
      </c>
      <c r="K1509" s="9" t="str">
        <f>IFERROR(__xludf.DUMMYFUNCTION("""COMPUTED_VALUE"""),"JavaScript")</f>
        <v>JavaScript</v>
      </c>
      <c r="L1509" s="9" t="str">
        <f>IFERROR(__xludf.DUMMYFUNCTION("""COMPUTED_VALUE"""),"HTML/CSS")</f>
        <v>HTML/CSS</v>
      </c>
      <c r="M1509" s="9" t="s">
        <v>30</v>
      </c>
    </row>
    <row r="1510" ht="15.75" customHeight="1">
      <c r="A1510" s="7"/>
      <c r="B1510" s="7" t="str">
        <f>IFERROR(__xludf.DUMMYFUNCTION("""COMPUTED_VALUE"""),"C;C++;C#;HTML/CSS;Java;JavaScript;PHP;Swift")</f>
        <v>C;C++;C#;HTML/CSS;Java;JavaScript;PHP;Swift</v>
      </c>
      <c r="C1510" s="9" t="str">
        <f>IFERROR(__xludf.DUMMYFUNCTION("""COMPUTED_VALUE"""),"Go")</f>
        <v>Go</v>
      </c>
      <c r="D1510" s="9" t="str">
        <f>IFERROR(__xludf.DUMMYFUNCTION("""COMPUTED_VALUE"""),"JavaScript")</f>
        <v>JavaScript</v>
      </c>
      <c r="E1510" s="9" t="str">
        <f>IFERROR(__xludf.DUMMYFUNCTION("""COMPUTED_VALUE"""),"TypeScript")</f>
        <v>TypeScript</v>
      </c>
      <c r="F1510" s="9" t="str">
        <f>IFERROR(__xludf.DUMMYFUNCTION("""COMPUTED_VALUE"""),"PHP")</f>
        <v>PHP</v>
      </c>
      <c r="G1510" s="9" t="str">
        <f>IFERROR(__xludf.DUMMYFUNCTION("""COMPUTED_VALUE"""),"Kotlin")</f>
        <v>Kotlin</v>
      </c>
      <c r="H1510" s="9" t="str">
        <f>IFERROR(__xludf.DUMMYFUNCTION("""COMPUTED_VALUE"""),"JavaScript")</f>
        <v>JavaScript</v>
      </c>
      <c r="I1510" s="9" t="str">
        <f>IFERROR(__xludf.DUMMYFUNCTION("""COMPUTED_VALUE"""),"Objective-C")</f>
        <v>Objective-C</v>
      </c>
      <c r="J1510" s="9" t="str">
        <f>IFERROR(__xludf.DUMMYFUNCTION("""COMPUTED_VALUE"""),"JavaScript")</f>
        <v>JavaScript</v>
      </c>
      <c r="K1510" s="9" t="str">
        <f>IFERROR(__xludf.DUMMYFUNCTION("""COMPUTED_VALUE"""),"PHP")</f>
        <v>PHP</v>
      </c>
      <c r="L1510" s="9" t="str">
        <f>IFERROR(__xludf.DUMMYFUNCTION("""COMPUTED_VALUE"""),"Java")</f>
        <v>Java</v>
      </c>
      <c r="M1510" s="9" t="s">
        <v>36</v>
      </c>
    </row>
    <row r="1511" ht="15.75" customHeight="1">
      <c r="A1511" s="7"/>
      <c r="B1511" s="7" t="str">
        <f>IFERROR(__xludf.DUMMYFUNCTION("""COMPUTED_VALUE"""),"Bash/Shell/PowerShell;C;SQL")</f>
        <v>Bash/Shell/PowerShell;C;SQL</v>
      </c>
      <c r="C1511" s="9" t="str">
        <f>IFERROR(__xludf.DUMMYFUNCTION("""COMPUTED_VALUE"""),"HTML/CSS")</f>
        <v>HTML/CSS</v>
      </c>
      <c r="D1511" s="9" t="str">
        <f>IFERROR(__xludf.DUMMYFUNCTION("""COMPUTED_VALUE"""),"Python")</f>
        <v>Python</v>
      </c>
      <c r="E1511" s="9" t="str">
        <f>IFERROR(__xludf.DUMMYFUNCTION("""COMPUTED_VALUE"""),"HTML/CSS")</f>
        <v>HTML/CSS</v>
      </c>
      <c r="F1511" s="9" t="str">
        <f>IFERROR(__xludf.DUMMYFUNCTION("""COMPUTED_VALUE"""),"Python")</f>
        <v>Python</v>
      </c>
      <c r="G1511" s="9" t="str">
        <f>IFERROR(__xludf.DUMMYFUNCTION("""COMPUTED_VALUE"""),"Python")</f>
        <v>Python</v>
      </c>
      <c r="H1511" s="9" t="str">
        <f>IFERROR(__xludf.DUMMYFUNCTION("""COMPUTED_VALUE"""),"PHP")</f>
        <v>PHP</v>
      </c>
      <c r="I1511" s="9" t="str">
        <f>IFERROR(__xludf.DUMMYFUNCTION("""COMPUTED_VALUE"""),"PHP")</f>
        <v>PHP</v>
      </c>
      <c r="J1511" s="9" t="str">
        <f>IFERROR(__xludf.DUMMYFUNCTION("""COMPUTED_VALUE"""),"PHP")</f>
        <v>PHP</v>
      </c>
      <c r="K1511" s="9" t="str">
        <f>IFERROR(__xludf.DUMMYFUNCTION("""COMPUTED_VALUE"""),"Python")</f>
        <v>Python</v>
      </c>
      <c r="L1511" s="9" t="str">
        <f>IFERROR(__xludf.DUMMYFUNCTION("""COMPUTED_VALUE"""),"Python")</f>
        <v>Python</v>
      </c>
      <c r="M1511" s="9" t="s">
        <v>24</v>
      </c>
    </row>
    <row r="1512" ht="15.75" customHeight="1">
      <c r="A1512" s="7"/>
      <c r="B1512" s="7" t="str">
        <f>IFERROR(__xludf.DUMMYFUNCTION("""COMPUTED_VALUE"""),"Bash/Shell/PowerShell;Python")</f>
        <v>Bash/Shell/PowerShell;Python</v>
      </c>
      <c r="C1512" s="9" t="str">
        <f>IFERROR(__xludf.DUMMYFUNCTION("""COMPUTED_VALUE"""),"JavaScript")</f>
        <v>JavaScript</v>
      </c>
      <c r="D1512" s="9" t="str">
        <f>IFERROR(__xludf.DUMMYFUNCTION("""COMPUTED_VALUE"""),"Ruby")</f>
        <v>Ruby</v>
      </c>
      <c r="E1512" s="9" t="str">
        <f>IFERROR(__xludf.DUMMYFUNCTION("""COMPUTED_VALUE"""),"PHP")</f>
        <v>PHP</v>
      </c>
      <c r="F1512" s="9" t="str">
        <f>IFERROR(__xludf.DUMMYFUNCTION("""COMPUTED_VALUE"""),"Scala")</f>
        <v>Scala</v>
      </c>
      <c r="G1512" s="9" t="str">
        <f>IFERROR(__xludf.DUMMYFUNCTION("""COMPUTED_VALUE"""),"SQL")</f>
        <v>SQL</v>
      </c>
      <c r="H1512" s="9" t="str">
        <f>IFERROR(__xludf.DUMMYFUNCTION("""COMPUTED_VALUE"""),"SQL")</f>
        <v>SQL</v>
      </c>
      <c r="I1512" s="9" t="str">
        <f>IFERROR(__xludf.DUMMYFUNCTION("""COMPUTED_VALUE"""),"Python")</f>
        <v>Python</v>
      </c>
      <c r="J1512" s="9" t="str">
        <f>IFERROR(__xludf.DUMMYFUNCTION("""COMPUTED_VALUE"""),"Swift")</f>
        <v>Swift</v>
      </c>
      <c r="K1512" s="9" t="str">
        <f>IFERROR(__xludf.DUMMYFUNCTION("""COMPUTED_VALUE"""),"SQL")</f>
        <v>SQL</v>
      </c>
      <c r="L1512" s="9" t="str">
        <f>IFERROR(__xludf.DUMMYFUNCTION("""COMPUTED_VALUE"""),"R")</f>
        <v>R</v>
      </c>
      <c r="M1512" s="9" t="s">
        <v>21</v>
      </c>
    </row>
    <row r="1513" ht="15.75" customHeight="1">
      <c r="A1513" s="7"/>
      <c r="B1513" s="7" t="str">
        <f>IFERROR(__xludf.DUMMYFUNCTION("""COMPUTED_VALUE"""),"Bash/Shell/PowerShell;HTML/CSS;Java;JavaScript;SQL")</f>
        <v>Bash/Shell/PowerShell;HTML/CSS;Java;JavaScript;SQL</v>
      </c>
      <c r="C1513" s="9" t="str">
        <f>IFERROR(__xludf.DUMMYFUNCTION("""COMPUTED_VALUE"""),"Python")</f>
        <v>Python</v>
      </c>
      <c r="D1513" s="9" t="str">
        <f>IFERROR(__xludf.DUMMYFUNCTION("""COMPUTED_VALUE"""),"SQL")</f>
        <v>SQL</v>
      </c>
      <c r="E1513" s="9" t="str">
        <f>IFERROR(__xludf.DUMMYFUNCTION("""COMPUTED_VALUE"""),"SQL")</f>
        <v>SQL</v>
      </c>
      <c r="F1513" s="9" t="str">
        <f>IFERROR(__xludf.DUMMYFUNCTION("""COMPUTED_VALUE"""),"SQL")</f>
        <v>SQL</v>
      </c>
      <c r="G1513" s="9" t="str">
        <f>IFERROR(__xludf.DUMMYFUNCTION("""COMPUTED_VALUE"""),"C")</f>
        <v>C</v>
      </c>
      <c r="H1513" s="9" t="str">
        <f>IFERROR(__xludf.DUMMYFUNCTION("""COMPUTED_VALUE"""),"JavaScript")</f>
        <v>JavaScript</v>
      </c>
      <c r="I1513" s="9" t="str">
        <f>IFERROR(__xludf.DUMMYFUNCTION("""COMPUTED_VALUE"""),"SQL")</f>
        <v>SQL</v>
      </c>
      <c r="J1513" s="9" t="str">
        <f>IFERROR(__xludf.DUMMYFUNCTION("""COMPUTED_VALUE"""),"VBA")</f>
        <v>VBA</v>
      </c>
      <c r="K1513" s="9" t="str">
        <f>IFERROR(__xludf.DUMMYFUNCTION("""COMPUTED_VALUE"""),"VBA")</f>
        <v>VBA</v>
      </c>
      <c r="L1513" s="9" t="str">
        <f>IFERROR(__xludf.DUMMYFUNCTION("""COMPUTED_VALUE"""),"VBA")</f>
        <v>VBA</v>
      </c>
      <c r="M1513" s="9" t="s">
        <v>22</v>
      </c>
    </row>
    <row r="1514" ht="15.75" customHeight="1">
      <c r="A1514" s="7"/>
      <c r="B1514" s="7" t="str">
        <f>IFERROR(__xludf.DUMMYFUNCTION("""COMPUTED_VALUE"""),"C#;HTML/CSS;JavaScript;SQL;TypeScript")</f>
        <v>C#;HTML/CSS;JavaScript;SQL;TypeScript</v>
      </c>
      <c r="C1514" s="9" t="str">
        <f>IFERROR(__xludf.DUMMYFUNCTION("""COMPUTED_VALUE"""),"Rust")</f>
        <v>Rust</v>
      </c>
      <c r="D1514" s="9" t="str">
        <f>IFERROR(__xludf.DUMMYFUNCTION("""COMPUTED_VALUE"""),"Other(s):")</f>
        <v>Other(s):</v>
      </c>
      <c r="E1514" s="9" t="str">
        <f>IFERROR(__xludf.DUMMYFUNCTION("""COMPUTED_VALUE"""),"Java")</f>
        <v>Java</v>
      </c>
      <c r="F1514" s="9" t="str">
        <f>IFERROR(__xludf.DUMMYFUNCTION("""COMPUTED_VALUE"""),"Swift")</f>
        <v>Swift</v>
      </c>
      <c r="G1514" s="9" t="str">
        <f>IFERROR(__xludf.DUMMYFUNCTION("""COMPUTED_VALUE"""),"C++")</f>
        <v>C++</v>
      </c>
      <c r="H1514" s="9" t="str">
        <f>IFERROR(__xludf.DUMMYFUNCTION("""COMPUTED_VALUE"""),"Objective-C")</f>
        <v>Objective-C</v>
      </c>
      <c r="I1514" s="9" t="str">
        <f>IFERROR(__xludf.DUMMYFUNCTION("""COMPUTED_VALUE"""),"Bash/Shell/PowerShell")</f>
        <v>Bash/Shell/PowerShell</v>
      </c>
      <c r="J1514" s="9" t="str">
        <f>IFERROR(__xludf.DUMMYFUNCTION("""COMPUTED_VALUE"""),"HTML/CSS")</f>
        <v>HTML/CSS</v>
      </c>
      <c r="K1514" s="9" t="str">
        <f>IFERROR(__xludf.DUMMYFUNCTION("""COMPUTED_VALUE"""),"Bash/Shell/PowerShell")</f>
        <v>Bash/Shell/PowerShell</v>
      </c>
      <c r="L1514" s="9" t="str">
        <f>IFERROR(__xludf.DUMMYFUNCTION("""COMPUTED_VALUE"""),"JavaScript")</f>
        <v>JavaScript</v>
      </c>
      <c r="M1514" s="9" t="s">
        <v>32</v>
      </c>
    </row>
    <row r="1515" ht="15.75" customHeight="1">
      <c r="A1515" s="7"/>
      <c r="B1515" s="7" t="str">
        <f>IFERROR(__xludf.DUMMYFUNCTION("""COMPUTED_VALUE"""),"Bash/Shell/PowerShell;Elixir;Erlang;Go;Java;JavaScript;Python;Ruby;SQL")</f>
        <v>Bash/Shell/PowerShell;Elixir;Erlang;Go;Java;JavaScript;Python;Ruby;SQL</v>
      </c>
      <c r="C1515" s="9" t="str">
        <f>IFERROR(__xludf.DUMMYFUNCTION("""COMPUTED_VALUE"""),"SQL")</f>
        <v>SQL</v>
      </c>
      <c r="D1515" s="9" t="str">
        <f>IFERROR(__xludf.DUMMYFUNCTION("""COMPUTED_VALUE"""),"C#")</f>
        <v>C#</v>
      </c>
      <c r="E1515" s="9" t="str">
        <f>IFERROR(__xludf.DUMMYFUNCTION("""COMPUTED_VALUE"""),"JavaScript")</f>
        <v>JavaScript</v>
      </c>
      <c r="F1515" s="9" t="str">
        <f>IFERROR(__xludf.DUMMYFUNCTION("""COMPUTED_VALUE"""),"TypeScript")</f>
        <v>TypeScript</v>
      </c>
      <c r="G1515" s="9" t="str">
        <f>IFERROR(__xludf.DUMMYFUNCTION("""COMPUTED_VALUE"""),"C#")</f>
        <v>C#</v>
      </c>
      <c r="H1515" s="9" t="str">
        <f>IFERROR(__xludf.DUMMYFUNCTION("""COMPUTED_VALUE"""),"C++")</f>
        <v>C++</v>
      </c>
      <c r="I1515" s="9" t="str">
        <f>IFERROR(__xludf.DUMMYFUNCTION("""COMPUTED_VALUE"""),"C++")</f>
        <v>C++</v>
      </c>
      <c r="J1515" s="9" t="str">
        <f>IFERROR(__xludf.DUMMYFUNCTION("""COMPUTED_VALUE"""),"JavaScript")</f>
        <v>JavaScript</v>
      </c>
      <c r="K1515" s="9" t="str">
        <f>IFERROR(__xludf.DUMMYFUNCTION("""COMPUTED_VALUE"""),"C")</f>
        <v>C</v>
      </c>
      <c r="L1515" s="9" t="str">
        <f>IFERROR(__xludf.DUMMYFUNCTION("""COMPUTED_VALUE"""),"TypeScript")</f>
        <v>TypeScript</v>
      </c>
      <c r="M1515" s="9" t="s">
        <v>27</v>
      </c>
    </row>
    <row r="1516" ht="15.75" customHeight="1">
      <c r="A1516" s="7"/>
      <c r="B1516" s="7" t="str">
        <f>IFERROR(__xludf.DUMMYFUNCTION("""COMPUTED_VALUE"""),"Bash/Shell/PowerShell;Java;JavaScript;PHP;SQL")</f>
        <v>Bash/Shell/PowerShell;Java;JavaScript;PHP;SQL</v>
      </c>
      <c r="C1516" s="9" t="str">
        <f>IFERROR(__xludf.DUMMYFUNCTION("""COMPUTED_VALUE"""),"C#")</f>
        <v>C#</v>
      </c>
      <c r="D1516" s="9" t="str">
        <f>IFERROR(__xludf.DUMMYFUNCTION("""COMPUTED_VALUE"""),"JavaScript")</f>
        <v>JavaScript</v>
      </c>
      <c r="E1516" s="9" t="str">
        <f>IFERROR(__xludf.DUMMYFUNCTION("""COMPUTED_VALUE"""),"Kotlin")</f>
        <v>Kotlin</v>
      </c>
      <c r="F1516" s="9" t="str">
        <f>IFERROR(__xludf.DUMMYFUNCTION("""COMPUTED_VALUE"""),"VBA")</f>
        <v>VBA</v>
      </c>
      <c r="G1516" s="9" t="str">
        <f>IFERROR(__xludf.DUMMYFUNCTION("""COMPUTED_VALUE"""),"Java")</f>
        <v>Java</v>
      </c>
      <c r="H1516" s="9" t="str">
        <f>IFERROR(__xludf.DUMMYFUNCTION("""COMPUTED_VALUE"""),"Python")</f>
        <v>Python</v>
      </c>
      <c r="I1516" s="9" t="str">
        <f>IFERROR(__xludf.DUMMYFUNCTION("""COMPUTED_VALUE"""),"C#")</f>
        <v>C#</v>
      </c>
      <c r="J1516" s="9" t="str">
        <f>IFERROR(__xludf.DUMMYFUNCTION("""COMPUTED_VALUE"""),"PHP")</f>
        <v>PHP</v>
      </c>
      <c r="K1516" s="9" t="str">
        <f>IFERROR(__xludf.DUMMYFUNCTION("""COMPUTED_VALUE"""),"C++")</f>
        <v>C++</v>
      </c>
      <c r="L1516" s="9" t="str">
        <f>IFERROR(__xludf.DUMMYFUNCTION("""COMPUTED_VALUE"""),"Bash/Shell/PowerShell")</f>
        <v>Bash/Shell/PowerShell</v>
      </c>
      <c r="M1516" s="9" t="s">
        <v>26</v>
      </c>
    </row>
    <row r="1517" ht="15.75" customHeight="1">
      <c r="A1517" s="7"/>
      <c r="B1517" s="7" t="str">
        <f>IFERROR(__xludf.DUMMYFUNCTION("""COMPUTED_VALUE"""),"Bash/Shell/PowerShell;C++;HTML/CSS;JavaScript;PHP;Python")</f>
        <v>Bash/Shell/PowerShell;C++;HTML/CSS;JavaScript;PHP;Python</v>
      </c>
      <c r="C1517" s="9" t="str">
        <f>IFERROR(__xludf.DUMMYFUNCTION("""COMPUTED_VALUE"""),"HTML/CSS")</f>
        <v>HTML/CSS</v>
      </c>
      <c r="D1517" s="9" t="str">
        <f>IFERROR(__xludf.DUMMYFUNCTION("""COMPUTED_VALUE"""),"Assembly")</f>
        <v>Assembly</v>
      </c>
      <c r="E1517" s="9" t="str">
        <f>IFERROR(__xludf.DUMMYFUNCTION("""COMPUTED_VALUE"""),"Objective-C")</f>
        <v>Objective-C</v>
      </c>
      <c r="F1517" s="9" t="str">
        <f>IFERROR(__xludf.DUMMYFUNCTION("""COMPUTED_VALUE"""),"C#")</f>
        <v>C#</v>
      </c>
      <c r="G1517" s="9" t="str">
        <f>IFERROR(__xludf.DUMMYFUNCTION("""COMPUTED_VALUE"""),"Other(s):")</f>
        <v>Other(s):</v>
      </c>
      <c r="H1517" s="9" t="str">
        <f>IFERROR(__xludf.DUMMYFUNCTION("""COMPUTED_VALUE"""),"SQL")</f>
        <v>SQL</v>
      </c>
      <c r="I1517" s="9" t="str">
        <f>IFERROR(__xludf.DUMMYFUNCTION("""COMPUTED_VALUE"""),"HTML/CSS")</f>
        <v>HTML/CSS</v>
      </c>
      <c r="J1517" s="9" t="str">
        <f>IFERROR(__xludf.DUMMYFUNCTION("""COMPUTED_VALUE"""),"C#")</f>
        <v>C#</v>
      </c>
      <c r="K1517" s="9" t="str">
        <f>IFERROR(__xludf.DUMMYFUNCTION("""COMPUTED_VALUE"""),"C#")</f>
        <v>C#</v>
      </c>
      <c r="L1517" s="9" t="str">
        <f>IFERROR(__xludf.DUMMYFUNCTION("""COMPUTED_VALUE"""),"C#")</f>
        <v>C#</v>
      </c>
      <c r="M1517" s="9" t="s">
        <v>24</v>
      </c>
    </row>
    <row r="1518" ht="15.75" customHeight="1">
      <c r="A1518" s="7"/>
      <c r="B1518" s="7" t="str">
        <f>IFERROR(__xludf.DUMMYFUNCTION("""COMPUTED_VALUE"""),"C#;HTML/CSS;JavaScript;SQL;TypeScript")</f>
        <v>C#;HTML/CSS;JavaScript;SQL;TypeScript</v>
      </c>
      <c r="C1518" s="9" t="str">
        <f>IFERROR(__xludf.DUMMYFUNCTION("""COMPUTED_VALUE"""),"JavaScript")</f>
        <v>JavaScript</v>
      </c>
      <c r="D1518" s="9" t="str">
        <f>IFERROR(__xludf.DUMMYFUNCTION("""COMPUTED_VALUE"""),"C")</f>
        <v>C</v>
      </c>
      <c r="E1518" s="9" t="str">
        <f>IFERROR(__xludf.DUMMYFUNCTION("""COMPUTED_VALUE"""),"Python")</f>
        <v>Python</v>
      </c>
      <c r="F1518" s="9" t="str">
        <f>IFERROR(__xludf.DUMMYFUNCTION("""COMPUTED_VALUE"""),"HTML/CSS")</f>
        <v>HTML/CSS</v>
      </c>
      <c r="G1518" s="9" t="str">
        <f>IFERROR(__xludf.DUMMYFUNCTION("""COMPUTED_VALUE"""),"HTML/CSS")</f>
        <v>HTML/CSS</v>
      </c>
      <c r="H1518" s="9" t="str">
        <f>IFERROR(__xludf.DUMMYFUNCTION("""COMPUTED_VALUE"""),"Bash/Shell/PowerShell")</f>
        <v>Bash/Shell/PowerShell</v>
      </c>
      <c r="I1518" s="9" t="str">
        <f>IFERROR(__xludf.DUMMYFUNCTION("""COMPUTED_VALUE"""),"Java")</f>
        <v>Java</v>
      </c>
      <c r="J1518" s="9" t="str">
        <f>IFERROR(__xludf.DUMMYFUNCTION("""COMPUTED_VALUE"""),"Go")</f>
        <v>Go</v>
      </c>
      <c r="K1518" s="9" t="str">
        <f>IFERROR(__xludf.DUMMYFUNCTION("""COMPUTED_VALUE"""),"HTML/CSS")</f>
        <v>HTML/CSS</v>
      </c>
      <c r="L1518" s="9" t="str">
        <f>IFERROR(__xludf.DUMMYFUNCTION("""COMPUTED_VALUE"""),"HTML/CSS")</f>
        <v>HTML/CSS</v>
      </c>
      <c r="M1518" s="9" t="s">
        <v>21</v>
      </c>
    </row>
    <row r="1519" ht="15.75" customHeight="1">
      <c r="A1519" s="7"/>
      <c r="B1519" s="7" t="str">
        <f>IFERROR(__xludf.DUMMYFUNCTION("""COMPUTED_VALUE"""),"Assembly;Bash/Shell/PowerShell;C++;C#;HTML/CSS;JavaScript;Python;SQL")</f>
        <v>Assembly;Bash/Shell/PowerShell;C++;C#;HTML/CSS;JavaScript;Python;SQL</v>
      </c>
      <c r="C1519" s="9" t="str">
        <f>IFERROR(__xludf.DUMMYFUNCTION("""COMPUTED_VALUE"""),"SQL")</f>
        <v>SQL</v>
      </c>
      <c r="D1519" s="9" t="str">
        <f>IFERROR(__xludf.DUMMYFUNCTION("""COMPUTED_VALUE"""),"C++")</f>
        <v>C++</v>
      </c>
      <c r="E1519" s="9" t="str">
        <f>IFERROR(__xludf.DUMMYFUNCTION("""COMPUTED_VALUE"""),"SQL")</f>
        <v>SQL</v>
      </c>
      <c r="F1519" s="9" t="str">
        <f>IFERROR(__xludf.DUMMYFUNCTION("""COMPUTED_VALUE"""),"JavaScript")</f>
        <v>JavaScript</v>
      </c>
      <c r="G1519" s="9" t="str">
        <f>IFERROR(__xludf.DUMMYFUNCTION("""COMPUTED_VALUE"""),"JavaScript")</f>
        <v>JavaScript</v>
      </c>
      <c r="H1519" s="9" t="str">
        <f>IFERROR(__xludf.DUMMYFUNCTION("""COMPUTED_VALUE"""),"C#")</f>
        <v>C#</v>
      </c>
      <c r="I1519" s="9" t="str">
        <f>IFERROR(__xludf.DUMMYFUNCTION("""COMPUTED_VALUE"""),"JavaScript")</f>
        <v>JavaScript</v>
      </c>
      <c r="J1519" s="9" t="str">
        <f>IFERROR(__xludf.DUMMYFUNCTION("""COMPUTED_VALUE"""),"HTML/CSS")</f>
        <v>HTML/CSS</v>
      </c>
      <c r="K1519" s="9" t="str">
        <f>IFERROR(__xludf.DUMMYFUNCTION("""COMPUTED_VALUE"""),"Java")</f>
        <v>Java</v>
      </c>
      <c r="L1519" s="9" t="str">
        <f>IFERROR(__xludf.DUMMYFUNCTION("""COMPUTED_VALUE"""),"JavaScript")</f>
        <v>JavaScript</v>
      </c>
      <c r="M1519" s="9" t="s">
        <v>27</v>
      </c>
    </row>
    <row r="1520" ht="15.75" customHeight="1">
      <c r="A1520" s="7"/>
      <c r="B1520" s="7" t="str">
        <f>IFERROR(__xludf.DUMMYFUNCTION("""COMPUTED_VALUE"""),"Bash/Shell/PowerShell;Java;Ruby")</f>
        <v>Bash/Shell/PowerShell;Java;Ruby</v>
      </c>
      <c r="C1520" s="9" t="str">
        <f>IFERROR(__xludf.DUMMYFUNCTION("""COMPUTED_VALUE"""),"C")</f>
        <v>C</v>
      </c>
      <c r="D1520" s="9" t="str">
        <f>IFERROR(__xludf.DUMMYFUNCTION("""COMPUTED_VALUE"""),"C#")</f>
        <v>C#</v>
      </c>
      <c r="E1520" s="9" t="str">
        <f>IFERROR(__xludf.DUMMYFUNCTION("""COMPUTED_VALUE"""),"Swift")</f>
        <v>Swift</v>
      </c>
      <c r="F1520" s="9" t="str">
        <f>IFERROR(__xludf.DUMMYFUNCTION("""COMPUTED_VALUE"""),"SQL")</f>
        <v>SQL</v>
      </c>
      <c r="G1520" s="9" t="str">
        <f>IFERROR(__xludf.DUMMYFUNCTION("""COMPUTED_VALUE"""),"Ruby")</f>
        <v>Ruby</v>
      </c>
      <c r="H1520" s="9" t="str">
        <f>IFERROR(__xludf.DUMMYFUNCTION("""COMPUTED_VALUE"""),"SQL")</f>
        <v>SQL</v>
      </c>
      <c r="I1520" s="9" t="str">
        <f>IFERROR(__xludf.DUMMYFUNCTION("""COMPUTED_VALUE"""),"SQL")</f>
        <v>SQL</v>
      </c>
      <c r="J1520" s="9" t="str">
        <f>IFERROR(__xludf.DUMMYFUNCTION("""COMPUTED_VALUE"""),"Java")</f>
        <v>Java</v>
      </c>
      <c r="K1520" s="9" t="str">
        <f>IFERROR(__xludf.DUMMYFUNCTION("""COMPUTED_VALUE"""),"JavaScript")</f>
        <v>JavaScript</v>
      </c>
      <c r="L1520" s="9" t="str">
        <f>IFERROR(__xludf.DUMMYFUNCTION("""COMPUTED_VALUE"""),"SQL")</f>
        <v>SQL</v>
      </c>
      <c r="M1520" s="9" t="s">
        <v>25</v>
      </c>
    </row>
    <row r="1521" ht="15.75" customHeight="1">
      <c r="A1521" s="7"/>
      <c r="B1521" s="7" t="str">
        <f>IFERROR(__xludf.DUMMYFUNCTION("""COMPUTED_VALUE"""),"C#;Go;HTML/CSS;Java;Kotlin;PHP;Python;Rust;Scala;SQL;Swift;TypeScript")</f>
        <v>C#;Go;HTML/CSS;Java;Kotlin;PHP;Python;Rust;Scala;SQL;Swift;TypeScript</v>
      </c>
      <c r="C1521" s="9" t="str">
        <f>IFERROR(__xludf.DUMMYFUNCTION("""COMPUTED_VALUE"""),"HTML/CSS")</f>
        <v>HTML/CSS</v>
      </c>
      <c r="D1521" s="9" t="str">
        <f>IFERROR(__xludf.DUMMYFUNCTION("""COMPUTED_VALUE"""),"Objective-C")</f>
        <v>Objective-C</v>
      </c>
      <c r="E1521" s="9" t="str">
        <f>IFERROR(__xludf.DUMMYFUNCTION("""COMPUTED_VALUE"""),"Other(s):")</f>
        <v>Other(s):</v>
      </c>
      <c r="F1521" s="9" t="str">
        <f>IFERROR(__xludf.DUMMYFUNCTION("""COMPUTED_VALUE"""),"Assembly")</f>
        <v>Assembly</v>
      </c>
      <c r="G1521" s="9" t="str">
        <f>IFERROR(__xludf.DUMMYFUNCTION("""COMPUTED_VALUE"""),"SQL")</f>
        <v>SQL</v>
      </c>
      <c r="H1521" s="9" t="str">
        <f>IFERROR(__xludf.DUMMYFUNCTION("""COMPUTED_VALUE"""),"Other(s):")</f>
        <v>Other(s):</v>
      </c>
      <c r="I1521" s="9" t="str">
        <f>IFERROR(__xludf.DUMMYFUNCTION("""COMPUTED_VALUE"""),"Bash/Shell/PowerShell")</f>
        <v>Bash/Shell/PowerShell</v>
      </c>
      <c r="J1521" s="9" t="str">
        <f>IFERROR(__xludf.DUMMYFUNCTION("""COMPUTED_VALUE"""),"PHP")</f>
        <v>PHP</v>
      </c>
      <c r="K1521" s="9" t="str">
        <f>IFERROR(__xludf.DUMMYFUNCTION("""COMPUTED_VALUE"""),"PHP")</f>
        <v>PHP</v>
      </c>
      <c r="L1521" s="9" t="str">
        <f>IFERROR(__xludf.DUMMYFUNCTION("""COMPUTED_VALUE"""),"Assembly")</f>
        <v>Assembly</v>
      </c>
      <c r="M1521" s="9" t="s">
        <v>24</v>
      </c>
    </row>
    <row r="1522" ht="15.75" customHeight="1">
      <c r="A1522" s="7"/>
      <c r="B1522" s="7" t="str">
        <f>IFERROR(__xludf.DUMMYFUNCTION("""COMPUTED_VALUE"""),"Bash/Shell/PowerShell;HTML/CSS;Ruby;SQL")</f>
        <v>Bash/Shell/PowerShell;HTML/CSS;Ruby;SQL</v>
      </c>
      <c r="C1522" s="9" t="str">
        <f>IFERROR(__xludf.DUMMYFUNCTION("""COMPUTED_VALUE"""),"JavaScript")</f>
        <v>JavaScript</v>
      </c>
      <c r="D1522" s="9" t="str">
        <f>IFERROR(__xludf.DUMMYFUNCTION("""COMPUTED_VALUE"""),"PHP")</f>
        <v>PHP</v>
      </c>
      <c r="E1522" s="9" t="str">
        <f>IFERROR(__xludf.DUMMYFUNCTION("""COMPUTED_VALUE"""),"HTML/CSS")</f>
        <v>HTML/CSS</v>
      </c>
      <c r="F1522" s="9" t="str">
        <f>IFERROR(__xludf.DUMMYFUNCTION("""COMPUTED_VALUE"""),"C")</f>
        <v>C</v>
      </c>
      <c r="G1522" s="9" t="str">
        <f>IFERROR(__xludf.DUMMYFUNCTION("""COMPUTED_VALUE"""),"Bash/Shell/PowerShell")</f>
        <v>Bash/Shell/PowerShell</v>
      </c>
      <c r="H1522" s="9" t="str">
        <f>IFERROR(__xludf.DUMMYFUNCTION("""COMPUTED_VALUE"""),"C#")</f>
        <v>C#</v>
      </c>
      <c r="I1522" s="9" t="str">
        <f>IFERROR(__xludf.DUMMYFUNCTION("""COMPUTED_VALUE"""),"Java")</f>
        <v>Java</v>
      </c>
      <c r="J1522" s="9" t="str">
        <f>IFERROR(__xludf.DUMMYFUNCTION("""COMPUTED_VALUE"""),"SQL")</f>
        <v>SQL</v>
      </c>
      <c r="K1522" s="9" t="str">
        <f>IFERROR(__xludf.DUMMYFUNCTION("""COMPUTED_VALUE"""),"Python")</f>
        <v>Python</v>
      </c>
      <c r="L1522" s="9" t="str">
        <f>IFERROR(__xludf.DUMMYFUNCTION("""COMPUTED_VALUE"""),"Bash/Shell/PowerShell")</f>
        <v>Bash/Shell/PowerShell</v>
      </c>
      <c r="M1522" s="9" t="s">
        <v>21</v>
      </c>
    </row>
    <row r="1523" ht="15.75" customHeight="1">
      <c r="A1523" s="7"/>
      <c r="B1523" s="7" t="str">
        <f>IFERROR(__xludf.DUMMYFUNCTION("""COMPUTED_VALUE"""),"Assembly;C;C#;HTML/CSS;Java;JavaScript;PHP;Python;SQL;VBA")</f>
        <v>Assembly;C;C#;HTML/CSS;Java;JavaScript;PHP;Python;SQL;VBA</v>
      </c>
      <c r="C1523" s="9" t="str">
        <f>IFERROR(__xludf.DUMMYFUNCTION("""COMPUTED_VALUE"""),"Python")</f>
        <v>Python</v>
      </c>
      <c r="D1523" s="9" t="str">
        <f>IFERROR(__xludf.DUMMYFUNCTION("""COMPUTED_VALUE"""),"SQL")</f>
        <v>SQL</v>
      </c>
      <c r="E1523" s="9" t="str">
        <f>IFERROR(__xludf.DUMMYFUNCTION("""COMPUTED_VALUE"""),"Java")</f>
        <v>Java</v>
      </c>
      <c r="F1523" s="9" t="str">
        <f>IFERROR(__xludf.DUMMYFUNCTION("""COMPUTED_VALUE"""),"Bash/Shell/PowerShell")</f>
        <v>Bash/Shell/PowerShell</v>
      </c>
      <c r="G1523" s="9" t="str">
        <f>IFERROR(__xludf.DUMMYFUNCTION("""COMPUTED_VALUE"""),"C")</f>
        <v>C</v>
      </c>
      <c r="H1523" s="9" t="str">
        <f>IFERROR(__xludf.DUMMYFUNCTION("""COMPUTED_VALUE"""),"HTML/CSS")</f>
        <v>HTML/CSS</v>
      </c>
      <c r="I1523" s="9" t="str">
        <f>IFERROR(__xludf.DUMMYFUNCTION("""COMPUTED_VALUE"""),"JavaScript")</f>
        <v>JavaScript</v>
      </c>
      <c r="J1523" s="9" t="str">
        <f>IFERROR(__xludf.DUMMYFUNCTION("""COMPUTED_VALUE"""),"Go")</f>
        <v>Go</v>
      </c>
      <c r="K1523" s="9" t="str">
        <f>IFERROR(__xludf.DUMMYFUNCTION("""COMPUTED_VALUE"""),"SQL")</f>
        <v>SQL</v>
      </c>
      <c r="L1523" s="9" t="str">
        <f>IFERROR(__xludf.DUMMYFUNCTION("""COMPUTED_VALUE"""),"C")</f>
        <v>C</v>
      </c>
      <c r="M1523" s="9" t="s">
        <v>22</v>
      </c>
    </row>
    <row r="1524" ht="15.75" customHeight="1">
      <c r="A1524" s="7"/>
      <c r="B1524" s="7" t="str">
        <f>IFERROR(__xludf.DUMMYFUNCTION("""COMPUTED_VALUE"""),"HTML/CSS;JavaScript")</f>
        <v>HTML/CSS;JavaScript</v>
      </c>
      <c r="C1524" s="9" t="str">
        <f>IFERROR(__xludf.DUMMYFUNCTION("""COMPUTED_VALUE"""),"SQL")</f>
        <v>SQL</v>
      </c>
      <c r="D1524" s="9" t="str">
        <f>IFERROR(__xludf.DUMMYFUNCTION("""COMPUTED_VALUE"""),"Bash/Shell/PowerShell")</f>
        <v>Bash/Shell/PowerShell</v>
      </c>
      <c r="E1524" s="9" t="str">
        <f>IFERROR(__xludf.DUMMYFUNCTION("""COMPUTED_VALUE"""),"Kotlin")</f>
        <v>Kotlin</v>
      </c>
      <c r="F1524" s="9" t="str">
        <f>IFERROR(__xludf.DUMMYFUNCTION("""COMPUTED_VALUE"""),"Go")</f>
        <v>Go</v>
      </c>
      <c r="G1524" s="9" t="str">
        <f>IFERROR(__xludf.DUMMYFUNCTION("""COMPUTED_VALUE"""),"C#")</f>
        <v>C#</v>
      </c>
      <c r="H1524" s="9" t="str">
        <f>IFERROR(__xludf.DUMMYFUNCTION("""COMPUTED_VALUE"""),"JavaScript")</f>
        <v>JavaScript</v>
      </c>
      <c r="I1524" s="9" t="str">
        <f>IFERROR(__xludf.DUMMYFUNCTION("""COMPUTED_VALUE"""),"Ruby")</f>
        <v>Ruby</v>
      </c>
      <c r="J1524" s="9" t="str">
        <f>IFERROR(__xludf.DUMMYFUNCTION("""COMPUTED_VALUE"""),"SQL")</f>
        <v>SQL</v>
      </c>
      <c r="K1524" s="9" t="str">
        <f>IFERROR(__xludf.DUMMYFUNCTION("""COMPUTED_VALUE"""),"Bash/Shell/PowerShell")</f>
        <v>Bash/Shell/PowerShell</v>
      </c>
      <c r="L1524" s="9" t="str">
        <f>IFERROR(__xludf.DUMMYFUNCTION("""COMPUTED_VALUE"""),"C++")</f>
        <v>C++</v>
      </c>
      <c r="M1524" s="9" t="s">
        <v>27</v>
      </c>
    </row>
    <row r="1525" ht="15.75" customHeight="1">
      <c r="A1525" s="7"/>
      <c r="B1525" s="7" t="str">
        <f>IFERROR(__xludf.DUMMYFUNCTION("""COMPUTED_VALUE"""),"C#;HTML/CSS;JavaScript;PHP;SQL;TypeScript")</f>
        <v>C#;HTML/CSS;JavaScript;PHP;SQL;TypeScript</v>
      </c>
      <c r="C1525" s="9" t="str">
        <f>IFERROR(__xludf.DUMMYFUNCTION("""COMPUTED_VALUE"""),"TypeScript")</f>
        <v>TypeScript</v>
      </c>
      <c r="D1525" s="9" t="str">
        <f>IFERROR(__xludf.DUMMYFUNCTION("""COMPUTED_VALUE"""),"C++")</f>
        <v>C++</v>
      </c>
      <c r="E1525" s="9" t="str">
        <f>IFERROR(__xludf.DUMMYFUNCTION("""COMPUTED_VALUE"""),"SQL")</f>
        <v>SQL</v>
      </c>
      <c r="F1525" s="9" t="str">
        <f>IFERROR(__xludf.DUMMYFUNCTION("""COMPUTED_VALUE"""),"Ruby")</f>
        <v>Ruby</v>
      </c>
      <c r="G1525" s="9" t="str">
        <f>IFERROR(__xludf.DUMMYFUNCTION("""COMPUTED_VALUE"""),"Go")</f>
        <v>Go</v>
      </c>
      <c r="H1525" s="9" t="str">
        <f>IFERROR(__xludf.DUMMYFUNCTION("""COMPUTED_VALUE"""),"SQL")</f>
        <v>SQL</v>
      </c>
      <c r="I1525" s="9" t="str">
        <f>IFERROR(__xludf.DUMMYFUNCTION("""COMPUTED_VALUE"""),"Java")</f>
        <v>Java</v>
      </c>
      <c r="J1525" s="9" t="str">
        <f>IFERROR(__xludf.DUMMYFUNCTION("""COMPUTED_VALUE"""),"C++")</f>
        <v>C++</v>
      </c>
      <c r="K1525" s="9" t="str">
        <f>IFERROR(__xludf.DUMMYFUNCTION("""COMPUTED_VALUE"""),"HTML/CSS")</f>
        <v>HTML/CSS</v>
      </c>
      <c r="L1525" s="9" t="str">
        <f>IFERROR(__xludf.DUMMYFUNCTION("""COMPUTED_VALUE"""),"Go")</f>
        <v>Go</v>
      </c>
      <c r="M1525" s="9" t="s">
        <v>33</v>
      </c>
    </row>
    <row r="1526" ht="15.75" customHeight="1">
      <c r="A1526" s="7"/>
      <c r="B1526" s="7" t="str">
        <f>IFERROR(__xludf.DUMMYFUNCTION("""COMPUTED_VALUE"""),"Bash/Shell/PowerShell;C#;PHP;SQL")</f>
        <v>Bash/Shell/PowerShell;C#;PHP;SQL</v>
      </c>
      <c r="C1526" s="9" t="str">
        <f>IFERROR(__xludf.DUMMYFUNCTION("""COMPUTED_VALUE"""),"Assembly")</f>
        <v>Assembly</v>
      </c>
      <c r="D1526" s="9" t="str">
        <f>IFERROR(__xludf.DUMMYFUNCTION("""COMPUTED_VALUE"""),"C#")</f>
        <v>C#</v>
      </c>
      <c r="E1526" s="9" t="str">
        <f>IFERROR(__xludf.DUMMYFUNCTION("""COMPUTED_VALUE"""),"HTML/CSS")</f>
        <v>HTML/CSS</v>
      </c>
      <c r="F1526" s="9" t="str">
        <f>IFERROR(__xludf.DUMMYFUNCTION("""COMPUTED_VALUE"""),"Rust")</f>
        <v>Rust</v>
      </c>
      <c r="G1526" s="9" t="str">
        <f>IFERROR(__xludf.DUMMYFUNCTION("""COMPUTED_VALUE"""),"JavaScript")</f>
        <v>JavaScript</v>
      </c>
      <c r="H1526" s="9" t="str">
        <f>IFERROR(__xludf.DUMMYFUNCTION("""COMPUTED_VALUE"""),"C++")</f>
        <v>C++</v>
      </c>
      <c r="I1526" s="9" t="str">
        <f>IFERROR(__xludf.DUMMYFUNCTION("""COMPUTED_VALUE"""),"JavaScript")</f>
        <v>JavaScript</v>
      </c>
      <c r="J1526" s="9" t="str">
        <f>IFERROR(__xludf.DUMMYFUNCTION("""COMPUTED_VALUE"""),"Java")</f>
        <v>Java</v>
      </c>
      <c r="K1526" s="9" t="str">
        <f>IFERROR(__xludf.DUMMYFUNCTION("""COMPUTED_VALUE"""),"Java")</f>
        <v>Java</v>
      </c>
      <c r="L1526" s="9" t="str">
        <f>IFERROR(__xludf.DUMMYFUNCTION("""COMPUTED_VALUE"""),"Java")</f>
        <v>Java</v>
      </c>
      <c r="M1526" s="9" t="s">
        <v>38</v>
      </c>
    </row>
    <row r="1527" ht="15.75" customHeight="1">
      <c r="A1527" s="7"/>
      <c r="B1527" s="7" t="str">
        <f>IFERROR(__xludf.DUMMYFUNCTION("""COMPUTED_VALUE"""),"Assembly;C;C++;C#;Other(s):")</f>
        <v>Assembly;C;C++;C#;Other(s):</v>
      </c>
      <c r="C1527" s="9" t="str">
        <f>IFERROR(__xludf.DUMMYFUNCTION("""COMPUTED_VALUE"""),"Bash/Shell/PowerShell")</f>
        <v>Bash/Shell/PowerShell</v>
      </c>
      <c r="D1527" s="9" t="str">
        <f>IFERROR(__xludf.DUMMYFUNCTION("""COMPUTED_VALUE"""),"Dart")</f>
        <v>Dart</v>
      </c>
      <c r="E1527" s="9" t="str">
        <f>IFERROR(__xludf.DUMMYFUNCTION("""COMPUTED_VALUE"""),"JavaScript")</f>
        <v>JavaScript</v>
      </c>
      <c r="F1527" s="9" t="str">
        <f>IFERROR(__xludf.DUMMYFUNCTION("""COMPUTED_VALUE"""),"SQL")</f>
        <v>SQL</v>
      </c>
      <c r="G1527" s="9" t="str">
        <f>IFERROR(__xludf.DUMMYFUNCTION("""COMPUTED_VALUE"""),"Python")</f>
        <v>Python</v>
      </c>
      <c r="H1527" s="9" t="str">
        <f>IFERROR(__xludf.DUMMYFUNCTION("""COMPUTED_VALUE"""),"HTML/CSS")</f>
        <v>HTML/CSS</v>
      </c>
      <c r="I1527" s="9" t="str">
        <f>IFERROR(__xludf.DUMMYFUNCTION("""COMPUTED_VALUE"""),"Python")</f>
        <v>Python</v>
      </c>
      <c r="J1527" s="9" t="str">
        <f>IFERROR(__xludf.DUMMYFUNCTION("""COMPUTED_VALUE"""),"JavaScript")</f>
        <v>JavaScript</v>
      </c>
      <c r="K1527" s="9" t="str">
        <f>IFERROR(__xludf.DUMMYFUNCTION("""COMPUTED_VALUE"""),"JavaScript")</f>
        <v>JavaScript</v>
      </c>
      <c r="L1527" s="9" t="str">
        <f>IFERROR(__xludf.DUMMYFUNCTION("""COMPUTED_VALUE"""),"JavaScript")</f>
        <v>JavaScript</v>
      </c>
      <c r="M1527" s="9" t="s">
        <v>30</v>
      </c>
    </row>
    <row r="1528" ht="15.75" customHeight="1">
      <c r="A1528" s="7"/>
      <c r="B1528" s="7" t="str">
        <f>IFERROR(__xludf.DUMMYFUNCTION("""COMPUTED_VALUE"""),"Bash/Shell/PowerShell;C;HTML/CSS;Java;JavaScript;Python;SQL")</f>
        <v>Bash/Shell/PowerShell;C;HTML/CSS;Java;JavaScript;Python;SQL</v>
      </c>
      <c r="C1528" s="9" t="str">
        <f>IFERROR(__xludf.DUMMYFUNCTION("""COMPUTED_VALUE"""),"C")</f>
        <v>C</v>
      </c>
      <c r="D1528" s="9" t="str">
        <f>IFERROR(__xludf.DUMMYFUNCTION("""COMPUTED_VALUE"""),"Go")</f>
        <v>Go</v>
      </c>
      <c r="E1528" s="9" t="str">
        <f>IFERROR(__xludf.DUMMYFUNCTION("""COMPUTED_VALUE"""),"PHP")</f>
        <v>PHP</v>
      </c>
      <c r="F1528" s="9" t="str">
        <f>IFERROR(__xludf.DUMMYFUNCTION("""COMPUTED_VALUE"""),"Other(s):")</f>
        <v>Other(s):</v>
      </c>
      <c r="G1528" s="9" t="str">
        <f>IFERROR(__xludf.DUMMYFUNCTION("""COMPUTED_VALUE"""),"SQL")</f>
        <v>SQL</v>
      </c>
      <c r="H1528" s="9" t="str">
        <f>IFERROR(__xludf.DUMMYFUNCTION("""COMPUTED_VALUE"""),"JavaScript")</f>
        <v>JavaScript</v>
      </c>
      <c r="I1528" s="9" t="str">
        <f>IFERROR(__xludf.DUMMYFUNCTION("""COMPUTED_VALUE"""),"SQL")</f>
        <v>SQL</v>
      </c>
      <c r="J1528" s="9" t="str">
        <f>IFERROR(__xludf.DUMMYFUNCTION("""COMPUTED_VALUE"""),"Kotlin")</f>
        <v>Kotlin</v>
      </c>
      <c r="K1528" s="9" t="str">
        <f>IFERROR(__xludf.DUMMYFUNCTION("""COMPUTED_VALUE"""),"SQL")</f>
        <v>SQL</v>
      </c>
      <c r="L1528" s="9" t="str">
        <f>IFERROR(__xludf.DUMMYFUNCTION("""COMPUTED_VALUE"""),"Python")</f>
        <v>Python</v>
      </c>
      <c r="M1528" s="9" t="s">
        <v>25</v>
      </c>
    </row>
    <row r="1529" ht="15.75" customHeight="1">
      <c r="A1529" s="7"/>
      <c r="B1529" s="7" t="str">
        <f>IFERROR(__xludf.DUMMYFUNCTION("""COMPUTED_VALUE"""),"HTML/CSS;JavaScript;PHP;SQL")</f>
        <v>HTML/CSS;JavaScript;PHP;SQL</v>
      </c>
      <c r="C1529" s="9" t="str">
        <f>IFERROR(__xludf.DUMMYFUNCTION("""COMPUTED_VALUE"""),"HTML/CSS")</f>
        <v>HTML/CSS</v>
      </c>
      <c r="D1529" s="9" t="str">
        <f>IFERROR(__xludf.DUMMYFUNCTION("""COMPUTED_VALUE"""),"Java")</f>
        <v>Java</v>
      </c>
      <c r="E1529" s="9" t="str">
        <f>IFERROR(__xludf.DUMMYFUNCTION("""COMPUTED_VALUE"""),"SQL")</f>
        <v>SQL</v>
      </c>
      <c r="F1529" s="9" t="str">
        <f>IFERROR(__xludf.DUMMYFUNCTION("""COMPUTED_VALUE"""),"C")</f>
        <v>C</v>
      </c>
      <c r="G1529" s="9" t="str">
        <f>IFERROR(__xludf.DUMMYFUNCTION("""COMPUTED_VALUE"""),"Dart")</f>
        <v>Dart</v>
      </c>
      <c r="H1529" s="9" t="str">
        <f>IFERROR(__xludf.DUMMYFUNCTION("""COMPUTED_VALUE"""),"Bash/Shell/PowerShell")</f>
        <v>Bash/Shell/PowerShell</v>
      </c>
      <c r="I1529" s="9" t="str">
        <f>IFERROR(__xludf.DUMMYFUNCTION("""COMPUTED_VALUE"""),"C")</f>
        <v>C</v>
      </c>
      <c r="J1529" s="9" t="str">
        <f>IFERROR(__xludf.DUMMYFUNCTION("""COMPUTED_VALUE"""),"Objective-C")</f>
        <v>Objective-C</v>
      </c>
      <c r="K1529" s="9" t="str">
        <f>IFERROR(__xludf.DUMMYFUNCTION("""COMPUTED_VALUE"""),"TypeScript")</f>
        <v>TypeScript</v>
      </c>
      <c r="L1529" s="9" t="str">
        <f>IFERROR(__xludf.DUMMYFUNCTION("""COMPUTED_VALUE"""),"SQL")</f>
        <v>SQL</v>
      </c>
      <c r="M1529" s="9" t="s">
        <v>24</v>
      </c>
    </row>
    <row r="1530" ht="15.75" customHeight="1">
      <c r="A1530" s="7"/>
      <c r="B1530" s="7" t="str">
        <f>IFERROR(__xludf.DUMMYFUNCTION("""COMPUTED_VALUE"""),"Assembly;Bash/Shell/PowerShell;C;C++;Python")</f>
        <v>Assembly;Bash/Shell/PowerShell;C;C++;Python</v>
      </c>
      <c r="C1530" s="9" t="str">
        <f>IFERROR(__xludf.DUMMYFUNCTION("""COMPUTED_VALUE"""),"Java")</f>
        <v>Java</v>
      </c>
      <c r="D1530" s="9" t="str">
        <f>IFERROR(__xludf.DUMMYFUNCTION("""COMPUTED_VALUE"""),"Python")</f>
        <v>Python</v>
      </c>
      <c r="E1530" s="9" t="str">
        <f>IFERROR(__xludf.DUMMYFUNCTION("""COMPUTED_VALUE"""),"C")</f>
        <v>C</v>
      </c>
      <c r="F1530" s="9" t="str">
        <f>IFERROR(__xludf.DUMMYFUNCTION("""COMPUTED_VALUE"""),"C++")</f>
        <v>C++</v>
      </c>
      <c r="G1530" s="9" t="str">
        <f>IFERROR(__xludf.DUMMYFUNCTION("""COMPUTED_VALUE"""),"HTML/CSS")</f>
        <v>HTML/CSS</v>
      </c>
      <c r="H1530" s="9" t="str">
        <f>IFERROR(__xludf.DUMMYFUNCTION("""COMPUTED_VALUE"""),"Elixir")</f>
        <v>Elixir</v>
      </c>
      <c r="I1530" s="9" t="str">
        <f>IFERROR(__xludf.DUMMYFUNCTION("""COMPUTED_VALUE"""),"HTML/CSS")</f>
        <v>HTML/CSS</v>
      </c>
      <c r="J1530" s="9" t="str">
        <f>IFERROR(__xludf.DUMMYFUNCTION("""COMPUTED_VALUE"""),"Python")</f>
        <v>Python</v>
      </c>
      <c r="K1530" s="9" t="str">
        <f>IFERROR(__xludf.DUMMYFUNCTION("""COMPUTED_VALUE"""),"HTML/CSS")</f>
        <v>HTML/CSS</v>
      </c>
      <c r="L1530" s="9" t="str">
        <f>IFERROR(__xludf.DUMMYFUNCTION("""COMPUTED_VALUE"""),"Bash/Shell/PowerShell")</f>
        <v>Bash/Shell/PowerShell</v>
      </c>
      <c r="M1530" s="9" t="s">
        <v>20</v>
      </c>
    </row>
    <row r="1531" ht="15.75" customHeight="1">
      <c r="A1531" s="7"/>
      <c r="B1531" s="7" t="str">
        <f>IFERROR(__xludf.DUMMYFUNCTION("""COMPUTED_VALUE"""),"Bash/Shell/PowerShell;C#;HTML/CSS;JavaScript;SQL;TypeScript")</f>
        <v>Bash/Shell/PowerShell;C#;HTML/CSS;JavaScript;SQL;TypeScript</v>
      </c>
      <c r="C1531" s="9" t="str">
        <f>IFERROR(__xludf.DUMMYFUNCTION("""COMPUTED_VALUE"""),"PHP")</f>
        <v>PHP</v>
      </c>
      <c r="D1531" s="9" t="str">
        <f>IFERROR(__xludf.DUMMYFUNCTION("""COMPUTED_VALUE"""),"Other(s):")</f>
        <v>Other(s):</v>
      </c>
      <c r="E1531" s="9" t="str">
        <f>IFERROR(__xludf.DUMMYFUNCTION("""COMPUTED_VALUE"""),"C++")</f>
        <v>C++</v>
      </c>
      <c r="F1531" s="9" t="str">
        <f>IFERROR(__xludf.DUMMYFUNCTION("""COMPUTED_VALUE"""),"HTML/CSS")</f>
        <v>HTML/CSS</v>
      </c>
      <c r="G1531" s="9" t="str">
        <f>IFERROR(__xludf.DUMMYFUNCTION("""COMPUTED_VALUE"""),"Java")</f>
        <v>Java</v>
      </c>
      <c r="H1531" s="9" t="str">
        <f>IFERROR(__xludf.DUMMYFUNCTION("""COMPUTED_VALUE"""),"Erlang")</f>
        <v>Erlang</v>
      </c>
      <c r="I1531" s="9" t="str">
        <f>IFERROR(__xludf.DUMMYFUNCTION("""COMPUTED_VALUE"""),"Java")</f>
        <v>Java</v>
      </c>
      <c r="J1531" s="9" t="str">
        <f>IFERROR(__xludf.DUMMYFUNCTION("""COMPUTED_VALUE"""),"Swift")</f>
        <v>Swift</v>
      </c>
      <c r="K1531" s="9" t="str">
        <f>IFERROR(__xludf.DUMMYFUNCTION("""COMPUTED_VALUE"""),"JavaScript")</f>
        <v>JavaScript</v>
      </c>
      <c r="L1531" s="9" t="str">
        <f>IFERROR(__xludf.DUMMYFUNCTION("""COMPUTED_VALUE"""),"Python")</f>
        <v>Python</v>
      </c>
      <c r="M1531" s="9" t="s">
        <v>37</v>
      </c>
    </row>
    <row r="1532" ht="15.75" customHeight="1">
      <c r="A1532" s="7"/>
      <c r="B1532" s="7" t="str">
        <f>IFERROR(__xludf.DUMMYFUNCTION("""COMPUTED_VALUE"""),"C#;HTML/CSS;Java;JavaScript;Objective-C;Python;SQL;Other(s):")</f>
        <v>C#;HTML/CSS;Java;JavaScript;Objective-C;Python;SQL;Other(s):</v>
      </c>
      <c r="C1532" s="9" t="str">
        <f>IFERROR(__xludf.DUMMYFUNCTION("""COMPUTED_VALUE"""),"Python")</f>
        <v>Python</v>
      </c>
      <c r="D1532" s="9" t="str">
        <f>IFERROR(__xludf.DUMMYFUNCTION("""COMPUTED_VALUE"""),"Bash/Shell/PowerShell")</f>
        <v>Bash/Shell/PowerShell</v>
      </c>
      <c r="E1532" s="9" t="str">
        <f>IFERROR(__xludf.DUMMYFUNCTION("""COMPUTED_VALUE"""),"Go")</f>
        <v>Go</v>
      </c>
      <c r="F1532" s="9" t="str">
        <f>IFERROR(__xludf.DUMMYFUNCTION("""COMPUTED_VALUE"""),"Java")</f>
        <v>Java</v>
      </c>
      <c r="G1532" s="9" t="str">
        <f>IFERROR(__xludf.DUMMYFUNCTION("""COMPUTED_VALUE"""),"JavaScript")</f>
        <v>JavaScript</v>
      </c>
      <c r="H1532" s="9" t="str">
        <f>IFERROR(__xludf.DUMMYFUNCTION("""COMPUTED_VALUE"""),"HTML/CSS")</f>
        <v>HTML/CSS</v>
      </c>
      <c r="I1532" s="9" t="str">
        <f>IFERROR(__xludf.DUMMYFUNCTION("""COMPUTED_VALUE"""),"JavaScript")</f>
        <v>JavaScript</v>
      </c>
      <c r="J1532" s="9" t="str">
        <f>IFERROR(__xludf.DUMMYFUNCTION("""COMPUTED_VALUE"""),"Bash/Shell/PowerShell")</f>
        <v>Bash/Shell/PowerShell</v>
      </c>
      <c r="K1532" s="9" t="str">
        <f>IFERROR(__xludf.DUMMYFUNCTION("""COMPUTED_VALUE"""),"Python")</f>
        <v>Python</v>
      </c>
      <c r="L1532" s="9" t="str">
        <f>IFERROR(__xludf.DUMMYFUNCTION("""COMPUTED_VALUE"""),"R")</f>
        <v>R</v>
      </c>
      <c r="M1532" s="9" t="s">
        <v>22</v>
      </c>
    </row>
    <row r="1533" ht="15.75" customHeight="1">
      <c r="A1533" s="7"/>
      <c r="B1533" s="7" t="str">
        <f>IFERROR(__xludf.DUMMYFUNCTION("""COMPUTED_VALUE"""),"Dart;HTML/CSS;JavaScript;Python;TypeScript")</f>
        <v>Dart;HTML/CSS;JavaScript;Python;TypeScript</v>
      </c>
      <c r="C1533" s="9" t="str">
        <f>IFERROR(__xludf.DUMMYFUNCTION("""COMPUTED_VALUE"""),"R")</f>
        <v>R</v>
      </c>
      <c r="D1533" s="9" t="str">
        <f>IFERROR(__xludf.DUMMYFUNCTION("""COMPUTED_VALUE"""),"HTML/CSS")</f>
        <v>HTML/CSS</v>
      </c>
      <c r="E1533" s="9" t="str">
        <f>IFERROR(__xludf.DUMMYFUNCTION("""COMPUTED_VALUE"""),"HTML/CSS")</f>
        <v>HTML/CSS</v>
      </c>
      <c r="F1533" s="9" t="str">
        <f>IFERROR(__xludf.DUMMYFUNCTION("""COMPUTED_VALUE"""),"JavaScript")</f>
        <v>JavaScript</v>
      </c>
      <c r="G1533" s="9" t="str">
        <f>IFERROR(__xludf.DUMMYFUNCTION("""COMPUTED_VALUE"""),"PHP")</f>
        <v>PHP</v>
      </c>
      <c r="H1533" s="9" t="str">
        <f>IFERROR(__xludf.DUMMYFUNCTION("""COMPUTED_VALUE"""),"JavaScript")</f>
        <v>JavaScript</v>
      </c>
      <c r="I1533" s="9" t="str">
        <f>IFERROR(__xludf.DUMMYFUNCTION("""COMPUTED_VALUE"""),"Python")</f>
        <v>Python</v>
      </c>
      <c r="J1533" s="9" t="str">
        <f>IFERROR(__xludf.DUMMYFUNCTION("""COMPUTED_VALUE"""),"HTML/CSS")</f>
        <v>HTML/CSS</v>
      </c>
      <c r="K1533" s="9" t="str">
        <f>IFERROR(__xludf.DUMMYFUNCTION("""COMPUTED_VALUE"""),"Bash/Shell/PowerShell")</f>
        <v>Bash/Shell/PowerShell</v>
      </c>
      <c r="L1533" s="9" t="str">
        <f>IFERROR(__xludf.DUMMYFUNCTION("""COMPUTED_VALUE"""),"SQL")</f>
        <v>SQL</v>
      </c>
      <c r="M1533" s="9" t="s">
        <v>29</v>
      </c>
    </row>
    <row r="1534" ht="15.75" customHeight="1">
      <c r="A1534" s="7"/>
      <c r="B1534" s="7" t="str">
        <f>IFERROR(__xludf.DUMMYFUNCTION("""COMPUTED_VALUE"""),"Bash/Shell/PowerShell;C;C++;Java")</f>
        <v>Bash/Shell/PowerShell;C;C++;Java</v>
      </c>
      <c r="C1534" s="9" t="str">
        <f>IFERROR(__xludf.DUMMYFUNCTION("""COMPUTED_VALUE"""),"SQL")</f>
        <v>SQL</v>
      </c>
      <c r="D1534" s="9" t="str">
        <f>IFERROR(__xludf.DUMMYFUNCTION("""COMPUTED_VALUE"""),"Java")</f>
        <v>Java</v>
      </c>
      <c r="E1534" s="9" t="str">
        <f>IFERROR(__xludf.DUMMYFUNCTION("""COMPUTED_VALUE"""),"JavaScript")</f>
        <v>JavaScript</v>
      </c>
      <c r="F1534" s="9" t="str">
        <f>IFERROR(__xludf.DUMMYFUNCTION("""COMPUTED_VALUE"""),"PHP")</f>
        <v>PHP</v>
      </c>
      <c r="G1534" s="9" t="str">
        <f>IFERROR(__xludf.DUMMYFUNCTION("""COMPUTED_VALUE"""),"Python")</f>
        <v>Python</v>
      </c>
      <c r="H1534" s="9" t="str">
        <f>IFERROR(__xludf.DUMMYFUNCTION("""COMPUTED_VALUE"""),"Python")</f>
        <v>Python</v>
      </c>
      <c r="I1534" s="9" t="str">
        <f>IFERROR(__xludf.DUMMYFUNCTION("""COMPUTED_VALUE"""),"R")</f>
        <v>R</v>
      </c>
      <c r="J1534" s="9" t="str">
        <f>IFERROR(__xludf.DUMMYFUNCTION("""COMPUTED_VALUE"""),"JavaScript")</f>
        <v>JavaScript</v>
      </c>
      <c r="K1534" s="9" t="str">
        <f>IFERROR(__xludf.DUMMYFUNCTION("""COMPUTED_VALUE"""),"HTML/CSS")</f>
        <v>HTML/CSS</v>
      </c>
      <c r="L1534" s="9" t="str">
        <f>IFERROR(__xludf.DUMMYFUNCTION("""COMPUTED_VALUE"""),"VBA")</f>
        <v>VBA</v>
      </c>
      <c r="M1534" s="9" t="s">
        <v>27</v>
      </c>
    </row>
    <row r="1535" ht="15.75" customHeight="1">
      <c r="A1535" s="7"/>
      <c r="B1535" s="7" t="str">
        <f>IFERROR(__xludf.DUMMYFUNCTION("""COMPUTED_VALUE"""),"Java;SQL")</f>
        <v>Java;SQL</v>
      </c>
      <c r="C1535" s="9" t="str">
        <f>IFERROR(__xludf.DUMMYFUNCTION("""COMPUTED_VALUE"""),"HTML/CSS")</f>
        <v>HTML/CSS</v>
      </c>
      <c r="D1535" s="9" t="str">
        <f>IFERROR(__xludf.DUMMYFUNCTION("""COMPUTED_VALUE"""),"JavaScript")</f>
        <v>JavaScript</v>
      </c>
      <c r="E1535" s="9" t="str">
        <f>IFERROR(__xludf.DUMMYFUNCTION("""COMPUTED_VALUE"""),"SQL")</f>
        <v>SQL</v>
      </c>
      <c r="F1535" s="9" t="str">
        <f>IFERROR(__xludf.DUMMYFUNCTION("""COMPUTED_VALUE"""),"Python")</f>
        <v>Python</v>
      </c>
      <c r="G1535" s="9" t="str">
        <f>IFERROR(__xludf.DUMMYFUNCTION("""COMPUTED_VALUE"""),"SQL")</f>
        <v>SQL</v>
      </c>
      <c r="H1535" s="9" t="str">
        <f>IFERROR(__xludf.DUMMYFUNCTION("""COMPUTED_VALUE"""),"R")</f>
        <v>R</v>
      </c>
      <c r="I1535" s="9" t="str">
        <f>IFERROR(__xludf.DUMMYFUNCTION("""COMPUTED_VALUE"""),"SQL")</f>
        <v>SQL</v>
      </c>
      <c r="J1535" s="9" t="str">
        <f>IFERROR(__xludf.DUMMYFUNCTION("""COMPUTED_VALUE"""),"Python")</f>
        <v>Python</v>
      </c>
      <c r="K1535" s="9" t="str">
        <f>IFERROR(__xludf.DUMMYFUNCTION("""COMPUTED_VALUE"""),"Java")</f>
        <v>Java</v>
      </c>
      <c r="L1535" s="9" t="str">
        <f>IFERROR(__xludf.DUMMYFUNCTION("""COMPUTED_VALUE"""),"Bash/Shell/PowerShell")</f>
        <v>Bash/Shell/PowerShell</v>
      </c>
      <c r="M1535" s="9" t="s">
        <v>24</v>
      </c>
    </row>
    <row r="1536" ht="15.75" customHeight="1">
      <c r="A1536" s="7"/>
      <c r="B1536" s="7" t="str">
        <f>IFERROR(__xludf.DUMMYFUNCTION("""COMPUTED_VALUE"""),"HTML/CSS;JavaScript;PHP;Python")</f>
        <v>HTML/CSS;JavaScript;PHP;Python</v>
      </c>
      <c r="C1536" s="9" t="str">
        <f>IFERROR(__xludf.DUMMYFUNCTION("""COMPUTED_VALUE"""),"JavaScript")</f>
        <v>JavaScript</v>
      </c>
      <c r="D1536" s="9" t="str">
        <f>IFERROR(__xludf.DUMMYFUNCTION("""COMPUTED_VALUE"""),"Ruby")</f>
        <v>Ruby</v>
      </c>
      <c r="E1536" s="9" t="str">
        <f>IFERROR(__xludf.DUMMYFUNCTION("""COMPUTED_VALUE"""),"TypeScript")</f>
        <v>TypeScript</v>
      </c>
      <c r="F1536" s="9" t="str">
        <f>IFERROR(__xludf.DUMMYFUNCTION("""COMPUTED_VALUE"""),"SQL")</f>
        <v>SQL</v>
      </c>
      <c r="G1536" s="9" t="str">
        <f>IFERROR(__xludf.DUMMYFUNCTION("""COMPUTED_VALUE"""),"VBA")</f>
        <v>VBA</v>
      </c>
      <c r="H1536" s="9" t="str">
        <f>IFERROR(__xludf.DUMMYFUNCTION("""COMPUTED_VALUE"""),"SQL")</f>
        <v>SQL</v>
      </c>
      <c r="I1536" s="9" t="str">
        <f>IFERROR(__xludf.DUMMYFUNCTION("""COMPUTED_VALUE"""),"Bash/Shell/PowerShell")</f>
        <v>Bash/Shell/PowerShell</v>
      </c>
      <c r="J1536" s="9" t="str">
        <f>IFERROR(__xludf.DUMMYFUNCTION("""COMPUTED_VALUE"""),"SQL")</f>
        <v>SQL</v>
      </c>
      <c r="K1536" s="9" t="str">
        <f>IFERROR(__xludf.DUMMYFUNCTION("""COMPUTED_VALUE"""),"JavaScript")</f>
        <v>JavaScript</v>
      </c>
      <c r="L1536" s="9" t="str">
        <f>IFERROR(__xludf.DUMMYFUNCTION("""COMPUTED_VALUE"""),"C")</f>
        <v>C</v>
      </c>
      <c r="M1536" s="9" t="s">
        <v>21</v>
      </c>
    </row>
    <row r="1537" ht="15.75" customHeight="1">
      <c r="A1537" s="7"/>
      <c r="B1537" s="7" t="str">
        <f>IFERROR(__xludf.DUMMYFUNCTION("""COMPUTED_VALUE"""),"Bash/Shell/PowerShell;C#;HTML/CSS;Java;JavaScript;SQL")</f>
        <v>Bash/Shell/PowerShell;C#;HTML/CSS;Java;JavaScript;SQL</v>
      </c>
      <c r="C1537" s="9" t="str">
        <f>IFERROR(__xludf.DUMMYFUNCTION("""COMPUTED_VALUE"""),"Ruby")</f>
        <v>Ruby</v>
      </c>
      <c r="D1537" s="9" t="str">
        <f>IFERROR(__xludf.DUMMYFUNCTION("""COMPUTED_VALUE"""),"C#")</f>
        <v>C#</v>
      </c>
      <c r="E1537" s="9" t="str">
        <f>IFERROR(__xludf.DUMMYFUNCTION("""COMPUTED_VALUE"""),"Java")</f>
        <v>Java</v>
      </c>
      <c r="F1537" s="9" t="str">
        <f>IFERROR(__xludf.DUMMYFUNCTION("""COMPUTED_VALUE"""),"Bash/Shell/PowerShell")</f>
        <v>Bash/Shell/PowerShell</v>
      </c>
      <c r="G1537" s="9" t="str">
        <f>IFERROR(__xludf.DUMMYFUNCTION("""COMPUTED_VALUE"""),"C")</f>
        <v>C</v>
      </c>
      <c r="H1537" s="9" t="str">
        <f>IFERROR(__xludf.DUMMYFUNCTION("""COMPUTED_VALUE"""),"HTML/CSS")</f>
        <v>HTML/CSS</v>
      </c>
      <c r="I1537" s="9" t="str">
        <f>IFERROR(__xludf.DUMMYFUNCTION("""COMPUTED_VALUE"""),"C")</f>
        <v>C</v>
      </c>
      <c r="J1537" s="9" t="str">
        <f>IFERROR(__xludf.DUMMYFUNCTION("""COMPUTED_VALUE"""),"C#")</f>
        <v>C#</v>
      </c>
      <c r="K1537" s="9" t="str">
        <f>IFERROR(__xludf.DUMMYFUNCTION("""COMPUTED_VALUE"""),"PHP")</f>
        <v>PHP</v>
      </c>
      <c r="L1537" s="9" t="str">
        <f>IFERROR(__xludf.DUMMYFUNCTION("""COMPUTED_VALUE"""),"HTML/CSS")</f>
        <v>HTML/CSS</v>
      </c>
      <c r="M1537" s="9" t="s">
        <v>31</v>
      </c>
    </row>
    <row r="1538" ht="15.75" customHeight="1">
      <c r="A1538" s="7"/>
      <c r="B1538" s="7" t="str">
        <f>IFERROR(__xludf.DUMMYFUNCTION("""COMPUTED_VALUE"""),"Assembly;Bash/Shell/PowerShell;C;C++;Go;HTML/CSS;Java;JavaScript;PHP;Python;Rust;SQL")</f>
        <v>Assembly;Bash/Shell/PowerShell;C;C++;Go;HTML/CSS;Java;JavaScript;PHP;Python;Rust;SQL</v>
      </c>
      <c r="C1538" s="9" t="str">
        <f>IFERROR(__xludf.DUMMYFUNCTION("""COMPUTED_VALUE"""),"Java")</f>
        <v>Java</v>
      </c>
      <c r="D1538" s="9" t="str">
        <f>IFERROR(__xludf.DUMMYFUNCTION("""COMPUTED_VALUE"""),"HTML/CSS")</f>
        <v>HTML/CSS</v>
      </c>
      <c r="E1538" s="9" t="str">
        <f>IFERROR(__xludf.DUMMYFUNCTION("""COMPUTED_VALUE"""),"Python")</f>
        <v>Python</v>
      </c>
      <c r="F1538" s="9" t="str">
        <f>IFERROR(__xludf.DUMMYFUNCTION("""COMPUTED_VALUE"""),"HTML/CSS")</f>
        <v>HTML/CSS</v>
      </c>
      <c r="G1538" s="9" t="str">
        <f>IFERROR(__xludf.DUMMYFUNCTION("""COMPUTED_VALUE"""),"C++")</f>
        <v>C++</v>
      </c>
      <c r="H1538" s="9" t="str">
        <f>IFERROR(__xludf.DUMMYFUNCTION("""COMPUTED_VALUE"""),"Java")</f>
        <v>Java</v>
      </c>
      <c r="I1538" s="9" t="str">
        <f>IFERROR(__xludf.DUMMYFUNCTION("""COMPUTED_VALUE"""),"C++")</f>
        <v>C++</v>
      </c>
      <c r="J1538" s="9" t="str">
        <f>IFERROR(__xludf.DUMMYFUNCTION("""COMPUTED_VALUE"""),"SQL")</f>
        <v>SQL</v>
      </c>
      <c r="K1538" s="9" t="str">
        <f>IFERROR(__xludf.DUMMYFUNCTION("""COMPUTED_VALUE"""),"Python")</f>
        <v>Python</v>
      </c>
      <c r="L1538" s="9" t="str">
        <f>IFERROR(__xludf.DUMMYFUNCTION("""COMPUTED_VALUE"""),"JavaScript")</f>
        <v>JavaScript</v>
      </c>
      <c r="M1538" s="9" t="s">
        <v>20</v>
      </c>
    </row>
    <row r="1539" ht="15.75" customHeight="1">
      <c r="A1539" s="7"/>
      <c r="B1539" s="7" t="str">
        <f>IFERROR(__xludf.DUMMYFUNCTION("""COMPUTED_VALUE"""),"HTML/CSS;JavaScript;PHP;Ruby")</f>
        <v>HTML/CSS;JavaScript;PHP;Ruby</v>
      </c>
      <c r="C1539" s="9" t="str">
        <f>IFERROR(__xludf.DUMMYFUNCTION("""COMPUTED_VALUE"""),"C#")</f>
        <v>C#</v>
      </c>
      <c r="D1539" s="9" t="str">
        <f>IFERROR(__xludf.DUMMYFUNCTION("""COMPUTED_VALUE"""),"JavaScript")</f>
        <v>JavaScript</v>
      </c>
      <c r="E1539" s="9" t="str">
        <f>IFERROR(__xludf.DUMMYFUNCTION("""COMPUTED_VALUE"""),"HTML/CSS")</f>
        <v>HTML/CSS</v>
      </c>
      <c r="F1539" s="9" t="str">
        <f>IFERROR(__xludf.DUMMYFUNCTION("""COMPUTED_VALUE"""),"Java")</f>
        <v>Java</v>
      </c>
      <c r="G1539" s="9" t="str">
        <f>IFERROR(__xludf.DUMMYFUNCTION("""COMPUTED_VALUE"""),"HTML/CSS")</f>
        <v>HTML/CSS</v>
      </c>
      <c r="H1539" s="9" t="str">
        <f>IFERROR(__xludf.DUMMYFUNCTION("""COMPUTED_VALUE"""),"Python")</f>
        <v>Python</v>
      </c>
      <c r="I1539" s="9" t="str">
        <f>IFERROR(__xludf.DUMMYFUNCTION("""COMPUTED_VALUE"""),"HTML/CSS")</f>
        <v>HTML/CSS</v>
      </c>
      <c r="J1539" s="9" t="str">
        <f>IFERROR(__xludf.DUMMYFUNCTION("""COMPUTED_VALUE"""),"Bash/Shell/PowerShell")</f>
        <v>Bash/Shell/PowerShell</v>
      </c>
      <c r="K1539" s="9" t="str">
        <f>IFERROR(__xludf.DUMMYFUNCTION("""COMPUTED_VALUE"""),"Ruby")</f>
        <v>Ruby</v>
      </c>
      <c r="L1539" s="9" t="str">
        <f>IFERROR(__xludf.DUMMYFUNCTION("""COMPUTED_VALUE"""),"Objective-C")</f>
        <v>Objective-C</v>
      </c>
      <c r="M1539" s="9" t="s">
        <v>26</v>
      </c>
    </row>
    <row r="1540" ht="15.75" customHeight="1">
      <c r="A1540" s="7"/>
      <c r="B1540" s="7" t="str">
        <f>IFERROR(__xludf.DUMMYFUNCTION("""COMPUTED_VALUE"""),"Bash/Shell/PowerShell;C++;Java;Python;Scala;SQL;TypeScript")</f>
        <v>Bash/Shell/PowerShell;C++;Java;Python;Scala;SQL;TypeScript</v>
      </c>
      <c r="C1540" s="9" t="str">
        <f>IFERROR(__xludf.DUMMYFUNCTION("""COMPUTED_VALUE"""),"HTML/CSS")</f>
        <v>HTML/CSS</v>
      </c>
      <c r="D1540" s="9" t="str">
        <f>IFERROR(__xludf.DUMMYFUNCTION("""COMPUTED_VALUE"""),"TypeScript")</f>
        <v>TypeScript</v>
      </c>
      <c r="E1540" s="9" t="str">
        <f>IFERROR(__xludf.DUMMYFUNCTION("""COMPUTED_VALUE"""),"JavaScript")</f>
        <v>JavaScript</v>
      </c>
      <c r="F1540" s="9" t="str">
        <f>IFERROR(__xludf.DUMMYFUNCTION("""COMPUTED_VALUE"""),"JavaScript")</f>
        <v>JavaScript</v>
      </c>
      <c r="G1540" s="9" t="str">
        <f>IFERROR(__xludf.DUMMYFUNCTION("""COMPUTED_VALUE"""),"Java")</f>
        <v>Java</v>
      </c>
      <c r="H1540" s="9" t="str">
        <f>IFERROR(__xludf.DUMMYFUNCTION("""COMPUTED_VALUE"""),"R")</f>
        <v>R</v>
      </c>
      <c r="I1540" s="9" t="str">
        <f>IFERROR(__xludf.DUMMYFUNCTION("""COMPUTED_VALUE"""),"JavaScript")</f>
        <v>JavaScript</v>
      </c>
      <c r="J1540" s="9" t="str">
        <f>IFERROR(__xludf.DUMMYFUNCTION("""COMPUTED_VALUE"""),"HTML/CSS")</f>
        <v>HTML/CSS</v>
      </c>
      <c r="K1540" s="9" t="str">
        <f>IFERROR(__xludf.DUMMYFUNCTION("""COMPUTED_VALUE"""),"SQL")</f>
        <v>SQL</v>
      </c>
      <c r="L1540" s="9" t="str">
        <f>IFERROR(__xludf.DUMMYFUNCTION("""COMPUTED_VALUE"""),"TypeScript")</f>
        <v>TypeScript</v>
      </c>
      <c r="M1540" s="9" t="s">
        <v>24</v>
      </c>
    </row>
    <row r="1541" ht="15.75" customHeight="1">
      <c r="A1541" s="7"/>
      <c r="B1541" s="7" t="str">
        <f>IFERROR(__xludf.DUMMYFUNCTION("""COMPUTED_VALUE"""),"C++;HTML/CSS;JavaScript;SQL")</f>
        <v>C++;HTML/CSS;JavaScript;SQL</v>
      </c>
      <c r="C1541" s="9" t="str">
        <f>IFERROR(__xludf.DUMMYFUNCTION("""COMPUTED_VALUE"""),"JavaScript")</f>
        <v>JavaScript</v>
      </c>
      <c r="D1541" s="9" t="str">
        <f>IFERROR(__xludf.DUMMYFUNCTION("""COMPUTED_VALUE"""),"C#")</f>
        <v>C#</v>
      </c>
      <c r="E1541" s="9" t="str">
        <f>IFERROR(__xludf.DUMMYFUNCTION("""COMPUTED_VALUE"""),"Ruby")</f>
        <v>Ruby</v>
      </c>
      <c r="F1541" s="9" t="str">
        <f>IFERROR(__xludf.DUMMYFUNCTION("""COMPUTED_VALUE"""),"Kotlin")</f>
        <v>Kotlin</v>
      </c>
      <c r="G1541" s="9" t="str">
        <f>IFERROR(__xludf.DUMMYFUNCTION("""COMPUTED_VALUE"""),"JavaScript")</f>
        <v>JavaScript</v>
      </c>
      <c r="H1541" s="9" t="str">
        <f>IFERROR(__xludf.DUMMYFUNCTION("""COMPUTED_VALUE"""),"SQL")</f>
        <v>SQL</v>
      </c>
      <c r="I1541" s="9" t="str">
        <f>IFERROR(__xludf.DUMMYFUNCTION("""COMPUTED_VALUE"""),"PHP")</f>
        <v>PHP</v>
      </c>
      <c r="J1541" s="9" t="str">
        <f>IFERROR(__xludf.DUMMYFUNCTION("""COMPUTED_VALUE"""),"Java")</f>
        <v>Java</v>
      </c>
      <c r="K1541" s="9" t="str">
        <f>IFERROR(__xludf.DUMMYFUNCTION("""COMPUTED_VALUE"""),"Bash/Shell/PowerShell")</f>
        <v>Bash/Shell/PowerShell</v>
      </c>
      <c r="L1541" s="9" t="str">
        <f>IFERROR(__xludf.DUMMYFUNCTION("""COMPUTED_VALUE"""),"C")</f>
        <v>C</v>
      </c>
      <c r="M1541" s="9" t="s">
        <v>21</v>
      </c>
    </row>
    <row r="1542" ht="15.75" customHeight="1">
      <c r="A1542" s="7"/>
      <c r="B1542" s="7" t="str">
        <f>IFERROR(__xludf.DUMMYFUNCTION("""COMPUTED_VALUE"""),"C#;HTML/CSS;JavaScript;SQL;VBA")</f>
        <v>C#;HTML/CSS;JavaScript;SQL;VBA</v>
      </c>
      <c r="C1542" s="9" t="str">
        <f>IFERROR(__xludf.DUMMYFUNCTION("""COMPUTED_VALUE"""),"SQL")</f>
        <v>SQL</v>
      </c>
      <c r="D1542" s="9" t="str">
        <f>IFERROR(__xludf.DUMMYFUNCTION("""COMPUTED_VALUE"""),"HTML/CSS")</f>
        <v>HTML/CSS</v>
      </c>
      <c r="E1542" s="9" t="str">
        <f>IFERROR(__xludf.DUMMYFUNCTION("""COMPUTED_VALUE"""),"Bash/Shell/PowerShell")</f>
        <v>Bash/Shell/PowerShell</v>
      </c>
      <c r="F1542" s="9" t="str">
        <f>IFERROR(__xludf.DUMMYFUNCTION("""COMPUTED_VALUE"""),"TypeScript")</f>
        <v>TypeScript</v>
      </c>
      <c r="G1542" s="9" t="str">
        <f>IFERROR(__xludf.DUMMYFUNCTION("""COMPUTED_VALUE"""),"PHP")</f>
        <v>PHP</v>
      </c>
      <c r="H1542" s="9" t="str">
        <f>IFERROR(__xludf.DUMMYFUNCTION("""COMPUTED_VALUE"""),"Bash/Shell/PowerShell")</f>
        <v>Bash/Shell/PowerShell</v>
      </c>
      <c r="I1542" s="9" t="str">
        <f>IFERROR(__xludf.DUMMYFUNCTION("""COMPUTED_VALUE"""),"R")</f>
        <v>R</v>
      </c>
      <c r="J1542" s="9" t="str">
        <f>IFERROR(__xludf.DUMMYFUNCTION("""COMPUTED_VALUE"""),"JavaScript")</f>
        <v>JavaScript</v>
      </c>
      <c r="K1542" s="9" t="str">
        <f>IFERROR(__xludf.DUMMYFUNCTION("""COMPUTED_VALUE"""),"HTML/CSS")</f>
        <v>HTML/CSS</v>
      </c>
      <c r="L1542" s="9" t="str">
        <f>IFERROR(__xludf.DUMMYFUNCTION("""COMPUTED_VALUE"""),"C#")</f>
        <v>C#</v>
      </c>
      <c r="M1542" s="9" t="s">
        <v>27</v>
      </c>
    </row>
    <row r="1543" ht="15.75" customHeight="1">
      <c r="A1543" s="7"/>
      <c r="B1543" s="7" t="str">
        <f>IFERROR(__xludf.DUMMYFUNCTION("""COMPUTED_VALUE"""),"HTML/CSS;JavaScript;PHP;Python;SQL")</f>
        <v>HTML/CSS;JavaScript;PHP;Python;SQL</v>
      </c>
      <c r="C1543" s="9" t="str">
        <f>IFERROR(__xludf.DUMMYFUNCTION("""COMPUTED_VALUE"""),"Swift")</f>
        <v>Swift</v>
      </c>
      <c r="D1543" s="9" t="str">
        <f>IFERROR(__xludf.DUMMYFUNCTION("""COMPUTED_VALUE"""),"JavaScript")</f>
        <v>JavaScript</v>
      </c>
      <c r="E1543" s="9" t="str">
        <f>IFERROR(__xludf.DUMMYFUNCTION("""COMPUTED_VALUE"""),"C")</f>
        <v>C</v>
      </c>
      <c r="F1543" s="9" t="str">
        <f>IFERROR(__xludf.DUMMYFUNCTION("""COMPUTED_VALUE"""),"Bash/Shell/PowerShell")</f>
        <v>Bash/Shell/PowerShell</v>
      </c>
      <c r="G1543" s="9" t="str">
        <f>IFERROR(__xludf.DUMMYFUNCTION("""COMPUTED_VALUE"""),"Python")</f>
        <v>Python</v>
      </c>
      <c r="H1543" s="9" t="str">
        <f>IFERROR(__xludf.DUMMYFUNCTION("""COMPUTED_VALUE"""),"HTML/CSS")</f>
        <v>HTML/CSS</v>
      </c>
      <c r="I1543" s="9" t="str">
        <f>IFERROR(__xludf.DUMMYFUNCTION("""COMPUTED_VALUE"""),"SQL")</f>
        <v>SQL</v>
      </c>
      <c r="J1543" s="9" t="str">
        <f>IFERROR(__xludf.DUMMYFUNCTION("""COMPUTED_VALUE"""),"Scala")</f>
        <v>Scala</v>
      </c>
      <c r="K1543" s="9" t="str">
        <f>IFERROR(__xludf.DUMMYFUNCTION("""COMPUTED_VALUE"""),"Java")</f>
        <v>Java</v>
      </c>
      <c r="L1543" s="9" t="str">
        <f>IFERROR(__xludf.DUMMYFUNCTION("""COMPUTED_VALUE"""),"Java")</f>
        <v>Java</v>
      </c>
      <c r="M1543" s="9" t="s">
        <v>40</v>
      </c>
    </row>
    <row r="1544" ht="15.75" customHeight="1">
      <c r="A1544" s="7"/>
      <c r="B1544" s="7" t="str">
        <f>IFERROR(__xludf.DUMMYFUNCTION("""COMPUTED_VALUE"""),"Bash/Shell/PowerShell;HTML/CSS;Java;SQL")</f>
        <v>Bash/Shell/PowerShell;HTML/CSS;Java;SQL</v>
      </c>
      <c r="C1544" s="9" t="str">
        <f>IFERROR(__xludf.DUMMYFUNCTION("""COMPUTED_VALUE"""),"Assembly")</f>
        <v>Assembly</v>
      </c>
      <c r="D1544" s="9" t="str">
        <f>IFERROR(__xludf.DUMMYFUNCTION("""COMPUTED_VALUE"""),"SQL")</f>
        <v>SQL</v>
      </c>
      <c r="E1544" s="9" t="str">
        <f>IFERROR(__xludf.DUMMYFUNCTION("""COMPUTED_VALUE"""),"HTML/CSS")</f>
        <v>HTML/CSS</v>
      </c>
      <c r="F1544" s="9" t="str">
        <f>IFERROR(__xludf.DUMMYFUNCTION("""COMPUTED_VALUE"""),"C")</f>
        <v>C</v>
      </c>
      <c r="G1544" s="9" t="str">
        <f>IFERROR(__xludf.DUMMYFUNCTION("""COMPUTED_VALUE"""),"Swift")</f>
        <v>Swift</v>
      </c>
      <c r="H1544" s="9" t="str">
        <f>IFERROR(__xludf.DUMMYFUNCTION("""COMPUTED_VALUE"""),"JavaScript")</f>
        <v>JavaScript</v>
      </c>
      <c r="I1544" s="9" t="str">
        <f>IFERROR(__xludf.DUMMYFUNCTION("""COMPUTED_VALUE"""),"Other(s):")</f>
        <v>Other(s):</v>
      </c>
      <c r="J1544" s="9" t="str">
        <f>IFERROR(__xludf.DUMMYFUNCTION("""COMPUTED_VALUE"""),"Other(s):")</f>
        <v>Other(s):</v>
      </c>
      <c r="K1544" s="9" t="str">
        <f>IFERROR(__xludf.DUMMYFUNCTION("""COMPUTED_VALUE"""),"JavaScript")</f>
        <v>JavaScript</v>
      </c>
      <c r="L1544" s="9" t="str">
        <f>IFERROR(__xludf.DUMMYFUNCTION("""COMPUTED_VALUE"""),"Python")</f>
        <v>Python</v>
      </c>
      <c r="M1544" s="9" t="s">
        <v>38</v>
      </c>
    </row>
    <row r="1545" ht="15.75" customHeight="1">
      <c r="A1545" s="7"/>
      <c r="B1545" s="7" t="str">
        <f>IFERROR(__xludf.DUMMYFUNCTION("""COMPUTED_VALUE"""),"Bash/Shell/PowerShell;C++;Python;Scala")</f>
        <v>Bash/Shell/PowerShell;C++;Python;Scala</v>
      </c>
      <c r="C1545" s="9" t="str">
        <f>IFERROR(__xludf.DUMMYFUNCTION("""COMPUTED_VALUE"""),"C")</f>
        <v>C</v>
      </c>
      <c r="D1545" s="9" t="str">
        <f>IFERROR(__xludf.DUMMYFUNCTION("""COMPUTED_VALUE"""),"Bash/Shell/PowerShell")</f>
        <v>Bash/Shell/PowerShell</v>
      </c>
      <c r="E1545" s="9" t="str">
        <f>IFERROR(__xludf.DUMMYFUNCTION("""COMPUTED_VALUE"""),"Java")</f>
        <v>Java</v>
      </c>
      <c r="F1545" s="9" t="str">
        <f>IFERROR(__xludf.DUMMYFUNCTION("""COMPUTED_VALUE"""),"C#")</f>
        <v>C#</v>
      </c>
      <c r="G1545" s="9" t="str">
        <f>IFERROR(__xludf.DUMMYFUNCTION("""COMPUTED_VALUE"""),"Bash/Shell/PowerShell")</f>
        <v>Bash/Shell/PowerShell</v>
      </c>
      <c r="H1545" s="9" t="str">
        <f>IFERROR(__xludf.DUMMYFUNCTION("""COMPUTED_VALUE"""),"Python")</f>
        <v>Python</v>
      </c>
      <c r="I1545" s="9" t="str">
        <f>IFERROR(__xludf.DUMMYFUNCTION("""COMPUTED_VALUE"""),"Bash/Shell/PowerShell")</f>
        <v>Bash/Shell/PowerShell</v>
      </c>
      <c r="J1545" s="9" t="str">
        <f>IFERROR(__xludf.DUMMYFUNCTION("""COMPUTED_VALUE"""),"C++")</f>
        <v>C++</v>
      </c>
      <c r="K1545" s="9" t="str">
        <f>IFERROR(__xludf.DUMMYFUNCTION("""COMPUTED_VALUE"""),"PHP")</f>
        <v>PHP</v>
      </c>
      <c r="L1545" s="9" t="str">
        <f>IFERROR(__xludf.DUMMYFUNCTION("""COMPUTED_VALUE"""),"C#")</f>
        <v>C#</v>
      </c>
      <c r="M1545" s="9" t="s">
        <v>25</v>
      </c>
    </row>
    <row r="1546" ht="15.75" customHeight="1">
      <c r="A1546" s="7"/>
      <c r="B1546" s="7" t="str">
        <f>IFERROR(__xludf.DUMMYFUNCTION("""COMPUTED_VALUE"""),"C;HTML/CSS;JavaScript;PHP;R;SQL;VBA")</f>
        <v>C;HTML/CSS;JavaScript;PHP;R;SQL;VBA</v>
      </c>
      <c r="C1546" s="9" t="str">
        <f>IFERROR(__xludf.DUMMYFUNCTION("""COMPUTED_VALUE"""),"C++")</f>
        <v>C++</v>
      </c>
      <c r="D1546" s="9" t="str">
        <f>IFERROR(__xludf.DUMMYFUNCTION("""COMPUTED_VALUE"""),"C")</f>
        <v>C</v>
      </c>
      <c r="E1546" s="9" t="str">
        <f>IFERROR(__xludf.DUMMYFUNCTION("""COMPUTED_VALUE"""),"JavaScript")</f>
        <v>JavaScript</v>
      </c>
      <c r="F1546" s="9" t="str">
        <f>IFERROR(__xludf.DUMMYFUNCTION("""COMPUTED_VALUE"""),"Dart")</f>
        <v>Dart</v>
      </c>
      <c r="G1546" s="9" t="str">
        <f>IFERROR(__xludf.DUMMYFUNCTION("""COMPUTED_VALUE"""),"HTML/CSS")</f>
        <v>HTML/CSS</v>
      </c>
      <c r="H1546" s="9" t="str">
        <f>IFERROR(__xludf.DUMMYFUNCTION("""COMPUTED_VALUE"""),"SQL")</f>
        <v>SQL</v>
      </c>
      <c r="I1546" s="9" t="str">
        <f>IFERROR(__xludf.DUMMYFUNCTION("""COMPUTED_VALUE"""),"C")</f>
        <v>C</v>
      </c>
      <c r="J1546" s="9" t="str">
        <f>IFERROR(__xludf.DUMMYFUNCTION("""COMPUTED_VALUE"""),"C")</f>
        <v>C</v>
      </c>
      <c r="K1546" s="9" t="str">
        <f>IFERROR(__xludf.DUMMYFUNCTION("""COMPUTED_VALUE"""),"Python")</f>
        <v>Python</v>
      </c>
      <c r="L1546" s="9" t="str">
        <f>IFERROR(__xludf.DUMMYFUNCTION("""COMPUTED_VALUE"""),"HTML/CSS")</f>
        <v>HTML/CSS</v>
      </c>
      <c r="M1546" s="9" t="s">
        <v>23</v>
      </c>
    </row>
    <row r="1547" ht="15.75" customHeight="1">
      <c r="A1547" s="7"/>
      <c r="B1547" s="7" t="str">
        <f>IFERROR(__xludf.DUMMYFUNCTION("""COMPUTED_VALUE"""),"C#")</f>
        <v>C#</v>
      </c>
      <c r="C1547" s="9" t="str">
        <f>IFERROR(__xludf.DUMMYFUNCTION("""COMPUTED_VALUE"""),"C#")</f>
        <v>C#</v>
      </c>
      <c r="D1547" s="9" t="str">
        <f>IFERROR(__xludf.DUMMYFUNCTION("""COMPUTED_VALUE"""),"C++")</f>
        <v>C++</v>
      </c>
      <c r="E1547" s="9" t="str">
        <f>IFERROR(__xludf.DUMMYFUNCTION("""COMPUTED_VALUE"""),"PHP")</f>
        <v>PHP</v>
      </c>
      <c r="F1547" s="9" t="str">
        <f>IFERROR(__xludf.DUMMYFUNCTION("""COMPUTED_VALUE"""),"Go")</f>
        <v>Go</v>
      </c>
      <c r="G1547" s="9" t="str">
        <f>IFERROR(__xludf.DUMMYFUNCTION("""COMPUTED_VALUE"""),"JavaScript")</f>
        <v>JavaScript</v>
      </c>
      <c r="H1547" s="9" t="str">
        <f>IFERROR(__xludf.DUMMYFUNCTION("""COMPUTED_VALUE"""),"Other(s):")</f>
        <v>Other(s):</v>
      </c>
      <c r="I1547" s="9" t="str">
        <f>IFERROR(__xludf.DUMMYFUNCTION("""COMPUTED_VALUE"""),"C++")</f>
        <v>C++</v>
      </c>
      <c r="J1547" s="9" t="str">
        <f>IFERROR(__xludf.DUMMYFUNCTION("""COMPUTED_VALUE"""),"C++")</f>
        <v>C++</v>
      </c>
      <c r="K1547" s="9" t="str">
        <f>IFERROR(__xludf.DUMMYFUNCTION("""COMPUTED_VALUE"""),"SQL")</f>
        <v>SQL</v>
      </c>
      <c r="L1547" s="9" t="str">
        <f>IFERROR(__xludf.DUMMYFUNCTION("""COMPUTED_VALUE"""),"JavaScript")</f>
        <v>JavaScript</v>
      </c>
      <c r="M1547" s="9" t="s">
        <v>26</v>
      </c>
    </row>
    <row r="1548" ht="15.75" customHeight="1">
      <c r="A1548" s="7"/>
      <c r="B1548" s="7" t="str">
        <f>IFERROR(__xludf.DUMMYFUNCTION("""COMPUTED_VALUE"""),"Assembly;C;C++;HTML/CSS;Java;JavaScript;Kotlin;PHP;SQL;TypeScript;VBA")</f>
        <v>Assembly;C;C++;HTML/CSS;Java;JavaScript;Kotlin;PHP;SQL;TypeScript;VBA</v>
      </c>
      <c r="C1548" s="9" t="str">
        <f>IFERROR(__xludf.DUMMYFUNCTION("""COMPUTED_VALUE"""),"HTML/CSS")</f>
        <v>HTML/CSS</v>
      </c>
      <c r="D1548" s="9" t="str">
        <f>IFERROR(__xludf.DUMMYFUNCTION("""COMPUTED_VALUE"""),"C#")</f>
        <v>C#</v>
      </c>
      <c r="E1548" s="9" t="str">
        <f>IFERROR(__xludf.DUMMYFUNCTION("""COMPUTED_VALUE"""),"Python")</f>
        <v>Python</v>
      </c>
      <c r="F1548" s="9" t="str">
        <f>IFERROR(__xludf.DUMMYFUNCTION("""COMPUTED_VALUE"""),"HTML/CSS")</f>
        <v>HTML/CSS</v>
      </c>
      <c r="G1548" s="9" t="str">
        <f>IFERROR(__xludf.DUMMYFUNCTION("""COMPUTED_VALUE"""),"SQL")</f>
        <v>SQL</v>
      </c>
      <c r="H1548" s="9" t="str">
        <f>IFERROR(__xludf.DUMMYFUNCTION("""COMPUTED_VALUE"""),"HTML/CSS")</f>
        <v>HTML/CSS</v>
      </c>
      <c r="I1548" s="9" t="str">
        <f>IFERROR(__xludf.DUMMYFUNCTION("""COMPUTED_VALUE"""),"Java")</f>
        <v>Java</v>
      </c>
      <c r="J1548" s="9" t="str">
        <f>IFERROR(__xludf.DUMMYFUNCTION("""COMPUTED_VALUE"""),"C#")</f>
        <v>C#</v>
      </c>
      <c r="K1548" s="9" t="str">
        <f>IFERROR(__xludf.DUMMYFUNCTION("""COMPUTED_VALUE"""),"Java")</f>
        <v>Java</v>
      </c>
      <c r="L1548" s="9" t="str">
        <f>IFERROR(__xludf.DUMMYFUNCTION("""COMPUTED_VALUE"""),"SQL")</f>
        <v>SQL</v>
      </c>
      <c r="M1548" s="9" t="s">
        <v>24</v>
      </c>
    </row>
    <row r="1549" ht="15.75" customHeight="1">
      <c r="A1549" s="7"/>
      <c r="B1549" s="7" t="str">
        <f>IFERROR(__xludf.DUMMYFUNCTION("""COMPUTED_VALUE"""),"Assembly;C;C++;C#;Python;Other(s):")</f>
        <v>Assembly;C;C++;C#;Python;Other(s):</v>
      </c>
      <c r="C1549" s="9" t="str">
        <f>IFERROR(__xludf.DUMMYFUNCTION("""COMPUTED_VALUE"""),"Java")</f>
        <v>Java</v>
      </c>
      <c r="D1549" s="9" t="str">
        <f>IFERROR(__xludf.DUMMYFUNCTION("""COMPUTED_VALUE"""),"HTML/CSS")</f>
        <v>HTML/CSS</v>
      </c>
      <c r="E1549" s="9" t="str">
        <f>IFERROR(__xludf.DUMMYFUNCTION("""COMPUTED_VALUE"""),"SQL")</f>
        <v>SQL</v>
      </c>
      <c r="F1549" s="9" t="str">
        <f>IFERROR(__xludf.DUMMYFUNCTION("""COMPUTED_VALUE"""),"JavaScript")</f>
        <v>JavaScript</v>
      </c>
      <c r="G1549" s="9" t="str">
        <f>IFERROR(__xludf.DUMMYFUNCTION("""COMPUTED_VALUE"""),"TypeScript")</f>
        <v>TypeScript</v>
      </c>
      <c r="H1549" s="9" t="str">
        <f>IFERROR(__xludf.DUMMYFUNCTION("""COMPUTED_VALUE"""),"JavaScript")</f>
        <v>JavaScript</v>
      </c>
      <c r="I1549" s="9" t="str">
        <f>IFERROR(__xludf.DUMMYFUNCTION("""COMPUTED_VALUE"""),"JavaScript")</f>
        <v>JavaScript</v>
      </c>
      <c r="J1549" s="9" t="str">
        <f>IFERROR(__xludf.DUMMYFUNCTION("""COMPUTED_VALUE"""),"HTML/CSS")</f>
        <v>HTML/CSS</v>
      </c>
      <c r="K1549" s="9" t="str">
        <f>IFERROR(__xludf.DUMMYFUNCTION("""COMPUTED_VALUE"""),"Python")</f>
        <v>Python</v>
      </c>
      <c r="L1549" s="9" t="str">
        <f>IFERROR(__xludf.DUMMYFUNCTION("""COMPUTED_VALUE"""),"WebAssembly")</f>
        <v>WebAssembly</v>
      </c>
      <c r="M1549" s="9" t="s">
        <v>20</v>
      </c>
    </row>
    <row r="1550" ht="15.75" customHeight="1">
      <c r="A1550" s="7"/>
      <c r="B1550" s="7" t="str">
        <f>IFERROR(__xludf.DUMMYFUNCTION("""COMPUTED_VALUE"""),"Bash/Shell/PowerShell;HTML/CSS;Java;JavaScript;PHP;Python;SQL;VBA")</f>
        <v>Bash/Shell/PowerShell;HTML/CSS;Java;JavaScript;PHP;Python;SQL;VBA</v>
      </c>
      <c r="C1550" s="9" t="str">
        <f>IFERROR(__xludf.DUMMYFUNCTION("""COMPUTED_VALUE"""),"Python")</f>
        <v>Python</v>
      </c>
      <c r="D1550" s="9" t="str">
        <f>IFERROR(__xludf.DUMMYFUNCTION("""COMPUTED_VALUE"""),"Java")</f>
        <v>Java</v>
      </c>
      <c r="E1550" s="9" t="str">
        <f>IFERROR(__xludf.DUMMYFUNCTION("""COMPUTED_VALUE"""),"TypeScript")</f>
        <v>TypeScript</v>
      </c>
      <c r="F1550" s="9" t="str">
        <f>IFERROR(__xludf.DUMMYFUNCTION("""COMPUTED_VALUE"""),"PHP")</f>
        <v>PHP</v>
      </c>
      <c r="G1550" s="9" t="str">
        <f>IFERROR(__xludf.DUMMYFUNCTION("""COMPUTED_VALUE"""),"Bash/Shell/PowerShell")</f>
        <v>Bash/Shell/PowerShell</v>
      </c>
      <c r="H1550" s="9" t="str">
        <f>IFERROR(__xludf.DUMMYFUNCTION("""COMPUTED_VALUE"""),"PHP")</f>
        <v>PHP</v>
      </c>
      <c r="I1550" s="9" t="str">
        <f>IFERROR(__xludf.DUMMYFUNCTION("""COMPUTED_VALUE"""),"PHP")</f>
        <v>PHP</v>
      </c>
      <c r="J1550" s="9" t="str">
        <f>IFERROR(__xludf.DUMMYFUNCTION("""COMPUTED_VALUE"""),"JavaScript")</f>
        <v>JavaScript</v>
      </c>
      <c r="K1550" s="9" t="str">
        <f>IFERROR(__xludf.DUMMYFUNCTION("""COMPUTED_VALUE"""),"Ruby")</f>
        <v>Ruby</v>
      </c>
      <c r="L1550" s="9" t="str">
        <f>IFERROR(__xludf.DUMMYFUNCTION("""COMPUTED_VALUE"""),"Other(s):")</f>
        <v>Other(s):</v>
      </c>
      <c r="M1550" s="9" t="s">
        <v>22</v>
      </c>
    </row>
    <row r="1551" ht="15.75" customHeight="1">
      <c r="A1551" s="7"/>
      <c r="B1551" s="7" t="str">
        <f>IFERROR(__xludf.DUMMYFUNCTION("""COMPUTED_VALUE"""),"HTML/CSS;Java;JavaScript;Kotlin;Python;TypeScript")</f>
        <v>HTML/CSS;Java;JavaScript;Kotlin;Python;TypeScript</v>
      </c>
      <c r="C1551" s="9" t="str">
        <f>IFERROR(__xludf.DUMMYFUNCTION("""COMPUTED_VALUE"""),"Scala")</f>
        <v>Scala</v>
      </c>
      <c r="D1551" s="9" t="str">
        <f>IFERROR(__xludf.DUMMYFUNCTION("""COMPUTED_VALUE"""),"JavaScript")</f>
        <v>JavaScript</v>
      </c>
      <c r="E1551" s="9" t="str">
        <f>IFERROR(__xludf.DUMMYFUNCTION("""COMPUTED_VALUE"""),"C#")</f>
        <v>C#</v>
      </c>
      <c r="F1551" s="9" t="str">
        <f>IFERROR(__xludf.DUMMYFUNCTION("""COMPUTED_VALUE"""),"Python")</f>
        <v>Python</v>
      </c>
      <c r="G1551" s="9" t="str">
        <f>IFERROR(__xludf.DUMMYFUNCTION("""COMPUTED_VALUE"""),"C")</f>
        <v>C</v>
      </c>
      <c r="H1551" s="9" t="str">
        <f>IFERROR(__xludf.DUMMYFUNCTION("""COMPUTED_VALUE"""),"SQL")</f>
        <v>SQL</v>
      </c>
      <c r="I1551" s="9" t="str">
        <f>IFERROR(__xludf.DUMMYFUNCTION("""COMPUTED_VALUE"""),"Python")</f>
        <v>Python</v>
      </c>
      <c r="J1551" s="9" t="str">
        <f>IFERROR(__xludf.DUMMYFUNCTION("""COMPUTED_VALUE"""),"Bash/Shell/PowerShell")</f>
        <v>Bash/Shell/PowerShell</v>
      </c>
      <c r="K1551" s="9" t="str">
        <f>IFERROR(__xludf.DUMMYFUNCTION("""COMPUTED_VALUE"""),"SQL")</f>
        <v>SQL</v>
      </c>
      <c r="L1551" s="9" t="str">
        <f>IFERROR(__xludf.DUMMYFUNCTION("""COMPUTED_VALUE"""),"Assembly")</f>
        <v>Assembly</v>
      </c>
      <c r="M1551" s="9" t="s">
        <v>46</v>
      </c>
    </row>
    <row r="1552" ht="15.75" customHeight="1">
      <c r="A1552" s="7"/>
      <c r="B1552" s="7" t="str">
        <f>IFERROR(__xludf.DUMMYFUNCTION("""COMPUTED_VALUE"""),"Bash/Shell/PowerShell;C#;HTML/CSS;Java;JavaScript;SQL;TypeScript")</f>
        <v>Bash/Shell/PowerShell;C#;HTML/CSS;Java;JavaScript;SQL;TypeScript</v>
      </c>
      <c r="C1552" s="9" t="str">
        <f>IFERROR(__xludf.DUMMYFUNCTION("""COMPUTED_VALUE"""),"SQL")</f>
        <v>SQL</v>
      </c>
      <c r="D1552" s="9" t="str">
        <f>IFERROR(__xludf.DUMMYFUNCTION("""COMPUTED_VALUE"""),"Bash/Shell/PowerShell")</f>
        <v>Bash/Shell/PowerShell</v>
      </c>
      <c r="E1552" s="9" t="str">
        <f>IFERROR(__xludf.DUMMYFUNCTION("""COMPUTED_VALUE"""),"HTML/CSS")</f>
        <v>HTML/CSS</v>
      </c>
      <c r="F1552" s="9" t="str">
        <f>IFERROR(__xludf.DUMMYFUNCTION("""COMPUTED_VALUE"""),"Ruby")</f>
        <v>Ruby</v>
      </c>
      <c r="G1552" s="9" t="str">
        <f>IFERROR(__xludf.DUMMYFUNCTION("""COMPUTED_VALUE"""),"C")</f>
        <v>C</v>
      </c>
      <c r="H1552" s="9" t="str">
        <f>IFERROR(__xludf.DUMMYFUNCTION("""COMPUTED_VALUE"""),"HTML/CSS")</f>
        <v>HTML/CSS</v>
      </c>
      <c r="I1552" s="9" t="str">
        <f>IFERROR(__xludf.DUMMYFUNCTION("""COMPUTED_VALUE"""),"Rust")</f>
        <v>Rust</v>
      </c>
      <c r="J1552" s="9" t="str">
        <f>IFERROR(__xludf.DUMMYFUNCTION("""COMPUTED_VALUE"""),"C#")</f>
        <v>C#</v>
      </c>
      <c r="K1552" s="9" t="str">
        <f>IFERROR(__xludf.DUMMYFUNCTION("""COMPUTED_VALUE"""),"C#")</f>
        <v>C#</v>
      </c>
      <c r="L1552" s="9" t="str">
        <f>IFERROR(__xludf.DUMMYFUNCTION("""COMPUTED_VALUE"""),"C")</f>
        <v>C</v>
      </c>
      <c r="M1552" s="9" t="s">
        <v>27</v>
      </c>
    </row>
    <row r="1553" ht="15.75" customHeight="1">
      <c r="A1553" s="7"/>
      <c r="B1553" s="7" t="str">
        <f>IFERROR(__xludf.DUMMYFUNCTION("""COMPUTED_VALUE"""),"Java;JavaScript;PHP;SQL")</f>
        <v>Java;JavaScript;PHP;SQL</v>
      </c>
      <c r="C1553" s="9" t="str">
        <f>IFERROR(__xludf.DUMMYFUNCTION("""COMPUTED_VALUE"""),"Bash/Shell/PowerShell")</f>
        <v>Bash/Shell/PowerShell</v>
      </c>
      <c r="D1553" s="9" t="str">
        <f>IFERROR(__xludf.DUMMYFUNCTION("""COMPUTED_VALUE"""),"Go")</f>
        <v>Go</v>
      </c>
      <c r="E1553" s="9" t="str">
        <f>IFERROR(__xludf.DUMMYFUNCTION("""COMPUTED_VALUE"""),"JavaScript")</f>
        <v>JavaScript</v>
      </c>
      <c r="F1553" s="9" t="str">
        <f>IFERROR(__xludf.DUMMYFUNCTION("""COMPUTED_VALUE"""),"SQL")</f>
        <v>SQL</v>
      </c>
      <c r="G1553" s="9" t="str">
        <f>IFERROR(__xludf.DUMMYFUNCTION("""COMPUTED_VALUE"""),"C++")</f>
        <v>C++</v>
      </c>
      <c r="H1553" s="9" t="str">
        <f>IFERROR(__xludf.DUMMYFUNCTION("""COMPUTED_VALUE"""),"C#")</f>
        <v>C#</v>
      </c>
      <c r="I1553" s="9" t="str">
        <f>IFERROR(__xludf.DUMMYFUNCTION("""COMPUTED_VALUE"""),"SQL")</f>
        <v>SQL</v>
      </c>
      <c r="J1553" s="9" t="str">
        <f>IFERROR(__xludf.DUMMYFUNCTION("""COMPUTED_VALUE"""),"HTML/CSS")</f>
        <v>HTML/CSS</v>
      </c>
      <c r="K1553" s="9" t="str">
        <f>IFERROR(__xludf.DUMMYFUNCTION("""COMPUTED_VALUE"""),"SQL")</f>
        <v>SQL</v>
      </c>
      <c r="L1553" s="9" t="str">
        <f>IFERROR(__xludf.DUMMYFUNCTION("""COMPUTED_VALUE"""),"Swift")</f>
        <v>Swift</v>
      </c>
      <c r="M1553" s="9" t="s">
        <v>30</v>
      </c>
    </row>
    <row r="1554" ht="15.75" customHeight="1">
      <c r="A1554" s="7"/>
      <c r="B1554" s="7" t="str">
        <f>IFERROR(__xludf.DUMMYFUNCTION("""COMPUTED_VALUE"""),"Java;JavaScript;Python")</f>
        <v>Java;JavaScript;Python</v>
      </c>
      <c r="C1554" s="9" t="str">
        <f>IFERROR(__xludf.DUMMYFUNCTION("""COMPUTED_VALUE"""),"Python")</f>
        <v>Python</v>
      </c>
      <c r="D1554" s="9" t="str">
        <f>IFERROR(__xludf.DUMMYFUNCTION("""COMPUTED_VALUE"""),"HTML/CSS")</f>
        <v>HTML/CSS</v>
      </c>
      <c r="E1554" s="9" t="str">
        <f>IFERROR(__xludf.DUMMYFUNCTION("""COMPUTED_VALUE"""),"PHP")</f>
        <v>PHP</v>
      </c>
      <c r="F1554" s="9" t="str">
        <f>IFERROR(__xludf.DUMMYFUNCTION("""COMPUTED_VALUE"""),"TypeScript")</f>
        <v>TypeScript</v>
      </c>
      <c r="G1554" s="9" t="str">
        <f>IFERROR(__xludf.DUMMYFUNCTION("""COMPUTED_VALUE"""),"Python")</f>
        <v>Python</v>
      </c>
      <c r="H1554" s="9" t="str">
        <f>IFERROR(__xludf.DUMMYFUNCTION("""COMPUTED_VALUE"""),"HTML/CSS")</f>
        <v>HTML/CSS</v>
      </c>
      <c r="I1554" s="9" t="str">
        <f>IFERROR(__xludf.DUMMYFUNCTION("""COMPUTED_VALUE"""),"Bash/Shell/PowerShell")</f>
        <v>Bash/Shell/PowerShell</v>
      </c>
      <c r="J1554" s="9" t="str">
        <f>IFERROR(__xludf.DUMMYFUNCTION("""COMPUTED_VALUE"""),"JavaScript")</f>
        <v>JavaScript</v>
      </c>
      <c r="K1554" s="9" t="str">
        <f>IFERROR(__xludf.DUMMYFUNCTION("""COMPUTED_VALUE"""),"TypeScript")</f>
        <v>TypeScript</v>
      </c>
      <c r="L1554" s="9" t="str">
        <f>IFERROR(__xludf.DUMMYFUNCTION("""COMPUTED_VALUE"""),"Objective-C")</f>
        <v>Objective-C</v>
      </c>
      <c r="M1554" s="9" t="s">
        <v>22</v>
      </c>
    </row>
    <row r="1555" ht="15.75" customHeight="1">
      <c r="A1555" s="7"/>
      <c r="B1555" s="7" t="str">
        <f>IFERROR(__xludf.DUMMYFUNCTION("""COMPUTED_VALUE"""),"Assembly;Bash/Shell/PowerShell;C;C++;HTML/CSS;Java;JavaScript;Python;SQL")</f>
        <v>Assembly;Bash/Shell/PowerShell;C;C++;HTML/CSS;Java;JavaScript;Python;SQL</v>
      </c>
      <c r="C1555" s="9" t="str">
        <f>IFERROR(__xludf.DUMMYFUNCTION("""COMPUTED_VALUE"""),"Ruby")</f>
        <v>Ruby</v>
      </c>
      <c r="D1555" s="9" t="str">
        <f>IFERROR(__xludf.DUMMYFUNCTION("""COMPUTED_VALUE"""),"JavaScript")</f>
        <v>JavaScript</v>
      </c>
      <c r="E1555" s="9" t="str">
        <f>IFERROR(__xludf.DUMMYFUNCTION("""COMPUTED_VALUE"""),"Bash/Shell/PowerShell")</f>
        <v>Bash/Shell/PowerShell</v>
      </c>
      <c r="F1555" s="9" t="str">
        <f>IFERROR(__xludf.DUMMYFUNCTION("""COMPUTED_VALUE"""),"VBA")</f>
        <v>VBA</v>
      </c>
      <c r="G1555" s="9" t="str">
        <f>IFERROR(__xludf.DUMMYFUNCTION("""COMPUTED_VALUE"""),"HTML/CSS")</f>
        <v>HTML/CSS</v>
      </c>
      <c r="H1555" s="9" t="str">
        <f>IFERROR(__xludf.DUMMYFUNCTION("""COMPUTED_VALUE"""),"JavaScript")</f>
        <v>JavaScript</v>
      </c>
      <c r="I1555" s="9" t="str">
        <f>IFERROR(__xludf.DUMMYFUNCTION("""COMPUTED_VALUE"""),"HTML/CSS")</f>
        <v>HTML/CSS</v>
      </c>
      <c r="J1555" s="9" t="str">
        <f>IFERROR(__xludf.DUMMYFUNCTION("""COMPUTED_VALUE"""),"Other(s):")</f>
        <v>Other(s):</v>
      </c>
      <c r="K1555" s="9" t="str">
        <f>IFERROR(__xludf.DUMMYFUNCTION("""COMPUTED_VALUE"""),"C#")</f>
        <v>C#</v>
      </c>
      <c r="L1555" s="9" t="str">
        <f>IFERROR(__xludf.DUMMYFUNCTION("""COMPUTED_VALUE"""),"Swift")</f>
        <v>Swift</v>
      </c>
      <c r="M1555" s="9" t="s">
        <v>31</v>
      </c>
    </row>
    <row r="1556" ht="15.75" customHeight="1">
      <c r="A1556" s="7"/>
      <c r="B1556" s="7" t="str">
        <f>IFERROR(__xludf.DUMMYFUNCTION("""COMPUTED_VALUE"""),"JavaScript")</f>
        <v>JavaScript</v>
      </c>
      <c r="C1556" s="9" t="str">
        <f>IFERROR(__xludf.DUMMYFUNCTION("""COMPUTED_VALUE"""),"SQL")</f>
        <v>SQL</v>
      </c>
      <c r="D1556" s="9" t="str">
        <f>IFERROR(__xludf.DUMMYFUNCTION("""COMPUTED_VALUE"""),"Ruby")</f>
        <v>Ruby</v>
      </c>
      <c r="E1556" s="9" t="str">
        <f>IFERROR(__xludf.DUMMYFUNCTION("""COMPUTED_VALUE"""),"C")</f>
        <v>C</v>
      </c>
      <c r="F1556" s="9" t="str">
        <f>IFERROR(__xludf.DUMMYFUNCTION("""COMPUTED_VALUE"""),"WebAssembly")</f>
        <v>WebAssembly</v>
      </c>
      <c r="G1556" s="9" t="str">
        <f>IFERROR(__xludf.DUMMYFUNCTION("""COMPUTED_VALUE"""),"JavaScript")</f>
        <v>JavaScript</v>
      </c>
      <c r="H1556" s="9" t="str">
        <f>IFERROR(__xludf.DUMMYFUNCTION("""COMPUTED_VALUE"""),"SQL")</f>
        <v>SQL</v>
      </c>
      <c r="I1556" s="9" t="str">
        <f>IFERROR(__xludf.DUMMYFUNCTION("""COMPUTED_VALUE"""),"JavaScript")</f>
        <v>JavaScript</v>
      </c>
      <c r="J1556" s="9" t="str">
        <f>IFERROR(__xludf.DUMMYFUNCTION("""COMPUTED_VALUE"""),"Bash/Shell/PowerShell")</f>
        <v>Bash/Shell/PowerShell</v>
      </c>
      <c r="K1556" s="9" t="str">
        <f>IFERROR(__xludf.DUMMYFUNCTION("""COMPUTED_VALUE"""),"HTML/CSS")</f>
        <v>HTML/CSS</v>
      </c>
      <c r="L1556" s="9" t="str">
        <f>IFERROR(__xludf.DUMMYFUNCTION("""COMPUTED_VALUE"""),"C")</f>
        <v>C</v>
      </c>
      <c r="M1556" s="9" t="s">
        <v>27</v>
      </c>
    </row>
    <row r="1557" ht="15.75" customHeight="1">
      <c r="A1557" s="7"/>
      <c r="B1557" s="7" t="str">
        <f>IFERROR(__xludf.DUMMYFUNCTION("""COMPUTED_VALUE"""),"Java")</f>
        <v>Java</v>
      </c>
      <c r="C1557" s="9" t="str">
        <f>IFERROR(__xludf.DUMMYFUNCTION("""COMPUTED_VALUE"""),"C")</f>
        <v>C</v>
      </c>
      <c r="D1557" s="9" t="str">
        <f>IFERROR(__xludf.DUMMYFUNCTION("""COMPUTED_VALUE"""),"Rust")</f>
        <v>Rust</v>
      </c>
      <c r="E1557" s="9" t="str">
        <f>IFERROR(__xludf.DUMMYFUNCTION("""COMPUTED_VALUE"""),"C++")</f>
        <v>C++</v>
      </c>
      <c r="F1557" s="9" t="str">
        <f>IFERROR(__xludf.DUMMYFUNCTION("""COMPUTED_VALUE"""),"C")</f>
        <v>C</v>
      </c>
      <c r="G1557" s="9" t="str">
        <f>IFERROR(__xludf.DUMMYFUNCTION("""COMPUTED_VALUE"""),"Python")</f>
        <v>Python</v>
      </c>
      <c r="H1557" s="9" t="str">
        <f>IFERROR(__xludf.DUMMYFUNCTION("""COMPUTED_VALUE"""),"C")</f>
        <v>C</v>
      </c>
      <c r="I1557" s="9" t="str">
        <f>IFERROR(__xludf.DUMMYFUNCTION("""COMPUTED_VALUE"""),"PHP")</f>
        <v>PHP</v>
      </c>
      <c r="J1557" s="9" t="str">
        <f>IFERROR(__xludf.DUMMYFUNCTION("""COMPUTED_VALUE"""),"HTML/CSS")</f>
        <v>HTML/CSS</v>
      </c>
      <c r="K1557" s="9" t="str">
        <f>IFERROR(__xludf.DUMMYFUNCTION("""COMPUTED_VALUE"""),"Java")</f>
        <v>Java</v>
      </c>
      <c r="L1557" s="9" t="str">
        <f>IFERROR(__xludf.DUMMYFUNCTION("""COMPUTED_VALUE"""),"C++")</f>
        <v>C++</v>
      </c>
      <c r="M1557" s="9" t="s">
        <v>25</v>
      </c>
    </row>
    <row r="1558" ht="15.75" customHeight="1">
      <c r="A1558" s="7"/>
      <c r="B1558" s="7" t="str">
        <f>IFERROR(__xludf.DUMMYFUNCTION("""COMPUTED_VALUE"""),"C++;JavaScript;Python")</f>
        <v>C++;JavaScript;Python</v>
      </c>
      <c r="C1558" s="9" t="str">
        <f>IFERROR(__xludf.DUMMYFUNCTION("""COMPUTED_VALUE"""),"C#")</f>
        <v>C#</v>
      </c>
      <c r="D1558" s="9" t="str">
        <f>IFERROR(__xludf.DUMMYFUNCTION("""COMPUTED_VALUE"""),"SQL")</f>
        <v>SQL</v>
      </c>
      <c r="E1558" s="9" t="str">
        <f>IFERROR(__xludf.DUMMYFUNCTION("""COMPUTED_VALUE"""),"C#")</f>
        <v>C#</v>
      </c>
      <c r="F1558" s="9" t="str">
        <f>IFERROR(__xludf.DUMMYFUNCTION("""COMPUTED_VALUE"""),"Go")</f>
        <v>Go</v>
      </c>
      <c r="G1558" s="9" t="str">
        <f>IFERROR(__xludf.DUMMYFUNCTION("""COMPUTED_VALUE"""),"HTML/CSS")</f>
        <v>HTML/CSS</v>
      </c>
      <c r="H1558" s="9" t="str">
        <f>IFERROR(__xludf.DUMMYFUNCTION("""COMPUTED_VALUE"""),"C++")</f>
        <v>C++</v>
      </c>
      <c r="I1558" s="9" t="str">
        <f>IFERROR(__xludf.DUMMYFUNCTION("""COMPUTED_VALUE"""),"Python")</f>
        <v>Python</v>
      </c>
      <c r="J1558" s="9" t="str">
        <f>IFERROR(__xludf.DUMMYFUNCTION("""COMPUTED_VALUE"""),"JavaScript")</f>
        <v>JavaScript</v>
      </c>
      <c r="K1558" s="9" t="str">
        <f>IFERROR(__xludf.DUMMYFUNCTION("""COMPUTED_VALUE"""),"JavaScript")</f>
        <v>JavaScript</v>
      </c>
      <c r="L1558" s="9" t="str">
        <f>IFERROR(__xludf.DUMMYFUNCTION("""COMPUTED_VALUE"""),"Go")</f>
        <v>Go</v>
      </c>
      <c r="M1558" s="9" t="s">
        <v>26</v>
      </c>
    </row>
    <row r="1559" ht="15.75" customHeight="1">
      <c r="A1559" s="7"/>
      <c r="B1559" s="7" t="str">
        <f>IFERROR(__xludf.DUMMYFUNCTION("""COMPUTED_VALUE"""),"Go;HTML/CSS;JavaScript;PHP;SQL")</f>
        <v>Go;HTML/CSS;JavaScript;PHP;SQL</v>
      </c>
      <c r="C1559" s="9" t="str">
        <f>IFERROR(__xludf.DUMMYFUNCTION("""COMPUTED_VALUE"""),"HTML/CSS")</f>
        <v>HTML/CSS</v>
      </c>
      <c r="D1559" s="9" t="str">
        <f>IFERROR(__xludf.DUMMYFUNCTION("""COMPUTED_VALUE"""),"Swift")</f>
        <v>Swift</v>
      </c>
      <c r="E1559" s="9" t="str">
        <f>IFERROR(__xludf.DUMMYFUNCTION("""COMPUTED_VALUE"""),"HTML/CSS")</f>
        <v>HTML/CSS</v>
      </c>
      <c r="F1559" s="9" t="str">
        <f>IFERROR(__xludf.DUMMYFUNCTION("""COMPUTED_VALUE"""),"JavaScript")</f>
        <v>JavaScript</v>
      </c>
      <c r="G1559" s="9" t="str">
        <f>IFERROR(__xludf.DUMMYFUNCTION("""COMPUTED_VALUE"""),"JavaScript")</f>
        <v>JavaScript</v>
      </c>
      <c r="H1559" s="9" t="str">
        <f>IFERROR(__xludf.DUMMYFUNCTION("""COMPUTED_VALUE"""),"C#")</f>
        <v>C#</v>
      </c>
      <c r="I1559" s="9" t="str">
        <f>IFERROR(__xludf.DUMMYFUNCTION("""COMPUTED_VALUE"""),"SQL")</f>
        <v>SQL</v>
      </c>
      <c r="J1559" s="9" t="str">
        <f>IFERROR(__xludf.DUMMYFUNCTION("""COMPUTED_VALUE"""),"Objective-C")</f>
        <v>Objective-C</v>
      </c>
      <c r="K1559" s="9" t="str">
        <f>IFERROR(__xludf.DUMMYFUNCTION("""COMPUTED_VALUE"""),"TypeScript")</f>
        <v>TypeScript</v>
      </c>
      <c r="L1559" s="9" t="str">
        <f>IFERROR(__xludf.DUMMYFUNCTION("""COMPUTED_VALUE"""),"HTML/CSS")</f>
        <v>HTML/CSS</v>
      </c>
      <c r="M1559" s="9" t="s">
        <v>24</v>
      </c>
    </row>
    <row r="1560" ht="15.75" customHeight="1">
      <c r="A1560" s="7"/>
      <c r="B1560" s="7" t="str">
        <f>IFERROR(__xludf.DUMMYFUNCTION("""COMPUTED_VALUE"""),"Bash/Shell/PowerShell;JavaScript;Python;R;SQL")</f>
        <v>Bash/Shell/PowerShell;JavaScript;Python;R;SQL</v>
      </c>
      <c r="C1560" s="9" t="str">
        <f>IFERROR(__xludf.DUMMYFUNCTION("""COMPUTED_VALUE"""),"PHP")</f>
        <v>PHP</v>
      </c>
      <c r="D1560" s="9" t="str">
        <f>IFERROR(__xludf.DUMMYFUNCTION("""COMPUTED_VALUE"""),"Java")</f>
        <v>Java</v>
      </c>
      <c r="E1560" s="9" t="str">
        <f>IFERROR(__xludf.DUMMYFUNCTION("""COMPUTED_VALUE"""),"JavaScript")</f>
        <v>JavaScript</v>
      </c>
      <c r="F1560" s="9" t="str">
        <f>IFERROR(__xludf.DUMMYFUNCTION("""COMPUTED_VALUE"""),"Kotlin")</f>
        <v>Kotlin</v>
      </c>
      <c r="G1560" s="9" t="str">
        <f>IFERROR(__xludf.DUMMYFUNCTION("""COMPUTED_VALUE"""),"PHP")</f>
        <v>PHP</v>
      </c>
      <c r="H1560" s="9" t="str">
        <f>IFERROR(__xludf.DUMMYFUNCTION("""COMPUTED_VALUE"""),"HTML/CSS")</f>
        <v>HTML/CSS</v>
      </c>
      <c r="I1560" s="9" t="str">
        <f>IFERROR(__xludf.DUMMYFUNCTION("""COMPUTED_VALUE"""),"Bash/Shell/PowerShell")</f>
        <v>Bash/Shell/PowerShell</v>
      </c>
      <c r="J1560" s="9" t="str">
        <f>IFERROR(__xludf.DUMMYFUNCTION("""COMPUTED_VALUE"""),"Ruby")</f>
        <v>Ruby</v>
      </c>
      <c r="K1560" s="9" t="str">
        <f>IFERROR(__xludf.DUMMYFUNCTION("""COMPUTED_VALUE"""),"HTML/CSS")</f>
        <v>HTML/CSS</v>
      </c>
      <c r="L1560" s="9" t="str">
        <f>IFERROR(__xludf.DUMMYFUNCTION("""COMPUTED_VALUE"""),"JavaScript")</f>
        <v>JavaScript</v>
      </c>
      <c r="M1560" s="9" t="s">
        <v>37</v>
      </c>
    </row>
    <row r="1561" ht="15.75" customHeight="1">
      <c r="A1561" s="7"/>
      <c r="B1561" s="7" t="str">
        <f>IFERROR(__xludf.DUMMYFUNCTION("""COMPUTED_VALUE"""),"C#;HTML/CSS;Java;Python")</f>
        <v>C#;HTML/CSS;Java;Python</v>
      </c>
      <c r="C1561" s="9" t="str">
        <f>IFERROR(__xludf.DUMMYFUNCTION("""COMPUTED_VALUE"""),"Python")</f>
        <v>Python</v>
      </c>
      <c r="D1561" s="9" t="str">
        <f>IFERROR(__xludf.DUMMYFUNCTION("""COMPUTED_VALUE"""),"SQL")</f>
        <v>SQL</v>
      </c>
      <c r="E1561" s="9" t="str">
        <f>IFERROR(__xludf.DUMMYFUNCTION("""COMPUTED_VALUE"""),"SQL")</f>
        <v>SQL</v>
      </c>
      <c r="F1561" s="9" t="str">
        <f>IFERROR(__xludf.DUMMYFUNCTION("""COMPUTED_VALUE"""),"Python")</f>
        <v>Python</v>
      </c>
      <c r="G1561" s="9" t="str">
        <f>IFERROR(__xludf.DUMMYFUNCTION("""COMPUTED_VALUE"""),"SQL")</f>
        <v>SQL</v>
      </c>
      <c r="H1561" s="9" t="str">
        <f>IFERROR(__xludf.DUMMYFUNCTION("""COMPUTED_VALUE"""),"Java")</f>
        <v>Java</v>
      </c>
      <c r="I1561" s="9" t="str">
        <f>IFERROR(__xludf.DUMMYFUNCTION("""COMPUTED_VALUE"""),"C")</f>
        <v>C</v>
      </c>
      <c r="J1561" s="9" t="str">
        <f>IFERROR(__xludf.DUMMYFUNCTION("""COMPUTED_VALUE"""),"Swift")</f>
        <v>Swift</v>
      </c>
      <c r="K1561" s="9" t="str">
        <f>IFERROR(__xludf.DUMMYFUNCTION("""COMPUTED_VALUE"""),"JavaScript")</f>
        <v>JavaScript</v>
      </c>
      <c r="L1561" s="9" t="str">
        <f>IFERROR(__xludf.DUMMYFUNCTION("""COMPUTED_VALUE"""),"PHP")</f>
        <v>PHP</v>
      </c>
      <c r="M1561" s="9" t="s">
        <v>22</v>
      </c>
    </row>
    <row r="1562" ht="15.75" customHeight="1">
      <c r="A1562" s="7"/>
      <c r="B1562" s="7" t="str">
        <f>IFERROR(__xludf.DUMMYFUNCTION("""COMPUTED_VALUE"""),"Bash/Shell/PowerShell;C;C++;C#;Python;Swift")</f>
        <v>Bash/Shell/PowerShell;C;C++;C#;Python;Swift</v>
      </c>
      <c r="C1562" s="9" t="str">
        <f>IFERROR(__xludf.DUMMYFUNCTION("""COMPUTED_VALUE"""),"C")</f>
        <v>C</v>
      </c>
      <c r="D1562" s="9" t="str">
        <f>IFERROR(__xludf.DUMMYFUNCTION("""COMPUTED_VALUE"""),"Bash/Shell/PowerShell")</f>
        <v>Bash/Shell/PowerShell</v>
      </c>
      <c r="E1562" s="9" t="str">
        <f>IFERROR(__xludf.DUMMYFUNCTION("""COMPUTED_VALUE"""),"Go")</f>
        <v>Go</v>
      </c>
      <c r="F1562" s="9" t="str">
        <f>IFERROR(__xludf.DUMMYFUNCTION("""COMPUTED_VALUE"""),"Rust")</f>
        <v>Rust</v>
      </c>
      <c r="G1562" s="9" t="str">
        <f>IFERROR(__xludf.DUMMYFUNCTION("""COMPUTED_VALUE"""),"Bash/Shell/PowerShell")</f>
        <v>Bash/Shell/PowerShell</v>
      </c>
      <c r="H1562" s="9" t="str">
        <f>IFERROR(__xludf.DUMMYFUNCTION("""COMPUTED_VALUE"""),"JavaScript")</f>
        <v>JavaScript</v>
      </c>
      <c r="I1562" s="9" t="str">
        <f>IFERROR(__xludf.DUMMYFUNCTION("""COMPUTED_VALUE"""),"C++")</f>
        <v>C++</v>
      </c>
      <c r="J1562" s="9" t="str">
        <f>IFERROR(__xludf.DUMMYFUNCTION("""COMPUTED_VALUE"""),"C++")</f>
        <v>C++</v>
      </c>
      <c r="K1562" s="9" t="str">
        <f>IFERROR(__xludf.DUMMYFUNCTION("""COMPUTED_VALUE"""),"Python")</f>
        <v>Python</v>
      </c>
      <c r="L1562" s="9" t="str">
        <f>IFERROR(__xludf.DUMMYFUNCTION("""COMPUTED_VALUE"""),"Python")</f>
        <v>Python</v>
      </c>
      <c r="M1562" s="9" t="s">
        <v>25</v>
      </c>
    </row>
    <row r="1563" ht="15.75" customHeight="1">
      <c r="A1563" s="7"/>
      <c r="B1563" s="7" t="str">
        <f>IFERROR(__xludf.DUMMYFUNCTION("""COMPUTED_VALUE"""),"HTML/CSS;Java;JavaScript;PHP;Python;SQL")</f>
        <v>HTML/CSS;Java;JavaScript;PHP;Python;SQL</v>
      </c>
      <c r="C1563" s="9" t="str">
        <f>IFERROR(__xludf.DUMMYFUNCTION("""COMPUTED_VALUE"""),"Python")</f>
        <v>Python</v>
      </c>
      <c r="D1563" s="9" t="str">
        <f>IFERROR(__xludf.DUMMYFUNCTION("""COMPUTED_VALUE"""),"C++")</f>
        <v>C++</v>
      </c>
      <c r="E1563" s="9" t="str">
        <f>IFERROR(__xludf.DUMMYFUNCTION("""COMPUTED_VALUE"""),"Java")</f>
        <v>Java</v>
      </c>
      <c r="F1563" s="9" t="str">
        <f>IFERROR(__xludf.DUMMYFUNCTION("""COMPUTED_VALUE"""),"SQL")</f>
        <v>SQL</v>
      </c>
      <c r="G1563" s="9" t="str">
        <f>IFERROR(__xludf.DUMMYFUNCTION("""COMPUTED_VALUE"""),"HTML/CSS")</f>
        <v>HTML/CSS</v>
      </c>
      <c r="H1563" s="9" t="str">
        <f>IFERROR(__xludf.DUMMYFUNCTION("""COMPUTED_VALUE"""),"PHP")</f>
        <v>PHP</v>
      </c>
      <c r="I1563" s="9" t="str">
        <f>IFERROR(__xludf.DUMMYFUNCTION("""COMPUTED_VALUE"""),"Java")</f>
        <v>Java</v>
      </c>
      <c r="J1563" s="9" t="str">
        <f>IFERROR(__xludf.DUMMYFUNCTION("""COMPUTED_VALUE"""),"R")</f>
        <v>R</v>
      </c>
      <c r="K1563" s="9" t="str">
        <f>IFERROR(__xludf.DUMMYFUNCTION("""COMPUTED_VALUE"""),"HTML/CSS")</f>
        <v>HTML/CSS</v>
      </c>
      <c r="L1563" s="9" t="str">
        <f>IFERROR(__xludf.DUMMYFUNCTION("""COMPUTED_VALUE"""),"SQL")</f>
        <v>SQL</v>
      </c>
      <c r="M1563" s="9" t="s">
        <v>22</v>
      </c>
    </row>
    <row r="1564" ht="15.75" customHeight="1">
      <c r="A1564" s="7"/>
      <c r="B1564" s="7" t="str">
        <f>IFERROR(__xludf.DUMMYFUNCTION("""COMPUTED_VALUE"""),"C#;JavaScript;SQL")</f>
        <v>C#;JavaScript;SQL</v>
      </c>
      <c r="C1564" s="9" t="str">
        <f>IFERROR(__xludf.DUMMYFUNCTION("""COMPUTED_VALUE"""),"C++")</f>
        <v>C++</v>
      </c>
      <c r="D1564" s="9" t="str">
        <f>IFERROR(__xludf.DUMMYFUNCTION("""COMPUTED_VALUE"""),"C#")</f>
        <v>C#</v>
      </c>
      <c r="E1564" s="9" t="str">
        <f>IFERROR(__xludf.DUMMYFUNCTION("""COMPUTED_VALUE"""),"JavaScript")</f>
        <v>JavaScript</v>
      </c>
      <c r="F1564" s="9" t="str">
        <f>IFERROR(__xludf.DUMMYFUNCTION("""COMPUTED_VALUE"""),"Swift")</f>
        <v>Swift</v>
      </c>
      <c r="G1564" s="9" t="str">
        <f>IFERROR(__xludf.DUMMYFUNCTION("""COMPUTED_VALUE"""),"Java")</f>
        <v>Java</v>
      </c>
      <c r="H1564" s="9" t="str">
        <f>IFERROR(__xludf.DUMMYFUNCTION("""COMPUTED_VALUE"""),"Python")</f>
        <v>Python</v>
      </c>
      <c r="I1564" s="9" t="str">
        <f>IFERROR(__xludf.DUMMYFUNCTION("""COMPUTED_VALUE"""),"PHP")</f>
        <v>PHP</v>
      </c>
      <c r="J1564" s="9" t="str">
        <f>IFERROR(__xludf.DUMMYFUNCTION("""COMPUTED_VALUE"""),"C")</f>
        <v>C</v>
      </c>
      <c r="K1564" s="9" t="str">
        <f>IFERROR(__xludf.DUMMYFUNCTION("""COMPUTED_VALUE"""),"JavaScript")</f>
        <v>JavaScript</v>
      </c>
      <c r="L1564" s="9" t="str">
        <f>IFERROR(__xludf.DUMMYFUNCTION("""COMPUTED_VALUE"""),"TypeScript")</f>
        <v>TypeScript</v>
      </c>
      <c r="M1564" s="9" t="s">
        <v>23</v>
      </c>
    </row>
    <row r="1565" ht="15.75" customHeight="1">
      <c r="A1565" s="7"/>
      <c r="B1565" s="7" t="str">
        <f>IFERROR(__xludf.DUMMYFUNCTION("""COMPUTED_VALUE"""),"Bash/Shell/PowerShell;C;C++;C#;HTML/CSS;Java;JavaScript;PHP;Python;Swift;TypeScript")</f>
        <v>Bash/Shell/PowerShell;C;C++;C#;HTML/CSS;Java;JavaScript;PHP;Python;Swift;TypeScript</v>
      </c>
      <c r="C1565" s="9" t="str">
        <f>IFERROR(__xludf.DUMMYFUNCTION("""COMPUTED_VALUE"""),"HTML/CSS")</f>
        <v>HTML/CSS</v>
      </c>
      <c r="D1565" s="9" t="str">
        <f>IFERROR(__xludf.DUMMYFUNCTION("""COMPUTED_VALUE"""),"HTML/CSS")</f>
        <v>HTML/CSS</v>
      </c>
      <c r="E1565" s="9" t="str">
        <f>IFERROR(__xludf.DUMMYFUNCTION("""COMPUTED_VALUE"""),"Python")</f>
        <v>Python</v>
      </c>
      <c r="F1565" s="9" t="str">
        <f>IFERROR(__xludf.DUMMYFUNCTION("""COMPUTED_VALUE"""),"TypeScript")</f>
        <v>TypeScript</v>
      </c>
      <c r="G1565" s="9" t="str">
        <f>IFERROR(__xludf.DUMMYFUNCTION("""COMPUTED_VALUE"""),"JavaScript")</f>
        <v>JavaScript</v>
      </c>
      <c r="H1565" s="9" t="str">
        <f>IFERROR(__xludf.DUMMYFUNCTION("""COMPUTED_VALUE"""),"SQL")</f>
        <v>SQL</v>
      </c>
      <c r="I1565" s="9" t="str">
        <f>IFERROR(__xludf.DUMMYFUNCTION("""COMPUTED_VALUE"""),"SQL")</f>
        <v>SQL</v>
      </c>
      <c r="J1565" s="9" t="str">
        <f>IFERROR(__xludf.DUMMYFUNCTION("""COMPUTED_VALUE"""),"C++")</f>
        <v>C++</v>
      </c>
      <c r="K1565" s="9" t="str">
        <f>IFERROR(__xludf.DUMMYFUNCTION("""COMPUTED_VALUE"""),"PHP")</f>
        <v>PHP</v>
      </c>
      <c r="L1565" s="9" t="str">
        <f>IFERROR(__xludf.DUMMYFUNCTION("""COMPUTED_VALUE"""),"C#")</f>
        <v>C#</v>
      </c>
      <c r="M1565" s="9" t="s">
        <v>24</v>
      </c>
    </row>
    <row r="1566" ht="15.75" customHeight="1">
      <c r="A1566" s="7"/>
      <c r="B1566" s="7" t="str">
        <f>IFERROR(__xludf.DUMMYFUNCTION("""COMPUTED_VALUE"""),"Bash/Shell/PowerShell;HTML/CSS;Python;R;SQL")</f>
        <v>Bash/Shell/PowerShell;HTML/CSS;Python;R;SQL</v>
      </c>
      <c r="C1566" s="9" t="str">
        <f>IFERROR(__xludf.DUMMYFUNCTION("""COMPUTED_VALUE"""),"Java")</f>
        <v>Java</v>
      </c>
      <c r="D1566" s="9" t="str">
        <f>IFERROR(__xludf.DUMMYFUNCTION("""COMPUTED_VALUE"""),"JavaScript")</f>
        <v>JavaScript</v>
      </c>
      <c r="E1566" s="9" t="str">
        <f>IFERROR(__xludf.DUMMYFUNCTION("""COMPUTED_VALUE"""),"Java")</f>
        <v>Java</v>
      </c>
      <c r="F1566" s="9" t="str">
        <f>IFERROR(__xludf.DUMMYFUNCTION("""COMPUTED_VALUE"""),"WebAssembly")</f>
        <v>WebAssembly</v>
      </c>
      <c r="G1566" s="9" t="str">
        <f>IFERROR(__xludf.DUMMYFUNCTION("""COMPUTED_VALUE"""),"SQL")</f>
        <v>SQL</v>
      </c>
      <c r="H1566" s="9" t="str">
        <f>IFERROR(__xludf.DUMMYFUNCTION("""COMPUTED_VALUE"""),"Bash/Shell/PowerShell")</f>
        <v>Bash/Shell/PowerShell</v>
      </c>
      <c r="I1566" s="9" t="str">
        <f>IFERROR(__xludf.DUMMYFUNCTION("""COMPUTED_VALUE"""),"Bash/Shell/PowerShell")</f>
        <v>Bash/Shell/PowerShell</v>
      </c>
      <c r="J1566" s="9" t="str">
        <f>IFERROR(__xludf.DUMMYFUNCTION("""COMPUTED_VALUE"""),"HTML/CSS")</f>
        <v>HTML/CSS</v>
      </c>
      <c r="K1566" s="9" t="str">
        <f>IFERROR(__xludf.DUMMYFUNCTION("""COMPUTED_VALUE"""),"Python")</f>
        <v>Python</v>
      </c>
      <c r="L1566" s="9" t="str">
        <f>IFERROR(__xludf.DUMMYFUNCTION("""COMPUTED_VALUE"""),"HTML/CSS")</f>
        <v>HTML/CSS</v>
      </c>
      <c r="M1566" s="9" t="s">
        <v>20</v>
      </c>
    </row>
    <row r="1567" ht="15.75" customHeight="1">
      <c r="A1567" s="7"/>
      <c r="B1567" s="7" t="str">
        <f>IFERROR(__xludf.DUMMYFUNCTION("""COMPUTED_VALUE"""),"HTML/CSS;Java;JavaScript;PHP;SQL")</f>
        <v>HTML/CSS;Java;JavaScript;PHP;SQL</v>
      </c>
      <c r="C1567" s="9" t="str">
        <f>IFERROR(__xludf.DUMMYFUNCTION("""COMPUTED_VALUE"""),"JavaScript")</f>
        <v>JavaScript</v>
      </c>
      <c r="D1567" s="9" t="str">
        <f>IFERROR(__xludf.DUMMYFUNCTION("""COMPUTED_VALUE"""),"Python")</f>
        <v>Python</v>
      </c>
      <c r="E1567" s="9" t="str">
        <f>IFERROR(__xludf.DUMMYFUNCTION("""COMPUTED_VALUE"""),"Clojure")</f>
        <v>Clojure</v>
      </c>
      <c r="F1567" s="9" t="str">
        <f>IFERROR(__xludf.DUMMYFUNCTION("""COMPUTED_VALUE"""),"Clojure")</f>
        <v>Clojure</v>
      </c>
      <c r="G1567" s="9" t="str">
        <f>IFERROR(__xludf.DUMMYFUNCTION("""COMPUTED_VALUE"""),"Bash/Shell/PowerShell")</f>
        <v>Bash/Shell/PowerShell</v>
      </c>
      <c r="H1567" s="9" t="str">
        <f>IFERROR(__xludf.DUMMYFUNCTION("""COMPUTED_VALUE"""),"C")</f>
        <v>C</v>
      </c>
      <c r="I1567" s="9" t="str">
        <f>IFERROR(__xludf.DUMMYFUNCTION("""COMPUTED_VALUE"""),"Go")</f>
        <v>Go</v>
      </c>
      <c r="J1567" s="9" t="str">
        <f>IFERROR(__xludf.DUMMYFUNCTION("""COMPUTED_VALUE"""),"JavaScript")</f>
        <v>JavaScript</v>
      </c>
      <c r="K1567" s="9" t="str">
        <f>IFERROR(__xludf.DUMMYFUNCTION("""COMPUTED_VALUE"""),"Bash/Shell/PowerShell")</f>
        <v>Bash/Shell/PowerShell</v>
      </c>
      <c r="L1567" s="9" t="str">
        <f>IFERROR(__xludf.DUMMYFUNCTION("""COMPUTED_VALUE"""),"JavaScript")</f>
        <v>JavaScript</v>
      </c>
      <c r="M1567" s="9" t="s">
        <v>21</v>
      </c>
    </row>
    <row r="1568" ht="15.75" customHeight="1">
      <c r="A1568" s="7"/>
      <c r="B1568" s="7" t="str">
        <f>IFERROR(__xludf.DUMMYFUNCTION("""COMPUTED_VALUE"""),"HTML/CSS;Java;JavaScript;SQL;TypeScript")</f>
        <v>HTML/CSS;Java;JavaScript;SQL;TypeScript</v>
      </c>
      <c r="C1568" s="9" t="str">
        <f>IFERROR(__xludf.DUMMYFUNCTION("""COMPUTED_VALUE"""),"Python")</f>
        <v>Python</v>
      </c>
      <c r="D1568" s="9" t="str">
        <f>IFERROR(__xludf.DUMMYFUNCTION("""COMPUTED_VALUE"""),"TypeScript")</f>
        <v>TypeScript</v>
      </c>
      <c r="E1568" s="9" t="str">
        <f>IFERROR(__xludf.DUMMYFUNCTION("""COMPUTED_VALUE"""),"JavaScript")</f>
        <v>JavaScript</v>
      </c>
      <c r="F1568" s="9" t="str">
        <f>IFERROR(__xludf.DUMMYFUNCTION("""COMPUTED_VALUE"""),"Go")</f>
        <v>Go</v>
      </c>
      <c r="G1568" s="9" t="str">
        <f>IFERROR(__xludf.DUMMYFUNCTION("""COMPUTED_VALUE"""),"C++")</f>
        <v>C++</v>
      </c>
      <c r="H1568" s="9" t="str">
        <f>IFERROR(__xludf.DUMMYFUNCTION("""COMPUTED_VALUE"""),"HTML/CSS")</f>
        <v>HTML/CSS</v>
      </c>
      <c r="I1568" s="9" t="str">
        <f>IFERROR(__xludf.DUMMYFUNCTION("""COMPUTED_VALUE"""),"HTML/CSS")</f>
        <v>HTML/CSS</v>
      </c>
      <c r="J1568" s="9" t="str">
        <f>IFERROR(__xludf.DUMMYFUNCTION("""COMPUTED_VALUE"""),"Python")</f>
        <v>Python</v>
      </c>
      <c r="K1568" s="9" t="str">
        <f>IFERROR(__xludf.DUMMYFUNCTION("""COMPUTED_VALUE"""),"HTML/CSS")</f>
        <v>HTML/CSS</v>
      </c>
      <c r="L1568" s="9" t="str">
        <f>IFERROR(__xludf.DUMMYFUNCTION("""COMPUTED_VALUE"""),"SQL")</f>
        <v>SQL</v>
      </c>
      <c r="M1568" s="9" t="s">
        <v>22</v>
      </c>
    </row>
    <row r="1569" ht="15.75" customHeight="1">
      <c r="A1569" s="7"/>
      <c r="B1569" s="7" t="str">
        <f>IFERROR(__xludf.DUMMYFUNCTION("""COMPUTED_VALUE"""),"Bash/Shell/PowerShell;HTML/CSS;Java;JavaScript;Kotlin;Python;Scala;SQL")</f>
        <v>Bash/Shell/PowerShell;HTML/CSS;Java;JavaScript;Kotlin;Python;Scala;SQL</v>
      </c>
      <c r="C1569" s="9" t="str">
        <f>IFERROR(__xludf.DUMMYFUNCTION("""COMPUTED_VALUE"""),"SQL")</f>
        <v>SQL</v>
      </c>
      <c r="D1569" s="9" t="str">
        <f>IFERROR(__xludf.DUMMYFUNCTION("""COMPUTED_VALUE"""),"Other(s):")</f>
        <v>Other(s):</v>
      </c>
      <c r="E1569" s="9" t="str">
        <f>IFERROR(__xludf.DUMMYFUNCTION("""COMPUTED_VALUE"""),"Ruby")</f>
        <v>Ruby</v>
      </c>
      <c r="F1569" s="9" t="str">
        <f>IFERROR(__xludf.DUMMYFUNCTION("""COMPUTED_VALUE"""),"HTML/CSS")</f>
        <v>HTML/CSS</v>
      </c>
      <c r="G1569" s="9" t="str">
        <f>IFERROR(__xludf.DUMMYFUNCTION("""COMPUTED_VALUE"""),"Java")</f>
        <v>Java</v>
      </c>
      <c r="H1569" s="9" t="str">
        <f>IFERROR(__xludf.DUMMYFUNCTION("""COMPUTED_VALUE"""),"Java")</f>
        <v>Java</v>
      </c>
      <c r="I1569" s="9" t="str">
        <f>IFERROR(__xludf.DUMMYFUNCTION("""COMPUTED_VALUE"""),"JavaScript")</f>
        <v>JavaScript</v>
      </c>
      <c r="J1569" s="9" t="str">
        <f>IFERROR(__xludf.DUMMYFUNCTION("""COMPUTED_VALUE"""),"R")</f>
        <v>R</v>
      </c>
      <c r="K1569" s="9" t="str">
        <f>IFERROR(__xludf.DUMMYFUNCTION("""COMPUTED_VALUE"""),"Java")</f>
        <v>Java</v>
      </c>
      <c r="L1569" s="9" t="str">
        <f>IFERROR(__xludf.DUMMYFUNCTION("""COMPUTED_VALUE"""),"TypeScript")</f>
        <v>TypeScript</v>
      </c>
      <c r="M1569" s="9" t="s">
        <v>27</v>
      </c>
    </row>
    <row r="1570" ht="15.75" customHeight="1">
      <c r="A1570" s="7"/>
      <c r="B1570" s="7" t="str">
        <f>IFERROR(__xludf.DUMMYFUNCTION("""COMPUTED_VALUE"""),"C++;C#;HTML/CSS;Java;JavaScript;SQL")</f>
        <v>C++;C#;HTML/CSS;Java;JavaScript;SQL</v>
      </c>
      <c r="C1570" s="9" t="str">
        <f>IFERROR(__xludf.DUMMYFUNCTION("""COMPUTED_VALUE"""),"Other(s):")</f>
        <v>Other(s):</v>
      </c>
      <c r="D1570" s="9" t="str">
        <f>IFERROR(__xludf.DUMMYFUNCTION("""COMPUTED_VALUE"""),"HTML/CSS")</f>
        <v>HTML/CSS</v>
      </c>
      <c r="E1570" s="9" t="str">
        <f>IFERROR(__xludf.DUMMYFUNCTION("""COMPUTED_VALUE"""),"SQL")</f>
        <v>SQL</v>
      </c>
      <c r="F1570" s="9" t="str">
        <f>IFERROR(__xludf.DUMMYFUNCTION("""COMPUTED_VALUE"""),"Java")</f>
        <v>Java</v>
      </c>
      <c r="G1570" s="9" t="str">
        <f>IFERROR(__xludf.DUMMYFUNCTION("""COMPUTED_VALUE"""),"JavaScript")</f>
        <v>JavaScript</v>
      </c>
      <c r="H1570" s="9" t="str">
        <f>IFERROR(__xludf.DUMMYFUNCTION("""COMPUTED_VALUE"""),"JavaScript")</f>
        <v>JavaScript</v>
      </c>
      <c r="I1570" s="9" t="str">
        <f>IFERROR(__xludf.DUMMYFUNCTION("""COMPUTED_VALUE"""),"Python")</f>
        <v>Python</v>
      </c>
      <c r="J1570" s="9" t="str">
        <f>IFERROR(__xludf.DUMMYFUNCTION("""COMPUTED_VALUE"""),"C#")</f>
        <v>C#</v>
      </c>
      <c r="K1570" s="9" t="str">
        <f>IFERROR(__xludf.DUMMYFUNCTION("""COMPUTED_VALUE"""),"JavaScript")</f>
        <v>JavaScript</v>
      </c>
      <c r="L1570" s="9" t="str">
        <f>IFERROR(__xludf.DUMMYFUNCTION("""COMPUTED_VALUE"""),"JavaScript")</f>
        <v>JavaScript</v>
      </c>
      <c r="M1570" s="9" t="s">
        <v>35</v>
      </c>
    </row>
    <row r="1571" ht="15.75" customHeight="1">
      <c r="A1571" s="7"/>
      <c r="B1571" s="7" t="str">
        <f>IFERROR(__xludf.DUMMYFUNCTION("""COMPUTED_VALUE"""),"Bash/Shell/PowerShell;HTML/CSS;JavaScript;SQL;Other(s):")</f>
        <v>Bash/Shell/PowerShell;HTML/CSS;JavaScript;SQL;Other(s):</v>
      </c>
      <c r="C1571" s="9" t="str">
        <f>IFERROR(__xludf.DUMMYFUNCTION("""COMPUTED_VALUE"""),"Bash/Shell/PowerShell")</f>
        <v>Bash/Shell/PowerShell</v>
      </c>
      <c r="D1571" s="9" t="str">
        <f>IFERROR(__xludf.DUMMYFUNCTION("""COMPUTED_VALUE"""),"JavaScript")</f>
        <v>JavaScript</v>
      </c>
      <c r="E1571" s="9" t="str">
        <f>IFERROR(__xludf.DUMMYFUNCTION("""COMPUTED_VALUE"""),"Other(s):")</f>
        <v>Other(s):</v>
      </c>
      <c r="F1571" s="9" t="str">
        <f>IFERROR(__xludf.DUMMYFUNCTION("""COMPUTED_VALUE"""),"JavaScript")</f>
        <v>JavaScript</v>
      </c>
      <c r="G1571" s="9" t="str">
        <f>IFERROR(__xludf.DUMMYFUNCTION("""COMPUTED_VALUE"""),"Objective-C")</f>
        <v>Objective-C</v>
      </c>
      <c r="H1571" s="9" t="str">
        <f>IFERROR(__xludf.DUMMYFUNCTION("""COMPUTED_VALUE"""),"PHP")</f>
        <v>PHP</v>
      </c>
      <c r="I1571" s="9" t="str">
        <f>IFERROR(__xludf.DUMMYFUNCTION("""COMPUTED_VALUE"""),"TypeScript")</f>
        <v>TypeScript</v>
      </c>
      <c r="J1571" s="9" t="str">
        <f>IFERROR(__xludf.DUMMYFUNCTION("""COMPUTED_VALUE"""),"HTML/CSS")</f>
        <v>HTML/CSS</v>
      </c>
      <c r="K1571" s="9" t="str">
        <f>IFERROR(__xludf.DUMMYFUNCTION("""COMPUTED_VALUE"""),"Python")</f>
        <v>Python</v>
      </c>
      <c r="L1571" s="9" t="str">
        <f>IFERROR(__xludf.DUMMYFUNCTION("""COMPUTED_VALUE"""),"Python")</f>
        <v>Python</v>
      </c>
      <c r="M1571" s="9" t="s">
        <v>30</v>
      </c>
    </row>
    <row r="1572" ht="15.75" customHeight="1">
      <c r="A1572" s="7"/>
      <c r="B1572" s="7" t="str">
        <f>IFERROR(__xludf.DUMMYFUNCTION("""COMPUTED_VALUE"""),"Bash/Shell/PowerShell;HTML/CSS;Java;JavaScript;PHP;SQL")</f>
        <v>Bash/Shell/PowerShell;HTML/CSS;Java;JavaScript;PHP;SQL</v>
      </c>
      <c r="C1572" s="9" t="str">
        <f>IFERROR(__xludf.DUMMYFUNCTION("""COMPUTED_VALUE"""),"C++")</f>
        <v>C++</v>
      </c>
      <c r="D1572" s="9" t="str">
        <f>IFERROR(__xludf.DUMMYFUNCTION("""COMPUTED_VALUE"""),"PHP")</f>
        <v>PHP</v>
      </c>
      <c r="E1572" s="9" t="str">
        <f>IFERROR(__xludf.DUMMYFUNCTION("""COMPUTED_VALUE"""),"Java")</f>
        <v>Java</v>
      </c>
      <c r="F1572" s="9" t="str">
        <f>IFERROR(__xludf.DUMMYFUNCTION("""COMPUTED_VALUE"""),"Kotlin")</f>
        <v>Kotlin</v>
      </c>
      <c r="G1572" s="9" t="str">
        <f>IFERROR(__xludf.DUMMYFUNCTION("""COMPUTED_VALUE"""),"Swift")</f>
        <v>Swift</v>
      </c>
      <c r="H1572" s="9" t="str">
        <f>IFERROR(__xludf.DUMMYFUNCTION("""COMPUTED_VALUE"""),"Python")</f>
        <v>Python</v>
      </c>
      <c r="I1572" s="9" t="str">
        <f>IFERROR(__xludf.DUMMYFUNCTION("""COMPUTED_VALUE"""),"Bash/Shell/PowerShell")</f>
        <v>Bash/Shell/PowerShell</v>
      </c>
      <c r="J1572" s="9" t="str">
        <f>IFERROR(__xludf.DUMMYFUNCTION("""COMPUTED_VALUE"""),"JavaScript")</f>
        <v>JavaScript</v>
      </c>
      <c r="K1572" s="9" t="str">
        <f>IFERROR(__xludf.DUMMYFUNCTION("""COMPUTED_VALUE"""),"SQL")</f>
        <v>SQL</v>
      </c>
      <c r="L1572" s="9" t="str">
        <f>IFERROR(__xludf.DUMMYFUNCTION("""COMPUTED_VALUE"""),"C")</f>
        <v>C</v>
      </c>
      <c r="M1572" s="9" t="s">
        <v>23</v>
      </c>
    </row>
    <row r="1573" ht="15.75" customHeight="1">
      <c r="A1573" s="7"/>
      <c r="B1573" s="7" t="str">
        <f>IFERROR(__xludf.DUMMYFUNCTION("""COMPUTED_VALUE"""),"Bash/Shell/PowerShell;HTML/CSS;Java;JavaScript;SQL;TypeScript")</f>
        <v>Bash/Shell/PowerShell;HTML/CSS;Java;JavaScript;SQL;TypeScript</v>
      </c>
      <c r="C1573" s="9" t="str">
        <f>IFERROR(__xludf.DUMMYFUNCTION("""COMPUTED_VALUE"""),"HTML/CSS")</f>
        <v>HTML/CSS</v>
      </c>
      <c r="D1573" s="9" t="str">
        <f>IFERROR(__xludf.DUMMYFUNCTION("""COMPUTED_VALUE"""),"SQL")</f>
        <v>SQL</v>
      </c>
      <c r="E1573" s="9" t="str">
        <f>IFERROR(__xludf.DUMMYFUNCTION("""COMPUTED_VALUE"""),"JavaScript")</f>
        <v>JavaScript</v>
      </c>
      <c r="F1573" s="9" t="str">
        <f>IFERROR(__xludf.DUMMYFUNCTION("""COMPUTED_VALUE"""),"PHP")</f>
        <v>PHP</v>
      </c>
      <c r="G1573" s="9" t="str">
        <f>IFERROR(__xludf.DUMMYFUNCTION("""COMPUTED_VALUE"""),"Go")</f>
        <v>Go</v>
      </c>
      <c r="H1573" s="9" t="str">
        <f>IFERROR(__xludf.DUMMYFUNCTION("""COMPUTED_VALUE"""),"R")</f>
        <v>R</v>
      </c>
      <c r="I1573" s="9" t="str">
        <f>IFERROR(__xludf.DUMMYFUNCTION("""COMPUTED_VALUE"""),"C")</f>
        <v>C</v>
      </c>
      <c r="J1573" s="9" t="str">
        <f>IFERROR(__xludf.DUMMYFUNCTION("""COMPUTED_VALUE"""),"SQL")</f>
        <v>SQL</v>
      </c>
      <c r="K1573" s="9" t="str">
        <f>IFERROR(__xludf.DUMMYFUNCTION("""COMPUTED_VALUE"""),"Swift")</f>
        <v>Swift</v>
      </c>
      <c r="L1573" s="9" t="str">
        <f>IFERROR(__xludf.DUMMYFUNCTION("""COMPUTED_VALUE"""),"Go")</f>
        <v>Go</v>
      </c>
      <c r="M1573" s="9" t="s">
        <v>24</v>
      </c>
    </row>
    <row r="1574" ht="15.75" customHeight="1">
      <c r="A1574" s="7"/>
      <c r="B1574" s="7" t="str">
        <f>IFERROR(__xludf.DUMMYFUNCTION("""COMPUTED_VALUE"""),"C#;SQL")</f>
        <v>C#;SQL</v>
      </c>
      <c r="C1574" s="9" t="str">
        <f>IFERROR(__xludf.DUMMYFUNCTION("""COMPUTED_VALUE"""),"Java")</f>
        <v>Java</v>
      </c>
      <c r="D1574" s="9" t="str">
        <f>IFERROR(__xludf.DUMMYFUNCTION("""COMPUTED_VALUE"""),"Bash/Shell/PowerShell")</f>
        <v>Bash/Shell/PowerShell</v>
      </c>
      <c r="E1574" s="9" t="str">
        <f>IFERROR(__xludf.DUMMYFUNCTION("""COMPUTED_VALUE"""),"SQL")</f>
        <v>SQL</v>
      </c>
      <c r="F1574" s="9" t="str">
        <f>IFERROR(__xludf.DUMMYFUNCTION("""COMPUTED_VALUE"""),"TypeScript")</f>
        <v>TypeScript</v>
      </c>
      <c r="G1574" s="9" t="str">
        <f>IFERROR(__xludf.DUMMYFUNCTION("""COMPUTED_VALUE"""),"Python")</f>
        <v>Python</v>
      </c>
      <c r="H1574" s="9" t="str">
        <f>IFERROR(__xludf.DUMMYFUNCTION("""COMPUTED_VALUE"""),"SQL")</f>
        <v>SQL</v>
      </c>
      <c r="I1574" s="9" t="str">
        <f>IFERROR(__xludf.DUMMYFUNCTION("""COMPUTED_VALUE"""),"C++")</f>
        <v>C++</v>
      </c>
      <c r="J1574" s="9" t="str">
        <f>IFERROR(__xludf.DUMMYFUNCTION("""COMPUTED_VALUE"""),"Bash/Shell/PowerShell")</f>
        <v>Bash/Shell/PowerShell</v>
      </c>
      <c r="K1574" s="9" t="str">
        <f>IFERROR(__xludf.DUMMYFUNCTION("""COMPUTED_VALUE"""),"TypeScript")</f>
        <v>TypeScript</v>
      </c>
      <c r="L1574" s="9" t="str">
        <f>IFERROR(__xludf.DUMMYFUNCTION("""COMPUTED_VALUE"""),"R")</f>
        <v>R</v>
      </c>
      <c r="M1574" s="9" t="s">
        <v>20</v>
      </c>
    </row>
    <row r="1575" ht="15.75" customHeight="1">
      <c r="A1575" s="7"/>
      <c r="B1575" s="7" t="str">
        <f>IFERROR(__xludf.DUMMYFUNCTION("""COMPUTED_VALUE"""),"Bash/Shell/PowerShell;C;C++;Java;Kotlin;Python;Other(s):")</f>
        <v>Bash/Shell/PowerShell;C;C++;Java;Kotlin;Python;Other(s):</v>
      </c>
      <c r="C1575" s="9" t="str">
        <f>IFERROR(__xludf.DUMMYFUNCTION("""COMPUTED_VALUE"""),"JavaScript")</f>
        <v>JavaScript</v>
      </c>
      <c r="D1575" s="9" t="str">
        <f>IFERROR(__xludf.DUMMYFUNCTION("""COMPUTED_VALUE"""),"C")</f>
        <v>C</v>
      </c>
      <c r="E1575" s="9" t="str">
        <f>IFERROR(__xludf.DUMMYFUNCTION("""COMPUTED_VALUE"""),"TypeScript")</f>
        <v>TypeScript</v>
      </c>
      <c r="F1575" s="9" t="str">
        <f>IFERROR(__xludf.DUMMYFUNCTION("""COMPUTED_VALUE"""),"Assembly")</f>
        <v>Assembly</v>
      </c>
      <c r="G1575" s="9" t="str">
        <f>IFERROR(__xludf.DUMMYFUNCTION("""COMPUTED_VALUE"""),"SQL")</f>
        <v>SQL</v>
      </c>
      <c r="H1575" s="9" t="str">
        <f>IFERROR(__xludf.DUMMYFUNCTION("""COMPUTED_VALUE"""),"Bash/Shell/PowerShell")</f>
        <v>Bash/Shell/PowerShell</v>
      </c>
      <c r="I1575" s="9" t="str">
        <f>IFERROR(__xludf.DUMMYFUNCTION("""COMPUTED_VALUE"""),"HTML/CSS")</f>
        <v>HTML/CSS</v>
      </c>
      <c r="J1575" s="9" t="str">
        <f>IFERROR(__xludf.DUMMYFUNCTION("""COMPUTED_VALUE"""),"C#")</f>
        <v>C#</v>
      </c>
      <c r="K1575" s="9" t="str">
        <f>IFERROR(__xludf.DUMMYFUNCTION("""COMPUTED_VALUE"""),"Bash/Shell/PowerShell")</f>
        <v>Bash/Shell/PowerShell</v>
      </c>
      <c r="L1575" s="9" t="str">
        <f>IFERROR(__xludf.DUMMYFUNCTION("""COMPUTED_VALUE"""),"HTML/CSS")</f>
        <v>HTML/CSS</v>
      </c>
      <c r="M1575" s="9" t="s">
        <v>21</v>
      </c>
    </row>
    <row r="1576" ht="15.75" customHeight="1">
      <c r="A1576" s="7"/>
      <c r="B1576" s="7" t="str">
        <f>IFERROR(__xludf.DUMMYFUNCTION("""COMPUTED_VALUE"""),"C++;HTML/CSS;JavaScript;Python")</f>
        <v>C++;HTML/CSS;JavaScript;Python</v>
      </c>
      <c r="C1576" s="9" t="str">
        <f>IFERROR(__xludf.DUMMYFUNCTION("""COMPUTED_VALUE"""),"Python")</f>
        <v>Python</v>
      </c>
      <c r="D1576" s="9" t="str">
        <f>IFERROR(__xludf.DUMMYFUNCTION("""COMPUTED_VALUE"""),"C++")</f>
        <v>C++</v>
      </c>
      <c r="E1576" s="9" t="str">
        <f>IFERROR(__xludf.DUMMYFUNCTION("""COMPUTED_VALUE"""),"Bash/Shell/PowerShell")</f>
        <v>Bash/Shell/PowerShell</v>
      </c>
      <c r="F1576" s="9" t="str">
        <f>IFERROR(__xludf.DUMMYFUNCTION("""COMPUTED_VALUE"""),"Bash/Shell/PowerShell")</f>
        <v>Bash/Shell/PowerShell</v>
      </c>
      <c r="G1576" s="9" t="str">
        <f>IFERROR(__xludf.DUMMYFUNCTION("""COMPUTED_VALUE"""),"Other(s):")</f>
        <v>Other(s):</v>
      </c>
      <c r="H1576" s="9" t="str">
        <f>IFERROR(__xludf.DUMMYFUNCTION("""COMPUTED_VALUE"""),"C")</f>
        <v>C</v>
      </c>
      <c r="I1576" s="9" t="str">
        <f>IFERROR(__xludf.DUMMYFUNCTION("""COMPUTED_VALUE"""),"Java")</f>
        <v>Java</v>
      </c>
      <c r="J1576" s="9" t="str">
        <f>IFERROR(__xludf.DUMMYFUNCTION("""COMPUTED_VALUE"""),"HTML/CSS")</f>
        <v>HTML/CSS</v>
      </c>
      <c r="K1576" s="9" t="str">
        <f>IFERROR(__xludf.DUMMYFUNCTION("""COMPUTED_VALUE"""),"C#")</f>
        <v>C#</v>
      </c>
      <c r="L1576" s="9" t="str">
        <f>IFERROR(__xludf.DUMMYFUNCTION("""COMPUTED_VALUE"""),"Java")</f>
        <v>Java</v>
      </c>
      <c r="M1576" s="9" t="s">
        <v>22</v>
      </c>
    </row>
    <row r="1577" ht="15.75" customHeight="1">
      <c r="A1577" s="7"/>
      <c r="B1577" s="7" t="str">
        <f>IFERROR(__xludf.DUMMYFUNCTION("""COMPUTED_VALUE"""),"HTML/CSS;JavaScript;PHP;Scala;SQL")</f>
        <v>HTML/CSS;JavaScript;PHP;Scala;SQL</v>
      </c>
      <c r="C1577" s="9" t="str">
        <f>IFERROR(__xludf.DUMMYFUNCTION("""COMPUTED_VALUE"""),"Java")</f>
        <v>Java</v>
      </c>
      <c r="D1577" s="9" t="str">
        <f>IFERROR(__xludf.DUMMYFUNCTION("""COMPUTED_VALUE"""),"Clojure")</f>
        <v>Clojure</v>
      </c>
      <c r="E1577" s="9" t="str">
        <f>IFERROR(__xludf.DUMMYFUNCTION("""COMPUTED_VALUE"""),"C#")</f>
        <v>C#</v>
      </c>
      <c r="F1577" s="9" t="str">
        <f>IFERROR(__xludf.DUMMYFUNCTION("""COMPUTED_VALUE"""),"C")</f>
        <v>C</v>
      </c>
      <c r="G1577" s="9" t="str">
        <f>IFERROR(__xludf.DUMMYFUNCTION("""COMPUTED_VALUE"""),"Bash/Shell/PowerShell")</f>
        <v>Bash/Shell/PowerShell</v>
      </c>
      <c r="H1577" s="9" t="str">
        <f>IFERROR(__xludf.DUMMYFUNCTION("""COMPUTED_VALUE"""),"HTML/CSS")</f>
        <v>HTML/CSS</v>
      </c>
      <c r="I1577" s="9" t="str">
        <f>IFERROR(__xludf.DUMMYFUNCTION("""COMPUTED_VALUE"""),"JavaScript")</f>
        <v>JavaScript</v>
      </c>
      <c r="J1577" s="9" t="str">
        <f>IFERROR(__xludf.DUMMYFUNCTION("""COMPUTED_VALUE"""),"Java")</f>
        <v>Java</v>
      </c>
      <c r="K1577" s="9" t="str">
        <f>IFERROR(__xludf.DUMMYFUNCTION("""COMPUTED_VALUE"""),"HTML/CSS")</f>
        <v>HTML/CSS</v>
      </c>
      <c r="L1577" s="9" t="str">
        <f>IFERROR(__xludf.DUMMYFUNCTION("""COMPUTED_VALUE"""),"JavaScript")</f>
        <v>JavaScript</v>
      </c>
      <c r="M1577" s="9" t="s">
        <v>20</v>
      </c>
    </row>
    <row r="1578" ht="15.75" customHeight="1">
      <c r="A1578" s="7"/>
      <c r="B1578" s="7" t="str">
        <f>IFERROR(__xludf.DUMMYFUNCTION("""COMPUTED_VALUE"""),"Bash/Shell/PowerShell;C#;HTML/CSS;JavaScript;PHP;Python;SQL")</f>
        <v>Bash/Shell/PowerShell;C#;HTML/CSS;JavaScript;PHP;Python;SQL</v>
      </c>
      <c r="C1578" s="9" t="str">
        <f>IFERROR(__xludf.DUMMYFUNCTION("""COMPUTED_VALUE"""),"SQL")</f>
        <v>SQL</v>
      </c>
      <c r="D1578" s="9" t="str">
        <f>IFERROR(__xludf.DUMMYFUNCTION("""COMPUTED_VALUE"""),"Go")</f>
        <v>Go</v>
      </c>
      <c r="E1578" s="9" t="str">
        <f>IFERROR(__xludf.DUMMYFUNCTION("""COMPUTED_VALUE"""),"HTML/CSS")</f>
        <v>HTML/CSS</v>
      </c>
      <c r="F1578" s="9" t="str">
        <f>IFERROR(__xludf.DUMMYFUNCTION("""COMPUTED_VALUE"""),"C++")</f>
        <v>C++</v>
      </c>
      <c r="G1578" s="9" t="str">
        <f>IFERROR(__xludf.DUMMYFUNCTION("""COMPUTED_VALUE"""),"Java")</f>
        <v>Java</v>
      </c>
      <c r="H1578" s="9" t="str">
        <f>IFERROR(__xludf.DUMMYFUNCTION("""COMPUTED_VALUE"""),"Java")</f>
        <v>Java</v>
      </c>
      <c r="I1578" s="9" t="str">
        <f>IFERROR(__xludf.DUMMYFUNCTION("""COMPUTED_VALUE"""),"PHP")</f>
        <v>PHP</v>
      </c>
      <c r="J1578" s="9" t="str">
        <f>IFERROR(__xludf.DUMMYFUNCTION("""COMPUTED_VALUE"""),"JavaScript")</f>
        <v>JavaScript</v>
      </c>
      <c r="K1578" s="9" t="str">
        <f>IFERROR(__xludf.DUMMYFUNCTION("""COMPUTED_VALUE"""),"JavaScript")</f>
        <v>JavaScript</v>
      </c>
      <c r="L1578" s="9" t="str">
        <f>IFERROR(__xludf.DUMMYFUNCTION("""COMPUTED_VALUE"""),"PHP")</f>
        <v>PHP</v>
      </c>
      <c r="M1578" s="9" t="s">
        <v>27</v>
      </c>
    </row>
    <row r="1579" ht="15.75" customHeight="1">
      <c r="A1579" s="7"/>
      <c r="B1579" s="7" t="str">
        <f>IFERROR(__xludf.DUMMYFUNCTION("""COMPUTED_VALUE"""),"C;C++;C#;HTML/CSS;Java;JavaScript;Kotlin;Rust;SQL;Swift;TypeScript")</f>
        <v>C;C++;C#;HTML/CSS;Java;JavaScript;Kotlin;Rust;SQL;Swift;TypeScript</v>
      </c>
      <c r="C1579" s="9" t="str">
        <f>IFERROR(__xludf.DUMMYFUNCTION("""COMPUTED_VALUE"""),"Bash/Shell/PowerShell")</f>
        <v>Bash/Shell/PowerShell</v>
      </c>
      <c r="D1579" s="9" t="str">
        <f>IFERROR(__xludf.DUMMYFUNCTION("""COMPUTED_VALUE"""),"HTML/CSS")</f>
        <v>HTML/CSS</v>
      </c>
      <c r="E1579" s="9" t="str">
        <f>IFERROR(__xludf.DUMMYFUNCTION("""COMPUTED_VALUE"""),"JavaScript")</f>
        <v>JavaScript</v>
      </c>
      <c r="F1579" s="9" t="str">
        <f>IFERROR(__xludf.DUMMYFUNCTION("""COMPUTED_VALUE"""),"HTML/CSS")</f>
        <v>HTML/CSS</v>
      </c>
      <c r="G1579" s="9" t="str">
        <f>IFERROR(__xludf.DUMMYFUNCTION("""COMPUTED_VALUE"""),"Python")</f>
        <v>Python</v>
      </c>
      <c r="H1579" s="9" t="str">
        <f>IFERROR(__xludf.DUMMYFUNCTION("""COMPUTED_VALUE"""),"Python")</f>
        <v>Python</v>
      </c>
      <c r="I1579" s="9" t="str">
        <f>IFERROR(__xludf.DUMMYFUNCTION("""COMPUTED_VALUE"""),"TypeScript")</f>
        <v>TypeScript</v>
      </c>
      <c r="J1579" s="9" t="str">
        <f>IFERROR(__xludf.DUMMYFUNCTION("""COMPUTED_VALUE"""),"SQL")</f>
        <v>SQL</v>
      </c>
      <c r="K1579" s="9" t="str">
        <f>IFERROR(__xludf.DUMMYFUNCTION("""COMPUTED_VALUE"""),"PHP")</f>
        <v>PHP</v>
      </c>
      <c r="L1579" s="9" t="str">
        <f>IFERROR(__xludf.DUMMYFUNCTION("""COMPUTED_VALUE"""),"Python")</f>
        <v>Python</v>
      </c>
      <c r="M1579" s="9" t="s">
        <v>30</v>
      </c>
    </row>
    <row r="1580" ht="15.75" customHeight="1">
      <c r="A1580" s="7"/>
      <c r="B1580" s="7" t="str">
        <f>IFERROR(__xludf.DUMMYFUNCTION("""COMPUTED_VALUE"""),"HTML/CSS;JavaScript;PHP;SQL")</f>
        <v>HTML/CSS;JavaScript;PHP;SQL</v>
      </c>
      <c r="C1580" s="9" t="str">
        <f>IFERROR(__xludf.DUMMYFUNCTION("""COMPUTED_VALUE"""),"Java")</f>
        <v>Java</v>
      </c>
      <c r="D1580" s="9" t="str">
        <f>IFERROR(__xludf.DUMMYFUNCTION("""COMPUTED_VALUE"""),"Java")</f>
        <v>Java</v>
      </c>
      <c r="E1580" s="9" t="str">
        <f>IFERROR(__xludf.DUMMYFUNCTION("""COMPUTED_VALUE"""),"Python")</f>
        <v>Python</v>
      </c>
      <c r="F1580" s="9" t="str">
        <f>IFERROR(__xludf.DUMMYFUNCTION("""COMPUTED_VALUE"""),"Python")</f>
        <v>Python</v>
      </c>
      <c r="G1580" s="9" t="str">
        <f>IFERROR(__xludf.DUMMYFUNCTION("""COMPUTED_VALUE"""),"C")</f>
        <v>C</v>
      </c>
      <c r="H1580" s="9" t="str">
        <f>IFERROR(__xludf.DUMMYFUNCTION("""COMPUTED_VALUE"""),"SQL")</f>
        <v>SQL</v>
      </c>
      <c r="I1580" s="9" t="str">
        <f>IFERROR(__xludf.DUMMYFUNCTION("""COMPUTED_VALUE"""),"Swift")</f>
        <v>Swift</v>
      </c>
      <c r="J1580" s="9" t="str">
        <f>IFERROR(__xludf.DUMMYFUNCTION("""COMPUTED_VALUE"""),"TypeScript")</f>
        <v>TypeScript</v>
      </c>
      <c r="K1580" s="9" t="str">
        <f>IFERROR(__xludf.DUMMYFUNCTION("""COMPUTED_VALUE"""),"SQL")</f>
        <v>SQL</v>
      </c>
      <c r="L1580" s="9" t="str">
        <f>IFERROR(__xludf.DUMMYFUNCTION("""COMPUTED_VALUE"""),"Ruby")</f>
        <v>Ruby</v>
      </c>
      <c r="M1580" s="9" t="s">
        <v>20</v>
      </c>
    </row>
    <row r="1581" ht="15.75" customHeight="1">
      <c r="A1581" s="7"/>
      <c r="B1581" s="7" t="str">
        <f>IFERROR(__xludf.DUMMYFUNCTION("""COMPUTED_VALUE"""),"C#;HTML/CSS;JavaScript;TypeScript")</f>
        <v>C#;HTML/CSS;JavaScript;TypeScript</v>
      </c>
      <c r="C1581" s="9" t="str">
        <f>IFERROR(__xludf.DUMMYFUNCTION("""COMPUTED_VALUE"""),"Bash/Shell/PowerShell")</f>
        <v>Bash/Shell/PowerShell</v>
      </c>
      <c r="D1581" s="9" t="str">
        <f>IFERROR(__xludf.DUMMYFUNCTION("""COMPUTED_VALUE"""),"JavaScript")</f>
        <v>JavaScript</v>
      </c>
      <c r="E1581" s="9" t="str">
        <f>IFERROR(__xludf.DUMMYFUNCTION("""COMPUTED_VALUE"""),"SQL")</f>
        <v>SQL</v>
      </c>
      <c r="F1581" s="9" t="str">
        <f>IFERROR(__xludf.DUMMYFUNCTION("""COMPUTED_VALUE"""),"C")</f>
        <v>C</v>
      </c>
      <c r="G1581" s="9" t="str">
        <f>IFERROR(__xludf.DUMMYFUNCTION("""COMPUTED_VALUE"""),"C++")</f>
        <v>C++</v>
      </c>
      <c r="H1581" s="9" t="str">
        <f>IFERROR(__xludf.DUMMYFUNCTION("""COMPUTED_VALUE"""),"Bash/Shell/PowerShell")</f>
        <v>Bash/Shell/PowerShell</v>
      </c>
      <c r="I1581" s="9" t="str">
        <f>IFERROR(__xludf.DUMMYFUNCTION("""COMPUTED_VALUE"""),"HTML/CSS")</f>
        <v>HTML/CSS</v>
      </c>
      <c r="J1581" s="9" t="str">
        <f>IFERROR(__xludf.DUMMYFUNCTION("""COMPUTED_VALUE"""),"Assembly")</f>
        <v>Assembly</v>
      </c>
      <c r="K1581" s="9" t="str">
        <f>IFERROR(__xludf.DUMMYFUNCTION("""COMPUTED_VALUE"""),"JavaScript")</f>
        <v>JavaScript</v>
      </c>
      <c r="L1581" s="9" t="str">
        <f>IFERROR(__xludf.DUMMYFUNCTION("""COMPUTED_VALUE"""),"SQL")</f>
        <v>SQL</v>
      </c>
      <c r="M1581" s="9" t="s">
        <v>30</v>
      </c>
    </row>
    <row r="1582" ht="15.75" customHeight="1">
      <c r="A1582" s="7"/>
      <c r="B1582" s="7" t="str">
        <f>IFERROR(__xludf.DUMMYFUNCTION("""COMPUTED_VALUE"""),"Bash/Shell/PowerShell;C#;Go;HTML/CSS;JavaScript;Python;R")</f>
        <v>Bash/Shell/PowerShell;C#;Go;HTML/CSS;JavaScript;Python;R</v>
      </c>
      <c r="C1582" s="9" t="str">
        <f>IFERROR(__xludf.DUMMYFUNCTION("""COMPUTED_VALUE"""),"HTML/CSS")</f>
        <v>HTML/CSS</v>
      </c>
      <c r="D1582" s="9" t="str">
        <f>IFERROR(__xludf.DUMMYFUNCTION("""COMPUTED_VALUE"""),"Kotlin")</f>
        <v>Kotlin</v>
      </c>
      <c r="E1582" s="9" t="str">
        <f>IFERROR(__xludf.DUMMYFUNCTION("""COMPUTED_VALUE"""),"HTML/CSS")</f>
        <v>HTML/CSS</v>
      </c>
      <c r="F1582" s="9" t="str">
        <f>IFERROR(__xludf.DUMMYFUNCTION("""COMPUTED_VALUE"""),"C++")</f>
        <v>C++</v>
      </c>
      <c r="G1582" s="9" t="str">
        <f>IFERROR(__xludf.DUMMYFUNCTION("""COMPUTED_VALUE"""),"Bash/Shell/PowerShell")</f>
        <v>Bash/Shell/PowerShell</v>
      </c>
      <c r="H1582" s="9" t="str">
        <f>IFERROR(__xludf.DUMMYFUNCTION("""COMPUTED_VALUE"""),"HTML/CSS")</f>
        <v>HTML/CSS</v>
      </c>
      <c r="I1582" s="9" t="str">
        <f>IFERROR(__xludf.DUMMYFUNCTION("""COMPUTED_VALUE"""),"JavaScript")</f>
        <v>JavaScript</v>
      </c>
      <c r="J1582" s="9" t="str">
        <f>IFERROR(__xludf.DUMMYFUNCTION("""COMPUTED_VALUE"""),"Bash/Shell/PowerShell")</f>
        <v>Bash/Shell/PowerShell</v>
      </c>
      <c r="K1582" s="9" t="str">
        <f>IFERROR(__xludf.DUMMYFUNCTION("""COMPUTED_VALUE"""),"Python")</f>
        <v>Python</v>
      </c>
      <c r="L1582" s="9" t="str">
        <f>IFERROR(__xludf.DUMMYFUNCTION("""COMPUTED_VALUE"""),"Bash/Shell/PowerShell")</f>
        <v>Bash/Shell/PowerShell</v>
      </c>
      <c r="M1582" s="9" t="s">
        <v>24</v>
      </c>
    </row>
    <row r="1583" ht="15.75" customHeight="1">
      <c r="A1583" s="7"/>
      <c r="B1583" s="7" t="str">
        <f>IFERROR(__xludf.DUMMYFUNCTION("""COMPUTED_VALUE"""),"HTML/CSS;JavaScript;Python;Other(s):")</f>
        <v>HTML/CSS;JavaScript;Python;Other(s):</v>
      </c>
      <c r="C1583" s="9" t="str">
        <f>IFERROR(__xludf.DUMMYFUNCTION("""COMPUTED_VALUE"""),"JavaScript")</f>
        <v>JavaScript</v>
      </c>
      <c r="D1583" s="9" t="str">
        <f>IFERROR(__xludf.DUMMYFUNCTION("""COMPUTED_VALUE"""),"PHP")</f>
        <v>PHP</v>
      </c>
      <c r="E1583" s="9" t="str">
        <f>IFERROR(__xludf.DUMMYFUNCTION("""COMPUTED_VALUE"""),"JavaScript")</f>
        <v>JavaScript</v>
      </c>
      <c r="F1583" s="9" t="str">
        <f>IFERROR(__xludf.DUMMYFUNCTION("""COMPUTED_VALUE"""),"C#")</f>
        <v>C#</v>
      </c>
      <c r="G1583" s="9" t="str">
        <f>IFERROR(__xludf.DUMMYFUNCTION("""COMPUTED_VALUE"""),"HTML/CSS")</f>
        <v>HTML/CSS</v>
      </c>
      <c r="H1583" s="9" t="str">
        <f>IFERROR(__xludf.DUMMYFUNCTION("""COMPUTED_VALUE"""),"JavaScript")</f>
        <v>JavaScript</v>
      </c>
      <c r="I1583" s="9" t="str">
        <f>IFERROR(__xludf.DUMMYFUNCTION("""COMPUTED_VALUE"""),"PHP")</f>
        <v>PHP</v>
      </c>
      <c r="J1583" s="9" t="str">
        <f>IFERROR(__xludf.DUMMYFUNCTION("""COMPUTED_VALUE"""),"C++")</f>
        <v>C++</v>
      </c>
      <c r="K1583" s="9" t="str">
        <f>IFERROR(__xludf.DUMMYFUNCTION("""COMPUTED_VALUE"""),"Dart")</f>
        <v>Dart</v>
      </c>
      <c r="L1583" s="9" t="str">
        <f>IFERROR(__xludf.DUMMYFUNCTION("""COMPUTED_VALUE"""),"C#")</f>
        <v>C#</v>
      </c>
      <c r="M1583" s="9" t="s">
        <v>21</v>
      </c>
    </row>
    <row r="1584" ht="15.75" customHeight="1">
      <c r="A1584" s="7"/>
      <c r="B1584" s="7" t="str">
        <f>IFERROR(__xludf.DUMMYFUNCTION("""COMPUTED_VALUE"""),"Bash/Shell/PowerShell;C;C++;Python")</f>
        <v>Bash/Shell/PowerShell;C;C++;Python</v>
      </c>
      <c r="C1584" s="9" t="str">
        <f>IFERROR(__xludf.DUMMYFUNCTION("""COMPUTED_VALUE"""),"PHP")</f>
        <v>PHP</v>
      </c>
      <c r="D1584" s="9" t="str">
        <f>IFERROR(__xludf.DUMMYFUNCTION("""COMPUTED_VALUE"""),"Python")</f>
        <v>Python</v>
      </c>
      <c r="E1584" s="9" t="str">
        <f>IFERROR(__xludf.DUMMYFUNCTION("""COMPUTED_VALUE"""),"C")</f>
        <v>C</v>
      </c>
      <c r="F1584" s="9" t="str">
        <f>IFERROR(__xludf.DUMMYFUNCTION("""COMPUTED_VALUE"""),"HTML/CSS")</f>
        <v>HTML/CSS</v>
      </c>
      <c r="G1584" s="9" t="str">
        <f>IFERROR(__xludf.DUMMYFUNCTION("""COMPUTED_VALUE"""),"JavaScript")</f>
        <v>JavaScript</v>
      </c>
      <c r="H1584" s="9" t="str">
        <f>IFERROR(__xludf.DUMMYFUNCTION("""COMPUTED_VALUE"""),"PHP")</f>
        <v>PHP</v>
      </c>
      <c r="I1584" s="9" t="str">
        <f>IFERROR(__xludf.DUMMYFUNCTION("""COMPUTED_VALUE"""),"Bash/Shell/PowerShell")</f>
        <v>Bash/Shell/PowerShell</v>
      </c>
      <c r="J1584" s="9" t="str">
        <f>IFERROR(__xludf.DUMMYFUNCTION("""COMPUTED_VALUE"""),"HTML/CSS")</f>
        <v>HTML/CSS</v>
      </c>
      <c r="K1584" s="9" t="str">
        <f>IFERROR(__xludf.DUMMYFUNCTION("""COMPUTED_VALUE"""),"Java")</f>
        <v>Java</v>
      </c>
      <c r="L1584" s="9" t="str">
        <f>IFERROR(__xludf.DUMMYFUNCTION("""COMPUTED_VALUE"""),"C#")</f>
        <v>C#</v>
      </c>
      <c r="M1584" s="9" t="s">
        <v>37</v>
      </c>
    </row>
    <row r="1585" ht="15.75" customHeight="1">
      <c r="A1585" s="7"/>
      <c r="B1585" s="7" t="str">
        <f>IFERROR(__xludf.DUMMYFUNCTION("""COMPUTED_VALUE"""),"C++;Python")</f>
        <v>C++;Python</v>
      </c>
      <c r="C1585" s="9" t="str">
        <f>IFERROR(__xludf.DUMMYFUNCTION("""COMPUTED_VALUE"""),"TypeScript")</f>
        <v>TypeScript</v>
      </c>
      <c r="D1585" s="9" t="str">
        <f>IFERROR(__xludf.DUMMYFUNCTION("""COMPUTED_VALUE"""),"SQL")</f>
        <v>SQL</v>
      </c>
      <c r="E1585" s="9" t="str">
        <f>IFERROR(__xludf.DUMMYFUNCTION("""COMPUTED_VALUE"""),"Python")</f>
        <v>Python</v>
      </c>
      <c r="F1585" s="9" t="str">
        <f>IFERROR(__xludf.DUMMYFUNCTION("""COMPUTED_VALUE"""),"Java")</f>
        <v>Java</v>
      </c>
      <c r="G1585" s="9" t="str">
        <f>IFERROR(__xludf.DUMMYFUNCTION("""COMPUTED_VALUE"""),"Ruby")</f>
        <v>Ruby</v>
      </c>
      <c r="H1585" s="9" t="str">
        <f>IFERROR(__xludf.DUMMYFUNCTION("""COMPUTED_VALUE"""),"Ruby")</f>
        <v>Ruby</v>
      </c>
      <c r="I1585" s="9" t="str">
        <f>IFERROR(__xludf.DUMMYFUNCTION("""COMPUTED_VALUE"""),"HTML/CSS")</f>
        <v>HTML/CSS</v>
      </c>
      <c r="J1585" s="9" t="str">
        <f>IFERROR(__xludf.DUMMYFUNCTION("""COMPUTED_VALUE"""),"Java")</f>
        <v>Java</v>
      </c>
      <c r="K1585" s="9" t="str">
        <f>IFERROR(__xludf.DUMMYFUNCTION("""COMPUTED_VALUE"""),"Kotlin")</f>
        <v>Kotlin</v>
      </c>
      <c r="L1585" s="9" t="str">
        <f>IFERROR(__xludf.DUMMYFUNCTION("""COMPUTED_VALUE"""),"HTML/CSS")</f>
        <v>HTML/CSS</v>
      </c>
      <c r="M1585" s="9" t="s">
        <v>33</v>
      </c>
    </row>
    <row r="1586" ht="15.75" customHeight="1">
      <c r="A1586" s="7"/>
      <c r="B1586" s="7" t="str">
        <f>IFERROR(__xludf.DUMMYFUNCTION("""COMPUTED_VALUE"""),"HTML/CSS;Java;JavaScript;TypeScript;Other(s):")</f>
        <v>HTML/CSS;Java;JavaScript;TypeScript;Other(s):</v>
      </c>
      <c r="C1586" s="9" t="str">
        <f>IFERROR(__xludf.DUMMYFUNCTION("""COMPUTED_VALUE"""),"C#")</f>
        <v>C#</v>
      </c>
      <c r="D1586" s="9" t="str">
        <f>IFERROR(__xludf.DUMMYFUNCTION("""COMPUTED_VALUE"""),"TypeScript")</f>
        <v>TypeScript</v>
      </c>
      <c r="E1586" s="9" t="str">
        <f>IFERROR(__xludf.DUMMYFUNCTION("""COMPUTED_VALUE"""),"R")</f>
        <v>R</v>
      </c>
      <c r="F1586" s="9" t="str">
        <f>IFERROR(__xludf.DUMMYFUNCTION("""COMPUTED_VALUE"""),"JavaScript")</f>
        <v>JavaScript</v>
      </c>
      <c r="G1586" s="9" t="str">
        <f>IFERROR(__xludf.DUMMYFUNCTION("""COMPUTED_VALUE"""),"SQL")</f>
        <v>SQL</v>
      </c>
      <c r="H1586" s="9" t="str">
        <f>IFERROR(__xludf.DUMMYFUNCTION("""COMPUTED_VALUE"""),"SQL")</f>
        <v>SQL</v>
      </c>
      <c r="I1586" s="9" t="str">
        <f>IFERROR(__xludf.DUMMYFUNCTION("""COMPUTED_VALUE"""),"Java")</f>
        <v>Java</v>
      </c>
      <c r="J1586" s="9" t="str">
        <f>IFERROR(__xludf.DUMMYFUNCTION("""COMPUTED_VALUE"""),"JavaScript")</f>
        <v>JavaScript</v>
      </c>
      <c r="K1586" s="9" t="str">
        <f>IFERROR(__xludf.DUMMYFUNCTION("""COMPUTED_VALUE"""),"Objective-C")</f>
        <v>Objective-C</v>
      </c>
      <c r="L1586" s="9" t="str">
        <f>IFERROR(__xludf.DUMMYFUNCTION("""COMPUTED_VALUE"""),"JavaScript")</f>
        <v>JavaScript</v>
      </c>
      <c r="M1586" s="9" t="s">
        <v>26</v>
      </c>
    </row>
    <row r="1587" ht="15.75" customHeight="1">
      <c r="A1587" s="7"/>
      <c r="B1587" s="7" t="str">
        <f>IFERROR(__xludf.DUMMYFUNCTION("""COMPUTED_VALUE"""),"HTML/CSS;JavaScript;PHP;Ruby;SQL;TypeScript;Other(s):")</f>
        <v>HTML/CSS;JavaScript;PHP;Ruby;SQL;TypeScript;Other(s):</v>
      </c>
      <c r="C1587" s="9" t="str">
        <f>IFERROR(__xludf.DUMMYFUNCTION("""COMPUTED_VALUE"""),"HTML/CSS")</f>
        <v>HTML/CSS</v>
      </c>
      <c r="D1587" s="9" t="str">
        <f>IFERROR(__xludf.DUMMYFUNCTION("""COMPUTED_VALUE"""),"Other(s):")</f>
        <v>Other(s):</v>
      </c>
      <c r="E1587" s="9" t="str">
        <f>IFERROR(__xludf.DUMMYFUNCTION("""COMPUTED_VALUE"""),"Ruby")</f>
        <v>Ruby</v>
      </c>
      <c r="F1587" s="9" t="str">
        <f>IFERROR(__xludf.DUMMYFUNCTION("""COMPUTED_VALUE"""),"SQL")</f>
        <v>SQL</v>
      </c>
      <c r="G1587" s="9" t="str">
        <f>IFERROR(__xludf.DUMMYFUNCTION("""COMPUTED_VALUE"""),"C#")</f>
        <v>C#</v>
      </c>
      <c r="H1587" s="9" t="str">
        <f>IFERROR(__xludf.DUMMYFUNCTION("""COMPUTED_VALUE"""),"Bash/Shell/PowerShell")</f>
        <v>Bash/Shell/PowerShell</v>
      </c>
      <c r="I1587" s="9" t="str">
        <f>IFERROR(__xludf.DUMMYFUNCTION("""COMPUTED_VALUE"""),"JavaScript")</f>
        <v>JavaScript</v>
      </c>
      <c r="J1587" s="9" t="str">
        <f>IFERROR(__xludf.DUMMYFUNCTION("""COMPUTED_VALUE"""),"Objective-C")</f>
        <v>Objective-C</v>
      </c>
      <c r="K1587" s="9" t="str">
        <f>IFERROR(__xludf.DUMMYFUNCTION("""COMPUTED_VALUE"""),"Swift")</f>
        <v>Swift</v>
      </c>
      <c r="L1587" s="9" t="str">
        <f>IFERROR(__xludf.DUMMYFUNCTION("""COMPUTED_VALUE"""),"Python")</f>
        <v>Python</v>
      </c>
      <c r="M1587" s="9" t="s">
        <v>24</v>
      </c>
    </row>
    <row r="1588" ht="15.75" customHeight="1">
      <c r="A1588" s="7"/>
      <c r="B1588" s="7" t="str">
        <f>IFERROR(__xludf.DUMMYFUNCTION("""COMPUTED_VALUE"""),"Bash/Shell/PowerShell;Go;Java;Kotlin;SQL")</f>
        <v>Bash/Shell/PowerShell;Go;Java;Kotlin;SQL</v>
      </c>
      <c r="C1588" s="9" t="str">
        <f>IFERROR(__xludf.DUMMYFUNCTION("""COMPUTED_VALUE"""),"JavaScript")</f>
        <v>JavaScript</v>
      </c>
      <c r="D1588" s="9" t="str">
        <f>IFERROR(__xludf.DUMMYFUNCTION("""COMPUTED_VALUE"""),"HTML/CSS")</f>
        <v>HTML/CSS</v>
      </c>
      <c r="E1588" s="9" t="str">
        <f>IFERROR(__xludf.DUMMYFUNCTION("""COMPUTED_VALUE"""),"SQL")</f>
        <v>SQL</v>
      </c>
      <c r="F1588" s="9" t="str">
        <f>IFERROR(__xludf.DUMMYFUNCTION("""COMPUTED_VALUE"""),"TypeScript")</f>
        <v>TypeScript</v>
      </c>
      <c r="G1588" s="9" t="str">
        <f>IFERROR(__xludf.DUMMYFUNCTION("""COMPUTED_VALUE"""),"HTML/CSS")</f>
        <v>HTML/CSS</v>
      </c>
      <c r="H1588" s="9" t="str">
        <f>IFERROR(__xludf.DUMMYFUNCTION("""COMPUTED_VALUE"""),"Java")</f>
        <v>Java</v>
      </c>
      <c r="I1588" s="9" t="str">
        <f>IFERROR(__xludf.DUMMYFUNCTION("""COMPUTED_VALUE"""),"Kotlin")</f>
        <v>Kotlin</v>
      </c>
      <c r="J1588" s="9" t="str">
        <f>IFERROR(__xludf.DUMMYFUNCTION("""COMPUTED_VALUE"""),"SQL")</f>
        <v>SQL</v>
      </c>
      <c r="K1588" s="9" t="str">
        <f>IFERROR(__xludf.DUMMYFUNCTION("""COMPUTED_VALUE"""),"C#")</f>
        <v>C#</v>
      </c>
      <c r="L1588" s="9" t="str">
        <f>IFERROR(__xludf.DUMMYFUNCTION("""COMPUTED_VALUE"""),"C#")</f>
        <v>C#</v>
      </c>
      <c r="M1588" s="9" t="s">
        <v>21</v>
      </c>
    </row>
    <row r="1589" ht="15.75" customHeight="1">
      <c r="A1589" s="7"/>
      <c r="B1589" s="7" t="str">
        <f>IFERROR(__xludf.DUMMYFUNCTION("""COMPUTED_VALUE"""),"Java;JavaScript;TypeScript")</f>
        <v>Java;JavaScript;TypeScript</v>
      </c>
      <c r="C1589" s="9" t="str">
        <f>IFERROR(__xludf.DUMMYFUNCTION("""COMPUTED_VALUE"""),"SQL")</f>
        <v>SQL</v>
      </c>
      <c r="D1589" s="9" t="str">
        <f>IFERROR(__xludf.DUMMYFUNCTION("""COMPUTED_VALUE"""),"Java")</f>
        <v>Java</v>
      </c>
      <c r="E1589" s="9" t="str">
        <f>IFERROR(__xludf.DUMMYFUNCTION("""COMPUTED_VALUE"""),"VBA")</f>
        <v>VBA</v>
      </c>
      <c r="F1589" s="9" t="str">
        <f>IFERROR(__xludf.DUMMYFUNCTION("""COMPUTED_VALUE"""),"Bash/Shell/PowerShell")</f>
        <v>Bash/Shell/PowerShell</v>
      </c>
      <c r="G1589" s="9" t="str">
        <f>IFERROR(__xludf.DUMMYFUNCTION("""COMPUTED_VALUE"""),"Java")</f>
        <v>Java</v>
      </c>
      <c r="H1589" s="9" t="str">
        <f>IFERROR(__xludf.DUMMYFUNCTION("""COMPUTED_VALUE"""),"JavaScript")</f>
        <v>JavaScript</v>
      </c>
      <c r="I1589" s="9" t="str">
        <f>IFERROR(__xludf.DUMMYFUNCTION("""COMPUTED_VALUE"""),"Objective-C")</f>
        <v>Objective-C</v>
      </c>
      <c r="J1589" s="9" t="str">
        <f>IFERROR(__xludf.DUMMYFUNCTION("""COMPUTED_VALUE"""),"Other(s):")</f>
        <v>Other(s):</v>
      </c>
      <c r="K1589" s="9" t="str">
        <f>IFERROR(__xludf.DUMMYFUNCTION("""COMPUTED_VALUE"""),"HTML/CSS")</f>
        <v>HTML/CSS</v>
      </c>
      <c r="L1589" s="9" t="str">
        <f>IFERROR(__xludf.DUMMYFUNCTION("""COMPUTED_VALUE"""),"SQL")</f>
        <v>SQL</v>
      </c>
      <c r="M1589" s="9" t="s">
        <v>27</v>
      </c>
    </row>
    <row r="1590" ht="15.75" customHeight="1">
      <c r="A1590" s="7"/>
      <c r="B1590" s="7" t="str">
        <f>IFERROR(__xludf.DUMMYFUNCTION("""COMPUTED_VALUE"""),"C#;Java")</f>
        <v>C#;Java</v>
      </c>
      <c r="C1590" s="9" t="str">
        <f>IFERROR(__xludf.DUMMYFUNCTION("""COMPUTED_VALUE"""),"TypeScript")</f>
        <v>TypeScript</v>
      </c>
      <c r="D1590" s="9" t="str">
        <f>IFERROR(__xludf.DUMMYFUNCTION("""COMPUTED_VALUE"""),"JavaScript")</f>
        <v>JavaScript</v>
      </c>
      <c r="E1590" s="9" t="str">
        <f>IFERROR(__xludf.DUMMYFUNCTION("""COMPUTED_VALUE"""),"Java")</f>
        <v>Java</v>
      </c>
      <c r="F1590" s="9" t="str">
        <f>IFERROR(__xludf.DUMMYFUNCTION("""COMPUTED_VALUE"""),"HTML/CSS")</f>
        <v>HTML/CSS</v>
      </c>
      <c r="G1590" s="9" t="str">
        <f>IFERROR(__xludf.DUMMYFUNCTION("""COMPUTED_VALUE"""),"JavaScript")</f>
        <v>JavaScript</v>
      </c>
      <c r="H1590" s="9" t="str">
        <f>IFERROR(__xludf.DUMMYFUNCTION("""COMPUTED_VALUE"""),"Objective-C")</f>
        <v>Objective-C</v>
      </c>
      <c r="I1590" s="9" t="str">
        <f>IFERROR(__xludf.DUMMYFUNCTION("""COMPUTED_VALUE"""),"PHP")</f>
        <v>PHP</v>
      </c>
      <c r="J1590" s="9" t="str">
        <f>IFERROR(__xludf.DUMMYFUNCTION("""COMPUTED_VALUE"""),"Assembly")</f>
        <v>Assembly</v>
      </c>
      <c r="K1590" s="9" t="str">
        <f>IFERROR(__xludf.DUMMYFUNCTION("""COMPUTED_VALUE"""),"Python")</f>
        <v>Python</v>
      </c>
      <c r="L1590" s="9" t="str">
        <f>IFERROR(__xludf.DUMMYFUNCTION("""COMPUTED_VALUE"""),"C++")</f>
        <v>C++</v>
      </c>
      <c r="M1590" s="9" t="s">
        <v>33</v>
      </c>
    </row>
    <row r="1591" ht="15.75" customHeight="1">
      <c r="A1591" s="7"/>
      <c r="B1591" s="7" t="str">
        <f>IFERROR(__xludf.DUMMYFUNCTION("""COMPUTED_VALUE"""),"Assembly;C++;HTML/CSS;JavaScript;PHP;Python;SQL")</f>
        <v>Assembly;C++;HTML/CSS;JavaScript;PHP;Python;SQL</v>
      </c>
      <c r="C1591" s="9" t="str">
        <f>IFERROR(__xludf.DUMMYFUNCTION("""COMPUTED_VALUE"""),"HTML/CSS")</f>
        <v>HTML/CSS</v>
      </c>
      <c r="D1591" s="9" t="str">
        <f>IFERROR(__xludf.DUMMYFUNCTION("""COMPUTED_VALUE"""),"PHP")</f>
        <v>PHP</v>
      </c>
      <c r="E1591" s="9" t="str">
        <f>IFERROR(__xludf.DUMMYFUNCTION("""COMPUTED_VALUE"""),"Ruby")</f>
        <v>Ruby</v>
      </c>
      <c r="F1591" s="9" t="str">
        <f>IFERROR(__xludf.DUMMYFUNCTION("""COMPUTED_VALUE"""),"JavaScript")</f>
        <v>JavaScript</v>
      </c>
      <c r="G1591" s="9" t="str">
        <f>IFERROR(__xludf.DUMMYFUNCTION("""COMPUTED_VALUE"""),"Objective-C")</f>
        <v>Objective-C</v>
      </c>
      <c r="H1591" s="9" t="str">
        <f>IFERROR(__xludf.DUMMYFUNCTION("""COMPUTED_VALUE"""),"Python")</f>
        <v>Python</v>
      </c>
      <c r="I1591" s="9" t="str">
        <f>IFERROR(__xludf.DUMMYFUNCTION("""COMPUTED_VALUE"""),"Python")</f>
        <v>Python</v>
      </c>
      <c r="J1591" s="9" t="str">
        <f>IFERROR(__xludf.DUMMYFUNCTION("""COMPUTED_VALUE"""),"Bash/Shell/PowerShell")</f>
        <v>Bash/Shell/PowerShell</v>
      </c>
      <c r="K1591" s="9" t="str">
        <f>IFERROR(__xludf.DUMMYFUNCTION("""COMPUTED_VALUE"""),"VBA")</f>
        <v>VBA</v>
      </c>
      <c r="L1591" s="9" t="str">
        <f>IFERROR(__xludf.DUMMYFUNCTION("""COMPUTED_VALUE"""),"Python")</f>
        <v>Python</v>
      </c>
      <c r="M1591" s="9" t="s">
        <v>24</v>
      </c>
    </row>
    <row r="1592" ht="15.75" customHeight="1">
      <c r="A1592" s="7"/>
      <c r="B1592" s="7" t="str">
        <f>IFERROR(__xludf.DUMMYFUNCTION("""COMPUTED_VALUE"""),"Bash/Shell/PowerShell;C++;C#;HTML/CSS;JavaScript;Python;SQL")</f>
        <v>Bash/Shell/PowerShell;C++;C#;HTML/CSS;JavaScript;Python;SQL</v>
      </c>
      <c r="C1592" s="9" t="str">
        <f>IFERROR(__xludf.DUMMYFUNCTION("""COMPUTED_VALUE"""),"Java")</f>
        <v>Java</v>
      </c>
      <c r="D1592" s="9" t="str">
        <f>IFERROR(__xludf.DUMMYFUNCTION("""COMPUTED_VALUE"""),"Python")</f>
        <v>Python</v>
      </c>
      <c r="E1592" s="9" t="str">
        <f>IFERROR(__xludf.DUMMYFUNCTION("""COMPUTED_VALUE"""),"Scala")</f>
        <v>Scala</v>
      </c>
      <c r="F1592" s="9" t="str">
        <f>IFERROR(__xludf.DUMMYFUNCTION("""COMPUTED_VALUE"""),"PHP")</f>
        <v>PHP</v>
      </c>
      <c r="G1592" s="9" t="str">
        <f>IFERROR(__xludf.DUMMYFUNCTION("""COMPUTED_VALUE"""),"SQL")</f>
        <v>SQL</v>
      </c>
      <c r="H1592" s="9" t="str">
        <f>IFERROR(__xludf.DUMMYFUNCTION("""COMPUTED_VALUE"""),"Scala")</f>
        <v>Scala</v>
      </c>
      <c r="I1592" s="9" t="str">
        <f>IFERROR(__xludf.DUMMYFUNCTION("""COMPUTED_VALUE"""),"R")</f>
        <v>R</v>
      </c>
      <c r="J1592" s="9" t="str">
        <f>IFERROR(__xludf.DUMMYFUNCTION("""COMPUTED_VALUE"""),"C")</f>
        <v>C</v>
      </c>
      <c r="K1592" s="9" t="str">
        <f>IFERROR(__xludf.DUMMYFUNCTION("""COMPUTED_VALUE"""),"Python")</f>
        <v>Python</v>
      </c>
      <c r="L1592" s="9" t="str">
        <f>IFERROR(__xludf.DUMMYFUNCTION("""COMPUTED_VALUE"""),"Elixir")</f>
        <v>Elixir</v>
      </c>
      <c r="M1592" s="9" t="s">
        <v>20</v>
      </c>
    </row>
    <row r="1593" ht="15.75" customHeight="1">
      <c r="A1593" s="7"/>
      <c r="B1593" s="7" t="str">
        <f>IFERROR(__xludf.DUMMYFUNCTION("""COMPUTED_VALUE"""),"Bash/Shell/PowerShell;C;Go;HTML/CSS;Java;JavaScript;TypeScript")</f>
        <v>Bash/Shell/PowerShell;C;Go;HTML/CSS;Java;JavaScript;TypeScript</v>
      </c>
      <c r="C1593" s="9" t="str">
        <f>IFERROR(__xludf.DUMMYFUNCTION("""COMPUTED_VALUE"""),"JavaScript")</f>
        <v>JavaScript</v>
      </c>
      <c r="D1593" s="9" t="str">
        <f>IFERROR(__xludf.DUMMYFUNCTION("""COMPUTED_VALUE"""),"R")</f>
        <v>R</v>
      </c>
      <c r="E1593" s="9" t="str">
        <f>IFERROR(__xludf.DUMMYFUNCTION("""COMPUTED_VALUE"""),"C#")</f>
        <v>C#</v>
      </c>
      <c r="F1593" s="9" t="str">
        <f>IFERROR(__xludf.DUMMYFUNCTION("""COMPUTED_VALUE"""),"Python")</f>
        <v>Python</v>
      </c>
      <c r="G1593" s="9" t="str">
        <f>IFERROR(__xludf.DUMMYFUNCTION("""COMPUTED_VALUE"""),"TypeScript")</f>
        <v>TypeScript</v>
      </c>
      <c r="H1593" s="9" t="str">
        <f>IFERROR(__xludf.DUMMYFUNCTION("""COMPUTED_VALUE"""),"SQL")</f>
        <v>SQL</v>
      </c>
      <c r="I1593" s="9" t="str">
        <f>IFERROR(__xludf.DUMMYFUNCTION("""COMPUTED_VALUE"""),"SQL")</f>
        <v>SQL</v>
      </c>
      <c r="J1593" s="9" t="str">
        <f>IFERROR(__xludf.DUMMYFUNCTION("""COMPUTED_VALUE"""),"C#")</f>
        <v>C#</v>
      </c>
      <c r="K1593" s="9" t="str">
        <f>IFERROR(__xludf.DUMMYFUNCTION("""COMPUTED_VALUE"""),"Bash/Shell/PowerShell")</f>
        <v>Bash/Shell/PowerShell</v>
      </c>
      <c r="L1593" s="9" t="str">
        <f>IFERROR(__xludf.DUMMYFUNCTION("""COMPUTED_VALUE"""),"JavaScript")</f>
        <v>JavaScript</v>
      </c>
      <c r="M1593" s="9" t="s">
        <v>21</v>
      </c>
    </row>
    <row r="1594" ht="15.75" customHeight="1">
      <c r="A1594" s="7"/>
      <c r="B1594" s="7" t="str">
        <f>IFERROR(__xludf.DUMMYFUNCTION("""COMPUTED_VALUE"""),"HTML/CSS;JavaScript;TypeScript")</f>
        <v>HTML/CSS;JavaScript;TypeScript</v>
      </c>
      <c r="C1594" s="9" t="str">
        <f>IFERROR(__xludf.DUMMYFUNCTION("""COMPUTED_VALUE"""),"Ruby")</f>
        <v>Ruby</v>
      </c>
      <c r="D1594" s="9" t="str">
        <f>IFERROR(__xludf.DUMMYFUNCTION("""COMPUTED_VALUE"""),"Scala")</f>
        <v>Scala</v>
      </c>
      <c r="E1594" s="9" t="str">
        <f>IFERROR(__xludf.DUMMYFUNCTION("""COMPUTED_VALUE"""),"Python")</f>
        <v>Python</v>
      </c>
      <c r="F1594" s="9" t="str">
        <f>IFERROR(__xludf.DUMMYFUNCTION("""COMPUTED_VALUE"""),"SQL")</f>
        <v>SQL</v>
      </c>
      <c r="G1594" s="9" t="str">
        <f>IFERROR(__xludf.DUMMYFUNCTION("""COMPUTED_VALUE"""),"VBA")</f>
        <v>VBA</v>
      </c>
      <c r="H1594" s="9" t="str">
        <f>IFERROR(__xludf.DUMMYFUNCTION("""COMPUTED_VALUE"""),"Java")</f>
        <v>Java</v>
      </c>
      <c r="I1594" s="9" t="str">
        <f>IFERROR(__xludf.DUMMYFUNCTION("""COMPUTED_VALUE"""),"Swift")</f>
        <v>Swift</v>
      </c>
      <c r="J1594" s="9" t="str">
        <f>IFERROR(__xludf.DUMMYFUNCTION("""COMPUTED_VALUE"""),"HTML/CSS")</f>
        <v>HTML/CSS</v>
      </c>
      <c r="K1594" s="9" t="str">
        <f>IFERROR(__xludf.DUMMYFUNCTION("""COMPUTED_VALUE"""),"C++")</f>
        <v>C++</v>
      </c>
      <c r="L1594" s="9" t="str">
        <f>IFERROR(__xludf.DUMMYFUNCTION("""COMPUTED_VALUE"""),"Python")</f>
        <v>Python</v>
      </c>
      <c r="M1594" s="9" t="s">
        <v>31</v>
      </c>
    </row>
    <row r="1595" ht="15.75" customHeight="1">
      <c r="A1595" s="7"/>
      <c r="B1595" s="7" t="str">
        <f>IFERROR(__xludf.DUMMYFUNCTION("""COMPUTED_VALUE"""),"C#;HTML/CSS;JavaScript;Other(s):")</f>
        <v>C#;HTML/CSS;JavaScript;Other(s):</v>
      </c>
      <c r="C1595" s="9" t="str">
        <f>IFERROR(__xludf.DUMMYFUNCTION("""COMPUTED_VALUE"""),"SQL")</f>
        <v>SQL</v>
      </c>
      <c r="D1595" s="9" t="str">
        <f>IFERROR(__xludf.DUMMYFUNCTION("""COMPUTED_VALUE"""),"SQL")</f>
        <v>SQL</v>
      </c>
      <c r="E1595" s="9" t="str">
        <f>IFERROR(__xludf.DUMMYFUNCTION("""COMPUTED_VALUE"""),"SQL")</f>
        <v>SQL</v>
      </c>
      <c r="F1595" s="9" t="str">
        <f>IFERROR(__xludf.DUMMYFUNCTION("""COMPUTED_VALUE"""),"Bash/Shell/PowerShell")</f>
        <v>Bash/Shell/PowerShell</v>
      </c>
      <c r="G1595" s="9" t="str">
        <f>IFERROR(__xludf.DUMMYFUNCTION("""COMPUTED_VALUE"""),"HTML/CSS")</f>
        <v>HTML/CSS</v>
      </c>
      <c r="H1595" s="9" t="str">
        <f>IFERROR(__xludf.DUMMYFUNCTION("""COMPUTED_VALUE"""),"Python")</f>
        <v>Python</v>
      </c>
      <c r="I1595" s="9" t="str">
        <f>IFERROR(__xludf.DUMMYFUNCTION("""COMPUTED_VALUE"""),"VBA")</f>
        <v>VBA</v>
      </c>
      <c r="J1595" s="9" t="str">
        <f>IFERROR(__xludf.DUMMYFUNCTION("""COMPUTED_VALUE"""),"Java")</f>
        <v>Java</v>
      </c>
      <c r="K1595" s="9" t="str">
        <f>IFERROR(__xludf.DUMMYFUNCTION("""COMPUTED_VALUE"""),"JavaScript")</f>
        <v>JavaScript</v>
      </c>
      <c r="L1595" s="9" t="str">
        <f>IFERROR(__xludf.DUMMYFUNCTION("""COMPUTED_VALUE"""),"Ruby")</f>
        <v>Ruby</v>
      </c>
      <c r="M1595" s="9" t="s">
        <v>27</v>
      </c>
    </row>
    <row r="1596" ht="15.75" customHeight="1">
      <c r="A1596" s="7"/>
      <c r="B1596" s="7" t="str">
        <f>IFERROR(__xludf.DUMMYFUNCTION("""COMPUTED_VALUE"""),"HTML/CSS;JavaScript;Python")</f>
        <v>HTML/CSS;JavaScript;Python</v>
      </c>
      <c r="C1596" s="9" t="str">
        <f>IFERROR(__xludf.DUMMYFUNCTION("""COMPUTED_VALUE"""),"TypeScript")</f>
        <v>TypeScript</v>
      </c>
      <c r="D1596" s="9" t="str">
        <f>IFERROR(__xludf.DUMMYFUNCTION("""COMPUTED_VALUE"""),"TypeScript")</f>
        <v>TypeScript</v>
      </c>
      <c r="E1596" s="9" t="str">
        <f>IFERROR(__xludf.DUMMYFUNCTION("""COMPUTED_VALUE"""),"C#")</f>
        <v>C#</v>
      </c>
      <c r="F1596" s="9" t="str">
        <f>IFERROR(__xludf.DUMMYFUNCTION("""COMPUTED_VALUE"""),"Go")</f>
        <v>Go</v>
      </c>
      <c r="G1596" s="9" t="str">
        <f>IFERROR(__xludf.DUMMYFUNCTION("""COMPUTED_VALUE"""),"JavaScript")</f>
        <v>JavaScript</v>
      </c>
      <c r="H1596" s="9" t="str">
        <f>IFERROR(__xludf.DUMMYFUNCTION("""COMPUTED_VALUE"""),"Bash/Shell/PowerShell")</f>
        <v>Bash/Shell/PowerShell</v>
      </c>
      <c r="I1596" s="9" t="str">
        <f>IFERROR(__xludf.DUMMYFUNCTION("""COMPUTED_VALUE"""),"Assembly")</f>
        <v>Assembly</v>
      </c>
      <c r="J1596" s="9" t="str">
        <f>IFERROR(__xludf.DUMMYFUNCTION("""COMPUTED_VALUE"""),"JavaScript")</f>
        <v>JavaScript</v>
      </c>
      <c r="K1596" s="9" t="str">
        <f>IFERROR(__xludf.DUMMYFUNCTION("""COMPUTED_VALUE"""),"SQL")</f>
        <v>SQL</v>
      </c>
      <c r="L1596" s="9" t="str">
        <f>IFERROR(__xludf.DUMMYFUNCTION("""COMPUTED_VALUE"""),"C")</f>
        <v>C</v>
      </c>
      <c r="M1596" s="9" t="s">
        <v>33</v>
      </c>
    </row>
    <row r="1597" ht="15.75" customHeight="1">
      <c r="A1597" s="7"/>
      <c r="B1597" s="7" t="str">
        <f>IFERROR(__xludf.DUMMYFUNCTION("""COMPUTED_VALUE"""),"Bash/Shell/PowerShell;Clojure;Java;Kotlin;Scala;SQL")</f>
        <v>Bash/Shell/PowerShell;Clojure;Java;Kotlin;Scala;SQL</v>
      </c>
      <c r="C1597" s="9" t="str">
        <f>IFERROR(__xludf.DUMMYFUNCTION("""COMPUTED_VALUE"""),"C#")</f>
        <v>C#</v>
      </c>
      <c r="D1597" s="9" t="str">
        <f>IFERROR(__xludf.DUMMYFUNCTION("""COMPUTED_VALUE"""),"C++")</f>
        <v>C++</v>
      </c>
      <c r="E1597" s="9" t="str">
        <f>IFERROR(__xludf.DUMMYFUNCTION("""COMPUTED_VALUE"""),"HTML/CSS")</f>
        <v>HTML/CSS</v>
      </c>
      <c r="F1597" s="9" t="str">
        <f>IFERROR(__xludf.DUMMYFUNCTION("""COMPUTED_VALUE"""),"HTML/CSS")</f>
        <v>HTML/CSS</v>
      </c>
      <c r="G1597" s="9" t="str">
        <f>IFERROR(__xludf.DUMMYFUNCTION("""COMPUTED_VALUE"""),"Python")</f>
        <v>Python</v>
      </c>
      <c r="H1597" s="9" t="str">
        <f>IFERROR(__xludf.DUMMYFUNCTION("""COMPUTED_VALUE"""),"C#")</f>
        <v>C#</v>
      </c>
      <c r="I1597" s="9" t="str">
        <f>IFERROR(__xludf.DUMMYFUNCTION("""COMPUTED_VALUE"""),"C++")</f>
        <v>C++</v>
      </c>
      <c r="J1597" s="9" t="str">
        <f>IFERROR(__xludf.DUMMYFUNCTION("""COMPUTED_VALUE"""),"PHP")</f>
        <v>PHP</v>
      </c>
      <c r="K1597" s="9" t="str">
        <f>IFERROR(__xludf.DUMMYFUNCTION("""COMPUTED_VALUE"""),"Swift")</f>
        <v>Swift</v>
      </c>
      <c r="L1597" s="9" t="str">
        <f>IFERROR(__xludf.DUMMYFUNCTION("""COMPUTED_VALUE"""),"Go")</f>
        <v>Go</v>
      </c>
      <c r="M1597" s="9" t="s">
        <v>26</v>
      </c>
    </row>
    <row r="1598" ht="15.75" customHeight="1">
      <c r="A1598" s="7"/>
      <c r="B1598" s="7" t="str">
        <f>IFERROR(__xludf.DUMMYFUNCTION("""COMPUTED_VALUE"""),"Java")</f>
        <v>Java</v>
      </c>
      <c r="C1598" s="9" t="str">
        <f>IFERROR(__xludf.DUMMYFUNCTION("""COMPUTED_VALUE"""),"HTML/CSS")</f>
        <v>HTML/CSS</v>
      </c>
      <c r="D1598" s="9" t="str">
        <f>IFERROR(__xludf.DUMMYFUNCTION("""COMPUTED_VALUE"""),"C#")</f>
        <v>C#</v>
      </c>
      <c r="E1598" s="9" t="str">
        <f>IFERROR(__xludf.DUMMYFUNCTION("""COMPUTED_VALUE"""),"JavaScript")</f>
        <v>JavaScript</v>
      </c>
      <c r="F1598" s="9" t="str">
        <f>IFERROR(__xludf.DUMMYFUNCTION("""COMPUTED_VALUE"""),"JavaScript")</f>
        <v>JavaScript</v>
      </c>
      <c r="G1598" s="9" t="str">
        <f>IFERROR(__xludf.DUMMYFUNCTION("""COMPUTED_VALUE"""),"SQL")</f>
        <v>SQL</v>
      </c>
      <c r="H1598" s="9" t="str">
        <f>IFERROR(__xludf.DUMMYFUNCTION("""COMPUTED_VALUE"""),"Go")</f>
        <v>Go</v>
      </c>
      <c r="I1598" s="9" t="str">
        <f>IFERROR(__xludf.DUMMYFUNCTION("""COMPUTED_VALUE"""),"C#")</f>
        <v>C#</v>
      </c>
      <c r="J1598" s="9" t="str">
        <f>IFERROR(__xludf.DUMMYFUNCTION("""COMPUTED_VALUE"""),"Python")</f>
        <v>Python</v>
      </c>
      <c r="K1598" s="9" t="str">
        <f>IFERROR(__xludf.DUMMYFUNCTION("""COMPUTED_VALUE"""),"Bash/Shell/PowerShell")</f>
        <v>Bash/Shell/PowerShell</v>
      </c>
      <c r="L1598" s="9" t="str">
        <f>IFERROR(__xludf.DUMMYFUNCTION("""COMPUTED_VALUE"""),"Python")</f>
        <v>Python</v>
      </c>
      <c r="M1598" s="9" t="s">
        <v>24</v>
      </c>
    </row>
    <row r="1599" ht="15.75" customHeight="1">
      <c r="A1599" s="7"/>
      <c r="B1599" s="7" t="str">
        <f>IFERROR(__xludf.DUMMYFUNCTION("""COMPUTED_VALUE"""),"Bash/Shell/PowerShell;C#;HTML/CSS;JavaScript;SQL;TypeScript")</f>
        <v>Bash/Shell/PowerShell;C#;HTML/CSS;JavaScript;SQL;TypeScript</v>
      </c>
      <c r="C1599" s="9" t="str">
        <f>IFERROR(__xludf.DUMMYFUNCTION("""COMPUTED_VALUE"""),"Java")</f>
        <v>Java</v>
      </c>
      <c r="D1599" s="9" t="str">
        <f>IFERROR(__xludf.DUMMYFUNCTION("""COMPUTED_VALUE"""),"Java")</f>
        <v>Java</v>
      </c>
      <c r="E1599" s="9" t="str">
        <f>IFERROR(__xludf.DUMMYFUNCTION("""COMPUTED_VALUE"""),"Objective-C")</f>
        <v>Objective-C</v>
      </c>
      <c r="F1599" s="9" t="str">
        <f>IFERROR(__xludf.DUMMYFUNCTION("""COMPUTED_VALUE"""),"Python")</f>
        <v>Python</v>
      </c>
      <c r="G1599" s="9" t="str">
        <f>IFERROR(__xludf.DUMMYFUNCTION("""COMPUTED_VALUE"""),"HTML/CSS")</f>
        <v>HTML/CSS</v>
      </c>
      <c r="H1599" s="9" t="str">
        <f>IFERROR(__xludf.DUMMYFUNCTION("""COMPUTED_VALUE"""),"HTML/CSS")</f>
        <v>HTML/CSS</v>
      </c>
      <c r="I1599" s="9" t="str">
        <f>IFERROR(__xludf.DUMMYFUNCTION("""COMPUTED_VALUE"""),"HTML/CSS")</f>
        <v>HTML/CSS</v>
      </c>
      <c r="J1599" s="9" t="str">
        <f>IFERROR(__xludf.DUMMYFUNCTION("""COMPUTED_VALUE"""),"TypeScript")</f>
        <v>TypeScript</v>
      </c>
      <c r="K1599" s="9" t="str">
        <f>IFERROR(__xludf.DUMMYFUNCTION("""COMPUTED_VALUE"""),"C")</f>
        <v>C</v>
      </c>
      <c r="L1599" s="9" t="str">
        <f>IFERROR(__xludf.DUMMYFUNCTION("""COMPUTED_VALUE"""),"Bash/Shell/PowerShell")</f>
        <v>Bash/Shell/PowerShell</v>
      </c>
      <c r="M1599" s="9" t="s">
        <v>20</v>
      </c>
    </row>
    <row r="1600" ht="15.75" customHeight="1">
      <c r="A1600" s="7"/>
      <c r="B1600" s="7" t="str">
        <f>IFERROR(__xludf.DUMMYFUNCTION("""COMPUTED_VALUE"""),"Assembly;HTML/CSS;JavaScript;Python;SQL;TypeScript")</f>
        <v>Assembly;HTML/CSS;JavaScript;Python;SQL;TypeScript</v>
      </c>
      <c r="C1600" s="9" t="str">
        <f>IFERROR(__xludf.DUMMYFUNCTION("""COMPUTED_VALUE"""),"Python")</f>
        <v>Python</v>
      </c>
      <c r="D1600" s="9" t="str">
        <f>IFERROR(__xludf.DUMMYFUNCTION("""COMPUTED_VALUE"""),"Python")</f>
        <v>Python</v>
      </c>
      <c r="E1600" s="9" t="str">
        <f>IFERROR(__xludf.DUMMYFUNCTION("""COMPUTED_VALUE"""),"PHP")</f>
        <v>PHP</v>
      </c>
      <c r="F1600" s="9" t="str">
        <f>IFERROR(__xludf.DUMMYFUNCTION("""COMPUTED_VALUE"""),"Scala")</f>
        <v>Scala</v>
      </c>
      <c r="G1600" s="9" t="str">
        <f>IFERROR(__xludf.DUMMYFUNCTION("""COMPUTED_VALUE"""),"JavaScript")</f>
        <v>JavaScript</v>
      </c>
      <c r="H1600" s="9" t="str">
        <f>IFERROR(__xludf.DUMMYFUNCTION("""COMPUTED_VALUE"""),"Python")</f>
        <v>Python</v>
      </c>
      <c r="I1600" s="9" t="str">
        <f>IFERROR(__xludf.DUMMYFUNCTION("""COMPUTED_VALUE"""),"Java")</f>
        <v>Java</v>
      </c>
      <c r="J1600" s="9" t="str">
        <f>IFERROR(__xludf.DUMMYFUNCTION("""COMPUTED_VALUE"""),"C")</f>
        <v>C</v>
      </c>
      <c r="K1600" s="9" t="str">
        <f>IFERROR(__xludf.DUMMYFUNCTION("""COMPUTED_VALUE"""),"C++")</f>
        <v>C++</v>
      </c>
      <c r="L1600" s="9" t="str">
        <f>IFERROR(__xludf.DUMMYFUNCTION("""COMPUTED_VALUE"""),"C#")</f>
        <v>C#</v>
      </c>
      <c r="M1600" s="9" t="s">
        <v>22</v>
      </c>
    </row>
    <row r="1601" ht="15.75" customHeight="1">
      <c r="A1601" s="7"/>
      <c r="B1601" s="7" t="str">
        <f>IFERROR(__xludf.DUMMYFUNCTION("""COMPUTED_VALUE"""),"Bash/Shell/PowerShell;C++")</f>
        <v>Bash/Shell/PowerShell;C++</v>
      </c>
      <c r="C1601" s="9" t="str">
        <f>IFERROR(__xludf.DUMMYFUNCTION("""COMPUTED_VALUE"""),"Bash/Shell/PowerShell")</f>
        <v>Bash/Shell/PowerShell</v>
      </c>
      <c r="D1601" s="9" t="str">
        <f>IFERROR(__xludf.DUMMYFUNCTION("""COMPUTED_VALUE"""),"C++")</f>
        <v>C++</v>
      </c>
      <c r="E1601" s="9" t="str">
        <f>IFERROR(__xludf.DUMMYFUNCTION("""COMPUTED_VALUE"""),"Swift")</f>
        <v>Swift</v>
      </c>
      <c r="F1601" s="9" t="str">
        <f>IFERROR(__xludf.DUMMYFUNCTION("""COMPUTED_VALUE"""),"SQL")</f>
        <v>SQL</v>
      </c>
      <c r="G1601" s="9" t="str">
        <f>IFERROR(__xludf.DUMMYFUNCTION("""COMPUTED_VALUE"""),"PHP")</f>
        <v>PHP</v>
      </c>
      <c r="H1601" s="9" t="str">
        <f>IFERROR(__xludf.DUMMYFUNCTION("""COMPUTED_VALUE"""),"SQL")</f>
        <v>SQL</v>
      </c>
      <c r="I1601" s="9" t="str">
        <f>IFERROR(__xludf.DUMMYFUNCTION("""COMPUTED_VALUE"""),"JavaScript")</f>
        <v>JavaScript</v>
      </c>
      <c r="J1601" s="9" t="str">
        <f>IFERROR(__xludf.DUMMYFUNCTION("""COMPUTED_VALUE"""),"HTML/CSS")</f>
        <v>HTML/CSS</v>
      </c>
      <c r="K1601" s="9" t="str">
        <f>IFERROR(__xludf.DUMMYFUNCTION("""COMPUTED_VALUE"""),"C#")</f>
        <v>C#</v>
      </c>
      <c r="L1601" s="9" t="str">
        <f>IFERROR(__xludf.DUMMYFUNCTION("""COMPUTED_VALUE"""),"Go")</f>
        <v>Go</v>
      </c>
      <c r="M1601" s="9" t="s">
        <v>30</v>
      </c>
    </row>
    <row r="1602" ht="15.75" customHeight="1">
      <c r="A1602" s="7"/>
      <c r="B1602" s="7" t="str">
        <f>IFERROR(__xludf.DUMMYFUNCTION("""COMPUTED_VALUE"""),"Bash/Shell/PowerShell;C;C++;Java;JavaScript;Python")</f>
        <v>Bash/Shell/PowerShell;C;C++;Java;JavaScript;Python</v>
      </c>
      <c r="C1602" s="9" t="str">
        <f>IFERROR(__xludf.DUMMYFUNCTION("""COMPUTED_VALUE"""),"C#")</f>
        <v>C#</v>
      </c>
      <c r="D1602" s="9" t="str">
        <f>IFERROR(__xludf.DUMMYFUNCTION("""COMPUTED_VALUE"""),"Bash/Shell/PowerShell")</f>
        <v>Bash/Shell/PowerShell</v>
      </c>
      <c r="E1602" s="9" t="str">
        <f>IFERROR(__xludf.DUMMYFUNCTION("""COMPUTED_VALUE"""),"C")</f>
        <v>C</v>
      </c>
      <c r="F1602" s="9" t="str">
        <f>IFERROR(__xludf.DUMMYFUNCTION("""COMPUTED_VALUE"""),"Bash/Shell/PowerShell")</f>
        <v>Bash/Shell/PowerShell</v>
      </c>
      <c r="G1602" s="9" t="str">
        <f>IFERROR(__xludf.DUMMYFUNCTION("""COMPUTED_VALUE"""),"SQL")</f>
        <v>SQL</v>
      </c>
      <c r="H1602" s="9" t="str">
        <f>IFERROR(__xludf.DUMMYFUNCTION("""COMPUTED_VALUE"""),"Other(s):")</f>
        <v>Other(s):</v>
      </c>
      <c r="I1602" s="9" t="str">
        <f>IFERROR(__xludf.DUMMYFUNCTION("""COMPUTED_VALUE"""),"PHP")</f>
        <v>PHP</v>
      </c>
      <c r="J1602" s="9" t="str">
        <f>IFERROR(__xludf.DUMMYFUNCTION("""COMPUTED_VALUE"""),"Java")</f>
        <v>Java</v>
      </c>
      <c r="K1602" s="9" t="str">
        <f>IFERROR(__xludf.DUMMYFUNCTION("""COMPUTED_VALUE"""),"Python")</f>
        <v>Python</v>
      </c>
      <c r="L1602" s="9" t="str">
        <f>IFERROR(__xludf.DUMMYFUNCTION("""COMPUTED_VALUE"""),"HTML/CSS")</f>
        <v>HTML/CSS</v>
      </c>
      <c r="M1602" s="9" t="s">
        <v>26</v>
      </c>
    </row>
    <row r="1603" ht="15.75" customHeight="1">
      <c r="A1603" s="7"/>
      <c r="B1603" s="7" t="str">
        <f>IFERROR(__xludf.DUMMYFUNCTION("""COMPUTED_VALUE"""),"Scala")</f>
        <v>Scala</v>
      </c>
      <c r="C1603" s="9" t="str">
        <f>IFERROR(__xludf.DUMMYFUNCTION("""COMPUTED_VALUE"""),"HTML/CSS")</f>
        <v>HTML/CSS</v>
      </c>
      <c r="D1603" s="9" t="str">
        <f>IFERROR(__xludf.DUMMYFUNCTION("""COMPUTED_VALUE"""),"C")</f>
        <v>C</v>
      </c>
      <c r="E1603" s="9" t="str">
        <f>IFERROR(__xludf.DUMMYFUNCTION("""COMPUTED_VALUE"""),"HTML/CSS")</f>
        <v>HTML/CSS</v>
      </c>
      <c r="F1603" s="9" t="str">
        <f>IFERROR(__xludf.DUMMYFUNCTION("""COMPUTED_VALUE"""),"C")</f>
        <v>C</v>
      </c>
      <c r="G1603" s="9" t="str">
        <f>IFERROR(__xludf.DUMMYFUNCTION("""COMPUTED_VALUE"""),"TypeScript")</f>
        <v>TypeScript</v>
      </c>
      <c r="H1603" s="9" t="str">
        <f>IFERROR(__xludf.DUMMYFUNCTION("""COMPUTED_VALUE"""),"HTML/CSS")</f>
        <v>HTML/CSS</v>
      </c>
      <c r="I1603" s="9" t="str">
        <f>IFERROR(__xludf.DUMMYFUNCTION("""COMPUTED_VALUE"""),"Python")</f>
        <v>Python</v>
      </c>
      <c r="J1603" s="9" t="str">
        <f>IFERROR(__xludf.DUMMYFUNCTION("""COMPUTED_VALUE"""),"Kotlin")</f>
        <v>Kotlin</v>
      </c>
      <c r="K1603" s="9" t="str">
        <f>IFERROR(__xludf.DUMMYFUNCTION("""COMPUTED_VALUE"""),"C++")</f>
        <v>C++</v>
      </c>
      <c r="L1603" s="9" t="str">
        <f>IFERROR(__xludf.DUMMYFUNCTION("""COMPUTED_VALUE"""),"Java")</f>
        <v>Java</v>
      </c>
      <c r="M1603" s="9" t="s">
        <v>24</v>
      </c>
    </row>
    <row r="1604" ht="15.75" customHeight="1">
      <c r="A1604" s="7"/>
      <c r="B1604" s="7" t="str">
        <f>IFERROR(__xludf.DUMMYFUNCTION("""COMPUTED_VALUE"""),"HTML/CSS;Python;R")</f>
        <v>HTML/CSS;Python;R</v>
      </c>
      <c r="C1604" s="9" t="str">
        <f>IFERROR(__xludf.DUMMYFUNCTION("""COMPUTED_VALUE"""),"JavaScript")</f>
        <v>JavaScript</v>
      </c>
      <c r="D1604" s="9" t="str">
        <f>IFERROR(__xludf.DUMMYFUNCTION("""COMPUTED_VALUE"""),"C#")</f>
        <v>C#</v>
      </c>
      <c r="E1604" s="9" t="str">
        <f>IFERROR(__xludf.DUMMYFUNCTION("""COMPUTED_VALUE"""),"C++")</f>
        <v>C++</v>
      </c>
      <c r="F1604" s="9" t="str">
        <f>IFERROR(__xludf.DUMMYFUNCTION("""COMPUTED_VALUE"""),"C++")</f>
        <v>C++</v>
      </c>
      <c r="G1604" s="9" t="str">
        <f>IFERROR(__xludf.DUMMYFUNCTION("""COMPUTED_VALUE"""),"Other(s):")</f>
        <v>Other(s):</v>
      </c>
      <c r="H1604" s="9" t="str">
        <f>IFERROR(__xludf.DUMMYFUNCTION("""COMPUTED_VALUE"""),"JavaScript")</f>
        <v>JavaScript</v>
      </c>
      <c r="I1604" s="9" t="str">
        <f>IFERROR(__xludf.DUMMYFUNCTION("""COMPUTED_VALUE"""),"SQL")</f>
        <v>SQL</v>
      </c>
      <c r="J1604" s="9" t="str">
        <f>IFERROR(__xludf.DUMMYFUNCTION("""COMPUTED_VALUE"""),"PHP")</f>
        <v>PHP</v>
      </c>
      <c r="K1604" s="9" t="str">
        <f>IFERROR(__xludf.DUMMYFUNCTION("""COMPUTED_VALUE"""),"Go")</f>
        <v>Go</v>
      </c>
      <c r="L1604" s="9" t="str">
        <f>IFERROR(__xludf.DUMMYFUNCTION("""COMPUTED_VALUE"""),"JavaScript")</f>
        <v>JavaScript</v>
      </c>
      <c r="M1604" s="9" t="s">
        <v>21</v>
      </c>
    </row>
    <row r="1605" ht="15.75" customHeight="1">
      <c r="A1605" s="7"/>
      <c r="B1605" s="7" t="str">
        <f>IFERROR(__xludf.DUMMYFUNCTION("""COMPUTED_VALUE"""),"Bash/Shell/PowerShell;C;C++;C#;Go;HTML/CSS;JavaScript;PHP;Python;Rust;SQL;TypeScript")</f>
        <v>Bash/Shell/PowerShell;C;C++;C#;Go;HTML/CSS;JavaScript;PHP;Python;Rust;SQL;TypeScript</v>
      </c>
      <c r="C1605" s="9" t="str">
        <f>IFERROR(__xludf.DUMMYFUNCTION("""COMPUTED_VALUE"""),"SQL")</f>
        <v>SQL</v>
      </c>
      <c r="D1605" s="9" t="str">
        <f>IFERROR(__xludf.DUMMYFUNCTION("""COMPUTED_VALUE"""),"HTML/CSS")</f>
        <v>HTML/CSS</v>
      </c>
      <c r="E1605" s="9" t="str">
        <f>IFERROR(__xludf.DUMMYFUNCTION("""COMPUTED_VALUE"""),"HTML/CSS")</f>
        <v>HTML/CSS</v>
      </c>
      <c r="F1605" s="9" t="str">
        <f>IFERROR(__xludf.DUMMYFUNCTION("""COMPUTED_VALUE"""),"HTML/CSS")</f>
        <v>HTML/CSS</v>
      </c>
      <c r="G1605" s="9" t="str">
        <f>IFERROR(__xludf.DUMMYFUNCTION("""COMPUTED_VALUE"""),"Java")</f>
        <v>Java</v>
      </c>
      <c r="H1605" s="9" t="str">
        <f>IFERROR(__xludf.DUMMYFUNCTION("""COMPUTED_VALUE"""),"PHP")</f>
        <v>PHP</v>
      </c>
      <c r="I1605" s="9" t="str">
        <f>IFERROR(__xludf.DUMMYFUNCTION("""COMPUTED_VALUE"""),"Bash/Shell/PowerShell")</f>
        <v>Bash/Shell/PowerShell</v>
      </c>
      <c r="J1605" s="9" t="str">
        <f>IFERROR(__xludf.DUMMYFUNCTION("""COMPUTED_VALUE"""),"Python")</f>
        <v>Python</v>
      </c>
      <c r="K1605" s="9" t="str">
        <f>IFERROR(__xludf.DUMMYFUNCTION("""COMPUTED_VALUE"""),"Java")</f>
        <v>Java</v>
      </c>
      <c r="L1605" s="9" t="str">
        <f>IFERROR(__xludf.DUMMYFUNCTION("""COMPUTED_VALUE"""),"SQL")</f>
        <v>SQL</v>
      </c>
      <c r="M1605" s="9" t="s">
        <v>27</v>
      </c>
    </row>
    <row r="1606" ht="15.75" customHeight="1">
      <c r="A1606" s="7"/>
      <c r="B1606" s="7" t="str">
        <f>IFERROR(__xludf.DUMMYFUNCTION("""COMPUTED_VALUE"""),"Objective-C;Swift")</f>
        <v>Objective-C;Swift</v>
      </c>
      <c r="C1606" s="9" t="str">
        <f>IFERROR(__xludf.DUMMYFUNCTION("""COMPUTED_VALUE"""),"C#")</f>
        <v>C#</v>
      </c>
      <c r="D1606" s="9" t="str">
        <f>IFERROR(__xludf.DUMMYFUNCTION("""COMPUTED_VALUE"""),"Java")</f>
        <v>Java</v>
      </c>
      <c r="E1606" s="9" t="str">
        <f>IFERROR(__xludf.DUMMYFUNCTION("""COMPUTED_VALUE"""),"Java")</f>
        <v>Java</v>
      </c>
      <c r="F1606" s="9" t="str">
        <f>IFERROR(__xludf.DUMMYFUNCTION("""COMPUTED_VALUE"""),"Java")</f>
        <v>Java</v>
      </c>
      <c r="G1606" s="9" t="str">
        <f>IFERROR(__xludf.DUMMYFUNCTION("""COMPUTED_VALUE"""),"Bash/Shell/PowerShell")</f>
        <v>Bash/Shell/PowerShell</v>
      </c>
      <c r="H1606" s="9" t="str">
        <f>IFERROR(__xludf.DUMMYFUNCTION("""COMPUTED_VALUE"""),"SQL")</f>
        <v>SQL</v>
      </c>
      <c r="I1606" s="9" t="str">
        <f>IFERROR(__xludf.DUMMYFUNCTION("""COMPUTED_VALUE"""),"C#")</f>
        <v>C#</v>
      </c>
      <c r="J1606" s="9" t="str">
        <f>IFERROR(__xludf.DUMMYFUNCTION("""COMPUTED_VALUE"""),"Ruby")</f>
        <v>Ruby</v>
      </c>
      <c r="K1606" s="9" t="str">
        <f>IFERROR(__xludf.DUMMYFUNCTION("""COMPUTED_VALUE"""),"Python")</f>
        <v>Python</v>
      </c>
      <c r="L1606" s="9" t="str">
        <f>IFERROR(__xludf.DUMMYFUNCTION("""COMPUTED_VALUE"""),"TypeScript")</f>
        <v>TypeScript</v>
      </c>
      <c r="M1606" s="9" t="s">
        <v>26</v>
      </c>
    </row>
    <row r="1607" ht="15.75" customHeight="1">
      <c r="A1607" s="7"/>
      <c r="B1607" s="7" t="str">
        <f>IFERROR(__xludf.DUMMYFUNCTION("""COMPUTED_VALUE"""),"C#;HTML/CSS;JavaScript;Python")</f>
        <v>C#;HTML/CSS;JavaScript;Python</v>
      </c>
      <c r="C1607" s="9" t="str">
        <f>IFERROR(__xludf.DUMMYFUNCTION("""COMPUTED_VALUE"""),"HTML/CSS")</f>
        <v>HTML/CSS</v>
      </c>
      <c r="D1607" s="9" t="str">
        <f>IFERROR(__xludf.DUMMYFUNCTION("""COMPUTED_VALUE"""),"JavaScript")</f>
        <v>JavaScript</v>
      </c>
      <c r="E1607" s="9" t="str">
        <f>IFERROR(__xludf.DUMMYFUNCTION("""COMPUTED_VALUE"""),"JavaScript")</f>
        <v>JavaScript</v>
      </c>
      <c r="F1607" s="9" t="str">
        <f>IFERROR(__xludf.DUMMYFUNCTION("""COMPUTED_VALUE"""),"JavaScript")</f>
        <v>JavaScript</v>
      </c>
      <c r="G1607" s="9" t="str">
        <f>IFERROR(__xludf.DUMMYFUNCTION("""COMPUTED_VALUE"""),"HTML/CSS")</f>
        <v>HTML/CSS</v>
      </c>
      <c r="H1607" s="9" t="str">
        <f>IFERROR(__xludf.DUMMYFUNCTION("""COMPUTED_VALUE"""),"Other(s):")</f>
        <v>Other(s):</v>
      </c>
      <c r="I1607" s="9" t="str">
        <f>IFERROR(__xludf.DUMMYFUNCTION("""COMPUTED_VALUE"""),"HTML/CSS")</f>
        <v>HTML/CSS</v>
      </c>
      <c r="J1607" s="9" t="str">
        <f>IFERROR(__xludf.DUMMYFUNCTION("""COMPUTED_VALUE"""),"SQL")</f>
        <v>SQL</v>
      </c>
      <c r="K1607" s="9" t="str">
        <f>IFERROR(__xludf.DUMMYFUNCTION("""COMPUTED_VALUE"""),"SQL")</f>
        <v>SQL</v>
      </c>
      <c r="L1607" s="9" t="str">
        <f>IFERROR(__xludf.DUMMYFUNCTION("""COMPUTED_VALUE"""),"Bash/Shell/PowerShell")</f>
        <v>Bash/Shell/PowerShell</v>
      </c>
      <c r="M1607" s="9" t="s">
        <v>24</v>
      </c>
    </row>
    <row r="1608" ht="15.75" customHeight="1">
      <c r="A1608" s="7"/>
      <c r="B1608" s="7" t="str">
        <f>IFERROR(__xludf.DUMMYFUNCTION("""COMPUTED_VALUE"""),"Bash/Shell/PowerShell;C++;C#;HTML/CSS;Java;JavaScript;Python;Ruby;SQL;TypeScript;VBA")</f>
        <v>Bash/Shell/PowerShell;C++;C#;HTML/CSS;Java;JavaScript;Python;Ruby;SQL;TypeScript;VBA</v>
      </c>
      <c r="C1608" s="9" t="str">
        <f>IFERROR(__xludf.DUMMYFUNCTION("""COMPUTED_VALUE"""),"JavaScript")</f>
        <v>JavaScript</v>
      </c>
      <c r="D1608" s="9" t="str">
        <f>IFERROR(__xludf.DUMMYFUNCTION("""COMPUTED_VALUE"""),"Python")</f>
        <v>Python</v>
      </c>
      <c r="E1608" s="9" t="str">
        <f>IFERROR(__xludf.DUMMYFUNCTION("""COMPUTED_VALUE"""),"Python")</f>
        <v>Python</v>
      </c>
      <c r="F1608" s="9" t="str">
        <f>IFERROR(__xludf.DUMMYFUNCTION("""COMPUTED_VALUE"""),"PHP")</f>
        <v>PHP</v>
      </c>
      <c r="G1608" s="9" t="str">
        <f>IFERROR(__xludf.DUMMYFUNCTION("""COMPUTED_VALUE"""),"JavaScript")</f>
        <v>JavaScript</v>
      </c>
      <c r="H1608" s="9" t="str">
        <f>IFERROR(__xludf.DUMMYFUNCTION("""COMPUTED_VALUE"""),"Assembly")</f>
        <v>Assembly</v>
      </c>
      <c r="I1608" s="9" t="str">
        <f>IFERROR(__xludf.DUMMYFUNCTION("""COMPUTED_VALUE"""),"JavaScript")</f>
        <v>JavaScript</v>
      </c>
      <c r="J1608" s="9" t="str">
        <f>IFERROR(__xludf.DUMMYFUNCTION("""COMPUTED_VALUE"""),"HTML/CSS")</f>
        <v>HTML/CSS</v>
      </c>
      <c r="K1608" s="9" t="str">
        <f>IFERROR(__xludf.DUMMYFUNCTION("""COMPUTED_VALUE"""),"Bash/Shell/PowerShell")</f>
        <v>Bash/Shell/PowerShell</v>
      </c>
      <c r="L1608" s="9" t="str">
        <f>IFERROR(__xludf.DUMMYFUNCTION("""COMPUTED_VALUE"""),"HTML/CSS")</f>
        <v>HTML/CSS</v>
      </c>
      <c r="M1608" s="9" t="s">
        <v>21</v>
      </c>
    </row>
    <row r="1609" ht="15.75" customHeight="1">
      <c r="A1609" s="7"/>
      <c r="B1609" s="7" t="str">
        <f>IFERROR(__xludf.DUMMYFUNCTION("""COMPUTED_VALUE"""),"C#;Java;JavaScript;PHP;SQL")</f>
        <v>C#;Java;JavaScript;PHP;SQL</v>
      </c>
      <c r="C1609" s="9" t="str">
        <f>IFERROR(__xludf.DUMMYFUNCTION("""COMPUTED_VALUE"""),"SQL")</f>
        <v>SQL</v>
      </c>
      <c r="D1609" s="9" t="str">
        <f>IFERROR(__xludf.DUMMYFUNCTION("""COMPUTED_VALUE"""),"SQL")</f>
        <v>SQL</v>
      </c>
      <c r="E1609" s="9" t="str">
        <f>IFERROR(__xludf.DUMMYFUNCTION("""COMPUTED_VALUE"""),"Objective-C")</f>
        <v>Objective-C</v>
      </c>
      <c r="F1609" s="9" t="str">
        <f>IFERROR(__xludf.DUMMYFUNCTION("""COMPUTED_VALUE"""),"SQL")</f>
        <v>SQL</v>
      </c>
      <c r="G1609" s="9" t="str">
        <f>IFERROR(__xludf.DUMMYFUNCTION("""COMPUTED_VALUE"""),"Python")</f>
        <v>Python</v>
      </c>
      <c r="H1609" s="9" t="str">
        <f>IFERROR(__xludf.DUMMYFUNCTION("""COMPUTED_VALUE"""),"Bash/Shell/PowerShell")</f>
        <v>Bash/Shell/PowerShell</v>
      </c>
      <c r="I1609" s="9" t="str">
        <f>IFERROR(__xludf.DUMMYFUNCTION("""COMPUTED_VALUE"""),"PHP")</f>
        <v>PHP</v>
      </c>
      <c r="J1609" s="9" t="str">
        <f>IFERROR(__xludf.DUMMYFUNCTION("""COMPUTED_VALUE"""),"JavaScript")</f>
        <v>JavaScript</v>
      </c>
      <c r="K1609" s="9" t="str">
        <f>IFERROR(__xludf.DUMMYFUNCTION("""COMPUTED_VALUE"""),"C#")</f>
        <v>C#</v>
      </c>
      <c r="L1609" s="9" t="str">
        <f>IFERROR(__xludf.DUMMYFUNCTION("""COMPUTED_VALUE"""),"Java")</f>
        <v>Java</v>
      </c>
      <c r="M1609" s="9" t="s">
        <v>27</v>
      </c>
    </row>
    <row r="1610" ht="15.75" customHeight="1">
      <c r="A1610" s="7"/>
      <c r="B1610" s="7" t="str">
        <f>IFERROR(__xludf.DUMMYFUNCTION("""COMPUTED_VALUE"""),"C#;SQL")</f>
        <v>C#;SQL</v>
      </c>
      <c r="C1610" s="9" t="str">
        <f>IFERROR(__xludf.DUMMYFUNCTION("""COMPUTED_VALUE"""),"TypeScript")</f>
        <v>TypeScript</v>
      </c>
      <c r="D1610" s="9" t="str">
        <f>IFERROR(__xludf.DUMMYFUNCTION("""COMPUTED_VALUE"""),"Other(s):")</f>
        <v>Other(s):</v>
      </c>
      <c r="E1610" s="9" t="str">
        <f>IFERROR(__xludf.DUMMYFUNCTION("""COMPUTED_VALUE"""),"Swift")</f>
        <v>Swift</v>
      </c>
      <c r="F1610" s="9" t="str">
        <f>IFERROR(__xludf.DUMMYFUNCTION("""COMPUTED_VALUE"""),"HTML/CSS")</f>
        <v>HTML/CSS</v>
      </c>
      <c r="G1610" s="9" t="str">
        <f>IFERROR(__xludf.DUMMYFUNCTION("""COMPUTED_VALUE"""),"SQL")</f>
        <v>SQL</v>
      </c>
      <c r="H1610" s="9" t="str">
        <f>IFERROR(__xludf.DUMMYFUNCTION("""COMPUTED_VALUE"""),"C++")</f>
        <v>C++</v>
      </c>
      <c r="I1610" s="9" t="str">
        <f>IFERROR(__xludf.DUMMYFUNCTION("""COMPUTED_VALUE"""),"SQL")</f>
        <v>SQL</v>
      </c>
      <c r="J1610" s="9" t="str">
        <f>IFERROR(__xludf.DUMMYFUNCTION("""COMPUTED_VALUE"""),"Python")</f>
        <v>Python</v>
      </c>
      <c r="K1610" s="9" t="str">
        <f>IFERROR(__xludf.DUMMYFUNCTION("""COMPUTED_VALUE"""),"HTML/CSS")</f>
        <v>HTML/CSS</v>
      </c>
      <c r="L1610" s="9" t="str">
        <f>IFERROR(__xludf.DUMMYFUNCTION("""COMPUTED_VALUE"""),"JavaScript")</f>
        <v>JavaScript</v>
      </c>
      <c r="M1610" s="9" t="s">
        <v>33</v>
      </c>
    </row>
    <row r="1611" ht="15.75" customHeight="1">
      <c r="A1611" s="7"/>
      <c r="B1611" s="7" t="str">
        <f>IFERROR(__xludf.DUMMYFUNCTION("""COMPUTED_VALUE"""),"C#;HTML/CSS;Java;JavaScript;TypeScript;WebAssembly;Other(s):")</f>
        <v>C#;HTML/CSS;Java;JavaScript;TypeScript;WebAssembly;Other(s):</v>
      </c>
      <c r="C1611" s="9" t="str">
        <f>IFERROR(__xludf.DUMMYFUNCTION("""COMPUTED_VALUE"""),"Assembly")</f>
        <v>Assembly</v>
      </c>
      <c r="D1611" s="9" t="str">
        <f>IFERROR(__xludf.DUMMYFUNCTION("""COMPUTED_VALUE"""),"Clojure")</f>
        <v>Clojure</v>
      </c>
      <c r="E1611" s="9" t="str">
        <f>IFERROR(__xludf.DUMMYFUNCTION("""COMPUTED_VALUE"""),"C")</f>
        <v>C</v>
      </c>
      <c r="F1611" s="9" t="str">
        <f>IFERROR(__xludf.DUMMYFUNCTION("""COMPUTED_VALUE"""),"Java")</f>
        <v>Java</v>
      </c>
      <c r="G1611" s="9" t="str">
        <f>IFERROR(__xludf.DUMMYFUNCTION("""COMPUTED_VALUE"""),"Bash/Shell/PowerShell")</f>
        <v>Bash/Shell/PowerShell</v>
      </c>
      <c r="H1611" s="9" t="str">
        <f>IFERROR(__xludf.DUMMYFUNCTION("""COMPUTED_VALUE"""),"C#")</f>
        <v>C#</v>
      </c>
      <c r="I1611" s="9" t="str">
        <f>IFERROR(__xludf.DUMMYFUNCTION("""COMPUTED_VALUE"""),"TypeScript")</f>
        <v>TypeScript</v>
      </c>
      <c r="J1611" s="9" t="str">
        <f>IFERROR(__xludf.DUMMYFUNCTION("""COMPUTED_VALUE"""),"R")</f>
        <v>R</v>
      </c>
      <c r="K1611" s="9" t="str">
        <f>IFERROR(__xludf.DUMMYFUNCTION("""COMPUTED_VALUE"""),"JavaScript")</f>
        <v>JavaScript</v>
      </c>
      <c r="L1611" s="9" t="str">
        <f>IFERROR(__xludf.DUMMYFUNCTION("""COMPUTED_VALUE"""),"PHP")</f>
        <v>PHP</v>
      </c>
      <c r="M1611" s="9" t="s">
        <v>38</v>
      </c>
    </row>
    <row r="1612" ht="15.75" customHeight="1">
      <c r="A1612" s="7"/>
      <c r="B1612" s="7" t="str">
        <f>IFERROR(__xludf.DUMMYFUNCTION("""COMPUTED_VALUE"""),"Bash/Shell/PowerShell;HTML/CSS;Java;JavaScript;Python;SQL")</f>
        <v>Bash/Shell/PowerShell;HTML/CSS;Java;JavaScript;Python;SQL</v>
      </c>
      <c r="C1612" s="9" t="str">
        <f>IFERROR(__xludf.DUMMYFUNCTION("""COMPUTED_VALUE"""),"Bash/Shell/PowerShell")</f>
        <v>Bash/Shell/PowerShell</v>
      </c>
      <c r="D1612" s="9" t="str">
        <f>IFERROR(__xludf.DUMMYFUNCTION("""COMPUTED_VALUE"""),"HTML/CSS")</f>
        <v>HTML/CSS</v>
      </c>
      <c r="E1612" s="9" t="str">
        <f>IFERROR(__xludf.DUMMYFUNCTION("""COMPUTED_VALUE"""),"C++")</f>
        <v>C++</v>
      </c>
      <c r="F1612" s="9" t="str">
        <f>IFERROR(__xludf.DUMMYFUNCTION("""COMPUTED_VALUE"""),"JavaScript")</f>
        <v>JavaScript</v>
      </c>
      <c r="G1612" s="9" t="str">
        <f>IFERROR(__xludf.DUMMYFUNCTION("""COMPUTED_VALUE"""),"Go")</f>
        <v>Go</v>
      </c>
      <c r="H1612" s="9" t="str">
        <f>IFERROR(__xludf.DUMMYFUNCTION("""COMPUTED_VALUE"""),"HTML/CSS")</f>
        <v>HTML/CSS</v>
      </c>
      <c r="I1612" s="9" t="str">
        <f>IFERROR(__xludf.DUMMYFUNCTION("""COMPUTED_VALUE"""),"VBA")</f>
        <v>VBA</v>
      </c>
      <c r="J1612" s="9" t="str">
        <f>IFERROR(__xludf.DUMMYFUNCTION("""COMPUTED_VALUE"""),"SQL")</f>
        <v>SQL</v>
      </c>
      <c r="K1612" s="9" t="str">
        <f>IFERROR(__xludf.DUMMYFUNCTION("""COMPUTED_VALUE"""),"Python")</f>
        <v>Python</v>
      </c>
      <c r="L1612" s="9" t="str">
        <f>IFERROR(__xludf.DUMMYFUNCTION("""COMPUTED_VALUE"""),"Python")</f>
        <v>Python</v>
      </c>
      <c r="M1612" s="9" t="s">
        <v>30</v>
      </c>
    </row>
    <row r="1613" ht="15.75" customHeight="1">
      <c r="A1613" s="7"/>
      <c r="B1613" s="7" t="str">
        <f>IFERROR(__xludf.DUMMYFUNCTION("""COMPUTED_VALUE"""),"Bash/Shell/PowerShell;C++;C#;JavaScript;Objective-C;Python;Swift")</f>
        <v>Bash/Shell/PowerShell;C++;C#;JavaScript;Objective-C;Python;Swift</v>
      </c>
      <c r="C1613" s="9" t="str">
        <f>IFERROR(__xludf.DUMMYFUNCTION("""COMPUTED_VALUE"""),"C")</f>
        <v>C</v>
      </c>
      <c r="D1613" s="9" t="str">
        <f>IFERROR(__xludf.DUMMYFUNCTION("""COMPUTED_VALUE"""),"JavaScript")</f>
        <v>JavaScript</v>
      </c>
      <c r="E1613" s="9" t="str">
        <f>IFERROR(__xludf.DUMMYFUNCTION("""COMPUTED_VALUE"""),"Python")</f>
        <v>Python</v>
      </c>
      <c r="F1613" s="9" t="str">
        <f>IFERROR(__xludf.DUMMYFUNCTION("""COMPUTED_VALUE"""),"Python")</f>
        <v>Python</v>
      </c>
      <c r="G1613" s="9" t="str">
        <f>IFERROR(__xludf.DUMMYFUNCTION("""COMPUTED_VALUE"""),"JavaScript")</f>
        <v>JavaScript</v>
      </c>
      <c r="H1613" s="9" t="str">
        <f>IFERROR(__xludf.DUMMYFUNCTION("""COMPUTED_VALUE"""),"Java")</f>
        <v>Java</v>
      </c>
      <c r="I1613" s="9" t="str">
        <f>IFERROR(__xludf.DUMMYFUNCTION("""COMPUTED_VALUE"""),"C#")</f>
        <v>C#</v>
      </c>
      <c r="J1613" s="9" t="str">
        <f>IFERROR(__xludf.DUMMYFUNCTION("""COMPUTED_VALUE"""),"Assembly")</f>
        <v>Assembly</v>
      </c>
      <c r="K1613" s="9" t="str">
        <f>IFERROR(__xludf.DUMMYFUNCTION("""COMPUTED_VALUE"""),"SQL")</f>
        <v>SQL</v>
      </c>
      <c r="L1613" s="9" t="str">
        <f>IFERROR(__xludf.DUMMYFUNCTION("""COMPUTED_VALUE"""),"SQL")</f>
        <v>SQL</v>
      </c>
      <c r="M1613" s="9" t="s">
        <v>25</v>
      </c>
    </row>
    <row r="1614" ht="15.75" customHeight="1">
      <c r="A1614" s="7"/>
      <c r="B1614" s="7" t="str">
        <f>IFERROR(__xludf.DUMMYFUNCTION("""COMPUTED_VALUE"""),"Assembly;Bash/Shell/PowerShell;C;Python")</f>
        <v>Assembly;Bash/Shell/PowerShell;C;Python</v>
      </c>
      <c r="C1614" s="9" t="str">
        <f>IFERROR(__xludf.DUMMYFUNCTION("""COMPUTED_VALUE"""),"C++")</f>
        <v>C++</v>
      </c>
      <c r="D1614" s="9" t="str">
        <f>IFERROR(__xludf.DUMMYFUNCTION("""COMPUTED_VALUE"""),"Kotlin")</f>
        <v>Kotlin</v>
      </c>
      <c r="E1614" s="9" t="str">
        <f>IFERROR(__xludf.DUMMYFUNCTION("""COMPUTED_VALUE"""),"Other(s):")</f>
        <v>Other(s):</v>
      </c>
      <c r="F1614" s="9" t="str">
        <f>IFERROR(__xludf.DUMMYFUNCTION("""COMPUTED_VALUE"""),"R")</f>
        <v>R</v>
      </c>
      <c r="G1614" s="9" t="str">
        <f>IFERROR(__xludf.DUMMYFUNCTION("""COMPUTED_VALUE"""),"PHP")</f>
        <v>PHP</v>
      </c>
      <c r="H1614" s="9" t="str">
        <f>IFERROR(__xludf.DUMMYFUNCTION("""COMPUTED_VALUE"""),"JavaScript")</f>
        <v>JavaScript</v>
      </c>
      <c r="I1614" s="9" t="str">
        <f>IFERROR(__xludf.DUMMYFUNCTION("""COMPUTED_VALUE"""),"HTML/CSS")</f>
        <v>HTML/CSS</v>
      </c>
      <c r="J1614" s="9" t="str">
        <f>IFERROR(__xludf.DUMMYFUNCTION("""COMPUTED_VALUE"""),"HTML/CSS")</f>
        <v>HTML/CSS</v>
      </c>
      <c r="K1614" s="9" t="str">
        <f>IFERROR(__xludf.DUMMYFUNCTION("""COMPUTED_VALUE"""),"TypeScript")</f>
        <v>TypeScript</v>
      </c>
      <c r="L1614" s="9" t="str">
        <f>IFERROR(__xludf.DUMMYFUNCTION("""COMPUTED_VALUE"""),"Bash/Shell/PowerShell")</f>
        <v>Bash/Shell/PowerShell</v>
      </c>
      <c r="M1614" s="9" t="s">
        <v>23</v>
      </c>
    </row>
    <row r="1615" ht="15.75" customHeight="1">
      <c r="A1615" s="7"/>
      <c r="B1615" s="7" t="str">
        <f>IFERROR(__xludf.DUMMYFUNCTION("""COMPUTED_VALUE"""),"Bash/Shell/PowerShell;HTML/CSS;Java;JavaScript;Kotlin;Python;SQL")</f>
        <v>Bash/Shell/PowerShell;HTML/CSS;Java;JavaScript;Kotlin;Python;SQL</v>
      </c>
      <c r="C1615" s="9" t="str">
        <f>IFERROR(__xludf.DUMMYFUNCTION("""COMPUTED_VALUE"""),"C#")</f>
        <v>C#</v>
      </c>
      <c r="D1615" s="9" t="str">
        <f>IFERROR(__xludf.DUMMYFUNCTION("""COMPUTED_VALUE"""),"PHP")</f>
        <v>PHP</v>
      </c>
      <c r="E1615" s="9" t="str">
        <f>IFERROR(__xludf.DUMMYFUNCTION("""COMPUTED_VALUE"""),"HTML/CSS")</f>
        <v>HTML/CSS</v>
      </c>
      <c r="F1615" s="9" t="str">
        <f>IFERROR(__xludf.DUMMYFUNCTION("""COMPUTED_VALUE"""),"Scala")</f>
        <v>Scala</v>
      </c>
      <c r="G1615" s="9" t="str">
        <f>IFERROR(__xludf.DUMMYFUNCTION("""COMPUTED_VALUE"""),"Scala")</f>
        <v>Scala</v>
      </c>
      <c r="H1615" s="9" t="str">
        <f>IFERROR(__xludf.DUMMYFUNCTION("""COMPUTED_VALUE"""),"PHP")</f>
        <v>PHP</v>
      </c>
      <c r="I1615" s="9" t="str">
        <f>IFERROR(__xludf.DUMMYFUNCTION("""COMPUTED_VALUE"""),"JavaScript")</f>
        <v>JavaScript</v>
      </c>
      <c r="J1615" s="9" t="str">
        <f>IFERROR(__xludf.DUMMYFUNCTION("""COMPUTED_VALUE"""),"JavaScript")</f>
        <v>JavaScript</v>
      </c>
      <c r="K1615" s="9" t="str">
        <f>IFERROR(__xludf.DUMMYFUNCTION("""COMPUTED_VALUE"""),"Go")</f>
        <v>Go</v>
      </c>
      <c r="L1615" s="9" t="str">
        <f>IFERROR(__xludf.DUMMYFUNCTION("""COMPUTED_VALUE"""),"HTML/CSS")</f>
        <v>HTML/CSS</v>
      </c>
      <c r="M1615" s="9" t="s">
        <v>26</v>
      </c>
    </row>
    <row r="1616" ht="15.75" customHeight="1">
      <c r="A1616" s="7"/>
      <c r="B1616" s="7" t="str">
        <f>IFERROR(__xludf.DUMMYFUNCTION("""COMPUTED_VALUE"""),"Bash/Shell/PowerShell;Python;Ruby;SQL")</f>
        <v>Bash/Shell/PowerShell;Python;Ruby;SQL</v>
      </c>
      <c r="C1616" s="9" t="str">
        <f>IFERROR(__xludf.DUMMYFUNCTION("""COMPUTED_VALUE"""),"HTML/CSS")</f>
        <v>HTML/CSS</v>
      </c>
      <c r="D1616" s="9" t="str">
        <f>IFERROR(__xludf.DUMMYFUNCTION("""COMPUTED_VALUE"""),"Ruby")</f>
        <v>Ruby</v>
      </c>
      <c r="E1616" s="9" t="str">
        <f>IFERROR(__xludf.DUMMYFUNCTION("""COMPUTED_VALUE"""),"JavaScript")</f>
        <v>JavaScript</v>
      </c>
      <c r="F1616" s="9" t="str">
        <f>IFERROR(__xludf.DUMMYFUNCTION("""COMPUTED_VALUE"""),"SQL")</f>
        <v>SQL</v>
      </c>
      <c r="G1616" s="9" t="str">
        <f>IFERROR(__xludf.DUMMYFUNCTION("""COMPUTED_VALUE"""),"SQL")</f>
        <v>SQL</v>
      </c>
      <c r="H1616" s="9" t="str">
        <f>IFERROR(__xludf.DUMMYFUNCTION("""COMPUTED_VALUE"""),"Python")</f>
        <v>Python</v>
      </c>
      <c r="I1616" s="9" t="str">
        <f>IFERROR(__xludf.DUMMYFUNCTION("""COMPUTED_VALUE"""),"Python")</f>
        <v>Python</v>
      </c>
      <c r="J1616" s="9" t="str">
        <f>IFERROR(__xludf.DUMMYFUNCTION("""COMPUTED_VALUE"""),"PHP")</f>
        <v>PHP</v>
      </c>
      <c r="K1616" s="9" t="str">
        <f>IFERROR(__xludf.DUMMYFUNCTION("""COMPUTED_VALUE"""),"HTML/CSS")</f>
        <v>HTML/CSS</v>
      </c>
      <c r="L1616" s="9" t="str">
        <f>IFERROR(__xludf.DUMMYFUNCTION("""COMPUTED_VALUE"""),"Java")</f>
        <v>Java</v>
      </c>
      <c r="M1616" s="9" t="s">
        <v>24</v>
      </c>
    </row>
    <row r="1617" ht="15.75" customHeight="1">
      <c r="A1617" s="7"/>
      <c r="B1617" s="7" t="str">
        <f>IFERROR(__xludf.DUMMYFUNCTION("""COMPUTED_VALUE"""),"Assembly;C++;C#;Java;JavaScript;Python;VBA")</f>
        <v>Assembly;C++;C#;Java;JavaScript;Python;VBA</v>
      </c>
      <c r="C1617" s="9" t="str">
        <f>IFERROR(__xludf.DUMMYFUNCTION("""COMPUTED_VALUE"""),"Java")</f>
        <v>Java</v>
      </c>
      <c r="D1617" s="9" t="str">
        <f>IFERROR(__xludf.DUMMYFUNCTION("""COMPUTED_VALUE"""),"Bash/Shell/PowerShell")</f>
        <v>Bash/Shell/PowerShell</v>
      </c>
      <c r="E1617" s="9" t="str">
        <f>IFERROR(__xludf.DUMMYFUNCTION("""COMPUTED_VALUE"""),"PHP")</f>
        <v>PHP</v>
      </c>
      <c r="F1617" s="9" t="str">
        <f>IFERROR(__xludf.DUMMYFUNCTION("""COMPUTED_VALUE"""),"C#")</f>
        <v>C#</v>
      </c>
      <c r="G1617" s="9" t="str">
        <f>IFERROR(__xludf.DUMMYFUNCTION("""COMPUTED_VALUE"""),"HTML/CSS")</f>
        <v>HTML/CSS</v>
      </c>
      <c r="H1617" s="9" t="str">
        <f>IFERROR(__xludf.DUMMYFUNCTION("""COMPUTED_VALUE"""),"SQL")</f>
        <v>SQL</v>
      </c>
      <c r="I1617" s="9" t="str">
        <f>IFERROR(__xludf.DUMMYFUNCTION("""COMPUTED_VALUE"""),"SQL")</f>
        <v>SQL</v>
      </c>
      <c r="J1617" s="9" t="str">
        <f>IFERROR(__xludf.DUMMYFUNCTION("""COMPUTED_VALUE"""),"Bash/Shell/PowerShell")</f>
        <v>Bash/Shell/PowerShell</v>
      </c>
      <c r="K1617" s="9" t="str">
        <f>IFERROR(__xludf.DUMMYFUNCTION("""COMPUTED_VALUE"""),"JavaScript")</f>
        <v>JavaScript</v>
      </c>
      <c r="L1617" s="9" t="str">
        <f>IFERROR(__xludf.DUMMYFUNCTION("""COMPUTED_VALUE"""),"JavaScript")</f>
        <v>JavaScript</v>
      </c>
      <c r="M1617" s="9" t="s">
        <v>20</v>
      </c>
    </row>
    <row r="1618" ht="15.75" customHeight="1">
      <c r="A1618" s="7"/>
      <c r="B1618" s="7" t="str">
        <f>IFERROR(__xludf.DUMMYFUNCTION("""COMPUTED_VALUE"""),"HTML/CSS;Java;JavaScript;PHP;SQL;TypeScript;Other(s):")</f>
        <v>HTML/CSS;Java;JavaScript;PHP;SQL;TypeScript;Other(s):</v>
      </c>
      <c r="C1618" s="9" t="str">
        <f>IFERROR(__xludf.DUMMYFUNCTION("""COMPUTED_VALUE"""),"JavaScript")</f>
        <v>JavaScript</v>
      </c>
      <c r="D1618" s="9" t="str">
        <f>IFERROR(__xludf.DUMMYFUNCTION("""COMPUTED_VALUE"""),"C")</f>
        <v>C</v>
      </c>
      <c r="E1618" s="9" t="str">
        <f>IFERROR(__xludf.DUMMYFUNCTION("""COMPUTED_VALUE"""),"SQL")</f>
        <v>SQL</v>
      </c>
      <c r="F1618" s="9" t="str">
        <f>IFERROR(__xludf.DUMMYFUNCTION("""COMPUTED_VALUE"""),"Java")</f>
        <v>Java</v>
      </c>
      <c r="G1618" s="9" t="str">
        <f>IFERROR(__xludf.DUMMYFUNCTION("""COMPUTED_VALUE"""),"JavaScript")</f>
        <v>JavaScript</v>
      </c>
      <c r="H1618" s="9" t="str">
        <f>IFERROR(__xludf.DUMMYFUNCTION("""COMPUTED_VALUE"""),"C")</f>
        <v>C</v>
      </c>
      <c r="I1618" s="9" t="str">
        <f>IFERROR(__xludf.DUMMYFUNCTION("""COMPUTED_VALUE"""),"TypeScript")</f>
        <v>TypeScript</v>
      </c>
      <c r="J1618" s="9" t="str">
        <f>IFERROR(__xludf.DUMMYFUNCTION("""COMPUTED_VALUE"""),"Go")</f>
        <v>Go</v>
      </c>
      <c r="K1618" s="9" t="str">
        <f>IFERROR(__xludf.DUMMYFUNCTION("""COMPUTED_VALUE"""),"SQL")</f>
        <v>SQL</v>
      </c>
      <c r="L1618" s="9" t="str">
        <f>IFERROR(__xludf.DUMMYFUNCTION("""COMPUTED_VALUE"""),"Python")</f>
        <v>Python</v>
      </c>
      <c r="M1618" s="9" t="s">
        <v>21</v>
      </c>
    </row>
    <row r="1619" ht="15.75" customHeight="1">
      <c r="A1619" s="7"/>
      <c r="B1619" s="7" t="str">
        <f>IFERROR(__xludf.DUMMYFUNCTION("""COMPUTED_VALUE"""),"Bash/Shell/PowerShell;Java;JavaScript;Python;Scala")</f>
        <v>Bash/Shell/PowerShell;Java;JavaScript;Python;Scala</v>
      </c>
      <c r="C1619" s="9" t="str">
        <f>IFERROR(__xludf.DUMMYFUNCTION("""COMPUTED_VALUE"""),"PHP")</f>
        <v>PHP</v>
      </c>
      <c r="D1619" s="9" t="str">
        <f>IFERROR(__xludf.DUMMYFUNCTION("""COMPUTED_VALUE"""),"C++")</f>
        <v>C++</v>
      </c>
      <c r="E1619" s="9" t="str">
        <f>IFERROR(__xludf.DUMMYFUNCTION("""COMPUTED_VALUE"""),"C#")</f>
        <v>C#</v>
      </c>
      <c r="F1619" s="9" t="str">
        <f>IFERROR(__xludf.DUMMYFUNCTION("""COMPUTED_VALUE"""),"Bash/Shell/PowerShell")</f>
        <v>Bash/Shell/PowerShell</v>
      </c>
      <c r="G1619" s="9" t="str">
        <f>IFERROR(__xludf.DUMMYFUNCTION("""COMPUTED_VALUE"""),"PHP")</f>
        <v>PHP</v>
      </c>
      <c r="H1619" s="9" t="str">
        <f>IFERROR(__xludf.DUMMYFUNCTION("""COMPUTED_VALUE"""),"C++")</f>
        <v>C++</v>
      </c>
      <c r="I1619" s="9" t="str">
        <f>IFERROR(__xludf.DUMMYFUNCTION("""COMPUTED_VALUE"""),"C")</f>
        <v>C</v>
      </c>
      <c r="J1619" s="9" t="str">
        <f>IFERROR(__xludf.DUMMYFUNCTION("""COMPUTED_VALUE"""),"HTML/CSS")</f>
        <v>HTML/CSS</v>
      </c>
      <c r="K1619" s="9" t="str">
        <f>IFERROR(__xludf.DUMMYFUNCTION("""COMPUTED_VALUE"""),"TypeScript")</f>
        <v>TypeScript</v>
      </c>
      <c r="L1619" s="9" t="str">
        <f>IFERROR(__xludf.DUMMYFUNCTION("""COMPUTED_VALUE"""),"SQL")</f>
        <v>SQL</v>
      </c>
      <c r="M1619" s="9" t="s">
        <v>37</v>
      </c>
    </row>
    <row r="1620" ht="15.75" customHeight="1">
      <c r="A1620" s="7"/>
      <c r="B1620" s="7" t="str">
        <f>IFERROR(__xludf.DUMMYFUNCTION("""COMPUTED_VALUE"""),"Assembly;Java;Scala;SQL")</f>
        <v>Assembly;Java;Scala;SQL</v>
      </c>
      <c r="C1620" s="9" t="str">
        <f>IFERROR(__xludf.DUMMYFUNCTION("""COMPUTED_VALUE"""),"Python")</f>
        <v>Python</v>
      </c>
      <c r="D1620" s="9" t="str">
        <f>IFERROR(__xludf.DUMMYFUNCTION("""COMPUTED_VALUE"""),"Python")</f>
        <v>Python</v>
      </c>
      <c r="E1620" s="9" t="str">
        <f>IFERROR(__xludf.DUMMYFUNCTION("""COMPUTED_VALUE"""),"PHP")</f>
        <v>PHP</v>
      </c>
      <c r="F1620" s="9" t="str">
        <f>IFERROR(__xludf.DUMMYFUNCTION("""COMPUTED_VALUE"""),"Go")</f>
        <v>Go</v>
      </c>
      <c r="G1620" s="9" t="str">
        <f>IFERROR(__xludf.DUMMYFUNCTION("""COMPUTED_VALUE"""),"HTML/CSS")</f>
        <v>HTML/CSS</v>
      </c>
      <c r="H1620" s="9" t="str">
        <f>IFERROR(__xludf.DUMMYFUNCTION("""COMPUTED_VALUE"""),"HTML/CSS")</f>
        <v>HTML/CSS</v>
      </c>
      <c r="I1620" s="9" t="str">
        <f>IFERROR(__xludf.DUMMYFUNCTION("""COMPUTED_VALUE"""),"C++")</f>
        <v>C++</v>
      </c>
      <c r="J1620" s="9" t="str">
        <f>IFERROR(__xludf.DUMMYFUNCTION("""COMPUTED_VALUE"""),"Java")</f>
        <v>Java</v>
      </c>
      <c r="K1620" s="9" t="str">
        <f>IFERROR(__xludf.DUMMYFUNCTION("""COMPUTED_VALUE"""),"R")</f>
        <v>R</v>
      </c>
      <c r="L1620" s="9" t="str">
        <f>IFERROR(__xludf.DUMMYFUNCTION("""COMPUTED_VALUE"""),"C#")</f>
        <v>C#</v>
      </c>
      <c r="M1620" s="9" t="s">
        <v>22</v>
      </c>
    </row>
    <row r="1621" ht="15.75" customHeight="1">
      <c r="A1621" s="7"/>
      <c r="B1621" s="7" t="str">
        <f>IFERROR(__xludf.DUMMYFUNCTION("""COMPUTED_VALUE"""),"HTML/CSS;JavaScript;PHP;SQL")</f>
        <v>HTML/CSS;JavaScript;PHP;SQL</v>
      </c>
      <c r="C1621" s="9" t="str">
        <f>IFERROR(__xludf.DUMMYFUNCTION("""COMPUTED_VALUE"""),"Bash/Shell/PowerShell")</f>
        <v>Bash/Shell/PowerShell</v>
      </c>
      <c r="D1621" s="9" t="str">
        <f>IFERROR(__xludf.DUMMYFUNCTION("""COMPUTED_VALUE"""),"Other(s):")</f>
        <v>Other(s):</v>
      </c>
      <c r="E1621" s="9" t="str">
        <f>IFERROR(__xludf.DUMMYFUNCTION("""COMPUTED_VALUE"""),"SQL")</f>
        <v>SQL</v>
      </c>
      <c r="F1621" s="9" t="str">
        <f>IFERROR(__xludf.DUMMYFUNCTION("""COMPUTED_VALUE"""),"HTML/CSS")</f>
        <v>HTML/CSS</v>
      </c>
      <c r="G1621" s="9" t="str">
        <f>IFERROR(__xludf.DUMMYFUNCTION("""COMPUTED_VALUE"""),"JavaScript")</f>
        <v>JavaScript</v>
      </c>
      <c r="H1621" s="9" t="str">
        <f>IFERROR(__xludf.DUMMYFUNCTION("""COMPUTED_VALUE"""),"Java")</f>
        <v>Java</v>
      </c>
      <c r="I1621" s="9" t="str">
        <f>IFERROR(__xludf.DUMMYFUNCTION("""COMPUTED_VALUE"""),"C#")</f>
        <v>C#</v>
      </c>
      <c r="J1621" s="9" t="str">
        <f>IFERROR(__xludf.DUMMYFUNCTION("""COMPUTED_VALUE"""),"JavaScript")</f>
        <v>JavaScript</v>
      </c>
      <c r="K1621" s="9" t="str">
        <f>IFERROR(__xludf.DUMMYFUNCTION("""COMPUTED_VALUE"""),"SQL")</f>
        <v>SQL</v>
      </c>
      <c r="L1621" s="9" t="str">
        <f>IFERROR(__xludf.DUMMYFUNCTION("""COMPUTED_VALUE"""),"HTML/CSS")</f>
        <v>HTML/CSS</v>
      </c>
      <c r="M1621" s="9" t="s">
        <v>30</v>
      </c>
    </row>
    <row r="1622" ht="15.75" customHeight="1">
      <c r="A1622" s="7"/>
      <c r="B1622" s="7" t="str">
        <f>IFERROR(__xludf.DUMMYFUNCTION("""COMPUTED_VALUE"""),"HTML/CSS;Java;JavaScript")</f>
        <v>HTML/CSS;Java;JavaScript</v>
      </c>
      <c r="C1622" s="9" t="str">
        <f>IFERROR(__xludf.DUMMYFUNCTION("""COMPUTED_VALUE"""),"HTML/CSS")</f>
        <v>HTML/CSS</v>
      </c>
      <c r="D1622" s="9" t="str">
        <f>IFERROR(__xludf.DUMMYFUNCTION("""COMPUTED_VALUE"""),"C#")</f>
        <v>C#</v>
      </c>
      <c r="E1622" s="9" t="str">
        <f>IFERROR(__xludf.DUMMYFUNCTION("""COMPUTED_VALUE"""),"Java")</f>
        <v>Java</v>
      </c>
      <c r="F1622" s="9" t="str">
        <f>IFERROR(__xludf.DUMMYFUNCTION("""COMPUTED_VALUE"""),"Java")</f>
        <v>Java</v>
      </c>
      <c r="G1622" s="9" t="str">
        <f>IFERROR(__xludf.DUMMYFUNCTION("""COMPUTED_VALUE"""),"Python")</f>
        <v>Python</v>
      </c>
      <c r="H1622" s="9" t="str">
        <f>IFERROR(__xludf.DUMMYFUNCTION("""COMPUTED_VALUE"""),"JavaScript")</f>
        <v>JavaScript</v>
      </c>
      <c r="I1622" s="9" t="str">
        <f>IFERROR(__xludf.DUMMYFUNCTION("""COMPUTED_VALUE"""),"SQL")</f>
        <v>SQL</v>
      </c>
      <c r="J1622" s="9" t="str">
        <f>IFERROR(__xludf.DUMMYFUNCTION("""COMPUTED_VALUE"""),"Kotlin")</f>
        <v>Kotlin</v>
      </c>
      <c r="K1622" s="9" t="str">
        <f>IFERROR(__xludf.DUMMYFUNCTION("""COMPUTED_VALUE"""),"C#")</f>
        <v>C#</v>
      </c>
      <c r="L1622" s="9" t="str">
        <f>IFERROR(__xludf.DUMMYFUNCTION("""COMPUTED_VALUE"""),"JavaScript")</f>
        <v>JavaScript</v>
      </c>
      <c r="M1622" s="9" t="s">
        <v>24</v>
      </c>
    </row>
    <row r="1623" ht="15.75" customHeight="1">
      <c r="A1623" s="7"/>
      <c r="B1623" s="7" t="str">
        <f>IFERROR(__xludf.DUMMYFUNCTION("""COMPUTED_VALUE"""),"Bash/Shell/PowerShell;C;Clojure;HTML/CSS;Java;JavaScript;Kotlin;Python;Rust;Swift")</f>
        <v>Bash/Shell/PowerShell;C;Clojure;HTML/CSS;Java;JavaScript;Kotlin;Python;Rust;Swift</v>
      </c>
      <c r="C1623" s="9" t="str">
        <f>IFERROR(__xludf.DUMMYFUNCTION("""COMPUTED_VALUE"""),"Java")</f>
        <v>Java</v>
      </c>
      <c r="D1623" s="9" t="str">
        <f>IFERROR(__xludf.DUMMYFUNCTION("""COMPUTED_VALUE"""),"HTML/CSS")</f>
        <v>HTML/CSS</v>
      </c>
      <c r="E1623" s="9" t="str">
        <f>IFERROR(__xludf.DUMMYFUNCTION("""COMPUTED_VALUE"""),"Java")</f>
        <v>Java</v>
      </c>
      <c r="F1623" s="9" t="str">
        <f>IFERROR(__xludf.DUMMYFUNCTION("""COMPUTED_VALUE"""),"JavaScript")</f>
        <v>JavaScript</v>
      </c>
      <c r="G1623" s="9" t="str">
        <f>IFERROR(__xludf.DUMMYFUNCTION("""COMPUTED_VALUE"""),"R")</f>
        <v>R</v>
      </c>
      <c r="H1623" s="9" t="str">
        <f>IFERROR(__xludf.DUMMYFUNCTION("""COMPUTED_VALUE"""),"Objective-C")</f>
        <v>Objective-C</v>
      </c>
      <c r="I1623" s="9" t="str">
        <f>IFERROR(__xludf.DUMMYFUNCTION("""COMPUTED_VALUE"""),"HTML/CSS")</f>
        <v>HTML/CSS</v>
      </c>
      <c r="J1623" s="9" t="str">
        <f>IFERROR(__xludf.DUMMYFUNCTION("""COMPUTED_VALUE"""),"Objective-C")</f>
        <v>Objective-C</v>
      </c>
      <c r="K1623" s="9" t="str">
        <f>IFERROR(__xludf.DUMMYFUNCTION("""COMPUTED_VALUE"""),"HTML/CSS")</f>
        <v>HTML/CSS</v>
      </c>
      <c r="L1623" s="9" t="str">
        <f>IFERROR(__xludf.DUMMYFUNCTION("""COMPUTED_VALUE"""),"TypeScript")</f>
        <v>TypeScript</v>
      </c>
      <c r="M1623" s="9" t="s">
        <v>20</v>
      </c>
    </row>
    <row r="1624" ht="15.75" customHeight="1">
      <c r="A1624" s="7"/>
      <c r="B1624" s="7" t="str">
        <f>IFERROR(__xludf.DUMMYFUNCTION("""COMPUTED_VALUE"""),"C#")</f>
        <v>C#</v>
      </c>
      <c r="C1624" s="9" t="str">
        <f>IFERROR(__xludf.DUMMYFUNCTION("""COMPUTED_VALUE"""),"JavaScript")</f>
        <v>JavaScript</v>
      </c>
      <c r="D1624" s="9" t="str">
        <f>IFERROR(__xludf.DUMMYFUNCTION("""COMPUTED_VALUE"""),"JavaScript")</f>
        <v>JavaScript</v>
      </c>
      <c r="E1624" s="9" t="str">
        <f>IFERROR(__xludf.DUMMYFUNCTION("""COMPUTED_VALUE"""),"Python")</f>
        <v>Python</v>
      </c>
      <c r="F1624" s="9" t="str">
        <f>IFERROR(__xludf.DUMMYFUNCTION("""COMPUTED_VALUE"""),"Objective-C")</f>
        <v>Objective-C</v>
      </c>
      <c r="G1624" s="9" t="str">
        <f>IFERROR(__xludf.DUMMYFUNCTION("""COMPUTED_VALUE"""),"SQL")</f>
        <v>SQL</v>
      </c>
      <c r="H1624" s="9" t="str">
        <f>IFERROR(__xludf.DUMMYFUNCTION("""COMPUTED_VALUE"""),"Python")</f>
        <v>Python</v>
      </c>
      <c r="I1624" s="9" t="str">
        <f>IFERROR(__xludf.DUMMYFUNCTION("""COMPUTED_VALUE"""),"JavaScript")</f>
        <v>JavaScript</v>
      </c>
      <c r="J1624" s="9" t="str">
        <f>IFERROR(__xludf.DUMMYFUNCTION("""COMPUTED_VALUE"""),"Python")</f>
        <v>Python</v>
      </c>
      <c r="K1624" s="9" t="str">
        <f>IFERROR(__xludf.DUMMYFUNCTION("""COMPUTED_VALUE"""),"SQL")</f>
        <v>SQL</v>
      </c>
      <c r="L1624" s="9" t="str">
        <f>IFERROR(__xludf.DUMMYFUNCTION("""COMPUTED_VALUE"""),"Other(s):")</f>
        <v>Other(s):</v>
      </c>
      <c r="M1624" s="9" t="s">
        <v>21</v>
      </c>
    </row>
    <row r="1625" ht="15.75" customHeight="1">
      <c r="A1625" s="7"/>
      <c r="B1625" s="7" t="str">
        <f>IFERROR(__xludf.DUMMYFUNCTION("""COMPUTED_VALUE"""),"Assembly;C;C++;C#;Python;Ruby")</f>
        <v>Assembly;C;C++;C#;Python;Ruby</v>
      </c>
      <c r="C1625" s="9" t="str">
        <f>IFERROR(__xludf.DUMMYFUNCTION("""COMPUTED_VALUE"""),"PHP")</f>
        <v>PHP</v>
      </c>
      <c r="D1625" s="9" t="str">
        <f>IFERROR(__xludf.DUMMYFUNCTION("""COMPUTED_VALUE"""),"SQL")</f>
        <v>SQL</v>
      </c>
      <c r="E1625" s="9" t="str">
        <f>IFERROR(__xludf.DUMMYFUNCTION("""COMPUTED_VALUE"""),"Bash/Shell/PowerShell")</f>
        <v>Bash/Shell/PowerShell</v>
      </c>
      <c r="F1625" s="9" t="str">
        <f>IFERROR(__xludf.DUMMYFUNCTION("""COMPUTED_VALUE"""),"PHP")</f>
        <v>PHP</v>
      </c>
      <c r="G1625" s="9" t="str">
        <f>IFERROR(__xludf.DUMMYFUNCTION("""COMPUTED_VALUE"""),"HTML/CSS")</f>
        <v>HTML/CSS</v>
      </c>
      <c r="H1625" s="9" t="str">
        <f>IFERROR(__xludf.DUMMYFUNCTION("""COMPUTED_VALUE"""),"SQL")</f>
        <v>SQL</v>
      </c>
      <c r="I1625" s="9" t="str">
        <f>IFERROR(__xludf.DUMMYFUNCTION("""COMPUTED_VALUE"""),"Bash/Shell/PowerShell")</f>
        <v>Bash/Shell/PowerShell</v>
      </c>
      <c r="J1625" s="9" t="str">
        <f>IFERROR(__xludf.DUMMYFUNCTION("""COMPUTED_VALUE"""),"Swift")</f>
        <v>Swift</v>
      </c>
      <c r="K1625" s="9" t="str">
        <f>IFERROR(__xludf.DUMMYFUNCTION("""COMPUTED_VALUE"""),"HTML/CSS")</f>
        <v>HTML/CSS</v>
      </c>
      <c r="L1625" s="9" t="str">
        <f>IFERROR(__xludf.DUMMYFUNCTION("""COMPUTED_VALUE"""),"HTML/CSS")</f>
        <v>HTML/CSS</v>
      </c>
      <c r="M1625" s="9" t="s">
        <v>37</v>
      </c>
    </row>
    <row r="1626" ht="15.75" customHeight="1">
      <c r="A1626" s="7"/>
      <c r="B1626" s="7" t="str">
        <f>IFERROR(__xludf.DUMMYFUNCTION("""COMPUTED_VALUE"""),"C++;C#;Java;Rust")</f>
        <v>C++;C#;Java;Rust</v>
      </c>
      <c r="C1626" s="9" t="str">
        <f>IFERROR(__xludf.DUMMYFUNCTION("""COMPUTED_VALUE"""),"Python")</f>
        <v>Python</v>
      </c>
      <c r="D1626" s="9" t="str">
        <f>IFERROR(__xludf.DUMMYFUNCTION("""COMPUTED_VALUE"""),"TypeScript")</f>
        <v>TypeScript</v>
      </c>
      <c r="E1626" s="9" t="str">
        <f>IFERROR(__xludf.DUMMYFUNCTION("""COMPUTED_VALUE"""),"C#")</f>
        <v>C#</v>
      </c>
      <c r="F1626" s="9" t="str">
        <f>IFERROR(__xludf.DUMMYFUNCTION("""COMPUTED_VALUE"""),"Python")</f>
        <v>Python</v>
      </c>
      <c r="G1626" s="9" t="str">
        <f>IFERROR(__xludf.DUMMYFUNCTION("""COMPUTED_VALUE"""),"Java")</f>
        <v>Java</v>
      </c>
      <c r="H1626" s="9" t="str">
        <f>IFERROR(__xludf.DUMMYFUNCTION("""COMPUTED_VALUE"""),"Swift")</f>
        <v>Swift</v>
      </c>
      <c r="I1626" s="9" t="str">
        <f>IFERROR(__xludf.DUMMYFUNCTION("""COMPUTED_VALUE"""),"C")</f>
        <v>C</v>
      </c>
      <c r="J1626" s="9" t="str">
        <f>IFERROR(__xludf.DUMMYFUNCTION("""COMPUTED_VALUE"""),"TypeScript")</f>
        <v>TypeScript</v>
      </c>
      <c r="K1626" s="9" t="str">
        <f>IFERROR(__xludf.DUMMYFUNCTION("""COMPUTED_VALUE"""),"Java")</f>
        <v>Java</v>
      </c>
      <c r="L1626" s="9" t="str">
        <f>IFERROR(__xludf.DUMMYFUNCTION("""COMPUTED_VALUE"""),"PHP")</f>
        <v>PHP</v>
      </c>
      <c r="M1626" s="9" t="s">
        <v>22</v>
      </c>
    </row>
    <row r="1627" ht="15.75" customHeight="1">
      <c r="A1627" s="7"/>
      <c r="B1627" s="7" t="str">
        <f>IFERROR(__xludf.DUMMYFUNCTION("""COMPUTED_VALUE"""),"HTML/CSS;JavaScript;Python;Other(s):")</f>
        <v>HTML/CSS;JavaScript;Python;Other(s):</v>
      </c>
      <c r="C1627" s="9" t="str">
        <f>IFERROR(__xludf.DUMMYFUNCTION("""COMPUTED_VALUE"""),"SQL")</f>
        <v>SQL</v>
      </c>
      <c r="D1627" s="9" t="str">
        <f>IFERROR(__xludf.DUMMYFUNCTION("""COMPUTED_VALUE"""),"Bash/Shell/PowerShell")</f>
        <v>Bash/Shell/PowerShell</v>
      </c>
      <c r="E1627" s="9" t="str">
        <f>IFERROR(__xludf.DUMMYFUNCTION("""COMPUTED_VALUE"""),"SQL")</f>
        <v>SQL</v>
      </c>
      <c r="F1627" s="9" t="str">
        <f>IFERROR(__xludf.DUMMYFUNCTION("""COMPUTED_VALUE"""),"R")</f>
        <v>R</v>
      </c>
      <c r="G1627" s="9" t="str">
        <f>IFERROR(__xludf.DUMMYFUNCTION("""COMPUTED_VALUE"""),"JavaScript")</f>
        <v>JavaScript</v>
      </c>
      <c r="H1627" s="9" t="str">
        <f>IFERROR(__xludf.DUMMYFUNCTION("""COMPUTED_VALUE"""),"C#")</f>
        <v>C#</v>
      </c>
      <c r="I1627" s="9" t="str">
        <f>IFERROR(__xludf.DUMMYFUNCTION("""COMPUTED_VALUE"""),"Java")</f>
        <v>Java</v>
      </c>
      <c r="J1627" s="9" t="str">
        <f>IFERROR(__xludf.DUMMYFUNCTION("""COMPUTED_VALUE"""),"C#")</f>
        <v>C#</v>
      </c>
      <c r="K1627" s="9" t="str">
        <f>IFERROR(__xludf.DUMMYFUNCTION("""COMPUTED_VALUE"""),"JavaScript")</f>
        <v>JavaScript</v>
      </c>
      <c r="L1627" s="9" t="str">
        <f>IFERROR(__xludf.DUMMYFUNCTION("""COMPUTED_VALUE"""),"Python")</f>
        <v>Python</v>
      </c>
      <c r="M1627" s="9" t="s">
        <v>27</v>
      </c>
    </row>
    <row r="1628" ht="15.75" customHeight="1">
      <c r="A1628" s="7"/>
      <c r="B1628" s="7" t="str">
        <f>IFERROR(__xludf.DUMMYFUNCTION("""COMPUTED_VALUE"""),"C++;C#;HTML/CSS;JavaScript;PHP;Python;R;SQL")</f>
        <v>C++;C#;HTML/CSS;JavaScript;PHP;Python;R;SQL</v>
      </c>
      <c r="C1628" s="9" t="str">
        <f>IFERROR(__xludf.DUMMYFUNCTION("""COMPUTED_VALUE"""),"TypeScript")</f>
        <v>TypeScript</v>
      </c>
      <c r="D1628" s="9" t="str">
        <f>IFERROR(__xludf.DUMMYFUNCTION("""COMPUTED_VALUE"""),"C#")</f>
        <v>C#</v>
      </c>
      <c r="E1628" s="9" t="str">
        <f>IFERROR(__xludf.DUMMYFUNCTION("""COMPUTED_VALUE"""),"HTML/CSS")</f>
        <v>HTML/CSS</v>
      </c>
      <c r="F1628" s="9" t="str">
        <f>IFERROR(__xludf.DUMMYFUNCTION("""COMPUTED_VALUE"""),"SQL")</f>
        <v>SQL</v>
      </c>
      <c r="G1628" s="9" t="str">
        <f>IFERROR(__xludf.DUMMYFUNCTION("""COMPUTED_VALUE"""),"PHP")</f>
        <v>PHP</v>
      </c>
      <c r="H1628" s="9" t="str">
        <f>IFERROR(__xludf.DUMMYFUNCTION("""COMPUTED_VALUE"""),"SQL")</f>
        <v>SQL</v>
      </c>
      <c r="I1628" s="9" t="str">
        <f>IFERROR(__xludf.DUMMYFUNCTION("""COMPUTED_VALUE"""),"JavaScript")</f>
        <v>JavaScript</v>
      </c>
      <c r="J1628" s="9" t="str">
        <f>IFERROR(__xludf.DUMMYFUNCTION("""COMPUTED_VALUE"""),"JavaScript")</f>
        <v>JavaScript</v>
      </c>
      <c r="K1628" s="9" t="str">
        <f>IFERROR(__xludf.DUMMYFUNCTION("""COMPUTED_VALUE"""),"PHP")</f>
        <v>PHP</v>
      </c>
      <c r="L1628" s="9" t="str">
        <f>IFERROR(__xludf.DUMMYFUNCTION("""COMPUTED_VALUE"""),"Bash/Shell/PowerShell")</f>
        <v>Bash/Shell/PowerShell</v>
      </c>
      <c r="M1628" s="9" t="s">
        <v>33</v>
      </c>
    </row>
    <row r="1629" ht="15.75" customHeight="1">
      <c r="A1629" s="7"/>
      <c r="B1629" s="7" t="str">
        <f>IFERROR(__xludf.DUMMYFUNCTION("""COMPUTED_VALUE"""),"Bash/Shell/PowerShell;C++;C#;Java;JavaScript;PHP;Python;TypeScript")</f>
        <v>Bash/Shell/PowerShell;C++;C#;Java;JavaScript;PHP;Python;TypeScript</v>
      </c>
      <c r="C1629" s="9" t="str">
        <f>IFERROR(__xludf.DUMMYFUNCTION("""COMPUTED_VALUE"""),"HTML/CSS")</f>
        <v>HTML/CSS</v>
      </c>
      <c r="D1629" s="9" t="str">
        <f>IFERROR(__xludf.DUMMYFUNCTION("""COMPUTED_VALUE"""),"HTML/CSS")</f>
        <v>HTML/CSS</v>
      </c>
      <c r="E1629" s="9" t="str">
        <f>IFERROR(__xludf.DUMMYFUNCTION("""COMPUTED_VALUE"""),"Java")</f>
        <v>Java</v>
      </c>
      <c r="F1629" s="9" t="str">
        <f>IFERROR(__xludf.DUMMYFUNCTION("""COMPUTED_VALUE"""),"TypeScript")</f>
        <v>TypeScript</v>
      </c>
      <c r="G1629" s="9" t="str">
        <f>IFERROR(__xludf.DUMMYFUNCTION("""COMPUTED_VALUE"""),"Assembly")</f>
        <v>Assembly</v>
      </c>
      <c r="H1629" s="9" t="str">
        <f>IFERROR(__xludf.DUMMYFUNCTION("""COMPUTED_VALUE"""),"Bash/Shell/PowerShell")</f>
        <v>Bash/Shell/PowerShell</v>
      </c>
      <c r="I1629" s="9" t="str">
        <f>IFERROR(__xludf.DUMMYFUNCTION("""COMPUTED_VALUE"""),"Python")</f>
        <v>Python</v>
      </c>
      <c r="J1629" s="9" t="str">
        <f>IFERROR(__xludf.DUMMYFUNCTION("""COMPUTED_VALUE"""),"SQL")</f>
        <v>SQL</v>
      </c>
      <c r="K1629" s="9" t="str">
        <f>IFERROR(__xludf.DUMMYFUNCTION("""COMPUTED_VALUE"""),"Python")</f>
        <v>Python</v>
      </c>
      <c r="L1629" s="9" t="str">
        <f>IFERROR(__xludf.DUMMYFUNCTION("""COMPUTED_VALUE"""),"Go")</f>
        <v>Go</v>
      </c>
      <c r="M1629" s="9" t="s">
        <v>24</v>
      </c>
    </row>
    <row r="1630" ht="15.75" customHeight="1">
      <c r="A1630" s="7"/>
      <c r="B1630" s="7" t="str">
        <f>IFERROR(__xludf.DUMMYFUNCTION("""COMPUTED_VALUE"""),"Bash/Shell/PowerShell;Python;SQL")</f>
        <v>Bash/Shell/PowerShell;Python;SQL</v>
      </c>
      <c r="C1630" s="9" t="str">
        <f>IFERROR(__xludf.DUMMYFUNCTION("""COMPUTED_VALUE"""),"Java")</f>
        <v>Java</v>
      </c>
      <c r="D1630" s="9" t="str">
        <f>IFERROR(__xludf.DUMMYFUNCTION("""COMPUTED_VALUE"""),"JavaScript")</f>
        <v>JavaScript</v>
      </c>
      <c r="E1630" s="9" t="str">
        <f>IFERROR(__xludf.DUMMYFUNCTION("""COMPUTED_VALUE"""),"JavaScript")</f>
        <v>JavaScript</v>
      </c>
      <c r="F1630" s="9" t="str">
        <f>IFERROR(__xludf.DUMMYFUNCTION("""COMPUTED_VALUE"""),"Java")</f>
        <v>Java</v>
      </c>
      <c r="G1630" s="9" t="str">
        <f>IFERROR(__xludf.DUMMYFUNCTION("""COMPUTED_VALUE"""),"Bash/Shell/PowerShell")</f>
        <v>Bash/Shell/PowerShell</v>
      </c>
      <c r="H1630" s="9" t="str">
        <f>IFERROR(__xludf.DUMMYFUNCTION("""COMPUTED_VALUE"""),"C#")</f>
        <v>C#</v>
      </c>
      <c r="I1630" s="9" t="str">
        <f>IFERROR(__xludf.DUMMYFUNCTION("""COMPUTED_VALUE"""),"Ruby")</f>
        <v>Ruby</v>
      </c>
      <c r="J1630" s="9" t="str">
        <f>IFERROR(__xludf.DUMMYFUNCTION("""COMPUTED_VALUE"""),"Assembly")</f>
        <v>Assembly</v>
      </c>
      <c r="K1630" s="9" t="str">
        <f>IFERROR(__xludf.DUMMYFUNCTION("""COMPUTED_VALUE"""),"SQL")</f>
        <v>SQL</v>
      </c>
      <c r="L1630" s="9" t="str">
        <f>IFERROR(__xludf.DUMMYFUNCTION("""COMPUTED_VALUE"""),"Python")</f>
        <v>Python</v>
      </c>
      <c r="M1630" s="9" t="s">
        <v>20</v>
      </c>
    </row>
    <row r="1631" ht="15.75" customHeight="1">
      <c r="A1631" s="7"/>
      <c r="B1631" s="7" t="str">
        <f>IFERROR(__xludf.DUMMYFUNCTION("""COMPUTED_VALUE"""),"Bash/Shell/PowerShell;Elixir;HTML/CSS;JavaScript;Python;Ruby;SQL")</f>
        <v>Bash/Shell/PowerShell;Elixir;HTML/CSS;JavaScript;Python;Ruby;SQL</v>
      </c>
      <c r="C1631" s="9" t="str">
        <f>IFERROR(__xludf.DUMMYFUNCTION("""COMPUTED_VALUE"""),"JavaScript")</f>
        <v>JavaScript</v>
      </c>
      <c r="D1631" s="9" t="str">
        <f>IFERROR(__xludf.DUMMYFUNCTION("""COMPUTED_VALUE"""),"PHP")</f>
        <v>PHP</v>
      </c>
      <c r="E1631" s="9" t="str">
        <f>IFERROR(__xludf.DUMMYFUNCTION("""COMPUTED_VALUE"""),"PHP")</f>
        <v>PHP</v>
      </c>
      <c r="F1631" s="9" t="str">
        <f>IFERROR(__xludf.DUMMYFUNCTION("""COMPUTED_VALUE"""),"Bash/Shell/PowerShell")</f>
        <v>Bash/Shell/PowerShell</v>
      </c>
      <c r="G1631" s="9" t="str">
        <f>IFERROR(__xludf.DUMMYFUNCTION("""COMPUTED_VALUE"""),"C")</f>
        <v>C</v>
      </c>
      <c r="H1631" s="9" t="str">
        <f>IFERROR(__xludf.DUMMYFUNCTION("""COMPUTED_VALUE"""),"Java")</f>
        <v>Java</v>
      </c>
      <c r="I1631" s="9" t="str">
        <f>IFERROR(__xludf.DUMMYFUNCTION("""COMPUTED_VALUE"""),"Rust")</f>
        <v>Rust</v>
      </c>
      <c r="J1631" s="9" t="str">
        <f>IFERROR(__xludf.DUMMYFUNCTION("""COMPUTED_VALUE"""),"Go")</f>
        <v>Go</v>
      </c>
      <c r="K1631" s="9" t="str">
        <f>IFERROR(__xludf.DUMMYFUNCTION("""COMPUTED_VALUE"""),"HTML/CSS")</f>
        <v>HTML/CSS</v>
      </c>
      <c r="L1631" s="9" t="str">
        <f>IFERROR(__xludf.DUMMYFUNCTION("""COMPUTED_VALUE"""),"Rust")</f>
        <v>Rust</v>
      </c>
      <c r="M1631" s="9" t="s">
        <v>21</v>
      </c>
    </row>
    <row r="1632" ht="15.75" customHeight="1">
      <c r="A1632" s="7"/>
      <c r="B1632" s="7" t="str">
        <f>IFERROR(__xludf.DUMMYFUNCTION("""COMPUTED_VALUE"""),"HTML/CSS;JavaScript;Kotlin;PHP;Ruby;SQL")</f>
        <v>HTML/CSS;JavaScript;Kotlin;PHP;Ruby;SQL</v>
      </c>
      <c r="C1632" s="9" t="str">
        <f>IFERROR(__xludf.DUMMYFUNCTION("""COMPUTED_VALUE"""),"PHP")</f>
        <v>PHP</v>
      </c>
      <c r="D1632" s="9" t="str">
        <f>IFERROR(__xludf.DUMMYFUNCTION("""COMPUTED_VALUE"""),"Python")</f>
        <v>Python</v>
      </c>
      <c r="E1632" s="9" t="str">
        <f>IFERROR(__xludf.DUMMYFUNCTION("""COMPUTED_VALUE"""),"Python")</f>
        <v>Python</v>
      </c>
      <c r="F1632" s="9" t="str">
        <f>IFERROR(__xludf.DUMMYFUNCTION("""COMPUTED_VALUE"""),"HTML/CSS")</f>
        <v>HTML/CSS</v>
      </c>
      <c r="G1632" s="9" t="str">
        <f>IFERROR(__xludf.DUMMYFUNCTION("""COMPUTED_VALUE"""),"C++")</f>
        <v>C++</v>
      </c>
      <c r="H1632" s="9" t="str">
        <f>IFERROR(__xludf.DUMMYFUNCTION("""COMPUTED_VALUE"""),"Python")</f>
        <v>Python</v>
      </c>
      <c r="I1632" s="9" t="str">
        <f>IFERROR(__xludf.DUMMYFUNCTION("""COMPUTED_VALUE"""),"Scala")</f>
        <v>Scala</v>
      </c>
      <c r="J1632" s="9" t="str">
        <f>IFERROR(__xludf.DUMMYFUNCTION("""COMPUTED_VALUE"""),"HTML/CSS")</f>
        <v>HTML/CSS</v>
      </c>
      <c r="K1632" s="9" t="str">
        <f>IFERROR(__xludf.DUMMYFUNCTION("""COMPUTED_VALUE"""),"Java")</f>
        <v>Java</v>
      </c>
      <c r="L1632" s="9" t="str">
        <f>IFERROR(__xludf.DUMMYFUNCTION("""COMPUTED_VALUE"""),"Bash/Shell/PowerShell")</f>
        <v>Bash/Shell/PowerShell</v>
      </c>
      <c r="M1632" s="9" t="s">
        <v>37</v>
      </c>
    </row>
    <row r="1633" ht="15.75" customHeight="1">
      <c r="A1633" s="7"/>
      <c r="B1633" s="7" t="str">
        <f>IFERROR(__xludf.DUMMYFUNCTION("""COMPUTED_VALUE"""),"HTML/CSS;Java;JavaScript;Python;Ruby;Scala;SQL")</f>
        <v>HTML/CSS;Java;JavaScript;Python;Ruby;Scala;SQL</v>
      </c>
      <c r="C1633" s="9" t="str">
        <f>IFERROR(__xludf.DUMMYFUNCTION("""COMPUTED_VALUE"""),"Python")</f>
        <v>Python</v>
      </c>
      <c r="D1633" s="9" t="str">
        <f>IFERROR(__xludf.DUMMYFUNCTION("""COMPUTED_VALUE"""),"R")</f>
        <v>R</v>
      </c>
      <c r="E1633" s="9" t="str">
        <f>IFERROR(__xludf.DUMMYFUNCTION("""COMPUTED_VALUE"""),"SQL")</f>
        <v>SQL</v>
      </c>
      <c r="F1633" s="9" t="str">
        <f>IFERROR(__xludf.DUMMYFUNCTION("""COMPUTED_VALUE"""),"JavaScript")</f>
        <v>JavaScript</v>
      </c>
      <c r="G1633" s="9" t="str">
        <f>IFERROR(__xludf.DUMMYFUNCTION("""COMPUTED_VALUE"""),"C#")</f>
        <v>C#</v>
      </c>
      <c r="H1633" s="9" t="str">
        <f>IFERROR(__xludf.DUMMYFUNCTION("""COMPUTED_VALUE"""),"SQL")</f>
        <v>SQL</v>
      </c>
      <c r="I1633" s="9" t="str">
        <f>IFERROR(__xludf.DUMMYFUNCTION("""COMPUTED_VALUE"""),"SQL")</f>
        <v>SQL</v>
      </c>
      <c r="J1633" s="9" t="str">
        <f>IFERROR(__xludf.DUMMYFUNCTION("""COMPUTED_VALUE"""),"Java")</f>
        <v>Java</v>
      </c>
      <c r="K1633" s="9" t="str">
        <f>IFERROR(__xludf.DUMMYFUNCTION("""COMPUTED_VALUE"""),"JavaScript")</f>
        <v>JavaScript</v>
      </c>
      <c r="L1633" s="9" t="str">
        <f>IFERROR(__xludf.DUMMYFUNCTION("""COMPUTED_VALUE"""),"HTML/CSS")</f>
        <v>HTML/CSS</v>
      </c>
      <c r="M1633" s="9" t="s">
        <v>22</v>
      </c>
    </row>
    <row r="1634" ht="15.75" customHeight="1">
      <c r="A1634" s="7"/>
      <c r="B1634" s="7" t="str">
        <f>IFERROR(__xludf.DUMMYFUNCTION("""COMPUTED_VALUE"""),"C;HTML/CSS;JavaScript;TypeScript")</f>
        <v>C;HTML/CSS;JavaScript;TypeScript</v>
      </c>
      <c r="C1634" s="9" t="str">
        <f>IFERROR(__xludf.DUMMYFUNCTION("""COMPUTED_VALUE"""),"SQL")</f>
        <v>SQL</v>
      </c>
      <c r="D1634" s="9" t="str">
        <f>IFERROR(__xludf.DUMMYFUNCTION("""COMPUTED_VALUE"""),"SQL")</f>
        <v>SQL</v>
      </c>
      <c r="E1634" s="9" t="str">
        <f>IFERROR(__xludf.DUMMYFUNCTION("""COMPUTED_VALUE"""),"VBA")</f>
        <v>VBA</v>
      </c>
      <c r="F1634" s="9" t="str">
        <f>IFERROR(__xludf.DUMMYFUNCTION("""COMPUTED_VALUE"""),"TypeScript")</f>
        <v>TypeScript</v>
      </c>
      <c r="G1634" s="9" t="str">
        <f>IFERROR(__xludf.DUMMYFUNCTION("""COMPUTED_VALUE"""),"HTML/CSS")</f>
        <v>HTML/CSS</v>
      </c>
      <c r="H1634" s="9" t="str">
        <f>IFERROR(__xludf.DUMMYFUNCTION("""COMPUTED_VALUE"""),"C++")</f>
        <v>C++</v>
      </c>
      <c r="I1634" s="9" t="str">
        <f>IFERROR(__xludf.DUMMYFUNCTION("""COMPUTED_VALUE"""),"Go")</f>
        <v>Go</v>
      </c>
      <c r="J1634" s="9" t="str">
        <f>IFERROR(__xludf.DUMMYFUNCTION("""COMPUTED_VALUE"""),"JavaScript")</f>
        <v>JavaScript</v>
      </c>
      <c r="K1634" s="9" t="str">
        <f>IFERROR(__xludf.DUMMYFUNCTION("""COMPUTED_VALUE"""),"Python")</f>
        <v>Python</v>
      </c>
      <c r="L1634" s="9" t="str">
        <f>IFERROR(__xludf.DUMMYFUNCTION("""COMPUTED_VALUE"""),"JavaScript")</f>
        <v>JavaScript</v>
      </c>
      <c r="M1634" s="9" t="s">
        <v>27</v>
      </c>
    </row>
    <row r="1635" ht="15.75" customHeight="1">
      <c r="A1635" s="7"/>
      <c r="B1635" s="7" t="str">
        <f>IFERROR(__xludf.DUMMYFUNCTION("""COMPUTED_VALUE"""),"C#;HTML/CSS;Java;JavaScript")</f>
        <v>C#;HTML/CSS;Java;JavaScript</v>
      </c>
      <c r="C1635" s="9" t="str">
        <f>IFERROR(__xludf.DUMMYFUNCTION("""COMPUTED_VALUE"""),"HTML/CSS")</f>
        <v>HTML/CSS</v>
      </c>
      <c r="D1635" s="9" t="str">
        <f>IFERROR(__xludf.DUMMYFUNCTION("""COMPUTED_VALUE"""),"C++")</f>
        <v>C++</v>
      </c>
      <c r="E1635" s="9" t="str">
        <f>IFERROR(__xludf.DUMMYFUNCTION("""COMPUTED_VALUE"""),"HTML/CSS")</f>
        <v>HTML/CSS</v>
      </c>
      <c r="F1635" s="9" t="str">
        <f>IFERROR(__xludf.DUMMYFUNCTION("""COMPUTED_VALUE"""),"JavaScript")</f>
        <v>JavaScript</v>
      </c>
      <c r="G1635" s="9" t="str">
        <f>IFERROR(__xludf.DUMMYFUNCTION("""COMPUTED_VALUE"""),"JavaScript")</f>
        <v>JavaScript</v>
      </c>
      <c r="H1635" s="9" t="str">
        <f>IFERROR(__xludf.DUMMYFUNCTION("""COMPUTED_VALUE"""),"Python")</f>
        <v>Python</v>
      </c>
      <c r="I1635" s="9" t="str">
        <f>IFERROR(__xludf.DUMMYFUNCTION("""COMPUTED_VALUE"""),"HTML/CSS")</f>
        <v>HTML/CSS</v>
      </c>
      <c r="J1635" s="9" t="str">
        <f>IFERROR(__xludf.DUMMYFUNCTION("""COMPUTED_VALUE"""),"Swift")</f>
        <v>Swift</v>
      </c>
      <c r="K1635" s="9" t="str">
        <f>IFERROR(__xludf.DUMMYFUNCTION("""COMPUTED_VALUE"""),"Ruby")</f>
        <v>Ruby</v>
      </c>
      <c r="L1635" s="9" t="str">
        <f>IFERROR(__xludf.DUMMYFUNCTION("""COMPUTED_VALUE"""),"Python")</f>
        <v>Python</v>
      </c>
      <c r="M1635" s="9" t="s">
        <v>24</v>
      </c>
    </row>
    <row r="1636" ht="15.75" customHeight="1">
      <c r="A1636" s="7"/>
      <c r="B1636" s="7" t="str">
        <f>IFERROR(__xludf.DUMMYFUNCTION("""COMPUTED_VALUE"""),"Bash/Shell/PowerShell;HTML/CSS;Java;JavaScript;PHP;Python;Ruby;SQL;TypeScript")</f>
        <v>Bash/Shell/PowerShell;HTML/CSS;Java;JavaScript;PHP;Python;Ruby;SQL;TypeScript</v>
      </c>
      <c r="C1636" s="9" t="str">
        <f>IFERROR(__xludf.DUMMYFUNCTION("""COMPUTED_VALUE"""),"Java")</f>
        <v>Java</v>
      </c>
      <c r="D1636" s="9" t="str">
        <f>IFERROR(__xludf.DUMMYFUNCTION("""COMPUTED_VALUE"""),"HTML/CSS")</f>
        <v>HTML/CSS</v>
      </c>
      <c r="E1636" s="9" t="str">
        <f>IFERROR(__xludf.DUMMYFUNCTION("""COMPUTED_VALUE"""),"JavaScript")</f>
        <v>JavaScript</v>
      </c>
      <c r="F1636" s="9" t="str">
        <f>IFERROR(__xludf.DUMMYFUNCTION("""COMPUTED_VALUE"""),"Swift")</f>
        <v>Swift</v>
      </c>
      <c r="G1636" s="9" t="str">
        <f>IFERROR(__xludf.DUMMYFUNCTION("""COMPUTED_VALUE"""),"PHP")</f>
        <v>PHP</v>
      </c>
      <c r="H1636" s="9" t="str">
        <f>IFERROR(__xludf.DUMMYFUNCTION("""COMPUTED_VALUE"""),"Other(s):")</f>
        <v>Other(s):</v>
      </c>
      <c r="I1636" s="9" t="str">
        <f>IFERROR(__xludf.DUMMYFUNCTION("""COMPUTED_VALUE"""),"Java")</f>
        <v>Java</v>
      </c>
      <c r="J1636" s="9" t="str">
        <f>IFERROR(__xludf.DUMMYFUNCTION("""COMPUTED_VALUE"""),"TypeScript")</f>
        <v>TypeScript</v>
      </c>
      <c r="K1636" s="9" t="str">
        <f>IFERROR(__xludf.DUMMYFUNCTION("""COMPUTED_VALUE"""),"SQL")</f>
        <v>SQL</v>
      </c>
      <c r="L1636" s="9" t="str">
        <f>IFERROR(__xludf.DUMMYFUNCTION("""COMPUTED_VALUE"""),"R")</f>
        <v>R</v>
      </c>
      <c r="M1636" s="9" t="s">
        <v>20</v>
      </c>
    </row>
    <row r="1637" ht="15.75" customHeight="1">
      <c r="A1637" s="7"/>
      <c r="B1637" s="7" t="str">
        <f>IFERROR(__xludf.DUMMYFUNCTION("""COMPUTED_VALUE"""),"Bash/Shell/PowerShell;C;HTML/CSS;JavaScript;Python;Rust")</f>
        <v>Bash/Shell/PowerShell;C;HTML/CSS;JavaScript;Python;Rust</v>
      </c>
      <c r="C1637" s="9" t="str">
        <f>IFERROR(__xludf.DUMMYFUNCTION("""COMPUTED_VALUE"""),"JavaScript")</f>
        <v>JavaScript</v>
      </c>
      <c r="D1637" s="9" t="str">
        <f>IFERROR(__xludf.DUMMYFUNCTION("""COMPUTED_VALUE"""),"JavaScript")</f>
        <v>JavaScript</v>
      </c>
      <c r="E1637" s="9" t="str">
        <f>IFERROR(__xludf.DUMMYFUNCTION("""COMPUTED_VALUE"""),"PHP")</f>
        <v>PHP</v>
      </c>
      <c r="F1637" s="9" t="str">
        <f>IFERROR(__xludf.DUMMYFUNCTION("""COMPUTED_VALUE"""),"Java")</f>
        <v>Java</v>
      </c>
      <c r="G1637" s="9" t="str">
        <f>IFERROR(__xludf.DUMMYFUNCTION("""COMPUTED_VALUE"""),"C")</f>
        <v>C</v>
      </c>
      <c r="H1637" s="9" t="str">
        <f>IFERROR(__xludf.DUMMYFUNCTION("""COMPUTED_VALUE"""),"Java")</f>
        <v>Java</v>
      </c>
      <c r="I1637" s="9" t="str">
        <f>IFERROR(__xludf.DUMMYFUNCTION("""COMPUTED_VALUE"""),"JavaScript")</f>
        <v>JavaScript</v>
      </c>
      <c r="J1637" s="9" t="str">
        <f>IFERROR(__xludf.DUMMYFUNCTION("""COMPUTED_VALUE"""),"Assembly")</f>
        <v>Assembly</v>
      </c>
      <c r="K1637" s="9" t="str">
        <f>IFERROR(__xludf.DUMMYFUNCTION("""COMPUTED_VALUE"""),"HTML/CSS")</f>
        <v>HTML/CSS</v>
      </c>
      <c r="L1637" s="9" t="str">
        <f>IFERROR(__xludf.DUMMYFUNCTION("""COMPUTED_VALUE"""),"SQL")</f>
        <v>SQL</v>
      </c>
      <c r="M1637" s="9" t="s">
        <v>21</v>
      </c>
    </row>
    <row r="1638" ht="15.75" customHeight="1">
      <c r="A1638" s="7"/>
      <c r="B1638" s="7" t="str">
        <f>IFERROR(__xludf.DUMMYFUNCTION("""COMPUTED_VALUE"""),"C;C++;Go;HTML/CSS;Java;JavaScript;Objective-C;Python;Swift")</f>
        <v>C;C++;Go;HTML/CSS;Java;JavaScript;Objective-C;Python;Swift</v>
      </c>
      <c r="C1638" s="9" t="str">
        <f>IFERROR(__xludf.DUMMYFUNCTION("""COMPUTED_VALUE"""),"TypeScript")</f>
        <v>TypeScript</v>
      </c>
      <c r="D1638" s="9" t="str">
        <f>IFERROR(__xludf.DUMMYFUNCTION("""COMPUTED_VALUE"""),"PHP")</f>
        <v>PHP</v>
      </c>
      <c r="E1638" s="9" t="str">
        <f>IFERROR(__xludf.DUMMYFUNCTION("""COMPUTED_VALUE"""),"SQL")</f>
        <v>SQL</v>
      </c>
      <c r="F1638" s="9" t="str">
        <f>IFERROR(__xludf.DUMMYFUNCTION("""COMPUTED_VALUE"""),"SQL")</f>
        <v>SQL</v>
      </c>
      <c r="G1638" s="9" t="str">
        <f>IFERROR(__xludf.DUMMYFUNCTION("""COMPUTED_VALUE"""),"C#")</f>
        <v>C#</v>
      </c>
      <c r="H1638" s="9" t="str">
        <f>IFERROR(__xludf.DUMMYFUNCTION("""COMPUTED_VALUE"""),"JavaScript")</f>
        <v>JavaScript</v>
      </c>
      <c r="I1638" s="9" t="str">
        <f>IFERROR(__xludf.DUMMYFUNCTION("""COMPUTED_VALUE"""),"Kotlin")</f>
        <v>Kotlin</v>
      </c>
      <c r="J1638" s="9" t="str">
        <f>IFERROR(__xludf.DUMMYFUNCTION("""COMPUTED_VALUE"""),"Bash/Shell/PowerShell")</f>
        <v>Bash/Shell/PowerShell</v>
      </c>
      <c r="K1638" s="9" t="str">
        <f>IFERROR(__xludf.DUMMYFUNCTION("""COMPUTED_VALUE"""),"JavaScript")</f>
        <v>JavaScript</v>
      </c>
      <c r="L1638" s="9" t="str">
        <f>IFERROR(__xludf.DUMMYFUNCTION("""COMPUTED_VALUE"""),"C")</f>
        <v>C</v>
      </c>
      <c r="M1638" s="9" t="s">
        <v>33</v>
      </c>
    </row>
    <row r="1639" ht="15.75" customHeight="1">
      <c r="A1639" s="7"/>
      <c r="B1639" s="7" t="str">
        <f>IFERROR(__xludf.DUMMYFUNCTION("""COMPUTED_VALUE"""),"Bash/Shell/PowerShell;C++;C#;HTML/CSS;JavaScript;PHP;Python;Swift")</f>
        <v>Bash/Shell/PowerShell;C++;C#;HTML/CSS;JavaScript;PHP;Python;Swift</v>
      </c>
      <c r="C1639" s="9" t="str">
        <f>IFERROR(__xludf.DUMMYFUNCTION("""COMPUTED_VALUE"""),"C")</f>
        <v>C</v>
      </c>
      <c r="D1639" s="9" t="str">
        <f>IFERROR(__xludf.DUMMYFUNCTION("""COMPUTED_VALUE"""),"SQL")</f>
        <v>SQL</v>
      </c>
      <c r="E1639" s="9" t="str">
        <f>IFERROR(__xludf.DUMMYFUNCTION("""COMPUTED_VALUE"""),"C++")</f>
        <v>C++</v>
      </c>
      <c r="F1639" s="9" t="str">
        <f>IFERROR(__xludf.DUMMYFUNCTION("""COMPUTED_VALUE"""),"Bash/Shell/PowerShell")</f>
        <v>Bash/Shell/PowerShell</v>
      </c>
      <c r="G1639" s="9" t="str">
        <f>IFERROR(__xludf.DUMMYFUNCTION("""COMPUTED_VALUE"""),"HTML/CSS")</f>
        <v>HTML/CSS</v>
      </c>
      <c r="H1639" s="9" t="str">
        <f>IFERROR(__xludf.DUMMYFUNCTION("""COMPUTED_VALUE"""),"Python")</f>
        <v>Python</v>
      </c>
      <c r="I1639" s="9" t="str">
        <f>IFERROR(__xludf.DUMMYFUNCTION("""COMPUTED_VALUE"""),"Python")</f>
        <v>Python</v>
      </c>
      <c r="J1639" s="9" t="str">
        <f>IFERROR(__xludf.DUMMYFUNCTION("""COMPUTED_VALUE"""),"C#")</f>
        <v>C#</v>
      </c>
      <c r="K1639" s="9" t="str">
        <f>IFERROR(__xludf.DUMMYFUNCTION("""COMPUTED_VALUE"""),"PHP")</f>
        <v>PHP</v>
      </c>
      <c r="L1639" s="9" t="str">
        <f>IFERROR(__xludf.DUMMYFUNCTION("""COMPUTED_VALUE"""),"C++")</f>
        <v>C++</v>
      </c>
      <c r="M1639" s="9" t="s">
        <v>25</v>
      </c>
    </row>
    <row r="1640" ht="15.75" customHeight="1">
      <c r="A1640" s="7"/>
      <c r="B1640" s="7" t="str">
        <f>IFERROR(__xludf.DUMMYFUNCTION("""COMPUTED_VALUE"""),"Elixir;HTML/CSS;JavaScript;Python;SQL;Swift")</f>
        <v>Elixir;HTML/CSS;JavaScript;Python;SQL;Swift</v>
      </c>
      <c r="C1640" s="9" t="str">
        <f>IFERROR(__xludf.DUMMYFUNCTION("""COMPUTED_VALUE"""),"C++")</f>
        <v>C++</v>
      </c>
      <c r="D1640" s="9" t="str">
        <f>IFERROR(__xludf.DUMMYFUNCTION("""COMPUTED_VALUE"""),"HTML/CSS")</f>
        <v>HTML/CSS</v>
      </c>
      <c r="E1640" s="9" t="str">
        <f>IFERROR(__xludf.DUMMYFUNCTION("""COMPUTED_VALUE"""),"Rust")</f>
        <v>Rust</v>
      </c>
      <c r="F1640" s="9" t="str">
        <f>IFERROR(__xludf.DUMMYFUNCTION("""COMPUTED_VALUE"""),"HTML/CSS")</f>
        <v>HTML/CSS</v>
      </c>
      <c r="G1640" s="9" t="str">
        <f>IFERROR(__xludf.DUMMYFUNCTION("""COMPUTED_VALUE"""),"Java")</f>
        <v>Java</v>
      </c>
      <c r="H1640" s="9" t="str">
        <f>IFERROR(__xludf.DUMMYFUNCTION("""COMPUTED_VALUE"""),"SQL")</f>
        <v>SQL</v>
      </c>
      <c r="I1640" s="9" t="str">
        <f>IFERROR(__xludf.DUMMYFUNCTION("""COMPUTED_VALUE"""),"SQL")</f>
        <v>SQL</v>
      </c>
      <c r="J1640" s="9" t="str">
        <f>IFERROR(__xludf.DUMMYFUNCTION("""COMPUTED_VALUE"""),"HTML/CSS")</f>
        <v>HTML/CSS</v>
      </c>
      <c r="K1640" s="9" t="str">
        <f>IFERROR(__xludf.DUMMYFUNCTION("""COMPUTED_VALUE"""),"Python")</f>
        <v>Python</v>
      </c>
      <c r="L1640" s="9" t="str">
        <f>IFERROR(__xludf.DUMMYFUNCTION("""COMPUTED_VALUE"""),"C#")</f>
        <v>C#</v>
      </c>
      <c r="M1640" s="9" t="s">
        <v>23</v>
      </c>
    </row>
    <row r="1641" ht="15.75" customHeight="1">
      <c r="A1641" s="7"/>
      <c r="B1641" s="7" t="str">
        <f>IFERROR(__xludf.DUMMYFUNCTION("""COMPUTED_VALUE"""),"Java;JavaScript")</f>
        <v>Java;JavaScript</v>
      </c>
      <c r="C1641" s="9" t="str">
        <f>IFERROR(__xludf.DUMMYFUNCTION("""COMPUTED_VALUE"""),"C#")</f>
        <v>C#</v>
      </c>
      <c r="D1641" s="9" t="str">
        <f>IFERROR(__xludf.DUMMYFUNCTION("""COMPUTED_VALUE"""),"JavaScript")</f>
        <v>JavaScript</v>
      </c>
      <c r="E1641" s="9" t="str">
        <f>IFERROR(__xludf.DUMMYFUNCTION("""COMPUTED_VALUE"""),"SQL")</f>
        <v>SQL</v>
      </c>
      <c r="F1641" s="9" t="str">
        <f>IFERROR(__xludf.DUMMYFUNCTION("""COMPUTED_VALUE"""),"Java")</f>
        <v>Java</v>
      </c>
      <c r="G1641" s="9" t="str">
        <f>IFERROR(__xludf.DUMMYFUNCTION("""COMPUTED_VALUE"""),"JavaScript")</f>
        <v>JavaScript</v>
      </c>
      <c r="H1641" s="9" t="str">
        <f>IFERROR(__xludf.DUMMYFUNCTION("""COMPUTED_VALUE"""),"TypeScript")</f>
        <v>TypeScript</v>
      </c>
      <c r="I1641" s="9" t="str">
        <f>IFERROR(__xludf.DUMMYFUNCTION("""COMPUTED_VALUE"""),"Bash/Shell/PowerShell")</f>
        <v>Bash/Shell/PowerShell</v>
      </c>
      <c r="J1641" s="9" t="str">
        <f>IFERROR(__xludf.DUMMYFUNCTION("""COMPUTED_VALUE"""),"JavaScript")</f>
        <v>JavaScript</v>
      </c>
      <c r="K1641" s="9" t="str">
        <f>IFERROR(__xludf.DUMMYFUNCTION("""COMPUTED_VALUE"""),"Bash/Shell/PowerShell")</f>
        <v>Bash/Shell/PowerShell</v>
      </c>
      <c r="L1641" s="9" t="str">
        <f>IFERROR(__xludf.DUMMYFUNCTION("""COMPUTED_VALUE"""),"Java")</f>
        <v>Java</v>
      </c>
      <c r="M1641" s="9" t="s">
        <v>26</v>
      </c>
    </row>
    <row r="1642" ht="15.75" customHeight="1">
      <c r="A1642" s="7"/>
      <c r="B1642" s="7" t="str">
        <f>IFERROR(__xludf.DUMMYFUNCTION("""COMPUTED_VALUE"""),"C#;HTML/CSS;JavaScript;PHP;SQL")</f>
        <v>C#;HTML/CSS;JavaScript;PHP;SQL</v>
      </c>
      <c r="C1642" s="9" t="str">
        <f>IFERROR(__xludf.DUMMYFUNCTION("""COMPUTED_VALUE"""),"F#")</f>
        <v>F#</v>
      </c>
      <c r="D1642" s="9" t="str">
        <f>IFERROR(__xludf.DUMMYFUNCTION("""COMPUTED_VALUE"""),"Python")</f>
        <v>Python</v>
      </c>
      <c r="E1642" s="9" t="str">
        <f>IFERROR(__xludf.DUMMYFUNCTION("""COMPUTED_VALUE"""),"TypeScript")</f>
        <v>TypeScript</v>
      </c>
      <c r="F1642" s="9" t="str">
        <f>IFERROR(__xludf.DUMMYFUNCTION("""COMPUTED_VALUE"""),"JavaScript")</f>
        <v>JavaScript</v>
      </c>
      <c r="G1642" s="9" t="str">
        <f>IFERROR(__xludf.DUMMYFUNCTION("""COMPUTED_VALUE"""),"Python")</f>
        <v>Python</v>
      </c>
      <c r="H1642" s="9" t="str">
        <f>IFERROR(__xludf.DUMMYFUNCTION("""COMPUTED_VALUE"""),"HTML/CSS")</f>
        <v>HTML/CSS</v>
      </c>
      <c r="I1642" s="9" t="str">
        <f>IFERROR(__xludf.DUMMYFUNCTION("""COMPUTED_VALUE"""),"C")</f>
        <v>C</v>
      </c>
      <c r="J1642" s="9" t="str">
        <f>IFERROR(__xludf.DUMMYFUNCTION("""COMPUTED_VALUE"""),"Python")</f>
        <v>Python</v>
      </c>
      <c r="K1642" s="9" t="str">
        <f>IFERROR(__xludf.DUMMYFUNCTION("""COMPUTED_VALUE"""),"Elixir")</f>
        <v>Elixir</v>
      </c>
      <c r="L1642" s="9" t="str">
        <f>IFERROR(__xludf.DUMMYFUNCTION("""COMPUTED_VALUE"""),"SQL")</f>
        <v>SQL</v>
      </c>
      <c r="M1642" s="9" t="s">
        <v>45</v>
      </c>
    </row>
    <row r="1643" ht="15.75" customHeight="1">
      <c r="A1643" s="7"/>
      <c r="B1643" s="7" t="str">
        <f>IFERROR(__xludf.DUMMYFUNCTION("""COMPUTED_VALUE"""),"Bash/Shell/PowerShell;HTML/CSS;JavaScript;PHP;SQL;TypeScript")</f>
        <v>Bash/Shell/PowerShell;HTML/CSS;JavaScript;PHP;SQL;TypeScript</v>
      </c>
      <c r="C1643" s="9" t="str">
        <f>IFERROR(__xludf.DUMMYFUNCTION("""COMPUTED_VALUE"""),"HTML/CSS")</f>
        <v>HTML/CSS</v>
      </c>
      <c r="D1643" s="9" t="str">
        <f>IFERROR(__xludf.DUMMYFUNCTION("""COMPUTED_VALUE"""),"SQL")</f>
        <v>SQL</v>
      </c>
      <c r="E1643" s="9" t="str">
        <f>IFERROR(__xludf.DUMMYFUNCTION("""COMPUTED_VALUE"""),"Python")</f>
        <v>Python</v>
      </c>
      <c r="F1643" s="9" t="str">
        <f>IFERROR(__xludf.DUMMYFUNCTION("""COMPUTED_VALUE"""),"Python")</f>
        <v>Python</v>
      </c>
      <c r="G1643" s="9" t="str">
        <f>IFERROR(__xludf.DUMMYFUNCTION("""COMPUTED_VALUE"""),"C#")</f>
        <v>C#</v>
      </c>
      <c r="H1643" s="9" t="str">
        <f>IFERROR(__xludf.DUMMYFUNCTION("""COMPUTED_VALUE"""),"JavaScript")</f>
        <v>JavaScript</v>
      </c>
      <c r="I1643" s="9" t="str">
        <f>IFERROR(__xludf.DUMMYFUNCTION("""COMPUTED_VALUE"""),"C++")</f>
        <v>C++</v>
      </c>
      <c r="J1643" s="9" t="str">
        <f>IFERROR(__xludf.DUMMYFUNCTION("""COMPUTED_VALUE"""),"Bash/Shell/PowerShell")</f>
        <v>Bash/Shell/PowerShell</v>
      </c>
      <c r="K1643" s="9" t="str">
        <f>IFERROR(__xludf.DUMMYFUNCTION("""COMPUTED_VALUE"""),"Go")</f>
        <v>Go</v>
      </c>
      <c r="L1643" s="9" t="str">
        <f>IFERROR(__xludf.DUMMYFUNCTION("""COMPUTED_VALUE"""),"C#")</f>
        <v>C#</v>
      </c>
      <c r="M1643" s="9" t="s">
        <v>24</v>
      </c>
    </row>
    <row r="1644" ht="15.75" customHeight="1">
      <c r="A1644" s="7"/>
      <c r="B1644" s="7" t="str">
        <f>IFERROR(__xludf.DUMMYFUNCTION("""COMPUTED_VALUE"""),"Assembly;Bash/Shell/PowerShell;C;C++;HTML/CSS;Java;JavaScript;PHP;Python;SQL;TypeScript")</f>
        <v>Assembly;Bash/Shell/PowerShell;C;C++;HTML/CSS;Java;JavaScript;PHP;Python;SQL;TypeScript</v>
      </c>
      <c r="C1644" s="9" t="str">
        <f>IFERROR(__xludf.DUMMYFUNCTION("""COMPUTED_VALUE"""),"JavaScript")</f>
        <v>JavaScript</v>
      </c>
      <c r="D1644" s="9" t="str">
        <f>IFERROR(__xludf.DUMMYFUNCTION("""COMPUTED_VALUE"""),"TypeScript")</f>
        <v>TypeScript</v>
      </c>
      <c r="E1644" s="9" t="str">
        <f>IFERROR(__xludf.DUMMYFUNCTION("""COMPUTED_VALUE"""),"SQL")</f>
        <v>SQL</v>
      </c>
      <c r="F1644" s="9" t="str">
        <f>IFERROR(__xludf.DUMMYFUNCTION("""COMPUTED_VALUE"""),"SQL")</f>
        <v>SQL</v>
      </c>
      <c r="G1644" s="9" t="str">
        <f>IFERROR(__xludf.DUMMYFUNCTION("""COMPUTED_VALUE"""),"HTML/CSS")</f>
        <v>HTML/CSS</v>
      </c>
      <c r="H1644" s="9" t="str">
        <f>IFERROR(__xludf.DUMMYFUNCTION("""COMPUTED_VALUE"""),"C++")</f>
        <v>C++</v>
      </c>
      <c r="I1644" s="9" t="str">
        <f>IFERROR(__xludf.DUMMYFUNCTION("""COMPUTED_VALUE"""),"HTML/CSS")</f>
        <v>HTML/CSS</v>
      </c>
      <c r="J1644" s="9" t="str">
        <f>IFERROR(__xludf.DUMMYFUNCTION("""COMPUTED_VALUE"""),"Elixir")</f>
        <v>Elixir</v>
      </c>
      <c r="K1644" s="9" t="str">
        <f>IFERROR(__xludf.DUMMYFUNCTION("""COMPUTED_VALUE"""),"HTML/CSS")</f>
        <v>HTML/CSS</v>
      </c>
      <c r="L1644" s="9" t="str">
        <f>IFERROR(__xludf.DUMMYFUNCTION("""COMPUTED_VALUE"""),"HTML/CSS")</f>
        <v>HTML/CSS</v>
      </c>
      <c r="M1644" s="9" t="s">
        <v>21</v>
      </c>
    </row>
    <row r="1645" ht="15.75" customHeight="1">
      <c r="A1645" s="7"/>
      <c r="B1645" s="7" t="str">
        <f>IFERROR(__xludf.DUMMYFUNCTION("""COMPUTED_VALUE"""),"Bash/Shell/PowerShell;C#;Python;SQL")</f>
        <v>Bash/Shell/PowerShell;C#;Python;SQL</v>
      </c>
      <c r="C1645" s="9" t="str">
        <f>IFERROR(__xludf.DUMMYFUNCTION("""COMPUTED_VALUE"""),"Rust")</f>
        <v>Rust</v>
      </c>
      <c r="D1645" s="9" t="str">
        <f>IFERROR(__xludf.DUMMYFUNCTION("""COMPUTED_VALUE"""),"Assembly")</f>
        <v>Assembly</v>
      </c>
      <c r="E1645" s="9" t="str">
        <f>IFERROR(__xludf.DUMMYFUNCTION("""COMPUTED_VALUE"""),"Go")</f>
        <v>Go</v>
      </c>
      <c r="F1645" s="9" t="str">
        <f>IFERROR(__xludf.DUMMYFUNCTION("""COMPUTED_VALUE"""),"Bash/Shell/PowerShell")</f>
        <v>Bash/Shell/PowerShell</v>
      </c>
      <c r="G1645" s="9" t="str">
        <f>IFERROR(__xludf.DUMMYFUNCTION("""COMPUTED_VALUE"""),"Java")</f>
        <v>Java</v>
      </c>
      <c r="H1645" s="9" t="str">
        <f>IFERROR(__xludf.DUMMYFUNCTION("""COMPUTED_VALUE"""),"HTML/CSS")</f>
        <v>HTML/CSS</v>
      </c>
      <c r="I1645" s="9" t="str">
        <f>IFERROR(__xludf.DUMMYFUNCTION("""COMPUTED_VALUE"""),"JavaScript")</f>
        <v>JavaScript</v>
      </c>
      <c r="J1645" s="9" t="str">
        <f>IFERROR(__xludf.DUMMYFUNCTION("""COMPUTED_VALUE"""),"Python")</f>
        <v>Python</v>
      </c>
      <c r="K1645" s="9" t="str">
        <f>IFERROR(__xludf.DUMMYFUNCTION("""COMPUTED_VALUE"""),"JavaScript")</f>
        <v>JavaScript</v>
      </c>
      <c r="L1645" s="9" t="str">
        <f>IFERROR(__xludf.DUMMYFUNCTION("""COMPUTED_VALUE"""),"JavaScript")</f>
        <v>JavaScript</v>
      </c>
      <c r="M1645" s="9" t="s">
        <v>32</v>
      </c>
    </row>
    <row r="1646" ht="15.75" customHeight="1">
      <c r="A1646" s="7"/>
      <c r="B1646" s="7" t="str">
        <f>IFERROR(__xludf.DUMMYFUNCTION("""COMPUTED_VALUE"""),"Java;JavaScript;SQL;Other(s):")</f>
        <v>Java;JavaScript;SQL;Other(s):</v>
      </c>
      <c r="C1646" s="9" t="str">
        <f>IFERROR(__xludf.DUMMYFUNCTION("""COMPUTED_VALUE"""),"SQL")</f>
        <v>SQL</v>
      </c>
      <c r="D1646" s="9" t="str">
        <f>IFERROR(__xludf.DUMMYFUNCTION("""COMPUTED_VALUE"""),"C")</f>
        <v>C</v>
      </c>
      <c r="E1646" s="9" t="str">
        <f>IFERROR(__xludf.DUMMYFUNCTION("""COMPUTED_VALUE"""),"HTML/CSS")</f>
        <v>HTML/CSS</v>
      </c>
      <c r="F1646" s="9" t="str">
        <f>IFERROR(__xludf.DUMMYFUNCTION("""COMPUTED_VALUE"""),"Go")</f>
        <v>Go</v>
      </c>
      <c r="G1646" s="9" t="str">
        <f>IFERROR(__xludf.DUMMYFUNCTION("""COMPUTED_VALUE"""),"JavaScript")</f>
        <v>JavaScript</v>
      </c>
      <c r="H1646" s="9" t="str">
        <f>IFERROR(__xludf.DUMMYFUNCTION("""COMPUTED_VALUE"""),"Java")</f>
        <v>Java</v>
      </c>
      <c r="I1646" s="9" t="str">
        <f>IFERROR(__xludf.DUMMYFUNCTION("""COMPUTED_VALUE"""),"Python")</f>
        <v>Python</v>
      </c>
      <c r="J1646" s="9" t="str">
        <f>IFERROR(__xludf.DUMMYFUNCTION("""COMPUTED_VALUE"""),"Other(s):")</f>
        <v>Other(s):</v>
      </c>
      <c r="K1646" s="9" t="str">
        <f>IFERROR(__xludf.DUMMYFUNCTION("""COMPUTED_VALUE"""),"Python")</f>
        <v>Python</v>
      </c>
      <c r="L1646" s="9" t="str">
        <f>IFERROR(__xludf.DUMMYFUNCTION("""COMPUTED_VALUE"""),"PHP")</f>
        <v>PHP</v>
      </c>
      <c r="M1646" s="9" t="s">
        <v>27</v>
      </c>
    </row>
    <row r="1647" ht="15.75" customHeight="1">
      <c r="A1647" s="7"/>
      <c r="B1647" s="7" t="str">
        <f>IFERROR(__xludf.DUMMYFUNCTION("""COMPUTED_VALUE"""),"HTML/CSS;JavaScript;TypeScript")</f>
        <v>HTML/CSS;JavaScript;TypeScript</v>
      </c>
      <c r="C1647" s="9" t="str">
        <f>IFERROR(__xludf.DUMMYFUNCTION("""COMPUTED_VALUE"""),"TypeScript")</f>
        <v>TypeScript</v>
      </c>
      <c r="D1647" s="9" t="str">
        <f>IFERROR(__xludf.DUMMYFUNCTION("""COMPUTED_VALUE"""),"HTML/CSS")</f>
        <v>HTML/CSS</v>
      </c>
      <c r="E1647" s="9" t="str">
        <f>IFERROR(__xludf.DUMMYFUNCTION("""COMPUTED_VALUE"""),"JavaScript")</f>
        <v>JavaScript</v>
      </c>
      <c r="F1647" s="9" t="str">
        <f>IFERROR(__xludf.DUMMYFUNCTION("""COMPUTED_VALUE"""),"JavaScript")</f>
        <v>JavaScript</v>
      </c>
      <c r="G1647" s="9" t="str">
        <f>IFERROR(__xludf.DUMMYFUNCTION("""COMPUTED_VALUE"""),"PHP")</f>
        <v>PHP</v>
      </c>
      <c r="H1647" s="9" t="str">
        <f>IFERROR(__xludf.DUMMYFUNCTION("""COMPUTED_VALUE"""),"JavaScript")</f>
        <v>JavaScript</v>
      </c>
      <c r="I1647" s="9" t="str">
        <f>IFERROR(__xludf.DUMMYFUNCTION("""COMPUTED_VALUE"""),"SQL")</f>
        <v>SQL</v>
      </c>
      <c r="J1647" s="9" t="str">
        <f>IFERROR(__xludf.DUMMYFUNCTION("""COMPUTED_VALUE"""),"Bash/Shell/PowerShell")</f>
        <v>Bash/Shell/PowerShell</v>
      </c>
      <c r="K1647" s="9" t="str">
        <f>IFERROR(__xludf.DUMMYFUNCTION("""COMPUTED_VALUE"""),"Ruby")</f>
        <v>Ruby</v>
      </c>
      <c r="L1647" s="9" t="str">
        <f>IFERROR(__xludf.DUMMYFUNCTION("""COMPUTED_VALUE"""),"Python")</f>
        <v>Python</v>
      </c>
      <c r="M1647" s="9" t="s">
        <v>33</v>
      </c>
    </row>
    <row r="1648" ht="15.75" customHeight="1">
      <c r="A1648" s="7"/>
      <c r="B1648" s="7" t="str">
        <f>IFERROR(__xludf.DUMMYFUNCTION("""COMPUTED_VALUE"""),"HTML/CSS;Java;JavaScript;PHP;Python")</f>
        <v>HTML/CSS;Java;JavaScript;PHP;Python</v>
      </c>
      <c r="C1648" s="9" t="str">
        <f>IFERROR(__xludf.DUMMYFUNCTION("""COMPUTED_VALUE"""),"Other(s):")</f>
        <v>Other(s):</v>
      </c>
      <c r="D1648" s="9" t="str">
        <f>IFERROR(__xludf.DUMMYFUNCTION("""COMPUTED_VALUE"""),"Java")</f>
        <v>Java</v>
      </c>
      <c r="E1648" s="9" t="str">
        <f>IFERROR(__xludf.DUMMYFUNCTION("""COMPUTED_VALUE"""),"Python")</f>
        <v>Python</v>
      </c>
      <c r="F1648" s="9" t="str">
        <f>IFERROR(__xludf.DUMMYFUNCTION("""COMPUTED_VALUE"""),"Python")</f>
        <v>Python</v>
      </c>
      <c r="G1648" s="9" t="str">
        <f>IFERROR(__xludf.DUMMYFUNCTION("""COMPUTED_VALUE"""),"SQL")</f>
        <v>SQL</v>
      </c>
      <c r="H1648" s="9" t="str">
        <f>IFERROR(__xludf.DUMMYFUNCTION("""COMPUTED_VALUE"""),"PHP")</f>
        <v>PHP</v>
      </c>
      <c r="I1648" s="9" t="str">
        <f>IFERROR(__xludf.DUMMYFUNCTION("""COMPUTED_VALUE"""),"Other(s):")</f>
        <v>Other(s):</v>
      </c>
      <c r="J1648" s="9" t="str">
        <f>IFERROR(__xludf.DUMMYFUNCTION("""COMPUTED_VALUE"""),"C#")</f>
        <v>C#</v>
      </c>
      <c r="K1648" s="9" t="str">
        <f>IFERROR(__xludf.DUMMYFUNCTION("""COMPUTED_VALUE"""),"SQL")</f>
        <v>SQL</v>
      </c>
      <c r="L1648" s="9" t="str">
        <f>IFERROR(__xludf.DUMMYFUNCTION("""COMPUTED_VALUE"""),"TypeScript")</f>
        <v>TypeScript</v>
      </c>
      <c r="M1648" s="9" t="s">
        <v>35</v>
      </c>
    </row>
    <row r="1649" ht="15.75" customHeight="1">
      <c r="A1649" s="7"/>
      <c r="B1649" s="7" t="str">
        <f>IFERROR(__xludf.DUMMYFUNCTION("""COMPUTED_VALUE"""),"C;Go;Java;JavaScript;Python;SQL")</f>
        <v>C;Go;Java;JavaScript;Python;SQL</v>
      </c>
      <c r="C1649" s="9" t="str">
        <f>IFERROR(__xludf.DUMMYFUNCTION("""COMPUTED_VALUE"""),"Java")</f>
        <v>Java</v>
      </c>
      <c r="D1649" s="9" t="str">
        <f>IFERROR(__xludf.DUMMYFUNCTION("""COMPUTED_VALUE"""),"HTML/CSS")</f>
        <v>HTML/CSS</v>
      </c>
      <c r="E1649" s="9" t="str">
        <f>IFERROR(__xludf.DUMMYFUNCTION("""COMPUTED_VALUE"""),"Bash/Shell/PowerShell")</f>
        <v>Bash/Shell/PowerShell</v>
      </c>
      <c r="F1649" s="9" t="str">
        <f>IFERROR(__xludf.DUMMYFUNCTION("""COMPUTED_VALUE"""),"Ruby")</f>
        <v>Ruby</v>
      </c>
      <c r="G1649" s="9" t="str">
        <f>IFERROR(__xludf.DUMMYFUNCTION("""COMPUTED_VALUE"""),"HTML/CSS")</f>
        <v>HTML/CSS</v>
      </c>
      <c r="H1649" s="9" t="str">
        <f>IFERROR(__xludf.DUMMYFUNCTION("""COMPUTED_VALUE"""),"Python")</f>
        <v>Python</v>
      </c>
      <c r="I1649" s="9" t="str">
        <f>IFERROR(__xludf.DUMMYFUNCTION("""COMPUTED_VALUE"""),"Java")</f>
        <v>Java</v>
      </c>
      <c r="J1649" s="9" t="str">
        <f>IFERROR(__xludf.DUMMYFUNCTION("""COMPUTED_VALUE"""),"Java")</f>
        <v>Java</v>
      </c>
      <c r="K1649" s="9" t="str">
        <f>IFERROR(__xludf.DUMMYFUNCTION("""COMPUTED_VALUE"""),"TypeScript")</f>
        <v>TypeScript</v>
      </c>
      <c r="L1649" s="9" t="str">
        <f>IFERROR(__xludf.DUMMYFUNCTION("""COMPUTED_VALUE"""),"C#")</f>
        <v>C#</v>
      </c>
      <c r="M1649" s="9" t="s">
        <v>20</v>
      </c>
    </row>
    <row r="1650" ht="15.75" customHeight="1">
      <c r="A1650" s="7"/>
      <c r="B1650" s="7" t="str">
        <f>IFERROR(__xludf.DUMMYFUNCTION("""COMPUTED_VALUE"""),"Bash/Shell/PowerShell;C#;HTML/CSS;JavaScript;SQL")</f>
        <v>Bash/Shell/PowerShell;C#;HTML/CSS;JavaScript;SQL</v>
      </c>
      <c r="C1650" s="9" t="str">
        <f>IFERROR(__xludf.DUMMYFUNCTION("""COMPUTED_VALUE"""),"Kotlin")</f>
        <v>Kotlin</v>
      </c>
      <c r="D1650" s="9" t="str">
        <f>IFERROR(__xludf.DUMMYFUNCTION("""COMPUTED_VALUE"""),"JavaScript")</f>
        <v>JavaScript</v>
      </c>
      <c r="E1650" s="9" t="str">
        <f>IFERROR(__xludf.DUMMYFUNCTION("""COMPUTED_VALUE"""),"C")</f>
        <v>C</v>
      </c>
      <c r="F1650" s="9" t="str">
        <f>IFERROR(__xludf.DUMMYFUNCTION("""COMPUTED_VALUE"""),"Scala")</f>
        <v>Scala</v>
      </c>
      <c r="G1650" s="9" t="str">
        <f>IFERROR(__xludf.DUMMYFUNCTION("""COMPUTED_VALUE"""),"PHP")</f>
        <v>PHP</v>
      </c>
      <c r="H1650" s="9" t="str">
        <f>IFERROR(__xludf.DUMMYFUNCTION("""COMPUTED_VALUE"""),"Ruby")</f>
        <v>Ruby</v>
      </c>
      <c r="I1650" s="9" t="str">
        <f>IFERROR(__xludf.DUMMYFUNCTION("""COMPUTED_VALUE"""),"C#")</f>
        <v>C#</v>
      </c>
      <c r="J1650" s="9" t="str">
        <f>IFERROR(__xludf.DUMMYFUNCTION("""COMPUTED_VALUE"""),"Python")</f>
        <v>Python</v>
      </c>
      <c r="K1650" s="9" t="str">
        <f>IFERROR(__xludf.DUMMYFUNCTION("""COMPUTED_VALUE"""),"C#")</f>
        <v>C#</v>
      </c>
      <c r="L1650" s="9" t="str">
        <f>IFERROR(__xludf.DUMMYFUNCTION("""COMPUTED_VALUE"""),"HTML/CSS")</f>
        <v>HTML/CSS</v>
      </c>
      <c r="M1650" s="9" t="s">
        <v>39</v>
      </c>
    </row>
    <row r="1651" ht="15.75" customHeight="1">
      <c r="A1651" s="7"/>
      <c r="B1651" s="7" t="str">
        <f>IFERROR(__xludf.DUMMYFUNCTION("""COMPUTED_VALUE"""),"Bash/Shell/PowerShell;Java;Python")</f>
        <v>Bash/Shell/PowerShell;Java;Python</v>
      </c>
      <c r="C1651" s="9" t="str">
        <f>IFERROR(__xludf.DUMMYFUNCTION("""COMPUTED_VALUE"""),"Bash/Shell/PowerShell")</f>
        <v>Bash/Shell/PowerShell</v>
      </c>
      <c r="D1651" s="9" t="str">
        <f>IFERROR(__xludf.DUMMYFUNCTION("""COMPUTED_VALUE"""),"PHP")</f>
        <v>PHP</v>
      </c>
      <c r="E1651" s="9" t="str">
        <f>IFERROR(__xludf.DUMMYFUNCTION("""COMPUTED_VALUE"""),"C++")</f>
        <v>C++</v>
      </c>
      <c r="F1651" s="9" t="str">
        <f>IFERROR(__xludf.DUMMYFUNCTION("""COMPUTED_VALUE"""),"SQL")</f>
        <v>SQL</v>
      </c>
      <c r="G1651" s="9" t="str">
        <f>IFERROR(__xludf.DUMMYFUNCTION("""COMPUTED_VALUE"""),"TypeScript")</f>
        <v>TypeScript</v>
      </c>
      <c r="H1651" s="9" t="str">
        <f>IFERROR(__xludf.DUMMYFUNCTION("""COMPUTED_VALUE"""),"SQL")</f>
        <v>SQL</v>
      </c>
      <c r="I1651" s="9" t="str">
        <f>IFERROR(__xludf.DUMMYFUNCTION("""COMPUTED_VALUE"""),"HTML/CSS")</f>
        <v>HTML/CSS</v>
      </c>
      <c r="J1651" s="9" t="str">
        <f>IFERROR(__xludf.DUMMYFUNCTION("""COMPUTED_VALUE"""),"Assembly")</f>
        <v>Assembly</v>
      </c>
      <c r="K1651" s="9" t="str">
        <f>IFERROR(__xludf.DUMMYFUNCTION("""COMPUTED_VALUE"""),"HTML/CSS")</f>
        <v>HTML/CSS</v>
      </c>
      <c r="L1651" s="9" t="str">
        <f>IFERROR(__xludf.DUMMYFUNCTION("""COMPUTED_VALUE"""),"Java")</f>
        <v>Java</v>
      </c>
      <c r="M1651" s="9" t="s">
        <v>30</v>
      </c>
    </row>
    <row r="1652" ht="15.75" customHeight="1">
      <c r="A1652" s="7"/>
      <c r="B1652" s="7" t="str">
        <f>IFERROR(__xludf.DUMMYFUNCTION("""COMPUTED_VALUE"""),"C#;HTML/CSS;JavaScript;Python;SQL;TypeScript")</f>
        <v>C#;HTML/CSS;JavaScript;Python;SQL;TypeScript</v>
      </c>
      <c r="C1652" s="9" t="str">
        <f>IFERROR(__xludf.DUMMYFUNCTION("""COMPUTED_VALUE"""),"C++")</f>
        <v>C++</v>
      </c>
      <c r="D1652" s="9" t="str">
        <f>IFERROR(__xludf.DUMMYFUNCTION("""COMPUTED_VALUE"""),"SQL")</f>
        <v>SQL</v>
      </c>
      <c r="E1652" s="9" t="str">
        <f>IFERROR(__xludf.DUMMYFUNCTION("""COMPUTED_VALUE"""),"C#")</f>
        <v>C#</v>
      </c>
      <c r="F1652" s="9" t="str">
        <f>IFERROR(__xludf.DUMMYFUNCTION("""COMPUTED_VALUE"""),"TypeScript")</f>
        <v>TypeScript</v>
      </c>
      <c r="G1652" s="9" t="str">
        <f>IFERROR(__xludf.DUMMYFUNCTION("""COMPUTED_VALUE"""),"C#")</f>
        <v>C#</v>
      </c>
      <c r="H1652" s="9" t="str">
        <f>IFERROR(__xludf.DUMMYFUNCTION("""COMPUTED_VALUE"""),"HTML/CSS")</f>
        <v>HTML/CSS</v>
      </c>
      <c r="I1652" s="9" t="str">
        <f>IFERROR(__xludf.DUMMYFUNCTION("""COMPUTED_VALUE"""),"JavaScript")</f>
        <v>JavaScript</v>
      </c>
      <c r="J1652" s="9" t="str">
        <f>IFERROR(__xludf.DUMMYFUNCTION("""COMPUTED_VALUE"""),"Bash/Shell/PowerShell")</f>
        <v>Bash/Shell/PowerShell</v>
      </c>
      <c r="K1652" s="9" t="str">
        <f>IFERROR(__xludf.DUMMYFUNCTION("""COMPUTED_VALUE"""),"Java")</f>
        <v>Java</v>
      </c>
      <c r="L1652" s="9" t="str">
        <f>IFERROR(__xludf.DUMMYFUNCTION("""COMPUTED_VALUE"""),"JavaScript")</f>
        <v>JavaScript</v>
      </c>
      <c r="M1652" s="9" t="s">
        <v>23</v>
      </c>
    </row>
    <row r="1653" ht="15.75" customHeight="1">
      <c r="A1653" s="7"/>
      <c r="B1653" s="7" t="str">
        <f>IFERROR(__xludf.DUMMYFUNCTION("""COMPUTED_VALUE"""),"Bash/Shell/PowerShell;Go;HTML/CSS;JavaScript;Python;R;Ruby;SQL")</f>
        <v>Bash/Shell/PowerShell;Go;HTML/CSS;JavaScript;Python;R;Ruby;SQL</v>
      </c>
      <c r="C1653" s="9" t="str">
        <f>IFERROR(__xludf.DUMMYFUNCTION("""COMPUTED_VALUE"""),"C#")</f>
        <v>C#</v>
      </c>
      <c r="D1653" s="9" t="str">
        <f>IFERROR(__xludf.DUMMYFUNCTION("""COMPUTED_VALUE"""),"HTML/CSS")</f>
        <v>HTML/CSS</v>
      </c>
      <c r="E1653" s="9" t="str">
        <f>IFERROR(__xludf.DUMMYFUNCTION("""COMPUTED_VALUE"""),"HTML/CSS")</f>
        <v>HTML/CSS</v>
      </c>
      <c r="F1653" s="9" t="str">
        <f>IFERROR(__xludf.DUMMYFUNCTION("""COMPUTED_VALUE"""),"C++")</f>
        <v>C++</v>
      </c>
      <c r="G1653" s="9" t="str">
        <f>IFERROR(__xludf.DUMMYFUNCTION("""COMPUTED_VALUE"""),"JavaScript")</f>
        <v>JavaScript</v>
      </c>
      <c r="H1653" s="9" t="str">
        <f>IFERROR(__xludf.DUMMYFUNCTION("""COMPUTED_VALUE"""),"JavaScript")</f>
        <v>JavaScript</v>
      </c>
      <c r="I1653" s="9" t="str">
        <f>IFERROR(__xludf.DUMMYFUNCTION("""COMPUTED_VALUE"""),"Swift")</f>
        <v>Swift</v>
      </c>
      <c r="J1653" s="9" t="str">
        <f>IFERROR(__xludf.DUMMYFUNCTION("""COMPUTED_VALUE"""),"HTML/CSS")</f>
        <v>HTML/CSS</v>
      </c>
      <c r="K1653" s="9" t="str">
        <f>IFERROR(__xludf.DUMMYFUNCTION("""COMPUTED_VALUE"""),"JavaScript")</f>
        <v>JavaScript</v>
      </c>
      <c r="L1653" s="9" t="str">
        <f>IFERROR(__xludf.DUMMYFUNCTION("""COMPUTED_VALUE"""),"SQL")</f>
        <v>SQL</v>
      </c>
      <c r="M1653" s="9" t="s">
        <v>26</v>
      </c>
    </row>
    <row r="1654" ht="15.75" customHeight="1">
      <c r="A1654" s="7"/>
      <c r="B1654" s="7" t="str">
        <f>IFERROR(__xludf.DUMMYFUNCTION("""COMPUTED_VALUE"""),"Bash/Shell/PowerShell;HTML/CSS;Java;JavaScript;Python;SQL;TypeScript")</f>
        <v>Bash/Shell/PowerShell;HTML/CSS;Java;JavaScript;Python;SQL;TypeScript</v>
      </c>
      <c r="C1654" s="9" t="str">
        <f>IFERROR(__xludf.DUMMYFUNCTION("""COMPUTED_VALUE"""),"Python")</f>
        <v>Python</v>
      </c>
      <c r="D1654" s="9" t="str">
        <f>IFERROR(__xludf.DUMMYFUNCTION("""COMPUTED_VALUE"""),"JavaScript")</f>
        <v>JavaScript</v>
      </c>
      <c r="E1654" s="9" t="str">
        <f>IFERROR(__xludf.DUMMYFUNCTION("""COMPUTED_VALUE"""),"Java")</f>
        <v>Java</v>
      </c>
      <c r="F1654" s="9" t="str">
        <f>IFERROR(__xludf.DUMMYFUNCTION("""COMPUTED_VALUE"""),"C#")</f>
        <v>C#</v>
      </c>
      <c r="G1654" s="9" t="str">
        <f>IFERROR(__xludf.DUMMYFUNCTION("""COMPUTED_VALUE"""),"SQL")</f>
        <v>SQL</v>
      </c>
      <c r="H1654" s="9" t="str">
        <f>IFERROR(__xludf.DUMMYFUNCTION("""COMPUTED_VALUE"""),"Bash/Shell/PowerShell")</f>
        <v>Bash/Shell/PowerShell</v>
      </c>
      <c r="I1654" s="9" t="str">
        <f>IFERROR(__xludf.DUMMYFUNCTION("""COMPUTED_VALUE"""),"HTML/CSS")</f>
        <v>HTML/CSS</v>
      </c>
      <c r="J1654" s="9" t="str">
        <f>IFERROR(__xludf.DUMMYFUNCTION("""COMPUTED_VALUE"""),"Java")</f>
        <v>Java</v>
      </c>
      <c r="K1654" s="9" t="str">
        <f>IFERROR(__xludf.DUMMYFUNCTION("""COMPUTED_VALUE"""),"PHP")</f>
        <v>PHP</v>
      </c>
      <c r="L1654" s="9" t="str">
        <f>IFERROR(__xludf.DUMMYFUNCTION("""COMPUTED_VALUE"""),"TypeScript")</f>
        <v>TypeScript</v>
      </c>
      <c r="M1654" s="9" t="s">
        <v>22</v>
      </c>
    </row>
    <row r="1655" ht="15.75" customHeight="1">
      <c r="A1655" s="7"/>
      <c r="B1655" s="7" t="str">
        <f>IFERROR(__xludf.DUMMYFUNCTION("""COMPUTED_VALUE"""),"C;C++;HTML/CSS;Java;JavaScript;Kotlin;Python;SQL;Swift")</f>
        <v>C;C++;HTML/CSS;Java;JavaScript;Kotlin;Python;SQL;Swift</v>
      </c>
      <c r="C1655" s="9" t="str">
        <f>IFERROR(__xludf.DUMMYFUNCTION("""COMPUTED_VALUE"""),"Bash/Shell/PowerShell")</f>
        <v>Bash/Shell/PowerShell</v>
      </c>
      <c r="D1655" s="9" t="str">
        <f>IFERROR(__xludf.DUMMYFUNCTION("""COMPUTED_VALUE"""),"TypeScript")</f>
        <v>TypeScript</v>
      </c>
      <c r="E1655" s="9" t="str">
        <f>IFERROR(__xludf.DUMMYFUNCTION("""COMPUTED_VALUE"""),"JavaScript")</f>
        <v>JavaScript</v>
      </c>
      <c r="F1655" s="9" t="str">
        <f>IFERROR(__xludf.DUMMYFUNCTION("""COMPUTED_VALUE"""),"VBA")</f>
        <v>VBA</v>
      </c>
      <c r="G1655" s="9" t="str">
        <f>IFERROR(__xludf.DUMMYFUNCTION("""COMPUTED_VALUE"""),"Bash/Shell/PowerShell")</f>
        <v>Bash/Shell/PowerShell</v>
      </c>
      <c r="H1655" s="9" t="str">
        <f>IFERROR(__xludf.DUMMYFUNCTION("""COMPUTED_VALUE"""),"JavaScript")</f>
        <v>JavaScript</v>
      </c>
      <c r="I1655" s="9" t="str">
        <f>IFERROR(__xludf.DUMMYFUNCTION("""COMPUTED_VALUE"""),"Java")</f>
        <v>Java</v>
      </c>
      <c r="J1655" s="9" t="str">
        <f>IFERROR(__xludf.DUMMYFUNCTION("""COMPUTED_VALUE"""),"JavaScript")</f>
        <v>JavaScript</v>
      </c>
      <c r="K1655" s="9" t="str">
        <f>IFERROR(__xludf.DUMMYFUNCTION("""COMPUTED_VALUE"""),"Python")</f>
        <v>Python</v>
      </c>
      <c r="L1655" s="9" t="str">
        <f>IFERROR(__xludf.DUMMYFUNCTION("""COMPUTED_VALUE"""),"Bash/Shell/PowerShell")</f>
        <v>Bash/Shell/PowerShell</v>
      </c>
      <c r="M1655" s="9" t="s">
        <v>30</v>
      </c>
    </row>
    <row r="1656" ht="15.75" customHeight="1">
      <c r="A1656" s="7"/>
      <c r="B1656" s="7" t="str">
        <f>IFERROR(__xludf.DUMMYFUNCTION("""COMPUTED_VALUE"""),"C#;HTML/CSS;Java;JavaScript;PHP;Python;Ruby;Scala;SQL;TypeScript")</f>
        <v>C#;HTML/CSS;Java;JavaScript;PHP;Python;Ruby;Scala;SQL;TypeScript</v>
      </c>
      <c r="C1656" s="9" t="str">
        <f>IFERROR(__xludf.DUMMYFUNCTION("""COMPUTED_VALUE"""),"HTML/CSS")</f>
        <v>HTML/CSS</v>
      </c>
      <c r="D1656" s="9" t="str">
        <f>IFERROR(__xludf.DUMMYFUNCTION("""COMPUTED_VALUE"""),"HTML/CSS")</f>
        <v>HTML/CSS</v>
      </c>
      <c r="E1656" s="9" t="str">
        <f>IFERROR(__xludf.DUMMYFUNCTION("""COMPUTED_VALUE"""),"Python")</f>
        <v>Python</v>
      </c>
      <c r="F1656" s="9" t="str">
        <f>IFERROR(__xludf.DUMMYFUNCTION("""COMPUTED_VALUE"""),"Bash/Shell/PowerShell")</f>
        <v>Bash/Shell/PowerShell</v>
      </c>
      <c r="G1656" s="9" t="str">
        <f>IFERROR(__xludf.DUMMYFUNCTION("""COMPUTED_VALUE"""),"HTML/CSS")</f>
        <v>HTML/CSS</v>
      </c>
      <c r="H1656" s="9" t="str">
        <f>IFERROR(__xludf.DUMMYFUNCTION("""COMPUTED_VALUE"""),"Bash/Shell/PowerShell")</f>
        <v>Bash/Shell/PowerShell</v>
      </c>
      <c r="I1656" s="9" t="str">
        <f>IFERROR(__xludf.DUMMYFUNCTION("""COMPUTED_VALUE"""),"JavaScript")</f>
        <v>JavaScript</v>
      </c>
      <c r="J1656" s="9" t="str">
        <f>IFERROR(__xludf.DUMMYFUNCTION("""COMPUTED_VALUE"""),"PHP")</f>
        <v>PHP</v>
      </c>
      <c r="K1656" s="9" t="str">
        <f>IFERROR(__xludf.DUMMYFUNCTION("""COMPUTED_VALUE"""),"SQL")</f>
        <v>SQL</v>
      </c>
      <c r="L1656" s="9" t="str">
        <f>IFERROR(__xludf.DUMMYFUNCTION("""COMPUTED_VALUE"""),"HTML/CSS")</f>
        <v>HTML/CSS</v>
      </c>
      <c r="M1656" s="9" t="s">
        <v>24</v>
      </c>
    </row>
    <row r="1657" ht="15.75" customHeight="1">
      <c r="A1657" s="7"/>
      <c r="B1657" s="7" t="str">
        <f>IFERROR(__xludf.DUMMYFUNCTION("""COMPUTED_VALUE"""),"R")</f>
        <v>R</v>
      </c>
      <c r="C1657" s="9" t="str">
        <f>IFERROR(__xludf.DUMMYFUNCTION("""COMPUTED_VALUE"""),"JavaScript")</f>
        <v>JavaScript</v>
      </c>
      <c r="D1657" s="9" t="str">
        <f>IFERROR(__xludf.DUMMYFUNCTION("""COMPUTED_VALUE"""),"JavaScript")</f>
        <v>JavaScript</v>
      </c>
      <c r="E1657" s="9" t="str">
        <f>IFERROR(__xludf.DUMMYFUNCTION("""COMPUTED_VALUE"""),"SQL")</f>
        <v>SQL</v>
      </c>
      <c r="F1657" s="9" t="str">
        <f>IFERROR(__xludf.DUMMYFUNCTION("""COMPUTED_VALUE"""),"C#")</f>
        <v>C#</v>
      </c>
      <c r="G1657" s="9" t="str">
        <f>IFERROR(__xludf.DUMMYFUNCTION("""COMPUTED_VALUE"""),"JavaScript")</f>
        <v>JavaScript</v>
      </c>
      <c r="H1657" s="9" t="str">
        <f>IFERROR(__xludf.DUMMYFUNCTION("""COMPUTED_VALUE"""),"C")</f>
        <v>C</v>
      </c>
      <c r="I1657" s="9" t="str">
        <f>IFERROR(__xludf.DUMMYFUNCTION("""COMPUTED_VALUE"""),"SQL")</f>
        <v>SQL</v>
      </c>
      <c r="J1657" s="9" t="str">
        <f>IFERROR(__xludf.DUMMYFUNCTION("""COMPUTED_VALUE"""),"Python")</f>
        <v>Python</v>
      </c>
      <c r="K1657" s="9" t="str">
        <f>IFERROR(__xludf.DUMMYFUNCTION("""COMPUTED_VALUE"""),"C")</f>
        <v>C</v>
      </c>
      <c r="L1657" s="9" t="str">
        <f>IFERROR(__xludf.DUMMYFUNCTION("""COMPUTED_VALUE"""),"JavaScript")</f>
        <v>JavaScript</v>
      </c>
      <c r="M1657" s="9" t="s">
        <v>21</v>
      </c>
    </row>
    <row r="1658" ht="15.75" customHeight="1">
      <c r="A1658" s="7"/>
      <c r="B1658" s="7" t="str">
        <f>IFERROR(__xludf.DUMMYFUNCTION("""COMPUTED_VALUE"""),"Dart;Java;JavaScript;Kotlin;TypeScript")</f>
        <v>Dart;Java;JavaScript;Kotlin;TypeScript</v>
      </c>
      <c r="C1658" s="9" t="str">
        <f>IFERROR(__xludf.DUMMYFUNCTION("""COMPUTED_VALUE"""),"Objective-C")</f>
        <v>Objective-C</v>
      </c>
      <c r="D1658" s="9" t="str">
        <f>IFERROR(__xludf.DUMMYFUNCTION("""COMPUTED_VALUE"""),"PHP")</f>
        <v>PHP</v>
      </c>
      <c r="E1658" s="9" t="str">
        <f>IFERROR(__xludf.DUMMYFUNCTION("""COMPUTED_VALUE"""),"PHP")</f>
        <v>PHP</v>
      </c>
      <c r="F1658" s="9" t="str">
        <f>IFERROR(__xludf.DUMMYFUNCTION("""COMPUTED_VALUE"""),"HTML/CSS")</f>
        <v>HTML/CSS</v>
      </c>
      <c r="G1658" s="9" t="str">
        <f>IFERROR(__xludf.DUMMYFUNCTION("""COMPUTED_VALUE"""),"Python")</f>
        <v>Python</v>
      </c>
      <c r="H1658" s="9" t="str">
        <f>IFERROR(__xludf.DUMMYFUNCTION("""COMPUTED_VALUE"""),"C++")</f>
        <v>C++</v>
      </c>
      <c r="I1658" s="9" t="str">
        <f>IFERROR(__xludf.DUMMYFUNCTION("""COMPUTED_VALUE"""),"TypeScript")</f>
        <v>TypeScript</v>
      </c>
      <c r="J1658" s="9" t="str">
        <f>IFERROR(__xludf.DUMMYFUNCTION("""COMPUTED_VALUE"""),"SQL")</f>
        <v>SQL</v>
      </c>
      <c r="K1658" s="9" t="str">
        <f>IFERROR(__xludf.DUMMYFUNCTION("""COMPUTED_VALUE"""),"C++")</f>
        <v>C++</v>
      </c>
      <c r="L1658" s="9" t="str">
        <f>IFERROR(__xludf.DUMMYFUNCTION("""COMPUTED_VALUE"""),"Python")</f>
        <v>Python</v>
      </c>
      <c r="M1658" s="9" t="s">
        <v>41</v>
      </c>
    </row>
    <row r="1659" ht="15.75" customHeight="1">
      <c r="A1659" s="7"/>
      <c r="B1659" s="7" t="str">
        <f>IFERROR(__xludf.DUMMYFUNCTION("""COMPUTED_VALUE"""),"Bash/Shell/PowerShell;C++;Rust;TypeScript")</f>
        <v>Bash/Shell/PowerShell;C++;Rust;TypeScript</v>
      </c>
      <c r="C1659" s="9" t="str">
        <f>IFERROR(__xludf.DUMMYFUNCTION("""COMPUTED_VALUE"""),"Python")</f>
        <v>Python</v>
      </c>
      <c r="D1659" s="9" t="str">
        <f>IFERROR(__xludf.DUMMYFUNCTION("""COMPUTED_VALUE"""),"SQL")</f>
        <v>SQL</v>
      </c>
      <c r="E1659" s="9" t="str">
        <f>IFERROR(__xludf.DUMMYFUNCTION("""COMPUTED_VALUE"""),"Bash/Shell/PowerShell")</f>
        <v>Bash/Shell/PowerShell</v>
      </c>
      <c r="F1659" s="9" t="str">
        <f>IFERROR(__xludf.DUMMYFUNCTION("""COMPUTED_VALUE"""),"JavaScript")</f>
        <v>JavaScript</v>
      </c>
      <c r="G1659" s="9" t="str">
        <f>IFERROR(__xludf.DUMMYFUNCTION("""COMPUTED_VALUE"""),"Bash/Shell/PowerShell")</f>
        <v>Bash/Shell/PowerShell</v>
      </c>
      <c r="H1659" s="9" t="str">
        <f>IFERROR(__xludf.DUMMYFUNCTION("""COMPUTED_VALUE"""),"Go")</f>
        <v>Go</v>
      </c>
      <c r="I1659" s="9" t="str">
        <f>IFERROR(__xludf.DUMMYFUNCTION("""COMPUTED_VALUE"""),"Bash/Shell/PowerShell")</f>
        <v>Bash/Shell/PowerShell</v>
      </c>
      <c r="J1659" s="9" t="str">
        <f>IFERROR(__xludf.DUMMYFUNCTION("""COMPUTED_VALUE"""),"Swift")</f>
        <v>Swift</v>
      </c>
      <c r="K1659" s="9" t="str">
        <f>IFERROR(__xludf.DUMMYFUNCTION("""COMPUTED_VALUE"""),"Objective-C")</f>
        <v>Objective-C</v>
      </c>
      <c r="L1659" s="9" t="str">
        <f>IFERROR(__xludf.DUMMYFUNCTION("""COMPUTED_VALUE"""),"Ruby")</f>
        <v>Ruby</v>
      </c>
      <c r="M1659" s="9" t="s">
        <v>22</v>
      </c>
    </row>
    <row r="1660" ht="15.75" customHeight="1">
      <c r="A1660" s="7"/>
      <c r="B1660" s="7" t="str">
        <f>IFERROR(__xludf.DUMMYFUNCTION("""COMPUTED_VALUE"""),"C++;C#;HTML/CSS;Java;JavaScript;PHP;SQL")</f>
        <v>C++;C#;HTML/CSS;Java;JavaScript;PHP;SQL</v>
      </c>
      <c r="C1660" s="9" t="str">
        <f>IFERROR(__xludf.DUMMYFUNCTION("""COMPUTED_VALUE"""),"SQL")</f>
        <v>SQL</v>
      </c>
      <c r="D1660" s="9" t="str">
        <f>IFERROR(__xludf.DUMMYFUNCTION("""COMPUTED_VALUE"""),"HTML/CSS")</f>
        <v>HTML/CSS</v>
      </c>
      <c r="E1660" s="9" t="str">
        <f>IFERROR(__xludf.DUMMYFUNCTION("""COMPUTED_VALUE"""),"C#")</f>
        <v>C#</v>
      </c>
      <c r="F1660" s="9" t="str">
        <f>IFERROR(__xludf.DUMMYFUNCTION("""COMPUTED_VALUE"""),"HTML/CSS")</f>
        <v>HTML/CSS</v>
      </c>
      <c r="G1660" s="9" t="str">
        <f>IFERROR(__xludf.DUMMYFUNCTION("""COMPUTED_VALUE"""),"C#")</f>
        <v>C#</v>
      </c>
      <c r="H1660" s="9" t="str">
        <f>IFERROR(__xludf.DUMMYFUNCTION("""COMPUTED_VALUE"""),"Python")</f>
        <v>Python</v>
      </c>
      <c r="I1660" s="9" t="str">
        <f>IFERROR(__xludf.DUMMYFUNCTION("""COMPUTED_VALUE"""),"JavaScript")</f>
        <v>JavaScript</v>
      </c>
      <c r="J1660" s="9" t="str">
        <f>IFERROR(__xludf.DUMMYFUNCTION("""COMPUTED_VALUE"""),"HTML/CSS")</f>
        <v>HTML/CSS</v>
      </c>
      <c r="K1660" s="9" t="str">
        <f>IFERROR(__xludf.DUMMYFUNCTION("""COMPUTED_VALUE"""),"Swift")</f>
        <v>Swift</v>
      </c>
      <c r="L1660" s="9" t="str">
        <f>IFERROR(__xludf.DUMMYFUNCTION("""COMPUTED_VALUE"""),"Swift")</f>
        <v>Swift</v>
      </c>
      <c r="M1660" s="9" t="s">
        <v>27</v>
      </c>
    </row>
    <row r="1661" ht="15.75" customHeight="1">
      <c r="A1661" s="7"/>
      <c r="B1661" s="7" t="str">
        <f>IFERROR(__xludf.DUMMYFUNCTION("""COMPUTED_VALUE"""),"HTML/CSS;JavaScript;Ruby")</f>
        <v>HTML/CSS;JavaScript;Ruby</v>
      </c>
      <c r="C1661" s="9" t="str">
        <f>IFERROR(__xludf.DUMMYFUNCTION("""COMPUTED_VALUE"""),"Swift")</f>
        <v>Swift</v>
      </c>
      <c r="D1661" s="9" t="str">
        <f>IFERROR(__xludf.DUMMYFUNCTION("""COMPUTED_VALUE"""),"Java")</f>
        <v>Java</v>
      </c>
      <c r="E1661" s="9" t="str">
        <f>IFERROR(__xludf.DUMMYFUNCTION("""COMPUTED_VALUE"""),"HTML/CSS")</f>
        <v>HTML/CSS</v>
      </c>
      <c r="F1661" s="9" t="str">
        <f>IFERROR(__xludf.DUMMYFUNCTION("""COMPUTED_VALUE"""),"Java")</f>
        <v>Java</v>
      </c>
      <c r="G1661" s="9" t="str">
        <f>IFERROR(__xludf.DUMMYFUNCTION("""COMPUTED_VALUE"""),"HTML/CSS")</f>
        <v>HTML/CSS</v>
      </c>
      <c r="H1661" s="9" t="str">
        <f>IFERROR(__xludf.DUMMYFUNCTION("""COMPUTED_VALUE"""),"Rust")</f>
        <v>Rust</v>
      </c>
      <c r="I1661" s="9" t="str">
        <f>IFERROR(__xludf.DUMMYFUNCTION("""COMPUTED_VALUE"""),"TypeScript")</f>
        <v>TypeScript</v>
      </c>
      <c r="J1661" s="9" t="str">
        <f>IFERROR(__xludf.DUMMYFUNCTION("""COMPUTED_VALUE"""),"JavaScript")</f>
        <v>JavaScript</v>
      </c>
      <c r="K1661" s="9" t="str">
        <f>IFERROR(__xludf.DUMMYFUNCTION("""COMPUTED_VALUE"""),"Java")</f>
        <v>Java</v>
      </c>
      <c r="L1661" s="9" t="str">
        <f>IFERROR(__xludf.DUMMYFUNCTION("""COMPUTED_VALUE"""),"Bash/Shell/PowerShell")</f>
        <v>Bash/Shell/PowerShell</v>
      </c>
      <c r="M1661" s="9" t="s">
        <v>40</v>
      </c>
    </row>
    <row r="1662" ht="15.75" customHeight="1">
      <c r="A1662" s="7"/>
      <c r="B1662" s="7" t="str">
        <f>IFERROR(__xludf.DUMMYFUNCTION("""COMPUTED_VALUE"""),"HTML/CSS;JavaScript;PHP;Python")</f>
        <v>HTML/CSS;JavaScript;PHP;Python</v>
      </c>
      <c r="C1662" s="9" t="str">
        <f>IFERROR(__xludf.DUMMYFUNCTION("""COMPUTED_VALUE"""),"TypeScript")</f>
        <v>TypeScript</v>
      </c>
      <c r="D1662" s="9" t="str">
        <f>IFERROR(__xludf.DUMMYFUNCTION("""COMPUTED_VALUE"""),"JavaScript")</f>
        <v>JavaScript</v>
      </c>
      <c r="E1662" s="9" t="str">
        <f>IFERROR(__xludf.DUMMYFUNCTION("""COMPUTED_VALUE"""),"Java")</f>
        <v>Java</v>
      </c>
      <c r="F1662" s="9" t="str">
        <f>IFERROR(__xludf.DUMMYFUNCTION("""COMPUTED_VALUE"""),"JavaScript")</f>
        <v>JavaScript</v>
      </c>
      <c r="G1662" s="9" t="str">
        <f>IFERROR(__xludf.DUMMYFUNCTION("""COMPUTED_VALUE"""),"JavaScript")</f>
        <v>JavaScript</v>
      </c>
      <c r="H1662" s="9" t="str">
        <f>IFERROR(__xludf.DUMMYFUNCTION("""COMPUTED_VALUE"""),"Assembly")</f>
        <v>Assembly</v>
      </c>
      <c r="I1662" s="9" t="str">
        <f>IFERROR(__xludf.DUMMYFUNCTION("""COMPUTED_VALUE"""),"C#")</f>
        <v>C#</v>
      </c>
      <c r="J1662" s="9" t="str">
        <f>IFERROR(__xludf.DUMMYFUNCTION("""COMPUTED_VALUE"""),"Python")</f>
        <v>Python</v>
      </c>
      <c r="K1662" s="9" t="str">
        <f>IFERROR(__xludf.DUMMYFUNCTION("""COMPUTED_VALUE"""),"JavaScript")</f>
        <v>JavaScript</v>
      </c>
      <c r="L1662" s="9" t="str">
        <f>IFERROR(__xludf.DUMMYFUNCTION("""COMPUTED_VALUE"""),"HTML/CSS")</f>
        <v>HTML/CSS</v>
      </c>
      <c r="M1662" s="9" t="s">
        <v>33</v>
      </c>
    </row>
    <row r="1663" ht="15.75" customHeight="1">
      <c r="A1663" s="7"/>
      <c r="B1663" s="7" t="str">
        <f>IFERROR(__xludf.DUMMYFUNCTION("""COMPUTED_VALUE"""),"HTML/CSS;JavaScript;PHP;Python")</f>
        <v>HTML/CSS;JavaScript;PHP;Python</v>
      </c>
      <c r="C1663" s="9" t="str">
        <f>IFERROR(__xludf.DUMMYFUNCTION("""COMPUTED_VALUE"""),"Python")</f>
        <v>Python</v>
      </c>
      <c r="D1663" s="9" t="str">
        <f>IFERROR(__xludf.DUMMYFUNCTION("""COMPUTED_VALUE"""),"PHP")</f>
        <v>PHP</v>
      </c>
      <c r="E1663" s="9" t="str">
        <f>IFERROR(__xludf.DUMMYFUNCTION("""COMPUTED_VALUE"""),"JavaScript")</f>
        <v>JavaScript</v>
      </c>
      <c r="F1663" s="9" t="str">
        <f>IFERROR(__xludf.DUMMYFUNCTION("""COMPUTED_VALUE"""),"PHP")</f>
        <v>PHP</v>
      </c>
      <c r="G1663" s="9" t="str">
        <f>IFERROR(__xludf.DUMMYFUNCTION("""COMPUTED_VALUE"""),"SQL")</f>
        <v>SQL</v>
      </c>
      <c r="H1663" s="9" t="str">
        <f>IFERROR(__xludf.DUMMYFUNCTION("""COMPUTED_VALUE"""),"Bash/Shell/PowerShell")</f>
        <v>Bash/Shell/PowerShell</v>
      </c>
      <c r="I1663" s="9" t="str">
        <f>IFERROR(__xludf.DUMMYFUNCTION("""COMPUTED_VALUE"""),"HTML/CSS")</f>
        <v>HTML/CSS</v>
      </c>
      <c r="J1663" s="9" t="str">
        <f>IFERROR(__xludf.DUMMYFUNCTION("""COMPUTED_VALUE"""),"R")</f>
        <v>R</v>
      </c>
      <c r="K1663" s="9" t="str">
        <f>IFERROR(__xludf.DUMMYFUNCTION("""COMPUTED_VALUE"""),"SQL")</f>
        <v>SQL</v>
      </c>
      <c r="L1663" s="9" t="str">
        <f>IFERROR(__xludf.DUMMYFUNCTION("""COMPUTED_VALUE"""),"JavaScript")</f>
        <v>JavaScript</v>
      </c>
      <c r="M1663" s="9" t="s">
        <v>22</v>
      </c>
    </row>
    <row r="1664" ht="15.75" customHeight="1">
      <c r="A1664" s="7"/>
      <c r="B1664" s="7" t="str">
        <f>IFERROR(__xludf.DUMMYFUNCTION("""COMPUTED_VALUE"""),"Elixir;HTML/CSS;JavaScript;PHP;Python")</f>
        <v>Elixir;HTML/CSS;JavaScript;PHP;Python</v>
      </c>
      <c r="C1664" s="9" t="str">
        <f>IFERROR(__xludf.DUMMYFUNCTION("""COMPUTED_VALUE"""),"Rust")</f>
        <v>Rust</v>
      </c>
      <c r="D1664" s="9" t="str">
        <f>IFERROR(__xludf.DUMMYFUNCTION("""COMPUTED_VALUE"""),"Python")</f>
        <v>Python</v>
      </c>
      <c r="E1664" s="9" t="str">
        <f>IFERROR(__xludf.DUMMYFUNCTION("""COMPUTED_VALUE"""),"Python")</f>
        <v>Python</v>
      </c>
      <c r="F1664" s="9" t="str">
        <f>IFERROR(__xludf.DUMMYFUNCTION("""COMPUTED_VALUE"""),"Python")</f>
        <v>Python</v>
      </c>
      <c r="G1664" s="9" t="str">
        <f>IFERROR(__xludf.DUMMYFUNCTION("""COMPUTED_VALUE"""),"C#")</f>
        <v>C#</v>
      </c>
      <c r="H1664" s="9" t="str">
        <f>IFERROR(__xludf.DUMMYFUNCTION("""COMPUTED_VALUE"""),"C")</f>
        <v>C</v>
      </c>
      <c r="I1664" s="9" t="str">
        <f>IFERROR(__xludf.DUMMYFUNCTION("""COMPUTED_VALUE"""),"JavaScript")</f>
        <v>JavaScript</v>
      </c>
      <c r="J1664" s="9" t="str">
        <f>IFERROR(__xludf.DUMMYFUNCTION("""COMPUTED_VALUE"""),"Scala")</f>
        <v>Scala</v>
      </c>
      <c r="K1664" s="9" t="str">
        <f>IFERROR(__xludf.DUMMYFUNCTION("""COMPUTED_VALUE"""),"Bash/Shell/PowerShell")</f>
        <v>Bash/Shell/PowerShell</v>
      </c>
      <c r="L1664" s="9" t="str">
        <f>IFERROR(__xludf.DUMMYFUNCTION("""COMPUTED_VALUE"""),"PHP")</f>
        <v>PHP</v>
      </c>
      <c r="M1664" s="9" t="s">
        <v>32</v>
      </c>
    </row>
    <row r="1665" ht="15.75" customHeight="1">
      <c r="A1665" s="7"/>
      <c r="B1665" s="7" t="str">
        <f>IFERROR(__xludf.DUMMYFUNCTION("""COMPUTED_VALUE"""),"Bash/Shell/PowerShell;C;HTML/CSS;Java;JavaScript;PHP;Python;SQL")</f>
        <v>Bash/Shell/PowerShell;C;HTML/CSS;Java;JavaScript;PHP;Python;SQL</v>
      </c>
      <c r="C1665" s="9" t="str">
        <f>IFERROR(__xludf.DUMMYFUNCTION("""COMPUTED_VALUE"""),"Scala")</f>
        <v>Scala</v>
      </c>
      <c r="D1665" s="9" t="str">
        <f>IFERROR(__xludf.DUMMYFUNCTION("""COMPUTED_VALUE"""),"SQL")</f>
        <v>SQL</v>
      </c>
      <c r="E1665" s="9" t="str">
        <f>IFERROR(__xludf.DUMMYFUNCTION("""COMPUTED_VALUE"""),"Other(s):")</f>
        <v>Other(s):</v>
      </c>
      <c r="F1665" s="9" t="str">
        <f>IFERROR(__xludf.DUMMYFUNCTION("""COMPUTED_VALUE"""),"SQL")</f>
        <v>SQL</v>
      </c>
      <c r="G1665" s="9" t="str">
        <f>IFERROR(__xludf.DUMMYFUNCTION("""COMPUTED_VALUE"""),"HTML/CSS")</f>
        <v>HTML/CSS</v>
      </c>
      <c r="H1665" s="9" t="str">
        <f>IFERROR(__xludf.DUMMYFUNCTION("""COMPUTED_VALUE"""),"HTML/CSS")</f>
        <v>HTML/CSS</v>
      </c>
      <c r="I1665" s="9" t="str">
        <f>IFERROR(__xludf.DUMMYFUNCTION("""COMPUTED_VALUE"""),"C")</f>
        <v>C</v>
      </c>
      <c r="J1665" s="9" t="str">
        <f>IFERROR(__xludf.DUMMYFUNCTION("""COMPUTED_VALUE"""),"SQL")</f>
        <v>SQL</v>
      </c>
      <c r="K1665" s="9" t="str">
        <f>IFERROR(__xludf.DUMMYFUNCTION("""COMPUTED_VALUE"""),"C#")</f>
        <v>C#</v>
      </c>
      <c r="L1665" s="9" t="str">
        <f>IFERROR(__xludf.DUMMYFUNCTION("""COMPUTED_VALUE"""),"TypeScript")</f>
        <v>TypeScript</v>
      </c>
      <c r="M1665" s="9" t="s">
        <v>46</v>
      </c>
    </row>
    <row r="1666" ht="15.75" customHeight="1">
      <c r="A1666" s="7"/>
      <c r="B1666" s="7" t="str">
        <f>IFERROR(__xludf.DUMMYFUNCTION("""COMPUTED_VALUE"""),"JavaScript;Python")</f>
        <v>JavaScript;Python</v>
      </c>
      <c r="C1666" s="9" t="str">
        <f>IFERROR(__xludf.DUMMYFUNCTION("""COMPUTED_VALUE"""),"Bash/Shell/PowerShell")</f>
        <v>Bash/Shell/PowerShell</v>
      </c>
      <c r="D1666" s="9" t="str">
        <f>IFERROR(__xludf.DUMMYFUNCTION("""COMPUTED_VALUE"""),"VBA")</f>
        <v>VBA</v>
      </c>
      <c r="E1666" s="9" t="str">
        <f>IFERROR(__xludf.DUMMYFUNCTION("""COMPUTED_VALUE"""),"Bash/Shell/PowerShell")</f>
        <v>Bash/Shell/PowerShell</v>
      </c>
      <c r="F1666" s="9" t="str">
        <f>IFERROR(__xludf.DUMMYFUNCTION("""COMPUTED_VALUE"""),"TypeScript")</f>
        <v>TypeScript</v>
      </c>
      <c r="G1666" s="9" t="str">
        <f>IFERROR(__xludf.DUMMYFUNCTION("""COMPUTED_VALUE"""),"JavaScript")</f>
        <v>JavaScript</v>
      </c>
      <c r="H1666" s="9" t="str">
        <f>IFERROR(__xludf.DUMMYFUNCTION("""COMPUTED_VALUE"""),"Java")</f>
        <v>Java</v>
      </c>
      <c r="I1666" s="9" t="str">
        <f>IFERROR(__xludf.DUMMYFUNCTION("""COMPUTED_VALUE"""),"C++")</f>
        <v>C++</v>
      </c>
      <c r="J1666" s="9" t="str">
        <f>IFERROR(__xludf.DUMMYFUNCTION("""COMPUTED_VALUE"""),"HTML/CSS")</f>
        <v>HTML/CSS</v>
      </c>
      <c r="K1666" s="9" t="str">
        <f>IFERROR(__xludf.DUMMYFUNCTION("""COMPUTED_VALUE"""),"HTML/CSS")</f>
        <v>HTML/CSS</v>
      </c>
      <c r="L1666" s="9" t="str">
        <f>IFERROR(__xludf.DUMMYFUNCTION("""COMPUTED_VALUE"""),"C#")</f>
        <v>C#</v>
      </c>
      <c r="M1666" s="9" t="s">
        <v>30</v>
      </c>
    </row>
    <row r="1667" ht="15.75" customHeight="1">
      <c r="A1667" s="7"/>
      <c r="B1667" s="7" t="str">
        <f>IFERROR(__xludf.DUMMYFUNCTION("""COMPUTED_VALUE"""),"Go;HTML/CSS;Java;JavaScript;Python")</f>
        <v>Go;HTML/CSS;Java;JavaScript;Python</v>
      </c>
      <c r="C1667" s="9" t="str">
        <f>IFERROR(__xludf.DUMMYFUNCTION("""COMPUTED_VALUE"""),"C")</f>
        <v>C</v>
      </c>
      <c r="D1667" s="9" t="str">
        <f>IFERROR(__xludf.DUMMYFUNCTION("""COMPUTED_VALUE"""),"C#")</f>
        <v>C#</v>
      </c>
      <c r="E1667" s="9" t="str">
        <f>IFERROR(__xludf.DUMMYFUNCTION("""COMPUTED_VALUE"""),"HTML/CSS")</f>
        <v>HTML/CSS</v>
      </c>
      <c r="F1667" s="9" t="str">
        <f>IFERROR(__xludf.DUMMYFUNCTION("""COMPUTED_VALUE"""),"C++")</f>
        <v>C++</v>
      </c>
      <c r="G1667" s="9" t="str">
        <f>IFERROR(__xludf.DUMMYFUNCTION("""COMPUTED_VALUE"""),"Python")</f>
        <v>Python</v>
      </c>
      <c r="H1667" s="9" t="str">
        <f>IFERROR(__xludf.DUMMYFUNCTION("""COMPUTED_VALUE"""),"Python")</f>
        <v>Python</v>
      </c>
      <c r="I1667" s="9" t="str">
        <f>IFERROR(__xludf.DUMMYFUNCTION("""COMPUTED_VALUE"""),"Python")</f>
        <v>Python</v>
      </c>
      <c r="J1667" s="9" t="str">
        <f>IFERROR(__xludf.DUMMYFUNCTION("""COMPUTED_VALUE"""),"JavaScript")</f>
        <v>JavaScript</v>
      </c>
      <c r="K1667" s="9" t="str">
        <f>IFERROR(__xludf.DUMMYFUNCTION("""COMPUTED_VALUE"""),"Java")</f>
        <v>Java</v>
      </c>
      <c r="L1667" s="9" t="str">
        <f>IFERROR(__xludf.DUMMYFUNCTION("""COMPUTED_VALUE"""),"HTML/CSS")</f>
        <v>HTML/CSS</v>
      </c>
      <c r="M1667" s="9" t="s">
        <v>25</v>
      </c>
    </row>
    <row r="1668" ht="15.75" customHeight="1">
      <c r="A1668" s="7"/>
      <c r="B1668" s="7" t="str">
        <f>IFERROR(__xludf.DUMMYFUNCTION("""COMPUTED_VALUE"""),"C#;HTML/CSS;JavaScript;TypeScript")</f>
        <v>C#;HTML/CSS;JavaScript;TypeScript</v>
      </c>
      <c r="C1668" s="9" t="str">
        <f>IFERROR(__xludf.DUMMYFUNCTION("""COMPUTED_VALUE"""),"C++")</f>
        <v>C++</v>
      </c>
      <c r="D1668" s="9" t="str">
        <f>IFERROR(__xludf.DUMMYFUNCTION("""COMPUTED_VALUE"""),"HTML/CSS")</f>
        <v>HTML/CSS</v>
      </c>
      <c r="E1668" s="9" t="str">
        <f>IFERROR(__xludf.DUMMYFUNCTION("""COMPUTED_VALUE"""),"Java")</f>
        <v>Java</v>
      </c>
      <c r="F1668" s="9" t="str">
        <f>IFERROR(__xludf.DUMMYFUNCTION("""COMPUTED_VALUE"""),"HTML/CSS")</f>
        <v>HTML/CSS</v>
      </c>
      <c r="G1668" s="9" t="str">
        <f>IFERROR(__xludf.DUMMYFUNCTION("""COMPUTED_VALUE"""),"C")</f>
        <v>C</v>
      </c>
      <c r="H1668" s="9" t="str">
        <f>IFERROR(__xludf.DUMMYFUNCTION("""COMPUTED_VALUE"""),"C")</f>
        <v>C</v>
      </c>
      <c r="I1668" s="9" t="str">
        <f>IFERROR(__xludf.DUMMYFUNCTION("""COMPUTED_VALUE"""),"R")</f>
        <v>R</v>
      </c>
      <c r="J1668" s="9" t="str">
        <f>IFERROR(__xludf.DUMMYFUNCTION("""COMPUTED_VALUE"""),"Python")</f>
        <v>Python</v>
      </c>
      <c r="K1668" s="9" t="str">
        <f>IFERROR(__xludf.DUMMYFUNCTION("""COMPUTED_VALUE"""),"Python")</f>
        <v>Python</v>
      </c>
      <c r="L1668" s="9" t="str">
        <f>IFERROR(__xludf.DUMMYFUNCTION("""COMPUTED_VALUE"""),"JavaScript")</f>
        <v>JavaScript</v>
      </c>
      <c r="M1668" s="9" t="s">
        <v>23</v>
      </c>
    </row>
    <row r="1669" ht="15.75" customHeight="1">
      <c r="A1669" s="7"/>
      <c r="B1669" s="7" t="str">
        <f>IFERROR(__xludf.DUMMYFUNCTION("""COMPUTED_VALUE"""),"Bash/Shell/PowerShell;C;Python")</f>
        <v>Bash/Shell/PowerShell;C;Python</v>
      </c>
      <c r="C1669" s="9" t="str">
        <f>IFERROR(__xludf.DUMMYFUNCTION("""COMPUTED_VALUE"""),"Python")</f>
        <v>Python</v>
      </c>
      <c r="D1669" s="9" t="str">
        <f>IFERROR(__xludf.DUMMYFUNCTION("""COMPUTED_VALUE"""),"JavaScript")</f>
        <v>JavaScript</v>
      </c>
      <c r="E1669" s="9" t="str">
        <f>IFERROR(__xludf.DUMMYFUNCTION("""COMPUTED_VALUE"""),"JavaScript")</f>
        <v>JavaScript</v>
      </c>
      <c r="F1669" s="9" t="str">
        <f>IFERROR(__xludf.DUMMYFUNCTION("""COMPUTED_VALUE"""),"Python")</f>
        <v>Python</v>
      </c>
      <c r="G1669" s="9" t="str">
        <f>IFERROR(__xludf.DUMMYFUNCTION("""COMPUTED_VALUE"""),"C++")</f>
        <v>C++</v>
      </c>
      <c r="H1669" s="9" t="str">
        <f>IFERROR(__xludf.DUMMYFUNCTION("""COMPUTED_VALUE"""),"C++")</f>
        <v>C++</v>
      </c>
      <c r="I1669" s="9" t="str">
        <f>IFERROR(__xludf.DUMMYFUNCTION("""COMPUTED_VALUE"""),"SQL")</f>
        <v>SQL</v>
      </c>
      <c r="J1669" s="9" t="str">
        <f>IFERROR(__xludf.DUMMYFUNCTION("""COMPUTED_VALUE"""),"Bash/Shell/PowerShell")</f>
        <v>Bash/Shell/PowerShell</v>
      </c>
      <c r="K1669" s="9" t="str">
        <f>IFERROR(__xludf.DUMMYFUNCTION("""COMPUTED_VALUE"""),"Bash/Shell/PowerShell")</f>
        <v>Bash/Shell/PowerShell</v>
      </c>
      <c r="L1669" s="9" t="str">
        <f>IFERROR(__xludf.DUMMYFUNCTION("""COMPUTED_VALUE"""),"PHP")</f>
        <v>PHP</v>
      </c>
      <c r="M1669" s="9" t="s">
        <v>22</v>
      </c>
    </row>
    <row r="1670" ht="15.75" customHeight="1">
      <c r="A1670" s="7"/>
      <c r="B1670" s="7" t="str">
        <f>IFERROR(__xludf.DUMMYFUNCTION("""COMPUTED_VALUE"""),"Assembly;Bash/Shell/PowerShell;C;C++;HTML/CSS;Java;JavaScript;PHP;Python;SQL")</f>
        <v>Assembly;Bash/Shell/PowerShell;C;C++;HTML/CSS;Java;JavaScript;PHP;Python;SQL</v>
      </c>
      <c r="C1670" s="9" t="str">
        <f>IFERROR(__xludf.DUMMYFUNCTION("""COMPUTED_VALUE"""),"C#")</f>
        <v>C#</v>
      </c>
      <c r="D1670" s="9" t="str">
        <f>IFERROR(__xludf.DUMMYFUNCTION("""COMPUTED_VALUE"""),"SQL")</f>
        <v>SQL</v>
      </c>
      <c r="E1670" s="9" t="str">
        <f>IFERROR(__xludf.DUMMYFUNCTION("""COMPUTED_VALUE"""),"SQL")</f>
        <v>SQL</v>
      </c>
      <c r="F1670" s="9" t="str">
        <f>IFERROR(__xludf.DUMMYFUNCTION("""COMPUTED_VALUE"""),"Clojure")</f>
        <v>Clojure</v>
      </c>
      <c r="G1670" s="9" t="str">
        <f>IFERROR(__xludf.DUMMYFUNCTION("""COMPUTED_VALUE"""),"Java")</f>
        <v>Java</v>
      </c>
      <c r="H1670" s="9" t="str">
        <f>IFERROR(__xludf.DUMMYFUNCTION("""COMPUTED_VALUE"""),"C#")</f>
        <v>C#</v>
      </c>
      <c r="I1670" s="9" t="str">
        <f>IFERROR(__xludf.DUMMYFUNCTION("""COMPUTED_VALUE"""),"HTML/CSS")</f>
        <v>HTML/CSS</v>
      </c>
      <c r="J1670" s="9" t="str">
        <f>IFERROR(__xludf.DUMMYFUNCTION("""COMPUTED_VALUE"""),"C++")</f>
        <v>C++</v>
      </c>
      <c r="K1670" s="9" t="str">
        <f>IFERROR(__xludf.DUMMYFUNCTION("""COMPUTED_VALUE"""),"C")</f>
        <v>C</v>
      </c>
      <c r="L1670" s="9" t="str">
        <f>IFERROR(__xludf.DUMMYFUNCTION("""COMPUTED_VALUE"""),"SQL")</f>
        <v>SQL</v>
      </c>
      <c r="M1670" s="9" t="s">
        <v>26</v>
      </c>
    </row>
    <row r="1671" ht="15.75" customHeight="1">
      <c r="A1671" s="7"/>
      <c r="B1671" s="7" t="str">
        <f>IFERROR(__xludf.DUMMYFUNCTION("""COMPUTED_VALUE"""),"Bash/Shell/PowerShell;C#;JavaScript;SQL;TypeScript")</f>
        <v>Bash/Shell/PowerShell;C#;JavaScript;SQL;TypeScript</v>
      </c>
      <c r="C1671" s="9" t="str">
        <f>IFERROR(__xludf.DUMMYFUNCTION("""COMPUTED_VALUE"""),"HTML/CSS")</f>
        <v>HTML/CSS</v>
      </c>
      <c r="D1671" s="9" t="str">
        <f>IFERROR(__xludf.DUMMYFUNCTION("""COMPUTED_VALUE"""),"Bash/Shell/PowerShell")</f>
        <v>Bash/Shell/PowerShell</v>
      </c>
      <c r="E1671" s="9" t="str">
        <f>IFERROR(__xludf.DUMMYFUNCTION("""COMPUTED_VALUE"""),"Bash/Shell/PowerShell")</f>
        <v>Bash/Shell/PowerShell</v>
      </c>
      <c r="F1671" s="9" t="str">
        <f>IFERROR(__xludf.DUMMYFUNCTION("""COMPUTED_VALUE"""),"HTML/CSS")</f>
        <v>HTML/CSS</v>
      </c>
      <c r="G1671" s="9" t="str">
        <f>IFERROR(__xludf.DUMMYFUNCTION("""COMPUTED_VALUE"""),"C#")</f>
        <v>C#</v>
      </c>
      <c r="H1671" s="9" t="str">
        <f>IFERROR(__xludf.DUMMYFUNCTION("""COMPUTED_VALUE"""),"HTML/CSS")</f>
        <v>HTML/CSS</v>
      </c>
      <c r="I1671" s="9" t="str">
        <f>IFERROR(__xludf.DUMMYFUNCTION("""COMPUTED_VALUE"""),"Java")</f>
        <v>Java</v>
      </c>
      <c r="J1671" s="9" t="str">
        <f>IFERROR(__xludf.DUMMYFUNCTION("""COMPUTED_VALUE"""),"Go")</f>
        <v>Go</v>
      </c>
      <c r="K1671" s="9" t="str">
        <f>IFERROR(__xludf.DUMMYFUNCTION("""COMPUTED_VALUE"""),"Other(s):")</f>
        <v>Other(s):</v>
      </c>
      <c r="L1671" s="9" t="str">
        <f>IFERROR(__xludf.DUMMYFUNCTION("""COMPUTED_VALUE"""),"TypeScript")</f>
        <v>TypeScript</v>
      </c>
      <c r="M1671" s="9" t="s">
        <v>24</v>
      </c>
    </row>
    <row r="1672" ht="15.75" customHeight="1">
      <c r="A1672" s="7"/>
      <c r="B1672" s="7" t="str">
        <f>IFERROR(__xludf.DUMMYFUNCTION("""COMPUTED_VALUE"""),"Bash/Shell/PowerShell;C#;JavaScript;R")</f>
        <v>Bash/Shell/PowerShell;C#;JavaScript;R</v>
      </c>
      <c r="C1672" s="9" t="str">
        <f>IFERROR(__xludf.DUMMYFUNCTION("""COMPUTED_VALUE"""),"Java")</f>
        <v>Java</v>
      </c>
      <c r="D1672" s="9" t="str">
        <f>IFERROR(__xludf.DUMMYFUNCTION("""COMPUTED_VALUE"""),"Java")</f>
        <v>Java</v>
      </c>
      <c r="E1672" s="9" t="str">
        <f>IFERROR(__xludf.DUMMYFUNCTION("""COMPUTED_VALUE"""),"C#")</f>
        <v>C#</v>
      </c>
      <c r="F1672" s="9" t="str">
        <f>IFERROR(__xludf.DUMMYFUNCTION("""COMPUTED_VALUE"""),"Java")</f>
        <v>Java</v>
      </c>
      <c r="G1672" s="9" t="str">
        <f>IFERROR(__xludf.DUMMYFUNCTION("""COMPUTED_VALUE"""),"SQL")</f>
        <v>SQL</v>
      </c>
      <c r="H1672" s="9" t="str">
        <f>IFERROR(__xludf.DUMMYFUNCTION("""COMPUTED_VALUE"""),"JavaScript")</f>
        <v>JavaScript</v>
      </c>
      <c r="I1672" s="9" t="str">
        <f>IFERROR(__xludf.DUMMYFUNCTION("""COMPUTED_VALUE"""),"JavaScript")</f>
        <v>JavaScript</v>
      </c>
      <c r="J1672" s="9" t="str">
        <f>IFERROR(__xludf.DUMMYFUNCTION("""COMPUTED_VALUE"""),"HTML/CSS")</f>
        <v>HTML/CSS</v>
      </c>
      <c r="K1672" s="9" t="str">
        <f>IFERROR(__xludf.DUMMYFUNCTION("""COMPUTED_VALUE"""),"Assembly")</f>
        <v>Assembly</v>
      </c>
      <c r="L1672" s="9" t="str">
        <f>IFERROR(__xludf.DUMMYFUNCTION("""COMPUTED_VALUE"""),"C#")</f>
        <v>C#</v>
      </c>
      <c r="M1672" s="9" t="s">
        <v>20</v>
      </c>
    </row>
    <row r="1673" ht="15.75" customHeight="1">
      <c r="A1673" s="7"/>
      <c r="B1673" s="7" t="str">
        <f>IFERROR(__xludf.DUMMYFUNCTION("""COMPUTED_VALUE"""),"Assembly;C#;HTML/CSS;Java;JavaScript;PHP;TypeScript")</f>
        <v>Assembly;C#;HTML/CSS;Java;JavaScript;PHP;TypeScript</v>
      </c>
      <c r="C1673" s="9" t="str">
        <f>IFERROR(__xludf.DUMMYFUNCTION("""COMPUTED_VALUE"""),"JavaScript")</f>
        <v>JavaScript</v>
      </c>
      <c r="D1673" s="9" t="str">
        <f>IFERROR(__xludf.DUMMYFUNCTION("""COMPUTED_VALUE"""),"Kotlin")</f>
        <v>Kotlin</v>
      </c>
      <c r="E1673" s="9" t="str">
        <f>IFERROR(__xludf.DUMMYFUNCTION("""COMPUTED_VALUE"""),"Java")</f>
        <v>Java</v>
      </c>
      <c r="F1673" s="9" t="str">
        <f>IFERROR(__xludf.DUMMYFUNCTION("""COMPUTED_VALUE"""),"JavaScript")</f>
        <v>JavaScript</v>
      </c>
      <c r="G1673" s="9" t="str">
        <f>IFERROR(__xludf.DUMMYFUNCTION("""COMPUTED_VALUE"""),"TypeScript")</f>
        <v>TypeScript</v>
      </c>
      <c r="H1673" s="9" t="str">
        <f>IFERROR(__xludf.DUMMYFUNCTION("""COMPUTED_VALUE"""),"SQL")</f>
        <v>SQL</v>
      </c>
      <c r="I1673" s="9" t="str">
        <f>IFERROR(__xludf.DUMMYFUNCTION("""COMPUTED_VALUE"""),"PHP")</f>
        <v>PHP</v>
      </c>
      <c r="J1673" s="9" t="str">
        <f>IFERROR(__xludf.DUMMYFUNCTION("""COMPUTED_VALUE"""),"Python")</f>
        <v>Python</v>
      </c>
      <c r="K1673" s="9" t="str">
        <f>IFERROR(__xludf.DUMMYFUNCTION("""COMPUTED_VALUE"""),"Bash/Shell/PowerShell")</f>
        <v>Bash/Shell/PowerShell</v>
      </c>
      <c r="L1673" s="9" t="str">
        <f>IFERROR(__xludf.DUMMYFUNCTION("""COMPUTED_VALUE"""),"SQL")</f>
        <v>SQL</v>
      </c>
      <c r="M1673" s="9" t="s">
        <v>21</v>
      </c>
    </row>
    <row r="1674" ht="15.75" customHeight="1">
      <c r="A1674" s="7"/>
      <c r="B1674" s="7" t="str">
        <f>IFERROR(__xludf.DUMMYFUNCTION("""COMPUTED_VALUE"""),"HTML/CSS;JavaScript")</f>
        <v>HTML/CSS;JavaScript</v>
      </c>
      <c r="C1674" s="9" t="str">
        <f>IFERROR(__xludf.DUMMYFUNCTION("""COMPUTED_VALUE"""),"Python")</f>
        <v>Python</v>
      </c>
      <c r="D1674" s="9" t="str">
        <f>IFERROR(__xludf.DUMMYFUNCTION("""COMPUTED_VALUE"""),"Python")</f>
        <v>Python</v>
      </c>
      <c r="E1674" s="9" t="str">
        <f>IFERROR(__xludf.DUMMYFUNCTION("""COMPUTED_VALUE"""),"Kotlin")</f>
        <v>Kotlin</v>
      </c>
      <c r="F1674" s="9" t="str">
        <f>IFERROR(__xludf.DUMMYFUNCTION("""COMPUTED_VALUE"""),"Python")</f>
        <v>Python</v>
      </c>
      <c r="G1674" s="9" t="str">
        <f>IFERROR(__xludf.DUMMYFUNCTION("""COMPUTED_VALUE"""),"Bash/Shell/PowerShell")</f>
        <v>Bash/Shell/PowerShell</v>
      </c>
      <c r="H1674" s="9" t="str">
        <f>IFERROR(__xludf.DUMMYFUNCTION("""COMPUTED_VALUE"""),"TypeScript")</f>
        <v>TypeScript</v>
      </c>
      <c r="I1674" s="9" t="str">
        <f>IFERROR(__xludf.DUMMYFUNCTION("""COMPUTED_VALUE"""),"Bash/Shell/PowerShell")</f>
        <v>Bash/Shell/PowerShell</v>
      </c>
      <c r="J1674" s="9" t="str">
        <f>IFERROR(__xludf.DUMMYFUNCTION("""COMPUTED_VALUE"""),"SQL")</f>
        <v>SQL</v>
      </c>
      <c r="K1674" s="9" t="str">
        <f>IFERROR(__xludf.DUMMYFUNCTION("""COMPUTED_VALUE"""),"C")</f>
        <v>C</v>
      </c>
      <c r="L1674" s="9" t="str">
        <f>IFERROR(__xludf.DUMMYFUNCTION("""COMPUTED_VALUE"""),"C#")</f>
        <v>C#</v>
      </c>
      <c r="M1674" s="9" t="s">
        <v>22</v>
      </c>
    </row>
    <row r="1675" ht="15.75" customHeight="1">
      <c r="A1675" s="7"/>
      <c r="B1675" s="7" t="str">
        <f>IFERROR(__xludf.DUMMYFUNCTION("""COMPUTED_VALUE"""),"Java;SQL")</f>
        <v>Java;SQL</v>
      </c>
      <c r="C1675" s="9" t="str">
        <f>IFERROR(__xludf.DUMMYFUNCTION("""COMPUTED_VALUE"""),"SQL")</f>
        <v>SQL</v>
      </c>
      <c r="D1675" s="9" t="str">
        <f>IFERROR(__xludf.DUMMYFUNCTION("""COMPUTED_VALUE"""),"HTML/CSS")</f>
        <v>HTML/CSS</v>
      </c>
      <c r="E1675" s="9" t="str">
        <f>IFERROR(__xludf.DUMMYFUNCTION("""COMPUTED_VALUE"""),"Objective-C")</f>
        <v>Objective-C</v>
      </c>
      <c r="F1675" s="9" t="str">
        <f>IFERROR(__xludf.DUMMYFUNCTION("""COMPUTED_VALUE"""),"Bash/Shell/PowerShell")</f>
        <v>Bash/Shell/PowerShell</v>
      </c>
      <c r="G1675" s="9" t="str">
        <f>IFERROR(__xludf.DUMMYFUNCTION("""COMPUTED_VALUE"""),"C#")</f>
        <v>C#</v>
      </c>
      <c r="H1675" s="9" t="str">
        <f>IFERROR(__xludf.DUMMYFUNCTION("""COMPUTED_VALUE"""),"Other(s):")</f>
        <v>Other(s):</v>
      </c>
      <c r="I1675" s="9" t="str">
        <f>IFERROR(__xludf.DUMMYFUNCTION("""COMPUTED_VALUE"""),"F#")</f>
        <v>F#</v>
      </c>
      <c r="J1675" s="9" t="str">
        <f>IFERROR(__xludf.DUMMYFUNCTION("""COMPUTED_VALUE"""),"HTML/CSS")</f>
        <v>HTML/CSS</v>
      </c>
      <c r="K1675" s="9" t="str">
        <f>IFERROR(__xludf.DUMMYFUNCTION("""COMPUTED_VALUE"""),"C++")</f>
        <v>C++</v>
      </c>
      <c r="L1675" s="9" t="str">
        <f>IFERROR(__xludf.DUMMYFUNCTION("""COMPUTED_VALUE"""),"HTML/CSS")</f>
        <v>HTML/CSS</v>
      </c>
      <c r="M1675" s="9" t="s">
        <v>27</v>
      </c>
    </row>
    <row r="1676" ht="15.75" customHeight="1">
      <c r="A1676" s="7"/>
      <c r="B1676" s="7" t="str">
        <f>IFERROR(__xludf.DUMMYFUNCTION("""COMPUTED_VALUE"""),"Bash/Shell/PowerShell;C;C++;C#;HTML/CSS;Java;JavaScript;Kotlin;PHP;Rust;SQL;TypeScript")</f>
        <v>Bash/Shell/PowerShell;C;C++;C#;HTML/CSS;Java;JavaScript;Kotlin;PHP;Rust;SQL;TypeScript</v>
      </c>
      <c r="C1676" s="9" t="str">
        <f>IFERROR(__xludf.DUMMYFUNCTION("""COMPUTED_VALUE"""),"Swift")</f>
        <v>Swift</v>
      </c>
      <c r="D1676" s="9" t="str">
        <f>IFERROR(__xludf.DUMMYFUNCTION("""COMPUTED_VALUE"""),"Java")</f>
        <v>Java</v>
      </c>
      <c r="E1676" s="9" t="str">
        <f>IFERROR(__xludf.DUMMYFUNCTION("""COMPUTED_VALUE"""),"Python")</f>
        <v>Python</v>
      </c>
      <c r="F1676" s="9" t="str">
        <f>IFERROR(__xludf.DUMMYFUNCTION("""COMPUTED_VALUE"""),"C++")</f>
        <v>C++</v>
      </c>
      <c r="G1676" s="9" t="str">
        <f>IFERROR(__xludf.DUMMYFUNCTION("""COMPUTED_VALUE"""),"HTML/CSS")</f>
        <v>HTML/CSS</v>
      </c>
      <c r="H1676" s="9" t="str">
        <f>IFERROR(__xludf.DUMMYFUNCTION("""COMPUTED_VALUE"""),"C++")</f>
        <v>C++</v>
      </c>
      <c r="I1676" s="9" t="str">
        <f>IFERROR(__xludf.DUMMYFUNCTION("""COMPUTED_VALUE"""),"PHP")</f>
        <v>PHP</v>
      </c>
      <c r="J1676" s="9" t="str">
        <f>IFERROR(__xludf.DUMMYFUNCTION("""COMPUTED_VALUE"""),"JavaScript")</f>
        <v>JavaScript</v>
      </c>
      <c r="K1676" s="9" t="str">
        <f>IFERROR(__xludf.DUMMYFUNCTION("""COMPUTED_VALUE"""),"HTML/CSS")</f>
        <v>HTML/CSS</v>
      </c>
      <c r="L1676" s="9" t="str">
        <f>IFERROR(__xludf.DUMMYFUNCTION("""COMPUTED_VALUE"""),"JavaScript")</f>
        <v>JavaScript</v>
      </c>
      <c r="M1676" s="9" t="s">
        <v>40</v>
      </c>
    </row>
    <row r="1677" ht="15.75" customHeight="1">
      <c r="A1677" s="7"/>
      <c r="B1677" s="7" t="str">
        <f>IFERROR(__xludf.DUMMYFUNCTION("""COMPUTED_VALUE"""),"VBA;Other(s):")</f>
        <v>VBA;Other(s):</v>
      </c>
      <c r="C1677" s="9" t="str">
        <f>IFERROR(__xludf.DUMMYFUNCTION("""COMPUTED_VALUE"""),"Bash/Shell/PowerShell")</f>
        <v>Bash/Shell/PowerShell</v>
      </c>
      <c r="D1677" s="9" t="str">
        <f>IFERROR(__xludf.DUMMYFUNCTION("""COMPUTED_VALUE"""),"JavaScript")</f>
        <v>JavaScript</v>
      </c>
      <c r="E1677" s="9" t="str">
        <f>IFERROR(__xludf.DUMMYFUNCTION("""COMPUTED_VALUE"""),"SQL")</f>
        <v>SQL</v>
      </c>
      <c r="F1677" s="9" t="str">
        <f>IFERROR(__xludf.DUMMYFUNCTION("""COMPUTED_VALUE"""),"JavaScript")</f>
        <v>JavaScript</v>
      </c>
      <c r="G1677" s="9" t="str">
        <f>IFERROR(__xludf.DUMMYFUNCTION("""COMPUTED_VALUE"""),"JavaScript")</f>
        <v>JavaScript</v>
      </c>
      <c r="H1677" s="9" t="str">
        <f>IFERROR(__xludf.DUMMYFUNCTION("""COMPUTED_VALUE"""),"Java")</f>
        <v>Java</v>
      </c>
      <c r="I1677" s="9" t="str">
        <f>IFERROR(__xludf.DUMMYFUNCTION("""COMPUTED_VALUE"""),"SQL")</f>
        <v>SQL</v>
      </c>
      <c r="J1677" s="9" t="str">
        <f>IFERROR(__xludf.DUMMYFUNCTION("""COMPUTED_VALUE"""),"TypeScript")</f>
        <v>TypeScript</v>
      </c>
      <c r="K1677" s="9" t="str">
        <f>IFERROR(__xludf.DUMMYFUNCTION("""COMPUTED_VALUE"""),"Java")</f>
        <v>Java</v>
      </c>
      <c r="L1677" s="9" t="str">
        <f>IFERROR(__xludf.DUMMYFUNCTION("""COMPUTED_VALUE"""),"SQL")</f>
        <v>SQL</v>
      </c>
      <c r="M1677" s="9" t="s">
        <v>30</v>
      </c>
    </row>
    <row r="1678" ht="15.75" customHeight="1">
      <c r="A1678" s="7"/>
      <c r="B1678" s="7" t="str">
        <f>IFERROR(__xludf.DUMMYFUNCTION("""COMPUTED_VALUE"""),"Assembly;HTML/CSS;Java;JavaScript;PHP;Python;SQL")</f>
        <v>Assembly;HTML/CSS;Java;JavaScript;PHP;Python;SQL</v>
      </c>
      <c r="C1678" s="9" t="str">
        <f>IFERROR(__xludf.DUMMYFUNCTION("""COMPUTED_VALUE"""),"JavaScript")</f>
        <v>JavaScript</v>
      </c>
      <c r="D1678" s="9" t="str">
        <f>IFERROR(__xludf.DUMMYFUNCTION("""COMPUTED_VALUE"""),"Python")</f>
        <v>Python</v>
      </c>
      <c r="E1678" s="9" t="str">
        <f>IFERROR(__xludf.DUMMYFUNCTION("""COMPUTED_VALUE"""),"Swift")</f>
        <v>Swift</v>
      </c>
      <c r="F1678" s="9" t="str">
        <f>IFERROR(__xludf.DUMMYFUNCTION("""COMPUTED_VALUE"""),"PHP")</f>
        <v>PHP</v>
      </c>
      <c r="G1678" s="9" t="str">
        <f>IFERROR(__xludf.DUMMYFUNCTION("""COMPUTED_VALUE"""),"SQL")</f>
        <v>SQL</v>
      </c>
      <c r="H1678" s="9" t="str">
        <f>IFERROR(__xludf.DUMMYFUNCTION("""COMPUTED_VALUE"""),"Assembly")</f>
        <v>Assembly</v>
      </c>
      <c r="I1678" s="9" t="str">
        <f>IFERROR(__xludf.DUMMYFUNCTION("""COMPUTED_VALUE"""),"Bash/Shell/PowerShell")</f>
        <v>Bash/Shell/PowerShell</v>
      </c>
      <c r="J1678" s="9" t="str">
        <f>IFERROR(__xludf.DUMMYFUNCTION("""COMPUTED_VALUE"""),"Objective-C")</f>
        <v>Objective-C</v>
      </c>
      <c r="K1678" s="9" t="str">
        <f>IFERROR(__xludf.DUMMYFUNCTION("""COMPUTED_VALUE"""),"Python")</f>
        <v>Python</v>
      </c>
      <c r="L1678" s="9" t="str">
        <f>IFERROR(__xludf.DUMMYFUNCTION("""COMPUTED_VALUE"""),"Assembly")</f>
        <v>Assembly</v>
      </c>
      <c r="M1678" s="9" t="s">
        <v>21</v>
      </c>
    </row>
    <row r="1679" ht="15.75" customHeight="1">
      <c r="A1679" s="7"/>
      <c r="B1679" s="7" t="str">
        <f>IFERROR(__xludf.DUMMYFUNCTION("""COMPUTED_VALUE"""),"C#;HTML/CSS;JavaScript")</f>
        <v>C#;HTML/CSS;JavaScript</v>
      </c>
      <c r="C1679" s="9" t="str">
        <f>IFERROR(__xludf.DUMMYFUNCTION("""COMPUTED_VALUE"""),"Python")</f>
        <v>Python</v>
      </c>
      <c r="D1679" s="9" t="str">
        <f>IFERROR(__xludf.DUMMYFUNCTION("""COMPUTED_VALUE"""),"R")</f>
        <v>R</v>
      </c>
      <c r="E1679" s="9" t="str">
        <f>IFERROR(__xludf.DUMMYFUNCTION("""COMPUTED_VALUE"""),"Bash/Shell/PowerShell")</f>
        <v>Bash/Shell/PowerShell</v>
      </c>
      <c r="F1679" s="9" t="str">
        <f>IFERROR(__xludf.DUMMYFUNCTION("""COMPUTED_VALUE"""),"Python")</f>
        <v>Python</v>
      </c>
      <c r="G1679" s="9" t="str">
        <f>IFERROR(__xludf.DUMMYFUNCTION("""COMPUTED_VALUE"""),"HTML/CSS")</f>
        <v>HTML/CSS</v>
      </c>
      <c r="H1679" s="9" t="str">
        <f>IFERROR(__xludf.DUMMYFUNCTION("""COMPUTED_VALUE"""),"HTML/CSS")</f>
        <v>HTML/CSS</v>
      </c>
      <c r="I1679" s="9" t="str">
        <f>IFERROR(__xludf.DUMMYFUNCTION("""COMPUTED_VALUE"""),"C#")</f>
        <v>C#</v>
      </c>
      <c r="J1679" s="9" t="str">
        <f>IFERROR(__xludf.DUMMYFUNCTION("""COMPUTED_VALUE"""),"Swift")</f>
        <v>Swift</v>
      </c>
      <c r="K1679" s="9" t="str">
        <f>IFERROR(__xludf.DUMMYFUNCTION("""COMPUTED_VALUE"""),"Ruby")</f>
        <v>Ruby</v>
      </c>
      <c r="L1679" s="9" t="str">
        <f>IFERROR(__xludf.DUMMYFUNCTION("""COMPUTED_VALUE"""),"Bash/Shell/PowerShell")</f>
        <v>Bash/Shell/PowerShell</v>
      </c>
      <c r="M1679" s="9" t="s">
        <v>22</v>
      </c>
    </row>
    <row r="1680" ht="15.75" customHeight="1">
      <c r="A1680" s="7"/>
      <c r="B1680" s="7" t="str">
        <f>IFERROR(__xludf.DUMMYFUNCTION("""COMPUTED_VALUE"""),"C;C++")</f>
        <v>C;C++</v>
      </c>
      <c r="C1680" s="9" t="str">
        <f>IFERROR(__xludf.DUMMYFUNCTION("""COMPUTED_VALUE"""),"Rust")</f>
        <v>Rust</v>
      </c>
      <c r="D1680" s="9" t="str">
        <f>IFERROR(__xludf.DUMMYFUNCTION("""COMPUTED_VALUE"""),"Other(s):")</f>
        <v>Other(s):</v>
      </c>
      <c r="E1680" s="9" t="str">
        <f>IFERROR(__xludf.DUMMYFUNCTION("""COMPUTED_VALUE"""),"C++")</f>
        <v>C++</v>
      </c>
      <c r="F1680" s="9" t="str">
        <f>IFERROR(__xludf.DUMMYFUNCTION("""COMPUTED_VALUE"""),"Bash/Shell/PowerShell")</f>
        <v>Bash/Shell/PowerShell</v>
      </c>
      <c r="G1680" s="9" t="str">
        <f>IFERROR(__xludf.DUMMYFUNCTION("""COMPUTED_VALUE"""),"Java")</f>
        <v>Java</v>
      </c>
      <c r="H1680" s="9" t="str">
        <f>IFERROR(__xludf.DUMMYFUNCTION("""COMPUTED_VALUE"""),"JavaScript")</f>
        <v>JavaScript</v>
      </c>
      <c r="I1680" s="9" t="str">
        <f>IFERROR(__xludf.DUMMYFUNCTION("""COMPUTED_VALUE"""),"HTML/CSS")</f>
        <v>HTML/CSS</v>
      </c>
      <c r="J1680" s="9" t="str">
        <f>IFERROR(__xludf.DUMMYFUNCTION("""COMPUTED_VALUE"""),"C")</f>
        <v>C</v>
      </c>
      <c r="K1680" s="9" t="str">
        <f>IFERROR(__xludf.DUMMYFUNCTION("""COMPUTED_VALUE"""),"HTML/CSS")</f>
        <v>HTML/CSS</v>
      </c>
      <c r="L1680" s="9" t="str">
        <f>IFERROR(__xludf.DUMMYFUNCTION("""COMPUTED_VALUE"""),"C")</f>
        <v>C</v>
      </c>
      <c r="M1680" s="9" t="s">
        <v>32</v>
      </c>
    </row>
    <row r="1681" ht="15.75" customHeight="1">
      <c r="A1681" s="7"/>
      <c r="B1681" s="7" t="str">
        <f>IFERROR(__xludf.DUMMYFUNCTION("""COMPUTED_VALUE"""),"HTML/CSS;JavaScript;PHP;SQL")</f>
        <v>HTML/CSS;JavaScript;PHP;SQL</v>
      </c>
      <c r="C1681" s="9" t="str">
        <f>IFERROR(__xludf.DUMMYFUNCTION("""COMPUTED_VALUE"""),"SQL")</f>
        <v>SQL</v>
      </c>
      <c r="D1681" s="9" t="str">
        <f>IFERROR(__xludf.DUMMYFUNCTION("""COMPUTED_VALUE"""),"C#")</f>
        <v>C#</v>
      </c>
      <c r="E1681" s="9" t="str">
        <f>IFERROR(__xludf.DUMMYFUNCTION("""COMPUTED_VALUE"""),"Java")</f>
        <v>Java</v>
      </c>
      <c r="F1681" s="9" t="str">
        <f>IFERROR(__xludf.DUMMYFUNCTION("""COMPUTED_VALUE"""),"HTML/CSS")</f>
        <v>HTML/CSS</v>
      </c>
      <c r="G1681" s="9" t="str">
        <f>IFERROR(__xludf.DUMMYFUNCTION("""COMPUTED_VALUE"""),"JavaScript")</f>
        <v>JavaScript</v>
      </c>
      <c r="H1681" s="9" t="str">
        <f>IFERROR(__xludf.DUMMYFUNCTION("""COMPUTED_VALUE"""),"SQL")</f>
        <v>SQL</v>
      </c>
      <c r="I1681" s="9" t="str">
        <f>IFERROR(__xludf.DUMMYFUNCTION("""COMPUTED_VALUE"""),"Java")</f>
        <v>Java</v>
      </c>
      <c r="J1681" s="9" t="str">
        <f>IFERROR(__xludf.DUMMYFUNCTION("""COMPUTED_VALUE"""),"C++")</f>
        <v>C++</v>
      </c>
      <c r="K1681" s="9" t="str">
        <f>IFERROR(__xludf.DUMMYFUNCTION("""COMPUTED_VALUE"""),"Java")</f>
        <v>Java</v>
      </c>
      <c r="L1681" s="9" t="str">
        <f>IFERROR(__xludf.DUMMYFUNCTION("""COMPUTED_VALUE"""),"C++")</f>
        <v>C++</v>
      </c>
      <c r="M1681" s="9" t="s">
        <v>27</v>
      </c>
    </row>
    <row r="1682" ht="15.75" customHeight="1">
      <c r="A1682" s="7"/>
      <c r="B1682" s="7" t="str">
        <f>IFERROR(__xludf.DUMMYFUNCTION("""COMPUTED_VALUE"""),"Bash/Shell/PowerShell;HTML/CSS;JavaScript;Python;SQL;Other(s):")</f>
        <v>Bash/Shell/PowerShell;HTML/CSS;JavaScript;Python;SQL;Other(s):</v>
      </c>
      <c r="C1682" s="9" t="str">
        <f>IFERROR(__xludf.DUMMYFUNCTION("""COMPUTED_VALUE"""),"TypeScript")</f>
        <v>TypeScript</v>
      </c>
      <c r="D1682" s="9" t="str">
        <f>IFERROR(__xludf.DUMMYFUNCTION("""COMPUTED_VALUE"""),"HTML/CSS")</f>
        <v>HTML/CSS</v>
      </c>
      <c r="E1682" s="9" t="str">
        <f>IFERROR(__xludf.DUMMYFUNCTION("""COMPUTED_VALUE"""),"JavaScript")</f>
        <v>JavaScript</v>
      </c>
      <c r="F1682" s="9" t="str">
        <f>IFERROR(__xludf.DUMMYFUNCTION("""COMPUTED_VALUE"""),"Java")</f>
        <v>Java</v>
      </c>
      <c r="G1682" s="9" t="str">
        <f>IFERROR(__xludf.DUMMYFUNCTION("""COMPUTED_VALUE"""),"Python")</f>
        <v>Python</v>
      </c>
      <c r="H1682" s="9" t="str">
        <f>IFERROR(__xludf.DUMMYFUNCTION("""COMPUTED_VALUE"""),"Python")</f>
        <v>Python</v>
      </c>
      <c r="I1682" s="9" t="str">
        <f>IFERROR(__xludf.DUMMYFUNCTION("""COMPUTED_VALUE"""),"Kotlin")</f>
        <v>Kotlin</v>
      </c>
      <c r="J1682" s="9" t="str">
        <f>IFERROR(__xludf.DUMMYFUNCTION("""COMPUTED_VALUE"""),"Erlang")</f>
        <v>Erlang</v>
      </c>
      <c r="K1682" s="9" t="str">
        <f>IFERROR(__xludf.DUMMYFUNCTION("""COMPUTED_VALUE"""),"JavaScript")</f>
        <v>JavaScript</v>
      </c>
      <c r="L1682" s="9" t="str">
        <f>IFERROR(__xludf.DUMMYFUNCTION("""COMPUTED_VALUE"""),"C#")</f>
        <v>C#</v>
      </c>
      <c r="M1682" s="9" t="s">
        <v>33</v>
      </c>
    </row>
    <row r="1683" ht="15.75" customHeight="1">
      <c r="A1683" s="7"/>
      <c r="B1683" s="7" t="str">
        <f>IFERROR(__xludf.DUMMYFUNCTION("""COMPUTED_VALUE"""),"HTML/CSS;Java;JavaScript;Python;R")</f>
        <v>HTML/CSS;Java;JavaScript;Python;R</v>
      </c>
      <c r="C1683" s="9" t="str">
        <f>IFERROR(__xludf.DUMMYFUNCTION("""COMPUTED_VALUE"""),"Python")</f>
        <v>Python</v>
      </c>
      <c r="D1683" s="9" t="str">
        <f>IFERROR(__xludf.DUMMYFUNCTION("""COMPUTED_VALUE"""),"JavaScript")</f>
        <v>JavaScript</v>
      </c>
      <c r="E1683" s="9" t="str">
        <f>IFERROR(__xludf.DUMMYFUNCTION("""COMPUTED_VALUE"""),"Kotlin")</f>
        <v>Kotlin</v>
      </c>
      <c r="F1683" s="9" t="str">
        <f>IFERROR(__xludf.DUMMYFUNCTION("""COMPUTED_VALUE"""),"JavaScript")</f>
        <v>JavaScript</v>
      </c>
      <c r="G1683" s="9" t="str">
        <f>IFERROR(__xludf.DUMMYFUNCTION("""COMPUTED_VALUE"""),"TypeScript")</f>
        <v>TypeScript</v>
      </c>
      <c r="H1683" s="9" t="str">
        <f>IFERROR(__xludf.DUMMYFUNCTION("""COMPUTED_VALUE"""),"C++")</f>
        <v>C++</v>
      </c>
      <c r="I1683" s="9" t="str">
        <f>IFERROR(__xludf.DUMMYFUNCTION("""COMPUTED_VALUE"""),"Python")</f>
        <v>Python</v>
      </c>
      <c r="J1683" s="9" t="str">
        <f>IFERROR(__xludf.DUMMYFUNCTION("""COMPUTED_VALUE"""),"Java")</f>
        <v>Java</v>
      </c>
      <c r="K1683" s="9" t="str">
        <f>IFERROR(__xludf.DUMMYFUNCTION("""COMPUTED_VALUE"""),"Objective-C")</f>
        <v>Objective-C</v>
      </c>
      <c r="L1683" s="9" t="str">
        <f>IFERROR(__xludf.DUMMYFUNCTION("""COMPUTED_VALUE"""),"Dart")</f>
        <v>Dart</v>
      </c>
      <c r="M1683" s="9" t="s">
        <v>22</v>
      </c>
    </row>
    <row r="1684" ht="15.75" customHeight="1">
      <c r="A1684" s="7"/>
      <c r="B1684" s="7" t="str">
        <f>IFERROR(__xludf.DUMMYFUNCTION("""COMPUTED_VALUE"""),"HTML/CSS;Java;JavaScript;Kotlin;PHP;Ruby")</f>
        <v>HTML/CSS;Java;JavaScript;Kotlin;PHP;Ruby</v>
      </c>
      <c r="C1684" s="9" t="str">
        <f>IFERROR(__xludf.DUMMYFUNCTION("""COMPUTED_VALUE"""),"R")</f>
        <v>R</v>
      </c>
      <c r="D1684" s="9" t="str">
        <f>IFERROR(__xludf.DUMMYFUNCTION("""COMPUTED_VALUE"""),"SQL")</f>
        <v>SQL</v>
      </c>
      <c r="E1684" s="9" t="str">
        <f>IFERROR(__xludf.DUMMYFUNCTION("""COMPUTED_VALUE"""),"Python")</f>
        <v>Python</v>
      </c>
      <c r="F1684" s="9" t="str">
        <f>IFERROR(__xludf.DUMMYFUNCTION("""COMPUTED_VALUE"""),"Kotlin")</f>
        <v>Kotlin</v>
      </c>
      <c r="G1684" s="9" t="str">
        <f>IFERROR(__xludf.DUMMYFUNCTION("""COMPUTED_VALUE"""),"Bash/Shell/PowerShell")</f>
        <v>Bash/Shell/PowerShell</v>
      </c>
      <c r="H1684" s="9" t="str">
        <f>IFERROR(__xludf.DUMMYFUNCTION("""COMPUTED_VALUE"""),"HTML/CSS")</f>
        <v>HTML/CSS</v>
      </c>
      <c r="I1684" s="9" t="str">
        <f>IFERROR(__xludf.DUMMYFUNCTION("""COMPUTED_VALUE"""),"SQL")</f>
        <v>SQL</v>
      </c>
      <c r="J1684" s="9" t="str">
        <f>IFERROR(__xludf.DUMMYFUNCTION("""COMPUTED_VALUE"""),"JavaScript")</f>
        <v>JavaScript</v>
      </c>
      <c r="K1684" s="9" t="str">
        <f>IFERROR(__xludf.DUMMYFUNCTION("""COMPUTED_VALUE"""),"PHP")</f>
        <v>PHP</v>
      </c>
      <c r="L1684" s="9" t="str">
        <f>IFERROR(__xludf.DUMMYFUNCTION("""COMPUTED_VALUE"""),"HTML/CSS")</f>
        <v>HTML/CSS</v>
      </c>
      <c r="M1684" s="9" t="s">
        <v>29</v>
      </c>
    </row>
    <row r="1685" ht="15.75" customHeight="1">
      <c r="A1685" s="7"/>
      <c r="B1685" s="7" t="str">
        <f>IFERROR(__xludf.DUMMYFUNCTION("""COMPUTED_VALUE"""),"Python")</f>
        <v>Python</v>
      </c>
      <c r="C1685" s="9" t="str">
        <f>IFERROR(__xludf.DUMMYFUNCTION("""COMPUTED_VALUE"""),"Bash/Shell/PowerShell")</f>
        <v>Bash/Shell/PowerShell</v>
      </c>
      <c r="D1685" s="9" t="str">
        <f>IFERROR(__xludf.DUMMYFUNCTION("""COMPUTED_VALUE"""),"TypeScript")</f>
        <v>TypeScript</v>
      </c>
      <c r="E1685" s="9" t="str">
        <f>IFERROR(__xludf.DUMMYFUNCTION("""COMPUTED_VALUE"""),"SQL")</f>
        <v>SQL</v>
      </c>
      <c r="F1685" s="9" t="str">
        <f>IFERROR(__xludf.DUMMYFUNCTION("""COMPUTED_VALUE"""),"Objective-C")</f>
        <v>Objective-C</v>
      </c>
      <c r="G1685" s="9" t="str">
        <f>IFERROR(__xludf.DUMMYFUNCTION("""COMPUTED_VALUE"""),"HTML/CSS")</f>
        <v>HTML/CSS</v>
      </c>
      <c r="H1685" s="9" t="str">
        <f>IFERROR(__xludf.DUMMYFUNCTION("""COMPUTED_VALUE"""),"Java")</f>
        <v>Java</v>
      </c>
      <c r="I1685" s="9" t="str">
        <f>IFERROR(__xludf.DUMMYFUNCTION("""COMPUTED_VALUE"""),"TypeScript")</f>
        <v>TypeScript</v>
      </c>
      <c r="J1685" s="9" t="str">
        <f>IFERROR(__xludf.DUMMYFUNCTION("""COMPUTED_VALUE"""),"Python")</f>
        <v>Python</v>
      </c>
      <c r="K1685" s="9" t="str">
        <f>IFERROR(__xludf.DUMMYFUNCTION("""COMPUTED_VALUE"""),"SQL")</f>
        <v>SQL</v>
      </c>
      <c r="L1685" s="9" t="str">
        <f>IFERROR(__xludf.DUMMYFUNCTION("""COMPUTED_VALUE"""),"Java")</f>
        <v>Java</v>
      </c>
      <c r="M1685" s="9" t="s">
        <v>30</v>
      </c>
    </row>
    <row r="1686" ht="15.75" customHeight="1">
      <c r="A1686" s="7"/>
      <c r="B1686" s="7" t="str">
        <f>IFERROR(__xludf.DUMMYFUNCTION("""COMPUTED_VALUE"""),"Go;Java;JavaScript;Python;Scala")</f>
        <v>Go;Java;JavaScript;Python;Scala</v>
      </c>
      <c r="C1686" s="9" t="str">
        <f>IFERROR(__xludf.DUMMYFUNCTION("""COMPUTED_VALUE"""),"HTML/CSS")</f>
        <v>HTML/CSS</v>
      </c>
      <c r="D1686" s="9" t="str">
        <f>IFERROR(__xludf.DUMMYFUNCTION("""COMPUTED_VALUE"""),"Assembly")</f>
        <v>Assembly</v>
      </c>
      <c r="E1686" s="9" t="str">
        <f>IFERROR(__xludf.DUMMYFUNCTION("""COMPUTED_VALUE"""),"Swift")</f>
        <v>Swift</v>
      </c>
      <c r="F1686" s="9" t="str">
        <f>IFERROR(__xludf.DUMMYFUNCTION("""COMPUTED_VALUE"""),"SQL")</f>
        <v>SQL</v>
      </c>
      <c r="G1686" s="9" t="str">
        <f>IFERROR(__xludf.DUMMYFUNCTION("""COMPUTED_VALUE"""),"Java")</f>
        <v>Java</v>
      </c>
      <c r="H1686" s="9" t="str">
        <f>IFERROR(__xludf.DUMMYFUNCTION("""COMPUTED_VALUE"""),"JavaScript")</f>
        <v>JavaScript</v>
      </c>
      <c r="I1686" s="9" t="str">
        <f>IFERROR(__xludf.DUMMYFUNCTION("""COMPUTED_VALUE"""),"C#")</f>
        <v>C#</v>
      </c>
      <c r="J1686" s="9" t="str">
        <f>IFERROR(__xludf.DUMMYFUNCTION("""COMPUTED_VALUE"""),"SQL")</f>
        <v>SQL</v>
      </c>
      <c r="K1686" s="9" t="str">
        <f>IFERROR(__xludf.DUMMYFUNCTION("""COMPUTED_VALUE"""),"Swift")</f>
        <v>Swift</v>
      </c>
      <c r="L1686" s="9" t="str">
        <f>IFERROR(__xludf.DUMMYFUNCTION("""COMPUTED_VALUE"""),"JavaScript")</f>
        <v>JavaScript</v>
      </c>
      <c r="M1686" s="9" t="s">
        <v>24</v>
      </c>
    </row>
    <row r="1687" ht="15.75" customHeight="1">
      <c r="A1687" s="7"/>
      <c r="B1687" s="7" t="str">
        <f>IFERROR(__xludf.DUMMYFUNCTION("""COMPUTED_VALUE"""),"Java;Kotlin")</f>
        <v>Java;Kotlin</v>
      </c>
      <c r="C1687" s="9" t="str">
        <f>IFERROR(__xludf.DUMMYFUNCTION("""COMPUTED_VALUE"""),"Java")</f>
        <v>Java</v>
      </c>
      <c r="D1687" s="9" t="str">
        <f>IFERROR(__xludf.DUMMYFUNCTION("""COMPUTED_VALUE"""),"C#")</f>
        <v>C#</v>
      </c>
      <c r="E1687" s="9" t="str">
        <f>IFERROR(__xludf.DUMMYFUNCTION("""COMPUTED_VALUE"""),"C++")</f>
        <v>C++</v>
      </c>
      <c r="F1687" s="9" t="str">
        <f>IFERROR(__xludf.DUMMYFUNCTION("""COMPUTED_VALUE"""),"Swift")</f>
        <v>Swift</v>
      </c>
      <c r="G1687" s="9" t="str">
        <f>IFERROR(__xludf.DUMMYFUNCTION("""COMPUTED_VALUE"""),"JavaScript")</f>
        <v>JavaScript</v>
      </c>
      <c r="H1687" s="9" t="str">
        <f>IFERROR(__xludf.DUMMYFUNCTION("""COMPUTED_VALUE"""),"PHP")</f>
        <v>PHP</v>
      </c>
      <c r="I1687" s="9" t="str">
        <f>IFERROR(__xludf.DUMMYFUNCTION("""COMPUTED_VALUE"""),"Erlang")</f>
        <v>Erlang</v>
      </c>
      <c r="J1687" s="9" t="str">
        <f>IFERROR(__xludf.DUMMYFUNCTION("""COMPUTED_VALUE"""),"Bash/Shell/PowerShell")</f>
        <v>Bash/Shell/PowerShell</v>
      </c>
      <c r="K1687" s="9" t="str">
        <f>IFERROR(__xludf.DUMMYFUNCTION("""COMPUTED_VALUE"""),"C")</f>
        <v>C</v>
      </c>
      <c r="L1687" s="9" t="str">
        <f>IFERROR(__xludf.DUMMYFUNCTION("""COMPUTED_VALUE"""),"Python")</f>
        <v>Python</v>
      </c>
      <c r="M1687" s="9" t="s">
        <v>20</v>
      </c>
    </row>
    <row r="1688" ht="15.75" customHeight="1">
      <c r="A1688" s="7"/>
      <c r="B1688" s="7" t="str">
        <f>IFERROR(__xludf.DUMMYFUNCTION("""COMPUTED_VALUE"""),"HTML/CSS;JavaScript;TypeScript")</f>
        <v>HTML/CSS;JavaScript;TypeScript</v>
      </c>
      <c r="C1688" s="9" t="str">
        <f>IFERROR(__xludf.DUMMYFUNCTION("""COMPUTED_VALUE"""),"Python")</f>
        <v>Python</v>
      </c>
      <c r="D1688" s="9" t="str">
        <f>IFERROR(__xludf.DUMMYFUNCTION("""COMPUTED_VALUE"""),"HTML/CSS")</f>
        <v>HTML/CSS</v>
      </c>
      <c r="E1688" s="9" t="str">
        <f>IFERROR(__xludf.DUMMYFUNCTION("""COMPUTED_VALUE"""),"HTML/CSS")</f>
        <v>HTML/CSS</v>
      </c>
      <c r="F1688" s="9" t="str">
        <f>IFERROR(__xludf.DUMMYFUNCTION("""COMPUTED_VALUE"""),"C")</f>
        <v>C</v>
      </c>
      <c r="G1688" s="9" t="str">
        <f>IFERROR(__xludf.DUMMYFUNCTION("""COMPUTED_VALUE"""),"PHP")</f>
        <v>PHP</v>
      </c>
      <c r="H1688" s="9" t="str">
        <f>IFERROR(__xludf.DUMMYFUNCTION("""COMPUTED_VALUE"""),"SQL")</f>
        <v>SQL</v>
      </c>
      <c r="I1688" s="9" t="str">
        <f>IFERROR(__xludf.DUMMYFUNCTION("""COMPUTED_VALUE"""),"HTML/CSS")</f>
        <v>HTML/CSS</v>
      </c>
      <c r="J1688" s="9" t="str">
        <f>IFERROR(__xludf.DUMMYFUNCTION("""COMPUTED_VALUE"""),"HTML/CSS")</f>
        <v>HTML/CSS</v>
      </c>
      <c r="K1688" s="9" t="str">
        <f>IFERROR(__xludf.DUMMYFUNCTION("""COMPUTED_VALUE"""),"C++")</f>
        <v>C++</v>
      </c>
      <c r="L1688" s="9" t="str">
        <f>IFERROR(__xludf.DUMMYFUNCTION("""COMPUTED_VALUE"""),"R")</f>
        <v>R</v>
      </c>
      <c r="M1688" s="9" t="s">
        <v>22</v>
      </c>
    </row>
    <row r="1689" ht="15.75" customHeight="1">
      <c r="A1689" s="7"/>
      <c r="B1689" s="7" t="str">
        <f>IFERROR(__xludf.DUMMYFUNCTION("""COMPUTED_VALUE"""),"Bash/Shell/PowerShell;C++;Java;Python;Scala;SQL")</f>
        <v>Bash/Shell/PowerShell;C++;Java;Python;Scala;SQL</v>
      </c>
      <c r="C1689" s="9" t="str">
        <f>IFERROR(__xludf.DUMMYFUNCTION("""COMPUTED_VALUE"""),"SQL")</f>
        <v>SQL</v>
      </c>
      <c r="D1689" s="9" t="str">
        <f>IFERROR(__xludf.DUMMYFUNCTION("""COMPUTED_VALUE"""),"Java")</f>
        <v>Java</v>
      </c>
      <c r="E1689" s="9" t="str">
        <f>IFERROR(__xludf.DUMMYFUNCTION("""COMPUTED_VALUE"""),"Java")</f>
        <v>Java</v>
      </c>
      <c r="F1689" s="9" t="str">
        <f>IFERROR(__xludf.DUMMYFUNCTION("""COMPUTED_VALUE"""),"C++")</f>
        <v>C++</v>
      </c>
      <c r="G1689" s="9" t="str">
        <f>IFERROR(__xludf.DUMMYFUNCTION("""COMPUTED_VALUE"""),"Java")</f>
        <v>Java</v>
      </c>
      <c r="H1689" s="9" t="str">
        <f>IFERROR(__xludf.DUMMYFUNCTION("""COMPUTED_VALUE"""),"Java")</f>
        <v>Java</v>
      </c>
      <c r="I1689" s="9" t="str">
        <f>IFERROR(__xludf.DUMMYFUNCTION("""COMPUTED_VALUE"""),"Java")</f>
        <v>Java</v>
      </c>
      <c r="J1689" s="9" t="str">
        <f>IFERROR(__xludf.DUMMYFUNCTION("""COMPUTED_VALUE"""),"Java")</f>
        <v>Java</v>
      </c>
      <c r="K1689" s="9" t="str">
        <f>IFERROR(__xludf.DUMMYFUNCTION("""COMPUTED_VALUE"""),"Java")</f>
        <v>Java</v>
      </c>
      <c r="L1689" s="9" t="str">
        <f>IFERROR(__xludf.DUMMYFUNCTION("""COMPUTED_VALUE"""),"Rust")</f>
        <v>Rust</v>
      </c>
      <c r="M1689" s="9" t="s">
        <v>27</v>
      </c>
    </row>
    <row r="1690" ht="15.75" customHeight="1">
      <c r="A1690" s="7"/>
      <c r="B1690" s="7" t="str">
        <f>IFERROR(__xludf.DUMMYFUNCTION("""COMPUTED_VALUE"""),"Bash/Shell/PowerShell;C#;Go")</f>
        <v>Bash/Shell/PowerShell;C#;Go</v>
      </c>
      <c r="C1690" s="9" t="str">
        <f>IFERROR(__xludf.DUMMYFUNCTION("""COMPUTED_VALUE"""),"Bash/Shell/PowerShell")</f>
        <v>Bash/Shell/PowerShell</v>
      </c>
      <c r="D1690" s="9" t="str">
        <f>IFERROR(__xludf.DUMMYFUNCTION("""COMPUTED_VALUE"""),"JavaScript")</f>
        <v>JavaScript</v>
      </c>
      <c r="E1690" s="9" t="str">
        <f>IFERROR(__xludf.DUMMYFUNCTION("""COMPUTED_VALUE"""),"JavaScript")</f>
        <v>JavaScript</v>
      </c>
      <c r="F1690" s="9" t="str">
        <f>IFERROR(__xludf.DUMMYFUNCTION("""COMPUTED_VALUE"""),"HTML/CSS")</f>
        <v>HTML/CSS</v>
      </c>
      <c r="G1690" s="9" t="str">
        <f>IFERROR(__xludf.DUMMYFUNCTION("""COMPUTED_VALUE"""),"JavaScript")</f>
        <v>JavaScript</v>
      </c>
      <c r="H1690" s="9" t="str">
        <f>IFERROR(__xludf.DUMMYFUNCTION("""COMPUTED_VALUE"""),"SQL")</f>
        <v>SQL</v>
      </c>
      <c r="I1690" s="9" t="str">
        <f>IFERROR(__xludf.DUMMYFUNCTION("""COMPUTED_VALUE"""),"JavaScript")</f>
        <v>JavaScript</v>
      </c>
      <c r="J1690" s="9" t="str">
        <f>IFERROR(__xludf.DUMMYFUNCTION("""COMPUTED_VALUE"""),"JavaScript")</f>
        <v>JavaScript</v>
      </c>
      <c r="K1690" s="9" t="str">
        <f>IFERROR(__xludf.DUMMYFUNCTION("""COMPUTED_VALUE"""),"JavaScript")</f>
        <v>JavaScript</v>
      </c>
      <c r="L1690" s="9" t="str">
        <f>IFERROR(__xludf.DUMMYFUNCTION("""COMPUTED_VALUE"""),"SQL")</f>
        <v>SQL</v>
      </c>
      <c r="M1690" s="9" t="s">
        <v>30</v>
      </c>
    </row>
    <row r="1691" ht="15.75" customHeight="1">
      <c r="A1691" s="7"/>
      <c r="B1691" s="7" t="str">
        <f>IFERROR(__xludf.DUMMYFUNCTION("""COMPUTED_VALUE"""),"HTML/CSS;Java;JavaScript")</f>
        <v>HTML/CSS;Java;JavaScript</v>
      </c>
      <c r="C1691" s="9" t="str">
        <f>IFERROR(__xludf.DUMMYFUNCTION("""COMPUTED_VALUE"""),"Dart")</f>
        <v>Dart</v>
      </c>
      <c r="D1691" s="9" t="str">
        <f>IFERROR(__xludf.DUMMYFUNCTION("""COMPUTED_VALUE"""),"SQL")</f>
        <v>SQL</v>
      </c>
      <c r="E1691" s="9" t="str">
        <f>IFERROR(__xludf.DUMMYFUNCTION("""COMPUTED_VALUE"""),"Python")</f>
        <v>Python</v>
      </c>
      <c r="F1691" s="9" t="str">
        <f>IFERROR(__xludf.DUMMYFUNCTION("""COMPUTED_VALUE"""),"JavaScript")</f>
        <v>JavaScript</v>
      </c>
      <c r="G1691" s="9" t="str">
        <f>IFERROR(__xludf.DUMMYFUNCTION("""COMPUTED_VALUE"""),"PHP")</f>
        <v>PHP</v>
      </c>
      <c r="H1691" s="9" t="str">
        <f>IFERROR(__xludf.DUMMYFUNCTION("""COMPUTED_VALUE"""),"Other(s):")</f>
        <v>Other(s):</v>
      </c>
      <c r="I1691" s="9" t="str">
        <f>IFERROR(__xludf.DUMMYFUNCTION("""COMPUTED_VALUE"""),"SQL")</f>
        <v>SQL</v>
      </c>
      <c r="J1691" s="9" t="str">
        <f>IFERROR(__xludf.DUMMYFUNCTION("""COMPUTED_VALUE"""),"Python")</f>
        <v>Python</v>
      </c>
      <c r="K1691" s="9" t="str">
        <f>IFERROR(__xludf.DUMMYFUNCTION("""COMPUTED_VALUE"""),"Bash/Shell/PowerShell")</f>
        <v>Bash/Shell/PowerShell</v>
      </c>
      <c r="L1691" s="9" t="str">
        <f>IFERROR(__xludf.DUMMYFUNCTION("""COMPUTED_VALUE"""),"TypeScript")</f>
        <v>TypeScript</v>
      </c>
      <c r="M1691" s="9" t="s">
        <v>47</v>
      </c>
    </row>
    <row r="1692" ht="15.75" customHeight="1">
      <c r="A1692" s="7"/>
      <c r="B1692" s="7" t="str">
        <f>IFERROR(__xludf.DUMMYFUNCTION("""COMPUTED_VALUE"""),"Go;JavaScript;Python;SQL")</f>
        <v>Go;JavaScript;Python;SQL</v>
      </c>
      <c r="C1692" s="9" t="str">
        <f>IFERROR(__xludf.DUMMYFUNCTION("""COMPUTED_VALUE"""),"Go")</f>
        <v>Go</v>
      </c>
      <c r="D1692" s="9" t="str">
        <f>IFERROR(__xludf.DUMMYFUNCTION("""COMPUTED_VALUE"""),"VBA")</f>
        <v>VBA</v>
      </c>
      <c r="E1692" s="9" t="str">
        <f>IFERROR(__xludf.DUMMYFUNCTION("""COMPUTED_VALUE"""),"Other(s):")</f>
        <v>Other(s):</v>
      </c>
      <c r="F1692" s="9" t="str">
        <f>IFERROR(__xludf.DUMMYFUNCTION("""COMPUTED_VALUE"""),"Python")</f>
        <v>Python</v>
      </c>
      <c r="G1692" s="9" t="str">
        <f>IFERROR(__xludf.DUMMYFUNCTION("""COMPUTED_VALUE"""),"SQL")</f>
        <v>SQL</v>
      </c>
      <c r="H1692" s="9" t="str">
        <f>IFERROR(__xludf.DUMMYFUNCTION("""COMPUTED_VALUE"""),"Objective-C")</f>
        <v>Objective-C</v>
      </c>
      <c r="I1692" s="9" t="str">
        <f>IFERROR(__xludf.DUMMYFUNCTION("""COMPUTED_VALUE"""),"Bash/Shell/PowerShell")</f>
        <v>Bash/Shell/PowerShell</v>
      </c>
      <c r="J1692" s="9" t="str">
        <f>IFERROR(__xludf.DUMMYFUNCTION("""COMPUTED_VALUE"""),"SQL")</f>
        <v>SQL</v>
      </c>
      <c r="K1692" s="9" t="str">
        <f>IFERROR(__xludf.DUMMYFUNCTION("""COMPUTED_VALUE"""),"C#")</f>
        <v>C#</v>
      </c>
      <c r="L1692" s="9" t="str">
        <f>IFERROR(__xludf.DUMMYFUNCTION("""COMPUTED_VALUE"""),"Java")</f>
        <v>Java</v>
      </c>
      <c r="M1692" s="9" t="s">
        <v>36</v>
      </c>
    </row>
    <row r="1693" ht="15.75" customHeight="1">
      <c r="A1693" s="7"/>
      <c r="B1693" s="7" t="str">
        <f>IFERROR(__xludf.DUMMYFUNCTION("""COMPUTED_VALUE"""),"Bash/Shell/PowerShell;C;C++;C#;Clojure;HTML/CSS;Java;JavaScript;Objective-C;Python;Ruby;Other(s):")</f>
        <v>Bash/Shell/PowerShell;C;C++;C#;Clojure;HTML/CSS;Java;JavaScript;Objective-C;Python;Ruby;Other(s):</v>
      </c>
      <c r="C1693" s="9" t="str">
        <f>IFERROR(__xludf.DUMMYFUNCTION("""COMPUTED_VALUE"""),"HTML/CSS")</f>
        <v>HTML/CSS</v>
      </c>
      <c r="D1693" s="9" t="str">
        <f>IFERROR(__xludf.DUMMYFUNCTION("""COMPUTED_VALUE"""),"C++")</f>
        <v>C++</v>
      </c>
      <c r="E1693" s="9" t="str">
        <f>IFERROR(__xludf.DUMMYFUNCTION("""COMPUTED_VALUE"""),"C#")</f>
        <v>C#</v>
      </c>
      <c r="F1693" s="9" t="str">
        <f>IFERROR(__xludf.DUMMYFUNCTION("""COMPUTED_VALUE"""),"R")</f>
        <v>R</v>
      </c>
      <c r="G1693" s="9" t="str">
        <f>IFERROR(__xludf.DUMMYFUNCTION("""COMPUTED_VALUE"""),"TypeScript")</f>
        <v>TypeScript</v>
      </c>
      <c r="H1693" s="9" t="str">
        <f>IFERROR(__xludf.DUMMYFUNCTION("""COMPUTED_VALUE"""),"Python")</f>
        <v>Python</v>
      </c>
      <c r="I1693" s="9" t="str">
        <f>IFERROR(__xludf.DUMMYFUNCTION("""COMPUTED_VALUE"""),"C++")</f>
        <v>C++</v>
      </c>
      <c r="J1693" s="9" t="str">
        <f>IFERROR(__xludf.DUMMYFUNCTION("""COMPUTED_VALUE"""),"TypeScript")</f>
        <v>TypeScript</v>
      </c>
      <c r="K1693" s="9" t="str">
        <f>IFERROR(__xludf.DUMMYFUNCTION("""COMPUTED_VALUE"""),"HTML/CSS")</f>
        <v>HTML/CSS</v>
      </c>
      <c r="L1693" s="9" t="str">
        <f>IFERROR(__xludf.DUMMYFUNCTION("""COMPUTED_VALUE"""),"PHP")</f>
        <v>PHP</v>
      </c>
      <c r="M1693" s="9" t="s">
        <v>24</v>
      </c>
    </row>
    <row r="1694" ht="15.75" customHeight="1">
      <c r="A1694" s="7"/>
      <c r="B1694" s="7" t="str">
        <f>IFERROR(__xludf.DUMMYFUNCTION("""COMPUTED_VALUE"""),"Bash/Shell/PowerShell;C++;HTML/CSS;Java;JavaScript;PHP;Python;R;SQL")</f>
        <v>Bash/Shell/PowerShell;C++;HTML/CSS;Java;JavaScript;PHP;Python;R;SQL</v>
      </c>
      <c r="C1694" s="9" t="str">
        <f>IFERROR(__xludf.DUMMYFUNCTION("""COMPUTED_VALUE"""),"Java")</f>
        <v>Java</v>
      </c>
      <c r="D1694" s="9" t="str">
        <f>IFERROR(__xludf.DUMMYFUNCTION("""COMPUTED_VALUE"""),"Dart")</f>
        <v>Dart</v>
      </c>
      <c r="E1694" s="9" t="str">
        <f>IFERROR(__xludf.DUMMYFUNCTION("""COMPUTED_VALUE"""),"SQL")</f>
        <v>SQL</v>
      </c>
      <c r="F1694" s="9" t="str">
        <f>IFERROR(__xludf.DUMMYFUNCTION("""COMPUTED_VALUE"""),"Ruby")</f>
        <v>Ruby</v>
      </c>
      <c r="G1694" s="9" t="str">
        <f>IFERROR(__xludf.DUMMYFUNCTION("""COMPUTED_VALUE"""),"Java")</f>
        <v>Java</v>
      </c>
      <c r="H1694" s="9" t="str">
        <f>IFERROR(__xludf.DUMMYFUNCTION("""COMPUTED_VALUE"""),"Swift")</f>
        <v>Swift</v>
      </c>
      <c r="I1694" s="9" t="str">
        <f>IFERROR(__xludf.DUMMYFUNCTION("""COMPUTED_VALUE"""),"C#")</f>
        <v>C#</v>
      </c>
      <c r="J1694" s="9" t="str">
        <f>IFERROR(__xludf.DUMMYFUNCTION("""COMPUTED_VALUE"""),"Bash/Shell/PowerShell")</f>
        <v>Bash/Shell/PowerShell</v>
      </c>
      <c r="K1694" s="9" t="str">
        <f>IFERROR(__xludf.DUMMYFUNCTION("""COMPUTED_VALUE"""),"JavaScript")</f>
        <v>JavaScript</v>
      </c>
      <c r="L1694" s="9" t="str">
        <f>IFERROR(__xludf.DUMMYFUNCTION("""COMPUTED_VALUE"""),"Rust")</f>
        <v>Rust</v>
      </c>
      <c r="M1694" s="9" t="s">
        <v>20</v>
      </c>
    </row>
    <row r="1695" ht="15.75" customHeight="1">
      <c r="A1695" s="7"/>
      <c r="B1695" s="7" t="str">
        <f>IFERROR(__xludf.DUMMYFUNCTION("""COMPUTED_VALUE"""),"Bash/Shell/PowerShell;Elixir;HTML/CSS;JavaScript;PHP;SQL")</f>
        <v>Bash/Shell/PowerShell;Elixir;HTML/CSS;JavaScript;PHP;SQL</v>
      </c>
      <c r="C1695" s="9" t="str">
        <f>IFERROR(__xludf.DUMMYFUNCTION("""COMPUTED_VALUE"""),"JavaScript")</f>
        <v>JavaScript</v>
      </c>
      <c r="D1695" s="9" t="str">
        <f>IFERROR(__xludf.DUMMYFUNCTION("""COMPUTED_VALUE"""),"Java")</f>
        <v>Java</v>
      </c>
      <c r="E1695" s="9" t="str">
        <f>IFERROR(__xludf.DUMMYFUNCTION("""COMPUTED_VALUE"""),"C")</f>
        <v>C</v>
      </c>
      <c r="F1695" s="9" t="str">
        <f>IFERROR(__xludf.DUMMYFUNCTION("""COMPUTED_VALUE"""),"SQL")</f>
        <v>SQL</v>
      </c>
      <c r="G1695" s="9" t="str">
        <f>IFERROR(__xludf.DUMMYFUNCTION("""COMPUTED_VALUE"""),"JavaScript")</f>
        <v>JavaScript</v>
      </c>
      <c r="H1695" s="9" t="str">
        <f>IFERROR(__xludf.DUMMYFUNCTION("""COMPUTED_VALUE"""),"Bash/Shell/PowerShell")</f>
        <v>Bash/Shell/PowerShell</v>
      </c>
      <c r="I1695" s="9" t="str">
        <f>IFERROR(__xludf.DUMMYFUNCTION("""COMPUTED_VALUE"""),"HTML/CSS")</f>
        <v>HTML/CSS</v>
      </c>
      <c r="J1695" s="9" t="str">
        <f>IFERROR(__xludf.DUMMYFUNCTION("""COMPUTED_VALUE"""),"HTML/CSS")</f>
        <v>HTML/CSS</v>
      </c>
      <c r="K1695" s="9" t="str">
        <f>IFERROR(__xludf.DUMMYFUNCTION("""COMPUTED_VALUE"""),"Objective-C")</f>
        <v>Objective-C</v>
      </c>
      <c r="L1695" s="9" t="str">
        <f>IFERROR(__xludf.DUMMYFUNCTION("""COMPUTED_VALUE"""),"Bash/Shell/PowerShell")</f>
        <v>Bash/Shell/PowerShell</v>
      </c>
      <c r="M1695" s="9" t="s">
        <v>21</v>
      </c>
    </row>
    <row r="1696" ht="15.75" customHeight="1">
      <c r="A1696" s="7"/>
      <c r="B1696" s="7" t="str">
        <f>IFERROR(__xludf.DUMMYFUNCTION("""COMPUTED_VALUE"""),"Bash/Shell/PowerShell;C;HTML/CSS;Java;JavaScript;PHP;SQL")</f>
        <v>Bash/Shell/PowerShell;C;HTML/CSS;Java;JavaScript;PHP;SQL</v>
      </c>
      <c r="C1696" s="9" t="str">
        <f>IFERROR(__xludf.DUMMYFUNCTION("""COMPUTED_VALUE"""),"Python")</f>
        <v>Python</v>
      </c>
      <c r="D1696" s="9" t="str">
        <f>IFERROR(__xludf.DUMMYFUNCTION("""COMPUTED_VALUE"""),"Kotlin")</f>
        <v>Kotlin</v>
      </c>
      <c r="E1696" s="9" t="str">
        <f>IFERROR(__xludf.DUMMYFUNCTION("""COMPUTED_VALUE"""),"C++")</f>
        <v>C++</v>
      </c>
      <c r="F1696" s="9" t="str">
        <f>IFERROR(__xludf.DUMMYFUNCTION("""COMPUTED_VALUE"""),"Swift")</f>
        <v>Swift</v>
      </c>
      <c r="G1696" s="9" t="str">
        <f>IFERROR(__xludf.DUMMYFUNCTION("""COMPUTED_VALUE"""),"SQL")</f>
        <v>SQL</v>
      </c>
      <c r="H1696" s="9" t="str">
        <f>IFERROR(__xludf.DUMMYFUNCTION("""COMPUTED_VALUE"""),"C#")</f>
        <v>C#</v>
      </c>
      <c r="I1696" s="9" t="str">
        <f>IFERROR(__xludf.DUMMYFUNCTION("""COMPUTED_VALUE"""),"Java")</f>
        <v>Java</v>
      </c>
      <c r="J1696" s="9" t="str">
        <f>IFERROR(__xludf.DUMMYFUNCTION("""COMPUTED_VALUE"""),"Java")</f>
        <v>Java</v>
      </c>
      <c r="K1696" s="9" t="str">
        <f>IFERROR(__xludf.DUMMYFUNCTION("""COMPUTED_VALUE"""),"PHP")</f>
        <v>PHP</v>
      </c>
      <c r="L1696" s="9" t="str">
        <f>IFERROR(__xludf.DUMMYFUNCTION("""COMPUTED_VALUE"""),"Python")</f>
        <v>Python</v>
      </c>
      <c r="M1696" s="9" t="s">
        <v>22</v>
      </c>
    </row>
    <row r="1697" ht="15.75" customHeight="1">
      <c r="A1697" s="7"/>
      <c r="B1697" s="7" t="str">
        <f>IFERROR(__xludf.DUMMYFUNCTION("""COMPUTED_VALUE"""),"Bash/Shell/PowerShell;Java")</f>
        <v>Bash/Shell/PowerShell;Java</v>
      </c>
      <c r="C1697" s="9" t="str">
        <f>IFERROR(__xludf.DUMMYFUNCTION("""COMPUTED_VALUE"""),"Rust")</f>
        <v>Rust</v>
      </c>
      <c r="D1697" s="9" t="str">
        <f>IFERROR(__xludf.DUMMYFUNCTION("""COMPUTED_VALUE"""),"Bash/Shell/PowerShell")</f>
        <v>Bash/Shell/PowerShell</v>
      </c>
      <c r="E1697" s="9" t="str">
        <f>IFERROR(__xludf.DUMMYFUNCTION("""COMPUTED_VALUE"""),"C#")</f>
        <v>C#</v>
      </c>
      <c r="F1697" s="9" t="str">
        <f>IFERROR(__xludf.DUMMYFUNCTION("""COMPUTED_VALUE"""),"Assembly")</f>
        <v>Assembly</v>
      </c>
      <c r="G1697" s="9" t="str">
        <f>IFERROR(__xludf.DUMMYFUNCTION("""COMPUTED_VALUE"""),"Bash/Shell/PowerShell")</f>
        <v>Bash/Shell/PowerShell</v>
      </c>
      <c r="H1697" s="9" t="str">
        <f>IFERROR(__xludf.DUMMYFUNCTION("""COMPUTED_VALUE"""),"HTML/CSS")</f>
        <v>HTML/CSS</v>
      </c>
      <c r="I1697" s="9" t="str">
        <f>IFERROR(__xludf.DUMMYFUNCTION("""COMPUTED_VALUE"""),"JavaScript")</f>
        <v>JavaScript</v>
      </c>
      <c r="J1697" s="9" t="str">
        <f>IFERROR(__xludf.DUMMYFUNCTION("""COMPUTED_VALUE"""),"JavaScript")</f>
        <v>JavaScript</v>
      </c>
      <c r="K1697" s="9" t="str">
        <f>IFERROR(__xludf.DUMMYFUNCTION("""COMPUTED_VALUE"""),"Python")</f>
        <v>Python</v>
      </c>
      <c r="L1697" s="9" t="str">
        <f>IFERROR(__xludf.DUMMYFUNCTION("""COMPUTED_VALUE"""),"Other(s):")</f>
        <v>Other(s):</v>
      </c>
      <c r="M1697" s="9" t="s">
        <v>32</v>
      </c>
    </row>
    <row r="1698" ht="15.75" customHeight="1">
      <c r="A1698" s="7"/>
      <c r="B1698" s="7" t="str">
        <f>IFERROR(__xludf.DUMMYFUNCTION("""COMPUTED_VALUE"""),"Bash/Shell/PowerShell;HTML/CSS;Java;JavaScript;PHP;SQL")</f>
        <v>Bash/Shell/PowerShell;HTML/CSS;Java;JavaScript;PHP;SQL</v>
      </c>
      <c r="C1698" s="9" t="str">
        <f>IFERROR(__xludf.DUMMYFUNCTION("""COMPUTED_VALUE"""),"SQL")</f>
        <v>SQL</v>
      </c>
      <c r="D1698" s="9" t="str">
        <f>IFERROR(__xludf.DUMMYFUNCTION("""COMPUTED_VALUE"""),"HTML/CSS")</f>
        <v>HTML/CSS</v>
      </c>
      <c r="E1698" s="9" t="str">
        <f>IFERROR(__xludf.DUMMYFUNCTION("""COMPUTED_VALUE"""),"Java")</f>
        <v>Java</v>
      </c>
      <c r="F1698" s="9" t="str">
        <f>IFERROR(__xludf.DUMMYFUNCTION("""COMPUTED_VALUE"""),"Bash/Shell/PowerShell")</f>
        <v>Bash/Shell/PowerShell</v>
      </c>
      <c r="G1698" s="9" t="str">
        <f>IFERROR(__xludf.DUMMYFUNCTION("""COMPUTED_VALUE"""),"Go")</f>
        <v>Go</v>
      </c>
      <c r="H1698" s="9" t="str">
        <f>IFERROR(__xludf.DUMMYFUNCTION("""COMPUTED_VALUE"""),"JavaScript")</f>
        <v>JavaScript</v>
      </c>
      <c r="I1698" s="9" t="str">
        <f>IFERROR(__xludf.DUMMYFUNCTION("""COMPUTED_VALUE"""),"SQL")</f>
        <v>SQL</v>
      </c>
      <c r="J1698" s="9" t="str">
        <f>IFERROR(__xludf.DUMMYFUNCTION("""COMPUTED_VALUE"""),"Python")</f>
        <v>Python</v>
      </c>
      <c r="K1698" s="9" t="str">
        <f>IFERROR(__xludf.DUMMYFUNCTION("""COMPUTED_VALUE"""),"Ruby")</f>
        <v>Ruby</v>
      </c>
      <c r="L1698" s="9" t="str">
        <f>IFERROR(__xludf.DUMMYFUNCTION("""COMPUTED_VALUE"""),"Java")</f>
        <v>Java</v>
      </c>
      <c r="M1698" s="9" t="s">
        <v>27</v>
      </c>
    </row>
    <row r="1699" ht="15.75" customHeight="1">
      <c r="A1699" s="7"/>
      <c r="B1699" s="7" t="str">
        <f>IFERROR(__xludf.DUMMYFUNCTION("""COMPUTED_VALUE"""),"C;C++;HTML/CSS;Java;JavaScript;Kotlin;PHP;Python;SQL")</f>
        <v>C;C++;HTML/CSS;Java;JavaScript;Kotlin;PHP;Python;SQL</v>
      </c>
      <c r="C1699" s="9" t="str">
        <f>IFERROR(__xludf.DUMMYFUNCTION("""COMPUTED_VALUE"""),"Swift")</f>
        <v>Swift</v>
      </c>
      <c r="D1699" s="9" t="str">
        <f>IFERROR(__xludf.DUMMYFUNCTION("""COMPUTED_VALUE"""),"JavaScript")</f>
        <v>JavaScript</v>
      </c>
      <c r="E1699" s="9" t="str">
        <f>IFERROR(__xludf.DUMMYFUNCTION("""COMPUTED_VALUE"""),"JavaScript")</f>
        <v>JavaScript</v>
      </c>
      <c r="F1699" s="9" t="str">
        <f>IFERROR(__xludf.DUMMYFUNCTION("""COMPUTED_VALUE"""),"C")</f>
        <v>C</v>
      </c>
      <c r="G1699" s="9" t="str">
        <f>IFERROR(__xludf.DUMMYFUNCTION("""COMPUTED_VALUE"""),"HTML/CSS")</f>
        <v>HTML/CSS</v>
      </c>
      <c r="H1699" s="9" t="str">
        <f>IFERROR(__xludf.DUMMYFUNCTION("""COMPUTED_VALUE"""),"SQL")</f>
        <v>SQL</v>
      </c>
      <c r="I1699" s="9" t="str">
        <f>IFERROR(__xludf.DUMMYFUNCTION("""COMPUTED_VALUE"""),"Other(s):")</f>
        <v>Other(s):</v>
      </c>
      <c r="J1699" s="9" t="str">
        <f>IFERROR(__xludf.DUMMYFUNCTION("""COMPUTED_VALUE"""),"C++")</f>
        <v>C++</v>
      </c>
      <c r="K1699" s="9" t="str">
        <f>IFERROR(__xludf.DUMMYFUNCTION("""COMPUTED_VALUE"""),"SQL")</f>
        <v>SQL</v>
      </c>
      <c r="L1699" s="9" t="str">
        <f>IFERROR(__xludf.DUMMYFUNCTION("""COMPUTED_VALUE"""),"Python")</f>
        <v>Python</v>
      </c>
      <c r="M1699" s="9" t="s">
        <v>40</v>
      </c>
    </row>
    <row r="1700" ht="15.75" customHeight="1">
      <c r="A1700" s="7"/>
      <c r="B1700" s="7" t="str">
        <f>IFERROR(__xludf.DUMMYFUNCTION("""COMPUTED_VALUE"""),"C++;Java;JavaScript;Kotlin;PHP;SQL")</f>
        <v>C++;Java;JavaScript;Kotlin;PHP;SQL</v>
      </c>
      <c r="C1700" s="9" t="str">
        <f>IFERROR(__xludf.DUMMYFUNCTION("""COMPUTED_VALUE"""),"C#")</f>
        <v>C#</v>
      </c>
      <c r="D1700" s="9" t="str">
        <f>IFERROR(__xludf.DUMMYFUNCTION("""COMPUTED_VALUE"""),"Python")</f>
        <v>Python</v>
      </c>
      <c r="E1700" s="9" t="str">
        <f>IFERROR(__xludf.DUMMYFUNCTION("""COMPUTED_VALUE"""),"Python")</f>
        <v>Python</v>
      </c>
      <c r="F1700" s="9" t="str">
        <f>IFERROR(__xludf.DUMMYFUNCTION("""COMPUTED_VALUE"""),"C++")</f>
        <v>C++</v>
      </c>
      <c r="G1700" s="9" t="str">
        <f>IFERROR(__xludf.DUMMYFUNCTION("""COMPUTED_VALUE"""),"Java")</f>
        <v>Java</v>
      </c>
      <c r="H1700" s="9" t="str">
        <f>IFERROR(__xludf.DUMMYFUNCTION("""COMPUTED_VALUE"""),"TypeScript")</f>
        <v>TypeScript</v>
      </c>
      <c r="I1700" s="9" t="str">
        <f>IFERROR(__xludf.DUMMYFUNCTION("""COMPUTED_VALUE"""),"Bash/Shell/PowerShell")</f>
        <v>Bash/Shell/PowerShell</v>
      </c>
      <c r="J1700" s="9" t="str">
        <f>IFERROR(__xludf.DUMMYFUNCTION("""COMPUTED_VALUE"""),"C#")</f>
        <v>C#</v>
      </c>
      <c r="K1700" s="9" t="str">
        <f>IFERROR(__xludf.DUMMYFUNCTION("""COMPUTED_VALUE"""),"Swift")</f>
        <v>Swift</v>
      </c>
      <c r="L1700" s="9" t="str">
        <f>IFERROR(__xludf.DUMMYFUNCTION("""COMPUTED_VALUE"""),"R")</f>
        <v>R</v>
      </c>
      <c r="M1700" s="9" t="s">
        <v>26</v>
      </c>
    </row>
    <row r="1701" ht="15.75" customHeight="1">
      <c r="A1701" s="7"/>
      <c r="B1701" s="7" t="str">
        <f>IFERROR(__xludf.DUMMYFUNCTION("""COMPUTED_VALUE"""),"PHP;Python")</f>
        <v>PHP;Python</v>
      </c>
      <c r="C1701" s="9" t="str">
        <f>IFERROR(__xludf.DUMMYFUNCTION("""COMPUTED_VALUE"""),"HTML/CSS")</f>
        <v>HTML/CSS</v>
      </c>
      <c r="D1701" s="9" t="str">
        <f>IFERROR(__xludf.DUMMYFUNCTION("""COMPUTED_VALUE"""),"Ruby")</f>
        <v>Ruby</v>
      </c>
      <c r="E1701" s="9" t="str">
        <f>IFERROR(__xludf.DUMMYFUNCTION("""COMPUTED_VALUE"""),"Rust")</f>
        <v>Rust</v>
      </c>
      <c r="F1701" s="9" t="str">
        <f>IFERROR(__xludf.DUMMYFUNCTION("""COMPUTED_VALUE"""),"Python")</f>
        <v>Python</v>
      </c>
      <c r="G1701" s="9" t="str">
        <f>IFERROR(__xludf.DUMMYFUNCTION("""COMPUTED_VALUE"""),"JavaScript")</f>
        <v>JavaScript</v>
      </c>
      <c r="H1701" s="9" t="str">
        <f>IFERROR(__xludf.DUMMYFUNCTION("""COMPUTED_VALUE"""),"Bash/Shell/PowerShell")</f>
        <v>Bash/Shell/PowerShell</v>
      </c>
      <c r="I1701" s="9" t="str">
        <f>IFERROR(__xludf.DUMMYFUNCTION("""COMPUTED_VALUE"""),"PHP")</f>
        <v>PHP</v>
      </c>
      <c r="J1701" s="9" t="str">
        <f>IFERROR(__xludf.DUMMYFUNCTION("""COMPUTED_VALUE"""),"HTML/CSS")</f>
        <v>HTML/CSS</v>
      </c>
      <c r="K1701" s="9" t="str">
        <f>IFERROR(__xludf.DUMMYFUNCTION("""COMPUTED_VALUE"""),"TypeScript")</f>
        <v>TypeScript</v>
      </c>
      <c r="L1701" s="9" t="str">
        <f>IFERROR(__xludf.DUMMYFUNCTION("""COMPUTED_VALUE"""),"VBA")</f>
        <v>VBA</v>
      </c>
      <c r="M1701" s="9" t="s">
        <v>24</v>
      </c>
    </row>
    <row r="1702" ht="15.75" customHeight="1">
      <c r="A1702" s="7"/>
      <c r="B1702" s="7" t="str">
        <f>IFERROR(__xludf.DUMMYFUNCTION("""COMPUTED_VALUE"""),"C;C++")</f>
        <v>C;C++</v>
      </c>
      <c r="C1702" s="9" t="str">
        <f>IFERROR(__xludf.DUMMYFUNCTION("""COMPUTED_VALUE"""),"SQL")</f>
        <v>SQL</v>
      </c>
      <c r="D1702" s="9" t="str">
        <f>IFERROR(__xludf.DUMMYFUNCTION("""COMPUTED_VALUE"""),"SQL")</f>
        <v>SQL</v>
      </c>
      <c r="E1702" s="9" t="str">
        <f>IFERROR(__xludf.DUMMYFUNCTION("""COMPUTED_VALUE"""),"SQL")</f>
        <v>SQL</v>
      </c>
      <c r="F1702" s="9" t="str">
        <f>IFERROR(__xludf.DUMMYFUNCTION("""COMPUTED_VALUE"""),"Other(s):")</f>
        <v>Other(s):</v>
      </c>
      <c r="G1702" s="9" t="str">
        <f>IFERROR(__xludf.DUMMYFUNCTION("""COMPUTED_VALUE"""),"Rust")</f>
        <v>Rust</v>
      </c>
      <c r="H1702" s="9" t="str">
        <f>IFERROR(__xludf.DUMMYFUNCTION("""COMPUTED_VALUE"""),"C")</f>
        <v>C</v>
      </c>
      <c r="I1702" s="9" t="str">
        <f>IFERROR(__xludf.DUMMYFUNCTION("""COMPUTED_VALUE"""),"Python")</f>
        <v>Python</v>
      </c>
      <c r="J1702" s="9" t="str">
        <f>IFERROR(__xludf.DUMMYFUNCTION("""COMPUTED_VALUE"""),"Python")</f>
        <v>Python</v>
      </c>
      <c r="K1702" s="9" t="str">
        <f>IFERROR(__xludf.DUMMYFUNCTION("""COMPUTED_VALUE"""),"HTML/CSS")</f>
        <v>HTML/CSS</v>
      </c>
      <c r="L1702" s="9" t="str">
        <f>IFERROR(__xludf.DUMMYFUNCTION("""COMPUTED_VALUE"""),"C++")</f>
        <v>C++</v>
      </c>
      <c r="M1702" s="9" t="s">
        <v>27</v>
      </c>
    </row>
    <row r="1703" ht="15.75" customHeight="1">
      <c r="A1703" s="7"/>
      <c r="B1703" s="7" t="str">
        <f>IFERROR(__xludf.DUMMYFUNCTION("""COMPUTED_VALUE"""),"C;C++;HTML/CSS;Java;JavaScript;PHP;Python;SQL")</f>
        <v>C;C++;HTML/CSS;Java;JavaScript;PHP;Python;SQL</v>
      </c>
      <c r="C1703" s="9" t="str">
        <f>IFERROR(__xludf.DUMMYFUNCTION("""COMPUTED_VALUE"""),"C++")</f>
        <v>C++</v>
      </c>
      <c r="D1703" s="9" t="str">
        <f>IFERROR(__xludf.DUMMYFUNCTION("""COMPUTED_VALUE"""),"Objective-C")</f>
        <v>Objective-C</v>
      </c>
      <c r="E1703" s="9" t="str">
        <f>IFERROR(__xludf.DUMMYFUNCTION("""COMPUTED_VALUE"""),"Bash/Shell/PowerShell")</f>
        <v>Bash/Shell/PowerShell</v>
      </c>
      <c r="F1703" s="9" t="str">
        <f>IFERROR(__xludf.DUMMYFUNCTION("""COMPUTED_VALUE"""),"Java")</f>
        <v>Java</v>
      </c>
      <c r="G1703" s="9" t="str">
        <f>IFERROR(__xludf.DUMMYFUNCTION("""COMPUTED_VALUE"""),"Scala")</f>
        <v>Scala</v>
      </c>
      <c r="H1703" s="9" t="str">
        <f>IFERROR(__xludf.DUMMYFUNCTION("""COMPUTED_VALUE"""),"C++")</f>
        <v>C++</v>
      </c>
      <c r="I1703" s="9" t="str">
        <f>IFERROR(__xludf.DUMMYFUNCTION("""COMPUTED_VALUE"""),"R")</f>
        <v>R</v>
      </c>
      <c r="J1703" s="9" t="str">
        <f>IFERROR(__xludf.DUMMYFUNCTION("""COMPUTED_VALUE"""),"JavaScript")</f>
        <v>JavaScript</v>
      </c>
      <c r="K1703" s="9" t="str">
        <f>IFERROR(__xludf.DUMMYFUNCTION("""COMPUTED_VALUE"""),"Java")</f>
        <v>Java</v>
      </c>
      <c r="L1703" s="9" t="str">
        <f>IFERROR(__xludf.DUMMYFUNCTION("""COMPUTED_VALUE"""),"C#")</f>
        <v>C#</v>
      </c>
      <c r="M1703" s="9" t="s">
        <v>23</v>
      </c>
    </row>
    <row r="1704" ht="15.75" customHeight="1">
      <c r="A1704" s="7"/>
      <c r="B1704" s="7" t="str">
        <f>IFERROR(__xludf.DUMMYFUNCTION("""COMPUTED_VALUE"""),"C++;C#;HTML/CSS;JavaScript;Python;TypeScript")</f>
        <v>C++;C#;HTML/CSS;JavaScript;Python;TypeScript</v>
      </c>
      <c r="C1704" s="9" t="str">
        <f>IFERROR(__xludf.DUMMYFUNCTION("""COMPUTED_VALUE"""),"C#")</f>
        <v>C#</v>
      </c>
      <c r="D1704" s="9" t="str">
        <f>IFERROR(__xludf.DUMMYFUNCTION("""COMPUTED_VALUE"""),"HTML/CSS")</f>
        <v>HTML/CSS</v>
      </c>
      <c r="E1704" s="9" t="str">
        <f>IFERROR(__xludf.DUMMYFUNCTION("""COMPUTED_VALUE"""),"Go")</f>
        <v>Go</v>
      </c>
      <c r="F1704" s="9" t="str">
        <f>IFERROR(__xludf.DUMMYFUNCTION("""COMPUTED_VALUE"""),"JavaScript")</f>
        <v>JavaScript</v>
      </c>
      <c r="G1704" s="9" t="str">
        <f>IFERROR(__xludf.DUMMYFUNCTION("""COMPUTED_VALUE"""),"SQL")</f>
        <v>SQL</v>
      </c>
      <c r="H1704" s="9" t="str">
        <f>IFERROR(__xludf.DUMMYFUNCTION("""COMPUTED_VALUE"""),"Java")</f>
        <v>Java</v>
      </c>
      <c r="I1704" s="9" t="str">
        <f>IFERROR(__xludf.DUMMYFUNCTION("""COMPUTED_VALUE"""),"SQL")</f>
        <v>SQL</v>
      </c>
      <c r="J1704" s="9" t="str">
        <f>IFERROR(__xludf.DUMMYFUNCTION("""COMPUTED_VALUE"""),"TypeScript")</f>
        <v>TypeScript</v>
      </c>
      <c r="K1704" s="9" t="str">
        <f>IFERROR(__xludf.DUMMYFUNCTION("""COMPUTED_VALUE"""),"JavaScript")</f>
        <v>JavaScript</v>
      </c>
      <c r="L1704" s="9" t="str">
        <f>IFERROR(__xludf.DUMMYFUNCTION("""COMPUTED_VALUE"""),"HTML/CSS")</f>
        <v>HTML/CSS</v>
      </c>
      <c r="M1704" s="9" t="s">
        <v>26</v>
      </c>
    </row>
    <row r="1705" ht="15.75" customHeight="1">
      <c r="A1705" s="7"/>
      <c r="B1705" s="7" t="str">
        <f>IFERROR(__xludf.DUMMYFUNCTION("""COMPUTED_VALUE"""),"C;C++;HTML/CSS;Java;JavaScript;PHP;Python;SQL;VBA")</f>
        <v>C;C++;HTML/CSS;Java;JavaScript;PHP;Python;SQL;VBA</v>
      </c>
      <c r="C1705" s="9" t="str">
        <f>IFERROR(__xludf.DUMMYFUNCTION("""COMPUTED_VALUE"""),"SQL")</f>
        <v>SQL</v>
      </c>
      <c r="D1705" s="9" t="str">
        <f>IFERROR(__xludf.DUMMYFUNCTION("""COMPUTED_VALUE"""),"Java")</f>
        <v>Java</v>
      </c>
      <c r="E1705" s="9" t="str">
        <f>IFERROR(__xludf.DUMMYFUNCTION("""COMPUTED_VALUE"""),"Python")</f>
        <v>Python</v>
      </c>
      <c r="F1705" s="9" t="str">
        <f>IFERROR(__xludf.DUMMYFUNCTION("""COMPUTED_VALUE"""),"TypeScript")</f>
        <v>TypeScript</v>
      </c>
      <c r="G1705" s="9" t="str">
        <f>IFERROR(__xludf.DUMMYFUNCTION("""COMPUTED_VALUE"""),"Bash/Shell/PowerShell")</f>
        <v>Bash/Shell/PowerShell</v>
      </c>
      <c r="H1705" s="9" t="str">
        <f>IFERROR(__xludf.DUMMYFUNCTION("""COMPUTED_VALUE"""),"Python")</f>
        <v>Python</v>
      </c>
      <c r="I1705" s="9" t="str">
        <f>IFERROR(__xludf.DUMMYFUNCTION("""COMPUTED_VALUE"""),"Other(s):")</f>
        <v>Other(s):</v>
      </c>
      <c r="J1705" s="9" t="str">
        <f>IFERROR(__xludf.DUMMYFUNCTION("""COMPUTED_VALUE"""),"Bash/Shell/PowerShell")</f>
        <v>Bash/Shell/PowerShell</v>
      </c>
      <c r="K1705" s="9" t="str">
        <f>IFERROR(__xludf.DUMMYFUNCTION("""COMPUTED_VALUE"""),"PHP")</f>
        <v>PHP</v>
      </c>
      <c r="L1705" s="9" t="str">
        <f>IFERROR(__xludf.DUMMYFUNCTION("""COMPUTED_VALUE"""),"Java")</f>
        <v>Java</v>
      </c>
      <c r="M1705" s="9" t="s">
        <v>27</v>
      </c>
    </row>
    <row r="1706" ht="15.75" customHeight="1">
      <c r="A1706" s="7"/>
      <c r="B1706" s="7" t="str">
        <f>IFERROR(__xludf.DUMMYFUNCTION("""COMPUTED_VALUE"""),"HTML/CSS;JavaScript")</f>
        <v>HTML/CSS;JavaScript</v>
      </c>
      <c r="C1706" s="9" t="str">
        <f>IFERROR(__xludf.DUMMYFUNCTION("""COMPUTED_VALUE"""),"HTML/CSS")</f>
        <v>HTML/CSS</v>
      </c>
      <c r="D1706" s="9" t="str">
        <f>IFERROR(__xludf.DUMMYFUNCTION("""COMPUTED_VALUE"""),"JavaScript")</f>
        <v>JavaScript</v>
      </c>
      <c r="E1706" s="9" t="str">
        <f>IFERROR(__xludf.DUMMYFUNCTION("""COMPUTED_VALUE"""),"Swift")</f>
        <v>Swift</v>
      </c>
      <c r="F1706" s="9" t="str">
        <f>IFERROR(__xludf.DUMMYFUNCTION("""COMPUTED_VALUE"""),"Java")</f>
        <v>Java</v>
      </c>
      <c r="G1706" s="9" t="str">
        <f>IFERROR(__xludf.DUMMYFUNCTION("""COMPUTED_VALUE"""),"C++")</f>
        <v>C++</v>
      </c>
      <c r="H1706" s="9" t="str">
        <f>IFERROR(__xludf.DUMMYFUNCTION("""COMPUTED_VALUE"""),"Swift")</f>
        <v>Swift</v>
      </c>
      <c r="I1706" s="9" t="str">
        <f>IFERROR(__xludf.DUMMYFUNCTION("""COMPUTED_VALUE"""),"Bash/Shell/PowerShell")</f>
        <v>Bash/Shell/PowerShell</v>
      </c>
      <c r="J1706" s="9" t="str">
        <f>IFERROR(__xludf.DUMMYFUNCTION("""COMPUTED_VALUE"""),"C")</f>
        <v>C</v>
      </c>
      <c r="K1706" s="9" t="str">
        <f>IFERROR(__xludf.DUMMYFUNCTION("""COMPUTED_VALUE"""),"SQL")</f>
        <v>SQL</v>
      </c>
      <c r="L1706" s="9" t="str">
        <f>IFERROR(__xludf.DUMMYFUNCTION("""COMPUTED_VALUE"""),"JavaScript")</f>
        <v>JavaScript</v>
      </c>
      <c r="M1706" s="9" t="s">
        <v>24</v>
      </c>
    </row>
    <row r="1707" ht="15.75" customHeight="1">
      <c r="A1707" s="7"/>
      <c r="B1707" s="7" t="str">
        <f>IFERROR(__xludf.DUMMYFUNCTION("""COMPUTED_VALUE"""),"HTML/CSS;Java;JavaScript;SQL")</f>
        <v>HTML/CSS;Java;JavaScript;SQL</v>
      </c>
      <c r="C1707" s="9" t="str">
        <f>IFERROR(__xludf.DUMMYFUNCTION("""COMPUTED_VALUE"""),"Java")</f>
        <v>Java</v>
      </c>
      <c r="D1707" s="9" t="str">
        <f>IFERROR(__xludf.DUMMYFUNCTION("""COMPUTED_VALUE"""),"SQL")</f>
        <v>SQL</v>
      </c>
      <c r="E1707" s="9" t="str">
        <f>IFERROR(__xludf.DUMMYFUNCTION("""COMPUTED_VALUE"""),"C#")</f>
        <v>C#</v>
      </c>
      <c r="F1707" s="9" t="str">
        <f>IFERROR(__xludf.DUMMYFUNCTION("""COMPUTED_VALUE"""),"PHP")</f>
        <v>PHP</v>
      </c>
      <c r="G1707" s="9" t="str">
        <f>IFERROR(__xludf.DUMMYFUNCTION("""COMPUTED_VALUE"""),"C#")</f>
        <v>C#</v>
      </c>
      <c r="H1707" s="9" t="str">
        <f>IFERROR(__xludf.DUMMYFUNCTION("""COMPUTED_VALUE"""),"Bash/Shell/PowerShell")</f>
        <v>Bash/Shell/PowerShell</v>
      </c>
      <c r="I1707" s="9" t="str">
        <f>IFERROR(__xludf.DUMMYFUNCTION("""COMPUTED_VALUE"""),"HTML/CSS")</f>
        <v>HTML/CSS</v>
      </c>
      <c r="J1707" s="9" t="str">
        <f>IFERROR(__xludf.DUMMYFUNCTION("""COMPUTED_VALUE"""),"Go")</f>
        <v>Go</v>
      </c>
      <c r="K1707" s="9" t="str">
        <f>IFERROR(__xludf.DUMMYFUNCTION("""COMPUTED_VALUE"""),"TypeScript")</f>
        <v>TypeScript</v>
      </c>
      <c r="L1707" s="9" t="str">
        <f>IFERROR(__xludf.DUMMYFUNCTION("""COMPUTED_VALUE"""),"PHP")</f>
        <v>PHP</v>
      </c>
      <c r="M1707" s="9" t="s">
        <v>20</v>
      </c>
    </row>
    <row r="1708" ht="15.75" customHeight="1">
      <c r="A1708" s="7"/>
      <c r="B1708" s="7" t="str">
        <f>IFERROR(__xludf.DUMMYFUNCTION("""COMPUTED_VALUE"""),"PHP;Python")</f>
        <v>PHP;Python</v>
      </c>
      <c r="C1708" s="9" t="str">
        <f>IFERROR(__xludf.DUMMYFUNCTION("""COMPUTED_VALUE"""),"JavaScript")</f>
        <v>JavaScript</v>
      </c>
      <c r="D1708" s="9" t="str">
        <f>IFERROR(__xludf.DUMMYFUNCTION("""COMPUTED_VALUE"""),"TypeScript")</f>
        <v>TypeScript</v>
      </c>
      <c r="E1708" s="9" t="str">
        <f>IFERROR(__xludf.DUMMYFUNCTION("""COMPUTED_VALUE"""),"PHP")</f>
        <v>PHP</v>
      </c>
      <c r="F1708" s="9" t="str">
        <f>IFERROR(__xludf.DUMMYFUNCTION("""COMPUTED_VALUE"""),"Bash/Shell/PowerShell")</f>
        <v>Bash/Shell/PowerShell</v>
      </c>
      <c r="G1708" s="9" t="str">
        <f>IFERROR(__xludf.DUMMYFUNCTION("""COMPUTED_VALUE"""),"HTML/CSS")</f>
        <v>HTML/CSS</v>
      </c>
      <c r="H1708" s="9" t="str">
        <f>IFERROR(__xludf.DUMMYFUNCTION("""COMPUTED_VALUE"""),"HTML/CSS")</f>
        <v>HTML/CSS</v>
      </c>
      <c r="I1708" s="9" t="str">
        <f>IFERROR(__xludf.DUMMYFUNCTION("""COMPUTED_VALUE"""),"Java")</f>
        <v>Java</v>
      </c>
      <c r="J1708" s="9" t="str">
        <f>IFERROR(__xludf.DUMMYFUNCTION("""COMPUTED_VALUE"""),"HTML/CSS")</f>
        <v>HTML/CSS</v>
      </c>
      <c r="K1708" s="9" t="str">
        <f>IFERROR(__xludf.DUMMYFUNCTION("""COMPUTED_VALUE"""),"Ruby")</f>
        <v>Ruby</v>
      </c>
      <c r="L1708" s="9" t="str">
        <f>IFERROR(__xludf.DUMMYFUNCTION("""COMPUTED_VALUE"""),"Ruby")</f>
        <v>Ruby</v>
      </c>
      <c r="M1708" s="9" t="s">
        <v>21</v>
      </c>
    </row>
    <row r="1709" ht="15.75" customHeight="1">
      <c r="A1709" s="7"/>
      <c r="B1709" s="7" t="str">
        <f>IFERROR(__xludf.DUMMYFUNCTION("""COMPUTED_VALUE"""),"Python;R;SQL")</f>
        <v>Python;R;SQL</v>
      </c>
      <c r="C1709" s="9" t="str">
        <f>IFERROR(__xludf.DUMMYFUNCTION("""COMPUTED_VALUE"""),"Python")</f>
        <v>Python</v>
      </c>
      <c r="D1709" s="9" t="str">
        <f>IFERROR(__xludf.DUMMYFUNCTION("""COMPUTED_VALUE"""),"Bash/Shell/PowerShell")</f>
        <v>Bash/Shell/PowerShell</v>
      </c>
      <c r="E1709" s="9" t="str">
        <f>IFERROR(__xludf.DUMMYFUNCTION("""COMPUTED_VALUE"""),"TypeScript")</f>
        <v>TypeScript</v>
      </c>
      <c r="F1709" s="9" t="str">
        <f>IFERROR(__xludf.DUMMYFUNCTION("""COMPUTED_VALUE"""),"C#")</f>
        <v>C#</v>
      </c>
      <c r="G1709" s="9" t="str">
        <f>IFERROR(__xludf.DUMMYFUNCTION("""COMPUTED_VALUE"""),"JavaScript")</f>
        <v>JavaScript</v>
      </c>
      <c r="H1709" s="9" t="str">
        <f>IFERROR(__xludf.DUMMYFUNCTION("""COMPUTED_VALUE"""),"Java")</f>
        <v>Java</v>
      </c>
      <c r="I1709" s="9" t="str">
        <f>IFERROR(__xludf.DUMMYFUNCTION("""COMPUTED_VALUE"""),"JavaScript")</f>
        <v>JavaScript</v>
      </c>
      <c r="J1709" s="9" t="str">
        <f>IFERROR(__xludf.DUMMYFUNCTION("""COMPUTED_VALUE"""),"JavaScript")</f>
        <v>JavaScript</v>
      </c>
      <c r="K1709" s="9" t="str">
        <f>IFERROR(__xludf.DUMMYFUNCTION("""COMPUTED_VALUE"""),"Bash/Shell/PowerShell")</f>
        <v>Bash/Shell/PowerShell</v>
      </c>
      <c r="L1709" s="9" t="str">
        <f>IFERROR(__xludf.DUMMYFUNCTION("""COMPUTED_VALUE"""),"SQL")</f>
        <v>SQL</v>
      </c>
      <c r="M1709" s="9" t="s">
        <v>22</v>
      </c>
    </row>
    <row r="1710" ht="15.75" customHeight="1">
      <c r="A1710" s="7"/>
      <c r="B1710" s="7" t="str">
        <f>IFERROR(__xludf.DUMMYFUNCTION("""COMPUTED_VALUE"""),"Bash/Shell/PowerShell;C++;JavaScript;PHP;Python;SQL")</f>
        <v>Bash/Shell/PowerShell;C++;JavaScript;PHP;Python;SQL</v>
      </c>
      <c r="C1710" s="9" t="str">
        <f>IFERROR(__xludf.DUMMYFUNCTION("""COMPUTED_VALUE"""),"SQL")</f>
        <v>SQL</v>
      </c>
      <c r="D1710" s="9" t="str">
        <f>IFERROR(__xludf.DUMMYFUNCTION("""COMPUTED_VALUE"""),"C#")</f>
        <v>C#</v>
      </c>
      <c r="E1710" s="9" t="str">
        <f>IFERROR(__xludf.DUMMYFUNCTION("""COMPUTED_VALUE"""),"Bash/Shell/PowerShell")</f>
        <v>Bash/Shell/PowerShell</v>
      </c>
      <c r="F1710" s="9" t="str">
        <f>IFERROR(__xludf.DUMMYFUNCTION("""COMPUTED_VALUE"""),"HTML/CSS")</f>
        <v>HTML/CSS</v>
      </c>
      <c r="G1710" s="9" t="str">
        <f>IFERROR(__xludf.DUMMYFUNCTION("""COMPUTED_VALUE"""),"PHP")</f>
        <v>PHP</v>
      </c>
      <c r="H1710" s="9" t="str">
        <f>IFERROR(__xludf.DUMMYFUNCTION("""COMPUTED_VALUE"""),"JavaScript")</f>
        <v>JavaScript</v>
      </c>
      <c r="I1710" s="9" t="str">
        <f>IFERROR(__xludf.DUMMYFUNCTION("""COMPUTED_VALUE"""),"PHP")</f>
        <v>PHP</v>
      </c>
      <c r="J1710" s="9" t="str">
        <f>IFERROR(__xludf.DUMMYFUNCTION("""COMPUTED_VALUE"""),"Python")</f>
        <v>Python</v>
      </c>
      <c r="K1710" s="9" t="str">
        <f>IFERROR(__xludf.DUMMYFUNCTION("""COMPUTED_VALUE"""),"HTML/CSS")</f>
        <v>HTML/CSS</v>
      </c>
      <c r="L1710" s="9" t="str">
        <f>IFERROR(__xludf.DUMMYFUNCTION("""COMPUTED_VALUE"""),"Assembly")</f>
        <v>Assembly</v>
      </c>
      <c r="M1710" s="9" t="s">
        <v>27</v>
      </c>
    </row>
    <row r="1711" ht="15.75" customHeight="1">
      <c r="A1711" s="7"/>
      <c r="B1711" s="7" t="str">
        <f>IFERROR(__xludf.DUMMYFUNCTION("""COMPUTED_VALUE"""),"Assembly;C;C++;C#;HTML/CSS;Java;JavaScript;PHP;Python;Ruby;SQL")</f>
        <v>Assembly;C;C++;C#;HTML/CSS;Java;JavaScript;PHP;Python;Ruby;SQL</v>
      </c>
      <c r="C1711" s="9" t="str">
        <f>IFERROR(__xludf.DUMMYFUNCTION("""COMPUTED_VALUE"""),"TypeScript")</f>
        <v>TypeScript</v>
      </c>
      <c r="D1711" s="9" t="str">
        <f>IFERROR(__xludf.DUMMYFUNCTION("""COMPUTED_VALUE"""),"HTML/CSS")</f>
        <v>HTML/CSS</v>
      </c>
      <c r="E1711" s="9" t="str">
        <f>IFERROR(__xludf.DUMMYFUNCTION("""COMPUTED_VALUE"""),"HTML/CSS")</f>
        <v>HTML/CSS</v>
      </c>
      <c r="F1711" s="9" t="str">
        <f>IFERROR(__xludf.DUMMYFUNCTION("""COMPUTED_VALUE"""),"JavaScript")</f>
        <v>JavaScript</v>
      </c>
      <c r="G1711" s="9" t="str">
        <f>IFERROR(__xludf.DUMMYFUNCTION("""COMPUTED_VALUE"""),"SQL")</f>
        <v>SQL</v>
      </c>
      <c r="H1711" s="9" t="str">
        <f>IFERROR(__xludf.DUMMYFUNCTION("""COMPUTED_VALUE"""),"Python")</f>
        <v>Python</v>
      </c>
      <c r="I1711" s="9" t="str">
        <f>IFERROR(__xludf.DUMMYFUNCTION("""COMPUTED_VALUE"""),"Bash/Shell/PowerShell")</f>
        <v>Bash/Shell/PowerShell</v>
      </c>
      <c r="J1711" s="9" t="str">
        <f>IFERROR(__xludf.DUMMYFUNCTION("""COMPUTED_VALUE"""),"SQL")</f>
        <v>SQL</v>
      </c>
      <c r="K1711" s="9" t="str">
        <f>IFERROR(__xludf.DUMMYFUNCTION("""COMPUTED_VALUE"""),"Python")</f>
        <v>Python</v>
      </c>
      <c r="L1711" s="9" t="str">
        <f>IFERROR(__xludf.DUMMYFUNCTION("""COMPUTED_VALUE"""),"Bash/Shell/PowerShell")</f>
        <v>Bash/Shell/PowerShell</v>
      </c>
      <c r="M1711" s="9" t="s">
        <v>33</v>
      </c>
    </row>
    <row r="1712" ht="15.75" customHeight="1">
      <c r="A1712" s="7"/>
      <c r="B1712" s="7" t="str">
        <f>IFERROR(__xludf.DUMMYFUNCTION("""COMPUTED_VALUE"""),"Bash/Shell/PowerShell;HTML/CSS;Java;JavaScript;Kotlin;Python;Scala;SQL")</f>
        <v>Bash/Shell/PowerShell;HTML/CSS;Java;JavaScript;Kotlin;Python;Scala;SQL</v>
      </c>
      <c r="C1712" s="9" t="str">
        <f>IFERROR(__xludf.DUMMYFUNCTION("""COMPUTED_VALUE"""),"C++")</f>
        <v>C++</v>
      </c>
      <c r="D1712" s="9" t="str">
        <f>IFERROR(__xludf.DUMMYFUNCTION("""COMPUTED_VALUE"""),"JavaScript")</f>
        <v>JavaScript</v>
      </c>
      <c r="E1712" s="9" t="str">
        <f>IFERROR(__xludf.DUMMYFUNCTION("""COMPUTED_VALUE"""),"JavaScript")</f>
        <v>JavaScript</v>
      </c>
      <c r="F1712" s="9" t="str">
        <f>IFERROR(__xludf.DUMMYFUNCTION("""COMPUTED_VALUE"""),"Python")</f>
        <v>Python</v>
      </c>
      <c r="G1712" s="9" t="str">
        <f>IFERROR(__xludf.DUMMYFUNCTION("""COMPUTED_VALUE"""),"C")</f>
        <v>C</v>
      </c>
      <c r="H1712" s="9" t="str">
        <f>IFERROR(__xludf.DUMMYFUNCTION("""COMPUTED_VALUE"""),"SQL")</f>
        <v>SQL</v>
      </c>
      <c r="I1712" s="9" t="str">
        <f>IFERROR(__xludf.DUMMYFUNCTION("""COMPUTED_VALUE"""),"Java")</f>
        <v>Java</v>
      </c>
      <c r="J1712" s="9" t="str">
        <f>IFERROR(__xludf.DUMMYFUNCTION("""COMPUTED_VALUE"""),"TypeScript")</f>
        <v>TypeScript</v>
      </c>
      <c r="K1712" s="9" t="str">
        <f>IFERROR(__xludf.DUMMYFUNCTION("""COMPUTED_VALUE"""),"Ruby")</f>
        <v>Ruby</v>
      </c>
      <c r="L1712" s="9" t="str">
        <f>IFERROR(__xludf.DUMMYFUNCTION("""COMPUTED_VALUE"""),"C")</f>
        <v>C</v>
      </c>
      <c r="M1712" s="9" t="s">
        <v>23</v>
      </c>
    </row>
    <row r="1713" ht="15.75" customHeight="1">
      <c r="A1713" s="7"/>
      <c r="B1713" s="7" t="str">
        <f>IFERROR(__xludf.DUMMYFUNCTION("""COMPUTED_VALUE"""),"Bash/Shell/PowerShell;C#;Dart;Elixir;Go;HTML/CSS;Java;JavaScript;Kotlin;Python;Ruby;Swift;TypeScript")</f>
        <v>Bash/Shell/PowerShell;C#;Dart;Elixir;Go;HTML/CSS;Java;JavaScript;Kotlin;Python;Ruby;Swift;TypeScript</v>
      </c>
      <c r="C1713" s="9" t="str">
        <f>IFERROR(__xludf.DUMMYFUNCTION("""COMPUTED_VALUE"""),"Assembly")</f>
        <v>Assembly</v>
      </c>
      <c r="D1713" s="9" t="str">
        <f>IFERROR(__xludf.DUMMYFUNCTION("""COMPUTED_VALUE"""),"Objective-C")</f>
        <v>Objective-C</v>
      </c>
      <c r="E1713" s="9" t="str">
        <f>IFERROR(__xludf.DUMMYFUNCTION("""COMPUTED_VALUE"""),"Assembly")</f>
        <v>Assembly</v>
      </c>
      <c r="F1713" s="9" t="str">
        <f>IFERROR(__xludf.DUMMYFUNCTION("""COMPUTED_VALUE"""),"R")</f>
        <v>R</v>
      </c>
      <c r="G1713" s="9" t="str">
        <f>IFERROR(__xludf.DUMMYFUNCTION("""COMPUTED_VALUE"""),"C++")</f>
        <v>C++</v>
      </c>
      <c r="H1713" s="9" t="str">
        <f>IFERROR(__xludf.DUMMYFUNCTION("""COMPUTED_VALUE"""),"Java")</f>
        <v>Java</v>
      </c>
      <c r="I1713" s="9" t="str">
        <f>IFERROR(__xludf.DUMMYFUNCTION("""COMPUTED_VALUE"""),"JavaScript")</f>
        <v>JavaScript</v>
      </c>
      <c r="J1713" s="9" t="str">
        <f>IFERROR(__xludf.DUMMYFUNCTION("""COMPUTED_VALUE"""),"Other(s):")</f>
        <v>Other(s):</v>
      </c>
      <c r="K1713" s="9" t="str">
        <f>IFERROR(__xludf.DUMMYFUNCTION("""COMPUTED_VALUE"""),"Other(s):")</f>
        <v>Other(s):</v>
      </c>
      <c r="L1713" s="9" t="str">
        <f>IFERROR(__xludf.DUMMYFUNCTION("""COMPUTED_VALUE"""),"C++")</f>
        <v>C++</v>
      </c>
      <c r="M1713" s="9" t="s">
        <v>38</v>
      </c>
    </row>
    <row r="1714" ht="15.75" customHeight="1">
      <c r="A1714" s="7"/>
      <c r="B1714" s="7" t="str">
        <f>IFERROR(__xludf.DUMMYFUNCTION("""COMPUTED_VALUE"""),"HTML/CSS;JavaScript;TypeScript")</f>
        <v>HTML/CSS;JavaScript;TypeScript</v>
      </c>
      <c r="C1714" s="9" t="str">
        <f>IFERROR(__xludf.DUMMYFUNCTION("""COMPUTED_VALUE"""),"C#")</f>
        <v>C#</v>
      </c>
      <c r="D1714" s="9" t="str">
        <f>IFERROR(__xludf.DUMMYFUNCTION("""COMPUTED_VALUE"""),"PHP")</f>
        <v>PHP</v>
      </c>
      <c r="E1714" s="9" t="str">
        <f>IFERROR(__xludf.DUMMYFUNCTION("""COMPUTED_VALUE"""),"C")</f>
        <v>C</v>
      </c>
      <c r="F1714" s="9" t="str">
        <f>IFERROR(__xludf.DUMMYFUNCTION("""COMPUTED_VALUE"""),"SQL")</f>
        <v>SQL</v>
      </c>
      <c r="G1714" s="9" t="str">
        <f>IFERROR(__xludf.DUMMYFUNCTION("""COMPUTED_VALUE"""),"C#")</f>
        <v>C#</v>
      </c>
      <c r="H1714" s="9" t="str">
        <f>IFERROR(__xludf.DUMMYFUNCTION("""COMPUTED_VALUE"""),"Kotlin")</f>
        <v>Kotlin</v>
      </c>
      <c r="I1714" s="9" t="str">
        <f>IFERROR(__xludf.DUMMYFUNCTION("""COMPUTED_VALUE"""),"Kotlin")</f>
        <v>Kotlin</v>
      </c>
      <c r="J1714" s="9" t="str">
        <f>IFERROR(__xludf.DUMMYFUNCTION("""COMPUTED_VALUE"""),"C#")</f>
        <v>C#</v>
      </c>
      <c r="K1714" s="9" t="str">
        <f>IFERROR(__xludf.DUMMYFUNCTION("""COMPUTED_VALUE"""),"Bash/Shell/PowerShell")</f>
        <v>Bash/Shell/PowerShell</v>
      </c>
      <c r="L1714" s="9" t="str">
        <f>IFERROR(__xludf.DUMMYFUNCTION("""COMPUTED_VALUE"""),"Java")</f>
        <v>Java</v>
      </c>
      <c r="M1714" s="9" t="s">
        <v>26</v>
      </c>
    </row>
    <row r="1715" ht="15.75" customHeight="1">
      <c r="A1715" s="7"/>
      <c r="B1715" s="7" t="str">
        <f>IFERROR(__xludf.DUMMYFUNCTION("""COMPUTED_VALUE"""),"Assembly;Bash/Shell/PowerShell;HTML/CSS;Java;JavaScript;Scala")</f>
        <v>Assembly;Bash/Shell/PowerShell;HTML/CSS;Java;JavaScript;Scala</v>
      </c>
      <c r="C1715" s="9" t="str">
        <f>IFERROR(__xludf.DUMMYFUNCTION("""COMPUTED_VALUE"""),"HTML/CSS")</f>
        <v>HTML/CSS</v>
      </c>
      <c r="D1715" s="9" t="str">
        <f>IFERROR(__xludf.DUMMYFUNCTION("""COMPUTED_VALUE"""),"SQL")</f>
        <v>SQL</v>
      </c>
      <c r="E1715" s="9" t="str">
        <f>IFERROR(__xludf.DUMMYFUNCTION("""COMPUTED_VALUE"""),"C++")</f>
        <v>C++</v>
      </c>
      <c r="F1715" s="9" t="str">
        <f>IFERROR(__xludf.DUMMYFUNCTION("""COMPUTED_VALUE"""),"C")</f>
        <v>C</v>
      </c>
      <c r="G1715" s="9" t="str">
        <f>IFERROR(__xludf.DUMMYFUNCTION("""COMPUTED_VALUE"""),"HTML/CSS")</f>
        <v>HTML/CSS</v>
      </c>
      <c r="H1715" s="9" t="str">
        <f>IFERROR(__xludf.DUMMYFUNCTION("""COMPUTED_VALUE"""),"C")</f>
        <v>C</v>
      </c>
      <c r="I1715" s="9" t="str">
        <f>IFERROR(__xludf.DUMMYFUNCTION("""COMPUTED_VALUE"""),"Other(s):")</f>
        <v>Other(s):</v>
      </c>
      <c r="J1715" s="9" t="str">
        <f>IFERROR(__xludf.DUMMYFUNCTION("""COMPUTED_VALUE"""),"HTML/CSS")</f>
        <v>HTML/CSS</v>
      </c>
      <c r="K1715" s="9" t="str">
        <f>IFERROR(__xludf.DUMMYFUNCTION("""COMPUTED_VALUE"""),"C#")</f>
        <v>C#</v>
      </c>
      <c r="L1715" s="9" t="str">
        <f>IFERROR(__xludf.DUMMYFUNCTION("""COMPUTED_VALUE"""),"JavaScript")</f>
        <v>JavaScript</v>
      </c>
      <c r="M1715" s="9" t="s">
        <v>24</v>
      </c>
    </row>
    <row r="1716" ht="15.75" customHeight="1">
      <c r="A1716" s="7"/>
      <c r="B1716" s="7" t="str">
        <f>IFERROR(__xludf.DUMMYFUNCTION("""COMPUTED_VALUE"""),"HTML/CSS;Java;Other(s):")</f>
        <v>HTML/CSS;Java;Other(s):</v>
      </c>
      <c r="C1716" s="9" t="str">
        <f>IFERROR(__xludf.DUMMYFUNCTION("""COMPUTED_VALUE"""),"JavaScript")</f>
        <v>JavaScript</v>
      </c>
      <c r="D1716" s="9" t="str">
        <f>IFERROR(__xludf.DUMMYFUNCTION("""COMPUTED_VALUE"""),"Swift")</f>
        <v>Swift</v>
      </c>
      <c r="E1716" s="9" t="str">
        <f>IFERROR(__xludf.DUMMYFUNCTION("""COMPUTED_VALUE"""),"Python")</f>
        <v>Python</v>
      </c>
      <c r="F1716" s="9" t="str">
        <f>IFERROR(__xludf.DUMMYFUNCTION("""COMPUTED_VALUE"""),"Go")</f>
        <v>Go</v>
      </c>
      <c r="G1716" s="9" t="str">
        <f>IFERROR(__xludf.DUMMYFUNCTION("""COMPUTED_VALUE"""),"Java")</f>
        <v>Java</v>
      </c>
      <c r="H1716" s="9" t="str">
        <f>IFERROR(__xludf.DUMMYFUNCTION("""COMPUTED_VALUE"""),"C++")</f>
        <v>C++</v>
      </c>
      <c r="I1716" s="9" t="str">
        <f>IFERROR(__xludf.DUMMYFUNCTION("""COMPUTED_VALUE"""),"HTML/CSS")</f>
        <v>HTML/CSS</v>
      </c>
      <c r="J1716" s="9" t="str">
        <f>IFERROR(__xludf.DUMMYFUNCTION("""COMPUTED_VALUE"""),"JavaScript")</f>
        <v>JavaScript</v>
      </c>
      <c r="K1716" s="9" t="str">
        <f>IFERROR(__xludf.DUMMYFUNCTION("""COMPUTED_VALUE"""),"HTML/CSS")</f>
        <v>HTML/CSS</v>
      </c>
      <c r="L1716" s="9" t="str">
        <f>IFERROR(__xludf.DUMMYFUNCTION("""COMPUTED_VALUE"""),"Python")</f>
        <v>Python</v>
      </c>
      <c r="M1716" s="9" t="s">
        <v>21</v>
      </c>
    </row>
    <row r="1717" ht="15.75" customHeight="1">
      <c r="A1717" s="7"/>
      <c r="B1717" s="7" t="str">
        <f>IFERROR(__xludf.DUMMYFUNCTION("""COMPUTED_VALUE"""),"Java;Other(s):")</f>
        <v>Java;Other(s):</v>
      </c>
      <c r="C1717" s="9" t="str">
        <f>IFERROR(__xludf.DUMMYFUNCTION("""COMPUTED_VALUE"""),"SQL")</f>
        <v>SQL</v>
      </c>
      <c r="D1717" s="9" t="str">
        <f>IFERROR(__xludf.DUMMYFUNCTION("""COMPUTED_VALUE"""),"TypeScript")</f>
        <v>TypeScript</v>
      </c>
      <c r="E1717" s="9" t="str">
        <f>IFERROR(__xludf.DUMMYFUNCTION("""COMPUTED_VALUE"""),"Java")</f>
        <v>Java</v>
      </c>
      <c r="F1717" s="9" t="str">
        <f>IFERROR(__xludf.DUMMYFUNCTION("""COMPUTED_VALUE"""),"Python")</f>
        <v>Python</v>
      </c>
      <c r="G1717" s="9" t="str">
        <f>IFERROR(__xludf.DUMMYFUNCTION("""COMPUTED_VALUE"""),"JavaScript")</f>
        <v>JavaScript</v>
      </c>
      <c r="H1717" s="9" t="str">
        <f>IFERROR(__xludf.DUMMYFUNCTION("""COMPUTED_VALUE"""),"Python")</f>
        <v>Python</v>
      </c>
      <c r="I1717" s="9" t="str">
        <f>IFERROR(__xludf.DUMMYFUNCTION("""COMPUTED_VALUE"""),"JavaScript")</f>
        <v>JavaScript</v>
      </c>
      <c r="J1717" s="9" t="str">
        <f>IFERROR(__xludf.DUMMYFUNCTION("""COMPUTED_VALUE"""),"SQL")</f>
        <v>SQL</v>
      </c>
      <c r="K1717" s="9" t="str">
        <f>IFERROR(__xludf.DUMMYFUNCTION("""COMPUTED_VALUE"""),"Java")</f>
        <v>Java</v>
      </c>
      <c r="L1717" s="9" t="str">
        <f>IFERROR(__xludf.DUMMYFUNCTION("""COMPUTED_VALUE"""),"SQL")</f>
        <v>SQL</v>
      </c>
      <c r="M1717" s="9" t="s">
        <v>27</v>
      </c>
    </row>
    <row r="1718" ht="15.75" customHeight="1">
      <c r="A1718" s="7"/>
      <c r="B1718" s="7" t="str">
        <f>IFERROR(__xludf.DUMMYFUNCTION("""COMPUTED_VALUE"""),"HTML/CSS;Java;JavaScript;PHP;TypeScript")</f>
        <v>HTML/CSS;Java;JavaScript;PHP;TypeScript</v>
      </c>
      <c r="C1718" s="9" t="str">
        <f>IFERROR(__xludf.DUMMYFUNCTION("""COMPUTED_VALUE"""),"Java")</f>
        <v>Java</v>
      </c>
      <c r="D1718" s="9" t="str">
        <f>IFERROR(__xludf.DUMMYFUNCTION("""COMPUTED_VALUE"""),"HTML/CSS")</f>
        <v>HTML/CSS</v>
      </c>
      <c r="E1718" s="9" t="str">
        <f>IFERROR(__xludf.DUMMYFUNCTION("""COMPUTED_VALUE"""),"PHP")</f>
        <v>PHP</v>
      </c>
      <c r="F1718" s="9" t="str">
        <f>IFERROR(__xludf.DUMMYFUNCTION("""COMPUTED_VALUE"""),"SQL")</f>
        <v>SQL</v>
      </c>
      <c r="G1718" s="9" t="str">
        <f>IFERROR(__xludf.DUMMYFUNCTION("""COMPUTED_VALUE"""),"Objective-C")</f>
        <v>Objective-C</v>
      </c>
      <c r="H1718" s="9" t="str">
        <f>IFERROR(__xludf.DUMMYFUNCTION("""COMPUTED_VALUE"""),"C")</f>
        <v>C</v>
      </c>
      <c r="I1718" s="9" t="str">
        <f>IFERROR(__xludf.DUMMYFUNCTION("""COMPUTED_VALUE"""),"Python")</f>
        <v>Python</v>
      </c>
      <c r="J1718" s="9" t="str">
        <f>IFERROR(__xludf.DUMMYFUNCTION("""COMPUTED_VALUE"""),"TypeScript")</f>
        <v>TypeScript</v>
      </c>
      <c r="K1718" s="9" t="str">
        <f>IFERROR(__xludf.DUMMYFUNCTION("""COMPUTED_VALUE"""),"JavaScript")</f>
        <v>JavaScript</v>
      </c>
      <c r="L1718" s="9" t="str">
        <f>IFERROR(__xludf.DUMMYFUNCTION("""COMPUTED_VALUE"""),"Other(s):")</f>
        <v>Other(s):</v>
      </c>
      <c r="M1718" s="9" t="s">
        <v>20</v>
      </c>
    </row>
    <row r="1719" ht="15.75" customHeight="1">
      <c r="A1719" s="7"/>
      <c r="B1719" s="7" t="str">
        <f>IFERROR(__xludf.DUMMYFUNCTION("""COMPUTED_VALUE"""),"HTML/CSS;Java;JavaScript;SQL;TypeScript")</f>
        <v>HTML/CSS;Java;JavaScript;SQL;TypeScript</v>
      </c>
      <c r="C1719" s="9" t="str">
        <f>IFERROR(__xludf.DUMMYFUNCTION("""COMPUTED_VALUE"""),"JavaScript")</f>
        <v>JavaScript</v>
      </c>
      <c r="D1719" s="9" t="str">
        <f>IFERROR(__xludf.DUMMYFUNCTION("""COMPUTED_VALUE"""),"JavaScript")</f>
        <v>JavaScript</v>
      </c>
      <c r="E1719" s="9" t="str">
        <f>IFERROR(__xludf.DUMMYFUNCTION("""COMPUTED_VALUE"""),"Python")</f>
        <v>Python</v>
      </c>
      <c r="F1719" s="9" t="str">
        <f>IFERROR(__xludf.DUMMYFUNCTION("""COMPUTED_VALUE"""),"Assembly")</f>
        <v>Assembly</v>
      </c>
      <c r="G1719" s="9" t="str">
        <f>IFERROR(__xludf.DUMMYFUNCTION("""COMPUTED_VALUE"""),"PHP")</f>
        <v>PHP</v>
      </c>
      <c r="H1719" s="9" t="str">
        <f>IFERROR(__xludf.DUMMYFUNCTION("""COMPUTED_VALUE"""),"C#")</f>
        <v>C#</v>
      </c>
      <c r="I1719" s="9" t="str">
        <f>IFERROR(__xludf.DUMMYFUNCTION("""COMPUTED_VALUE"""),"Ruby")</f>
        <v>Ruby</v>
      </c>
      <c r="J1719" s="9" t="str">
        <f>IFERROR(__xludf.DUMMYFUNCTION("""COMPUTED_VALUE"""),"JavaScript")</f>
        <v>JavaScript</v>
      </c>
      <c r="K1719" s="9" t="str">
        <f>IFERROR(__xludf.DUMMYFUNCTION("""COMPUTED_VALUE"""),"Kotlin")</f>
        <v>Kotlin</v>
      </c>
      <c r="L1719" s="9" t="str">
        <f>IFERROR(__xludf.DUMMYFUNCTION("""COMPUTED_VALUE"""),"C#")</f>
        <v>C#</v>
      </c>
      <c r="M1719" s="9" t="s">
        <v>21</v>
      </c>
    </row>
    <row r="1720" ht="15.75" customHeight="1">
      <c r="A1720" s="7"/>
      <c r="B1720" s="7" t="str">
        <f>IFERROR(__xludf.DUMMYFUNCTION("""COMPUTED_VALUE"""),"C;C++;Java;Python")</f>
        <v>C;C++;Java;Python</v>
      </c>
      <c r="C1720" s="9" t="str">
        <f>IFERROR(__xludf.DUMMYFUNCTION("""COMPUTED_VALUE"""),"Java")</f>
        <v>Java</v>
      </c>
      <c r="D1720" s="9" t="str">
        <f>IFERROR(__xludf.DUMMYFUNCTION("""COMPUTED_VALUE"""),"PHP")</f>
        <v>PHP</v>
      </c>
      <c r="E1720" s="9" t="str">
        <f>IFERROR(__xludf.DUMMYFUNCTION("""COMPUTED_VALUE"""),"SQL")</f>
        <v>SQL</v>
      </c>
      <c r="F1720" s="9" t="str">
        <f>IFERROR(__xludf.DUMMYFUNCTION("""COMPUTED_VALUE"""),"HTML/CSS")</f>
        <v>HTML/CSS</v>
      </c>
      <c r="G1720" s="9" t="str">
        <f>IFERROR(__xludf.DUMMYFUNCTION("""COMPUTED_VALUE"""),"Python")</f>
        <v>Python</v>
      </c>
      <c r="H1720" s="9" t="str">
        <f>IFERROR(__xludf.DUMMYFUNCTION("""COMPUTED_VALUE"""),"Assembly")</f>
        <v>Assembly</v>
      </c>
      <c r="I1720" s="9" t="str">
        <f>IFERROR(__xludf.DUMMYFUNCTION("""COMPUTED_VALUE"""),"SQL")</f>
        <v>SQL</v>
      </c>
      <c r="J1720" s="9" t="str">
        <f>IFERROR(__xludf.DUMMYFUNCTION("""COMPUTED_VALUE"""),"PHP")</f>
        <v>PHP</v>
      </c>
      <c r="K1720" s="9" t="str">
        <f>IFERROR(__xludf.DUMMYFUNCTION("""COMPUTED_VALUE"""),"PHP")</f>
        <v>PHP</v>
      </c>
      <c r="L1720" s="9" t="str">
        <f>IFERROR(__xludf.DUMMYFUNCTION("""COMPUTED_VALUE"""),"HTML/CSS")</f>
        <v>HTML/CSS</v>
      </c>
      <c r="M1720" s="9" t="s">
        <v>20</v>
      </c>
    </row>
    <row r="1721" ht="15.75" customHeight="1">
      <c r="A1721" s="7"/>
      <c r="B1721" s="7" t="str">
        <f>IFERROR(__xludf.DUMMYFUNCTION("""COMPUTED_VALUE"""),"HTML/CSS;JavaScript;TypeScript")</f>
        <v>HTML/CSS;JavaScript;TypeScript</v>
      </c>
      <c r="C1721" s="9" t="str">
        <f>IFERROR(__xludf.DUMMYFUNCTION("""COMPUTED_VALUE"""),"Java")</f>
        <v>Java</v>
      </c>
      <c r="D1721" s="9" t="str">
        <f>IFERROR(__xludf.DUMMYFUNCTION("""COMPUTED_VALUE"""),"C#")</f>
        <v>C#</v>
      </c>
      <c r="E1721" s="9" t="str">
        <f>IFERROR(__xludf.DUMMYFUNCTION("""COMPUTED_VALUE"""),"SQL")</f>
        <v>SQL</v>
      </c>
      <c r="F1721" s="9" t="str">
        <f>IFERROR(__xludf.DUMMYFUNCTION("""COMPUTED_VALUE"""),"JavaScript")</f>
        <v>JavaScript</v>
      </c>
      <c r="G1721" s="9" t="str">
        <f>IFERROR(__xludf.DUMMYFUNCTION("""COMPUTED_VALUE"""),"R")</f>
        <v>R</v>
      </c>
      <c r="H1721" s="9" t="str">
        <f>IFERROR(__xludf.DUMMYFUNCTION("""COMPUTED_VALUE"""),"Bash/Shell/PowerShell")</f>
        <v>Bash/Shell/PowerShell</v>
      </c>
      <c r="I1721" s="9" t="str">
        <f>IFERROR(__xludf.DUMMYFUNCTION("""COMPUTED_VALUE"""),"C")</f>
        <v>C</v>
      </c>
      <c r="J1721" s="9" t="str">
        <f>IFERROR(__xludf.DUMMYFUNCTION("""COMPUTED_VALUE"""),"Python")</f>
        <v>Python</v>
      </c>
      <c r="K1721" s="9" t="str">
        <f>IFERROR(__xludf.DUMMYFUNCTION("""COMPUTED_VALUE"""),"SQL")</f>
        <v>SQL</v>
      </c>
      <c r="L1721" s="9" t="str">
        <f>IFERROR(__xludf.DUMMYFUNCTION("""COMPUTED_VALUE"""),"JavaScript")</f>
        <v>JavaScript</v>
      </c>
      <c r="M1721" s="9" t="s">
        <v>20</v>
      </c>
    </row>
    <row r="1722" ht="15.75" customHeight="1">
      <c r="A1722" s="7"/>
      <c r="B1722" s="7" t="str">
        <f>IFERROR(__xludf.DUMMYFUNCTION("""COMPUTED_VALUE"""),"Java;Scala;SQL")</f>
        <v>Java;Scala;SQL</v>
      </c>
      <c r="C1722" s="9" t="str">
        <f>IFERROR(__xludf.DUMMYFUNCTION("""COMPUTED_VALUE"""),"HTML/CSS")</f>
        <v>HTML/CSS</v>
      </c>
      <c r="D1722" s="9" t="str">
        <f>IFERROR(__xludf.DUMMYFUNCTION("""COMPUTED_VALUE"""),"HTML/CSS")</f>
        <v>HTML/CSS</v>
      </c>
      <c r="E1722" s="9" t="str">
        <f>IFERROR(__xludf.DUMMYFUNCTION("""COMPUTED_VALUE"""),"Other(s):")</f>
        <v>Other(s):</v>
      </c>
      <c r="F1722" s="9" t="str">
        <f>IFERROR(__xludf.DUMMYFUNCTION("""COMPUTED_VALUE"""),"PHP")</f>
        <v>PHP</v>
      </c>
      <c r="G1722" s="9" t="str">
        <f>IFERROR(__xludf.DUMMYFUNCTION("""COMPUTED_VALUE"""),"Ruby")</f>
        <v>Ruby</v>
      </c>
      <c r="H1722" s="9" t="str">
        <f>IFERROR(__xludf.DUMMYFUNCTION("""COMPUTED_VALUE"""),"C#")</f>
        <v>C#</v>
      </c>
      <c r="I1722" s="9" t="str">
        <f>IFERROR(__xludf.DUMMYFUNCTION("""COMPUTED_VALUE"""),"HTML/CSS")</f>
        <v>HTML/CSS</v>
      </c>
      <c r="J1722" s="9" t="str">
        <f>IFERROR(__xludf.DUMMYFUNCTION("""COMPUTED_VALUE"""),"HTML/CSS")</f>
        <v>HTML/CSS</v>
      </c>
      <c r="K1722" s="9" t="str">
        <f>IFERROR(__xludf.DUMMYFUNCTION("""COMPUTED_VALUE"""),"TypeScript")</f>
        <v>TypeScript</v>
      </c>
      <c r="L1722" s="9" t="str">
        <f>IFERROR(__xludf.DUMMYFUNCTION("""COMPUTED_VALUE"""),"SQL")</f>
        <v>SQL</v>
      </c>
      <c r="M1722" s="9" t="s">
        <v>24</v>
      </c>
    </row>
    <row r="1723" ht="15.75" customHeight="1">
      <c r="A1723" s="7"/>
      <c r="B1723" s="7" t="str">
        <f>IFERROR(__xludf.DUMMYFUNCTION("""COMPUTED_VALUE"""),"Bash/Shell/PowerShell;Go;Java;Kotlin;Python")</f>
        <v>Bash/Shell/PowerShell;Go;Java;Kotlin;Python</v>
      </c>
      <c r="C1723" s="9" t="str">
        <f>IFERROR(__xludf.DUMMYFUNCTION("""COMPUTED_VALUE"""),"PHP")</f>
        <v>PHP</v>
      </c>
      <c r="D1723" s="9" t="str">
        <f>IFERROR(__xludf.DUMMYFUNCTION("""COMPUTED_VALUE"""),"JavaScript")</f>
        <v>JavaScript</v>
      </c>
      <c r="E1723" s="9" t="str">
        <f>IFERROR(__xludf.DUMMYFUNCTION("""COMPUTED_VALUE"""),"Bash/Shell/PowerShell")</f>
        <v>Bash/Shell/PowerShell</v>
      </c>
      <c r="F1723" s="9" t="str">
        <f>IFERROR(__xludf.DUMMYFUNCTION("""COMPUTED_VALUE"""),"SQL")</f>
        <v>SQL</v>
      </c>
      <c r="G1723" s="9" t="str">
        <f>IFERROR(__xludf.DUMMYFUNCTION("""COMPUTED_VALUE"""),"SQL")</f>
        <v>SQL</v>
      </c>
      <c r="H1723" s="9" t="str">
        <f>IFERROR(__xludf.DUMMYFUNCTION("""COMPUTED_VALUE"""),"HTML/CSS")</f>
        <v>HTML/CSS</v>
      </c>
      <c r="I1723" s="9" t="str">
        <f>IFERROR(__xludf.DUMMYFUNCTION("""COMPUTED_VALUE"""),"Java")</f>
        <v>Java</v>
      </c>
      <c r="J1723" s="9" t="str">
        <f>IFERROR(__xludf.DUMMYFUNCTION("""COMPUTED_VALUE"""),"JavaScript")</f>
        <v>JavaScript</v>
      </c>
      <c r="K1723" s="9" t="str">
        <f>IFERROR(__xludf.DUMMYFUNCTION("""COMPUTED_VALUE"""),"JavaScript")</f>
        <v>JavaScript</v>
      </c>
      <c r="L1723" s="9" t="str">
        <f>IFERROR(__xludf.DUMMYFUNCTION("""COMPUTED_VALUE"""),"HTML/CSS")</f>
        <v>HTML/CSS</v>
      </c>
      <c r="M1723" s="9" t="s">
        <v>37</v>
      </c>
    </row>
    <row r="1724" ht="15.75" customHeight="1">
      <c r="A1724" s="7"/>
      <c r="B1724" s="7" t="str">
        <f>IFERROR(__xludf.DUMMYFUNCTION("""COMPUTED_VALUE"""),"Bash/Shell/PowerShell;TypeScript")</f>
        <v>Bash/Shell/PowerShell;TypeScript</v>
      </c>
      <c r="C1724" s="9" t="str">
        <f>IFERROR(__xludf.DUMMYFUNCTION("""COMPUTED_VALUE"""),"C")</f>
        <v>C</v>
      </c>
      <c r="D1724" s="9" t="str">
        <f>IFERROR(__xludf.DUMMYFUNCTION("""COMPUTED_VALUE"""),"Rust")</f>
        <v>Rust</v>
      </c>
      <c r="E1724" s="9" t="str">
        <f>IFERROR(__xludf.DUMMYFUNCTION("""COMPUTED_VALUE"""),"C#")</f>
        <v>C#</v>
      </c>
      <c r="F1724" s="9" t="str">
        <f>IFERROR(__xludf.DUMMYFUNCTION("""COMPUTED_VALUE"""),"Swift")</f>
        <v>Swift</v>
      </c>
      <c r="G1724" s="9" t="str">
        <f>IFERROR(__xludf.DUMMYFUNCTION("""COMPUTED_VALUE"""),"Swift")</f>
        <v>Swift</v>
      </c>
      <c r="H1724" s="9" t="str">
        <f>IFERROR(__xludf.DUMMYFUNCTION("""COMPUTED_VALUE"""),"JavaScript")</f>
        <v>JavaScript</v>
      </c>
      <c r="I1724" s="9" t="str">
        <f>IFERROR(__xludf.DUMMYFUNCTION("""COMPUTED_VALUE"""),"C#")</f>
        <v>C#</v>
      </c>
      <c r="J1724" s="9" t="str">
        <f>IFERROR(__xludf.DUMMYFUNCTION("""COMPUTED_VALUE"""),"PHP")</f>
        <v>PHP</v>
      </c>
      <c r="K1724" s="9" t="str">
        <f>IFERROR(__xludf.DUMMYFUNCTION("""COMPUTED_VALUE"""),"Assembly")</f>
        <v>Assembly</v>
      </c>
      <c r="L1724" s="9" t="str">
        <f>IFERROR(__xludf.DUMMYFUNCTION("""COMPUTED_VALUE"""),"JavaScript")</f>
        <v>JavaScript</v>
      </c>
      <c r="M1724" s="9" t="s">
        <v>25</v>
      </c>
    </row>
    <row r="1725" ht="15.75" customHeight="1">
      <c r="A1725" s="7"/>
      <c r="B1725" s="7" t="str">
        <f>IFERROR(__xludf.DUMMYFUNCTION("""COMPUTED_VALUE"""),"C++;Java")</f>
        <v>C++;Java</v>
      </c>
      <c r="C1725" s="9" t="str">
        <f>IFERROR(__xludf.DUMMYFUNCTION("""COMPUTED_VALUE"""),"C++")</f>
        <v>C++</v>
      </c>
      <c r="D1725" s="9" t="str">
        <f>IFERROR(__xludf.DUMMYFUNCTION("""COMPUTED_VALUE"""),"SQL")</f>
        <v>SQL</v>
      </c>
      <c r="E1725" s="9" t="str">
        <f>IFERROR(__xludf.DUMMYFUNCTION("""COMPUTED_VALUE"""),"HTML/CSS")</f>
        <v>HTML/CSS</v>
      </c>
      <c r="F1725" s="9" t="str">
        <f>IFERROR(__xludf.DUMMYFUNCTION("""COMPUTED_VALUE"""),"C#")</f>
        <v>C#</v>
      </c>
      <c r="G1725" s="9" t="str">
        <f>IFERROR(__xludf.DUMMYFUNCTION("""COMPUTED_VALUE"""),"VBA")</f>
        <v>VBA</v>
      </c>
      <c r="H1725" s="9" t="str">
        <f>IFERROR(__xludf.DUMMYFUNCTION("""COMPUTED_VALUE"""),"PHP")</f>
        <v>PHP</v>
      </c>
      <c r="I1725" s="9" t="str">
        <f>IFERROR(__xludf.DUMMYFUNCTION("""COMPUTED_VALUE"""),"HTML/CSS")</f>
        <v>HTML/CSS</v>
      </c>
      <c r="J1725" s="9" t="str">
        <f>IFERROR(__xludf.DUMMYFUNCTION("""COMPUTED_VALUE"""),"SQL")</f>
        <v>SQL</v>
      </c>
      <c r="K1725" s="9" t="str">
        <f>IFERROR(__xludf.DUMMYFUNCTION("""COMPUTED_VALUE"""),"Bash/Shell/PowerShell")</f>
        <v>Bash/Shell/PowerShell</v>
      </c>
      <c r="L1725" s="9" t="str">
        <f>IFERROR(__xludf.DUMMYFUNCTION("""COMPUTED_VALUE"""),"Python")</f>
        <v>Python</v>
      </c>
      <c r="M1725" s="9" t="s">
        <v>23</v>
      </c>
    </row>
    <row r="1726" ht="15.75" customHeight="1">
      <c r="A1726" s="7"/>
      <c r="B1726" s="7" t="str">
        <f>IFERROR(__xludf.DUMMYFUNCTION("""COMPUTED_VALUE"""),"Bash/Shell/PowerShell;C;Clojure;HTML/CSS;Java;JavaScript;TypeScript;Other(s):")</f>
        <v>Bash/Shell/PowerShell;C;Clojure;HTML/CSS;Java;JavaScript;TypeScript;Other(s):</v>
      </c>
      <c r="C1726" s="9" t="str">
        <f>IFERROR(__xludf.DUMMYFUNCTION("""COMPUTED_VALUE"""),"HTML/CSS")</f>
        <v>HTML/CSS</v>
      </c>
      <c r="D1726" s="9" t="str">
        <f>IFERROR(__xludf.DUMMYFUNCTION("""COMPUTED_VALUE"""),"Assembly")</f>
        <v>Assembly</v>
      </c>
      <c r="E1726" s="9" t="str">
        <f>IFERROR(__xludf.DUMMYFUNCTION("""COMPUTED_VALUE"""),"JavaScript")</f>
        <v>JavaScript</v>
      </c>
      <c r="F1726" s="9" t="str">
        <f>IFERROR(__xludf.DUMMYFUNCTION("""COMPUTED_VALUE"""),"Java")</f>
        <v>Java</v>
      </c>
      <c r="G1726" s="9" t="str">
        <f>IFERROR(__xludf.DUMMYFUNCTION("""COMPUTED_VALUE"""),"Other(s):")</f>
        <v>Other(s):</v>
      </c>
      <c r="H1726" s="9" t="str">
        <f>IFERROR(__xludf.DUMMYFUNCTION("""COMPUTED_VALUE"""),"Python")</f>
        <v>Python</v>
      </c>
      <c r="I1726" s="9" t="str">
        <f>IFERROR(__xludf.DUMMYFUNCTION("""COMPUTED_VALUE"""),"SQL")</f>
        <v>SQL</v>
      </c>
      <c r="J1726" s="9" t="str">
        <f>IFERROR(__xludf.DUMMYFUNCTION("""COMPUTED_VALUE"""),"C++")</f>
        <v>C++</v>
      </c>
      <c r="K1726" s="9" t="str">
        <f>IFERROR(__xludf.DUMMYFUNCTION("""COMPUTED_VALUE"""),"C")</f>
        <v>C</v>
      </c>
      <c r="L1726" s="9" t="str">
        <f>IFERROR(__xludf.DUMMYFUNCTION("""COMPUTED_VALUE"""),"Bash/Shell/PowerShell")</f>
        <v>Bash/Shell/PowerShell</v>
      </c>
      <c r="M1726" s="9" t="s">
        <v>24</v>
      </c>
    </row>
    <row r="1727" ht="15.75" customHeight="1">
      <c r="A1727" s="7"/>
      <c r="B1727" s="7" t="str">
        <f>IFERROR(__xludf.DUMMYFUNCTION("""COMPUTED_VALUE"""),"C#;HTML/CSS;JavaScript;SQL;TypeScript")</f>
        <v>C#;HTML/CSS;JavaScript;SQL;TypeScript</v>
      </c>
      <c r="C1727" s="9" t="str">
        <f>IFERROR(__xludf.DUMMYFUNCTION("""COMPUTED_VALUE"""),"Python")</f>
        <v>Python</v>
      </c>
      <c r="D1727" s="9" t="str">
        <f>IFERROR(__xludf.DUMMYFUNCTION("""COMPUTED_VALUE"""),"C#")</f>
        <v>C#</v>
      </c>
      <c r="E1727" s="9" t="str">
        <f>IFERROR(__xludf.DUMMYFUNCTION("""COMPUTED_VALUE"""),"SQL")</f>
        <v>SQL</v>
      </c>
      <c r="F1727" s="9" t="str">
        <f>IFERROR(__xludf.DUMMYFUNCTION("""COMPUTED_VALUE"""),"Other(s):")</f>
        <v>Other(s):</v>
      </c>
      <c r="G1727" s="9" t="str">
        <f>IFERROR(__xludf.DUMMYFUNCTION("""COMPUTED_VALUE"""),"JavaScript")</f>
        <v>JavaScript</v>
      </c>
      <c r="H1727" s="9" t="str">
        <f>IFERROR(__xludf.DUMMYFUNCTION("""COMPUTED_VALUE"""),"R")</f>
        <v>R</v>
      </c>
      <c r="I1727" s="9" t="str">
        <f>IFERROR(__xludf.DUMMYFUNCTION("""COMPUTED_VALUE"""),"Assembly")</f>
        <v>Assembly</v>
      </c>
      <c r="J1727" s="9" t="str">
        <f>IFERROR(__xludf.DUMMYFUNCTION("""COMPUTED_VALUE"""),"C#")</f>
        <v>C#</v>
      </c>
      <c r="K1727" s="9" t="str">
        <f>IFERROR(__xludf.DUMMYFUNCTION("""COMPUTED_VALUE"""),"C++")</f>
        <v>C++</v>
      </c>
      <c r="L1727" s="9" t="str">
        <f>IFERROR(__xludf.DUMMYFUNCTION("""COMPUTED_VALUE"""),"HTML/CSS")</f>
        <v>HTML/CSS</v>
      </c>
      <c r="M1727" s="9" t="s">
        <v>22</v>
      </c>
    </row>
    <row r="1728" ht="15.75" customHeight="1">
      <c r="A1728" s="7"/>
      <c r="B1728" s="7" t="str">
        <f>IFERROR(__xludf.DUMMYFUNCTION("""COMPUTED_VALUE"""),"C#;HTML/CSS;Java;JavaScript;SQL")</f>
        <v>C#;HTML/CSS;Java;JavaScript;SQL</v>
      </c>
      <c r="C1728" s="9" t="str">
        <f>IFERROR(__xludf.DUMMYFUNCTION("""COMPUTED_VALUE"""),"C")</f>
        <v>C</v>
      </c>
      <c r="D1728" s="9" t="str">
        <f>IFERROR(__xludf.DUMMYFUNCTION("""COMPUTED_VALUE"""),"HTML/CSS")</f>
        <v>HTML/CSS</v>
      </c>
      <c r="E1728" s="9" t="str">
        <f>IFERROR(__xludf.DUMMYFUNCTION("""COMPUTED_VALUE"""),"Other(s):")</f>
        <v>Other(s):</v>
      </c>
      <c r="F1728" s="9" t="str">
        <f>IFERROR(__xludf.DUMMYFUNCTION("""COMPUTED_VALUE"""),"Bash/Shell/PowerShell")</f>
        <v>Bash/Shell/PowerShell</v>
      </c>
      <c r="G1728" s="9" t="str">
        <f>IFERROR(__xludf.DUMMYFUNCTION("""COMPUTED_VALUE"""),"Objective-C")</f>
        <v>Objective-C</v>
      </c>
      <c r="H1728" s="9" t="str">
        <f>IFERROR(__xludf.DUMMYFUNCTION("""COMPUTED_VALUE"""),"SQL")</f>
        <v>SQL</v>
      </c>
      <c r="I1728" s="9" t="str">
        <f>IFERROR(__xludf.DUMMYFUNCTION("""COMPUTED_VALUE"""),"Java")</f>
        <v>Java</v>
      </c>
      <c r="J1728" s="9" t="str">
        <f>IFERROR(__xludf.DUMMYFUNCTION("""COMPUTED_VALUE"""),"HTML/CSS")</f>
        <v>HTML/CSS</v>
      </c>
      <c r="K1728" s="9" t="str">
        <f>IFERROR(__xludf.DUMMYFUNCTION("""COMPUTED_VALUE"""),"Python")</f>
        <v>Python</v>
      </c>
      <c r="L1728" s="9" t="str">
        <f>IFERROR(__xludf.DUMMYFUNCTION("""COMPUTED_VALUE"""),"JavaScript")</f>
        <v>JavaScript</v>
      </c>
      <c r="M1728" s="9" t="s">
        <v>25</v>
      </c>
    </row>
    <row r="1729" ht="15.75" customHeight="1">
      <c r="A1729" s="7"/>
      <c r="B1729" s="7" t="str">
        <f>IFERROR(__xludf.DUMMYFUNCTION("""COMPUTED_VALUE"""),"Bash/Shell/PowerShell;C;C++;HTML/CSS;JavaScript;Python")</f>
        <v>Bash/Shell/PowerShell;C;C++;HTML/CSS;JavaScript;Python</v>
      </c>
      <c r="C1729" s="9" t="str">
        <f>IFERROR(__xludf.DUMMYFUNCTION("""COMPUTED_VALUE"""),"C++")</f>
        <v>C++</v>
      </c>
      <c r="D1729" s="9" t="str">
        <f>IFERROR(__xludf.DUMMYFUNCTION("""COMPUTED_VALUE"""),"Java")</f>
        <v>Java</v>
      </c>
      <c r="E1729" s="9" t="str">
        <f>IFERROR(__xludf.DUMMYFUNCTION("""COMPUTED_VALUE"""),"Bash/Shell/PowerShell")</f>
        <v>Bash/Shell/PowerShell</v>
      </c>
      <c r="F1729" s="9" t="str">
        <f>IFERROR(__xludf.DUMMYFUNCTION("""COMPUTED_VALUE"""),"Objective-C")</f>
        <v>Objective-C</v>
      </c>
      <c r="G1729" s="9" t="str">
        <f>IFERROR(__xludf.DUMMYFUNCTION("""COMPUTED_VALUE"""),"TypeScript")</f>
        <v>TypeScript</v>
      </c>
      <c r="H1729" s="9" t="str">
        <f>IFERROR(__xludf.DUMMYFUNCTION("""COMPUTED_VALUE"""),"TypeScript")</f>
        <v>TypeScript</v>
      </c>
      <c r="I1729" s="9" t="str">
        <f>IFERROR(__xludf.DUMMYFUNCTION("""COMPUTED_VALUE"""),"Bash/Shell/PowerShell")</f>
        <v>Bash/Shell/PowerShell</v>
      </c>
      <c r="J1729" s="9" t="str">
        <f>IFERROR(__xludf.DUMMYFUNCTION("""COMPUTED_VALUE"""),"JavaScript")</f>
        <v>JavaScript</v>
      </c>
      <c r="K1729" s="9" t="str">
        <f>IFERROR(__xludf.DUMMYFUNCTION("""COMPUTED_VALUE"""),"WebAssembly")</f>
        <v>WebAssembly</v>
      </c>
      <c r="L1729" s="9" t="str">
        <f>IFERROR(__xludf.DUMMYFUNCTION("""COMPUTED_VALUE"""),"PHP")</f>
        <v>PHP</v>
      </c>
      <c r="M1729" s="9" t="s">
        <v>23</v>
      </c>
    </row>
    <row r="1730" ht="15.75" customHeight="1">
      <c r="A1730" s="7"/>
      <c r="B1730" s="7" t="str">
        <f>IFERROR(__xludf.DUMMYFUNCTION("""COMPUTED_VALUE"""),"Bash/Shell/PowerShell;C#;HTML/CSS;JavaScript;Python;Ruby;SQL;TypeScript")</f>
        <v>Bash/Shell/PowerShell;C#;HTML/CSS;JavaScript;Python;Ruby;SQL;TypeScript</v>
      </c>
      <c r="C1730" s="9" t="str">
        <f>IFERROR(__xludf.DUMMYFUNCTION("""COMPUTED_VALUE"""),"Elixir")</f>
        <v>Elixir</v>
      </c>
      <c r="D1730" s="9" t="str">
        <f>IFERROR(__xludf.DUMMYFUNCTION("""COMPUTED_VALUE"""),"JavaScript")</f>
        <v>JavaScript</v>
      </c>
      <c r="E1730" s="9" t="str">
        <f>IFERROR(__xludf.DUMMYFUNCTION("""COMPUTED_VALUE"""),"HTML/CSS")</f>
        <v>HTML/CSS</v>
      </c>
      <c r="F1730" s="9" t="str">
        <f>IFERROR(__xludf.DUMMYFUNCTION("""COMPUTED_VALUE"""),"Swift")</f>
        <v>Swift</v>
      </c>
      <c r="G1730" s="9" t="str">
        <f>IFERROR(__xludf.DUMMYFUNCTION("""COMPUTED_VALUE"""),"HTML/CSS")</f>
        <v>HTML/CSS</v>
      </c>
      <c r="H1730" s="9" t="str">
        <f>IFERROR(__xludf.DUMMYFUNCTION("""COMPUTED_VALUE"""),"Other(s):")</f>
        <v>Other(s):</v>
      </c>
      <c r="I1730" s="9" t="str">
        <f>IFERROR(__xludf.DUMMYFUNCTION("""COMPUTED_VALUE"""),"HTML/CSS")</f>
        <v>HTML/CSS</v>
      </c>
      <c r="J1730" s="9" t="str">
        <f>IFERROR(__xludf.DUMMYFUNCTION("""COMPUTED_VALUE"""),"PHP")</f>
        <v>PHP</v>
      </c>
      <c r="K1730" s="9" t="str">
        <f>IFERROR(__xludf.DUMMYFUNCTION("""COMPUTED_VALUE"""),"Other(s):")</f>
        <v>Other(s):</v>
      </c>
      <c r="L1730" s="9" t="str">
        <f>IFERROR(__xludf.DUMMYFUNCTION("""COMPUTED_VALUE"""),"SQL")</f>
        <v>SQL</v>
      </c>
      <c r="M1730" s="9" t="s">
        <v>42</v>
      </c>
    </row>
    <row r="1731" ht="15.75" customHeight="1">
      <c r="A1731" s="7"/>
      <c r="B1731" s="7" t="str">
        <f>IFERROR(__xludf.DUMMYFUNCTION("""COMPUTED_VALUE"""),"C;C++;C#;JavaScript")</f>
        <v>C;C++;C#;JavaScript</v>
      </c>
      <c r="C1731" s="9" t="str">
        <f>IFERROR(__xludf.DUMMYFUNCTION("""COMPUTED_VALUE"""),"HTML/CSS")</f>
        <v>HTML/CSS</v>
      </c>
      <c r="D1731" s="9" t="str">
        <f>IFERROR(__xludf.DUMMYFUNCTION("""COMPUTED_VALUE"""),"SQL")</f>
        <v>SQL</v>
      </c>
      <c r="E1731" s="9" t="str">
        <f>IFERROR(__xludf.DUMMYFUNCTION("""COMPUTED_VALUE"""),"JavaScript")</f>
        <v>JavaScript</v>
      </c>
      <c r="F1731" s="9" t="str">
        <f>IFERROR(__xludf.DUMMYFUNCTION("""COMPUTED_VALUE"""),"Java")</f>
        <v>Java</v>
      </c>
      <c r="G1731" s="9" t="str">
        <f>IFERROR(__xludf.DUMMYFUNCTION("""COMPUTED_VALUE"""),"Python")</f>
        <v>Python</v>
      </c>
      <c r="H1731" s="9" t="str">
        <f>IFERROR(__xludf.DUMMYFUNCTION("""COMPUTED_VALUE"""),"Bash/Shell/PowerShell")</f>
        <v>Bash/Shell/PowerShell</v>
      </c>
      <c r="I1731" s="9" t="str">
        <f>IFERROR(__xludf.DUMMYFUNCTION("""COMPUTED_VALUE"""),"Java")</f>
        <v>Java</v>
      </c>
      <c r="J1731" s="9" t="str">
        <f>IFERROR(__xludf.DUMMYFUNCTION("""COMPUTED_VALUE"""),"HTML/CSS")</f>
        <v>HTML/CSS</v>
      </c>
      <c r="K1731" s="9" t="str">
        <f>IFERROR(__xludf.DUMMYFUNCTION("""COMPUTED_VALUE"""),"HTML/CSS")</f>
        <v>HTML/CSS</v>
      </c>
      <c r="L1731" s="9" t="str">
        <f>IFERROR(__xludf.DUMMYFUNCTION("""COMPUTED_VALUE"""),"Java")</f>
        <v>Java</v>
      </c>
      <c r="M1731" s="9" t="s">
        <v>24</v>
      </c>
    </row>
    <row r="1732" ht="15.75" customHeight="1">
      <c r="A1732" s="7"/>
      <c r="B1732" s="7" t="str">
        <f>IFERROR(__xludf.DUMMYFUNCTION("""COMPUTED_VALUE"""),"C#;HTML/CSS;JavaScript;Kotlin;Python;SQL;Swift")</f>
        <v>C#;HTML/CSS;JavaScript;Kotlin;Python;SQL;Swift</v>
      </c>
      <c r="C1732" s="9" t="str">
        <f>IFERROR(__xludf.DUMMYFUNCTION("""COMPUTED_VALUE"""),"Java")</f>
        <v>Java</v>
      </c>
      <c r="D1732" s="9" t="str">
        <f>IFERROR(__xludf.DUMMYFUNCTION("""COMPUTED_VALUE"""),"TypeScript")</f>
        <v>TypeScript</v>
      </c>
      <c r="E1732" s="9" t="str">
        <f>IFERROR(__xludf.DUMMYFUNCTION("""COMPUTED_VALUE"""),"Objective-C")</f>
        <v>Objective-C</v>
      </c>
      <c r="F1732" s="9" t="str">
        <f>IFERROR(__xludf.DUMMYFUNCTION("""COMPUTED_VALUE"""),"JavaScript")</f>
        <v>JavaScript</v>
      </c>
      <c r="G1732" s="9" t="str">
        <f>IFERROR(__xludf.DUMMYFUNCTION("""COMPUTED_VALUE"""),"Ruby")</f>
        <v>Ruby</v>
      </c>
      <c r="H1732" s="9" t="str">
        <f>IFERROR(__xludf.DUMMYFUNCTION("""COMPUTED_VALUE"""),"C")</f>
        <v>C</v>
      </c>
      <c r="I1732" s="9" t="str">
        <f>IFERROR(__xludf.DUMMYFUNCTION("""COMPUTED_VALUE"""),"JavaScript")</f>
        <v>JavaScript</v>
      </c>
      <c r="J1732" s="9" t="str">
        <f>IFERROR(__xludf.DUMMYFUNCTION("""COMPUTED_VALUE"""),"JavaScript")</f>
        <v>JavaScript</v>
      </c>
      <c r="K1732" s="9" t="str">
        <f>IFERROR(__xludf.DUMMYFUNCTION("""COMPUTED_VALUE"""),"JavaScript")</f>
        <v>JavaScript</v>
      </c>
      <c r="L1732" s="9" t="str">
        <f>IFERROR(__xludf.DUMMYFUNCTION("""COMPUTED_VALUE"""),"SQL")</f>
        <v>SQL</v>
      </c>
      <c r="M1732" s="9" t="s">
        <v>20</v>
      </c>
    </row>
    <row r="1733" ht="15.75" customHeight="1">
      <c r="A1733" s="7"/>
      <c r="B1733" s="7" t="str">
        <f>IFERROR(__xludf.DUMMYFUNCTION("""COMPUTED_VALUE"""),"C;C#;Python")</f>
        <v>C;C#;Python</v>
      </c>
      <c r="C1733" s="9" t="str">
        <f>IFERROR(__xludf.DUMMYFUNCTION("""COMPUTED_VALUE"""),"Kotlin")</f>
        <v>Kotlin</v>
      </c>
      <c r="D1733" s="9" t="str">
        <f>IFERROR(__xludf.DUMMYFUNCTION("""COMPUTED_VALUE"""),"Bash/Shell/PowerShell")</f>
        <v>Bash/Shell/PowerShell</v>
      </c>
      <c r="E1733" s="9" t="str">
        <f>IFERROR(__xludf.DUMMYFUNCTION("""COMPUTED_VALUE"""),"PHP")</f>
        <v>PHP</v>
      </c>
      <c r="F1733" s="9" t="str">
        <f>IFERROR(__xludf.DUMMYFUNCTION("""COMPUTED_VALUE"""),"Python")</f>
        <v>Python</v>
      </c>
      <c r="G1733" s="9" t="str">
        <f>IFERROR(__xludf.DUMMYFUNCTION("""COMPUTED_VALUE"""),"SQL")</f>
        <v>SQL</v>
      </c>
      <c r="H1733" s="9" t="str">
        <f>IFERROR(__xludf.DUMMYFUNCTION("""COMPUTED_VALUE"""),"HTML/CSS")</f>
        <v>HTML/CSS</v>
      </c>
      <c r="I1733" s="9" t="str">
        <f>IFERROR(__xludf.DUMMYFUNCTION("""COMPUTED_VALUE"""),"Python")</f>
        <v>Python</v>
      </c>
      <c r="J1733" s="9" t="str">
        <f>IFERROR(__xludf.DUMMYFUNCTION("""COMPUTED_VALUE"""),"TypeScript")</f>
        <v>TypeScript</v>
      </c>
      <c r="K1733" s="9" t="str">
        <f>IFERROR(__xludf.DUMMYFUNCTION("""COMPUTED_VALUE"""),"Swift")</f>
        <v>Swift</v>
      </c>
      <c r="L1733" s="9" t="str">
        <f>IFERROR(__xludf.DUMMYFUNCTION("""COMPUTED_VALUE"""),"HTML/CSS")</f>
        <v>HTML/CSS</v>
      </c>
      <c r="M1733" s="9" t="s">
        <v>39</v>
      </c>
    </row>
    <row r="1734" ht="15.75" customHeight="1">
      <c r="A1734" s="7"/>
      <c r="B1734" s="7" t="str">
        <f>IFERROR(__xludf.DUMMYFUNCTION("""COMPUTED_VALUE"""),"HTML/CSS;JavaScript")</f>
        <v>HTML/CSS;JavaScript</v>
      </c>
      <c r="C1734" s="9" t="str">
        <f>IFERROR(__xludf.DUMMYFUNCTION("""COMPUTED_VALUE"""),"PHP")</f>
        <v>PHP</v>
      </c>
      <c r="D1734" s="9" t="str">
        <f>IFERROR(__xludf.DUMMYFUNCTION("""COMPUTED_VALUE"""),"C")</f>
        <v>C</v>
      </c>
      <c r="E1734" s="9" t="str">
        <f>IFERROR(__xludf.DUMMYFUNCTION("""COMPUTED_VALUE"""),"Python")</f>
        <v>Python</v>
      </c>
      <c r="F1734" s="9" t="str">
        <f>IFERROR(__xludf.DUMMYFUNCTION("""COMPUTED_VALUE"""),"Bash/Shell/PowerShell")</f>
        <v>Bash/Shell/PowerShell</v>
      </c>
      <c r="G1734" s="9" t="str">
        <f>IFERROR(__xludf.DUMMYFUNCTION("""COMPUTED_VALUE"""),"C#")</f>
        <v>C#</v>
      </c>
      <c r="H1734" s="9" t="str">
        <f>IFERROR(__xludf.DUMMYFUNCTION("""COMPUTED_VALUE"""),"JavaScript")</f>
        <v>JavaScript</v>
      </c>
      <c r="I1734" s="9" t="str">
        <f>IFERROR(__xludf.DUMMYFUNCTION("""COMPUTED_VALUE"""),"Bash/Shell/PowerShell")</f>
        <v>Bash/Shell/PowerShell</v>
      </c>
      <c r="J1734" s="9" t="str">
        <f>IFERROR(__xludf.DUMMYFUNCTION("""COMPUTED_VALUE"""),"C#")</f>
        <v>C#</v>
      </c>
      <c r="K1734" s="9" t="str">
        <f>IFERROR(__xludf.DUMMYFUNCTION("""COMPUTED_VALUE"""),"C")</f>
        <v>C</v>
      </c>
      <c r="L1734" s="9" t="str">
        <f>IFERROR(__xludf.DUMMYFUNCTION("""COMPUTED_VALUE"""),"JavaScript")</f>
        <v>JavaScript</v>
      </c>
      <c r="M1734" s="9" t="s">
        <v>37</v>
      </c>
    </row>
    <row r="1735" ht="15.75" customHeight="1">
      <c r="A1735" s="7"/>
      <c r="B1735" s="7" t="str">
        <f>IFERROR(__xludf.DUMMYFUNCTION("""COMPUTED_VALUE"""),"Bash/Shell/PowerShell;Dart;Elixir;Go;HTML/CSS;Java;JavaScript;Python;Ruby;Rust;SQL;Swift;TypeScript")</f>
        <v>Bash/Shell/PowerShell;Dart;Elixir;Go;HTML/CSS;Java;JavaScript;Python;Ruby;Rust;SQL;Swift;TypeScript</v>
      </c>
      <c r="C1735" s="9" t="str">
        <f>IFERROR(__xludf.DUMMYFUNCTION("""COMPUTED_VALUE"""),"Ruby")</f>
        <v>Ruby</v>
      </c>
      <c r="D1735" s="9" t="str">
        <f>IFERROR(__xludf.DUMMYFUNCTION("""COMPUTED_VALUE"""),"HTML/CSS")</f>
        <v>HTML/CSS</v>
      </c>
      <c r="E1735" s="9" t="str">
        <f>IFERROR(__xludf.DUMMYFUNCTION("""COMPUTED_VALUE"""),"Ruby")</f>
        <v>Ruby</v>
      </c>
      <c r="F1735" s="9" t="str">
        <f>IFERROR(__xludf.DUMMYFUNCTION("""COMPUTED_VALUE"""),"C")</f>
        <v>C</v>
      </c>
      <c r="G1735" s="9" t="str">
        <f>IFERROR(__xludf.DUMMYFUNCTION("""COMPUTED_VALUE"""),"HTML/CSS")</f>
        <v>HTML/CSS</v>
      </c>
      <c r="H1735" s="9" t="str">
        <f>IFERROR(__xludf.DUMMYFUNCTION("""COMPUTED_VALUE"""),"Python")</f>
        <v>Python</v>
      </c>
      <c r="I1735" s="9" t="str">
        <f>IFERROR(__xludf.DUMMYFUNCTION("""COMPUTED_VALUE"""),"C++")</f>
        <v>C++</v>
      </c>
      <c r="J1735" s="9" t="str">
        <f>IFERROR(__xludf.DUMMYFUNCTION("""COMPUTED_VALUE"""),"Java")</f>
        <v>Java</v>
      </c>
      <c r="K1735" s="9" t="str">
        <f>IFERROR(__xludf.DUMMYFUNCTION("""COMPUTED_VALUE"""),"C++")</f>
        <v>C++</v>
      </c>
      <c r="L1735" s="9" t="str">
        <f>IFERROR(__xludf.DUMMYFUNCTION("""COMPUTED_VALUE"""),"TypeScript")</f>
        <v>TypeScript</v>
      </c>
      <c r="M1735" s="9" t="s">
        <v>31</v>
      </c>
    </row>
    <row r="1736" ht="15.75" customHeight="1">
      <c r="A1736" s="7"/>
      <c r="B1736" s="7" t="str">
        <f>IFERROR(__xludf.DUMMYFUNCTION("""COMPUTED_VALUE"""),"Bash/Shell/PowerShell;HTML/CSS;Java;JavaScript;SQL")</f>
        <v>Bash/Shell/PowerShell;HTML/CSS;Java;JavaScript;SQL</v>
      </c>
      <c r="C1736" s="9" t="str">
        <f>IFERROR(__xludf.DUMMYFUNCTION("""COMPUTED_VALUE"""),"SQL")</f>
        <v>SQL</v>
      </c>
      <c r="D1736" s="9" t="str">
        <f>IFERROR(__xludf.DUMMYFUNCTION("""COMPUTED_VALUE"""),"Java")</f>
        <v>Java</v>
      </c>
      <c r="E1736" s="9" t="str">
        <f>IFERROR(__xludf.DUMMYFUNCTION("""COMPUTED_VALUE"""),"SQL")</f>
        <v>SQL</v>
      </c>
      <c r="F1736" s="9" t="str">
        <f>IFERROR(__xludf.DUMMYFUNCTION("""COMPUTED_VALUE"""),"C++")</f>
        <v>C++</v>
      </c>
      <c r="G1736" s="9" t="str">
        <f>IFERROR(__xludf.DUMMYFUNCTION("""COMPUTED_VALUE"""),"JavaScript")</f>
        <v>JavaScript</v>
      </c>
      <c r="H1736" s="9" t="str">
        <f>IFERROR(__xludf.DUMMYFUNCTION("""COMPUTED_VALUE"""),"TypeScript")</f>
        <v>TypeScript</v>
      </c>
      <c r="I1736" s="9" t="str">
        <f>IFERROR(__xludf.DUMMYFUNCTION("""COMPUTED_VALUE"""),"Go")</f>
        <v>Go</v>
      </c>
      <c r="J1736" s="9" t="str">
        <f>IFERROR(__xludf.DUMMYFUNCTION("""COMPUTED_VALUE"""),"JavaScript")</f>
        <v>JavaScript</v>
      </c>
      <c r="K1736" s="9" t="str">
        <f>IFERROR(__xludf.DUMMYFUNCTION("""COMPUTED_VALUE"""),"C#")</f>
        <v>C#</v>
      </c>
      <c r="L1736" s="9" t="str">
        <f>IFERROR(__xludf.DUMMYFUNCTION("""COMPUTED_VALUE"""),"Bash/Shell/PowerShell")</f>
        <v>Bash/Shell/PowerShell</v>
      </c>
      <c r="M1736" s="9" t="s">
        <v>27</v>
      </c>
    </row>
    <row r="1737" ht="15.75" customHeight="1">
      <c r="A1737" s="7"/>
      <c r="B1737" s="7" t="str">
        <f>IFERROR(__xludf.DUMMYFUNCTION("""COMPUTED_VALUE"""),"Bash/Shell/PowerShell;Python;R")</f>
        <v>Bash/Shell/PowerShell;Python;R</v>
      </c>
      <c r="C1737" s="9" t="str">
        <f>IFERROR(__xludf.DUMMYFUNCTION("""COMPUTED_VALUE"""),"Other(s):")</f>
        <v>Other(s):</v>
      </c>
      <c r="D1737" s="9" t="str">
        <f>IFERROR(__xludf.DUMMYFUNCTION("""COMPUTED_VALUE"""),"JavaScript")</f>
        <v>JavaScript</v>
      </c>
      <c r="E1737" s="9" t="str">
        <f>IFERROR(__xludf.DUMMYFUNCTION("""COMPUTED_VALUE"""),"Swift")</f>
        <v>Swift</v>
      </c>
      <c r="F1737" s="9" t="str">
        <f>IFERROR(__xludf.DUMMYFUNCTION("""COMPUTED_VALUE"""),"C#")</f>
        <v>C#</v>
      </c>
      <c r="G1737" s="9" t="str">
        <f>IFERROR(__xludf.DUMMYFUNCTION("""COMPUTED_VALUE"""),"PHP")</f>
        <v>PHP</v>
      </c>
      <c r="H1737" s="9" t="str">
        <f>IFERROR(__xludf.DUMMYFUNCTION("""COMPUTED_VALUE"""),"Other(s):")</f>
        <v>Other(s):</v>
      </c>
      <c r="I1737" s="9" t="str">
        <f>IFERROR(__xludf.DUMMYFUNCTION("""COMPUTED_VALUE"""),"Java")</f>
        <v>Java</v>
      </c>
      <c r="J1737" s="9" t="str">
        <f>IFERROR(__xludf.DUMMYFUNCTION("""COMPUTED_VALUE"""),"SQL")</f>
        <v>SQL</v>
      </c>
      <c r="K1737" s="9" t="str">
        <f>IFERROR(__xludf.DUMMYFUNCTION("""COMPUTED_VALUE"""),"HTML/CSS")</f>
        <v>HTML/CSS</v>
      </c>
      <c r="L1737" s="9" t="str">
        <f>IFERROR(__xludf.DUMMYFUNCTION("""COMPUTED_VALUE"""),"JavaScript")</f>
        <v>JavaScript</v>
      </c>
      <c r="M1737" s="9" t="s">
        <v>35</v>
      </c>
    </row>
    <row r="1738" ht="15.75" customHeight="1">
      <c r="A1738" s="7"/>
      <c r="B1738" s="7" t="str">
        <f>IFERROR(__xludf.DUMMYFUNCTION("""COMPUTED_VALUE"""),"Objective-C;Python;Swift")</f>
        <v>Objective-C;Python;Swift</v>
      </c>
      <c r="C1738" s="9" t="str">
        <f>IFERROR(__xludf.DUMMYFUNCTION("""COMPUTED_VALUE"""),"Assembly")</f>
        <v>Assembly</v>
      </c>
      <c r="D1738" s="9" t="str">
        <f>IFERROR(__xludf.DUMMYFUNCTION("""COMPUTED_VALUE"""),"PHP")</f>
        <v>PHP</v>
      </c>
      <c r="E1738" s="9" t="str">
        <f>IFERROR(__xludf.DUMMYFUNCTION("""COMPUTED_VALUE"""),"Go")</f>
        <v>Go</v>
      </c>
      <c r="F1738" s="9" t="str">
        <f>IFERROR(__xludf.DUMMYFUNCTION("""COMPUTED_VALUE"""),"HTML/CSS")</f>
        <v>HTML/CSS</v>
      </c>
      <c r="G1738" s="9" t="str">
        <f>IFERROR(__xludf.DUMMYFUNCTION("""COMPUTED_VALUE"""),"Python")</f>
        <v>Python</v>
      </c>
      <c r="H1738" s="9" t="str">
        <f>IFERROR(__xludf.DUMMYFUNCTION("""COMPUTED_VALUE"""),"HTML/CSS")</f>
        <v>HTML/CSS</v>
      </c>
      <c r="I1738" s="9" t="str">
        <f>IFERROR(__xludf.DUMMYFUNCTION("""COMPUTED_VALUE"""),"Python")</f>
        <v>Python</v>
      </c>
      <c r="J1738" s="9" t="str">
        <f>IFERROR(__xludf.DUMMYFUNCTION("""COMPUTED_VALUE"""),"C#")</f>
        <v>C#</v>
      </c>
      <c r="K1738" s="9" t="str">
        <f>IFERROR(__xludf.DUMMYFUNCTION("""COMPUTED_VALUE"""),"Java")</f>
        <v>Java</v>
      </c>
      <c r="L1738" s="9" t="str">
        <f>IFERROR(__xludf.DUMMYFUNCTION("""COMPUTED_VALUE"""),"Swift")</f>
        <v>Swift</v>
      </c>
      <c r="M1738" s="9" t="s">
        <v>38</v>
      </c>
    </row>
    <row r="1739" ht="15.75" customHeight="1">
      <c r="A1739" s="7"/>
      <c r="B1739" s="7" t="str">
        <f>IFERROR(__xludf.DUMMYFUNCTION("""COMPUTED_VALUE"""),"C#;HTML/CSS;JavaScript;SQL;Other(s):")</f>
        <v>C#;HTML/CSS;JavaScript;SQL;Other(s):</v>
      </c>
      <c r="C1739" s="9" t="str">
        <f>IFERROR(__xludf.DUMMYFUNCTION("""COMPUTED_VALUE"""),"C")</f>
        <v>C</v>
      </c>
      <c r="D1739" s="9" t="str">
        <f>IFERROR(__xludf.DUMMYFUNCTION("""COMPUTED_VALUE"""),"Python")</f>
        <v>Python</v>
      </c>
      <c r="E1739" s="9" t="str">
        <f>IFERROR(__xludf.DUMMYFUNCTION("""COMPUTED_VALUE"""),"HTML/CSS")</f>
        <v>HTML/CSS</v>
      </c>
      <c r="F1739" s="9" t="str">
        <f>IFERROR(__xludf.DUMMYFUNCTION("""COMPUTED_VALUE"""),"Java")</f>
        <v>Java</v>
      </c>
      <c r="G1739" s="9" t="str">
        <f>IFERROR(__xludf.DUMMYFUNCTION("""COMPUTED_VALUE"""),"SQL")</f>
        <v>SQL</v>
      </c>
      <c r="H1739" s="9" t="str">
        <f>IFERROR(__xludf.DUMMYFUNCTION("""COMPUTED_VALUE"""),"Python")</f>
        <v>Python</v>
      </c>
      <c r="I1739" s="9" t="str">
        <f>IFERROR(__xludf.DUMMYFUNCTION("""COMPUTED_VALUE"""),"SQL")</f>
        <v>SQL</v>
      </c>
      <c r="J1739" s="9" t="str">
        <f>IFERROR(__xludf.DUMMYFUNCTION("""COMPUTED_VALUE"""),"HTML/CSS")</f>
        <v>HTML/CSS</v>
      </c>
      <c r="K1739" s="9" t="str">
        <f>IFERROR(__xludf.DUMMYFUNCTION("""COMPUTED_VALUE"""),"JavaScript")</f>
        <v>JavaScript</v>
      </c>
      <c r="L1739" s="9" t="str">
        <f>IFERROR(__xludf.DUMMYFUNCTION("""COMPUTED_VALUE"""),"C")</f>
        <v>C</v>
      </c>
      <c r="M1739" s="9" t="s">
        <v>25</v>
      </c>
    </row>
    <row r="1740" ht="15.75" customHeight="1">
      <c r="A1740" s="7"/>
      <c r="B1740" s="7" t="str">
        <f>IFERROR(__xludf.DUMMYFUNCTION("""COMPUTED_VALUE"""),"HTML/CSS;Java;JavaScript;PHP;Ruby;SQL")</f>
        <v>HTML/CSS;Java;JavaScript;PHP;Ruby;SQL</v>
      </c>
      <c r="C1740" s="9" t="str">
        <f>IFERROR(__xludf.DUMMYFUNCTION("""COMPUTED_VALUE"""),"C++")</f>
        <v>C++</v>
      </c>
      <c r="D1740" s="9" t="str">
        <f>IFERROR(__xludf.DUMMYFUNCTION("""COMPUTED_VALUE"""),"SQL")</f>
        <v>SQL</v>
      </c>
      <c r="E1740" s="9" t="str">
        <f>IFERROR(__xludf.DUMMYFUNCTION("""COMPUTED_VALUE"""),"JavaScript")</f>
        <v>JavaScript</v>
      </c>
      <c r="F1740" s="9" t="str">
        <f>IFERROR(__xludf.DUMMYFUNCTION("""COMPUTED_VALUE"""),"JavaScript")</f>
        <v>JavaScript</v>
      </c>
      <c r="G1740" s="9" t="str">
        <f>IFERROR(__xludf.DUMMYFUNCTION("""COMPUTED_VALUE"""),"TypeScript")</f>
        <v>TypeScript</v>
      </c>
      <c r="H1740" s="9" t="str">
        <f>IFERROR(__xludf.DUMMYFUNCTION("""COMPUTED_VALUE"""),"Bash/Shell/PowerShell")</f>
        <v>Bash/Shell/PowerShell</v>
      </c>
      <c r="I1740" s="9" t="str">
        <f>IFERROR(__xludf.DUMMYFUNCTION("""COMPUTED_VALUE"""),"Bash/Shell/PowerShell")</f>
        <v>Bash/Shell/PowerShell</v>
      </c>
      <c r="J1740" s="9" t="str">
        <f>IFERROR(__xludf.DUMMYFUNCTION("""COMPUTED_VALUE"""),"JavaScript")</f>
        <v>JavaScript</v>
      </c>
      <c r="K1740" s="9" t="str">
        <f>IFERROR(__xludf.DUMMYFUNCTION("""COMPUTED_VALUE"""),"PHP")</f>
        <v>PHP</v>
      </c>
      <c r="L1740" s="9" t="str">
        <f>IFERROR(__xludf.DUMMYFUNCTION("""COMPUTED_VALUE"""),"C++")</f>
        <v>C++</v>
      </c>
      <c r="M1740" s="9" t="s">
        <v>23</v>
      </c>
    </row>
    <row r="1741" ht="15.75" customHeight="1">
      <c r="A1741" s="7"/>
      <c r="B1741" s="7" t="str">
        <f>IFERROR(__xludf.DUMMYFUNCTION("""COMPUTED_VALUE"""),"HTML/CSS;JavaScript;Python;VBA")</f>
        <v>HTML/CSS;JavaScript;Python;VBA</v>
      </c>
      <c r="C1741" s="9" t="str">
        <f>IFERROR(__xludf.DUMMYFUNCTION("""COMPUTED_VALUE"""),"Java")</f>
        <v>Java</v>
      </c>
      <c r="D1741" s="9" t="str">
        <f>IFERROR(__xludf.DUMMYFUNCTION("""COMPUTED_VALUE"""),"C++")</f>
        <v>C++</v>
      </c>
      <c r="E1741" s="9" t="str">
        <f>IFERROR(__xludf.DUMMYFUNCTION("""COMPUTED_VALUE"""),"PHP")</f>
        <v>PHP</v>
      </c>
      <c r="F1741" s="9" t="str">
        <f>IFERROR(__xludf.DUMMYFUNCTION("""COMPUTED_VALUE"""),"PHP")</f>
        <v>PHP</v>
      </c>
      <c r="G1741" s="9" t="str">
        <f>IFERROR(__xludf.DUMMYFUNCTION("""COMPUTED_VALUE"""),"WebAssembly")</f>
        <v>WebAssembly</v>
      </c>
      <c r="H1741" s="9" t="str">
        <f>IFERROR(__xludf.DUMMYFUNCTION("""COMPUTED_VALUE"""),"Go")</f>
        <v>Go</v>
      </c>
      <c r="I1741" s="9" t="str">
        <f>IFERROR(__xludf.DUMMYFUNCTION("""COMPUTED_VALUE"""),"HTML/CSS")</f>
        <v>HTML/CSS</v>
      </c>
      <c r="J1741" s="9" t="str">
        <f>IFERROR(__xludf.DUMMYFUNCTION("""COMPUTED_VALUE"""),"SQL")</f>
        <v>SQL</v>
      </c>
      <c r="K1741" s="9" t="str">
        <f>IFERROR(__xludf.DUMMYFUNCTION("""COMPUTED_VALUE"""),"Python")</f>
        <v>Python</v>
      </c>
      <c r="L1741" s="9" t="str">
        <f>IFERROR(__xludf.DUMMYFUNCTION("""COMPUTED_VALUE"""),"C#")</f>
        <v>C#</v>
      </c>
      <c r="M1741" s="9" t="s">
        <v>20</v>
      </c>
    </row>
    <row r="1742" ht="15.75" customHeight="1">
      <c r="A1742" s="7"/>
      <c r="B1742" s="7" t="str">
        <f>IFERROR(__xludf.DUMMYFUNCTION("""COMPUTED_VALUE"""),"Bash/Shell/PowerShell;C++;C#;Java;Kotlin;PHP")</f>
        <v>Bash/Shell/PowerShell;C++;C#;Java;Kotlin;PHP</v>
      </c>
      <c r="C1742" s="9" t="str">
        <f>IFERROR(__xludf.DUMMYFUNCTION("""COMPUTED_VALUE"""),"JavaScript")</f>
        <v>JavaScript</v>
      </c>
      <c r="D1742" s="9" t="str">
        <f>IFERROR(__xludf.DUMMYFUNCTION("""COMPUTED_VALUE"""),"C#")</f>
        <v>C#</v>
      </c>
      <c r="E1742" s="9" t="str">
        <f>IFERROR(__xludf.DUMMYFUNCTION("""COMPUTED_VALUE"""),"SQL")</f>
        <v>SQL</v>
      </c>
      <c r="F1742" s="9" t="str">
        <f>IFERROR(__xludf.DUMMYFUNCTION("""COMPUTED_VALUE"""),"Python")</f>
        <v>Python</v>
      </c>
      <c r="G1742" s="9" t="str">
        <f>IFERROR(__xludf.DUMMYFUNCTION("""COMPUTED_VALUE"""),"Clojure")</f>
        <v>Clojure</v>
      </c>
      <c r="H1742" s="9" t="str">
        <f>IFERROR(__xludf.DUMMYFUNCTION("""COMPUTED_VALUE"""),"HTML/CSS")</f>
        <v>HTML/CSS</v>
      </c>
      <c r="I1742" s="9" t="str">
        <f>IFERROR(__xludf.DUMMYFUNCTION("""COMPUTED_VALUE"""),"JavaScript")</f>
        <v>JavaScript</v>
      </c>
      <c r="J1742" s="9" t="str">
        <f>IFERROR(__xludf.DUMMYFUNCTION("""COMPUTED_VALUE"""),"Bash/Shell/PowerShell")</f>
        <v>Bash/Shell/PowerShell</v>
      </c>
      <c r="K1742" s="9" t="str">
        <f>IFERROR(__xludf.DUMMYFUNCTION("""COMPUTED_VALUE"""),"TypeScript")</f>
        <v>TypeScript</v>
      </c>
      <c r="L1742" s="9" t="str">
        <f>IFERROR(__xludf.DUMMYFUNCTION("""COMPUTED_VALUE"""),"Go")</f>
        <v>Go</v>
      </c>
      <c r="M1742" s="9" t="s">
        <v>21</v>
      </c>
    </row>
    <row r="1743" ht="15.75" customHeight="1">
      <c r="A1743" s="7"/>
      <c r="B1743" s="7" t="str">
        <f>IFERROR(__xludf.DUMMYFUNCTION("""COMPUTED_VALUE"""),"Bash/Shell/PowerShell;HTML/CSS;JavaScript;Ruby;SQL")</f>
        <v>Bash/Shell/PowerShell;HTML/CSS;JavaScript;Ruby;SQL</v>
      </c>
      <c r="C1743" s="9" t="str">
        <f>IFERROR(__xludf.DUMMYFUNCTION("""COMPUTED_VALUE"""),"Python")</f>
        <v>Python</v>
      </c>
      <c r="D1743" s="9" t="str">
        <f>IFERROR(__xludf.DUMMYFUNCTION("""COMPUTED_VALUE"""),"C#")</f>
        <v>C#</v>
      </c>
      <c r="E1743" s="9" t="str">
        <f>IFERROR(__xludf.DUMMYFUNCTION("""COMPUTED_VALUE"""),"HTML/CSS")</f>
        <v>HTML/CSS</v>
      </c>
      <c r="F1743" s="9" t="str">
        <f>IFERROR(__xludf.DUMMYFUNCTION("""COMPUTED_VALUE"""),"SQL")</f>
        <v>SQL</v>
      </c>
      <c r="G1743" s="9" t="str">
        <f>IFERROR(__xludf.DUMMYFUNCTION("""COMPUTED_VALUE"""),"HTML/CSS")</f>
        <v>HTML/CSS</v>
      </c>
      <c r="H1743" s="9" t="str">
        <f>IFERROR(__xludf.DUMMYFUNCTION("""COMPUTED_VALUE"""),"JavaScript")</f>
        <v>JavaScript</v>
      </c>
      <c r="I1743" s="9" t="str">
        <f>IFERROR(__xludf.DUMMYFUNCTION("""COMPUTED_VALUE"""),"Python")</f>
        <v>Python</v>
      </c>
      <c r="J1743" s="9" t="str">
        <f>IFERROR(__xludf.DUMMYFUNCTION("""COMPUTED_VALUE"""),"C")</f>
        <v>C</v>
      </c>
      <c r="K1743" s="9" t="str">
        <f>IFERROR(__xludf.DUMMYFUNCTION("""COMPUTED_VALUE"""),"C++")</f>
        <v>C++</v>
      </c>
      <c r="L1743" s="9" t="str">
        <f>IFERROR(__xludf.DUMMYFUNCTION("""COMPUTED_VALUE"""),"HTML/CSS")</f>
        <v>HTML/CSS</v>
      </c>
      <c r="M1743" s="9" t="s">
        <v>22</v>
      </c>
    </row>
    <row r="1744" ht="15.75" customHeight="1">
      <c r="A1744" s="7"/>
      <c r="B1744" s="7" t="str">
        <f>IFERROR(__xludf.DUMMYFUNCTION("""COMPUTED_VALUE"""),"Bash/Shell/PowerShell;Go;HTML/CSS;JavaScript;Ruby")</f>
        <v>Bash/Shell/PowerShell;Go;HTML/CSS;JavaScript;Ruby</v>
      </c>
      <c r="C1744" s="9" t="str">
        <f>IFERROR(__xludf.DUMMYFUNCTION("""COMPUTED_VALUE"""),"SQL")</f>
        <v>SQL</v>
      </c>
      <c r="D1744" s="9" t="str">
        <f>IFERROR(__xludf.DUMMYFUNCTION("""COMPUTED_VALUE"""),"HTML/CSS")</f>
        <v>HTML/CSS</v>
      </c>
      <c r="E1744" s="9" t="str">
        <f>IFERROR(__xludf.DUMMYFUNCTION("""COMPUTED_VALUE"""),"JavaScript")</f>
        <v>JavaScript</v>
      </c>
      <c r="F1744" s="9" t="str">
        <f>IFERROR(__xludf.DUMMYFUNCTION("""COMPUTED_VALUE"""),"C++")</f>
        <v>C++</v>
      </c>
      <c r="G1744" s="9" t="str">
        <f>IFERROR(__xludf.DUMMYFUNCTION("""COMPUTED_VALUE"""),"Java")</f>
        <v>Java</v>
      </c>
      <c r="H1744" s="9" t="str">
        <f>IFERROR(__xludf.DUMMYFUNCTION("""COMPUTED_VALUE"""),"PHP")</f>
        <v>PHP</v>
      </c>
      <c r="I1744" s="9" t="str">
        <f>IFERROR(__xludf.DUMMYFUNCTION("""COMPUTED_VALUE"""),"Bash/Shell/PowerShell")</f>
        <v>Bash/Shell/PowerShell</v>
      </c>
      <c r="J1744" s="9" t="str">
        <f>IFERROR(__xludf.DUMMYFUNCTION("""COMPUTED_VALUE"""),"C++")</f>
        <v>C++</v>
      </c>
      <c r="K1744" s="9" t="str">
        <f>IFERROR(__xludf.DUMMYFUNCTION("""COMPUTED_VALUE"""),"HTML/CSS")</f>
        <v>HTML/CSS</v>
      </c>
      <c r="L1744" s="9" t="str">
        <f>IFERROR(__xludf.DUMMYFUNCTION("""COMPUTED_VALUE"""),"Java")</f>
        <v>Java</v>
      </c>
      <c r="M1744" s="9" t="s">
        <v>27</v>
      </c>
    </row>
    <row r="1745" ht="15.75" customHeight="1">
      <c r="A1745" s="7"/>
      <c r="B1745" s="7" t="str">
        <f>IFERROR(__xludf.DUMMYFUNCTION("""COMPUTED_VALUE"""),"Bash/Shell/PowerShell;C;HTML/CSS;Java;JavaScript;PHP;Python;SQL;VBA")</f>
        <v>Bash/Shell/PowerShell;C;HTML/CSS;Java;JavaScript;PHP;Python;SQL;VBA</v>
      </c>
      <c r="C1745" s="9" t="str">
        <f>IFERROR(__xludf.DUMMYFUNCTION("""COMPUTED_VALUE"""),"HTML/CSS")</f>
        <v>HTML/CSS</v>
      </c>
      <c r="D1745" s="9" t="str">
        <f>IFERROR(__xludf.DUMMYFUNCTION("""COMPUTED_VALUE"""),"Java")</f>
        <v>Java</v>
      </c>
      <c r="E1745" s="9" t="str">
        <f>IFERROR(__xludf.DUMMYFUNCTION("""COMPUTED_VALUE"""),"C#")</f>
        <v>C#</v>
      </c>
      <c r="F1745" s="9" t="str">
        <f>IFERROR(__xludf.DUMMYFUNCTION("""COMPUTED_VALUE"""),"Go")</f>
        <v>Go</v>
      </c>
      <c r="G1745" s="9" t="str">
        <f>IFERROR(__xludf.DUMMYFUNCTION("""COMPUTED_VALUE"""),"JavaScript")</f>
        <v>JavaScript</v>
      </c>
      <c r="H1745" s="9" t="str">
        <f>IFERROR(__xludf.DUMMYFUNCTION("""COMPUTED_VALUE"""),"SQL")</f>
        <v>SQL</v>
      </c>
      <c r="I1745" s="9" t="str">
        <f>IFERROR(__xludf.DUMMYFUNCTION("""COMPUTED_VALUE"""),"C")</f>
        <v>C</v>
      </c>
      <c r="J1745" s="9" t="str">
        <f>IFERROR(__xludf.DUMMYFUNCTION("""COMPUTED_VALUE"""),"Java")</f>
        <v>Java</v>
      </c>
      <c r="K1745" s="9" t="str">
        <f>IFERROR(__xludf.DUMMYFUNCTION("""COMPUTED_VALUE"""),"JavaScript")</f>
        <v>JavaScript</v>
      </c>
      <c r="L1745" s="9" t="str">
        <f>IFERROR(__xludf.DUMMYFUNCTION("""COMPUTED_VALUE"""),"JavaScript")</f>
        <v>JavaScript</v>
      </c>
      <c r="M1745" s="9" t="s">
        <v>24</v>
      </c>
    </row>
    <row r="1746" ht="15.75" customHeight="1">
      <c r="A1746" s="7"/>
      <c r="B1746" s="7" t="str">
        <f>IFERROR(__xludf.DUMMYFUNCTION("""COMPUTED_VALUE"""),"Bash/Shell/PowerShell;Python;SQL;Other(s):")</f>
        <v>Bash/Shell/PowerShell;Python;SQL;Other(s):</v>
      </c>
      <c r="C1746" s="9" t="str">
        <f>IFERROR(__xludf.DUMMYFUNCTION("""COMPUTED_VALUE"""),"JavaScript")</f>
        <v>JavaScript</v>
      </c>
      <c r="D1746" s="9" t="str">
        <f>IFERROR(__xludf.DUMMYFUNCTION("""COMPUTED_VALUE"""),"JavaScript")</f>
        <v>JavaScript</v>
      </c>
      <c r="E1746" s="9" t="str">
        <f>IFERROR(__xludf.DUMMYFUNCTION("""COMPUTED_VALUE"""),"JavaScript")</f>
        <v>JavaScript</v>
      </c>
      <c r="F1746" s="9" t="str">
        <f>IFERROR(__xludf.DUMMYFUNCTION("""COMPUTED_VALUE"""),"JavaScript")</f>
        <v>JavaScript</v>
      </c>
      <c r="G1746" s="9" t="str">
        <f>IFERROR(__xludf.DUMMYFUNCTION("""COMPUTED_VALUE"""),"SQL")</f>
        <v>SQL</v>
      </c>
      <c r="H1746" s="9" t="str">
        <f>IFERROR(__xludf.DUMMYFUNCTION("""COMPUTED_VALUE"""),"C")</f>
        <v>C</v>
      </c>
      <c r="I1746" s="9" t="str">
        <f>IFERROR(__xludf.DUMMYFUNCTION("""COMPUTED_VALUE"""),"PHP")</f>
        <v>PHP</v>
      </c>
      <c r="J1746" s="9" t="str">
        <f>IFERROR(__xludf.DUMMYFUNCTION("""COMPUTED_VALUE"""),"Objective-C")</f>
        <v>Objective-C</v>
      </c>
      <c r="K1746" s="9" t="str">
        <f>IFERROR(__xludf.DUMMYFUNCTION("""COMPUTED_VALUE"""),"HTML/CSS")</f>
        <v>HTML/CSS</v>
      </c>
      <c r="L1746" s="9" t="str">
        <f>IFERROR(__xludf.DUMMYFUNCTION("""COMPUTED_VALUE"""),"PHP")</f>
        <v>PHP</v>
      </c>
      <c r="M1746" s="9" t="s">
        <v>21</v>
      </c>
    </row>
    <row r="1747" ht="15.75" customHeight="1">
      <c r="A1747" s="7"/>
      <c r="B1747" s="7" t="str">
        <f>IFERROR(__xludf.DUMMYFUNCTION("""COMPUTED_VALUE"""),"HTML/CSS;JavaScript;PHP;SQL;Other(s):")</f>
        <v>HTML/CSS;JavaScript;PHP;SQL;Other(s):</v>
      </c>
      <c r="C1747" s="9" t="str">
        <f>IFERROR(__xludf.DUMMYFUNCTION("""COMPUTED_VALUE"""),"Ruby")</f>
        <v>Ruby</v>
      </c>
      <c r="D1747" s="9" t="str">
        <f>IFERROR(__xludf.DUMMYFUNCTION("""COMPUTED_VALUE"""),"PHP")</f>
        <v>PHP</v>
      </c>
      <c r="E1747" s="9" t="str">
        <f>IFERROR(__xludf.DUMMYFUNCTION("""COMPUTED_VALUE"""),"Other(s):")</f>
        <v>Other(s):</v>
      </c>
      <c r="F1747" s="9" t="str">
        <f>IFERROR(__xludf.DUMMYFUNCTION("""COMPUTED_VALUE"""),"SQL")</f>
        <v>SQL</v>
      </c>
      <c r="G1747" s="9" t="str">
        <f>IFERROR(__xludf.DUMMYFUNCTION("""COMPUTED_VALUE"""),"Other(s):")</f>
        <v>Other(s):</v>
      </c>
      <c r="H1747" s="9" t="str">
        <f>IFERROR(__xludf.DUMMYFUNCTION("""COMPUTED_VALUE"""),"HTML/CSS")</f>
        <v>HTML/CSS</v>
      </c>
      <c r="I1747" s="9" t="str">
        <f>IFERROR(__xludf.DUMMYFUNCTION("""COMPUTED_VALUE"""),"Python")</f>
        <v>Python</v>
      </c>
      <c r="J1747" s="9" t="str">
        <f>IFERROR(__xludf.DUMMYFUNCTION("""COMPUTED_VALUE"""),"Python")</f>
        <v>Python</v>
      </c>
      <c r="K1747" s="9" t="str">
        <f>IFERROR(__xludf.DUMMYFUNCTION("""COMPUTED_VALUE"""),"Java")</f>
        <v>Java</v>
      </c>
      <c r="L1747" s="9" t="str">
        <f>IFERROR(__xludf.DUMMYFUNCTION("""COMPUTED_VALUE"""),"TypeScript")</f>
        <v>TypeScript</v>
      </c>
      <c r="M1747" s="9" t="s">
        <v>31</v>
      </c>
    </row>
    <row r="1748" ht="15.75" customHeight="1">
      <c r="A1748" s="7"/>
      <c r="B1748" s="7" t="str">
        <f>IFERROR(__xludf.DUMMYFUNCTION("""COMPUTED_VALUE"""),"Clojure;HTML/CSS;JavaScript;Python")</f>
        <v>Clojure;HTML/CSS;JavaScript;Python</v>
      </c>
      <c r="C1748" s="9" t="str">
        <f>IFERROR(__xludf.DUMMYFUNCTION("""COMPUTED_VALUE"""),"TypeScript")</f>
        <v>TypeScript</v>
      </c>
      <c r="D1748" s="9" t="str">
        <f>IFERROR(__xludf.DUMMYFUNCTION("""COMPUTED_VALUE"""),"SQL")</f>
        <v>SQL</v>
      </c>
      <c r="E1748" s="9" t="str">
        <f>IFERROR(__xludf.DUMMYFUNCTION("""COMPUTED_VALUE"""),"Bash/Shell/PowerShell")</f>
        <v>Bash/Shell/PowerShell</v>
      </c>
      <c r="F1748" s="9" t="str">
        <f>IFERROR(__xludf.DUMMYFUNCTION("""COMPUTED_VALUE"""),"C")</f>
        <v>C</v>
      </c>
      <c r="G1748" s="9" t="str">
        <f>IFERROR(__xludf.DUMMYFUNCTION("""COMPUTED_VALUE"""),"Bash/Shell/PowerShell")</f>
        <v>Bash/Shell/PowerShell</v>
      </c>
      <c r="H1748" s="9" t="str">
        <f>IFERROR(__xludf.DUMMYFUNCTION("""COMPUTED_VALUE"""),"Java")</f>
        <v>Java</v>
      </c>
      <c r="I1748" s="9" t="str">
        <f>IFERROR(__xludf.DUMMYFUNCTION("""COMPUTED_VALUE"""),"C")</f>
        <v>C</v>
      </c>
      <c r="J1748" s="9" t="str">
        <f>IFERROR(__xludf.DUMMYFUNCTION("""COMPUTED_VALUE"""),"SQL")</f>
        <v>SQL</v>
      </c>
      <c r="K1748" s="9" t="str">
        <f>IFERROR(__xludf.DUMMYFUNCTION("""COMPUTED_VALUE"""),"JavaScript")</f>
        <v>JavaScript</v>
      </c>
      <c r="L1748" s="9" t="str">
        <f>IFERROR(__xludf.DUMMYFUNCTION("""COMPUTED_VALUE"""),"Bash/Shell/PowerShell")</f>
        <v>Bash/Shell/PowerShell</v>
      </c>
      <c r="M1748" s="9" t="s">
        <v>33</v>
      </c>
    </row>
    <row r="1749" ht="15.75" customHeight="1">
      <c r="A1749" s="7"/>
      <c r="B1749" s="7" t="str">
        <f>IFERROR(__xludf.DUMMYFUNCTION("""COMPUTED_VALUE"""),"Bash/Shell/PowerShell;HTML/CSS;JavaScript;PHP;Python;SQL")</f>
        <v>Bash/Shell/PowerShell;HTML/CSS;JavaScript;PHP;Python;SQL</v>
      </c>
      <c r="C1749" s="9" t="str">
        <f>IFERROR(__xludf.DUMMYFUNCTION("""COMPUTED_VALUE"""),"HTML/CSS")</f>
        <v>HTML/CSS</v>
      </c>
      <c r="D1749" s="9" t="str">
        <f>IFERROR(__xludf.DUMMYFUNCTION("""COMPUTED_VALUE"""),"Bash/Shell/PowerShell")</f>
        <v>Bash/Shell/PowerShell</v>
      </c>
      <c r="E1749" s="9" t="str">
        <f>IFERROR(__xludf.DUMMYFUNCTION("""COMPUTED_VALUE"""),"HTML/CSS")</f>
        <v>HTML/CSS</v>
      </c>
      <c r="F1749" s="9" t="str">
        <f>IFERROR(__xludf.DUMMYFUNCTION("""COMPUTED_VALUE"""),"HTML/CSS")</f>
        <v>HTML/CSS</v>
      </c>
      <c r="G1749" s="9" t="str">
        <f>IFERROR(__xludf.DUMMYFUNCTION("""COMPUTED_VALUE"""),"HTML/CSS")</f>
        <v>HTML/CSS</v>
      </c>
      <c r="H1749" s="9" t="str">
        <f>IFERROR(__xludf.DUMMYFUNCTION("""COMPUTED_VALUE"""),"JavaScript")</f>
        <v>JavaScript</v>
      </c>
      <c r="I1749" s="9" t="str">
        <f>IFERROR(__xludf.DUMMYFUNCTION("""COMPUTED_VALUE"""),"C++")</f>
        <v>C++</v>
      </c>
      <c r="J1749" s="9" t="str">
        <f>IFERROR(__xludf.DUMMYFUNCTION("""COMPUTED_VALUE"""),"Swift")</f>
        <v>Swift</v>
      </c>
      <c r="K1749" s="9" t="str">
        <f>IFERROR(__xludf.DUMMYFUNCTION("""COMPUTED_VALUE"""),"SQL")</f>
        <v>SQL</v>
      </c>
      <c r="L1749" s="9" t="str">
        <f>IFERROR(__xludf.DUMMYFUNCTION("""COMPUTED_VALUE"""),"Python")</f>
        <v>Python</v>
      </c>
      <c r="M1749" s="9" t="s">
        <v>24</v>
      </c>
    </row>
    <row r="1750" ht="15.75" customHeight="1">
      <c r="A1750" s="7"/>
      <c r="B1750" s="7" t="str">
        <f>IFERROR(__xludf.DUMMYFUNCTION("""COMPUTED_VALUE"""),"Assembly;C;C++;Java;JavaScript;Kotlin;Scala;SQL;TypeScript")</f>
        <v>Assembly;C;C++;Java;JavaScript;Kotlin;Scala;SQL;TypeScript</v>
      </c>
      <c r="C1750" s="9" t="str">
        <f>IFERROR(__xludf.DUMMYFUNCTION("""COMPUTED_VALUE"""),"JavaScript")</f>
        <v>JavaScript</v>
      </c>
      <c r="D1750" s="9" t="str">
        <f>IFERROR(__xludf.DUMMYFUNCTION("""COMPUTED_VALUE"""),"Go")</f>
        <v>Go</v>
      </c>
      <c r="E1750" s="9" t="str">
        <f>IFERROR(__xludf.DUMMYFUNCTION("""COMPUTED_VALUE"""),"Java")</f>
        <v>Java</v>
      </c>
      <c r="F1750" s="9" t="str">
        <f>IFERROR(__xludf.DUMMYFUNCTION("""COMPUTED_VALUE"""),"Java")</f>
        <v>Java</v>
      </c>
      <c r="G1750" s="9" t="str">
        <f>IFERROR(__xludf.DUMMYFUNCTION("""COMPUTED_VALUE"""),"Java")</f>
        <v>Java</v>
      </c>
      <c r="H1750" s="9" t="str">
        <f>IFERROR(__xludf.DUMMYFUNCTION("""COMPUTED_VALUE"""),"HTML/CSS")</f>
        <v>HTML/CSS</v>
      </c>
      <c r="I1750" s="9" t="str">
        <f>IFERROR(__xludf.DUMMYFUNCTION("""COMPUTED_VALUE"""),"C#")</f>
        <v>C#</v>
      </c>
      <c r="J1750" s="9" t="str">
        <f>IFERROR(__xludf.DUMMYFUNCTION("""COMPUTED_VALUE"""),"VBA")</f>
        <v>VBA</v>
      </c>
      <c r="K1750" s="9" t="str">
        <f>IFERROR(__xludf.DUMMYFUNCTION("""COMPUTED_VALUE"""),"C")</f>
        <v>C</v>
      </c>
      <c r="L1750" s="9" t="str">
        <f>IFERROR(__xludf.DUMMYFUNCTION("""COMPUTED_VALUE"""),"SQL")</f>
        <v>SQL</v>
      </c>
      <c r="M1750" s="9" t="s">
        <v>21</v>
      </c>
    </row>
    <row r="1751" ht="15.75" customHeight="1">
      <c r="A1751" s="7"/>
      <c r="B1751" s="7" t="str">
        <f>IFERROR(__xludf.DUMMYFUNCTION("""COMPUTED_VALUE"""),"JavaScript")</f>
        <v>JavaScript</v>
      </c>
      <c r="C1751" s="9" t="str">
        <f>IFERROR(__xludf.DUMMYFUNCTION("""COMPUTED_VALUE"""),"TypeScript")</f>
        <v>TypeScript</v>
      </c>
      <c r="D1751" s="9" t="str">
        <f>IFERROR(__xludf.DUMMYFUNCTION("""COMPUTED_VALUE"""),"HTML/CSS")</f>
        <v>HTML/CSS</v>
      </c>
      <c r="E1751" s="9" t="str">
        <f>IFERROR(__xludf.DUMMYFUNCTION("""COMPUTED_VALUE"""),"JavaScript")</f>
        <v>JavaScript</v>
      </c>
      <c r="F1751" s="9" t="str">
        <f>IFERROR(__xludf.DUMMYFUNCTION("""COMPUTED_VALUE"""),"PHP")</f>
        <v>PHP</v>
      </c>
      <c r="G1751" s="9" t="str">
        <f>IFERROR(__xludf.DUMMYFUNCTION("""COMPUTED_VALUE"""),"JavaScript")</f>
        <v>JavaScript</v>
      </c>
      <c r="H1751" s="9" t="str">
        <f>IFERROR(__xludf.DUMMYFUNCTION("""COMPUTED_VALUE"""),"JavaScript")</f>
        <v>JavaScript</v>
      </c>
      <c r="I1751" s="9" t="str">
        <f>IFERROR(__xludf.DUMMYFUNCTION("""COMPUTED_VALUE"""),"JavaScript")</f>
        <v>JavaScript</v>
      </c>
      <c r="J1751" s="9" t="str">
        <f>IFERROR(__xludf.DUMMYFUNCTION("""COMPUTED_VALUE"""),"HTML/CSS")</f>
        <v>HTML/CSS</v>
      </c>
      <c r="K1751" s="9" t="str">
        <f>IFERROR(__xludf.DUMMYFUNCTION("""COMPUTED_VALUE"""),"C++")</f>
        <v>C++</v>
      </c>
      <c r="L1751" s="9" t="str">
        <f>IFERROR(__xludf.DUMMYFUNCTION("""COMPUTED_VALUE"""),"C#")</f>
        <v>C#</v>
      </c>
      <c r="M1751" s="9" t="s">
        <v>33</v>
      </c>
    </row>
    <row r="1752" ht="15.75" customHeight="1">
      <c r="A1752" s="7"/>
      <c r="B1752" s="7" t="str">
        <f>IFERROR(__xludf.DUMMYFUNCTION("""COMPUTED_VALUE"""),"C#;HTML/CSS;Java;PHP;Python;SQL")</f>
        <v>C#;HTML/CSS;Java;PHP;Python;SQL</v>
      </c>
      <c r="C1752" s="9" t="str">
        <f>IFERROR(__xludf.DUMMYFUNCTION("""COMPUTED_VALUE"""),"HTML/CSS")</f>
        <v>HTML/CSS</v>
      </c>
      <c r="D1752" s="9" t="str">
        <f>IFERROR(__xludf.DUMMYFUNCTION("""COMPUTED_VALUE"""),"Java")</f>
        <v>Java</v>
      </c>
      <c r="E1752" s="9" t="str">
        <f>IFERROR(__xludf.DUMMYFUNCTION("""COMPUTED_VALUE"""),"PHP")</f>
        <v>PHP</v>
      </c>
      <c r="F1752" s="9" t="str">
        <f>IFERROR(__xludf.DUMMYFUNCTION("""COMPUTED_VALUE"""),"C")</f>
        <v>C</v>
      </c>
      <c r="G1752" s="9" t="str">
        <f>IFERROR(__xludf.DUMMYFUNCTION("""COMPUTED_VALUE"""),"PHP")</f>
        <v>PHP</v>
      </c>
      <c r="H1752" s="9" t="str">
        <f>IFERROR(__xludf.DUMMYFUNCTION("""COMPUTED_VALUE"""),"Python")</f>
        <v>Python</v>
      </c>
      <c r="I1752" s="9" t="str">
        <f>IFERROR(__xludf.DUMMYFUNCTION("""COMPUTED_VALUE"""),"PHP")</f>
        <v>PHP</v>
      </c>
      <c r="J1752" s="9" t="str">
        <f>IFERROR(__xludf.DUMMYFUNCTION("""COMPUTED_VALUE"""),"JavaScript")</f>
        <v>JavaScript</v>
      </c>
      <c r="K1752" s="9" t="str">
        <f>IFERROR(__xludf.DUMMYFUNCTION("""COMPUTED_VALUE"""),"Go")</f>
        <v>Go</v>
      </c>
      <c r="L1752" s="9" t="str">
        <f>IFERROR(__xludf.DUMMYFUNCTION("""COMPUTED_VALUE"""),"HTML/CSS")</f>
        <v>HTML/CSS</v>
      </c>
      <c r="M1752" s="9" t="s">
        <v>24</v>
      </c>
    </row>
    <row r="1753" ht="15.75" customHeight="1">
      <c r="A1753" s="7"/>
      <c r="B1753" s="7" t="str">
        <f>IFERROR(__xludf.DUMMYFUNCTION("""COMPUTED_VALUE"""),"C#;HTML/CSS;Java;JavaScript;PHP;SQL;TypeScript")</f>
        <v>C#;HTML/CSS;Java;JavaScript;PHP;SQL;TypeScript</v>
      </c>
      <c r="C1753" s="9" t="str">
        <f>IFERROR(__xludf.DUMMYFUNCTION("""COMPUTED_VALUE"""),"Java")</f>
        <v>Java</v>
      </c>
      <c r="D1753" s="9" t="str">
        <f>IFERROR(__xludf.DUMMYFUNCTION("""COMPUTED_VALUE"""),"JavaScript")</f>
        <v>JavaScript</v>
      </c>
      <c r="E1753" s="9" t="str">
        <f>IFERROR(__xludf.DUMMYFUNCTION("""COMPUTED_VALUE"""),"SQL")</f>
        <v>SQL</v>
      </c>
      <c r="F1753" s="9" t="str">
        <f>IFERROR(__xludf.DUMMYFUNCTION("""COMPUTED_VALUE"""),"C++")</f>
        <v>C++</v>
      </c>
      <c r="G1753" s="9" t="str">
        <f>IFERROR(__xludf.DUMMYFUNCTION("""COMPUTED_VALUE"""),"Python")</f>
        <v>Python</v>
      </c>
      <c r="H1753" s="9" t="str">
        <f>IFERROR(__xludf.DUMMYFUNCTION("""COMPUTED_VALUE"""),"TypeScript")</f>
        <v>TypeScript</v>
      </c>
      <c r="I1753" s="9" t="str">
        <f>IFERROR(__xludf.DUMMYFUNCTION("""COMPUTED_VALUE"""),"SQL")</f>
        <v>SQL</v>
      </c>
      <c r="J1753" s="9" t="str">
        <f>IFERROR(__xludf.DUMMYFUNCTION("""COMPUTED_VALUE"""),"Objective-C")</f>
        <v>Objective-C</v>
      </c>
      <c r="K1753" s="9" t="str">
        <f>IFERROR(__xludf.DUMMYFUNCTION("""COMPUTED_VALUE"""),"Java")</f>
        <v>Java</v>
      </c>
      <c r="L1753" s="9" t="str">
        <f>IFERROR(__xludf.DUMMYFUNCTION("""COMPUTED_VALUE"""),"JavaScript")</f>
        <v>JavaScript</v>
      </c>
      <c r="M1753" s="9" t="s">
        <v>20</v>
      </c>
    </row>
    <row r="1754" ht="15.75" customHeight="1">
      <c r="A1754" s="7"/>
      <c r="B1754" s="7" t="str">
        <f>IFERROR(__xludf.DUMMYFUNCTION("""COMPUTED_VALUE"""),"Go;HTML/CSS;Java;JavaScript;PHP;Python;SQL")</f>
        <v>Go;HTML/CSS;Java;JavaScript;PHP;Python;SQL</v>
      </c>
      <c r="C1754" s="9" t="str">
        <f>IFERROR(__xludf.DUMMYFUNCTION("""COMPUTED_VALUE"""),"JavaScript")</f>
        <v>JavaScript</v>
      </c>
      <c r="D1754" s="9" t="str">
        <f>IFERROR(__xludf.DUMMYFUNCTION("""COMPUTED_VALUE"""),"SQL")</f>
        <v>SQL</v>
      </c>
      <c r="E1754" s="9" t="str">
        <f>IFERROR(__xludf.DUMMYFUNCTION("""COMPUTED_VALUE"""),"HTML/CSS")</f>
        <v>HTML/CSS</v>
      </c>
      <c r="F1754" s="9" t="str">
        <f>IFERROR(__xludf.DUMMYFUNCTION("""COMPUTED_VALUE"""),"C#")</f>
        <v>C#</v>
      </c>
      <c r="G1754" s="9" t="str">
        <f>IFERROR(__xludf.DUMMYFUNCTION("""COMPUTED_VALUE"""),"SQL")</f>
        <v>SQL</v>
      </c>
      <c r="H1754" s="9" t="str">
        <f>IFERROR(__xludf.DUMMYFUNCTION("""COMPUTED_VALUE"""),"Assembly")</f>
        <v>Assembly</v>
      </c>
      <c r="I1754" s="9" t="str">
        <f>IFERROR(__xludf.DUMMYFUNCTION("""COMPUTED_VALUE"""),"Bash/Shell/PowerShell")</f>
        <v>Bash/Shell/PowerShell</v>
      </c>
      <c r="J1754" s="9" t="str">
        <f>IFERROR(__xludf.DUMMYFUNCTION("""COMPUTED_VALUE"""),"Python")</f>
        <v>Python</v>
      </c>
      <c r="K1754" s="9" t="str">
        <f>IFERROR(__xludf.DUMMYFUNCTION("""COMPUTED_VALUE"""),"PHP")</f>
        <v>PHP</v>
      </c>
      <c r="L1754" s="9" t="str">
        <f>IFERROR(__xludf.DUMMYFUNCTION("""COMPUTED_VALUE"""),"SQL")</f>
        <v>SQL</v>
      </c>
      <c r="M1754" s="9" t="s">
        <v>21</v>
      </c>
    </row>
    <row r="1755" ht="15.75" customHeight="1">
      <c r="A1755" s="7"/>
      <c r="B1755" s="7" t="str">
        <f>IFERROR(__xludf.DUMMYFUNCTION("""COMPUTED_VALUE"""),"Assembly;Bash/Shell/PowerShell;C;C#;F#;HTML/CSS;JavaScript;PHP;Python;SQL;TypeScript;VBA;Other(s):")</f>
        <v>Assembly;Bash/Shell/PowerShell;C;C#;F#;HTML/CSS;JavaScript;PHP;Python;SQL;TypeScript;VBA;Other(s):</v>
      </c>
      <c r="C1755" s="9" t="str">
        <f>IFERROR(__xludf.DUMMYFUNCTION("""COMPUTED_VALUE"""),"Kotlin")</f>
        <v>Kotlin</v>
      </c>
      <c r="D1755" s="9" t="str">
        <f>IFERROR(__xludf.DUMMYFUNCTION("""COMPUTED_VALUE"""),"Bash/Shell/PowerShell")</f>
        <v>Bash/Shell/PowerShell</v>
      </c>
      <c r="E1755" s="9" t="str">
        <f>IFERROR(__xludf.DUMMYFUNCTION("""COMPUTED_VALUE"""),"JavaScript")</f>
        <v>JavaScript</v>
      </c>
      <c r="F1755" s="9" t="str">
        <f>IFERROR(__xludf.DUMMYFUNCTION("""COMPUTED_VALUE"""),"Go")</f>
        <v>Go</v>
      </c>
      <c r="G1755" s="9" t="str">
        <f>IFERROR(__xludf.DUMMYFUNCTION("""COMPUTED_VALUE"""),"Bash/Shell/PowerShell")</f>
        <v>Bash/Shell/PowerShell</v>
      </c>
      <c r="H1755" s="9" t="str">
        <f>IFERROR(__xludf.DUMMYFUNCTION("""COMPUTED_VALUE"""),"C")</f>
        <v>C</v>
      </c>
      <c r="I1755" s="9" t="str">
        <f>IFERROR(__xludf.DUMMYFUNCTION("""COMPUTED_VALUE"""),"HTML/CSS")</f>
        <v>HTML/CSS</v>
      </c>
      <c r="J1755" s="9" t="str">
        <f>IFERROR(__xludf.DUMMYFUNCTION("""COMPUTED_VALUE"""),"VBA")</f>
        <v>VBA</v>
      </c>
      <c r="K1755" s="9" t="str">
        <f>IFERROR(__xludf.DUMMYFUNCTION("""COMPUTED_VALUE"""),"Python")</f>
        <v>Python</v>
      </c>
      <c r="L1755" s="9" t="str">
        <f>IFERROR(__xludf.DUMMYFUNCTION("""COMPUTED_VALUE"""),"Python")</f>
        <v>Python</v>
      </c>
      <c r="M1755" s="9" t="s">
        <v>39</v>
      </c>
    </row>
    <row r="1756" ht="15.75" customHeight="1">
      <c r="A1756" s="7"/>
      <c r="B1756" s="7" t="str">
        <f>IFERROR(__xludf.DUMMYFUNCTION("""COMPUTED_VALUE"""),"Bash/Shell/PowerShell;Clojure;Java;JavaScript;Ruby;SQL")</f>
        <v>Bash/Shell/PowerShell;Clojure;Java;JavaScript;Ruby;SQL</v>
      </c>
      <c r="C1756" s="9" t="str">
        <f>IFERROR(__xludf.DUMMYFUNCTION("""COMPUTED_VALUE"""),"TypeScript")</f>
        <v>TypeScript</v>
      </c>
      <c r="D1756" s="9" t="str">
        <f>IFERROR(__xludf.DUMMYFUNCTION("""COMPUTED_VALUE"""),"C#")</f>
        <v>C#</v>
      </c>
      <c r="E1756" s="9" t="str">
        <f>IFERROR(__xludf.DUMMYFUNCTION("""COMPUTED_VALUE"""),"PHP")</f>
        <v>PHP</v>
      </c>
      <c r="F1756" s="9" t="str">
        <f>IFERROR(__xludf.DUMMYFUNCTION("""COMPUTED_VALUE"""),"HTML/CSS")</f>
        <v>HTML/CSS</v>
      </c>
      <c r="G1756" s="9" t="str">
        <f>IFERROR(__xludf.DUMMYFUNCTION("""COMPUTED_VALUE"""),"C#")</f>
        <v>C#</v>
      </c>
      <c r="H1756" s="9" t="str">
        <f>IFERROR(__xludf.DUMMYFUNCTION("""COMPUTED_VALUE"""),"C++")</f>
        <v>C++</v>
      </c>
      <c r="I1756" s="9" t="str">
        <f>IFERROR(__xludf.DUMMYFUNCTION("""COMPUTED_VALUE"""),"JavaScript")</f>
        <v>JavaScript</v>
      </c>
      <c r="J1756" s="9" t="str">
        <f>IFERROR(__xludf.DUMMYFUNCTION("""COMPUTED_VALUE"""),"HTML/CSS")</f>
        <v>HTML/CSS</v>
      </c>
      <c r="K1756" s="9" t="str">
        <f>IFERROR(__xludf.DUMMYFUNCTION("""COMPUTED_VALUE"""),"Ruby")</f>
        <v>Ruby</v>
      </c>
      <c r="L1756" s="9" t="str">
        <f>IFERROR(__xludf.DUMMYFUNCTION("""COMPUTED_VALUE"""),"C")</f>
        <v>C</v>
      </c>
      <c r="M1756" s="9" t="s">
        <v>33</v>
      </c>
    </row>
    <row r="1757" ht="15.75" customHeight="1">
      <c r="A1757" s="7"/>
      <c r="B1757" s="7" t="str">
        <f>IFERROR(__xludf.DUMMYFUNCTION("""COMPUTED_VALUE"""),"Assembly;C#;HTML/CSS;JavaScript;SQL")</f>
        <v>Assembly;C#;HTML/CSS;JavaScript;SQL</v>
      </c>
      <c r="C1757" s="9" t="str">
        <f>IFERROR(__xludf.DUMMYFUNCTION("""COMPUTED_VALUE"""),"Bash/Shell/PowerShell")</f>
        <v>Bash/Shell/PowerShell</v>
      </c>
      <c r="D1757" s="9" t="str">
        <f>IFERROR(__xludf.DUMMYFUNCTION("""COMPUTED_VALUE"""),"Go")</f>
        <v>Go</v>
      </c>
      <c r="E1757" s="9" t="str">
        <f>IFERROR(__xludf.DUMMYFUNCTION("""COMPUTED_VALUE"""),"Python")</f>
        <v>Python</v>
      </c>
      <c r="F1757" s="9" t="str">
        <f>IFERROR(__xludf.DUMMYFUNCTION("""COMPUTED_VALUE"""),"Java")</f>
        <v>Java</v>
      </c>
      <c r="G1757" s="9" t="str">
        <f>IFERROR(__xludf.DUMMYFUNCTION("""COMPUTED_VALUE"""),"HTML/CSS")</f>
        <v>HTML/CSS</v>
      </c>
      <c r="H1757" s="9" t="str">
        <f>IFERROR(__xludf.DUMMYFUNCTION("""COMPUTED_VALUE"""),"C#")</f>
        <v>C#</v>
      </c>
      <c r="I1757" s="9" t="str">
        <f>IFERROR(__xludf.DUMMYFUNCTION("""COMPUTED_VALUE"""),"Ruby")</f>
        <v>Ruby</v>
      </c>
      <c r="J1757" s="9" t="str">
        <f>IFERROR(__xludf.DUMMYFUNCTION("""COMPUTED_VALUE"""),"JavaScript")</f>
        <v>JavaScript</v>
      </c>
      <c r="K1757" s="9" t="str">
        <f>IFERROR(__xludf.DUMMYFUNCTION("""COMPUTED_VALUE"""),"SQL")</f>
        <v>SQL</v>
      </c>
      <c r="L1757" s="9" t="str">
        <f>IFERROR(__xludf.DUMMYFUNCTION("""COMPUTED_VALUE"""),"C++")</f>
        <v>C++</v>
      </c>
      <c r="M1757" s="9" t="s">
        <v>30</v>
      </c>
    </row>
    <row r="1758" ht="15.75" customHeight="1">
      <c r="A1758" s="7"/>
      <c r="B1758" s="7" t="str">
        <f>IFERROR(__xludf.DUMMYFUNCTION("""COMPUTED_VALUE"""),"Python")</f>
        <v>Python</v>
      </c>
      <c r="C1758" s="9" t="str">
        <f>IFERROR(__xludf.DUMMYFUNCTION("""COMPUTED_VALUE"""),"Go")</f>
        <v>Go</v>
      </c>
      <c r="D1758" s="9" t="str">
        <f>IFERROR(__xludf.DUMMYFUNCTION("""COMPUTED_VALUE"""),"HTML/CSS")</f>
        <v>HTML/CSS</v>
      </c>
      <c r="E1758" s="9" t="str">
        <f>IFERROR(__xludf.DUMMYFUNCTION("""COMPUTED_VALUE"""),"SQL")</f>
        <v>SQL</v>
      </c>
      <c r="F1758" s="9" t="str">
        <f>IFERROR(__xludf.DUMMYFUNCTION("""COMPUTED_VALUE"""),"JavaScript")</f>
        <v>JavaScript</v>
      </c>
      <c r="G1758" s="9" t="str">
        <f>IFERROR(__xludf.DUMMYFUNCTION("""COMPUTED_VALUE"""),"Java")</f>
        <v>Java</v>
      </c>
      <c r="H1758" s="9" t="str">
        <f>IFERROR(__xludf.DUMMYFUNCTION("""COMPUTED_VALUE"""),"HTML/CSS")</f>
        <v>HTML/CSS</v>
      </c>
      <c r="I1758" s="9" t="str">
        <f>IFERROR(__xludf.DUMMYFUNCTION("""COMPUTED_VALUE"""),"SQL")</f>
        <v>SQL</v>
      </c>
      <c r="J1758" s="9" t="str">
        <f>IFERROR(__xludf.DUMMYFUNCTION("""COMPUTED_VALUE"""),"PHP")</f>
        <v>PHP</v>
      </c>
      <c r="K1758" s="9" t="str">
        <f>IFERROR(__xludf.DUMMYFUNCTION("""COMPUTED_VALUE"""),"Java")</f>
        <v>Java</v>
      </c>
      <c r="L1758" s="9" t="str">
        <f>IFERROR(__xludf.DUMMYFUNCTION("""COMPUTED_VALUE"""),"C#")</f>
        <v>C#</v>
      </c>
      <c r="M1758" s="9" t="s">
        <v>36</v>
      </c>
    </row>
    <row r="1759" ht="15.75" customHeight="1">
      <c r="A1759" s="7"/>
      <c r="B1759" s="7" t="str">
        <f>IFERROR(__xludf.DUMMYFUNCTION("""COMPUTED_VALUE"""),"C#;JavaScript;SQL;TypeScript")</f>
        <v>C#;JavaScript;SQL;TypeScript</v>
      </c>
      <c r="C1759" s="9" t="str">
        <f>IFERROR(__xludf.DUMMYFUNCTION("""COMPUTED_VALUE"""),"HTML/CSS")</f>
        <v>HTML/CSS</v>
      </c>
      <c r="D1759" s="9" t="str">
        <f>IFERROR(__xludf.DUMMYFUNCTION("""COMPUTED_VALUE"""),"Java")</f>
        <v>Java</v>
      </c>
      <c r="E1759" s="9" t="str">
        <f>IFERROR(__xludf.DUMMYFUNCTION("""COMPUTED_VALUE"""),"Java")</f>
        <v>Java</v>
      </c>
      <c r="F1759" s="9" t="str">
        <f>IFERROR(__xludf.DUMMYFUNCTION("""COMPUTED_VALUE"""),"PHP")</f>
        <v>PHP</v>
      </c>
      <c r="G1759" s="9" t="str">
        <f>IFERROR(__xludf.DUMMYFUNCTION("""COMPUTED_VALUE"""),"JavaScript")</f>
        <v>JavaScript</v>
      </c>
      <c r="H1759" s="9" t="str">
        <f>IFERROR(__xludf.DUMMYFUNCTION("""COMPUTED_VALUE"""),"Java")</f>
        <v>Java</v>
      </c>
      <c r="I1759" s="9" t="str">
        <f>IFERROR(__xludf.DUMMYFUNCTION("""COMPUTED_VALUE"""),"TypeScript")</f>
        <v>TypeScript</v>
      </c>
      <c r="J1759" s="9" t="str">
        <f>IFERROR(__xludf.DUMMYFUNCTION("""COMPUTED_VALUE"""),"Other(s):")</f>
        <v>Other(s):</v>
      </c>
      <c r="K1759" s="9" t="str">
        <f>IFERROR(__xludf.DUMMYFUNCTION("""COMPUTED_VALUE"""),"Go")</f>
        <v>Go</v>
      </c>
      <c r="L1759" s="9" t="str">
        <f>IFERROR(__xludf.DUMMYFUNCTION("""COMPUTED_VALUE"""),"Python")</f>
        <v>Python</v>
      </c>
      <c r="M1759" s="9" t="s">
        <v>24</v>
      </c>
    </row>
    <row r="1760" ht="15.75" customHeight="1">
      <c r="A1760" s="7"/>
      <c r="B1760" s="7" t="str">
        <f>IFERROR(__xludf.DUMMYFUNCTION("""COMPUTED_VALUE"""),"Bash/Shell/PowerShell;C++;C#;Python;Ruby")</f>
        <v>Bash/Shell/PowerShell;C++;C#;Python;Ruby</v>
      </c>
      <c r="C1760" s="9" t="str">
        <f>IFERROR(__xludf.DUMMYFUNCTION("""COMPUTED_VALUE"""),"Java")</f>
        <v>Java</v>
      </c>
      <c r="D1760" s="9" t="str">
        <f>IFERROR(__xludf.DUMMYFUNCTION("""COMPUTED_VALUE"""),"JavaScript")</f>
        <v>JavaScript</v>
      </c>
      <c r="E1760" s="9" t="str">
        <f>IFERROR(__xludf.DUMMYFUNCTION("""COMPUTED_VALUE"""),"Bash/Shell/PowerShell")</f>
        <v>Bash/Shell/PowerShell</v>
      </c>
      <c r="F1760" s="9" t="str">
        <f>IFERROR(__xludf.DUMMYFUNCTION("""COMPUTED_VALUE"""),"Python")</f>
        <v>Python</v>
      </c>
      <c r="G1760" s="9" t="str">
        <f>IFERROR(__xludf.DUMMYFUNCTION("""COMPUTED_VALUE"""),"Python")</f>
        <v>Python</v>
      </c>
      <c r="H1760" s="9" t="str">
        <f>IFERROR(__xludf.DUMMYFUNCTION("""COMPUTED_VALUE"""),"JavaScript")</f>
        <v>JavaScript</v>
      </c>
      <c r="I1760" s="9" t="str">
        <f>IFERROR(__xludf.DUMMYFUNCTION("""COMPUTED_VALUE"""),"HTML/CSS")</f>
        <v>HTML/CSS</v>
      </c>
      <c r="J1760" s="9" t="str">
        <f>IFERROR(__xludf.DUMMYFUNCTION("""COMPUTED_VALUE"""),"Bash/Shell/PowerShell")</f>
        <v>Bash/Shell/PowerShell</v>
      </c>
      <c r="K1760" s="9" t="str">
        <f>IFERROR(__xludf.DUMMYFUNCTION("""COMPUTED_VALUE"""),"HTML/CSS")</f>
        <v>HTML/CSS</v>
      </c>
      <c r="L1760" s="9" t="str">
        <f>IFERROR(__xludf.DUMMYFUNCTION("""COMPUTED_VALUE"""),"HTML/CSS")</f>
        <v>HTML/CSS</v>
      </c>
      <c r="M1760" s="9" t="s">
        <v>20</v>
      </c>
    </row>
    <row r="1761" ht="15.75" customHeight="1">
      <c r="A1761" s="7"/>
      <c r="B1761" s="7" t="str">
        <f>IFERROR(__xludf.DUMMYFUNCTION("""COMPUTED_VALUE"""),"Bash/Shell/PowerShell;HTML/CSS;JavaScript;PHP;Python;SQL;TypeScript")</f>
        <v>Bash/Shell/PowerShell;HTML/CSS;JavaScript;PHP;Python;SQL;TypeScript</v>
      </c>
      <c r="C1761" s="9" t="str">
        <f>IFERROR(__xludf.DUMMYFUNCTION("""COMPUTED_VALUE"""),"JavaScript")</f>
        <v>JavaScript</v>
      </c>
      <c r="D1761" s="9" t="str">
        <f>IFERROR(__xludf.DUMMYFUNCTION("""COMPUTED_VALUE"""),"Kotlin")</f>
        <v>Kotlin</v>
      </c>
      <c r="E1761" s="9" t="str">
        <f>IFERROR(__xludf.DUMMYFUNCTION("""COMPUTED_VALUE"""),"JavaScript")</f>
        <v>JavaScript</v>
      </c>
      <c r="F1761" s="9" t="str">
        <f>IFERROR(__xludf.DUMMYFUNCTION("""COMPUTED_VALUE"""),"Ruby")</f>
        <v>Ruby</v>
      </c>
      <c r="G1761" s="9" t="str">
        <f>IFERROR(__xludf.DUMMYFUNCTION("""COMPUTED_VALUE"""),"SQL")</f>
        <v>SQL</v>
      </c>
      <c r="H1761" s="9" t="str">
        <f>IFERROR(__xludf.DUMMYFUNCTION("""COMPUTED_VALUE"""),"PHP")</f>
        <v>PHP</v>
      </c>
      <c r="I1761" s="9" t="str">
        <f>IFERROR(__xludf.DUMMYFUNCTION("""COMPUTED_VALUE"""),"Java")</f>
        <v>Java</v>
      </c>
      <c r="J1761" s="9" t="str">
        <f>IFERROR(__xludf.DUMMYFUNCTION("""COMPUTED_VALUE"""),"C#")</f>
        <v>C#</v>
      </c>
      <c r="K1761" s="9" t="str">
        <f>IFERROR(__xludf.DUMMYFUNCTION("""COMPUTED_VALUE"""),"JavaScript")</f>
        <v>JavaScript</v>
      </c>
      <c r="L1761" s="9" t="str">
        <f>IFERROR(__xludf.DUMMYFUNCTION("""COMPUTED_VALUE"""),"Java")</f>
        <v>Java</v>
      </c>
      <c r="M1761" s="9" t="s">
        <v>21</v>
      </c>
    </row>
    <row r="1762" ht="15.75" customHeight="1">
      <c r="A1762" s="7"/>
      <c r="B1762" s="7" t="str">
        <f>IFERROR(__xludf.DUMMYFUNCTION("""COMPUTED_VALUE"""),"Assembly;C;C++;Erlang;Go;HTML/CSS;Java;JavaScript;Kotlin")</f>
        <v>Assembly;C;C++;Erlang;Go;HTML/CSS;Java;JavaScript;Kotlin</v>
      </c>
      <c r="C1762" s="9" t="str">
        <f>IFERROR(__xludf.DUMMYFUNCTION("""COMPUTED_VALUE"""),"Kotlin")</f>
        <v>Kotlin</v>
      </c>
      <c r="D1762" s="9" t="str">
        <f>IFERROR(__xludf.DUMMYFUNCTION("""COMPUTED_VALUE"""),"Python")</f>
        <v>Python</v>
      </c>
      <c r="E1762" s="9" t="str">
        <f>IFERROR(__xludf.DUMMYFUNCTION("""COMPUTED_VALUE"""),"Python")</f>
        <v>Python</v>
      </c>
      <c r="F1762" s="9" t="str">
        <f>IFERROR(__xludf.DUMMYFUNCTION("""COMPUTED_VALUE"""),"SQL")</f>
        <v>SQL</v>
      </c>
      <c r="G1762" s="9" t="str">
        <f>IFERROR(__xludf.DUMMYFUNCTION("""COMPUTED_VALUE"""),"WebAssembly")</f>
        <v>WebAssembly</v>
      </c>
      <c r="H1762" s="9" t="str">
        <f>IFERROR(__xludf.DUMMYFUNCTION("""COMPUTED_VALUE"""),"Python")</f>
        <v>Python</v>
      </c>
      <c r="I1762" s="9" t="str">
        <f>IFERROR(__xludf.DUMMYFUNCTION("""COMPUTED_VALUE"""),"Bash/Shell/PowerShell")</f>
        <v>Bash/Shell/PowerShell</v>
      </c>
      <c r="J1762" s="9" t="str">
        <f>IFERROR(__xludf.DUMMYFUNCTION("""COMPUTED_VALUE"""),"HTML/CSS")</f>
        <v>HTML/CSS</v>
      </c>
      <c r="K1762" s="9" t="str">
        <f>IFERROR(__xludf.DUMMYFUNCTION("""COMPUTED_VALUE"""),"PHP")</f>
        <v>PHP</v>
      </c>
      <c r="L1762" s="9" t="str">
        <f>IFERROR(__xludf.DUMMYFUNCTION("""COMPUTED_VALUE"""),"JavaScript")</f>
        <v>JavaScript</v>
      </c>
      <c r="M1762" s="9" t="s">
        <v>39</v>
      </c>
    </row>
    <row r="1763" ht="15.75" customHeight="1">
      <c r="A1763" s="7"/>
      <c r="B1763" s="7" t="str">
        <f>IFERROR(__xludf.DUMMYFUNCTION("""COMPUTED_VALUE"""),"Bash/Shell/PowerShell;C;C++;Java;Objective-C;Python")</f>
        <v>Bash/Shell/PowerShell;C;C++;Java;Objective-C;Python</v>
      </c>
      <c r="C1763" s="9" t="str">
        <f>IFERROR(__xludf.DUMMYFUNCTION("""COMPUTED_VALUE"""),"TypeScript")</f>
        <v>TypeScript</v>
      </c>
      <c r="D1763" s="9" t="str">
        <f>IFERROR(__xludf.DUMMYFUNCTION("""COMPUTED_VALUE"""),"Ruby")</f>
        <v>Ruby</v>
      </c>
      <c r="E1763" s="9" t="str">
        <f>IFERROR(__xludf.DUMMYFUNCTION("""COMPUTED_VALUE"""),"Swift")</f>
        <v>Swift</v>
      </c>
      <c r="F1763" s="9" t="str">
        <f>IFERROR(__xludf.DUMMYFUNCTION("""COMPUTED_VALUE"""),"TypeScript")</f>
        <v>TypeScript</v>
      </c>
      <c r="G1763" s="9" t="str">
        <f>IFERROR(__xludf.DUMMYFUNCTION("""COMPUTED_VALUE"""),"HTML/CSS")</f>
        <v>HTML/CSS</v>
      </c>
      <c r="H1763" s="9" t="str">
        <f>IFERROR(__xludf.DUMMYFUNCTION("""COMPUTED_VALUE"""),"R")</f>
        <v>R</v>
      </c>
      <c r="I1763" s="9" t="str">
        <f>IFERROR(__xludf.DUMMYFUNCTION("""COMPUTED_VALUE"""),"C")</f>
        <v>C</v>
      </c>
      <c r="J1763" s="9" t="str">
        <f>IFERROR(__xludf.DUMMYFUNCTION("""COMPUTED_VALUE"""),"VBA")</f>
        <v>VBA</v>
      </c>
      <c r="K1763" s="9" t="str">
        <f>IFERROR(__xludf.DUMMYFUNCTION("""COMPUTED_VALUE"""),"TypeScript")</f>
        <v>TypeScript</v>
      </c>
      <c r="L1763" s="9" t="str">
        <f>IFERROR(__xludf.DUMMYFUNCTION("""COMPUTED_VALUE"""),"SQL")</f>
        <v>SQL</v>
      </c>
      <c r="M1763" s="9" t="s">
        <v>33</v>
      </c>
    </row>
    <row r="1764" ht="15.75" customHeight="1">
      <c r="A1764" s="7"/>
      <c r="B1764" s="7" t="str">
        <f>IFERROR(__xludf.DUMMYFUNCTION("""COMPUTED_VALUE"""),"C#;HTML/CSS;JavaScript;SQL")</f>
        <v>C#;HTML/CSS;JavaScript;SQL</v>
      </c>
      <c r="C1764" s="9" t="str">
        <f>IFERROR(__xludf.DUMMYFUNCTION("""COMPUTED_VALUE"""),"HTML/CSS")</f>
        <v>HTML/CSS</v>
      </c>
      <c r="D1764" s="9" t="str">
        <f>IFERROR(__xludf.DUMMYFUNCTION("""COMPUTED_VALUE"""),"Rust")</f>
        <v>Rust</v>
      </c>
      <c r="E1764" s="9" t="str">
        <f>IFERROR(__xludf.DUMMYFUNCTION("""COMPUTED_VALUE"""),"VBA")</f>
        <v>VBA</v>
      </c>
      <c r="F1764" s="9" t="str">
        <f>IFERROR(__xludf.DUMMYFUNCTION("""COMPUTED_VALUE"""),"C++")</f>
        <v>C++</v>
      </c>
      <c r="G1764" s="9" t="str">
        <f>IFERROR(__xludf.DUMMYFUNCTION("""COMPUTED_VALUE"""),"Java")</f>
        <v>Java</v>
      </c>
      <c r="H1764" s="9" t="str">
        <f>IFERROR(__xludf.DUMMYFUNCTION("""COMPUTED_VALUE"""),"SQL")</f>
        <v>SQL</v>
      </c>
      <c r="I1764" s="9" t="str">
        <f>IFERROR(__xludf.DUMMYFUNCTION("""COMPUTED_VALUE"""),"HTML/CSS")</f>
        <v>HTML/CSS</v>
      </c>
      <c r="J1764" s="9" t="str">
        <f>IFERROR(__xludf.DUMMYFUNCTION("""COMPUTED_VALUE"""),"C#")</f>
        <v>C#</v>
      </c>
      <c r="K1764" s="9" t="str">
        <f>IFERROR(__xludf.DUMMYFUNCTION("""COMPUTED_VALUE"""),"C")</f>
        <v>C</v>
      </c>
      <c r="L1764" s="9" t="str">
        <f>IFERROR(__xludf.DUMMYFUNCTION("""COMPUTED_VALUE"""),"C#")</f>
        <v>C#</v>
      </c>
      <c r="M1764" s="9" t="s">
        <v>24</v>
      </c>
    </row>
    <row r="1765" ht="15.75" customHeight="1">
      <c r="A1765" s="7"/>
      <c r="B1765" s="7" t="str">
        <f>IFERROR(__xludf.DUMMYFUNCTION("""COMPUTED_VALUE"""),"Bash/Shell/PowerShell;C#;HTML/CSS;Java;JavaScript;PHP;Python;SQL;Other(s):")</f>
        <v>Bash/Shell/PowerShell;C#;HTML/CSS;Java;JavaScript;PHP;Python;SQL;Other(s):</v>
      </c>
      <c r="C1765" s="9" t="str">
        <f>IFERROR(__xludf.DUMMYFUNCTION("""COMPUTED_VALUE"""),"JavaScript")</f>
        <v>JavaScript</v>
      </c>
      <c r="D1765" s="9" t="str">
        <f>IFERROR(__xludf.DUMMYFUNCTION("""COMPUTED_VALUE"""),"SQL")</f>
        <v>SQL</v>
      </c>
      <c r="E1765" s="9" t="str">
        <f>IFERROR(__xludf.DUMMYFUNCTION("""COMPUTED_VALUE"""),"C++")</f>
        <v>C++</v>
      </c>
      <c r="F1765" s="9" t="str">
        <f>IFERROR(__xludf.DUMMYFUNCTION("""COMPUTED_VALUE"""),"HTML/CSS")</f>
        <v>HTML/CSS</v>
      </c>
      <c r="G1765" s="9" t="str">
        <f>IFERROR(__xludf.DUMMYFUNCTION("""COMPUTED_VALUE"""),"JavaScript")</f>
        <v>JavaScript</v>
      </c>
      <c r="H1765" s="9" t="str">
        <f>IFERROR(__xludf.DUMMYFUNCTION("""COMPUTED_VALUE"""),"C#")</f>
        <v>C#</v>
      </c>
      <c r="I1765" s="9" t="str">
        <f>IFERROR(__xludf.DUMMYFUNCTION("""COMPUTED_VALUE"""),"Java")</f>
        <v>Java</v>
      </c>
      <c r="J1765" s="9" t="str">
        <f>IFERROR(__xludf.DUMMYFUNCTION("""COMPUTED_VALUE"""),"HTML/CSS")</f>
        <v>HTML/CSS</v>
      </c>
      <c r="K1765" s="9" t="str">
        <f>IFERROR(__xludf.DUMMYFUNCTION("""COMPUTED_VALUE"""),"HTML/CSS")</f>
        <v>HTML/CSS</v>
      </c>
      <c r="L1765" s="9" t="str">
        <f>IFERROR(__xludf.DUMMYFUNCTION("""COMPUTED_VALUE"""),"SQL")</f>
        <v>SQL</v>
      </c>
      <c r="M1765" s="9" t="s">
        <v>21</v>
      </c>
    </row>
    <row r="1766" ht="15.75" customHeight="1">
      <c r="A1766" s="7"/>
      <c r="B1766" s="7" t="str">
        <f>IFERROR(__xludf.DUMMYFUNCTION("""COMPUTED_VALUE"""),"Go;HTML/CSS;Java;JavaScript;PHP;SQL")</f>
        <v>Go;HTML/CSS;Java;JavaScript;PHP;SQL</v>
      </c>
      <c r="C1766" s="9" t="str">
        <f>IFERROR(__xludf.DUMMYFUNCTION("""COMPUTED_VALUE"""),"PHP")</f>
        <v>PHP</v>
      </c>
      <c r="D1766" s="9" t="str">
        <f>IFERROR(__xludf.DUMMYFUNCTION("""COMPUTED_VALUE"""),"Bash/Shell/PowerShell")</f>
        <v>Bash/Shell/PowerShell</v>
      </c>
      <c r="E1766" s="9" t="str">
        <f>IFERROR(__xludf.DUMMYFUNCTION("""COMPUTED_VALUE"""),"C#")</f>
        <v>C#</v>
      </c>
      <c r="F1766" s="9" t="str">
        <f>IFERROR(__xludf.DUMMYFUNCTION("""COMPUTED_VALUE"""),"JavaScript")</f>
        <v>JavaScript</v>
      </c>
      <c r="G1766" s="9" t="str">
        <f>IFERROR(__xludf.DUMMYFUNCTION("""COMPUTED_VALUE"""),"PHP")</f>
        <v>PHP</v>
      </c>
      <c r="H1766" s="9" t="str">
        <f>IFERROR(__xludf.DUMMYFUNCTION("""COMPUTED_VALUE"""),"HTML/CSS")</f>
        <v>HTML/CSS</v>
      </c>
      <c r="I1766" s="9" t="str">
        <f>IFERROR(__xludf.DUMMYFUNCTION("""COMPUTED_VALUE"""),"JavaScript")</f>
        <v>JavaScript</v>
      </c>
      <c r="J1766" s="9" t="str">
        <f>IFERROR(__xludf.DUMMYFUNCTION("""COMPUTED_VALUE"""),"JavaScript")</f>
        <v>JavaScript</v>
      </c>
      <c r="K1766" s="9" t="str">
        <f>IFERROR(__xludf.DUMMYFUNCTION("""COMPUTED_VALUE"""),"JavaScript")</f>
        <v>JavaScript</v>
      </c>
      <c r="L1766" s="9" t="str">
        <f>IFERROR(__xludf.DUMMYFUNCTION("""COMPUTED_VALUE"""),"C++")</f>
        <v>C++</v>
      </c>
      <c r="M1766" s="9" t="s">
        <v>37</v>
      </c>
    </row>
    <row r="1767" ht="15.75" customHeight="1">
      <c r="A1767" s="7"/>
      <c r="B1767" s="7" t="str">
        <f>IFERROR(__xludf.DUMMYFUNCTION("""COMPUTED_VALUE"""),"Bash/Shell/PowerShell;HTML/CSS;JavaScript;Objective-C;PHP;Ruby;SQL;Swift")</f>
        <v>Bash/Shell/PowerShell;HTML/CSS;JavaScript;Objective-C;PHP;Ruby;SQL;Swift</v>
      </c>
      <c r="C1767" s="9" t="str">
        <f>IFERROR(__xludf.DUMMYFUNCTION("""COMPUTED_VALUE"""),"Python")</f>
        <v>Python</v>
      </c>
      <c r="D1767" s="9" t="str">
        <f>IFERROR(__xludf.DUMMYFUNCTION("""COMPUTED_VALUE"""),"HTML/CSS")</f>
        <v>HTML/CSS</v>
      </c>
      <c r="E1767" s="9" t="str">
        <f>IFERROR(__xludf.DUMMYFUNCTION("""COMPUTED_VALUE"""),"Java")</f>
        <v>Java</v>
      </c>
      <c r="F1767" s="9" t="str">
        <f>IFERROR(__xludf.DUMMYFUNCTION("""COMPUTED_VALUE"""),"Bash/Shell/PowerShell")</f>
        <v>Bash/Shell/PowerShell</v>
      </c>
      <c r="G1767" s="9" t="str">
        <f>IFERROR(__xludf.DUMMYFUNCTION("""COMPUTED_VALUE"""),"Python")</f>
        <v>Python</v>
      </c>
      <c r="H1767" s="9" t="str">
        <f>IFERROR(__xludf.DUMMYFUNCTION("""COMPUTED_VALUE"""),"SQL")</f>
        <v>SQL</v>
      </c>
      <c r="I1767" s="9" t="str">
        <f>IFERROR(__xludf.DUMMYFUNCTION("""COMPUTED_VALUE"""),"Bash/Shell/PowerShell")</f>
        <v>Bash/Shell/PowerShell</v>
      </c>
      <c r="J1767" s="9" t="str">
        <f>IFERROR(__xludf.DUMMYFUNCTION("""COMPUTED_VALUE"""),"Swift")</f>
        <v>Swift</v>
      </c>
      <c r="K1767" s="9" t="str">
        <f>IFERROR(__xludf.DUMMYFUNCTION("""COMPUTED_VALUE"""),"Bash/Shell/PowerShell")</f>
        <v>Bash/Shell/PowerShell</v>
      </c>
      <c r="L1767" s="9" t="str">
        <f>IFERROR(__xludf.DUMMYFUNCTION("""COMPUTED_VALUE"""),"Go")</f>
        <v>Go</v>
      </c>
      <c r="M1767" s="9" t="s">
        <v>22</v>
      </c>
    </row>
    <row r="1768" ht="15.75" customHeight="1">
      <c r="A1768" s="7"/>
      <c r="B1768" s="7" t="str">
        <f>IFERROR(__xludf.DUMMYFUNCTION("""COMPUTED_VALUE"""),"Python;SQL;VBA")</f>
        <v>Python;SQL;VBA</v>
      </c>
      <c r="C1768" s="9" t="str">
        <f>IFERROR(__xludf.DUMMYFUNCTION("""COMPUTED_VALUE"""),"SQL")</f>
        <v>SQL</v>
      </c>
      <c r="D1768" s="9" t="str">
        <f>IFERROR(__xludf.DUMMYFUNCTION("""COMPUTED_VALUE"""),"Java")</f>
        <v>Java</v>
      </c>
      <c r="E1768" s="9" t="str">
        <f>IFERROR(__xludf.DUMMYFUNCTION("""COMPUTED_VALUE"""),"JavaScript")</f>
        <v>JavaScript</v>
      </c>
      <c r="F1768" s="9" t="str">
        <f>IFERROR(__xludf.DUMMYFUNCTION("""COMPUTED_VALUE"""),"HTML/CSS")</f>
        <v>HTML/CSS</v>
      </c>
      <c r="G1768" s="9" t="str">
        <f>IFERROR(__xludf.DUMMYFUNCTION("""COMPUTED_VALUE"""),"SQL")</f>
        <v>SQL</v>
      </c>
      <c r="H1768" s="9" t="str">
        <f>IFERROR(__xludf.DUMMYFUNCTION("""COMPUTED_VALUE"""),"TypeScript")</f>
        <v>TypeScript</v>
      </c>
      <c r="I1768" s="9" t="str">
        <f>IFERROR(__xludf.DUMMYFUNCTION("""COMPUTED_VALUE"""),"Go")</f>
        <v>Go</v>
      </c>
      <c r="J1768" s="9" t="str">
        <f>IFERROR(__xludf.DUMMYFUNCTION("""COMPUTED_VALUE"""),"C#")</f>
        <v>C#</v>
      </c>
      <c r="K1768" s="9" t="str">
        <f>IFERROR(__xludf.DUMMYFUNCTION("""COMPUTED_VALUE"""),"C")</f>
        <v>C</v>
      </c>
      <c r="L1768" s="9" t="str">
        <f>IFERROR(__xludf.DUMMYFUNCTION("""COMPUTED_VALUE"""),"Java")</f>
        <v>Java</v>
      </c>
      <c r="M1768" s="9" t="s">
        <v>27</v>
      </c>
    </row>
    <row r="1769" ht="15.75" customHeight="1">
      <c r="A1769" s="7"/>
      <c r="B1769" s="7" t="str">
        <f>IFERROR(__xludf.DUMMYFUNCTION("""COMPUTED_VALUE"""),"Java;Kotlin")</f>
        <v>Java;Kotlin</v>
      </c>
      <c r="C1769" s="9" t="str">
        <f>IFERROR(__xludf.DUMMYFUNCTION("""COMPUTED_VALUE"""),"HTML/CSS")</f>
        <v>HTML/CSS</v>
      </c>
      <c r="D1769" s="9" t="str">
        <f>IFERROR(__xludf.DUMMYFUNCTION("""COMPUTED_VALUE"""),"JavaScript")</f>
        <v>JavaScript</v>
      </c>
      <c r="E1769" s="9" t="str">
        <f>IFERROR(__xludf.DUMMYFUNCTION("""COMPUTED_VALUE"""),"Other(s):")</f>
        <v>Other(s):</v>
      </c>
      <c r="F1769" s="9" t="str">
        <f>IFERROR(__xludf.DUMMYFUNCTION("""COMPUTED_VALUE"""),"JavaScript")</f>
        <v>JavaScript</v>
      </c>
      <c r="G1769" s="9" t="str">
        <f>IFERROR(__xludf.DUMMYFUNCTION("""COMPUTED_VALUE"""),"Bash/Shell/PowerShell")</f>
        <v>Bash/Shell/PowerShell</v>
      </c>
      <c r="H1769" s="9" t="str">
        <f>IFERROR(__xludf.DUMMYFUNCTION("""COMPUTED_VALUE"""),"HTML/CSS")</f>
        <v>HTML/CSS</v>
      </c>
      <c r="I1769" s="9" t="str">
        <f>IFERROR(__xludf.DUMMYFUNCTION("""COMPUTED_VALUE"""),"HTML/CSS")</f>
        <v>HTML/CSS</v>
      </c>
      <c r="J1769" s="9" t="str">
        <f>IFERROR(__xludf.DUMMYFUNCTION("""COMPUTED_VALUE"""),"Go")</f>
        <v>Go</v>
      </c>
      <c r="K1769" s="9" t="str">
        <f>IFERROR(__xludf.DUMMYFUNCTION("""COMPUTED_VALUE"""),"C++")</f>
        <v>C++</v>
      </c>
      <c r="L1769" s="9" t="str">
        <f>IFERROR(__xludf.DUMMYFUNCTION("""COMPUTED_VALUE"""),"JavaScript")</f>
        <v>JavaScript</v>
      </c>
      <c r="M1769" s="9" t="s">
        <v>24</v>
      </c>
    </row>
    <row r="1770" ht="15.75" customHeight="1">
      <c r="A1770" s="7"/>
      <c r="B1770" s="7" t="str">
        <f>IFERROR(__xludf.DUMMYFUNCTION("""COMPUTED_VALUE"""),"Assembly;Bash/Shell/PowerShell;JavaScript;Python")</f>
        <v>Assembly;Bash/Shell/PowerShell;JavaScript;Python</v>
      </c>
      <c r="C1770" s="9" t="str">
        <f>IFERROR(__xludf.DUMMYFUNCTION("""COMPUTED_VALUE"""),"TypeScript")</f>
        <v>TypeScript</v>
      </c>
      <c r="D1770" s="9" t="str">
        <f>IFERROR(__xludf.DUMMYFUNCTION("""COMPUTED_VALUE"""),"SQL")</f>
        <v>SQL</v>
      </c>
      <c r="E1770" s="9" t="str">
        <f>IFERROR(__xludf.DUMMYFUNCTION("""COMPUTED_VALUE"""),"Bash/Shell/PowerShell")</f>
        <v>Bash/Shell/PowerShell</v>
      </c>
      <c r="F1770" s="9" t="str">
        <f>IFERROR(__xludf.DUMMYFUNCTION("""COMPUTED_VALUE"""),"SQL")</f>
        <v>SQL</v>
      </c>
      <c r="G1770" s="9" t="str">
        <f>IFERROR(__xludf.DUMMYFUNCTION("""COMPUTED_VALUE"""),"C")</f>
        <v>C</v>
      </c>
      <c r="H1770" s="9" t="str">
        <f>IFERROR(__xludf.DUMMYFUNCTION("""COMPUTED_VALUE"""),"Java")</f>
        <v>Java</v>
      </c>
      <c r="I1770" s="9" t="str">
        <f>IFERROR(__xludf.DUMMYFUNCTION("""COMPUTED_VALUE"""),"JavaScript")</f>
        <v>JavaScript</v>
      </c>
      <c r="J1770" s="9" t="str">
        <f>IFERROR(__xludf.DUMMYFUNCTION("""COMPUTED_VALUE"""),"HTML/CSS")</f>
        <v>HTML/CSS</v>
      </c>
      <c r="K1770" s="9" t="str">
        <f>IFERROR(__xludf.DUMMYFUNCTION("""COMPUTED_VALUE"""),"HTML/CSS")</f>
        <v>HTML/CSS</v>
      </c>
      <c r="L1770" s="9" t="str">
        <f>IFERROR(__xludf.DUMMYFUNCTION("""COMPUTED_VALUE"""),"Python")</f>
        <v>Python</v>
      </c>
      <c r="M1770" s="9" t="s">
        <v>33</v>
      </c>
    </row>
    <row r="1771" ht="15.75" customHeight="1">
      <c r="A1771" s="7"/>
      <c r="B1771" s="7" t="str">
        <f>IFERROR(__xludf.DUMMYFUNCTION("""COMPUTED_VALUE"""),"C#;HTML/CSS;JavaScript;PHP;SQL;TypeScript")</f>
        <v>C#;HTML/CSS;JavaScript;PHP;SQL;TypeScript</v>
      </c>
      <c r="C1771" s="9" t="str">
        <f>IFERROR(__xludf.DUMMYFUNCTION("""COMPUTED_VALUE"""),"C")</f>
        <v>C</v>
      </c>
      <c r="D1771" s="9" t="str">
        <f>IFERROR(__xludf.DUMMYFUNCTION("""COMPUTED_VALUE"""),"TypeScript")</f>
        <v>TypeScript</v>
      </c>
      <c r="E1771" s="9" t="str">
        <f>IFERROR(__xludf.DUMMYFUNCTION("""COMPUTED_VALUE"""),"Java")</f>
        <v>Java</v>
      </c>
      <c r="F1771" s="9" t="str">
        <f>IFERROR(__xludf.DUMMYFUNCTION("""COMPUTED_VALUE"""),"Bash/Shell/PowerShell")</f>
        <v>Bash/Shell/PowerShell</v>
      </c>
      <c r="G1771" s="9" t="str">
        <f>IFERROR(__xludf.DUMMYFUNCTION("""COMPUTED_VALUE"""),"Java")</f>
        <v>Java</v>
      </c>
      <c r="H1771" s="9" t="str">
        <f>IFERROR(__xludf.DUMMYFUNCTION("""COMPUTED_VALUE"""),"JavaScript")</f>
        <v>JavaScript</v>
      </c>
      <c r="I1771" s="9" t="str">
        <f>IFERROR(__xludf.DUMMYFUNCTION("""COMPUTED_VALUE"""),"PHP")</f>
        <v>PHP</v>
      </c>
      <c r="J1771" s="9" t="str">
        <f>IFERROR(__xludf.DUMMYFUNCTION("""COMPUTED_VALUE"""),"Java")</f>
        <v>Java</v>
      </c>
      <c r="K1771" s="9" t="str">
        <f>IFERROR(__xludf.DUMMYFUNCTION("""COMPUTED_VALUE"""),"Java")</f>
        <v>Java</v>
      </c>
      <c r="L1771" s="9" t="str">
        <f>IFERROR(__xludf.DUMMYFUNCTION("""COMPUTED_VALUE"""),"Ruby")</f>
        <v>Ruby</v>
      </c>
      <c r="M1771" s="9" t="s">
        <v>25</v>
      </c>
    </row>
    <row r="1772" ht="15.75" customHeight="1">
      <c r="A1772" s="7"/>
      <c r="B1772" s="7" t="str">
        <f>IFERROR(__xludf.DUMMYFUNCTION("""COMPUTED_VALUE"""),"HTML/CSS;Java;JavaScript;SQL")</f>
        <v>HTML/CSS;Java;JavaScript;SQL</v>
      </c>
      <c r="C1772" s="9" t="str">
        <f>IFERROR(__xludf.DUMMYFUNCTION("""COMPUTED_VALUE"""),"C++")</f>
        <v>C++</v>
      </c>
      <c r="D1772" s="9" t="str">
        <f>IFERROR(__xludf.DUMMYFUNCTION("""COMPUTED_VALUE"""),"Java")</f>
        <v>Java</v>
      </c>
      <c r="E1772" s="9" t="str">
        <f>IFERROR(__xludf.DUMMYFUNCTION("""COMPUTED_VALUE"""),"JavaScript")</f>
        <v>JavaScript</v>
      </c>
      <c r="F1772" s="9" t="str">
        <f>IFERROR(__xludf.DUMMYFUNCTION("""COMPUTED_VALUE"""),"C")</f>
        <v>C</v>
      </c>
      <c r="G1772" s="9" t="str">
        <f>IFERROR(__xludf.DUMMYFUNCTION("""COMPUTED_VALUE"""),"Objective-C")</f>
        <v>Objective-C</v>
      </c>
      <c r="H1772" s="9" t="str">
        <f>IFERROR(__xludf.DUMMYFUNCTION("""COMPUTED_VALUE"""),"C++")</f>
        <v>C++</v>
      </c>
      <c r="I1772" s="9" t="str">
        <f>IFERROR(__xludf.DUMMYFUNCTION("""COMPUTED_VALUE"""),"Python")</f>
        <v>Python</v>
      </c>
      <c r="J1772" s="9" t="str">
        <f>IFERROR(__xludf.DUMMYFUNCTION("""COMPUTED_VALUE"""),"JavaScript")</f>
        <v>JavaScript</v>
      </c>
      <c r="K1772" s="9" t="str">
        <f>IFERROR(__xludf.DUMMYFUNCTION("""COMPUTED_VALUE"""),"JavaScript")</f>
        <v>JavaScript</v>
      </c>
      <c r="L1772" s="9" t="str">
        <f>IFERROR(__xludf.DUMMYFUNCTION("""COMPUTED_VALUE"""),"Rust")</f>
        <v>Rust</v>
      </c>
      <c r="M1772" s="9" t="s">
        <v>23</v>
      </c>
    </row>
    <row r="1773" ht="15.75" customHeight="1">
      <c r="A1773" s="7"/>
      <c r="B1773" s="7" t="str">
        <f>IFERROR(__xludf.DUMMYFUNCTION("""COMPUTED_VALUE"""),"HTML/CSS;Java;SQL")</f>
        <v>HTML/CSS;Java;SQL</v>
      </c>
      <c r="C1773" s="9" t="str">
        <f>IFERROR(__xludf.DUMMYFUNCTION("""COMPUTED_VALUE"""),"C#")</f>
        <v>C#</v>
      </c>
      <c r="D1773" s="9" t="str">
        <f>IFERROR(__xludf.DUMMYFUNCTION("""COMPUTED_VALUE"""),"C#")</f>
        <v>C#</v>
      </c>
      <c r="E1773" s="9" t="str">
        <f>IFERROR(__xludf.DUMMYFUNCTION("""COMPUTED_VALUE"""),"SQL")</f>
        <v>SQL</v>
      </c>
      <c r="F1773" s="9" t="str">
        <f>IFERROR(__xludf.DUMMYFUNCTION("""COMPUTED_VALUE"""),"Python")</f>
        <v>Python</v>
      </c>
      <c r="G1773" s="9" t="str">
        <f>IFERROR(__xludf.DUMMYFUNCTION("""COMPUTED_VALUE"""),"Python")</f>
        <v>Python</v>
      </c>
      <c r="H1773" s="9" t="str">
        <f>IFERROR(__xludf.DUMMYFUNCTION("""COMPUTED_VALUE"""),"C#")</f>
        <v>C#</v>
      </c>
      <c r="I1773" s="9" t="str">
        <f>IFERROR(__xludf.DUMMYFUNCTION("""COMPUTED_VALUE"""),"Rust")</f>
        <v>Rust</v>
      </c>
      <c r="J1773" s="9" t="str">
        <f>IFERROR(__xludf.DUMMYFUNCTION("""COMPUTED_VALUE"""),"Python")</f>
        <v>Python</v>
      </c>
      <c r="K1773" s="9" t="str">
        <f>IFERROR(__xludf.DUMMYFUNCTION("""COMPUTED_VALUE"""),"Kotlin")</f>
        <v>Kotlin</v>
      </c>
      <c r="L1773" s="9" t="str">
        <f>IFERROR(__xludf.DUMMYFUNCTION("""COMPUTED_VALUE"""),"Scala")</f>
        <v>Scala</v>
      </c>
      <c r="M1773" s="9" t="s">
        <v>26</v>
      </c>
    </row>
    <row r="1774" ht="15.75" customHeight="1">
      <c r="A1774" s="7"/>
      <c r="B1774" s="7" t="str">
        <f>IFERROR(__xludf.DUMMYFUNCTION("""COMPUTED_VALUE"""),"Bash/Shell/PowerShell;C#;Java;JavaScript;SQL;VBA")</f>
        <v>Bash/Shell/PowerShell;C#;Java;JavaScript;SQL;VBA</v>
      </c>
      <c r="C1774" s="9" t="str">
        <f>IFERROR(__xludf.DUMMYFUNCTION("""COMPUTED_VALUE"""),"HTML/CSS")</f>
        <v>HTML/CSS</v>
      </c>
      <c r="D1774" s="9" t="str">
        <f>IFERROR(__xludf.DUMMYFUNCTION("""COMPUTED_VALUE"""),"HTML/CSS")</f>
        <v>HTML/CSS</v>
      </c>
      <c r="E1774" s="9" t="str">
        <f>IFERROR(__xludf.DUMMYFUNCTION("""COMPUTED_VALUE"""),"HTML/CSS")</f>
        <v>HTML/CSS</v>
      </c>
      <c r="F1774" s="9" t="str">
        <f>IFERROR(__xludf.DUMMYFUNCTION("""COMPUTED_VALUE"""),"C++")</f>
        <v>C++</v>
      </c>
      <c r="G1774" s="9" t="str">
        <f>IFERROR(__xludf.DUMMYFUNCTION("""COMPUTED_VALUE"""),"Swift")</f>
        <v>Swift</v>
      </c>
      <c r="H1774" s="9" t="str">
        <f>IFERROR(__xludf.DUMMYFUNCTION("""COMPUTED_VALUE"""),"Python")</f>
        <v>Python</v>
      </c>
      <c r="I1774" s="9" t="str">
        <f>IFERROR(__xludf.DUMMYFUNCTION("""COMPUTED_VALUE"""),"C")</f>
        <v>C</v>
      </c>
      <c r="J1774" s="9" t="str">
        <f>IFERROR(__xludf.DUMMYFUNCTION("""COMPUTED_VALUE"""),"Scala")</f>
        <v>Scala</v>
      </c>
      <c r="K1774" s="9" t="str">
        <f>IFERROR(__xludf.DUMMYFUNCTION("""COMPUTED_VALUE"""),"Python")</f>
        <v>Python</v>
      </c>
      <c r="L1774" s="9" t="str">
        <f>IFERROR(__xludf.DUMMYFUNCTION("""COMPUTED_VALUE"""),"SQL")</f>
        <v>SQL</v>
      </c>
      <c r="M1774" s="9" t="s">
        <v>24</v>
      </c>
    </row>
    <row r="1775" ht="15.75" customHeight="1">
      <c r="A1775" s="7"/>
      <c r="B1775" s="7" t="str">
        <f>IFERROR(__xludf.DUMMYFUNCTION("""COMPUTED_VALUE"""),"C#;HTML/CSS;JavaScript;SQL")</f>
        <v>C#;HTML/CSS;JavaScript;SQL</v>
      </c>
      <c r="C1775" s="9" t="str">
        <f>IFERROR(__xludf.DUMMYFUNCTION("""COMPUTED_VALUE"""),"JavaScript")</f>
        <v>JavaScript</v>
      </c>
      <c r="D1775" s="9" t="str">
        <f>IFERROR(__xludf.DUMMYFUNCTION("""COMPUTED_VALUE"""),"JavaScript")</f>
        <v>JavaScript</v>
      </c>
      <c r="E1775" s="9" t="str">
        <f>IFERROR(__xludf.DUMMYFUNCTION("""COMPUTED_VALUE"""),"Java")</f>
        <v>Java</v>
      </c>
      <c r="F1775" s="9" t="str">
        <f>IFERROR(__xludf.DUMMYFUNCTION("""COMPUTED_VALUE"""),"HTML/CSS")</f>
        <v>HTML/CSS</v>
      </c>
      <c r="G1775" s="9" t="str">
        <f>IFERROR(__xludf.DUMMYFUNCTION("""COMPUTED_VALUE"""),"Assembly")</f>
        <v>Assembly</v>
      </c>
      <c r="H1775" s="9" t="str">
        <f>IFERROR(__xludf.DUMMYFUNCTION("""COMPUTED_VALUE"""),"SQL")</f>
        <v>SQL</v>
      </c>
      <c r="I1775" s="9" t="str">
        <f>IFERROR(__xludf.DUMMYFUNCTION("""COMPUTED_VALUE"""),"C++")</f>
        <v>C++</v>
      </c>
      <c r="J1775" s="9" t="str">
        <f>IFERROR(__xludf.DUMMYFUNCTION("""COMPUTED_VALUE"""),"SQL")</f>
        <v>SQL</v>
      </c>
      <c r="K1775" s="9" t="str">
        <f>IFERROR(__xludf.DUMMYFUNCTION("""COMPUTED_VALUE"""),"Ruby")</f>
        <v>Ruby</v>
      </c>
      <c r="L1775" s="9" t="str">
        <f>IFERROR(__xludf.DUMMYFUNCTION("""COMPUTED_VALUE"""),"TypeScript")</f>
        <v>TypeScript</v>
      </c>
      <c r="M1775" s="9" t="s">
        <v>21</v>
      </c>
    </row>
    <row r="1776" ht="15.75" customHeight="1">
      <c r="A1776" s="7"/>
      <c r="B1776" s="7" t="str">
        <f>IFERROR(__xludf.DUMMYFUNCTION("""COMPUTED_VALUE"""),"Assembly;Bash/Shell/PowerShell;Elixir;HTML/CSS;JavaScript;Ruby;Scala;TypeScript")</f>
        <v>Assembly;Bash/Shell/PowerShell;Elixir;HTML/CSS;JavaScript;Ruby;Scala;TypeScript</v>
      </c>
      <c r="C1776" s="9" t="str">
        <f>IFERROR(__xludf.DUMMYFUNCTION("""COMPUTED_VALUE"""),"PHP")</f>
        <v>PHP</v>
      </c>
      <c r="D1776" s="9" t="str">
        <f>IFERROR(__xludf.DUMMYFUNCTION("""COMPUTED_VALUE"""),"Objective-C")</f>
        <v>Objective-C</v>
      </c>
      <c r="E1776" s="9" t="str">
        <f>IFERROR(__xludf.DUMMYFUNCTION("""COMPUTED_VALUE"""),"JavaScript")</f>
        <v>JavaScript</v>
      </c>
      <c r="F1776" s="9" t="str">
        <f>IFERROR(__xludf.DUMMYFUNCTION("""COMPUTED_VALUE"""),"Java")</f>
        <v>Java</v>
      </c>
      <c r="G1776" s="9" t="str">
        <f>IFERROR(__xludf.DUMMYFUNCTION("""COMPUTED_VALUE"""),"C#")</f>
        <v>C#</v>
      </c>
      <c r="H1776" s="9" t="str">
        <f>IFERROR(__xludf.DUMMYFUNCTION("""COMPUTED_VALUE"""),"HTML/CSS")</f>
        <v>HTML/CSS</v>
      </c>
      <c r="I1776" s="9" t="str">
        <f>IFERROR(__xludf.DUMMYFUNCTION("""COMPUTED_VALUE"""),"C#")</f>
        <v>C#</v>
      </c>
      <c r="J1776" s="9" t="str">
        <f>IFERROR(__xludf.DUMMYFUNCTION("""COMPUTED_VALUE"""),"C#")</f>
        <v>C#</v>
      </c>
      <c r="K1776" s="9" t="str">
        <f>IFERROR(__xludf.DUMMYFUNCTION("""COMPUTED_VALUE"""),"Scala")</f>
        <v>Scala</v>
      </c>
      <c r="L1776" s="9" t="str">
        <f>IFERROR(__xludf.DUMMYFUNCTION("""COMPUTED_VALUE"""),"C++")</f>
        <v>C++</v>
      </c>
      <c r="M1776" s="9" t="s">
        <v>37</v>
      </c>
    </row>
    <row r="1777" ht="15.75" customHeight="1">
      <c r="A1777" s="7"/>
      <c r="B1777" s="7" t="str">
        <f>IFERROR(__xludf.DUMMYFUNCTION("""COMPUTED_VALUE"""),"Assembly;C#;Java;Python;SQL")</f>
        <v>Assembly;C#;Java;Python;SQL</v>
      </c>
      <c r="C1777" s="9" t="str">
        <f>IFERROR(__xludf.DUMMYFUNCTION("""COMPUTED_VALUE"""),"SQL")</f>
        <v>SQL</v>
      </c>
      <c r="D1777" s="9" t="str">
        <f>IFERROR(__xludf.DUMMYFUNCTION("""COMPUTED_VALUE"""),"SQL")</f>
        <v>SQL</v>
      </c>
      <c r="E1777" s="9" t="str">
        <f>IFERROR(__xludf.DUMMYFUNCTION("""COMPUTED_VALUE"""),"PHP")</f>
        <v>PHP</v>
      </c>
      <c r="F1777" s="9" t="str">
        <f>IFERROR(__xludf.DUMMYFUNCTION("""COMPUTED_VALUE"""),"JavaScript")</f>
        <v>JavaScript</v>
      </c>
      <c r="G1777" s="9" t="str">
        <f>IFERROR(__xludf.DUMMYFUNCTION("""COMPUTED_VALUE"""),"HTML/CSS")</f>
        <v>HTML/CSS</v>
      </c>
      <c r="H1777" s="9" t="str">
        <f>IFERROR(__xludf.DUMMYFUNCTION("""COMPUTED_VALUE"""),"Java")</f>
        <v>Java</v>
      </c>
      <c r="I1777" s="9" t="str">
        <f>IFERROR(__xludf.DUMMYFUNCTION("""COMPUTED_VALUE"""),"HTML/CSS")</f>
        <v>HTML/CSS</v>
      </c>
      <c r="J1777" s="9" t="str">
        <f>IFERROR(__xludf.DUMMYFUNCTION("""COMPUTED_VALUE"""),"HTML/CSS")</f>
        <v>HTML/CSS</v>
      </c>
      <c r="K1777" s="9" t="str">
        <f>IFERROR(__xludf.DUMMYFUNCTION("""COMPUTED_VALUE"""),"SQL")</f>
        <v>SQL</v>
      </c>
      <c r="L1777" s="9" t="str">
        <f>IFERROR(__xludf.DUMMYFUNCTION("""COMPUTED_VALUE"""),"HTML/CSS")</f>
        <v>HTML/CSS</v>
      </c>
      <c r="M1777" s="9" t="s">
        <v>27</v>
      </c>
    </row>
    <row r="1778" ht="15.75" customHeight="1">
      <c r="A1778" s="7"/>
      <c r="B1778" s="7" t="str">
        <f>IFERROR(__xludf.DUMMYFUNCTION("""COMPUTED_VALUE"""),"HTML/CSS;JavaScript;PHP;Python;SQL")</f>
        <v>HTML/CSS;JavaScript;PHP;Python;SQL</v>
      </c>
      <c r="C1778" s="9" t="str">
        <f>IFERROR(__xludf.DUMMYFUNCTION("""COMPUTED_VALUE"""),"TypeScript")</f>
        <v>TypeScript</v>
      </c>
      <c r="D1778" s="9" t="str">
        <f>IFERROR(__xludf.DUMMYFUNCTION("""COMPUTED_VALUE"""),"Swift")</f>
        <v>Swift</v>
      </c>
      <c r="E1778" s="9" t="str">
        <f>IFERROR(__xludf.DUMMYFUNCTION("""COMPUTED_VALUE"""),"SQL")</f>
        <v>SQL</v>
      </c>
      <c r="F1778" s="9" t="str">
        <f>IFERROR(__xludf.DUMMYFUNCTION("""COMPUTED_VALUE"""),"Ruby")</f>
        <v>Ruby</v>
      </c>
      <c r="G1778" s="9" t="str">
        <f>IFERROR(__xludf.DUMMYFUNCTION("""COMPUTED_VALUE"""),"Java")</f>
        <v>Java</v>
      </c>
      <c r="H1778" s="9" t="str">
        <f>IFERROR(__xludf.DUMMYFUNCTION("""COMPUTED_VALUE"""),"JavaScript")</f>
        <v>JavaScript</v>
      </c>
      <c r="I1778" s="9" t="str">
        <f>IFERROR(__xludf.DUMMYFUNCTION("""COMPUTED_VALUE"""),"Java")</f>
        <v>Java</v>
      </c>
      <c r="J1778" s="9" t="str">
        <f>IFERROR(__xludf.DUMMYFUNCTION("""COMPUTED_VALUE"""),"SQL")</f>
        <v>SQL</v>
      </c>
      <c r="K1778" s="9" t="str">
        <f>IFERROR(__xludf.DUMMYFUNCTION("""COMPUTED_VALUE"""),"Other(s):")</f>
        <v>Other(s):</v>
      </c>
      <c r="L1778" s="9" t="str">
        <f>IFERROR(__xludf.DUMMYFUNCTION("""COMPUTED_VALUE"""),"JavaScript")</f>
        <v>JavaScript</v>
      </c>
      <c r="M1778" s="9" t="s">
        <v>33</v>
      </c>
    </row>
    <row r="1779" ht="15.75" customHeight="1">
      <c r="A1779" s="7"/>
      <c r="B1779" s="7" t="str">
        <f>IFERROR(__xludf.DUMMYFUNCTION("""COMPUTED_VALUE"""),"C#;HTML/CSS;JavaScript;TypeScript")</f>
        <v>C#;HTML/CSS;JavaScript;TypeScript</v>
      </c>
      <c r="C1779" s="9" t="str">
        <f>IFERROR(__xludf.DUMMYFUNCTION("""COMPUTED_VALUE"""),"Java")</f>
        <v>Java</v>
      </c>
      <c r="D1779" s="9" t="str">
        <f>IFERROR(__xludf.DUMMYFUNCTION("""COMPUTED_VALUE"""),"Assembly")</f>
        <v>Assembly</v>
      </c>
      <c r="E1779" s="9" t="str">
        <f>IFERROR(__xludf.DUMMYFUNCTION("""COMPUTED_VALUE"""),"TypeScript")</f>
        <v>TypeScript</v>
      </c>
      <c r="F1779" s="9" t="str">
        <f>IFERROR(__xludf.DUMMYFUNCTION("""COMPUTED_VALUE"""),"SQL")</f>
        <v>SQL</v>
      </c>
      <c r="G1779" s="9" t="str">
        <f>IFERROR(__xludf.DUMMYFUNCTION("""COMPUTED_VALUE"""),"JavaScript")</f>
        <v>JavaScript</v>
      </c>
      <c r="H1779" s="9" t="str">
        <f>IFERROR(__xludf.DUMMYFUNCTION("""COMPUTED_VALUE"""),"Swift")</f>
        <v>Swift</v>
      </c>
      <c r="I1779" s="9" t="str">
        <f>IFERROR(__xludf.DUMMYFUNCTION("""COMPUTED_VALUE"""),"JavaScript")</f>
        <v>JavaScript</v>
      </c>
      <c r="J1779" s="9" t="str">
        <f>IFERROR(__xludf.DUMMYFUNCTION("""COMPUTED_VALUE"""),"VBA")</f>
        <v>VBA</v>
      </c>
      <c r="K1779" s="9" t="str">
        <f>IFERROR(__xludf.DUMMYFUNCTION("""COMPUTED_VALUE"""),"HTML/CSS")</f>
        <v>HTML/CSS</v>
      </c>
      <c r="L1779" s="9" t="str">
        <f>IFERROR(__xludf.DUMMYFUNCTION("""COMPUTED_VALUE"""),"PHP")</f>
        <v>PHP</v>
      </c>
      <c r="M1779" s="9" t="s">
        <v>20</v>
      </c>
    </row>
    <row r="1780" ht="15.75" customHeight="1">
      <c r="A1780" s="7"/>
      <c r="B1780" s="7" t="str">
        <f>IFERROR(__xludf.DUMMYFUNCTION("""COMPUTED_VALUE"""),"C#;HTML/CSS;Python")</f>
        <v>C#;HTML/CSS;Python</v>
      </c>
      <c r="C1780" s="9" t="str">
        <f>IFERROR(__xludf.DUMMYFUNCTION("""COMPUTED_VALUE"""),"JavaScript")</f>
        <v>JavaScript</v>
      </c>
      <c r="D1780" s="9" t="str">
        <f>IFERROR(__xludf.DUMMYFUNCTION("""COMPUTED_VALUE"""),"Bash/Shell/PowerShell")</f>
        <v>Bash/Shell/PowerShell</v>
      </c>
      <c r="E1780" s="9" t="str">
        <f>IFERROR(__xludf.DUMMYFUNCTION("""COMPUTED_VALUE"""),"Go")</f>
        <v>Go</v>
      </c>
      <c r="F1780" s="9" t="str">
        <f>IFERROR(__xludf.DUMMYFUNCTION("""COMPUTED_VALUE"""),"Go")</f>
        <v>Go</v>
      </c>
      <c r="G1780" s="9" t="str">
        <f>IFERROR(__xludf.DUMMYFUNCTION("""COMPUTED_VALUE"""),"Objective-C")</f>
        <v>Objective-C</v>
      </c>
      <c r="H1780" s="9" t="str">
        <f>IFERROR(__xludf.DUMMYFUNCTION("""COMPUTED_VALUE"""),"HTML/CSS")</f>
        <v>HTML/CSS</v>
      </c>
      <c r="I1780" s="9" t="str">
        <f>IFERROR(__xludf.DUMMYFUNCTION("""COMPUTED_VALUE"""),"Kotlin")</f>
        <v>Kotlin</v>
      </c>
      <c r="J1780" s="9" t="str">
        <f>IFERROR(__xludf.DUMMYFUNCTION("""COMPUTED_VALUE"""),"Bash/Shell/PowerShell")</f>
        <v>Bash/Shell/PowerShell</v>
      </c>
      <c r="K1780" s="9" t="str">
        <f>IFERROR(__xludf.DUMMYFUNCTION("""COMPUTED_VALUE"""),"Java")</f>
        <v>Java</v>
      </c>
      <c r="L1780" s="9" t="str">
        <f>IFERROR(__xludf.DUMMYFUNCTION("""COMPUTED_VALUE"""),"Swift")</f>
        <v>Swift</v>
      </c>
      <c r="M1780" s="9" t="s">
        <v>21</v>
      </c>
    </row>
    <row r="1781" ht="15.75" customHeight="1">
      <c r="A1781" s="7"/>
      <c r="B1781" s="7" t="str">
        <f>IFERROR(__xludf.DUMMYFUNCTION("""COMPUTED_VALUE"""),"HTML/CSS;JavaScript;PHP;Python;SQL;TypeScript")</f>
        <v>HTML/CSS;JavaScript;PHP;Python;SQL;TypeScript</v>
      </c>
      <c r="C1781" s="9" t="str">
        <f>IFERROR(__xludf.DUMMYFUNCTION("""COMPUTED_VALUE"""),"Python")</f>
        <v>Python</v>
      </c>
      <c r="D1781" s="9" t="str">
        <f>IFERROR(__xludf.DUMMYFUNCTION("""COMPUTED_VALUE"""),"C#")</f>
        <v>C#</v>
      </c>
      <c r="E1781" s="9" t="str">
        <f>IFERROR(__xludf.DUMMYFUNCTION("""COMPUTED_VALUE"""),"HTML/CSS")</f>
        <v>HTML/CSS</v>
      </c>
      <c r="F1781" s="9" t="str">
        <f>IFERROR(__xludf.DUMMYFUNCTION("""COMPUTED_VALUE"""),"JavaScript")</f>
        <v>JavaScript</v>
      </c>
      <c r="G1781" s="9" t="str">
        <f>IFERROR(__xludf.DUMMYFUNCTION("""COMPUTED_VALUE"""),"SQL")</f>
        <v>SQL</v>
      </c>
      <c r="H1781" s="9" t="str">
        <f>IFERROR(__xludf.DUMMYFUNCTION("""COMPUTED_VALUE"""),"JavaScript")</f>
        <v>JavaScript</v>
      </c>
      <c r="I1781" s="9" t="str">
        <f>IFERROR(__xludf.DUMMYFUNCTION("""COMPUTED_VALUE"""),"PHP")</f>
        <v>PHP</v>
      </c>
      <c r="J1781" s="9" t="str">
        <f>IFERROR(__xludf.DUMMYFUNCTION("""COMPUTED_VALUE"""),"HTML/CSS")</f>
        <v>HTML/CSS</v>
      </c>
      <c r="K1781" s="9" t="str">
        <f>IFERROR(__xludf.DUMMYFUNCTION("""COMPUTED_VALUE"""),"JavaScript")</f>
        <v>JavaScript</v>
      </c>
      <c r="L1781" s="9" t="str">
        <f>IFERROR(__xludf.DUMMYFUNCTION("""COMPUTED_VALUE"""),"C#")</f>
        <v>C#</v>
      </c>
      <c r="M1781" s="9" t="s">
        <v>22</v>
      </c>
    </row>
    <row r="1782" ht="15.75" customHeight="1">
      <c r="A1782" s="7"/>
      <c r="B1782" s="7" t="str">
        <f>IFERROR(__xludf.DUMMYFUNCTION("""COMPUTED_VALUE"""),"C;C++;HTML/CSS;Java;JavaScript;PHP;R;VBA")</f>
        <v>C;C++;HTML/CSS;Java;JavaScript;PHP;R;VBA</v>
      </c>
      <c r="C1782" s="9" t="str">
        <f>IFERROR(__xludf.DUMMYFUNCTION("""COMPUTED_VALUE"""),"Bash/Shell/PowerShell")</f>
        <v>Bash/Shell/PowerShell</v>
      </c>
      <c r="D1782" s="9" t="str">
        <f>IFERROR(__xludf.DUMMYFUNCTION("""COMPUTED_VALUE"""),"HTML/CSS")</f>
        <v>HTML/CSS</v>
      </c>
      <c r="E1782" s="9" t="str">
        <f>IFERROR(__xludf.DUMMYFUNCTION("""COMPUTED_VALUE"""),"JavaScript")</f>
        <v>JavaScript</v>
      </c>
      <c r="F1782" s="9" t="str">
        <f>IFERROR(__xludf.DUMMYFUNCTION("""COMPUTED_VALUE"""),"PHP")</f>
        <v>PHP</v>
      </c>
      <c r="G1782" s="9" t="str">
        <f>IFERROR(__xludf.DUMMYFUNCTION("""COMPUTED_VALUE"""),"Swift")</f>
        <v>Swift</v>
      </c>
      <c r="H1782" s="9" t="str">
        <f>IFERROR(__xludf.DUMMYFUNCTION("""COMPUTED_VALUE"""),"PHP")</f>
        <v>PHP</v>
      </c>
      <c r="I1782" s="9" t="str">
        <f>IFERROR(__xludf.DUMMYFUNCTION("""COMPUTED_VALUE"""),"Python")</f>
        <v>Python</v>
      </c>
      <c r="J1782" s="9" t="str">
        <f>IFERROR(__xludf.DUMMYFUNCTION("""COMPUTED_VALUE"""),"Java")</f>
        <v>Java</v>
      </c>
      <c r="K1782" s="9" t="str">
        <f>IFERROR(__xludf.DUMMYFUNCTION("""COMPUTED_VALUE"""),"PHP")</f>
        <v>PHP</v>
      </c>
      <c r="L1782" s="9" t="str">
        <f>IFERROR(__xludf.DUMMYFUNCTION("""COMPUTED_VALUE"""),"HTML/CSS")</f>
        <v>HTML/CSS</v>
      </c>
      <c r="M1782" s="9" t="s">
        <v>30</v>
      </c>
    </row>
    <row r="1783" ht="15.75" customHeight="1">
      <c r="A1783" s="7"/>
      <c r="B1783" s="7" t="str">
        <f>IFERROR(__xludf.DUMMYFUNCTION("""COMPUTED_VALUE"""),"Bash/Shell/PowerShell;C++;C#;HTML/CSS;Java;JavaScript;Python;Scala")</f>
        <v>Bash/Shell/PowerShell;C++;C#;HTML/CSS;Java;JavaScript;Python;Scala</v>
      </c>
      <c r="C1783" s="9" t="str">
        <f>IFERROR(__xludf.DUMMYFUNCTION("""COMPUTED_VALUE"""),"HTML/CSS")</f>
        <v>HTML/CSS</v>
      </c>
      <c r="D1783" s="9" t="str">
        <f>IFERROR(__xludf.DUMMYFUNCTION("""COMPUTED_VALUE"""),"Java")</f>
        <v>Java</v>
      </c>
      <c r="E1783" s="9" t="str">
        <f>IFERROR(__xludf.DUMMYFUNCTION("""COMPUTED_VALUE"""),"TypeScript")</f>
        <v>TypeScript</v>
      </c>
      <c r="F1783" s="9" t="str">
        <f>IFERROR(__xludf.DUMMYFUNCTION("""COMPUTED_VALUE"""),"Python")</f>
        <v>Python</v>
      </c>
      <c r="G1783" s="9" t="str">
        <f>IFERROR(__xludf.DUMMYFUNCTION("""COMPUTED_VALUE"""),"VBA")</f>
        <v>VBA</v>
      </c>
      <c r="H1783" s="9" t="str">
        <f>IFERROR(__xludf.DUMMYFUNCTION("""COMPUTED_VALUE"""),"Python")</f>
        <v>Python</v>
      </c>
      <c r="I1783" s="9" t="str">
        <f>IFERROR(__xludf.DUMMYFUNCTION("""COMPUTED_VALUE"""),"Swift")</f>
        <v>Swift</v>
      </c>
      <c r="J1783" s="9" t="str">
        <f>IFERROR(__xludf.DUMMYFUNCTION("""COMPUTED_VALUE"""),"JavaScript")</f>
        <v>JavaScript</v>
      </c>
      <c r="K1783" s="9" t="str">
        <f>IFERROR(__xludf.DUMMYFUNCTION("""COMPUTED_VALUE"""),"Python")</f>
        <v>Python</v>
      </c>
      <c r="L1783" s="9" t="str">
        <f>IFERROR(__xludf.DUMMYFUNCTION("""COMPUTED_VALUE"""),"JavaScript")</f>
        <v>JavaScript</v>
      </c>
      <c r="M1783" s="9" t="s">
        <v>24</v>
      </c>
    </row>
    <row r="1784" ht="15.75" customHeight="1">
      <c r="A1784" s="7"/>
      <c r="B1784" s="7" t="str">
        <f>IFERROR(__xludf.DUMMYFUNCTION("""COMPUTED_VALUE"""),"Bash/Shell/PowerShell;C;Elixir;Erlang;Go;JavaScript;TypeScript")</f>
        <v>Bash/Shell/PowerShell;C;Elixir;Erlang;Go;JavaScript;TypeScript</v>
      </c>
      <c r="C1784" s="9" t="str">
        <f>IFERROR(__xludf.DUMMYFUNCTION("""COMPUTED_VALUE"""),"JavaScript")</f>
        <v>JavaScript</v>
      </c>
      <c r="D1784" s="9" t="str">
        <f>IFERROR(__xludf.DUMMYFUNCTION("""COMPUTED_VALUE"""),"JavaScript")</f>
        <v>JavaScript</v>
      </c>
      <c r="E1784" s="9" t="str">
        <f>IFERROR(__xludf.DUMMYFUNCTION("""COMPUTED_VALUE"""),"C++")</f>
        <v>C++</v>
      </c>
      <c r="F1784" s="9" t="str">
        <f>IFERROR(__xludf.DUMMYFUNCTION("""COMPUTED_VALUE"""),"SQL")</f>
        <v>SQL</v>
      </c>
      <c r="G1784" s="9" t="str">
        <f>IFERROR(__xludf.DUMMYFUNCTION("""COMPUTED_VALUE"""),"Other(s):")</f>
        <v>Other(s):</v>
      </c>
      <c r="H1784" s="9" t="str">
        <f>IFERROR(__xludf.DUMMYFUNCTION("""COMPUTED_VALUE"""),"SQL")</f>
        <v>SQL</v>
      </c>
      <c r="I1784" s="9" t="str">
        <f>IFERROR(__xludf.DUMMYFUNCTION("""COMPUTED_VALUE"""),"Assembly")</f>
        <v>Assembly</v>
      </c>
      <c r="J1784" s="9" t="str">
        <f>IFERROR(__xludf.DUMMYFUNCTION("""COMPUTED_VALUE"""),"Bash/Shell/PowerShell")</f>
        <v>Bash/Shell/PowerShell</v>
      </c>
      <c r="K1784" s="9" t="str">
        <f>IFERROR(__xludf.DUMMYFUNCTION("""COMPUTED_VALUE"""),"SQL")</f>
        <v>SQL</v>
      </c>
      <c r="L1784" s="9" t="str">
        <f>IFERROR(__xludf.DUMMYFUNCTION("""COMPUTED_VALUE"""),"SQL")</f>
        <v>SQL</v>
      </c>
      <c r="M1784" s="9" t="s">
        <v>21</v>
      </c>
    </row>
    <row r="1785" ht="15.75" customHeight="1">
      <c r="A1785" s="7"/>
      <c r="B1785" s="7" t="str">
        <f>IFERROR(__xludf.DUMMYFUNCTION("""COMPUTED_VALUE"""),"HTML/CSS;JavaScript")</f>
        <v>HTML/CSS;JavaScript</v>
      </c>
      <c r="C1785" s="9" t="str">
        <f>IFERROR(__xludf.DUMMYFUNCTION("""COMPUTED_VALUE"""),"Python")</f>
        <v>Python</v>
      </c>
      <c r="D1785" s="9" t="str">
        <f>IFERROR(__xludf.DUMMYFUNCTION("""COMPUTED_VALUE"""),"PHP")</f>
        <v>PHP</v>
      </c>
      <c r="E1785" s="9" t="str">
        <f>IFERROR(__xludf.DUMMYFUNCTION("""COMPUTED_VALUE"""),"Java")</f>
        <v>Java</v>
      </c>
      <c r="F1785" s="9" t="str">
        <f>IFERROR(__xludf.DUMMYFUNCTION("""COMPUTED_VALUE"""),"HTML/CSS")</f>
        <v>HTML/CSS</v>
      </c>
      <c r="G1785" s="9" t="str">
        <f>IFERROR(__xludf.DUMMYFUNCTION("""COMPUTED_VALUE"""),"Bash/Shell/PowerShell")</f>
        <v>Bash/Shell/PowerShell</v>
      </c>
      <c r="H1785" s="9" t="str">
        <f>IFERROR(__xludf.DUMMYFUNCTION("""COMPUTED_VALUE"""),"Bash/Shell/PowerShell")</f>
        <v>Bash/Shell/PowerShell</v>
      </c>
      <c r="I1785" s="9" t="str">
        <f>IFERROR(__xludf.DUMMYFUNCTION("""COMPUTED_VALUE"""),"Bash/Shell/PowerShell")</f>
        <v>Bash/Shell/PowerShell</v>
      </c>
      <c r="J1785" s="9" t="str">
        <f>IFERROR(__xludf.DUMMYFUNCTION("""COMPUTED_VALUE"""),"HTML/CSS")</f>
        <v>HTML/CSS</v>
      </c>
      <c r="K1785" s="9" t="str">
        <f>IFERROR(__xludf.DUMMYFUNCTION("""COMPUTED_VALUE"""),"C++")</f>
        <v>C++</v>
      </c>
      <c r="L1785" s="9" t="str">
        <f>IFERROR(__xludf.DUMMYFUNCTION("""COMPUTED_VALUE"""),"TypeScript")</f>
        <v>TypeScript</v>
      </c>
      <c r="M1785" s="9" t="s">
        <v>22</v>
      </c>
    </row>
    <row r="1786" ht="15.75" customHeight="1">
      <c r="A1786" s="7"/>
      <c r="B1786" s="7" t="str">
        <f>IFERROR(__xludf.DUMMYFUNCTION("""COMPUTED_VALUE"""),"Assembly;Bash/Shell/PowerShell;C;C#;F#;Swift")</f>
        <v>Assembly;Bash/Shell/PowerShell;C;C#;F#;Swift</v>
      </c>
      <c r="C1786" s="9" t="str">
        <f>IFERROR(__xludf.DUMMYFUNCTION("""COMPUTED_VALUE"""),"TypeScript")</f>
        <v>TypeScript</v>
      </c>
      <c r="D1786" s="9" t="str">
        <f>IFERROR(__xludf.DUMMYFUNCTION("""COMPUTED_VALUE"""),"Python")</f>
        <v>Python</v>
      </c>
      <c r="E1786" s="9" t="str">
        <f>IFERROR(__xludf.DUMMYFUNCTION("""COMPUTED_VALUE"""),"Other(s):")</f>
        <v>Other(s):</v>
      </c>
      <c r="F1786" s="9" t="str">
        <f>IFERROR(__xludf.DUMMYFUNCTION("""COMPUTED_VALUE"""),"JavaScript")</f>
        <v>JavaScript</v>
      </c>
      <c r="G1786" s="9" t="str">
        <f>IFERROR(__xludf.DUMMYFUNCTION("""COMPUTED_VALUE"""),"C")</f>
        <v>C</v>
      </c>
      <c r="H1786" s="9" t="str">
        <f>IFERROR(__xludf.DUMMYFUNCTION("""COMPUTED_VALUE"""),"C")</f>
        <v>C</v>
      </c>
      <c r="I1786" s="9" t="str">
        <f>IFERROR(__xludf.DUMMYFUNCTION("""COMPUTED_VALUE"""),"C")</f>
        <v>C</v>
      </c>
      <c r="J1786" s="9" t="str">
        <f>IFERROR(__xludf.DUMMYFUNCTION("""COMPUTED_VALUE"""),"Python")</f>
        <v>Python</v>
      </c>
      <c r="K1786" s="9" t="str">
        <f>IFERROR(__xludf.DUMMYFUNCTION("""COMPUTED_VALUE"""),"HTML/CSS")</f>
        <v>HTML/CSS</v>
      </c>
      <c r="L1786" s="9" t="str">
        <f>IFERROR(__xludf.DUMMYFUNCTION("""COMPUTED_VALUE"""),"C#")</f>
        <v>C#</v>
      </c>
      <c r="M1786" s="9" t="s">
        <v>33</v>
      </c>
    </row>
    <row r="1787" ht="15.75" customHeight="1">
      <c r="A1787" s="7"/>
      <c r="B1787" s="7" t="str">
        <f>IFERROR(__xludf.DUMMYFUNCTION("""COMPUTED_VALUE"""),"C#;HTML/CSS;JavaScript;Ruby")</f>
        <v>C#;HTML/CSS;JavaScript;Ruby</v>
      </c>
      <c r="C1787" s="9" t="str">
        <f>IFERROR(__xludf.DUMMYFUNCTION("""COMPUTED_VALUE"""),"Elixir")</f>
        <v>Elixir</v>
      </c>
      <c r="D1787" s="9" t="str">
        <f>IFERROR(__xludf.DUMMYFUNCTION("""COMPUTED_VALUE"""),"SQL")</f>
        <v>SQL</v>
      </c>
      <c r="E1787" s="9" t="str">
        <f>IFERROR(__xludf.DUMMYFUNCTION("""COMPUTED_VALUE"""),"Python")</f>
        <v>Python</v>
      </c>
      <c r="F1787" s="9" t="str">
        <f>IFERROR(__xludf.DUMMYFUNCTION("""COMPUTED_VALUE"""),"PHP")</f>
        <v>PHP</v>
      </c>
      <c r="G1787" s="9" t="str">
        <f>IFERROR(__xludf.DUMMYFUNCTION("""COMPUTED_VALUE"""),"HTML/CSS")</f>
        <v>HTML/CSS</v>
      </c>
      <c r="H1787" s="9" t="str">
        <f>IFERROR(__xludf.DUMMYFUNCTION("""COMPUTED_VALUE"""),"C++")</f>
        <v>C++</v>
      </c>
      <c r="I1787" s="9" t="str">
        <f>IFERROR(__xludf.DUMMYFUNCTION("""COMPUTED_VALUE"""),"C++")</f>
        <v>C++</v>
      </c>
      <c r="J1787" s="9" t="str">
        <f>IFERROR(__xludf.DUMMYFUNCTION("""COMPUTED_VALUE"""),"Ruby")</f>
        <v>Ruby</v>
      </c>
      <c r="K1787" s="9" t="str">
        <f>IFERROR(__xludf.DUMMYFUNCTION("""COMPUTED_VALUE"""),"Java")</f>
        <v>Java</v>
      </c>
      <c r="L1787" s="9" t="str">
        <f>IFERROR(__xludf.DUMMYFUNCTION("""COMPUTED_VALUE"""),"HTML/CSS")</f>
        <v>HTML/CSS</v>
      </c>
      <c r="M1787" s="9" t="s">
        <v>42</v>
      </c>
    </row>
    <row r="1788" ht="15.75" customHeight="1">
      <c r="A1788" s="7"/>
      <c r="B1788" s="7" t="str">
        <f>IFERROR(__xludf.DUMMYFUNCTION("""COMPUTED_VALUE"""),"Bash/Shell/PowerShell;Go;Java;Python;Ruby;SQL")</f>
        <v>Bash/Shell/PowerShell;Go;Java;Python;Ruby;SQL</v>
      </c>
      <c r="C1788" s="9" t="str">
        <f>IFERROR(__xludf.DUMMYFUNCTION("""COMPUTED_VALUE"""),"Erlang")</f>
        <v>Erlang</v>
      </c>
      <c r="D1788" s="9" t="str">
        <f>IFERROR(__xludf.DUMMYFUNCTION("""COMPUTED_VALUE"""),"C")</f>
        <v>C</v>
      </c>
      <c r="E1788" s="9" t="str">
        <f>IFERROR(__xludf.DUMMYFUNCTION("""COMPUTED_VALUE"""),"R")</f>
        <v>R</v>
      </c>
      <c r="F1788" s="9" t="str">
        <f>IFERROR(__xludf.DUMMYFUNCTION("""COMPUTED_VALUE"""),"Python")</f>
        <v>Python</v>
      </c>
      <c r="G1788" s="9" t="str">
        <f>IFERROR(__xludf.DUMMYFUNCTION("""COMPUTED_VALUE"""),"JavaScript")</f>
        <v>JavaScript</v>
      </c>
      <c r="H1788" s="9" t="str">
        <f>IFERROR(__xludf.DUMMYFUNCTION("""COMPUTED_VALUE"""),"HTML/CSS")</f>
        <v>HTML/CSS</v>
      </c>
      <c r="I1788" s="9" t="str">
        <f>IFERROR(__xludf.DUMMYFUNCTION("""COMPUTED_VALUE"""),"C#")</f>
        <v>C#</v>
      </c>
      <c r="J1788" s="9" t="str">
        <f>IFERROR(__xludf.DUMMYFUNCTION("""COMPUTED_VALUE"""),"C#")</f>
        <v>C#</v>
      </c>
      <c r="K1788" s="9" t="str">
        <f>IFERROR(__xludf.DUMMYFUNCTION("""COMPUTED_VALUE"""),"JavaScript")</f>
        <v>JavaScript</v>
      </c>
      <c r="L1788" s="9" t="str">
        <f>IFERROR(__xludf.DUMMYFUNCTION("""COMPUTED_VALUE"""),"JavaScript")</f>
        <v>JavaScript</v>
      </c>
      <c r="M1788" s="9" t="s">
        <v>43</v>
      </c>
    </row>
    <row r="1789" ht="15.75" customHeight="1">
      <c r="A1789" s="7"/>
      <c r="B1789" s="7" t="str">
        <f>IFERROR(__xludf.DUMMYFUNCTION("""COMPUTED_VALUE"""),"HTML/CSS;Java;JavaScript;PHP;SQL;TypeScript")</f>
        <v>HTML/CSS;Java;JavaScript;PHP;SQL;TypeScript</v>
      </c>
      <c r="C1789" s="9" t="str">
        <f>IFERROR(__xludf.DUMMYFUNCTION("""COMPUTED_VALUE"""),"F#")</f>
        <v>F#</v>
      </c>
      <c r="D1789" s="9" t="str">
        <f>IFERROR(__xludf.DUMMYFUNCTION("""COMPUTED_VALUE"""),"HTML/CSS")</f>
        <v>HTML/CSS</v>
      </c>
      <c r="E1789" s="9" t="str">
        <f>IFERROR(__xludf.DUMMYFUNCTION("""COMPUTED_VALUE"""),"SQL")</f>
        <v>SQL</v>
      </c>
      <c r="F1789" s="9" t="str">
        <f>IFERROR(__xludf.DUMMYFUNCTION("""COMPUTED_VALUE"""),"SQL")</f>
        <v>SQL</v>
      </c>
      <c r="G1789" s="9" t="str">
        <f>IFERROR(__xludf.DUMMYFUNCTION("""COMPUTED_VALUE"""),"Python")</f>
        <v>Python</v>
      </c>
      <c r="H1789" s="9" t="str">
        <f>IFERROR(__xludf.DUMMYFUNCTION("""COMPUTED_VALUE"""),"Java")</f>
        <v>Java</v>
      </c>
      <c r="I1789" s="9" t="str">
        <f>IFERROR(__xludf.DUMMYFUNCTION("""COMPUTED_VALUE"""),"Go")</f>
        <v>Go</v>
      </c>
      <c r="J1789" s="9" t="str">
        <f>IFERROR(__xludf.DUMMYFUNCTION("""COMPUTED_VALUE"""),"HTML/CSS")</f>
        <v>HTML/CSS</v>
      </c>
      <c r="K1789" s="9" t="str">
        <f>IFERROR(__xludf.DUMMYFUNCTION("""COMPUTED_VALUE"""),"SQL")</f>
        <v>SQL</v>
      </c>
      <c r="L1789" s="9" t="str">
        <f>IFERROR(__xludf.DUMMYFUNCTION("""COMPUTED_VALUE"""),"SQL")</f>
        <v>SQL</v>
      </c>
      <c r="M1789" s="9" t="s">
        <v>45</v>
      </c>
    </row>
    <row r="1790" ht="15.75" customHeight="1">
      <c r="A1790" s="7"/>
      <c r="B1790" s="7" t="str">
        <f>IFERROR(__xludf.DUMMYFUNCTION("""COMPUTED_VALUE"""),"Bash/Shell/PowerShell;C++;HTML/CSS;Java;JavaScript;Python;Ruby;SQL")</f>
        <v>Bash/Shell/PowerShell;C++;HTML/CSS;Java;JavaScript;Python;Ruby;SQL</v>
      </c>
      <c r="C1790" s="9" t="str">
        <f>IFERROR(__xludf.DUMMYFUNCTION("""COMPUTED_VALUE"""),"Go")</f>
        <v>Go</v>
      </c>
      <c r="D1790" s="9" t="str">
        <f>IFERROR(__xludf.DUMMYFUNCTION("""COMPUTED_VALUE"""),"Java")</f>
        <v>Java</v>
      </c>
      <c r="E1790" s="9" t="str">
        <f>IFERROR(__xludf.DUMMYFUNCTION("""COMPUTED_VALUE"""),"Python")</f>
        <v>Python</v>
      </c>
      <c r="F1790" s="9" t="str">
        <f>IFERROR(__xludf.DUMMYFUNCTION("""COMPUTED_VALUE"""),"C")</f>
        <v>C</v>
      </c>
      <c r="G1790" s="9" t="str">
        <f>IFERROR(__xludf.DUMMYFUNCTION("""COMPUTED_VALUE"""),"Ruby")</f>
        <v>Ruby</v>
      </c>
      <c r="H1790" s="9" t="str">
        <f>IFERROR(__xludf.DUMMYFUNCTION("""COMPUTED_VALUE"""),"JavaScript")</f>
        <v>JavaScript</v>
      </c>
      <c r="I1790" s="9" t="str">
        <f>IFERROR(__xludf.DUMMYFUNCTION("""COMPUTED_VALUE"""),"JavaScript")</f>
        <v>JavaScript</v>
      </c>
      <c r="J1790" s="9" t="str">
        <f>IFERROR(__xludf.DUMMYFUNCTION("""COMPUTED_VALUE"""),"JavaScript")</f>
        <v>JavaScript</v>
      </c>
      <c r="K1790" s="9" t="str">
        <f>IFERROR(__xludf.DUMMYFUNCTION("""COMPUTED_VALUE"""),"Java")</f>
        <v>Java</v>
      </c>
      <c r="L1790" s="9" t="str">
        <f>IFERROR(__xludf.DUMMYFUNCTION("""COMPUTED_VALUE"""),"TypeScript")</f>
        <v>TypeScript</v>
      </c>
      <c r="M1790" s="9" t="s">
        <v>36</v>
      </c>
    </row>
    <row r="1791" ht="15.75" customHeight="1">
      <c r="A1791" s="7"/>
      <c r="B1791" s="7" t="str">
        <f>IFERROR(__xludf.DUMMYFUNCTION("""COMPUTED_VALUE"""),"C;C++;SQL")</f>
        <v>C;C++;SQL</v>
      </c>
      <c r="C1791" s="9" t="str">
        <f>IFERROR(__xludf.DUMMYFUNCTION("""COMPUTED_VALUE"""),"HTML/CSS")</f>
        <v>HTML/CSS</v>
      </c>
      <c r="D1791" s="9" t="str">
        <f>IFERROR(__xludf.DUMMYFUNCTION("""COMPUTED_VALUE"""),"JavaScript")</f>
        <v>JavaScript</v>
      </c>
      <c r="E1791" s="9" t="str">
        <f>IFERROR(__xludf.DUMMYFUNCTION("""COMPUTED_VALUE"""),"R")</f>
        <v>R</v>
      </c>
      <c r="F1791" s="9" t="str">
        <f>IFERROR(__xludf.DUMMYFUNCTION("""COMPUTED_VALUE"""),"C++")</f>
        <v>C++</v>
      </c>
      <c r="G1791" s="9" t="str">
        <f>IFERROR(__xludf.DUMMYFUNCTION("""COMPUTED_VALUE"""),"Bash/Shell/PowerShell")</f>
        <v>Bash/Shell/PowerShell</v>
      </c>
      <c r="H1791" s="9" t="str">
        <f>IFERROR(__xludf.DUMMYFUNCTION("""COMPUTED_VALUE"""),"PHP")</f>
        <v>PHP</v>
      </c>
      <c r="I1791" s="9" t="str">
        <f>IFERROR(__xludf.DUMMYFUNCTION("""COMPUTED_VALUE"""),"Python")</f>
        <v>Python</v>
      </c>
      <c r="J1791" s="9" t="str">
        <f>IFERROR(__xludf.DUMMYFUNCTION("""COMPUTED_VALUE"""),"TypeScript")</f>
        <v>TypeScript</v>
      </c>
      <c r="K1791" s="9" t="str">
        <f>IFERROR(__xludf.DUMMYFUNCTION("""COMPUTED_VALUE"""),"Kotlin")</f>
        <v>Kotlin</v>
      </c>
      <c r="L1791" s="9" t="str">
        <f>IFERROR(__xludf.DUMMYFUNCTION("""COMPUTED_VALUE"""),"Dart")</f>
        <v>Dart</v>
      </c>
      <c r="M1791" s="9" t="s">
        <v>24</v>
      </c>
    </row>
    <row r="1792" ht="15.75" customHeight="1">
      <c r="A1792" s="7"/>
      <c r="B1792" s="7" t="str">
        <f>IFERROR(__xludf.DUMMYFUNCTION("""COMPUTED_VALUE"""),"C++;JavaScript;Python")</f>
        <v>C++;JavaScript;Python</v>
      </c>
      <c r="C1792" s="9" t="str">
        <f>IFERROR(__xludf.DUMMYFUNCTION("""COMPUTED_VALUE"""),"JavaScript")</f>
        <v>JavaScript</v>
      </c>
      <c r="D1792" s="9" t="str">
        <f>IFERROR(__xludf.DUMMYFUNCTION("""COMPUTED_VALUE"""),"PHP")</f>
        <v>PHP</v>
      </c>
      <c r="E1792" s="9" t="str">
        <f>IFERROR(__xludf.DUMMYFUNCTION("""COMPUTED_VALUE"""),"SQL")</f>
        <v>SQL</v>
      </c>
      <c r="F1792" s="9" t="str">
        <f>IFERROR(__xludf.DUMMYFUNCTION("""COMPUTED_VALUE"""),"C#")</f>
        <v>C#</v>
      </c>
      <c r="G1792" s="9" t="str">
        <f>IFERROR(__xludf.DUMMYFUNCTION("""COMPUTED_VALUE"""),"HTML/CSS")</f>
        <v>HTML/CSS</v>
      </c>
      <c r="H1792" s="9" t="str">
        <f>IFERROR(__xludf.DUMMYFUNCTION("""COMPUTED_VALUE"""),"Python")</f>
        <v>Python</v>
      </c>
      <c r="I1792" s="9" t="str">
        <f>IFERROR(__xludf.DUMMYFUNCTION("""COMPUTED_VALUE"""),"Other(s):")</f>
        <v>Other(s):</v>
      </c>
      <c r="J1792" s="9" t="str">
        <f>IFERROR(__xludf.DUMMYFUNCTION("""COMPUTED_VALUE"""),"C++")</f>
        <v>C++</v>
      </c>
      <c r="K1792" s="9" t="str">
        <f>IFERROR(__xludf.DUMMYFUNCTION("""COMPUTED_VALUE"""),"C")</f>
        <v>C</v>
      </c>
      <c r="L1792" s="9" t="str">
        <f>IFERROR(__xludf.DUMMYFUNCTION("""COMPUTED_VALUE"""),"JavaScript")</f>
        <v>JavaScript</v>
      </c>
      <c r="M1792" s="9" t="s">
        <v>21</v>
      </c>
    </row>
    <row r="1793" ht="15.75" customHeight="1">
      <c r="A1793" s="7"/>
      <c r="B1793" s="7" t="str">
        <f>IFERROR(__xludf.DUMMYFUNCTION("""COMPUTED_VALUE"""),"JavaScript;TypeScript")</f>
        <v>JavaScript;TypeScript</v>
      </c>
      <c r="C1793" s="9" t="str">
        <f>IFERROR(__xludf.DUMMYFUNCTION("""COMPUTED_VALUE"""),"PHP")</f>
        <v>PHP</v>
      </c>
      <c r="D1793" s="9" t="str">
        <f>IFERROR(__xludf.DUMMYFUNCTION("""COMPUTED_VALUE"""),"Python")</f>
        <v>Python</v>
      </c>
      <c r="E1793" s="9" t="str">
        <f>IFERROR(__xludf.DUMMYFUNCTION("""COMPUTED_VALUE"""),"JavaScript")</f>
        <v>JavaScript</v>
      </c>
      <c r="F1793" s="9" t="str">
        <f>IFERROR(__xludf.DUMMYFUNCTION("""COMPUTED_VALUE"""),"HTML/CSS")</f>
        <v>HTML/CSS</v>
      </c>
      <c r="G1793" s="9" t="str">
        <f>IFERROR(__xludf.DUMMYFUNCTION("""COMPUTED_VALUE"""),"SQL")</f>
        <v>SQL</v>
      </c>
      <c r="H1793" s="9" t="str">
        <f>IFERROR(__xludf.DUMMYFUNCTION("""COMPUTED_VALUE"""),"R")</f>
        <v>R</v>
      </c>
      <c r="I1793" s="9" t="str">
        <f>IFERROR(__xludf.DUMMYFUNCTION("""COMPUTED_VALUE"""),"Bash/Shell/PowerShell")</f>
        <v>Bash/Shell/PowerShell</v>
      </c>
      <c r="J1793" s="9" t="str">
        <f>IFERROR(__xludf.DUMMYFUNCTION("""COMPUTED_VALUE"""),"C#")</f>
        <v>C#</v>
      </c>
      <c r="K1793" s="9" t="str">
        <f>IFERROR(__xludf.DUMMYFUNCTION("""COMPUTED_VALUE"""),"C#")</f>
        <v>C#</v>
      </c>
      <c r="L1793" s="9" t="str">
        <f>IFERROR(__xludf.DUMMYFUNCTION("""COMPUTED_VALUE"""),"SQL")</f>
        <v>SQL</v>
      </c>
      <c r="M1793" s="9" t="s">
        <v>37</v>
      </c>
    </row>
    <row r="1794" ht="15.75" customHeight="1">
      <c r="A1794" s="7"/>
      <c r="B1794" s="7" t="str">
        <f>IFERROR(__xludf.DUMMYFUNCTION("""COMPUTED_VALUE"""),"Bash/Shell/PowerShell;C;C++;C#;HTML/CSS;JavaScript;Python;SQL;Other(s):")</f>
        <v>Bash/Shell/PowerShell;C;C++;C#;HTML/CSS;JavaScript;Python;SQL;Other(s):</v>
      </c>
      <c r="C1794" s="9" t="str">
        <f>IFERROR(__xludf.DUMMYFUNCTION("""COMPUTED_VALUE"""),"SQL")</f>
        <v>SQL</v>
      </c>
      <c r="D1794" s="9" t="str">
        <f>IFERROR(__xludf.DUMMYFUNCTION("""COMPUTED_VALUE"""),"SQL")</f>
        <v>SQL</v>
      </c>
      <c r="E1794" s="9" t="str">
        <f>IFERROR(__xludf.DUMMYFUNCTION("""COMPUTED_VALUE"""),"Ruby")</f>
        <v>Ruby</v>
      </c>
      <c r="F1794" s="9" t="str">
        <f>IFERROR(__xludf.DUMMYFUNCTION("""COMPUTED_VALUE"""),"Java")</f>
        <v>Java</v>
      </c>
      <c r="G1794" s="9" t="str">
        <f>IFERROR(__xludf.DUMMYFUNCTION("""COMPUTED_VALUE"""),"Bash/Shell/PowerShell")</f>
        <v>Bash/Shell/PowerShell</v>
      </c>
      <c r="H1794" s="9" t="str">
        <f>IFERROR(__xludf.DUMMYFUNCTION("""COMPUTED_VALUE"""),"Ruby")</f>
        <v>Ruby</v>
      </c>
      <c r="I1794" s="9" t="str">
        <f>IFERROR(__xludf.DUMMYFUNCTION("""COMPUTED_VALUE"""),"C#")</f>
        <v>C#</v>
      </c>
      <c r="J1794" s="9" t="str">
        <f>IFERROR(__xludf.DUMMYFUNCTION("""COMPUTED_VALUE"""),"HTML/CSS")</f>
        <v>HTML/CSS</v>
      </c>
      <c r="K1794" s="9" t="str">
        <f>IFERROR(__xludf.DUMMYFUNCTION("""COMPUTED_VALUE"""),"Java")</f>
        <v>Java</v>
      </c>
      <c r="L1794" s="9" t="str">
        <f>IFERROR(__xludf.DUMMYFUNCTION("""COMPUTED_VALUE"""),"TypeScript")</f>
        <v>TypeScript</v>
      </c>
      <c r="M1794" s="9" t="s">
        <v>27</v>
      </c>
    </row>
    <row r="1795" ht="15.75" customHeight="1">
      <c r="A1795" s="7"/>
      <c r="B1795" s="7" t="str">
        <f>IFERROR(__xludf.DUMMYFUNCTION("""COMPUTED_VALUE"""),"Bash/Shell/PowerShell;C#;Go")</f>
        <v>Bash/Shell/PowerShell;C#;Go</v>
      </c>
      <c r="C1795" s="9" t="str">
        <f>IFERROR(__xludf.DUMMYFUNCTION("""COMPUTED_VALUE"""),"HTML/CSS")</f>
        <v>HTML/CSS</v>
      </c>
      <c r="D1795" s="9" t="str">
        <f>IFERROR(__xludf.DUMMYFUNCTION("""COMPUTED_VALUE"""),"C++")</f>
        <v>C++</v>
      </c>
      <c r="E1795" s="9" t="str">
        <f>IFERROR(__xludf.DUMMYFUNCTION("""COMPUTED_VALUE"""),"Bash/Shell/PowerShell")</f>
        <v>Bash/Shell/PowerShell</v>
      </c>
      <c r="F1795" s="9" t="str">
        <f>IFERROR(__xludf.DUMMYFUNCTION("""COMPUTED_VALUE"""),"JavaScript")</f>
        <v>JavaScript</v>
      </c>
      <c r="G1795" s="9" t="str">
        <f>IFERROR(__xludf.DUMMYFUNCTION("""COMPUTED_VALUE"""),"HTML/CSS")</f>
        <v>HTML/CSS</v>
      </c>
      <c r="H1795" s="9" t="str">
        <f>IFERROR(__xludf.DUMMYFUNCTION("""COMPUTED_VALUE"""),"SQL")</f>
        <v>SQL</v>
      </c>
      <c r="I1795" s="9" t="str">
        <f>IFERROR(__xludf.DUMMYFUNCTION("""COMPUTED_VALUE"""),"HTML/CSS")</f>
        <v>HTML/CSS</v>
      </c>
      <c r="J1795" s="9" t="str">
        <f>IFERROR(__xludf.DUMMYFUNCTION("""COMPUTED_VALUE"""),"Python")</f>
        <v>Python</v>
      </c>
      <c r="K1795" s="9" t="str">
        <f>IFERROR(__xludf.DUMMYFUNCTION("""COMPUTED_VALUE"""),"JavaScript")</f>
        <v>JavaScript</v>
      </c>
      <c r="L1795" s="9" t="str">
        <f>IFERROR(__xludf.DUMMYFUNCTION("""COMPUTED_VALUE"""),"Bash/Shell/PowerShell")</f>
        <v>Bash/Shell/PowerShell</v>
      </c>
      <c r="M1795" s="9" t="s">
        <v>24</v>
      </c>
    </row>
    <row r="1796" ht="15.75" customHeight="1">
      <c r="A1796" s="7"/>
      <c r="B1796" s="7" t="str">
        <f>IFERROR(__xludf.DUMMYFUNCTION("""COMPUTED_VALUE"""),"C++;C#;HTML/CSS;JavaScript;SQL")</f>
        <v>C++;C#;HTML/CSS;JavaScript;SQL</v>
      </c>
      <c r="C1796" s="9" t="str">
        <f>IFERROR(__xludf.DUMMYFUNCTION("""COMPUTED_VALUE"""),"Java")</f>
        <v>Java</v>
      </c>
      <c r="D1796" s="9" t="str">
        <f>IFERROR(__xludf.DUMMYFUNCTION("""COMPUTED_VALUE"""),"Java")</f>
        <v>Java</v>
      </c>
      <c r="E1796" s="9" t="str">
        <f>IFERROR(__xludf.DUMMYFUNCTION("""COMPUTED_VALUE"""),"C")</f>
        <v>C</v>
      </c>
      <c r="F1796" s="9" t="str">
        <f>IFERROR(__xludf.DUMMYFUNCTION("""COMPUTED_VALUE"""),"Objective-C")</f>
        <v>Objective-C</v>
      </c>
      <c r="G1796" s="9" t="str">
        <f>IFERROR(__xludf.DUMMYFUNCTION("""COMPUTED_VALUE"""),"JavaScript")</f>
        <v>JavaScript</v>
      </c>
      <c r="H1796" s="9" t="str">
        <f>IFERROR(__xludf.DUMMYFUNCTION("""COMPUTED_VALUE"""),"VBA")</f>
        <v>VBA</v>
      </c>
      <c r="I1796" s="9" t="str">
        <f>IFERROR(__xludf.DUMMYFUNCTION("""COMPUTED_VALUE"""),"JavaScript")</f>
        <v>JavaScript</v>
      </c>
      <c r="J1796" s="9" t="str">
        <f>IFERROR(__xludf.DUMMYFUNCTION("""COMPUTED_VALUE"""),"SQL")</f>
        <v>SQL</v>
      </c>
      <c r="K1796" s="9" t="str">
        <f>IFERROR(__xludf.DUMMYFUNCTION("""COMPUTED_VALUE"""),"Python")</f>
        <v>Python</v>
      </c>
      <c r="L1796" s="9" t="str">
        <f>IFERROR(__xludf.DUMMYFUNCTION("""COMPUTED_VALUE"""),"HTML/CSS")</f>
        <v>HTML/CSS</v>
      </c>
      <c r="M1796" s="9" t="s">
        <v>20</v>
      </c>
    </row>
    <row r="1797" ht="15.75" customHeight="1">
      <c r="A1797" s="7"/>
      <c r="B1797" s="7" t="str">
        <f>IFERROR(__xludf.DUMMYFUNCTION("""COMPUTED_VALUE"""),"C#;HTML/CSS;JavaScript;PHP;SQL")</f>
        <v>C#;HTML/CSS;JavaScript;PHP;SQL</v>
      </c>
      <c r="C1797" s="9" t="str">
        <f>IFERROR(__xludf.DUMMYFUNCTION("""COMPUTED_VALUE"""),"JavaScript")</f>
        <v>JavaScript</v>
      </c>
      <c r="D1797" s="9" t="str">
        <f>IFERROR(__xludf.DUMMYFUNCTION("""COMPUTED_VALUE"""),"C")</f>
        <v>C</v>
      </c>
      <c r="E1797" s="9" t="str">
        <f>IFERROR(__xludf.DUMMYFUNCTION("""COMPUTED_VALUE"""),"C#")</f>
        <v>C#</v>
      </c>
      <c r="F1797" s="9" t="str">
        <f>IFERROR(__xludf.DUMMYFUNCTION("""COMPUTED_VALUE"""),"PHP")</f>
        <v>PHP</v>
      </c>
      <c r="G1797" s="9" t="str">
        <f>IFERROR(__xludf.DUMMYFUNCTION("""COMPUTED_VALUE"""),"Scala")</f>
        <v>Scala</v>
      </c>
      <c r="H1797" s="9" t="str">
        <f>IFERROR(__xludf.DUMMYFUNCTION("""COMPUTED_VALUE"""),"C++")</f>
        <v>C++</v>
      </c>
      <c r="I1797" s="9" t="str">
        <f>IFERROR(__xludf.DUMMYFUNCTION("""COMPUTED_VALUE"""),"Objective-C")</f>
        <v>Objective-C</v>
      </c>
      <c r="J1797" s="9" t="str">
        <f>IFERROR(__xludf.DUMMYFUNCTION("""COMPUTED_VALUE"""),"Other(s):")</f>
        <v>Other(s):</v>
      </c>
      <c r="K1797" s="9" t="str">
        <f>IFERROR(__xludf.DUMMYFUNCTION("""COMPUTED_VALUE"""),"SQL")</f>
        <v>SQL</v>
      </c>
      <c r="L1797" s="9" t="str">
        <f>IFERROR(__xludf.DUMMYFUNCTION("""COMPUTED_VALUE"""),"Java")</f>
        <v>Java</v>
      </c>
      <c r="M1797" s="9" t="s">
        <v>21</v>
      </c>
    </row>
    <row r="1798" ht="15.75" customHeight="1">
      <c r="A1798" s="7"/>
      <c r="B1798" s="7" t="str">
        <f>IFERROR(__xludf.DUMMYFUNCTION("""COMPUTED_VALUE"""),"C#;HTML/CSS;JavaScript;SQL")</f>
        <v>C#;HTML/CSS;JavaScript;SQL</v>
      </c>
      <c r="C1798" s="9" t="str">
        <f>IFERROR(__xludf.DUMMYFUNCTION("""COMPUTED_VALUE"""),"SQL")</f>
        <v>SQL</v>
      </c>
      <c r="D1798" s="9" t="str">
        <f>IFERROR(__xludf.DUMMYFUNCTION("""COMPUTED_VALUE"""),"C++")</f>
        <v>C++</v>
      </c>
      <c r="E1798" s="9" t="str">
        <f>IFERROR(__xludf.DUMMYFUNCTION("""COMPUTED_VALUE"""),"HTML/CSS")</f>
        <v>HTML/CSS</v>
      </c>
      <c r="F1798" s="9" t="str">
        <f>IFERROR(__xludf.DUMMYFUNCTION("""COMPUTED_VALUE"""),"Python")</f>
        <v>Python</v>
      </c>
      <c r="G1798" s="9" t="str">
        <f>IFERROR(__xludf.DUMMYFUNCTION("""COMPUTED_VALUE"""),"SQL")</f>
        <v>SQL</v>
      </c>
      <c r="H1798" s="9" t="str">
        <f>IFERROR(__xludf.DUMMYFUNCTION("""COMPUTED_VALUE"""),"C#")</f>
        <v>C#</v>
      </c>
      <c r="I1798" s="9" t="str">
        <f>IFERROR(__xludf.DUMMYFUNCTION("""COMPUTED_VALUE"""),"PHP")</f>
        <v>PHP</v>
      </c>
      <c r="J1798" s="9" t="str">
        <f>IFERROR(__xludf.DUMMYFUNCTION("""COMPUTED_VALUE"""),"Bash/Shell/PowerShell")</f>
        <v>Bash/Shell/PowerShell</v>
      </c>
      <c r="K1798" s="9" t="str">
        <f>IFERROR(__xludf.DUMMYFUNCTION("""COMPUTED_VALUE"""),"C#")</f>
        <v>C#</v>
      </c>
      <c r="L1798" s="9" t="str">
        <f>IFERROR(__xludf.DUMMYFUNCTION("""COMPUTED_VALUE"""),"JavaScript")</f>
        <v>JavaScript</v>
      </c>
      <c r="M1798" s="9" t="s">
        <v>27</v>
      </c>
    </row>
    <row r="1799" ht="15.75" customHeight="1">
      <c r="A1799" s="7"/>
      <c r="B1799" s="7" t="str">
        <f>IFERROR(__xludf.DUMMYFUNCTION("""COMPUTED_VALUE"""),"C++;HTML/CSS;Java;JavaScript;Python;R;Ruby;SQL")</f>
        <v>C++;HTML/CSS;Java;JavaScript;Python;R;Ruby;SQL</v>
      </c>
      <c r="C1799" s="9" t="str">
        <f>IFERROR(__xludf.DUMMYFUNCTION("""COMPUTED_VALUE"""),"Bash/Shell/PowerShell")</f>
        <v>Bash/Shell/PowerShell</v>
      </c>
      <c r="D1799" s="9" t="str">
        <f>IFERROR(__xludf.DUMMYFUNCTION("""COMPUTED_VALUE"""),"Swift")</f>
        <v>Swift</v>
      </c>
      <c r="E1799" s="9" t="str">
        <f>IFERROR(__xludf.DUMMYFUNCTION("""COMPUTED_VALUE"""),"Java")</f>
        <v>Java</v>
      </c>
      <c r="F1799" s="9" t="str">
        <f>IFERROR(__xludf.DUMMYFUNCTION("""COMPUTED_VALUE"""),"SQL")</f>
        <v>SQL</v>
      </c>
      <c r="G1799" s="9" t="str">
        <f>IFERROR(__xludf.DUMMYFUNCTION("""COMPUTED_VALUE"""),"Bash/Shell/PowerShell")</f>
        <v>Bash/Shell/PowerShell</v>
      </c>
      <c r="H1799" s="9" t="str">
        <f>IFERROR(__xludf.DUMMYFUNCTION("""COMPUTED_VALUE"""),"HTML/CSS")</f>
        <v>HTML/CSS</v>
      </c>
      <c r="I1799" s="9" t="str">
        <f>IFERROR(__xludf.DUMMYFUNCTION("""COMPUTED_VALUE"""),"Python")</f>
        <v>Python</v>
      </c>
      <c r="J1799" s="9" t="str">
        <f>IFERROR(__xludf.DUMMYFUNCTION("""COMPUTED_VALUE"""),"HTML/CSS")</f>
        <v>HTML/CSS</v>
      </c>
      <c r="K1799" s="9" t="str">
        <f>IFERROR(__xludf.DUMMYFUNCTION("""COMPUTED_VALUE"""),"HTML/CSS")</f>
        <v>HTML/CSS</v>
      </c>
      <c r="L1799" s="9" t="str">
        <f>IFERROR(__xludf.DUMMYFUNCTION("""COMPUTED_VALUE"""),"Bash/Shell/PowerShell")</f>
        <v>Bash/Shell/PowerShell</v>
      </c>
      <c r="M1799" s="9" t="s">
        <v>30</v>
      </c>
    </row>
    <row r="1800" ht="15.75" customHeight="1">
      <c r="A1800" s="7"/>
      <c r="B1800" s="7" t="str">
        <f>IFERROR(__xludf.DUMMYFUNCTION("""COMPUTED_VALUE"""),"C++;Python")</f>
        <v>C++;Python</v>
      </c>
      <c r="C1800" s="9" t="str">
        <f>IFERROR(__xludf.DUMMYFUNCTION("""COMPUTED_VALUE"""),"HTML/CSS")</f>
        <v>HTML/CSS</v>
      </c>
      <c r="D1800" s="9" t="str">
        <f>IFERROR(__xludf.DUMMYFUNCTION("""COMPUTED_VALUE"""),"Bash/Shell/PowerShell")</f>
        <v>Bash/Shell/PowerShell</v>
      </c>
      <c r="E1800" s="9" t="str">
        <f>IFERROR(__xludf.DUMMYFUNCTION("""COMPUTED_VALUE"""),"JavaScript")</f>
        <v>JavaScript</v>
      </c>
      <c r="F1800" s="9" t="str">
        <f>IFERROR(__xludf.DUMMYFUNCTION("""COMPUTED_VALUE"""),"C#")</f>
        <v>C#</v>
      </c>
      <c r="G1800" s="9" t="str">
        <f>IFERROR(__xludf.DUMMYFUNCTION("""COMPUTED_VALUE"""),"Go")</f>
        <v>Go</v>
      </c>
      <c r="H1800" s="9" t="str">
        <f>IFERROR(__xludf.DUMMYFUNCTION("""COMPUTED_VALUE"""),"Java")</f>
        <v>Java</v>
      </c>
      <c r="I1800" s="9" t="str">
        <f>IFERROR(__xludf.DUMMYFUNCTION("""COMPUTED_VALUE"""),"Ruby")</f>
        <v>Ruby</v>
      </c>
      <c r="J1800" s="9" t="str">
        <f>IFERROR(__xludf.DUMMYFUNCTION("""COMPUTED_VALUE"""),"JavaScript")</f>
        <v>JavaScript</v>
      </c>
      <c r="K1800" s="9" t="str">
        <f>IFERROR(__xludf.DUMMYFUNCTION("""COMPUTED_VALUE"""),"JavaScript")</f>
        <v>JavaScript</v>
      </c>
      <c r="L1800" s="9" t="str">
        <f>IFERROR(__xludf.DUMMYFUNCTION("""COMPUTED_VALUE"""),"C#")</f>
        <v>C#</v>
      </c>
      <c r="M1800" s="9" t="s">
        <v>24</v>
      </c>
    </row>
    <row r="1801" ht="15.75" customHeight="1">
      <c r="A1801" s="7"/>
      <c r="B1801" s="7" t="str">
        <f>IFERROR(__xludf.DUMMYFUNCTION("""COMPUTED_VALUE"""),"Bash/Shell/PowerShell;JavaScript;Python;TypeScript")</f>
        <v>Bash/Shell/PowerShell;JavaScript;Python;TypeScript</v>
      </c>
      <c r="C1801" s="9" t="str">
        <f>IFERROR(__xludf.DUMMYFUNCTION("""COMPUTED_VALUE"""),"Java")</f>
        <v>Java</v>
      </c>
      <c r="D1801" s="9" t="str">
        <f>IFERROR(__xludf.DUMMYFUNCTION("""COMPUTED_VALUE"""),"C++")</f>
        <v>C++</v>
      </c>
      <c r="E1801" s="9" t="str">
        <f>IFERROR(__xludf.DUMMYFUNCTION("""COMPUTED_VALUE"""),"Python")</f>
        <v>Python</v>
      </c>
      <c r="F1801" s="9" t="str">
        <f>IFERROR(__xludf.DUMMYFUNCTION("""COMPUTED_VALUE"""),"JavaScript")</f>
        <v>JavaScript</v>
      </c>
      <c r="G1801" s="9" t="str">
        <f>IFERROR(__xludf.DUMMYFUNCTION("""COMPUTED_VALUE"""),"HTML/CSS")</f>
        <v>HTML/CSS</v>
      </c>
      <c r="H1801" s="9" t="str">
        <f>IFERROR(__xludf.DUMMYFUNCTION("""COMPUTED_VALUE"""),"JavaScript")</f>
        <v>JavaScript</v>
      </c>
      <c r="I1801" s="9" t="str">
        <f>IFERROR(__xludf.DUMMYFUNCTION("""COMPUTED_VALUE"""),"SQL")</f>
        <v>SQL</v>
      </c>
      <c r="J1801" s="9" t="str">
        <f>IFERROR(__xludf.DUMMYFUNCTION("""COMPUTED_VALUE"""),"SQL")</f>
        <v>SQL</v>
      </c>
      <c r="K1801" s="9" t="str">
        <f>IFERROR(__xludf.DUMMYFUNCTION("""COMPUTED_VALUE"""),"SQL")</f>
        <v>SQL</v>
      </c>
      <c r="L1801" s="9" t="str">
        <f>IFERROR(__xludf.DUMMYFUNCTION("""COMPUTED_VALUE"""),"HTML/CSS")</f>
        <v>HTML/CSS</v>
      </c>
      <c r="M1801" s="9" t="s">
        <v>20</v>
      </c>
    </row>
    <row r="1802" ht="15.75" customHeight="1">
      <c r="A1802" s="7"/>
      <c r="B1802" s="7" t="str">
        <f>IFERROR(__xludf.DUMMYFUNCTION("""COMPUTED_VALUE"""),"HTML/CSS;JavaScript;VBA")</f>
        <v>HTML/CSS;JavaScript;VBA</v>
      </c>
      <c r="C1802" s="9" t="str">
        <f>IFERROR(__xludf.DUMMYFUNCTION("""COMPUTED_VALUE"""),"JavaScript")</f>
        <v>JavaScript</v>
      </c>
      <c r="D1802" s="9" t="str">
        <f>IFERROR(__xludf.DUMMYFUNCTION("""COMPUTED_VALUE"""),"SQL")</f>
        <v>SQL</v>
      </c>
      <c r="E1802" s="9" t="str">
        <f>IFERROR(__xludf.DUMMYFUNCTION("""COMPUTED_VALUE"""),"Ruby")</f>
        <v>Ruby</v>
      </c>
      <c r="F1802" s="9" t="str">
        <f>IFERROR(__xludf.DUMMYFUNCTION("""COMPUTED_VALUE"""),"C")</f>
        <v>C</v>
      </c>
      <c r="G1802" s="9" t="str">
        <f>IFERROR(__xludf.DUMMYFUNCTION("""COMPUTED_VALUE"""),"Python")</f>
        <v>Python</v>
      </c>
      <c r="H1802" s="9" t="str">
        <f>IFERROR(__xludf.DUMMYFUNCTION("""COMPUTED_VALUE"""),"PHP")</f>
        <v>PHP</v>
      </c>
      <c r="I1802" s="9" t="str">
        <f>IFERROR(__xludf.DUMMYFUNCTION("""COMPUTED_VALUE"""),"TypeScript")</f>
        <v>TypeScript</v>
      </c>
      <c r="J1802" s="9" t="str">
        <f>IFERROR(__xludf.DUMMYFUNCTION("""COMPUTED_VALUE"""),"TypeScript")</f>
        <v>TypeScript</v>
      </c>
      <c r="K1802" s="9" t="str">
        <f>IFERROR(__xludf.DUMMYFUNCTION("""COMPUTED_VALUE"""),"TypeScript")</f>
        <v>TypeScript</v>
      </c>
      <c r="L1802" s="9" t="str">
        <f>IFERROR(__xludf.DUMMYFUNCTION("""COMPUTED_VALUE"""),"Java")</f>
        <v>Java</v>
      </c>
      <c r="M1802" s="9" t="s">
        <v>21</v>
      </c>
    </row>
    <row r="1803" ht="15.75" customHeight="1">
      <c r="A1803" s="7"/>
      <c r="B1803" s="7" t="str">
        <f>IFERROR(__xludf.DUMMYFUNCTION("""COMPUTED_VALUE"""),"Bash/Shell/PowerShell;C#;HTML/CSS;Java;JavaScript;PHP;Python;R;Ruby;SQL;VBA;Other(s):")</f>
        <v>Bash/Shell/PowerShell;C#;HTML/CSS;Java;JavaScript;PHP;Python;R;Ruby;SQL;VBA;Other(s):</v>
      </c>
      <c r="C1803" s="9" t="str">
        <f>IFERROR(__xludf.DUMMYFUNCTION("""COMPUTED_VALUE"""),"Objective-C")</f>
        <v>Objective-C</v>
      </c>
      <c r="D1803" s="9" t="str">
        <f>IFERROR(__xludf.DUMMYFUNCTION("""COMPUTED_VALUE"""),"HTML/CSS")</f>
        <v>HTML/CSS</v>
      </c>
      <c r="E1803" s="9" t="str">
        <f>IFERROR(__xludf.DUMMYFUNCTION("""COMPUTED_VALUE"""),"SQL")</f>
        <v>SQL</v>
      </c>
      <c r="F1803" s="9" t="str">
        <f>IFERROR(__xludf.DUMMYFUNCTION("""COMPUTED_VALUE"""),"C#")</f>
        <v>C#</v>
      </c>
      <c r="G1803" s="9" t="str">
        <f>IFERROR(__xludf.DUMMYFUNCTION("""COMPUTED_VALUE"""),"SQL")</f>
        <v>SQL</v>
      </c>
      <c r="H1803" s="9" t="str">
        <f>IFERROR(__xludf.DUMMYFUNCTION("""COMPUTED_VALUE"""),"Python")</f>
        <v>Python</v>
      </c>
      <c r="I1803" s="9" t="str">
        <f>IFERROR(__xludf.DUMMYFUNCTION("""COMPUTED_VALUE"""),"Go")</f>
        <v>Go</v>
      </c>
      <c r="J1803" s="9" t="str">
        <f>IFERROR(__xludf.DUMMYFUNCTION("""COMPUTED_VALUE"""),"Bash/Shell/PowerShell")</f>
        <v>Bash/Shell/PowerShell</v>
      </c>
      <c r="K1803" s="9" t="str">
        <f>IFERROR(__xludf.DUMMYFUNCTION("""COMPUTED_VALUE"""),"Bash/Shell/PowerShell")</f>
        <v>Bash/Shell/PowerShell</v>
      </c>
      <c r="L1803" s="9" t="str">
        <f>IFERROR(__xludf.DUMMYFUNCTION("""COMPUTED_VALUE"""),"JavaScript")</f>
        <v>JavaScript</v>
      </c>
      <c r="M1803" s="9" t="s">
        <v>41</v>
      </c>
    </row>
    <row r="1804" ht="15.75" customHeight="1">
      <c r="A1804" s="7"/>
      <c r="B1804" s="7" t="str">
        <f>IFERROR(__xludf.DUMMYFUNCTION("""COMPUTED_VALUE"""),"C#;R;SQL;Other(s):")</f>
        <v>C#;R;SQL;Other(s):</v>
      </c>
      <c r="C1804" s="9" t="str">
        <f>IFERROR(__xludf.DUMMYFUNCTION("""COMPUTED_VALUE"""),"Python")</f>
        <v>Python</v>
      </c>
      <c r="D1804" s="9" t="str">
        <f>IFERROR(__xludf.DUMMYFUNCTION("""COMPUTED_VALUE"""),"JavaScript")</f>
        <v>JavaScript</v>
      </c>
      <c r="E1804" s="9" t="str">
        <f>IFERROR(__xludf.DUMMYFUNCTION("""COMPUTED_VALUE"""),"TypeScript")</f>
        <v>TypeScript</v>
      </c>
      <c r="F1804" s="9" t="str">
        <f>IFERROR(__xludf.DUMMYFUNCTION("""COMPUTED_VALUE"""),"C#")</f>
        <v>C#</v>
      </c>
      <c r="G1804" s="9" t="str">
        <f>IFERROR(__xludf.DUMMYFUNCTION("""COMPUTED_VALUE"""),"VBA")</f>
        <v>VBA</v>
      </c>
      <c r="H1804" s="9" t="str">
        <f>IFERROR(__xludf.DUMMYFUNCTION("""COMPUTED_VALUE"""),"SQL")</f>
        <v>SQL</v>
      </c>
      <c r="I1804" s="9" t="str">
        <f>IFERROR(__xludf.DUMMYFUNCTION("""COMPUTED_VALUE"""),"Python")</f>
        <v>Python</v>
      </c>
      <c r="J1804" s="9" t="str">
        <f>IFERROR(__xludf.DUMMYFUNCTION("""COMPUTED_VALUE"""),"C")</f>
        <v>C</v>
      </c>
      <c r="K1804" s="9" t="str">
        <f>IFERROR(__xludf.DUMMYFUNCTION("""COMPUTED_VALUE"""),"HTML/CSS")</f>
        <v>HTML/CSS</v>
      </c>
      <c r="L1804" s="9" t="str">
        <f>IFERROR(__xludf.DUMMYFUNCTION("""COMPUTED_VALUE"""),"PHP")</f>
        <v>PHP</v>
      </c>
      <c r="M1804" s="9" t="s">
        <v>22</v>
      </c>
    </row>
    <row r="1805" ht="15.75" customHeight="1">
      <c r="A1805" s="7"/>
      <c r="B1805" s="7" t="str">
        <f>IFERROR(__xludf.DUMMYFUNCTION("""COMPUTED_VALUE"""),"C#;HTML/CSS;JavaScript;SQL;TypeScript")</f>
        <v>C#;HTML/CSS;JavaScript;SQL;TypeScript</v>
      </c>
      <c r="C1805" s="9" t="str">
        <f>IFERROR(__xludf.DUMMYFUNCTION("""COMPUTED_VALUE"""),"SQL")</f>
        <v>SQL</v>
      </c>
      <c r="D1805" s="9" t="str">
        <f>IFERROR(__xludf.DUMMYFUNCTION("""COMPUTED_VALUE"""),"TypeScript")</f>
        <v>TypeScript</v>
      </c>
      <c r="E1805" s="9" t="str">
        <f>IFERROR(__xludf.DUMMYFUNCTION("""COMPUTED_VALUE"""),"Bash/Shell/PowerShell")</f>
        <v>Bash/Shell/PowerShell</v>
      </c>
      <c r="F1805" s="9" t="str">
        <f>IFERROR(__xludf.DUMMYFUNCTION("""COMPUTED_VALUE"""),"HTML/CSS")</f>
        <v>HTML/CSS</v>
      </c>
      <c r="G1805" s="9" t="str">
        <f>IFERROR(__xludf.DUMMYFUNCTION("""COMPUTED_VALUE"""),"C#")</f>
        <v>C#</v>
      </c>
      <c r="H1805" s="9" t="str">
        <f>IFERROR(__xludf.DUMMYFUNCTION("""COMPUTED_VALUE"""),"TypeScript")</f>
        <v>TypeScript</v>
      </c>
      <c r="I1805" s="9" t="str">
        <f>IFERROR(__xludf.DUMMYFUNCTION("""COMPUTED_VALUE"""),"HTML/CSS")</f>
        <v>HTML/CSS</v>
      </c>
      <c r="J1805" s="9" t="str">
        <f>IFERROR(__xludf.DUMMYFUNCTION("""COMPUTED_VALUE"""),"C++")</f>
        <v>C++</v>
      </c>
      <c r="K1805" s="9" t="str">
        <f>IFERROR(__xludf.DUMMYFUNCTION("""COMPUTED_VALUE"""),"JavaScript")</f>
        <v>JavaScript</v>
      </c>
      <c r="L1805" s="9" t="str">
        <f>IFERROR(__xludf.DUMMYFUNCTION("""COMPUTED_VALUE"""),"SQL")</f>
        <v>SQL</v>
      </c>
      <c r="M1805" s="9" t="s">
        <v>27</v>
      </c>
    </row>
    <row r="1806" ht="15.75" customHeight="1">
      <c r="A1806" s="7"/>
      <c r="B1806" s="7" t="str">
        <f>IFERROR(__xludf.DUMMYFUNCTION("""COMPUTED_VALUE"""),"Bash/Shell/PowerShell;C#;HTML/CSS;JavaScript;PHP;TypeScript")</f>
        <v>Bash/Shell/PowerShell;C#;HTML/CSS;JavaScript;PHP;TypeScript</v>
      </c>
      <c r="C1806" s="9" t="str">
        <f>IFERROR(__xludf.DUMMYFUNCTION("""COMPUTED_VALUE"""),"TypeScript")</f>
        <v>TypeScript</v>
      </c>
      <c r="D1806" s="9" t="str">
        <f>IFERROR(__xludf.DUMMYFUNCTION("""COMPUTED_VALUE"""),"Bash/Shell/PowerShell")</f>
        <v>Bash/Shell/PowerShell</v>
      </c>
      <c r="E1806" s="9" t="str">
        <f>IFERROR(__xludf.DUMMYFUNCTION("""COMPUTED_VALUE"""),"HTML/CSS")</f>
        <v>HTML/CSS</v>
      </c>
      <c r="F1806" s="9" t="str">
        <f>IFERROR(__xludf.DUMMYFUNCTION("""COMPUTED_VALUE"""),"JavaScript")</f>
        <v>JavaScript</v>
      </c>
      <c r="G1806" s="9" t="str">
        <f>IFERROR(__xludf.DUMMYFUNCTION("""COMPUTED_VALUE"""),"Elixir")</f>
        <v>Elixir</v>
      </c>
      <c r="H1806" s="9" t="str">
        <f>IFERROR(__xludf.DUMMYFUNCTION("""COMPUTED_VALUE"""),"Assembly")</f>
        <v>Assembly</v>
      </c>
      <c r="I1806" s="9" t="str">
        <f>IFERROR(__xludf.DUMMYFUNCTION("""COMPUTED_VALUE"""),"JavaScript")</f>
        <v>JavaScript</v>
      </c>
      <c r="J1806" s="9" t="str">
        <f>IFERROR(__xludf.DUMMYFUNCTION("""COMPUTED_VALUE"""),"Go")</f>
        <v>Go</v>
      </c>
      <c r="K1806" s="9" t="str">
        <f>IFERROR(__xludf.DUMMYFUNCTION("""COMPUTED_VALUE"""),"PHP")</f>
        <v>PHP</v>
      </c>
      <c r="L1806" s="9" t="str">
        <f>IFERROR(__xludf.DUMMYFUNCTION("""COMPUTED_VALUE"""),"HTML/CSS")</f>
        <v>HTML/CSS</v>
      </c>
      <c r="M1806" s="9" t="s">
        <v>33</v>
      </c>
    </row>
    <row r="1807" ht="15.75" customHeight="1">
      <c r="A1807" s="7"/>
      <c r="B1807" s="7" t="str">
        <f>IFERROR(__xludf.DUMMYFUNCTION("""COMPUTED_VALUE"""),"Bash/Shell/PowerShell;C;HTML/CSS;Java;Python;SQL")</f>
        <v>Bash/Shell/PowerShell;C;HTML/CSS;Java;Python;SQL</v>
      </c>
      <c r="C1807" s="9" t="str">
        <f>IFERROR(__xludf.DUMMYFUNCTION("""COMPUTED_VALUE"""),"Bash/Shell/PowerShell")</f>
        <v>Bash/Shell/PowerShell</v>
      </c>
      <c r="D1807" s="9" t="str">
        <f>IFERROR(__xludf.DUMMYFUNCTION("""COMPUTED_VALUE"""),"C++")</f>
        <v>C++</v>
      </c>
      <c r="E1807" s="9" t="str">
        <f>IFERROR(__xludf.DUMMYFUNCTION("""COMPUTED_VALUE"""),"Java")</f>
        <v>Java</v>
      </c>
      <c r="F1807" s="9" t="str">
        <f>IFERROR(__xludf.DUMMYFUNCTION("""COMPUTED_VALUE"""),"TypeScript")</f>
        <v>TypeScript</v>
      </c>
      <c r="G1807" s="9" t="str">
        <f>IFERROR(__xludf.DUMMYFUNCTION("""COMPUTED_VALUE"""),"Erlang")</f>
        <v>Erlang</v>
      </c>
      <c r="H1807" s="9" t="str">
        <f>IFERROR(__xludf.DUMMYFUNCTION("""COMPUTED_VALUE"""),"Bash/Shell/PowerShell")</f>
        <v>Bash/Shell/PowerShell</v>
      </c>
      <c r="I1807" s="9" t="str">
        <f>IFERROR(__xludf.DUMMYFUNCTION("""COMPUTED_VALUE"""),"PHP")</f>
        <v>PHP</v>
      </c>
      <c r="J1807" s="9" t="str">
        <f>IFERROR(__xludf.DUMMYFUNCTION("""COMPUTED_VALUE"""),"Java")</f>
        <v>Java</v>
      </c>
      <c r="K1807" s="9" t="str">
        <f>IFERROR(__xludf.DUMMYFUNCTION("""COMPUTED_VALUE"""),"SQL")</f>
        <v>SQL</v>
      </c>
      <c r="L1807" s="9" t="str">
        <f>IFERROR(__xludf.DUMMYFUNCTION("""COMPUTED_VALUE"""),"Java")</f>
        <v>Java</v>
      </c>
      <c r="M1807" s="9" t="s">
        <v>30</v>
      </c>
    </row>
    <row r="1808" ht="15.75" customHeight="1">
      <c r="A1808" s="7"/>
      <c r="B1808" s="7" t="str">
        <f>IFERROR(__xludf.DUMMYFUNCTION("""COMPUTED_VALUE"""),"C++;C#;HTML/CSS;Java;JavaScript;Objective-C;Python;SQL;Swift")</f>
        <v>C++;C#;HTML/CSS;Java;JavaScript;Objective-C;Python;SQL;Swift</v>
      </c>
      <c r="C1808" s="9" t="str">
        <f>IFERROR(__xludf.DUMMYFUNCTION("""COMPUTED_VALUE"""),"HTML/CSS")</f>
        <v>HTML/CSS</v>
      </c>
      <c r="D1808" s="9" t="str">
        <f>IFERROR(__xludf.DUMMYFUNCTION("""COMPUTED_VALUE"""),"HTML/CSS")</f>
        <v>HTML/CSS</v>
      </c>
      <c r="E1808" s="9" t="str">
        <f>IFERROR(__xludf.DUMMYFUNCTION("""COMPUTED_VALUE"""),"JavaScript")</f>
        <v>JavaScript</v>
      </c>
      <c r="F1808" s="9" t="str">
        <f>IFERROR(__xludf.DUMMYFUNCTION("""COMPUTED_VALUE"""),"C#")</f>
        <v>C#</v>
      </c>
      <c r="G1808" s="9" t="str">
        <f>IFERROR(__xludf.DUMMYFUNCTION("""COMPUTED_VALUE"""),"F#")</f>
        <v>F#</v>
      </c>
      <c r="H1808" s="9" t="str">
        <f>IFERROR(__xludf.DUMMYFUNCTION("""COMPUTED_VALUE"""),"C#")</f>
        <v>C#</v>
      </c>
      <c r="I1808" s="9" t="str">
        <f>IFERROR(__xludf.DUMMYFUNCTION("""COMPUTED_VALUE"""),"HTML/CSS")</f>
        <v>HTML/CSS</v>
      </c>
      <c r="J1808" s="9" t="str">
        <f>IFERROR(__xludf.DUMMYFUNCTION("""COMPUTED_VALUE"""),"Python")</f>
        <v>Python</v>
      </c>
      <c r="K1808" s="9" t="str">
        <f>IFERROR(__xludf.DUMMYFUNCTION("""COMPUTED_VALUE"""),"Bash/Shell/PowerShell")</f>
        <v>Bash/Shell/PowerShell</v>
      </c>
      <c r="L1808" s="9" t="str">
        <f>IFERROR(__xludf.DUMMYFUNCTION("""COMPUTED_VALUE"""),"JavaScript")</f>
        <v>JavaScript</v>
      </c>
      <c r="M1808" s="9" t="s">
        <v>24</v>
      </c>
    </row>
    <row r="1809" ht="15.75" customHeight="1">
      <c r="A1809" s="7"/>
      <c r="B1809" s="7" t="str">
        <f>IFERROR(__xludf.DUMMYFUNCTION("""COMPUTED_VALUE"""),"C#;HTML/CSS;JavaScript;SQL")</f>
        <v>C#;HTML/CSS;JavaScript;SQL</v>
      </c>
      <c r="C1809" s="9" t="str">
        <f>IFERROR(__xludf.DUMMYFUNCTION("""COMPUTED_VALUE"""),"JavaScript")</f>
        <v>JavaScript</v>
      </c>
      <c r="D1809" s="9" t="str">
        <f>IFERROR(__xludf.DUMMYFUNCTION("""COMPUTED_VALUE"""),"Java")</f>
        <v>Java</v>
      </c>
      <c r="E1809" s="9" t="str">
        <f>IFERROR(__xludf.DUMMYFUNCTION("""COMPUTED_VALUE"""),"PHP")</f>
        <v>PHP</v>
      </c>
      <c r="F1809" s="9" t="str">
        <f>IFERROR(__xludf.DUMMYFUNCTION("""COMPUTED_VALUE"""),"F#")</f>
        <v>F#</v>
      </c>
      <c r="G1809" s="9" t="str">
        <f>IFERROR(__xludf.DUMMYFUNCTION("""COMPUTED_VALUE"""),"JavaScript")</f>
        <v>JavaScript</v>
      </c>
      <c r="H1809" s="9" t="str">
        <f>IFERROR(__xludf.DUMMYFUNCTION("""COMPUTED_VALUE"""),"F#")</f>
        <v>F#</v>
      </c>
      <c r="I1809" s="9" t="str">
        <f>IFERROR(__xludf.DUMMYFUNCTION("""COMPUTED_VALUE"""),"PHP")</f>
        <v>PHP</v>
      </c>
      <c r="J1809" s="9" t="str">
        <f>IFERROR(__xludf.DUMMYFUNCTION("""COMPUTED_VALUE"""),"SQL")</f>
        <v>SQL</v>
      </c>
      <c r="K1809" s="9" t="str">
        <f>IFERROR(__xludf.DUMMYFUNCTION("""COMPUTED_VALUE"""),"C#")</f>
        <v>C#</v>
      </c>
      <c r="L1809" s="9" t="str">
        <f>IFERROR(__xludf.DUMMYFUNCTION("""COMPUTED_VALUE"""),"SQL")</f>
        <v>SQL</v>
      </c>
      <c r="M1809" s="9" t="s">
        <v>21</v>
      </c>
    </row>
    <row r="1810" ht="15.75" customHeight="1">
      <c r="A1810" s="7"/>
      <c r="B1810" s="7" t="str">
        <f>IFERROR(__xludf.DUMMYFUNCTION("""COMPUTED_VALUE"""),"Bash/Shell/PowerShell;Go;HTML/CSS;Java;JavaScript;Ruby")</f>
        <v>Bash/Shell/PowerShell;Go;HTML/CSS;Java;JavaScript;Ruby</v>
      </c>
      <c r="C1810" s="9" t="str">
        <f>IFERROR(__xludf.DUMMYFUNCTION("""COMPUTED_VALUE"""),"PHP")</f>
        <v>PHP</v>
      </c>
      <c r="D1810" s="9" t="str">
        <f>IFERROR(__xludf.DUMMYFUNCTION("""COMPUTED_VALUE"""),"JavaScript")</f>
        <v>JavaScript</v>
      </c>
      <c r="E1810" s="9" t="str">
        <f>IFERROR(__xludf.DUMMYFUNCTION("""COMPUTED_VALUE"""),"Python")</f>
        <v>Python</v>
      </c>
      <c r="F1810" s="9" t="str">
        <f>IFERROR(__xludf.DUMMYFUNCTION("""COMPUTED_VALUE"""),"HTML/CSS")</f>
        <v>HTML/CSS</v>
      </c>
      <c r="G1810" s="9" t="str">
        <f>IFERROR(__xludf.DUMMYFUNCTION("""COMPUTED_VALUE"""),"TypeScript")</f>
        <v>TypeScript</v>
      </c>
      <c r="H1810" s="9" t="str">
        <f>IFERROR(__xludf.DUMMYFUNCTION("""COMPUTED_VALUE"""),"HTML/CSS")</f>
        <v>HTML/CSS</v>
      </c>
      <c r="I1810" s="9" t="str">
        <f>IFERROR(__xludf.DUMMYFUNCTION("""COMPUTED_VALUE"""),"C#")</f>
        <v>C#</v>
      </c>
      <c r="J1810" s="9" t="str">
        <f>IFERROR(__xludf.DUMMYFUNCTION("""COMPUTED_VALUE"""),"Other(s):")</f>
        <v>Other(s):</v>
      </c>
      <c r="K1810" s="9" t="str">
        <f>IFERROR(__xludf.DUMMYFUNCTION("""COMPUTED_VALUE"""),"HTML/CSS")</f>
        <v>HTML/CSS</v>
      </c>
      <c r="L1810" s="9" t="str">
        <f>IFERROR(__xludf.DUMMYFUNCTION("""COMPUTED_VALUE"""),"Dart")</f>
        <v>Dart</v>
      </c>
      <c r="M1810" s="9" t="s">
        <v>37</v>
      </c>
    </row>
    <row r="1811" ht="15.75" customHeight="1">
      <c r="A1811" s="7"/>
      <c r="B1811" s="7" t="str">
        <f>IFERROR(__xludf.DUMMYFUNCTION("""COMPUTED_VALUE"""),"C#;Elixir;Erlang;HTML/CSS;JavaScript;Python;SQL;TypeScript")</f>
        <v>C#;Elixir;Erlang;HTML/CSS;JavaScript;Python;SQL;TypeScript</v>
      </c>
      <c r="C1811" s="9" t="str">
        <f>IFERROR(__xludf.DUMMYFUNCTION("""COMPUTED_VALUE"""),"Python")</f>
        <v>Python</v>
      </c>
      <c r="D1811" s="9" t="str">
        <f>IFERROR(__xludf.DUMMYFUNCTION("""COMPUTED_VALUE"""),"PHP")</f>
        <v>PHP</v>
      </c>
      <c r="E1811" s="9" t="str">
        <f>IFERROR(__xludf.DUMMYFUNCTION("""COMPUTED_VALUE"""),"SQL")</f>
        <v>SQL</v>
      </c>
      <c r="F1811" s="9" t="str">
        <f>IFERROR(__xludf.DUMMYFUNCTION("""COMPUTED_VALUE"""),"JavaScript")</f>
        <v>JavaScript</v>
      </c>
      <c r="G1811" s="9" t="str">
        <f>IFERROR(__xludf.DUMMYFUNCTION("""COMPUTED_VALUE"""),"Bash/Shell/PowerShell")</f>
        <v>Bash/Shell/PowerShell</v>
      </c>
      <c r="H1811" s="9" t="str">
        <f>IFERROR(__xludf.DUMMYFUNCTION("""COMPUTED_VALUE"""),"Java")</f>
        <v>Java</v>
      </c>
      <c r="I1811" s="9" t="str">
        <f>IFERROR(__xludf.DUMMYFUNCTION("""COMPUTED_VALUE"""),"HTML/CSS")</f>
        <v>HTML/CSS</v>
      </c>
      <c r="J1811" s="9" t="str">
        <f>IFERROR(__xludf.DUMMYFUNCTION("""COMPUTED_VALUE"""),"Bash/Shell/PowerShell")</f>
        <v>Bash/Shell/PowerShell</v>
      </c>
      <c r="K1811" s="9" t="str">
        <f>IFERROR(__xludf.DUMMYFUNCTION("""COMPUTED_VALUE"""),"JavaScript")</f>
        <v>JavaScript</v>
      </c>
      <c r="L1811" s="9" t="str">
        <f>IFERROR(__xludf.DUMMYFUNCTION("""COMPUTED_VALUE"""),"Java")</f>
        <v>Java</v>
      </c>
      <c r="M1811" s="9" t="s">
        <v>22</v>
      </c>
    </row>
    <row r="1812" ht="15.75" customHeight="1">
      <c r="A1812" s="7"/>
      <c r="B1812" s="7" t="str">
        <f>IFERROR(__xludf.DUMMYFUNCTION("""COMPUTED_VALUE"""),"HTML/CSS;JavaScript")</f>
        <v>HTML/CSS;JavaScript</v>
      </c>
      <c r="C1812" s="9" t="str">
        <f>IFERROR(__xludf.DUMMYFUNCTION("""COMPUTED_VALUE"""),"SQL")</f>
        <v>SQL</v>
      </c>
      <c r="D1812" s="9" t="str">
        <f>IFERROR(__xludf.DUMMYFUNCTION("""COMPUTED_VALUE"""),"SQL")</f>
        <v>SQL</v>
      </c>
      <c r="E1812" s="9" t="str">
        <f>IFERROR(__xludf.DUMMYFUNCTION("""COMPUTED_VALUE"""),"HTML/CSS")</f>
        <v>HTML/CSS</v>
      </c>
      <c r="F1812" s="9" t="str">
        <f>IFERROR(__xludf.DUMMYFUNCTION("""COMPUTED_VALUE"""),"Python")</f>
        <v>Python</v>
      </c>
      <c r="G1812" s="9" t="str">
        <f>IFERROR(__xludf.DUMMYFUNCTION("""COMPUTED_VALUE"""),"HTML/CSS")</f>
        <v>HTML/CSS</v>
      </c>
      <c r="H1812" s="9" t="str">
        <f>IFERROR(__xludf.DUMMYFUNCTION("""COMPUTED_VALUE"""),"JavaScript")</f>
        <v>JavaScript</v>
      </c>
      <c r="I1812" s="9" t="str">
        <f>IFERROR(__xludf.DUMMYFUNCTION("""COMPUTED_VALUE"""),"JavaScript")</f>
        <v>JavaScript</v>
      </c>
      <c r="J1812" s="9" t="str">
        <f>IFERROR(__xludf.DUMMYFUNCTION("""COMPUTED_VALUE"""),"HTML/CSS")</f>
        <v>HTML/CSS</v>
      </c>
      <c r="K1812" s="9" t="str">
        <f>IFERROR(__xludf.DUMMYFUNCTION("""COMPUTED_VALUE"""),"TypeScript")</f>
        <v>TypeScript</v>
      </c>
      <c r="L1812" s="9" t="str">
        <f>IFERROR(__xludf.DUMMYFUNCTION("""COMPUTED_VALUE"""),"Kotlin")</f>
        <v>Kotlin</v>
      </c>
      <c r="M1812" s="9" t="s">
        <v>27</v>
      </c>
    </row>
    <row r="1813" ht="15.75" customHeight="1">
      <c r="A1813" s="7"/>
      <c r="B1813" s="7" t="str">
        <f>IFERROR(__xludf.DUMMYFUNCTION("""COMPUTED_VALUE"""),"Bash/Shell/PowerShell;C;Go;PHP;Python")</f>
        <v>Bash/Shell/PowerShell;C;Go;PHP;Python</v>
      </c>
      <c r="C1813" s="9" t="str">
        <f>IFERROR(__xludf.DUMMYFUNCTION("""COMPUTED_VALUE"""),"TypeScript")</f>
        <v>TypeScript</v>
      </c>
      <c r="D1813" s="9" t="str">
        <f>IFERROR(__xludf.DUMMYFUNCTION("""COMPUTED_VALUE"""),"JavaScript")</f>
        <v>JavaScript</v>
      </c>
      <c r="E1813" s="9" t="str">
        <f>IFERROR(__xludf.DUMMYFUNCTION("""COMPUTED_VALUE"""),"JavaScript")</f>
        <v>JavaScript</v>
      </c>
      <c r="F1813" s="9" t="str">
        <f>IFERROR(__xludf.DUMMYFUNCTION("""COMPUTED_VALUE"""),"SQL")</f>
        <v>SQL</v>
      </c>
      <c r="G1813" s="9" t="str">
        <f>IFERROR(__xludf.DUMMYFUNCTION("""COMPUTED_VALUE"""),"Java")</f>
        <v>Java</v>
      </c>
      <c r="H1813" s="9" t="str">
        <f>IFERROR(__xludf.DUMMYFUNCTION("""COMPUTED_VALUE"""),"SQL")</f>
        <v>SQL</v>
      </c>
      <c r="I1813" s="9" t="str">
        <f>IFERROR(__xludf.DUMMYFUNCTION("""COMPUTED_VALUE"""),"Java")</f>
        <v>Java</v>
      </c>
      <c r="J1813" s="9" t="str">
        <f>IFERROR(__xludf.DUMMYFUNCTION("""COMPUTED_VALUE"""),"Java")</f>
        <v>Java</v>
      </c>
      <c r="K1813" s="9" t="str">
        <f>IFERROR(__xludf.DUMMYFUNCTION("""COMPUTED_VALUE"""),"Bash/Shell/PowerShell")</f>
        <v>Bash/Shell/PowerShell</v>
      </c>
      <c r="L1813" s="9" t="str">
        <f>IFERROR(__xludf.DUMMYFUNCTION("""COMPUTED_VALUE"""),"PHP")</f>
        <v>PHP</v>
      </c>
      <c r="M1813" s="9" t="s">
        <v>33</v>
      </c>
    </row>
    <row r="1814" ht="15.75" customHeight="1">
      <c r="A1814" s="7"/>
      <c r="B1814" s="7" t="str">
        <f>IFERROR(__xludf.DUMMYFUNCTION("""COMPUTED_VALUE"""),"C#")</f>
        <v>C#</v>
      </c>
      <c r="C1814" s="9" t="str">
        <f>IFERROR(__xludf.DUMMYFUNCTION("""COMPUTED_VALUE"""),"Java")</f>
        <v>Java</v>
      </c>
      <c r="D1814" s="9" t="str">
        <f>IFERROR(__xludf.DUMMYFUNCTION("""COMPUTED_VALUE"""),"Bash/Shell/PowerShell")</f>
        <v>Bash/Shell/PowerShell</v>
      </c>
      <c r="E1814" s="9" t="str">
        <f>IFERROR(__xludf.DUMMYFUNCTION("""COMPUTED_VALUE"""),"Ruby")</f>
        <v>Ruby</v>
      </c>
      <c r="F1814" s="9" t="str">
        <f>IFERROR(__xludf.DUMMYFUNCTION("""COMPUTED_VALUE"""),"TypeScript")</f>
        <v>TypeScript</v>
      </c>
      <c r="G1814" s="9" t="str">
        <f>IFERROR(__xludf.DUMMYFUNCTION("""COMPUTED_VALUE"""),"JavaScript")</f>
        <v>JavaScript</v>
      </c>
      <c r="H1814" s="9" t="str">
        <f>IFERROR(__xludf.DUMMYFUNCTION("""COMPUTED_VALUE"""),"WebAssembly")</f>
        <v>WebAssembly</v>
      </c>
      <c r="I1814" s="9" t="str">
        <f>IFERROR(__xludf.DUMMYFUNCTION("""COMPUTED_VALUE"""),"Kotlin")</f>
        <v>Kotlin</v>
      </c>
      <c r="J1814" s="9" t="str">
        <f>IFERROR(__xludf.DUMMYFUNCTION("""COMPUTED_VALUE"""),"SQL")</f>
        <v>SQL</v>
      </c>
      <c r="K1814" s="9" t="str">
        <f>IFERROR(__xludf.DUMMYFUNCTION("""COMPUTED_VALUE"""),"Python")</f>
        <v>Python</v>
      </c>
      <c r="L1814" s="9" t="str">
        <f>IFERROR(__xludf.DUMMYFUNCTION("""COMPUTED_VALUE"""),"Swift")</f>
        <v>Swift</v>
      </c>
      <c r="M1814" s="9" t="s">
        <v>20</v>
      </c>
    </row>
    <row r="1815" ht="15.75" customHeight="1">
      <c r="A1815" s="7"/>
      <c r="B1815" s="7" t="str">
        <f>IFERROR(__xludf.DUMMYFUNCTION("""COMPUTED_VALUE"""),"JavaScript;TypeScript")</f>
        <v>JavaScript;TypeScript</v>
      </c>
      <c r="C1815" s="9" t="str">
        <f>IFERROR(__xludf.DUMMYFUNCTION("""COMPUTED_VALUE"""),"SQL")</f>
        <v>SQL</v>
      </c>
      <c r="D1815" s="9" t="str">
        <f>IFERROR(__xludf.DUMMYFUNCTION("""COMPUTED_VALUE"""),"C#")</f>
        <v>C#</v>
      </c>
      <c r="E1815" s="9" t="str">
        <f>IFERROR(__xludf.DUMMYFUNCTION("""COMPUTED_VALUE"""),"JavaScript")</f>
        <v>JavaScript</v>
      </c>
      <c r="F1815" s="9" t="str">
        <f>IFERROR(__xludf.DUMMYFUNCTION("""COMPUTED_VALUE"""),"Other(s):")</f>
        <v>Other(s):</v>
      </c>
      <c r="G1815" s="9" t="str">
        <f>IFERROR(__xludf.DUMMYFUNCTION("""COMPUTED_VALUE"""),"Python")</f>
        <v>Python</v>
      </c>
      <c r="H1815" s="9" t="str">
        <f>IFERROR(__xludf.DUMMYFUNCTION("""COMPUTED_VALUE"""),"Bash/Shell/PowerShell")</f>
        <v>Bash/Shell/PowerShell</v>
      </c>
      <c r="I1815" s="9" t="str">
        <f>IFERROR(__xludf.DUMMYFUNCTION("""COMPUTED_VALUE"""),"PHP")</f>
        <v>PHP</v>
      </c>
      <c r="J1815" s="9" t="str">
        <f>IFERROR(__xludf.DUMMYFUNCTION("""COMPUTED_VALUE"""),"Bash/Shell/PowerShell")</f>
        <v>Bash/Shell/PowerShell</v>
      </c>
      <c r="K1815" s="9" t="str">
        <f>IFERROR(__xludf.DUMMYFUNCTION("""COMPUTED_VALUE"""),"R")</f>
        <v>R</v>
      </c>
      <c r="L1815" s="9" t="str">
        <f>IFERROR(__xludf.DUMMYFUNCTION("""COMPUTED_VALUE"""),"C++")</f>
        <v>C++</v>
      </c>
      <c r="M1815" s="9" t="s">
        <v>27</v>
      </c>
    </row>
    <row r="1816" ht="15.75" customHeight="1">
      <c r="A1816" s="7"/>
      <c r="B1816" s="7" t="str">
        <f>IFERROR(__xludf.DUMMYFUNCTION("""COMPUTED_VALUE"""),"Bash/Shell/PowerShell;C++;HTML/CSS;Java;JavaScript;SQL")</f>
        <v>Bash/Shell/PowerShell;C++;HTML/CSS;Java;JavaScript;SQL</v>
      </c>
      <c r="C1816" s="9" t="str">
        <f>IFERROR(__xludf.DUMMYFUNCTION("""COMPUTED_VALUE"""),"HTML/CSS")</f>
        <v>HTML/CSS</v>
      </c>
      <c r="D1816" s="9" t="str">
        <f>IFERROR(__xludf.DUMMYFUNCTION("""COMPUTED_VALUE"""),"HTML/CSS")</f>
        <v>HTML/CSS</v>
      </c>
      <c r="E1816" s="9" t="str">
        <f>IFERROR(__xludf.DUMMYFUNCTION("""COMPUTED_VALUE"""),"Ruby")</f>
        <v>Ruby</v>
      </c>
      <c r="F1816" s="9" t="str">
        <f>IFERROR(__xludf.DUMMYFUNCTION("""COMPUTED_VALUE"""),"Assembly")</f>
        <v>Assembly</v>
      </c>
      <c r="G1816" s="9" t="str">
        <f>IFERROR(__xludf.DUMMYFUNCTION("""COMPUTED_VALUE"""),"SQL")</f>
        <v>SQL</v>
      </c>
      <c r="H1816" s="9" t="str">
        <f>IFERROR(__xludf.DUMMYFUNCTION("""COMPUTED_VALUE"""),"C++")</f>
        <v>C++</v>
      </c>
      <c r="I1816" s="9" t="str">
        <f>IFERROR(__xludf.DUMMYFUNCTION("""COMPUTED_VALUE"""),"HTML/CSS")</f>
        <v>HTML/CSS</v>
      </c>
      <c r="J1816" s="9" t="str">
        <f>IFERROR(__xludf.DUMMYFUNCTION("""COMPUTED_VALUE"""),"C")</f>
        <v>C</v>
      </c>
      <c r="K1816" s="9" t="str">
        <f>IFERROR(__xludf.DUMMYFUNCTION("""COMPUTED_VALUE"""),"SQL")</f>
        <v>SQL</v>
      </c>
      <c r="L1816" s="9" t="str">
        <f>IFERROR(__xludf.DUMMYFUNCTION("""COMPUTED_VALUE"""),"C#")</f>
        <v>C#</v>
      </c>
      <c r="M1816" s="9" t="s">
        <v>24</v>
      </c>
    </row>
    <row r="1817" ht="15.75" customHeight="1">
      <c r="A1817" s="7"/>
      <c r="B1817" s="7" t="str">
        <f>IFERROR(__xludf.DUMMYFUNCTION("""COMPUTED_VALUE"""),"C#;JavaScript;SQL;TypeScript")</f>
        <v>C#;JavaScript;SQL;TypeScript</v>
      </c>
      <c r="C1817" s="9" t="str">
        <f>IFERROR(__xludf.DUMMYFUNCTION("""COMPUTED_VALUE"""),"PHP")</f>
        <v>PHP</v>
      </c>
      <c r="D1817" s="9" t="str">
        <f>IFERROR(__xludf.DUMMYFUNCTION("""COMPUTED_VALUE"""),"JavaScript")</f>
        <v>JavaScript</v>
      </c>
      <c r="E1817" s="9" t="str">
        <f>IFERROR(__xludf.DUMMYFUNCTION("""COMPUTED_VALUE"""),"SQL")</f>
        <v>SQL</v>
      </c>
      <c r="F1817" s="9" t="str">
        <f>IFERROR(__xludf.DUMMYFUNCTION("""COMPUTED_VALUE"""),"Bash/Shell/PowerShell")</f>
        <v>Bash/Shell/PowerShell</v>
      </c>
      <c r="G1817" s="9" t="str">
        <f>IFERROR(__xludf.DUMMYFUNCTION("""COMPUTED_VALUE"""),"Other(s):")</f>
        <v>Other(s):</v>
      </c>
      <c r="H1817" s="9" t="str">
        <f>IFERROR(__xludf.DUMMYFUNCTION("""COMPUTED_VALUE"""),"C#")</f>
        <v>C#</v>
      </c>
      <c r="I1817" s="9" t="str">
        <f>IFERROR(__xludf.DUMMYFUNCTION("""COMPUTED_VALUE"""),"Java")</f>
        <v>Java</v>
      </c>
      <c r="J1817" s="9" t="str">
        <f>IFERROR(__xludf.DUMMYFUNCTION("""COMPUTED_VALUE"""),"Go")</f>
        <v>Go</v>
      </c>
      <c r="K1817" s="9" t="str">
        <f>IFERROR(__xludf.DUMMYFUNCTION("""COMPUTED_VALUE"""),"Assembly")</f>
        <v>Assembly</v>
      </c>
      <c r="L1817" s="9" t="str">
        <f>IFERROR(__xludf.DUMMYFUNCTION("""COMPUTED_VALUE"""),"JavaScript")</f>
        <v>JavaScript</v>
      </c>
      <c r="M1817" s="9" t="s">
        <v>37</v>
      </c>
    </row>
    <row r="1818" ht="15.75" customHeight="1">
      <c r="A1818" s="7"/>
      <c r="B1818" s="7" t="str">
        <f>IFERROR(__xludf.DUMMYFUNCTION("""COMPUTED_VALUE"""),"C#;SQL")</f>
        <v>C#;SQL</v>
      </c>
      <c r="C1818" s="9" t="str">
        <f>IFERROR(__xludf.DUMMYFUNCTION("""COMPUTED_VALUE"""),"SQL")</f>
        <v>SQL</v>
      </c>
      <c r="D1818" s="9" t="str">
        <f>IFERROR(__xludf.DUMMYFUNCTION("""COMPUTED_VALUE"""),"SQL")</f>
        <v>SQL</v>
      </c>
      <c r="E1818" s="9" t="str">
        <f>IFERROR(__xludf.DUMMYFUNCTION("""COMPUTED_VALUE"""),"Swift")</f>
        <v>Swift</v>
      </c>
      <c r="F1818" s="9" t="str">
        <f>IFERROR(__xludf.DUMMYFUNCTION("""COMPUTED_VALUE"""),"C")</f>
        <v>C</v>
      </c>
      <c r="G1818" s="9" t="str">
        <f>IFERROR(__xludf.DUMMYFUNCTION("""COMPUTED_VALUE"""),"Bash/Shell/PowerShell")</f>
        <v>Bash/Shell/PowerShell</v>
      </c>
      <c r="H1818" s="9" t="str">
        <f>IFERROR(__xludf.DUMMYFUNCTION("""COMPUTED_VALUE"""),"HTML/CSS")</f>
        <v>HTML/CSS</v>
      </c>
      <c r="I1818" s="9" t="str">
        <f>IFERROR(__xludf.DUMMYFUNCTION("""COMPUTED_VALUE"""),"JavaScript")</f>
        <v>JavaScript</v>
      </c>
      <c r="J1818" s="9" t="str">
        <f>IFERROR(__xludf.DUMMYFUNCTION("""COMPUTED_VALUE"""),"HTML/CSS")</f>
        <v>HTML/CSS</v>
      </c>
      <c r="K1818" s="9" t="str">
        <f>IFERROR(__xludf.DUMMYFUNCTION("""COMPUTED_VALUE"""),"Bash/Shell/PowerShell")</f>
        <v>Bash/Shell/PowerShell</v>
      </c>
      <c r="L1818" s="9" t="str">
        <f>IFERROR(__xludf.DUMMYFUNCTION("""COMPUTED_VALUE"""),"SQL")</f>
        <v>SQL</v>
      </c>
      <c r="M1818" s="9" t="s">
        <v>27</v>
      </c>
    </row>
    <row r="1819" ht="15.75" customHeight="1">
      <c r="A1819" s="7"/>
      <c r="B1819" s="7" t="str">
        <f>IFERROR(__xludf.DUMMYFUNCTION("""COMPUTED_VALUE"""),"C#;HTML/CSS;JavaScript;SQL")</f>
        <v>C#;HTML/CSS;JavaScript;SQL</v>
      </c>
      <c r="C1819" s="9" t="str">
        <f>IFERROR(__xludf.DUMMYFUNCTION("""COMPUTED_VALUE"""),"HTML/CSS")</f>
        <v>HTML/CSS</v>
      </c>
      <c r="D1819" s="9" t="str">
        <f>IFERROR(__xludf.DUMMYFUNCTION("""COMPUTED_VALUE"""),"TypeScript")</f>
        <v>TypeScript</v>
      </c>
      <c r="E1819" s="9" t="str">
        <f>IFERROR(__xludf.DUMMYFUNCTION("""COMPUTED_VALUE"""),"TypeScript")</f>
        <v>TypeScript</v>
      </c>
      <c r="F1819" s="9" t="str">
        <f>IFERROR(__xludf.DUMMYFUNCTION("""COMPUTED_VALUE"""),"C++")</f>
        <v>C++</v>
      </c>
      <c r="G1819" s="9" t="str">
        <f>IFERROR(__xludf.DUMMYFUNCTION("""COMPUTED_VALUE"""),"HTML/CSS")</f>
        <v>HTML/CSS</v>
      </c>
      <c r="H1819" s="9" t="str">
        <f>IFERROR(__xludf.DUMMYFUNCTION("""COMPUTED_VALUE"""),"JavaScript")</f>
        <v>JavaScript</v>
      </c>
      <c r="I1819" s="9" t="str">
        <f>IFERROR(__xludf.DUMMYFUNCTION("""COMPUTED_VALUE"""),"SQL")</f>
        <v>SQL</v>
      </c>
      <c r="J1819" s="9" t="str">
        <f>IFERROR(__xludf.DUMMYFUNCTION("""COMPUTED_VALUE"""),"Java")</f>
        <v>Java</v>
      </c>
      <c r="K1819" s="9" t="str">
        <f>IFERROR(__xludf.DUMMYFUNCTION("""COMPUTED_VALUE"""),"C")</f>
        <v>C</v>
      </c>
      <c r="L1819" s="9" t="str">
        <f>IFERROR(__xludf.DUMMYFUNCTION("""COMPUTED_VALUE"""),"TypeScript")</f>
        <v>TypeScript</v>
      </c>
      <c r="M1819" s="9" t="s">
        <v>24</v>
      </c>
    </row>
    <row r="1820" ht="15.75" customHeight="1">
      <c r="A1820" s="7"/>
      <c r="B1820" s="7" t="str">
        <f>IFERROR(__xludf.DUMMYFUNCTION("""COMPUTED_VALUE"""),"Clojure;JavaScript;TypeScript")</f>
        <v>Clojure;JavaScript;TypeScript</v>
      </c>
      <c r="C1820" s="9" t="str">
        <f>IFERROR(__xludf.DUMMYFUNCTION("""COMPUTED_VALUE"""),"JavaScript")</f>
        <v>JavaScript</v>
      </c>
      <c r="D1820" s="9" t="str">
        <f>IFERROR(__xludf.DUMMYFUNCTION("""COMPUTED_VALUE"""),"Assembly")</f>
        <v>Assembly</v>
      </c>
      <c r="E1820" s="9" t="str">
        <f>IFERROR(__xludf.DUMMYFUNCTION("""COMPUTED_VALUE"""),"PHP")</f>
        <v>PHP</v>
      </c>
      <c r="F1820" s="9" t="str">
        <f>IFERROR(__xludf.DUMMYFUNCTION("""COMPUTED_VALUE"""),"Elixir")</f>
        <v>Elixir</v>
      </c>
      <c r="G1820" s="9" t="str">
        <f>IFERROR(__xludf.DUMMYFUNCTION("""COMPUTED_VALUE"""),"JavaScript")</f>
        <v>JavaScript</v>
      </c>
      <c r="H1820" s="9" t="str">
        <f>IFERROR(__xludf.DUMMYFUNCTION("""COMPUTED_VALUE"""),"PHP")</f>
        <v>PHP</v>
      </c>
      <c r="I1820" s="9" t="str">
        <f>IFERROR(__xludf.DUMMYFUNCTION("""COMPUTED_VALUE"""),"Other(s):")</f>
        <v>Other(s):</v>
      </c>
      <c r="J1820" s="9" t="str">
        <f>IFERROR(__xludf.DUMMYFUNCTION("""COMPUTED_VALUE"""),"JavaScript")</f>
        <v>JavaScript</v>
      </c>
      <c r="K1820" s="9" t="str">
        <f>IFERROR(__xludf.DUMMYFUNCTION("""COMPUTED_VALUE"""),"C++")</f>
        <v>C++</v>
      </c>
      <c r="L1820" s="9" t="str">
        <f>IFERROR(__xludf.DUMMYFUNCTION("""COMPUTED_VALUE"""),"C#")</f>
        <v>C#</v>
      </c>
      <c r="M1820" s="9" t="s">
        <v>21</v>
      </c>
    </row>
    <row r="1821" ht="15.75" customHeight="1">
      <c r="A1821" s="7"/>
      <c r="B1821" s="7" t="str">
        <f>IFERROR(__xludf.DUMMYFUNCTION("""COMPUTED_VALUE"""),"HTML/CSS;Java;JavaScript;Python;TypeScript")</f>
        <v>HTML/CSS;Java;JavaScript;Python;TypeScript</v>
      </c>
      <c r="C1821" s="9" t="str">
        <f>IFERROR(__xludf.DUMMYFUNCTION("""COMPUTED_VALUE"""),"Go")</f>
        <v>Go</v>
      </c>
      <c r="D1821" s="9" t="str">
        <f>IFERROR(__xludf.DUMMYFUNCTION("""COMPUTED_VALUE"""),"Bash/Shell/PowerShell")</f>
        <v>Bash/Shell/PowerShell</v>
      </c>
      <c r="E1821" s="9" t="str">
        <f>IFERROR(__xludf.DUMMYFUNCTION("""COMPUTED_VALUE"""),"SQL")</f>
        <v>SQL</v>
      </c>
      <c r="F1821" s="9" t="str">
        <f>IFERROR(__xludf.DUMMYFUNCTION("""COMPUTED_VALUE"""),"Erlang")</f>
        <v>Erlang</v>
      </c>
      <c r="G1821" s="9" t="str">
        <f>IFERROR(__xludf.DUMMYFUNCTION("""COMPUTED_VALUE"""),"TypeScript")</f>
        <v>TypeScript</v>
      </c>
      <c r="H1821" s="9" t="str">
        <f>IFERROR(__xludf.DUMMYFUNCTION("""COMPUTED_VALUE"""),"SQL")</f>
        <v>SQL</v>
      </c>
      <c r="I1821" s="9" t="str">
        <f>IFERROR(__xludf.DUMMYFUNCTION("""COMPUTED_VALUE"""),"Bash/Shell/PowerShell")</f>
        <v>Bash/Shell/PowerShell</v>
      </c>
      <c r="J1821" s="9" t="str">
        <f>IFERROR(__xludf.DUMMYFUNCTION("""COMPUTED_VALUE"""),"PHP")</f>
        <v>PHP</v>
      </c>
      <c r="K1821" s="9" t="str">
        <f>IFERROR(__xludf.DUMMYFUNCTION("""COMPUTED_VALUE"""),"C#")</f>
        <v>C#</v>
      </c>
      <c r="L1821" s="9" t="str">
        <f>IFERROR(__xludf.DUMMYFUNCTION("""COMPUTED_VALUE"""),"HTML/CSS")</f>
        <v>HTML/CSS</v>
      </c>
      <c r="M1821" s="9" t="s">
        <v>36</v>
      </c>
    </row>
    <row r="1822" ht="15.75" customHeight="1">
      <c r="A1822" s="7"/>
      <c r="B1822" s="7" t="str">
        <f>IFERROR(__xludf.DUMMYFUNCTION("""COMPUTED_VALUE"""),"Bash/Shell/PowerShell;Go;HTML/CSS;JavaScript;Python;SQL")</f>
        <v>Bash/Shell/PowerShell;Go;HTML/CSS;JavaScript;Python;SQL</v>
      </c>
      <c r="C1822" s="9" t="str">
        <f>IFERROR(__xludf.DUMMYFUNCTION("""COMPUTED_VALUE"""),"HTML/CSS")</f>
        <v>HTML/CSS</v>
      </c>
      <c r="D1822" s="9" t="str">
        <f>IFERROR(__xludf.DUMMYFUNCTION("""COMPUTED_VALUE"""),"C")</f>
        <v>C</v>
      </c>
      <c r="E1822" s="9" t="str">
        <f>IFERROR(__xludf.DUMMYFUNCTION("""COMPUTED_VALUE"""),"Bash/Shell/PowerShell")</f>
        <v>Bash/Shell/PowerShell</v>
      </c>
      <c r="F1822" s="9" t="str">
        <f>IFERROR(__xludf.DUMMYFUNCTION("""COMPUTED_VALUE"""),"HTML/CSS")</f>
        <v>HTML/CSS</v>
      </c>
      <c r="G1822" s="9" t="str">
        <f>IFERROR(__xludf.DUMMYFUNCTION("""COMPUTED_VALUE"""),"Bash/Shell/PowerShell")</f>
        <v>Bash/Shell/PowerShell</v>
      </c>
      <c r="H1822" s="9" t="str">
        <f>IFERROR(__xludf.DUMMYFUNCTION("""COMPUTED_VALUE"""),"Swift")</f>
        <v>Swift</v>
      </c>
      <c r="I1822" s="9" t="str">
        <f>IFERROR(__xludf.DUMMYFUNCTION("""COMPUTED_VALUE"""),"C")</f>
        <v>C</v>
      </c>
      <c r="J1822" s="9" t="str">
        <f>IFERROR(__xludf.DUMMYFUNCTION("""COMPUTED_VALUE"""),"Python")</f>
        <v>Python</v>
      </c>
      <c r="K1822" s="9" t="str">
        <f>IFERROR(__xludf.DUMMYFUNCTION("""COMPUTED_VALUE"""),"F#")</f>
        <v>F#</v>
      </c>
      <c r="L1822" s="9" t="str">
        <f>IFERROR(__xludf.DUMMYFUNCTION("""COMPUTED_VALUE"""),"JavaScript")</f>
        <v>JavaScript</v>
      </c>
      <c r="M1822" s="9" t="s">
        <v>24</v>
      </c>
    </row>
    <row r="1823" ht="15.75" customHeight="1">
      <c r="A1823" s="7"/>
      <c r="B1823" s="7" t="str">
        <f>IFERROR(__xludf.DUMMYFUNCTION("""COMPUTED_VALUE"""),"Bash/Shell/PowerShell;Dart;Java;JavaScript;Objective-C;Swift")</f>
        <v>Bash/Shell/PowerShell;Dart;Java;JavaScript;Objective-C;Swift</v>
      </c>
      <c r="C1823" s="9" t="str">
        <f>IFERROR(__xludf.DUMMYFUNCTION("""COMPUTED_VALUE"""),"JavaScript")</f>
        <v>JavaScript</v>
      </c>
      <c r="D1823" s="9" t="str">
        <f>IFERROR(__xludf.DUMMYFUNCTION("""COMPUTED_VALUE"""),"C++")</f>
        <v>C++</v>
      </c>
      <c r="E1823" s="9" t="str">
        <f>IFERROR(__xludf.DUMMYFUNCTION("""COMPUTED_VALUE"""),"Go")</f>
        <v>Go</v>
      </c>
      <c r="F1823" s="9" t="str">
        <f>IFERROR(__xludf.DUMMYFUNCTION("""COMPUTED_VALUE"""),"Python")</f>
        <v>Python</v>
      </c>
      <c r="G1823" s="9" t="str">
        <f>IFERROR(__xludf.DUMMYFUNCTION("""COMPUTED_VALUE"""),"Java")</f>
        <v>Java</v>
      </c>
      <c r="H1823" s="9" t="str">
        <f>IFERROR(__xludf.DUMMYFUNCTION("""COMPUTED_VALUE"""),"Other(s):")</f>
        <v>Other(s):</v>
      </c>
      <c r="I1823" s="9" t="str">
        <f>IFERROR(__xludf.DUMMYFUNCTION("""COMPUTED_VALUE"""),"HTML/CSS")</f>
        <v>HTML/CSS</v>
      </c>
      <c r="J1823" s="9" t="str">
        <f>IFERROR(__xludf.DUMMYFUNCTION("""COMPUTED_VALUE"""),"SQL")</f>
        <v>SQL</v>
      </c>
      <c r="K1823" s="9" t="str">
        <f>IFERROR(__xludf.DUMMYFUNCTION("""COMPUTED_VALUE"""),"HTML/CSS")</f>
        <v>HTML/CSS</v>
      </c>
      <c r="L1823" s="9" t="str">
        <f>IFERROR(__xludf.DUMMYFUNCTION("""COMPUTED_VALUE"""),"Python")</f>
        <v>Python</v>
      </c>
      <c r="M1823" s="9" t="s">
        <v>21</v>
      </c>
    </row>
    <row r="1824" ht="15.75" customHeight="1">
      <c r="A1824" s="7"/>
      <c r="B1824" s="7" t="str">
        <f>IFERROR(__xludf.DUMMYFUNCTION("""COMPUTED_VALUE"""),"Bash/Shell/PowerShell;C#;HTML/CSS;Java;JavaScript;SQL;TypeScript;VBA")</f>
        <v>Bash/Shell/PowerShell;C#;HTML/CSS;Java;JavaScript;SQL;TypeScript;VBA</v>
      </c>
      <c r="C1824" s="9" t="str">
        <f>IFERROR(__xludf.DUMMYFUNCTION("""COMPUTED_VALUE"""),"PHP")</f>
        <v>PHP</v>
      </c>
      <c r="D1824" s="9" t="str">
        <f>IFERROR(__xludf.DUMMYFUNCTION("""COMPUTED_VALUE"""),"C#")</f>
        <v>C#</v>
      </c>
      <c r="E1824" s="9" t="str">
        <f>IFERROR(__xludf.DUMMYFUNCTION("""COMPUTED_VALUE"""),"JavaScript")</f>
        <v>JavaScript</v>
      </c>
      <c r="F1824" s="9" t="str">
        <f>IFERROR(__xludf.DUMMYFUNCTION("""COMPUTED_VALUE"""),"SQL")</f>
        <v>SQL</v>
      </c>
      <c r="G1824" s="9" t="str">
        <f>IFERROR(__xludf.DUMMYFUNCTION("""COMPUTED_VALUE"""),"Kotlin")</f>
        <v>Kotlin</v>
      </c>
      <c r="H1824" s="9" t="str">
        <f>IFERROR(__xludf.DUMMYFUNCTION("""COMPUTED_VALUE"""),"Bash/Shell/PowerShell")</f>
        <v>Bash/Shell/PowerShell</v>
      </c>
      <c r="I1824" s="9" t="str">
        <f>IFERROR(__xludf.DUMMYFUNCTION("""COMPUTED_VALUE"""),"JavaScript")</f>
        <v>JavaScript</v>
      </c>
      <c r="J1824" s="9" t="str">
        <f>IFERROR(__xludf.DUMMYFUNCTION("""COMPUTED_VALUE"""),"Swift")</f>
        <v>Swift</v>
      </c>
      <c r="K1824" s="9" t="str">
        <f>IFERROR(__xludf.DUMMYFUNCTION("""COMPUTED_VALUE"""),"Java")</f>
        <v>Java</v>
      </c>
      <c r="L1824" s="9" t="str">
        <f>IFERROR(__xludf.DUMMYFUNCTION("""COMPUTED_VALUE"""),"SQL")</f>
        <v>SQL</v>
      </c>
      <c r="M1824" s="9" t="s">
        <v>37</v>
      </c>
    </row>
    <row r="1825" ht="15.75" customHeight="1">
      <c r="A1825" s="7"/>
      <c r="B1825" s="7" t="str">
        <f>IFERROR(__xludf.DUMMYFUNCTION("""COMPUTED_VALUE"""),"C#;Scala;SQL")</f>
        <v>C#;Scala;SQL</v>
      </c>
      <c r="C1825" s="9" t="str">
        <f>IFERROR(__xludf.DUMMYFUNCTION("""COMPUTED_VALUE"""),"Python")</f>
        <v>Python</v>
      </c>
      <c r="D1825" s="9" t="str">
        <f>IFERROR(__xludf.DUMMYFUNCTION("""COMPUTED_VALUE"""),"Clojure")</f>
        <v>Clojure</v>
      </c>
      <c r="E1825" s="9" t="str">
        <f>IFERROR(__xludf.DUMMYFUNCTION("""COMPUTED_VALUE"""),"Python")</f>
        <v>Python</v>
      </c>
      <c r="F1825" s="9" t="str">
        <f>IFERROR(__xludf.DUMMYFUNCTION("""COMPUTED_VALUE"""),"Other(s):")</f>
        <v>Other(s):</v>
      </c>
      <c r="G1825" s="9" t="str">
        <f>IFERROR(__xludf.DUMMYFUNCTION("""COMPUTED_VALUE"""),"Python")</f>
        <v>Python</v>
      </c>
      <c r="H1825" s="9" t="str">
        <f>IFERROR(__xludf.DUMMYFUNCTION("""COMPUTED_VALUE"""),"HTML/CSS")</f>
        <v>HTML/CSS</v>
      </c>
      <c r="I1825" s="9" t="str">
        <f>IFERROR(__xludf.DUMMYFUNCTION("""COMPUTED_VALUE"""),"PHP")</f>
        <v>PHP</v>
      </c>
      <c r="J1825" s="9" t="str">
        <f>IFERROR(__xludf.DUMMYFUNCTION("""COMPUTED_VALUE"""),"Other(s):")</f>
        <v>Other(s):</v>
      </c>
      <c r="K1825" s="9" t="str">
        <f>IFERROR(__xludf.DUMMYFUNCTION("""COMPUTED_VALUE"""),"JavaScript")</f>
        <v>JavaScript</v>
      </c>
      <c r="L1825" s="9" t="str">
        <f>IFERROR(__xludf.DUMMYFUNCTION("""COMPUTED_VALUE"""),"Assembly")</f>
        <v>Assembly</v>
      </c>
      <c r="M1825" s="9" t="s">
        <v>22</v>
      </c>
    </row>
    <row r="1826" ht="15.75" customHeight="1">
      <c r="A1826" s="7"/>
      <c r="B1826" s="7" t="str">
        <f>IFERROR(__xludf.DUMMYFUNCTION("""COMPUTED_VALUE"""),"Bash/Shell/PowerShell;HTML/CSS;Java;SQL;TypeScript")</f>
        <v>Bash/Shell/PowerShell;HTML/CSS;Java;SQL;TypeScript</v>
      </c>
      <c r="C1826" s="9" t="str">
        <f>IFERROR(__xludf.DUMMYFUNCTION("""COMPUTED_VALUE"""),"SQL")</f>
        <v>SQL</v>
      </c>
      <c r="D1826" s="9" t="str">
        <f>IFERROR(__xludf.DUMMYFUNCTION("""COMPUTED_VALUE"""),"Dart")</f>
        <v>Dart</v>
      </c>
      <c r="E1826" s="9" t="str">
        <f>IFERROR(__xludf.DUMMYFUNCTION("""COMPUTED_VALUE"""),"Rust")</f>
        <v>Rust</v>
      </c>
      <c r="F1826" s="9" t="str">
        <f>IFERROR(__xludf.DUMMYFUNCTION("""COMPUTED_VALUE"""),"Bash/Shell/PowerShell")</f>
        <v>Bash/Shell/PowerShell</v>
      </c>
      <c r="G1826" s="9" t="str">
        <f>IFERROR(__xludf.DUMMYFUNCTION("""COMPUTED_VALUE"""),"Scala")</f>
        <v>Scala</v>
      </c>
      <c r="H1826" s="9" t="str">
        <f>IFERROR(__xludf.DUMMYFUNCTION("""COMPUTED_VALUE"""),"JavaScript")</f>
        <v>JavaScript</v>
      </c>
      <c r="I1826" s="9" t="str">
        <f>IFERROR(__xludf.DUMMYFUNCTION("""COMPUTED_VALUE"""),"Python")</f>
        <v>Python</v>
      </c>
      <c r="J1826" s="9" t="str">
        <f>IFERROR(__xludf.DUMMYFUNCTION("""COMPUTED_VALUE"""),"F#")</f>
        <v>F#</v>
      </c>
      <c r="K1826" s="9" t="str">
        <f>IFERROR(__xludf.DUMMYFUNCTION("""COMPUTED_VALUE"""),"SQL")</f>
        <v>SQL</v>
      </c>
      <c r="L1826" s="9" t="str">
        <f>IFERROR(__xludf.DUMMYFUNCTION("""COMPUTED_VALUE"""),"Bash/Shell/PowerShell")</f>
        <v>Bash/Shell/PowerShell</v>
      </c>
      <c r="M1826" s="9" t="s">
        <v>27</v>
      </c>
    </row>
    <row r="1827" ht="15.75" customHeight="1">
      <c r="A1827" s="7"/>
      <c r="B1827" s="7" t="str">
        <f>IFERROR(__xludf.DUMMYFUNCTION("""COMPUTED_VALUE"""),"Assembly;C++;C#;HTML/CSS;JavaScript;SQL;TypeScript")</f>
        <v>Assembly;C++;C#;HTML/CSS;JavaScript;SQL;TypeScript</v>
      </c>
      <c r="C1827" s="9" t="str">
        <f>IFERROR(__xludf.DUMMYFUNCTION("""COMPUTED_VALUE"""),"TypeScript")</f>
        <v>TypeScript</v>
      </c>
      <c r="D1827" s="9" t="str">
        <f>IFERROR(__xludf.DUMMYFUNCTION("""COMPUTED_VALUE"""),"Elixir")</f>
        <v>Elixir</v>
      </c>
      <c r="E1827" s="9" t="str">
        <f>IFERROR(__xludf.DUMMYFUNCTION("""COMPUTED_VALUE"""),"Python")</f>
        <v>Python</v>
      </c>
      <c r="F1827" s="9" t="str">
        <f>IFERROR(__xludf.DUMMYFUNCTION("""COMPUTED_VALUE"""),"HTML/CSS")</f>
        <v>HTML/CSS</v>
      </c>
      <c r="G1827" s="9" t="str">
        <f>IFERROR(__xludf.DUMMYFUNCTION("""COMPUTED_VALUE"""),"SQL")</f>
        <v>SQL</v>
      </c>
      <c r="H1827" s="9" t="str">
        <f>IFERROR(__xludf.DUMMYFUNCTION("""COMPUTED_VALUE"""),"Python")</f>
        <v>Python</v>
      </c>
      <c r="I1827" s="9" t="str">
        <f>IFERROR(__xludf.DUMMYFUNCTION("""COMPUTED_VALUE"""),"SQL")</f>
        <v>SQL</v>
      </c>
      <c r="J1827" s="9" t="str">
        <f>IFERROR(__xludf.DUMMYFUNCTION("""COMPUTED_VALUE"""),"HTML/CSS")</f>
        <v>HTML/CSS</v>
      </c>
      <c r="K1827" s="9" t="str">
        <f>IFERROR(__xludf.DUMMYFUNCTION("""COMPUTED_VALUE"""),"TypeScript")</f>
        <v>TypeScript</v>
      </c>
      <c r="L1827" s="9" t="str">
        <f>IFERROR(__xludf.DUMMYFUNCTION("""COMPUTED_VALUE"""),"C")</f>
        <v>C</v>
      </c>
      <c r="M1827" s="9" t="s">
        <v>33</v>
      </c>
    </row>
    <row r="1828" ht="15.75" customHeight="1">
      <c r="A1828" s="7"/>
      <c r="B1828" s="7" t="str">
        <f>IFERROR(__xludf.DUMMYFUNCTION("""COMPUTED_VALUE"""),"C#;SQL;TypeScript")</f>
        <v>C#;SQL;TypeScript</v>
      </c>
      <c r="C1828" s="9" t="str">
        <f>IFERROR(__xludf.DUMMYFUNCTION("""COMPUTED_VALUE"""),"Python")</f>
        <v>Python</v>
      </c>
      <c r="D1828" s="9" t="str">
        <f>IFERROR(__xludf.DUMMYFUNCTION("""COMPUTED_VALUE"""),"Erlang")</f>
        <v>Erlang</v>
      </c>
      <c r="E1828" s="9" t="str">
        <f>IFERROR(__xludf.DUMMYFUNCTION("""COMPUTED_VALUE"""),"Bash/Shell/PowerShell")</f>
        <v>Bash/Shell/PowerShell</v>
      </c>
      <c r="F1828" s="9" t="str">
        <f>IFERROR(__xludf.DUMMYFUNCTION("""COMPUTED_VALUE"""),"JavaScript")</f>
        <v>JavaScript</v>
      </c>
      <c r="G1828" s="9" t="str">
        <f>IFERROR(__xludf.DUMMYFUNCTION("""COMPUTED_VALUE"""),"HTML/CSS")</f>
        <v>HTML/CSS</v>
      </c>
      <c r="H1828" s="9" t="str">
        <f>IFERROR(__xludf.DUMMYFUNCTION("""COMPUTED_VALUE"""),"Bash/Shell/PowerShell")</f>
        <v>Bash/Shell/PowerShell</v>
      </c>
      <c r="I1828" s="9" t="str">
        <f>IFERROR(__xludf.DUMMYFUNCTION("""COMPUTED_VALUE"""),"TypeScript")</f>
        <v>TypeScript</v>
      </c>
      <c r="J1828" s="9" t="str">
        <f>IFERROR(__xludf.DUMMYFUNCTION("""COMPUTED_VALUE"""),"JavaScript")</f>
        <v>JavaScript</v>
      </c>
      <c r="K1828" s="9" t="str">
        <f>IFERROR(__xludf.DUMMYFUNCTION("""COMPUTED_VALUE"""),"Objective-C")</f>
        <v>Objective-C</v>
      </c>
      <c r="L1828" s="9" t="str">
        <f>IFERROR(__xludf.DUMMYFUNCTION("""COMPUTED_VALUE"""),"C++")</f>
        <v>C++</v>
      </c>
      <c r="M1828" s="9" t="s">
        <v>22</v>
      </c>
    </row>
    <row r="1829" ht="15.75" customHeight="1">
      <c r="A1829" s="7"/>
      <c r="B1829" s="7" t="str">
        <f>IFERROR(__xludf.DUMMYFUNCTION("""COMPUTED_VALUE"""),"Bash/Shell/PowerShell;C#;HTML/CSS;JavaScript;SQL;TypeScript")</f>
        <v>Bash/Shell/PowerShell;C#;HTML/CSS;JavaScript;SQL;TypeScript</v>
      </c>
      <c r="C1829" s="9" t="str">
        <f>IFERROR(__xludf.DUMMYFUNCTION("""COMPUTED_VALUE"""),"R")</f>
        <v>R</v>
      </c>
      <c r="D1829" s="9" t="str">
        <f>IFERROR(__xludf.DUMMYFUNCTION("""COMPUTED_VALUE"""),"F#")</f>
        <v>F#</v>
      </c>
      <c r="E1829" s="9" t="str">
        <f>IFERROR(__xludf.DUMMYFUNCTION("""COMPUTED_VALUE"""),"JavaScript")</f>
        <v>JavaScript</v>
      </c>
      <c r="F1829" s="9" t="str">
        <f>IFERROR(__xludf.DUMMYFUNCTION("""COMPUTED_VALUE"""),"C")</f>
        <v>C</v>
      </c>
      <c r="G1829" s="9" t="str">
        <f>IFERROR(__xludf.DUMMYFUNCTION("""COMPUTED_VALUE"""),"Python")</f>
        <v>Python</v>
      </c>
      <c r="H1829" s="9" t="str">
        <f>IFERROR(__xludf.DUMMYFUNCTION("""COMPUTED_VALUE"""),"Dart")</f>
        <v>Dart</v>
      </c>
      <c r="I1829" s="9" t="str">
        <f>IFERROR(__xludf.DUMMYFUNCTION("""COMPUTED_VALUE"""),"Other(s):")</f>
        <v>Other(s):</v>
      </c>
      <c r="J1829" s="9" t="str">
        <f>IFERROR(__xludf.DUMMYFUNCTION("""COMPUTED_VALUE"""),"Python")</f>
        <v>Python</v>
      </c>
      <c r="K1829" s="9" t="str">
        <f>IFERROR(__xludf.DUMMYFUNCTION("""COMPUTED_VALUE"""),"Swift")</f>
        <v>Swift</v>
      </c>
      <c r="L1829" s="9" t="str">
        <f>IFERROR(__xludf.DUMMYFUNCTION("""COMPUTED_VALUE"""),"HTML/CSS")</f>
        <v>HTML/CSS</v>
      </c>
      <c r="M1829" s="9" t="s">
        <v>29</v>
      </c>
    </row>
    <row r="1830" ht="15.75" customHeight="1">
      <c r="A1830" s="7"/>
      <c r="B1830" s="7" t="str">
        <f>IFERROR(__xludf.DUMMYFUNCTION("""COMPUTED_VALUE"""),"C#;HTML/CSS;Java;JavaScript;Swift;Other(s):")</f>
        <v>C#;HTML/CSS;Java;JavaScript;Swift;Other(s):</v>
      </c>
      <c r="C1830" s="9" t="str">
        <f>IFERROR(__xludf.DUMMYFUNCTION("""COMPUTED_VALUE"""),"SQL")</f>
        <v>SQL</v>
      </c>
      <c r="D1830" s="9" t="str">
        <f>IFERROR(__xludf.DUMMYFUNCTION("""COMPUTED_VALUE"""),"Go")</f>
        <v>Go</v>
      </c>
      <c r="E1830" s="9" t="str">
        <f>IFERROR(__xludf.DUMMYFUNCTION("""COMPUTED_VALUE"""),"R")</f>
        <v>R</v>
      </c>
      <c r="F1830" s="9" t="str">
        <f>IFERROR(__xludf.DUMMYFUNCTION("""COMPUTED_VALUE"""),"C++")</f>
        <v>C++</v>
      </c>
      <c r="G1830" s="9" t="str">
        <f>IFERROR(__xludf.DUMMYFUNCTION("""COMPUTED_VALUE"""),"SQL")</f>
        <v>SQL</v>
      </c>
      <c r="H1830" s="9" t="str">
        <f>IFERROR(__xludf.DUMMYFUNCTION("""COMPUTED_VALUE"""),"HTML/CSS")</f>
        <v>HTML/CSS</v>
      </c>
      <c r="I1830" s="9" t="str">
        <f>IFERROR(__xludf.DUMMYFUNCTION("""COMPUTED_VALUE"""),"HTML/CSS")</f>
        <v>HTML/CSS</v>
      </c>
      <c r="J1830" s="9" t="str">
        <f>IFERROR(__xludf.DUMMYFUNCTION("""COMPUTED_VALUE"""),"Other(s):")</f>
        <v>Other(s):</v>
      </c>
      <c r="K1830" s="9" t="str">
        <f>IFERROR(__xludf.DUMMYFUNCTION("""COMPUTED_VALUE"""),"HTML/CSS")</f>
        <v>HTML/CSS</v>
      </c>
      <c r="L1830" s="9" t="str">
        <f>IFERROR(__xludf.DUMMYFUNCTION("""COMPUTED_VALUE"""),"Java")</f>
        <v>Java</v>
      </c>
      <c r="M1830" s="9" t="s">
        <v>27</v>
      </c>
    </row>
    <row r="1831" ht="15.75" customHeight="1">
      <c r="A1831" s="7"/>
      <c r="B1831" s="7" t="str">
        <f>IFERROR(__xludf.DUMMYFUNCTION("""COMPUTED_VALUE"""),"Bash/Shell/PowerShell;C++;HTML/CSS;Java;JavaScript;Other(s):")</f>
        <v>Bash/Shell/PowerShell;C++;HTML/CSS;Java;JavaScript;Other(s):</v>
      </c>
      <c r="C1831" s="9" t="str">
        <f>IFERROR(__xludf.DUMMYFUNCTION("""COMPUTED_VALUE"""),"Bash/Shell/PowerShell")</f>
        <v>Bash/Shell/PowerShell</v>
      </c>
      <c r="D1831" s="9" t="str">
        <f>IFERROR(__xludf.DUMMYFUNCTION("""COMPUTED_VALUE"""),"HTML/CSS")</f>
        <v>HTML/CSS</v>
      </c>
      <c r="E1831" s="9" t="str">
        <f>IFERROR(__xludf.DUMMYFUNCTION("""COMPUTED_VALUE"""),"SQL")</f>
        <v>SQL</v>
      </c>
      <c r="F1831" s="9" t="str">
        <f>IFERROR(__xludf.DUMMYFUNCTION("""COMPUTED_VALUE"""),"HTML/CSS")</f>
        <v>HTML/CSS</v>
      </c>
      <c r="G1831" s="9" t="str">
        <f>IFERROR(__xludf.DUMMYFUNCTION("""COMPUTED_VALUE"""),"Bash/Shell/PowerShell")</f>
        <v>Bash/Shell/PowerShell</v>
      </c>
      <c r="H1831" s="9" t="str">
        <f>IFERROR(__xludf.DUMMYFUNCTION("""COMPUTED_VALUE"""),"Kotlin")</f>
        <v>Kotlin</v>
      </c>
      <c r="I1831" s="9" t="str">
        <f>IFERROR(__xludf.DUMMYFUNCTION("""COMPUTED_VALUE"""),"Java")</f>
        <v>Java</v>
      </c>
      <c r="J1831" s="9" t="str">
        <f>IFERROR(__xludf.DUMMYFUNCTION("""COMPUTED_VALUE"""),"Java")</f>
        <v>Java</v>
      </c>
      <c r="K1831" s="9" t="str">
        <f>IFERROR(__xludf.DUMMYFUNCTION("""COMPUTED_VALUE"""),"Java")</f>
        <v>Java</v>
      </c>
      <c r="L1831" s="9" t="str">
        <f>IFERROR(__xludf.DUMMYFUNCTION("""COMPUTED_VALUE"""),"Python")</f>
        <v>Python</v>
      </c>
      <c r="M1831" s="9" t="s">
        <v>30</v>
      </c>
    </row>
    <row r="1832" ht="15.75" customHeight="1">
      <c r="A1832" s="7"/>
      <c r="B1832" s="7" t="str">
        <f>IFERROR(__xludf.DUMMYFUNCTION("""COMPUTED_VALUE"""),"C;C++;C#;HTML/CSS;Objective-C;Python;SQL;TypeScript")</f>
        <v>C;C++;C#;HTML/CSS;Objective-C;Python;SQL;TypeScript</v>
      </c>
      <c r="C1832" s="9" t="str">
        <f>IFERROR(__xludf.DUMMYFUNCTION("""COMPUTED_VALUE"""),"SQL")</f>
        <v>SQL</v>
      </c>
      <c r="D1832" s="9" t="str">
        <f>IFERROR(__xludf.DUMMYFUNCTION("""COMPUTED_VALUE"""),"Java")</f>
        <v>Java</v>
      </c>
      <c r="E1832" s="9" t="str">
        <f>IFERROR(__xludf.DUMMYFUNCTION("""COMPUTED_VALUE"""),"Go")</f>
        <v>Go</v>
      </c>
      <c r="F1832" s="9" t="str">
        <f>IFERROR(__xludf.DUMMYFUNCTION("""COMPUTED_VALUE"""),"JavaScript")</f>
        <v>JavaScript</v>
      </c>
      <c r="G1832" s="9" t="str">
        <f>IFERROR(__xludf.DUMMYFUNCTION("""COMPUTED_VALUE"""),"Go")</f>
        <v>Go</v>
      </c>
      <c r="H1832" s="9" t="str">
        <f>IFERROR(__xludf.DUMMYFUNCTION("""COMPUTED_VALUE"""),"Rust")</f>
        <v>Rust</v>
      </c>
      <c r="I1832" s="9" t="str">
        <f>IFERROR(__xludf.DUMMYFUNCTION("""COMPUTED_VALUE"""),"JavaScript")</f>
        <v>JavaScript</v>
      </c>
      <c r="J1832" s="9" t="str">
        <f>IFERROR(__xludf.DUMMYFUNCTION("""COMPUTED_VALUE"""),"JavaScript")</f>
        <v>JavaScript</v>
      </c>
      <c r="K1832" s="9" t="str">
        <f>IFERROR(__xludf.DUMMYFUNCTION("""COMPUTED_VALUE"""),"JavaScript")</f>
        <v>JavaScript</v>
      </c>
      <c r="L1832" s="9" t="str">
        <f>IFERROR(__xludf.DUMMYFUNCTION("""COMPUTED_VALUE"""),"R")</f>
        <v>R</v>
      </c>
      <c r="M1832" s="9" t="s">
        <v>27</v>
      </c>
    </row>
    <row r="1833" ht="15.75" customHeight="1">
      <c r="A1833" s="7"/>
      <c r="B1833" s="7" t="str">
        <f>IFERROR(__xludf.DUMMYFUNCTION("""COMPUTED_VALUE"""),"C;C#;Java;Python;SQL;Swift")</f>
        <v>C;C#;Java;Python;SQL;Swift</v>
      </c>
      <c r="C1833" s="9" t="str">
        <f>IFERROR(__xludf.DUMMYFUNCTION("""COMPUTED_VALUE"""),"Bash/Shell/PowerShell")</f>
        <v>Bash/Shell/PowerShell</v>
      </c>
      <c r="D1833" s="9" t="str">
        <f>IFERROR(__xludf.DUMMYFUNCTION("""COMPUTED_VALUE"""),"JavaScript")</f>
        <v>JavaScript</v>
      </c>
      <c r="E1833" s="9" t="str">
        <f>IFERROR(__xludf.DUMMYFUNCTION("""COMPUTED_VALUE"""),"HTML/CSS")</f>
        <v>HTML/CSS</v>
      </c>
      <c r="F1833" s="9" t="str">
        <f>IFERROR(__xludf.DUMMYFUNCTION("""COMPUTED_VALUE"""),"PHP")</f>
        <v>PHP</v>
      </c>
      <c r="G1833" s="9" t="str">
        <f>IFERROR(__xludf.DUMMYFUNCTION("""COMPUTED_VALUE"""),"HTML/CSS")</f>
        <v>HTML/CSS</v>
      </c>
      <c r="H1833" s="9" t="str">
        <f>IFERROR(__xludf.DUMMYFUNCTION("""COMPUTED_VALUE"""),"Bash/Shell/PowerShell")</f>
        <v>Bash/Shell/PowerShell</v>
      </c>
      <c r="I1833" s="9" t="str">
        <f>IFERROR(__xludf.DUMMYFUNCTION("""COMPUTED_VALUE"""),"Objective-C")</f>
        <v>Objective-C</v>
      </c>
      <c r="J1833" s="9" t="str">
        <f>IFERROR(__xludf.DUMMYFUNCTION("""COMPUTED_VALUE"""),"SQL")</f>
        <v>SQL</v>
      </c>
      <c r="K1833" s="9" t="str">
        <f>IFERROR(__xludf.DUMMYFUNCTION("""COMPUTED_VALUE"""),"Kotlin")</f>
        <v>Kotlin</v>
      </c>
      <c r="L1833" s="9" t="str">
        <f>IFERROR(__xludf.DUMMYFUNCTION("""COMPUTED_VALUE"""),"SQL")</f>
        <v>SQL</v>
      </c>
      <c r="M1833" s="9" t="s">
        <v>30</v>
      </c>
    </row>
    <row r="1834" ht="15.75" customHeight="1">
      <c r="A1834" s="7"/>
      <c r="B1834" s="7" t="str">
        <f>IFERROR(__xludf.DUMMYFUNCTION("""COMPUTED_VALUE"""),"HTML/CSS;Java;JavaScript;Python;Scala;SQL;Other(s):")</f>
        <v>HTML/CSS;Java;JavaScript;Python;Scala;SQL;Other(s):</v>
      </c>
      <c r="C1834" s="9" t="str">
        <f>IFERROR(__xludf.DUMMYFUNCTION("""COMPUTED_VALUE"""),"C#")</f>
        <v>C#</v>
      </c>
      <c r="D1834" s="9" t="str">
        <f>IFERROR(__xludf.DUMMYFUNCTION("""COMPUTED_VALUE"""),"Kotlin")</f>
        <v>Kotlin</v>
      </c>
      <c r="E1834" s="9" t="str">
        <f>IFERROR(__xludf.DUMMYFUNCTION("""COMPUTED_VALUE"""),"JavaScript")</f>
        <v>JavaScript</v>
      </c>
      <c r="F1834" s="9" t="str">
        <f>IFERROR(__xludf.DUMMYFUNCTION("""COMPUTED_VALUE"""),"SQL")</f>
        <v>SQL</v>
      </c>
      <c r="G1834" s="9" t="str">
        <f>IFERROR(__xludf.DUMMYFUNCTION("""COMPUTED_VALUE"""),"Java")</f>
        <v>Java</v>
      </c>
      <c r="H1834" s="9" t="str">
        <f>IFERROR(__xludf.DUMMYFUNCTION("""COMPUTED_VALUE"""),"C#")</f>
        <v>C#</v>
      </c>
      <c r="I1834" s="9" t="str">
        <f>IFERROR(__xludf.DUMMYFUNCTION("""COMPUTED_VALUE"""),"Swift")</f>
        <v>Swift</v>
      </c>
      <c r="J1834" s="9" t="str">
        <f>IFERROR(__xludf.DUMMYFUNCTION("""COMPUTED_VALUE"""),"Other(s):")</f>
        <v>Other(s):</v>
      </c>
      <c r="K1834" s="9" t="str">
        <f>IFERROR(__xludf.DUMMYFUNCTION("""COMPUTED_VALUE"""),"Python")</f>
        <v>Python</v>
      </c>
      <c r="L1834" s="9" t="str">
        <f>IFERROR(__xludf.DUMMYFUNCTION("""COMPUTED_VALUE"""),"Bash/Shell/PowerShell")</f>
        <v>Bash/Shell/PowerShell</v>
      </c>
      <c r="M1834" s="9" t="s">
        <v>26</v>
      </c>
    </row>
    <row r="1835" ht="15.75" customHeight="1">
      <c r="A1835" s="7"/>
      <c r="B1835" s="7" t="str">
        <f>IFERROR(__xludf.DUMMYFUNCTION("""COMPUTED_VALUE"""),"Bash/Shell/PowerShell;HTML/CSS;JavaScript;Kotlin;Python;TypeScript")</f>
        <v>Bash/Shell/PowerShell;HTML/CSS;JavaScript;Kotlin;Python;TypeScript</v>
      </c>
      <c r="C1835" s="9" t="str">
        <f>IFERROR(__xludf.DUMMYFUNCTION("""COMPUTED_VALUE"""),"HTML/CSS")</f>
        <v>HTML/CSS</v>
      </c>
      <c r="D1835" s="9" t="str">
        <f>IFERROR(__xludf.DUMMYFUNCTION("""COMPUTED_VALUE"""),"Objective-C")</f>
        <v>Objective-C</v>
      </c>
      <c r="E1835" s="9" t="str">
        <f>IFERROR(__xludf.DUMMYFUNCTION("""COMPUTED_VALUE"""),"PHP")</f>
        <v>PHP</v>
      </c>
      <c r="F1835" s="9" t="str">
        <f>IFERROR(__xludf.DUMMYFUNCTION("""COMPUTED_VALUE"""),"Bash/Shell/PowerShell")</f>
        <v>Bash/Shell/PowerShell</v>
      </c>
      <c r="G1835" s="9" t="str">
        <f>IFERROR(__xludf.DUMMYFUNCTION("""COMPUTED_VALUE"""),"JavaScript")</f>
        <v>JavaScript</v>
      </c>
      <c r="H1835" s="9" t="str">
        <f>IFERROR(__xludf.DUMMYFUNCTION("""COMPUTED_VALUE"""),"Elixir")</f>
        <v>Elixir</v>
      </c>
      <c r="I1835" s="9" t="str">
        <f>IFERROR(__xludf.DUMMYFUNCTION("""COMPUTED_VALUE"""),"TypeScript")</f>
        <v>TypeScript</v>
      </c>
      <c r="J1835" s="9" t="str">
        <f>IFERROR(__xludf.DUMMYFUNCTION("""COMPUTED_VALUE"""),"Bash/Shell/PowerShell")</f>
        <v>Bash/Shell/PowerShell</v>
      </c>
      <c r="K1835" s="9" t="str">
        <f>IFERROR(__xludf.DUMMYFUNCTION("""COMPUTED_VALUE"""),"Scala")</f>
        <v>Scala</v>
      </c>
      <c r="L1835" s="9" t="str">
        <f>IFERROR(__xludf.DUMMYFUNCTION("""COMPUTED_VALUE"""),"HTML/CSS")</f>
        <v>HTML/CSS</v>
      </c>
      <c r="M1835" s="9" t="s">
        <v>24</v>
      </c>
    </row>
    <row r="1836" ht="15.75" customHeight="1">
      <c r="A1836" s="7"/>
      <c r="B1836" s="7" t="str">
        <f>IFERROR(__xludf.DUMMYFUNCTION("""COMPUTED_VALUE"""),"C#")</f>
        <v>C#</v>
      </c>
      <c r="C1836" s="9" t="str">
        <f>IFERROR(__xludf.DUMMYFUNCTION("""COMPUTED_VALUE"""),"Java")</f>
        <v>Java</v>
      </c>
      <c r="D1836" s="9" t="str">
        <f>IFERROR(__xludf.DUMMYFUNCTION("""COMPUTED_VALUE"""),"PHP")</f>
        <v>PHP</v>
      </c>
      <c r="E1836" s="9" t="str">
        <f>IFERROR(__xludf.DUMMYFUNCTION("""COMPUTED_VALUE"""),"Ruby")</f>
        <v>Ruby</v>
      </c>
      <c r="F1836" s="9" t="str">
        <f>IFERROR(__xludf.DUMMYFUNCTION("""COMPUTED_VALUE"""),"HTML/CSS")</f>
        <v>HTML/CSS</v>
      </c>
      <c r="G1836" s="9" t="str">
        <f>IFERROR(__xludf.DUMMYFUNCTION("""COMPUTED_VALUE"""),"Python")</f>
        <v>Python</v>
      </c>
      <c r="H1836" s="9" t="str">
        <f>IFERROR(__xludf.DUMMYFUNCTION("""COMPUTED_VALUE"""),"Erlang")</f>
        <v>Erlang</v>
      </c>
      <c r="I1836" s="9" t="str">
        <f>IFERROR(__xludf.DUMMYFUNCTION("""COMPUTED_VALUE"""),"Bash/Shell/PowerShell")</f>
        <v>Bash/Shell/PowerShell</v>
      </c>
      <c r="J1836" s="9" t="str">
        <f>IFERROR(__xludf.DUMMYFUNCTION("""COMPUTED_VALUE"""),"C")</f>
        <v>C</v>
      </c>
      <c r="K1836" s="9" t="str">
        <f>IFERROR(__xludf.DUMMYFUNCTION("""COMPUTED_VALUE"""),"TypeScript")</f>
        <v>TypeScript</v>
      </c>
      <c r="L1836" s="9" t="str">
        <f>IFERROR(__xludf.DUMMYFUNCTION("""COMPUTED_VALUE"""),"JavaScript")</f>
        <v>JavaScript</v>
      </c>
      <c r="M1836" s="9" t="s">
        <v>20</v>
      </c>
    </row>
    <row r="1837" ht="15.75" customHeight="1">
      <c r="A1837" s="7"/>
      <c r="B1837" s="7" t="str">
        <f>IFERROR(__xludf.DUMMYFUNCTION("""COMPUTED_VALUE"""),"Java;SQL")</f>
        <v>Java;SQL</v>
      </c>
      <c r="C1837" s="9" t="str">
        <f>IFERROR(__xludf.DUMMYFUNCTION("""COMPUTED_VALUE"""),"Python")</f>
        <v>Python</v>
      </c>
      <c r="D1837" s="9" t="str">
        <f>IFERROR(__xludf.DUMMYFUNCTION("""COMPUTED_VALUE"""),"Python")</f>
        <v>Python</v>
      </c>
      <c r="E1837" s="9" t="str">
        <f>IFERROR(__xludf.DUMMYFUNCTION("""COMPUTED_VALUE"""),"SQL")</f>
        <v>SQL</v>
      </c>
      <c r="F1837" s="9" t="str">
        <f>IFERROR(__xludf.DUMMYFUNCTION("""COMPUTED_VALUE"""),"JavaScript")</f>
        <v>JavaScript</v>
      </c>
      <c r="G1837" s="9" t="str">
        <f>IFERROR(__xludf.DUMMYFUNCTION("""COMPUTED_VALUE"""),"Ruby")</f>
        <v>Ruby</v>
      </c>
      <c r="H1837" s="9" t="str">
        <f>IFERROR(__xludf.DUMMYFUNCTION("""COMPUTED_VALUE"""),"HTML/CSS")</f>
        <v>HTML/CSS</v>
      </c>
      <c r="I1837" s="9" t="str">
        <f>IFERROR(__xludf.DUMMYFUNCTION("""COMPUTED_VALUE"""),"Go")</f>
        <v>Go</v>
      </c>
      <c r="J1837" s="9" t="str">
        <f>IFERROR(__xludf.DUMMYFUNCTION("""COMPUTED_VALUE"""),"C++")</f>
        <v>C++</v>
      </c>
      <c r="K1837" s="9" t="str">
        <f>IFERROR(__xludf.DUMMYFUNCTION("""COMPUTED_VALUE"""),"C#")</f>
        <v>C#</v>
      </c>
      <c r="L1837" s="9" t="str">
        <f>IFERROR(__xludf.DUMMYFUNCTION("""COMPUTED_VALUE"""),"Kotlin")</f>
        <v>Kotlin</v>
      </c>
      <c r="M1837" s="9" t="s">
        <v>22</v>
      </c>
    </row>
    <row r="1838" ht="15.75" customHeight="1">
      <c r="A1838" s="7"/>
      <c r="B1838" s="7" t="str">
        <f>IFERROR(__xludf.DUMMYFUNCTION("""COMPUTED_VALUE"""),"Assembly;C;C++;C#;Java;Python;SQL")</f>
        <v>Assembly;C;C++;C#;Java;Python;SQL</v>
      </c>
      <c r="C1838" s="9" t="str">
        <f>IFERROR(__xludf.DUMMYFUNCTION("""COMPUTED_VALUE"""),"SQL")</f>
        <v>SQL</v>
      </c>
      <c r="D1838" s="9" t="str">
        <f>IFERROR(__xludf.DUMMYFUNCTION("""COMPUTED_VALUE"""),"R")</f>
        <v>R</v>
      </c>
      <c r="E1838" s="9" t="str">
        <f>IFERROR(__xludf.DUMMYFUNCTION("""COMPUTED_VALUE"""),"TypeScript")</f>
        <v>TypeScript</v>
      </c>
      <c r="F1838" s="9" t="str">
        <f>IFERROR(__xludf.DUMMYFUNCTION("""COMPUTED_VALUE"""),"Python")</f>
        <v>Python</v>
      </c>
      <c r="G1838" s="9" t="str">
        <f>IFERROR(__xludf.DUMMYFUNCTION("""COMPUTED_VALUE"""),"Scala")</f>
        <v>Scala</v>
      </c>
      <c r="H1838" s="9" t="str">
        <f>IFERROR(__xludf.DUMMYFUNCTION("""COMPUTED_VALUE"""),"Java")</f>
        <v>Java</v>
      </c>
      <c r="I1838" s="9" t="str">
        <f>IFERROR(__xludf.DUMMYFUNCTION("""COMPUTED_VALUE"""),"HTML/CSS")</f>
        <v>HTML/CSS</v>
      </c>
      <c r="J1838" s="9" t="str">
        <f>IFERROR(__xludf.DUMMYFUNCTION("""COMPUTED_VALUE"""),"HTML/CSS")</f>
        <v>HTML/CSS</v>
      </c>
      <c r="K1838" s="9" t="str">
        <f>IFERROR(__xludf.DUMMYFUNCTION("""COMPUTED_VALUE"""),"HTML/CSS")</f>
        <v>HTML/CSS</v>
      </c>
      <c r="L1838" s="9" t="str">
        <f>IFERROR(__xludf.DUMMYFUNCTION("""COMPUTED_VALUE"""),"SQL")</f>
        <v>SQL</v>
      </c>
      <c r="M1838" s="9" t="s">
        <v>27</v>
      </c>
    </row>
    <row r="1839" ht="15.75" customHeight="1">
      <c r="A1839" s="7"/>
      <c r="B1839" s="7" t="str">
        <f>IFERROR(__xludf.DUMMYFUNCTION("""COMPUTED_VALUE"""),"Bash/Shell/PowerShell;HTML/CSS;JavaScript;Scala;SQL;TypeScript")</f>
        <v>Bash/Shell/PowerShell;HTML/CSS;JavaScript;Scala;SQL;TypeScript</v>
      </c>
      <c r="C1839" s="9" t="str">
        <f>IFERROR(__xludf.DUMMYFUNCTION("""COMPUTED_VALUE"""),"C#")</f>
        <v>C#</v>
      </c>
      <c r="D1839" s="9" t="str">
        <f>IFERROR(__xludf.DUMMYFUNCTION("""COMPUTED_VALUE"""),"Ruby")</f>
        <v>Ruby</v>
      </c>
      <c r="E1839" s="9" t="str">
        <f>IFERROR(__xludf.DUMMYFUNCTION("""COMPUTED_VALUE"""),"JavaScript")</f>
        <v>JavaScript</v>
      </c>
      <c r="F1839" s="9" t="str">
        <f>IFERROR(__xludf.DUMMYFUNCTION("""COMPUTED_VALUE"""),"SQL")</f>
        <v>SQL</v>
      </c>
      <c r="G1839" s="9" t="str">
        <f>IFERROR(__xludf.DUMMYFUNCTION("""COMPUTED_VALUE"""),"SQL")</f>
        <v>SQL</v>
      </c>
      <c r="H1839" s="9" t="str">
        <f>IFERROR(__xludf.DUMMYFUNCTION("""COMPUTED_VALUE"""),"JavaScript")</f>
        <v>JavaScript</v>
      </c>
      <c r="I1839" s="9" t="str">
        <f>IFERROR(__xludf.DUMMYFUNCTION("""COMPUTED_VALUE"""),"Java")</f>
        <v>Java</v>
      </c>
      <c r="J1839" s="9" t="str">
        <f>IFERROR(__xludf.DUMMYFUNCTION("""COMPUTED_VALUE"""),"JavaScript")</f>
        <v>JavaScript</v>
      </c>
      <c r="K1839" s="9" t="str">
        <f>IFERROR(__xludf.DUMMYFUNCTION("""COMPUTED_VALUE"""),"Java")</f>
        <v>Java</v>
      </c>
      <c r="L1839" s="9" t="str">
        <f>IFERROR(__xludf.DUMMYFUNCTION("""COMPUTED_VALUE"""),"WebAssembly")</f>
        <v>WebAssembly</v>
      </c>
      <c r="M1839" s="9" t="s">
        <v>26</v>
      </c>
    </row>
    <row r="1840" ht="15.75" customHeight="1">
      <c r="A1840" s="7"/>
      <c r="B1840" s="7" t="str">
        <f>IFERROR(__xludf.DUMMYFUNCTION("""COMPUTED_VALUE"""),"Assembly;Bash/Shell/PowerShell;C;C++;C#;F#;Go;HTML/CSS;Java;JavaScript;Kotlin;Objective-C;PHP;Python;R;Ruby;Rust;Scala;SQL;Swift;TypeScript;VBA;WebAssembly")</f>
        <v>Assembly;Bash/Shell/PowerShell;C;C++;C#;F#;Go;HTML/CSS;Java;JavaScript;Kotlin;Objective-C;PHP;Python;R;Ruby;Rust;Scala;SQL;Swift;TypeScript;VBA;WebAssembly</v>
      </c>
      <c r="C1840" s="9" t="str">
        <f>IFERROR(__xludf.DUMMYFUNCTION("""COMPUTED_VALUE"""),"HTML/CSS")</f>
        <v>HTML/CSS</v>
      </c>
      <c r="D1840" s="9" t="str">
        <f>IFERROR(__xludf.DUMMYFUNCTION("""COMPUTED_VALUE"""),"Rust")</f>
        <v>Rust</v>
      </c>
      <c r="E1840" s="9" t="str">
        <f>IFERROR(__xludf.DUMMYFUNCTION("""COMPUTED_VALUE"""),"Python")</f>
        <v>Python</v>
      </c>
      <c r="F1840" s="9" t="str">
        <f>IFERROR(__xludf.DUMMYFUNCTION("""COMPUTED_VALUE"""),"Bash/Shell/PowerShell")</f>
        <v>Bash/Shell/PowerShell</v>
      </c>
      <c r="G1840" s="9" t="str">
        <f>IFERROR(__xludf.DUMMYFUNCTION("""COMPUTED_VALUE"""),"C++")</f>
        <v>C++</v>
      </c>
      <c r="H1840" s="9" t="str">
        <f>IFERROR(__xludf.DUMMYFUNCTION("""COMPUTED_VALUE"""),"Python")</f>
        <v>Python</v>
      </c>
      <c r="I1840" s="9" t="str">
        <f>IFERROR(__xludf.DUMMYFUNCTION("""COMPUTED_VALUE"""),"JavaScript")</f>
        <v>JavaScript</v>
      </c>
      <c r="J1840" s="9" t="str">
        <f>IFERROR(__xludf.DUMMYFUNCTION("""COMPUTED_VALUE"""),"Python")</f>
        <v>Python</v>
      </c>
      <c r="K1840" s="9" t="str">
        <f>IFERROR(__xludf.DUMMYFUNCTION("""COMPUTED_VALUE"""),"JavaScript")</f>
        <v>JavaScript</v>
      </c>
      <c r="L1840" s="9" t="str">
        <f>IFERROR(__xludf.DUMMYFUNCTION("""COMPUTED_VALUE"""),"HTML/CSS")</f>
        <v>HTML/CSS</v>
      </c>
      <c r="M1840" s="9" t="s">
        <v>24</v>
      </c>
    </row>
    <row r="1841" ht="15.75" customHeight="1">
      <c r="A1841" s="7"/>
      <c r="B1841" s="7" t="str">
        <f>IFERROR(__xludf.DUMMYFUNCTION("""COMPUTED_VALUE"""),"Bash/Shell/PowerShell;C#;Java;Python")</f>
        <v>Bash/Shell/PowerShell;C#;Java;Python</v>
      </c>
      <c r="C1841" s="9" t="str">
        <f>IFERROR(__xludf.DUMMYFUNCTION("""COMPUTED_VALUE"""),"Java")</f>
        <v>Java</v>
      </c>
      <c r="D1841" s="9" t="str">
        <f>IFERROR(__xludf.DUMMYFUNCTION("""COMPUTED_VALUE"""),"Scala")</f>
        <v>Scala</v>
      </c>
      <c r="E1841" s="9" t="str">
        <f>IFERROR(__xludf.DUMMYFUNCTION("""COMPUTED_VALUE"""),"HTML/CSS")</f>
        <v>HTML/CSS</v>
      </c>
      <c r="F1841" s="9" t="str">
        <f>IFERROR(__xludf.DUMMYFUNCTION("""COMPUTED_VALUE"""),"C")</f>
        <v>C</v>
      </c>
      <c r="G1841" s="9" t="str">
        <f>IFERROR(__xludf.DUMMYFUNCTION("""COMPUTED_VALUE"""),"C#")</f>
        <v>C#</v>
      </c>
      <c r="H1841" s="9" t="str">
        <f>IFERROR(__xludf.DUMMYFUNCTION("""COMPUTED_VALUE"""),"Ruby")</f>
        <v>Ruby</v>
      </c>
      <c r="I1841" s="9" t="str">
        <f>IFERROR(__xludf.DUMMYFUNCTION("""COMPUTED_VALUE"""),"Kotlin")</f>
        <v>Kotlin</v>
      </c>
      <c r="J1841" s="9" t="str">
        <f>IFERROR(__xludf.DUMMYFUNCTION("""COMPUTED_VALUE"""),"Rust")</f>
        <v>Rust</v>
      </c>
      <c r="K1841" s="9" t="str">
        <f>IFERROR(__xludf.DUMMYFUNCTION("""COMPUTED_VALUE"""),"SQL")</f>
        <v>SQL</v>
      </c>
      <c r="L1841" s="9" t="str">
        <f>IFERROR(__xludf.DUMMYFUNCTION("""COMPUTED_VALUE"""),"JavaScript")</f>
        <v>JavaScript</v>
      </c>
      <c r="M1841" s="9" t="s">
        <v>20</v>
      </c>
    </row>
    <row r="1842" ht="15.75" customHeight="1">
      <c r="A1842" s="7"/>
      <c r="B1842" s="7" t="str">
        <f>IFERROR(__xludf.DUMMYFUNCTION("""COMPUTED_VALUE"""),"Go;HTML/CSS;JavaScript;Kotlin")</f>
        <v>Go;HTML/CSS;JavaScript;Kotlin</v>
      </c>
      <c r="C1842" s="9" t="str">
        <f>IFERROR(__xludf.DUMMYFUNCTION("""COMPUTED_VALUE"""),"JavaScript")</f>
        <v>JavaScript</v>
      </c>
      <c r="D1842" s="9" t="str">
        <f>IFERROR(__xludf.DUMMYFUNCTION("""COMPUTED_VALUE"""),"SQL")</f>
        <v>SQL</v>
      </c>
      <c r="E1842" s="9" t="str">
        <f>IFERROR(__xludf.DUMMYFUNCTION("""COMPUTED_VALUE"""),"TypeScript")</f>
        <v>TypeScript</v>
      </c>
      <c r="F1842" s="9" t="str">
        <f>IFERROR(__xludf.DUMMYFUNCTION("""COMPUTED_VALUE"""),"C++")</f>
        <v>C++</v>
      </c>
      <c r="G1842" s="9" t="str">
        <f>IFERROR(__xludf.DUMMYFUNCTION("""COMPUTED_VALUE"""),"HTML/CSS")</f>
        <v>HTML/CSS</v>
      </c>
      <c r="H1842" s="9" t="str">
        <f>IFERROR(__xludf.DUMMYFUNCTION("""COMPUTED_VALUE"""),"SQL")</f>
        <v>SQL</v>
      </c>
      <c r="I1842" s="9" t="str">
        <f>IFERROR(__xludf.DUMMYFUNCTION("""COMPUTED_VALUE"""),"PHP")</f>
        <v>PHP</v>
      </c>
      <c r="J1842" s="9" t="str">
        <f>IFERROR(__xludf.DUMMYFUNCTION("""COMPUTED_VALUE"""),"C#")</f>
        <v>C#</v>
      </c>
      <c r="K1842" s="9" t="str">
        <f>IFERROR(__xludf.DUMMYFUNCTION("""COMPUTED_VALUE"""),"C#")</f>
        <v>C#</v>
      </c>
      <c r="L1842" s="9" t="str">
        <f>IFERROR(__xludf.DUMMYFUNCTION("""COMPUTED_VALUE"""),"TypeScript")</f>
        <v>TypeScript</v>
      </c>
      <c r="M1842" s="9" t="s">
        <v>21</v>
      </c>
    </row>
    <row r="1843" ht="15.75" customHeight="1">
      <c r="A1843" s="7"/>
      <c r="B1843" s="7" t="str">
        <f>IFERROR(__xludf.DUMMYFUNCTION("""COMPUTED_VALUE"""),"HTML/CSS;JavaScript;Python")</f>
        <v>HTML/CSS;JavaScript;Python</v>
      </c>
      <c r="C1843" s="9" t="str">
        <f>IFERROR(__xludf.DUMMYFUNCTION("""COMPUTED_VALUE"""),"Python")</f>
        <v>Python</v>
      </c>
      <c r="D1843" s="9" t="str">
        <f>IFERROR(__xludf.DUMMYFUNCTION("""COMPUTED_VALUE"""),"Swift")</f>
        <v>Swift</v>
      </c>
      <c r="E1843" s="9" t="str">
        <f>IFERROR(__xludf.DUMMYFUNCTION("""COMPUTED_VALUE"""),"Bash/Shell/PowerShell")</f>
        <v>Bash/Shell/PowerShell</v>
      </c>
      <c r="F1843" s="9" t="str">
        <f>IFERROR(__xludf.DUMMYFUNCTION("""COMPUTED_VALUE"""),"Other(s):")</f>
        <v>Other(s):</v>
      </c>
      <c r="G1843" s="9" t="str">
        <f>IFERROR(__xludf.DUMMYFUNCTION("""COMPUTED_VALUE"""),"JavaScript")</f>
        <v>JavaScript</v>
      </c>
      <c r="H1843" s="9" t="str">
        <f>IFERROR(__xludf.DUMMYFUNCTION("""COMPUTED_VALUE"""),"C#")</f>
        <v>C#</v>
      </c>
      <c r="I1843" s="9" t="str">
        <f>IFERROR(__xludf.DUMMYFUNCTION("""COMPUTED_VALUE"""),"Python")</f>
        <v>Python</v>
      </c>
      <c r="J1843" s="9" t="str">
        <f>IFERROR(__xludf.DUMMYFUNCTION("""COMPUTED_VALUE"""),"Dart")</f>
        <v>Dart</v>
      </c>
      <c r="K1843" s="9" t="str">
        <f>IFERROR(__xludf.DUMMYFUNCTION("""COMPUTED_VALUE"""),"HTML/CSS")</f>
        <v>HTML/CSS</v>
      </c>
      <c r="L1843" s="9" t="str">
        <f>IFERROR(__xludf.DUMMYFUNCTION("""COMPUTED_VALUE"""),"Bash/Shell/PowerShell")</f>
        <v>Bash/Shell/PowerShell</v>
      </c>
      <c r="M1843" s="9" t="s">
        <v>22</v>
      </c>
    </row>
    <row r="1844" ht="15.75" customHeight="1">
      <c r="A1844" s="7"/>
      <c r="B1844" s="7" t="str">
        <f>IFERROR(__xludf.DUMMYFUNCTION("""COMPUTED_VALUE"""),"Bash/Shell/PowerShell;C++;C#;HTML/CSS;JavaScript;Python;SQL;TypeScript")</f>
        <v>Bash/Shell/PowerShell;C++;C#;HTML/CSS;JavaScript;Python;SQL;TypeScript</v>
      </c>
      <c r="C1844" s="9" t="str">
        <f>IFERROR(__xludf.DUMMYFUNCTION("""COMPUTED_VALUE"""),"HTML/CSS")</f>
        <v>HTML/CSS</v>
      </c>
      <c r="D1844" s="9" t="str">
        <f>IFERROR(__xludf.DUMMYFUNCTION("""COMPUTED_VALUE"""),"TypeScript")</f>
        <v>TypeScript</v>
      </c>
      <c r="E1844" s="9" t="str">
        <f>IFERROR(__xludf.DUMMYFUNCTION("""COMPUTED_VALUE"""),"C++")</f>
        <v>C++</v>
      </c>
      <c r="F1844" s="9" t="str">
        <f>IFERROR(__xludf.DUMMYFUNCTION("""COMPUTED_VALUE"""),"Bash/Shell/PowerShell")</f>
        <v>Bash/Shell/PowerShell</v>
      </c>
      <c r="G1844" s="9" t="str">
        <f>IFERROR(__xludf.DUMMYFUNCTION("""COMPUTED_VALUE"""),"SQL")</f>
        <v>SQL</v>
      </c>
      <c r="H1844" s="9" t="str">
        <f>IFERROR(__xludf.DUMMYFUNCTION("""COMPUTED_VALUE"""),"HTML/CSS")</f>
        <v>HTML/CSS</v>
      </c>
      <c r="I1844" s="9" t="str">
        <f>IFERROR(__xludf.DUMMYFUNCTION("""COMPUTED_VALUE"""),"Ruby")</f>
        <v>Ruby</v>
      </c>
      <c r="J1844" s="9" t="str">
        <f>IFERROR(__xludf.DUMMYFUNCTION("""COMPUTED_VALUE"""),"HTML/CSS")</f>
        <v>HTML/CSS</v>
      </c>
      <c r="K1844" s="9" t="str">
        <f>IFERROR(__xludf.DUMMYFUNCTION("""COMPUTED_VALUE"""),"JavaScript")</f>
        <v>JavaScript</v>
      </c>
      <c r="L1844" s="9" t="str">
        <f>IFERROR(__xludf.DUMMYFUNCTION("""COMPUTED_VALUE"""),"Go")</f>
        <v>Go</v>
      </c>
      <c r="M1844" s="9" t="s">
        <v>24</v>
      </c>
    </row>
    <row r="1845" ht="15.75" customHeight="1">
      <c r="A1845" s="7"/>
      <c r="B1845" s="7" t="str">
        <f>IFERROR(__xludf.DUMMYFUNCTION("""COMPUTED_VALUE"""),"Clojure;Other(s):")</f>
        <v>Clojure;Other(s):</v>
      </c>
      <c r="C1845" s="9" t="str">
        <f>IFERROR(__xludf.DUMMYFUNCTION("""COMPUTED_VALUE"""),"Python")</f>
        <v>Python</v>
      </c>
      <c r="D1845" s="9" t="str">
        <f>IFERROR(__xludf.DUMMYFUNCTION("""COMPUTED_VALUE"""),"VBA")</f>
        <v>VBA</v>
      </c>
      <c r="E1845" s="9" t="str">
        <f>IFERROR(__xludf.DUMMYFUNCTION("""COMPUTED_VALUE"""),"HTML/CSS")</f>
        <v>HTML/CSS</v>
      </c>
      <c r="F1845" s="9" t="str">
        <f>IFERROR(__xludf.DUMMYFUNCTION("""COMPUTED_VALUE"""),"C#")</f>
        <v>C#</v>
      </c>
      <c r="G1845" s="9" t="str">
        <f>IFERROR(__xludf.DUMMYFUNCTION("""COMPUTED_VALUE"""),"TypeScript")</f>
        <v>TypeScript</v>
      </c>
      <c r="H1845" s="9" t="str">
        <f>IFERROR(__xludf.DUMMYFUNCTION("""COMPUTED_VALUE"""),"Java")</f>
        <v>Java</v>
      </c>
      <c r="I1845" s="9" t="str">
        <f>IFERROR(__xludf.DUMMYFUNCTION("""COMPUTED_VALUE"""),"SQL")</f>
        <v>SQL</v>
      </c>
      <c r="J1845" s="9" t="str">
        <f>IFERROR(__xludf.DUMMYFUNCTION("""COMPUTED_VALUE"""),"JavaScript")</f>
        <v>JavaScript</v>
      </c>
      <c r="K1845" s="9" t="str">
        <f>IFERROR(__xludf.DUMMYFUNCTION("""COMPUTED_VALUE"""),"SQL")</f>
        <v>SQL</v>
      </c>
      <c r="L1845" s="9" t="str">
        <f>IFERROR(__xludf.DUMMYFUNCTION("""COMPUTED_VALUE"""),"Python")</f>
        <v>Python</v>
      </c>
      <c r="M1845" s="9" t="s">
        <v>22</v>
      </c>
    </row>
    <row r="1846" ht="15.75" customHeight="1">
      <c r="A1846" s="7"/>
      <c r="B1846" s="7" t="str">
        <f>IFERROR(__xludf.DUMMYFUNCTION("""COMPUTED_VALUE"""),"Bash/Shell/PowerShell;HTML/CSS;Java;JavaScript")</f>
        <v>Bash/Shell/PowerShell;HTML/CSS;Java;JavaScript</v>
      </c>
      <c r="C1846" s="9" t="str">
        <f>IFERROR(__xludf.DUMMYFUNCTION("""COMPUTED_VALUE"""),"SQL")</f>
        <v>SQL</v>
      </c>
      <c r="D1846" s="9" t="str">
        <f>IFERROR(__xludf.DUMMYFUNCTION("""COMPUTED_VALUE"""),"WebAssembly")</f>
        <v>WebAssembly</v>
      </c>
      <c r="E1846" s="9" t="str">
        <f>IFERROR(__xludf.DUMMYFUNCTION("""COMPUTED_VALUE"""),"Python")</f>
        <v>Python</v>
      </c>
      <c r="F1846" s="9" t="str">
        <f>IFERROR(__xludf.DUMMYFUNCTION("""COMPUTED_VALUE"""),"Java")</f>
        <v>Java</v>
      </c>
      <c r="G1846" s="9" t="str">
        <f>IFERROR(__xludf.DUMMYFUNCTION("""COMPUTED_VALUE"""),"HTML/CSS")</f>
        <v>HTML/CSS</v>
      </c>
      <c r="H1846" s="9" t="str">
        <f>IFERROR(__xludf.DUMMYFUNCTION("""COMPUTED_VALUE"""),"JavaScript")</f>
        <v>JavaScript</v>
      </c>
      <c r="I1846" s="9" t="str">
        <f>IFERROR(__xludf.DUMMYFUNCTION("""COMPUTED_VALUE"""),"Java")</f>
        <v>Java</v>
      </c>
      <c r="J1846" s="9" t="str">
        <f>IFERROR(__xludf.DUMMYFUNCTION("""COMPUTED_VALUE"""),"PHP")</f>
        <v>PHP</v>
      </c>
      <c r="K1846" s="9" t="str">
        <f>IFERROR(__xludf.DUMMYFUNCTION("""COMPUTED_VALUE"""),"Other(s):")</f>
        <v>Other(s):</v>
      </c>
      <c r="L1846" s="9" t="str">
        <f>IFERROR(__xludf.DUMMYFUNCTION("""COMPUTED_VALUE"""),"Other(s):")</f>
        <v>Other(s):</v>
      </c>
      <c r="M1846" s="9" t="s">
        <v>27</v>
      </c>
    </row>
    <row r="1847" ht="15.75" customHeight="1">
      <c r="A1847" s="7"/>
      <c r="B1847" s="7" t="str">
        <f>IFERROR(__xludf.DUMMYFUNCTION("""COMPUTED_VALUE"""),"Bash/Shell/PowerShell;HTML/CSS;JavaScript;Python")</f>
        <v>Bash/Shell/PowerShell;HTML/CSS;JavaScript;Python</v>
      </c>
      <c r="C1847" s="9" t="str">
        <f>IFERROR(__xludf.DUMMYFUNCTION("""COMPUTED_VALUE"""),"TypeScript")</f>
        <v>TypeScript</v>
      </c>
      <c r="D1847" s="9" t="str">
        <f>IFERROR(__xludf.DUMMYFUNCTION("""COMPUTED_VALUE"""),"Other(s):")</f>
        <v>Other(s):</v>
      </c>
      <c r="E1847" s="9" t="str">
        <f>IFERROR(__xludf.DUMMYFUNCTION("""COMPUTED_VALUE"""),"Scala")</f>
        <v>Scala</v>
      </c>
      <c r="F1847" s="9" t="str">
        <f>IFERROR(__xludf.DUMMYFUNCTION("""COMPUTED_VALUE"""),"JavaScript")</f>
        <v>JavaScript</v>
      </c>
      <c r="G1847" s="9" t="str">
        <f>IFERROR(__xludf.DUMMYFUNCTION("""COMPUTED_VALUE"""),"JavaScript")</f>
        <v>JavaScript</v>
      </c>
      <c r="H1847" s="9" t="str">
        <f>IFERROR(__xludf.DUMMYFUNCTION("""COMPUTED_VALUE"""),"SQL")</f>
        <v>SQL</v>
      </c>
      <c r="I1847" s="9" t="str">
        <f>IFERROR(__xludf.DUMMYFUNCTION("""COMPUTED_VALUE"""),"Kotlin")</f>
        <v>Kotlin</v>
      </c>
      <c r="J1847" s="9" t="str">
        <f>IFERROR(__xludf.DUMMYFUNCTION("""COMPUTED_VALUE"""),"Python")</f>
        <v>Python</v>
      </c>
      <c r="K1847" s="9" t="str">
        <f>IFERROR(__xludf.DUMMYFUNCTION("""COMPUTED_VALUE"""),"Assembly")</f>
        <v>Assembly</v>
      </c>
      <c r="L1847" s="9" t="str">
        <f>IFERROR(__xludf.DUMMYFUNCTION("""COMPUTED_VALUE"""),"HTML/CSS")</f>
        <v>HTML/CSS</v>
      </c>
      <c r="M1847" s="9" t="s">
        <v>33</v>
      </c>
    </row>
    <row r="1848" ht="15.75" customHeight="1">
      <c r="A1848" s="7"/>
      <c r="B1848" s="7" t="str">
        <f>IFERROR(__xludf.DUMMYFUNCTION("""COMPUTED_VALUE"""),"Bash/Shell/PowerShell;C++")</f>
        <v>Bash/Shell/PowerShell;C++</v>
      </c>
      <c r="C1848" s="9" t="str">
        <f>IFERROR(__xludf.DUMMYFUNCTION("""COMPUTED_VALUE"""),"Bash/Shell/PowerShell")</f>
        <v>Bash/Shell/PowerShell</v>
      </c>
      <c r="D1848" s="9" t="str">
        <f>IFERROR(__xludf.DUMMYFUNCTION("""COMPUTED_VALUE"""),"Bash/Shell/PowerShell")</f>
        <v>Bash/Shell/PowerShell</v>
      </c>
      <c r="E1848" s="9" t="str">
        <f>IFERROR(__xludf.DUMMYFUNCTION("""COMPUTED_VALUE"""),"Bash/Shell/PowerShell")</f>
        <v>Bash/Shell/PowerShell</v>
      </c>
      <c r="F1848" s="9" t="str">
        <f>IFERROR(__xludf.DUMMYFUNCTION("""COMPUTED_VALUE"""),"SQL")</f>
        <v>SQL</v>
      </c>
      <c r="G1848" s="9" t="str">
        <f>IFERROR(__xludf.DUMMYFUNCTION("""COMPUTED_VALUE"""),"PHP")</f>
        <v>PHP</v>
      </c>
      <c r="H1848" s="9" t="str">
        <f>IFERROR(__xludf.DUMMYFUNCTION("""COMPUTED_VALUE"""),"C#")</f>
        <v>C#</v>
      </c>
      <c r="I1848" s="9" t="str">
        <f>IFERROR(__xludf.DUMMYFUNCTION("""COMPUTED_VALUE"""),"HTML/CSS")</f>
        <v>HTML/CSS</v>
      </c>
      <c r="J1848" s="9" t="str">
        <f>IFERROR(__xludf.DUMMYFUNCTION("""COMPUTED_VALUE"""),"SQL")</f>
        <v>SQL</v>
      </c>
      <c r="K1848" s="9" t="str">
        <f>IFERROR(__xludf.DUMMYFUNCTION("""COMPUTED_VALUE"""),"Bash/Shell/PowerShell")</f>
        <v>Bash/Shell/PowerShell</v>
      </c>
      <c r="L1848" s="9" t="str">
        <f>IFERROR(__xludf.DUMMYFUNCTION("""COMPUTED_VALUE"""),"JavaScript")</f>
        <v>JavaScript</v>
      </c>
      <c r="M1848" s="9" t="s">
        <v>30</v>
      </c>
    </row>
    <row r="1849" ht="15.75" customHeight="1">
      <c r="A1849" s="7"/>
      <c r="B1849" s="7" t="str">
        <f>IFERROR(__xludf.DUMMYFUNCTION("""COMPUTED_VALUE"""),"Java")</f>
        <v>Java</v>
      </c>
      <c r="C1849" s="9" t="str">
        <f>IFERROR(__xludf.DUMMYFUNCTION("""COMPUTED_VALUE"""),"HTML/CSS")</f>
        <v>HTML/CSS</v>
      </c>
      <c r="D1849" s="9" t="str">
        <f>IFERROR(__xludf.DUMMYFUNCTION("""COMPUTED_VALUE"""),"Dart")</f>
        <v>Dart</v>
      </c>
      <c r="E1849" s="9" t="str">
        <f>IFERROR(__xludf.DUMMYFUNCTION("""COMPUTED_VALUE"""),"JavaScript")</f>
        <v>JavaScript</v>
      </c>
      <c r="F1849" s="9" t="str">
        <f>IFERROR(__xludf.DUMMYFUNCTION("""COMPUTED_VALUE"""),"Bash/Shell/PowerShell")</f>
        <v>Bash/Shell/PowerShell</v>
      </c>
      <c r="G1849" s="9" t="str">
        <f>IFERROR(__xludf.DUMMYFUNCTION("""COMPUTED_VALUE"""),"TypeScript")</f>
        <v>TypeScript</v>
      </c>
      <c r="H1849" s="9" t="str">
        <f>IFERROR(__xludf.DUMMYFUNCTION("""COMPUTED_VALUE"""),"HTML/CSS")</f>
        <v>HTML/CSS</v>
      </c>
      <c r="I1849" s="9" t="str">
        <f>IFERROR(__xludf.DUMMYFUNCTION("""COMPUTED_VALUE"""),"Java")</f>
        <v>Java</v>
      </c>
      <c r="J1849" s="9" t="str">
        <f>IFERROR(__xludf.DUMMYFUNCTION("""COMPUTED_VALUE"""),"TypeScript")</f>
        <v>TypeScript</v>
      </c>
      <c r="K1849" s="9" t="str">
        <f>IFERROR(__xludf.DUMMYFUNCTION("""COMPUTED_VALUE"""),"C")</f>
        <v>C</v>
      </c>
      <c r="L1849" s="9" t="str">
        <f>IFERROR(__xludf.DUMMYFUNCTION("""COMPUTED_VALUE"""),"Python")</f>
        <v>Python</v>
      </c>
      <c r="M1849" s="9" t="s">
        <v>24</v>
      </c>
    </row>
    <row r="1850" ht="15.75" customHeight="1">
      <c r="A1850" s="7"/>
      <c r="B1850" s="7" t="str">
        <f>IFERROR(__xludf.DUMMYFUNCTION("""COMPUTED_VALUE"""),"C#")</f>
        <v>C#</v>
      </c>
      <c r="C1850" s="9" t="str">
        <f>IFERROR(__xludf.DUMMYFUNCTION("""COMPUTED_VALUE"""),"Java")</f>
        <v>Java</v>
      </c>
      <c r="D1850" s="9" t="str">
        <f>IFERROR(__xludf.DUMMYFUNCTION("""COMPUTED_VALUE"""),"Go")</f>
        <v>Go</v>
      </c>
      <c r="E1850" s="9" t="str">
        <f>IFERROR(__xludf.DUMMYFUNCTION("""COMPUTED_VALUE"""),"Python")</f>
        <v>Python</v>
      </c>
      <c r="F1850" s="9" t="str">
        <f>IFERROR(__xludf.DUMMYFUNCTION("""COMPUTED_VALUE"""),"C#")</f>
        <v>C#</v>
      </c>
      <c r="G1850" s="9" t="str">
        <f>IFERROR(__xludf.DUMMYFUNCTION("""COMPUTED_VALUE"""),"Bash/Shell/PowerShell")</f>
        <v>Bash/Shell/PowerShell</v>
      </c>
      <c r="H1850" s="9" t="str">
        <f>IFERROR(__xludf.DUMMYFUNCTION("""COMPUTED_VALUE"""),"JavaScript")</f>
        <v>JavaScript</v>
      </c>
      <c r="I1850" s="9" t="str">
        <f>IFERROR(__xludf.DUMMYFUNCTION("""COMPUTED_VALUE"""),"JavaScript")</f>
        <v>JavaScript</v>
      </c>
      <c r="J1850" s="9" t="str">
        <f>IFERROR(__xludf.DUMMYFUNCTION("""COMPUTED_VALUE"""),"HTML/CSS")</f>
        <v>HTML/CSS</v>
      </c>
      <c r="K1850" s="9" t="str">
        <f>IFERROR(__xludf.DUMMYFUNCTION("""COMPUTED_VALUE"""),"C++")</f>
        <v>C++</v>
      </c>
      <c r="L1850" s="9" t="str">
        <f>IFERROR(__xludf.DUMMYFUNCTION("""COMPUTED_VALUE"""),"C")</f>
        <v>C</v>
      </c>
      <c r="M1850" s="9" t="s">
        <v>20</v>
      </c>
    </row>
    <row r="1851" ht="15.75" customHeight="1">
      <c r="A1851" s="7"/>
      <c r="B1851" s="7" t="str">
        <f>IFERROR(__xludf.DUMMYFUNCTION("""COMPUTED_VALUE"""),"R")</f>
        <v>R</v>
      </c>
      <c r="C1851" s="9" t="str">
        <f>IFERROR(__xludf.DUMMYFUNCTION("""COMPUTED_VALUE"""),"JavaScript")</f>
        <v>JavaScript</v>
      </c>
      <c r="D1851" s="9" t="str">
        <f>IFERROR(__xludf.DUMMYFUNCTION("""COMPUTED_VALUE"""),"Java")</f>
        <v>Java</v>
      </c>
      <c r="E1851" s="9" t="str">
        <f>IFERROR(__xludf.DUMMYFUNCTION("""COMPUTED_VALUE"""),"Bash/Shell/PowerShell")</f>
        <v>Bash/Shell/PowerShell</v>
      </c>
      <c r="F1851" s="9" t="str">
        <f>IFERROR(__xludf.DUMMYFUNCTION("""COMPUTED_VALUE"""),"HTML/CSS")</f>
        <v>HTML/CSS</v>
      </c>
      <c r="G1851" s="9" t="str">
        <f>IFERROR(__xludf.DUMMYFUNCTION("""COMPUTED_VALUE"""),"C#")</f>
        <v>C#</v>
      </c>
      <c r="H1851" s="9" t="str">
        <f>IFERROR(__xludf.DUMMYFUNCTION("""COMPUTED_VALUE"""),"SQL")</f>
        <v>SQL</v>
      </c>
      <c r="I1851" s="9" t="str">
        <f>IFERROR(__xludf.DUMMYFUNCTION("""COMPUTED_VALUE"""),"SQL")</f>
        <v>SQL</v>
      </c>
      <c r="J1851" s="9" t="str">
        <f>IFERROR(__xludf.DUMMYFUNCTION("""COMPUTED_VALUE"""),"JavaScript")</f>
        <v>JavaScript</v>
      </c>
      <c r="K1851" s="9" t="str">
        <f>IFERROR(__xludf.DUMMYFUNCTION("""COMPUTED_VALUE"""),"C#")</f>
        <v>C#</v>
      </c>
      <c r="L1851" s="9" t="str">
        <f>IFERROR(__xludf.DUMMYFUNCTION("""COMPUTED_VALUE"""),"C++")</f>
        <v>C++</v>
      </c>
      <c r="M1851" s="9" t="s">
        <v>21</v>
      </c>
    </row>
    <row r="1852" ht="15.75" customHeight="1">
      <c r="A1852" s="7"/>
      <c r="B1852" s="7" t="str">
        <f>IFERROR(__xludf.DUMMYFUNCTION("""COMPUTED_VALUE"""),"C#;HTML/CSS;JavaScript;SQL")</f>
        <v>C#;HTML/CSS;JavaScript;SQL</v>
      </c>
      <c r="C1852" s="9" t="str">
        <f>IFERROR(__xludf.DUMMYFUNCTION("""COMPUTED_VALUE"""),"Python")</f>
        <v>Python</v>
      </c>
      <c r="D1852" s="9" t="str">
        <f>IFERROR(__xludf.DUMMYFUNCTION("""COMPUTED_VALUE"""),"Kotlin")</f>
        <v>Kotlin</v>
      </c>
      <c r="E1852" s="9" t="str">
        <f>IFERROR(__xludf.DUMMYFUNCTION("""COMPUTED_VALUE"""),"C#")</f>
        <v>C#</v>
      </c>
      <c r="F1852" s="9" t="str">
        <f>IFERROR(__xludf.DUMMYFUNCTION("""COMPUTED_VALUE"""),"JavaScript")</f>
        <v>JavaScript</v>
      </c>
      <c r="G1852" s="9" t="str">
        <f>IFERROR(__xludf.DUMMYFUNCTION("""COMPUTED_VALUE"""),"HTML/CSS")</f>
        <v>HTML/CSS</v>
      </c>
      <c r="H1852" s="9" t="str">
        <f>IFERROR(__xludf.DUMMYFUNCTION("""COMPUTED_VALUE"""),"Bash/Shell/PowerShell")</f>
        <v>Bash/Shell/PowerShell</v>
      </c>
      <c r="I1852" s="9" t="str">
        <f>IFERROR(__xludf.DUMMYFUNCTION("""COMPUTED_VALUE"""),"Bash/Shell/PowerShell")</f>
        <v>Bash/Shell/PowerShell</v>
      </c>
      <c r="J1852" s="9" t="str">
        <f>IFERROR(__xludf.DUMMYFUNCTION("""COMPUTED_VALUE"""),"Ruby")</f>
        <v>Ruby</v>
      </c>
      <c r="K1852" s="9" t="str">
        <f>IFERROR(__xludf.DUMMYFUNCTION("""COMPUTED_VALUE"""),"HTML/CSS")</f>
        <v>HTML/CSS</v>
      </c>
      <c r="L1852" s="9" t="str">
        <f>IFERROR(__xludf.DUMMYFUNCTION("""COMPUTED_VALUE"""),"C#")</f>
        <v>C#</v>
      </c>
      <c r="M1852" s="9" t="s">
        <v>22</v>
      </c>
    </row>
    <row r="1853" ht="15.75" customHeight="1">
      <c r="A1853" s="7"/>
      <c r="B1853" s="7" t="str">
        <f>IFERROR(__xludf.DUMMYFUNCTION("""COMPUTED_VALUE"""),"Bash/Shell/PowerShell;HTML/CSS;JavaScript;Python;Scala;SQL")</f>
        <v>Bash/Shell/PowerShell;HTML/CSS;JavaScript;Python;Scala;SQL</v>
      </c>
      <c r="C1853" s="9" t="str">
        <f>IFERROR(__xludf.DUMMYFUNCTION("""COMPUTED_VALUE"""),"SQL")</f>
        <v>SQL</v>
      </c>
      <c r="D1853" s="9" t="str">
        <f>IFERROR(__xludf.DUMMYFUNCTION("""COMPUTED_VALUE"""),"Python")</f>
        <v>Python</v>
      </c>
      <c r="E1853" s="9" t="str">
        <f>IFERROR(__xludf.DUMMYFUNCTION("""COMPUTED_VALUE"""),"HTML/CSS")</f>
        <v>HTML/CSS</v>
      </c>
      <c r="F1853" s="9" t="str">
        <f>IFERROR(__xludf.DUMMYFUNCTION("""COMPUTED_VALUE"""),"Python")</f>
        <v>Python</v>
      </c>
      <c r="G1853" s="9" t="str">
        <f>IFERROR(__xludf.DUMMYFUNCTION("""COMPUTED_VALUE"""),"JavaScript")</f>
        <v>JavaScript</v>
      </c>
      <c r="H1853" s="9" t="str">
        <f>IFERROR(__xludf.DUMMYFUNCTION("""COMPUTED_VALUE"""),"C")</f>
        <v>C</v>
      </c>
      <c r="I1853" s="9" t="str">
        <f>IFERROR(__xludf.DUMMYFUNCTION("""COMPUTED_VALUE"""),"Java")</f>
        <v>Java</v>
      </c>
      <c r="J1853" s="9" t="str">
        <f>IFERROR(__xludf.DUMMYFUNCTION("""COMPUTED_VALUE"""),"TypeScript")</f>
        <v>TypeScript</v>
      </c>
      <c r="K1853" s="9" t="str">
        <f>IFERROR(__xludf.DUMMYFUNCTION("""COMPUTED_VALUE"""),"Java")</f>
        <v>Java</v>
      </c>
      <c r="L1853" s="9" t="str">
        <f>IFERROR(__xludf.DUMMYFUNCTION("""COMPUTED_VALUE"""),"HTML/CSS")</f>
        <v>HTML/CSS</v>
      </c>
      <c r="M1853" s="9" t="s">
        <v>27</v>
      </c>
    </row>
    <row r="1854" ht="15.75" customHeight="1">
      <c r="A1854" s="7"/>
      <c r="B1854" s="7" t="str">
        <f>IFERROR(__xludf.DUMMYFUNCTION("""COMPUTED_VALUE"""),"R")</f>
        <v>R</v>
      </c>
      <c r="C1854" s="9" t="str">
        <f>IFERROR(__xludf.DUMMYFUNCTION("""COMPUTED_VALUE"""),"C++")</f>
        <v>C++</v>
      </c>
      <c r="D1854" s="9" t="str">
        <f>IFERROR(__xludf.DUMMYFUNCTION("""COMPUTED_VALUE"""),"Scala")</f>
        <v>Scala</v>
      </c>
      <c r="E1854" s="9" t="str">
        <f>IFERROR(__xludf.DUMMYFUNCTION("""COMPUTED_VALUE"""),"JavaScript")</f>
        <v>JavaScript</v>
      </c>
      <c r="F1854" s="9" t="str">
        <f>IFERROR(__xludf.DUMMYFUNCTION("""COMPUTED_VALUE"""),"Scala")</f>
        <v>Scala</v>
      </c>
      <c r="G1854" s="9" t="str">
        <f>IFERROR(__xludf.DUMMYFUNCTION("""COMPUTED_VALUE"""),"SQL")</f>
        <v>SQL</v>
      </c>
      <c r="H1854" s="9" t="str">
        <f>IFERROR(__xludf.DUMMYFUNCTION("""COMPUTED_VALUE"""),"HTML/CSS")</f>
        <v>HTML/CSS</v>
      </c>
      <c r="I1854" s="9" t="str">
        <f>IFERROR(__xludf.DUMMYFUNCTION("""COMPUTED_VALUE"""),"JavaScript")</f>
        <v>JavaScript</v>
      </c>
      <c r="J1854" s="9" t="str">
        <f>IFERROR(__xludf.DUMMYFUNCTION("""COMPUTED_VALUE"""),"Bash/Shell/PowerShell")</f>
        <v>Bash/Shell/PowerShell</v>
      </c>
      <c r="K1854" s="9" t="str">
        <f>IFERROR(__xludf.DUMMYFUNCTION("""COMPUTED_VALUE"""),"JavaScript")</f>
        <v>JavaScript</v>
      </c>
      <c r="L1854" s="9" t="str">
        <f>IFERROR(__xludf.DUMMYFUNCTION("""COMPUTED_VALUE"""),"Java")</f>
        <v>Java</v>
      </c>
      <c r="M1854" s="9" t="s">
        <v>23</v>
      </c>
    </row>
    <row r="1855" ht="15.75" customHeight="1">
      <c r="A1855" s="7"/>
      <c r="B1855" s="7" t="str">
        <f>IFERROR(__xludf.DUMMYFUNCTION("""COMPUTED_VALUE"""),"HTML/CSS;JavaScript;PHP;Ruby")</f>
        <v>HTML/CSS;JavaScript;PHP;Ruby</v>
      </c>
      <c r="C1855" s="9" t="str">
        <f>IFERROR(__xludf.DUMMYFUNCTION("""COMPUTED_VALUE"""),"Python")</f>
        <v>Python</v>
      </c>
      <c r="D1855" s="9" t="str">
        <f>IFERROR(__xludf.DUMMYFUNCTION("""COMPUTED_VALUE"""),"SQL")</f>
        <v>SQL</v>
      </c>
      <c r="E1855" s="9" t="str">
        <f>IFERROR(__xludf.DUMMYFUNCTION("""COMPUTED_VALUE"""),"SQL")</f>
        <v>SQL</v>
      </c>
      <c r="F1855" s="9" t="str">
        <f>IFERROR(__xludf.DUMMYFUNCTION("""COMPUTED_VALUE"""),"SQL")</f>
        <v>SQL</v>
      </c>
      <c r="G1855" s="9" t="str">
        <f>IFERROR(__xludf.DUMMYFUNCTION("""COMPUTED_VALUE"""),"TypeScript")</f>
        <v>TypeScript</v>
      </c>
      <c r="H1855" s="9" t="str">
        <f>IFERROR(__xludf.DUMMYFUNCTION("""COMPUTED_VALUE"""),"JavaScript")</f>
        <v>JavaScript</v>
      </c>
      <c r="I1855" s="9" t="str">
        <f>IFERROR(__xludf.DUMMYFUNCTION("""COMPUTED_VALUE"""),"SQL")</f>
        <v>SQL</v>
      </c>
      <c r="J1855" s="9" t="str">
        <f>IFERROR(__xludf.DUMMYFUNCTION("""COMPUTED_VALUE"""),"C")</f>
        <v>C</v>
      </c>
      <c r="K1855" s="9" t="str">
        <f>IFERROR(__xludf.DUMMYFUNCTION("""COMPUTED_VALUE"""),"Python")</f>
        <v>Python</v>
      </c>
      <c r="L1855" s="9" t="str">
        <f>IFERROR(__xludf.DUMMYFUNCTION("""COMPUTED_VALUE"""),"JavaScript")</f>
        <v>JavaScript</v>
      </c>
      <c r="M1855" s="9" t="s">
        <v>22</v>
      </c>
    </row>
    <row r="1856" ht="15.75" customHeight="1">
      <c r="A1856" s="7"/>
      <c r="B1856" s="7" t="str">
        <f>IFERROR(__xludf.DUMMYFUNCTION("""COMPUTED_VALUE"""),"Clojure;HTML/CSS;JavaScript;PHP;Swift")</f>
        <v>Clojure;HTML/CSS;JavaScript;PHP;Swift</v>
      </c>
      <c r="C1856" s="9" t="str">
        <f>IFERROR(__xludf.DUMMYFUNCTION("""COMPUTED_VALUE"""),"HTML/CSS")</f>
        <v>HTML/CSS</v>
      </c>
      <c r="D1856" s="9" t="str">
        <f>IFERROR(__xludf.DUMMYFUNCTION("""COMPUTED_VALUE"""),"HTML/CSS")</f>
        <v>HTML/CSS</v>
      </c>
      <c r="E1856" s="9" t="str">
        <f>IFERROR(__xludf.DUMMYFUNCTION("""COMPUTED_VALUE"""),"JavaScript")</f>
        <v>JavaScript</v>
      </c>
      <c r="F1856" s="9" t="str">
        <f>IFERROR(__xludf.DUMMYFUNCTION("""COMPUTED_VALUE"""),"VBA")</f>
        <v>VBA</v>
      </c>
      <c r="G1856" s="9" t="str">
        <f>IFERROR(__xludf.DUMMYFUNCTION("""COMPUTED_VALUE"""),"Python")</f>
        <v>Python</v>
      </c>
      <c r="H1856" s="9" t="str">
        <f>IFERROR(__xludf.DUMMYFUNCTION("""COMPUTED_VALUE"""),"PHP")</f>
        <v>PHP</v>
      </c>
      <c r="I1856" s="9" t="str">
        <f>IFERROR(__xludf.DUMMYFUNCTION("""COMPUTED_VALUE"""),"Go")</f>
        <v>Go</v>
      </c>
      <c r="J1856" s="9" t="str">
        <f>IFERROR(__xludf.DUMMYFUNCTION("""COMPUTED_VALUE"""),"C++")</f>
        <v>C++</v>
      </c>
      <c r="K1856" s="9" t="str">
        <f>IFERROR(__xludf.DUMMYFUNCTION("""COMPUTED_VALUE"""),"SQL")</f>
        <v>SQL</v>
      </c>
      <c r="L1856" s="9" t="str">
        <f>IFERROR(__xludf.DUMMYFUNCTION("""COMPUTED_VALUE"""),"PHP")</f>
        <v>PHP</v>
      </c>
      <c r="M1856" s="9" t="s">
        <v>24</v>
      </c>
    </row>
    <row r="1857" ht="15.75" customHeight="1">
      <c r="A1857" s="7"/>
      <c r="B1857" s="7" t="str">
        <f>IFERROR(__xludf.DUMMYFUNCTION("""COMPUTED_VALUE"""),"HTML/CSS;Java;JavaScript;SQL")</f>
        <v>HTML/CSS;Java;JavaScript;SQL</v>
      </c>
      <c r="C1857" s="9" t="str">
        <f>IFERROR(__xludf.DUMMYFUNCTION("""COMPUTED_VALUE"""),"JavaScript")</f>
        <v>JavaScript</v>
      </c>
      <c r="D1857" s="9" t="str">
        <f>IFERROR(__xludf.DUMMYFUNCTION("""COMPUTED_VALUE"""),"JavaScript")</f>
        <v>JavaScript</v>
      </c>
      <c r="E1857" s="9" t="str">
        <f>IFERROR(__xludf.DUMMYFUNCTION("""COMPUTED_VALUE"""),"PHP")</f>
        <v>PHP</v>
      </c>
      <c r="F1857" s="9" t="str">
        <f>IFERROR(__xludf.DUMMYFUNCTION("""COMPUTED_VALUE"""),"Bash/Shell/PowerShell")</f>
        <v>Bash/Shell/PowerShell</v>
      </c>
      <c r="G1857" s="9" t="str">
        <f>IFERROR(__xludf.DUMMYFUNCTION("""COMPUTED_VALUE"""),"C#")</f>
        <v>C#</v>
      </c>
      <c r="H1857" s="9" t="str">
        <f>IFERROR(__xludf.DUMMYFUNCTION("""COMPUTED_VALUE"""),"TypeScript")</f>
        <v>TypeScript</v>
      </c>
      <c r="I1857" s="9" t="str">
        <f>IFERROR(__xludf.DUMMYFUNCTION("""COMPUTED_VALUE"""),"HTML/CSS")</f>
        <v>HTML/CSS</v>
      </c>
      <c r="J1857" s="9" t="str">
        <f>IFERROR(__xludf.DUMMYFUNCTION("""COMPUTED_VALUE"""),"HTML/CSS")</f>
        <v>HTML/CSS</v>
      </c>
      <c r="K1857" s="9" t="str">
        <f>IFERROR(__xludf.DUMMYFUNCTION("""COMPUTED_VALUE"""),"Bash/Shell/PowerShell")</f>
        <v>Bash/Shell/PowerShell</v>
      </c>
      <c r="L1857" s="9" t="str">
        <f>IFERROR(__xludf.DUMMYFUNCTION("""COMPUTED_VALUE"""),"Python")</f>
        <v>Python</v>
      </c>
      <c r="M1857" s="9" t="s">
        <v>21</v>
      </c>
    </row>
    <row r="1858" ht="15.75" customHeight="1">
      <c r="A1858" s="7"/>
      <c r="B1858" s="7" t="str">
        <f>IFERROR(__xludf.DUMMYFUNCTION("""COMPUTED_VALUE"""),"Python;Other(s):")</f>
        <v>Python;Other(s):</v>
      </c>
      <c r="C1858" s="9" t="str">
        <f>IFERROR(__xludf.DUMMYFUNCTION("""COMPUTED_VALUE"""),"PHP")</f>
        <v>PHP</v>
      </c>
      <c r="D1858" s="9" t="str">
        <f>IFERROR(__xludf.DUMMYFUNCTION("""COMPUTED_VALUE"""),"Python")</f>
        <v>Python</v>
      </c>
      <c r="E1858" s="9" t="str">
        <f>IFERROR(__xludf.DUMMYFUNCTION("""COMPUTED_VALUE"""),"SQL")</f>
        <v>SQL</v>
      </c>
      <c r="F1858" s="9" t="str">
        <f>IFERROR(__xludf.DUMMYFUNCTION("""COMPUTED_VALUE"""),"Go")</f>
        <v>Go</v>
      </c>
      <c r="G1858" s="9" t="str">
        <f>IFERROR(__xludf.DUMMYFUNCTION("""COMPUTED_VALUE"""),"HTML/CSS")</f>
        <v>HTML/CSS</v>
      </c>
      <c r="H1858" s="9" t="str">
        <f>IFERROR(__xludf.DUMMYFUNCTION("""COMPUTED_VALUE"""),"C#")</f>
        <v>C#</v>
      </c>
      <c r="I1858" s="9" t="str">
        <f>IFERROR(__xludf.DUMMYFUNCTION("""COMPUTED_VALUE"""),"Java")</f>
        <v>Java</v>
      </c>
      <c r="J1858" s="9" t="str">
        <f>IFERROR(__xludf.DUMMYFUNCTION("""COMPUTED_VALUE"""),"Java")</f>
        <v>Java</v>
      </c>
      <c r="K1858" s="9" t="str">
        <f>IFERROR(__xludf.DUMMYFUNCTION("""COMPUTED_VALUE"""),"C")</f>
        <v>C</v>
      </c>
      <c r="L1858" s="9" t="str">
        <f>IFERROR(__xludf.DUMMYFUNCTION("""COMPUTED_VALUE"""),"SQL")</f>
        <v>SQL</v>
      </c>
      <c r="M1858" s="9" t="s">
        <v>37</v>
      </c>
    </row>
    <row r="1859" ht="15.75" customHeight="1">
      <c r="A1859" s="7"/>
      <c r="B1859" s="7" t="str">
        <f>IFERROR(__xludf.DUMMYFUNCTION("""COMPUTED_VALUE"""),"Bash/Shell/PowerShell;Go;HTML/CSS;JavaScript;Kotlin;Python;Ruby;SQL")</f>
        <v>Bash/Shell/PowerShell;Go;HTML/CSS;JavaScript;Kotlin;Python;Ruby;SQL</v>
      </c>
      <c r="C1859" s="9" t="str">
        <f>IFERROR(__xludf.DUMMYFUNCTION("""COMPUTED_VALUE"""),"SQL")</f>
        <v>SQL</v>
      </c>
      <c r="D1859" s="9" t="str">
        <f>IFERROR(__xludf.DUMMYFUNCTION("""COMPUTED_VALUE"""),"Other(s):")</f>
        <v>Other(s):</v>
      </c>
      <c r="E1859" s="9" t="str">
        <f>IFERROR(__xludf.DUMMYFUNCTION("""COMPUTED_VALUE"""),"TypeScript")</f>
        <v>TypeScript</v>
      </c>
      <c r="F1859" s="9" t="str">
        <f>IFERROR(__xludf.DUMMYFUNCTION("""COMPUTED_VALUE"""),"HTML/CSS")</f>
        <v>HTML/CSS</v>
      </c>
      <c r="G1859" s="9" t="str">
        <f>IFERROR(__xludf.DUMMYFUNCTION("""COMPUTED_VALUE"""),"JavaScript")</f>
        <v>JavaScript</v>
      </c>
      <c r="H1859" s="9" t="str">
        <f>IFERROR(__xludf.DUMMYFUNCTION("""COMPUTED_VALUE"""),"HTML/CSS")</f>
        <v>HTML/CSS</v>
      </c>
      <c r="I1859" s="9" t="str">
        <f>IFERROR(__xludf.DUMMYFUNCTION("""COMPUTED_VALUE"""),"JavaScript")</f>
        <v>JavaScript</v>
      </c>
      <c r="J1859" s="9" t="str">
        <f>IFERROR(__xludf.DUMMYFUNCTION("""COMPUTED_VALUE"""),"JavaScript")</f>
        <v>JavaScript</v>
      </c>
      <c r="K1859" s="9" t="str">
        <f>IFERROR(__xludf.DUMMYFUNCTION("""COMPUTED_VALUE"""),"Go")</f>
        <v>Go</v>
      </c>
      <c r="L1859" s="9" t="str">
        <f>IFERROR(__xludf.DUMMYFUNCTION("""COMPUTED_VALUE"""),"TypeScript")</f>
        <v>TypeScript</v>
      </c>
      <c r="M1859" s="9" t="s">
        <v>27</v>
      </c>
    </row>
    <row r="1860" ht="15.75" customHeight="1">
      <c r="A1860" s="7"/>
      <c r="B1860" s="7" t="str">
        <f>IFERROR(__xludf.DUMMYFUNCTION("""COMPUTED_VALUE"""),"Java;JavaScript;SQL")</f>
        <v>Java;JavaScript;SQL</v>
      </c>
      <c r="C1860" s="9" t="str">
        <f>IFERROR(__xludf.DUMMYFUNCTION("""COMPUTED_VALUE"""),"C#")</f>
        <v>C#</v>
      </c>
      <c r="D1860" s="9" t="str">
        <f>IFERROR(__xludf.DUMMYFUNCTION("""COMPUTED_VALUE"""),"C")</f>
        <v>C</v>
      </c>
      <c r="E1860" s="9" t="str">
        <f>IFERROR(__xludf.DUMMYFUNCTION("""COMPUTED_VALUE"""),"Clojure")</f>
        <v>Clojure</v>
      </c>
      <c r="F1860" s="9" t="str">
        <f>IFERROR(__xludf.DUMMYFUNCTION("""COMPUTED_VALUE"""),"JavaScript")</f>
        <v>JavaScript</v>
      </c>
      <c r="G1860" s="9" t="str">
        <f>IFERROR(__xludf.DUMMYFUNCTION("""COMPUTED_VALUE"""),"Python")</f>
        <v>Python</v>
      </c>
      <c r="H1860" s="9" t="str">
        <f>IFERROR(__xludf.DUMMYFUNCTION("""COMPUTED_VALUE"""),"JavaScript")</f>
        <v>JavaScript</v>
      </c>
      <c r="I1860" s="9" t="str">
        <f>IFERROR(__xludf.DUMMYFUNCTION("""COMPUTED_VALUE"""),"PHP")</f>
        <v>PHP</v>
      </c>
      <c r="J1860" s="9" t="str">
        <f>IFERROR(__xludf.DUMMYFUNCTION("""COMPUTED_VALUE"""),"Objective-C")</f>
        <v>Objective-C</v>
      </c>
      <c r="K1860" s="9" t="str">
        <f>IFERROR(__xludf.DUMMYFUNCTION("""COMPUTED_VALUE"""),"Java")</f>
        <v>Java</v>
      </c>
      <c r="L1860" s="9" t="str">
        <f>IFERROR(__xludf.DUMMYFUNCTION("""COMPUTED_VALUE"""),"VBA")</f>
        <v>VBA</v>
      </c>
      <c r="M1860" s="9" t="s">
        <v>26</v>
      </c>
    </row>
    <row r="1861" ht="15.75" customHeight="1">
      <c r="A1861" s="7"/>
      <c r="B1861" s="7" t="str">
        <f>IFERROR(__xludf.DUMMYFUNCTION("""COMPUTED_VALUE"""),"Bash/Shell/PowerShell;C++;HTML/CSS;JavaScript;Python;SQL")</f>
        <v>Bash/Shell/PowerShell;C++;HTML/CSS;JavaScript;Python;SQL</v>
      </c>
      <c r="C1861" s="9" t="str">
        <f>IFERROR(__xludf.DUMMYFUNCTION("""COMPUTED_VALUE"""),"HTML/CSS")</f>
        <v>HTML/CSS</v>
      </c>
      <c r="D1861" s="9" t="str">
        <f>IFERROR(__xludf.DUMMYFUNCTION("""COMPUTED_VALUE"""),"C++")</f>
        <v>C++</v>
      </c>
      <c r="E1861" s="9" t="str">
        <f>IFERROR(__xludf.DUMMYFUNCTION("""COMPUTED_VALUE"""),"Java")</f>
        <v>Java</v>
      </c>
      <c r="F1861" s="9" t="str">
        <f>IFERROR(__xludf.DUMMYFUNCTION("""COMPUTED_VALUE"""),"PHP")</f>
        <v>PHP</v>
      </c>
      <c r="G1861" s="9" t="str">
        <f>IFERROR(__xludf.DUMMYFUNCTION("""COMPUTED_VALUE"""),"SQL")</f>
        <v>SQL</v>
      </c>
      <c r="H1861" s="9" t="str">
        <f>IFERROR(__xludf.DUMMYFUNCTION("""COMPUTED_VALUE"""),"PHP")</f>
        <v>PHP</v>
      </c>
      <c r="I1861" s="9" t="str">
        <f>IFERROR(__xludf.DUMMYFUNCTION("""COMPUTED_VALUE"""),"C#")</f>
        <v>C#</v>
      </c>
      <c r="J1861" s="9" t="str">
        <f>IFERROR(__xludf.DUMMYFUNCTION("""COMPUTED_VALUE"""),"PHP")</f>
        <v>PHP</v>
      </c>
      <c r="K1861" s="9" t="str">
        <f>IFERROR(__xludf.DUMMYFUNCTION("""COMPUTED_VALUE"""),"JavaScript")</f>
        <v>JavaScript</v>
      </c>
      <c r="L1861" s="9" t="str">
        <f>IFERROR(__xludf.DUMMYFUNCTION("""COMPUTED_VALUE"""),"C#")</f>
        <v>C#</v>
      </c>
      <c r="M1861" s="9" t="s">
        <v>24</v>
      </c>
    </row>
    <row r="1862" ht="15.75" customHeight="1">
      <c r="A1862" s="7"/>
      <c r="B1862" s="7" t="str">
        <f>IFERROR(__xludf.DUMMYFUNCTION("""COMPUTED_VALUE"""),"C#")</f>
        <v>C#</v>
      </c>
      <c r="C1862" s="9" t="str">
        <f>IFERROR(__xludf.DUMMYFUNCTION("""COMPUTED_VALUE"""),"JavaScript")</f>
        <v>JavaScript</v>
      </c>
      <c r="D1862" s="9" t="str">
        <f>IFERROR(__xludf.DUMMYFUNCTION("""COMPUTED_VALUE"""),"HTML/CSS")</f>
        <v>HTML/CSS</v>
      </c>
      <c r="E1862" s="9" t="str">
        <f>IFERROR(__xludf.DUMMYFUNCTION("""COMPUTED_VALUE"""),"Python")</f>
        <v>Python</v>
      </c>
      <c r="F1862" s="9" t="str">
        <f>IFERROR(__xludf.DUMMYFUNCTION("""COMPUTED_VALUE"""),"Python")</f>
        <v>Python</v>
      </c>
      <c r="G1862" s="9" t="str">
        <f>IFERROR(__xludf.DUMMYFUNCTION("""COMPUTED_VALUE"""),"Bash/Shell/PowerShell")</f>
        <v>Bash/Shell/PowerShell</v>
      </c>
      <c r="H1862" s="9" t="str">
        <f>IFERROR(__xludf.DUMMYFUNCTION("""COMPUTED_VALUE"""),"SQL")</f>
        <v>SQL</v>
      </c>
      <c r="I1862" s="9" t="str">
        <f>IFERROR(__xludf.DUMMYFUNCTION("""COMPUTED_VALUE"""),"HTML/CSS")</f>
        <v>HTML/CSS</v>
      </c>
      <c r="J1862" s="9" t="str">
        <f>IFERROR(__xludf.DUMMYFUNCTION("""COMPUTED_VALUE"""),"Python")</f>
        <v>Python</v>
      </c>
      <c r="K1862" s="9" t="str">
        <f>IFERROR(__xludf.DUMMYFUNCTION("""COMPUTED_VALUE"""),"Python")</f>
        <v>Python</v>
      </c>
      <c r="L1862" s="9" t="str">
        <f>IFERROR(__xludf.DUMMYFUNCTION("""COMPUTED_VALUE"""),"F#")</f>
        <v>F#</v>
      </c>
      <c r="M1862" s="9" t="s">
        <v>21</v>
      </c>
    </row>
    <row r="1863" ht="15.75" customHeight="1">
      <c r="A1863" s="7"/>
      <c r="B1863" s="7" t="str">
        <f>IFERROR(__xludf.DUMMYFUNCTION("""COMPUTED_VALUE"""),"HTML/CSS;Java;JavaScript;PHP;SQL;Other(s):")</f>
        <v>HTML/CSS;Java;JavaScript;PHP;SQL;Other(s):</v>
      </c>
      <c r="C1863" s="9" t="str">
        <f>IFERROR(__xludf.DUMMYFUNCTION("""COMPUTED_VALUE"""),"SQL")</f>
        <v>SQL</v>
      </c>
      <c r="D1863" s="9" t="str">
        <f>IFERROR(__xludf.DUMMYFUNCTION("""COMPUTED_VALUE"""),"Java")</f>
        <v>Java</v>
      </c>
      <c r="E1863" s="9" t="str">
        <f>IFERROR(__xludf.DUMMYFUNCTION("""COMPUTED_VALUE"""),"SQL")</f>
        <v>SQL</v>
      </c>
      <c r="F1863" s="9" t="str">
        <f>IFERROR(__xludf.DUMMYFUNCTION("""COMPUTED_VALUE"""),"SQL")</f>
        <v>SQL</v>
      </c>
      <c r="G1863" s="9" t="str">
        <f>IFERROR(__xludf.DUMMYFUNCTION("""COMPUTED_VALUE"""),"C#")</f>
        <v>C#</v>
      </c>
      <c r="H1863" s="9" t="str">
        <f>IFERROR(__xludf.DUMMYFUNCTION("""COMPUTED_VALUE"""),"TypeScript")</f>
        <v>TypeScript</v>
      </c>
      <c r="I1863" s="9" t="str">
        <f>IFERROR(__xludf.DUMMYFUNCTION("""COMPUTED_VALUE"""),"Java")</f>
        <v>Java</v>
      </c>
      <c r="J1863" s="9" t="str">
        <f>IFERROR(__xludf.DUMMYFUNCTION("""COMPUTED_VALUE"""),"SQL")</f>
        <v>SQL</v>
      </c>
      <c r="K1863" s="9" t="str">
        <f>IFERROR(__xludf.DUMMYFUNCTION("""COMPUTED_VALUE"""),"Other(s):")</f>
        <v>Other(s):</v>
      </c>
      <c r="L1863" s="9" t="str">
        <f>IFERROR(__xludf.DUMMYFUNCTION("""COMPUTED_VALUE"""),"HTML/CSS")</f>
        <v>HTML/CSS</v>
      </c>
      <c r="M1863" s="9" t="s">
        <v>27</v>
      </c>
    </row>
    <row r="1864" ht="15.75" customHeight="1">
      <c r="A1864" s="7"/>
      <c r="B1864" s="7" t="str">
        <f>IFERROR(__xludf.DUMMYFUNCTION("""COMPUTED_VALUE"""),"C#;HTML/CSS;JavaScript;SQL")</f>
        <v>C#;HTML/CSS;JavaScript;SQL</v>
      </c>
      <c r="C1864" s="9" t="str">
        <f>IFERROR(__xludf.DUMMYFUNCTION("""COMPUTED_VALUE"""),"TypeScript")</f>
        <v>TypeScript</v>
      </c>
      <c r="D1864" s="9" t="str">
        <f>IFERROR(__xludf.DUMMYFUNCTION("""COMPUTED_VALUE"""),"JavaScript")</f>
        <v>JavaScript</v>
      </c>
      <c r="E1864" s="9" t="str">
        <f>IFERROR(__xludf.DUMMYFUNCTION("""COMPUTED_VALUE"""),"Bash/Shell/PowerShell")</f>
        <v>Bash/Shell/PowerShell</v>
      </c>
      <c r="F1864" s="9" t="str">
        <f>IFERROR(__xludf.DUMMYFUNCTION("""COMPUTED_VALUE"""),"TypeScript")</f>
        <v>TypeScript</v>
      </c>
      <c r="G1864" s="9" t="str">
        <f>IFERROR(__xludf.DUMMYFUNCTION("""COMPUTED_VALUE"""),"HTML/CSS")</f>
        <v>HTML/CSS</v>
      </c>
      <c r="H1864" s="9" t="str">
        <f>IFERROR(__xludf.DUMMYFUNCTION("""COMPUTED_VALUE"""),"HTML/CSS")</f>
        <v>HTML/CSS</v>
      </c>
      <c r="I1864" s="9" t="str">
        <f>IFERROR(__xludf.DUMMYFUNCTION("""COMPUTED_VALUE"""),"JavaScript")</f>
        <v>JavaScript</v>
      </c>
      <c r="J1864" s="9" t="str">
        <f>IFERROR(__xludf.DUMMYFUNCTION("""COMPUTED_VALUE"""),"Swift")</f>
        <v>Swift</v>
      </c>
      <c r="K1864" s="9" t="str">
        <f>IFERROR(__xludf.DUMMYFUNCTION("""COMPUTED_VALUE"""),"Java")</f>
        <v>Java</v>
      </c>
      <c r="L1864" s="9" t="str">
        <f>IFERROR(__xludf.DUMMYFUNCTION("""COMPUTED_VALUE"""),"JavaScript")</f>
        <v>JavaScript</v>
      </c>
      <c r="M1864" s="9" t="s">
        <v>33</v>
      </c>
    </row>
    <row r="1865" ht="15.75" customHeight="1">
      <c r="A1865" s="7"/>
      <c r="B1865" s="7" t="str">
        <f>IFERROR(__xludf.DUMMYFUNCTION("""COMPUTED_VALUE"""),"Bash/Shell/PowerShell;Python")</f>
        <v>Bash/Shell/PowerShell;Python</v>
      </c>
      <c r="C1865" s="9" t="str">
        <f>IFERROR(__xludf.DUMMYFUNCTION("""COMPUTED_VALUE"""),"Bash/Shell/PowerShell")</f>
        <v>Bash/Shell/PowerShell</v>
      </c>
      <c r="D1865" s="9" t="str">
        <f>IFERROR(__xludf.DUMMYFUNCTION("""COMPUTED_VALUE"""),"SQL")</f>
        <v>SQL</v>
      </c>
      <c r="E1865" s="9" t="str">
        <f>IFERROR(__xludf.DUMMYFUNCTION("""COMPUTED_VALUE"""),"Java")</f>
        <v>Java</v>
      </c>
      <c r="F1865" s="9" t="str">
        <f>IFERROR(__xludf.DUMMYFUNCTION("""COMPUTED_VALUE"""),"Elixir")</f>
        <v>Elixir</v>
      </c>
      <c r="G1865" s="9" t="str">
        <f>IFERROR(__xludf.DUMMYFUNCTION("""COMPUTED_VALUE"""),"JavaScript")</f>
        <v>JavaScript</v>
      </c>
      <c r="H1865" s="9" t="str">
        <f>IFERROR(__xludf.DUMMYFUNCTION("""COMPUTED_VALUE"""),"JavaScript")</f>
        <v>JavaScript</v>
      </c>
      <c r="I1865" s="9" t="str">
        <f>IFERROR(__xludf.DUMMYFUNCTION("""COMPUTED_VALUE"""),"C#")</f>
        <v>C#</v>
      </c>
      <c r="J1865" s="9" t="str">
        <f>IFERROR(__xludf.DUMMYFUNCTION("""COMPUTED_VALUE"""),"Other(s):")</f>
        <v>Other(s):</v>
      </c>
      <c r="K1865" s="9" t="str">
        <f>IFERROR(__xludf.DUMMYFUNCTION("""COMPUTED_VALUE"""),"JavaScript")</f>
        <v>JavaScript</v>
      </c>
      <c r="L1865" s="9" t="str">
        <f>IFERROR(__xludf.DUMMYFUNCTION("""COMPUTED_VALUE"""),"SQL")</f>
        <v>SQL</v>
      </c>
      <c r="M1865" s="9" t="s">
        <v>30</v>
      </c>
    </row>
    <row r="1866" ht="15.75" customHeight="1">
      <c r="A1866" s="7"/>
      <c r="B1866" s="7" t="str">
        <f>IFERROR(__xludf.DUMMYFUNCTION("""COMPUTED_VALUE"""),"HTML/CSS;Java;JavaScript;TypeScript")</f>
        <v>HTML/CSS;Java;JavaScript;TypeScript</v>
      </c>
      <c r="C1866" s="9" t="str">
        <f>IFERROR(__xludf.DUMMYFUNCTION("""COMPUTED_VALUE"""),"C")</f>
        <v>C</v>
      </c>
      <c r="D1866" s="9" t="str">
        <f>IFERROR(__xludf.DUMMYFUNCTION("""COMPUTED_VALUE"""),"TypeScript")</f>
        <v>TypeScript</v>
      </c>
      <c r="E1866" s="9" t="str">
        <f>IFERROR(__xludf.DUMMYFUNCTION("""COMPUTED_VALUE"""),"Bash/Shell/PowerShell")</f>
        <v>Bash/Shell/PowerShell</v>
      </c>
      <c r="F1866" s="9" t="str">
        <f>IFERROR(__xludf.DUMMYFUNCTION("""COMPUTED_VALUE"""),"Ruby")</f>
        <v>Ruby</v>
      </c>
      <c r="G1866" s="9" t="str">
        <f>IFERROR(__xludf.DUMMYFUNCTION("""COMPUTED_VALUE"""),"Python")</f>
        <v>Python</v>
      </c>
      <c r="H1866" s="9" t="str">
        <f>IFERROR(__xludf.DUMMYFUNCTION("""COMPUTED_VALUE"""),"PHP")</f>
        <v>PHP</v>
      </c>
      <c r="I1866" s="9" t="str">
        <f>IFERROR(__xludf.DUMMYFUNCTION("""COMPUTED_VALUE"""),"HTML/CSS")</f>
        <v>HTML/CSS</v>
      </c>
      <c r="J1866" s="9" t="str">
        <f>IFERROR(__xludf.DUMMYFUNCTION("""COMPUTED_VALUE"""),"Java")</f>
        <v>Java</v>
      </c>
      <c r="K1866" s="9" t="str">
        <f>IFERROR(__xludf.DUMMYFUNCTION("""COMPUTED_VALUE"""),"Bash/Shell/PowerShell")</f>
        <v>Bash/Shell/PowerShell</v>
      </c>
      <c r="L1866" s="9" t="str">
        <f>IFERROR(__xludf.DUMMYFUNCTION("""COMPUTED_VALUE"""),"Assembly")</f>
        <v>Assembly</v>
      </c>
      <c r="M1866" s="9" t="s">
        <v>25</v>
      </c>
    </row>
    <row r="1867" ht="15.75" customHeight="1">
      <c r="A1867" s="7"/>
      <c r="B1867" s="7" t="str">
        <f>IFERROR(__xludf.DUMMYFUNCTION("""COMPUTED_VALUE"""),"C;Java")</f>
        <v>C;Java</v>
      </c>
      <c r="C1867" s="9" t="str">
        <f>IFERROR(__xludf.DUMMYFUNCTION("""COMPUTED_VALUE"""),"C#")</f>
        <v>C#</v>
      </c>
      <c r="D1867" s="9" t="str">
        <f>IFERROR(__xludf.DUMMYFUNCTION("""COMPUTED_VALUE"""),"Bash/Shell/PowerShell")</f>
        <v>Bash/Shell/PowerShell</v>
      </c>
      <c r="E1867" s="9" t="str">
        <f>IFERROR(__xludf.DUMMYFUNCTION("""COMPUTED_VALUE"""),"C#")</f>
        <v>C#</v>
      </c>
      <c r="F1867" s="9" t="str">
        <f>IFERROR(__xludf.DUMMYFUNCTION("""COMPUTED_VALUE"""),"Assembly")</f>
        <v>Assembly</v>
      </c>
      <c r="G1867" s="9" t="str">
        <f>IFERROR(__xludf.DUMMYFUNCTION("""COMPUTED_VALUE"""),"SQL")</f>
        <v>SQL</v>
      </c>
      <c r="H1867" s="9" t="str">
        <f>IFERROR(__xludf.DUMMYFUNCTION("""COMPUTED_VALUE"""),"Python")</f>
        <v>Python</v>
      </c>
      <c r="I1867" s="9" t="str">
        <f>IFERROR(__xludf.DUMMYFUNCTION("""COMPUTED_VALUE"""),"R")</f>
        <v>R</v>
      </c>
      <c r="J1867" s="9" t="str">
        <f>IFERROR(__xludf.DUMMYFUNCTION("""COMPUTED_VALUE"""),"Assembly")</f>
        <v>Assembly</v>
      </c>
      <c r="K1867" s="9" t="str">
        <f>IFERROR(__xludf.DUMMYFUNCTION("""COMPUTED_VALUE"""),"C")</f>
        <v>C</v>
      </c>
      <c r="L1867" s="9" t="str">
        <f>IFERROR(__xludf.DUMMYFUNCTION("""COMPUTED_VALUE"""),"Bash/Shell/PowerShell")</f>
        <v>Bash/Shell/PowerShell</v>
      </c>
      <c r="M1867" s="9" t="s">
        <v>26</v>
      </c>
    </row>
    <row r="1868" ht="15.75" customHeight="1">
      <c r="A1868" s="7"/>
      <c r="B1868" s="7" t="str">
        <f>IFERROR(__xludf.DUMMYFUNCTION("""COMPUTED_VALUE"""),"HTML/CSS;Java;JavaScript;Kotlin;Scala")</f>
        <v>HTML/CSS;Java;JavaScript;Kotlin;Scala</v>
      </c>
      <c r="C1868" s="9" t="str">
        <f>IFERROR(__xludf.DUMMYFUNCTION("""COMPUTED_VALUE"""),"Java")</f>
        <v>Java</v>
      </c>
      <c r="D1868" s="9" t="str">
        <f>IFERROR(__xludf.DUMMYFUNCTION("""COMPUTED_VALUE"""),"Dart")</f>
        <v>Dart</v>
      </c>
      <c r="E1868" s="9" t="str">
        <f>IFERROR(__xludf.DUMMYFUNCTION("""COMPUTED_VALUE"""),"HTML/CSS")</f>
        <v>HTML/CSS</v>
      </c>
      <c r="F1868" s="9" t="str">
        <f>IFERROR(__xludf.DUMMYFUNCTION("""COMPUTED_VALUE"""),"Bash/Shell/PowerShell")</f>
        <v>Bash/Shell/PowerShell</v>
      </c>
      <c r="G1868" s="9" t="str">
        <f>IFERROR(__xludf.DUMMYFUNCTION("""COMPUTED_VALUE"""),"HTML/CSS")</f>
        <v>HTML/CSS</v>
      </c>
      <c r="H1868" s="9" t="str">
        <f>IFERROR(__xludf.DUMMYFUNCTION("""COMPUTED_VALUE"""),"SQL")</f>
        <v>SQL</v>
      </c>
      <c r="I1868" s="9" t="str">
        <f>IFERROR(__xludf.DUMMYFUNCTION("""COMPUTED_VALUE"""),"C#")</f>
        <v>C#</v>
      </c>
      <c r="J1868" s="9" t="str">
        <f>IFERROR(__xludf.DUMMYFUNCTION("""COMPUTED_VALUE"""),"Bash/Shell/PowerShell")</f>
        <v>Bash/Shell/PowerShell</v>
      </c>
      <c r="K1868" s="9" t="str">
        <f>IFERROR(__xludf.DUMMYFUNCTION("""COMPUTED_VALUE"""),"Go")</f>
        <v>Go</v>
      </c>
      <c r="L1868" s="9" t="str">
        <f>IFERROR(__xludf.DUMMYFUNCTION("""COMPUTED_VALUE"""),"C")</f>
        <v>C</v>
      </c>
      <c r="M1868" s="9" t="s">
        <v>20</v>
      </c>
    </row>
    <row r="1869" ht="15.75" customHeight="1">
      <c r="A1869" s="7"/>
      <c r="B1869" s="7" t="str">
        <f>IFERROR(__xludf.DUMMYFUNCTION("""COMPUTED_VALUE"""),"Bash/Shell/PowerShell;C;Go;HTML/CSS;Java;JavaScript;PHP;Python;SQL;TypeScript")</f>
        <v>Bash/Shell/PowerShell;C;Go;HTML/CSS;Java;JavaScript;PHP;Python;SQL;TypeScript</v>
      </c>
      <c r="C1869" s="9" t="str">
        <f>IFERROR(__xludf.DUMMYFUNCTION("""COMPUTED_VALUE"""),"Python")</f>
        <v>Python</v>
      </c>
      <c r="D1869" s="9" t="str">
        <f>IFERROR(__xludf.DUMMYFUNCTION("""COMPUTED_VALUE"""),"HTML/CSS")</f>
        <v>HTML/CSS</v>
      </c>
      <c r="E1869" s="9" t="str">
        <f>IFERROR(__xludf.DUMMYFUNCTION("""COMPUTED_VALUE"""),"JavaScript")</f>
        <v>JavaScript</v>
      </c>
      <c r="F1869" s="9" t="str">
        <f>IFERROR(__xludf.DUMMYFUNCTION("""COMPUTED_VALUE"""),"C")</f>
        <v>C</v>
      </c>
      <c r="G1869" s="9" t="str">
        <f>IFERROR(__xludf.DUMMYFUNCTION("""COMPUTED_VALUE"""),"Java")</f>
        <v>Java</v>
      </c>
      <c r="H1869" s="9" t="str">
        <f>IFERROR(__xludf.DUMMYFUNCTION("""COMPUTED_VALUE"""),"Bash/Shell/PowerShell")</f>
        <v>Bash/Shell/PowerShell</v>
      </c>
      <c r="I1869" s="9" t="str">
        <f>IFERROR(__xludf.DUMMYFUNCTION("""COMPUTED_VALUE"""),"Java")</f>
        <v>Java</v>
      </c>
      <c r="J1869" s="9" t="str">
        <f>IFERROR(__xludf.DUMMYFUNCTION("""COMPUTED_VALUE"""),"C")</f>
        <v>C</v>
      </c>
      <c r="K1869" s="9" t="str">
        <f>IFERROR(__xludf.DUMMYFUNCTION("""COMPUTED_VALUE"""),"JavaScript")</f>
        <v>JavaScript</v>
      </c>
      <c r="L1869" s="9" t="str">
        <f>IFERROR(__xludf.DUMMYFUNCTION("""COMPUTED_VALUE"""),"C#")</f>
        <v>C#</v>
      </c>
      <c r="M1869" s="9" t="s">
        <v>22</v>
      </c>
    </row>
    <row r="1870" ht="15.75" customHeight="1">
      <c r="A1870" s="7"/>
      <c r="B1870" s="7" t="str">
        <f>IFERROR(__xludf.DUMMYFUNCTION("""COMPUTED_VALUE"""),"Bash/Shell/PowerShell;Dart;HTML/CSS;Java;JavaScript;Kotlin;Objective-C;PHP;Python;SQL;Swift")</f>
        <v>Bash/Shell/PowerShell;Dart;HTML/CSS;Java;JavaScript;Kotlin;Objective-C;PHP;Python;SQL;Swift</v>
      </c>
      <c r="C1870" s="9" t="str">
        <f>IFERROR(__xludf.DUMMYFUNCTION("""COMPUTED_VALUE"""),"Bash/Shell/PowerShell")</f>
        <v>Bash/Shell/PowerShell</v>
      </c>
      <c r="D1870" s="9" t="str">
        <f>IFERROR(__xludf.DUMMYFUNCTION("""COMPUTED_VALUE"""),"JavaScript")</f>
        <v>JavaScript</v>
      </c>
      <c r="E1870" s="9" t="str">
        <f>IFERROR(__xludf.DUMMYFUNCTION("""COMPUTED_VALUE"""),"Python")</f>
        <v>Python</v>
      </c>
      <c r="F1870" s="9" t="str">
        <f>IFERROR(__xludf.DUMMYFUNCTION("""COMPUTED_VALUE"""),"C++")</f>
        <v>C++</v>
      </c>
      <c r="G1870" s="9" t="str">
        <f>IFERROR(__xludf.DUMMYFUNCTION("""COMPUTED_VALUE"""),"JavaScript")</f>
        <v>JavaScript</v>
      </c>
      <c r="H1870" s="9" t="str">
        <f>IFERROR(__xludf.DUMMYFUNCTION("""COMPUTED_VALUE"""),"C#")</f>
        <v>C#</v>
      </c>
      <c r="I1870" s="9" t="str">
        <f>IFERROR(__xludf.DUMMYFUNCTION("""COMPUTED_VALUE"""),"JavaScript")</f>
        <v>JavaScript</v>
      </c>
      <c r="J1870" s="9" t="str">
        <f>IFERROR(__xludf.DUMMYFUNCTION("""COMPUTED_VALUE"""),"C++")</f>
        <v>C++</v>
      </c>
      <c r="K1870" s="9" t="str">
        <f>IFERROR(__xludf.DUMMYFUNCTION("""COMPUTED_VALUE"""),"Python")</f>
        <v>Python</v>
      </c>
      <c r="L1870" s="9" t="str">
        <f>IFERROR(__xludf.DUMMYFUNCTION("""COMPUTED_VALUE"""),"Elixir")</f>
        <v>Elixir</v>
      </c>
      <c r="M1870" s="9" t="s">
        <v>30</v>
      </c>
    </row>
    <row r="1871" ht="15.75" customHeight="1">
      <c r="A1871" s="7"/>
      <c r="B1871" s="7" t="str">
        <f>IFERROR(__xludf.DUMMYFUNCTION("""COMPUTED_VALUE"""),"Assembly;C;C++;C#;HTML/CSS;JavaScript;SQL")</f>
        <v>Assembly;C;C++;C#;HTML/CSS;JavaScript;SQL</v>
      </c>
      <c r="C1871" s="9" t="str">
        <f>IFERROR(__xludf.DUMMYFUNCTION("""COMPUTED_VALUE"""),"JavaScript")</f>
        <v>JavaScript</v>
      </c>
      <c r="D1871" s="9" t="str">
        <f>IFERROR(__xludf.DUMMYFUNCTION("""COMPUTED_VALUE"""),"PHP")</f>
        <v>PHP</v>
      </c>
      <c r="E1871" s="9" t="str">
        <f>IFERROR(__xludf.DUMMYFUNCTION("""COMPUTED_VALUE"""),"Scala")</f>
        <v>Scala</v>
      </c>
      <c r="F1871" s="9" t="str">
        <f>IFERROR(__xludf.DUMMYFUNCTION("""COMPUTED_VALUE"""),"Python")</f>
        <v>Python</v>
      </c>
      <c r="G1871" s="9" t="str">
        <f>IFERROR(__xludf.DUMMYFUNCTION("""COMPUTED_VALUE"""),"PHP")</f>
        <v>PHP</v>
      </c>
      <c r="H1871" s="9" t="str">
        <f>IFERROR(__xludf.DUMMYFUNCTION("""COMPUTED_VALUE"""),"HTML/CSS")</f>
        <v>HTML/CSS</v>
      </c>
      <c r="I1871" s="9" t="str">
        <f>IFERROR(__xludf.DUMMYFUNCTION("""COMPUTED_VALUE"""),"Python")</f>
        <v>Python</v>
      </c>
      <c r="J1871" s="9" t="str">
        <f>IFERROR(__xludf.DUMMYFUNCTION("""COMPUTED_VALUE"""),"C#")</f>
        <v>C#</v>
      </c>
      <c r="K1871" s="9" t="str">
        <f>IFERROR(__xludf.DUMMYFUNCTION("""COMPUTED_VALUE"""),"Python")</f>
        <v>Python</v>
      </c>
      <c r="L1871" s="9" t="str">
        <f>IFERROR(__xludf.DUMMYFUNCTION("""COMPUTED_VALUE"""),"Go")</f>
        <v>Go</v>
      </c>
      <c r="M1871" s="9" t="s">
        <v>21</v>
      </c>
    </row>
    <row r="1872" ht="15.75" customHeight="1">
      <c r="A1872" s="7"/>
      <c r="B1872" s="7" t="str">
        <f>IFERROR(__xludf.DUMMYFUNCTION("""COMPUTED_VALUE"""),"Bash/Shell/PowerShell;HTML/CSS;JavaScript;Python;SQL;VBA")</f>
        <v>Bash/Shell/PowerShell;HTML/CSS;JavaScript;Python;SQL;VBA</v>
      </c>
      <c r="C1872" s="9" t="str">
        <f>IFERROR(__xludf.DUMMYFUNCTION("""COMPUTED_VALUE"""),"Python")</f>
        <v>Python</v>
      </c>
      <c r="D1872" s="9" t="str">
        <f>IFERROR(__xludf.DUMMYFUNCTION("""COMPUTED_VALUE"""),"SQL")</f>
        <v>SQL</v>
      </c>
      <c r="E1872" s="9" t="str">
        <f>IFERROR(__xludf.DUMMYFUNCTION("""COMPUTED_VALUE"""),"Bash/Shell/PowerShell")</f>
        <v>Bash/Shell/PowerShell</v>
      </c>
      <c r="F1872" s="9" t="str">
        <f>IFERROR(__xludf.DUMMYFUNCTION("""COMPUTED_VALUE"""),"C++")</f>
        <v>C++</v>
      </c>
      <c r="G1872" s="9" t="str">
        <f>IFERROR(__xludf.DUMMYFUNCTION("""COMPUTED_VALUE"""),"SQL")</f>
        <v>SQL</v>
      </c>
      <c r="H1872" s="9" t="str">
        <f>IFERROR(__xludf.DUMMYFUNCTION("""COMPUTED_VALUE"""),"JavaScript")</f>
        <v>JavaScript</v>
      </c>
      <c r="I1872" s="9" t="str">
        <f>IFERROR(__xludf.DUMMYFUNCTION("""COMPUTED_VALUE"""),"TypeScript")</f>
        <v>TypeScript</v>
      </c>
      <c r="J1872" s="9" t="str">
        <f>IFERROR(__xludf.DUMMYFUNCTION("""COMPUTED_VALUE"""),"HTML/CSS")</f>
        <v>HTML/CSS</v>
      </c>
      <c r="K1872" s="9" t="str">
        <f>IFERROR(__xludf.DUMMYFUNCTION("""COMPUTED_VALUE"""),"SQL")</f>
        <v>SQL</v>
      </c>
      <c r="L1872" s="9" t="str">
        <f>IFERROR(__xludf.DUMMYFUNCTION("""COMPUTED_VALUE"""),"HTML/CSS")</f>
        <v>HTML/CSS</v>
      </c>
      <c r="M1872" s="9" t="s">
        <v>22</v>
      </c>
    </row>
    <row r="1873" ht="15.75" customHeight="1">
      <c r="A1873" s="7"/>
      <c r="B1873" s="7" t="str">
        <f>IFERROR(__xludf.DUMMYFUNCTION("""COMPUTED_VALUE"""),"C++;C#;HTML/CSS;JavaScript;Python;SQL;TypeScript")</f>
        <v>C++;C#;HTML/CSS;JavaScript;Python;SQL;TypeScript</v>
      </c>
      <c r="C1873" s="9" t="str">
        <f>IFERROR(__xludf.DUMMYFUNCTION("""COMPUTED_VALUE"""),"C#")</f>
        <v>C#</v>
      </c>
      <c r="D1873" s="9" t="str">
        <f>IFERROR(__xludf.DUMMYFUNCTION("""COMPUTED_VALUE"""),"Bash/Shell/PowerShell")</f>
        <v>Bash/Shell/PowerShell</v>
      </c>
      <c r="E1873" s="9" t="str">
        <f>IFERROR(__xludf.DUMMYFUNCTION("""COMPUTED_VALUE"""),"Go")</f>
        <v>Go</v>
      </c>
      <c r="F1873" s="9" t="str">
        <f>IFERROR(__xludf.DUMMYFUNCTION("""COMPUTED_VALUE"""),"HTML/CSS")</f>
        <v>HTML/CSS</v>
      </c>
      <c r="G1873" s="9" t="str">
        <f>IFERROR(__xludf.DUMMYFUNCTION("""COMPUTED_VALUE"""),"TypeScript")</f>
        <v>TypeScript</v>
      </c>
      <c r="H1873" s="9" t="str">
        <f>IFERROR(__xludf.DUMMYFUNCTION("""COMPUTED_VALUE"""),"Python")</f>
        <v>Python</v>
      </c>
      <c r="I1873" s="9" t="str">
        <f>IFERROR(__xludf.DUMMYFUNCTION("""COMPUTED_VALUE"""),"HTML/CSS")</f>
        <v>HTML/CSS</v>
      </c>
      <c r="J1873" s="9" t="str">
        <f>IFERROR(__xludf.DUMMYFUNCTION("""COMPUTED_VALUE"""),"Java")</f>
        <v>Java</v>
      </c>
      <c r="K1873" s="9" t="str">
        <f>IFERROR(__xludf.DUMMYFUNCTION("""COMPUTED_VALUE"""),"Bash/Shell/PowerShell")</f>
        <v>Bash/Shell/PowerShell</v>
      </c>
      <c r="L1873" s="9" t="str">
        <f>IFERROR(__xludf.DUMMYFUNCTION("""COMPUTED_VALUE"""),"JavaScript")</f>
        <v>JavaScript</v>
      </c>
      <c r="M1873" s="9" t="s">
        <v>26</v>
      </c>
    </row>
    <row r="1874" ht="15.75" customHeight="1">
      <c r="A1874" s="7"/>
      <c r="B1874" s="7" t="str">
        <f>IFERROR(__xludf.DUMMYFUNCTION("""COMPUTED_VALUE"""),"HTML/CSS;Java")</f>
        <v>HTML/CSS;Java</v>
      </c>
      <c r="C1874" s="9" t="str">
        <f>IFERROR(__xludf.DUMMYFUNCTION("""COMPUTED_VALUE"""),"Go")</f>
        <v>Go</v>
      </c>
      <c r="D1874" s="9" t="str">
        <f>IFERROR(__xludf.DUMMYFUNCTION("""COMPUTED_VALUE"""),"HTML/CSS")</f>
        <v>HTML/CSS</v>
      </c>
      <c r="E1874" s="9" t="str">
        <f>IFERROR(__xludf.DUMMYFUNCTION("""COMPUTED_VALUE"""),"Python")</f>
        <v>Python</v>
      </c>
      <c r="F1874" s="9" t="str">
        <f>IFERROR(__xludf.DUMMYFUNCTION("""COMPUTED_VALUE"""),"JavaScript")</f>
        <v>JavaScript</v>
      </c>
      <c r="G1874" s="9" t="str">
        <f>IFERROR(__xludf.DUMMYFUNCTION("""COMPUTED_VALUE"""),"HTML/CSS")</f>
        <v>HTML/CSS</v>
      </c>
      <c r="H1874" s="9" t="str">
        <f>IFERROR(__xludf.DUMMYFUNCTION("""COMPUTED_VALUE"""),"R")</f>
        <v>R</v>
      </c>
      <c r="I1874" s="9" t="str">
        <f>IFERROR(__xludf.DUMMYFUNCTION("""COMPUTED_VALUE"""),"JavaScript")</f>
        <v>JavaScript</v>
      </c>
      <c r="J1874" s="9" t="str">
        <f>IFERROR(__xludf.DUMMYFUNCTION("""COMPUTED_VALUE"""),"JavaScript")</f>
        <v>JavaScript</v>
      </c>
      <c r="K1874" s="9" t="str">
        <f>IFERROR(__xludf.DUMMYFUNCTION("""COMPUTED_VALUE"""),"C#")</f>
        <v>C#</v>
      </c>
      <c r="L1874" s="9" t="str">
        <f>IFERROR(__xludf.DUMMYFUNCTION("""COMPUTED_VALUE"""),"Kotlin")</f>
        <v>Kotlin</v>
      </c>
      <c r="M1874" s="9" t="s">
        <v>36</v>
      </c>
    </row>
    <row r="1875" ht="15.75" customHeight="1">
      <c r="A1875" s="7"/>
      <c r="B1875" s="7" t="str">
        <f>IFERROR(__xludf.DUMMYFUNCTION("""COMPUTED_VALUE"""),"C;C++;C#;HTML/CSS;JavaScript;TypeScript")</f>
        <v>C;C++;C#;HTML/CSS;JavaScript;TypeScript</v>
      </c>
      <c r="C1875" s="9" t="str">
        <f>IFERROR(__xludf.DUMMYFUNCTION("""COMPUTED_VALUE"""),"HTML/CSS")</f>
        <v>HTML/CSS</v>
      </c>
      <c r="D1875" s="9" t="str">
        <f>IFERROR(__xludf.DUMMYFUNCTION("""COMPUTED_VALUE"""),"JavaScript")</f>
        <v>JavaScript</v>
      </c>
      <c r="E1875" s="9" t="str">
        <f>IFERROR(__xludf.DUMMYFUNCTION("""COMPUTED_VALUE"""),"Ruby")</f>
        <v>Ruby</v>
      </c>
      <c r="F1875" s="9" t="str">
        <f>IFERROR(__xludf.DUMMYFUNCTION("""COMPUTED_VALUE"""),"Python")</f>
        <v>Python</v>
      </c>
      <c r="G1875" s="9" t="str">
        <f>IFERROR(__xludf.DUMMYFUNCTION("""COMPUTED_VALUE"""),"JavaScript")</f>
        <v>JavaScript</v>
      </c>
      <c r="H1875" s="9" t="str">
        <f>IFERROR(__xludf.DUMMYFUNCTION("""COMPUTED_VALUE"""),"Bash/Shell/PowerShell")</f>
        <v>Bash/Shell/PowerShell</v>
      </c>
      <c r="I1875" s="9" t="str">
        <f>IFERROR(__xludf.DUMMYFUNCTION("""COMPUTED_VALUE"""),"PHP")</f>
        <v>PHP</v>
      </c>
      <c r="J1875" s="9" t="str">
        <f>IFERROR(__xludf.DUMMYFUNCTION("""COMPUTED_VALUE"""),"PHP")</f>
        <v>PHP</v>
      </c>
      <c r="K1875" s="9" t="str">
        <f>IFERROR(__xludf.DUMMYFUNCTION("""COMPUTED_VALUE"""),"HTML/CSS")</f>
        <v>HTML/CSS</v>
      </c>
      <c r="L1875" s="9" t="str">
        <f>IFERROR(__xludf.DUMMYFUNCTION("""COMPUTED_VALUE"""),"Python")</f>
        <v>Python</v>
      </c>
      <c r="M1875" s="9" t="s">
        <v>24</v>
      </c>
    </row>
    <row r="1876" ht="15.75" customHeight="1">
      <c r="A1876" s="7"/>
      <c r="B1876" s="7" t="str">
        <f>IFERROR(__xludf.DUMMYFUNCTION("""COMPUTED_VALUE"""),"HTML/CSS;JavaScript;Python;R;VBA")</f>
        <v>HTML/CSS;JavaScript;Python;R;VBA</v>
      </c>
      <c r="C1876" s="9" t="str">
        <f>IFERROR(__xludf.DUMMYFUNCTION("""COMPUTED_VALUE"""),"Java")</f>
        <v>Java</v>
      </c>
      <c r="D1876" s="9" t="str">
        <f>IFERROR(__xludf.DUMMYFUNCTION("""COMPUTED_VALUE"""),"PHP")</f>
        <v>PHP</v>
      </c>
      <c r="E1876" s="9" t="str">
        <f>IFERROR(__xludf.DUMMYFUNCTION("""COMPUTED_VALUE"""),"Assembly")</f>
        <v>Assembly</v>
      </c>
      <c r="F1876" s="9" t="str">
        <f>IFERROR(__xludf.DUMMYFUNCTION("""COMPUTED_VALUE"""),"WebAssembly")</f>
        <v>WebAssembly</v>
      </c>
      <c r="G1876" s="9" t="str">
        <f>IFERROR(__xludf.DUMMYFUNCTION("""COMPUTED_VALUE"""),"PHP")</f>
        <v>PHP</v>
      </c>
      <c r="H1876" s="9" t="str">
        <f>IFERROR(__xludf.DUMMYFUNCTION("""COMPUTED_VALUE"""),"HTML/CSS")</f>
        <v>HTML/CSS</v>
      </c>
      <c r="I1876" s="9" t="str">
        <f>IFERROR(__xludf.DUMMYFUNCTION("""COMPUTED_VALUE"""),"Bash/Shell/PowerShell")</f>
        <v>Bash/Shell/PowerShell</v>
      </c>
      <c r="J1876" s="9" t="str">
        <f>IFERROR(__xludf.DUMMYFUNCTION("""COMPUTED_VALUE"""),"Python")</f>
        <v>Python</v>
      </c>
      <c r="K1876" s="9" t="str">
        <f>IFERROR(__xludf.DUMMYFUNCTION("""COMPUTED_VALUE"""),"Java")</f>
        <v>Java</v>
      </c>
      <c r="L1876" s="9" t="str">
        <f>IFERROR(__xludf.DUMMYFUNCTION("""COMPUTED_VALUE"""),"R")</f>
        <v>R</v>
      </c>
      <c r="M1876" s="9" t="s">
        <v>20</v>
      </c>
    </row>
    <row r="1877" ht="15.75" customHeight="1">
      <c r="A1877" s="7"/>
      <c r="B1877" s="7" t="str">
        <f>IFERROR(__xludf.DUMMYFUNCTION("""COMPUTED_VALUE"""),"Bash/Shell/PowerShell;C#;HTML/CSS;JavaScript;SQL;TypeScript")</f>
        <v>Bash/Shell/PowerShell;C#;HTML/CSS;JavaScript;SQL;TypeScript</v>
      </c>
      <c r="C1877" s="9" t="str">
        <f>IFERROR(__xludf.DUMMYFUNCTION("""COMPUTED_VALUE"""),"JavaScript")</f>
        <v>JavaScript</v>
      </c>
      <c r="D1877" s="9" t="str">
        <f>IFERROR(__xludf.DUMMYFUNCTION("""COMPUTED_VALUE"""),"SQL")</f>
        <v>SQL</v>
      </c>
      <c r="E1877" s="9" t="str">
        <f>IFERROR(__xludf.DUMMYFUNCTION("""COMPUTED_VALUE"""),"Bash/Shell/PowerShell")</f>
        <v>Bash/Shell/PowerShell</v>
      </c>
      <c r="F1877" s="9" t="str">
        <f>IFERROR(__xludf.DUMMYFUNCTION("""COMPUTED_VALUE"""),"C")</f>
        <v>C</v>
      </c>
      <c r="G1877" s="9" t="str">
        <f>IFERROR(__xludf.DUMMYFUNCTION("""COMPUTED_VALUE"""),"TypeScript")</f>
        <v>TypeScript</v>
      </c>
      <c r="H1877" s="9" t="str">
        <f>IFERROR(__xludf.DUMMYFUNCTION("""COMPUTED_VALUE"""),"JavaScript")</f>
        <v>JavaScript</v>
      </c>
      <c r="I1877" s="9" t="str">
        <f>IFERROR(__xludf.DUMMYFUNCTION("""COMPUTED_VALUE"""),"C")</f>
        <v>C</v>
      </c>
      <c r="J1877" s="9" t="str">
        <f>IFERROR(__xludf.DUMMYFUNCTION("""COMPUTED_VALUE"""),"Ruby")</f>
        <v>Ruby</v>
      </c>
      <c r="K1877" s="9" t="str">
        <f>IFERROR(__xludf.DUMMYFUNCTION("""COMPUTED_VALUE"""),"JavaScript")</f>
        <v>JavaScript</v>
      </c>
      <c r="L1877" s="9" t="str">
        <f>IFERROR(__xludf.DUMMYFUNCTION("""COMPUTED_VALUE"""),"Ruby")</f>
        <v>Ruby</v>
      </c>
      <c r="M1877" s="9" t="s">
        <v>21</v>
      </c>
    </row>
    <row r="1878" ht="15.75" customHeight="1">
      <c r="A1878" s="7"/>
      <c r="B1878" s="7" t="str">
        <f>IFERROR(__xludf.DUMMYFUNCTION("""COMPUTED_VALUE"""),"C#;HTML/CSS;JavaScript;SQL;TypeScript")</f>
        <v>C#;HTML/CSS;JavaScript;SQL;TypeScript</v>
      </c>
      <c r="C1878" s="9" t="str">
        <f>IFERROR(__xludf.DUMMYFUNCTION("""COMPUTED_VALUE"""),"Python")</f>
        <v>Python</v>
      </c>
      <c r="D1878" s="9" t="str">
        <f>IFERROR(__xludf.DUMMYFUNCTION("""COMPUTED_VALUE"""),"Other(s):")</f>
        <v>Other(s):</v>
      </c>
      <c r="E1878" s="9" t="str">
        <f>IFERROR(__xludf.DUMMYFUNCTION("""COMPUTED_VALUE"""),"C")</f>
        <v>C</v>
      </c>
      <c r="F1878" s="9" t="str">
        <f>IFERROR(__xludf.DUMMYFUNCTION("""COMPUTED_VALUE"""),"C#")</f>
        <v>C#</v>
      </c>
      <c r="G1878" s="9" t="str">
        <f>IFERROR(__xludf.DUMMYFUNCTION("""COMPUTED_VALUE"""),"Python")</f>
        <v>Python</v>
      </c>
      <c r="H1878" s="9" t="str">
        <f>IFERROR(__xludf.DUMMYFUNCTION("""COMPUTED_VALUE"""),"PHP")</f>
        <v>PHP</v>
      </c>
      <c r="I1878" s="9" t="str">
        <f>IFERROR(__xludf.DUMMYFUNCTION("""COMPUTED_VALUE"""),"C++")</f>
        <v>C++</v>
      </c>
      <c r="J1878" s="9" t="str">
        <f>IFERROR(__xludf.DUMMYFUNCTION("""COMPUTED_VALUE"""),"Scala")</f>
        <v>Scala</v>
      </c>
      <c r="K1878" s="9" t="str">
        <f>IFERROR(__xludf.DUMMYFUNCTION("""COMPUTED_VALUE"""),"SQL")</f>
        <v>SQL</v>
      </c>
      <c r="L1878" s="9" t="str">
        <f>IFERROR(__xludf.DUMMYFUNCTION("""COMPUTED_VALUE"""),"Rust")</f>
        <v>Rust</v>
      </c>
      <c r="M1878" s="9" t="s">
        <v>22</v>
      </c>
    </row>
    <row r="1879" ht="15.75" customHeight="1">
      <c r="A1879" s="7"/>
      <c r="B1879" s="7" t="str">
        <f>IFERROR(__xludf.DUMMYFUNCTION("""COMPUTED_VALUE"""),"C++;C#;HTML/CSS;Java;JavaScript;SQL")</f>
        <v>C++;C#;HTML/CSS;Java;JavaScript;SQL</v>
      </c>
      <c r="C1879" s="9" t="str">
        <f>IFERROR(__xludf.DUMMYFUNCTION("""COMPUTED_VALUE"""),"R")</f>
        <v>R</v>
      </c>
      <c r="D1879" s="9" t="str">
        <f>IFERROR(__xludf.DUMMYFUNCTION("""COMPUTED_VALUE"""),"C#")</f>
        <v>C#</v>
      </c>
      <c r="E1879" s="9" t="str">
        <f>IFERROR(__xludf.DUMMYFUNCTION("""COMPUTED_VALUE"""),"HTML/CSS")</f>
        <v>HTML/CSS</v>
      </c>
      <c r="F1879" s="9" t="str">
        <f>IFERROR(__xludf.DUMMYFUNCTION("""COMPUTED_VALUE"""),"Python")</f>
        <v>Python</v>
      </c>
      <c r="G1879" s="9" t="str">
        <f>IFERROR(__xludf.DUMMYFUNCTION("""COMPUTED_VALUE"""),"Bash/Shell/PowerShell")</f>
        <v>Bash/Shell/PowerShell</v>
      </c>
      <c r="H1879" s="9" t="str">
        <f>IFERROR(__xludf.DUMMYFUNCTION("""COMPUTED_VALUE"""),"Python")</f>
        <v>Python</v>
      </c>
      <c r="I1879" s="9" t="str">
        <f>IFERROR(__xludf.DUMMYFUNCTION("""COMPUTED_VALUE"""),"HTML/CSS")</f>
        <v>HTML/CSS</v>
      </c>
      <c r="J1879" s="9" t="str">
        <f>IFERROR(__xludf.DUMMYFUNCTION("""COMPUTED_VALUE"""),"Other(s):")</f>
        <v>Other(s):</v>
      </c>
      <c r="K1879" s="9" t="str">
        <f>IFERROR(__xludf.DUMMYFUNCTION("""COMPUTED_VALUE"""),"TypeScript")</f>
        <v>TypeScript</v>
      </c>
      <c r="L1879" s="9" t="str">
        <f>IFERROR(__xludf.DUMMYFUNCTION("""COMPUTED_VALUE"""),"SQL")</f>
        <v>SQL</v>
      </c>
      <c r="M1879" s="9" t="s">
        <v>29</v>
      </c>
    </row>
    <row r="1880" ht="15.75" customHeight="1">
      <c r="A1880" s="7"/>
      <c r="B1880" s="7" t="str">
        <f>IFERROR(__xludf.DUMMYFUNCTION("""COMPUTED_VALUE"""),"Bash/Shell/PowerShell;C#;Elixir;HTML/CSS;Java;JavaScript;PHP;Python;Ruby;SQL")</f>
        <v>Bash/Shell/PowerShell;C#;Elixir;HTML/CSS;Java;JavaScript;PHP;Python;Ruby;SQL</v>
      </c>
      <c r="C1880" s="9" t="str">
        <f>IFERROR(__xludf.DUMMYFUNCTION("""COMPUTED_VALUE"""),"SQL")</f>
        <v>SQL</v>
      </c>
      <c r="D1880" s="9" t="str">
        <f>IFERROR(__xludf.DUMMYFUNCTION("""COMPUTED_VALUE"""),"F#")</f>
        <v>F#</v>
      </c>
      <c r="E1880" s="9" t="str">
        <f>IFERROR(__xludf.DUMMYFUNCTION("""COMPUTED_VALUE"""),"Java")</f>
        <v>Java</v>
      </c>
      <c r="F1880" s="9" t="str">
        <f>IFERROR(__xludf.DUMMYFUNCTION("""COMPUTED_VALUE"""),"Bash/Shell/PowerShell")</f>
        <v>Bash/Shell/PowerShell</v>
      </c>
      <c r="G1880" s="9" t="str">
        <f>IFERROR(__xludf.DUMMYFUNCTION("""COMPUTED_VALUE"""),"HTML/CSS")</f>
        <v>HTML/CSS</v>
      </c>
      <c r="H1880" s="9" t="str">
        <f>IFERROR(__xludf.DUMMYFUNCTION("""COMPUTED_VALUE"""),"Ruby")</f>
        <v>Ruby</v>
      </c>
      <c r="I1880" s="9" t="str">
        <f>IFERROR(__xludf.DUMMYFUNCTION("""COMPUTED_VALUE"""),"JavaScript")</f>
        <v>JavaScript</v>
      </c>
      <c r="J1880" s="9" t="str">
        <f>IFERROR(__xludf.DUMMYFUNCTION("""COMPUTED_VALUE"""),"HTML/CSS")</f>
        <v>HTML/CSS</v>
      </c>
      <c r="K1880" s="9" t="str">
        <f>IFERROR(__xludf.DUMMYFUNCTION("""COMPUTED_VALUE"""),"HTML/CSS")</f>
        <v>HTML/CSS</v>
      </c>
      <c r="L1880" s="9" t="str">
        <f>IFERROR(__xludf.DUMMYFUNCTION("""COMPUTED_VALUE"""),"Swift")</f>
        <v>Swift</v>
      </c>
      <c r="M1880" s="9" t="s">
        <v>27</v>
      </c>
    </row>
    <row r="1881" ht="15.75" customHeight="1">
      <c r="A1881" s="7"/>
      <c r="B1881" s="7" t="str">
        <f>IFERROR(__xludf.DUMMYFUNCTION("""COMPUTED_VALUE"""),"Java")</f>
        <v>Java</v>
      </c>
      <c r="C1881" s="9" t="str">
        <f>IFERROR(__xludf.DUMMYFUNCTION("""COMPUTED_VALUE"""),"C#")</f>
        <v>C#</v>
      </c>
      <c r="D1881" s="9" t="str">
        <f>IFERROR(__xludf.DUMMYFUNCTION("""COMPUTED_VALUE"""),"JavaScript")</f>
        <v>JavaScript</v>
      </c>
      <c r="E1881" s="9" t="str">
        <f>IFERROR(__xludf.DUMMYFUNCTION("""COMPUTED_VALUE"""),"JavaScript")</f>
        <v>JavaScript</v>
      </c>
      <c r="F1881" s="9" t="str">
        <f>IFERROR(__xludf.DUMMYFUNCTION("""COMPUTED_VALUE"""),"HTML/CSS")</f>
        <v>HTML/CSS</v>
      </c>
      <c r="G1881" s="9" t="str">
        <f>IFERROR(__xludf.DUMMYFUNCTION("""COMPUTED_VALUE"""),"Objective-C")</f>
        <v>Objective-C</v>
      </c>
      <c r="H1881" s="9" t="str">
        <f>IFERROR(__xludf.DUMMYFUNCTION("""COMPUTED_VALUE"""),"SQL")</f>
        <v>SQL</v>
      </c>
      <c r="I1881" s="9" t="str">
        <f>IFERROR(__xludf.DUMMYFUNCTION("""COMPUTED_VALUE"""),"Python")</f>
        <v>Python</v>
      </c>
      <c r="J1881" s="9" t="str">
        <f>IFERROR(__xludf.DUMMYFUNCTION("""COMPUTED_VALUE"""),"JavaScript")</f>
        <v>JavaScript</v>
      </c>
      <c r="K1881" s="9" t="str">
        <f>IFERROR(__xludf.DUMMYFUNCTION("""COMPUTED_VALUE"""),"Java")</f>
        <v>Java</v>
      </c>
      <c r="L1881" s="9" t="str">
        <f>IFERROR(__xludf.DUMMYFUNCTION("""COMPUTED_VALUE"""),"TypeScript")</f>
        <v>TypeScript</v>
      </c>
      <c r="M1881" s="9" t="s">
        <v>26</v>
      </c>
    </row>
    <row r="1882" ht="15.75" customHeight="1">
      <c r="A1882" s="7"/>
      <c r="B1882" s="7" t="str">
        <f>IFERROR(__xludf.DUMMYFUNCTION("""COMPUTED_VALUE"""),"Bash/Shell/PowerShell;HTML/CSS;JavaScript;PHP;Python;SQL;VBA")</f>
        <v>Bash/Shell/PowerShell;HTML/CSS;JavaScript;PHP;Python;SQL;VBA</v>
      </c>
      <c r="C1882" s="9" t="str">
        <f>IFERROR(__xludf.DUMMYFUNCTION("""COMPUTED_VALUE"""),"HTML/CSS")</f>
        <v>HTML/CSS</v>
      </c>
      <c r="D1882" s="9" t="str">
        <f>IFERROR(__xludf.DUMMYFUNCTION("""COMPUTED_VALUE"""),"TypeScript")</f>
        <v>TypeScript</v>
      </c>
      <c r="E1882" s="9" t="str">
        <f>IFERROR(__xludf.DUMMYFUNCTION("""COMPUTED_VALUE"""),"Python")</f>
        <v>Python</v>
      </c>
      <c r="F1882" s="9" t="str">
        <f>IFERROR(__xludf.DUMMYFUNCTION("""COMPUTED_VALUE"""),"JavaScript")</f>
        <v>JavaScript</v>
      </c>
      <c r="G1882" s="9" t="str">
        <f>IFERROR(__xludf.DUMMYFUNCTION("""COMPUTED_VALUE"""),"PHP")</f>
        <v>PHP</v>
      </c>
      <c r="H1882" s="9" t="str">
        <f>IFERROR(__xludf.DUMMYFUNCTION("""COMPUTED_VALUE"""),"TypeScript")</f>
        <v>TypeScript</v>
      </c>
      <c r="I1882" s="9" t="str">
        <f>IFERROR(__xludf.DUMMYFUNCTION("""COMPUTED_VALUE"""),"Other(s):")</f>
        <v>Other(s):</v>
      </c>
      <c r="J1882" s="9" t="str">
        <f>IFERROR(__xludf.DUMMYFUNCTION("""COMPUTED_VALUE"""),"SQL")</f>
        <v>SQL</v>
      </c>
      <c r="K1882" s="9" t="str">
        <f>IFERROR(__xludf.DUMMYFUNCTION("""COMPUTED_VALUE"""),"JavaScript")</f>
        <v>JavaScript</v>
      </c>
      <c r="L1882" s="9" t="str">
        <f>IFERROR(__xludf.DUMMYFUNCTION("""COMPUTED_VALUE"""),"WebAssembly")</f>
        <v>WebAssembly</v>
      </c>
      <c r="M1882" s="9" t="s">
        <v>24</v>
      </c>
    </row>
    <row r="1883" ht="15.75" customHeight="1">
      <c r="A1883" s="7"/>
      <c r="B1883" s="7" t="str">
        <f>IFERROR(__xludf.DUMMYFUNCTION("""COMPUTED_VALUE"""),"Assembly;Bash/Shell/PowerShell;C;C++;C#;HTML/CSS;Java;JavaScript;PHP;Python;SQL;Swift;TypeScript;VBA")</f>
        <v>Assembly;Bash/Shell/PowerShell;C;C++;C#;HTML/CSS;Java;JavaScript;PHP;Python;SQL;Swift;TypeScript;VBA</v>
      </c>
      <c r="C1883" s="9" t="str">
        <f>IFERROR(__xludf.DUMMYFUNCTION("""COMPUTED_VALUE"""),"Java")</f>
        <v>Java</v>
      </c>
      <c r="D1883" s="9" t="str">
        <f>IFERROR(__xludf.DUMMYFUNCTION("""COMPUTED_VALUE"""),"C#")</f>
        <v>C#</v>
      </c>
      <c r="E1883" s="9" t="str">
        <f>IFERROR(__xludf.DUMMYFUNCTION("""COMPUTED_VALUE"""),"VBA")</f>
        <v>VBA</v>
      </c>
      <c r="F1883" s="9" t="str">
        <f>IFERROR(__xludf.DUMMYFUNCTION("""COMPUTED_VALUE"""),"Rust")</f>
        <v>Rust</v>
      </c>
      <c r="G1883" s="9" t="str">
        <f>IFERROR(__xludf.DUMMYFUNCTION("""COMPUTED_VALUE"""),"SQL")</f>
        <v>SQL</v>
      </c>
      <c r="H1883" s="9" t="str">
        <f>IFERROR(__xludf.DUMMYFUNCTION("""COMPUTED_VALUE"""),"HTML/CSS")</f>
        <v>HTML/CSS</v>
      </c>
      <c r="I1883" s="9" t="str">
        <f>IFERROR(__xludf.DUMMYFUNCTION("""COMPUTED_VALUE"""),"Python")</f>
        <v>Python</v>
      </c>
      <c r="J1883" s="9" t="str">
        <f>IFERROR(__xludf.DUMMYFUNCTION("""COMPUTED_VALUE"""),"TypeScript")</f>
        <v>TypeScript</v>
      </c>
      <c r="K1883" s="9" t="str">
        <f>IFERROR(__xludf.DUMMYFUNCTION("""COMPUTED_VALUE"""),"SQL")</f>
        <v>SQL</v>
      </c>
      <c r="L1883" s="9" t="str">
        <f>IFERROR(__xludf.DUMMYFUNCTION("""COMPUTED_VALUE"""),"Bash/Shell/PowerShell")</f>
        <v>Bash/Shell/PowerShell</v>
      </c>
      <c r="M1883" s="9" t="s">
        <v>20</v>
      </c>
    </row>
    <row r="1884" ht="15.75" customHeight="1">
      <c r="A1884" s="7"/>
      <c r="B1884" s="7" t="str">
        <f>IFERROR(__xludf.DUMMYFUNCTION("""COMPUTED_VALUE"""),"Bash/Shell/PowerShell;C;HTML/CSS;Java;JavaScript;Objective-C;PHP;Python;SQL")</f>
        <v>Bash/Shell/PowerShell;C;HTML/CSS;Java;JavaScript;Objective-C;PHP;Python;SQL</v>
      </c>
      <c r="C1884" s="9" t="str">
        <f>IFERROR(__xludf.DUMMYFUNCTION("""COMPUTED_VALUE"""),"JavaScript")</f>
        <v>JavaScript</v>
      </c>
      <c r="D1884" s="9" t="str">
        <f>IFERROR(__xludf.DUMMYFUNCTION("""COMPUTED_VALUE"""),"HTML/CSS")</f>
        <v>HTML/CSS</v>
      </c>
      <c r="E1884" s="9" t="str">
        <f>IFERROR(__xludf.DUMMYFUNCTION("""COMPUTED_VALUE"""),"Bash/Shell/PowerShell")</f>
        <v>Bash/Shell/PowerShell</v>
      </c>
      <c r="F1884" s="9" t="str">
        <f>IFERROR(__xludf.DUMMYFUNCTION("""COMPUTED_VALUE"""),"Java")</f>
        <v>Java</v>
      </c>
      <c r="G1884" s="9" t="str">
        <f>IFERROR(__xludf.DUMMYFUNCTION("""COMPUTED_VALUE"""),"Swift")</f>
        <v>Swift</v>
      </c>
      <c r="H1884" s="9" t="str">
        <f>IFERROR(__xludf.DUMMYFUNCTION("""COMPUTED_VALUE"""),"JavaScript")</f>
        <v>JavaScript</v>
      </c>
      <c r="I1884" s="9" t="str">
        <f>IFERROR(__xludf.DUMMYFUNCTION("""COMPUTED_VALUE"""),"TypeScript")</f>
        <v>TypeScript</v>
      </c>
      <c r="J1884" s="9" t="str">
        <f>IFERROR(__xludf.DUMMYFUNCTION("""COMPUTED_VALUE"""),"Bash/Shell/PowerShell")</f>
        <v>Bash/Shell/PowerShell</v>
      </c>
      <c r="K1884" s="9" t="str">
        <f>IFERROR(__xludf.DUMMYFUNCTION("""COMPUTED_VALUE"""),"TypeScript")</f>
        <v>TypeScript</v>
      </c>
      <c r="L1884" s="9" t="str">
        <f>IFERROR(__xludf.DUMMYFUNCTION("""COMPUTED_VALUE"""),"C")</f>
        <v>C</v>
      </c>
      <c r="M1884" s="9" t="s">
        <v>21</v>
      </c>
    </row>
    <row r="1885" ht="15.75" customHeight="1">
      <c r="A1885" s="7"/>
      <c r="B1885" s="7" t="str">
        <f>IFERROR(__xludf.DUMMYFUNCTION("""COMPUTED_VALUE"""),"Bash/Shell/PowerShell;Elixir;HTML/CSS;Java;JavaScript;Python;SQL;TypeScript")</f>
        <v>Bash/Shell/PowerShell;Elixir;HTML/CSS;Java;JavaScript;Python;SQL;TypeScript</v>
      </c>
      <c r="C1885" s="9" t="str">
        <f>IFERROR(__xludf.DUMMYFUNCTION("""COMPUTED_VALUE"""),"PHP")</f>
        <v>PHP</v>
      </c>
      <c r="D1885" s="9" t="str">
        <f>IFERROR(__xludf.DUMMYFUNCTION("""COMPUTED_VALUE"""),"JavaScript")</f>
        <v>JavaScript</v>
      </c>
      <c r="E1885" s="9" t="str">
        <f>IFERROR(__xludf.DUMMYFUNCTION("""COMPUTED_VALUE"""),"C#")</f>
        <v>C#</v>
      </c>
      <c r="F1885" s="9" t="str">
        <f>IFERROR(__xludf.DUMMYFUNCTION("""COMPUTED_VALUE"""),"SQL")</f>
        <v>SQL</v>
      </c>
      <c r="G1885" s="9" t="str">
        <f>IFERROR(__xludf.DUMMYFUNCTION("""COMPUTED_VALUE"""),"C")</f>
        <v>C</v>
      </c>
      <c r="H1885" s="9" t="str">
        <f>IFERROR(__xludf.DUMMYFUNCTION("""COMPUTED_VALUE"""),"PHP")</f>
        <v>PHP</v>
      </c>
      <c r="I1885" s="9" t="str">
        <f>IFERROR(__xludf.DUMMYFUNCTION("""COMPUTED_VALUE"""),"C#")</f>
        <v>C#</v>
      </c>
      <c r="J1885" s="9" t="str">
        <f>IFERROR(__xludf.DUMMYFUNCTION("""COMPUTED_VALUE"""),"C")</f>
        <v>C</v>
      </c>
      <c r="K1885" s="9" t="str">
        <f>IFERROR(__xludf.DUMMYFUNCTION("""COMPUTED_VALUE"""),"HTML/CSS")</f>
        <v>HTML/CSS</v>
      </c>
      <c r="L1885" s="9" t="str">
        <f>IFERROR(__xludf.DUMMYFUNCTION("""COMPUTED_VALUE"""),"C++")</f>
        <v>C++</v>
      </c>
      <c r="M1885" s="9" t="s">
        <v>37</v>
      </c>
    </row>
    <row r="1886" ht="15.75" customHeight="1">
      <c r="A1886" s="7"/>
      <c r="B1886" s="7" t="str">
        <f>IFERROR(__xludf.DUMMYFUNCTION("""COMPUTED_VALUE"""),"Java")</f>
        <v>Java</v>
      </c>
      <c r="C1886" s="9" t="str">
        <f>IFERROR(__xludf.DUMMYFUNCTION("""COMPUTED_VALUE"""),"Python")</f>
        <v>Python</v>
      </c>
      <c r="D1886" s="9" t="str">
        <f>IFERROR(__xludf.DUMMYFUNCTION("""COMPUTED_VALUE"""),"SQL")</f>
        <v>SQL</v>
      </c>
      <c r="E1886" s="9" t="str">
        <f>IFERROR(__xludf.DUMMYFUNCTION("""COMPUTED_VALUE"""),"Go")</f>
        <v>Go</v>
      </c>
      <c r="F1886" s="9" t="str">
        <f>IFERROR(__xludf.DUMMYFUNCTION("""COMPUTED_VALUE"""),"C#")</f>
        <v>C#</v>
      </c>
      <c r="G1886" s="9" t="str">
        <f>IFERROR(__xludf.DUMMYFUNCTION("""COMPUTED_VALUE"""),"Java")</f>
        <v>Java</v>
      </c>
      <c r="H1886" s="9" t="str">
        <f>IFERROR(__xludf.DUMMYFUNCTION("""COMPUTED_VALUE"""),"TypeScript")</f>
        <v>TypeScript</v>
      </c>
      <c r="I1886" s="9" t="str">
        <f>IFERROR(__xludf.DUMMYFUNCTION("""COMPUTED_VALUE"""),"HTML/CSS")</f>
        <v>HTML/CSS</v>
      </c>
      <c r="J1886" s="9" t="str">
        <f>IFERROR(__xludf.DUMMYFUNCTION("""COMPUTED_VALUE"""),"C#")</f>
        <v>C#</v>
      </c>
      <c r="K1886" s="9" t="str">
        <f>IFERROR(__xludf.DUMMYFUNCTION("""COMPUTED_VALUE"""),"JavaScript")</f>
        <v>JavaScript</v>
      </c>
      <c r="L1886" s="9" t="str">
        <f>IFERROR(__xludf.DUMMYFUNCTION("""COMPUTED_VALUE"""),"HTML/CSS")</f>
        <v>HTML/CSS</v>
      </c>
      <c r="M1886" s="9" t="s">
        <v>22</v>
      </c>
    </row>
    <row r="1887" ht="15.75" customHeight="1">
      <c r="A1887" s="7"/>
      <c r="B1887" s="7" t="str">
        <f>IFERROR(__xludf.DUMMYFUNCTION("""COMPUTED_VALUE"""),"Java;SQL")</f>
        <v>Java;SQL</v>
      </c>
      <c r="C1887" s="9" t="str">
        <f>IFERROR(__xludf.DUMMYFUNCTION("""COMPUTED_VALUE"""),"SQL")</f>
        <v>SQL</v>
      </c>
      <c r="D1887" s="9" t="str">
        <f>IFERROR(__xludf.DUMMYFUNCTION("""COMPUTED_VALUE"""),"Python")</f>
        <v>Python</v>
      </c>
      <c r="E1887" s="9" t="str">
        <f>IFERROR(__xludf.DUMMYFUNCTION("""COMPUTED_VALUE"""),"PHP")</f>
        <v>PHP</v>
      </c>
      <c r="F1887" s="9" t="str">
        <f>IFERROR(__xludf.DUMMYFUNCTION("""COMPUTED_VALUE"""),"HTML/CSS")</f>
        <v>HTML/CSS</v>
      </c>
      <c r="G1887" s="9" t="str">
        <f>IFERROR(__xludf.DUMMYFUNCTION("""COMPUTED_VALUE"""),"Python")</f>
        <v>Python</v>
      </c>
      <c r="H1887" s="9" t="str">
        <f>IFERROR(__xludf.DUMMYFUNCTION("""COMPUTED_VALUE"""),"C")</f>
        <v>C</v>
      </c>
      <c r="I1887" s="9" t="str">
        <f>IFERROR(__xludf.DUMMYFUNCTION("""COMPUTED_VALUE"""),"JavaScript")</f>
        <v>JavaScript</v>
      </c>
      <c r="J1887" s="9" t="str">
        <f>IFERROR(__xludf.DUMMYFUNCTION("""COMPUTED_VALUE"""),"HTML/CSS")</f>
        <v>HTML/CSS</v>
      </c>
      <c r="K1887" s="9" t="str">
        <f>IFERROR(__xludf.DUMMYFUNCTION("""COMPUTED_VALUE"""),"PHP")</f>
        <v>PHP</v>
      </c>
      <c r="L1887" s="9" t="str">
        <f>IFERROR(__xludf.DUMMYFUNCTION("""COMPUTED_VALUE"""),"JavaScript")</f>
        <v>JavaScript</v>
      </c>
      <c r="M1887" s="9" t="s">
        <v>27</v>
      </c>
    </row>
    <row r="1888" ht="15.75" customHeight="1">
      <c r="A1888" s="7"/>
      <c r="B1888" s="7" t="str">
        <f>IFERROR(__xludf.DUMMYFUNCTION("""COMPUTED_VALUE"""),"C#;HTML/CSS;JavaScript;SQL")</f>
        <v>C#;HTML/CSS;JavaScript;SQL</v>
      </c>
      <c r="C1888" s="9" t="str">
        <f>IFERROR(__xludf.DUMMYFUNCTION("""COMPUTED_VALUE"""),"Bash/Shell/PowerShell")</f>
        <v>Bash/Shell/PowerShell</v>
      </c>
      <c r="D1888" s="9" t="str">
        <f>IFERROR(__xludf.DUMMYFUNCTION("""COMPUTED_VALUE"""),"R")</f>
        <v>R</v>
      </c>
      <c r="E1888" s="9" t="str">
        <f>IFERROR(__xludf.DUMMYFUNCTION("""COMPUTED_VALUE"""),"Python")</f>
        <v>Python</v>
      </c>
      <c r="F1888" s="9" t="str">
        <f>IFERROR(__xludf.DUMMYFUNCTION("""COMPUTED_VALUE"""),"Python")</f>
        <v>Python</v>
      </c>
      <c r="G1888" s="9" t="str">
        <f>IFERROR(__xludf.DUMMYFUNCTION("""COMPUTED_VALUE"""),"Bash/Shell/PowerShell")</f>
        <v>Bash/Shell/PowerShell</v>
      </c>
      <c r="H1888" s="9" t="str">
        <f>IFERROR(__xludf.DUMMYFUNCTION("""COMPUTED_VALUE"""),"Go")</f>
        <v>Go</v>
      </c>
      <c r="I1888" s="9" t="str">
        <f>IFERROR(__xludf.DUMMYFUNCTION("""COMPUTED_VALUE"""),"SQL")</f>
        <v>SQL</v>
      </c>
      <c r="J1888" s="9" t="str">
        <f>IFERROR(__xludf.DUMMYFUNCTION("""COMPUTED_VALUE"""),"Java")</f>
        <v>Java</v>
      </c>
      <c r="K1888" s="9" t="str">
        <f>IFERROR(__xludf.DUMMYFUNCTION("""COMPUTED_VALUE"""),"SQL")</f>
        <v>SQL</v>
      </c>
      <c r="L1888" s="9" t="str">
        <f>IFERROR(__xludf.DUMMYFUNCTION("""COMPUTED_VALUE"""),"Python")</f>
        <v>Python</v>
      </c>
      <c r="M1888" s="9" t="s">
        <v>30</v>
      </c>
    </row>
    <row r="1889" ht="15.75" customHeight="1">
      <c r="A1889" s="7"/>
      <c r="B1889" s="7" t="str">
        <f>IFERROR(__xludf.DUMMYFUNCTION("""COMPUTED_VALUE"""),"Bash/Shell/PowerShell;C#;HTML/CSS;Java;JavaScript;SQL")</f>
        <v>Bash/Shell/PowerShell;C#;HTML/CSS;Java;JavaScript;SQL</v>
      </c>
      <c r="C1889" s="9" t="str">
        <f>IFERROR(__xludf.DUMMYFUNCTION("""COMPUTED_VALUE"""),"Bash/Shell/PowerShell")</f>
        <v>Bash/Shell/PowerShell</v>
      </c>
      <c r="D1889" s="9" t="str">
        <f>IFERROR(__xludf.DUMMYFUNCTION("""COMPUTED_VALUE"""),"Bash/Shell/PowerShell")</f>
        <v>Bash/Shell/PowerShell</v>
      </c>
      <c r="E1889" s="9" t="str">
        <f>IFERROR(__xludf.DUMMYFUNCTION("""COMPUTED_VALUE"""),"SQL")</f>
        <v>SQL</v>
      </c>
      <c r="F1889" s="9" t="str">
        <f>IFERROR(__xludf.DUMMYFUNCTION("""COMPUTED_VALUE"""),"Other(s):")</f>
        <v>Other(s):</v>
      </c>
      <c r="G1889" s="9" t="str">
        <f>IFERROR(__xludf.DUMMYFUNCTION("""COMPUTED_VALUE"""),"HTML/CSS")</f>
        <v>HTML/CSS</v>
      </c>
      <c r="H1889" s="9" t="str">
        <f>IFERROR(__xludf.DUMMYFUNCTION("""COMPUTED_VALUE"""),"Python")</f>
        <v>Python</v>
      </c>
      <c r="I1889" s="9" t="str">
        <f>IFERROR(__xludf.DUMMYFUNCTION("""COMPUTED_VALUE"""),"TypeScript")</f>
        <v>TypeScript</v>
      </c>
      <c r="J1889" s="9" t="str">
        <f>IFERROR(__xludf.DUMMYFUNCTION("""COMPUTED_VALUE"""),"JavaScript")</f>
        <v>JavaScript</v>
      </c>
      <c r="K1889" s="9" t="str">
        <f>IFERROR(__xludf.DUMMYFUNCTION("""COMPUTED_VALUE"""),"HTML/CSS")</f>
        <v>HTML/CSS</v>
      </c>
      <c r="L1889" s="9" t="str">
        <f>IFERROR(__xludf.DUMMYFUNCTION("""COMPUTED_VALUE"""),"Java")</f>
        <v>Java</v>
      </c>
      <c r="M1889" s="9" t="s">
        <v>30</v>
      </c>
    </row>
    <row r="1890" ht="15.75" customHeight="1">
      <c r="A1890" s="7"/>
      <c r="B1890" s="7" t="str">
        <f>IFERROR(__xludf.DUMMYFUNCTION("""COMPUTED_VALUE"""),"C#;F#;Go;HTML/CSS;Java;JavaScript;Kotlin;Python;R;SQL;TypeScript")</f>
        <v>C#;F#;Go;HTML/CSS;Java;JavaScript;Kotlin;Python;R;SQL;TypeScript</v>
      </c>
      <c r="C1890" s="9" t="str">
        <f>IFERROR(__xludf.DUMMYFUNCTION("""COMPUTED_VALUE"""),"Go")</f>
        <v>Go</v>
      </c>
      <c r="D1890" s="9" t="str">
        <f>IFERROR(__xludf.DUMMYFUNCTION("""COMPUTED_VALUE"""),"HTML/CSS")</f>
        <v>HTML/CSS</v>
      </c>
      <c r="E1890" s="9" t="str">
        <f>IFERROR(__xludf.DUMMYFUNCTION("""COMPUTED_VALUE"""),"VBA")</f>
        <v>VBA</v>
      </c>
      <c r="F1890" s="9" t="str">
        <f>IFERROR(__xludf.DUMMYFUNCTION("""COMPUTED_VALUE"""),"C#")</f>
        <v>C#</v>
      </c>
      <c r="G1890" s="9" t="str">
        <f>IFERROR(__xludf.DUMMYFUNCTION("""COMPUTED_VALUE"""),"Java")</f>
        <v>Java</v>
      </c>
      <c r="H1890" s="9" t="str">
        <f>IFERROR(__xludf.DUMMYFUNCTION("""COMPUTED_VALUE"""),"Bash/Shell/PowerShell")</f>
        <v>Bash/Shell/PowerShell</v>
      </c>
      <c r="I1890" s="9" t="str">
        <f>IFERROR(__xludf.DUMMYFUNCTION("""COMPUTED_VALUE"""),"C#")</f>
        <v>C#</v>
      </c>
      <c r="J1890" s="9" t="str">
        <f>IFERROR(__xludf.DUMMYFUNCTION("""COMPUTED_VALUE"""),"PHP")</f>
        <v>PHP</v>
      </c>
      <c r="K1890" s="9" t="str">
        <f>IFERROR(__xludf.DUMMYFUNCTION("""COMPUTED_VALUE"""),"SQL")</f>
        <v>SQL</v>
      </c>
      <c r="L1890" s="9" t="str">
        <f>IFERROR(__xludf.DUMMYFUNCTION("""COMPUTED_VALUE"""),"JavaScript")</f>
        <v>JavaScript</v>
      </c>
      <c r="M1890" s="9" t="s">
        <v>36</v>
      </c>
    </row>
    <row r="1891" ht="15.75" customHeight="1">
      <c r="A1891" s="7"/>
      <c r="B1891" s="7" t="str">
        <f>IFERROR(__xludf.DUMMYFUNCTION("""COMPUTED_VALUE"""),"Bash/Shell/PowerShell;HTML/CSS;Java;JavaScript;Other(s):")</f>
        <v>Bash/Shell/PowerShell;HTML/CSS;Java;JavaScript;Other(s):</v>
      </c>
      <c r="C1891" s="9" t="str">
        <f>IFERROR(__xludf.DUMMYFUNCTION("""COMPUTED_VALUE"""),"SQL")</f>
        <v>SQL</v>
      </c>
      <c r="D1891" s="9" t="str">
        <f>IFERROR(__xludf.DUMMYFUNCTION("""COMPUTED_VALUE"""),"JavaScript")</f>
        <v>JavaScript</v>
      </c>
      <c r="E1891" s="9" t="str">
        <f>IFERROR(__xludf.DUMMYFUNCTION("""COMPUTED_VALUE"""),"HTML/CSS")</f>
        <v>HTML/CSS</v>
      </c>
      <c r="F1891" s="9" t="str">
        <f>IFERROR(__xludf.DUMMYFUNCTION("""COMPUTED_VALUE"""),"SQL")</f>
        <v>SQL</v>
      </c>
      <c r="G1891" s="9" t="str">
        <f>IFERROR(__xludf.DUMMYFUNCTION("""COMPUTED_VALUE"""),"JavaScript")</f>
        <v>JavaScript</v>
      </c>
      <c r="H1891" s="9" t="str">
        <f>IFERROR(__xludf.DUMMYFUNCTION("""COMPUTED_VALUE"""),"C#")</f>
        <v>C#</v>
      </c>
      <c r="I1891" s="9" t="str">
        <f>IFERROR(__xludf.DUMMYFUNCTION("""COMPUTED_VALUE"""),"HTML/CSS")</f>
        <v>HTML/CSS</v>
      </c>
      <c r="J1891" s="9" t="str">
        <f>IFERROR(__xludf.DUMMYFUNCTION("""COMPUTED_VALUE"""),"Python")</f>
        <v>Python</v>
      </c>
      <c r="K1891" s="9" t="str">
        <f>IFERROR(__xludf.DUMMYFUNCTION("""COMPUTED_VALUE"""),"C#")</f>
        <v>C#</v>
      </c>
      <c r="L1891" s="9" t="str">
        <f>IFERROR(__xludf.DUMMYFUNCTION("""COMPUTED_VALUE"""),"PHP")</f>
        <v>PHP</v>
      </c>
      <c r="M1891" s="9" t="s">
        <v>27</v>
      </c>
    </row>
    <row r="1892" ht="15.75" customHeight="1">
      <c r="A1892" s="7"/>
      <c r="B1892" s="7" t="str">
        <f>IFERROR(__xludf.DUMMYFUNCTION("""COMPUTED_VALUE"""),"Assembly;C;C++;Python")</f>
        <v>Assembly;C;C++;Python</v>
      </c>
      <c r="C1892" s="9" t="str">
        <f>IFERROR(__xludf.DUMMYFUNCTION("""COMPUTED_VALUE"""),"TypeScript")</f>
        <v>TypeScript</v>
      </c>
      <c r="D1892" s="9" t="str">
        <f>IFERROR(__xludf.DUMMYFUNCTION("""COMPUTED_VALUE"""),"PHP")</f>
        <v>PHP</v>
      </c>
      <c r="E1892" s="9" t="str">
        <f>IFERROR(__xludf.DUMMYFUNCTION("""COMPUTED_VALUE"""),"Python")</f>
        <v>Python</v>
      </c>
      <c r="F1892" s="9" t="str">
        <f>IFERROR(__xludf.DUMMYFUNCTION("""COMPUTED_VALUE"""),"TypeScript")</f>
        <v>TypeScript</v>
      </c>
      <c r="G1892" s="9" t="str">
        <f>IFERROR(__xludf.DUMMYFUNCTION("""COMPUTED_VALUE"""),"PHP")</f>
        <v>PHP</v>
      </c>
      <c r="H1892" s="9" t="str">
        <f>IFERROR(__xludf.DUMMYFUNCTION("""COMPUTED_VALUE"""),"HTML/CSS")</f>
        <v>HTML/CSS</v>
      </c>
      <c r="I1892" s="9" t="str">
        <f>IFERROR(__xludf.DUMMYFUNCTION("""COMPUTED_VALUE"""),"JavaScript")</f>
        <v>JavaScript</v>
      </c>
      <c r="J1892" s="9" t="str">
        <f>IFERROR(__xludf.DUMMYFUNCTION("""COMPUTED_VALUE"""),"Rust")</f>
        <v>Rust</v>
      </c>
      <c r="K1892" s="9" t="str">
        <f>IFERROR(__xludf.DUMMYFUNCTION("""COMPUTED_VALUE"""),"VBA")</f>
        <v>VBA</v>
      </c>
      <c r="L1892" s="9" t="str">
        <f>IFERROR(__xludf.DUMMYFUNCTION("""COMPUTED_VALUE"""),"SQL")</f>
        <v>SQL</v>
      </c>
      <c r="M1892" s="9" t="s">
        <v>33</v>
      </c>
    </row>
    <row r="1893" ht="15.75" customHeight="1">
      <c r="A1893" s="7"/>
      <c r="B1893" s="7" t="str">
        <f>IFERROR(__xludf.DUMMYFUNCTION("""COMPUTED_VALUE"""),"C;C++;C#;HTML/CSS;Objective-C;SQL;Swift;TypeScript;Other(s):")</f>
        <v>C;C++;C#;HTML/CSS;Objective-C;SQL;Swift;TypeScript;Other(s):</v>
      </c>
      <c r="C1893" s="9" t="str">
        <f>IFERROR(__xludf.DUMMYFUNCTION("""COMPUTED_VALUE"""),"HTML/CSS")</f>
        <v>HTML/CSS</v>
      </c>
      <c r="D1893" s="9" t="str">
        <f>IFERROR(__xludf.DUMMYFUNCTION("""COMPUTED_VALUE"""),"Python")</f>
        <v>Python</v>
      </c>
      <c r="E1893" s="9" t="str">
        <f>IFERROR(__xludf.DUMMYFUNCTION("""COMPUTED_VALUE"""),"Other(s):")</f>
        <v>Other(s):</v>
      </c>
      <c r="F1893" s="9" t="str">
        <f>IFERROR(__xludf.DUMMYFUNCTION("""COMPUTED_VALUE"""),"Python")</f>
        <v>Python</v>
      </c>
      <c r="G1893" s="9" t="str">
        <f>IFERROR(__xludf.DUMMYFUNCTION("""COMPUTED_VALUE"""),"Python")</f>
        <v>Python</v>
      </c>
      <c r="H1893" s="9" t="str">
        <f>IFERROR(__xludf.DUMMYFUNCTION("""COMPUTED_VALUE"""),"JavaScript")</f>
        <v>JavaScript</v>
      </c>
      <c r="I1893" s="9" t="str">
        <f>IFERROR(__xludf.DUMMYFUNCTION("""COMPUTED_VALUE"""),"SQL")</f>
        <v>SQL</v>
      </c>
      <c r="J1893" s="9" t="str">
        <f>IFERROR(__xludf.DUMMYFUNCTION("""COMPUTED_VALUE"""),"SQL")</f>
        <v>SQL</v>
      </c>
      <c r="K1893" s="9" t="str">
        <f>IFERROR(__xludf.DUMMYFUNCTION("""COMPUTED_VALUE"""),"C#")</f>
        <v>C#</v>
      </c>
      <c r="L1893" s="9" t="str">
        <f>IFERROR(__xludf.DUMMYFUNCTION("""COMPUTED_VALUE"""),"C++")</f>
        <v>C++</v>
      </c>
      <c r="M1893" s="9" t="s">
        <v>24</v>
      </c>
    </row>
    <row r="1894" ht="15.75" customHeight="1">
      <c r="A1894" s="7"/>
      <c r="B1894" s="7" t="str">
        <f>IFERROR(__xludf.DUMMYFUNCTION("""COMPUTED_VALUE"""),"Bash/Shell/PowerShell;C++;C#;JavaScript;SQL")</f>
        <v>Bash/Shell/PowerShell;C++;C#;JavaScript;SQL</v>
      </c>
      <c r="C1894" s="9" t="str">
        <f>IFERROR(__xludf.DUMMYFUNCTION("""COMPUTED_VALUE"""),"Java")</f>
        <v>Java</v>
      </c>
      <c r="D1894" s="9" t="str">
        <f>IFERROR(__xludf.DUMMYFUNCTION("""COMPUTED_VALUE"""),"SQL")</f>
        <v>SQL</v>
      </c>
      <c r="E1894" s="9" t="str">
        <f>IFERROR(__xludf.DUMMYFUNCTION("""COMPUTED_VALUE"""),"Python")</f>
        <v>Python</v>
      </c>
      <c r="F1894" s="9" t="str">
        <f>IFERROR(__xludf.DUMMYFUNCTION("""COMPUTED_VALUE"""),"Bash/Shell/PowerShell")</f>
        <v>Bash/Shell/PowerShell</v>
      </c>
      <c r="G1894" s="9" t="str">
        <f>IFERROR(__xludf.DUMMYFUNCTION("""COMPUTED_VALUE"""),"Bash/Shell/PowerShell")</f>
        <v>Bash/Shell/PowerShell</v>
      </c>
      <c r="H1894" s="9" t="str">
        <f>IFERROR(__xludf.DUMMYFUNCTION("""COMPUTED_VALUE"""),"SQL")</f>
        <v>SQL</v>
      </c>
      <c r="I1894" s="9" t="str">
        <f>IFERROR(__xludf.DUMMYFUNCTION("""COMPUTED_VALUE"""),"Bash/Shell/PowerShell")</f>
        <v>Bash/Shell/PowerShell</v>
      </c>
      <c r="J1894" s="9" t="str">
        <f>IFERROR(__xludf.DUMMYFUNCTION("""COMPUTED_VALUE"""),"VBA")</f>
        <v>VBA</v>
      </c>
      <c r="K1894" s="9" t="str">
        <f>IFERROR(__xludf.DUMMYFUNCTION("""COMPUTED_VALUE"""),"HTML/CSS")</f>
        <v>HTML/CSS</v>
      </c>
      <c r="L1894" s="9" t="str">
        <f>IFERROR(__xludf.DUMMYFUNCTION("""COMPUTED_VALUE"""),"HTML/CSS")</f>
        <v>HTML/CSS</v>
      </c>
      <c r="M1894" s="9" t="s">
        <v>20</v>
      </c>
    </row>
    <row r="1895" ht="15.75" customHeight="1">
      <c r="A1895" s="7"/>
      <c r="B1895" s="7" t="str">
        <f>IFERROR(__xludf.DUMMYFUNCTION("""COMPUTED_VALUE"""),"Bash/Shell/PowerShell;HTML/CSS;JavaScript;Python;SQL;TypeScript;Other(s):")</f>
        <v>Bash/Shell/PowerShell;HTML/CSS;JavaScript;Python;SQL;TypeScript;Other(s):</v>
      </c>
      <c r="C1895" s="9" t="str">
        <f>IFERROR(__xludf.DUMMYFUNCTION("""COMPUTED_VALUE"""),"JavaScript")</f>
        <v>JavaScript</v>
      </c>
      <c r="D1895" s="9" t="str">
        <f>IFERROR(__xludf.DUMMYFUNCTION("""COMPUTED_VALUE"""),"Bash/Shell/PowerShell")</f>
        <v>Bash/Shell/PowerShell</v>
      </c>
      <c r="E1895" s="9" t="str">
        <f>IFERROR(__xludf.DUMMYFUNCTION("""COMPUTED_VALUE"""),"Bash/Shell/PowerShell")</f>
        <v>Bash/Shell/PowerShell</v>
      </c>
      <c r="F1895" s="9" t="str">
        <f>IFERROR(__xludf.DUMMYFUNCTION("""COMPUTED_VALUE"""),"C#")</f>
        <v>C#</v>
      </c>
      <c r="G1895" s="9" t="str">
        <f>IFERROR(__xludf.DUMMYFUNCTION("""COMPUTED_VALUE"""),"C")</f>
        <v>C</v>
      </c>
      <c r="H1895" s="9" t="str">
        <f>IFERROR(__xludf.DUMMYFUNCTION("""COMPUTED_VALUE"""),"Java")</f>
        <v>Java</v>
      </c>
      <c r="I1895" s="9" t="str">
        <f>IFERROR(__xludf.DUMMYFUNCTION("""COMPUTED_VALUE"""),"Go")</f>
        <v>Go</v>
      </c>
      <c r="J1895" s="9" t="str">
        <f>IFERROR(__xludf.DUMMYFUNCTION("""COMPUTED_VALUE"""),"Bash/Shell/PowerShell")</f>
        <v>Bash/Shell/PowerShell</v>
      </c>
      <c r="K1895" s="9" t="str">
        <f>IFERROR(__xludf.DUMMYFUNCTION("""COMPUTED_VALUE"""),"Java")</f>
        <v>Java</v>
      </c>
      <c r="L1895" s="9" t="str">
        <f>IFERROR(__xludf.DUMMYFUNCTION("""COMPUTED_VALUE"""),"Java")</f>
        <v>Java</v>
      </c>
      <c r="M1895" s="9" t="s">
        <v>21</v>
      </c>
    </row>
    <row r="1896" ht="15.75" customHeight="1">
      <c r="A1896" s="7"/>
      <c r="B1896" s="7" t="str">
        <f>IFERROR(__xludf.DUMMYFUNCTION("""COMPUTED_VALUE"""),"Go;JavaScript")</f>
        <v>Go;JavaScript</v>
      </c>
      <c r="C1896" s="9" t="str">
        <f>IFERROR(__xludf.DUMMYFUNCTION("""COMPUTED_VALUE"""),"Python")</f>
        <v>Python</v>
      </c>
      <c r="D1896" s="9" t="str">
        <f>IFERROR(__xludf.DUMMYFUNCTION("""COMPUTED_VALUE"""),"HTML/CSS")</f>
        <v>HTML/CSS</v>
      </c>
      <c r="E1896" s="9" t="str">
        <f>IFERROR(__xludf.DUMMYFUNCTION("""COMPUTED_VALUE"""),"Go")</f>
        <v>Go</v>
      </c>
      <c r="F1896" s="9" t="str">
        <f>IFERROR(__xludf.DUMMYFUNCTION("""COMPUTED_VALUE"""),"HTML/CSS")</f>
        <v>HTML/CSS</v>
      </c>
      <c r="G1896" s="9" t="str">
        <f>IFERROR(__xludf.DUMMYFUNCTION("""COMPUTED_VALUE"""),"C++")</f>
        <v>C++</v>
      </c>
      <c r="H1896" s="9" t="str">
        <f>IFERROR(__xludf.DUMMYFUNCTION("""COMPUTED_VALUE"""),"Scala")</f>
        <v>Scala</v>
      </c>
      <c r="I1896" s="9" t="str">
        <f>IFERROR(__xludf.DUMMYFUNCTION("""COMPUTED_VALUE"""),"HTML/CSS")</f>
        <v>HTML/CSS</v>
      </c>
      <c r="J1896" s="9" t="str">
        <f>IFERROR(__xludf.DUMMYFUNCTION("""COMPUTED_VALUE"""),"SQL")</f>
        <v>SQL</v>
      </c>
      <c r="K1896" s="9" t="str">
        <f>IFERROR(__xludf.DUMMYFUNCTION("""COMPUTED_VALUE"""),"JavaScript")</f>
        <v>JavaScript</v>
      </c>
      <c r="L1896" s="9" t="str">
        <f>IFERROR(__xludf.DUMMYFUNCTION("""COMPUTED_VALUE"""),"JavaScript")</f>
        <v>JavaScript</v>
      </c>
      <c r="M1896" s="9" t="s">
        <v>22</v>
      </c>
    </row>
    <row r="1897" ht="15.75" customHeight="1">
      <c r="A1897" s="7"/>
      <c r="B1897" s="7" t="str">
        <f>IFERROR(__xludf.DUMMYFUNCTION("""COMPUTED_VALUE"""),"C++;JavaScript;Python;SQL")</f>
        <v>C++;JavaScript;Python;SQL</v>
      </c>
      <c r="C1897" s="9" t="str">
        <f>IFERROR(__xludf.DUMMYFUNCTION("""COMPUTED_VALUE"""),"R")</f>
        <v>R</v>
      </c>
      <c r="D1897" s="9" t="str">
        <f>IFERROR(__xludf.DUMMYFUNCTION("""COMPUTED_VALUE"""),"Java")</f>
        <v>Java</v>
      </c>
      <c r="E1897" s="9" t="str">
        <f>IFERROR(__xludf.DUMMYFUNCTION("""COMPUTED_VALUE"""),"JavaScript")</f>
        <v>JavaScript</v>
      </c>
      <c r="F1897" s="9" t="str">
        <f>IFERROR(__xludf.DUMMYFUNCTION("""COMPUTED_VALUE"""),"Java")</f>
        <v>Java</v>
      </c>
      <c r="G1897" s="9" t="str">
        <f>IFERROR(__xludf.DUMMYFUNCTION("""COMPUTED_VALUE"""),"C#")</f>
        <v>C#</v>
      </c>
      <c r="H1897" s="9" t="str">
        <f>IFERROR(__xludf.DUMMYFUNCTION("""COMPUTED_VALUE"""),"Swift")</f>
        <v>Swift</v>
      </c>
      <c r="I1897" s="9" t="str">
        <f>IFERROR(__xludf.DUMMYFUNCTION("""COMPUTED_VALUE"""),"JavaScript")</f>
        <v>JavaScript</v>
      </c>
      <c r="J1897" s="9" t="str">
        <f>IFERROR(__xludf.DUMMYFUNCTION("""COMPUTED_VALUE"""),"C++")</f>
        <v>C++</v>
      </c>
      <c r="K1897" s="9" t="str">
        <f>IFERROR(__xludf.DUMMYFUNCTION("""COMPUTED_VALUE"""),"TypeScript")</f>
        <v>TypeScript</v>
      </c>
      <c r="L1897" s="9" t="str">
        <f>IFERROR(__xludf.DUMMYFUNCTION("""COMPUTED_VALUE"""),"PHP")</f>
        <v>PHP</v>
      </c>
      <c r="M1897" s="9" t="s">
        <v>29</v>
      </c>
    </row>
    <row r="1898" ht="15.75" customHeight="1">
      <c r="A1898" s="7"/>
      <c r="B1898" s="7" t="str">
        <f>IFERROR(__xludf.DUMMYFUNCTION("""COMPUTED_VALUE"""),"Java;JavaScript;Kotlin;Objective-C;Rust;Swift;TypeScript")</f>
        <v>Java;JavaScript;Kotlin;Objective-C;Rust;Swift;TypeScript</v>
      </c>
      <c r="C1898" s="9" t="str">
        <f>IFERROR(__xludf.DUMMYFUNCTION("""COMPUTED_VALUE"""),"SQL")</f>
        <v>SQL</v>
      </c>
      <c r="D1898" s="9" t="str">
        <f>IFERROR(__xludf.DUMMYFUNCTION("""COMPUTED_VALUE"""),"JavaScript")</f>
        <v>JavaScript</v>
      </c>
      <c r="E1898" s="9" t="str">
        <f>IFERROR(__xludf.DUMMYFUNCTION("""COMPUTED_VALUE"""),"Python")</f>
        <v>Python</v>
      </c>
      <c r="F1898" s="9" t="str">
        <f>IFERROR(__xludf.DUMMYFUNCTION("""COMPUTED_VALUE"""),"JavaScript")</f>
        <v>JavaScript</v>
      </c>
      <c r="G1898" s="9" t="str">
        <f>IFERROR(__xludf.DUMMYFUNCTION("""COMPUTED_VALUE"""),"Clojure")</f>
        <v>Clojure</v>
      </c>
      <c r="H1898" s="9" t="str">
        <f>IFERROR(__xludf.DUMMYFUNCTION("""COMPUTED_VALUE"""),"Python")</f>
        <v>Python</v>
      </c>
      <c r="I1898" s="9" t="str">
        <f>IFERROR(__xludf.DUMMYFUNCTION("""COMPUTED_VALUE"""),"Python")</f>
        <v>Python</v>
      </c>
      <c r="J1898" s="9" t="str">
        <f>IFERROR(__xludf.DUMMYFUNCTION("""COMPUTED_VALUE"""),"Go")</f>
        <v>Go</v>
      </c>
      <c r="K1898" s="9" t="str">
        <f>IFERROR(__xludf.DUMMYFUNCTION("""COMPUTED_VALUE"""),"C#")</f>
        <v>C#</v>
      </c>
      <c r="L1898" s="9" t="str">
        <f>IFERROR(__xludf.DUMMYFUNCTION("""COMPUTED_VALUE"""),"SQL")</f>
        <v>SQL</v>
      </c>
      <c r="M1898" s="9" t="s">
        <v>27</v>
      </c>
    </row>
    <row r="1899" ht="15.75" customHeight="1">
      <c r="A1899" s="7"/>
      <c r="B1899" s="7" t="str">
        <f>IFERROR(__xludf.DUMMYFUNCTION("""COMPUTED_VALUE"""),"Bash/Shell/PowerShell;C;C++;Go;HTML/CSS;JavaScript;Python;WebAssembly;Other(s):")</f>
        <v>Bash/Shell/PowerShell;C;C++;Go;HTML/CSS;JavaScript;Python;WebAssembly;Other(s):</v>
      </c>
      <c r="C1899" s="9" t="str">
        <f>IFERROR(__xludf.DUMMYFUNCTION("""COMPUTED_VALUE"""),"VBA")</f>
        <v>VBA</v>
      </c>
      <c r="D1899" s="9" t="str">
        <f>IFERROR(__xludf.DUMMYFUNCTION("""COMPUTED_VALUE"""),"SQL")</f>
        <v>SQL</v>
      </c>
      <c r="E1899" s="9" t="str">
        <f>IFERROR(__xludf.DUMMYFUNCTION("""COMPUTED_VALUE"""),"Ruby")</f>
        <v>Ruby</v>
      </c>
      <c r="F1899" s="9" t="str">
        <f>IFERROR(__xludf.DUMMYFUNCTION("""COMPUTED_VALUE"""),"PHP")</f>
        <v>PHP</v>
      </c>
      <c r="G1899" s="9" t="str">
        <f>IFERROR(__xludf.DUMMYFUNCTION("""COMPUTED_VALUE"""),"Java")</f>
        <v>Java</v>
      </c>
      <c r="H1899" s="9" t="str">
        <f>IFERROR(__xludf.DUMMYFUNCTION("""COMPUTED_VALUE"""),"Assembly")</f>
        <v>Assembly</v>
      </c>
      <c r="I1899" s="9" t="str">
        <f>IFERROR(__xludf.DUMMYFUNCTION("""COMPUTED_VALUE"""),"R")</f>
        <v>R</v>
      </c>
      <c r="J1899" s="9" t="str">
        <f>IFERROR(__xludf.DUMMYFUNCTION("""COMPUTED_VALUE"""),"HTML/CSS")</f>
        <v>HTML/CSS</v>
      </c>
      <c r="K1899" s="9" t="str">
        <f>IFERROR(__xludf.DUMMYFUNCTION("""COMPUTED_VALUE"""),"HTML/CSS")</f>
        <v>HTML/CSS</v>
      </c>
      <c r="L1899" s="9" t="str">
        <f>IFERROR(__xludf.DUMMYFUNCTION("""COMPUTED_VALUE"""),"TypeScript")</f>
        <v>TypeScript</v>
      </c>
      <c r="M1899" s="9" t="s">
        <v>28</v>
      </c>
    </row>
    <row r="1900" ht="15.75" customHeight="1">
      <c r="A1900" s="7"/>
      <c r="B1900" s="7" t="str">
        <f>IFERROR(__xludf.DUMMYFUNCTION("""COMPUTED_VALUE"""),"Bash/Shell/PowerShell;HTML/CSS;JavaScript;R;VBA;Other(s):")</f>
        <v>Bash/Shell/PowerShell;HTML/CSS;JavaScript;R;VBA;Other(s):</v>
      </c>
      <c r="C1900" s="9" t="str">
        <f>IFERROR(__xludf.DUMMYFUNCTION("""COMPUTED_VALUE"""),"HTML/CSS")</f>
        <v>HTML/CSS</v>
      </c>
      <c r="D1900" s="9" t="str">
        <f>IFERROR(__xludf.DUMMYFUNCTION("""COMPUTED_VALUE"""),"HTML/CSS")</f>
        <v>HTML/CSS</v>
      </c>
      <c r="E1900" s="9" t="str">
        <f>IFERROR(__xludf.DUMMYFUNCTION("""COMPUTED_VALUE"""),"SQL")</f>
        <v>SQL</v>
      </c>
      <c r="F1900" s="9" t="str">
        <f>IFERROR(__xludf.DUMMYFUNCTION("""COMPUTED_VALUE"""),"Python")</f>
        <v>Python</v>
      </c>
      <c r="G1900" s="9" t="str">
        <f>IFERROR(__xludf.DUMMYFUNCTION("""COMPUTED_VALUE"""),"JavaScript")</f>
        <v>JavaScript</v>
      </c>
      <c r="H1900" s="9" t="str">
        <f>IFERROR(__xludf.DUMMYFUNCTION("""COMPUTED_VALUE"""),"C++")</f>
        <v>C++</v>
      </c>
      <c r="I1900" s="9" t="str">
        <f>IFERROR(__xludf.DUMMYFUNCTION("""COMPUTED_VALUE"""),"SQL")</f>
        <v>SQL</v>
      </c>
      <c r="J1900" s="9" t="str">
        <f>IFERROR(__xludf.DUMMYFUNCTION("""COMPUTED_VALUE"""),"Java")</f>
        <v>Java</v>
      </c>
      <c r="K1900" s="9" t="str">
        <f>IFERROR(__xludf.DUMMYFUNCTION("""COMPUTED_VALUE"""),"Java")</f>
        <v>Java</v>
      </c>
      <c r="L1900" s="9" t="str">
        <f>IFERROR(__xludf.DUMMYFUNCTION("""COMPUTED_VALUE"""),"Bash/Shell/PowerShell")</f>
        <v>Bash/Shell/PowerShell</v>
      </c>
      <c r="M1900" s="9" t="s">
        <v>24</v>
      </c>
    </row>
    <row r="1901" ht="15.75" customHeight="1">
      <c r="A1901" s="7"/>
      <c r="B1901" s="7" t="str">
        <f>IFERROR(__xludf.DUMMYFUNCTION("""COMPUTED_VALUE"""),"C#;HTML/CSS;JavaScript;TypeScript")</f>
        <v>C#;HTML/CSS;JavaScript;TypeScript</v>
      </c>
      <c r="C1901" s="9" t="str">
        <f>IFERROR(__xludf.DUMMYFUNCTION("""COMPUTED_VALUE"""),"JavaScript")</f>
        <v>JavaScript</v>
      </c>
      <c r="D1901" s="9" t="str">
        <f>IFERROR(__xludf.DUMMYFUNCTION("""COMPUTED_VALUE"""),"Java")</f>
        <v>Java</v>
      </c>
      <c r="E1901" s="9" t="str">
        <f>IFERROR(__xludf.DUMMYFUNCTION("""COMPUTED_VALUE"""),"HTML/CSS")</f>
        <v>HTML/CSS</v>
      </c>
      <c r="F1901" s="9" t="str">
        <f>IFERROR(__xludf.DUMMYFUNCTION("""COMPUTED_VALUE"""),"Ruby")</f>
        <v>Ruby</v>
      </c>
      <c r="G1901" s="9" t="str">
        <f>IFERROR(__xludf.DUMMYFUNCTION("""COMPUTED_VALUE"""),"Kotlin")</f>
        <v>Kotlin</v>
      </c>
      <c r="H1901" s="9" t="str">
        <f>IFERROR(__xludf.DUMMYFUNCTION("""COMPUTED_VALUE"""),"C#")</f>
        <v>C#</v>
      </c>
      <c r="I1901" s="9" t="str">
        <f>IFERROR(__xludf.DUMMYFUNCTION("""COMPUTED_VALUE"""),"Bash/Shell/PowerShell")</f>
        <v>Bash/Shell/PowerShell</v>
      </c>
      <c r="J1901" s="9" t="str">
        <f>IFERROR(__xludf.DUMMYFUNCTION("""COMPUTED_VALUE"""),"JavaScript")</f>
        <v>JavaScript</v>
      </c>
      <c r="K1901" s="9" t="str">
        <f>IFERROR(__xludf.DUMMYFUNCTION("""COMPUTED_VALUE"""),"JavaScript")</f>
        <v>JavaScript</v>
      </c>
      <c r="L1901" s="9" t="str">
        <f>IFERROR(__xludf.DUMMYFUNCTION("""COMPUTED_VALUE"""),"HTML/CSS")</f>
        <v>HTML/CSS</v>
      </c>
      <c r="M1901" s="9" t="s">
        <v>21</v>
      </c>
    </row>
    <row r="1902" ht="15.75" customHeight="1">
      <c r="A1902" s="7"/>
      <c r="B1902" s="7" t="str">
        <f>IFERROR(__xludf.DUMMYFUNCTION("""COMPUTED_VALUE"""),"Dart;Java;JavaScript;Kotlin")</f>
        <v>Dart;Java;JavaScript;Kotlin</v>
      </c>
      <c r="C1902" s="9" t="str">
        <f>IFERROR(__xludf.DUMMYFUNCTION("""COMPUTED_VALUE"""),"PHP")</f>
        <v>PHP</v>
      </c>
      <c r="D1902" s="9" t="str">
        <f>IFERROR(__xludf.DUMMYFUNCTION("""COMPUTED_VALUE"""),"JavaScript")</f>
        <v>JavaScript</v>
      </c>
      <c r="E1902" s="9" t="str">
        <f>IFERROR(__xludf.DUMMYFUNCTION("""COMPUTED_VALUE"""),"C++")</f>
        <v>C++</v>
      </c>
      <c r="F1902" s="9" t="str">
        <f>IFERROR(__xludf.DUMMYFUNCTION("""COMPUTED_VALUE"""),"SQL")</f>
        <v>SQL</v>
      </c>
      <c r="G1902" s="9" t="str">
        <f>IFERROR(__xludf.DUMMYFUNCTION("""COMPUTED_VALUE"""),"Python")</f>
        <v>Python</v>
      </c>
      <c r="H1902" s="9" t="str">
        <f>IFERROR(__xludf.DUMMYFUNCTION("""COMPUTED_VALUE"""),"HTML/CSS")</f>
        <v>HTML/CSS</v>
      </c>
      <c r="I1902" s="9" t="str">
        <f>IFERROR(__xludf.DUMMYFUNCTION("""COMPUTED_VALUE"""),"HTML/CSS")</f>
        <v>HTML/CSS</v>
      </c>
      <c r="J1902" s="9" t="str">
        <f>IFERROR(__xludf.DUMMYFUNCTION("""COMPUTED_VALUE"""),"Kotlin")</f>
        <v>Kotlin</v>
      </c>
      <c r="K1902" s="9" t="str">
        <f>IFERROR(__xludf.DUMMYFUNCTION("""COMPUTED_VALUE"""),"PHP")</f>
        <v>PHP</v>
      </c>
      <c r="L1902" s="9" t="str">
        <f>IFERROR(__xludf.DUMMYFUNCTION("""COMPUTED_VALUE"""),"Java")</f>
        <v>Java</v>
      </c>
      <c r="M1902" s="9" t="s">
        <v>37</v>
      </c>
    </row>
    <row r="1903" ht="15.75" customHeight="1">
      <c r="A1903" s="7"/>
      <c r="B1903" s="7" t="str">
        <f>IFERROR(__xludf.DUMMYFUNCTION("""COMPUTED_VALUE"""),"Assembly;Bash/Shell/PowerShell;C;C++;C#;Clojure;F#;Go;HTML/CSS;Java;JavaScript;Kotlin;PHP;Python;Rust;Scala;SQL;TypeScript;WebAssembly;Other(s):")</f>
        <v>Assembly;Bash/Shell/PowerShell;C;C++;C#;Clojure;F#;Go;HTML/CSS;Java;JavaScript;Kotlin;PHP;Python;Rust;Scala;SQL;TypeScript;WebAssembly;Other(s):</v>
      </c>
      <c r="C1903" s="9" t="str">
        <f>IFERROR(__xludf.DUMMYFUNCTION("""COMPUTED_VALUE"""),"Java")</f>
        <v>Java</v>
      </c>
      <c r="D1903" s="9" t="str">
        <f>IFERROR(__xludf.DUMMYFUNCTION("""COMPUTED_VALUE"""),"Bash/Shell/PowerShell")</f>
        <v>Bash/Shell/PowerShell</v>
      </c>
      <c r="E1903" s="9" t="str">
        <f>IFERROR(__xludf.DUMMYFUNCTION("""COMPUTED_VALUE"""),"Java")</f>
        <v>Java</v>
      </c>
      <c r="F1903" s="9" t="str">
        <f>IFERROR(__xludf.DUMMYFUNCTION("""COMPUTED_VALUE"""),"TypeScript")</f>
        <v>TypeScript</v>
      </c>
      <c r="G1903" s="9" t="str">
        <f>IFERROR(__xludf.DUMMYFUNCTION("""COMPUTED_VALUE"""),"TypeScript")</f>
        <v>TypeScript</v>
      </c>
      <c r="H1903" s="9" t="str">
        <f>IFERROR(__xludf.DUMMYFUNCTION("""COMPUTED_VALUE"""),"JavaScript")</f>
        <v>JavaScript</v>
      </c>
      <c r="I1903" s="9" t="str">
        <f>IFERROR(__xludf.DUMMYFUNCTION("""COMPUTED_VALUE"""),"JavaScript")</f>
        <v>JavaScript</v>
      </c>
      <c r="J1903" s="9" t="str">
        <f>IFERROR(__xludf.DUMMYFUNCTION("""COMPUTED_VALUE"""),"Objective-C")</f>
        <v>Objective-C</v>
      </c>
      <c r="K1903" s="9" t="str">
        <f>IFERROR(__xludf.DUMMYFUNCTION("""COMPUTED_VALUE"""),"SQL")</f>
        <v>SQL</v>
      </c>
      <c r="L1903" s="9" t="str">
        <f>IFERROR(__xludf.DUMMYFUNCTION("""COMPUTED_VALUE"""),"JavaScript")</f>
        <v>JavaScript</v>
      </c>
      <c r="M1903" s="9" t="s">
        <v>20</v>
      </c>
    </row>
    <row r="1904" ht="15.75" customHeight="1">
      <c r="A1904" s="7"/>
      <c r="B1904" s="7" t="str">
        <f>IFERROR(__xludf.DUMMYFUNCTION("""COMPUTED_VALUE"""),"C#;HTML/CSS;JavaScript;Ruby;SQL")</f>
        <v>C#;HTML/CSS;JavaScript;Ruby;SQL</v>
      </c>
      <c r="C1904" s="9" t="str">
        <f>IFERROR(__xludf.DUMMYFUNCTION("""COMPUTED_VALUE"""),"Python")</f>
        <v>Python</v>
      </c>
      <c r="D1904" s="9" t="str">
        <f>IFERROR(__xludf.DUMMYFUNCTION("""COMPUTED_VALUE"""),"Kotlin")</f>
        <v>Kotlin</v>
      </c>
      <c r="E1904" s="9" t="str">
        <f>IFERROR(__xludf.DUMMYFUNCTION("""COMPUTED_VALUE"""),"VBA")</f>
        <v>VBA</v>
      </c>
      <c r="F1904" s="9" t="str">
        <f>IFERROR(__xludf.DUMMYFUNCTION("""COMPUTED_VALUE"""),"HTML/CSS")</f>
        <v>HTML/CSS</v>
      </c>
      <c r="G1904" s="9" t="str">
        <f>IFERROR(__xludf.DUMMYFUNCTION("""COMPUTED_VALUE"""),"Bash/Shell/PowerShell")</f>
        <v>Bash/Shell/PowerShell</v>
      </c>
      <c r="H1904" s="9" t="str">
        <f>IFERROR(__xludf.DUMMYFUNCTION("""COMPUTED_VALUE"""),"SQL")</f>
        <v>SQL</v>
      </c>
      <c r="I1904" s="9" t="str">
        <f>IFERROR(__xludf.DUMMYFUNCTION("""COMPUTED_VALUE"""),"TypeScript")</f>
        <v>TypeScript</v>
      </c>
      <c r="J1904" s="9" t="str">
        <f>IFERROR(__xludf.DUMMYFUNCTION("""COMPUTED_VALUE"""),"PHP")</f>
        <v>PHP</v>
      </c>
      <c r="K1904" s="9" t="str">
        <f>IFERROR(__xludf.DUMMYFUNCTION("""COMPUTED_VALUE"""),"Java")</f>
        <v>Java</v>
      </c>
      <c r="L1904" s="9" t="str">
        <f>IFERROR(__xludf.DUMMYFUNCTION("""COMPUTED_VALUE"""),"PHP")</f>
        <v>PHP</v>
      </c>
      <c r="M1904" s="9" t="s">
        <v>22</v>
      </c>
    </row>
    <row r="1905" ht="15.75" customHeight="1">
      <c r="A1905" s="7"/>
      <c r="B1905" s="7" t="str">
        <f>IFERROR(__xludf.DUMMYFUNCTION("""COMPUTED_VALUE"""),"Bash/Shell/PowerShell;C;C++;C#;HTML/CSS;Java;JavaScript;Python;SQL")</f>
        <v>Bash/Shell/PowerShell;C;C++;C#;HTML/CSS;Java;JavaScript;Python;SQL</v>
      </c>
      <c r="C1905" s="9" t="str">
        <f>IFERROR(__xludf.DUMMYFUNCTION("""COMPUTED_VALUE"""),"C")</f>
        <v>C</v>
      </c>
      <c r="D1905" s="9" t="str">
        <f>IFERROR(__xludf.DUMMYFUNCTION("""COMPUTED_VALUE"""),"Objective-C")</f>
        <v>Objective-C</v>
      </c>
      <c r="E1905" s="9" t="str">
        <f>IFERROR(__xludf.DUMMYFUNCTION("""COMPUTED_VALUE"""),"Go")</f>
        <v>Go</v>
      </c>
      <c r="F1905" s="9" t="str">
        <f>IFERROR(__xludf.DUMMYFUNCTION("""COMPUTED_VALUE"""),"Java")</f>
        <v>Java</v>
      </c>
      <c r="G1905" s="9" t="str">
        <f>IFERROR(__xludf.DUMMYFUNCTION("""COMPUTED_VALUE"""),"C")</f>
        <v>C</v>
      </c>
      <c r="H1905" s="9" t="str">
        <f>IFERROR(__xludf.DUMMYFUNCTION("""COMPUTED_VALUE"""),"Bash/Shell/PowerShell")</f>
        <v>Bash/Shell/PowerShell</v>
      </c>
      <c r="I1905" s="9" t="str">
        <f>IFERROR(__xludf.DUMMYFUNCTION("""COMPUTED_VALUE"""),"HTML/CSS")</f>
        <v>HTML/CSS</v>
      </c>
      <c r="J1905" s="9" t="str">
        <f>IFERROR(__xludf.DUMMYFUNCTION("""COMPUTED_VALUE"""),"Python")</f>
        <v>Python</v>
      </c>
      <c r="K1905" s="9" t="str">
        <f>IFERROR(__xludf.DUMMYFUNCTION("""COMPUTED_VALUE"""),"JavaScript")</f>
        <v>JavaScript</v>
      </c>
      <c r="L1905" s="9" t="str">
        <f>IFERROR(__xludf.DUMMYFUNCTION("""COMPUTED_VALUE"""),"SQL")</f>
        <v>SQL</v>
      </c>
      <c r="M1905" s="9" t="s">
        <v>25</v>
      </c>
    </row>
    <row r="1906" ht="15.75" customHeight="1">
      <c r="A1906" s="7"/>
      <c r="B1906" s="7" t="str">
        <f>IFERROR(__xludf.DUMMYFUNCTION("""COMPUTED_VALUE"""),"C;C++;HTML/CSS;Java;JavaScript;Python;SQL")</f>
        <v>C;C++;HTML/CSS;Java;JavaScript;Python;SQL</v>
      </c>
      <c r="C1906" s="9" t="str">
        <f>IFERROR(__xludf.DUMMYFUNCTION("""COMPUTED_VALUE"""),"HTML/CSS")</f>
        <v>HTML/CSS</v>
      </c>
      <c r="D1906" s="9" t="str">
        <f>IFERROR(__xludf.DUMMYFUNCTION("""COMPUTED_VALUE"""),"Swift")</f>
        <v>Swift</v>
      </c>
      <c r="E1906" s="9" t="str">
        <f>IFERROR(__xludf.DUMMYFUNCTION("""COMPUTED_VALUE"""),"HTML/CSS")</f>
        <v>HTML/CSS</v>
      </c>
      <c r="F1906" s="9" t="str">
        <f>IFERROR(__xludf.DUMMYFUNCTION("""COMPUTED_VALUE"""),"PHP")</f>
        <v>PHP</v>
      </c>
      <c r="G1906" s="9" t="str">
        <f>IFERROR(__xludf.DUMMYFUNCTION("""COMPUTED_VALUE"""),"C++")</f>
        <v>C++</v>
      </c>
      <c r="H1906" s="9" t="str">
        <f>IFERROR(__xludf.DUMMYFUNCTION("""COMPUTED_VALUE"""),"C#")</f>
        <v>C#</v>
      </c>
      <c r="I1906" s="9" t="str">
        <f>IFERROR(__xludf.DUMMYFUNCTION("""COMPUTED_VALUE"""),"JavaScript")</f>
        <v>JavaScript</v>
      </c>
      <c r="J1906" s="9" t="str">
        <f>IFERROR(__xludf.DUMMYFUNCTION("""COMPUTED_VALUE"""),"R")</f>
        <v>R</v>
      </c>
      <c r="K1906" s="9" t="str">
        <f>IFERROR(__xludf.DUMMYFUNCTION("""COMPUTED_VALUE"""),"Kotlin")</f>
        <v>Kotlin</v>
      </c>
      <c r="L1906" s="9" t="str">
        <f>IFERROR(__xludf.DUMMYFUNCTION("""COMPUTED_VALUE"""),"VBA")</f>
        <v>VBA</v>
      </c>
      <c r="M1906" s="9" t="s">
        <v>24</v>
      </c>
    </row>
    <row r="1907" ht="15.75" customHeight="1">
      <c r="A1907" s="7"/>
      <c r="B1907" s="7" t="str">
        <f>IFERROR(__xludf.DUMMYFUNCTION("""COMPUTED_VALUE"""),"C#;F#;HTML/CSS;SQL;Other(s):")</f>
        <v>C#;F#;HTML/CSS;SQL;Other(s):</v>
      </c>
      <c r="C1907" s="9" t="str">
        <f>IFERROR(__xludf.DUMMYFUNCTION("""COMPUTED_VALUE"""),"Java")</f>
        <v>Java</v>
      </c>
      <c r="D1907" s="9" t="str">
        <f>IFERROR(__xludf.DUMMYFUNCTION("""COMPUTED_VALUE"""),"C")</f>
        <v>C</v>
      </c>
      <c r="E1907" s="9" t="str">
        <f>IFERROR(__xludf.DUMMYFUNCTION("""COMPUTED_VALUE"""),"Java")</f>
        <v>Java</v>
      </c>
      <c r="F1907" s="9" t="str">
        <f>IFERROR(__xludf.DUMMYFUNCTION("""COMPUTED_VALUE"""),"Bash/Shell/PowerShell")</f>
        <v>Bash/Shell/PowerShell</v>
      </c>
      <c r="G1907" s="9" t="str">
        <f>IFERROR(__xludf.DUMMYFUNCTION("""COMPUTED_VALUE"""),"C#")</f>
        <v>C#</v>
      </c>
      <c r="H1907" s="9" t="str">
        <f>IFERROR(__xludf.DUMMYFUNCTION("""COMPUTED_VALUE"""),"HTML/CSS")</f>
        <v>HTML/CSS</v>
      </c>
      <c r="I1907" s="9" t="str">
        <f>IFERROR(__xludf.DUMMYFUNCTION("""COMPUTED_VALUE"""),"PHP")</f>
        <v>PHP</v>
      </c>
      <c r="J1907" s="9" t="str">
        <f>IFERROR(__xludf.DUMMYFUNCTION("""COMPUTED_VALUE"""),"Ruby")</f>
        <v>Ruby</v>
      </c>
      <c r="K1907" s="9" t="str">
        <f>IFERROR(__xludf.DUMMYFUNCTION("""COMPUTED_VALUE"""),"PHP")</f>
        <v>PHP</v>
      </c>
      <c r="L1907" s="9" t="str">
        <f>IFERROR(__xludf.DUMMYFUNCTION("""COMPUTED_VALUE"""),"Bash/Shell/PowerShell")</f>
        <v>Bash/Shell/PowerShell</v>
      </c>
      <c r="M1907" s="9" t="s">
        <v>20</v>
      </c>
    </row>
    <row r="1908" ht="15.75" customHeight="1">
      <c r="A1908" s="7"/>
      <c r="B1908" s="7" t="str">
        <f>IFERROR(__xludf.DUMMYFUNCTION("""COMPUTED_VALUE"""),"C#;Python")</f>
        <v>C#;Python</v>
      </c>
      <c r="C1908" s="9" t="str">
        <f>IFERROR(__xludf.DUMMYFUNCTION("""COMPUTED_VALUE"""),"JavaScript")</f>
        <v>JavaScript</v>
      </c>
      <c r="D1908" s="9" t="str">
        <f>IFERROR(__xludf.DUMMYFUNCTION("""COMPUTED_VALUE"""),"C#")</f>
        <v>C#</v>
      </c>
      <c r="E1908" s="9" t="str">
        <f>IFERROR(__xludf.DUMMYFUNCTION("""COMPUTED_VALUE"""),"JavaScript")</f>
        <v>JavaScript</v>
      </c>
      <c r="F1908" s="9" t="str">
        <f>IFERROR(__xludf.DUMMYFUNCTION("""COMPUTED_VALUE"""),"C")</f>
        <v>C</v>
      </c>
      <c r="G1908" s="9" t="str">
        <f>IFERROR(__xludf.DUMMYFUNCTION("""COMPUTED_VALUE"""),"HTML/CSS")</f>
        <v>HTML/CSS</v>
      </c>
      <c r="H1908" s="9" t="str">
        <f>IFERROR(__xludf.DUMMYFUNCTION("""COMPUTED_VALUE"""),"JavaScript")</f>
        <v>JavaScript</v>
      </c>
      <c r="I1908" s="9" t="str">
        <f>IFERROR(__xludf.DUMMYFUNCTION("""COMPUTED_VALUE"""),"SQL")</f>
        <v>SQL</v>
      </c>
      <c r="J1908" s="9" t="str">
        <f>IFERROR(__xludf.DUMMYFUNCTION("""COMPUTED_VALUE"""),"Scala")</f>
        <v>Scala</v>
      </c>
      <c r="K1908" s="9" t="str">
        <f>IFERROR(__xludf.DUMMYFUNCTION("""COMPUTED_VALUE"""),"Bash/Shell/PowerShell")</f>
        <v>Bash/Shell/PowerShell</v>
      </c>
      <c r="L1908" s="9" t="str">
        <f>IFERROR(__xludf.DUMMYFUNCTION("""COMPUTED_VALUE"""),"Clojure")</f>
        <v>Clojure</v>
      </c>
      <c r="M1908" s="9" t="s">
        <v>21</v>
      </c>
    </row>
    <row r="1909" ht="15.75" customHeight="1">
      <c r="A1909" s="7"/>
      <c r="B1909" s="7" t="str">
        <f>IFERROR(__xludf.DUMMYFUNCTION("""COMPUTED_VALUE"""),"Java;Kotlin")</f>
        <v>Java;Kotlin</v>
      </c>
      <c r="C1909" s="9" t="str">
        <f>IFERROR(__xludf.DUMMYFUNCTION("""COMPUTED_VALUE"""),"PHP")</f>
        <v>PHP</v>
      </c>
      <c r="D1909" s="9" t="str">
        <f>IFERROR(__xludf.DUMMYFUNCTION("""COMPUTED_VALUE"""),"HTML/CSS")</f>
        <v>HTML/CSS</v>
      </c>
      <c r="E1909" s="9" t="str">
        <f>IFERROR(__xludf.DUMMYFUNCTION("""COMPUTED_VALUE"""),"Bash/Shell/PowerShell")</f>
        <v>Bash/Shell/PowerShell</v>
      </c>
      <c r="F1909" s="9" t="str">
        <f>IFERROR(__xludf.DUMMYFUNCTION("""COMPUTED_VALUE"""),"C#")</f>
        <v>C#</v>
      </c>
      <c r="G1909" s="9" t="str">
        <f>IFERROR(__xludf.DUMMYFUNCTION("""COMPUTED_VALUE"""),"Java")</f>
        <v>Java</v>
      </c>
      <c r="H1909" s="9" t="str">
        <f>IFERROR(__xludf.DUMMYFUNCTION("""COMPUTED_VALUE"""),"SQL")</f>
        <v>SQL</v>
      </c>
      <c r="I1909" s="9" t="str">
        <f>IFERROR(__xludf.DUMMYFUNCTION("""COMPUTED_VALUE"""),"Bash/Shell/PowerShell")</f>
        <v>Bash/Shell/PowerShell</v>
      </c>
      <c r="J1909" s="9" t="str">
        <f>IFERROR(__xludf.DUMMYFUNCTION("""COMPUTED_VALUE"""),"SQL")</f>
        <v>SQL</v>
      </c>
      <c r="K1909" s="9" t="str">
        <f>IFERROR(__xludf.DUMMYFUNCTION("""COMPUTED_VALUE"""),"C")</f>
        <v>C</v>
      </c>
      <c r="L1909" s="9" t="str">
        <f>IFERROR(__xludf.DUMMYFUNCTION("""COMPUTED_VALUE"""),"Python")</f>
        <v>Python</v>
      </c>
      <c r="M1909" s="9" t="s">
        <v>37</v>
      </c>
    </row>
    <row r="1910" ht="15.75" customHeight="1">
      <c r="A1910" s="7"/>
      <c r="B1910" s="7" t="str">
        <f>IFERROR(__xludf.DUMMYFUNCTION("""COMPUTED_VALUE"""),"C#;HTML/CSS;JavaScript;TypeScript")</f>
        <v>C#;HTML/CSS;JavaScript;TypeScript</v>
      </c>
      <c r="C1910" s="9" t="str">
        <f>IFERROR(__xludf.DUMMYFUNCTION("""COMPUTED_VALUE"""),"SQL")</f>
        <v>SQL</v>
      </c>
      <c r="D1910" s="9" t="str">
        <f>IFERROR(__xludf.DUMMYFUNCTION("""COMPUTED_VALUE"""),"Java")</f>
        <v>Java</v>
      </c>
      <c r="E1910" s="9" t="str">
        <f>IFERROR(__xludf.DUMMYFUNCTION("""COMPUTED_VALUE"""),"HTML/CSS")</f>
        <v>HTML/CSS</v>
      </c>
      <c r="F1910" s="9" t="str">
        <f>IFERROR(__xludf.DUMMYFUNCTION("""COMPUTED_VALUE"""),"HTML/CSS")</f>
        <v>HTML/CSS</v>
      </c>
      <c r="G1910" s="9" t="str">
        <f>IFERROR(__xludf.DUMMYFUNCTION("""COMPUTED_VALUE"""),"JavaScript")</f>
        <v>JavaScript</v>
      </c>
      <c r="H1910" s="9" t="str">
        <f>IFERROR(__xludf.DUMMYFUNCTION("""COMPUTED_VALUE"""),"TypeScript")</f>
        <v>TypeScript</v>
      </c>
      <c r="I1910" s="9" t="str">
        <f>IFERROR(__xludf.DUMMYFUNCTION("""COMPUTED_VALUE"""),"C#")</f>
        <v>C#</v>
      </c>
      <c r="J1910" s="9" t="str">
        <f>IFERROR(__xludf.DUMMYFUNCTION("""COMPUTED_VALUE"""),"TypeScript")</f>
        <v>TypeScript</v>
      </c>
      <c r="K1910" s="9" t="str">
        <f>IFERROR(__xludf.DUMMYFUNCTION("""COMPUTED_VALUE"""),"C++")</f>
        <v>C++</v>
      </c>
      <c r="L1910" s="9" t="str">
        <f>IFERROR(__xludf.DUMMYFUNCTION("""COMPUTED_VALUE"""),"R")</f>
        <v>R</v>
      </c>
      <c r="M1910" s="9" t="s">
        <v>27</v>
      </c>
    </row>
    <row r="1911" ht="15.75" customHeight="1">
      <c r="A1911" s="7"/>
      <c r="B1911" s="7" t="str">
        <f>IFERROR(__xludf.DUMMYFUNCTION("""COMPUTED_VALUE"""),"Bash/Shell/PowerShell;C#;HTML/CSS;JavaScript;Python;R;SQL;VBA")</f>
        <v>Bash/Shell/PowerShell;C#;HTML/CSS;JavaScript;Python;R;SQL;VBA</v>
      </c>
      <c r="C1911" s="9" t="str">
        <f>IFERROR(__xludf.DUMMYFUNCTION("""COMPUTED_VALUE"""),"TypeScript")</f>
        <v>TypeScript</v>
      </c>
      <c r="D1911" s="9" t="str">
        <f>IFERROR(__xludf.DUMMYFUNCTION("""COMPUTED_VALUE"""),"JavaScript")</f>
        <v>JavaScript</v>
      </c>
      <c r="E1911" s="9" t="str">
        <f>IFERROR(__xludf.DUMMYFUNCTION("""COMPUTED_VALUE"""),"Java")</f>
        <v>Java</v>
      </c>
      <c r="F1911" s="9" t="str">
        <f>IFERROR(__xludf.DUMMYFUNCTION("""COMPUTED_VALUE"""),"Python")</f>
        <v>Python</v>
      </c>
      <c r="G1911" s="9" t="str">
        <f>IFERROR(__xludf.DUMMYFUNCTION("""COMPUTED_VALUE"""),"PHP")</f>
        <v>PHP</v>
      </c>
      <c r="H1911" s="9" t="str">
        <f>IFERROR(__xludf.DUMMYFUNCTION("""COMPUTED_VALUE"""),"C")</f>
        <v>C</v>
      </c>
      <c r="I1911" s="9" t="str">
        <f>IFERROR(__xludf.DUMMYFUNCTION("""COMPUTED_VALUE"""),"Kotlin")</f>
        <v>Kotlin</v>
      </c>
      <c r="J1911" s="9" t="str">
        <f>IFERROR(__xludf.DUMMYFUNCTION("""COMPUTED_VALUE"""),"Bash/Shell/PowerShell")</f>
        <v>Bash/Shell/PowerShell</v>
      </c>
      <c r="K1911" s="9" t="str">
        <f>IFERROR(__xludf.DUMMYFUNCTION("""COMPUTED_VALUE"""),"HTML/CSS")</f>
        <v>HTML/CSS</v>
      </c>
      <c r="L1911" s="9" t="str">
        <f>IFERROR(__xludf.DUMMYFUNCTION("""COMPUTED_VALUE"""),"Bash/Shell/PowerShell")</f>
        <v>Bash/Shell/PowerShell</v>
      </c>
      <c r="M1911" s="9" t="s">
        <v>33</v>
      </c>
    </row>
    <row r="1912" ht="15.75" customHeight="1">
      <c r="A1912" s="7"/>
      <c r="B1912" s="7" t="str">
        <f>IFERROR(__xludf.DUMMYFUNCTION("""COMPUTED_VALUE"""),"C;C++;Java;Python;SQL;Swift;VBA")</f>
        <v>C;C++;Java;Python;SQL;Swift;VBA</v>
      </c>
      <c r="C1912" s="9" t="str">
        <f>IFERROR(__xludf.DUMMYFUNCTION("""COMPUTED_VALUE"""),"Bash/Shell/PowerShell")</f>
        <v>Bash/Shell/PowerShell</v>
      </c>
      <c r="D1912" s="9" t="str">
        <f>IFERROR(__xludf.DUMMYFUNCTION("""COMPUTED_VALUE"""),"PHP")</f>
        <v>PHP</v>
      </c>
      <c r="E1912" s="9" t="str">
        <f>IFERROR(__xludf.DUMMYFUNCTION("""COMPUTED_VALUE"""),"JavaScript")</f>
        <v>JavaScript</v>
      </c>
      <c r="F1912" s="9" t="str">
        <f>IFERROR(__xludf.DUMMYFUNCTION("""COMPUTED_VALUE"""),"VBA")</f>
        <v>VBA</v>
      </c>
      <c r="G1912" s="9" t="str">
        <f>IFERROR(__xludf.DUMMYFUNCTION("""COMPUTED_VALUE"""),"Python")</f>
        <v>Python</v>
      </c>
      <c r="H1912" s="9" t="str">
        <f>IFERROR(__xludf.DUMMYFUNCTION("""COMPUTED_VALUE"""),"C++")</f>
        <v>C++</v>
      </c>
      <c r="I1912" s="9" t="str">
        <f>IFERROR(__xludf.DUMMYFUNCTION("""COMPUTED_VALUE"""),"Swift")</f>
        <v>Swift</v>
      </c>
      <c r="J1912" s="9" t="str">
        <f>IFERROR(__xludf.DUMMYFUNCTION("""COMPUTED_VALUE"""),"C++")</f>
        <v>C++</v>
      </c>
      <c r="K1912" s="9" t="str">
        <f>IFERROR(__xludf.DUMMYFUNCTION("""COMPUTED_VALUE"""),"Java")</f>
        <v>Java</v>
      </c>
      <c r="L1912" s="9" t="str">
        <f>IFERROR(__xludf.DUMMYFUNCTION("""COMPUTED_VALUE"""),"C#")</f>
        <v>C#</v>
      </c>
      <c r="M1912" s="9" t="s">
        <v>30</v>
      </c>
    </row>
    <row r="1913" ht="15.75" customHeight="1">
      <c r="A1913" s="7"/>
      <c r="B1913" s="7" t="str">
        <f>IFERROR(__xludf.DUMMYFUNCTION("""COMPUTED_VALUE"""),"Bash/Shell/PowerShell;HTML/CSS;Java;JavaScript;PHP;Ruby;SQL;TypeScript")</f>
        <v>Bash/Shell/PowerShell;HTML/CSS;Java;JavaScript;PHP;Ruby;SQL;TypeScript</v>
      </c>
      <c r="C1913" s="9" t="str">
        <f>IFERROR(__xludf.DUMMYFUNCTION("""COMPUTED_VALUE"""),"JavaScript")</f>
        <v>JavaScript</v>
      </c>
      <c r="D1913" s="9" t="str">
        <f>IFERROR(__xludf.DUMMYFUNCTION("""COMPUTED_VALUE"""),"Python")</f>
        <v>Python</v>
      </c>
      <c r="E1913" s="9" t="str">
        <f>IFERROR(__xludf.DUMMYFUNCTION("""COMPUTED_VALUE"""),"PHP")</f>
        <v>PHP</v>
      </c>
      <c r="F1913" s="9" t="str">
        <f>IFERROR(__xludf.DUMMYFUNCTION("""COMPUTED_VALUE"""),"HTML/CSS")</f>
        <v>HTML/CSS</v>
      </c>
      <c r="G1913" s="9" t="str">
        <f>IFERROR(__xludf.DUMMYFUNCTION("""COMPUTED_VALUE"""),"SQL")</f>
        <v>SQL</v>
      </c>
      <c r="H1913" s="9" t="str">
        <f>IFERROR(__xludf.DUMMYFUNCTION("""COMPUTED_VALUE"""),"C#")</f>
        <v>C#</v>
      </c>
      <c r="I1913" s="9" t="str">
        <f>IFERROR(__xludf.DUMMYFUNCTION("""COMPUTED_VALUE"""),"C")</f>
        <v>C</v>
      </c>
      <c r="J1913" s="9" t="str">
        <f>IFERROR(__xludf.DUMMYFUNCTION("""COMPUTED_VALUE"""),"HTML/CSS")</f>
        <v>HTML/CSS</v>
      </c>
      <c r="K1913" s="9" t="str">
        <f>IFERROR(__xludf.DUMMYFUNCTION("""COMPUTED_VALUE"""),"JavaScript")</f>
        <v>JavaScript</v>
      </c>
      <c r="L1913" s="9" t="str">
        <f>IFERROR(__xludf.DUMMYFUNCTION("""COMPUTED_VALUE"""),"HTML/CSS")</f>
        <v>HTML/CSS</v>
      </c>
      <c r="M1913" s="9" t="s">
        <v>21</v>
      </c>
    </row>
    <row r="1914" ht="15.75" customHeight="1">
      <c r="A1914" s="7"/>
      <c r="B1914" s="7" t="str">
        <f>IFERROR(__xludf.DUMMYFUNCTION("""COMPUTED_VALUE"""),"Objective-C;Swift")</f>
        <v>Objective-C;Swift</v>
      </c>
      <c r="C1914" s="9" t="str">
        <f>IFERROR(__xludf.DUMMYFUNCTION("""COMPUTED_VALUE"""),"Objective-C")</f>
        <v>Objective-C</v>
      </c>
      <c r="D1914" s="9" t="str">
        <f>IFERROR(__xludf.DUMMYFUNCTION("""COMPUTED_VALUE"""),"SQL")</f>
        <v>SQL</v>
      </c>
      <c r="E1914" s="9" t="str">
        <f>IFERROR(__xludf.DUMMYFUNCTION("""COMPUTED_VALUE"""),"Python")</f>
        <v>Python</v>
      </c>
      <c r="F1914" s="9" t="str">
        <f>IFERROR(__xludf.DUMMYFUNCTION("""COMPUTED_VALUE"""),"JavaScript")</f>
        <v>JavaScript</v>
      </c>
      <c r="G1914" s="9" t="str">
        <f>IFERROR(__xludf.DUMMYFUNCTION("""COMPUTED_VALUE"""),"VBA")</f>
        <v>VBA</v>
      </c>
      <c r="H1914" s="9" t="str">
        <f>IFERROR(__xludf.DUMMYFUNCTION("""COMPUTED_VALUE"""),"HTML/CSS")</f>
        <v>HTML/CSS</v>
      </c>
      <c r="I1914" s="9" t="str">
        <f>IFERROR(__xludf.DUMMYFUNCTION("""COMPUTED_VALUE"""),"C++")</f>
        <v>C++</v>
      </c>
      <c r="J1914" s="9" t="str">
        <f>IFERROR(__xludf.DUMMYFUNCTION("""COMPUTED_VALUE"""),"JavaScript")</f>
        <v>JavaScript</v>
      </c>
      <c r="K1914" s="9" t="str">
        <f>IFERROR(__xludf.DUMMYFUNCTION("""COMPUTED_VALUE"""),"Python")</f>
        <v>Python</v>
      </c>
      <c r="L1914" s="9" t="str">
        <f>IFERROR(__xludf.DUMMYFUNCTION("""COMPUTED_VALUE"""),"JavaScript")</f>
        <v>JavaScript</v>
      </c>
      <c r="M1914" s="9" t="s">
        <v>41</v>
      </c>
    </row>
    <row r="1915" ht="15.75" customHeight="1">
      <c r="A1915" s="7"/>
      <c r="B1915" s="7" t="str">
        <f>IFERROR(__xludf.DUMMYFUNCTION("""COMPUTED_VALUE"""),"C;C++;C#;HTML/CSS;Java;JavaScript;PHP;SQL")</f>
        <v>C;C++;C#;HTML/CSS;Java;JavaScript;PHP;SQL</v>
      </c>
      <c r="C1915" s="9" t="str">
        <f>IFERROR(__xludf.DUMMYFUNCTION("""COMPUTED_VALUE"""),"Ruby")</f>
        <v>Ruby</v>
      </c>
      <c r="D1915" s="9" t="str">
        <f>IFERROR(__xludf.DUMMYFUNCTION("""COMPUTED_VALUE"""),"VBA")</f>
        <v>VBA</v>
      </c>
      <c r="E1915" s="9" t="str">
        <f>IFERROR(__xludf.DUMMYFUNCTION("""COMPUTED_VALUE"""),"Scala")</f>
        <v>Scala</v>
      </c>
      <c r="F1915" s="9" t="str">
        <f>IFERROR(__xludf.DUMMYFUNCTION("""COMPUTED_VALUE"""),"Python")</f>
        <v>Python</v>
      </c>
      <c r="G1915" s="9" t="str">
        <f>IFERROR(__xludf.DUMMYFUNCTION("""COMPUTED_VALUE"""),"Other(s):")</f>
        <v>Other(s):</v>
      </c>
      <c r="H1915" s="9" t="str">
        <f>IFERROR(__xludf.DUMMYFUNCTION("""COMPUTED_VALUE"""),"Java")</f>
        <v>Java</v>
      </c>
      <c r="I1915" s="9" t="str">
        <f>IFERROR(__xludf.DUMMYFUNCTION("""COMPUTED_VALUE"""),"HTML/CSS")</f>
        <v>HTML/CSS</v>
      </c>
      <c r="J1915" s="9" t="str">
        <f>IFERROR(__xludf.DUMMYFUNCTION("""COMPUTED_VALUE"""),"Kotlin")</f>
        <v>Kotlin</v>
      </c>
      <c r="K1915" s="9" t="str">
        <f>IFERROR(__xludf.DUMMYFUNCTION("""COMPUTED_VALUE"""),"TypeScript")</f>
        <v>TypeScript</v>
      </c>
      <c r="L1915" s="9" t="str">
        <f>IFERROR(__xludf.DUMMYFUNCTION("""COMPUTED_VALUE"""),"SQL")</f>
        <v>SQL</v>
      </c>
      <c r="M1915" s="9" t="s">
        <v>31</v>
      </c>
    </row>
    <row r="1916" ht="15.75" customHeight="1">
      <c r="A1916" s="7"/>
      <c r="B1916" s="7" t="str">
        <f>IFERROR(__xludf.DUMMYFUNCTION("""COMPUTED_VALUE"""),"C#;Java;JavaScript;Kotlin")</f>
        <v>C#;Java;JavaScript;Kotlin</v>
      </c>
      <c r="C1916" s="9" t="str">
        <f>IFERROR(__xludf.DUMMYFUNCTION("""COMPUTED_VALUE"""),"Swift")</f>
        <v>Swift</v>
      </c>
      <c r="D1916" s="9" t="str">
        <f>IFERROR(__xludf.DUMMYFUNCTION("""COMPUTED_VALUE"""),"C#")</f>
        <v>C#</v>
      </c>
      <c r="E1916" s="9" t="str">
        <f>IFERROR(__xludf.DUMMYFUNCTION("""COMPUTED_VALUE"""),"TypeScript")</f>
        <v>TypeScript</v>
      </c>
      <c r="F1916" s="9" t="str">
        <f>IFERROR(__xludf.DUMMYFUNCTION("""COMPUTED_VALUE"""),"SQL")</f>
        <v>SQL</v>
      </c>
      <c r="G1916" s="9" t="str">
        <f>IFERROR(__xludf.DUMMYFUNCTION("""COMPUTED_VALUE"""),"Bash/Shell/PowerShell")</f>
        <v>Bash/Shell/PowerShell</v>
      </c>
      <c r="H1916" s="9" t="str">
        <f>IFERROR(__xludf.DUMMYFUNCTION("""COMPUTED_VALUE"""),"JavaScript")</f>
        <v>JavaScript</v>
      </c>
      <c r="I1916" s="9" t="str">
        <f>IFERROR(__xludf.DUMMYFUNCTION("""COMPUTED_VALUE"""),"JavaScript")</f>
        <v>JavaScript</v>
      </c>
      <c r="J1916" s="9" t="str">
        <f>IFERROR(__xludf.DUMMYFUNCTION("""COMPUTED_VALUE"""),"Python")</f>
        <v>Python</v>
      </c>
      <c r="K1916" s="9" t="str">
        <f>IFERROR(__xludf.DUMMYFUNCTION("""COMPUTED_VALUE"""),"Bash/Shell/PowerShell")</f>
        <v>Bash/Shell/PowerShell</v>
      </c>
      <c r="L1916" s="9" t="str">
        <f>IFERROR(__xludf.DUMMYFUNCTION("""COMPUTED_VALUE"""),"Clojure")</f>
        <v>Clojure</v>
      </c>
      <c r="M1916" s="9" t="s">
        <v>40</v>
      </c>
    </row>
    <row r="1917" ht="15.75" customHeight="1">
      <c r="A1917" s="7"/>
      <c r="B1917" s="7" t="str">
        <f>IFERROR(__xludf.DUMMYFUNCTION("""COMPUTED_VALUE"""),"Bash/Shell/PowerShell;Clojure;Go;HTML/CSS;SQL")</f>
        <v>Bash/Shell/PowerShell;Clojure;Go;HTML/CSS;SQL</v>
      </c>
      <c r="C1917" s="9" t="str">
        <f>IFERROR(__xludf.DUMMYFUNCTION("""COMPUTED_VALUE"""),"Bash/Shell/PowerShell")</f>
        <v>Bash/Shell/PowerShell</v>
      </c>
      <c r="D1917" s="9" t="str">
        <f>IFERROR(__xludf.DUMMYFUNCTION("""COMPUTED_VALUE"""),"HTML/CSS")</f>
        <v>HTML/CSS</v>
      </c>
      <c r="E1917" s="9" t="str">
        <f>IFERROR(__xludf.DUMMYFUNCTION("""COMPUTED_VALUE"""),"Other(s):")</f>
        <v>Other(s):</v>
      </c>
      <c r="F1917" s="9" t="str">
        <f>IFERROR(__xludf.DUMMYFUNCTION("""COMPUTED_VALUE"""),"C")</f>
        <v>C</v>
      </c>
      <c r="G1917" s="9" t="str">
        <f>IFERROR(__xludf.DUMMYFUNCTION("""COMPUTED_VALUE"""),"HTML/CSS")</f>
        <v>HTML/CSS</v>
      </c>
      <c r="H1917" s="9" t="str">
        <f>IFERROR(__xludf.DUMMYFUNCTION("""COMPUTED_VALUE"""),"Objective-C")</f>
        <v>Objective-C</v>
      </c>
      <c r="I1917" s="9" t="str">
        <f>IFERROR(__xludf.DUMMYFUNCTION("""COMPUTED_VALUE"""),"Objective-C")</f>
        <v>Objective-C</v>
      </c>
      <c r="J1917" s="9" t="str">
        <f>IFERROR(__xludf.DUMMYFUNCTION("""COMPUTED_VALUE"""),"Ruby")</f>
        <v>Ruby</v>
      </c>
      <c r="K1917" s="9" t="str">
        <f>IFERROR(__xludf.DUMMYFUNCTION("""COMPUTED_VALUE"""),"Python")</f>
        <v>Python</v>
      </c>
      <c r="L1917" s="9" t="str">
        <f>IFERROR(__xludf.DUMMYFUNCTION("""COMPUTED_VALUE"""),"JavaScript")</f>
        <v>JavaScript</v>
      </c>
      <c r="M1917" s="9" t="s">
        <v>30</v>
      </c>
    </row>
    <row r="1918" ht="15.75" customHeight="1">
      <c r="A1918" s="7"/>
      <c r="B1918" s="7" t="str">
        <f>IFERROR(__xludf.DUMMYFUNCTION("""COMPUTED_VALUE"""),"Assembly")</f>
        <v>Assembly</v>
      </c>
      <c r="C1918" s="9" t="str">
        <f>IFERROR(__xludf.DUMMYFUNCTION("""COMPUTED_VALUE"""),"HTML/CSS")</f>
        <v>HTML/CSS</v>
      </c>
      <c r="D1918" s="9" t="str">
        <f>IFERROR(__xludf.DUMMYFUNCTION("""COMPUTED_VALUE"""),"JavaScript")</f>
        <v>JavaScript</v>
      </c>
      <c r="E1918" s="9" t="str">
        <f>IFERROR(__xludf.DUMMYFUNCTION("""COMPUTED_VALUE"""),"Bash/Shell/PowerShell")</f>
        <v>Bash/Shell/PowerShell</v>
      </c>
      <c r="F1918" s="9" t="str">
        <f>IFERROR(__xludf.DUMMYFUNCTION("""COMPUTED_VALUE"""),"HTML/CSS")</f>
        <v>HTML/CSS</v>
      </c>
      <c r="G1918" s="9" t="str">
        <f>IFERROR(__xludf.DUMMYFUNCTION("""COMPUTED_VALUE"""),"JavaScript")</f>
        <v>JavaScript</v>
      </c>
      <c r="H1918" s="9" t="str">
        <f>IFERROR(__xludf.DUMMYFUNCTION("""COMPUTED_VALUE"""),"PHP")</f>
        <v>PHP</v>
      </c>
      <c r="I1918" s="9" t="str">
        <f>IFERROR(__xludf.DUMMYFUNCTION("""COMPUTED_VALUE"""),"Swift")</f>
        <v>Swift</v>
      </c>
      <c r="J1918" s="9" t="str">
        <f>IFERROR(__xludf.DUMMYFUNCTION("""COMPUTED_VALUE"""),"SQL")</f>
        <v>SQL</v>
      </c>
      <c r="K1918" s="9" t="str">
        <f>IFERROR(__xludf.DUMMYFUNCTION("""COMPUTED_VALUE"""),"R")</f>
        <v>R</v>
      </c>
      <c r="L1918" s="9" t="str">
        <f>IFERROR(__xludf.DUMMYFUNCTION("""COMPUTED_VALUE"""),"Bash/Shell/PowerShell")</f>
        <v>Bash/Shell/PowerShell</v>
      </c>
      <c r="M1918" s="9" t="s">
        <v>24</v>
      </c>
    </row>
    <row r="1919" ht="15.75" customHeight="1">
      <c r="A1919" s="7"/>
      <c r="B1919" s="7" t="str">
        <f>IFERROR(__xludf.DUMMYFUNCTION("""COMPUTED_VALUE"""),"C#;JavaScript;Python;SQL")</f>
        <v>C#;JavaScript;Python;SQL</v>
      </c>
      <c r="C1919" s="9" t="str">
        <f>IFERROR(__xludf.DUMMYFUNCTION("""COMPUTED_VALUE"""),"Java")</f>
        <v>Java</v>
      </c>
      <c r="D1919" s="9" t="str">
        <f>IFERROR(__xludf.DUMMYFUNCTION("""COMPUTED_VALUE"""),"PHP")</f>
        <v>PHP</v>
      </c>
      <c r="E1919" s="9" t="str">
        <f>IFERROR(__xludf.DUMMYFUNCTION("""COMPUTED_VALUE"""),"Go")</f>
        <v>Go</v>
      </c>
      <c r="F1919" s="9" t="str">
        <f>IFERROR(__xludf.DUMMYFUNCTION("""COMPUTED_VALUE"""),"Python")</f>
        <v>Python</v>
      </c>
      <c r="G1919" s="9" t="str">
        <f>IFERROR(__xludf.DUMMYFUNCTION("""COMPUTED_VALUE"""),"Python")</f>
        <v>Python</v>
      </c>
      <c r="H1919" s="9" t="str">
        <f>IFERROR(__xludf.DUMMYFUNCTION("""COMPUTED_VALUE"""),"Python")</f>
        <v>Python</v>
      </c>
      <c r="I1919" s="9" t="str">
        <f>IFERROR(__xludf.DUMMYFUNCTION("""COMPUTED_VALUE"""),"C#")</f>
        <v>C#</v>
      </c>
      <c r="J1919" s="9" t="str">
        <f>IFERROR(__xludf.DUMMYFUNCTION("""COMPUTED_VALUE"""),"C#")</f>
        <v>C#</v>
      </c>
      <c r="K1919" s="9" t="str">
        <f>IFERROR(__xludf.DUMMYFUNCTION("""COMPUTED_VALUE"""),"Bash/Shell/PowerShell")</f>
        <v>Bash/Shell/PowerShell</v>
      </c>
      <c r="L1919" s="9" t="str">
        <f>IFERROR(__xludf.DUMMYFUNCTION("""COMPUTED_VALUE"""),"Java")</f>
        <v>Java</v>
      </c>
      <c r="M1919" s="9" t="s">
        <v>20</v>
      </c>
    </row>
    <row r="1920" ht="15.75" customHeight="1">
      <c r="A1920" s="7"/>
      <c r="B1920" s="7" t="str">
        <f>IFERROR(__xludf.DUMMYFUNCTION("""COMPUTED_VALUE"""),"Assembly;C++;HTML/CSS;Java;JavaScript;PHP;SQL")</f>
        <v>Assembly;C++;HTML/CSS;Java;JavaScript;PHP;SQL</v>
      </c>
      <c r="C1920" s="9" t="str">
        <f>IFERROR(__xludf.DUMMYFUNCTION("""COMPUTED_VALUE"""),"Kotlin")</f>
        <v>Kotlin</v>
      </c>
      <c r="D1920" s="9" t="str">
        <f>IFERROR(__xludf.DUMMYFUNCTION("""COMPUTED_VALUE"""),"SQL")</f>
        <v>SQL</v>
      </c>
      <c r="E1920" s="9" t="str">
        <f>IFERROR(__xludf.DUMMYFUNCTION("""COMPUTED_VALUE"""),"HTML/CSS")</f>
        <v>HTML/CSS</v>
      </c>
      <c r="F1920" s="9" t="str">
        <f>IFERROR(__xludf.DUMMYFUNCTION("""COMPUTED_VALUE"""),"Other(s):")</f>
        <v>Other(s):</v>
      </c>
      <c r="G1920" s="9" t="str">
        <f>IFERROR(__xludf.DUMMYFUNCTION("""COMPUTED_VALUE"""),"Bash/Shell/PowerShell")</f>
        <v>Bash/Shell/PowerShell</v>
      </c>
      <c r="H1920" s="9" t="str">
        <f>IFERROR(__xludf.DUMMYFUNCTION("""COMPUTED_VALUE"""),"R")</f>
        <v>R</v>
      </c>
      <c r="I1920" s="9" t="str">
        <f>IFERROR(__xludf.DUMMYFUNCTION("""COMPUTED_VALUE"""),"HTML/CSS")</f>
        <v>HTML/CSS</v>
      </c>
      <c r="J1920" s="9" t="str">
        <f>IFERROR(__xludf.DUMMYFUNCTION("""COMPUTED_VALUE"""),"SQL")</f>
        <v>SQL</v>
      </c>
      <c r="K1920" s="9" t="str">
        <f>IFERROR(__xludf.DUMMYFUNCTION("""COMPUTED_VALUE"""),"C++")</f>
        <v>C++</v>
      </c>
      <c r="L1920" s="9" t="str">
        <f>IFERROR(__xludf.DUMMYFUNCTION("""COMPUTED_VALUE"""),"Python")</f>
        <v>Python</v>
      </c>
      <c r="M1920" s="9" t="s">
        <v>39</v>
      </c>
    </row>
    <row r="1921" ht="15.75" customHeight="1">
      <c r="A1921" s="7"/>
      <c r="B1921" s="7" t="str">
        <f>IFERROR(__xludf.DUMMYFUNCTION("""COMPUTED_VALUE"""),"C++")</f>
        <v>C++</v>
      </c>
      <c r="C1921" s="9" t="str">
        <f>IFERROR(__xludf.DUMMYFUNCTION("""COMPUTED_VALUE"""),"Python")</f>
        <v>Python</v>
      </c>
      <c r="D1921" s="9" t="str">
        <f>IFERROR(__xludf.DUMMYFUNCTION("""COMPUTED_VALUE"""),"TypeScript")</f>
        <v>TypeScript</v>
      </c>
      <c r="E1921" s="9" t="str">
        <f>IFERROR(__xludf.DUMMYFUNCTION("""COMPUTED_VALUE"""),"JavaScript")</f>
        <v>JavaScript</v>
      </c>
      <c r="F1921" s="9" t="str">
        <f>IFERROR(__xludf.DUMMYFUNCTION("""COMPUTED_VALUE"""),"Bash/Shell/PowerShell")</f>
        <v>Bash/Shell/PowerShell</v>
      </c>
      <c r="G1921" s="9" t="str">
        <f>IFERROR(__xludf.DUMMYFUNCTION("""COMPUTED_VALUE"""),"C#")</f>
        <v>C#</v>
      </c>
      <c r="H1921" s="9" t="str">
        <f>IFERROR(__xludf.DUMMYFUNCTION("""COMPUTED_VALUE"""),"VBA")</f>
        <v>VBA</v>
      </c>
      <c r="I1921" s="9" t="str">
        <f>IFERROR(__xludf.DUMMYFUNCTION("""COMPUTED_VALUE"""),"JavaScript")</f>
        <v>JavaScript</v>
      </c>
      <c r="J1921" s="9" t="str">
        <f>IFERROR(__xludf.DUMMYFUNCTION("""COMPUTED_VALUE"""),"C")</f>
        <v>C</v>
      </c>
      <c r="K1921" s="9" t="str">
        <f>IFERROR(__xludf.DUMMYFUNCTION("""COMPUTED_VALUE"""),"HTML/CSS")</f>
        <v>HTML/CSS</v>
      </c>
      <c r="L1921" s="9" t="str">
        <f>IFERROR(__xludf.DUMMYFUNCTION("""COMPUTED_VALUE"""),"C#")</f>
        <v>C#</v>
      </c>
      <c r="M1921" s="9" t="s">
        <v>22</v>
      </c>
    </row>
    <row r="1922" ht="15.75" customHeight="1">
      <c r="A1922" s="7"/>
      <c r="B1922" s="7" t="str">
        <f>IFERROR(__xludf.DUMMYFUNCTION("""COMPUTED_VALUE"""),"HTML/CSS;Java;JavaScript;TypeScript")</f>
        <v>HTML/CSS;Java;JavaScript;TypeScript</v>
      </c>
      <c r="C1922" s="9" t="str">
        <f>IFERROR(__xludf.DUMMYFUNCTION("""COMPUTED_VALUE"""),"Scala")</f>
        <v>Scala</v>
      </c>
      <c r="D1922" s="9" t="str">
        <f>IFERROR(__xludf.DUMMYFUNCTION("""COMPUTED_VALUE"""),"HTML/CSS")</f>
        <v>HTML/CSS</v>
      </c>
      <c r="E1922" s="9" t="str">
        <f>IFERROR(__xludf.DUMMYFUNCTION("""COMPUTED_VALUE"""),"Ruby")</f>
        <v>Ruby</v>
      </c>
      <c r="F1922" s="9" t="str">
        <f>IFERROR(__xludf.DUMMYFUNCTION("""COMPUTED_VALUE"""),"HTML/CSS")</f>
        <v>HTML/CSS</v>
      </c>
      <c r="G1922" s="9" t="str">
        <f>IFERROR(__xludf.DUMMYFUNCTION("""COMPUTED_VALUE"""),"HTML/CSS")</f>
        <v>HTML/CSS</v>
      </c>
      <c r="H1922" s="9" t="str">
        <f>IFERROR(__xludf.DUMMYFUNCTION("""COMPUTED_VALUE"""),"Bash/Shell/PowerShell")</f>
        <v>Bash/Shell/PowerShell</v>
      </c>
      <c r="I1922" s="9" t="str">
        <f>IFERROR(__xludf.DUMMYFUNCTION("""COMPUTED_VALUE"""),"PHP")</f>
        <v>PHP</v>
      </c>
      <c r="J1922" s="9" t="str">
        <f>IFERROR(__xludf.DUMMYFUNCTION("""COMPUTED_VALUE"""),"C++")</f>
        <v>C++</v>
      </c>
      <c r="K1922" s="9" t="str">
        <f>IFERROR(__xludf.DUMMYFUNCTION("""COMPUTED_VALUE"""),"JavaScript")</f>
        <v>JavaScript</v>
      </c>
      <c r="L1922" s="9" t="str">
        <f>IFERROR(__xludf.DUMMYFUNCTION("""COMPUTED_VALUE"""),"JavaScript")</f>
        <v>JavaScript</v>
      </c>
      <c r="M1922" s="9" t="s">
        <v>46</v>
      </c>
    </row>
    <row r="1923" ht="15.75" customHeight="1">
      <c r="A1923" s="7"/>
      <c r="B1923" s="7" t="str">
        <f>IFERROR(__xludf.DUMMYFUNCTION("""COMPUTED_VALUE"""),"C#;HTML/CSS;Java;JavaScript;TypeScript;VBA")</f>
        <v>C#;HTML/CSS;Java;JavaScript;TypeScript;VBA</v>
      </c>
      <c r="C1923" s="9" t="str">
        <f>IFERROR(__xludf.DUMMYFUNCTION("""COMPUTED_VALUE"""),"Bash/Shell/PowerShell")</f>
        <v>Bash/Shell/PowerShell</v>
      </c>
      <c r="D1923" s="9" t="str">
        <f>IFERROR(__xludf.DUMMYFUNCTION("""COMPUTED_VALUE"""),"Python")</f>
        <v>Python</v>
      </c>
      <c r="E1923" s="9" t="str">
        <f>IFERROR(__xludf.DUMMYFUNCTION("""COMPUTED_VALUE"""),"Java")</f>
        <v>Java</v>
      </c>
      <c r="F1923" s="9" t="str">
        <f>IFERROR(__xludf.DUMMYFUNCTION("""COMPUTED_VALUE"""),"JavaScript")</f>
        <v>JavaScript</v>
      </c>
      <c r="G1923" s="9" t="str">
        <f>IFERROR(__xludf.DUMMYFUNCTION("""COMPUTED_VALUE"""),"Java")</f>
        <v>Java</v>
      </c>
      <c r="H1923" s="9" t="str">
        <f>IFERROR(__xludf.DUMMYFUNCTION("""COMPUTED_VALUE"""),"HTML/CSS")</f>
        <v>HTML/CSS</v>
      </c>
      <c r="I1923" s="9" t="str">
        <f>IFERROR(__xludf.DUMMYFUNCTION("""COMPUTED_VALUE"""),"Python")</f>
        <v>Python</v>
      </c>
      <c r="J1923" s="9" t="str">
        <f>IFERROR(__xludf.DUMMYFUNCTION("""COMPUTED_VALUE"""),"HTML/CSS")</f>
        <v>HTML/CSS</v>
      </c>
      <c r="K1923" s="9" t="str">
        <f>IFERROR(__xludf.DUMMYFUNCTION("""COMPUTED_VALUE"""),"Python")</f>
        <v>Python</v>
      </c>
      <c r="L1923" s="9" t="str">
        <f>IFERROR(__xludf.DUMMYFUNCTION("""COMPUTED_VALUE"""),"Objective-C")</f>
        <v>Objective-C</v>
      </c>
      <c r="M1923" s="9" t="s">
        <v>30</v>
      </c>
    </row>
    <row r="1924" ht="15.75" customHeight="1">
      <c r="A1924" s="7"/>
      <c r="B1924" s="7" t="str">
        <f>IFERROR(__xludf.DUMMYFUNCTION("""COMPUTED_VALUE"""),"Python;Ruby")</f>
        <v>Python;Ruby</v>
      </c>
      <c r="C1924" s="9" t="str">
        <f>IFERROR(__xludf.DUMMYFUNCTION("""COMPUTED_VALUE"""),"HTML/CSS")</f>
        <v>HTML/CSS</v>
      </c>
      <c r="D1924" s="9" t="str">
        <f>IFERROR(__xludf.DUMMYFUNCTION("""COMPUTED_VALUE"""),"SQL")</f>
        <v>SQL</v>
      </c>
      <c r="E1924" s="9" t="str">
        <f>IFERROR(__xludf.DUMMYFUNCTION("""COMPUTED_VALUE"""),"JavaScript")</f>
        <v>JavaScript</v>
      </c>
      <c r="F1924" s="9" t="str">
        <f>IFERROR(__xludf.DUMMYFUNCTION("""COMPUTED_VALUE"""),"Python")</f>
        <v>Python</v>
      </c>
      <c r="G1924" s="9" t="str">
        <f>IFERROR(__xludf.DUMMYFUNCTION("""COMPUTED_VALUE"""),"JavaScript")</f>
        <v>JavaScript</v>
      </c>
      <c r="H1924" s="9" t="str">
        <f>IFERROR(__xludf.DUMMYFUNCTION("""COMPUTED_VALUE"""),"Java")</f>
        <v>Java</v>
      </c>
      <c r="I1924" s="9" t="str">
        <f>IFERROR(__xludf.DUMMYFUNCTION("""COMPUTED_VALUE"""),"SQL")</f>
        <v>SQL</v>
      </c>
      <c r="J1924" s="9" t="str">
        <f>IFERROR(__xludf.DUMMYFUNCTION("""COMPUTED_VALUE"""),"Java")</f>
        <v>Java</v>
      </c>
      <c r="K1924" s="9" t="str">
        <f>IFERROR(__xludf.DUMMYFUNCTION("""COMPUTED_VALUE"""),"TypeScript")</f>
        <v>TypeScript</v>
      </c>
      <c r="L1924" s="9" t="str">
        <f>IFERROR(__xludf.DUMMYFUNCTION("""COMPUTED_VALUE"""),"Swift")</f>
        <v>Swift</v>
      </c>
      <c r="M1924" s="9" t="s">
        <v>24</v>
      </c>
    </row>
    <row r="1925" ht="15.75" customHeight="1">
      <c r="A1925" s="7"/>
      <c r="B1925" s="7" t="str">
        <f>IFERROR(__xludf.DUMMYFUNCTION("""COMPUTED_VALUE"""),"Bash/Shell/PowerShell;HTML/CSS;Java;JavaScript;TypeScript")</f>
        <v>Bash/Shell/PowerShell;HTML/CSS;Java;JavaScript;TypeScript</v>
      </c>
      <c r="C1925" s="9" t="str">
        <f>IFERROR(__xludf.DUMMYFUNCTION("""COMPUTED_VALUE"""),"JavaScript")</f>
        <v>JavaScript</v>
      </c>
      <c r="D1925" s="9" t="str">
        <f>IFERROR(__xludf.DUMMYFUNCTION("""COMPUTED_VALUE"""),"TypeScript")</f>
        <v>TypeScript</v>
      </c>
      <c r="E1925" s="9" t="str">
        <f>IFERROR(__xludf.DUMMYFUNCTION("""COMPUTED_VALUE"""),"Python")</f>
        <v>Python</v>
      </c>
      <c r="F1925" s="9" t="str">
        <f>IFERROR(__xludf.DUMMYFUNCTION("""COMPUTED_VALUE"""),"R")</f>
        <v>R</v>
      </c>
      <c r="G1925" s="9" t="str">
        <f>IFERROR(__xludf.DUMMYFUNCTION("""COMPUTED_VALUE"""),"SQL")</f>
        <v>SQL</v>
      </c>
      <c r="H1925" s="9" t="str">
        <f>IFERROR(__xludf.DUMMYFUNCTION("""COMPUTED_VALUE"""),"PHP")</f>
        <v>PHP</v>
      </c>
      <c r="I1925" s="9" t="str">
        <f>IFERROR(__xludf.DUMMYFUNCTION("""COMPUTED_VALUE"""),"VBA")</f>
        <v>VBA</v>
      </c>
      <c r="J1925" s="9" t="str">
        <f>IFERROR(__xludf.DUMMYFUNCTION("""COMPUTED_VALUE"""),"JavaScript")</f>
        <v>JavaScript</v>
      </c>
      <c r="K1925" s="9" t="str">
        <f>IFERROR(__xludf.DUMMYFUNCTION("""COMPUTED_VALUE"""),"Bash/Shell/PowerShell")</f>
        <v>Bash/Shell/PowerShell</v>
      </c>
      <c r="L1925" s="9" t="str">
        <f>IFERROR(__xludf.DUMMYFUNCTION("""COMPUTED_VALUE"""),"C#")</f>
        <v>C#</v>
      </c>
      <c r="M1925" s="9" t="s">
        <v>21</v>
      </c>
    </row>
    <row r="1926" ht="15.75" customHeight="1">
      <c r="A1926" s="7"/>
      <c r="B1926" s="7" t="str">
        <f>IFERROR(__xludf.DUMMYFUNCTION("""COMPUTED_VALUE"""),"Bash/Shell/PowerShell;C#;HTML/CSS;JavaScript;Python;R;SQL;VBA")</f>
        <v>Bash/Shell/PowerShell;C#;HTML/CSS;JavaScript;Python;R;SQL;VBA</v>
      </c>
      <c r="C1926" s="9" t="str">
        <f>IFERROR(__xludf.DUMMYFUNCTION("""COMPUTED_VALUE"""),"PHP")</f>
        <v>PHP</v>
      </c>
      <c r="D1926" s="9" t="str">
        <f>IFERROR(__xludf.DUMMYFUNCTION("""COMPUTED_VALUE"""),"Other(s):")</f>
        <v>Other(s):</v>
      </c>
      <c r="E1926" s="9" t="str">
        <f>IFERROR(__xludf.DUMMYFUNCTION("""COMPUTED_VALUE"""),"SQL")</f>
        <v>SQL</v>
      </c>
      <c r="F1926" s="9" t="str">
        <f>IFERROR(__xludf.DUMMYFUNCTION("""COMPUTED_VALUE"""),"SQL")</f>
        <v>SQL</v>
      </c>
      <c r="G1926" s="9" t="str">
        <f>IFERROR(__xludf.DUMMYFUNCTION("""COMPUTED_VALUE"""),"C")</f>
        <v>C</v>
      </c>
      <c r="H1926" s="9" t="str">
        <f>IFERROR(__xludf.DUMMYFUNCTION("""COMPUTED_VALUE"""),"Python")</f>
        <v>Python</v>
      </c>
      <c r="I1926" s="9" t="str">
        <f>IFERROR(__xludf.DUMMYFUNCTION("""COMPUTED_VALUE"""),"C#")</f>
        <v>C#</v>
      </c>
      <c r="J1926" s="9" t="str">
        <f>IFERROR(__xludf.DUMMYFUNCTION("""COMPUTED_VALUE"""),"Python")</f>
        <v>Python</v>
      </c>
      <c r="K1926" s="9" t="str">
        <f>IFERROR(__xludf.DUMMYFUNCTION("""COMPUTED_VALUE"""),"Python")</f>
        <v>Python</v>
      </c>
      <c r="L1926" s="9" t="str">
        <f>IFERROR(__xludf.DUMMYFUNCTION("""COMPUTED_VALUE"""),"HTML/CSS")</f>
        <v>HTML/CSS</v>
      </c>
      <c r="M1926" s="9" t="s">
        <v>37</v>
      </c>
    </row>
    <row r="1927" ht="15.75" customHeight="1">
      <c r="A1927" s="7"/>
      <c r="B1927" s="7" t="str">
        <f>IFERROR(__xludf.DUMMYFUNCTION("""COMPUTED_VALUE"""),"HTML/CSS;JavaScript;PHP")</f>
        <v>HTML/CSS;JavaScript;PHP</v>
      </c>
      <c r="C1927" s="9" t="str">
        <f>IFERROR(__xludf.DUMMYFUNCTION("""COMPUTED_VALUE"""),"Python")</f>
        <v>Python</v>
      </c>
      <c r="D1927" s="9" t="str">
        <f>IFERROR(__xludf.DUMMYFUNCTION("""COMPUTED_VALUE"""),"C#")</f>
        <v>C#</v>
      </c>
      <c r="E1927" s="9" t="str">
        <f>IFERROR(__xludf.DUMMYFUNCTION("""COMPUTED_VALUE"""),"Other(s):")</f>
        <v>Other(s):</v>
      </c>
      <c r="F1927" s="9" t="str">
        <f>IFERROR(__xludf.DUMMYFUNCTION("""COMPUTED_VALUE"""),"TypeScript")</f>
        <v>TypeScript</v>
      </c>
      <c r="G1927" s="9" t="str">
        <f>IFERROR(__xludf.DUMMYFUNCTION("""COMPUTED_VALUE"""),"C++")</f>
        <v>C++</v>
      </c>
      <c r="H1927" s="9" t="str">
        <f>IFERROR(__xludf.DUMMYFUNCTION("""COMPUTED_VALUE"""),"SQL")</f>
        <v>SQL</v>
      </c>
      <c r="I1927" s="9" t="str">
        <f>IFERROR(__xludf.DUMMYFUNCTION("""COMPUTED_VALUE"""),"HTML/CSS")</f>
        <v>HTML/CSS</v>
      </c>
      <c r="J1927" s="9" t="str">
        <f>IFERROR(__xludf.DUMMYFUNCTION("""COMPUTED_VALUE"""),"SQL")</f>
        <v>SQL</v>
      </c>
      <c r="K1927" s="9" t="str">
        <f>IFERROR(__xludf.DUMMYFUNCTION("""COMPUTED_VALUE"""),"SQL")</f>
        <v>SQL</v>
      </c>
      <c r="L1927" s="9" t="str">
        <f>IFERROR(__xludf.DUMMYFUNCTION("""COMPUTED_VALUE"""),"Java")</f>
        <v>Java</v>
      </c>
      <c r="M1927" s="9" t="s">
        <v>22</v>
      </c>
    </row>
    <row r="1928" ht="15.75" customHeight="1">
      <c r="A1928" s="7"/>
      <c r="B1928" s="7" t="str">
        <f>IFERROR(__xludf.DUMMYFUNCTION("""COMPUTED_VALUE"""),"Python;Ruby;SQL;Other(s):")</f>
        <v>Python;Ruby;SQL;Other(s):</v>
      </c>
      <c r="C1928" s="9" t="str">
        <f>IFERROR(__xludf.DUMMYFUNCTION("""COMPUTED_VALUE"""),"SQL")</f>
        <v>SQL</v>
      </c>
      <c r="D1928" s="9" t="str">
        <f>IFERROR(__xludf.DUMMYFUNCTION("""COMPUTED_VALUE"""),"JavaScript")</f>
        <v>JavaScript</v>
      </c>
      <c r="E1928" s="9" t="str">
        <f>IFERROR(__xludf.DUMMYFUNCTION("""COMPUTED_VALUE"""),"C#")</f>
        <v>C#</v>
      </c>
      <c r="F1928" s="9" t="str">
        <f>IFERROR(__xludf.DUMMYFUNCTION("""COMPUTED_VALUE"""),"HTML/CSS")</f>
        <v>HTML/CSS</v>
      </c>
      <c r="G1928" s="9" t="str">
        <f>IFERROR(__xludf.DUMMYFUNCTION("""COMPUTED_VALUE"""),"C#")</f>
        <v>C#</v>
      </c>
      <c r="H1928" s="9" t="str">
        <f>IFERROR(__xludf.DUMMYFUNCTION("""COMPUTED_VALUE"""),"TypeScript")</f>
        <v>TypeScript</v>
      </c>
      <c r="I1928" s="9" t="str">
        <f>IFERROR(__xludf.DUMMYFUNCTION("""COMPUTED_VALUE"""),"JavaScript")</f>
        <v>JavaScript</v>
      </c>
      <c r="J1928" s="9" t="str">
        <f>IFERROR(__xludf.DUMMYFUNCTION("""COMPUTED_VALUE"""),"TypeScript")</f>
        <v>TypeScript</v>
      </c>
      <c r="K1928" s="9" t="str">
        <f>IFERROR(__xludf.DUMMYFUNCTION("""COMPUTED_VALUE"""),"Bash/Shell/PowerShell")</f>
        <v>Bash/Shell/PowerShell</v>
      </c>
      <c r="L1928" s="9" t="str">
        <f>IFERROR(__xludf.DUMMYFUNCTION("""COMPUTED_VALUE"""),"JavaScript")</f>
        <v>JavaScript</v>
      </c>
      <c r="M1928" s="9" t="s">
        <v>27</v>
      </c>
    </row>
    <row r="1929" ht="15.75" customHeight="1">
      <c r="A1929" s="7"/>
      <c r="B1929" s="7" t="str">
        <f>IFERROR(__xludf.DUMMYFUNCTION("""COMPUTED_VALUE"""),"Bash/Shell/PowerShell;Go;HTML/CSS;Java;JavaScript;Scala;TypeScript")</f>
        <v>Bash/Shell/PowerShell;Go;HTML/CSS;Java;JavaScript;Scala;TypeScript</v>
      </c>
      <c r="C1929" s="9" t="str">
        <f>IFERROR(__xludf.DUMMYFUNCTION("""COMPUTED_VALUE"""),"Bash/Shell/PowerShell")</f>
        <v>Bash/Shell/PowerShell</v>
      </c>
      <c r="D1929" s="9" t="str">
        <f>IFERROR(__xludf.DUMMYFUNCTION("""COMPUTED_VALUE"""),"SQL")</f>
        <v>SQL</v>
      </c>
      <c r="E1929" s="9" t="str">
        <f>IFERROR(__xludf.DUMMYFUNCTION("""COMPUTED_VALUE"""),"C")</f>
        <v>C</v>
      </c>
      <c r="F1929" s="9" t="str">
        <f>IFERROR(__xludf.DUMMYFUNCTION("""COMPUTED_VALUE"""),"PHP")</f>
        <v>PHP</v>
      </c>
      <c r="G1929" s="9" t="str">
        <f>IFERROR(__xludf.DUMMYFUNCTION("""COMPUTED_VALUE"""),"HTML/CSS")</f>
        <v>HTML/CSS</v>
      </c>
      <c r="H1929" s="9" t="str">
        <f>IFERROR(__xludf.DUMMYFUNCTION("""COMPUTED_VALUE"""),"Other(s):")</f>
        <v>Other(s):</v>
      </c>
      <c r="I1929" s="9" t="str">
        <f>IFERROR(__xludf.DUMMYFUNCTION("""COMPUTED_VALUE"""),"SQL")</f>
        <v>SQL</v>
      </c>
      <c r="J1929" s="9" t="str">
        <f>IFERROR(__xludf.DUMMYFUNCTION("""COMPUTED_VALUE"""),"Bash/Shell/PowerShell")</f>
        <v>Bash/Shell/PowerShell</v>
      </c>
      <c r="K1929" s="9" t="str">
        <f>IFERROR(__xludf.DUMMYFUNCTION("""COMPUTED_VALUE"""),"Python")</f>
        <v>Python</v>
      </c>
      <c r="L1929" s="9" t="str">
        <f>IFERROR(__xludf.DUMMYFUNCTION("""COMPUTED_VALUE"""),"Objective-C")</f>
        <v>Objective-C</v>
      </c>
      <c r="M1929" s="9" t="s">
        <v>30</v>
      </c>
    </row>
    <row r="1930" ht="15.75" customHeight="1">
      <c r="A1930" s="7"/>
      <c r="B1930" s="7" t="str">
        <f>IFERROR(__xludf.DUMMYFUNCTION("""COMPUTED_VALUE"""),"HTML/CSS;JavaScript")</f>
        <v>HTML/CSS;JavaScript</v>
      </c>
      <c r="C1930" s="9" t="str">
        <f>IFERROR(__xludf.DUMMYFUNCTION("""COMPUTED_VALUE"""),"C#")</f>
        <v>C#</v>
      </c>
      <c r="D1930" s="9" t="str">
        <f>IFERROR(__xludf.DUMMYFUNCTION("""COMPUTED_VALUE"""),"Other(s):")</f>
        <v>Other(s):</v>
      </c>
      <c r="E1930" s="9" t="str">
        <f>IFERROR(__xludf.DUMMYFUNCTION("""COMPUTED_VALUE"""),"C++")</f>
        <v>C++</v>
      </c>
      <c r="F1930" s="9" t="str">
        <f>IFERROR(__xludf.DUMMYFUNCTION("""COMPUTED_VALUE"""),"Python")</f>
        <v>Python</v>
      </c>
      <c r="G1930" s="9" t="str">
        <f>IFERROR(__xludf.DUMMYFUNCTION("""COMPUTED_VALUE"""),"Java")</f>
        <v>Java</v>
      </c>
      <c r="H1930" s="9" t="str">
        <f>IFERROR(__xludf.DUMMYFUNCTION("""COMPUTED_VALUE"""),"Bash/Shell/PowerShell")</f>
        <v>Bash/Shell/PowerShell</v>
      </c>
      <c r="I1930" s="9" t="str">
        <f>IFERROR(__xludf.DUMMYFUNCTION("""COMPUTED_VALUE"""),"C#")</f>
        <v>C#</v>
      </c>
      <c r="J1930" s="9" t="str">
        <f>IFERROR(__xludf.DUMMYFUNCTION("""COMPUTED_VALUE"""),"C#")</f>
        <v>C#</v>
      </c>
      <c r="K1930" s="9" t="str">
        <f>IFERROR(__xludf.DUMMYFUNCTION("""COMPUTED_VALUE"""),"Bash/Shell/PowerShell")</f>
        <v>Bash/Shell/PowerShell</v>
      </c>
      <c r="L1930" s="9" t="str">
        <f>IFERROR(__xludf.DUMMYFUNCTION("""COMPUTED_VALUE"""),"Python")</f>
        <v>Python</v>
      </c>
      <c r="M1930" s="9" t="s">
        <v>26</v>
      </c>
    </row>
    <row r="1931" ht="15.75" customHeight="1">
      <c r="A1931" s="7"/>
      <c r="B1931" s="7" t="str">
        <f>IFERROR(__xludf.DUMMYFUNCTION("""COMPUTED_VALUE"""),"Bash/Shell/PowerShell;HTML/CSS;JavaScript;Python;SQL;Other(s):")</f>
        <v>Bash/Shell/PowerShell;HTML/CSS;JavaScript;Python;SQL;Other(s):</v>
      </c>
      <c r="C1931" s="9" t="str">
        <f>IFERROR(__xludf.DUMMYFUNCTION("""COMPUTED_VALUE"""),"HTML/CSS")</f>
        <v>HTML/CSS</v>
      </c>
      <c r="D1931" s="9" t="str">
        <f>IFERROR(__xludf.DUMMYFUNCTION("""COMPUTED_VALUE"""),"C#")</f>
        <v>C#</v>
      </c>
      <c r="E1931" s="9" t="str">
        <f>IFERROR(__xludf.DUMMYFUNCTION("""COMPUTED_VALUE"""),"HTML/CSS")</f>
        <v>HTML/CSS</v>
      </c>
      <c r="F1931" s="9" t="str">
        <f>IFERROR(__xludf.DUMMYFUNCTION("""COMPUTED_VALUE"""),"Bash/Shell/PowerShell")</f>
        <v>Bash/Shell/PowerShell</v>
      </c>
      <c r="G1931" s="9" t="str">
        <f>IFERROR(__xludf.DUMMYFUNCTION("""COMPUTED_VALUE"""),"JavaScript")</f>
        <v>JavaScript</v>
      </c>
      <c r="H1931" s="9" t="str">
        <f>IFERROR(__xludf.DUMMYFUNCTION("""COMPUTED_VALUE"""),"C++")</f>
        <v>C++</v>
      </c>
      <c r="I1931" s="9" t="str">
        <f>IFERROR(__xludf.DUMMYFUNCTION("""COMPUTED_VALUE"""),"HTML/CSS")</f>
        <v>HTML/CSS</v>
      </c>
      <c r="J1931" s="9" t="str">
        <f>IFERROR(__xludf.DUMMYFUNCTION("""COMPUTED_VALUE"""),"HTML/CSS")</f>
        <v>HTML/CSS</v>
      </c>
      <c r="K1931" s="9" t="str">
        <f>IFERROR(__xludf.DUMMYFUNCTION("""COMPUTED_VALUE"""),"C#")</f>
        <v>C#</v>
      </c>
      <c r="L1931" s="9" t="str">
        <f>IFERROR(__xludf.DUMMYFUNCTION("""COMPUTED_VALUE"""),"C#")</f>
        <v>C#</v>
      </c>
      <c r="M1931" s="9" t="s">
        <v>24</v>
      </c>
    </row>
    <row r="1932" ht="15.75" customHeight="1">
      <c r="A1932" s="7"/>
      <c r="B1932" s="7" t="str">
        <f>IFERROR(__xludf.DUMMYFUNCTION("""COMPUTED_VALUE"""),"C#;HTML/CSS;Java;JavaScript;Objective-C;Scala;SQL;TypeScript")</f>
        <v>C#;HTML/CSS;Java;JavaScript;Objective-C;Scala;SQL;TypeScript</v>
      </c>
      <c r="C1932" s="9" t="str">
        <f>IFERROR(__xludf.DUMMYFUNCTION("""COMPUTED_VALUE"""),"JavaScript")</f>
        <v>JavaScript</v>
      </c>
      <c r="D1932" s="9" t="str">
        <f>IFERROR(__xludf.DUMMYFUNCTION("""COMPUTED_VALUE"""),"HTML/CSS")</f>
        <v>HTML/CSS</v>
      </c>
      <c r="E1932" s="9" t="str">
        <f>IFERROR(__xludf.DUMMYFUNCTION("""COMPUTED_VALUE"""),"JavaScript")</f>
        <v>JavaScript</v>
      </c>
      <c r="F1932" s="9" t="str">
        <f>IFERROR(__xludf.DUMMYFUNCTION("""COMPUTED_VALUE"""),"HTML/CSS")</f>
        <v>HTML/CSS</v>
      </c>
      <c r="G1932" s="9" t="str">
        <f>IFERROR(__xludf.DUMMYFUNCTION("""COMPUTED_VALUE"""),"Python")</f>
        <v>Python</v>
      </c>
      <c r="H1932" s="9" t="str">
        <f>IFERROR(__xludf.DUMMYFUNCTION("""COMPUTED_VALUE"""),"HTML/CSS")</f>
        <v>HTML/CSS</v>
      </c>
      <c r="I1932" s="9" t="str">
        <f>IFERROR(__xludf.DUMMYFUNCTION("""COMPUTED_VALUE"""),"Java")</f>
        <v>Java</v>
      </c>
      <c r="J1932" s="9" t="str">
        <f>IFERROR(__xludf.DUMMYFUNCTION("""COMPUTED_VALUE"""),"JavaScript")</f>
        <v>JavaScript</v>
      </c>
      <c r="K1932" s="9" t="str">
        <f>IFERROR(__xludf.DUMMYFUNCTION("""COMPUTED_VALUE"""),"HTML/CSS")</f>
        <v>HTML/CSS</v>
      </c>
      <c r="L1932" s="9" t="str">
        <f>IFERROR(__xludf.DUMMYFUNCTION("""COMPUTED_VALUE"""),"SQL")</f>
        <v>SQL</v>
      </c>
      <c r="M1932" s="9" t="s">
        <v>21</v>
      </c>
    </row>
    <row r="1933" ht="15.75" customHeight="1">
      <c r="A1933" s="7"/>
      <c r="B1933" s="7" t="str">
        <f>IFERROR(__xludf.DUMMYFUNCTION("""COMPUTED_VALUE"""),"Bash/Shell/PowerShell;HTML/CSS;JavaScript;Python;SQL")</f>
        <v>Bash/Shell/PowerShell;HTML/CSS;JavaScript;Python;SQL</v>
      </c>
      <c r="C1933" s="9" t="str">
        <f>IFERROR(__xludf.DUMMYFUNCTION("""COMPUTED_VALUE"""),"Python")</f>
        <v>Python</v>
      </c>
      <c r="D1933" s="9" t="str">
        <f>IFERROR(__xludf.DUMMYFUNCTION("""COMPUTED_VALUE"""),"Java")</f>
        <v>Java</v>
      </c>
      <c r="E1933" s="9" t="str">
        <f>IFERROR(__xludf.DUMMYFUNCTION("""COMPUTED_VALUE"""),"PHP")</f>
        <v>PHP</v>
      </c>
      <c r="F1933" s="9" t="str">
        <f>IFERROR(__xludf.DUMMYFUNCTION("""COMPUTED_VALUE"""),"Java")</f>
        <v>Java</v>
      </c>
      <c r="G1933" s="9" t="str">
        <f>IFERROR(__xludf.DUMMYFUNCTION("""COMPUTED_VALUE"""),"Ruby")</f>
        <v>Ruby</v>
      </c>
      <c r="H1933" s="9" t="str">
        <f>IFERROR(__xludf.DUMMYFUNCTION("""COMPUTED_VALUE"""),"JavaScript")</f>
        <v>JavaScript</v>
      </c>
      <c r="I1933" s="9" t="str">
        <f>IFERROR(__xludf.DUMMYFUNCTION("""COMPUTED_VALUE"""),"JavaScript")</f>
        <v>JavaScript</v>
      </c>
      <c r="J1933" s="9" t="str">
        <f>IFERROR(__xludf.DUMMYFUNCTION("""COMPUTED_VALUE"""),"SQL")</f>
        <v>SQL</v>
      </c>
      <c r="K1933" s="9" t="str">
        <f>IFERROR(__xludf.DUMMYFUNCTION("""COMPUTED_VALUE"""),"JavaScript")</f>
        <v>JavaScript</v>
      </c>
      <c r="L1933" s="9" t="str">
        <f>IFERROR(__xludf.DUMMYFUNCTION("""COMPUTED_VALUE"""),"Other(s):")</f>
        <v>Other(s):</v>
      </c>
      <c r="M1933" s="9" t="s">
        <v>22</v>
      </c>
    </row>
    <row r="1934" ht="15.75" customHeight="1">
      <c r="A1934" s="7"/>
      <c r="B1934" s="7" t="str">
        <f>IFERROR(__xludf.DUMMYFUNCTION("""COMPUTED_VALUE"""),"Assembly;Bash/Shell/PowerShell;C++;C#;JavaScript;Python")</f>
        <v>Assembly;Bash/Shell/PowerShell;C++;C#;JavaScript;Python</v>
      </c>
      <c r="C1934" s="9" t="str">
        <f>IFERROR(__xludf.DUMMYFUNCTION("""COMPUTED_VALUE"""),"SQL")</f>
        <v>SQL</v>
      </c>
      <c r="D1934" s="9" t="str">
        <f>IFERROR(__xludf.DUMMYFUNCTION("""COMPUTED_VALUE"""),"JavaScript")</f>
        <v>JavaScript</v>
      </c>
      <c r="E1934" s="9" t="str">
        <f>IFERROR(__xludf.DUMMYFUNCTION("""COMPUTED_VALUE"""),"Python")</f>
        <v>Python</v>
      </c>
      <c r="F1934" s="9" t="str">
        <f>IFERROR(__xludf.DUMMYFUNCTION("""COMPUTED_VALUE"""),"JavaScript")</f>
        <v>JavaScript</v>
      </c>
      <c r="G1934" s="9" t="str">
        <f>IFERROR(__xludf.DUMMYFUNCTION("""COMPUTED_VALUE"""),"TypeScript")</f>
        <v>TypeScript</v>
      </c>
      <c r="H1934" s="9" t="str">
        <f>IFERROR(__xludf.DUMMYFUNCTION("""COMPUTED_VALUE"""),"Python")</f>
        <v>Python</v>
      </c>
      <c r="I1934" s="9" t="str">
        <f>IFERROR(__xludf.DUMMYFUNCTION("""COMPUTED_VALUE"""),"HTML/CSS")</f>
        <v>HTML/CSS</v>
      </c>
      <c r="J1934" s="9" t="str">
        <f>IFERROR(__xludf.DUMMYFUNCTION("""COMPUTED_VALUE"""),"TypeScript")</f>
        <v>TypeScript</v>
      </c>
      <c r="K1934" s="9" t="str">
        <f>IFERROR(__xludf.DUMMYFUNCTION("""COMPUTED_VALUE"""),"Python")</f>
        <v>Python</v>
      </c>
      <c r="L1934" s="9" t="str">
        <f>IFERROR(__xludf.DUMMYFUNCTION("""COMPUTED_VALUE"""),"Assembly")</f>
        <v>Assembly</v>
      </c>
      <c r="M1934" s="9" t="s">
        <v>27</v>
      </c>
    </row>
    <row r="1935" ht="15.75" customHeight="1">
      <c r="A1935" s="7"/>
      <c r="B1935" s="7" t="str">
        <f>IFERROR(__xludf.DUMMYFUNCTION("""COMPUTED_VALUE"""),"C#;HTML/CSS;Java;JavaScript;TypeScript")</f>
        <v>C#;HTML/CSS;Java;JavaScript;TypeScript</v>
      </c>
      <c r="C1935" s="9" t="str">
        <f>IFERROR(__xludf.DUMMYFUNCTION("""COMPUTED_VALUE"""),"TypeScript")</f>
        <v>TypeScript</v>
      </c>
      <c r="D1935" s="9" t="str">
        <f>IFERROR(__xludf.DUMMYFUNCTION("""COMPUTED_VALUE"""),"Bash/Shell/PowerShell")</f>
        <v>Bash/Shell/PowerShell</v>
      </c>
      <c r="E1935" s="9" t="str">
        <f>IFERROR(__xludf.DUMMYFUNCTION("""COMPUTED_VALUE"""),"SQL")</f>
        <v>SQL</v>
      </c>
      <c r="F1935" s="9" t="str">
        <f>IFERROR(__xludf.DUMMYFUNCTION("""COMPUTED_VALUE"""),"SQL")</f>
        <v>SQL</v>
      </c>
      <c r="G1935" s="9" t="str">
        <f>IFERROR(__xludf.DUMMYFUNCTION("""COMPUTED_VALUE"""),"Bash/Shell/PowerShell")</f>
        <v>Bash/Shell/PowerShell</v>
      </c>
      <c r="H1935" s="9" t="str">
        <f>IFERROR(__xludf.DUMMYFUNCTION("""COMPUTED_VALUE"""),"Bash/Shell/PowerShell")</f>
        <v>Bash/Shell/PowerShell</v>
      </c>
      <c r="I1935" s="9" t="str">
        <f>IFERROR(__xludf.DUMMYFUNCTION("""COMPUTED_VALUE"""),"JavaScript")</f>
        <v>JavaScript</v>
      </c>
      <c r="J1935" s="9" t="str">
        <f>IFERROR(__xludf.DUMMYFUNCTION("""COMPUTED_VALUE"""),"Bash/Shell/PowerShell")</f>
        <v>Bash/Shell/PowerShell</v>
      </c>
      <c r="K1935" s="9" t="str">
        <f>IFERROR(__xludf.DUMMYFUNCTION("""COMPUTED_VALUE"""),"C#")</f>
        <v>C#</v>
      </c>
      <c r="L1935" s="9" t="str">
        <f>IFERROR(__xludf.DUMMYFUNCTION("""COMPUTED_VALUE"""),"Bash/Shell/PowerShell")</f>
        <v>Bash/Shell/PowerShell</v>
      </c>
      <c r="M1935" s="9" t="s">
        <v>33</v>
      </c>
    </row>
    <row r="1936" ht="15.75" customHeight="1">
      <c r="A1936" s="7"/>
      <c r="B1936" s="7" t="str">
        <f>IFERROR(__xludf.DUMMYFUNCTION("""COMPUTED_VALUE"""),"Bash/Shell/PowerShell;HTML/CSS;JavaScript;Python;SQL")</f>
        <v>Bash/Shell/PowerShell;HTML/CSS;JavaScript;Python;SQL</v>
      </c>
      <c r="C1936" s="9" t="str">
        <f>IFERROR(__xludf.DUMMYFUNCTION("""COMPUTED_VALUE"""),"VBA")</f>
        <v>VBA</v>
      </c>
      <c r="D1936" s="9" t="str">
        <f>IFERROR(__xludf.DUMMYFUNCTION("""COMPUTED_VALUE"""),"C#")</f>
        <v>C#</v>
      </c>
      <c r="E1936" s="9" t="str">
        <f>IFERROR(__xludf.DUMMYFUNCTION("""COMPUTED_VALUE"""),"VBA")</f>
        <v>VBA</v>
      </c>
      <c r="F1936" s="9" t="str">
        <f>IFERROR(__xludf.DUMMYFUNCTION("""COMPUTED_VALUE"""),"TypeScript")</f>
        <v>TypeScript</v>
      </c>
      <c r="G1936" s="9" t="str">
        <f>IFERROR(__xludf.DUMMYFUNCTION("""COMPUTED_VALUE"""),"C")</f>
        <v>C</v>
      </c>
      <c r="H1936" s="9" t="str">
        <f>IFERROR(__xludf.DUMMYFUNCTION("""COMPUTED_VALUE"""),"HTML/CSS")</f>
        <v>HTML/CSS</v>
      </c>
      <c r="I1936" s="9" t="str">
        <f>IFERROR(__xludf.DUMMYFUNCTION("""COMPUTED_VALUE"""),"PHP")</f>
        <v>PHP</v>
      </c>
      <c r="J1936" s="9" t="str">
        <f>IFERROR(__xludf.DUMMYFUNCTION("""COMPUTED_VALUE"""),"HTML/CSS")</f>
        <v>HTML/CSS</v>
      </c>
      <c r="K1936" s="9" t="str">
        <f>IFERROR(__xludf.DUMMYFUNCTION("""COMPUTED_VALUE"""),"Java")</f>
        <v>Java</v>
      </c>
      <c r="L1936" s="9" t="str">
        <f>IFERROR(__xludf.DUMMYFUNCTION("""COMPUTED_VALUE"""),"C")</f>
        <v>C</v>
      </c>
      <c r="M1936" s="9" t="s">
        <v>28</v>
      </c>
    </row>
    <row r="1937" ht="15.75" customHeight="1">
      <c r="A1937" s="7"/>
      <c r="B1937" s="7" t="str">
        <f>IFERROR(__xludf.DUMMYFUNCTION("""COMPUTED_VALUE"""),"C++;HTML/CSS;Python")</f>
        <v>C++;HTML/CSS;Python</v>
      </c>
      <c r="C1937" s="9" t="str">
        <f>IFERROR(__xludf.DUMMYFUNCTION("""COMPUTED_VALUE"""),"Java")</f>
        <v>Java</v>
      </c>
      <c r="D1937" s="9" t="str">
        <f>IFERROR(__xludf.DUMMYFUNCTION("""COMPUTED_VALUE"""),"HTML/CSS")</f>
        <v>HTML/CSS</v>
      </c>
      <c r="E1937" s="9" t="str">
        <f>IFERROR(__xludf.DUMMYFUNCTION("""COMPUTED_VALUE"""),"Bash/Shell/PowerShell")</f>
        <v>Bash/Shell/PowerShell</v>
      </c>
      <c r="F1937" s="9" t="str">
        <f>IFERROR(__xludf.DUMMYFUNCTION("""COMPUTED_VALUE"""),"Java")</f>
        <v>Java</v>
      </c>
      <c r="G1937" s="9" t="str">
        <f>IFERROR(__xludf.DUMMYFUNCTION("""COMPUTED_VALUE"""),"C++")</f>
        <v>C++</v>
      </c>
      <c r="H1937" s="9" t="str">
        <f>IFERROR(__xludf.DUMMYFUNCTION("""COMPUTED_VALUE"""),"JavaScript")</f>
        <v>JavaScript</v>
      </c>
      <c r="I1937" s="9" t="str">
        <f>IFERROR(__xludf.DUMMYFUNCTION("""COMPUTED_VALUE"""),"SQL")</f>
        <v>SQL</v>
      </c>
      <c r="J1937" s="9" t="str">
        <f>IFERROR(__xludf.DUMMYFUNCTION("""COMPUTED_VALUE"""),"JavaScript")</f>
        <v>JavaScript</v>
      </c>
      <c r="K1937" s="9" t="str">
        <f>IFERROR(__xludf.DUMMYFUNCTION("""COMPUTED_VALUE"""),"JavaScript")</f>
        <v>JavaScript</v>
      </c>
      <c r="L1937" s="9" t="str">
        <f>IFERROR(__xludf.DUMMYFUNCTION("""COMPUTED_VALUE"""),"HTML/CSS")</f>
        <v>HTML/CSS</v>
      </c>
      <c r="M1937" s="9" t="s">
        <v>20</v>
      </c>
    </row>
    <row r="1938" ht="15.75" customHeight="1">
      <c r="A1938" s="7"/>
      <c r="B1938" s="7" t="str">
        <f>IFERROR(__xludf.DUMMYFUNCTION("""COMPUTED_VALUE"""),"Bash/Shell/PowerShell;C;C++;C#;HTML/CSS;Java;JavaScript;PHP;SQL")</f>
        <v>Bash/Shell/PowerShell;C;C++;C#;HTML/CSS;Java;JavaScript;PHP;SQL</v>
      </c>
      <c r="C1938" s="9" t="str">
        <f>IFERROR(__xludf.DUMMYFUNCTION("""COMPUTED_VALUE"""),"Kotlin")</f>
        <v>Kotlin</v>
      </c>
      <c r="D1938" s="9" t="str">
        <f>IFERROR(__xludf.DUMMYFUNCTION("""COMPUTED_VALUE"""),"JavaScript")</f>
        <v>JavaScript</v>
      </c>
      <c r="E1938" s="9" t="str">
        <f>IFERROR(__xludf.DUMMYFUNCTION("""COMPUTED_VALUE"""),"C")</f>
        <v>C</v>
      </c>
      <c r="F1938" s="9" t="str">
        <f>IFERROR(__xludf.DUMMYFUNCTION("""COMPUTED_VALUE"""),"JavaScript")</f>
        <v>JavaScript</v>
      </c>
      <c r="G1938" s="9" t="str">
        <f>IFERROR(__xludf.DUMMYFUNCTION("""COMPUTED_VALUE"""),"HTML/CSS")</f>
        <v>HTML/CSS</v>
      </c>
      <c r="H1938" s="9" t="str">
        <f>IFERROR(__xludf.DUMMYFUNCTION("""COMPUTED_VALUE"""),"Python")</f>
        <v>Python</v>
      </c>
      <c r="I1938" s="9" t="str">
        <f>IFERROR(__xludf.DUMMYFUNCTION("""COMPUTED_VALUE"""),"C")</f>
        <v>C</v>
      </c>
      <c r="J1938" s="9" t="str">
        <f>IFERROR(__xludf.DUMMYFUNCTION("""COMPUTED_VALUE"""),"Python")</f>
        <v>Python</v>
      </c>
      <c r="K1938" s="9" t="str">
        <f>IFERROR(__xludf.DUMMYFUNCTION("""COMPUTED_VALUE"""),"Other(s):")</f>
        <v>Other(s):</v>
      </c>
      <c r="L1938" s="9" t="str">
        <f>IFERROR(__xludf.DUMMYFUNCTION("""COMPUTED_VALUE"""),"Java")</f>
        <v>Java</v>
      </c>
      <c r="M1938" s="9" t="s">
        <v>39</v>
      </c>
    </row>
    <row r="1939" ht="15.75" customHeight="1">
      <c r="A1939" s="7"/>
      <c r="B1939" s="7" t="str">
        <f>IFERROR(__xludf.DUMMYFUNCTION("""COMPUTED_VALUE"""),"Bash/Shell/PowerShell;HTML/CSS;Java;PHP;Python;R;SQL")</f>
        <v>Bash/Shell/PowerShell;HTML/CSS;Java;PHP;Python;R;SQL</v>
      </c>
      <c r="C1939" s="9" t="str">
        <f>IFERROR(__xludf.DUMMYFUNCTION("""COMPUTED_VALUE"""),"PHP")</f>
        <v>PHP</v>
      </c>
      <c r="D1939" s="9" t="str">
        <f>IFERROR(__xludf.DUMMYFUNCTION("""COMPUTED_VALUE"""),"PHP")</f>
        <v>PHP</v>
      </c>
      <c r="E1939" s="9" t="str">
        <f>IFERROR(__xludf.DUMMYFUNCTION("""COMPUTED_VALUE"""),"C++")</f>
        <v>C++</v>
      </c>
      <c r="F1939" s="9" t="str">
        <f>IFERROR(__xludf.DUMMYFUNCTION("""COMPUTED_VALUE"""),"SQL")</f>
        <v>SQL</v>
      </c>
      <c r="G1939" s="9" t="str">
        <f>IFERROR(__xludf.DUMMYFUNCTION("""COMPUTED_VALUE"""),"JavaScript")</f>
        <v>JavaScript</v>
      </c>
      <c r="H1939" s="9" t="str">
        <f>IFERROR(__xludf.DUMMYFUNCTION("""COMPUTED_VALUE"""),"Ruby")</f>
        <v>Ruby</v>
      </c>
      <c r="I1939" s="9" t="str">
        <f>IFERROR(__xludf.DUMMYFUNCTION("""COMPUTED_VALUE"""),"C#")</f>
        <v>C#</v>
      </c>
      <c r="J1939" s="9" t="str">
        <f>IFERROR(__xludf.DUMMYFUNCTION("""COMPUTED_VALUE"""),"Rust")</f>
        <v>Rust</v>
      </c>
      <c r="K1939" s="9" t="str">
        <f>IFERROR(__xludf.DUMMYFUNCTION("""COMPUTED_VALUE"""),"C")</f>
        <v>C</v>
      </c>
      <c r="L1939" s="9" t="str">
        <f>IFERROR(__xludf.DUMMYFUNCTION("""COMPUTED_VALUE"""),"JavaScript")</f>
        <v>JavaScript</v>
      </c>
      <c r="M1939" s="9" t="s">
        <v>37</v>
      </c>
    </row>
    <row r="1940" ht="15.75" customHeight="1">
      <c r="A1940" s="7"/>
      <c r="B1940" s="7" t="str">
        <f>IFERROR(__xludf.DUMMYFUNCTION("""COMPUTED_VALUE"""),"Bash/Shell/PowerShell;C#;HTML/CSS;Java;JavaScript;SQL")</f>
        <v>Bash/Shell/PowerShell;C#;HTML/CSS;Java;JavaScript;SQL</v>
      </c>
      <c r="C1940" s="9" t="str">
        <f>IFERROR(__xludf.DUMMYFUNCTION("""COMPUTED_VALUE"""),"SQL")</f>
        <v>SQL</v>
      </c>
      <c r="D1940" s="9" t="str">
        <f>IFERROR(__xludf.DUMMYFUNCTION("""COMPUTED_VALUE"""),"SQL")</f>
        <v>SQL</v>
      </c>
      <c r="E1940" s="9" t="str">
        <f>IFERROR(__xludf.DUMMYFUNCTION("""COMPUTED_VALUE"""),"Rust")</f>
        <v>Rust</v>
      </c>
      <c r="F1940" s="9" t="str">
        <f>IFERROR(__xludf.DUMMYFUNCTION("""COMPUTED_VALUE"""),"Bash/Shell/PowerShell")</f>
        <v>Bash/Shell/PowerShell</v>
      </c>
      <c r="G1940" s="9" t="str">
        <f>IFERROR(__xludf.DUMMYFUNCTION("""COMPUTED_VALUE"""),"Python")</f>
        <v>Python</v>
      </c>
      <c r="H1940" s="9" t="str">
        <f>IFERROR(__xludf.DUMMYFUNCTION("""COMPUTED_VALUE"""),"Bash/Shell/PowerShell")</f>
        <v>Bash/Shell/PowerShell</v>
      </c>
      <c r="I1940" s="9" t="str">
        <f>IFERROR(__xludf.DUMMYFUNCTION("""COMPUTED_VALUE"""),"HTML/CSS")</f>
        <v>HTML/CSS</v>
      </c>
      <c r="J1940" s="9" t="str">
        <f>IFERROR(__xludf.DUMMYFUNCTION("""COMPUTED_VALUE"""),"SQL")</f>
        <v>SQL</v>
      </c>
      <c r="K1940" s="9" t="str">
        <f>IFERROR(__xludf.DUMMYFUNCTION("""COMPUTED_VALUE"""),"C++")</f>
        <v>C++</v>
      </c>
      <c r="L1940" s="9" t="str">
        <f>IFERROR(__xludf.DUMMYFUNCTION("""COMPUTED_VALUE"""),"PHP")</f>
        <v>PHP</v>
      </c>
      <c r="M1940" s="9" t="s">
        <v>27</v>
      </c>
    </row>
    <row r="1941" ht="15.75" customHeight="1">
      <c r="A1941" s="7"/>
      <c r="B1941" s="7" t="str">
        <f>IFERROR(__xludf.DUMMYFUNCTION("""COMPUTED_VALUE"""),"C#;SQL;Other(s):")</f>
        <v>C#;SQL;Other(s):</v>
      </c>
      <c r="C1941" s="9" t="str">
        <f>IFERROR(__xludf.DUMMYFUNCTION("""COMPUTED_VALUE"""),"C#")</f>
        <v>C#</v>
      </c>
      <c r="D1941" s="9" t="str">
        <f>IFERROR(__xludf.DUMMYFUNCTION("""COMPUTED_VALUE"""),"HTML/CSS")</f>
        <v>HTML/CSS</v>
      </c>
      <c r="E1941" s="9" t="str">
        <f>IFERROR(__xludf.DUMMYFUNCTION("""COMPUTED_VALUE"""),"C#")</f>
        <v>C#</v>
      </c>
      <c r="F1941" s="9" t="str">
        <f>IFERROR(__xludf.DUMMYFUNCTION("""COMPUTED_VALUE"""),"JavaScript")</f>
        <v>JavaScript</v>
      </c>
      <c r="G1941" s="9" t="str">
        <f>IFERROR(__xludf.DUMMYFUNCTION("""COMPUTED_VALUE"""),"SQL")</f>
        <v>SQL</v>
      </c>
      <c r="H1941" s="9" t="str">
        <f>IFERROR(__xludf.DUMMYFUNCTION("""COMPUTED_VALUE"""),"C")</f>
        <v>C</v>
      </c>
      <c r="I1941" s="9" t="str">
        <f>IFERROR(__xludf.DUMMYFUNCTION("""COMPUTED_VALUE"""),"JavaScript")</f>
        <v>JavaScript</v>
      </c>
      <c r="J1941" s="9" t="str">
        <f>IFERROR(__xludf.DUMMYFUNCTION("""COMPUTED_VALUE"""),"C++")</f>
        <v>C++</v>
      </c>
      <c r="K1941" s="9" t="str">
        <f>IFERROR(__xludf.DUMMYFUNCTION("""COMPUTED_VALUE"""),"JavaScript")</f>
        <v>JavaScript</v>
      </c>
      <c r="L1941" s="9" t="str">
        <f>IFERROR(__xludf.DUMMYFUNCTION("""COMPUTED_VALUE"""),"SQL")</f>
        <v>SQL</v>
      </c>
      <c r="M1941" s="9" t="s">
        <v>26</v>
      </c>
    </row>
    <row r="1942" ht="15.75" customHeight="1">
      <c r="A1942" s="7"/>
      <c r="B1942" s="7" t="str">
        <f>IFERROR(__xludf.DUMMYFUNCTION("""COMPUTED_VALUE"""),"C#;Java;Objective-C;VBA")</f>
        <v>C#;Java;Objective-C;VBA</v>
      </c>
      <c r="C1942" s="9" t="str">
        <f>IFERROR(__xludf.DUMMYFUNCTION("""COMPUTED_VALUE"""),"HTML/CSS")</f>
        <v>HTML/CSS</v>
      </c>
      <c r="D1942" s="9" t="str">
        <f>IFERROR(__xludf.DUMMYFUNCTION("""COMPUTED_VALUE"""),"Java")</f>
        <v>Java</v>
      </c>
      <c r="E1942" s="9" t="str">
        <f>IFERROR(__xludf.DUMMYFUNCTION("""COMPUTED_VALUE"""),"HTML/CSS")</f>
        <v>HTML/CSS</v>
      </c>
      <c r="F1942" s="9" t="str">
        <f>IFERROR(__xludf.DUMMYFUNCTION("""COMPUTED_VALUE"""),"R")</f>
        <v>R</v>
      </c>
      <c r="G1942" s="9" t="str">
        <f>IFERROR(__xludf.DUMMYFUNCTION("""COMPUTED_VALUE"""),"TypeScript")</f>
        <v>TypeScript</v>
      </c>
      <c r="H1942" s="9" t="str">
        <f>IFERROR(__xludf.DUMMYFUNCTION("""COMPUTED_VALUE"""),"C++")</f>
        <v>C++</v>
      </c>
      <c r="I1942" s="9" t="str">
        <f>IFERROR(__xludf.DUMMYFUNCTION("""COMPUTED_VALUE"""),"SQL")</f>
        <v>SQL</v>
      </c>
      <c r="J1942" s="9" t="str">
        <f>IFERROR(__xludf.DUMMYFUNCTION("""COMPUTED_VALUE"""),"C#")</f>
        <v>C#</v>
      </c>
      <c r="K1942" s="9" t="str">
        <f>IFERROR(__xludf.DUMMYFUNCTION("""COMPUTED_VALUE"""),"SQL")</f>
        <v>SQL</v>
      </c>
      <c r="L1942" s="9" t="str">
        <f>IFERROR(__xludf.DUMMYFUNCTION("""COMPUTED_VALUE"""),"Java")</f>
        <v>Java</v>
      </c>
      <c r="M1942" s="9" t="s">
        <v>24</v>
      </c>
    </row>
    <row r="1943" ht="15.75" customHeight="1">
      <c r="A1943" s="7"/>
      <c r="B1943" s="7" t="str">
        <f>IFERROR(__xludf.DUMMYFUNCTION("""COMPUTED_VALUE"""),"Bash/Shell/PowerShell;C#;HTML/CSS;JavaScript;PHP;Python;SQL;VBA")</f>
        <v>Bash/Shell/PowerShell;C#;HTML/CSS;JavaScript;PHP;Python;SQL;VBA</v>
      </c>
      <c r="C1943" s="9" t="str">
        <f>IFERROR(__xludf.DUMMYFUNCTION("""COMPUTED_VALUE"""),"TypeScript")</f>
        <v>TypeScript</v>
      </c>
      <c r="D1943" s="9" t="str">
        <f>IFERROR(__xludf.DUMMYFUNCTION("""COMPUTED_VALUE"""),"JavaScript")</f>
        <v>JavaScript</v>
      </c>
      <c r="E1943" s="9" t="str">
        <f>IFERROR(__xludf.DUMMYFUNCTION("""COMPUTED_VALUE"""),"JavaScript")</f>
        <v>JavaScript</v>
      </c>
      <c r="F1943" s="9" t="str">
        <f>IFERROR(__xludf.DUMMYFUNCTION("""COMPUTED_VALUE"""),"C#")</f>
        <v>C#</v>
      </c>
      <c r="G1943" s="9" t="str">
        <f>IFERROR(__xludf.DUMMYFUNCTION("""COMPUTED_VALUE"""),"Other(s):")</f>
        <v>Other(s):</v>
      </c>
      <c r="H1943" s="9" t="str">
        <f>IFERROR(__xludf.DUMMYFUNCTION("""COMPUTED_VALUE"""),"C#")</f>
        <v>C#</v>
      </c>
      <c r="I1943" s="9" t="str">
        <f>IFERROR(__xludf.DUMMYFUNCTION("""COMPUTED_VALUE"""),"TypeScript")</f>
        <v>TypeScript</v>
      </c>
      <c r="J1943" s="9" t="str">
        <f>IFERROR(__xludf.DUMMYFUNCTION("""COMPUTED_VALUE"""),"SQL")</f>
        <v>SQL</v>
      </c>
      <c r="K1943" s="9" t="str">
        <f>IFERROR(__xludf.DUMMYFUNCTION("""COMPUTED_VALUE"""),"Other(s):")</f>
        <v>Other(s):</v>
      </c>
      <c r="L1943" s="9" t="str">
        <f>IFERROR(__xludf.DUMMYFUNCTION("""COMPUTED_VALUE"""),"HTML/CSS")</f>
        <v>HTML/CSS</v>
      </c>
      <c r="M1943" s="9" t="s">
        <v>33</v>
      </c>
    </row>
    <row r="1944" ht="15.75" customHeight="1">
      <c r="A1944" s="7"/>
      <c r="B1944" s="7" t="str">
        <f>IFERROR(__xludf.DUMMYFUNCTION("""COMPUTED_VALUE"""),"Assembly;C;HTML/CSS;Java;JavaScript;PHP;SQL")</f>
        <v>Assembly;C;HTML/CSS;Java;JavaScript;PHP;SQL</v>
      </c>
      <c r="C1944" s="9" t="str">
        <f>IFERROR(__xludf.DUMMYFUNCTION("""COMPUTED_VALUE"""),"Other(s):")</f>
        <v>Other(s):</v>
      </c>
      <c r="D1944" s="9" t="str">
        <f>IFERROR(__xludf.DUMMYFUNCTION("""COMPUTED_VALUE"""),"PHP")</f>
        <v>PHP</v>
      </c>
      <c r="E1944" s="9" t="str">
        <f>IFERROR(__xludf.DUMMYFUNCTION("""COMPUTED_VALUE"""),"SQL")</f>
        <v>SQL</v>
      </c>
      <c r="F1944" s="9" t="str">
        <f>IFERROR(__xludf.DUMMYFUNCTION("""COMPUTED_VALUE"""),"HTML/CSS")</f>
        <v>HTML/CSS</v>
      </c>
      <c r="G1944" s="9" t="str">
        <f>IFERROR(__xludf.DUMMYFUNCTION("""COMPUTED_VALUE"""),"Bash/Shell/PowerShell")</f>
        <v>Bash/Shell/PowerShell</v>
      </c>
      <c r="H1944" s="9" t="str">
        <f>IFERROR(__xludf.DUMMYFUNCTION("""COMPUTED_VALUE"""),"HTML/CSS")</f>
        <v>HTML/CSS</v>
      </c>
      <c r="I1944" s="9" t="str">
        <f>IFERROR(__xludf.DUMMYFUNCTION("""COMPUTED_VALUE"""),"Bash/Shell/PowerShell")</f>
        <v>Bash/Shell/PowerShell</v>
      </c>
      <c r="J1944" s="9" t="str">
        <f>IFERROR(__xludf.DUMMYFUNCTION("""COMPUTED_VALUE"""),"Other(s):")</f>
        <v>Other(s):</v>
      </c>
      <c r="K1944" s="9" t="str">
        <f>IFERROR(__xludf.DUMMYFUNCTION("""COMPUTED_VALUE"""),"C#")</f>
        <v>C#</v>
      </c>
      <c r="L1944" s="9" t="str">
        <f>IFERROR(__xludf.DUMMYFUNCTION("""COMPUTED_VALUE"""),"JavaScript")</f>
        <v>JavaScript</v>
      </c>
      <c r="M1944" s="9" t="s">
        <v>35</v>
      </c>
    </row>
    <row r="1945" ht="15.75" customHeight="1">
      <c r="A1945" s="7"/>
      <c r="B1945" s="7" t="str">
        <f>IFERROR(__xludf.DUMMYFUNCTION("""COMPUTED_VALUE"""),"C++;Python")</f>
        <v>C++;Python</v>
      </c>
      <c r="C1945" s="9" t="str">
        <f>IFERROR(__xludf.DUMMYFUNCTION("""COMPUTED_VALUE"""),"HTML/CSS")</f>
        <v>HTML/CSS</v>
      </c>
      <c r="D1945" s="9" t="str">
        <f>IFERROR(__xludf.DUMMYFUNCTION("""COMPUTED_VALUE"""),"SQL")</f>
        <v>SQL</v>
      </c>
      <c r="E1945" s="9" t="str">
        <f>IFERROR(__xludf.DUMMYFUNCTION("""COMPUTED_VALUE"""),"C#")</f>
        <v>C#</v>
      </c>
      <c r="F1945" s="9" t="str">
        <f>IFERROR(__xludf.DUMMYFUNCTION("""COMPUTED_VALUE"""),"Java")</f>
        <v>Java</v>
      </c>
      <c r="G1945" s="9" t="str">
        <f>IFERROR(__xludf.DUMMYFUNCTION("""COMPUTED_VALUE"""),"C")</f>
        <v>C</v>
      </c>
      <c r="H1945" s="9" t="str">
        <f>IFERROR(__xludf.DUMMYFUNCTION("""COMPUTED_VALUE"""),"JavaScript")</f>
        <v>JavaScript</v>
      </c>
      <c r="I1945" s="9" t="str">
        <f>IFERROR(__xludf.DUMMYFUNCTION("""COMPUTED_VALUE"""),"C#")</f>
        <v>C#</v>
      </c>
      <c r="J1945" s="9" t="str">
        <f>IFERROR(__xludf.DUMMYFUNCTION("""COMPUTED_VALUE"""),"Bash/Shell/PowerShell")</f>
        <v>Bash/Shell/PowerShell</v>
      </c>
      <c r="K1945" s="9" t="str">
        <f>IFERROR(__xludf.DUMMYFUNCTION("""COMPUTED_VALUE"""),"HTML/CSS")</f>
        <v>HTML/CSS</v>
      </c>
      <c r="L1945" s="9" t="str">
        <f>IFERROR(__xludf.DUMMYFUNCTION("""COMPUTED_VALUE"""),"Go")</f>
        <v>Go</v>
      </c>
      <c r="M1945" s="9" t="s">
        <v>24</v>
      </c>
    </row>
    <row r="1946" ht="15.75" customHeight="1">
      <c r="A1946" s="7"/>
      <c r="B1946" s="7" t="str">
        <f>IFERROR(__xludf.DUMMYFUNCTION("""COMPUTED_VALUE"""),"Assembly;Bash/Shell/PowerShell;C;C++;C#;HTML/CSS;Java;JavaScript;PHP;Python;SQL")</f>
        <v>Assembly;Bash/Shell/PowerShell;C;C++;C#;HTML/CSS;Java;JavaScript;PHP;Python;SQL</v>
      </c>
      <c r="C1946" s="9" t="str">
        <f>IFERROR(__xludf.DUMMYFUNCTION("""COMPUTED_VALUE"""),"Java")</f>
        <v>Java</v>
      </c>
      <c r="D1946" s="9" t="str">
        <f>IFERROR(__xludf.DUMMYFUNCTION("""COMPUTED_VALUE"""),"TypeScript")</f>
        <v>TypeScript</v>
      </c>
      <c r="E1946" s="9" t="str">
        <f>IFERROR(__xludf.DUMMYFUNCTION("""COMPUTED_VALUE"""),"HTML/CSS")</f>
        <v>HTML/CSS</v>
      </c>
      <c r="F1946" s="9" t="str">
        <f>IFERROR(__xludf.DUMMYFUNCTION("""COMPUTED_VALUE"""),"JavaScript")</f>
        <v>JavaScript</v>
      </c>
      <c r="G1946" s="9" t="str">
        <f>IFERROR(__xludf.DUMMYFUNCTION("""COMPUTED_VALUE"""),"C++")</f>
        <v>C++</v>
      </c>
      <c r="H1946" s="9" t="str">
        <f>IFERROR(__xludf.DUMMYFUNCTION("""COMPUTED_VALUE"""),"PHP")</f>
        <v>PHP</v>
      </c>
      <c r="I1946" s="9" t="str">
        <f>IFERROR(__xludf.DUMMYFUNCTION("""COMPUTED_VALUE"""),"HTML/CSS")</f>
        <v>HTML/CSS</v>
      </c>
      <c r="J1946" s="9" t="str">
        <f>IFERROR(__xludf.DUMMYFUNCTION("""COMPUTED_VALUE"""),"Java")</f>
        <v>Java</v>
      </c>
      <c r="K1946" s="9" t="str">
        <f>IFERROR(__xludf.DUMMYFUNCTION("""COMPUTED_VALUE"""),"Java")</f>
        <v>Java</v>
      </c>
      <c r="L1946" s="9" t="str">
        <f>IFERROR(__xludf.DUMMYFUNCTION("""COMPUTED_VALUE"""),"PHP")</f>
        <v>PHP</v>
      </c>
      <c r="M1946" s="9" t="s">
        <v>20</v>
      </c>
    </row>
    <row r="1947" ht="15.75" customHeight="1">
      <c r="A1947" s="7"/>
      <c r="B1947" s="7" t="str">
        <f>IFERROR(__xludf.DUMMYFUNCTION("""COMPUTED_VALUE"""),"Bash/Shell/PowerShell;HTML/CSS;JavaScript;SQL;TypeScript")</f>
        <v>Bash/Shell/PowerShell;HTML/CSS;JavaScript;SQL;TypeScript</v>
      </c>
      <c r="C1947" s="9" t="str">
        <f>IFERROR(__xludf.DUMMYFUNCTION("""COMPUTED_VALUE"""),"JavaScript")</f>
        <v>JavaScript</v>
      </c>
      <c r="D1947" s="9" t="str">
        <f>IFERROR(__xludf.DUMMYFUNCTION("""COMPUTED_VALUE"""),"HTML/CSS")</f>
        <v>HTML/CSS</v>
      </c>
      <c r="E1947" s="9" t="str">
        <f>IFERROR(__xludf.DUMMYFUNCTION("""COMPUTED_VALUE"""),"JavaScript")</f>
        <v>JavaScript</v>
      </c>
      <c r="F1947" s="9" t="str">
        <f>IFERROR(__xludf.DUMMYFUNCTION("""COMPUTED_VALUE"""),"Ruby")</f>
        <v>Ruby</v>
      </c>
      <c r="G1947" s="9" t="str">
        <f>IFERROR(__xludf.DUMMYFUNCTION("""COMPUTED_VALUE"""),"C#")</f>
        <v>C#</v>
      </c>
      <c r="H1947" s="9" t="str">
        <f>IFERROR(__xludf.DUMMYFUNCTION("""COMPUTED_VALUE"""),"Python")</f>
        <v>Python</v>
      </c>
      <c r="I1947" s="9" t="str">
        <f>IFERROR(__xludf.DUMMYFUNCTION("""COMPUTED_VALUE"""),"JavaScript")</f>
        <v>JavaScript</v>
      </c>
      <c r="J1947" s="9" t="str">
        <f>IFERROR(__xludf.DUMMYFUNCTION("""COMPUTED_VALUE"""),"Bash/Shell/PowerShell")</f>
        <v>Bash/Shell/PowerShell</v>
      </c>
      <c r="K1947" s="9" t="str">
        <f>IFERROR(__xludf.DUMMYFUNCTION("""COMPUTED_VALUE"""),"JavaScript")</f>
        <v>JavaScript</v>
      </c>
      <c r="L1947" s="9" t="str">
        <f>IFERROR(__xludf.DUMMYFUNCTION("""COMPUTED_VALUE"""),"Bash/Shell/PowerShell")</f>
        <v>Bash/Shell/PowerShell</v>
      </c>
      <c r="M1947" s="9" t="s">
        <v>21</v>
      </c>
    </row>
    <row r="1948" ht="15.75" customHeight="1">
      <c r="A1948" s="7"/>
      <c r="B1948" s="7" t="str">
        <f>IFERROR(__xludf.DUMMYFUNCTION("""COMPUTED_VALUE"""),"Bash/Shell/PowerShell;C++;C#;HTML/CSS;JavaScript;SQL")</f>
        <v>Bash/Shell/PowerShell;C++;C#;HTML/CSS;JavaScript;SQL</v>
      </c>
      <c r="C1948" s="9" t="str">
        <f>IFERROR(__xludf.DUMMYFUNCTION("""COMPUTED_VALUE"""),"SQL")</f>
        <v>SQL</v>
      </c>
      <c r="D1948" s="9" t="str">
        <f>IFERROR(__xludf.DUMMYFUNCTION("""COMPUTED_VALUE"""),"JavaScript")</f>
        <v>JavaScript</v>
      </c>
      <c r="E1948" s="9" t="str">
        <f>IFERROR(__xludf.DUMMYFUNCTION("""COMPUTED_VALUE"""),"Python")</f>
        <v>Python</v>
      </c>
      <c r="F1948" s="9" t="str">
        <f>IFERROR(__xludf.DUMMYFUNCTION("""COMPUTED_VALUE"""),"SQL")</f>
        <v>SQL</v>
      </c>
      <c r="G1948" s="9" t="str">
        <f>IFERROR(__xludf.DUMMYFUNCTION("""COMPUTED_VALUE"""),"Java")</f>
        <v>Java</v>
      </c>
      <c r="H1948" s="9" t="str">
        <f>IFERROR(__xludf.DUMMYFUNCTION("""COMPUTED_VALUE"""),"SQL")</f>
        <v>SQL</v>
      </c>
      <c r="I1948" s="9" t="str">
        <f>IFERROR(__xludf.DUMMYFUNCTION("""COMPUTED_VALUE"""),"SQL")</f>
        <v>SQL</v>
      </c>
      <c r="J1948" s="9" t="str">
        <f>IFERROR(__xludf.DUMMYFUNCTION("""COMPUTED_VALUE"""),"HTML/CSS")</f>
        <v>HTML/CSS</v>
      </c>
      <c r="K1948" s="9" t="str">
        <f>IFERROR(__xludf.DUMMYFUNCTION("""COMPUTED_VALUE"""),"Python")</f>
        <v>Python</v>
      </c>
      <c r="L1948" s="9" t="str">
        <f>IFERROR(__xludf.DUMMYFUNCTION("""COMPUTED_VALUE"""),"HTML/CSS")</f>
        <v>HTML/CSS</v>
      </c>
      <c r="M1948" s="9" t="s">
        <v>27</v>
      </c>
    </row>
    <row r="1949" ht="15.75" customHeight="1">
      <c r="A1949" s="7"/>
      <c r="B1949" s="7" t="str">
        <f>IFERROR(__xludf.DUMMYFUNCTION("""COMPUTED_VALUE"""),"C#;HTML/CSS;JavaScript;SQL")</f>
        <v>C#;HTML/CSS;JavaScript;SQL</v>
      </c>
      <c r="C1949" s="9" t="str">
        <f>IFERROR(__xludf.DUMMYFUNCTION("""COMPUTED_VALUE"""),"HTML/CSS")</f>
        <v>HTML/CSS</v>
      </c>
      <c r="D1949" s="9" t="str">
        <f>IFERROR(__xludf.DUMMYFUNCTION("""COMPUTED_VALUE"""),"SQL")</f>
        <v>SQL</v>
      </c>
      <c r="E1949" s="9" t="str">
        <f>IFERROR(__xludf.DUMMYFUNCTION("""COMPUTED_VALUE"""),"SQL")</f>
        <v>SQL</v>
      </c>
      <c r="F1949" s="9" t="str">
        <f>IFERROR(__xludf.DUMMYFUNCTION("""COMPUTED_VALUE"""),"Bash/Shell/PowerShell")</f>
        <v>Bash/Shell/PowerShell</v>
      </c>
      <c r="G1949" s="9" t="str">
        <f>IFERROR(__xludf.DUMMYFUNCTION("""COMPUTED_VALUE"""),"HTML/CSS")</f>
        <v>HTML/CSS</v>
      </c>
      <c r="H1949" s="9" t="str">
        <f>IFERROR(__xludf.DUMMYFUNCTION("""COMPUTED_VALUE"""),"C#")</f>
        <v>C#</v>
      </c>
      <c r="I1949" s="9" t="str">
        <f>IFERROR(__xludf.DUMMYFUNCTION("""COMPUTED_VALUE"""),"TypeScript")</f>
        <v>TypeScript</v>
      </c>
      <c r="J1949" s="9" t="str">
        <f>IFERROR(__xludf.DUMMYFUNCTION("""COMPUTED_VALUE"""),"JavaScript")</f>
        <v>JavaScript</v>
      </c>
      <c r="K1949" s="9" t="str">
        <f>IFERROR(__xludf.DUMMYFUNCTION("""COMPUTED_VALUE"""),"SQL")</f>
        <v>SQL</v>
      </c>
      <c r="L1949" s="9" t="str">
        <f>IFERROR(__xludf.DUMMYFUNCTION("""COMPUTED_VALUE"""),"JavaScript")</f>
        <v>JavaScript</v>
      </c>
      <c r="M1949" s="9" t="s">
        <v>24</v>
      </c>
    </row>
    <row r="1950" ht="15.75" customHeight="1">
      <c r="A1950" s="7"/>
      <c r="B1950" s="7" t="str">
        <f>IFERROR(__xludf.DUMMYFUNCTION("""COMPUTED_VALUE"""),"Bash/Shell/PowerShell;C#;HTML/CSS;Java;JavaScript;SQL;Swift;TypeScript")</f>
        <v>Bash/Shell/PowerShell;C#;HTML/CSS;Java;JavaScript;SQL;Swift;TypeScript</v>
      </c>
      <c r="C1950" s="9" t="str">
        <f>IFERROR(__xludf.DUMMYFUNCTION("""COMPUTED_VALUE"""),"JavaScript")</f>
        <v>JavaScript</v>
      </c>
      <c r="D1950" s="9" t="str">
        <f>IFERROR(__xludf.DUMMYFUNCTION("""COMPUTED_VALUE"""),"TypeScript")</f>
        <v>TypeScript</v>
      </c>
      <c r="E1950" s="9" t="str">
        <f>IFERROR(__xludf.DUMMYFUNCTION("""COMPUTED_VALUE"""),"C#")</f>
        <v>C#</v>
      </c>
      <c r="F1950" s="9" t="str">
        <f>IFERROR(__xludf.DUMMYFUNCTION("""COMPUTED_VALUE"""),"HTML/CSS")</f>
        <v>HTML/CSS</v>
      </c>
      <c r="G1950" s="9" t="str">
        <f>IFERROR(__xludf.DUMMYFUNCTION("""COMPUTED_VALUE"""),"JavaScript")</f>
        <v>JavaScript</v>
      </c>
      <c r="H1950" s="9" t="str">
        <f>IFERROR(__xludf.DUMMYFUNCTION("""COMPUTED_VALUE"""),"Java")</f>
        <v>Java</v>
      </c>
      <c r="I1950" s="9" t="str">
        <f>IFERROR(__xludf.DUMMYFUNCTION("""COMPUTED_VALUE"""),"Bash/Shell/PowerShell")</f>
        <v>Bash/Shell/PowerShell</v>
      </c>
      <c r="J1950" s="9" t="str">
        <f>IFERROR(__xludf.DUMMYFUNCTION("""COMPUTED_VALUE"""),"Ruby")</f>
        <v>Ruby</v>
      </c>
      <c r="K1950" s="9" t="str">
        <f>IFERROR(__xludf.DUMMYFUNCTION("""COMPUTED_VALUE"""),"C#")</f>
        <v>C#</v>
      </c>
      <c r="L1950" s="9" t="str">
        <f>IFERROR(__xludf.DUMMYFUNCTION("""COMPUTED_VALUE"""),"SQL")</f>
        <v>SQL</v>
      </c>
      <c r="M1950" s="9" t="s">
        <v>21</v>
      </c>
    </row>
    <row r="1951" ht="15.75" customHeight="1">
      <c r="A1951" s="7"/>
      <c r="B1951" s="7" t="str">
        <f>IFERROR(__xludf.DUMMYFUNCTION("""COMPUTED_VALUE"""),"Python;Other(s):")</f>
        <v>Python;Other(s):</v>
      </c>
      <c r="C1951" s="9" t="str">
        <f>IFERROR(__xludf.DUMMYFUNCTION("""COMPUTED_VALUE"""),"HTML/CSS")</f>
        <v>HTML/CSS</v>
      </c>
      <c r="D1951" s="9" t="str">
        <f>IFERROR(__xludf.DUMMYFUNCTION("""COMPUTED_VALUE"""),"Assembly")</f>
        <v>Assembly</v>
      </c>
      <c r="E1951" s="9" t="str">
        <f>IFERROR(__xludf.DUMMYFUNCTION("""COMPUTED_VALUE"""),"HTML/CSS")</f>
        <v>HTML/CSS</v>
      </c>
      <c r="F1951" s="9" t="str">
        <f>IFERROR(__xludf.DUMMYFUNCTION("""COMPUTED_VALUE"""),"Python")</f>
        <v>Python</v>
      </c>
      <c r="G1951" s="9" t="str">
        <f>IFERROR(__xludf.DUMMYFUNCTION("""COMPUTED_VALUE"""),"PHP")</f>
        <v>PHP</v>
      </c>
      <c r="H1951" s="9" t="str">
        <f>IFERROR(__xludf.DUMMYFUNCTION("""COMPUTED_VALUE"""),"JavaScript")</f>
        <v>JavaScript</v>
      </c>
      <c r="I1951" s="9" t="str">
        <f>IFERROR(__xludf.DUMMYFUNCTION("""COMPUTED_VALUE"""),"C")</f>
        <v>C</v>
      </c>
      <c r="J1951" s="9" t="str">
        <f>IFERROR(__xludf.DUMMYFUNCTION("""COMPUTED_VALUE"""),"SQL")</f>
        <v>SQL</v>
      </c>
      <c r="K1951" s="9" t="str">
        <f>IFERROR(__xludf.DUMMYFUNCTION("""COMPUTED_VALUE"""),"HTML/CSS")</f>
        <v>HTML/CSS</v>
      </c>
      <c r="L1951" s="9" t="str">
        <f>IFERROR(__xludf.DUMMYFUNCTION("""COMPUTED_VALUE"""),"VBA")</f>
        <v>VBA</v>
      </c>
      <c r="M1951" s="9" t="s">
        <v>24</v>
      </c>
    </row>
    <row r="1952" ht="15.75" customHeight="1">
      <c r="A1952" s="7"/>
      <c r="B1952" s="7" t="str">
        <f>IFERROR(__xludf.DUMMYFUNCTION("""COMPUTED_VALUE"""),"Bash/Shell/PowerShell;HTML/CSS;JavaScript;TypeScript")</f>
        <v>Bash/Shell/PowerShell;HTML/CSS;JavaScript;TypeScript</v>
      </c>
      <c r="C1952" s="9" t="str">
        <f>IFERROR(__xludf.DUMMYFUNCTION("""COMPUTED_VALUE"""),"JavaScript")</f>
        <v>JavaScript</v>
      </c>
      <c r="D1952" s="9" t="str">
        <f>IFERROR(__xludf.DUMMYFUNCTION("""COMPUTED_VALUE"""),"C")</f>
        <v>C</v>
      </c>
      <c r="E1952" s="9" t="str">
        <f>IFERROR(__xludf.DUMMYFUNCTION("""COMPUTED_VALUE"""),"JavaScript")</f>
        <v>JavaScript</v>
      </c>
      <c r="F1952" s="9" t="str">
        <f>IFERROR(__xludf.DUMMYFUNCTION("""COMPUTED_VALUE"""),"R")</f>
        <v>R</v>
      </c>
      <c r="G1952" s="9" t="str">
        <f>IFERROR(__xludf.DUMMYFUNCTION("""COMPUTED_VALUE"""),"SQL")</f>
        <v>SQL</v>
      </c>
      <c r="H1952" s="9" t="str">
        <f>IFERROR(__xludf.DUMMYFUNCTION("""COMPUTED_VALUE"""),"SQL")</f>
        <v>SQL</v>
      </c>
      <c r="I1952" s="9" t="str">
        <f>IFERROR(__xludf.DUMMYFUNCTION("""COMPUTED_VALUE"""),"C++")</f>
        <v>C++</v>
      </c>
      <c r="J1952" s="9" t="str">
        <f>IFERROR(__xludf.DUMMYFUNCTION("""COMPUTED_VALUE"""),"TypeScript")</f>
        <v>TypeScript</v>
      </c>
      <c r="K1952" s="9" t="str">
        <f>IFERROR(__xludf.DUMMYFUNCTION("""COMPUTED_VALUE"""),"JavaScript")</f>
        <v>JavaScript</v>
      </c>
      <c r="L1952" s="9" t="str">
        <f>IFERROR(__xludf.DUMMYFUNCTION("""COMPUTED_VALUE"""),"Other(s):")</f>
        <v>Other(s):</v>
      </c>
      <c r="M1952" s="9" t="s">
        <v>21</v>
      </c>
    </row>
    <row r="1953" ht="15.75" customHeight="1">
      <c r="A1953" s="7"/>
      <c r="B1953" s="7" t="str">
        <f>IFERROR(__xludf.DUMMYFUNCTION("""COMPUTED_VALUE"""),"C#;HTML/CSS;Java;JavaScript;SQL;TypeScript")</f>
        <v>C#;HTML/CSS;Java;JavaScript;SQL;TypeScript</v>
      </c>
      <c r="C1953" s="9" t="str">
        <f>IFERROR(__xludf.DUMMYFUNCTION("""COMPUTED_VALUE"""),"PHP")</f>
        <v>PHP</v>
      </c>
      <c r="D1953" s="9" t="str">
        <f>IFERROR(__xludf.DUMMYFUNCTION("""COMPUTED_VALUE"""),"C++")</f>
        <v>C++</v>
      </c>
      <c r="E1953" s="9" t="str">
        <f>IFERROR(__xludf.DUMMYFUNCTION("""COMPUTED_VALUE"""),"SQL")</f>
        <v>SQL</v>
      </c>
      <c r="F1953" s="9" t="str">
        <f>IFERROR(__xludf.DUMMYFUNCTION("""COMPUTED_VALUE"""),"SQL")</f>
        <v>SQL</v>
      </c>
      <c r="G1953" s="9" t="str">
        <f>IFERROR(__xludf.DUMMYFUNCTION("""COMPUTED_VALUE"""),"Bash/Shell/PowerShell")</f>
        <v>Bash/Shell/PowerShell</v>
      </c>
      <c r="H1953" s="9" t="str">
        <f>IFERROR(__xludf.DUMMYFUNCTION("""COMPUTED_VALUE"""),"C#")</f>
        <v>C#</v>
      </c>
      <c r="I1953" s="9" t="str">
        <f>IFERROR(__xludf.DUMMYFUNCTION("""COMPUTED_VALUE"""),"C#")</f>
        <v>C#</v>
      </c>
      <c r="J1953" s="9" t="str">
        <f>IFERROR(__xludf.DUMMYFUNCTION("""COMPUTED_VALUE"""),"Bash/Shell/PowerShell")</f>
        <v>Bash/Shell/PowerShell</v>
      </c>
      <c r="K1953" s="9" t="str">
        <f>IFERROR(__xludf.DUMMYFUNCTION("""COMPUTED_VALUE"""),"SQL")</f>
        <v>SQL</v>
      </c>
      <c r="L1953" s="9" t="str">
        <f>IFERROR(__xludf.DUMMYFUNCTION("""COMPUTED_VALUE"""),"HTML/CSS")</f>
        <v>HTML/CSS</v>
      </c>
      <c r="M1953" s="9" t="s">
        <v>37</v>
      </c>
    </row>
    <row r="1954" ht="15.75" customHeight="1">
      <c r="A1954" s="7"/>
      <c r="B1954" s="7" t="str">
        <f>IFERROR(__xludf.DUMMYFUNCTION("""COMPUTED_VALUE"""),"HTML/CSS;JavaScript;PHP;SQL")</f>
        <v>HTML/CSS;JavaScript;PHP;SQL</v>
      </c>
      <c r="C1954" s="9" t="str">
        <f>IFERROR(__xludf.DUMMYFUNCTION("""COMPUTED_VALUE"""),"Ruby")</f>
        <v>Ruby</v>
      </c>
      <c r="D1954" s="9" t="str">
        <f>IFERROR(__xludf.DUMMYFUNCTION("""COMPUTED_VALUE"""),"C#")</f>
        <v>C#</v>
      </c>
      <c r="E1954" s="9" t="str">
        <f>IFERROR(__xludf.DUMMYFUNCTION("""COMPUTED_VALUE"""),"TypeScript")</f>
        <v>TypeScript</v>
      </c>
      <c r="F1954" s="9" t="str">
        <f>IFERROR(__xludf.DUMMYFUNCTION("""COMPUTED_VALUE"""),"Bash/Shell/PowerShell")</f>
        <v>Bash/Shell/PowerShell</v>
      </c>
      <c r="G1954" s="9" t="str">
        <f>IFERROR(__xludf.DUMMYFUNCTION("""COMPUTED_VALUE"""),"C#")</f>
        <v>C#</v>
      </c>
      <c r="H1954" s="9" t="str">
        <f>IFERROR(__xludf.DUMMYFUNCTION("""COMPUTED_VALUE"""),"HTML/CSS")</f>
        <v>HTML/CSS</v>
      </c>
      <c r="I1954" s="9" t="str">
        <f>IFERROR(__xludf.DUMMYFUNCTION("""COMPUTED_VALUE"""),"Elixir")</f>
        <v>Elixir</v>
      </c>
      <c r="J1954" s="9" t="str">
        <f>IFERROR(__xludf.DUMMYFUNCTION("""COMPUTED_VALUE"""),"Elixir")</f>
        <v>Elixir</v>
      </c>
      <c r="K1954" s="9" t="str">
        <f>IFERROR(__xludf.DUMMYFUNCTION("""COMPUTED_VALUE"""),"C#")</f>
        <v>C#</v>
      </c>
      <c r="L1954" s="9" t="str">
        <f>IFERROR(__xludf.DUMMYFUNCTION("""COMPUTED_VALUE"""),"Java")</f>
        <v>Java</v>
      </c>
      <c r="M1954" s="9" t="s">
        <v>31</v>
      </c>
    </row>
    <row r="1955" ht="15.75" customHeight="1">
      <c r="A1955" s="7"/>
      <c r="B1955" s="7" t="str">
        <f>IFERROR(__xludf.DUMMYFUNCTION("""COMPUTED_VALUE"""),"Bash/Shell/PowerShell;HTML/CSS;Java;JavaScript;SQL")</f>
        <v>Bash/Shell/PowerShell;HTML/CSS;Java;JavaScript;SQL</v>
      </c>
      <c r="C1955" s="9" t="str">
        <f>IFERROR(__xludf.DUMMYFUNCTION("""COMPUTED_VALUE"""),"Rust")</f>
        <v>Rust</v>
      </c>
      <c r="D1955" s="9" t="str">
        <f>IFERROR(__xludf.DUMMYFUNCTION("""COMPUTED_VALUE"""),"HTML/CSS")</f>
        <v>HTML/CSS</v>
      </c>
      <c r="E1955" s="9" t="str">
        <f>IFERROR(__xludf.DUMMYFUNCTION("""COMPUTED_VALUE"""),"VBA")</f>
        <v>VBA</v>
      </c>
      <c r="F1955" s="9" t="str">
        <f>IFERROR(__xludf.DUMMYFUNCTION("""COMPUTED_VALUE"""),"HTML/CSS")</f>
        <v>HTML/CSS</v>
      </c>
      <c r="G1955" s="9" t="str">
        <f>IFERROR(__xludf.DUMMYFUNCTION("""COMPUTED_VALUE"""),"HTML/CSS")</f>
        <v>HTML/CSS</v>
      </c>
      <c r="H1955" s="9" t="str">
        <f>IFERROR(__xludf.DUMMYFUNCTION("""COMPUTED_VALUE"""),"JavaScript")</f>
        <v>JavaScript</v>
      </c>
      <c r="I1955" s="9" t="str">
        <f>IFERROR(__xludf.DUMMYFUNCTION("""COMPUTED_VALUE"""),"Erlang")</f>
        <v>Erlang</v>
      </c>
      <c r="J1955" s="9" t="str">
        <f>IFERROR(__xludf.DUMMYFUNCTION("""COMPUTED_VALUE"""),"Erlang")</f>
        <v>Erlang</v>
      </c>
      <c r="K1955" s="9" t="str">
        <f>IFERROR(__xludf.DUMMYFUNCTION("""COMPUTED_VALUE"""),"HTML/CSS")</f>
        <v>HTML/CSS</v>
      </c>
      <c r="L1955" s="9" t="str">
        <f>IFERROR(__xludf.DUMMYFUNCTION("""COMPUTED_VALUE"""),"JavaScript")</f>
        <v>JavaScript</v>
      </c>
      <c r="M1955" s="9" t="s">
        <v>32</v>
      </c>
    </row>
    <row r="1956" ht="15.75" customHeight="1">
      <c r="A1956" s="7"/>
      <c r="B1956" s="7" t="str">
        <f>IFERROR(__xludf.DUMMYFUNCTION("""COMPUTED_VALUE"""),"Bash/Shell/PowerShell;HTML/CSS;JavaScript;PHP;SQL")</f>
        <v>Bash/Shell/PowerShell;HTML/CSS;JavaScript;PHP;SQL</v>
      </c>
      <c r="C1956" s="9" t="str">
        <f>IFERROR(__xludf.DUMMYFUNCTION("""COMPUTED_VALUE"""),"SQL")</f>
        <v>SQL</v>
      </c>
      <c r="D1956" s="9" t="str">
        <f>IFERROR(__xludf.DUMMYFUNCTION("""COMPUTED_VALUE"""),"Java")</f>
        <v>Java</v>
      </c>
      <c r="E1956" s="9" t="str">
        <f>IFERROR(__xludf.DUMMYFUNCTION("""COMPUTED_VALUE"""),"Bash/Shell/PowerShell")</f>
        <v>Bash/Shell/PowerShell</v>
      </c>
      <c r="F1956" s="9" t="str">
        <f>IFERROR(__xludf.DUMMYFUNCTION("""COMPUTED_VALUE"""),"Java")</f>
        <v>Java</v>
      </c>
      <c r="G1956" s="9" t="str">
        <f>IFERROR(__xludf.DUMMYFUNCTION("""COMPUTED_VALUE"""),"JavaScript")</f>
        <v>JavaScript</v>
      </c>
      <c r="H1956" s="9" t="str">
        <f>IFERROR(__xludf.DUMMYFUNCTION("""COMPUTED_VALUE"""),"SQL")</f>
        <v>SQL</v>
      </c>
      <c r="I1956" s="9" t="str">
        <f>IFERROR(__xludf.DUMMYFUNCTION("""COMPUTED_VALUE"""),"Go")</f>
        <v>Go</v>
      </c>
      <c r="J1956" s="9" t="str">
        <f>IFERROR(__xludf.DUMMYFUNCTION("""COMPUTED_VALUE"""),"Go")</f>
        <v>Go</v>
      </c>
      <c r="K1956" s="9" t="str">
        <f>IFERROR(__xludf.DUMMYFUNCTION("""COMPUTED_VALUE"""),"Java")</f>
        <v>Java</v>
      </c>
      <c r="L1956" s="9" t="str">
        <f>IFERROR(__xludf.DUMMYFUNCTION("""COMPUTED_VALUE"""),"PHP")</f>
        <v>PHP</v>
      </c>
      <c r="M1956" s="9" t="s">
        <v>27</v>
      </c>
    </row>
    <row r="1957" ht="15.75" customHeight="1">
      <c r="A1957" s="7"/>
      <c r="B1957" s="7" t="str">
        <f>IFERROR(__xludf.DUMMYFUNCTION("""COMPUTED_VALUE"""),"Bash/Shell/PowerShell;Java")</f>
        <v>Bash/Shell/PowerShell;Java</v>
      </c>
      <c r="C1957" s="9" t="str">
        <f>IFERROR(__xludf.DUMMYFUNCTION("""COMPUTED_VALUE"""),"Bash/Shell/PowerShell")</f>
        <v>Bash/Shell/PowerShell</v>
      </c>
      <c r="D1957" s="9" t="str">
        <f>IFERROR(__xludf.DUMMYFUNCTION("""COMPUTED_VALUE"""),"Kotlin")</f>
        <v>Kotlin</v>
      </c>
      <c r="E1957" s="9" t="str">
        <f>IFERROR(__xludf.DUMMYFUNCTION("""COMPUTED_VALUE"""),"C#")</f>
        <v>C#</v>
      </c>
      <c r="F1957" s="9" t="str">
        <f>IFERROR(__xludf.DUMMYFUNCTION("""COMPUTED_VALUE"""),"JavaScript")</f>
        <v>JavaScript</v>
      </c>
      <c r="G1957" s="9" t="str">
        <f>IFERROR(__xludf.DUMMYFUNCTION("""COMPUTED_VALUE"""),"SQL")</f>
        <v>SQL</v>
      </c>
      <c r="H1957" s="9" t="str">
        <f>IFERROR(__xludf.DUMMYFUNCTION("""COMPUTED_VALUE"""),"TypeScript")</f>
        <v>TypeScript</v>
      </c>
      <c r="I1957" s="9" t="str">
        <f>IFERROR(__xludf.DUMMYFUNCTION("""COMPUTED_VALUE"""),"Java")</f>
        <v>Java</v>
      </c>
      <c r="J1957" s="9" t="str">
        <f>IFERROR(__xludf.DUMMYFUNCTION("""COMPUTED_VALUE"""),"HTML/CSS")</f>
        <v>HTML/CSS</v>
      </c>
      <c r="K1957" s="9" t="str">
        <f>IFERROR(__xludf.DUMMYFUNCTION("""COMPUTED_VALUE"""),"JavaScript")</f>
        <v>JavaScript</v>
      </c>
      <c r="L1957" s="9" t="str">
        <f>IFERROR(__xludf.DUMMYFUNCTION("""COMPUTED_VALUE"""),"Python")</f>
        <v>Python</v>
      </c>
      <c r="M1957" s="9" t="s">
        <v>30</v>
      </c>
    </row>
    <row r="1958" ht="15.75" customHeight="1">
      <c r="A1958" s="7"/>
      <c r="B1958" s="7" t="str">
        <f>IFERROR(__xludf.DUMMYFUNCTION("""COMPUTED_VALUE"""),"C#;JavaScript;SQL")</f>
        <v>C#;JavaScript;SQL</v>
      </c>
      <c r="C1958" s="9" t="str">
        <f>IFERROR(__xludf.DUMMYFUNCTION("""COMPUTED_VALUE"""),"C")</f>
        <v>C</v>
      </c>
      <c r="D1958" s="9" t="str">
        <f>IFERROR(__xludf.DUMMYFUNCTION("""COMPUTED_VALUE"""),"Python")</f>
        <v>Python</v>
      </c>
      <c r="E1958" s="9" t="str">
        <f>IFERROR(__xludf.DUMMYFUNCTION("""COMPUTED_VALUE"""),"HTML/CSS")</f>
        <v>HTML/CSS</v>
      </c>
      <c r="F1958" s="9" t="str">
        <f>IFERROR(__xludf.DUMMYFUNCTION("""COMPUTED_VALUE"""),"Python")</f>
        <v>Python</v>
      </c>
      <c r="G1958" s="9" t="str">
        <f>IFERROR(__xludf.DUMMYFUNCTION("""COMPUTED_VALUE"""),"TypeScript")</f>
        <v>TypeScript</v>
      </c>
      <c r="H1958" s="9" t="str">
        <f>IFERROR(__xludf.DUMMYFUNCTION("""COMPUTED_VALUE"""),"HTML/CSS")</f>
        <v>HTML/CSS</v>
      </c>
      <c r="I1958" s="9" t="str">
        <f>IFERROR(__xludf.DUMMYFUNCTION("""COMPUTED_VALUE"""),"JavaScript")</f>
        <v>JavaScript</v>
      </c>
      <c r="J1958" s="9" t="str">
        <f>IFERROR(__xludf.DUMMYFUNCTION("""COMPUTED_VALUE"""),"Java")</f>
        <v>Java</v>
      </c>
      <c r="K1958" s="9" t="str">
        <f>IFERROR(__xludf.DUMMYFUNCTION("""COMPUTED_VALUE"""),"TypeScript")</f>
        <v>TypeScript</v>
      </c>
      <c r="L1958" s="9" t="str">
        <f>IFERROR(__xludf.DUMMYFUNCTION("""COMPUTED_VALUE"""),"TypeScript")</f>
        <v>TypeScript</v>
      </c>
      <c r="M1958" s="9" t="s">
        <v>25</v>
      </c>
    </row>
    <row r="1959" ht="15.75" customHeight="1">
      <c r="A1959" s="7"/>
      <c r="B1959" s="7" t="str">
        <f>IFERROR(__xludf.DUMMYFUNCTION("""COMPUTED_VALUE"""),"C++;C#")</f>
        <v>C++;C#</v>
      </c>
      <c r="C1959" s="9" t="str">
        <f>IFERROR(__xludf.DUMMYFUNCTION("""COMPUTED_VALUE"""),"C++")</f>
        <v>C++</v>
      </c>
      <c r="D1959" s="9" t="str">
        <f>IFERROR(__xludf.DUMMYFUNCTION("""COMPUTED_VALUE"""),"Ruby")</f>
        <v>Ruby</v>
      </c>
      <c r="E1959" s="9" t="str">
        <f>IFERROR(__xludf.DUMMYFUNCTION("""COMPUTED_VALUE"""),"JavaScript")</f>
        <v>JavaScript</v>
      </c>
      <c r="F1959" s="9" t="str">
        <f>IFERROR(__xludf.DUMMYFUNCTION("""COMPUTED_VALUE"""),"C#")</f>
        <v>C#</v>
      </c>
      <c r="G1959" s="9" t="str">
        <f>IFERROR(__xludf.DUMMYFUNCTION("""COMPUTED_VALUE"""),"Java")</f>
        <v>Java</v>
      </c>
      <c r="H1959" s="9" t="str">
        <f>IFERROR(__xludf.DUMMYFUNCTION("""COMPUTED_VALUE"""),"JavaScript")</f>
        <v>JavaScript</v>
      </c>
      <c r="I1959" s="9" t="str">
        <f>IFERROR(__xludf.DUMMYFUNCTION("""COMPUTED_VALUE"""),"Kotlin")</f>
        <v>Kotlin</v>
      </c>
      <c r="J1959" s="9" t="str">
        <f>IFERROR(__xludf.DUMMYFUNCTION("""COMPUTED_VALUE"""),"JavaScript")</f>
        <v>JavaScript</v>
      </c>
      <c r="K1959" s="9" t="str">
        <f>IFERROR(__xludf.DUMMYFUNCTION("""COMPUTED_VALUE"""),"HTML/CSS")</f>
        <v>HTML/CSS</v>
      </c>
      <c r="L1959" s="9" t="str">
        <f>IFERROR(__xludf.DUMMYFUNCTION("""COMPUTED_VALUE"""),"Java")</f>
        <v>Java</v>
      </c>
      <c r="M1959" s="9" t="s">
        <v>23</v>
      </c>
    </row>
    <row r="1960" ht="15.75" customHeight="1">
      <c r="A1960" s="7"/>
      <c r="B1960" s="7" t="str">
        <f>IFERROR(__xludf.DUMMYFUNCTION("""COMPUTED_VALUE"""),"C#;HTML/CSS;Java;JavaScript")</f>
        <v>C#;HTML/CSS;Java;JavaScript</v>
      </c>
      <c r="C1960" s="9" t="str">
        <f>IFERROR(__xludf.DUMMYFUNCTION("""COMPUTED_VALUE"""),"HTML/CSS")</f>
        <v>HTML/CSS</v>
      </c>
      <c r="D1960" s="9" t="str">
        <f>IFERROR(__xludf.DUMMYFUNCTION("""COMPUTED_VALUE"""),"SQL")</f>
        <v>SQL</v>
      </c>
      <c r="E1960" s="9" t="str">
        <f>IFERROR(__xludf.DUMMYFUNCTION("""COMPUTED_VALUE"""),"Python")</f>
        <v>Python</v>
      </c>
      <c r="F1960" s="9" t="str">
        <f>IFERROR(__xludf.DUMMYFUNCTION("""COMPUTED_VALUE"""),"HTML/CSS")</f>
        <v>HTML/CSS</v>
      </c>
      <c r="G1960" s="9" t="str">
        <f>IFERROR(__xludf.DUMMYFUNCTION("""COMPUTED_VALUE"""),"Kotlin")</f>
        <v>Kotlin</v>
      </c>
      <c r="H1960" s="9" t="str">
        <f>IFERROR(__xludf.DUMMYFUNCTION("""COMPUTED_VALUE"""),"C#")</f>
        <v>C#</v>
      </c>
      <c r="I1960" s="9" t="str">
        <f>IFERROR(__xludf.DUMMYFUNCTION("""COMPUTED_VALUE"""),"Objective-C")</f>
        <v>Objective-C</v>
      </c>
      <c r="J1960" s="9" t="str">
        <f>IFERROR(__xludf.DUMMYFUNCTION("""COMPUTED_VALUE"""),"Objective-C")</f>
        <v>Objective-C</v>
      </c>
      <c r="K1960" s="9" t="str">
        <f>IFERROR(__xludf.DUMMYFUNCTION("""COMPUTED_VALUE"""),"Java")</f>
        <v>Java</v>
      </c>
      <c r="L1960" s="9" t="str">
        <f>IFERROR(__xludf.DUMMYFUNCTION("""COMPUTED_VALUE"""),"Python")</f>
        <v>Python</v>
      </c>
      <c r="M1960" s="9" t="s">
        <v>24</v>
      </c>
    </row>
    <row r="1961" ht="15.75" customHeight="1">
      <c r="A1961" s="7"/>
      <c r="B1961" s="7" t="str">
        <f>IFERROR(__xludf.DUMMYFUNCTION("""COMPUTED_VALUE"""),"HTML/CSS;JavaScript;Ruby")</f>
        <v>HTML/CSS;JavaScript;Ruby</v>
      </c>
      <c r="C1961" s="9" t="str">
        <f>IFERROR(__xludf.DUMMYFUNCTION("""COMPUTED_VALUE"""),"Java")</f>
        <v>Java</v>
      </c>
      <c r="D1961" s="9" t="str">
        <f>IFERROR(__xludf.DUMMYFUNCTION("""COMPUTED_VALUE"""),"Swift")</f>
        <v>Swift</v>
      </c>
      <c r="E1961" s="9" t="str">
        <f>IFERROR(__xludf.DUMMYFUNCTION("""COMPUTED_VALUE"""),"WebAssembly")</f>
        <v>WebAssembly</v>
      </c>
      <c r="F1961" s="9" t="str">
        <f>IFERROR(__xludf.DUMMYFUNCTION("""COMPUTED_VALUE"""),"JavaScript")</f>
        <v>JavaScript</v>
      </c>
      <c r="G1961" s="9" t="str">
        <f>IFERROR(__xludf.DUMMYFUNCTION("""COMPUTED_VALUE"""),"Java")</f>
        <v>Java</v>
      </c>
      <c r="H1961" s="9" t="str">
        <f>IFERROR(__xludf.DUMMYFUNCTION("""COMPUTED_VALUE"""),"HTML/CSS")</f>
        <v>HTML/CSS</v>
      </c>
      <c r="I1961" s="9" t="str">
        <f>IFERROR(__xludf.DUMMYFUNCTION("""COMPUTED_VALUE"""),"Python")</f>
        <v>Python</v>
      </c>
      <c r="J1961" s="9" t="str">
        <f>IFERROR(__xludf.DUMMYFUNCTION("""COMPUTED_VALUE"""),"PHP")</f>
        <v>PHP</v>
      </c>
      <c r="K1961" s="9" t="str">
        <f>IFERROR(__xludf.DUMMYFUNCTION("""COMPUTED_VALUE"""),"JavaScript")</f>
        <v>JavaScript</v>
      </c>
      <c r="L1961" s="9" t="str">
        <f>IFERROR(__xludf.DUMMYFUNCTION("""COMPUTED_VALUE"""),"VBA")</f>
        <v>VBA</v>
      </c>
      <c r="M1961" s="9" t="s">
        <v>20</v>
      </c>
    </row>
    <row r="1962" ht="15.75" customHeight="1">
      <c r="A1962" s="7"/>
      <c r="B1962" s="7" t="str">
        <f>IFERROR(__xludf.DUMMYFUNCTION("""COMPUTED_VALUE"""),"HTML/CSS;Java;PHP;SQL")</f>
        <v>HTML/CSS;Java;PHP;SQL</v>
      </c>
      <c r="C1962" s="9" t="str">
        <f>IFERROR(__xludf.DUMMYFUNCTION("""COMPUTED_VALUE"""),"JavaScript")</f>
        <v>JavaScript</v>
      </c>
      <c r="D1962" s="9" t="str">
        <f>IFERROR(__xludf.DUMMYFUNCTION("""COMPUTED_VALUE"""),"C++")</f>
        <v>C++</v>
      </c>
      <c r="E1962" s="9" t="str">
        <f>IFERROR(__xludf.DUMMYFUNCTION("""COMPUTED_VALUE"""),"Java")</f>
        <v>Java</v>
      </c>
      <c r="F1962" s="9" t="str">
        <f>IFERROR(__xludf.DUMMYFUNCTION("""COMPUTED_VALUE"""),"SQL")</f>
        <v>SQL</v>
      </c>
      <c r="G1962" s="9" t="str">
        <f>IFERROR(__xludf.DUMMYFUNCTION("""COMPUTED_VALUE"""),"JavaScript")</f>
        <v>JavaScript</v>
      </c>
      <c r="H1962" s="9" t="str">
        <f>IFERROR(__xludf.DUMMYFUNCTION("""COMPUTED_VALUE"""),"Java")</f>
        <v>Java</v>
      </c>
      <c r="I1962" s="9" t="str">
        <f>IFERROR(__xludf.DUMMYFUNCTION("""COMPUTED_VALUE"""),"Scala")</f>
        <v>Scala</v>
      </c>
      <c r="J1962" s="9" t="str">
        <f>IFERROR(__xludf.DUMMYFUNCTION("""COMPUTED_VALUE"""),"Python")</f>
        <v>Python</v>
      </c>
      <c r="K1962" s="9" t="str">
        <f>IFERROR(__xludf.DUMMYFUNCTION("""COMPUTED_VALUE"""),"SQL")</f>
        <v>SQL</v>
      </c>
      <c r="L1962" s="9" t="str">
        <f>IFERROR(__xludf.DUMMYFUNCTION("""COMPUTED_VALUE"""),"Bash/Shell/PowerShell")</f>
        <v>Bash/Shell/PowerShell</v>
      </c>
      <c r="M1962" s="9" t="s">
        <v>21</v>
      </c>
    </row>
    <row r="1963" ht="15.75" customHeight="1">
      <c r="A1963" s="7"/>
      <c r="B1963" s="7" t="str">
        <f>IFERROR(__xludf.DUMMYFUNCTION("""COMPUTED_VALUE"""),"C#;HTML/CSS;JavaScript;SQL")</f>
        <v>C#;HTML/CSS;JavaScript;SQL</v>
      </c>
      <c r="C1963" s="9" t="str">
        <f>IFERROR(__xludf.DUMMYFUNCTION("""COMPUTED_VALUE"""),"Python")</f>
        <v>Python</v>
      </c>
      <c r="D1963" s="9" t="str">
        <f>IFERROR(__xludf.DUMMYFUNCTION("""COMPUTED_VALUE"""),"Python")</f>
        <v>Python</v>
      </c>
      <c r="E1963" s="9" t="str">
        <f>IFERROR(__xludf.DUMMYFUNCTION("""COMPUTED_VALUE"""),"JavaScript")</f>
        <v>JavaScript</v>
      </c>
      <c r="F1963" s="9" t="str">
        <f>IFERROR(__xludf.DUMMYFUNCTION("""COMPUTED_VALUE"""),"C++")</f>
        <v>C++</v>
      </c>
      <c r="G1963" s="9" t="str">
        <f>IFERROR(__xludf.DUMMYFUNCTION("""COMPUTED_VALUE"""),"SQL")</f>
        <v>SQL</v>
      </c>
      <c r="H1963" s="9" t="str">
        <f>IFERROR(__xludf.DUMMYFUNCTION("""COMPUTED_VALUE"""),"JavaScript")</f>
        <v>JavaScript</v>
      </c>
      <c r="I1963" s="9" t="str">
        <f>IFERROR(__xludf.DUMMYFUNCTION("""COMPUTED_VALUE"""),"SQL")</f>
        <v>SQL</v>
      </c>
      <c r="J1963" s="9" t="str">
        <f>IFERROR(__xludf.DUMMYFUNCTION("""COMPUTED_VALUE"""),"Ruby")</f>
        <v>Ruby</v>
      </c>
      <c r="K1963" s="9" t="str">
        <f>IFERROR(__xludf.DUMMYFUNCTION("""COMPUTED_VALUE"""),"Bash/Shell/PowerShell")</f>
        <v>Bash/Shell/PowerShell</v>
      </c>
      <c r="L1963" s="9" t="str">
        <f>IFERROR(__xludf.DUMMYFUNCTION("""COMPUTED_VALUE"""),"C++")</f>
        <v>C++</v>
      </c>
      <c r="M1963" s="9" t="s">
        <v>22</v>
      </c>
    </row>
    <row r="1964" ht="15.75" customHeight="1">
      <c r="A1964" s="7"/>
      <c r="B1964" s="7" t="str">
        <f>IFERROR(__xludf.DUMMYFUNCTION("""COMPUTED_VALUE"""),"C++;JavaScript;SQL")</f>
        <v>C++;JavaScript;SQL</v>
      </c>
      <c r="C1964" s="9" t="str">
        <f>IFERROR(__xludf.DUMMYFUNCTION("""COMPUTED_VALUE"""),"SQL")</f>
        <v>SQL</v>
      </c>
      <c r="D1964" s="9" t="str">
        <f>IFERROR(__xludf.DUMMYFUNCTION("""COMPUTED_VALUE"""),"C++")</f>
        <v>C++</v>
      </c>
      <c r="E1964" s="9" t="str">
        <f>IFERROR(__xludf.DUMMYFUNCTION("""COMPUTED_VALUE"""),"PHP")</f>
        <v>PHP</v>
      </c>
      <c r="F1964" s="9" t="str">
        <f>IFERROR(__xludf.DUMMYFUNCTION("""COMPUTED_VALUE"""),"JavaScript")</f>
        <v>JavaScript</v>
      </c>
      <c r="G1964" s="9" t="str">
        <f>IFERROR(__xludf.DUMMYFUNCTION("""COMPUTED_VALUE"""),"VBA")</f>
        <v>VBA</v>
      </c>
      <c r="H1964" s="9" t="str">
        <f>IFERROR(__xludf.DUMMYFUNCTION("""COMPUTED_VALUE"""),"Objective-C")</f>
        <v>Objective-C</v>
      </c>
      <c r="I1964" s="9" t="str">
        <f>IFERROR(__xludf.DUMMYFUNCTION("""COMPUTED_VALUE"""),"Swift")</f>
        <v>Swift</v>
      </c>
      <c r="J1964" s="9" t="str">
        <f>IFERROR(__xludf.DUMMYFUNCTION("""COMPUTED_VALUE"""),"Rust")</f>
        <v>Rust</v>
      </c>
      <c r="K1964" s="9" t="str">
        <f>IFERROR(__xludf.DUMMYFUNCTION("""COMPUTED_VALUE"""),"Dart")</f>
        <v>Dart</v>
      </c>
      <c r="L1964" s="9" t="str">
        <f>IFERROR(__xludf.DUMMYFUNCTION("""COMPUTED_VALUE"""),"Go")</f>
        <v>Go</v>
      </c>
      <c r="M1964" s="9" t="s">
        <v>27</v>
      </c>
    </row>
    <row r="1965" ht="15.75" customHeight="1">
      <c r="A1965" s="7"/>
      <c r="B1965" s="7" t="str">
        <f>IFERROR(__xludf.DUMMYFUNCTION("""COMPUTED_VALUE"""),"C;C++;C#;Go;HTML/CSS;Java;JavaScript;Python;R;Scala;SQL;VBA")</f>
        <v>C;C++;C#;Go;HTML/CSS;Java;JavaScript;Python;R;Scala;SQL;VBA</v>
      </c>
      <c r="C1965" s="9" t="str">
        <f>IFERROR(__xludf.DUMMYFUNCTION("""COMPUTED_VALUE"""),"VBA")</f>
        <v>VBA</v>
      </c>
      <c r="D1965" s="9" t="str">
        <f>IFERROR(__xludf.DUMMYFUNCTION("""COMPUTED_VALUE"""),"Python")</f>
        <v>Python</v>
      </c>
      <c r="E1965" s="9" t="str">
        <f>IFERROR(__xludf.DUMMYFUNCTION("""COMPUTED_VALUE"""),"Go")</f>
        <v>Go</v>
      </c>
      <c r="F1965" s="9" t="str">
        <f>IFERROR(__xludf.DUMMYFUNCTION("""COMPUTED_VALUE"""),"Python")</f>
        <v>Python</v>
      </c>
      <c r="G1965" s="9" t="str">
        <f>IFERROR(__xludf.DUMMYFUNCTION("""COMPUTED_VALUE"""),"Assembly")</f>
        <v>Assembly</v>
      </c>
      <c r="H1965" s="9" t="str">
        <f>IFERROR(__xludf.DUMMYFUNCTION("""COMPUTED_VALUE"""),"Python")</f>
        <v>Python</v>
      </c>
      <c r="I1965" s="9" t="str">
        <f>IFERROR(__xludf.DUMMYFUNCTION("""COMPUTED_VALUE"""),"TypeScript")</f>
        <v>TypeScript</v>
      </c>
      <c r="J1965" s="9" t="str">
        <f>IFERROR(__xludf.DUMMYFUNCTION("""COMPUTED_VALUE"""),"Scala")</f>
        <v>Scala</v>
      </c>
      <c r="K1965" s="9" t="str">
        <f>IFERROR(__xludf.DUMMYFUNCTION("""COMPUTED_VALUE"""),"Go")</f>
        <v>Go</v>
      </c>
      <c r="L1965" s="9" t="str">
        <f>IFERROR(__xludf.DUMMYFUNCTION("""COMPUTED_VALUE"""),"HTML/CSS")</f>
        <v>HTML/CSS</v>
      </c>
      <c r="M1965" s="9" t="s">
        <v>28</v>
      </c>
    </row>
    <row r="1966" ht="15.75" customHeight="1">
      <c r="A1966" s="7"/>
      <c r="B1966" s="7" t="str">
        <f>IFERROR(__xludf.DUMMYFUNCTION("""COMPUTED_VALUE"""),"Elixir;HTML/CSS;Java;JavaScript")</f>
        <v>Elixir;HTML/CSS;Java;JavaScript</v>
      </c>
      <c r="C1966" s="9" t="str">
        <f>IFERROR(__xludf.DUMMYFUNCTION("""COMPUTED_VALUE"""),"C++")</f>
        <v>C++</v>
      </c>
      <c r="D1966" s="9" t="str">
        <f>IFERROR(__xludf.DUMMYFUNCTION("""COMPUTED_VALUE"""),"SQL")</f>
        <v>SQL</v>
      </c>
      <c r="E1966" s="9" t="str">
        <f>IFERROR(__xludf.DUMMYFUNCTION("""COMPUTED_VALUE"""),"HTML/CSS")</f>
        <v>HTML/CSS</v>
      </c>
      <c r="F1966" s="9" t="str">
        <f>IFERROR(__xludf.DUMMYFUNCTION("""COMPUTED_VALUE"""),"SQL")</f>
        <v>SQL</v>
      </c>
      <c r="G1966" s="9" t="str">
        <f>IFERROR(__xludf.DUMMYFUNCTION("""COMPUTED_VALUE"""),"C")</f>
        <v>C</v>
      </c>
      <c r="H1966" s="9" t="str">
        <f>IFERROR(__xludf.DUMMYFUNCTION("""COMPUTED_VALUE"""),"Swift")</f>
        <v>Swift</v>
      </c>
      <c r="I1966" s="9" t="str">
        <f>IFERROR(__xludf.DUMMYFUNCTION("""COMPUTED_VALUE"""),"Bash/Shell/PowerShell")</f>
        <v>Bash/Shell/PowerShell</v>
      </c>
      <c r="J1966" s="9" t="str">
        <f>IFERROR(__xludf.DUMMYFUNCTION("""COMPUTED_VALUE"""),"SQL")</f>
        <v>SQL</v>
      </c>
      <c r="K1966" s="9" t="str">
        <f>IFERROR(__xludf.DUMMYFUNCTION("""COMPUTED_VALUE"""),"HTML/CSS")</f>
        <v>HTML/CSS</v>
      </c>
      <c r="L1966" s="9" t="str">
        <f>IFERROR(__xludf.DUMMYFUNCTION("""COMPUTED_VALUE"""),"Java")</f>
        <v>Java</v>
      </c>
      <c r="M1966" s="9" t="s">
        <v>23</v>
      </c>
    </row>
    <row r="1967" ht="15.75" customHeight="1">
      <c r="A1967" s="7"/>
      <c r="B1967" s="7" t="str">
        <f>IFERROR(__xludf.DUMMYFUNCTION("""COMPUTED_VALUE"""),"Python")</f>
        <v>Python</v>
      </c>
      <c r="C1967" s="9" t="str">
        <f>IFERROR(__xludf.DUMMYFUNCTION("""COMPUTED_VALUE"""),"Bash/Shell/PowerShell")</f>
        <v>Bash/Shell/PowerShell</v>
      </c>
      <c r="D1967" s="9" t="str">
        <f>IFERROR(__xludf.DUMMYFUNCTION("""COMPUTED_VALUE"""),"Other(s):")</f>
        <v>Other(s):</v>
      </c>
      <c r="E1967" s="9" t="str">
        <f>IFERROR(__xludf.DUMMYFUNCTION("""COMPUTED_VALUE"""),"Java")</f>
        <v>Java</v>
      </c>
      <c r="F1967" s="9" t="str">
        <f>IFERROR(__xludf.DUMMYFUNCTION("""COMPUTED_VALUE"""),"Other(s):")</f>
        <v>Other(s):</v>
      </c>
      <c r="G1967" s="9" t="str">
        <f>IFERROR(__xludf.DUMMYFUNCTION("""COMPUTED_VALUE"""),"C++")</f>
        <v>C++</v>
      </c>
      <c r="H1967" s="9" t="str">
        <f>IFERROR(__xludf.DUMMYFUNCTION("""COMPUTED_VALUE"""),"TypeScript")</f>
        <v>TypeScript</v>
      </c>
      <c r="I1967" s="9" t="str">
        <f>IFERROR(__xludf.DUMMYFUNCTION("""COMPUTED_VALUE"""),"C++")</f>
        <v>C++</v>
      </c>
      <c r="J1967" s="9" t="str">
        <f>IFERROR(__xludf.DUMMYFUNCTION("""COMPUTED_VALUE"""),"Swift")</f>
        <v>Swift</v>
      </c>
      <c r="K1967" s="9" t="str">
        <f>IFERROR(__xludf.DUMMYFUNCTION("""COMPUTED_VALUE"""),"JavaScript")</f>
        <v>JavaScript</v>
      </c>
      <c r="L1967" s="9" t="str">
        <f>IFERROR(__xludf.DUMMYFUNCTION("""COMPUTED_VALUE"""),"JavaScript")</f>
        <v>JavaScript</v>
      </c>
      <c r="M1967" s="9" t="s">
        <v>30</v>
      </c>
    </row>
    <row r="1968" ht="15.75" customHeight="1">
      <c r="A1968" s="7"/>
      <c r="B1968" s="7" t="str">
        <f>IFERROR(__xludf.DUMMYFUNCTION("""COMPUTED_VALUE"""),"C#;PHP;SQL")</f>
        <v>C#;PHP;SQL</v>
      </c>
      <c r="C1968" s="9" t="str">
        <f>IFERROR(__xludf.DUMMYFUNCTION("""COMPUTED_VALUE"""),"C++")</f>
        <v>C++</v>
      </c>
      <c r="D1968" s="9" t="str">
        <f>IFERROR(__xludf.DUMMYFUNCTION("""COMPUTED_VALUE"""),"Assembly")</f>
        <v>Assembly</v>
      </c>
      <c r="E1968" s="9" t="str">
        <f>IFERROR(__xludf.DUMMYFUNCTION("""COMPUTED_VALUE"""),"JavaScript")</f>
        <v>JavaScript</v>
      </c>
      <c r="F1968" s="9" t="str">
        <f>IFERROR(__xludf.DUMMYFUNCTION("""COMPUTED_VALUE"""),"Other(s):")</f>
        <v>Other(s):</v>
      </c>
      <c r="G1968" s="9" t="str">
        <f>IFERROR(__xludf.DUMMYFUNCTION("""COMPUTED_VALUE"""),"HTML/CSS")</f>
        <v>HTML/CSS</v>
      </c>
      <c r="H1968" s="9" t="str">
        <f>IFERROR(__xludf.DUMMYFUNCTION("""COMPUTED_VALUE"""),"Bash/Shell/PowerShell")</f>
        <v>Bash/Shell/PowerShell</v>
      </c>
      <c r="I1968" s="9" t="str">
        <f>IFERROR(__xludf.DUMMYFUNCTION("""COMPUTED_VALUE"""),"HTML/CSS")</f>
        <v>HTML/CSS</v>
      </c>
      <c r="J1968" s="9" t="str">
        <f>IFERROR(__xludf.DUMMYFUNCTION("""COMPUTED_VALUE"""),"TypeScript")</f>
        <v>TypeScript</v>
      </c>
      <c r="K1968" s="9" t="str">
        <f>IFERROR(__xludf.DUMMYFUNCTION("""COMPUTED_VALUE"""),"SQL")</f>
        <v>SQL</v>
      </c>
      <c r="L1968" s="9" t="str">
        <f>IFERROR(__xludf.DUMMYFUNCTION("""COMPUTED_VALUE"""),"Kotlin")</f>
        <v>Kotlin</v>
      </c>
      <c r="M1968" s="9" t="s">
        <v>23</v>
      </c>
    </row>
    <row r="1969" ht="15.75" customHeight="1">
      <c r="A1969" s="7"/>
      <c r="B1969" s="7" t="str">
        <f>IFERROR(__xludf.DUMMYFUNCTION("""COMPUTED_VALUE"""),"C;C#;HTML/CSS;Java;JavaScript;Python;R;SQL;TypeScript")</f>
        <v>C;C#;HTML/CSS;Java;JavaScript;Python;R;SQL;TypeScript</v>
      </c>
      <c r="C1969" s="9" t="str">
        <f>IFERROR(__xludf.DUMMYFUNCTION("""COMPUTED_VALUE"""),"Java")</f>
        <v>Java</v>
      </c>
      <c r="D1969" s="9" t="str">
        <f>IFERROR(__xludf.DUMMYFUNCTION("""COMPUTED_VALUE"""),"Bash/Shell/PowerShell")</f>
        <v>Bash/Shell/PowerShell</v>
      </c>
      <c r="E1969" s="9" t="str">
        <f>IFERROR(__xludf.DUMMYFUNCTION("""COMPUTED_VALUE"""),"PHP")</f>
        <v>PHP</v>
      </c>
      <c r="F1969" s="9" t="str">
        <f>IFERROR(__xludf.DUMMYFUNCTION("""COMPUTED_VALUE"""),"Go")</f>
        <v>Go</v>
      </c>
      <c r="G1969" s="9" t="str">
        <f>IFERROR(__xludf.DUMMYFUNCTION("""COMPUTED_VALUE"""),"Objective-C")</f>
        <v>Objective-C</v>
      </c>
      <c r="H1969" s="9" t="str">
        <f>IFERROR(__xludf.DUMMYFUNCTION("""COMPUTED_VALUE"""),"C++")</f>
        <v>C++</v>
      </c>
      <c r="I1969" s="9" t="str">
        <f>IFERROR(__xludf.DUMMYFUNCTION("""COMPUTED_VALUE"""),"JavaScript")</f>
        <v>JavaScript</v>
      </c>
      <c r="J1969" s="9" t="str">
        <f>IFERROR(__xludf.DUMMYFUNCTION("""COMPUTED_VALUE"""),"Bash/Shell/PowerShell")</f>
        <v>Bash/Shell/PowerShell</v>
      </c>
      <c r="K1969" s="9" t="str">
        <f>IFERROR(__xludf.DUMMYFUNCTION("""COMPUTED_VALUE"""),"TypeScript")</f>
        <v>TypeScript</v>
      </c>
      <c r="L1969" s="9" t="str">
        <f>IFERROR(__xludf.DUMMYFUNCTION("""COMPUTED_VALUE"""),"Python")</f>
        <v>Python</v>
      </c>
      <c r="M1969" s="9" t="s">
        <v>20</v>
      </c>
    </row>
    <row r="1970" ht="15.75" customHeight="1">
      <c r="A1970" s="7"/>
      <c r="B1970" s="7" t="str">
        <f>IFERROR(__xludf.DUMMYFUNCTION("""COMPUTED_VALUE"""),"Bash/Shell/PowerShell;C#;HTML/CSS;Java;JavaScript;TypeScript;Other(s):")</f>
        <v>Bash/Shell/PowerShell;C#;HTML/CSS;Java;JavaScript;TypeScript;Other(s):</v>
      </c>
      <c r="C1970" s="9" t="str">
        <f>IFERROR(__xludf.DUMMYFUNCTION("""COMPUTED_VALUE"""),"Kotlin")</f>
        <v>Kotlin</v>
      </c>
      <c r="D1970" s="9" t="str">
        <f>IFERROR(__xludf.DUMMYFUNCTION("""COMPUTED_VALUE"""),"C")</f>
        <v>C</v>
      </c>
      <c r="E1970" s="9" t="str">
        <f>IFERROR(__xludf.DUMMYFUNCTION("""COMPUTED_VALUE"""),"Python")</f>
        <v>Python</v>
      </c>
      <c r="F1970" s="9" t="str">
        <f>IFERROR(__xludf.DUMMYFUNCTION("""COMPUTED_VALUE"""),"HTML/CSS")</f>
        <v>HTML/CSS</v>
      </c>
      <c r="G1970" s="9" t="str">
        <f>IFERROR(__xludf.DUMMYFUNCTION("""COMPUTED_VALUE"""),"PHP")</f>
        <v>PHP</v>
      </c>
      <c r="H1970" s="9" t="str">
        <f>IFERROR(__xludf.DUMMYFUNCTION("""COMPUTED_VALUE"""),"HTML/CSS")</f>
        <v>HTML/CSS</v>
      </c>
      <c r="I1970" s="9" t="str">
        <f>IFERROR(__xludf.DUMMYFUNCTION("""COMPUTED_VALUE"""),"PHP")</f>
        <v>PHP</v>
      </c>
      <c r="J1970" s="9" t="str">
        <f>IFERROR(__xludf.DUMMYFUNCTION("""COMPUTED_VALUE"""),"HTML/CSS")</f>
        <v>HTML/CSS</v>
      </c>
      <c r="K1970" s="9" t="str">
        <f>IFERROR(__xludf.DUMMYFUNCTION("""COMPUTED_VALUE"""),"C#")</f>
        <v>C#</v>
      </c>
      <c r="L1970" s="9" t="str">
        <f>IFERROR(__xludf.DUMMYFUNCTION("""COMPUTED_VALUE"""),"Ruby")</f>
        <v>Ruby</v>
      </c>
      <c r="M1970" s="9" t="s">
        <v>39</v>
      </c>
    </row>
    <row r="1971" ht="15.75" customHeight="1">
      <c r="A1971" s="7"/>
      <c r="B1971" s="7" t="str">
        <f>IFERROR(__xludf.DUMMYFUNCTION("""COMPUTED_VALUE"""),"C;C++")</f>
        <v>C;C++</v>
      </c>
      <c r="C1971" s="9" t="str">
        <f>IFERROR(__xludf.DUMMYFUNCTION("""COMPUTED_VALUE"""),"PHP")</f>
        <v>PHP</v>
      </c>
      <c r="D1971" s="9" t="str">
        <f>IFERROR(__xludf.DUMMYFUNCTION("""COMPUTED_VALUE"""),"C++")</f>
        <v>C++</v>
      </c>
      <c r="E1971" s="9" t="str">
        <f>IFERROR(__xludf.DUMMYFUNCTION("""COMPUTED_VALUE"""),"Scala")</f>
        <v>Scala</v>
      </c>
      <c r="F1971" s="9" t="str">
        <f>IFERROR(__xludf.DUMMYFUNCTION("""COMPUTED_VALUE"""),"Java")</f>
        <v>Java</v>
      </c>
      <c r="G1971" s="9" t="str">
        <f>IFERROR(__xludf.DUMMYFUNCTION("""COMPUTED_VALUE"""),"Python")</f>
        <v>Python</v>
      </c>
      <c r="H1971" s="9" t="str">
        <f>IFERROR(__xludf.DUMMYFUNCTION("""COMPUTED_VALUE"""),"Java")</f>
        <v>Java</v>
      </c>
      <c r="I1971" s="9" t="str">
        <f>IFERROR(__xludf.DUMMYFUNCTION("""COMPUTED_VALUE"""),"Python")</f>
        <v>Python</v>
      </c>
      <c r="J1971" s="9" t="str">
        <f>IFERROR(__xludf.DUMMYFUNCTION("""COMPUTED_VALUE"""),"Java")</f>
        <v>Java</v>
      </c>
      <c r="K1971" s="9" t="str">
        <f>IFERROR(__xludf.DUMMYFUNCTION("""COMPUTED_VALUE"""),"Elixir")</f>
        <v>Elixir</v>
      </c>
      <c r="L1971" s="9" t="str">
        <f>IFERROR(__xludf.DUMMYFUNCTION("""COMPUTED_VALUE"""),"Rust")</f>
        <v>Rust</v>
      </c>
      <c r="M1971" s="9" t="s">
        <v>37</v>
      </c>
    </row>
    <row r="1972" ht="15.75" customHeight="1">
      <c r="A1972" s="7"/>
      <c r="B1972" s="7" t="str">
        <f>IFERROR(__xludf.DUMMYFUNCTION("""COMPUTED_VALUE"""),"C++;Python")</f>
        <v>C++;Python</v>
      </c>
      <c r="C1972" s="9" t="str">
        <f>IFERROR(__xludf.DUMMYFUNCTION("""COMPUTED_VALUE"""),"JavaScript")</f>
        <v>JavaScript</v>
      </c>
      <c r="D1972" s="9" t="str">
        <f>IFERROR(__xludf.DUMMYFUNCTION("""COMPUTED_VALUE"""),"HTML/CSS")</f>
        <v>HTML/CSS</v>
      </c>
      <c r="E1972" s="9" t="str">
        <f>IFERROR(__xludf.DUMMYFUNCTION("""COMPUTED_VALUE"""),"SQL")</f>
        <v>SQL</v>
      </c>
      <c r="F1972" s="9" t="str">
        <f>IFERROR(__xludf.DUMMYFUNCTION("""COMPUTED_VALUE"""),"JavaScript")</f>
        <v>JavaScript</v>
      </c>
      <c r="G1972" s="9" t="str">
        <f>IFERROR(__xludf.DUMMYFUNCTION("""COMPUTED_VALUE"""),"SQL")</f>
        <v>SQL</v>
      </c>
      <c r="H1972" s="9" t="str">
        <f>IFERROR(__xludf.DUMMYFUNCTION("""COMPUTED_VALUE"""),"JavaScript")</f>
        <v>JavaScript</v>
      </c>
      <c r="I1972" s="9" t="str">
        <f>IFERROR(__xludf.DUMMYFUNCTION("""COMPUTED_VALUE"""),"SQL")</f>
        <v>SQL</v>
      </c>
      <c r="J1972" s="9" t="str">
        <f>IFERROR(__xludf.DUMMYFUNCTION("""COMPUTED_VALUE"""),"JavaScript")</f>
        <v>JavaScript</v>
      </c>
      <c r="K1972" s="9" t="str">
        <f>IFERROR(__xludf.DUMMYFUNCTION("""COMPUTED_VALUE"""),"HTML/CSS")</f>
        <v>HTML/CSS</v>
      </c>
      <c r="L1972" s="9" t="str">
        <f>IFERROR(__xludf.DUMMYFUNCTION("""COMPUTED_VALUE"""),"TypeScript")</f>
        <v>TypeScript</v>
      </c>
      <c r="M1972" s="9" t="s">
        <v>21</v>
      </c>
    </row>
    <row r="1973" ht="15.75" customHeight="1">
      <c r="A1973" s="7"/>
      <c r="B1973" s="7" t="str">
        <f>IFERROR(__xludf.DUMMYFUNCTION("""COMPUTED_VALUE"""),"Bash/Shell/PowerShell;Go;HTML/CSS;JavaScript;Python;Ruby;TypeScript")</f>
        <v>Bash/Shell/PowerShell;Go;HTML/CSS;JavaScript;Python;Ruby;TypeScript</v>
      </c>
      <c r="C1973" s="9" t="str">
        <f>IFERROR(__xludf.DUMMYFUNCTION("""COMPUTED_VALUE"""),"Python")</f>
        <v>Python</v>
      </c>
      <c r="D1973" s="9" t="str">
        <f>IFERROR(__xludf.DUMMYFUNCTION("""COMPUTED_VALUE"""),"Java")</f>
        <v>Java</v>
      </c>
      <c r="E1973" s="9" t="str">
        <f>IFERROR(__xludf.DUMMYFUNCTION("""COMPUTED_VALUE"""),"C++")</f>
        <v>C++</v>
      </c>
      <c r="F1973" s="9" t="str">
        <f>IFERROR(__xludf.DUMMYFUNCTION("""COMPUTED_VALUE"""),"SQL")</f>
        <v>SQL</v>
      </c>
      <c r="G1973" s="9" t="str">
        <f>IFERROR(__xludf.DUMMYFUNCTION("""COMPUTED_VALUE"""),"Swift")</f>
        <v>Swift</v>
      </c>
      <c r="H1973" s="9" t="str">
        <f>IFERROR(__xludf.DUMMYFUNCTION("""COMPUTED_VALUE"""),"Objective-C")</f>
        <v>Objective-C</v>
      </c>
      <c r="I1973" s="9" t="str">
        <f>IFERROR(__xludf.DUMMYFUNCTION("""COMPUTED_VALUE"""),"C++")</f>
        <v>C++</v>
      </c>
      <c r="J1973" s="9" t="str">
        <f>IFERROR(__xludf.DUMMYFUNCTION("""COMPUTED_VALUE"""),"PHP")</f>
        <v>PHP</v>
      </c>
      <c r="K1973" s="9" t="str">
        <f>IFERROR(__xludf.DUMMYFUNCTION("""COMPUTED_VALUE"""),"JavaScript")</f>
        <v>JavaScript</v>
      </c>
      <c r="L1973" s="9" t="str">
        <f>IFERROR(__xludf.DUMMYFUNCTION("""COMPUTED_VALUE"""),"C#")</f>
        <v>C#</v>
      </c>
      <c r="M1973" s="9" t="s">
        <v>22</v>
      </c>
    </row>
    <row r="1974" ht="15.75" customHeight="1">
      <c r="A1974" s="7"/>
      <c r="B1974" s="7" t="str">
        <f>IFERROR(__xludf.DUMMYFUNCTION("""COMPUTED_VALUE"""),"C++;C#;Go;HTML/CSS;JavaScript;Python;SQL")</f>
        <v>C++;C#;Go;HTML/CSS;JavaScript;Python;SQL</v>
      </c>
      <c r="C1974" s="9" t="str">
        <f>IFERROR(__xludf.DUMMYFUNCTION("""COMPUTED_VALUE"""),"Ruby")</f>
        <v>Ruby</v>
      </c>
      <c r="D1974" s="9" t="str">
        <f>IFERROR(__xludf.DUMMYFUNCTION("""COMPUTED_VALUE"""),"JavaScript")</f>
        <v>JavaScript</v>
      </c>
      <c r="E1974" s="9" t="str">
        <f>IFERROR(__xludf.DUMMYFUNCTION("""COMPUTED_VALUE"""),"C#")</f>
        <v>C#</v>
      </c>
      <c r="F1974" s="9" t="str">
        <f>IFERROR(__xludf.DUMMYFUNCTION("""COMPUTED_VALUE"""),"Bash/Shell/PowerShell")</f>
        <v>Bash/Shell/PowerShell</v>
      </c>
      <c r="G1974" s="9" t="str">
        <f>IFERROR(__xludf.DUMMYFUNCTION("""COMPUTED_VALUE"""),"Bash/Shell/PowerShell")</f>
        <v>Bash/Shell/PowerShell</v>
      </c>
      <c r="H1974" s="9" t="str">
        <f>IFERROR(__xludf.DUMMYFUNCTION("""COMPUTED_VALUE"""),"Ruby")</f>
        <v>Ruby</v>
      </c>
      <c r="I1974" s="9" t="str">
        <f>IFERROR(__xludf.DUMMYFUNCTION("""COMPUTED_VALUE"""),"HTML/CSS")</f>
        <v>HTML/CSS</v>
      </c>
      <c r="J1974" s="9" t="str">
        <f>IFERROR(__xludf.DUMMYFUNCTION("""COMPUTED_VALUE"""),"SQL")</f>
        <v>SQL</v>
      </c>
      <c r="K1974" s="9" t="str">
        <f>IFERROR(__xludf.DUMMYFUNCTION("""COMPUTED_VALUE"""),"R")</f>
        <v>R</v>
      </c>
      <c r="L1974" s="9" t="str">
        <f>IFERROR(__xludf.DUMMYFUNCTION("""COMPUTED_VALUE"""),"HTML/CSS")</f>
        <v>HTML/CSS</v>
      </c>
      <c r="M1974" s="9" t="s">
        <v>31</v>
      </c>
    </row>
    <row r="1975" ht="15.75" customHeight="1">
      <c r="A1975" s="7"/>
      <c r="B1975" s="7" t="str">
        <f>IFERROR(__xludf.DUMMYFUNCTION("""COMPUTED_VALUE"""),"HTML/CSS;JavaScript;Ruby;SQL")</f>
        <v>HTML/CSS;JavaScript;Ruby;SQL</v>
      </c>
      <c r="C1975" s="9" t="str">
        <f>IFERROR(__xludf.DUMMYFUNCTION("""COMPUTED_VALUE"""),"SQL")</f>
        <v>SQL</v>
      </c>
      <c r="D1975" s="9" t="str">
        <f>IFERROR(__xludf.DUMMYFUNCTION("""COMPUTED_VALUE"""),"Python")</f>
        <v>Python</v>
      </c>
      <c r="E1975" s="9" t="str">
        <f>IFERROR(__xludf.DUMMYFUNCTION("""COMPUTED_VALUE"""),"HTML/CSS")</f>
        <v>HTML/CSS</v>
      </c>
      <c r="F1975" s="9" t="str">
        <f>IFERROR(__xludf.DUMMYFUNCTION("""COMPUTED_VALUE"""),"Go")</f>
        <v>Go</v>
      </c>
      <c r="G1975" s="9" t="str">
        <f>IFERROR(__xludf.DUMMYFUNCTION("""COMPUTED_VALUE"""),"C")</f>
        <v>C</v>
      </c>
      <c r="H1975" s="9" t="str">
        <f>IFERROR(__xludf.DUMMYFUNCTION("""COMPUTED_VALUE"""),"Swift")</f>
        <v>Swift</v>
      </c>
      <c r="I1975" s="9" t="str">
        <f>IFERROR(__xludf.DUMMYFUNCTION("""COMPUTED_VALUE"""),"Java")</f>
        <v>Java</v>
      </c>
      <c r="J1975" s="9" t="str">
        <f>IFERROR(__xludf.DUMMYFUNCTION("""COMPUTED_VALUE"""),"Java")</f>
        <v>Java</v>
      </c>
      <c r="K1975" s="9" t="str">
        <f>IFERROR(__xludf.DUMMYFUNCTION("""COMPUTED_VALUE"""),"Ruby")</f>
        <v>Ruby</v>
      </c>
      <c r="L1975" s="9" t="str">
        <f>IFERROR(__xludf.DUMMYFUNCTION("""COMPUTED_VALUE"""),"Java")</f>
        <v>Java</v>
      </c>
      <c r="M1975" s="9" t="s">
        <v>27</v>
      </c>
    </row>
    <row r="1976" ht="15.75" customHeight="1">
      <c r="A1976" s="7"/>
      <c r="B1976" s="7" t="str">
        <f>IFERROR(__xludf.DUMMYFUNCTION("""COMPUTED_VALUE"""),"Bash/Shell/PowerShell;HTML/CSS;JavaScript")</f>
        <v>Bash/Shell/PowerShell;HTML/CSS;JavaScript</v>
      </c>
      <c r="C1976" s="9" t="str">
        <f>IFERROR(__xludf.DUMMYFUNCTION("""COMPUTED_VALUE"""),"TypeScript")</f>
        <v>TypeScript</v>
      </c>
      <c r="D1976" s="9" t="str">
        <f>IFERROR(__xludf.DUMMYFUNCTION("""COMPUTED_VALUE"""),"Ruby")</f>
        <v>Ruby</v>
      </c>
      <c r="E1976" s="9" t="str">
        <f>IFERROR(__xludf.DUMMYFUNCTION("""COMPUTED_VALUE"""),"Java")</f>
        <v>Java</v>
      </c>
      <c r="F1976" s="9" t="str">
        <f>IFERROR(__xludf.DUMMYFUNCTION("""COMPUTED_VALUE"""),"HTML/CSS")</f>
        <v>HTML/CSS</v>
      </c>
      <c r="G1976" s="9" t="str">
        <f>IFERROR(__xludf.DUMMYFUNCTION("""COMPUTED_VALUE"""),"HTML/CSS")</f>
        <v>HTML/CSS</v>
      </c>
      <c r="H1976" s="9" t="str">
        <f>IFERROR(__xludf.DUMMYFUNCTION("""COMPUTED_VALUE"""),"Go")</f>
        <v>Go</v>
      </c>
      <c r="I1976" s="9" t="str">
        <f>IFERROR(__xludf.DUMMYFUNCTION("""COMPUTED_VALUE"""),"JavaScript")</f>
        <v>JavaScript</v>
      </c>
      <c r="J1976" s="9" t="str">
        <f>IFERROR(__xludf.DUMMYFUNCTION("""COMPUTED_VALUE"""),"Python")</f>
        <v>Python</v>
      </c>
      <c r="K1976" s="9" t="str">
        <f>IFERROR(__xludf.DUMMYFUNCTION("""COMPUTED_VALUE"""),"Bash/Shell/PowerShell")</f>
        <v>Bash/Shell/PowerShell</v>
      </c>
      <c r="L1976" s="9" t="str">
        <f>IFERROR(__xludf.DUMMYFUNCTION("""COMPUTED_VALUE"""),"JavaScript")</f>
        <v>JavaScript</v>
      </c>
      <c r="M1976" s="9" t="s">
        <v>33</v>
      </c>
    </row>
    <row r="1977" ht="15.75" customHeight="1">
      <c r="A1977" s="7"/>
      <c r="B1977" s="7" t="str">
        <f>IFERROR(__xludf.DUMMYFUNCTION("""COMPUTED_VALUE"""),"Bash/Shell/PowerShell;HTML/CSS;Java;JavaScript;Ruby")</f>
        <v>Bash/Shell/PowerShell;HTML/CSS;Java;JavaScript;Ruby</v>
      </c>
      <c r="C1977" s="9" t="str">
        <f>IFERROR(__xludf.DUMMYFUNCTION("""COMPUTED_VALUE"""),"C#")</f>
        <v>C#</v>
      </c>
      <c r="D1977" s="9" t="str">
        <f>IFERROR(__xludf.DUMMYFUNCTION("""COMPUTED_VALUE"""),"SQL")</f>
        <v>SQL</v>
      </c>
      <c r="E1977" s="9" t="str">
        <f>IFERROR(__xludf.DUMMYFUNCTION("""COMPUTED_VALUE"""),"JavaScript")</f>
        <v>JavaScript</v>
      </c>
      <c r="F1977" s="9" t="str">
        <f>IFERROR(__xludf.DUMMYFUNCTION("""COMPUTED_VALUE"""),"Java")</f>
        <v>Java</v>
      </c>
      <c r="G1977" s="9" t="str">
        <f>IFERROR(__xludf.DUMMYFUNCTION("""COMPUTED_VALUE"""),"Java")</f>
        <v>Java</v>
      </c>
      <c r="H1977" s="9" t="str">
        <f>IFERROR(__xludf.DUMMYFUNCTION("""COMPUTED_VALUE"""),"HTML/CSS")</f>
        <v>HTML/CSS</v>
      </c>
      <c r="I1977" s="9" t="str">
        <f>IFERROR(__xludf.DUMMYFUNCTION("""COMPUTED_VALUE"""),"PHP")</f>
        <v>PHP</v>
      </c>
      <c r="J1977" s="9" t="str">
        <f>IFERROR(__xludf.DUMMYFUNCTION("""COMPUTED_VALUE"""),"Scala")</f>
        <v>Scala</v>
      </c>
      <c r="K1977" s="9" t="str">
        <f>IFERROR(__xludf.DUMMYFUNCTION("""COMPUTED_VALUE"""),"JavaScript")</f>
        <v>JavaScript</v>
      </c>
      <c r="L1977" s="9" t="str">
        <f>IFERROR(__xludf.DUMMYFUNCTION("""COMPUTED_VALUE"""),"SQL")</f>
        <v>SQL</v>
      </c>
      <c r="M1977" s="9" t="s">
        <v>26</v>
      </c>
    </row>
    <row r="1978" ht="15.75" customHeight="1">
      <c r="A1978" s="7"/>
      <c r="B1978" s="7" t="str">
        <f>IFERROR(__xludf.DUMMYFUNCTION("""COMPUTED_VALUE"""),"Bash/Shell/PowerShell;HTML/CSS;Java;JavaScript;Kotlin;Objective-C;Python;SQL;Swift")</f>
        <v>Bash/Shell/PowerShell;HTML/CSS;Java;JavaScript;Kotlin;Objective-C;Python;SQL;Swift</v>
      </c>
      <c r="C1978" s="9" t="str">
        <f>IFERROR(__xludf.DUMMYFUNCTION("""COMPUTED_VALUE"""),"Bash/Shell/PowerShell")</f>
        <v>Bash/Shell/PowerShell</v>
      </c>
      <c r="D1978" s="9" t="str">
        <f>IFERROR(__xludf.DUMMYFUNCTION("""COMPUTED_VALUE"""),"C#")</f>
        <v>C#</v>
      </c>
      <c r="E1978" s="9" t="str">
        <f>IFERROR(__xludf.DUMMYFUNCTION("""COMPUTED_VALUE"""),"PHP")</f>
        <v>PHP</v>
      </c>
      <c r="F1978" s="9" t="str">
        <f>IFERROR(__xludf.DUMMYFUNCTION("""COMPUTED_VALUE"""),"JavaScript")</f>
        <v>JavaScript</v>
      </c>
      <c r="G1978" s="9" t="str">
        <f>IFERROR(__xludf.DUMMYFUNCTION("""COMPUTED_VALUE"""),"JavaScript")</f>
        <v>JavaScript</v>
      </c>
      <c r="H1978" s="9" t="str">
        <f>IFERROR(__xludf.DUMMYFUNCTION("""COMPUTED_VALUE"""),"Java")</f>
        <v>Java</v>
      </c>
      <c r="I1978" s="9" t="str">
        <f>IFERROR(__xludf.DUMMYFUNCTION("""COMPUTED_VALUE"""),"Python")</f>
        <v>Python</v>
      </c>
      <c r="J1978" s="9" t="str">
        <f>IFERROR(__xludf.DUMMYFUNCTION("""COMPUTED_VALUE"""),"C++")</f>
        <v>C++</v>
      </c>
      <c r="K1978" s="9" t="str">
        <f>IFERROR(__xludf.DUMMYFUNCTION("""COMPUTED_VALUE"""),"Ruby")</f>
        <v>Ruby</v>
      </c>
      <c r="L1978" s="9" t="str">
        <f>IFERROR(__xludf.DUMMYFUNCTION("""COMPUTED_VALUE"""),"TypeScript")</f>
        <v>TypeScript</v>
      </c>
      <c r="M1978" s="9" t="s">
        <v>30</v>
      </c>
    </row>
    <row r="1979" ht="15.75" customHeight="1">
      <c r="A1979" s="7"/>
      <c r="B1979" s="7" t="str">
        <f>IFERROR(__xludf.DUMMYFUNCTION("""COMPUTED_VALUE"""),"C;C#;HTML/CSS;Java;JavaScript;Ruby")</f>
        <v>C;C#;HTML/CSS;Java;JavaScript;Ruby</v>
      </c>
      <c r="C1979" s="9" t="str">
        <f>IFERROR(__xludf.DUMMYFUNCTION("""COMPUTED_VALUE"""),"C")</f>
        <v>C</v>
      </c>
      <c r="D1979" s="9" t="str">
        <f>IFERROR(__xludf.DUMMYFUNCTION("""COMPUTED_VALUE"""),"HTML/CSS")</f>
        <v>HTML/CSS</v>
      </c>
      <c r="E1979" s="9" t="str">
        <f>IFERROR(__xludf.DUMMYFUNCTION("""COMPUTED_VALUE"""),"Python")</f>
        <v>Python</v>
      </c>
      <c r="F1979" s="9" t="str">
        <f>IFERROR(__xludf.DUMMYFUNCTION("""COMPUTED_VALUE"""),"Rust")</f>
        <v>Rust</v>
      </c>
      <c r="G1979" s="9" t="str">
        <f>IFERROR(__xludf.DUMMYFUNCTION("""COMPUTED_VALUE"""),"Python")</f>
        <v>Python</v>
      </c>
      <c r="H1979" s="9" t="str">
        <f>IFERROR(__xludf.DUMMYFUNCTION("""COMPUTED_VALUE"""),"JavaScript")</f>
        <v>JavaScript</v>
      </c>
      <c r="I1979" s="9" t="str">
        <f>IFERROR(__xludf.DUMMYFUNCTION("""COMPUTED_VALUE"""),"Java")</f>
        <v>Java</v>
      </c>
      <c r="J1979" s="9" t="str">
        <f>IFERROR(__xludf.DUMMYFUNCTION("""COMPUTED_VALUE"""),"Dart")</f>
        <v>Dart</v>
      </c>
      <c r="K1979" s="9" t="str">
        <f>IFERROR(__xludf.DUMMYFUNCTION("""COMPUTED_VALUE"""),"Java")</f>
        <v>Java</v>
      </c>
      <c r="L1979" s="9" t="str">
        <f>IFERROR(__xludf.DUMMYFUNCTION("""COMPUTED_VALUE"""),"Other(s):")</f>
        <v>Other(s):</v>
      </c>
      <c r="M1979" s="9" t="s">
        <v>25</v>
      </c>
    </row>
    <row r="1980" ht="15.75" customHeight="1">
      <c r="A1980" s="7"/>
      <c r="B1980" s="7" t="str">
        <f>IFERROR(__xludf.DUMMYFUNCTION("""COMPUTED_VALUE"""),"C;C++;Java;PHP;Python;Ruby;SQL")</f>
        <v>C;C++;Java;PHP;Python;Ruby;SQL</v>
      </c>
      <c r="C1980" s="9" t="str">
        <f>IFERROR(__xludf.DUMMYFUNCTION("""COMPUTED_VALUE"""),"C#")</f>
        <v>C#</v>
      </c>
      <c r="D1980" s="9" t="str">
        <f>IFERROR(__xludf.DUMMYFUNCTION("""COMPUTED_VALUE"""),"JavaScript")</f>
        <v>JavaScript</v>
      </c>
      <c r="E1980" s="9" t="str">
        <f>IFERROR(__xludf.DUMMYFUNCTION("""COMPUTED_VALUE"""),"SQL")</f>
        <v>SQL</v>
      </c>
      <c r="F1980" s="9" t="str">
        <f>IFERROR(__xludf.DUMMYFUNCTION("""COMPUTED_VALUE"""),"VBA")</f>
        <v>VBA</v>
      </c>
      <c r="G1980" s="9" t="str">
        <f>IFERROR(__xludf.DUMMYFUNCTION("""COMPUTED_VALUE"""),"SQL")</f>
        <v>SQL</v>
      </c>
      <c r="H1980" s="9" t="str">
        <f>IFERROR(__xludf.DUMMYFUNCTION("""COMPUTED_VALUE"""),"PHP")</f>
        <v>PHP</v>
      </c>
      <c r="I1980" s="9" t="str">
        <f>IFERROR(__xludf.DUMMYFUNCTION("""COMPUTED_VALUE"""),"Bash/Shell/PowerShell")</f>
        <v>Bash/Shell/PowerShell</v>
      </c>
      <c r="J1980" s="9" t="str">
        <f>IFERROR(__xludf.DUMMYFUNCTION("""COMPUTED_VALUE"""),"HTML/CSS")</f>
        <v>HTML/CSS</v>
      </c>
      <c r="K1980" s="9" t="str">
        <f>IFERROR(__xludf.DUMMYFUNCTION("""COMPUTED_VALUE"""),"JavaScript")</f>
        <v>JavaScript</v>
      </c>
      <c r="L1980" s="9" t="str">
        <f>IFERROR(__xludf.DUMMYFUNCTION("""COMPUTED_VALUE"""),"JavaScript")</f>
        <v>JavaScript</v>
      </c>
      <c r="M1980" s="9" t="s">
        <v>26</v>
      </c>
    </row>
    <row r="1981" ht="15.75" customHeight="1">
      <c r="A1981" s="7"/>
      <c r="B1981" s="7" t="str">
        <f>IFERROR(__xludf.DUMMYFUNCTION("""COMPUTED_VALUE"""),"Bash/Shell/PowerShell;C#;F#;HTML/CSS;JavaScript;SQL;VBA")</f>
        <v>Bash/Shell/PowerShell;C#;F#;HTML/CSS;JavaScript;SQL;VBA</v>
      </c>
      <c r="C1981" s="9" t="str">
        <f>IFERROR(__xludf.DUMMYFUNCTION("""COMPUTED_VALUE"""),"F#")</f>
        <v>F#</v>
      </c>
      <c r="D1981" s="9" t="str">
        <f>IFERROR(__xludf.DUMMYFUNCTION("""COMPUTED_VALUE"""),"SQL")</f>
        <v>SQL</v>
      </c>
      <c r="E1981" s="9" t="str">
        <f>IFERROR(__xludf.DUMMYFUNCTION("""COMPUTED_VALUE"""),"TypeScript")</f>
        <v>TypeScript</v>
      </c>
      <c r="F1981" s="9" t="str">
        <f>IFERROR(__xludf.DUMMYFUNCTION("""COMPUTED_VALUE"""),"HTML/CSS")</f>
        <v>HTML/CSS</v>
      </c>
      <c r="G1981" s="9" t="str">
        <f>IFERROR(__xludf.DUMMYFUNCTION("""COMPUTED_VALUE"""),"Swift")</f>
        <v>Swift</v>
      </c>
      <c r="H1981" s="9" t="str">
        <f>IFERROR(__xludf.DUMMYFUNCTION("""COMPUTED_VALUE"""),"Python")</f>
        <v>Python</v>
      </c>
      <c r="I1981" s="9" t="str">
        <f>IFERROR(__xludf.DUMMYFUNCTION("""COMPUTED_VALUE"""),"Java")</f>
        <v>Java</v>
      </c>
      <c r="J1981" s="9" t="str">
        <f>IFERROR(__xludf.DUMMYFUNCTION("""COMPUTED_VALUE"""),"JavaScript")</f>
        <v>JavaScript</v>
      </c>
      <c r="K1981" s="9" t="str">
        <f>IFERROR(__xludf.DUMMYFUNCTION("""COMPUTED_VALUE"""),"SQL")</f>
        <v>SQL</v>
      </c>
      <c r="L1981" s="9" t="str">
        <f>IFERROR(__xludf.DUMMYFUNCTION("""COMPUTED_VALUE"""),"Python")</f>
        <v>Python</v>
      </c>
      <c r="M1981" s="9" t="s">
        <v>45</v>
      </c>
    </row>
    <row r="1982" ht="15.75" customHeight="1">
      <c r="A1982" s="7"/>
      <c r="B1982" s="7" t="str">
        <f>IFERROR(__xludf.DUMMYFUNCTION("""COMPUTED_VALUE"""),"C#;Python;SQL")</f>
        <v>C#;Python;SQL</v>
      </c>
      <c r="C1982" s="9" t="str">
        <f>IFERROR(__xludf.DUMMYFUNCTION("""COMPUTED_VALUE"""),"HTML/CSS")</f>
        <v>HTML/CSS</v>
      </c>
      <c r="D1982" s="9" t="str">
        <f>IFERROR(__xludf.DUMMYFUNCTION("""COMPUTED_VALUE"""),"Python")</f>
        <v>Python</v>
      </c>
      <c r="E1982" s="9" t="str">
        <f>IFERROR(__xludf.DUMMYFUNCTION("""COMPUTED_VALUE"""),"HTML/CSS")</f>
        <v>HTML/CSS</v>
      </c>
      <c r="F1982" s="9" t="str">
        <f>IFERROR(__xludf.DUMMYFUNCTION("""COMPUTED_VALUE"""),"JavaScript")</f>
        <v>JavaScript</v>
      </c>
      <c r="G1982" s="9" t="str">
        <f>IFERROR(__xludf.DUMMYFUNCTION("""COMPUTED_VALUE"""),"Bash/Shell/PowerShell")</f>
        <v>Bash/Shell/PowerShell</v>
      </c>
      <c r="H1982" s="9" t="str">
        <f>IFERROR(__xludf.DUMMYFUNCTION("""COMPUTED_VALUE"""),"R")</f>
        <v>R</v>
      </c>
      <c r="I1982" s="9" t="str">
        <f>IFERROR(__xludf.DUMMYFUNCTION("""COMPUTED_VALUE"""),"JavaScript")</f>
        <v>JavaScript</v>
      </c>
      <c r="J1982" s="9" t="str">
        <f>IFERROR(__xludf.DUMMYFUNCTION("""COMPUTED_VALUE"""),"PHP")</f>
        <v>PHP</v>
      </c>
      <c r="K1982" s="9" t="str">
        <f>IFERROR(__xludf.DUMMYFUNCTION("""COMPUTED_VALUE"""),"C#")</f>
        <v>C#</v>
      </c>
      <c r="L1982" s="9" t="str">
        <f>IFERROR(__xludf.DUMMYFUNCTION("""COMPUTED_VALUE"""),"SQL")</f>
        <v>SQL</v>
      </c>
      <c r="M1982" s="9" t="s">
        <v>24</v>
      </c>
    </row>
    <row r="1983" ht="15.75" customHeight="1">
      <c r="A1983" s="7"/>
      <c r="B1983" s="7" t="str">
        <f>IFERROR(__xludf.DUMMYFUNCTION("""COMPUTED_VALUE"""),"R")</f>
        <v>R</v>
      </c>
      <c r="C1983" s="9" t="str">
        <f>IFERROR(__xludf.DUMMYFUNCTION("""COMPUTED_VALUE"""),"JavaScript")</f>
        <v>JavaScript</v>
      </c>
      <c r="D1983" s="9" t="str">
        <f>IFERROR(__xludf.DUMMYFUNCTION("""COMPUTED_VALUE"""),"Bash/Shell/PowerShell")</f>
        <v>Bash/Shell/PowerShell</v>
      </c>
      <c r="E1983" s="9" t="str">
        <f>IFERROR(__xludf.DUMMYFUNCTION("""COMPUTED_VALUE"""),"Java")</f>
        <v>Java</v>
      </c>
      <c r="F1983" s="9" t="str">
        <f>IFERROR(__xludf.DUMMYFUNCTION("""COMPUTED_VALUE"""),"Objective-C")</f>
        <v>Objective-C</v>
      </c>
      <c r="G1983" s="9" t="str">
        <f>IFERROR(__xludf.DUMMYFUNCTION("""COMPUTED_VALUE"""),"C++")</f>
        <v>C++</v>
      </c>
      <c r="H1983" s="9" t="str">
        <f>IFERROR(__xludf.DUMMYFUNCTION("""COMPUTED_VALUE"""),"SQL")</f>
        <v>SQL</v>
      </c>
      <c r="I1983" s="9" t="str">
        <f>IFERROR(__xludf.DUMMYFUNCTION("""COMPUTED_VALUE"""),"TypeScript")</f>
        <v>TypeScript</v>
      </c>
      <c r="J1983" s="9" t="str">
        <f>IFERROR(__xludf.DUMMYFUNCTION("""COMPUTED_VALUE"""),"SQL")</f>
        <v>SQL</v>
      </c>
      <c r="K1983" s="9" t="str">
        <f>IFERROR(__xludf.DUMMYFUNCTION("""COMPUTED_VALUE"""),"Go")</f>
        <v>Go</v>
      </c>
      <c r="L1983" s="9" t="str">
        <f>IFERROR(__xludf.DUMMYFUNCTION("""COMPUTED_VALUE"""),"TypeScript")</f>
        <v>TypeScript</v>
      </c>
      <c r="M1983" s="9" t="s">
        <v>21</v>
      </c>
    </row>
    <row r="1984" ht="15.75" customHeight="1">
      <c r="A1984" s="7"/>
      <c r="B1984" s="7" t="str">
        <f>IFERROR(__xludf.DUMMYFUNCTION("""COMPUTED_VALUE"""),"JavaScript;TypeScript")</f>
        <v>JavaScript;TypeScript</v>
      </c>
      <c r="C1984" s="9" t="str">
        <f>IFERROR(__xludf.DUMMYFUNCTION("""COMPUTED_VALUE"""),"PHP")</f>
        <v>PHP</v>
      </c>
      <c r="D1984" s="9" t="str">
        <f>IFERROR(__xludf.DUMMYFUNCTION("""COMPUTED_VALUE"""),"C")</f>
        <v>C</v>
      </c>
      <c r="E1984" s="9" t="str">
        <f>IFERROR(__xludf.DUMMYFUNCTION("""COMPUTED_VALUE"""),"JavaScript")</f>
        <v>JavaScript</v>
      </c>
      <c r="F1984" s="9" t="str">
        <f>IFERROR(__xludf.DUMMYFUNCTION("""COMPUTED_VALUE"""),"SQL")</f>
        <v>SQL</v>
      </c>
      <c r="G1984" s="9" t="str">
        <f>IFERROR(__xludf.DUMMYFUNCTION("""COMPUTED_VALUE"""),"HTML/CSS")</f>
        <v>HTML/CSS</v>
      </c>
      <c r="H1984" s="9" t="str">
        <f>IFERROR(__xludf.DUMMYFUNCTION("""COMPUTED_VALUE"""),"TypeScript")</f>
        <v>TypeScript</v>
      </c>
      <c r="I1984" s="9" t="str">
        <f>IFERROR(__xludf.DUMMYFUNCTION("""COMPUTED_VALUE"""),"C#")</f>
        <v>C#</v>
      </c>
      <c r="J1984" s="9" t="str">
        <f>IFERROR(__xludf.DUMMYFUNCTION("""COMPUTED_VALUE"""),"TypeScript")</f>
        <v>TypeScript</v>
      </c>
      <c r="K1984" s="9" t="str">
        <f>IFERROR(__xludf.DUMMYFUNCTION("""COMPUTED_VALUE"""),"HTML/CSS")</f>
        <v>HTML/CSS</v>
      </c>
      <c r="L1984" s="9" t="str">
        <f>IFERROR(__xludf.DUMMYFUNCTION("""COMPUTED_VALUE"""),"C#")</f>
        <v>C#</v>
      </c>
      <c r="M1984" s="9" t="s">
        <v>37</v>
      </c>
    </row>
    <row r="1985" ht="15.75" customHeight="1">
      <c r="A1985" s="7"/>
      <c r="B1985" s="7" t="str">
        <f>IFERROR(__xludf.DUMMYFUNCTION("""COMPUTED_VALUE"""),"C#;F#;JavaScript;Scala;TypeScript;Other(s):")</f>
        <v>C#;F#;JavaScript;Scala;TypeScript;Other(s):</v>
      </c>
      <c r="C1985" s="9" t="str">
        <f>IFERROR(__xludf.DUMMYFUNCTION("""COMPUTED_VALUE"""),"Python")</f>
        <v>Python</v>
      </c>
      <c r="D1985" s="9" t="str">
        <f>IFERROR(__xludf.DUMMYFUNCTION("""COMPUTED_VALUE"""),"Python")</f>
        <v>Python</v>
      </c>
      <c r="E1985" s="9" t="str">
        <f>IFERROR(__xludf.DUMMYFUNCTION("""COMPUTED_VALUE"""),"Python")</f>
        <v>Python</v>
      </c>
      <c r="F1985" s="9" t="str">
        <f>IFERROR(__xludf.DUMMYFUNCTION("""COMPUTED_VALUE"""),"TypeScript")</f>
        <v>TypeScript</v>
      </c>
      <c r="G1985" s="9" t="str">
        <f>IFERROR(__xludf.DUMMYFUNCTION("""COMPUTED_VALUE"""),"JavaScript")</f>
        <v>JavaScript</v>
      </c>
      <c r="H1985" s="9" t="str">
        <f>IFERROR(__xludf.DUMMYFUNCTION("""COMPUTED_VALUE"""),"VBA")</f>
        <v>VBA</v>
      </c>
      <c r="I1985" s="9" t="str">
        <f>IFERROR(__xludf.DUMMYFUNCTION("""COMPUTED_VALUE"""),"HTML/CSS")</f>
        <v>HTML/CSS</v>
      </c>
      <c r="J1985" s="9" t="str">
        <f>IFERROR(__xludf.DUMMYFUNCTION("""COMPUTED_VALUE"""),"Bash/Shell/PowerShell")</f>
        <v>Bash/Shell/PowerShell</v>
      </c>
      <c r="K1985" s="9" t="str">
        <f>IFERROR(__xludf.DUMMYFUNCTION("""COMPUTED_VALUE"""),"JavaScript")</f>
        <v>JavaScript</v>
      </c>
      <c r="L1985" s="9" t="str">
        <f>IFERROR(__xludf.DUMMYFUNCTION("""COMPUTED_VALUE"""),"HTML/CSS")</f>
        <v>HTML/CSS</v>
      </c>
      <c r="M1985" s="9" t="s">
        <v>22</v>
      </c>
    </row>
    <row r="1986" ht="15.75" customHeight="1">
      <c r="A1986" s="7"/>
      <c r="B1986" s="7" t="str">
        <f>IFERROR(__xludf.DUMMYFUNCTION("""COMPUTED_VALUE"""),"C#;HTML/CSS;JavaScript;SQL")</f>
        <v>C#;HTML/CSS;JavaScript;SQL</v>
      </c>
      <c r="C1986" s="9" t="str">
        <f>IFERROR(__xludf.DUMMYFUNCTION("""COMPUTED_VALUE"""),"SQL")</f>
        <v>SQL</v>
      </c>
      <c r="D1986" s="9" t="str">
        <f>IFERROR(__xludf.DUMMYFUNCTION("""COMPUTED_VALUE"""),"Bash/Shell/PowerShell")</f>
        <v>Bash/Shell/PowerShell</v>
      </c>
      <c r="E1986" s="9" t="str">
        <f>IFERROR(__xludf.DUMMYFUNCTION("""COMPUTED_VALUE"""),"SQL")</f>
        <v>SQL</v>
      </c>
      <c r="F1986" s="9" t="str">
        <f>IFERROR(__xludf.DUMMYFUNCTION("""COMPUTED_VALUE"""),"C")</f>
        <v>C</v>
      </c>
      <c r="G1986" s="9" t="str">
        <f>IFERROR(__xludf.DUMMYFUNCTION("""COMPUTED_VALUE"""),"PHP")</f>
        <v>PHP</v>
      </c>
      <c r="H1986" s="9" t="str">
        <f>IFERROR(__xludf.DUMMYFUNCTION("""COMPUTED_VALUE"""),"Assembly")</f>
        <v>Assembly</v>
      </c>
      <c r="I1986" s="9" t="str">
        <f>IFERROR(__xludf.DUMMYFUNCTION("""COMPUTED_VALUE"""),"JavaScript")</f>
        <v>JavaScript</v>
      </c>
      <c r="J1986" s="9" t="str">
        <f>IFERROR(__xludf.DUMMYFUNCTION("""COMPUTED_VALUE"""),"C#")</f>
        <v>C#</v>
      </c>
      <c r="K1986" s="9" t="str">
        <f>IFERROR(__xludf.DUMMYFUNCTION("""COMPUTED_VALUE"""),"PHP")</f>
        <v>PHP</v>
      </c>
      <c r="L1986" s="9" t="str">
        <f>IFERROR(__xludf.DUMMYFUNCTION("""COMPUTED_VALUE"""),"JavaScript")</f>
        <v>JavaScript</v>
      </c>
      <c r="M1986" s="9" t="s">
        <v>27</v>
      </c>
    </row>
    <row r="1987" ht="15.75" customHeight="1">
      <c r="A1987" s="7"/>
      <c r="B1987" s="7" t="str">
        <f>IFERROR(__xludf.DUMMYFUNCTION("""COMPUTED_VALUE"""),"C#")</f>
        <v>C#</v>
      </c>
      <c r="C1987" s="9" t="str">
        <f>IFERROR(__xludf.DUMMYFUNCTION("""COMPUTED_VALUE"""),"C#")</f>
        <v>C#</v>
      </c>
      <c r="D1987" s="9" t="str">
        <f>IFERROR(__xludf.DUMMYFUNCTION("""COMPUTED_VALUE"""),"C#")</f>
        <v>C#</v>
      </c>
      <c r="E1987" s="9" t="str">
        <f>IFERROR(__xludf.DUMMYFUNCTION("""COMPUTED_VALUE"""),"Swift")</f>
        <v>Swift</v>
      </c>
      <c r="F1987" s="9" t="str">
        <f>IFERROR(__xludf.DUMMYFUNCTION("""COMPUTED_VALUE"""),"HTML/CSS")</f>
        <v>HTML/CSS</v>
      </c>
      <c r="G1987" s="9" t="str">
        <f>IFERROR(__xludf.DUMMYFUNCTION("""COMPUTED_VALUE"""),"Python")</f>
        <v>Python</v>
      </c>
      <c r="H1987" s="9" t="str">
        <f>IFERROR(__xludf.DUMMYFUNCTION("""COMPUTED_VALUE"""),"C")</f>
        <v>C</v>
      </c>
      <c r="I1987" s="9" t="str">
        <f>IFERROR(__xludf.DUMMYFUNCTION("""COMPUTED_VALUE"""),"SQL")</f>
        <v>SQL</v>
      </c>
      <c r="J1987" s="9" t="str">
        <f>IFERROR(__xludf.DUMMYFUNCTION("""COMPUTED_VALUE"""),"HTML/CSS")</f>
        <v>HTML/CSS</v>
      </c>
      <c r="K1987" s="9" t="str">
        <f>IFERROR(__xludf.DUMMYFUNCTION("""COMPUTED_VALUE"""),"Python")</f>
        <v>Python</v>
      </c>
      <c r="L1987" s="9" t="str">
        <f>IFERROR(__xludf.DUMMYFUNCTION("""COMPUTED_VALUE"""),"SQL")</f>
        <v>SQL</v>
      </c>
      <c r="M1987" s="9" t="s">
        <v>26</v>
      </c>
    </row>
    <row r="1988" ht="15.75" customHeight="1">
      <c r="A1988" s="7"/>
      <c r="B1988" s="7" t="str">
        <f>IFERROR(__xludf.DUMMYFUNCTION("""COMPUTED_VALUE"""),"Bash/Shell/PowerShell;C;HTML/CSS;JavaScript;SQL")</f>
        <v>Bash/Shell/PowerShell;C;HTML/CSS;JavaScript;SQL</v>
      </c>
      <c r="C1988" s="9" t="str">
        <f>IFERROR(__xludf.DUMMYFUNCTION("""COMPUTED_VALUE"""),"SQL")</f>
        <v>SQL</v>
      </c>
      <c r="D1988" s="9" t="str">
        <f>IFERROR(__xludf.DUMMYFUNCTION("""COMPUTED_VALUE"""),"JavaScript")</f>
        <v>JavaScript</v>
      </c>
      <c r="E1988" s="9" t="str">
        <f>IFERROR(__xludf.DUMMYFUNCTION("""COMPUTED_VALUE"""),"Java")</f>
        <v>Java</v>
      </c>
      <c r="F1988" s="9" t="str">
        <f>IFERROR(__xludf.DUMMYFUNCTION("""COMPUTED_VALUE"""),"Java")</f>
        <v>Java</v>
      </c>
      <c r="G1988" s="9" t="str">
        <f>IFERROR(__xludf.DUMMYFUNCTION("""COMPUTED_VALUE"""),"R")</f>
        <v>R</v>
      </c>
      <c r="H1988" s="9" t="str">
        <f>IFERROR(__xludf.DUMMYFUNCTION("""COMPUTED_VALUE"""),"Go")</f>
        <v>Go</v>
      </c>
      <c r="I1988" s="9" t="str">
        <f>IFERROR(__xludf.DUMMYFUNCTION("""COMPUTED_VALUE"""),"HTML/CSS")</f>
        <v>HTML/CSS</v>
      </c>
      <c r="J1988" s="9" t="str">
        <f>IFERROR(__xludf.DUMMYFUNCTION("""COMPUTED_VALUE"""),"JavaScript")</f>
        <v>JavaScript</v>
      </c>
      <c r="K1988" s="9" t="str">
        <f>IFERROR(__xludf.DUMMYFUNCTION("""COMPUTED_VALUE"""),"R")</f>
        <v>R</v>
      </c>
      <c r="L1988" s="9" t="str">
        <f>IFERROR(__xludf.DUMMYFUNCTION("""COMPUTED_VALUE"""),"TypeScript")</f>
        <v>TypeScript</v>
      </c>
      <c r="M1988" s="9" t="s">
        <v>27</v>
      </c>
    </row>
    <row r="1989" ht="15.75" customHeight="1">
      <c r="A1989" s="7"/>
      <c r="B1989" s="7" t="str">
        <f>IFERROR(__xludf.DUMMYFUNCTION("""COMPUTED_VALUE"""),"C;C++;Java;JavaScript;Other(s):")</f>
        <v>C;C++;Java;JavaScript;Other(s):</v>
      </c>
      <c r="C1989" s="9" t="str">
        <f>IFERROR(__xludf.DUMMYFUNCTION("""COMPUTED_VALUE"""),"TypeScript")</f>
        <v>TypeScript</v>
      </c>
      <c r="D1989" s="9" t="str">
        <f>IFERROR(__xludf.DUMMYFUNCTION("""COMPUTED_VALUE"""),"Rust")</f>
        <v>Rust</v>
      </c>
      <c r="E1989" s="9" t="str">
        <f>IFERROR(__xludf.DUMMYFUNCTION("""COMPUTED_VALUE"""),"SQL")</f>
        <v>SQL</v>
      </c>
      <c r="F1989" s="9" t="str">
        <f>IFERROR(__xludf.DUMMYFUNCTION("""COMPUTED_VALUE"""),"JavaScript")</f>
        <v>JavaScript</v>
      </c>
      <c r="G1989" s="9" t="str">
        <f>IFERROR(__xludf.DUMMYFUNCTION("""COMPUTED_VALUE"""),"Ruby")</f>
        <v>Ruby</v>
      </c>
      <c r="H1989" s="9" t="str">
        <f>IFERROR(__xludf.DUMMYFUNCTION("""COMPUTED_VALUE"""),"Rust")</f>
        <v>Rust</v>
      </c>
      <c r="I1989" s="9" t="str">
        <f>IFERROR(__xludf.DUMMYFUNCTION("""COMPUTED_VALUE"""),"Python")</f>
        <v>Python</v>
      </c>
      <c r="J1989" s="9" t="str">
        <f>IFERROR(__xludf.DUMMYFUNCTION("""COMPUTED_VALUE"""),"SQL")</f>
        <v>SQL</v>
      </c>
      <c r="K1989" s="9" t="str">
        <f>IFERROR(__xludf.DUMMYFUNCTION("""COMPUTED_VALUE"""),"SQL")</f>
        <v>SQL</v>
      </c>
      <c r="L1989" s="9" t="str">
        <f>IFERROR(__xludf.DUMMYFUNCTION("""COMPUTED_VALUE"""),"Bash/Shell/PowerShell")</f>
        <v>Bash/Shell/PowerShell</v>
      </c>
      <c r="M1989" s="9" t="s">
        <v>33</v>
      </c>
    </row>
    <row r="1990" ht="15.75" customHeight="1">
      <c r="A1990" s="7"/>
      <c r="B1990" s="7" t="str">
        <f>IFERROR(__xludf.DUMMYFUNCTION("""COMPUTED_VALUE"""),"Bash/Shell/PowerShell;C;HTML/CSS;JavaScript;Python")</f>
        <v>Bash/Shell/PowerShell;C;HTML/CSS;JavaScript;Python</v>
      </c>
      <c r="C1990" s="9" t="str">
        <f>IFERROR(__xludf.DUMMYFUNCTION("""COMPUTED_VALUE"""),"Java")</f>
        <v>Java</v>
      </c>
      <c r="D1990" s="9" t="str">
        <f>IFERROR(__xludf.DUMMYFUNCTION("""COMPUTED_VALUE"""),"C++")</f>
        <v>C++</v>
      </c>
      <c r="E1990" s="9" t="str">
        <f>IFERROR(__xludf.DUMMYFUNCTION("""COMPUTED_VALUE"""),"C")</f>
        <v>C</v>
      </c>
      <c r="F1990" s="9" t="str">
        <f>IFERROR(__xludf.DUMMYFUNCTION("""COMPUTED_VALUE"""),"Bash/Shell/PowerShell")</f>
        <v>Bash/Shell/PowerShell</v>
      </c>
      <c r="G1990" s="9" t="str">
        <f>IFERROR(__xludf.DUMMYFUNCTION("""COMPUTED_VALUE"""),"SQL")</f>
        <v>SQL</v>
      </c>
      <c r="H1990" s="9" t="str">
        <f>IFERROR(__xludf.DUMMYFUNCTION("""COMPUTED_VALUE"""),"HTML/CSS")</f>
        <v>HTML/CSS</v>
      </c>
      <c r="I1990" s="9" t="str">
        <f>IFERROR(__xludf.DUMMYFUNCTION("""COMPUTED_VALUE"""),"SQL")</f>
        <v>SQL</v>
      </c>
      <c r="J1990" s="9" t="str">
        <f>IFERROR(__xludf.DUMMYFUNCTION("""COMPUTED_VALUE"""),"TypeScript")</f>
        <v>TypeScript</v>
      </c>
      <c r="K1990" s="9" t="str">
        <f>IFERROR(__xludf.DUMMYFUNCTION("""COMPUTED_VALUE"""),"Bash/Shell/PowerShell")</f>
        <v>Bash/Shell/PowerShell</v>
      </c>
      <c r="L1990" s="9" t="str">
        <f>IFERROR(__xludf.DUMMYFUNCTION("""COMPUTED_VALUE"""),"C")</f>
        <v>C</v>
      </c>
      <c r="M1990" s="9" t="s">
        <v>20</v>
      </c>
    </row>
    <row r="1991" ht="15.75" customHeight="1">
      <c r="A1991" s="7"/>
      <c r="B1991" s="7" t="str">
        <f>IFERROR(__xludf.DUMMYFUNCTION("""COMPUTED_VALUE"""),"C#;SQL")</f>
        <v>C#;SQL</v>
      </c>
      <c r="C1991" s="9" t="str">
        <f>IFERROR(__xludf.DUMMYFUNCTION("""COMPUTED_VALUE"""),"JavaScript")</f>
        <v>JavaScript</v>
      </c>
      <c r="D1991" s="9" t="str">
        <f>IFERROR(__xludf.DUMMYFUNCTION("""COMPUTED_VALUE"""),"Java")</f>
        <v>Java</v>
      </c>
      <c r="E1991" s="9" t="str">
        <f>IFERROR(__xludf.DUMMYFUNCTION("""COMPUTED_VALUE"""),"C++")</f>
        <v>C++</v>
      </c>
      <c r="F1991" s="9" t="str">
        <f>IFERROR(__xludf.DUMMYFUNCTION("""COMPUTED_VALUE"""),"C#")</f>
        <v>C#</v>
      </c>
      <c r="G1991" s="9" t="str">
        <f>IFERROR(__xludf.DUMMYFUNCTION("""COMPUTED_VALUE"""),"VBA")</f>
        <v>VBA</v>
      </c>
      <c r="H1991" s="9" t="str">
        <f>IFERROR(__xludf.DUMMYFUNCTION("""COMPUTED_VALUE"""),"Java")</f>
        <v>Java</v>
      </c>
      <c r="I1991" s="9" t="str">
        <f>IFERROR(__xludf.DUMMYFUNCTION("""COMPUTED_VALUE"""),"HTML/CSS")</f>
        <v>HTML/CSS</v>
      </c>
      <c r="J1991" s="9" t="str">
        <f>IFERROR(__xludf.DUMMYFUNCTION("""COMPUTED_VALUE"""),"VBA")</f>
        <v>VBA</v>
      </c>
      <c r="K1991" s="9" t="str">
        <f>IFERROR(__xludf.DUMMYFUNCTION("""COMPUTED_VALUE"""),"HTML/CSS")</f>
        <v>HTML/CSS</v>
      </c>
      <c r="L1991" s="9" t="str">
        <f>IFERROR(__xludf.DUMMYFUNCTION("""COMPUTED_VALUE"""),"C++")</f>
        <v>C++</v>
      </c>
      <c r="M1991" s="9" t="s">
        <v>21</v>
      </c>
    </row>
    <row r="1992" ht="15.75" customHeight="1">
      <c r="A1992" s="7"/>
      <c r="B1992" s="7" t="str">
        <f>IFERROR(__xludf.DUMMYFUNCTION("""COMPUTED_VALUE"""),"HTML/CSS;JavaScript;PHP;SQL")</f>
        <v>HTML/CSS;JavaScript;PHP;SQL</v>
      </c>
      <c r="C1992" s="9" t="str">
        <f>IFERROR(__xludf.DUMMYFUNCTION("""COMPUTED_VALUE"""),"TypeScript")</f>
        <v>TypeScript</v>
      </c>
      <c r="D1992" s="9" t="str">
        <f>IFERROR(__xludf.DUMMYFUNCTION("""COMPUTED_VALUE"""),"Kotlin")</f>
        <v>Kotlin</v>
      </c>
      <c r="E1992" s="9" t="str">
        <f>IFERROR(__xludf.DUMMYFUNCTION("""COMPUTED_VALUE"""),"HTML/CSS")</f>
        <v>HTML/CSS</v>
      </c>
      <c r="F1992" s="9" t="str">
        <f>IFERROR(__xludf.DUMMYFUNCTION("""COMPUTED_VALUE"""),"HTML/CSS")</f>
        <v>HTML/CSS</v>
      </c>
      <c r="G1992" s="9" t="str">
        <f>IFERROR(__xludf.DUMMYFUNCTION("""COMPUTED_VALUE"""),"Bash/Shell/PowerShell")</f>
        <v>Bash/Shell/PowerShell</v>
      </c>
      <c r="H1992" s="9" t="str">
        <f>IFERROR(__xludf.DUMMYFUNCTION("""COMPUTED_VALUE"""),"JavaScript")</f>
        <v>JavaScript</v>
      </c>
      <c r="I1992" s="9" t="str">
        <f>IFERROR(__xludf.DUMMYFUNCTION("""COMPUTED_VALUE"""),"Java")</f>
        <v>Java</v>
      </c>
      <c r="J1992" s="9" t="str">
        <f>IFERROR(__xludf.DUMMYFUNCTION("""COMPUTED_VALUE"""),"HTML/CSS")</f>
        <v>HTML/CSS</v>
      </c>
      <c r="K1992" s="9" t="str">
        <f>IFERROR(__xludf.DUMMYFUNCTION("""COMPUTED_VALUE"""),"Java")</f>
        <v>Java</v>
      </c>
      <c r="L1992" s="9" t="str">
        <f>IFERROR(__xludf.DUMMYFUNCTION("""COMPUTED_VALUE"""),"HTML/CSS")</f>
        <v>HTML/CSS</v>
      </c>
      <c r="M1992" s="9" t="s">
        <v>33</v>
      </c>
    </row>
    <row r="1993" ht="15.75" customHeight="1">
      <c r="A1993" s="7"/>
      <c r="B1993" s="7" t="str">
        <f>IFERROR(__xludf.DUMMYFUNCTION("""COMPUTED_VALUE"""),"C#;HTML/CSS;JavaScript;PHP")</f>
        <v>C#;HTML/CSS;JavaScript;PHP</v>
      </c>
      <c r="C1993" s="9" t="str">
        <f>IFERROR(__xludf.DUMMYFUNCTION("""COMPUTED_VALUE"""),"HTML/CSS")</f>
        <v>HTML/CSS</v>
      </c>
      <c r="D1993" s="9" t="str">
        <f>IFERROR(__xludf.DUMMYFUNCTION("""COMPUTED_VALUE"""),"Objective-C")</f>
        <v>Objective-C</v>
      </c>
      <c r="E1993" s="9" t="str">
        <f>IFERROR(__xludf.DUMMYFUNCTION("""COMPUTED_VALUE"""),"Java")</f>
        <v>Java</v>
      </c>
      <c r="F1993" s="9" t="str">
        <f>IFERROR(__xludf.DUMMYFUNCTION("""COMPUTED_VALUE"""),"Java")</f>
        <v>Java</v>
      </c>
      <c r="G1993" s="9" t="str">
        <f>IFERROR(__xludf.DUMMYFUNCTION("""COMPUTED_VALUE"""),"C++")</f>
        <v>C++</v>
      </c>
      <c r="H1993" s="9" t="str">
        <f>IFERROR(__xludf.DUMMYFUNCTION("""COMPUTED_VALUE"""),"PHP")</f>
        <v>PHP</v>
      </c>
      <c r="I1993" s="9" t="str">
        <f>IFERROR(__xludf.DUMMYFUNCTION("""COMPUTED_VALUE"""),"JavaScript")</f>
        <v>JavaScript</v>
      </c>
      <c r="J1993" s="9" t="str">
        <f>IFERROR(__xludf.DUMMYFUNCTION("""COMPUTED_VALUE"""),"JavaScript")</f>
        <v>JavaScript</v>
      </c>
      <c r="K1993" s="9" t="str">
        <f>IFERROR(__xludf.DUMMYFUNCTION("""COMPUTED_VALUE"""),"JavaScript")</f>
        <v>JavaScript</v>
      </c>
      <c r="L1993" s="9" t="str">
        <f>IFERROR(__xludf.DUMMYFUNCTION("""COMPUTED_VALUE"""),"Java")</f>
        <v>Java</v>
      </c>
      <c r="M1993" s="9" t="s">
        <v>24</v>
      </c>
    </row>
    <row r="1994" ht="15.75" customHeight="1">
      <c r="A1994" s="7"/>
      <c r="B1994" s="7" t="str">
        <f>IFERROR(__xludf.DUMMYFUNCTION("""COMPUTED_VALUE"""),"Bash/Shell/PowerShell;C;C++;HTML/CSS;Java;JavaScript;PHP;Python;Ruby;SQL")</f>
        <v>Bash/Shell/PowerShell;C;C++;HTML/CSS;Java;JavaScript;PHP;Python;Ruby;SQL</v>
      </c>
      <c r="C1994" s="9" t="str">
        <f>IFERROR(__xludf.DUMMYFUNCTION("""COMPUTED_VALUE"""),"Java")</f>
        <v>Java</v>
      </c>
      <c r="D1994" s="9" t="str">
        <f>IFERROR(__xludf.DUMMYFUNCTION("""COMPUTED_VALUE"""),"Swift")</f>
        <v>Swift</v>
      </c>
      <c r="E1994" s="9" t="str">
        <f>IFERROR(__xludf.DUMMYFUNCTION("""COMPUTED_VALUE"""),"JavaScript")</f>
        <v>JavaScript</v>
      </c>
      <c r="F1994" s="9" t="str">
        <f>IFERROR(__xludf.DUMMYFUNCTION("""COMPUTED_VALUE"""),"JavaScript")</f>
        <v>JavaScript</v>
      </c>
      <c r="G1994" s="9" t="str">
        <f>IFERROR(__xludf.DUMMYFUNCTION("""COMPUTED_VALUE"""),"Java")</f>
        <v>Java</v>
      </c>
      <c r="H1994" s="9" t="str">
        <f>IFERROR(__xludf.DUMMYFUNCTION("""COMPUTED_VALUE"""),"Python")</f>
        <v>Python</v>
      </c>
      <c r="I1994" s="9" t="str">
        <f>IFERROR(__xludf.DUMMYFUNCTION("""COMPUTED_VALUE"""),"SQL")</f>
        <v>SQL</v>
      </c>
      <c r="J1994" s="9" t="str">
        <f>IFERROR(__xludf.DUMMYFUNCTION("""COMPUTED_VALUE"""),"PHP")</f>
        <v>PHP</v>
      </c>
      <c r="K1994" s="9" t="str">
        <f>IFERROR(__xludf.DUMMYFUNCTION("""COMPUTED_VALUE"""),"PHP")</f>
        <v>PHP</v>
      </c>
      <c r="L1994" s="9" t="str">
        <f>IFERROR(__xludf.DUMMYFUNCTION("""COMPUTED_VALUE"""),"JavaScript")</f>
        <v>JavaScript</v>
      </c>
      <c r="M1994" s="9" t="s">
        <v>20</v>
      </c>
    </row>
    <row r="1995" ht="15.75" customHeight="1">
      <c r="A1995" s="7"/>
      <c r="B1995" s="7" t="str">
        <f>IFERROR(__xludf.DUMMYFUNCTION("""COMPUTED_VALUE"""),"Go;Objective-C;Swift")</f>
        <v>Go;Objective-C;Swift</v>
      </c>
      <c r="C1995" s="9" t="str">
        <f>IFERROR(__xludf.DUMMYFUNCTION("""COMPUTED_VALUE"""),"JavaScript")</f>
        <v>JavaScript</v>
      </c>
      <c r="D1995" s="9" t="str">
        <f>IFERROR(__xludf.DUMMYFUNCTION("""COMPUTED_VALUE"""),"HTML/CSS")</f>
        <v>HTML/CSS</v>
      </c>
      <c r="E1995" s="9" t="str">
        <f>IFERROR(__xludf.DUMMYFUNCTION("""COMPUTED_VALUE"""),"SQL")</f>
        <v>SQL</v>
      </c>
      <c r="F1995" s="9" t="str">
        <f>IFERROR(__xludf.DUMMYFUNCTION("""COMPUTED_VALUE"""),"PHP")</f>
        <v>PHP</v>
      </c>
      <c r="G1995" s="9" t="str">
        <f>IFERROR(__xludf.DUMMYFUNCTION("""COMPUTED_VALUE"""),"Python")</f>
        <v>Python</v>
      </c>
      <c r="H1995" s="9" t="str">
        <f>IFERROR(__xludf.DUMMYFUNCTION("""COMPUTED_VALUE"""),"SQL")</f>
        <v>SQL</v>
      </c>
      <c r="I1995" s="9" t="str">
        <f>IFERROR(__xludf.DUMMYFUNCTION("""COMPUTED_VALUE"""),"TypeScript")</f>
        <v>TypeScript</v>
      </c>
      <c r="J1995" s="9" t="str">
        <f>IFERROR(__xludf.DUMMYFUNCTION("""COMPUTED_VALUE"""),"SQL")</f>
        <v>SQL</v>
      </c>
      <c r="K1995" s="9" t="str">
        <f>IFERROR(__xludf.DUMMYFUNCTION("""COMPUTED_VALUE"""),"Scala")</f>
        <v>Scala</v>
      </c>
      <c r="L1995" s="9" t="str">
        <f>IFERROR(__xludf.DUMMYFUNCTION("""COMPUTED_VALUE"""),"Kotlin")</f>
        <v>Kotlin</v>
      </c>
      <c r="M1995" s="9" t="s">
        <v>21</v>
      </c>
    </row>
    <row r="1996" ht="15.75" customHeight="1">
      <c r="A1996" s="7"/>
      <c r="B1996" s="7" t="str">
        <f>IFERROR(__xludf.DUMMYFUNCTION("""COMPUTED_VALUE"""),"Bash/Shell/PowerShell;JavaScript;Objective-C;Ruby;SQL;Swift")</f>
        <v>Bash/Shell/PowerShell;JavaScript;Objective-C;Ruby;SQL;Swift</v>
      </c>
      <c r="C1996" s="9" t="str">
        <f>IFERROR(__xludf.DUMMYFUNCTION("""COMPUTED_VALUE"""),"PHP")</f>
        <v>PHP</v>
      </c>
      <c r="D1996" s="9" t="str">
        <f>IFERROR(__xludf.DUMMYFUNCTION("""COMPUTED_VALUE"""),"Java")</f>
        <v>Java</v>
      </c>
      <c r="E1996" s="9" t="str">
        <f>IFERROR(__xludf.DUMMYFUNCTION("""COMPUTED_VALUE"""),"JavaScript")</f>
        <v>JavaScript</v>
      </c>
      <c r="F1996" s="9" t="str">
        <f>IFERROR(__xludf.DUMMYFUNCTION("""COMPUTED_VALUE"""),"Ruby")</f>
        <v>Ruby</v>
      </c>
      <c r="G1996" s="9" t="str">
        <f>IFERROR(__xludf.DUMMYFUNCTION("""COMPUTED_VALUE"""),"Other(s):")</f>
        <v>Other(s):</v>
      </c>
      <c r="H1996" s="9" t="str">
        <f>IFERROR(__xludf.DUMMYFUNCTION("""COMPUTED_VALUE"""),"Swift")</f>
        <v>Swift</v>
      </c>
      <c r="I1996" s="9" t="str">
        <f>IFERROR(__xludf.DUMMYFUNCTION("""COMPUTED_VALUE"""),"Bash/Shell/PowerShell")</f>
        <v>Bash/Shell/PowerShell</v>
      </c>
      <c r="J1996" s="9" t="str">
        <f>IFERROR(__xludf.DUMMYFUNCTION("""COMPUTED_VALUE"""),"Bash/Shell/PowerShell")</f>
        <v>Bash/Shell/PowerShell</v>
      </c>
      <c r="K1996" s="9" t="str">
        <f>IFERROR(__xludf.DUMMYFUNCTION("""COMPUTED_VALUE"""),"SQL")</f>
        <v>SQL</v>
      </c>
      <c r="L1996" s="9" t="str">
        <f>IFERROR(__xludf.DUMMYFUNCTION("""COMPUTED_VALUE"""),"PHP")</f>
        <v>PHP</v>
      </c>
      <c r="M1996" s="9" t="s">
        <v>37</v>
      </c>
    </row>
    <row r="1997" ht="15.75" customHeight="1">
      <c r="A1997" s="7"/>
      <c r="B1997" s="7" t="str">
        <f>IFERROR(__xludf.DUMMYFUNCTION("""COMPUTED_VALUE"""),"C;C++;HTML/CSS;JavaScript;Python")</f>
        <v>C;C++;HTML/CSS;JavaScript;Python</v>
      </c>
      <c r="C1997" s="9" t="str">
        <f>IFERROR(__xludf.DUMMYFUNCTION("""COMPUTED_VALUE"""),"SQL")</f>
        <v>SQL</v>
      </c>
      <c r="D1997" s="9" t="str">
        <f>IFERROR(__xludf.DUMMYFUNCTION("""COMPUTED_VALUE"""),"JavaScript")</f>
        <v>JavaScript</v>
      </c>
      <c r="E1997" s="9" t="str">
        <f>IFERROR(__xludf.DUMMYFUNCTION("""COMPUTED_VALUE"""),"Python")</f>
        <v>Python</v>
      </c>
      <c r="F1997" s="9" t="str">
        <f>IFERROR(__xludf.DUMMYFUNCTION("""COMPUTED_VALUE"""),"Bash/Shell/PowerShell")</f>
        <v>Bash/Shell/PowerShell</v>
      </c>
      <c r="G1997" s="9" t="str">
        <f>IFERROR(__xludf.DUMMYFUNCTION("""COMPUTED_VALUE"""),"C++")</f>
        <v>C++</v>
      </c>
      <c r="H1997" s="9" t="str">
        <f>IFERROR(__xludf.DUMMYFUNCTION("""COMPUTED_VALUE"""),"HTML/CSS")</f>
        <v>HTML/CSS</v>
      </c>
      <c r="I1997" s="9" t="str">
        <f>IFERROR(__xludf.DUMMYFUNCTION("""COMPUTED_VALUE"""),"HTML/CSS")</f>
        <v>HTML/CSS</v>
      </c>
      <c r="J1997" s="9" t="str">
        <f>IFERROR(__xludf.DUMMYFUNCTION("""COMPUTED_VALUE"""),"C")</f>
        <v>C</v>
      </c>
      <c r="K1997" s="9" t="str">
        <f>IFERROR(__xludf.DUMMYFUNCTION("""COMPUTED_VALUE"""),"HTML/CSS")</f>
        <v>HTML/CSS</v>
      </c>
      <c r="L1997" s="9" t="str">
        <f>IFERROR(__xludf.DUMMYFUNCTION("""COMPUTED_VALUE"""),"Python")</f>
        <v>Python</v>
      </c>
      <c r="M1997" s="9" t="s">
        <v>27</v>
      </c>
    </row>
    <row r="1998" ht="15.75" customHeight="1">
      <c r="A1998" s="7"/>
      <c r="B1998" s="7" t="str">
        <f>IFERROR(__xludf.DUMMYFUNCTION("""COMPUTED_VALUE"""),"C;C++;HTML/CSS;Java;JavaScript;Python;R")</f>
        <v>C;C++;HTML/CSS;Java;JavaScript;Python;R</v>
      </c>
      <c r="C1998" s="9" t="str">
        <f>IFERROR(__xludf.DUMMYFUNCTION("""COMPUTED_VALUE"""),"TypeScript")</f>
        <v>TypeScript</v>
      </c>
      <c r="D1998" s="9" t="str">
        <f>IFERROR(__xludf.DUMMYFUNCTION("""COMPUTED_VALUE"""),"Python")</f>
        <v>Python</v>
      </c>
      <c r="E1998" s="9" t="str">
        <f>IFERROR(__xludf.DUMMYFUNCTION("""COMPUTED_VALUE"""),"Bash/Shell/PowerShell")</f>
        <v>Bash/Shell/PowerShell</v>
      </c>
      <c r="F1998" s="9" t="str">
        <f>IFERROR(__xludf.DUMMYFUNCTION("""COMPUTED_VALUE"""),"C")</f>
        <v>C</v>
      </c>
      <c r="G1998" s="9" t="str">
        <f>IFERROR(__xludf.DUMMYFUNCTION("""COMPUTED_VALUE"""),"C#")</f>
        <v>C#</v>
      </c>
      <c r="H1998" s="9" t="str">
        <f>IFERROR(__xludf.DUMMYFUNCTION("""COMPUTED_VALUE"""),"Java")</f>
        <v>Java</v>
      </c>
      <c r="I1998" s="9" t="str">
        <f>IFERROR(__xludf.DUMMYFUNCTION("""COMPUTED_VALUE"""),"JavaScript")</f>
        <v>JavaScript</v>
      </c>
      <c r="J1998" s="9" t="str">
        <f>IFERROR(__xludf.DUMMYFUNCTION("""COMPUTED_VALUE"""),"Java")</f>
        <v>Java</v>
      </c>
      <c r="K1998" s="9" t="str">
        <f>IFERROR(__xludf.DUMMYFUNCTION("""COMPUTED_VALUE"""),"JavaScript")</f>
        <v>JavaScript</v>
      </c>
      <c r="L1998" s="9" t="str">
        <f>IFERROR(__xludf.DUMMYFUNCTION("""COMPUTED_VALUE"""),"R")</f>
        <v>R</v>
      </c>
      <c r="M1998" s="9" t="s">
        <v>33</v>
      </c>
    </row>
    <row r="1999" ht="15.75" customHeight="1">
      <c r="A1999" s="7"/>
      <c r="B1999" s="7" t="str">
        <f>IFERROR(__xludf.DUMMYFUNCTION("""COMPUTED_VALUE"""),"Bash/Shell/PowerShell;Java")</f>
        <v>Bash/Shell/PowerShell;Java</v>
      </c>
      <c r="C1999" s="9" t="str">
        <f>IFERROR(__xludf.DUMMYFUNCTION("""COMPUTED_VALUE"""),"C")</f>
        <v>C</v>
      </c>
      <c r="D1999" s="9" t="str">
        <f>IFERROR(__xludf.DUMMYFUNCTION("""COMPUTED_VALUE"""),"Scala")</f>
        <v>Scala</v>
      </c>
      <c r="E1999" s="9" t="str">
        <f>IFERROR(__xludf.DUMMYFUNCTION("""COMPUTED_VALUE"""),"HTML/CSS")</f>
        <v>HTML/CSS</v>
      </c>
      <c r="F1999" s="9" t="str">
        <f>IFERROR(__xludf.DUMMYFUNCTION("""COMPUTED_VALUE"""),"Ruby")</f>
        <v>Ruby</v>
      </c>
      <c r="G1999" s="9" t="str">
        <f>IFERROR(__xludf.DUMMYFUNCTION("""COMPUTED_VALUE"""),"HTML/CSS")</f>
        <v>HTML/CSS</v>
      </c>
      <c r="H1999" s="9" t="str">
        <f>IFERROR(__xludf.DUMMYFUNCTION("""COMPUTED_VALUE"""),"JavaScript")</f>
        <v>JavaScript</v>
      </c>
      <c r="I1999" s="9" t="str">
        <f>IFERROR(__xludf.DUMMYFUNCTION("""COMPUTED_VALUE"""),"Python")</f>
        <v>Python</v>
      </c>
      <c r="J1999" s="9" t="str">
        <f>IFERROR(__xludf.DUMMYFUNCTION("""COMPUTED_VALUE"""),"JavaScript")</f>
        <v>JavaScript</v>
      </c>
      <c r="K1999" s="9" t="str">
        <f>IFERROR(__xludf.DUMMYFUNCTION("""COMPUTED_VALUE"""),"Other(s):")</f>
        <v>Other(s):</v>
      </c>
      <c r="L1999" s="9" t="str">
        <f>IFERROR(__xludf.DUMMYFUNCTION("""COMPUTED_VALUE"""),"SQL")</f>
        <v>SQL</v>
      </c>
      <c r="M1999" s="9" t="s">
        <v>25</v>
      </c>
    </row>
    <row r="2000" ht="15.75" customHeight="1">
      <c r="A2000" s="7"/>
      <c r="B2000" s="7" t="str">
        <f>IFERROR(__xludf.DUMMYFUNCTION("""COMPUTED_VALUE"""),"HTML/CSS;Java;JavaScript;Kotlin;Python;Rust;Swift;TypeScript")</f>
        <v>HTML/CSS;Java;JavaScript;Kotlin;Python;Rust;Swift;TypeScript</v>
      </c>
      <c r="C2000" s="9" t="str">
        <f>IFERROR(__xludf.DUMMYFUNCTION("""COMPUTED_VALUE"""),"C++")</f>
        <v>C++</v>
      </c>
      <c r="D2000" s="9" t="str">
        <f>IFERROR(__xludf.DUMMYFUNCTION("""COMPUTED_VALUE"""),"Bash/Shell/PowerShell")</f>
        <v>Bash/Shell/PowerShell</v>
      </c>
      <c r="E2000" s="9" t="str">
        <f>IFERROR(__xludf.DUMMYFUNCTION("""COMPUTED_VALUE"""),"Java")</f>
        <v>Java</v>
      </c>
      <c r="F2000" s="9" t="str">
        <f>IFERROR(__xludf.DUMMYFUNCTION("""COMPUTED_VALUE"""),"SQL")</f>
        <v>SQL</v>
      </c>
      <c r="G2000" s="9" t="str">
        <f>IFERROR(__xludf.DUMMYFUNCTION("""COMPUTED_VALUE"""),"Java")</f>
        <v>Java</v>
      </c>
      <c r="H2000" s="9" t="str">
        <f>IFERROR(__xludf.DUMMYFUNCTION("""COMPUTED_VALUE"""),"Other(s):")</f>
        <v>Other(s):</v>
      </c>
      <c r="I2000" s="9" t="str">
        <f>IFERROR(__xludf.DUMMYFUNCTION("""COMPUTED_VALUE"""),"SQL")</f>
        <v>SQL</v>
      </c>
      <c r="J2000" s="9" t="str">
        <f>IFERROR(__xludf.DUMMYFUNCTION("""COMPUTED_VALUE"""),"PHP")</f>
        <v>PHP</v>
      </c>
      <c r="K2000" s="9" t="str">
        <f>IFERROR(__xludf.DUMMYFUNCTION("""COMPUTED_VALUE"""),"PHP")</f>
        <v>PHP</v>
      </c>
      <c r="L2000" s="9" t="str">
        <f>IFERROR(__xludf.DUMMYFUNCTION("""COMPUTED_VALUE"""),"Swift")</f>
        <v>Swift</v>
      </c>
      <c r="M2000" s="9" t="s">
        <v>23</v>
      </c>
    </row>
    <row r="2001" ht="15.75" customHeight="1">
      <c r="A2001" s="7"/>
      <c r="B2001" s="7" t="str">
        <f>IFERROR(__xludf.DUMMYFUNCTION("""COMPUTED_VALUE"""),"C#;HTML/CSS;SQL")</f>
        <v>C#;HTML/CSS;SQL</v>
      </c>
      <c r="C2001" s="9" t="str">
        <f>IFERROR(__xludf.DUMMYFUNCTION("""COMPUTED_VALUE"""),"HTML/CSS")</f>
        <v>HTML/CSS</v>
      </c>
      <c r="D2001" s="9" t="str">
        <f>IFERROR(__xludf.DUMMYFUNCTION("""COMPUTED_VALUE"""),"HTML/CSS")</f>
        <v>HTML/CSS</v>
      </c>
      <c r="E2001" s="9" t="str">
        <f>IFERROR(__xludf.DUMMYFUNCTION("""COMPUTED_VALUE"""),"JavaScript")</f>
        <v>JavaScript</v>
      </c>
      <c r="F2001" s="9" t="str">
        <f>IFERROR(__xludf.DUMMYFUNCTION("""COMPUTED_VALUE"""),"C++")</f>
        <v>C++</v>
      </c>
      <c r="G2001" s="9" t="str">
        <f>IFERROR(__xludf.DUMMYFUNCTION("""COMPUTED_VALUE"""),"JavaScript")</f>
        <v>JavaScript</v>
      </c>
      <c r="H2001" s="9" t="str">
        <f>IFERROR(__xludf.DUMMYFUNCTION("""COMPUTED_VALUE"""),"Bash/Shell/PowerShell")</f>
        <v>Bash/Shell/PowerShell</v>
      </c>
      <c r="I2001" s="9" t="str">
        <f>IFERROR(__xludf.DUMMYFUNCTION("""COMPUTED_VALUE"""),"C#")</f>
        <v>C#</v>
      </c>
      <c r="J2001" s="9" t="str">
        <f>IFERROR(__xludf.DUMMYFUNCTION("""COMPUTED_VALUE"""),"Python")</f>
        <v>Python</v>
      </c>
      <c r="K2001" s="9" t="str">
        <f>IFERROR(__xludf.DUMMYFUNCTION("""COMPUTED_VALUE"""),"Ruby")</f>
        <v>Ruby</v>
      </c>
      <c r="L2001" s="9" t="str">
        <f>IFERROR(__xludf.DUMMYFUNCTION("""COMPUTED_VALUE"""),"C#")</f>
        <v>C#</v>
      </c>
      <c r="M2001" s="9" t="s">
        <v>24</v>
      </c>
    </row>
    <row r="2002" ht="15.75" customHeight="1">
      <c r="A2002" s="7"/>
      <c r="B2002" s="7" t="str">
        <f>IFERROR(__xludf.DUMMYFUNCTION("""COMPUTED_VALUE"""),"Bash/Shell/PowerShell;C#;HTML/CSS;JavaScript;SQL;VBA")</f>
        <v>Bash/Shell/PowerShell;C#;HTML/CSS;JavaScript;SQL;VBA</v>
      </c>
      <c r="C2002" s="9" t="str">
        <f>IFERROR(__xludf.DUMMYFUNCTION("""COMPUTED_VALUE"""),"Java")</f>
        <v>Java</v>
      </c>
      <c r="D2002" s="9" t="str">
        <f>IFERROR(__xludf.DUMMYFUNCTION("""COMPUTED_VALUE"""),"JavaScript")</f>
        <v>JavaScript</v>
      </c>
      <c r="E2002" s="9" t="str">
        <f>IFERROR(__xludf.DUMMYFUNCTION("""COMPUTED_VALUE"""),"SQL")</f>
        <v>SQL</v>
      </c>
      <c r="F2002" s="9" t="str">
        <f>IFERROR(__xludf.DUMMYFUNCTION("""COMPUTED_VALUE"""),"HTML/CSS")</f>
        <v>HTML/CSS</v>
      </c>
      <c r="G2002" s="9" t="str">
        <f>IFERROR(__xludf.DUMMYFUNCTION("""COMPUTED_VALUE"""),"Python")</f>
        <v>Python</v>
      </c>
      <c r="H2002" s="9" t="str">
        <f>IFERROR(__xludf.DUMMYFUNCTION("""COMPUTED_VALUE"""),"Elixir")</f>
        <v>Elixir</v>
      </c>
      <c r="I2002" s="9" t="str">
        <f>IFERROR(__xludf.DUMMYFUNCTION("""COMPUTED_VALUE"""),"HTML/CSS")</f>
        <v>HTML/CSS</v>
      </c>
      <c r="J2002" s="9" t="str">
        <f>IFERROR(__xludf.DUMMYFUNCTION("""COMPUTED_VALUE"""),"R")</f>
        <v>R</v>
      </c>
      <c r="K2002" s="9" t="str">
        <f>IFERROR(__xludf.DUMMYFUNCTION("""COMPUTED_VALUE"""),"SQL")</f>
        <v>SQL</v>
      </c>
      <c r="L2002" s="9" t="str">
        <f>IFERROR(__xludf.DUMMYFUNCTION("""COMPUTED_VALUE"""),"Java")</f>
        <v>Java</v>
      </c>
      <c r="M2002" s="9" t="s">
        <v>20</v>
      </c>
    </row>
    <row r="2003" ht="15.75" customHeight="1">
      <c r="A2003" s="7"/>
      <c r="B2003" s="7" t="str">
        <f>IFERROR(__xludf.DUMMYFUNCTION("""COMPUTED_VALUE"""),"C#;HTML/CSS;Java;JavaScript;SQL;Other(s):")</f>
        <v>C#;HTML/CSS;Java;JavaScript;SQL;Other(s):</v>
      </c>
      <c r="C2003" s="9" t="str">
        <f>IFERROR(__xludf.DUMMYFUNCTION("""COMPUTED_VALUE"""),"JavaScript")</f>
        <v>JavaScript</v>
      </c>
      <c r="D2003" s="9" t="str">
        <f>IFERROR(__xludf.DUMMYFUNCTION("""COMPUTED_VALUE"""),"Python")</f>
        <v>Python</v>
      </c>
      <c r="E2003" s="9" t="str">
        <f>IFERROR(__xludf.DUMMYFUNCTION("""COMPUTED_VALUE"""),"TypeScript")</f>
        <v>TypeScript</v>
      </c>
      <c r="F2003" s="9" t="str">
        <f>IFERROR(__xludf.DUMMYFUNCTION("""COMPUTED_VALUE"""),"JavaScript")</f>
        <v>JavaScript</v>
      </c>
      <c r="G2003" s="9" t="str">
        <f>IFERROR(__xludf.DUMMYFUNCTION("""COMPUTED_VALUE"""),"SQL")</f>
        <v>SQL</v>
      </c>
      <c r="H2003" s="9" t="str">
        <f>IFERROR(__xludf.DUMMYFUNCTION("""COMPUTED_VALUE"""),"HTML/CSS")</f>
        <v>HTML/CSS</v>
      </c>
      <c r="I2003" s="9" t="str">
        <f>IFERROR(__xludf.DUMMYFUNCTION("""COMPUTED_VALUE"""),"JavaScript")</f>
        <v>JavaScript</v>
      </c>
      <c r="J2003" s="9" t="str">
        <f>IFERROR(__xludf.DUMMYFUNCTION("""COMPUTED_VALUE"""),"SQL")</f>
        <v>SQL</v>
      </c>
      <c r="K2003" s="9" t="str">
        <f>IFERROR(__xludf.DUMMYFUNCTION("""COMPUTED_VALUE"""),"JavaScript")</f>
        <v>JavaScript</v>
      </c>
      <c r="L2003" s="9" t="str">
        <f>IFERROR(__xludf.DUMMYFUNCTION("""COMPUTED_VALUE"""),"JavaScript")</f>
        <v>JavaScript</v>
      </c>
      <c r="M2003" s="9" t="s">
        <v>21</v>
      </c>
    </row>
    <row r="2004" ht="15.75" customHeight="1">
      <c r="A2004" s="7"/>
      <c r="B2004" s="7" t="str">
        <f>IFERROR(__xludf.DUMMYFUNCTION("""COMPUTED_VALUE"""),"C#;HTML/CSS;JavaScript;PHP;SQL;Other(s):")</f>
        <v>C#;HTML/CSS;JavaScript;PHP;SQL;Other(s):</v>
      </c>
      <c r="C2004" s="9" t="str">
        <f>IFERROR(__xludf.DUMMYFUNCTION("""COMPUTED_VALUE"""),"Python")</f>
        <v>Python</v>
      </c>
      <c r="D2004" s="9" t="str">
        <f>IFERROR(__xludf.DUMMYFUNCTION("""COMPUTED_VALUE"""),"SQL")</f>
        <v>SQL</v>
      </c>
      <c r="E2004" s="9" t="str">
        <f>IFERROR(__xludf.DUMMYFUNCTION("""COMPUTED_VALUE"""),"HTML/CSS")</f>
        <v>HTML/CSS</v>
      </c>
      <c r="F2004" s="9" t="str">
        <f>IFERROR(__xludf.DUMMYFUNCTION("""COMPUTED_VALUE"""),"Bash/Shell/PowerShell")</f>
        <v>Bash/Shell/PowerShell</v>
      </c>
      <c r="G2004" s="9" t="str">
        <f>IFERROR(__xludf.DUMMYFUNCTION("""COMPUTED_VALUE"""),"VBA")</f>
        <v>VBA</v>
      </c>
      <c r="H2004" s="9" t="str">
        <f>IFERROR(__xludf.DUMMYFUNCTION("""COMPUTED_VALUE"""),"JavaScript")</f>
        <v>JavaScript</v>
      </c>
      <c r="I2004" s="9" t="str">
        <f>IFERROR(__xludf.DUMMYFUNCTION("""COMPUTED_VALUE"""),"Objective-C")</f>
        <v>Objective-C</v>
      </c>
      <c r="J2004" s="9" t="str">
        <f>IFERROR(__xludf.DUMMYFUNCTION("""COMPUTED_VALUE"""),"HTML/CSS")</f>
        <v>HTML/CSS</v>
      </c>
      <c r="K2004" s="9" t="str">
        <f>IFERROR(__xludf.DUMMYFUNCTION("""COMPUTED_VALUE"""),"SQL")</f>
        <v>SQL</v>
      </c>
      <c r="L2004" s="9" t="str">
        <f>IFERROR(__xludf.DUMMYFUNCTION("""COMPUTED_VALUE"""),"TypeScript")</f>
        <v>TypeScript</v>
      </c>
      <c r="M2004" s="9" t="s">
        <v>22</v>
      </c>
    </row>
    <row r="2005" ht="15.75" customHeight="1">
      <c r="A2005" s="7"/>
      <c r="B2005" s="7" t="str">
        <f>IFERROR(__xludf.DUMMYFUNCTION("""COMPUTED_VALUE"""),"Objective-C;Swift")</f>
        <v>Objective-C;Swift</v>
      </c>
      <c r="C2005" s="9" t="str">
        <f>IFERROR(__xludf.DUMMYFUNCTION("""COMPUTED_VALUE"""),"SQL")</f>
        <v>SQL</v>
      </c>
      <c r="D2005" s="9" t="str">
        <f>IFERROR(__xludf.DUMMYFUNCTION("""COMPUTED_VALUE"""),"Elixir")</f>
        <v>Elixir</v>
      </c>
      <c r="E2005" s="9" t="str">
        <f>IFERROR(__xludf.DUMMYFUNCTION("""COMPUTED_VALUE"""),"Java")</f>
        <v>Java</v>
      </c>
      <c r="F2005" s="9" t="str">
        <f>IFERROR(__xludf.DUMMYFUNCTION("""COMPUTED_VALUE"""),"HTML/CSS")</f>
        <v>HTML/CSS</v>
      </c>
      <c r="G2005" s="9" t="str">
        <f>IFERROR(__xludf.DUMMYFUNCTION("""COMPUTED_VALUE"""),"Bash/Shell/PowerShell")</f>
        <v>Bash/Shell/PowerShell</v>
      </c>
      <c r="H2005" s="9" t="str">
        <f>IFERROR(__xludf.DUMMYFUNCTION("""COMPUTED_VALUE"""),"SQL")</f>
        <v>SQL</v>
      </c>
      <c r="I2005" s="9" t="str">
        <f>IFERROR(__xludf.DUMMYFUNCTION("""COMPUTED_VALUE"""),"Ruby")</f>
        <v>Ruby</v>
      </c>
      <c r="J2005" s="9" t="str">
        <f>IFERROR(__xludf.DUMMYFUNCTION("""COMPUTED_VALUE"""),"JavaScript")</f>
        <v>JavaScript</v>
      </c>
      <c r="K2005" s="9" t="str">
        <f>IFERROR(__xludf.DUMMYFUNCTION("""COMPUTED_VALUE"""),"TypeScript")</f>
        <v>TypeScript</v>
      </c>
      <c r="L2005" s="9" t="str">
        <f>IFERROR(__xludf.DUMMYFUNCTION("""COMPUTED_VALUE"""),"C#")</f>
        <v>C#</v>
      </c>
      <c r="M2005" s="9" t="s">
        <v>27</v>
      </c>
    </row>
    <row r="2006" ht="15.75" customHeight="1">
      <c r="A2006" s="7"/>
      <c r="B2006" s="7" t="str">
        <f>IFERROR(__xludf.DUMMYFUNCTION("""COMPUTED_VALUE"""),"Bash/Shell/PowerShell;C;Clojure;Java;Python;Rust;Scala;SQL")</f>
        <v>Bash/Shell/PowerShell;C;Clojure;Java;Python;Rust;Scala;SQL</v>
      </c>
      <c r="C2006" s="9" t="str">
        <f>IFERROR(__xludf.DUMMYFUNCTION("""COMPUTED_VALUE"""),"Assembly")</f>
        <v>Assembly</v>
      </c>
      <c r="D2006" s="9" t="str">
        <f>IFERROR(__xludf.DUMMYFUNCTION("""COMPUTED_VALUE"""),"HTML/CSS")</f>
        <v>HTML/CSS</v>
      </c>
      <c r="E2006" s="9" t="str">
        <f>IFERROR(__xludf.DUMMYFUNCTION("""COMPUTED_VALUE"""),"JavaScript")</f>
        <v>JavaScript</v>
      </c>
      <c r="F2006" s="9" t="str">
        <f>IFERROR(__xludf.DUMMYFUNCTION("""COMPUTED_VALUE"""),"Java")</f>
        <v>Java</v>
      </c>
      <c r="G2006" s="9" t="str">
        <f>IFERROR(__xludf.DUMMYFUNCTION("""COMPUTED_VALUE"""),"HTML/CSS")</f>
        <v>HTML/CSS</v>
      </c>
      <c r="H2006" s="9" t="str">
        <f>IFERROR(__xludf.DUMMYFUNCTION("""COMPUTED_VALUE"""),"TypeScript")</f>
        <v>TypeScript</v>
      </c>
      <c r="I2006" s="9" t="str">
        <f>IFERROR(__xludf.DUMMYFUNCTION("""COMPUTED_VALUE"""),"SQL")</f>
        <v>SQL</v>
      </c>
      <c r="J2006" s="9" t="str">
        <f>IFERROR(__xludf.DUMMYFUNCTION("""COMPUTED_VALUE"""),"TypeScript")</f>
        <v>TypeScript</v>
      </c>
      <c r="K2006" s="9" t="str">
        <f>IFERROR(__xludf.DUMMYFUNCTION("""COMPUTED_VALUE"""),"Assembly")</f>
        <v>Assembly</v>
      </c>
      <c r="L2006" s="9" t="str">
        <f>IFERROR(__xludf.DUMMYFUNCTION("""COMPUTED_VALUE"""),"HTML/CSS")</f>
        <v>HTML/CSS</v>
      </c>
      <c r="M2006" s="9" t="s">
        <v>38</v>
      </c>
    </row>
    <row r="2007" ht="15.75" customHeight="1">
      <c r="A2007" s="7"/>
      <c r="B2007" s="7" t="str">
        <f>IFERROR(__xludf.DUMMYFUNCTION("""COMPUTED_VALUE"""),"C#;Java;PHP;Python")</f>
        <v>C#;Java;PHP;Python</v>
      </c>
      <c r="C2007" s="9" t="str">
        <f>IFERROR(__xludf.DUMMYFUNCTION("""COMPUTED_VALUE"""),"Bash/Shell/PowerShell")</f>
        <v>Bash/Shell/PowerShell</v>
      </c>
      <c r="D2007" s="9" t="str">
        <f>IFERROR(__xludf.DUMMYFUNCTION("""COMPUTED_VALUE"""),"JavaScript")</f>
        <v>JavaScript</v>
      </c>
      <c r="E2007" s="9" t="str">
        <f>IFERROR(__xludf.DUMMYFUNCTION("""COMPUTED_VALUE"""),"Python")</f>
        <v>Python</v>
      </c>
      <c r="F2007" s="9" t="str">
        <f>IFERROR(__xludf.DUMMYFUNCTION("""COMPUTED_VALUE"""),"JavaScript")</f>
        <v>JavaScript</v>
      </c>
      <c r="G2007" s="9" t="str">
        <f>IFERROR(__xludf.DUMMYFUNCTION("""COMPUTED_VALUE"""),"JavaScript")</f>
        <v>JavaScript</v>
      </c>
      <c r="H2007" s="9" t="str">
        <f>IFERROR(__xludf.DUMMYFUNCTION("""COMPUTED_VALUE"""),"C#")</f>
        <v>C#</v>
      </c>
      <c r="I2007" s="9" t="str">
        <f>IFERROR(__xludf.DUMMYFUNCTION("""COMPUTED_VALUE"""),"Java")</f>
        <v>Java</v>
      </c>
      <c r="J2007" s="9" t="str">
        <f>IFERROR(__xludf.DUMMYFUNCTION("""COMPUTED_VALUE"""),"C++")</f>
        <v>C++</v>
      </c>
      <c r="K2007" s="9" t="str">
        <f>IFERROR(__xludf.DUMMYFUNCTION("""COMPUTED_VALUE"""),"Bash/Shell/PowerShell")</f>
        <v>Bash/Shell/PowerShell</v>
      </c>
      <c r="L2007" s="9" t="str">
        <f>IFERROR(__xludf.DUMMYFUNCTION("""COMPUTED_VALUE"""),"JavaScript")</f>
        <v>JavaScript</v>
      </c>
      <c r="M2007" s="9" t="s">
        <v>30</v>
      </c>
    </row>
    <row r="2008" ht="15.75" customHeight="1">
      <c r="A2008" s="7"/>
      <c r="B2008" s="7" t="str">
        <f>IFERROR(__xludf.DUMMYFUNCTION("""COMPUTED_VALUE"""),"Dart;HTML/CSS;Java;JavaScript")</f>
        <v>Dart;HTML/CSS;Java;JavaScript</v>
      </c>
      <c r="C2008" s="9" t="str">
        <f>IFERROR(__xludf.DUMMYFUNCTION("""COMPUTED_VALUE"""),"C")</f>
        <v>C</v>
      </c>
      <c r="D2008" s="9" t="str">
        <f>IFERROR(__xludf.DUMMYFUNCTION("""COMPUTED_VALUE"""),"Ruby")</f>
        <v>Ruby</v>
      </c>
      <c r="E2008" s="9" t="str">
        <f>IFERROR(__xludf.DUMMYFUNCTION("""COMPUTED_VALUE"""),"HTML/CSS")</f>
        <v>HTML/CSS</v>
      </c>
      <c r="F2008" s="9" t="str">
        <f>IFERROR(__xludf.DUMMYFUNCTION("""COMPUTED_VALUE"""),"Python")</f>
        <v>Python</v>
      </c>
      <c r="G2008" s="9" t="str">
        <f>IFERROR(__xludf.DUMMYFUNCTION("""COMPUTED_VALUE"""),"PHP")</f>
        <v>PHP</v>
      </c>
      <c r="H2008" s="9" t="str">
        <f>IFERROR(__xludf.DUMMYFUNCTION("""COMPUTED_VALUE"""),"HTML/CSS")</f>
        <v>HTML/CSS</v>
      </c>
      <c r="I2008" s="9" t="str">
        <f>IFERROR(__xludf.DUMMYFUNCTION("""COMPUTED_VALUE"""),"HTML/CSS")</f>
        <v>HTML/CSS</v>
      </c>
      <c r="J2008" s="9" t="str">
        <f>IFERROR(__xludf.DUMMYFUNCTION("""COMPUTED_VALUE"""),"Python")</f>
        <v>Python</v>
      </c>
      <c r="K2008" s="9" t="str">
        <f>IFERROR(__xludf.DUMMYFUNCTION("""COMPUTED_VALUE"""),"C")</f>
        <v>C</v>
      </c>
      <c r="L2008" s="9" t="str">
        <f>IFERROR(__xludf.DUMMYFUNCTION("""COMPUTED_VALUE"""),"PHP")</f>
        <v>PHP</v>
      </c>
      <c r="M2008" s="9" t="s">
        <v>25</v>
      </c>
    </row>
    <row r="2009" ht="15.75" customHeight="1">
      <c r="A2009" s="7"/>
      <c r="B2009" s="7" t="str">
        <f>IFERROR(__xludf.DUMMYFUNCTION("""COMPUTED_VALUE"""),"HTML/CSS;JavaScript;Python;SQL")</f>
        <v>HTML/CSS;JavaScript;Python;SQL</v>
      </c>
      <c r="C2009" s="9" t="str">
        <f>IFERROR(__xludf.DUMMYFUNCTION("""COMPUTED_VALUE"""),"C++")</f>
        <v>C++</v>
      </c>
      <c r="D2009" s="9" t="str">
        <f>IFERROR(__xludf.DUMMYFUNCTION("""COMPUTED_VALUE"""),"SQL")</f>
        <v>SQL</v>
      </c>
      <c r="E2009" s="9" t="str">
        <f>IFERROR(__xludf.DUMMYFUNCTION("""COMPUTED_VALUE"""),"JavaScript")</f>
        <v>JavaScript</v>
      </c>
      <c r="F2009" s="9" t="str">
        <f>IFERROR(__xludf.DUMMYFUNCTION("""COMPUTED_VALUE"""),"Rust")</f>
        <v>Rust</v>
      </c>
      <c r="G2009" s="9" t="str">
        <f>IFERROR(__xludf.DUMMYFUNCTION("""COMPUTED_VALUE"""),"Python")</f>
        <v>Python</v>
      </c>
      <c r="H2009" s="9" t="str">
        <f>IFERROR(__xludf.DUMMYFUNCTION("""COMPUTED_VALUE"""),"JavaScript")</f>
        <v>JavaScript</v>
      </c>
      <c r="I2009" s="9" t="str">
        <f>IFERROR(__xludf.DUMMYFUNCTION("""COMPUTED_VALUE"""),"JavaScript")</f>
        <v>JavaScript</v>
      </c>
      <c r="J2009" s="9" t="str">
        <f>IFERROR(__xludf.DUMMYFUNCTION("""COMPUTED_VALUE"""),"Other(s):")</f>
        <v>Other(s):</v>
      </c>
      <c r="K2009" s="9" t="str">
        <f>IFERROR(__xludf.DUMMYFUNCTION("""COMPUTED_VALUE"""),"C++")</f>
        <v>C++</v>
      </c>
      <c r="L2009" s="9" t="str">
        <f>IFERROR(__xludf.DUMMYFUNCTION("""COMPUTED_VALUE"""),"SQL")</f>
        <v>SQL</v>
      </c>
      <c r="M2009" s="9" t="s">
        <v>23</v>
      </c>
    </row>
    <row r="2010" ht="15.75" customHeight="1">
      <c r="A2010" s="7"/>
      <c r="B2010" s="7" t="str">
        <f>IFERROR(__xludf.DUMMYFUNCTION("""COMPUTED_VALUE"""),"Assembly;Bash/Shell/PowerShell;C++")</f>
        <v>Assembly;Bash/Shell/PowerShell;C++</v>
      </c>
      <c r="C2010" s="9" t="str">
        <f>IFERROR(__xludf.DUMMYFUNCTION("""COMPUTED_VALUE"""),"Go")</f>
        <v>Go</v>
      </c>
      <c r="D2010" s="9" t="str">
        <f>IFERROR(__xludf.DUMMYFUNCTION("""COMPUTED_VALUE"""),"Bash/Shell/PowerShell")</f>
        <v>Bash/Shell/PowerShell</v>
      </c>
      <c r="E2010" s="9" t="str">
        <f>IFERROR(__xludf.DUMMYFUNCTION("""COMPUTED_VALUE"""),"PHP")</f>
        <v>PHP</v>
      </c>
      <c r="F2010" s="9" t="str">
        <f>IFERROR(__xludf.DUMMYFUNCTION("""COMPUTED_VALUE"""),"SQL")</f>
        <v>SQL</v>
      </c>
      <c r="G2010" s="9" t="str">
        <f>IFERROR(__xludf.DUMMYFUNCTION("""COMPUTED_VALUE"""),"SQL")</f>
        <v>SQL</v>
      </c>
      <c r="H2010" s="9" t="str">
        <f>IFERROR(__xludf.DUMMYFUNCTION("""COMPUTED_VALUE"""),"SQL")</f>
        <v>SQL</v>
      </c>
      <c r="I2010" s="9" t="str">
        <f>IFERROR(__xludf.DUMMYFUNCTION("""COMPUTED_VALUE"""),"Python")</f>
        <v>Python</v>
      </c>
      <c r="J2010" s="9" t="str">
        <f>IFERROR(__xludf.DUMMYFUNCTION("""COMPUTED_VALUE"""),"Bash/Shell/PowerShell")</f>
        <v>Bash/Shell/PowerShell</v>
      </c>
      <c r="K2010" s="9" t="str">
        <f>IFERROR(__xludf.DUMMYFUNCTION("""COMPUTED_VALUE"""),"C#")</f>
        <v>C#</v>
      </c>
      <c r="L2010" s="9" t="str">
        <f>IFERROR(__xludf.DUMMYFUNCTION("""COMPUTED_VALUE"""),"HTML/CSS")</f>
        <v>HTML/CSS</v>
      </c>
      <c r="M2010" s="9" t="s">
        <v>36</v>
      </c>
    </row>
    <row r="2011" ht="15.75" customHeight="1">
      <c r="A2011" s="7"/>
      <c r="B2011" s="7" t="str">
        <f>IFERROR(__xludf.DUMMYFUNCTION("""COMPUTED_VALUE"""),"C++;C#;HTML/CSS;Python")</f>
        <v>C++;C#;HTML/CSS;Python</v>
      </c>
      <c r="C2011" s="9" t="str">
        <f>IFERROR(__xludf.DUMMYFUNCTION("""COMPUTED_VALUE"""),"HTML/CSS")</f>
        <v>HTML/CSS</v>
      </c>
      <c r="D2011" s="9" t="str">
        <f>IFERROR(__xludf.DUMMYFUNCTION("""COMPUTED_VALUE"""),"HTML/CSS")</f>
        <v>HTML/CSS</v>
      </c>
      <c r="E2011" s="9" t="str">
        <f>IFERROR(__xludf.DUMMYFUNCTION("""COMPUTED_VALUE"""),"Bash/Shell/PowerShell")</f>
        <v>Bash/Shell/PowerShell</v>
      </c>
      <c r="F2011" s="9" t="str">
        <f>IFERROR(__xludf.DUMMYFUNCTION("""COMPUTED_VALUE"""),"TypeScript")</f>
        <v>TypeScript</v>
      </c>
      <c r="G2011" s="9" t="str">
        <f>IFERROR(__xludf.DUMMYFUNCTION("""COMPUTED_VALUE"""),"HTML/CSS")</f>
        <v>HTML/CSS</v>
      </c>
      <c r="H2011" s="9" t="str">
        <f>IFERROR(__xludf.DUMMYFUNCTION("""COMPUTED_VALUE"""),"TypeScript")</f>
        <v>TypeScript</v>
      </c>
      <c r="I2011" s="9" t="str">
        <f>IFERROR(__xludf.DUMMYFUNCTION("""COMPUTED_VALUE"""),"HTML/CSS")</f>
        <v>HTML/CSS</v>
      </c>
      <c r="J2011" s="9" t="str">
        <f>IFERROR(__xludf.DUMMYFUNCTION("""COMPUTED_VALUE"""),"HTML/CSS")</f>
        <v>HTML/CSS</v>
      </c>
      <c r="K2011" s="9" t="str">
        <f>IFERROR(__xludf.DUMMYFUNCTION("""COMPUTED_VALUE"""),"Java")</f>
        <v>Java</v>
      </c>
      <c r="L2011" s="9" t="str">
        <f>IFERROR(__xludf.DUMMYFUNCTION("""COMPUTED_VALUE"""),"Java")</f>
        <v>Java</v>
      </c>
      <c r="M2011" s="9" t="s">
        <v>24</v>
      </c>
    </row>
    <row r="2012" ht="15.75" customHeight="1">
      <c r="A2012" s="7"/>
      <c r="B2012" s="7" t="str">
        <f>IFERROR(__xludf.DUMMYFUNCTION("""COMPUTED_VALUE"""),"Bash/Shell/PowerShell;C#;HTML/CSS;Java;JavaScript;PHP;SQL")</f>
        <v>Bash/Shell/PowerShell;C#;HTML/CSS;Java;JavaScript;PHP;SQL</v>
      </c>
      <c r="C2012" s="9" t="str">
        <f>IFERROR(__xludf.DUMMYFUNCTION("""COMPUTED_VALUE"""),"Java")</f>
        <v>Java</v>
      </c>
      <c r="D2012" s="9" t="str">
        <f>IFERROR(__xludf.DUMMYFUNCTION("""COMPUTED_VALUE"""),"JavaScript")</f>
        <v>JavaScript</v>
      </c>
      <c r="E2012" s="9" t="str">
        <f>IFERROR(__xludf.DUMMYFUNCTION("""COMPUTED_VALUE"""),"Python")</f>
        <v>Python</v>
      </c>
      <c r="F2012" s="9" t="str">
        <f>IFERROR(__xludf.DUMMYFUNCTION("""COMPUTED_VALUE"""),"Other(s):")</f>
        <v>Other(s):</v>
      </c>
      <c r="G2012" s="9" t="str">
        <f>IFERROR(__xludf.DUMMYFUNCTION("""COMPUTED_VALUE"""),"Java")</f>
        <v>Java</v>
      </c>
      <c r="H2012" s="9" t="str">
        <f>IFERROR(__xludf.DUMMYFUNCTION("""COMPUTED_VALUE"""),"Bash/Shell/PowerShell")</f>
        <v>Bash/Shell/PowerShell</v>
      </c>
      <c r="I2012" s="9" t="str">
        <f>IFERROR(__xludf.DUMMYFUNCTION("""COMPUTED_VALUE"""),"JavaScript")</f>
        <v>JavaScript</v>
      </c>
      <c r="J2012" s="9" t="str">
        <f>IFERROR(__xludf.DUMMYFUNCTION("""COMPUTED_VALUE"""),"Java")</f>
        <v>Java</v>
      </c>
      <c r="K2012" s="9" t="str">
        <f>IFERROR(__xludf.DUMMYFUNCTION("""COMPUTED_VALUE"""),"JavaScript")</f>
        <v>JavaScript</v>
      </c>
      <c r="L2012" s="9" t="str">
        <f>IFERROR(__xludf.DUMMYFUNCTION("""COMPUTED_VALUE"""),"JavaScript")</f>
        <v>JavaScript</v>
      </c>
      <c r="M2012" s="9" t="s">
        <v>20</v>
      </c>
    </row>
    <row r="2013" ht="15.75" customHeight="1">
      <c r="A2013" s="7"/>
      <c r="B2013" s="7" t="str">
        <f>IFERROR(__xludf.DUMMYFUNCTION("""COMPUTED_VALUE"""),"Java;Python")</f>
        <v>Java;Python</v>
      </c>
      <c r="C2013" s="9" t="str">
        <f>IFERROR(__xludf.DUMMYFUNCTION("""COMPUTED_VALUE"""),"JavaScript")</f>
        <v>JavaScript</v>
      </c>
      <c r="D2013" s="9" t="str">
        <f>IFERROR(__xludf.DUMMYFUNCTION("""COMPUTED_VALUE"""),"PHP")</f>
        <v>PHP</v>
      </c>
      <c r="E2013" s="9" t="str">
        <f>IFERROR(__xludf.DUMMYFUNCTION("""COMPUTED_VALUE"""),"Bash/Shell/PowerShell")</f>
        <v>Bash/Shell/PowerShell</v>
      </c>
      <c r="F2013" s="9" t="str">
        <f>IFERROR(__xludf.DUMMYFUNCTION("""COMPUTED_VALUE"""),"C")</f>
        <v>C</v>
      </c>
      <c r="G2013" s="9" t="str">
        <f>IFERROR(__xludf.DUMMYFUNCTION("""COMPUTED_VALUE"""),"JavaScript")</f>
        <v>JavaScript</v>
      </c>
      <c r="H2013" s="9" t="str">
        <f>IFERROR(__xludf.DUMMYFUNCTION("""COMPUTED_VALUE"""),"C")</f>
        <v>C</v>
      </c>
      <c r="I2013" s="9" t="str">
        <f>IFERROR(__xludf.DUMMYFUNCTION("""COMPUTED_VALUE"""),"PHP")</f>
        <v>PHP</v>
      </c>
      <c r="J2013" s="9" t="str">
        <f>IFERROR(__xludf.DUMMYFUNCTION("""COMPUTED_VALUE"""),"Python")</f>
        <v>Python</v>
      </c>
      <c r="K2013" s="9" t="str">
        <f>IFERROR(__xludf.DUMMYFUNCTION("""COMPUTED_VALUE"""),"PHP")</f>
        <v>PHP</v>
      </c>
      <c r="L2013" s="9" t="str">
        <f>IFERROR(__xludf.DUMMYFUNCTION("""COMPUTED_VALUE"""),"SQL")</f>
        <v>SQL</v>
      </c>
      <c r="M2013" s="9" t="s">
        <v>21</v>
      </c>
    </row>
    <row r="2014" ht="15.75" customHeight="1">
      <c r="A2014" s="7"/>
      <c r="B2014" s="7" t="str">
        <f>IFERROR(__xludf.DUMMYFUNCTION("""COMPUTED_VALUE"""),"C;C++;C#;Go")</f>
        <v>C;C++;C#;Go</v>
      </c>
      <c r="C2014" s="9" t="str">
        <f>IFERROR(__xludf.DUMMYFUNCTION("""COMPUTED_VALUE"""),"Python")</f>
        <v>Python</v>
      </c>
      <c r="D2014" s="9" t="str">
        <f>IFERROR(__xludf.DUMMYFUNCTION("""COMPUTED_VALUE"""),"SQL")</f>
        <v>SQL</v>
      </c>
      <c r="E2014" s="9" t="str">
        <f>IFERROR(__xludf.DUMMYFUNCTION("""COMPUTED_VALUE"""),"HTML/CSS")</f>
        <v>HTML/CSS</v>
      </c>
      <c r="F2014" s="9" t="str">
        <f>IFERROR(__xludf.DUMMYFUNCTION("""COMPUTED_VALUE"""),"C++")</f>
        <v>C++</v>
      </c>
      <c r="G2014" s="9" t="str">
        <f>IFERROR(__xludf.DUMMYFUNCTION("""COMPUTED_VALUE"""),"PHP")</f>
        <v>PHP</v>
      </c>
      <c r="H2014" s="9" t="str">
        <f>IFERROR(__xludf.DUMMYFUNCTION("""COMPUTED_VALUE"""),"Go")</f>
        <v>Go</v>
      </c>
      <c r="I2014" s="9" t="str">
        <f>IFERROR(__xludf.DUMMYFUNCTION("""COMPUTED_VALUE"""),"SQL")</f>
        <v>SQL</v>
      </c>
      <c r="J2014" s="9" t="str">
        <f>IFERROR(__xludf.DUMMYFUNCTION("""COMPUTED_VALUE"""),"Swift")</f>
        <v>Swift</v>
      </c>
      <c r="K2014" s="9" t="str">
        <f>IFERROR(__xludf.DUMMYFUNCTION("""COMPUTED_VALUE"""),"SQL")</f>
        <v>SQL</v>
      </c>
      <c r="L2014" s="9" t="str">
        <f>IFERROR(__xludf.DUMMYFUNCTION("""COMPUTED_VALUE"""),"TypeScript")</f>
        <v>TypeScript</v>
      </c>
      <c r="M2014" s="9" t="s">
        <v>22</v>
      </c>
    </row>
    <row r="2015" ht="15.75" customHeight="1">
      <c r="A2015" s="7"/>
      <c r="B2015" s="7" t="str">
        <f>IFERROR(__xludf.DUMMYFUNCTION("""COMPUTED_VALUE"""),"C#;SQL;Other(s):")</f>
        <v>C#;SQL;Other(s):</v>
      </c>
      <c r="C2015" s="9" t="str">
        <f>IFERROR(__xludf.DUMMYFUNCTION("""COMPUTED_VALUE"""),"R")</f>
        <v>R</v>
      </c>
      <c r="D2015" s="9" t="str">
        <f>IFERROR(__xludf.DUMMYFUNCTION("""COMPUTED_VALUE"""),"TypeScript")</f>
        <v>TypeScript</v>
      </c>
      <c r="E2015" s="9" t="str">
        <f>IFERROR(__xludf.DUMMYFUNCTION("""COMPUTED_VALUE"""),"Java")</f>
        <v>Java</v>
      </c>
      <c r="F2015" s="9" t="str">
        <f>IFERROR(__xludf.DUMMYFUNCTION("""COMPUTED_VALUE"""),"Rust")</f>
        <v>Rust</v>
      </c>
      <c r="G2015" s="9" t="str">
        <f>IFERROR(__xludf.DUMMYFUNCTION("""COMPUTED_VALUE"""),"SQL")</f>
        <v>SQL</v>
      </c>
      <c r="H2015" s="9" t="str">
        <f>IFERROR(__xludf.DUMMYFUNCTION("""COMPUTED_VALUE"""),"HTML/CSS")</f>
        <v>HTML/CSS</v>
      </c>
      <c r="I2015" s="9" t="str">
        <f>IFERROR(__xludf.DUMMYFUNCTION("""COMPUTED_VALUE"""),"C#")</f>
        <v>C#</v>
      </c>
      <c r="J2015" s="9" t="str">
        <f>IFERROR(__xludf.DUMMYFUNCTION("""COMPUTED_VALUE"""),"Bash/Shell/PowerShell")</f>
        <v>Bash/Shell/PowerShell</v>
      </c>
      <c r="K2015" s="9" t="str">
        <f>IFERROR(__xludf.DUMMYFUNCTION("""COMPUTED_VALUE"""),"HTML/CSS")</f>
        <v>HTML/CSS</v>
      </c>
      <c r="L2015" s="9" t="str">
        <f>IFERROR(__xludf.DUMMYFUNCTION("""COMPUTED_VALUE"""),"Bash/Shell/PowerShell")</f>
        <v>Bash/Shell/PowerShell</v>
      </c>
      <c r="M2015" s="9" t="s">
        <v>29</v>
      </c>
    </row>
    <row r="2016" ht="15.75" customHeight="1">
      <c r="A2016" s="7"/>
      <c r="B2016" s="7" t="str">
        <f>IFERROR(__xludf.DUMMYFUNCTION("""COMPUTED_VALUE"""),"C#;HTML/CSS;JavaScript;SQL")</f>
        <v>C#;HTML/CSS;JavaScript;SQL</v>
      </c>
      <c r="C2016" s="9" t="str">
        <f>IFERROR(__xludf.DUMMYFUNCTION("""COMPUTED_VALUE"""),"Rust")</f>
        <v>Rust</v>
      </c>
      <c r="D2016" s="9" t="str">
        <f>IFERROR(__xludf.DUMMYFUNCTION("""COMPUTED_VALUE"""),"Bash/Shell/PowerShell")</f>
        <v>Bash/Shell/PowerShell</v>
      </c>
      <c r="E2016" s="9" t="str">
        <f>IFERROR(__xludf.DUMMYFUNCTION("""COMPUTED_VALUE"""),"Ruby")</f>
        <v>Ruby</v>
      </c>
      <c r="F2016" s="9" t="str">
        <f>IFERROR(__xludf.DUMMYFUNCTION("""COMPUTED_VALUE"""),"Other(s):")</f>
        <v>Other(s):</v>
      </c>
      <c r="G2016" s="9" t="str">
        <f>IFERROR(__xludf.DUMMYFUNCTION("""COMPUTED_VALUE"""),"Java")</f>
        <v>Java</v>
      </c>
      <c r="H2016" s="9" t="str">
        <f>IFERROR(__xludf.DUMMYFUNCTION("""COMPUTED_VALUE"""),"Java")</f>
        <v>Java</v>
      </c>
      <c r="I2016" s="9" t="str">
        <f>IFERROR(__xludf.DUMMYFUNCTION("""COMPUTED_VALUE"""),"HTML/CSS")</f>
        <v>HTML/CSS</v>
      </c>
      <c r="J2016" s="9" t="str">
        <f>IFERROR(__xludf.DUMMYFUNCTION("""COMPUTED_VALUE"""),"C")</f>
        <v>C</v>
      </c>
      <c r="K2016" s="9" t="str">
        <f>IFERROR(__xludf.DUMMYFUNCTION("""COMPUTED_VALUE"""),"JavaScript")</f>
        <v>JavaScript</v>
      </c>
      <c r="L2016" s="9" t="str">
        <f>IFERROR(__xludf.DUMMYFUNCTION("""COMPUTED_VALUE"""),"Elixir")</f>
        <v>Elixir</v>
      </c>
      <c r="M2016" s="9" t="s">
        <v>32</v>
      </c>
    </row>
    <row r="2017" ht="15.75" customHeight="1">
      <c r="A2017" s="7"/>
      <c r="B2017" s="7" t="str">
        <f>IFERROR(__xludf.DUMMYFUNCTION("""COMPUTED_VALUE"""),"Bash/Shell/PowerShell;C++;Go;HTML/CSS;Java;JavaScript;PHP;SQL")</f>
        <v>Bash/Shell/PowerShell;C++;Go;HTML/CSS;Java;JavaScript;PHP;SQL</v>
      </c>
      <c r="C2017" s="9" t="str">
        <f>IFERROR(__xludf.DUMMYFUNCTION("""COMPUTED_VALUE"""),"SQL")</f>
        <v>SQL</v>
      </c>
      <c r="D2017" s="9" t="str">
        <f>IFERROR(__xludf.DUMMYFUNCTION("""COMPUTED_VALUE"""),"HTML/CSS")</f>
        <v>HTML/CSS</v>
      </c>
      <c r="E2017" s="9" t="str">
        <f>IFERROR(__xludf.DUMMYFUNCTION("""COMPUTED_VALUE"""),"SQL")</f>
        <v>SQL</v>
      </c>
      <c r="F2017" s="9" t="str">
        <f>IFERROR(__xludf.DUMMYFUNCTION("""COMPUTED_VALUE"""),"Bash/Shell/PowerShell")</f>
        <v>Bash/Shell/PowerShell</v>
      </c>
      <c r="G2017" s="9" t="str">
        <f>IFERROR(__xludf.DUMMYFUNCTION("""COMPUTED_VALUE"""),"PHP")</f>
        <v>PHP</v>
      </c>
      <c r="H2017" s="9" t="str">
        <f>IFERROR(__xludf.DUMMYFUNCTION("""COMPUTED_VALUE"""),"JavaScript")</f>
        <v>JavaScript</v>
      </c>
      <c r="I2017" s="9" t="str">
        <f>IFERROR(__xludf.DUMMYFUNCTION("""COMPUTED_VALUE"""),"Java")</f>
        <v>Java</v>
      </c>
      <c r="J2017" s="9" t="str">
        <f>IFERROR(__xludf.DUMMYFUNCTION("""COMPUTED_VALUE"""),"C++")</f>
        <v>C++</v>
      </c>
      <c r="K2017" s="9" t="str">
        <f>IFERROR(__xludf.DUMMYFUNCTION("""COMPUTED_VALUE"""),"PHP")</f>
        <v>PHP</v>
      </c>
      <c r="L2017" s="9" t="str">
        <f>IFERROR(__xludf.DUMMYFUNCTION("""COMPUTED_VALUE"""),"HTML/CSS")</f>
        <v>HTML/CSS</v>
      </c>
      <c r="M2017" s="9" t="s">
        <v>27</v>
      </c>
    </row>
    <row r="2018" ht="15.75" customHeight="1">
      <c r="A2018" s="7"/>
      <c r="B2018" s="7" t="str">
        <f>IFERROR(__xludf.DUMMYFUNCTION("""COMPUTED_VALUE"""),"Bash/Shell/PowerShell;HTML/CSS;JavaScript;Python;SQL")</f>
        <v>Bash/Shell/PowerShell;HTML/CSS;JavaScript;Python;SQL</v>
      </c>
      <c r="C2018" s="9" t="str">
        <f>IFERROR(__xludf.DUMMYFUNCTION("""COMPUTED_VALUE"""),"TypeScript")</f>
        <v>TypeScript</v>
      </c>
      <c r="D2018" s="9" t="str">
        <f>IFERROR(__xludf.DUMMYFUNCTION("""COMPUTED_VALUE"""),"Java")</f>
        <v>Java</v>
      </c>
      <c r="E2018" s="9" t="str">
        <f>IFERROR(__xludf.DUMMYFUNCTION("""COMPUTED_VALUE"""),"HTML/CSS")</f>
        <v>HTML/CSS</v>
      </c>
      <c r="F2018" s="9" t="str">
        <f>IFERROR(__xludf.DUMMYFUNCTION("""COMPUTED_VALUE"""),"C#")</f>
        <v>C#</v>
      </c>
      <c r="G2018" s="9" t="str">
        <f>IFERROR(__xludf.DUMMYFUNCTION("""COMPUTED_VALUE"""),"Python")</f>
        <v>Python</v>
      </c>
      <c r="H2018" s="9" t="str">
        <f>IFERROR(__xludf.DUMMYFUNCTION("""COMPUTED_VALUE"""),"Python")</f>
        <v>Python</v>
      </c>
      <c r="I2018" s="9" t="str">
        <f>IFERROR(__xludf.DUMMYFUNCTION("""COMPUTED_VALUE"""),"JavaScript")</f>
        <v>JavaScript</v>
      </c>
      <c r="J2018" s="9" t="str">
        <f>IFERROR(__xludf.DUMMYFUNCTION("""COMPUTED_VALUE"""),"C++")</f>
        <v>C++</v>
      </c>
      <c r="K2018" s="9" t="str">
        <f>IFERROR(__xludf.DUMMYFUNCTION("""COMPUTED_VALUE"""),"SQL")</f>
        <v>SQL</v>
      </c>
      <c r="L2018" s="9" t="str">
        <f>IFERROR(__xludf.DUMMYFUNCTION("""COMPUTED_VALUE"""),"JavaScript")</f>
        <v>JavaScript</v>
      </c>
      <c r="M2018" s="9" t="s">
        <v>33</v>
      </c>
    </row>
    <row r="2019" ht="15.75" customHeight="1">
      <c r="A2019" s="7"/>
      <c r="B2019" s="7" t="str">
        <f>IFERROR(__xludf.DUMMYFUNCTION("""COMPUTED_VALUE"""),"C++;C#")</f>
        <v>C++;C#</v>
      </c>
      <c r="C2019" s="9" t="str">
        <f>IFERROR(__xludf.DUMMYFUNCTION("""COMPUTED_VALUE"""),"WebAssembly")</f>
        <v>WebAssembly</v>
      </c>
      <c r="D2019" s="9" t="str">
        <f>IFERROR(__xludf.DUMMYFUNCTION("""COMPUTED_VALUE"""),"JavaScript")</f>
        <v>JavaScript</v>
      </c>
      <c r="E2019" s="9" t="str">
        <f>IFERROR(__xludf.DUMMYFUNCTION("""COMPUTED_VALUE"""),"JavaScript")</f>
        <v>JavaScript</v>
      </c>
      <c r="F2019" s="9" t="str">
        <f>IFERROR(__xludf.DUMMYFUNCTION("""COMPUTED_VALUE"""),"HTML/CSS")</f>
        <v>HTML/CSS</v>
      </c>
      <c r="G2019" s="9" t="str">
        <f>IFERROR(__xludf.DUMMYFUNCTION("""COMPUTED_VALUE"""),"R")</f>
        <v>R</v>
      </c>
      <c r="H2019" s="9" t="str">
        <f>IFERROR(__xludf.DUMMYFUNCTION("""COMPUTED_VALUE"""),"Bash/Shell/PowerShell")</f>
        <v>Bash/Shell/PowerShell</v>
      </c>
      <c r="I2019" s="9" t="str">
        <f>IFERROR(__xludf.DUMMYFUNCTION("""COMPUTED_VALUE"""),"Kotlin")</f>
        <v>Kotlin</v>
      </c>
      <c r="J2019" s="9" t="str">
        <f>IFERROR(__xludf.DUMMYFUNCTION("""COMPUTED_VALUE"""),"C#")</f>
        <v>C#</v>
      </c>
      <c r="K2019" s="9" t="str">
        <f>IFERROR(__xludf.DUMMYFUNCTION("""COMPUTED_VALUE"""),"VBA")</f>
        <v>VBA</v>
      </c>
      <c r="L2019" s="9" t="str">
        <f>IFERROR(__xludf.DUMMYFUNCTION("""COMPUTED_VALUE"""),"Objective-C")</f>
        <v>Objective-C</v>
      </c>
      <c r="M2019" s="9" t="s">
        <v>34</v>
      </c>
    </row>
    <row r="2020" ht="15.75" customHeight="1">
      <c r="A2020" s="7"/>
      <c r="B2020" s="7" t="str">
        <f>IFERROR(__xludf.DUMMYFUNCTION("""COMPUTED_VALUE"""),"JavaScript;TypeScript")</f>
        <v>JavaScript;TypeScript</v>
      </c>
      <c r="C2020" s="9" t="str">
        <f>IFERROR(__xludf.DUMMYFUNCTION("""COMPUTED_VALUE"""),"Bash/Shell/PowerShell")</f>
        <v>Bash/Shell/PowerShell</v>
      </c>
      <c r="D2020" s="9" t="str">
        <f>IFERROR(__xludf.DUMMYFUNCTION("""COMPUTED_VALUE"""),"Python")</f>
        <v>Python</v>
      </c>
      <c r="E2020" s="9" t="str">
        <f>IFERROR(__xludf.DUMMYFUNCTION("""COMPUTED_VALUE"""),"SQL")</f>
        <v>SQL</v>
      </c>
      <c r="F2020" s="9" t="str">
        <f>IFERROR(__xludf.DUMMYFUNCTION("""COMPUTED_VALUE"""),"Java")</f>
        <v>Java</v>
      </c>
      <c r="G2020" s="9" t="str">
        <f>IFERROR(__xludf.DUMMYFUNCTION("""COMPUTED_VALUE"""),"SQL")</f>
        <v>SQL</v>
      </c>
      <c r="H2020" s="9" t="str">
        <f>IFERROR(__xludf.DUMMYFUNCTION("""COMPUTED_VALUE"""),"Java")</f>
        <v>Java</v>
      </c>
      <c r="I2020" s="9" t="str">
        <f>IFERROR(__xludf.DUMMYFUNCTION("""COMPUTED_VALUE"""),"Python")</f>
        <v>Python</v>
      </c>
      <c r="J2020" s="9" t="str">
        <f>IFERROR(__xludf.DUMMYFUNCTION("""COMPUTED_VALUE"""),"Python")</f>
        <v>Python</v>
      </c>
      <c r="K2020" s="9" t="str">
        <f>IFERROR(__xludf.DUMMYFUNCTION("""COMPUTED_VALUE"""),"C#")</f>
        <v>C#</v>
      </c>
      <c r="L2020" s="9" t="str">
        <f>IFERROR(__xludf.DUMMYFUNCTION("""COMPUTED_VALUE"""),"Ruby")</f>
        <v>Ruby</v>
      </c>
      <c r="M2020" s="9" t="s">
        <v>30</v>
      </c>
    </row>
    <row r="2021" ht="15.75" customHeight="1">
      <c r="A2021" s="7"/>
      <c r="B2021" s="7" t="str">
        <f>IFERROR(__xludf.DUMMYFUNCTION("""COMPUTED_VALUE"""),"Bash/Shell/PowerShell;C;C++;C#;Java;JavaScript;PHP;Python;SQL")</f>
        <v>Bash/Shell/PowerShell;C;C++;C#;Java;JavaScript;PHP;Python;SQL</v>
      </c>
      <c r="C2021" s="9" t="str">
        <f>IFERROR(__xludf.DUMMYFUNCTION("""COMPUTED_VALUE"""),"C#")</f>
        <v>C#</v>
      </c>
      <c r="D2021" s="9" t="str">
        <f>IFERROR(__xludf.DUMMYFUNCTION("""COMPUTED_VALUE"""),"C")</f>
        <v>C</v>
      </c>
      <c r="E2021" s="9" t="str">
        <f>IFERROR(__xludf.DUMMYFUNCTION("""COMPUTED_VALUE"""),"C")</f>
        <v>C</v>
      </c>
      <c r="F2021" s="9" t="str">
        <f>IFERROR(__xludf.DUMMYFUNCTION("""COMPUTED_VALUE"""),"JavaScript")</f>
        <v>JavaScript</v>
      </c>
      <c r="G2021" s="9" t="str">
        <f>IFERROR(__xludf.DUMMYFUNCTION("""COMPUTED_VALUE"""),"Python")</f>
        <v>Python</v>
      </c>
      <c r="H2021" s="9" t="str">
        <f>IFERROR(__xludf.DUMMYFUNCTION("""COMPUTED_VALUE"""),"Scala")</f>
        <v>Scala</v>
      </c>
      <c r="I2021" s="9" t="str">
        <f>IFERROR(__xludf.DUMMYFUNCTION("""COMPUTED_VALUE"""),"Scala")</f>
        <v>Scala</v>
      </c>
      <c r="J2021" s="9" t="str">
        <f>IFERROR(__xludf.DUMMYFUNCTION("""COMPUTED_VALUE"""),"Ruby")</f>
        <v>Ruby</v>
      </c>
      <c r="K2021" s="9" t="str">
        <f>IFERROR(__xludf.DUMMYFUNCTION("""COMPUTED_VALUE"""),"Java")</f>
        <v>Java</v>
      </c>
      <c r="L2021" s="9" t="str">
        <f>IFERROR(__xludf.DUMMYFUNCTION("""COMPUTED_VALUE"""),"SQL")</f>
        <v>SQL</v>
      </c>
      <c r="M2021" s="9" t="s">
        <v>26</v>
      </c>
    </row>
    <row r="2022" ht="15.75" customHeight="1">
      <c r="A2022" s="7"/>
      <c r="B2022" s="7" t="str">
        <f>IFERROR(__xludf.DUMMYFUNCTION("""COMPUTED_VALUE"""),"Bash/Shell/PowerShell;Java;JavaScript;Python;SQL")</f>
        <v>Bash/Shell/PowerShell;Java;JavaScript;Python;SQL</v>
      </c>
      <c r="C2022" s="9" t="str">
        <f>IFERROR(__xludf.DUMMYFUNCTION("""COMPUTED_VALUE"""),"Go")</f>
        <v>Go</v>
      </c>
      <c r="D2022" s="9" t="str">
        <f>IFERROR(__xludf.DUMMYFUNCTION("""COMPUTED_VALUE"""),"C++")</f>
        <v>C++</v>
      </c>
      <c r="E2022" s="9" t="str">
        <f>IFERROR(__xludf.DUMMYFUNCTION("""COMPUTED_VALUE"""),"C++")</f>
        <v>C++</v>
      </c>
      <c r="F2022" s="9" t="str">
        <f>IFERROR(__xludf.DUMMYFUNCTION("""COMPUTED_VALUE"""),"PHP")</f>
        <v>PHP</v>
      </c>
      <c r="G2022" s="9" t="str">
        <f>IFERROR(__xludf.DUMMYFUNCTION("""COMPUTED_VALUE"""),"Bash/Shell/PowerShell")</f>
        <v>Bash/Shell/PowerShell</v>
      </c>
      <c r="H2022" s="9" t="str">
        <f>IFERROR(__xludf.DUMMYFUNCTION("""COMPUTED_VALUE"""),"SQL")</f>
        <v>SQL</v>
      </c>
      <c r="I2022" s="9" t="str">
        <f>IFERROR(__xludf.DUMMYFUNCTION("""COMPUTED_VALUE"""),"SQL")</f>
        <v>SQL</v>
      </c>
      <c r="J2022" s="9" t="str">
        <f>IFERROR(__xludf.DUMMYFUNCTION("""COMPUTED_VALUE"""),"C#")</f>
        <v>C#</v>
      </c>
      <c r="K2022" s="9" t="str">
        <f>IFERROR(__xludf.DUMMYFUNCTION("""COMPUTED_VALUE"""),"HTML/CSS")</f>
        <v>HTML/CSS</v>
      </c>
      <c r="L2022" s="9" t="str">
        <f>IFERROR(__xludf.DUMMYFUNCTION("""COMPUTED_VALUE"""),"TypeScript")</f>
        <v>TypeScript</v>
      </c>
      <c r="M2022" s="9" t="s">
        <v>36</v>
      </c>
    </row>
    <row r="2023" ht="15.75" customHeight="1">
      <c r="A2023" s="7"/>
      <c r="B2023" s="7" t="str">
        <f>IFERROR(__xludf.DUMMYFUNCTION("""COMPUTED_VALUE"""),"Bash/Shell/PowerShell;HTML/CSS;JavaScript;SQL;Swift")</f>
        <v>Bash/Shell/PowerShell;HTML/CSS;JavaScript;SQL;Swift</v>
      </c>
      <c r="C2023" s="9" t="str">
        <f>IFERROR(__xludf.DUMMYFUNCTION("""COMPUTED_VALUE"""),"HTML/CSS")</f>
        <v>HTML/CSS</v>
      </c>
      <c r="D2023" s="9" t="str">
        <f>IFERROR(__xludf.DUMMYFUNCTION("""COMPUTED_VALUE"""),"Java")</f>
        <v>Java</v>
      </c>
      <c r="E2023" s="9" t="str">
        <f>IFERROR(__xludf.DUMMYFUNCTION("""COMPUTED_VALUE"""),"HTML/CSS")</f>
        <v>HTML/CSS</v>
      </c>
      <c r="F2023" s="9" t="str">
        <f>IFERROR(__xludf.DUMMYFUNCTION("""COMPUTED_VALUE"""),"SQL")</f>
        <v>SQL</v>
      </c>
      <c r="G2023" s="9" t="str">
        <f>IFERROR(__xludf.DUMMYFUNCTION("""COMPUTED_VALUE"""),"C++")</f>
        <v>C++</v>
      </c>
      <c r="H2023" s="9" t="str">
        <f>IFERROR(__xludf.DUMMYFUNCTION("""COMPUTED_VALUE"""),"F#")</f>
        <v>F#</v>
      </c>
      <c r="I2023" s="9" t="str">
        <f>IFERROR(__xludf.DUMMYFUNCTION("""COMPUTED_VALUE"""),"C#")</f>
        <v>C#</v>
      </c>
      <c r="J2023" s="9" t="str">
        <f>IFERROR(__xludf.DUMMYFUNCTION("""COMPUTED_VALUE"""),"Go")</f>
        <v>Go</v>
      </c>
      <c r="K2023" s="9" t="str">
        <f>IFERROR(__xludf.DUMMYFUNCTION("""COMPUTED_VALUE"""),"JavaScript")</f>
        <v>JavaScript</v>
      </c>
      <c r="L2023" s="9" t="str">
        <f>IFERROR(__xludf.DUMMYFUNCTION("""COMPUTED_VALUE"""),"Other(s):")</f>
        <v>Other(s):</v>
      </c>
      <c r="M2023" s="9" t="s">
        <v>24</v>
      </c>
    </row>
    <row r="2024" ht="15.75" customHeight="1">
      <c r="A2024" s="7"/>
      <c r="B2024" s="7" t="str">
        <f>IFERROR(__xludf.DUMMYFUNCTION("""COMPUTED_VALUE"""),"JavaScript;PHP")</f>
        <v>JavaScript;PHP</v>
      </c>
      <c r="C2024" s="9" t="str">
        <f>IFERROR(__xludf.DUMMYFUNCTION("""COMPUTED_VALUE"""),"JavaScript")</f>
        <v>JavaScript</v>
      </c>
      <c r="D2024" s="9" t="str">
        <f>IFERROR(__xludf.DUMMYFUNCTION("""COMPUTED_VALUE"""),"SQL")</f>
        <v>SQL</v>
      </c>
      <c r="E2024" s="9" t="str">
        <f>IFERROR(__xludf.DUMMYFUNCTION("""COMPUTED_VALUE"""),"Java")</f>
        <v>Java</v>
      </c>
      <c r="F2024" s="9" t="str">
        <f>IFERROR(__xludf.DUMMYFUNCTION("""COMPUTED_VALUE"""),"Bash/Shell/PowerShell")</f>
        <v>Bash/Shell/PowerShell</v>
      </c>
      <c r="G2024" s="9" t="str">
        <f>IFERROR(__xludf.DUMMYFUNCTION("""COMPUTED_VALUE"""),"HTML/CSS")</f>
        <v>HTML/CSS</v>
      </c>
      <c r="H2024" s="9" t="str">
        <f>IFERROR(__xludf.DUMMYFUNCTION("""COMPUTED_VALUE"""),"Python")</f>
        <v>Python</v>
      </c>
      <c r="I2024" s="9" t="str">
        <f>IFERROR(__xludf.DUMMYFUNCTION("""COMPUTED_VALUE"""),"HTML/CSS")</f>
        <v>HTML/CSS</v>
      </c>
      <c r="J2024" s="9" t="str">
        <f>IFERROR(__xludf.DUMMYFUNCTION("""COMPUTED_VALUE"""),"Python")</f>
        <v>Python</v>
      </c>
      <c r="K2024" s="9" t="str">
        <f>IFERROR(__xludf.DUMMYFUNCTION("""COMPUTED_VALUE"""),"HTML/CSS")</f>
        <v>HTML/CSS</v>
      </c>
      <c r="L2024" s="9" t="str">
        <f>IFERROR(__xludf.DUMMYFUNCTION("""COMPUTED_VALUE"""),"Clojure")</f>
        <v>Clojure</v>
      </c>
      <c r="M2024" s="9" t="s">
        <v>21</v>
      </c>
    </row>
    <row r="2025" ht="15.75" customHeight="1">
      <c r="A2025" s="7"/>
      <c r="B2025" s="7" t="str">
        <f>IFERROR(__xludf.DUMMYFUNCTION("""COMPUTED_VALUE"""),"C#;HTML/CSS;Java;JavaScript;PHP;SQL")</f>
        <v>C#;HTML/CSS;Java;JavaScript;PHP;SQL</v>
      </c>
      <c r="C2025" s="9" t="str">
        <f>IFERROR(__xludf.DUMMYFUNCTION("""COMPUTED_VALUE"""),"PHP")</f>
        <v>PHP</v>
      </c>
      <c r="D2025" s="9" t="str">
        <f>IFERROR(__xludf.DUMMYFUNCTION("""COMPUTED_VALUE"""),"C#")</f>
        <v>C#</v>
      </c>
      <c r="E2025" s="9" t="str">
        <f>IFERROR(__xludf.DUMMYFUNCTION("""COMPUTED_VALUE"""),"JavaScript")</f>
        <v>JavaScript</v>
      </c>
      <c r="F2025" s="9" t="str">
        <f>IFERROR(__xludf.DUMMYFUNCTION("""COMPUTED_VALUE"""),"HTML/CSS")</f>
        <v>HTML/CSS</v>
      </c>
      <c r="G2025" s="9" t="str">
        <f>IFERROR(__xludf.DUMMYFUNCTION("""COMPUTED_VALUE"""),"Java")</f>
        <v>Java</v>
      </c>
      <c r="H2025" s="9" t="str">
        <f>IFERROR(__xludf.DUMMYFUNCTION("""COMPUTED_VALUE"""),"C++")</f>
        <v>C++</v>
      </c>
      <c r="I2025" s="9" t="str">
        <f>IFERROR(__xludf.DUMMYFUNCTION("""COMPUTED_VALUE"""),"Java")</f>
        <v>Java</v>
      </c>
      <c r="J2025" s="9" t="str">
        <f>IFERROR(__xludf.DUMMYFUNCTION("""COMPUTED_VALUE"""),"SQL")</f>
        <v>SQL</v>
      </c>
      <c r="K2025" s="9" t="str">
        <f>IFERROR(__xludf.DUMMYFUNCTION("""COMPUTED_VALUE"""),"JavaScript")</f>
        <v>JavaScript</v>
      </c>
      <c r="L2025" s="9" t="str">
        <f>IFERROR(__xludf.DUMMYFUNCTION("""COMPUTED_VALUE"""),"HTML/CSS")</f>
        <v>HTML/CSS</v>
      </c>
      <c r="M2025" s="9" t="s">
        <v>37</v>
      </c>
    </row>
    <row r="2026" ht="15.75" customHeight="1">
      <c r="A2026" s="7"/>
      <c r="B2026" s="7" t="str">
        <f>IFERROR(__xludf.DUMMYFUNCTION("""COMPUTED_VALUE"""),"Bash/Shell/PowerShell;HTML/CSS;Java;JavaScript;PHP;SQL;VBA")</f>
        <v>Bash/Shell/PowerShell;HTML/CSS;Java;JavaScript;PHP;SQL;VBA</v>
      </c>
      <c r="C2026" s="9" t="str">
        <f>IFERROR(__xludf.DUMMYFUNCTION("""COMPUTED_VALUE"""),"Bash/Shell/PowerShell")</f>
        <v>Bash/Shell/PowerShell</v>
      </c>
      <c r="D2026" s="9" t="str">
        <f>IFERROR(__xludf.DUMMYFUNCTION("""COMPUTED_VALUE"""),"HTML/CSS")</f>
        <v>HTML/CSS</v>
      </c>
      <c r="E2026" s="9" t="str">
        <f>IFERROR(__xludf.DUMMYFUNCTION("""COMPUTED_VALUE"""),"VBA")</f>
        <v>VBA</v>
      </c>
      <c r="F2026" s="9" t="str">
        <f>IFERROR(__xludf.DUMMYFUNCTION("""COMPUTED_VALUE"""),"JavaScript")</f>
        <v>JavaScript</v>
      </c>
      <c r="G2026" s="9" t="str">
        <f>IFERROR(__xludf.DUMMYFUNCTION("""COMPUTED_VALUE"""),"JavaScript")</f>
        <v>JavaScript</v>
      </c>
      <c r="H2026" s="9" t="str">
        <f>IFERROR(__xludf.DUMMYFUNCTION("""COMPUTED_VALUE"""),"HTML/CSS")</f>
        <v>HTML/CSS</v>
      </c>
      <c r="I2026" s="9" t="str">
        <f>IFERROR(__xludf.DUMMYFUNCTION("""COMPUTED_VALUE"""),"JavaScript")</f>
        <v>JavaScript</v>
      </c>
      <c r="J2026" s="9" t="str">
        <f>IFERROR(__xludf.DUMMYFUNCTION("""COMPUTED_VALUE"""),"C++")</f>
        <v>C++</v>
      </c>
      <c r="K2026" s="9" t="str">
        <f>IFERROR(__xludf.DUMMYFUNCTION("""COMPUTED_VALUE"""),"Python")</f>
        <v>Python</v>
      </c>
      <c r="L2026" s="9" t="str">
        <f>IFERROR(__xludf.DUMMYFUNCTION("""COMPUTED_VALUE"""),"Java")</f>
        <v>Java</v>
      </c>
      <c r="M2026" s="9" t="s">
        <v>30</v>
      </c>
    </row>
    <row r="2027" ht="15.75" customHeight="1">
      <c r="A2027" s="7"/>
      <c r="B2027" s="7" t="str">
        <f>IFERROR(__xludf.DUMMYFUNCTION("""COMPUTED_VALUE"""),"HTML/CSS;Java;JavaScript;TypeScript")</f>
        <v>HTML/CSS;Java;JavaScript;TypeScript</v>
      </c>
      <c r="C2027" s="9" t="str">
        <f>IFERROR(__xludf.DUMMYFUNCTION("""COMPUTED_VALUE"""),"C#")</f>
        <v>C#</v>
      </c>
      <c r="D2027" s="9" t="str">
        <f>IFERROR(__xludf.DUMMYFUNCTION("""COMPUTED_VALUE"""),"JavaScript")</f>
        <v>JavaScript</v>
      </c>
      <c r="E2027" s="9" t="str">
        <f>IFERROR(__xludf.DUMMYFUNCTION("""COMPUTED_VALUE"""),"HTML/CSS")</f>
        <v>HTML/CSS</v>
      </c>
      <c r="F2027" s="9" t="str">
        <f>IFERROR(__xludf.DUMMYFUNCTION("""COMPUTED_VALUE"""),"SQL")</f>
        <v>SQL</v>
      </c>
      <c r="G2027" s="9" t="str">
        <f>IFERROR(__xludf.DUMMYFUNCTION("""COMPUTED_VALUE"""),"PHP")</f>
        <v>PHP</v>
      </c>
      <c r="H2027" s="9" t="str">
        <f>IFERROR(__xludf.DUMMYFUNCTION("""COMPUTED_VALUE"""),"JavaScript")</f>
        <v>JavaScript</v>
      </c>
      <c r="I2027" s="9" t="str">
        <f>IFERROR(__xludf.DUMMYFUNCTION("""COMPUTED_VALUE"""),"Python")</f>
        <v>Python</v>
      </c>
      <c r="J2027" s="9" t="str">
        <f>IFERROR(__xludf.DUMMYFUNCTION("""COMPUTED_VALUE"""),"C#")</f>
        <v>C#</v>
      </c>
      <c r="K2027" s="9" t="str">
        <f>IFERROR(__xludf.DUMMYFUNCTION("""COMPUTED_VALUE"""),"TypeScript")</f>
        <v>TypeScript</v>
      </c>
      <c r="L2027" s="9" t="str">
        <f>IFERROR(__xludf.DUMMYFUNCTION("""COMPUTED_VALUE"""),"JavaScript")</f>
        <v>JavaScript</v>
      </c>
      <c r="M2027" s="9" t="s">
        <v>26</v>
      </c>
    </row>
    <row r="2028" ht="15.75" customHeight="1">
      <c r="A2028" s="7"/>
      <c r="B2028" s="7" t="str">
        <f>IFERROR(__xludf.DUMMYFUNCTION("""COMPUTED_VALUE"""),"Assembly;Bash/Shell/PowerShell;Java;JavaScript;Python;SQL")</f>
        <v>Assembly;Bash/Shell/PowerShell;Java;JavaScript;Python;SQL</v>
      </c>
      <c r="C2028" s="9" t="str">
        <f>IFERROR(__xludf.DUMMYFUNCTION("""COMPUTED_VALUE"""),"HTML/CSS")</f>
        <v>HTML/CSS</v>
      </c>
      <c r="D2028" s="9" t="str">
        <f>IFERROR(__xludf.DUMMYFUNCTION("""COMPUTED_VALUE"""),"PHP")</f>
        <v>PHP</v>
      </c>
      <c r="E2028" s="9" t="str">
        <f>IFERROR(__xludf.DUMMYFUNCTION("""COMPUTED_VALUE"""),"JavaScript")</f>
        <v>JavaScript</v>
      </c>
      <c r="F2028" s="9" t="str">
        <f>IFERROR(__xludf.DUMMYFUNCTION("""COMPUTED_VALUE"""),"C#")</f>
        <v>C#</v>
      </c>
      <c r="G2028" s="9" t="str">
        <f>IFERROR(__xludf.DUMMYFUNCTION("""COMPUTED_VALUE"""),"Python")</f>
        <v>Python</v>
      </c>
      <c r="H2028" s="9" t="str">
        <f>IFERROR(__xludf.DUMMYFUNCTION("""COMPUTED_VALUE"""),"Python")</f>
        <v>Python</v>
      </c>
      <c r="I2028" s="9" t="str">
        <f>IFERROR(__xludf.DUMMYFUNCTION("""COMPUTED_VALUE"""),"SQL")</f>
        <v>SQL</v>
      </c>
      <c r="J2028" s="9" t="str">
        <f>IFERROR(__xludf.DUMMYFUNCTION("""COMPUTED_VALUE"""),"HTML/CSS")</f>
        <v>HTML/CSS</v>
      </c>
      <c r="K2028" s="9" t="str">
        <f>IFERROR(__xludf.DUMMYFUNCTION("""COMPUTED_VALUE"""),"R")</f>
        <v>R</v>
      </c>
      <c r="L2028" s="9" t="str">
        <f>IFERROR(__xludf.DUMMYFUNCTION("""COMPUTED_VALUE"""),"Python")</f>
        <v>Python</v>
      </c>
      <c r="M2028" s="9" t="s">
        <v>24</v>
      </c>
    </row>
    <row r="2029" ht="15.75" customHeight="1">
      <c r="A2029" s="7"/>
      <c r="B2029" s="7" t="str">
        <f>IFERROR(__xludf.DUMMYFUNCTION("""COMPUTED_VALUE"""),"Java;JavaScript;SQL")</f>
        <v>Java;JavaScript;SQL</v>
      </c>
      <c r="C2029" s="9" t="str">
        <f>IFERROR(__xludf.DUMMYFUNCTION("""COMPUTED_VALUE"""),"JavaScript")</f>
        <v>JavaScript</v>
      </c>
      <c r="D2029" s="9" t="str">
        <f>IFERROR(__xludf.DUMMYFUNCTION("""COMPUTED_VALUE"""),"TypeScript")</f>
        <v>TypeScript</v>
      </c>
      <c r="E2029" s="9" t="str">
        <f>IFERROR(__xludf.DUMMYFUNCTION("""COMPUTED_VALUE"""),"TypeScript")</f>
        <v>TypeScript</v>
      </c>
      <c r="F2029" s="9" t="str">
        <f>IFERROR(__xludf.DUMMYFUNCTION("""COMPUTED_VALUE"""),"C")</f>
        <v>C</v>
      </c>
      <c r="G2029" s="9" t="str">
        <f>IFERROR(__xludf.DUMMYFUNCTION("""COMPUTED_VALUE"""),"Ruby")</f>
        <v>Ruby</v>
      </c>
      <c r="H2029" s="9" t="str">
        <f>IFERROR(__xludf.DUMMYFUNCTION("""COMPUTED_VALUE"""),"C#")</f>
        <v>C#</v>
      </c>
      <c r="I2029" s="9" t="str">
        <f>IFERROR(__xludf.DUMMYFUNCTION("""COMPUTED_VALUE"""),"HTML/CSS")</f>
        <v>HTML/CSS</v>
      </c>
      <c r="J2029" s="9" t="str">
        <f>IFERROR(__xludf.DUMMYFUNCTION("""COMPUTED_VALUE"""),"SQL")</f>
        <v>SQL</v>
      </c>
      <c r="K2029" s="9" t="str">
        <f>IFERROR(__xludf.DUMMYFUNCTION("""COMPUTED_VALUE"""),"Bash/Shell/PowerShell")</f>
        <v>Bash/Shell/PowerShell</v>
      </c>
      <c r="L2029" s="9" t="str">
        <f>IFERROR(__xludf.DUMMYFUNCTION("""COMPUTED_VALUE"""),"Java")</f>
        <v>Java</v>
      </c>
      <c r="M2029" s="9" t="s">
        <v>21</v>
      </c>
    </row>
    <row r="2030" ht="15.75" customHeight="1">
      <c r="A2030" s="7"/>
      <c r="B2030" s="7" t="str">
        <f>IFERROR(__xludf.DUMMYFUNCTION("""COMPUTED_VALUE"""),"C;C++;C#;HTML/CSS;Java;JavaScript;PHP;Python;SQL")</f>
        <v>C;C++;C#;HTML/CSS;Java;JavaScript;PHP;Python;SQL</v>
      </c>
      <c r="C2030" s="9" t="str">
        <f>IFERROR(__xludf.DUMMYFUNCTION("""COMPUTED_VALUE"""),"SQL")</f>
        <v>SQL</v>
      </c>
      <c r="D2030" s="9" t="str">
        <f>IFERROR(__xludf.DUMMYFUNCTION("""COMPUTED_VALUE"""),"Java")</f>
        <v>Java</v>
      </c>
      <c r="E2030" s="9" t="str">
        <f>IFERROR(__xludf.DUMMYFUNCTION("""COMPUTED_VALUE"""),"HTML/CSS")</f>
        <v>HTML/CSS</v>
      </c>
      <c r="F2030" s="9" t="str">
        <f>IFERROR(__xludf.DUMMYFUNCTION("""COMPUTED_VALUE"""),"C++")</f>
        <v>C++</v>
      </c>
      <c r="G2030" s="9" t="str">
        <f>IFERROR(__xludf.DUMMYFUNCTION("""COMPUTED_VALUE"""),"SQL")</f>
        <v>SQL</v>
      </c>
      <c r="H2030" s="9" t="str">
        <f>IFERROR(__xludf.DUMMYFUNCTION("""COMPUTED_VALUE"""),"HTML/CSS")</f>
        <v>HTML/CSS</v>
      </c>
      <c r="I2030" s="9" t="str">
        <f>IFERROR(__xludf.DUMMYFUNCTION("""COMPUTED_VALUE"""),"Java")</f>
        <v>Java</v>
      </c>
      <c r="J2030" s="9" t="str">
        <f>IFERROR(__xludf.DUMMYFUNCTION("""COMPUTED_VALUE"""),"TypeScript")</f>
        <v>TypeScript</v>
      </c>
      <c r="K2030" s="9" t="str">
        <f>IFERROR(__xludf.DUMMYFUNCTION("""COMPUTED_VALUE"""),"C#")</f>
        <v>C#</v>
      </c>
      <c r="L2030" s="9" t="str">
        <f>IFERROR(__xludf.DUMMYFUNCTION("""COMPUTED_VALUE"""),"JavaScript")</f>
        <v>JavaScript</v>
      </c>
      <c r="M2030" s="9" t="s">
        <v>27</v>
      </c>
    </row>
    <row r="2031" ht="15.75" customHeight="1">
      <c r="A2031" s="7"/>
      <c r="B2031" s="7" t="str">
        <f>IFERROR(__xludf.DUMMYFUNCTION("""COMPUTED_VALUE"""),"C#")</f>
        <v>C#</v>
      </c>
      <c r="C2031" s="9" t="str">
        <f>IFERROR(__xludf.DUMMYFUNCTION("""COMPUTED_VALUE"""),"C")</f>
        <v>C</v>
      </c>
      <c r="D2031" s="9" t="str">
        <f>IFERROR(__xludf.DUMMYFUNCTION("""COMPUTED_VALUE"""),"HTML/CSS")</f>
        <v>HTML/CSS</v>
      </c>
      <c r="E2031" s="9" t="str">
        <f>IFERROR(__xludf.DUMMYFUNCTION("""COMPUTED_VALUE"""),"Java")</f>
        <v>Java</v>
      </c>
      <c r="F2031" s="9" t="str">
        <f>IFERROR(__xludf.DUMMYFUNCTION("""COMPUTED_VALUE"""),"HTML/CSS")</f>
        <v>HTML/CSS</v>
      </c>
      <c r="G2031" s="9" t="str">
        <f>IFERROR(__xludf.DUMMYFUNCTION("""COMPUTED_VALUE"""),"TypeScript")</f>
        <v>TypeScript</v>
      </c>
      <c r="H2031" s="9" t="str">
        <f>IFERROR(__xludf.DUMMYFUNCTION("""COMPUTED_VALUE"""),"Java")</f>
        <v>Java</v>
      </c>
      <c r="I2031" s="9" t="str">
        <f>IFERROR(__xludf.DUMMYFUNCTION("""COMPUTED_VALUE"""),"JavaScript")</f>
        <v>JavaScript</v>
      </c>
      <c r="J2031" s="9" t="str">
        <f>IFERROR(__xludf.DUMMYFUNCTION("""COMPUTED_VALUE"""),"C#")</f>
        <v>C#</v>
      </c>
      <c r="K2031" s="9" t="str">
        <f>IFERROR(__xludf.DUMMYFUNCTION("""COMPUTED_VALUE"""),"F#")</f>
        <v>F#</v>
      </c>
      <c r="L2031" s="9" t="str">
        <f>IFERROR(__xludf.DUMMYFUNCTION("""COMPUTED_VALUE"""),"C#")</f>
        <v>C#</v>
      </c>
      <c r="M2031" s="9" t="s">
        <v>25</v>
      </c>
    </row>
    <row r="2032" ht="15.75" customHeight="1">
      <c r="A2032" s="7"/>
      <c r="B2032" s="7" t="str">
        <f>IFERROR(__xludf.DUMMYFUNCTION("""COMPUTED_VALUE"""),"Bash/Shell/PowerShell;C;C++;Go;Kotlin;Python")</f>
        <v>Bash/Shell/PowerShell;C;C++;Go;Kotlin;Python</v>
      </c>
      <c r="C2032" s="9" t="str">
        <f>IFERROR(__xludf.DUMMYFUNCTION("""COMPUTED_VALUE"""),"C++")</f>
        <v>C++</v>
      </c>
      <c r="D2032" s="9" t="str">
        <f>IFERROR(__xludf.DUMMYFUNCTION("""COMPUTED_VALUE"""),"JavaScript")</f>
        <v>JavaScript</v>
      </c>
      <c r="E2032" s="9" t="str">
        <f>IFERROR(__xludf.DUMMYFUNCTION("""COMPUTED_VALUE"""),"JavaScript")</f>
        <v>JavaScript</v>
      </c>
      <c r="F2032" s="9" t="str">
        <f>IFERROR(__xludf.DUMMYFUNCTION("""COMPUTED_VALUE"""),"Java")</f>
        <v>Java</v>
      </c>
      <c r="G2032" s="9" t="str">
        <f>IFERROR(__xludf.DUMMYFUNCTION("""COMPUTED_VALUE"""),"C++")</f>
        <v>C++</v>
      </c>
      <c r="H2032" s="9" t="str">
        <f>IFERROR(__xludf.DUMMYFUNCTION("""COMPUTED_VALUE"""),"JavaScript")</f>
        <v>JavaScript</v>
      </c>
      <c r="I2032" s="9" t="str">
        <f>IFERROR(__xludf.DUMMYFUNCTION("""COMPUTED_VALUE"""),"SQL")</f>
        <v>SQL</v>
      </c>
      <c r="J2032" s="9" t="str">
        <f>IFERROR(__xludf.DUMMYFUNCTION("""COMPUTED_VALUE"""),"HTML/CSS")</f>
        <v>HTML/CSS</v>
      </c>
      <c r="K2032" s="9" t="str">
        <f>IFERROR(__xludf.DUMMYFUNCTION("""COMPUTED_VALUE"""),"HTML/CSS")</f>
        <v>HTML/CSS</v>
      </c>
      <c r="L2032" s="9" t="str">
        <f>IFERROR(__xludf.DUMMYFUNCTION("""COMPUTED_VALUE"""),"HTML/CSS")</f>
        <v>HTML/CSS</v>
      </c>
      <c r="M2032" s="9" t="s">
        <v>23</v>
      </c>
    </row>
    <row r="2033" ht="15.75" customHeight="1">
      <c r="A2033" s="7"/>
      <c r="B2033" s="7" t="str">
        <f>IFERROR(__xludf.DUMMYFUNCTION("""COMPUTED_VALUE"""),"Bash/Shell/PowerShell;HTML/CSS;JavaScript;PHP;SQL")</f>
        <v>Bash/Shell/PowerShell;HTML/CSS;JavaScript;PHP;SQL</v>
      </c>
      <c r="C2033" s="9" t="str">
        <f>IFERROR(__xludf.DUMMYFUNCTION("""COMPUTED_VALUE"""),"JavaScript")</f>
        <v>JavaScript</v>
      </c>
      <c r="D2033" s="9" t="str">
        <f>IFERROR(__xludf.DUMMYFUNCTION("""COMPUTED_VALUE"""),"TypeScript")</f>
        <v>TypeScript</v>
      </c>
      <c r="E2033" s="9" t="str">
        <f>IFERROR(__xludf.DUMMYFUNCTION("""COMPUTED_VALUE"""),"Python")</f>
        <v>Python</v>
      </c>
      <c r="F2033" s="9" t="str">
        <f>IFERROR(__xludf.DUMMYFUNCTION("""COMPUTED_VALUE"""),"JavaScript")</f>
        <v>JavaScript</v>
      </c>
      <c r="G2033" s="9" t="str">
        <f>IFERROR(__xludf.DUMMYFUNCTION("""COMPUTED_VALUE"""),"Dart")</f>
        <v>Dart</v>
      </c>
      <c r="H2033" s="9" t="str">
        <f>IFERROR(__xludf.DUMMYFUNCTION("""COMPUTED_VALUE"""),"SQL")</f>
        <v>SQL</v>
      </c>
      <c r="I2033" s="9" t="str">
        <f>IFERROR(__xludf.DUMMYFUNCTION("""COMPUTED_VALUE"""),"JavaScript")</f>
        <v>JavaScript</v>
      </c>
      <c r="J2033" s="9" t="str">
        <f>IFERROR(__xludf.DUMMYFUNCTION("""COMPUTED_VALUE"""),"Java")</f>
        <v>Java</v>
      </c>
      <c r="K2033" s="9" t="str">
        <f>IFERROR(__xludf.DUMMYFUNCTION("""COMPUTED_VALUE"""),"Java")</f>
        <v>Java</v>
      </c>
      <c r="L2033" s="9" t="str">
        <f>IFERROR(__xludf.DUMMYFUNCTION("""COMPUTED_VALUE"""),"Java")</f>
        <v>Java</v>
      </c>
      <c r="M2033" s="9" t="s">
        <v>21</v>
      </c>
    </row>
    <row r="2034" ht="15.75" customHeight="1">
      <c r="A2034" s="7"/>
      <c r="B2034" s="7" t="str">
        <f>IFERROR(__xludf.DUMMYFUNCTION("""COMPUTED_VALUE"""),"C#;JavaScript;Python")</f>
        <v>C#;JavaScript;Python</v>
      </c>
      <c r="C2034" s="9" t="str">
        <f>IFERROR(__xludf.DUMMYFUNCTION("""COMPUTED_VALUE"""),"Python")</f>
        <v>Python</v>
      </c>
      <c r="D2034" s="9" t="str">
        <f>IFERROR(__xludf.DUMMYFUNCTION("""COMPUTED_VALUE"""),"C")</f>
        <v>C</v>
      </c>
      <c r="E2034" s="9" t="str">
        <f>IFERROR(__xludf.DUMMYFUNCTION("""COMPUTED_VALUE"""),"TypeScript")</f>
        <v>TypeScript</v>
      </c>
      <c r="F2034" s="9" t="str">
        <f>IFERROR(__xludf.DUMMYFUNCTION("""COMPUTED_VALUE"""),"PHP")</f>
        <v>PHP</v>
      </c>
      <c r="G2034" s="9" t="str">
        <f>IFERROR(__xludf.DUMMYFUNCTION("""COMPUTED_VALUE"""),"HTML/CSS")</f>
        <v>HTML/CSS</v>
      </c>
      <c r="H2034" s="9" t="str">
        <f>IFERROR(__xludf.DUMMYFUNCTION("""COMPUTED_VALUE"""),"C++")</f>
        <v>C++</v>
      </c>
      <c r="I2034" s="9" t="str">
        <f>IFERROR(__xludf.DUMMYFUNCTION("""COMPUTED_VALUE"""),"SQL")</f>
        <v>SQL</v>
      </c>
      <c r="J2034" s="9" t="str">
        <f>IFERROR(__xludf.DUMMYFUNCTION("""COMPUTED_VALUE"""),"JavaScript")</f>
        <v>JavaScript</v>
      </c>
      <c r="K2034" s="9" t="str">
        <f>IFERROR(__xludf.DUMMYFUNCTION("""COMPUTED_VALUE"""),"JavaScript")</f>
        <v>JavaScript</v>
      </c>
      <c r="L2034" s="9" t="str">
        <f>IFERROR(__xludf.DUMMYFUNCTION("""COMPUTED_VALUE"""),"JavaScript")</f>
        <v>JavaScript</v>
      </c>
      <c r="M2034" s="9" t="s">
        <v>22</v>
      </c>
    </row>
    <row r="2035" ht="15.75" customHeight="1">
      <c r="A2035" s="7"/>
      <c r="B2035" s="7" t="str">
        <f>IFERROR(__xludf.DUMMYFUNCTION("""COMPUTED_VALUE"""),"C#")</f>
        <v>C#</v>
      </c>
      <c r="C2035" s="9" t="str">
        <f>IFERROR(__xludf.DUMMYFUNCTION("""COMPUTED_VALUE"""),"R")</f>
        <v>R</v>
      </c>
      <c r="D2035" s="9" t="str">
        <f>IFERROR(__xludf.DUMMYFUNCTION("""COMPUTED_VALUE"""),"Erlang")</f>
        <v>Erlang</v>
      </c>
      <c r="E2035" s="9" t="str">
        <f>IFERROR(__xludf.DUMMYFUNCTION("""COMPUTED_VALUE"""),"HTML/CSS")</f>
        <v>HTML/CSS</v>
      </c>
      <c r="F2035" s="9" t="str">
        <f>IFERROR(__xludf.DUMMYFUNCTION("""COMPUTED_VALUE"""),"SQL")</f>
        <v>SQL</v>
      </c>
      <c r="G2035" s="9" t="str">
        <f>IFERROR(__xludf.DUMMYFUNCTION("""COMPUTED_VALUE"""),"Java")</f>
        <v>Java</v>
      </c>
      <c r="H2035" s="9" t="str">
        <f>IFERROR(__xludf.DUMMYFUNCTION("""COMPUTED_VALUE"""),"C#")</f>
        <v>C#</v>
      </c>
      <c r="I2035" s="9" t="str">
        <f>IFERROR(__xludf.DUMMYFUNCTION("""COMPUTED_VALUE"""),"TypeScript")</f>
        <v>TypeScript</v>
      </c>
      <c r="J2035" s="9" t="str">
        <f>IFERROR(__xludf.DUMMYFUNCTION("""COMPUTED_VALUE"""),"Kotlin")</f>
        <v>Kotlin</v>
      </c>
      <c r="K2035" s="9" t="str">
        <f>IFERROR(__xludf.DUMMYFUNCTION("""COMPUTED_VALUE"""),"Objective-C")</f>
        <v>Objective-C</v>
      </c>
      <c r="L2035" s="9" t="str">
        <f>IFERROR(__xludf.DUMMYFUNCTION("""COMPUTED_VALUE"""),"PHP")</f>
        <v>PHP</v>
      </c>
      <c r="M2035" s="9" t="s">
        <v>29</v>
      </c>
    </row>
    <row r="2036" ht="15.75" customHeight="1">
      <c r="A2036" s="7"/>
      <c r="B2036" s="7" t="str">
        <f>IFERROR(__xludf.DUMMYFUNCTION("""COMPUTED_VALUE"""),"Bash/Shell/PowerShell;C#;HTML/CSS;Java;JavaScript;PHP;Python;R;SQL")</f>
        <v>Bash/Shell/PowerShell;C#;HTML/CSS;Java;JavaScript;PHP;Python;R;SQL</v>
      </c>
      <c r="C2036" s="9" t="str">
        <f>IFERROR(__xludf.DUMMYFUNCTION("""COMPUTED_VALUE"""),"SQL")</f>
        <v>SQL</v>
      </c>
      <c r="D2036" s="9" t="str">
        <f>IFERROR(__xludf.DUMMYFUNCTION("""COMPUTED_VALUE"""),"HTML/CSS")</f>
        <v>HTML/CSS</v>
      </c>
      <c r="E2036" s="9" t="str">
        <f>IFERROR(__xludf.DUMMYFUNCTION("""COMPUTED_VALUE"""),"Java")</f>
        <v>Java</v>
      </c>
      <c r="F2036" s="9" t="str">
        <f>IFERROR(__xludf.DUMMYFUNCTION("""COMPUTED_VALUE"""),"Java")</f>
        <v>Java</v>
      </c>
      <c r="G2036" s="9" t="str">
        <f>IFERROR(__xludf.DUMMYFUNCTION("""COMPUTED_VALUE"""),"JavaScript")</f>
        <v>JavaScript</v>
      </c>
      <c r="H2036" s="9" t="str">
        <f>IFERROR(__xludf.DUMMYFUNCTION("""COMPUTED_VALUE"""),"HTML/CSS")</f>
        <v>HTML/CSS</v>
      </c>
      <c r="I2036" s="9" t="str">
        <f>IFERROR(__xludf.DUMMYFUNCTION("""COMPUTED_VALUE"""),"HTML/CSS")</f>
        <v>HTML/CSS</v>
      </c>
      <c r="J2036" s="9" t="str">
        <f>IFERROR(__xludf.DUMMYFUNCTION("""COMPUTED_VALUE"""),"PHP")</f>
        <v>PHP</v>
      </c>
      <c r="K2036" s="9" t="str">
        <f>IFERROR(__xludf.DUMMYFUNCTION("""COMPUTED_VALUE"""),"R")</f>
        <v>R</v>
      </c>
      <c r="L2036" s="9" t="str">
        <f>IFERROR(__xludf.DUMMYFUNCTION("""COMPUTED_VALUE"""),"Python")</f>
        <v>Python</v>
      </c>
      <c r="M2036" s="9" t="s">
        <v>27</v>
      </c>
    </row>
    <row r="2037" ht="15.75" customHeight="1">
      <c r="A2037" s="7"/>
      <c r="B2037" s="7" t="str">
        <f>IFERROR(__xludf.DUMMYFUNCTION("""COMPUTED_VALUE"""),"C;HTML/CSS;JavaScript;Python;SQL")</f>
        <v>C;HTML/CSS;JavaScript;Python;SQL</v>
      </c>
      <c r="C2037" s="9" t="str">
        <f>IFERROR(__xludf.DUMMYFUNCTION("""COMPUTED_VALUE"""),"HTML/CSS")</f>
        <v>HTML/CSS</v>
      </c>
      <c r="D2037" s="9" t="str">
        <f>IFERROR(__xludf.DUMMYFUNCTION("""COMPUTED_VALUE"""),"Java")</f>
        <v>Java</v>
      </c>
      <c r="E2037" s="9" t="str">
        <f>IFERROR(__xludf.DUMMYFUNCTION("""COMPUTED_VALUE"""),"JavaScript")</f>
        <v>JavaScript</v>
      </c>
      <c r="F2037" s="9" t="str">
        <f>IFERROR(__xludf.DUMMYFUNCTION("""COMPUTED_VALUE"""),"JavaScript")</f>
        <v>JavaScript</v>
      </c>
      <c r="G2037" s="9" t="str">
        <f>IFERROR(__xludf.DUMMYFUNCTION("""COMPUTED_VALUE"""),"Kotlin")</f>
        <v>Kotlin</v>
      </c>
      <c r="H2037" s="9" t="str">
        <f>IFERROR(__xludf.DUMMYFUNCTION("""COMPUTED_VALUE"""),"Java")</f>
        <v>Java</v>
      </c>
      <c r="I2037" s="9" t="str">
        <f>IFERROR(__xludf.DUMMYFUNCTION("""COMPUTED_VALUE"""),"JavaScript")</f>
        <v>JavaScript</v>
      </c>
      <c r="J2037" s="9" t="str">
        <f>IFERROR(__xludf.DUMMYFUNCTION("""COMPUTED_VALUE"""),"Rust")</f>
        <v>Rust</v>
      </c>
      <c r="K2037" s="9" t="str">
        <f>IFERROR(__xludf.DUMMYFUNCTION("""COMPUTED_VALUE"""),"SQL")</f>
        <v>SQL</v>
      </c>
      <c r="L2037" s="9" t="str">
        <f>IFERROR(__xludf.DUMMYFUNCTION("""COMPUTED_VALUE"""),"SQL")</f>
        <v>SQL</v>
      </c>
      <c r="M2037" s="9" t="s">
        <v>24</v>
      </c>
    </row>
    <row r="2038" ht="15.75" customHeight="1">
      <c r="A2038" s="7"/>
      <c r="B2038" s="7" t="str">
        <f>IFERROR(__xludf.DUMMYFUNCTION("""COMPUTED_VALUE"""),"Bash/Shell/PowerShell;HTML/CSS;JavaScript;Ruby;SQL")</f>
        <v>Bash/Shell/PowerShell;HTML/CSS;JavaScript;Ruby;SQL</v>
      </c>
      <c r="C2038" s="9" t="str">
        <f>IFERROR(__xludf.DUMMYFUNCTION("""COMPUTED_VALUE"""),"JavaScript")</f>
        <v>JavaScript</v>
      </c>
      <c r="D2038" s="9" t="str">
        <f>IFERROR(__xludf.DUMMYFUNCTION("""COMPUTED_VALUE"""),"JavaScript")</f>
        <v>JavaScript</v>
      </c>
      <c r="E2038" s="9" t="str">
        <f>IFERROR(__xludf.DUMMYFUNCTION("""COMPUTED_VALUE"""),"Python")</f>
        <v>Python</v>
      </c>
      <c r="F2038" s="9" t="str">
        <f>IFERROR(__xludf.DUMMYFUNCTION("""COMPUTED_VALUE"""),"SQL")</f>
        <v>SQL</v>
      </c>
      <c r="G2038" s="9" t="str">
        <f>IFERROR(__xludf.DUMMYFUNCTION("""COMPUTED_VALUE"""),"SQL")</f>
        <v>SQL</v>
      </c>
      <c r="H2038" s="9" t="str">
        <f>IFERROR(__xludf.DUMMYFUNCTION("""COMPUTED_VALUE"""),"Kotlin")</f>
        <v>Kotlin</v>
      </c>
      <c r="I2038" s="9" t="str">
        <f>IFERROR(__xludf.DUMMYFUNCTION("""COMPUTED_VALUE"""),"PHP")</f>
        <v>PHP</v>
      </c>
      <c r="J2038" s="9" t="str">
        <f>IFERROR(__xludf.DUMMYFUNCTION("""COMPUTED_VALUE"""),"SQL")</f>
        <v>SQL</v>
      </c>
      <c r="K2038" s="9" t="str">
        <f>IFERROR(__xludf.DUMMYFUNCTION("""COMPUTED_VALUE"""),"WebAssembly")</f>
        <v>WebAssembly</v>
      </c>
      <c r="L2038" s="9" t="str">
        <f>IFERROR(__xludf.DUMMYFUNCTION("""COMPUTED_VALUE"""),"TypeScript")</f>
        <v>TypeScript</v>
      </c>
      <c r="M2038" s="9" t="s">
        <v>21</v>
      </c>
    </row>
    <row r="2039" ht="15.75" customHeight="1">
      <c r="A2039" s="7"/>
      <c r="B2039" s="7" t="str">
        <f>IFERROR(__xludf.DUMMYFUNCTION("""COMPUTED_VALUE"""),"JavaScript;Other(s):")</f>
        <v>JavaScript;Other(s):</v>
      </c>
      <c r="C2039" s="9" t="str">
        <f>IFERROR(__xludf.DUMMYFUNCTION("""COMPUTED_VALUE"""),"PHP")</f>
        <v>PHP</v>
      </c>
      <c r="D2039" s="9" t="str">
        <f>IFERROR(__xludf.DUMMYFUNCTION("""COMPUTED_VALUE"""),"Kotlin")</f>
        <v>Kotlin</v>
      </c>
      <c r="E2039" s="9" t="str">
        <f>IFERROR(__xludf.DUMMYFUNCTION("""COMPUTED_VALUE"""),"SQL")</f>
        <v>SQL</v>
      </c>
      <c r="F2039" s="9" t="str">
        <f>IFERROR(__xludf.DUMMYFUNCTION("""COMPUTED_VALUE"""),"Swift")</f>
        <v>Swift</v>
      </c>
      <c r="G2039" s="9" t="str">
        <f>IFERROR(__xludf.DUMMYFUNCTION("""COMPUTED_VALUE"""),"TypeScript")</f>
        <v>TypeScript</v>
      </c>
      <c r="H2039" s="9" t="str">
        <f>IFERROR(__xludf.DUMMYFUNCTION("""COMPUTED_VALUE"""),"Other(s):")</f>
        <v>Other(s):</v>
      </c>
      <c r="I2039" s="9" t="str">
        <f>IFERROR(__xludf.DUMMYFUNCTION("""COMPUTED_VALUE"""),"Bash/Shell/PowerShell")</f>
        <v>Bash/Shell/PowerShell</v>
      </c>
      <c r="J2039" s="9" t="str">
        <f>IFERROR(__xludf.DUMMYFUNCTION("""COMPUTED_VALUE"""),"Bash/Shell/PowerShell")</f>
        <v>Bash/Shell/PowerShell</v>
      </c>
      <c r="K2039" s="9" t="str">
        <f>IFERROR(__xludf.DUMMYFUNCTION("""COMPUTED_VALUE"""),"Bash/Shell/PowerShell")</f>
        <v>Bash/Shell/PowerShell</v>
      </c>
      <c r="L2039" s="9" t="str">
        <f>IFERROR(__xludf.DUMMYFUNCTION("""COMPUTED_VALUE"""),"Bash/Shell/PowerShell")</f>
        <v>Bash/Shell/PowerShell</v>
      </c>
      <c r="M2039" s="9" t="s">
        <v>37</v>
      </c>
    </row>
    <row r="2040" ht="15.75" customHeight="1">
      <c r="A2040" s="7"/>
      <c r="B2040" s="7" t="str">
        <f>IFERROR(__xludf.DUMMYFUNCTION("""COMPUTED_VALUE"""),"Bash/Shell/PowerShell;C#;HTML/CSS;JavaScript;Ruby;SQL")</f>
        <v>Bash/Shell/PowerShell;C#;HTML/CSS;JavaScript;Ruby;SQL</v>
      </c>
      <c r="C2040" s="9" t="str">
        <f>IFERROR(__xludf.DUMMYFUNCTION("""COMPUTED_VALUE"""),"Python")</f>
        <v>Python</v>
      </c>
      <c r="D2040" s="9" t="str">
        <f>IFERROR(__xludf.DUMMYFUNCTION("""COMPUTED_VALUE"""),"Python")</f>
        <v>Python</v>
      </c>
      <c r="E2040" s="9" t="str">
        <f>IFERROR(__xludf.DUMMYFUNCTION("""COMPUTED_VALUE"""),"HTML/CSS")</f>
        <v>HTML/CSS</v>
      </c>
      <c r="F2040" s="9" t="str">
        <f>IFERROR(__xludf.DUMMYFUNCTION("""COMPUTED_VALUE"""),"Bash/Shell/PowerShell")</f>
        <v>Bash/Shell/PowerShell</v>
      </c>
      <c r="G2040" s="9" t="str">
        <f>IFERROR(__xludf.DUMMYFUNCTION("""COMPUTED_VALUE"""),"Bash/Shell/PowerShell")</f>
        <v>Bash/Shell/PowerShell</v>
      </c>
      <c r="H2040" s="9" t="str">
        <f>IFERROR(__xludf.DUMMYFUNCTION("""COMPUTED_VALUE"""),"Bash/Shell/PowerShell")</f>
        <v>Bash/Shell/PowerShell</v>
      </c>
      <c r="I2040" s="9" t="str">
        <f>IFERROR(__xludf.DUMMYFUNCTION("""COMPUTED_VALUE"""),"C#")</f>
        <v>C#</v>
      </c>
      <c r="J2040" s="9" t="str">
        <f>IFERROR(__xludf.DUMMYFUNCTION("""COMPUTED_VALUE"""),"C#")</f>
        <v>C#</v>
      </c>
      <c r="K2040" s="9" t="str">
        <f>IFERROR(__xludf.DUMMYFUNCTION("""COMPUTED_VALUE"""),"Go")</f>
        <v>Go</v>
      </c>
      <c r="L2040" s="9" t="str">
        <f>IFERROR(__xludf.DUMMYFUNCTION("""COMPUTED_VALUE"""),"HTML/CSS")</f>
        <v>HTML/CSS</v>
      </c>
      <c r="M2040" s="9" t="s">
        <v>22</v>
      </c>
    </row>
    <row r="2041" ht="15.75" customHeight="1">
      <c r="A2041" s="7"/>
      <c r="B2041" s="7" t="str">
        <f>IFERROR(__xludf.DUMMYFUNCTION("""COMPUTED_VALUE"""),"Bash/Shell/PowerShell;C++;Dart;Python")</f>
        <v>Bash/Shell/PowerShell;C++;Dart;Python</v>
      </c>
      <c r="C2041" s="9" t="str">
        <f>IFERROR(__xludf.DUMMYFUNCTION("""COMPUTED_VALUE"""),"SQL")</f>
        <v>SQL</v>
      </c>
      <c r="D2041" s="9" t="str">
        <f>IFERROR(__xludf.DUMMYFUNCTION("""COMPUTED_VALUE"""),"Rust")</f>
        <v>Rust</v>
      </c>
      <c r="E2041" s="9" t="str">
        <f>IFERROR(__xludf.DUMMYFUNCTION("""COMPUTED_VALUE"""),"JavaScript")</f>
        <v>JavaScript</v>
      </c>
      <c r="F2041" s="9" t="str">
        <f>IFERROR(__xludf.DUMMYFUNCTION("""COMPUTED_VALUE"""),"Java")</f>
        <v>Java</v>
      </c>
      <c r="G2041" s="9" t="str">
        <f>IFERROR(__xludf.DUMMYFUNCTION("""COMPUTED_VALUE"""),"HTML/CSS")</f>
        <v>HTML/CSS</v>
      </c>
      <c r="H2041" s="9" t="str">
        <f>IFERROR(__xludf.DUMMYFUNCTION("""COMPUTED_VALUE"""),"JavaScript")</f>
        <v>JavaScript</v>
      </c>
      <c r="I2041" s="9" t="str">
        <f>IFERROR(__xludf.DUMMYFUNCTION("""COMPUTED_VALUE"""),"HTML/CSS")</f>
        <v>HTML/CSS</v>
      </c>
      <c r="J2041" s="9" t="str">
        <f>IFERROR(__xludf.DUMMYFUNCTION("""COMPUTED_VALUE"""),"HTML/CSS")</f>
        <v>HTML/CSS</v>
      </c>
      <c r="K2041" s="9" t="str">
        <f>IFERROR(__xludf.DUMMYFUNCTION("""COMPUTED_VALUE"""),"Java")</f>
        <v>Java</v>
      </c>
      <c r="L2041" s="9" t="str">
        <f>IFERROR(__xludf.DUMMYFUNCTION("""COMPUTED_VALUE"""),"JavaScript")</f>
        <v>JavaScript</v>
      </c>
      <c r="M2041" s="9" t="s">
        <v>27</v>
      </c>
    </row>
    <row r="2042" ht="15.75" customHeight="1">
      <c r="A2042" s="7"/>
      <c r="B2042" s="7" t="str">
        <f>IFERROR(__xludf.DUMMYFUNCTION("""COMPUTED_VALUE"""),"Bash/Shell/PowerShell;Java;JavaScript;SQL;Swift;TypeScript")</f>
        <v>Bash/Shell/PowerShell;Java;JavaScript;SQL;Swift;TypeScript</v>
      </c>
      <c r="C2042" s="9" t="str">
        <f>IFERROR(__xludf.DUMMYFUNCTION("""COMPUTED_VALUE"""),"Bash/Shell/PowerShell")</f>
        <v>Bash/Shell/PowerShell</v>
      </c>
      <c r="D2042" s="9" t="str">
        <f>IFERROR(__xludf.DUMMYFUNCTION("""COMPUTED_VALUE"""),"Swift")</f>
        <v>Swift</v>
      </c>
      <c r="E2042" s="9" t="str">
        <f>IFERROR(__xludf.DUMMYFUNCTION("""COMPUTED_VALUE"""),"PHP")</f>
        <v>PHP</v>
      </c>
      <c r="F2042" s="9" t="str">
        <f>IFERROR(__xludf.DUMMYFUNCTION("""COMPUTED_VALUE"""),"Python")</f>
        <v>Python</v>
      </c>
      <c r="G2042" s="9" t="str">
        <f>IFERROR(__xludf.DUMMYFUNCTION("""COMPUTED_VALUE"""),"Python")</f>
        <v>Python</v>
      </c>
      <c r="H2042" s="9" t="str">
        <f>IFERROR(__xludf.DUMMYFUNCTION("""COMPUTED_VALUE"""),"Objective-C")</f>
        <v>Objective-C</v>
      </c>
      <c r="I2042" s="9" t="str">
        <f>IFERROR(__xludf.DUMMYFUNCTION("""COMPUTED_VALUE"""),"Java")</f>
        <v>Java</v>
      </c>
      <c r="J2042" s="9" t="str">
        <f>IFERROR(__xludf.DUMMYFUNCTION("""COMPUTED_VALUE"""),"JavaScript")</f>
        <v>JavaScript</v>
      </c>
      <c r="K2042" s="9" t="str">
        <f>IFERROR(__xludf.DUMMYFUNCTION("""COMPUTED_VALUE"""),"JavaScript")</f>
        <v>JavaScript</v>
      </c>
      <c r="L2042" s="9" t="str">
        <f>IFERROR(__xludf.DUMMYFUNCTION("""COMPUTED_VALUE"""),"PHP")</f>
        <v>PHP</v>
      </c>
      <c r="M2042" s="9" t="s">
        <v>30</v>
      </c>
    </row>
    <row r="2043" ht="15.75" customHeight="1">
      <c r="A2043" s="7"/>
      <c r="B2043" s="7" t="str">
        <f>IFERROR(__xludf.DUMMYFUNCTION("""COMPUTED_VALUE"""),"C#;HTML/CSS;JavaScript;SQL")</f>
        <v>C#;HTML/CSS;JavaScript;SQL</v>
      </c>
      <c r="C2043" s="9" t="str">
        <f>IFERROR(__xludf.DUMMYFUNCTION("""COMPUTED_VALUE"""),"HTML/CSS")</f>
        <v>HTML/CSS</v>
      </c>
      <c r="D2043" s="9" t="str">
        <f>IFERROR(__xludf.DUMMYFUNCTION("""COMPUTED_VALUE"""),"C++")</f>
        <v>C++</v>
      </c>
      <c r="E2043" s="9" t="str">
        <f>IFERROR(__xludf.DUMMYFUNCTION("""COMPUTED_VALUE"""),"SQL")</f>
        <v>SQL</v>
      </c>
      <c r="F2043" s="9" t="str">
        <f>IFERROR(__xludf.DUMMYFUNCTION("""COMPUTED_VALUE"""),"Other(s):")</f>
        <v>Other(s):</v>
      </c>
      <c r="G2043" s="9" t="str">
        <f>IFERROR(__xludf.DUMMYFUNCTION("""COMPUTED_VALUE"""),"C")</f>
        <v>C</v>
      </c>
      <c r="H2043" s="9" t="str">
        <f>IFERROR(__xludf.DUMMYFUNCTION("""COMPUTED_VALUE"""),"Ruby")</f>
        <v>Ruby</v>
      </c>
      <c r="I2043" s="9" t="str">
        <f>IFERROR(__xludf.DUMMYFUNCTION("""COMPUTED_VALUE"""),"JavaScript")</f>
        <v>JavaScript</v>
      </c>
      <c r="J2043" s="9" t="str">
        <f>IFERROR(__xludf.DUMMYFUNCTION("""COMPUTED_VALUE"""),"Python")</f>
        <v>Python</v>
      </c>
      <c r="K2043" s="9" t="str">
        <f>IFERROR(__xludf.DUMMYFUNCTION("""COMPUTED_VALUE"""),"Rust")</f>
        <v>Rust</v>
      </c>
      <c r="L2043" s="9" t="str">
        <f>IFERROR(__xludf.DUMMYFUNCTION("""COMPUTED_VALUE"""),"Python")</f>
        <v>Python</v>
      </c>
      <c r="M2043" s="9" t="s">
        <v>24</v>
      </c>
    </row>
    <row r="2044" ht="15.75" customHeight="1">
      <c r="A2044" s="7"/>
      <c r="B2044" s="7" t="str">
        <f>IFERROR(__xludf.DUMMYFUNCTION("""COMPUTED_VALUE"""),"C#;HTML/CSS;JavaScript;SQL")</f>
        <v>C#;HTML/CSS;JavaScript;SQL</v>
      </c>
      <c r="C2044" s="9" t="str">
        <f>IFERROR(__xludf.DUMMYFUNCTION("""COMPUTED_VALUE"""),"JavaScript")</f>
        <v>JavaScript</v>
      </c>
      <c r="D2044" s="9" t="str">
        <f>IFERROR(__xludf.DUMMYFUNCTION("""COMPUTED_VALUE"""),"C#")</f>
        <v>C#</v>
      </c>
      <c r="E2044" s="9" t="str">
        <f>IFERROR(__xludf.DUMMYFUNCTION("""COMPUTED_VALUE"""),"C#")</f>
        <v>C#</v>
      </c>
      <c r="F2044" s="9" t="str">
        <f>IFERROR(__xludf.DUMMYFUNCTION("""COMPUTED_VALUE"""),"C++")</f>
        <v>C++</v>
      </c>
      <c r="G2044" s="9" t="str">
        <f>IFERROR(__xludf.DUMMYFUNCTION("""COMPUTED_VALUE"""),"C#")</f>
        <v>C#</v>
      </c>
      <c r="H2044" s="9" t="str">
        <f>IFERROR(__xludf.DUMMYFUNCTION("""COMPUTED_VALUE"""),"Swift")</f>
        <v>Swift</v>
      </c>
      <c r="I2044" s="9" t="str">
        <f>IFERROR(__xludf.DUMMYFUNCTION("""COMPUTED_VALUE"""),"PHP")</f>
        <v>PHP</v>
      </c>
      <c r="J2044" s="9" t="str">
        <f>IFERROR(__xludf.DUMMYFUNCTION("""COMPUTED_VALUE"""),"SQL")</f>
        <v>SQL</v>
      </c>
      <c r="K2044" s="9" t="str">
        <f>IFERROR(__xludf.DUMMYFUNCTION("""COMPUTED_VALUE"""),"SQL")</f>
        <v>SQL</v>
      </c>
      <c r="L2044" s="9" t="str">
        <f>IFERROR(__xludf.DUMMYFUNCTION("""COMPUTED_VALUE"""),"Scala")</f>
        <v>Scala</v>
      </c>
      <c r="M2044" s="9" t="s">
        <v>21</v>
      </c>
    </row>
    <row r="2045" ht="15.75" customHeight="1">
      <c r="A2045" s="7"/>
      <c r="B2045" s="7" t="str">
        <f>IFERROR(__xludf.DUMMYFUNCTION("""COMPUTED_VALUE"""),"Bash/Shell/PowerShell;Dart;Java;JavaScript")</f>
        <v>Bash/Shell/PowerShell;Dart;Java;JavaScript</v>
      </c>
      <c r="C2045" s="9" t="str">
        <f>IFERROR(__xludf.DUMMYFUNCTION("""COMPUTED_VALUE"""),"PHP")</f>
        <v>PHP</v>
      </c>
      <c r="D2045" s="9" t="str">
        <f>IFERROR(__xludf.DUMMYFUNCTION("""COMPUTED_VALUE"""),"JavaScript")</f>
        <v>JavaScript</v>
      </c>
      <c r="E2045" s="9" t="str">
        <f>IFERROR(__xludf.DUMMYFUNCTION("""COMPUTED_VALUE"""),"HTML/CSS")</f>
        <v>HTML/CSS</v>
      </c>
      <c r="F2045" s="9" t="str">
        <f>IFERROR(__xludf.DUMMYFUNCTION("""COMPUTED_VALUE"""),"Other(s):")</f>
        <v>Other(s):</v>
      </c>
      <c r="G2045" s="9" t="str">
        <f>IFERROR(__xludf.DUMMYFUNCTION("""COMPUTED_VALUE"""),"HTML/CSS")</f>
        <v>HTML/CSS</v>
      </c>
      <c r="H2045" s="9" t="str">
        <f>IFERROR(__xludf.DUMMYFUNCTION("""COMPUTED_VALUE"""),"C#")</f>
        <v>C#</v>
      </c>
      <c r="I2045" s="9" t="str">
        <f>IFERROR(__xludf.DUMMYFUNCTION("""COMPUTED_VALUE"""),"Scala")</f>
        <v>Scala</v>
      </c>
      <c r="J2045" s="9" t="str">
        <f>IFERROR(__xludf.DUMMYFUNCTION("""COMPUTED_VALUE"""),"Other(s):")</f>
        <v>Other(s):</v>
      </c>
      <c r="K2045" s="9" t="str">
        <f>IFERROR(__xludf.DUMMYFUNCTION("""COMPUTED_VALUE"""),"HTML/CSS")</f>
        <v>HTML/CSS</v>
      </c>
      <c r="L2045" s="9" t="str">
        <f>IFERROR(__xludf.DUMMYFUNCTION("""COMPUTED_VALUE"""),"SQL")</f>
        <v>SQL</v>
      </c>
      <c r="M2045" s="9" t="s">
        <v>37</v>
      </c>
    </row>
    <row r="2046" ht="15.75" customHeight="1">
      <c r="A2046" s="7"/>
      <c r="B2046" s="7" t="str">
        <f>IFERROR(__xludf.DUMMYFUNCTION("""COMPUTED_VALUE"""),"Java;Python")</f>
        <v>Java;Python</v>
      </c>
      <c r="C2046" s="9" t="str">
        <f>IFERROR(__xludf.DUMMYFUNCTION("""COMPUTED_VALUE"""),"SQL")</f>
        <v>SQL</v>
      </c>
      <c r="D2046" s="9" t="str">
        <f>IFERROR(__xludf.DUMMYFUNCTION("""COMPUTED_VALUE"""),"TypeScript")</f>
        <v>TypeScript</v>
      </c>
      <c r="E2046" s="9" t="str">
        <f>IFERROR(__xludf.DUMMYFUNCTION("""COMPUTED_VALUE"""),"JavaScript")</f>
        <v>JavaScript</v>
      </c>
      <c r="F2046" s="9" t="str">
        <f>IFERROR(__xludf.DUMMYFUNCTION("""COMPUTED_VALUE"""),"Bash/Shell/PowerShell")</f>
        <v>Bash/Shell/PowerShell</v>
      </c>
      <c r="G2046" s="9" t="str">
        <f>IFERROR(__xludf.DUMMYFUNCTION("""COMPUTED_VALUE"""),"Java")</f>
        <v>Java</v>
      </c>
      <c r="H2046" s="9" t="str">
        <f>IFERROR(__xludf.DUMMYFUNCTION("""COMPUTED_VALUE"""),"Java")</f>
        <v>Java</v>
      </c>
      <c r="I2046" s="9" t="str">
        <f>IFERROR(__xludf.DUMMYFUNCTION("""COMPUTED_VALUE"""),"TypeScript")</f>
        <v>TypeScript</v>
      </c>
      <c r="J2046" s="9" t="str">
        <f>IFERROR(__xludf.DUMMYFUNCTION("""COMPUTED_VALUE"""),"C++")</f>
        <v>C++</v>
      </c>
      <c r="K2046" s="9" t="str">
        <f>IFERROR(__xludf.DUMMYFUNCTION("""COMPUTED_VALUE"""),"JavaScript")</f>
        <v>JavaScript</v>
      </c>
      <c r="L2046" s="9" t="str">
        <f>IFERROR(__xludf.DUMMYFUNCTION("""COMPUTED_VALUE"""),"TypeScript")</f>
        <v>TypeScript</v>
      </c>
      <c r="M2046" s="9" t="s">
        <v>27</v>
      </c>
    </row>
    <row r="2047" ht="15.75" customHeight="1">
      <c r="A2047" s="7"/>
      <c r="B2047" s="7" t="str">
        <f>IFERROR(__xludf.DUMMYFUNCTION("""COMPUTED_VALUE"""),"HTML/CSS;JavaScript;PHP;Python")</f>
        <v>HTML/CSS;JavaScript;PHP;Python</v>
      </c>
      <c r="C2047" s="9" t="str">
        <f>IFERROR(__xludf.DUMMYFUNCTION("""COMPUTED_VALUE"""),"TypeScript")</f>
        <v>TypeScript</v>
      </c>
      <c r="D2047" s="9" t="str">
        <f>IFERROR(__xludf.DUMMYFUNCTION("""COMPUTED_VALUE"""),"Java")</f>
        <v>Java</v>
      </c>
      <c r="E2047" s="9" t="str">
        <f>IFERROR(__xludf.DUMMYFUNCTION("""COMPUTED_VALUE"""),"SQL")</f>
        <v>SQL</v>
      </c>
      <c r="F2047" s="9" t="str">
        <f>IFERROR(__xludf.DUMMYFUNCTION("""COMPUTED_VALUE"""),"C#")</f>
        <v>C#</v>
      </c>
      <c r="G2047" s="9" t="str">
        <f>IFERROR(__xludf.DUMMYFUNCTION("""COMPUTED_VALUE"""),"JavaScript")</f>
        <v>JavaScript</v>
      </c>
      <c r="H2047" s="9" t="str">
        <f>IFERROR(__xludf.DUMMYFUNCTION("""COMPUTED_VALUE"""),"JavaScript")</f>
        <v>JavaScript</v>
      </c>
      <c r="I2047" s="9" t="str">
        <f>IFERROR(__xludf.DUMMYFUNCTION("""COMPUTED_VALUE"""),"C")</f>
        <v>C</v>
      </c>
      <c r="J2047" s="9" t="str">
        <f>IFERROR(__xludf.DUMMYFUNCTION("""COMPUTED_VALUE"""),"HTML/CSS")</f>
        <v>HTML/CSS</v>
      </c>
      <c r="K2047" s="9" t="str">
        <f>IFERROR(__xludf.DUMMYFUNCTION("""COMPUTED_VALUE"""),"Ruby")</f>
        <v>Ruby</v>
      </c>
      <c r="L2047" s="9" t="str">
        <f>IFERROR(__xludf.DUMMYFUNCTION("""COMPUTED_VALUE"""),"Bash/Shell/PowerShell")</f>
        <v>Bash/Shell/PowerShell</v>
      </c>
      <c r="M2047" s="9" t="s">
        <v>33</v>
      </c>
    </row>
    <row r="2048" ht="15.75" customHeight="1">
      <c r="A2048" s="7"/>
      <c r="B2048" s="7" t="str">
        <f>IFERROR(__xludf.DUMMYFUNCTION("""COMPUTED_VALUE"""),"Java")</f>
        <v>Java</v>
      </c>
      <c r="C2048" s="9" t="str">
        <f>IFERROR(__xludf.DUMMYFUNCTION("""COMPUTED_VALUE"""),"Bash/Shell/PowerShell")</f>
        <v>Bash/Shell/PowerShell</v>
      </c>
      <c r="D2048" s="9" t="str">
        <f>IFERROR(__xludf.DUMMYFUNCTION("""COMPUTED_VALUE"""),"JavaScript")</f>
        <v>JavaScript</v>
      </c>
      <c r="E2048" s="9" t="str">
        <f>IFERROR(__xludf.DUMMYFUNCTION("""COMPUTED_VALUE"""),"TypeScript")</f>
        <v>TypeScript</v>
      </c>
      <c r="F2048" s="9" t="str">
        <f>IFERROR(__xludf.DUMMYFUNCTION("""COMPUTED_VALUE"""),"HTML/CSS")</f>
        <v>HTML/CSS</v>
      </c>
      <c r="G2048" s="9" t="str">
        <f>IFERROR(__xludf.DUMMYFUNCTION("""COMPUTED_VALUE"""),"PHP")</f>
        <v>PHP</v>
      </c>
      <c r="H2048" s="9" t="str">
        <f>IFERROR(__xludf.DUMMYFUNCTION("""COMPUTED_VALUE"""),"Objective-C")</f>
        <v>Objective-C</v>
      </c>
      <c r="I2048" s="9" t="str">
        <f>IFERROR(__xludf.DUMMYFUNCTION("""COMPUTED_VALUE"""),"C++")</f>
        <v>C++</v>
      </c>
      <c r="J2048" s="9" t="str">
        <f>IFERROR(__xludf.DUMMYFUNCTION("""COMPUTED_VALUE"""),"Java")</f>
        <v>Java</v>
      </c>
      <c r="K2048" s="9" t="str">
        <f>IFERROR(__xludf.DUMMYFUNCTION("""COMPUTED_VALUE"""),"TypeScript")</f>
        <v>TypeScript</v>
      </c>
      <c r="L2048" s="9" t="str">
        <f>IFERROR(__xludf.DUMMYFUNCTION("""COMPUTED_VALUE"""),"HTML/CSS")</f>
        <v>HTML/CSS</v>
      </c>
      <c r="M2048" s="9" t="s">
        <v>30</v>
      </c>
    </row>
    <row r="2049" ht="15.75" customHeight="1">
      <c r="A2049" s="7"/>
      <c r="B2049" s="7" t="str">
        <f>IFERROR(__xludf.DUMMYFUNCTION("""COMPUTED_VALUE"""),"HTML/CSS;JavaScript;Ruby;SQL")</f>
        <v>HTML/CSS;JavaScript;Ruby;SQL</v>
      </c>
      <c r="C2049" s="9" t="str">
        <f>IFERROR(__xludf.DUMMYFUNCTION("""COMPUTED_VALUE"""),"JavaScript")</f>
        <v>JavaScript</v>
      </c>
      <c r="D2049" s="9" t="str">
        <f>IFERROR(__xludf.DUMMYFUNCTION("""COMPUTED_VALUE"""),"C#")</f>
        <v>C#</v>
      </c>
      <c r="E2049" s="9" t="str">
        <f>IFERROR(__xludf.DUMMYFUNCTION("""COMPUTED_VALUE"""),"Bash/Shell/PowerShell")</f>
        <v>Bash/Shell/PowerShell</v>
      </c>
      <c r="F2049" s="9" t="str">
        <f>IFERROR(__xludf.DUMMYFUNCTION("""COMPUTED_VALUE"""),"Java")</f>
        <v>Java</v>
      </c>
      <c r="G2049" s="9" t="str">
        <f>IFERROR(__xludf.DUMMYFUNCTION("""COMPUTED_VALUE"""),"HTML/CSS")</f>
        <v>HTML/CSS</v>
      </c>
      <c r="H2049" s="9" t="str">
        <f>IFERROR(__xludf.DUMMYFUNCTION("""COMPUTED_VALUE"""),"PHP")</f>
        <v>PHP</v>
      </c>
      <c r="I2049" s="9" t="str">
        <f>IFERROR(__xludf.DUMMYFUNCTION("""COMPUTED_VALUE"""),"Python")</f>
        <v>Python</v>
      </c>
      <c r="J2049" s="9" t="str">
        <f>IFERROR(__xludf.DUMMYFUNCTION("""COMPUTED_VALUE"""),"JavaScript")</f>
        <v>JavaScript</v>
      </c>
      <c r="K2049" s="9" t="str">
        <f>IFERROR(__xludf.DUMMYFUNCTION("""COMPUTED_VALUE"""),"Bash/Shell/PowerShell")</f>
        <v>Bash/Shell/PowerShell</v>
      </c>
      <c r="L2049" s="9" t="str">
        <f>IFERROR(__xludf.DUMMYFUNCTION("""COMPUTED_VALUE"""),"Java")</f>
        <v>Java</v>
      </c>
      <c r="M2049" s="9" t="s">
        <v>21</v>
      </c>
    </row>
    <row r="2050" ht="15.75" customHeight="1">
      <c r="A2050" s="7"/>
      <c r="B2050" s="7" t="str">
        <f>IFERROR(__xludf.DUMMYFUNCTION("""COMPUTED_VALUE"""),"C#;HTML/CSS;JavaScript;Kotlin;SQL;Swift;TypeScript")</f>
        <v>C#;HTML/CSS;JavaScript;Kotlin;SQL;Swift;TypeScript</v>
      </c>
      <c r="C2050" s="9" t="str">
        <f>IFERROR(__xludf.DUMMYFUNCTION("""COMPUTED_VALUE"""),"Python")</f>
        <v>Python</v>
      </c>
      <c r="D2050" s="9" t="str">
        <f>IFERROR(__xludf.DUMMYFUNCTION("""COMPUTED_VALUE"""),"F#")</f>
        <v>F#</v>
      </c>
      <c r="E2050" s="9" t="str">
        <f>IFERROR(__xludf.DUMMYFUNCTION("""COMPUTED_VALUE"""),"HTML/CSS")</f>
        <v>HTML/CSS</v>
      </c>
      <c r="F2050" s="9" t="str">
        <f>IFERROR(__xludf.DUMMYFUNCTION("""COMPUTED_VALUE"""),"JavaScript")</f>
        <v>JavaScript</v>
      </c>
      <c r="G2050" s="9" t="str">
        <f>IFERROR(__xludf.DUMMYFUNCTION("""COMPUTED_VALUE"""),"JavaScript")</f>
        <v>JavaScript</v>
      </c>
      <c r="H2050" s="9" t="str">
        <f>IFERROR(__xludf.DUMMYFUNCTION("""COMPUTED_VALUE"""),"SQL")</f>
        <v>SQL</v>
      </c>
      <c r="I2050" s="9" t="str">
        <f>IFERROR(__xludf.DUMMYFUNCTION("""COMPUTED_VALUE"""),"Other(s):")</f>
        <v>Other(s):</v>
      </c>
      <c r="J2050" s="9" t="str">
        <f>IFERROR(__xludf.DUMMYFUNCTION("""COMPUTED_VALUE"""),"PHP")</f>
        <v>PHP</v>
      </c>
      <c r="K2050" s="9" t="str">
        <f>IFERROR(__xludf.DUMMYFUNCTION("""COMPUTED_VALUE"""),"C#")</f>
        <v>C#</v>
      </c>
      <c r="L2050" s="9" t="str">
        <f>IFERROR(__xludf.DUMMYFUNCTION("""COMPUTED_VALUE"""),"JavaScript")</f>
        <v>JavaScript</v>
      </c>
      <c r="M2050" s="9" t="s">
        <v>22</v>
      </c>
    </row>
    <row r="2051" ht="15.75" customHeight="1">
      <c r="A2051" s="7"/>
      <c r="B2051" s="7" t="str">
        <f>IFERROR(__xludf.DUMMYFUNCTION("""COMPUTED_VALUE"""),"C;C++;HTML/CSS;Java;JavaScript;PHP;Python;Ruby;SQL;Swift")</f>
        <v>C;C++;HTML/CSS;Java;JavaScript;PHP;Python;Ruby;SQL;Swift</v>
      </c>
      <c r="C2051" s="9" t="str">
        <f>IFERROR(__xludf.DUMMYFUNCTION("""COMPUTED_VALUE"""),"SQL")</f>
        <v>SQL</v>
      </c>
      <c r="D2051" s="9" t="str">
        <f>IFERROR(__xludf.DUMMYFUNCTION("""COMPUTED_VALUE"""),"HTML/CSS")</f>
        <v>HTML/CSS</v>
      </c>
      <c r="E2051" s="9" t="str">
        <f>IFERROR(__xludf.DUMMYFUNCTION("""COMPUTED_VALUE"""),"PHP")</f>
        <v>PHP</v>
      </c>
      <c r="F2051" s="9" t="str">
        <f>IFERROR(__xludf.DUMMYFUNCTION("""COMPUTED_VALUE"""),"SQL")</f>
        <v>SQL</v>
      </c>
      <c r="G2051" s="9" t="str">
        <f>IFERROR(__xludf.DUMMYFUNCTION("""COMPUTED_VALUE"""),"PHP")</f>
        <v>PHP</v>
      </c>
      <c r="H2051" s="9" t="str">
        <f>IFERROR(__xludf.DUMMYFUNCTION("""COMPUTED_VALUE"""),"Swift")</f>
        <v>Swift</v>
      </c>
      <c r="I2051" s="9" t="str">
        <f>IFERROR(__xludf.DUMMYFUNCTION("""COMPUTED_VALUE"""),"C#")</f>
        <v>C#</v>
      </c>
      <c r="J2051" s="9" t="str">
        <f>IFERROR(__xludf.DUMMYFUNCTION("""COMPUTED_VALUE"""),"Python")</f>
        <v>Python</v>
      </c>
      <c r="K2051" s="9" t="str">
        <f>IFERROR(__xludf.DUMMYFUNCTION("""COMPUTED_VALUE"""),"HTML/CSS")</f>
        <v>HTML/CSS</v>
      </c>
      <c r="L2051" s="9" t="str">
        <f>IFERROR(__xludf.DUMMYFUNCTION("""COMPUTED_VALUE"""),"Kotlin")</f>
        <v>Kotlin</v>
      </c>
      <c r="M2051" s="9" t="s">
        <v>27</v>
      </c>
    </row>
    <row r="2052" ht="15.75" customHeight="1">
      <c r="A2052" s="7"/>
      <c r="B2052" s="7" t="str">
        <f>IFERROR(__xludf.DUMMYFUNCTION("""COMPUTED_VALUE"""),"Go;Java;Python")</f>
        <v>Go;Java;Python</v>
      </c>
      <c r="C2052" s="9" t="str">
        <f>IFERROR(__xludf.DUMMYFUNCTION("""COMPUTED_VALUE"""),"HTML/CSS")</f>
        <v>HTML/CSS</v>
      </c>
      <c r="D2052" s="9" t="str">
        <f>IFERROR(__xludf.DUMMYFUNCTION("""COMPUTED_VALUE"""),"Java")</f>
        <v>Java</v>
      </c>
      <c r="E2052" s="9" t="str">
        <f>IFERROR(__xludf.DUMMYFUNCTION("""COMPUTED_VALUE"""),"Python")</f>
        <v>Python</v>
      </c>
      <c r="F2052" s="9" t="str">
        <f>IFERROR(__xludf.DUMMYFUNCTION("""COMPUTED_VALUE"""),"VBA")</f>
        <v>VBA</v>
      </c>
      <c r="G2052" s="9" t="str">
        <f>IFERROR(__xludf.DUMMYFUNCTION("""COMPUTED_VALUE"""),"Python")</f>
        <v>Python</v>
      </c>
      <c r="H2052" s="9" t="str">
        <f>IFERROR(__xludf.DUMMYFUNCTION("""COMPUTED_VALUE"""),"HTML/CSS")</f>
        <v>HTML/CSS</v>
      </c>
      <c r="I2052" s="9" t="str">
        <f>IFERROR(__xludf.DUMMYFUNCTION("""COMPUTED_VALUE"""),"HTML/CSS")</f>
        <v>HTML/CSS</v>
      </c>
      <c r="J2052" s="9" t="str">
        <f>IFERROR(__xludf.DUMMYFUNCTION("""COMPUTED_VALUE"""),"SQL")</f>
        <v>SQL</v>
      </c>
      <c r="K2052" s="9" t="str">
        <f>IFERROR(__xludf.DUMMYFUNCTION("""COMPUTED_VALUE"""),"JavaScript")</f>
        <v>JavaScript</v>
      </c>
      <c r="L2052" s="9" t="str">
        <f>IFERROR(__xludf.DUMMYFUNCTION("""COMPUTED_VALUE"""),"Python")</f>
        <v>Python</v>
      </c>
      <c r="M2052" s="9" t="s">
        <v>24</v>
      </c>
    </row>
    <row r="2053" ht="15.75" customHeight="1">
      <c r="A2053" s="7"/>
      <c r="B2053" s="7" t="str">
        <f>IFERROR(__xludf.DUMMYFUNCTION("""COMPUTED_VALUE"""),"HTML/CSS;JavaScript;TypeScript")</f>
        <v>HTML/CSS;JavaScript;TypeScript</v>
      </c>
      <c r="C2053" s="9" t="str">
        <f>IFERROR(__xludf.DUMMYFUNCTION("""COMPUTED_VALUE"""),"JavaScript")</f>
        <v>JavaScript</v>
      </c>
      <c r="D2053" s="9" t="str">
        <f>IFERROR(__xludf.DUMMYFUNCTION("""COMPUTED_VALUE"""),"JavaScript")</f>
        <v>JavaScript</v>
      </c>
      <c r="E2053" s="9" t="str">
        <f>IFERROR(__xludf.DUMMYFUNCTION("""COMPUTED_VALUE"""),"SQL")</f>
        <v>SQL</v>
      </c>
      <c r="F2053" s="9" t="str">
        <f>IFERROR(__xludf.DUMMYFUNCTION("""COMPUTED_VALUE"""),"Bash/Shell/PowerShell")</f>
        <v>Bash/Shell/PowerShell</v>
      </c>
      <c r="G2053" s="9" t="str">
        <f>IFERROR(__xludf.DUMMYFUNCTION("""COMPUTED_VALUE"""),"R")</f>
        <v>R</v>
      </c>
      <c r="H2053" s="9" t="str">
        <f>IFERROR(__xludf.DUMMYFUNCTION("""COMPUTED_VALUE"""),"JavaScript")</f>
        <v>JavaScript</v>
      </c>
      <c r="I2053" s="9" t="str">
        <f>IFERROR(__xludf.DUMMYFUNCTION("""COMPUTED_VALUE"""),"Java")</f>
        <v>Java</v>
      </c>
      <c r="J2053" s="9" t="str">
        <f>IFERROR(__xludf.DUMMYFUNCTION("""COMPUTED_VALUE"""),"Bash/Shell/PowerShell")</f>
        <v>Bash/Shell/PowerShell</v>
      </c>
      <c r="K2053" s="9" t="str">
        <f>IFERROR(__xludf.DUMMYFUNCTION("""COMPUTED_VALUE"""),"TypeScript")</f>
        <v>TypeScript</v>
      </c>
      <c r="L2053" s="9" t="str">
        <f>IFERROR(__xludf.DUMMYFUNCTION("""COMPUTED_VALUE"""),"SQL")</f>
        <v>SQL</v>
      </c>
      <c r="M2053" s="9" t="s">
        <v>21</v>
      </c>
    </row>
    <row r="2054" ht="15.75" customHeight="1">
      <c r="A2054" s="7"/>
      <c r="B2054" s="7" t="str">
        <f>IFERROR(__xludf.DUMMYFUNCTION("""COMPUTED_VALUE"""),"Assembly;C;C++;HTML/CSS;JavaScript")</f>
        <v>Assembly;C;C++;HTML/CSS;JavaScript</v>
      </c>
      <c r="C2054" s="9" t="str">
        <f>IFERROR(__xludf.DUMMYFUNCTION("""COMPUTED_VALUE"""),"Ruby")</f>
        <v>Ruby</v>
      </c>
      <c r="D2054" s="9" t="str">
        <f>IFERROR(__xludf.DUMMYFUNCTION("""COMPUTED_VALUE"""),"SQL")</f>
        <v>SQL</v>
      </c>
      <c r="E2054" s="9" t="str">
        <f>IFERROR(__xludf.DUMMYFUNCTION("""COMPUTED_VALUE"""),"VBA")</f>
        <v>VBA</v>
      </c>
      <c r="F2054" s="9" t="str">
        <f>IFERROR(__xludf.DUMMYFUNCTION("""COMPUTED_VALUE"""),"C++")</f>
        <v>C++</v>
      </c>
      <c r="G2054" s="9" t="str">
        <f>IFERROR(__xludf.DUMMYFUNCTION("""COMPUTED_VALUE"""),"Bash/Shell/PowerShell")</f>
        <v>Bash/Shell/PowerShell</v>
      </c>
      <c r="H2054" s="9" t="str">
        <f>IFERROR(__xludf.DUMMYFUNCTION("""COMPUTED_VALUE"""),"TypeScript")</f>
        <v>TypeScript</v>
      </c>
      <c r="I2054" s="9" t="str">
        <f>IFERROR(__xludf.DUMMYFUNCTION("""COMPUTED_VALUE"""),"JavaScript")</f>
        <v>JavaScript</v>
      </c>
      <c r="J2054" s="9" t="str">
        <f>IFERROR(__xludf.DUMMYFUNCTION("""COMPUTED_VALUE"""),"C#")</f>
        <v>C#</v>
      </c>
      <c r="K2054" s="9" t="str">
        <f>IFERROR(__xludf.DUMMYFUNCTION("""COMPUTED_VALUE"""),"C#")</f>
        <v>C#</v>
      </c>
      <c r="L2054" s="9" t="str">
        <f>IFERROR(__xludf.DUMMYFUNCTION("""COMPUTED_VALUE"""),"TypeScript")</f>
        <v>TypeScript</v>
      </c>
      <c r="M2054" s="9" t="s">
        <v>31</v>
      </c>
    </row>
    <row r="2055" ht="15.75" customHeight="1">
      <c r="A2055" s="7"/>
      <c r="B2055" s="7" t="str">
        <f>IFERROR(__xludf.DUMMYFUNCTION("""COMPUTED_VALUE"""),"Bash/Shell/PowerShell;HTML/CSS;Java;JavaScript;PHP;SQL")</f>
        <v>Bash/Shell/PowerShell;HTML/CSS;Java;JavaScript;PHP;SQL</v>
      </c>
      <c r="C2055" s="9" t="str">
        <f>IFERROR(__xludf.DUMMYFUNCTION("""COMPUTED_VALUE"""),"C")</f>
        <v>C</v>
      </c>
      <c r="D2055" s="9" t="str">
        <f>IFERROR(__xludf.DUMMYFUNCTION("""COMPUTED_VALUE"""),"TypeScript")</f>
        <v>TypeScript</v>
      </c>
      <c r="E2055" s="9" t="str">
        <f>IFERROR(__xludf.DUMMYFUNCTION("""COMPUTED_VALUE"""),"Other(s):")</f>
        <v>Other(s):</v>
      </c>
      <c r="F2055" s="9" t="str">
        <f>IFERROR(__xludf.DUMMYFUNCTION("""COMPUTED_VALUE"""),"HTML/CSS")</f>
        <v>HTML/CSS</v>
      </c>
      <c r="G2055" s="9" t="str">
        <f>IFERROR(__xludf.DUMMYFUNCTION("""COMPUTED_VALUE"""),"C++")</f>
        <v>C++</v>
      </c>
      <c r="H2055" s="9" t="str">
        <f>IFERROR(__xludf.DUMMYFUNCTION("""COMPUTED_VALUE"""),"Bash/Shell/PowerShell")</f>
        <v>Bash/Shell/PowerShell</v>
      </c>
      <c r="I2055" s="9" t="str">
        <f>IFERROR(__xludf.DUMMYFUNCTION("""COMPUTED_VALUE"""),"PHP")</f>
        <v>PHP</v>
      </c>
      <c r="J2055" s="9" t="str">
        <f>IFERROR(__xludf.DUMMYFUNCTION("""COMPUTED_VALUE"""),"HTML/CSS")</f>
        <v>HTML/CSS</v>
      </c>
      <c r="K2055" s="9" t="str">
        <f>IFERROR(__xludf.DUMMYFUNCTION("""COMPUTED_VALUE"""),"Python")</f>
        <v>Python</v>
      </c>
      <c r="L2055" s="9" t="str">
        <f>IFERROR(__xludf.DUMMYFUNCTION("""COMPUTED_VALUE"""),"C#")</f>
        <v>C#</v>
      </c>
      <c r="M2055" s="9" t="s">
        <v>25</v>
      </c>
    </row>
    <row r="2056" ht="15.75" customHeight="1">
      <c r="A2056" s="7"/>
      <c r="B2056" s="7" t="str">
        <f>IFERROR(__xludf.DUMMYFUNCTION("""COMPUTED_VALUE"""),"Bash/Shell/PowerShell;C;C++;HTML/CSS;JavaScript;Python;R")</f>
        <v>Bash/Shell/PowerShell;C;C++;HTML/CSS;JavaScript;Python;R</v>
      </c>
      <c r="C2056" s="9" t="str">
        <f>IFERROR(__xludf.DUMMYFUNCTION("""COMPUTED_VALUE"""),"C++")</f>
        <v>C++</v>
      </c>
      <c r="D2056" s="9" t="str">
        <f>IFERROR(__xludf.DUMMYFUNCTION("""COMPUTED_VALUE"""),"WebAssembly")</f>
        <v>WebAssembly</v>
      </c>
      <c r="E2056" s="9" t="str">
        <f>IFERROR(__xludf.DUMMYFUNCTION("""COMPUTED_VALUE"""),"Assembly")</f>
        <v>Assembly</v>
      </c>
      <c r="F2056" s="9" t="str">
        <f>IFERROR(__xludf.DUMMYFUNCTION("""COMPUTED_VALUE"""),"JavaScript")</f>
        <v>JavaScript</v>
      </c>
      <c r="G2056" s="9" t="str">
        <f>IFERROR(__xludf.DUMMYFUNCTION("""COMPUTED_VALUE"""),"Go")</f>
        <v>Go</v>
      </c>
      <c r="H2056" s="9" t="str">
        <f>IFERROR(__xludf.DUMMYFUNCTION("""COMPUTED_VALUE"""),"C")</f>
        <v>C</v>
      </c>
      <c r="I2056" s="9" t="str">
        <f>IFERROR(__xludf.DUMMYFUNCTION("""COMPUTED_VALUE"""),"Python")</f>
        <v>Python</v>
      </c>
      <c r="J2056" s="9" t="str">
        <f>IFERROR(__xludf.DUMMYFUNCTION("""COMPUTED_VALUE"""),"Java")</f>
        <v>Java</v>
      </c>
      <c r="K2056" s="9" t="str">
        <f>IFERROR(__xludf.DUMMYFUNCTION("""COMPUTED_VALUE"""),"C#")</f>
        <v>C#</v>
      </c>
      <c r="L2056" s="9" t="str">
        <f>IFERROR(__xludf.DUMMYFUNCTION("""COMPUTED_VALUE"""),"HTML/CSS")</f>
        <v>HTML/CSS</v>
      </c>
      <c r="M2056" s="9" t="s">
        <v>23</v>
      </c>
    </row>
    <row r="2057" ht="15.75" customHeight="1">
      <c r="A2057" s="7"/>
      <c r="B2057" s="7" t="str">
        <f>IFERROR(__xludf.DUMMYFUNCTION("""COMPUTED_VALUE"""),"SQL;Other(s):")</f>
        <v>SQL;Other(s):</v>
      </c>
      <c r="C2057" s="9" t="str">
        <f>IFERROR(__xludf.DUMMYFUNCTION("""COMPUTED_VALUE"""),"C#")</f>
        <v>C#</v>
      </c>
      <c r="D2057" s="9" t="str">
        <f>IFERROR(__xludf.DUMMYFUNCTION("""COMPUTED_VALUE"""),"Bash/Shell/PowerShell")</f>
        <v>Bash/Shell/PowerShell</v>
      </c>
      <c r="E2057" s="9" t="str">
        <f>IFERROR(__xludf.DUMMYFUNCTION("""COMPUTED_VALUE"""),"HTML/CSS")</f>
        <v>HTML/CSS</v>
      </c>
      <c r="F2057" s="9" t="str">
        <f>IFERROR(__xludf.DUMMYFUNCTION("""COMPUTED_VALUE"""),"Objective-C")</f>
        <v>Objective-C</v>
      </c>
      <c r="G2057" s="9" t="str">
        <f>IFERROR(__xludf.DUMMYFUNCTION("""COMPUTED_VALUE"""),"Java")</f>
        <v>Java</v>
      </c>
      <c r="H2057" s="9" t="str">
        <f>IFERROR(__xludf.DUMMYFUNCTION("""COMPUTED_VALUE"""),"C++")</f>
        <v>C++</v>
      </c>
      <c r="I2057" s="9" t="str">
        <f>IFERROR(__xludf.DUMMYFUNCTION("""COMPUTED_VALUE"""),"SQL")</f>
        <v>SQL</v>
      </c>
      <c r="J2057" s="9" t="str">
        <f>IFERROR(__xludf.DUMMYFUNCTION("""COMPUTED_VALUE"""),"JavaScript")</f>
        <v>JavaScript</v>
      </c>
      <c r="K2057" s="9" t="str">
        <f>IFERROR(__xludf.DUMMYFUNCTION("""COMPUTED_VALUE"""),"Java")</f>
        <v>Java</v>
      </c>
      <c r="L2057" s="9" t="str">
        <f>IFERROR(__xludf.DUMMYFUNCTION("""COMPUTED_VALUE"""),"JavaScript")</f>
        <v>JavaScript</v>
      </c>
      <c r="M2057" s="9" t="s">
        <v>26</v>
      </c>
    </row>
    <row r="2058" ht="15.75" customHeight="1">
      <c r="A2058" s="7"/>
      <c r="B2058" s="7" t="str">
        <f>IFERROR(__xludf.DUMMYFUNCTION("""COMPUTED_VALUE"""),"C#;HTML/CSS;JavaScript")</f>
        <v>C#;HTML/CSS;JavaScript</v>
      </c>
      <c r="C2058" s="9" t="str">
        <f>IFERROR(__xludf.DUMMYFUNCTION("""COMPUTED_VALUE"""),"HTML/CSS")</f>
        <v>HTML/CSS</v>
      </c>
      <c r="D2058" s="9" t="str">
        <f>IFERROR(__xludf.DUMMYFUNCTION("""COMPUTED_VALUE"""),"HTML/CSS")</f>
        <v>HTML/CSS</v>
      </c>
      <c r="E2058" s="9" t="str">
        <f>IFERROR(__xludf.DUMMYFUNCTION("""COMPUTED_VALUE"""),"Java")</f>
        <v>Java</v>
      </c>
      <c r="F2058" s="9" t="str">
        <f>IFERROR(__xludf.DUMMYFUNCTION("""COMPUTED_VALUE"""),"PHP")</f>
        <v>PHP</v>
      </c>
      <c r="G2058" s="9" t="str">
        <f>IFERROR(__xludf.DUMMYFUNCTION("""COMPUTED_VALUE"""),"Kotlin")</f>
        <v>Kotlin</v>
      </c>
      <c r="H2058" s="9" t="str">
        <f>IFERROR(__xludf.DUMMYFUNCTION("""COMPUTED_VALUE"""),"Elixir")</f>
        <v>Elixir</v>
      </c>
      <c r="I2058" s="9" t="str">
        <f>IFERROR(__xludf.DUMMYFUNCTION("""COMPUTED_VALUE"""),"Bash/Shell/PowerShell")</f>
        <v>Bash/Shell/PowerShell</v>
      </c>
      <c r="J2058" s="9" t="str">
        <f>IFERROR(__xludf.DUMMYFUNCTION("""COMPUTED_VALUE"""),"PHP")</f>
        <v>PHP</v>
      </c>
      <c r="K2058" s="9" t="str">
        <f>IFERROR(__xludf.DUMMYFUNCTION("""COMPUTED_VALUE"""),"Bash/Shell/PowerShell")</f>
        <v>Bash/Shell/PowerShell</v>
      </c>
      <c r="L2058" s="9" t="str">
        <f>IFERROR(__xludf.DUMMYFUNCTION("""COMPUTED_VALUE"""),"PHP")</f>
        <v>PHP</v>
      </c>
      <c r="M2058" s="9" t="s">
        <v>24</v>
      </c>
    </row>
    <row r="2059" ht="15.75" customHeight="1">
      <c r="A2059" s="7"/>
      <c r="B2059" s="7" t="str">
        <f>IFERROR(__xludf.DUMMYFUNCTION("""COMPUTED_VALUE"""),"Bash/Shell/PowerShell;C;Python")</f>
        <v>Bash/Shell/PowerShell;C;Python</v>
      </c>
      <c r="C2059" s="9" t="str">
        <f>IFERROR(__xludf.DUMMYFUNCTION("""COMPUTED_VALUE"""),"JavaScript")</f>
        <v>JavaScript</v>
      </c>
      <c r="D2059" s="9" t="str">
        <f>IFERROR(__xludf.DUMMYFUNCTION("""COMPUTED_VALUE"""),"JavaScript")</f>
        <v>JavaScript</v>
      </c>
      <c r="E2059" s="9" t="str">
        <f>IFERROR(__xludf.DUMMYFUNCTION("""COMPUTED_VALUE"""),"JavaScript")</f>
        <v>JavaScript</v>
      </c>
      <c r="F2059" s="9" t="str">
        <f>IFERROR(__xludf.DUMMYFUNCTION("""COMPUTED_VALUE"""),"Python")</f>
        <v>Python</v>
      </c>
      <c r="G2059" s="9" t="str">
        <f>IFERROR(__xludf.DUMMYFUNCTION("""COMPUTED_VALUE"""),"Python")</f>
        <v>Python</v>
      </c>
      <c r="H2059" s="9" t="str">
        <f>IFERROR(__xludf.DUMMYFUNCTION("""COMPUTED_VALUE"""),"HTML/CSS")</f>
        <v>HTML/CSS</v>
      </c>
      <c r="I2059" s="9" t="str">
        <f>IFERROR(__xludf.DUMMYFUNCTION("""COMPUTED_VALUE"""),"C")</f>
        <v>C</v>
      </c>
      <c r="J2059" s="9" t="str">
        <f>IFERROR(__xludf.DUMMYFUNCTION("""COMPUTED_VALUE"""),"SQL")</f>
        <v>SQL</v>
      </c>
      <c r="K2059" s="9" t="str">
        <f>IFERROR(__xludf.DUMMYFUNCTION("""COMPUTED_VALUE"""),"Python")</f>
        <v>Python</v>
      </c>
      <c r="L2059" s="9" t="str">
        <f>IFERROR(__xludf.DUMMYFUNCTION("""COMPUTED_VALUE"""),"SQL")</f>
        <v>SQL</v>
      </c>
      <c r="M2059" s="9" t="s">
        <v>21</v>
      </c>
    </row>
    <row r="2060" ht="15.75" customHeight="1">
      <c r="A2060" s="7"/>
      <c r="B2060" s="7" t="str">
        <f>IFERROR(__xludf.DUMMYFUNCTION("""COMPUTED_VALUE"""),"Bash/Shell/PowerShell;HTML/CSS;Python;SQL")</f>
        <v>Bash/Shell/PowerShell;HTML/CSS;Python;SQL</v>
      </c>
      <c r="C2060" s="9" t="str">
        <f>IFERROR(__xludf.DUMMYFUNCTION("""COMPUTED_VALUE"""),"SQL")</f>
        <v>SQL</v>
      </c>
      <c r="D2060" s="9" t="str">
        <f>IFERROR(__xludf.DUMMYFUNCTION("""COMPUTED_VALUE"""),"PHP")</f>
        <v>PHP</v>
      </c>
      <c r="E2060" s="9" t="str">
        <f>IFERROR(__xludf.DUMMYFUNCTION("""COMPUTED_VALUE"""),"SQL")</f>
        <v>SQL</v>
      </c>
      <c r="F2060" s="9" t="str">
        <f>IFERROR(__xludf.DUMMYFUNCTION("""COMPUTED_VALUE"""),"SQL")</f>
        <v>SQL</v>
      </c>
      <c r="G2060" s="9" t="str">
        <f>IFERROR(__xludf.DUMMYFUNCTION("""COMPUTED_VALUE"""),"Scala")</f>
        <v>Scala</v>
      </c>
      <c r="H2060" s="9" t="str">
        <f>IFERROR(__xludf.DUMMYFUNCTION("""COMPUTED_VALUE"""),"Java")</f>
        <v>Java</v>
      </c>
      <c r="I2060" s="9" t="str">
        <f>IFERROR(__xludf.DUMMYFUNCTION("""COMPUTED_VALUE"""),"C++")</f>
        <v>C++</v>
      </c>
      <c r="J2060" s="9" t="str">
        <f>IFERROR(__xludf.DUMMYFUNCTION("""COMPUTED_VALUE"""),"HTML/CSS")</f>
        <v>HTML/CSS</v>
      </c>
      <c r="K2060" s="9" t="str">
        <f>IFERROR(__xludf.DUMMYFUNCTION("""COMPUTED_VALUE"""),"Go")</f>
        <v>Go</v>
      </c>
      <c r="L2060" s="9" t="str">
        <f>IFERROR(__xludf.DUMMYFUNCTION("""COMPUTED_VALUE"""),"TypeScript")</f>
        <v>TypeScript</v>
      </c>
      <c r="M2060" s="9" t="s">
        <v>27</v>
      </c>
    </row>
    <row r="2061" ht="15.75" customHeight="1">
      <c r="A2061" s="7"/>
      <c r="B2061" s="7" t="str">
        <f>IFERROR(__xludf.DUMMYFUNCTION("""COMPUTED_VALUE"""),"Bash/Shell/PowerShell;C++;JavaScript;Python")</f>
        <v>Bash/Shell/PowerShell;C++;JavaScript;Python</v>
      </c>
      <c r="C2061" s="9" t="str">
        <f>IFERROR(__xludf.DUMMYFUNCTION("""COMPUTED_VALUE"""),"TypeScript")</f>
        <v>TypeScript</v>
      </c>
      <c r="D2061" s="9" t="str">
        <f>IFERROR(__xludf.DUMMYFUNCTION("""COMPUTED_VALUE"""),"SQL")</f>
        <v>SQL</v>
      </c>
      <c r="E2061" s="9" t="str">
        <f>IFERROR(__xludf.DUMMYFUNCTION("""COMPUTED_VALUE"""),"Bash/Shell/PowerShell")</f>
        <v>Bash/Shell/PowerShell</v>
      </c>
      <c r="F2061" s="9" t="str">
        <f>IFERROR(__xludf.DUMMYFUNCTION("""COMPUTED_VALUE"""),"C++")</f>
        <v>C++</v>
      </c>
      <c r="G2061" s="9" t="str">
        <f>IFERROR(__xludf.DUMMYFUNCTION("""COMPUTED_VALUE"""),"TypeScript")</f>
        <v>TypeScript</v>
      </c>
      <c r="H2061" s="9" t="str">
        <f>IFERROR(__xludf.DUMMYFUNCTION("""COMPUTED_VALUE"""),"JavaScript")</f>
        <v>JavaScript</v>
      </c>
      <c r="I2061" s="9" t="str">
        <f>IFERROR(__xludf.DUMMYFUNCTION("""COMPUTED_VALUE"""),"HTML/CSS")</f>
        <v>HTML/CSS</v>
      </c>
      <c r="J2061" s="9" t="str">
        <f>IFERROR(__xludf.DUMMYFUNCTION("""COMPUTED_VALUE"""),"JavaScript")</f>
        <v>JavaScript</v>
      </c>
      <c r="K2061" s="9" t="str">
        <f>IFERROR(__xludf.DUMMYFUNCTION("""COMPUTED_VALUE"""),"HTML/CSS")</f>
        <v>HTML/CSS</v>
      </c>
      <c r="L2061" s="9" t="str">
        <f>IFERROR(__xludf.DUMMYFUNCTION("""COMPUTED_VALUE"""),"Bash/Shell/PowerShell")</f>
        <v>Bash/Shell/PowerShell</v>
      </c>
      <c r="M2061" s="9" t="s">
        <v>33</v>
      </c>
    </row>
    <row r="2062" ht="15.75" customHeight="1">
      <c r="A2062" s="7"/>
      <c r="B2062" s="7" t="str">
        <f>IFERROR(__xludf.DUMMYFUNCTION("""COMPUTED_VALUE"""),"Bash/Shell/PowerShell;C#;HTML/CSS;JavaScript;SQL;TypeScript")</f>
        <v>Bash/Shell/PowerShell;C#;HTML/CSS;JavaScript;SQL;TypeScript</v>
      </c>
      <c r="C2062" s="9" t="str">
        <f>IFERROR(__xludf.DUMMYFUNCTION("""COMPUTED_VALUE"""),"HTML/CSS")</f>
        <v>HTML/CSS</v>
      </c>
      <c r="D2062" s="9" t="str">
        <f>IFERROR(__xludf.DUMMYFUNCTION("""COMPUTED_VALUE"""),"Clojure")</f>
        <v>Clojure</v>
      </c>
      <c r="E2062" s="9" t="str">
        <f>IFERROR(__xludf.DUMMYFUNCTION("""COMPUTED_VALUE"""),"HTML/CSS")</f>
        <v>HTML/CSS</v>
      </c>
      <c r="F2062" s="9" t="str">
        <f>IFERROR(__xludf.DUMMYFUNCTION("""COMPUTED_VALUE"""),"HTML/CSS")</f>
        <v>HTML/CSS</v>
      </c>
      <c r="G2062" s="9" t="str">
        <f>IFERROR(__xludf.DUMMYFUNCTION("""COMPUTED_VALUE"""),"Bash/Shell/PowerShell")</f>
        <v>Bash/Shell/PowerShell</v>
      </c>
      <c r="H2062" s="9" t="str">
        <f>IFERROR(__xludf.DUMMYFUNCTION("""COMPUTED_VALUE"""),"Python")</f>
        <v>Python</v>
      </c>
      <c r="I2062" s="9" t="str">
        <f>IFERROR(__xludf.DUMMYFUNCTION("""COMPUTED_VALUE"""),"Python")</f>
        <v>Python</v>
      </c>
      <c r="J2062" s="9" t="str">
        <f>IFERROR(__xludf.DUMMYFUNCTION("""COMPUTED_VALUE"""),"Python")</f>
        <v>Python</v>
      </c>
      <c r="K2062" s="9" t="str">
        <f>IFERROR(__xludf.DUMMYFUNCTION("""COMPUTED_VALUE"""),"JavaScript")</f>
        <v>JavaScript</v>
      </c>
      <c r="L2062" s="9" t="str">
        <f>IFERROR(__xludf.DUMMYFUNCTION("""COMPUTED_VALUE"""),"C++")</f>
        <v>C++</v>
      </c>
      <c r="M2062" s="9" t="s">
        <v>24</v>
      </c>
    </row>
    <row r="2063" ht="15.75" customHeight="1">
      <c r="A2063" s="7"/>
      <c r="B2063" s="7" t="str">
        <f>IFERROR(__xludf.DUMMYFUNCTION("""COMPUTED_VALUE"""),"Bash/Shell/PowerShell;C++;Python;R")</f>
        <v>Bash/Shell/PowerShell;C++;Python;R</v>
      </c>
      <c r="C2063" s="9" t="str">
        <f>IFERROR(__xludf.DUMMYFUNCTION("""COMPUTED_VALUE"""),"JavaScript")</f>
        <v>JavaScript</v>
      </c>
      <c r="D2063" s="9" t="str">
        <f>IFERROR(__xludf.DUMMYFUNCTION("""COMPUTED_VALUE"""),"JavaScript")</f>
        <v>JavaScript</v>
      </c>
      <c r="E2063" s="9" t="str">
        <f>IFERROR(__xludf.DUMMYFUNCTION("""COMPUTED_VALUE"""),"JavaScript")</f>
        <v>JavaScript</v>
      </c>
      <c r="F2063" s="9" t="str">
        <f>IFERROR(__xludf.DUMMYFUNCTION("""COMPUTED_VALUE"""),"JavaScript")</f>
        <v>JavaScript</v>
      </c>
      <c r="G2063" s="9" t="str">
        <f>IFERROR(__xludf.DUMMYFUNCTION("""COMPUTED_VALUE"""),"C")</f>
        <v>C</v>
      </c>
      <c r="H2063" s="9" t="str">
        <f>IFERROR(__xludf.DUMMYFUNCTION("""COMPUTED_VALUE"""),"Ruby")</f>
        <v>Ruby</v>
      </c>
      <c r="I2063" s="9" t="str">
        <f>IFERROR(__xludf.DUMMYFUNCTION("""COMPUTED_VALUE"""),"SQL")</f>
        <v>SQL</v>
      </c>
      <c r="J2063" s="9" t="str">
        <f>IFERROR(__xludf.DUMMYFUNCTION("""COMPUTED_VALUE"""),"R")</f>
        <v>R</v>
      </c>
      <c r="K2063" s="9" t="str">
        <f>IFERROR(__xludf.DUMMYFUNCTION("""COMPUTED_VALUE"""),"Objective-C")</f>
        <v>Objective-C</v>
      </c>
      <c r="L2063" s="9" t="str">
        <f>IFERROR(__xludf.DUMMYFUNCTION("""COMPUTED_VALUE"""),"Go")</f>
        <v>Go</v>
      </c>
      <c r="M2063" s="9" t="s">
        <v>21</v>
      </c>
    </row>
    <row r="2064" ht="15.75" customHeight="1">
      <c r="A2064" s="7"/>
      <c r="B2064" s="7" t="str">
        <f>IFERROR(__xludf.DUMMYFUNCTION("""COMPUTED_VALUE"""),"HTML/CSS;JavaScript")</f>
        <v>HTML/CSS;JavaScript</v>
      </c>
      <c r="C2064" s="9" t="str">
        <f>IFERROR(__xludf.DUMMYFUNCTION("""COMPUTED_VALUE"""),"HTML/CSS")</f>
        <v>HTML/CSS</v>
      </c>
      <c r="D2064" s="9" t="str">
        <f>IFERROR(__xludf.DUMMYFUNCTION("""COMPUTED_VALUE"""),"Python")</f>
        <v>Python</v>
      </c>
      <c r="E2064" s="9" t="str">
        <f>IFERROR(__xludf.DUMMYFUNCTION("""COMPUTED_VALUE"""),"PHP")</f>
        <v>PHP</v>
      </c>
      <c r="F2064" s="9" t="str">
        <f>IFERROR(__xludf.DUMMYFUNCTION("""COMPUTED_VALUE"""),"PHP")</f>
        <v>PHP</v>
      </c>
      <c r="G2064" s="9" t="str">
        <f>IFERROR(__xludf.DUMMYFUNCTION("""COMPUTED_VALUE"""),"C++")</f>
        <v>C++</v>
      </c>
      <c r="H2064" s="9" t="str">
        <f>IFERROR(__xludf.DUMMYFUNCTION("""COMPUTED_VALUE"""),"HTML/CSS")</f>
        <v>HTML/CSS</v>
      </c>
      <c r="I2064" s="9" t="str">
        <f>IFERROR(__xludf.DUMMYFUNCTION("""COMPUTED_VALUE"""),"HTML/CSS")</f>
        <v>HTML/CSS</v>
      </c>
      <c r="J2064" s="9" t="str">
        <f>IFERROR(__xludf.DUMMYFUNCTION("""COMPUTED_VALUE"""),"Bash/Shell/PowerShell")</f>
        <v>Bash/Shell/PowerShell</v>
      </c>
      <c r="K2064" s="9" t="str">
        <f>IFERROR(__xludf.DUMMYFUNCTION("""COMPUTED_VALUE"""),"Python")</f>
        <v>Python</v>
      </c>
      <c r="L2064" s="9" t="str">
        <f>IFERROR(__xludf.DUMMYFUNCTION("""COMPUTED_VALUE"""),"Python")</f>
        <v>Python</v>
      </c>
      <c r="M2064" s="9" t="s">
        <v>24</v>
      </c>
    </row>
    <row r="2065" ht="15.75" customHeight="1">
      <c r="A2065" s="7"/>
      <c r="B2065" s="7" t="str">
        <f>IFERROR(__xludf.DUMMYFUNCTION("""COMPUTED_VALUE"""),"HTML/CSS;Java;JavaScript;PHP;Ruby;SQL")</f>
        <v>HTML/CSS;Java;JavaScript;PHP;Ruby;SQL</v>
      </c>
      <c r="C2065" s="9" t="str">
        <f>IFERROR(__xludf.DUMMYFUNCTION("""COMPUTED_VALUE"""),"JavaScript")</f>
        <v>JavaScript</v>
      </c>
      <c r="D2065" s="9" t="str">
        <f>IFERROR(__xludf.DUMMYFUNCTION("""COMPUTED_VALUE"""),"Other(s):")</f>
        <v>Other(s):</v>
      </c>
      <c r="E2065" s="9" t="str">
        <f>IFERROR(__xludf.DUMMYFUNCTION("""COMPUTED_VALUE"""),"Python")</f>
        <v>Python</v>
      </c>
      <c r="F2065" s="9" t="str">
        <f>IFERROR(__xludf.DUMMYFUNCTION("""COMPUTED_VALUE"""),"SQL")</f>
        <v>SQL</v>
      </c>
      <c r="G2065" s="9" t="str">
        <f>IFERROR(__xludf.DUMMYFUNCTION("""COMPUTED_VALUE"""),"Go")</f>
        <v>Go</v>
      </c>
      <c r="H2065" s="9" t="str">
        <f>IFERROR(__xludf.DUMMYFUNCTION("""COMPUTED_VALUE"""),"JavaScript")</f>
        <v>JavaScript</v>
      </c>
      <c r="I2065" s="9" t="str">
        <f>IFERROR(__xludf.DUMMYFUNCTION("""COMPUTED_VALUE"""),"Java")</f>
        <v>Java</v>
      </c>
      <c r="J2065" s="9" t="str">
        <f>IFERROR(__xludf.DUMMYFUNCTION("""COMPUTED_VALUE"""),"HTML/CSS")</f>
        <v>HTML/CSS</v>
      </c>
      <c r="K2065" s="9" t="str">
        <f>IFERROR(__xludf.DUMMYFUNCTION("""COMPUTED_VALUE"""),"Ruby")</f>
        <v>Ruby</v>
      </c>
      <c r="L2065" s="9" t="str">
        <f>IFERROR(__xludf.DUMMYFUNCTION("""COMPUTED_VALUE"""),"SQL")</f>
        <v>SQL</v>
      </c>
      <c r="M2065" s="9" t="s">
        <v>21</v>
      </c>
    </row>
    <row r="2066" ht="15.75" customHeight="1">
      <c r="A2066" s="7"/>
      <c r="B2066" s="7" t="str">
        <f>IFERROR(__xludf.DUMMYFUNCTION("""COMPUTED_VALUE"""),"C++;HTML/CSS;Java;JavaScript;Python")</f>
        <v>C++;HTML/CSS;Java;JavaScript;Python</v>
      </c>
      <c r="C2066" s="9" t="str">
        <f>IFERROR(__xludf.DUMMYFUNCTION("""COMPUTED_VALUE"""),"SQL")</f>
        <v>SQL</v>
      </c>
      <c r="D2066" s="9" t="str">
        <f>IFERROR(__xludf.DUMMYFUNCTION("""COMPUTED_VALUE"""),"Java")</f>
        <v>Java</v>
      </c>
      <c r="E2066" s="9" t="str">
        <f>IFERROR(__xludf.DUMMYFUNCTION("""COMPUTED_VALUE"""),"SQL")</f>
        <v>SQL</v>
      </c>
      <c r="F2066" s="9" t="str">
        <f>IFERROR(__xludf.DUMMYFUNCTION("""COMPUTED_VALUE"""),"Bash/Shell/PowerShell")</f>
        <v>Bash/Shell/PowerShell</v>
      </c>
      <c r="G2066" s="9" t="str">
        <f>IFERROR(__xludf.DUMMYFUNCTION("""COMPUTED_VALUE"""),"HTML/CSS")</f>
        <v>HTML/CSS</v>
      </c>
      <c r="H2066" s="9" t="str">
        <f>IFERROR(__xludf.DUMMYFUNCTION("""COMPUTED_VALUE"""),"PHP")</f>
        <v>PHP</v>
      </c>
      <c r="I2066" s="9" t="str">
        <f>IFERROR(__xludf.DUMMYFUNCTION("""COMPUTED_VALUE"""),"PHP")</f>
        <v>PHP</v>
      </c>
      <c r="J2066" s="9" t="str">
        <f>IFERROR(__xludf.DUMMYFUNCTION("""COMPUTED_VALUE"""),"Java")</f>
        <v>Java</v>
      </c>
      <c r="K2066" s="9" t="str">
        <f>IFERROR(__xludf.DUMMYFUNCTION("""COMPUTED_VALUE"""),"SQL")</f>
        <v>SQL</v>
      </c>
      <c r="L2066" s="9" t="str">
        <f>IFERROR(__xludf.DUMMYFUNCTION("""COMPUTED_VALUE"""),"HTML/CSS")</f>
        <v>HTML/CSS</v>
      </c>
      <c r="M2066" s="9" t="s">
        <v>27</v>
      </c>
    </row>
    <row r="2067" ht="15.75" customHeight="1">
      <c r="A2067" s="7"/>
      <c r="B2067" s="7" t="str">
        <f>IFERROR(__xludf.DUMMYFUNCTION("""COMPUTED_VALUE"""),"C#;HTML/CSS;JavaScript;TypeScript")</f>
        <v>C#;HTML/CSS;JavaScript;TypeScript</v>
      </c>
      <c r="C2067" s="9" t="str">
        <f>IFERROR(__xludf.DUMMYFUNCTION("""COMPUTED_VALUE"""),"VBA")</f>
        <v>VBA</v>
      </c>
      <c r="D2067" s="9" t="str">
        <f>IFERROR(__xludf.DUMMYFUNCTION("""COMPUTED_VALUE"""),"Bash/Shell/PowerShell")</f>
        <v>Bash/Shell/PowerShell</v>
      </c>
      <c r="E2067" s="9" t="str">
        <f>IFERROR(__xludf.DUMMYFUNCTION("""COMPUTED_VALUE"""),"Go")</f>
        <v>Go</v>
      </c>
      <c r="F2067" s="9" t="str">
        <f>IFERROR(__xludf.DUMMYFUNCTION("""COMPUTED_VALUE"""),"C#")</f>
        <v>C#</v>
      </c>
      <c r="G2067" s="9" t="str">
        <f>IFERROR(__xludf.DUMMYFUNCTION("""COMPUTED_VALUE"""),"JavaScript")</f>
        <v>JavaScript</v>
      </c>
      <c r="H2067" s="9" t="str">
        <f>IFERROR(__xludf.DUMMYFUNCTION("""COMPUTED_VALUE"""),"Python")</f>
        <v>Python</v>
      </c>
      <c r="I2067" s="9" t="str">
        <f>IFERROR(__xludf.DUMMYFUNCTION("""COMPUTED_VALUE"""),"SQL")</f>
        <v>SQL</v>
      </c>
      <c r="J2067" s="9" t="str">
        <f>IFERROR(__xludf.DUMMYFUNCTION("""COMPUTED_VALUE"""),"JavaScript")</f>
        <v>JavaScript</v>
      </c>
      <c r="K2067" s="9" t="str">
        <f>IFERROR(__xludf.DUMMYFUNCTION("""COMPUTED_VALUE"""),"Bash/Shell/PowerShell")</f>
        <v>Bash/Shell/PowerShell</v>
      </c>
      <c r="L2067" s="9" t="str">
        <f>IFERROR(__xludf.DUMMYFUNCTION("""COMPUTED_VALUE"""),"Java")</f>
        <v>Java</v>
      </c>
      <c r="M2067" s="9" t="s">
        <v>28</v>
      </c>
    </row>
    <row r="2068" ht="15.75" customHeight="1">
      <c r="A2068" s="7"/>
      <c r="B2068" s="7" t="str">
        <f>IFERROR(__xludf.DUMMYFUNCTION("""COMPUTED_VALUE"""),"Objective-C;Swift")</f>
        <v>Objective-C;Swift</v>
      </c>
      <c r="C2068" s="9" t="str">
        <f>IFERROR(__xludf.DUMMYFUNCTION("""COMPUTED_VALUE"""),"C")</f>
        <v>C</v>
      </c>
      <c r="D2068" s="9" t="str">
        <f>IFERROR(__xludf.DUMMYFUNCTION("""COMPUTED_VALUE"""),"Java")</f>
        <v>Java</v>
      </c>
      <c r="E2068" s="9" t="str">
        <f>IFERROR(__xludf.DUMMYFUNCTION("""COMPUTED_VALUE"""),"HTML/CSS")</f>
        <v>HTML/CSS</v>
      </c>
      <c r="F2068" s="9" t="str">
        <f>IFERROR(__xludf.DUMMYFUNCTION("""COMPUTED_VALUE"""),"Other(s):")</f>
        <v>Other(s):</v>
      </c>
      <c r="G2068" s="9" t="str">
        <f>IFERROR(__xludf.DUMMYFUNCTION("""COMPUTED_VALUE"""),"Bash/Shell/PowerShell")</f>
        <v>Bash/Shell/PowerShell</v>
      </c>
      <c r="H2068" s="9" t="str">
        <f>IFERROR(__xludf.DUMMYFUNCTION("""COMPUTED_VALUE"""),"SQL")</f>
        <v>SQL</v>
      </c>
      <c r="I2068" s="9" t="str">
        <f>IFERROR(__xludf.DUMMYFUNCTION("""COMPUTED_VALUE"""),"TypeScript")</f>
        <v>TypeScript</v>
      </c>
      <c r="J2068" s="9" t="str">
        <f>IFERROR(__xludf.DUMMYFUNCTION("""COMPUTED_VALUE"""),"Scala")</f>
        <v>Scala</v>
      </c>
      <c r="K2068" s="9" t="str">
        <f>IFERROR(__xludf.DUMMYFUNCTION("""COMPUTED_VALUE"""),"Java")</f>
        <v>Java</v>
      </c>
      <c r="L2068" s="9" t="str">
        <f>IFERROR(__xludf.DUMMYFUNCTION("""COMPUTED_VALUE"""),"JavaScript")</f>
        <v>JavaScript</v>
      </c>
      <c r="M2068" s="9" t="s">
        <v>25</v>
      </c>
    </row>
    <row r="2069" ht="15.75" customHeight="1">
      <c r="A2069" s="7"/>
      <c r="B2069" s="7" t="str">
        <f>IFERROR(__xludf.DUMMYFUNCTION("""COMPUTED_VALUE"""),"HTML/CSS;JavaScript")</f>
        <v>HTML/CSS;JavaScript</v>
      </c>
      <c r="C2069" s="9" t="str">
        <f>IFERROR(__xludf.DUMMYFUNCTION("""COMPUTED_VALUE"""),"C++")</f>
        <v>C++</v>
      </c>
      <c r="D2069" s="9" t="str">
        <f>IFERROR(__xludf.DUMMYFUNCTION("""COMPUTED_VALUE"""),"Python")</f>
        <v>Python</v>
      </c>
      <c r="E2069" s="9" t="str">
        <f>IFERROR(__xludf.DUMMYFUNCTION("""COMPUTED_VALUE"""),"Java")</f>
        <v>Java</v>
      </c>
      <c r="F2069" s="9" t="str">
        <f>IFERROR(__xludf.DUMMYFUNCTION("""COMPUTED_VALUE"""),"HTML/CSS")</f>
        <v>HTML/CSS</v>
      </c>
      <c r="G2069" s="9" t="str">
        <f>IFERROR(__xludf.DUMMYFUNCTION("""COMPUTED_VALUE"""),"HTML/CSS")</f>
        <v>HTML/CSS</v>
      </c>
      <c r="H2069" s="9" t="str">
        <f>IFERROR(__xludf.DUMMYFUNCTION("""COMPUTED_VALUE"""),"Bash/Shell/PowerShell")</f>
        <v>Bash/Shell/PowerShell</v>
      </c>
      <c r="I2069" s="9" t="str">
        <f>IFERROR(__xludf.DUMMYFUNCTION("""COMPUTED_VALUE"""),"Java")</f>
        <v>Java</v>
      </c>
      <c r="J2069" s="9" t="str">
        <f>IFERROR(__xludf.DUMMYFUNCTION("""COMPUTED_VALUE"""),"F#")</f>
        <v>F#</v>
      </c>
      <c r="K2069" s="9" t="str">
        <f>IFERROR(__xludf.DUMMYFUNCTION("""COMPUTED_VALUE"""),"Python")</f>
        <v>Python</v>
      </c>
      <c r="L2069" s="9" t="str">
        <f>IFERROR(__xludf.DUMMYFUNCTION("""COMPUTED_VALUE"""),"Python")</f>
        <v>Python</v>
      </c>
      <c r="M2069" s="9" t="s">
        <v>23</v>
      </c>
    </row>
    <row r="2070" ht="15.75" customHeight="1">
      <c r="A2070" s="7"/>
      <c r="B2070" s="7" t="str">
        <f>IFERROR(__xludf.DUMMYFUNCTION("""COMPUTED_VALUE"""),"Assembly;Bash/Shell/PowerShell;HTML/CSS;JavaScript;PHP;SQL")</f>
        <v>Assembly;Bash/Shell/PowerShell;HTML/CSS;JavaScript;PHP;SQL</v>
      </c>
      <c r="C2070" s="9" t="str">
        <f>IFERROR(__xludf.DUMMYFUNCTION("""COMPUTED_VALUE"""),"C#")</f>
        <v>C#</v>
      </c>
      <c r="D2070" s="9" t="str">
        <f>IFERROR(__xludf.DUMMYFUNCTION("""COMPUTED_VALUE"""),"Scala")</f>
        <v>Scala</v>
      </c>
      <c r="E2070" s="9" t="str">
        <f>IFERROR(__xludf.DUMMYFUNCTION("""COMPUTED_VALUE"""),"JavaScript")</f>
        <v>JavaScript</v>
      </c>
      <c r="F2070" s="9" t="str">
        <f>IFERROR(__xludf.DUMMYFUNCTION("""COMPUTED_VALUE"""),"JavaScript")</f>
        <v>JavaScript</v>
      </c>
      <c r="G2070" s="9" t="str">
        <f>IFERROR(__xludf.DUMMYFUNCTION("""COMPUTED_VALUE"""),"JavaScript")</f>
        <v>JavaScript</v>
      </c>
      <c r="H2070" s="9" t="str">
        <f>IFERROR(__xludf.DUMMYFUNCTION("""COMPUTED_VALUE"""),"C")</f>
        <v>C</v>
      </c>
      <c r="I2070" s="9" t="str">
        <f>IFERROR(__xludf.DUMMYFUNCTION("""COMPUTED_VALUE"""),"JavaScript")</f>
        <v>JavaScript</v>
      </c>
      <c r="J2070" s="9" t="str">
        <f>IFERROR(__xludf.DUMMYFUNCTION("""COMPUTED_VALUE"""),"Python")</f>
        <v>Python</v>
      </c>
      <c r="K2070" s="9" t="str">
        <f>IFERROR(__xludf.DUMMYFUNCTION("""COMPUTED_VALUE"""),"Ruby")</f>
        <v>Ruby</v>
      </c>
      <c r="L2070" s="9" t="str">
        <f>IFERROR(__xludf.DUMMYFUNCTION("""COMPUTED_VALUE"""),"C")</f>
        <v>C</v>
      </c>
      <c r="M2070" s="9" t="s">
        <v>26</v>
      </c>
    </row>
    <row r="2071" ht="15.75" customHeight="1">
      <c r="A2071" s="7"/>
      <c r="B2071" s="7" t="str">
        <f>IFERROR(__xludf.DUMMYFUNCTION("""COMPUTED_VALUE"""),"Java;JavaScript;Python;Other(s):")</f>
        <v>Java;JavaScript;Python;Other(s):</v>
      </c>
      <c r="C2071" s="9" t="str">
        <f>IFERROR(__xludf.DUMMYFUNCTION("""COMPUTED_VALUE"""),"HTML/CSS")</f>
        <v>HTML/CSS</v>
      </c>
      <c r="D2071" s="9" t="str">
        <f>IFERROR(__xludf.DUMMYFUNCTION("""COMPUTED_VALUE"""),"SQL")</f>
        <v>SQL</v>
      </c>
      <c r="E2071" s="9" t="str">
        <f>IFERROR(__xludf.DUMMYFUNCTION("""COMPUTED_VALUE"""),"Python")</f>
        <v>Python</v>
      </c>
      <c r="F2071" s="9" t="str">
        <f>IFERROR(__xludf.DUMMYFUNCTION("""COMPUTED_VALUE"""),"PHP")</f>
        <v>PHP</v>
      </c>
      <c r="G2071" s="9" t="str">
        <f>IFERROR(__xludf.DUMMYFUNCTION("""COMPUTED_VALUE"""),"C#")</f>
        <v>C#</v>
      </c>
      <c r="H2071" s="9" t="str">
        <f>IFERROR(__xludf.DUMMYFUNCTION("""COMPUTED_VALUE"""),"C++")</f>
        <v>C++</v>
      </c>
      <c r="I2071" s="9" t="str">
        <f>IFERROR(__xludf.DUMMYFUNCTION("""COMPUTED_VALUE"""),"Kotlin")</f>
        <v>Kotlin</v>
      </c>
      <c r="J2071" s="9" t="str">
        <f>IFERROR(__xludf.DUMMYFUNCTION("""COMPUTED_VALUE"""),"Other(s):")</f>
        <v>Other(s):</v>
      </c>
      <c r="K2071" s="9" t="str">
        <f>IFERROR(__xludf.DUMMYFUNCTION("""COMPUTED_VALUE"""),"C++")</f>
        <v>C++</v>
      </c>
      <c r="L2071" s="9" t="str">
        <f>IFERROR(__xludf.DUMMYFUNCTION("""COMPUTED_VALUE"""),"HTML/CSS")</f>
        <v>HTML/CSS</v>
      </c>
      <c r="M2071" s="9" t="s">
        <v>24</v>
      </c>
    </row>
    <row r="2072" ht="15.75" customHeight="1">
      <c r="A2072" s="7"/>
      <c r="B2072" s="7" t="str">
        <f>IFERROR(__xludf.DUMMYFUNCTION("""COMPUTED_VALUE"""),"Java;JavaScript;SQL")</f>
        <v>Java;JavaScript;SQL</v>
      </c>
      <c r="C2072" s="9" t="str">
        <f>IFERROR(__xludf.DUMMYFUNCTION("""COMPUTED_VALUE"""),"Java")</f>
        <v>Java</v>
      </c>
      <c r="D2072" s="9" t="str">
        <f>IFERROR(__xludf.DUMMYFUNCTION("""COMPUTED_VALUE"""),"HTML/CSS")</f>
        <v>HTML/CSS</v>
      </c>
      <c r="E2072" s="9" t="str">
        <f>IFERROR(__xludf.DUMMYFUNCTION("""COMPUTED_VALUE"""),"Ruby")</f>
        <v>Ruby</v>
      </c>
      <c r="F2072" s="9" t="str">
        <f>IFERROR(__xludf.DUMMYFUNCTION("""COMPUTED_VALUE"""),"SQL")</f>
        <v>SQL</v>
      </c>
      <c r="G2072" s="9" t="str">
        <f>IFERROR(__xludf.DUMMYFUNCTION("""COMPUTED_VALUE"""),"Java")</f>
        <v>Java</v>
      </c>
      <c r="H2072" s="9" t="str">
        <f>IFERROR(__xludf.DUMMYFUNCTION("""COMPUTED_VALUE"""),"HTML/CSS")</f>
        <v>HTML/CSS</v>
      </c>
      <c r="I2072" s="9" t="str">
        <f>IFERROR(__xludf.DUMMYFUNCTION("""COMPUTED_VALUE"""),"SQL")</f>
        <v>SQL</v>
      </c>
      <c r="J2072" s="9" t="str">
        <f>IFERROR(__xludf.DUMMYFUNCTION("""COMPUTED_VALUE"""),"Bash/Shell/PowerShell")</f>
        <v>Bash/Shell/PowerShell</v>
      </c>
      <c r="K2072" s="9" t="str">
        <f>IFERROR(__xludf.DUMMYFUNCTION("""COMPUTED_VALUE"""),"C#")</f>
        <v>C#</v>
      </c>
      <c r="L2072" s="9" t="str">
        <f>IFERROR(__xludf.DUMMYFUNCTION("""COMPUTED_VALUE"""),"Java")</f>
        <v>Java</v>
      </c>
      <c r="M2072" s="9" t="s">
        <v>20</v>
      </c>
    </row>
    <row r="2073" ht="15.75" customHeight="1">
      <c r="A2073" s="7"/>
      <c r="B2073" s="7" t="str">
        <f>IFERROR(__xludf.DUMMYFUNCTION("""COMPUTED_VALUE"""),"C;R")</f>
        <v>C;R</v>
      </c>
      <c r="C2073" s="9" t="str">
        <f>IFERROR(__xludf.DUMMYFUNCTION("""COMPUTED_VALUE"""),"JavaScript")</f>
        <v>JavaScript</v>
      </c>
      <c r="D2073" s="9" t="str">
        <f>IFERROR(__xludf.DUMMYFUNCTION("""COMPUTED_VALUE"""),"JavaScript")</f>
        <v>JavaScript</v>
      </c>
      <c r="E2073" s="9" t="str">
        <f>IFERROR(__xludf.DUMMYFUNCTION("""COMPUTED_VALUE"""),"SQL")</f>
        <v>SQL</v>
      </c>
      <c r="F2073" s="9" t="str">
        <f>IFERROR(__xludf.DUMMYFUNCTION("""COMPUTED_VALUE"""),"Java")</f>
        <v>Java</v>
      </c>
      <c r="G2073" s="9" t="str">
        <f>IFERROR(__xludf.DUMMYFUNCTION("""COMPUTED_VALUE"""),"JavaScript")</f>
        <v>JavaScript</v>
      </c>
      <c r="H2073" s="9" t="str">
        <f>IFERROR(__xludf.DUMMYFUNCTION("""COMPUTED_VALUE"""),"Java")</f>
        <v>Java</v>
      </c>
      <c r="I2073" s="9" t="str">
        <f>IFERROR(__xludf.DUMMYFUNCTION("""COMPUTED_VALUE"""),"Bash/Shell/PowerShell")</f>
        <v>Bash/Shell/PowerShell</v>
      </c>
      <c r="J2073" s="9" t="str">
        <f>IFERROR(__xludf.DUMMYFUNCTION("""COMPUTED_VALUE"""),"C#")</f>
        <v>C#</v>
      </c>
      <c r="K2073" s="9" t="str">
        <f>IFERROR(__xludf.DUMMYFUNCTION("""COMPUTED_VALUE"""),"Java")</f>
        <v>Java</v>
      </c>
      <c r="L2073" s="9" t="str">
        <f>IFERROR(__xludf.DUMMYFUNCTION("""COMPUTED_VALUE"""),"JavaScript")</f>
        <v>JavaScript</v>
      </c>
      <c r="M2073" s="9" t="s">
        <v>21</v>
      </c>
    </row>
    <row r="2074" ht="15.75" customHeight="1">
      <c r="A2074" s="7"/>
      <c r="B2074" s="7" t="str">
        <f>IFERROR(__xludf.DUMMYFUNCTION("""COMPUTED_VALUE"""),"C;C++;VBA")</f>
        <v>C;C++;VBA</v>
      </c>
      <c r="C2074" s="9" t="str">
        <f>IFERROR(__xludf.DUMMYFUNCTION("""COMPUTED_VALUE"""),"PHP")</f>
        <v>PHP</v>
      </c>
      <c r="D2074" s="9" t="str">
        <f>IFERROR(__xludf.DUMMYFUNCTION("""COMPUTED_VALUE"""),"TypeScript")</f>
        <v>TypeScript</v>
      </c>
      <c r="E2074" s="9" t="str">
        <f>IFERROR(__xludf.DUMMYFUNCTION("""COMPUTED_VALUE"""),"TypeScript")</f>
        <v>TypeScript</v>
      </c>
      <c r="F2074" s="9" t="str">
        <f>IFERROR(__xludf.DUMMYFUNCTION("""COMPUTED_VALUE"""),"JavaScript")</f>
        <v>JavaScript</v>
      </c>
      <c r="G2074" s="9" t="str">
        <f>IFERROR(__xludf.DUMMYFUNCTION("""COMPUTED_VALUE"""),"C++")</f>
        <v>C++</v>
      </c>
      <c r="H2074" s="9" t="str">
        <f>IFERROR(__xludf.DUMMYFUNCTION("""COMPUTED_VALUE"""),"JavaScript")</f>
        <v>JavaScript</v>
      </c>
      <c r="I2074" s="9" t="str">
        <f>IFERROR(__xludf.DUMMYFUNCTION("""COMPUTED_VALUE"""),"Java")</f>
        <v>Java</v>
      </c>
      <c r="J2074" s="9" t="str">
        <f>IFERROR(__xludf.DUMMYFUNCTION("""COMPUTED_VALUE"""),"HTML/CSS")</f>
        <v>HTML/CSS</v>
      </c>
      <c r="K2074" s="9" t="str">
        <f>IFERROR(__xludf.DUMMYFUNCTION("""COMPUTED_VALUE"""),"SQL")</f>
        <v>SQL</v>
      </c>
      <c r="L2074" s="9" t="str">
        <f>IFERROR(__xludf.DUMMYFUNCTION("""COMPUTED_VALUE"""),"PHP")</f>
        <v>PHP</v>
      </c>
      <c r="M2074" s="9" t="s">
        <v>37</v>
      </c>
    </row>
    <row r="2075" ht="15.75" customHeight="1">
      <c r="A2075" s="7"/>
      <c r="B2075" s="7" t="str">
        <f>IFERROR(__xludf.DUMMYFUNCTION("""COMPUTED_VALUE"""),"Assembly;Bash/Shell/PowerShell;Java")</f>
        <v>Assembly;Bash/Shell/PowerShell;Java</v>
      </c>
      <c r="C2075" s="9" t="str">
        <f>IFERROR(__xludf.DUMMYFUNCTION("""COMPUTED_VALUE"""),"Python")</f>
        <v>Python</v>
      </c>
      <c r="D2075" s="9" t="str">
        <f>IFERROR(__xludf.DUMMYFUNCTION("""COMPUTED_VALUE"""),"C#")</f>
        <v>C#</v>
      </c>
      <c r="E2075" s="9" t="str">
        <f>IFERROR(__xludf.DUMMYFUNCTION("""COMPUTED_VALUE"""),"Java")</f>
        <v>Java</v>
      </c>
      <c r="F2075" s="9" t="str">
        <f>IFERROR(__xludf.DUMMYFUNCTION("""COMPUTED_VALUE"""),"Python")</f>
        <v>Python</v>
      </c>
      <c r="G2075" s="9" t="str">
        <f>IFERROR(__xludf.DUMMYFUNCTION("""COMPUTED_VALUE"""),"C#")</f>
        <v>C#</v>
      </c>
      <c r="H2075" s="9" t="str">
        <f>IFERROR(__xludf.DUMMYFUNCTION("""COMPUTED_VALUE"""),"Python")</f>
        <v>Python</v>
      </c>
      <c r="I2075" s="9" t="str">
        <f>IFERROR(__xludf.DUMMYFUNCTION("""COMPUTED_VALUE"""),"JavaScript")</f>
        <v>JavaScript</v>
      </c>
      <c r="J2075" s="9" t="str">
        <f>IFERROR(__xludf.DUMMYFUNCTION("""COMPUTED_VALUE"""),"JavaScript")</f>
        <v>JavaScript</v>
      </c>
      <c r="K2075" s="9" t="str">
        <f>IFERROR(__xludf.DUMMYFUNCTION("""COMPUTED_VALUE"""),"Bash/Shell/PowerShell")</f>
        <v>Bash/Shell/PowerShell</v>
      </c>
      <c r="L2075" s="9" t="str">
        <f>IFERROR(__xludf.DUMMYFUNCTION("""COMPUTED_VALUE"""),"Python")</f>
        <v>Python</v>
      </c>
      <c r="M2075" s="9" t="s">
        <v>22</v>
      </c>
    </row>
    <row r="2076" ht="15.75" customHeight="1">
      <c r="A2076" s="7"/>
      <c r="B2076" s="7" t="str">
        <f>IFERROR(__xludf.DUMMYFUNCTION("""COMPUTED_VALUE"""),"Bash/Shell/PowerShell;C#;JavaScript;SQL;TypeScript")</f>
        <v>Bash/Shell/PowerShell;C#;JavaScript;SQL;TypeScript</v>
      </c>
      <c r="C2076" s="9" t="str">
        <f>IFERROR(__xludf.DUMMYFUNCTION("""COMPUTED_VALUE"""),"R")</f>
        <v>R</v>
      </c>
      <c r="D2076" s="9" t="str">
        <f>IFERROR(__xludf.DUMMYFUNCTION("""COMPUTED_VALUE"""),"HTML/CSS")</f>
        <v>HTML/CSS</v>
      </c>
      <c r="E2076" s="9" t="str">
        <f>IFERROR(__xludf.DUMMYFUNCTION("""COMPUTED_VALUE"""),"VBA")</f>
        <v>VBA</v>
      </c>
      <c r="F2076" s="9" t="str">
        <f>IFERROR(__xludf.DUMMYFUNCTION("""COMPUTED_VALUE"""),"C#")</f>
        <v>C#</v>
      </c>
      <c r="G2076" s="9" t="str">
        <f>IFERROR(__xludf.DUMMYFUNCTION("""COMPUTED_VALUE"""),"HTML/CSS")</f>
        <v>HTML/CSS</v>
      </c>
      <c r="H2076" s="9" t="str">
        <f>IFERROR(__xludf.DUMMYFUNCTION("""COMPUTED_VALUE"""),"SQL")</f>
        <v>SQL</v>
      </c>
      <c r="I2076" s="9" t="str">
        <f>IFERROR(__xludf.DUMMYFUNCTION("""COMPUTED_VALUE"""),"Python")</f>
        <v>Python</v>
      </c>
      <c r="J2076" s="9" t="str">
        <f>IFERROR(__xludf.DUMMYFUNCTION("""COMPUTED_VALUE"""),"TypeScript")</f>
        <v>TypeScript</v>
      </c>
      <c r="K2076" s="9" t="str">
        <f>IFERROR(__xludf.DUMMYFUNCTION("""COMPUTED_VALUE"""),"C")</f>
        <v>C</v>
      </c>
      <c r="L2076" s="9" t="str">
        <f>IFERROR(__xludf.DUMMYFUNCTION("""COMPUTED_VALUE"""),"R")</f>
        <v>R</v>
      </c>
      <c r="M2076" s="9" t="s">
        <v>29</v>
      </c>
    </row>
    <row r="2077" ht="15.75" customHeight="1">
      <c r="A2077" s="7"/>
      <c r="B2077" s="7" t="str">
        <f>IFERROR(__xludf.DUMMYFUNCTION("""COMPUTED_VALUE"""),"HTML/CSS;Java;JavaScript;TypeScript")</f>
        <v>HTML/CSS;Java;JavaScript;TypeScript</v>
      </c>
      <c r="C2077" s="9" t="str">
        <f>IFERROR(__xludf.DUMMYFUNCTION("""COMPUTED_VALUE"""),"SQL")</f>
        <v>SQL</v>
      </c>
      <c r="D2077" s="9" t="str">
        <f>IFERROR(__xludf.DUMMYFUNCTION("""COMPUTED_VALUE"""),"JavaScript")</f>
        <v>JavaScript</v>
      </c>
      <c r="E2077" s="9" t="str">
        <f>IFERROR(__xludf.DUMMYFUNCTION("""COMPUTED_VALUE"""),"C#")</f>
        <v>C#</v>
      </c>
      <c r="F2077" s="9" t="str">
        <f>IFERROR(__xludf.DUMMYFUNCTION("""COMPUTED_VALUE"""),"HTML/CSS")</f>
        <v>HTML/CSS</v>
      </c>
      <c r="G2077" s="9" t="str">
        <f>IFERROR(__xludf.DUMMYFUNCTION("""COMPUTED_VALUE"""),"TypeScript")</f>
        <v>TypeScript</v>
      </c>
      <c r="H2077" s="9" t="str">
        <f>IFERROR(__xludf.DUMMYFUNCTION("""COMPUTED_VALUE"""),"HTML/CSS")</f>
        <v>HTML/CSS</v>
      </c>
      <c r="I2077" s="9" t="str">
        <f>IFERROR(__xludf.DUMMYFUNCTION("""COMPUTED_VALUE"""),"Other(s):")</f>
        <v>Other(s):</v>
      </c>
      <c r="J2077" s="9" t="str">
        <f>IFERROR(__xludf.DUMMYFUNCTION("""COMPUTED_VALUE"""),"C")</f>
        <v>C</v>
      </c>
      <c r="K2077" s="9" t="str">
        <f>IFERROR(__xludf.DUMMYFUNCTION("""COMPUTED_VALUE"""),"Python")</f>
        <v>Python</v>
      </c>
      <c r="L2077" s="9" t="str">
        <f>IFERROR(__xludf.DUMMYFUNCTION("""COMPUTED_VALUE"""),"SQL")</f>
        <v>SQL</v>
      </c>
      <c r="M2077" s="9" t="s">
        <v>27</v>
      </c>
    </row>
    <row r="2078" ht="15.75" customHeight="1">
      <c r="A2078" s="7"/>
      <c r="B2078" s="7" t="str">
        <f>IFERROR(__xludf.DUMMYFUNCTION("""COMPUTED_VALUE"""),"Go;Java;JavaScript;PHP;Python")</f>
        <v>Go;Java;JavaScript;PHP;Python</v>
      </c>
      <c r="C2078" s="9" t="str">
        <f>IFERROR(__xludf.DUMMYFUNCTION("""COMPUTED_VALUE"""),"HTML/CSS")</f>
        <v>HTML/CSS</v>
      </c>
      <c r="D2078" s="9" t="str">
        <f>IFERROR(__xludf.DUMMYFUNCTION("""COMPUTED_VALUE"""),"SQL")</f>
        <v>SQL</v>
      </c>
      <c r="E2078" s="9" t="str">
        <f>IFERROR(__xludf.DUMMYFUNCTION("""COMPUTED_VALUE"""),"HTML/CSS")</f>
        <v>HTML/CSS</v>
      </c>
      <c r="F2078" s="9" t="str">
        <f>IFERROR(__xludf.DUMMYFUNCTION("""COMPUTED_VALUE"""),"JavaScript")</f>
        <v>JavaScript</v>
      </c>
      <c r="G2078" s="9" t="str">
        <f>IFERROR(__xludf.DUMMYFUNCTION("""COMPUTED_VALUE"""),"Bash/Shell/PowerShell")</f>
        <v>Bash/Shell/PowerShell</v>
      </c>
      <c r="H2078" s="9" t="str">
        <f>IFERROR(__xludf.DUMMYFUNCTION("""COMPUTED_VALUE"""),"JavaScript")</f>
        <v>JavaScript</v>
      </c>
      <c r="I2078" s="9" t="str">
        <f>IFERROR(__xludf.DUMMYFUNCTION("""COMPUTED_VALUE"""),"C#")</f>
        <v>C#</v>
      </c>
      <c r="J2078" s="9" t="str">
        <f>IFERROR(__xludf.DUMMYFUNCTION("""COMPUTED_VALUE"""),"C++")</f>
        <v>C++</v>
      </c>
      <c r="K2078" s="9" t="str">
        <f>IFERROR(__xludf.DUMMYFUNCTION("""COMPUTED_VALUE"""),"Other(s):")</f>
        <v>Other(s):</v>
      </c>
      <c r="L2078" s="9" t="str">
        <f>IFERROR(__xludf.DUMMYFUNCTION("""COMPUTED_VALUE"""),"HTML/CSS")</f>
        <v>HTML/CSS</v>
      </c>
      <c r="M2078" s="9" t="s">
        <v>24</v>
      </c>
    </row>
    <row r="2079" ht="15.75" customHeight="1">
      <c r="A2079" s="7"/>
      <c r="B2079" s="7" t="str">
        <f>IFERROR(__xludf.DUMMYFUNCTION("""COMPUTED_VALUE"""),"Bash/Shell/PowerShell;Go;HTML/CSS;JavaScript")</f>
        <v>Bash/Shell/PowerShell;Go;HTML/CSS;JavaScript</v>
      </c>
      <c r="C2079" s="9" t="str">
        <f>IFERROR(__xludf.DUMMYFUNCTION("""COMPUTED_VALUE"""),"JavaScript")</f>
        <v>JavaScript</v>
      </c>
      <c r="D2079" s="9" t="str">
        <f>IFERROR(__xludf.DUMMYFUNCTION("""COMPUTED_VALUE"""),"HTML/CSS")</f>
        <v>HTML/CSS</v>
      </c>
      <c r="E2079" s="9" t="str">
        <f>IFERROR(__xludf.DUMMYFUNCTION("""COMPUTED_VALUE"""),"JavaScript")</f>
        <v>JavaScript</v>
      </c>
      <c r="F2079" s="9" t="str">
        <f>IFERROR(__xludf.DUMMYFUNCTION("""COMPUTED_VALUE"""),"SQL")</f>
        <v>SQL</v>
      </c>
      <c r="G2079" s="9" t="str">
        <f>IFERROR(__xludf.DUMMYFUNCTION("""COMPUTED_VALUE"""),"JavaScript")</f>
        <v>JavaScript</v>
      </c>
      <c r="H2079" s="9" t="str">
        <f>IFERROR(__xludf.DUMMYFUNCTION("""COMPUTED_VALUE"""),"Ruby")</f>
        <v>Ruby</v>
      </c>
      <c r="I2079" s="9" t="str">
        <f>IFERROR(__xludf.DUMMYFUNCTION("""COMPUTED_VALUE"""),"HTML/CSS")</f>
        <v>HTML/CSS</v>
      </c>
      <c r="J2079" s="9" t="str">
        <f>IFERROR(__xludf.DUMMYFUNCTION("""COMPUTED_VALUE"""),"C#")</f>
        <v>C#</v>
      </c>
      <c r="K2079" s="9" t="str">
        <f>IFERROR(__xludf.DUMMYFUNCTION("""COMPUTED_VALUE"""),"Bash/Shell/PowerShell")</f>
        <v>Bash/Shell/PowerShell</v>
      </c>
      <c r="L2079" s="9" t="str">
        <f>IFERROR(__xludf.DUMMYFUNCTION("""COMPUTED_VALUE"""),"JavaScript")</f>
        <v>JavaScript</v>
      </c>
      <c r="M2079" s="9" t="s">
        <v>21</v>
      </c>
    </row>
    <row r="2080" ht="15.75" customHeight="1">
      <c r="A2080" s="7"/>
      <c r="B2080" s="7" t="str">
        <f>IFERROR(__xludf.DUMMYFUNCTION("""COMPUTED_VALUE"""),"C#;HTML/CSS;JavaScript;SQL")</f>
        <v>C#;HTML/CSS;JavaScript;SQL</v>
      </c>
      <c r="C2080" s="9" t="str">
        <f>IFERROR(__xludf.DUMMYFUNCTION("""COMPUTED_VALUE"""),"Python")</f>
        <v>Python</v>
      </c>
      <c r="D2080" s="9" t="str">
        <f>IFERROR(__xludf.DUMMYFUNCTION("""COMPUTED_VALUE"""),"Python")</f>
        <v>Python</v>
      </c>
      <c r="E2080" s="9" t="str">
        <f>IFERROR(__xludf.DUMMYFUNCTION("""COMPUTED_VALUE"""),"SQL")</f>
        <v>SQL</v>
      </c>
      <c r="F2080" s="9" t="str">
        <f>IFERROR(__xludf.DUMMYFUNCTION("""COMPUTED_VALUE"""),"C++")</f>
        <v>C++</v>
      </c>
      <c r="G2080" s="9" t="str">
        <f>IFERROR(__xludf.DUMMYFUNCTION("""COMPUTED_VALUE"""),"Python")</f>
        <v>Python</v>
      </c>
      <c r="H2080" s="9" t="str">
        <f>IFERROR(__xludf.DUMMYFUNCTION("""COMPUTED_VALUE"""),"HTML/CSS")</f>
        <v>HTML/CSS</v>
      </c>
      <c r="I2080" s="9" t="str">
        <f>IFERROR(__xludf.DUMMYFUNCTION("""COMPUTED_VALUE"""),"JavaScript")</f>
        <v>JavaScript</v>
      </c>
      <c r="J2080" s="9" t="str">
        <f>IFERROR(__xludf.DUMMYFUNCTION("""COMPUTED_VALUE"""),"HTML/CSS")</f>
        <v>HTML/CSS</v>
      </c>
      <c r="K2080" s="9" t="str">
        <f>IFERROR(__xludf.DUMMYFUNCTION("""COMPUTED_VALUE"""),"C#")</f>
        <v>C#</v>
      </c>
      <c r="L2080" s="9" t="str">
        <f>IFERROR(__xludf.DUMMYFUNCTION("""COMPUTED_VALUE"""),"PHP")</f>
        <v>PHP</v>
      </c>
      <c r="M2080" s="9" t="s">
        <v>22</v>
      </c>
    </row>
    <row r="2081" ht="15.75" customHeight="1">
      <c r="A2081" s="7"/>
      <c r="B2081" s="7" t="str">
        <f>IFERROR(__xludf.DUMMYFUNCTION("""COMPUTED_VALUE"""),"HTML/CSS;JavaScript;Other(s):")</f>
        <v>HTML/CSS;JavaScript;Other(s):</v>
      </c>
      <c r="C2081" s="9" t="str">
        <f>IFERROR(__xludf.DUMMYFUNCTION("""COMPUTED_VALUE"""),"Bash/Shell/PowerShell")</f>
        <v>Bash/Shell/PowerShell</v>
      </c>
      <c r="D2081" s="9" t="str">
        <f>IFERROR(__xludf.DUMMYFUNCTION("""COMPUTED_VALUE"""),"R")</f>
        <v>R</v>
      </c>
      <c r="E2081" s="9" t="str">
        <f>IFERROR(__xludf.DUMMYFUNCTION("""COMPUTED_VALUE"""),"TypeScript")</f>
        <v>TypeScript</v>
      </c>
      <c r="F2081" s="9" t="str">
        <f>IFERROR(__xludf.DUMMYFUNCTION("""COMPUTED_VALUE"""),"C#")</f>
        <v>C#</v>
      </c>
      <c r="G2081" s="9" t="str">
        <f>IFERROR(__xludf.DUMMYFUNCTION("""COMPUTED_VALUE"""),"Scala")</f>
        <v>Scala</v>
      </c>
      <c r="H2081" s="9" t="str">
        <f>IFERROR(__xludf.DUMMYFUNCTION("""COMPUTED_VALUE"""),"JavaScript")</f>
        <v>JavaScript</v>
      </c>
      <c r="I2081" s="9" t="str">
        <f>IFERROR(__xludf.DUMMYFUNCTION("""COMPUTED_VALUE"""),"SQL")</f>
        <v>SQL</v>
      </c>
      <c r="J2081" s="9" t="str">
        <f>IFERROR(__xludf.DUMMYFUNCTION("""COMPUTED_VALUE"""),"Java")</f>
        <v>Java</v>
      </c>
      <c r="K2081" s="9" t="str">
        <f>IFERROR(__xludf.DUMMYFUNCTION("""COMPUTED_VALUE"""),"HTML/CSS")</f>
        <v>HTML/CSS</v>
      </c>
      <c r="L2081" s="9" t="str">
        <f>IFERROR(__xludf.DUMMYFUNCTION("""COMPUTED_VALUE"""),"Python")</f>
        <v>Python</v>
      </c>
      <c r="M2081" s="9" t="s">
        <v>30</v>
      </c>
    </row>
    <row r="2082" ht="15.75" customHeight="1">
      <c r="A2082" s="7"/>
      <c r="B2082" s="7" t="str">
        <f>IFERROR(__xludf.DUMMYFUNCTION("""COMPUTED_VALUE"""),"Bash/Shell/PowerShell;HTML/CSS;Java;JavaScript;PHP;Python;SQL")</f>
        <v>Bash/Shell/PowerShell;HTML/CSS;Java;JavaScript;PHP;Python;SQL</v>
      </c>
      <c r="C2082" s="9" t="str">
        <f>IFERROR(__xludf.DUMMYFUNCTION("""COMPUTED_VALUE"""),"HTML/CSS")</f>
        <v>HTML/CSS</v>
      </c>
      <c r="D2082" s="9" t="str">
        <f>IFERROR(__xludf.DUMMYFUNCTION("""COMPUTED_VALUE"""),"SQL")</f>
        <v>SQL</v>
      </c>
      <c r="E2082" s="9" t="str">
        <f>IFERROR(__xludf.DUMMYFUNCTION("""COMPUTED_VALUE"""),"Bash/Shell/PowerShell")</f>
        <v>Bash/Shell/PowerShell</v>
      </c>
      <c r="F2082" s="9" t="str">
        <f>IFERROR(__xludf.DUMMYFUNCTION("""COMPUTED_VALUE"""),"Java")</f>
        <v>Java</v>
      </c>
      <c r="G2082" s="9" t="str">
        <f>IFERROR(__xludf.DUMMYFUNCTION("""COMPUTED_VALUE"""),"SQL")</f>
        <v>SQL</v>
      </c>
      <c r="H2082" s="9" t="str">
        <f>IFERROR(__xludf.DUMMYFUNCTION("""COMPUTED_VALUE"""),"Swift")</f>
        <v>Swift</v>
      </c>
      <c r="I2082" s="9" t="str">
        <f>IFERROR(__xludf.DUMMYFUNCTION("""COMPUTED_VALUE"""),"TypeScript")</f>
        <v>TypeScript</v>
      </c>
      <c r="J2082" s="9" t="str">
        <f>IFERROR(__xludf.DUMMYFUNCTION("""COMPUTED_VALUE"""),"JavaScript")</f>
        <v>JavaScript</v>
      </c>
      <c r="K2082" s="9" t="str">
        <f>IFERROR(__xludf.DUMMYFUNCTION("""COMPUTED_VALUE"""),"JavaScript")</f>
        <v>JavaScript</v>
      </c>
      <c r="L2082" s="9" t="str">
        <f>IFERROR(__xludf.DUMMYFUNCTION("""COMPUTED_VALUE"""),"SQL")</f>
        <v>SQL</v>
      </c>
      <c r="M2082" s="9" t="s">
        <v>24</v>
      </c>
    </row>
    <row r="2083" ht="15.75" customHeight="1">
      <c r="A2083" s="7"/>
      <c r="B2083" s="7" t="str">
        <f>IFERROR(__xludf.DUMMYFUNCTION("""COMPUTED_VALUE"""),"Bash/Shell/PowerShell;Go;HTML/CSS;JavaScript;Python;Ruby;SQL")</f>
        <v>Bash/Shell/PowerShell;Go;HTML/CSS;JavaScript;Python;Ruby;SQL</v>
      </c>
      <c r="C2083" s="9" t="str">
        <f>IFERROR(__xludf.DUMMYFUNCTION("""COMPUTED_VALUE"""),"JavaScript")</f>
        <v>JavaScript</v>
      </c>
      <c r="D2083" s="9" t="str">
        <f>IFERROR(__xludf.DUMMYFUNCTION("""COMPUTED_VALUE"""),"C++")</f>
        <v>C++</v>
      </c>
      <c r="E2083" s="9" t="str">
        <f>IFERROR(__xludf.DUMMYFUNCTION("""COMPUTED_VALUE"""),"C#")</f>
        <v>C#</v>
      </c>
      <c r="F2083" s="9" t="str">
        <f>IFERROR(__xludf.DUMMYFUNCTION("""COMPUTED_VALUE"""),"SQL")</f>
        <v>SQL</v>
      </c>
      <c r="G2083" s="9" t="str">
        <f>IFERROR(__xludf.DUMMYFUNCTION("""COMPUTED_VALUE"""),"SQL")</f>
        <v>SQL</v>
      </c>
      <c r="H2083" s="9" t="str">
        <f>IFERROR(__xludf.DUMMYFUNCTION("""COMPUTED_VALUE"""),"Bash/Shell/PowerShell")</f>
        <v>Bash/Shell/PowerShell</v>
      </c>
      <c r="I2083" s="9" t="str">
        <f>IFERROR(__xludf.DUMMYFUNCTION("""COMPUTED_VALUE"""),"Bash/Shell/PowerShell")</f>
        <v>Bash/Shell/PowerShell</v>
      </c>
      <c r="J2083" s="9" t="str">
        <f>IFERROR(__xludf.DUMMYFUNCTION("""COMPUTED_VALUE"""),"Python")</f>
        <v>Python</v>
      </c>
      <c r="K2083" s="9" t="str">
        <f>IFERROR(__xludf.DUMMYFUNCTION("""COMPUTED_VALUE"""),"Objective-C")</f>
        <v>Objective-C</v>
      </c>
      <c r="L2083" s="9" t="str">
        <f>IFERROR(__xludf.DUMMYFUNCTION("""COMPUTED_VALUE"""),"TypeScript")</f>
        <v>TypeScript</v>
      </c>
      <c r="M2083" s="9" t="s">
        <v>21</v>
      </c>
    </row>
    <row r="2084" ht="15.75" customHeight="1">
      <c r="A2084" s="7"/>
      <c r="B2084" s="7" t="str">
        <f>IFERROR(__xludf.DUMMYFUNCTION("""COMPUTED_VALUE"""),"JavaScript;R;SQL;VBA")</f>
        <v>JavaScript;R;SQL;VBA</v>
      </c>
      <c r="C2084" s="9" t="str">
        <f>IFERROR(__xludf.DUMMYFUNCTION("""COMPUTED_VALUE"""),"TypeScript")</f>
        <v>TypeScript</v>
      </c>
      <c r="D2084" s="9" t="str">
        <f>IFERROR(__xludf.DUMMYFUNCTION("""COMPUTED_VALUE"""),"C#")</f>
        <v>C#</v>
      </c>
      <c r="E2084" s="9" t="str">
        <f>IFERROR(__xludf.DUMMYFUNCTION("""COMPUTED_VALUE"""),"SQL")</f>
        <v>SQL</v>
      </c>
      <c r="F2084" s="9" t="str">
        <f>IFERROR(__xludf.DUMMYFUNCTION("""COMPUTED_VALUE"""),"VBA")</f>
        <v>VBA</v>
      </c>
      <c r="G2084" s="9" t="str">
        <f>IFERROR(__xludf.DUMMYFUNCTION("""COMPUTED_VALUE"""),"Assembly")</f>
        <v>Assembly</v>
      </c>
      <c r="H2084" s="9" t="str">
        <f>IFERROR(__xludf.DUMMYFUNCTION("""COMPUTED_VALUE"""),"HTML/CSS")</f>
        <v>HTML/CSS</v>
      </c>
      <c r="I2084" s="9" t="str">
        <f>IFERROR(__xludf.DUMMYFUNCTION("""COMPUTED_VALUE"""),"HTML/CSS")</f>
        <v>HTML/CSS</v>
      </c>
      <c r="J2084" s="9" t="str">
        <f>IFERROR(__xludf.DUMMYFUNCTION("""COMPUTED_VALUE"""),"SQL")</f>
        <v>SQL</v>
      </c>
      <c r="K2084" s="9" t="str">
        <f>IFERROR(__xludf.DUMMYFUNCTION("""COMPUTED_VALUE"""),"SQL")</f>
        <v>SQL</v>
      </c>
      <c r="L2084" s="9" t="str">
        <f>IFERROR(__xludf.DUMMYFUNCTION("""COMPUTED_VALUE"""),"Java")</f>
        <v>Java</v>
      </c>
      <c r="M2084" s="9" t="s">
        <v>33</v>
      </c>
    </row>
    <row r="2085" ht="15.75" customHeight="1">
      <c r="A2085" s="7"/>
      <c r="B2085" s="7" t="str">
        <f>IFERROR(__xludf.DUMMYFUNCTION("""COMPUTED_VALUE"""),"C;C++;JavaScript;Python;Rust")</f>
        <v>C;C++;JavaScript;Python;Rust</v>
      </c>
      <c r="C2085" s="9" t="str">
        <f>IFERROR(__xludf.DUMMYFUNCTION("""COMPUTED_VALUE"""),"Bash/Shell/PowerShell")</f>
        <v>Bash/Shell/PowerShell</v>
      </c>
      <c r="D2085" s="9" t="str">
        <f>IFERROR(__xludf.DUMMYFUNCTION("""COMPUTED_VALUE"""),"Java")</f>
        <v>Java</v>
      </c>
      <c r="E2085" s="9" t="str">
        <f>IFERROR(__xludf.DUMMYFUNCTION("""COMPUTED_VALUE"""),"Bash/Shell/PowerShell")</f>
        <v>Bash/Shell/PowerShell</v>
      </c>
      <c r="F2085" s="9" t="str">
        <f>IFERROR(__xludf.DUMMYFUNCTION("""COMPUTED_VALUE"""),"C#")</f>
        <v>C#</v>
      </c>
      <c r="G2085" s="9" t="str">
        <f>IFERROR(__xludf.DUMMYFUNCTION("""COMPUTED_VALUE"""),"C++")</f>
        <v>C++</v>
      </c>
      <c r="H2085" s="9" t="str">
        <f>IFERROR(__xludf.DUMMYFUNCTION("""COMPUTED_VALUE"""),"Java")</f>
        <v>Java</v>
      </c>
      <c r="I2085" s="9" t="str">
        <f>IFERROR(__xludf.DUMMYFUNCTION("""COMPUTED_VALUE"""),"JavaScript")</f>
        <v>JavaScript</v>
      </c>
      <c r="J2085" s="9" t="str">
        <f>IFERROR(__xludf.DUMMYFUNCTION("""COMPUTED_VALUE"""),"TypeScript")</f>
        <v>TypeScript</v>
      </c>
      <c r="K2085" s="9" t="str">
        <f>IFERROR(__xludf.DUMMYFUNCTION("""COMPUTED_VALUE"""),"Bash/Shell/PowerShell")</f>
        <v>Bash/Shell/PowerShell</v>
      </c>
      <c r="L2085" s="9" t="str">
        <f>IFERROR(__xludf.DUMMYFUNCTION("""COMPUTED_VALUE"""),"JavaScript")</f>
        <v>JavaScript</v>
      </c>
      <c r="M2085" s="9" t="s">
        <v>30</v>
      </c>
    </row>
    <row r="2086" ht="15.75" customHeight="1">
      <c r="A2086" s="7"/>
      <c r="B2086" s="7" t="str">
        <f>IFERROR(__xludf.DUMMYFUNCTION("""COMPUTED_VALUE"""),"HTML/CSS;Java;JavaScript;SQL;TypeScript")</f>
        <v>HTML/CSS;Java;JavaScript;SQL;TypeScript</v>
      </c>
      <c r="C2086" s="9" t="str">
        <f>IFERROR(__xludf.DUMMYFUNCTION("""COMPUTED_VALUE"""),"C")</f>
        <v>C</v>
      </c>
      <c r="D2086" s="9" t="str">
        <f>IFERROR(__xludf.DUMMYFUNCTION("""COMPUTED_VALUE"""),"SQL")</f>
        <v>SQL</v>
      </c>
      <c r="E2086" s="9" t="str">
        <f>IFERROR(__xludf.DUMMYFUNCTION("""COMPUTED_VALUE"""),"HTML/CSS")</f>
        <v>HTML/CSS</v>
      </c>
      <c r="F2086" s="9" t="str">
        <f>IFERROR(__xludf.DUMMYFUNCTION("""COMPUTED_VALUE"""),"HTML/CSS")</f>
        <v>HTML/CSS</v>
      </c>
      <c r="G2086" s="9" t="str">
        <f>IFERROR(__xludf.DUMMYFUNCTION("""COMPUTED_VALUE"""),"C#")</f>
        <v>C#</v>
      </c>
      <c r="H2086" s="9" t="str">
        <f>IFERROR(__xludf.DUMMYFUNCTION("""COMPUTED_VALUE"""),"JavaScript")</f>
        <v>JavaScript</v>
      </c>
      <c r="I2086" s="9" t="str">
        <f>IFERROR(__xludf.DUMMYFUNCTION("""COMPUTED_VALUE"""),"SQL")</f>
        <v>SQL</v>
      </c>
      <c r="J2086" s="9" t="str">
        <f>IFERROR(__xludf.DUMMYFUNCTION("""COMPUTED_VALUE"""),"Bash/Shell/PowerShell")</f>
        <v>Bash/Shell/PowerShell</v>
      </c>
      <c r="K2086" s="9" t="str">
        <f>IFERROR(__xludf.DUMMYFUNCTION("""COMPUTED_VALUE"""),"Clojure")</f>
        <v>Clojure</v>
      </c>
      <c r="L2086" s="9" t="str">
        <f>IFERROR(__xludf.DUMMYFUNCTION("""COMPUTED_VALUE"""),"PHP")</f>
        <v>PHP</v>
      </c>
      <c r="M2086" s="9" t="s">
        <v>25</v>
      </c>
    </row>
    <row r="2087" ht="15.75" customHeight="1">
      <c r="A2087" s="7"/>
      <c r="B2087" s="7" t="str">
        <f>IFERROR(__xludf.DUMMYFUNCTION("""COMPUTED_VALUE"""),"Other(s):")</f>
        <v>Other(s):</v>
      </c>
      <c r="C2087" s="9" t="str">
        <f>IFERROR(__xludf.DUMMYFUNCTION("""COMPUTED_VALUE"""),"C#")</f>
        <v>C#</v>
      </c>
      <c r="D2087" s="9" t="str">
        <f>IFERROR(__xludf.DUMMYFUNCTION("""COMPUTED_VALUE"""),"Assembly")</f>
        <v>Assembly</v>
      </c>
      <c r="E2087" s="9" t="str">
        <f>IFERROR(__xludf.DUMMYFUNCTION("""COMPUTED_VALUE"""),"JavaScript")</f>
        <v>JavaScript</v>
      </c>
      <c r="F2087" s="9" t="str">
        <f>IFERROR(__xludf.DUMMYFUNCTION("""COMPUTED_VALUE"""),"JavaScript")</f>
        <v>JavaScript</v>
      </c>
      <c r="G2087" s="9" t="str">
        <f>IFERROR(__xludf.DUMMYFUNCTION("""COMPUTED_VALUE"""),"HTML/CSS")</f>
        <v>HTML/CSS</v>
      </c>
      <c r="H2087" s="9" t="str">
        <f>IFERROR(__xludf.DUMMYFUNCTION("""COMPUTED_VALUE"""),"PHP")</f>
        <v>PHP</v>
      </c>
      <c r="I2087" s="9" t="str">
        <f>IFERROR(__xludf.DUMMYFUNCTION("""COMPUTED_VALUE"""),"Other(s):")</f>
        <v>Other(s):</v>
      </c>
      <c r="J2087" s="9" t="str">
        <f>IFERROR(__xludf.DUMMYFUNCTION("""COMPUTED_VALUE"""),"C++")</f>
        <v>C++</v>
      </c>
      <c r="K2087" s="9" t="str">
        <f>IFERROR(__xludf.DUMMYFUNCTION("""COMPUTED_VALUE"""),"Java")</f>
        <v>Java</v>
      </c>
      <c r="L2087" s="9" t="str">
        <f>IFERROR(__xludf.DUMMYFUNCTION("""COMPUTED_VALUE"""),"TypeScript")</f>
        <v>TypeScript</v>
      </c>
      <c r="M2087" s="9" t="s">
        <v>26</v>
      </c>
    </row>
    <row r="2088" ht="15.75" customHeight="1">
      <c r="A2088" s="7"/>
      <c r="B2088" s="7" t="str">
        <f>IFERROR(__xludf.DUMMYFUNCTION("""COMPUTED_VALUE"""),"Bash/Shell/PowerShell;Java;JavaScript;PHP;SQL")</f>
        <v>Bash/Shell/PowerShell;Java;JavaScript;PHP;SQL</v>
      </c>
      <c r="C2088" s="9" t="str">
        <f>IFERROR(__xludf.DUMMYFUNCTION("""COMPUTED_VALUE"""),"HTML/CSS")</f>
        <v>HTML/CSS</v>
      </c>
      <c r="D2088" s="9" t="str">
        <f>IFERROR(__xludf.DUMMYFUNCTION("""COMPUTED_VALUE"""),"C")</f>
        <v>C</v>
      </c>
      <c r="E2088" s="9" t="str">
        <f>IFERROR(__xludf.DUMMYFUNCTION("""COMPUTED_VALUE"""),"PHP")</f>
        <v>PHP</v>
      </c>
      <c r="F2088" s="9" t="str">
        <f>IFERROR(__xludf.DUMMYFUNCTION("""COMPUTED_VALUE"""),"SQL")</f>
        <v>SQL</v>
      </c>
      <c r="G2088" s="9" t="str">
        <f>IFERROR(__xludf.DUMMYFUNCTION("""COMPUTED_VALUE"""),"Java")</f>
        <v>Java</v>
      </c>
      <c r="H2088" s="9" t="str">
        <f>IFERROR(__xludf.DUMMYFUNCTION("""COMPUTED_VALUE"""),"SQL")</f>
        <v>SQL</v>
      </c>
      <c r="I2088" s="9" t="str">
        <f>IFERROR(__xludf.DUMMYFUNCTION("""COMPUTED_VALUE"""),"Bash/Shell/PowerShell")</f>
        <v>Bash/Shell/PowerShell</v>
      </c>
      <c r="J2088" s="9" t="str">
        <f>IFERROR(__xludf.DUMMYFUNCTION("""COMPUTED_VALUE"""),"Python")</f>
        <v>Python</v>
      </c>
      <c r="K2088" s="9" t="str">
        <f>IFERROR(__xludf.DUMMYFUNCTION("""COMPUTED_VALUE"""),"Kotlin")</f>
        <v>Kotlin</v>
      </c>
      <c r="L2088" s="9" t="str">
        <f>IFERROR(__xludf.DUMMYFUNCTION("""COMPUTED_VALUE"""),"Bash/Shell/PowerShell")</f>
        <v>Bash/Shell/PowerShell</v>
      </c>
      <c r="M2088" s="9" t="s">
        <v>24</v>
      </c>
    </row>
    <row r="2089" ht="15.75" customHeight="1">
      <c r="A2089" s="7"/>
      <c r="B2089" s="7" t="str">
        <f>IFERROR(__xludf.DUMMYFUNCTION("""COMPUTED_VALUE"""),"Bash/Shell/PowerShell;C;HTML/CSS;JavaScript;PHP;Python")</f>
        <v>Bash/Shell/PowerShell;C;HTML/CSS;JavaScript;PHP;Python</v>
      </c>
      <c r="C2089" s="9" t="str">
        <f>IFERROR(__xludf.DUMMYFUNCTION("""COMPUTED_VALUE"""),"JavaScript")</f>
        <v>JavaScript</v>
      </c>
      <c r="D2089" s="9" t="str">
        <f>IFERROR(__xludf.DUMMYFUNCTION("""COMPUTED_VALUE"""),"C++")</f>
        <v>C++</v>
      </c>
      <c r="E2089" s="9" t="str">
        <f>IFERROR(__xludf.DUMMYFUNCTION("""COMPUTED_VALUE"""),"Python")</f>
        <v>Python</v>
      </c>
      <c r="F2089" s="9" t="str">
        <f>IFERROR(__xludf.DUMMYFUNCTION("""COMPUTED_VALUE"""),"TypeScript")</f>
        <v>TypeScript</v>
      </c>
      <c r="G2089" s="9" t="str">
        <f>IFERROR(__xludf.DUMMYFUNCTION("""COMPUTED_VALUE"""),"JavaScript")</f>
        <v>JavaScript</v>
      </c>
      <c r="H2089" s="9" t="str">
        <f>IFERROR(__xludf.DUMMYFUNCTION("""COMPUTED_VALUE"""),"TypeScript")</f>
        <v>TypeScript</v>
      </c>
      <c r="I2089" s="9" t="str">
        <f>IFERROR(__xludf.DUMMYFUNCTION("""COMPUTED_VALUE"""),"HTML/CSS")</f>
        <v>HTML/CSS</v>
      </c>
      <c r="J2089" s="9" t="str">
        <f>IFERROR(__xludf.DUMMYFUNCTION("""COMPUTED_VALUE"""),"Objective-C")</f>
        <v>Objective-C</v>
      </c>
      <c r="K2089" s="9" t="str">
        <f>IFERROR(__xludf.DUMMYFUNCTION("""COMPUTED_VALUE"""),"Python")</f>
        <v>Python</v>
      </c>
      <c r="L2089" s="9" t="str">
        <f>IFERROR(__xludf.DUMMYFUNCTION("""COMPUTED_VALUE"""),"HTML/CSS")</f>
        <v>HTML/CSS</v>
      </c>
      <c r="M2089" s="9" t="s">
        <v>21</v>
      </c>
    </row>
    <row r="2090" ht="15.75" customHeight="1">
      <c r="A2090" s="7"/>
      <c r="B2090" s="7" t="str">
        <f>IFERROR(__xludf.DUMMYFUNCTION("""COMPUTED_VALUE"""),"HTML/CSS;JavaScript;PHP")</f>
        <v>HTML/CSS;JavaScript;PHP</v>
      </c>
      <c r="C2090" s="9" t="str">
        <f>IFERROR(__xludf.DUMMYFUNCTION("""COMPUTED_VALUE"""),"Python")</f>
        <v>Python</v>
      </c>
      <c r="D2090" s="9" t="str">
        <f>IFERROR(__xludf.DUMMYFUNCTION("""COMPUTED_VALUE"""),"JavaScript")</f>
        <v>JavaScript</v>
      </c>
      <c r="E2090" s="9" t="str">
        <f>IFERROR(__xludf.DUMMYFUNCTION("""COMPUTED_VALUE"""),"SQL")</f>
        <v>SQL</v>
      </c>
      <c r="F2090" s="9" t="str">
        <f>IFERROR(__xludf.DUMMYFUNCTION("""COMPUTED_VALUE"""),"Bash/Shell/PowerShell")</f>
        <v>Bash/Shell/PowerShell</v>
      </c>
      <c r="G2090" s="9" t="str">
        <f>IFERROR(__xludf.DUMMYFUNCTION("""COMPUTED_VALUE"""),"Kotlin")</f>
        <v>Kotlin</v>
      </c>
      <c r="H2090" s="9" t="str">
        <f>IFERROR(__xludf.DUMMYFUNCTION("""COMPUTED_VALUE"""),"Go")</f>
        <v>Go</v>
      </c>
      <c r="I2090" s="9" t="str">
        <f>IFERROR(__xludf.DUMMYFUNCTION("""COMPUTED_VALUE"""),"JavaScript")</f>
        <v>JavaScript</v>
      </c>
      <c r="J2090" s="9" t="str">
        <f>IFERROR(__xludf.DUMMYFUNCTION("""COMPUTED_VALUE"""),"Python")</f>
        <v>Python</v>
      </c>
      <c r="K2090" s="9" t="str">
        <f>IFERROR(__xludf.DUMMYFUNCTION("""COMPUTED_VALUE"""),"Ruby")</f>
        <v>Ruby</v>
      </c>
      <c r="L2090" s="9" t="str">
        <f>IFERROR(__xludf.DUMMYFUNCTION("""COMPUTED_VALUE"""),"Java")</f>
        <v>Java</v>
      </c>
      <c r="M2090" s="9" t="s">
        <v>22</v>
      </c>
    </row>
    <row r="2091" ht="15.75" customHeight="1">
      <c r="A2091" s="7"/>
      <c r="B2091" s="7" t="str">
        <f>IFERROR(__xludf.DUMMYFUNCTION("""COMPUTED_VALUE"""),"Java;Kotlin")</f>
        <v>Java;Kotlin</v>
      </c>
      <c r="C2091" s="9" t="str">
        <f>IFERROR(__xludf.DUMMYFUNCTION("""COMPUTED_VALUE"""),"Other(s):")</f>
        <v>Other(s):</v>
      </c>
      <c r="D2091" s="9" t="str">
        <f>IFERROR(__xludf.DUMMYFUNCTION("""COMPUTED_VALUE"""),"Python")</f>
        <v>Python</v>
      </c>
      <c r="E2091" s="9" t="str">
        <f>IFERROR(__xludf.DUMMYFUNCTION("""COMPUTED_VALUE"""),"TypeScript")</f>
        <v>TypeScript</v>
      </c>
      <c r="F2091" s="9" t="str">
        <f>IFERROR(__xludf.DUMMYFUNCTION("""COMPUTED_VALUE"""),"C#")</f>
        <v>C#</v>
      </c>
      <c r="G2091" s="9" t="str">
        <f>IFERROR(__xludf.DUMMYFUNCTION("""COMPUTED_VALUE"""),"PHP")</f>
        <v>PHP</v>
      </c>
      <c r="H2091" s="9" t="str">
        <f>IFERROR(__xludf.DUMMYFUNCTION("""COMPUTED_VALUE"""),"HTML/CSS")</f>
        <v>HTML/CSS</v>
      </c>
      <c r="I2091" s="9" t="str">
        <f>IFERROR(__xludf.DUMMYFUNCTION("""COMPUTED_VALUE"""),"PHP")</f>
        <v>PHP</v>
      </c>
      <c r="J2091" s="9" t="str">
        <f>IFERROR(__xludf.DUMMYFUNCTION("""COMPUTED_VALUE"""),"Swift")</f>
        <v>Swift</v>
      </c>
      <c r="K2091" s="9" t="str">
        <f>IFERROR(__xludf.DUMMYFUNCTION("""COMPUTED_VALUE"""),"Scala")</f>
        <v>Scala</v>
      </c>
      <c r="L2091" s="9" t="str">
        <f>IFERROR(__xludf.DUMMYFUNCTION("""COMPUTED_VALUE"""),"JavaScript")</f>
        <v>JavaScript</v>
      </c>
      <c r="M2091" s="9" t="s">
        <v>35</v>
      </c>
    </row>
    <row r="2092" ht="15.75" customHeight="1">
      <c r="A2092" s="7"/>
      <c r="B2092" s="7" t="str">
        <f>IFERROR(__xludf.DUMMYFUNCTION("""COMPUTED_VALUE"""),"C;Java")</f>
        <v>C;Java</v>
      </c>
      <c r="C2092" s="9" t="str">
        <f>IFERROR(__xludf.DUMMYFUNCTION("""COMPUTED_VALUE"""),"C++")</f>
        <v>C++</v>
      </c>
      <c r="D2092" s="9" t="str">
        <f>IFERROR(__xludf.DUMMYFUNCTION("""COMPUTED_VALUE"""),"Rust")</f>
        <v>Rust</v>
      </c>
      <c r="E2092" s="9" t="str">
        <f>IFERROR(__xludf.DUMMYFUNCTION("""COMPUTED_VALUE"""),"C#")</f>
        <v>C#</v>
      </c>
      <c r="F2092" s="9" t="str">
        <f>IFERROR(__xludf.DUMMYFUNCTION("""COMPUTED_VALUE"""),"HTML/CSS")</f>
        <v>HTML/CSS</v>
      </c>
      <c r="G2092" s="9" t="str">
        <f>IFERROR(__xludf.DUMMYFUNCTION("""COMPUTED_VALUE"""),"Python")</f>
        <v>Python</v>
      </c>
      <c r="H2092" s="9" t="str">
        <f>IFERROR(__xludf.DUMMYFUNCTION("""COMPUTED_VALUE"""),"Java")</f>
        <v>Java</v>
      </c>
      <c r="I2092" s="9" t="str">
        <f>IFERROR(__xludf.DUMMYFUNCTION("""COMPUTED_VALUE"""),"Python")</f>
        <v>Python</v>
      </c>
      <c r="J2092" s="9" t="str">
        <f>IFERROR(__xludf.DUMMYFUNCTION("""COMPUTED_VALUE"""),"C#")</f>
        <v>C#</v>
      </c>
      <c r="K2092" s="9" t="str">
        <f>IFERROR(__xludf.DUMMYFUNCTION("""COMPUTED_VALUE"""),"Bash/Shell/PowerShell")</f>
        <v>Bash/Shell/PowerShell</v>
      </c>
      <c r="L2092" s="9" t="str">
        <f>IFERROR(__xludf.DUMMYFUNCTION("""COMPUTED_VALUE"""),"Python")</f>
        <v>Python</v>
      </c>
      <c r="M2092" s="9" t="s">
        <v>23</v>
      </c>
    </row>
    <row r="2093" ht="15.75" customHeight="1">
      <c r="A2093" s="7"/>
      <c r="B2093" s="7" t="str">
        <f>IFERROR(__xludf.DUMMYFUNCTION("""COMPUTED_VALUE"""),"JavaScript;PHP")</f>
        <v>JavaScript;PHP</v>
      </c>
      <c r="C2093" s="9" t="str">
        <f>IFERROR(__xludf.DUMMYFUNCTION("""COMPUTED_VALUE"""),"C#")</f>
        <v>C#</v>
      </c>
      <c r="D2093" s="9" t="str">
        <f>IFERROR(__xludf.DUMMYFUNCTION("""COMPUTED_VALUE"""),"SQL")</f>
        <v>SQL</v>
      </c>
      <c r="E2093" s="9" t="str">
        <f>IFERROR(__xludf.DUMMYFUNCTION("""COMPUTED_VALUE"""),"Python")</f>
        <v>Python</v>
      </c>
      <c r="F2093" s="9" t="str">
        <f>IFERROR(__xludf.DUMMYFUNCTION("""COMPUTED_VALUE"""),"JavaScript")</f>
        <v>JavaScript</v>
      </c>
      <c r="G2093" s="9" t="str">
        <f>IFERROR(__xludf.DUMMYFUNCTION("""COMPUTED_VALUE"""),"SQL")</f>
        <v>SQL</v>
      </c>
      <c r="H2093" s="9" t="str">
        <f>IFERROR(__xludf.DUMMYFUNCTION("""COMPUTED_VALUE"""),"JavaScript")</f>
        <v>JavaScript</v>
      </c>
      <c r="I2093" s="9" t="str">
        <f>IFERROR(__xludf.DUMMYFUNCTION("""COMPUTED_VALUE"""),"TypeScript")</f>
        <v>TypeScript</v>
      </c>
      <c r="J2093" s="9" t="str">
        <f>IFERROR(__xludf.DUMMYFUNCTION("""COMPUTED_VALUE"""),"JavaScript")</f>
        <v>JavaScript</v>
      </c>
      <c r="K2093" s="9" t="str">
        <f>IFERROR(__xludf.DUMMYFUNCTION("""COMPUTED_VALUE"""),"C#")</f>
        <v>C#</v>
      </c>
      <c r="L2093" s="9" t="str">
        <f>IFERROR(__xludf.DUMMYFUNCTION("""COMPUTED_VALUE"""),"TypeScript")</f>
        <v>TypeScript</v>
      </c>
      <c r="M2093" s="9" t="s">
        <v>26</v>
      </c>
    </row>
    <row r="2094" ht="15.75" customHeight="1">
      <c r="A2094" s="7"/>
      <c r="B2094" s="7" t="str">
        <f>IFERROR(__xludf.DUMMYFUNCTION("""COMPUTED_VALUE"""),"Bash/Shell/PowerShell;HTML/CSS;Java;JavaScript;Python;SQL;TypeScript")</f>
        <v>Bash/Shell/PowerShell;HTML/CSS;Java;JavaScript;Python;SQL;TypeScript</v>
      </c>
      <c r="C2094" s="9" t="str">
        <f>IFERROR(__xludf.DUMMYFUNCTION("""COMPUTED_VALUE"""),"C")</f>
        <v>C</v>
      </c>
      <c r="D2094" s="9" t="str">
        <f>IFERROR(__xludf.DUMMYFUNCTION("""COMPUTED_VALUE"""),"Other(s):")</f>
        <v>Other(s):</v>
      </c>
      <c r="E2094" s="9" t="str">
        <f>IFERROR(__xludf.DUMMYFUNCTION("""COMPUTED_VALUE"""),"R")</f>
        <v>R</v>
      </c>
      <c r="F2094" s="9" t="str">
        <f>IFERROR(__xludf.DUMMYFUNCTION("""COMPUTED_VALUE"""),"Bash/Shell/PowerShell")</f>
        <v>Bash/Shell/PowerShell</v>
      </c>
      <c r="G2094" s="9" t="str">
        <f>IFERROR(__xludf.DUMMYFUNCTION("""COMPUTED_VALUE"""),"C")</f>
        <v>C</v>
      </c>
      <c r="H2094" s="9" t="str">
        <f>IFERROR(__xludf.DUMMYFUNCTION("""COMPUTED_VALUE"""),"PHP")</f>
        <v>PHP</v>
      </c>
      <c r="I2094" s="9" t="str">
        <f>IFERROR(__xludf.DUMMYFUNCTION("""COMPUTED_VALUE"""),"PHP")</f>
        <v>PHP</v>
      </c>
      <c r="J2094" s="9" t="str">
        <f>IFERROR(__xludf.DUMMYFUNCTION("""COMPUTED_VALUE"""),"PHP")</f>
        <v>PHP</v>
      </c>
      <c r="K2094" s="9" t="str">
        <f>IFERROR(__xludf.DUMMYFUNCTION("""COMPUTED_VALUE"""),"HTML/CSS")</f>
        <v>HTML/CSS</v>
      </c>
      <c r="L2094" s="9" t="str">
        <f>IFERROR(__xludf.DUMMYFUNCTION("""COMPUTED_VALUE"""),"HTML/CSS")</f>
        <v>HTML/CSS</v>
      </c>
      <c r="M2094" s="9" t="s">
        <v>25</v>
      </c>
    </row>
    <row r="2095" ht="15.75" customHeight="1">
      <c r="A2095" s="7"/>
      <c r="B2095" s="7" t="str">
        <f>IFERROR(__xludf.DUMMYFUNCTION("""COMPUTED_VALUE"""),"C;C++;HTML/CSS;Java;JavaScript;PHP;Python")</f>
        <v>C;C++;HTML/CSS;Java;JavaScript;PHP;Python</v>
      </c>
      <c r="C2095" s="9" t="str">
        <f>IFERROR(__xludf.DUMMYFUNCTION("""COMPUTED_VALUE"""),"C++")</f>
        <v>C++</v>
      </c>
      <c r="D2095" s="9" t="str">
        <f>IFERROR(__xludf.DUMMYFUNCTION("""COMPUTED_VALUE"""),"HTML/CSS")</f>
        <v>HTML/CSS</v>
      </c>
      <c r="E2095" s="9" t="str">
        <f>IFERROR(__xludf.DUMMYFUNCTION("""COMPUTED_VALUE"""),"Rust")</f>
        <v>Rust</v>
      </c>
      <c r="F2095" s="9" t="str">
        <f>IFERROR(__xludf.DUMMYFUNCTION("""COMPUTED_VALUE"""),"C")</f>
        <v>C</v>
      </c>
      <c r="G2095" s="9" t="str">
        <f>IFERROR(__xludf.DUMMYFUNCTION("""COMPUTED_VALUE"""),"C++")</f>
        <v>C++</v>
      </c>
      <c r="H2095" s="9" t="str">
        <f>IFERROR(__xludf.DUMMYFUNCTION("""COMPUTED_VALUE"""),"Python")</f>
        <v>Python</v>
      </c>
      <c r="I2095" s="9" t="str">
        <f>IFERROR(__xludf.DUMMYFUNCTION("""COMPUTED_VALUE"""),"C#")</f>
        <v>C#</v>
      </c>
      <c r="J2095" s="9" t="str">
        <f>IFERROR(__xludf.DUMMYFUNCTION("""COMPUTED_VALUE"""),"SQL")</f>
        <v>SQL</v>
      </c>
      <c r="K2095" s="9" t="str">
        <f>IFERROR(__xludf.DUMMYFUNCTION("""COMPUTED_VALUE"""),"Java")</f>
        <v>Java</v>
      </c>
      <c r="L2095" s="9" t="str">
        <f>IFERROR(__xludf.DUMMYFUNCTION("""COMPUTED_VALUE"""),"Java")</f>
        <v>Java</v>
      </c>
      <c r="M2095" s="9" t="s">
        <v>23</v>
      </c>
    </row>
    <row r="2096" ht="15.75" customHeight="1">
      <c r="A2096" s="7"/>
      <c r="B2096" s="7" t="str">
        <f>IFERROR(__xludf.DUMMYFUNCTION("""COMPUTED_VALUE"""),"C#;HTML/CSS;JavaScript;Python;SQL")</f>
        <v>C#;HTML/CSS;JavaScript;Python;SQL</v>
      </c>
      <c r="C2096" s="9" t="str">
        <f>IFERROR(__xludf.DUMMYFUNCTION("""COMPUTED_VALUE"""),"Bash/Shell/PowerShell")</f>
        <v>Bash/Shell/PowerShell</v>
      </c>
      <c r="D2096" s="9" t="str">
        <f>IFERROR(__xludf.DUMMYFUNCTION("""COMPUTED_VALUE"""),"Java")</f>
        <v>Java</v>
      </c>
      <c r="E2096" s="9" t="str">
        <f>IFERROR(__xludf.DUMMYFUNCTION("""COMPUTED_VALUE"""),"SQL")</f>
        <v>SQL</v>
      </c>
      <c r="F2096" s="9" t="str">
        <f>IFERROR(__xludf.DUMMYFUNCTION("""COMPUTED_VALUE"""),"C++")</f>
        <v>C++</v>
      </c>
      <c r="G2096" s="9" t="str">
        <f>IFERROR(__xludf.DUMMYFUNCTION("""COMPUTED_VALUE"""),"Go")</f>
        <v>Go</v>
      </c>
      <c r="H2096" s="9" t="str">
        <f>IFERROR(__xludf.DUMMYFUNCTION("""COMPUTED_VALUE"""),"Scala")</f>
        <v>Scala</v>
      </c>
      <c r="I2096" s="9" t="str">
        <f>IFERROR(__xludf.DUMMYFUNCTION("""COMPUTED_VALUE"""),"HTML/CSS")</f>
        <v>HTML/CSS</v>
      </c>
      <c r="J2096" s="9" t="str">
        <f>IFERROR(__xludf.DUMMYFUNCTION("""COMPUTED_VALUE"""),"TypeScript")</f>
        <v>TypeScript</v>
      </c>
      <c r="K2096" s="9" t="str">
        <f>IFERROR(__xludf.DUMMYFUNCTION("""COMPUTED_VALUE"""),"JavaScript")</f>
        <v>JavaScript</v>
      </c>
      <c r="L2096" s="9" t="str">
        <f>IFERROR(__xludf.DUMMYFUNCTION("""COMPUTED_VALUE"""),"JavaScript")</f>
        <v>JavaScript</v>
      </c>
      <c r="M2096" s="9" t="s">
        <v>30</v>
      </c>
    </row>
    <row r="2097" ht="15.75" customHeight="1">
      <c r="A2097" s="7"/>
      <c r="B2097" s="7" t="str">
        <f>IFERROR(__xludf.DUMMYFUNCTION("""COMPUTED_VALUE"""),"HTML/CSS;PHP;Python;SQL;VBA")</f>
        <v>HTML/CSS;PHP;Python;SQL;VBA</v>
      </c>
      <c r="C2097" s="9" t="str">
        <f>IFERROR(__xludf.DUMMYFUNCTION("""COMPUTED_VALUE"""),"C")</f>
        <v>C</v>
      </c>
      <c r="D2097" s="9" t="str">
        <f>IFERROR(__xludf.DUMMYFUNCTION("""COMPUTED_VALUE"""),"JavaScript")</f>
        <v>JavaScript</v>
      </c>
      <c r="E2097" s="9" t="str">
        <f>IFERROR(__xludf.DUMMYFUNCTION("""COMPUTED_VALUE"""),"Java")</f>
        <v>Java</v>
      </c>
      <c r="F2097" s="9" t="str">
        <f>IFERROR(__xludf.DUMMYFUNCTION("""COMPUTED_VALUE"""),"Java")</f>
        <v>Java</v>
      </c>
      <c r="G2097" s="9" t="str">
        <f>IFERROR(__xludf.DUMMYFUNCTION("""COMPUTED_VALUE"""),"HTML/CSS")</f>
        <v>HTML/CSS</v>
      </c>
      <c r="H2097" s="9" t="str">
        <f>IFERROR(__xludf.DUMMYFUNCTION("""COMPUTED_VALUE"""),"SQL")</f>
        <v>SQL</v>
      </c>
      <c r="I2097" s="9" t="str">
        <f>IFERROR(__xludf.DUMMYFUNCTION("""COMPUTED_VALUE"""),"JavaScript")</f>
        <v>JavaScript</v>
      </c>
      <c r="J2097" s="9" t="str">
        <f>IFERROR(__xludf.DUMMYFUNCTION("""COMPUTED_VALUE"""),"Bash/Shell/PowerShell")</f>
        <v>Bash/Shell/PowerShell</v>
      </c>
      <c r="K2097" s="9" t="str">
        <f>IFERROR(__xludf.DUMMYFUNCTION("""COMPUTED_VALUE"""),"Kotlin")</f>
        <v>Kotlin</v>
      </c>
      <c r="L2097" s="9" t="str">
        <f>IFERROR(__xludf.DUMMYFUNCTION("""COMPUTED_VALUE"""),"Scala")</f>
        <v>Scala</v>
      </c>
      <c r="M2097" s="9" t="s">
        <v>25</v>
      </c>
    </row>
    <row r="2098" ht="15.75" customHeight="1">
      <c r="A2098" s="7"/>
      <c r="B2098" s="7" t="str">
        <f>IFERROR(__xludf.DUMMYFUNCTION("""COMPUTED_VALUE"""),"HTML/CSS;JavaScript;TypeScript")</f>
        <v>HTML/CSS;JavaScript;TypeScript</v>
      </c>
      <c r="C2098" s="9" t="str">
        <f>IFERROR(__xludf.DUMMYFUNCTION("""COMPUTED_VALUE"""),"HTML/CSS")</f>
        <v>HTML/CSS</v>
      </c>
      <c r="D2098" s="9" t="str">
        <f>IFERROR(__xludf.DUMMYFUNCTION("""COMPUTED_VALUE"""),"C#")</f>
        <v>C#</v>
      </c>
      <c r="E2098" s="9" t="str">
        <f>IFERROR(__xludf.DUMMYFUNCTION("""COMPUTED_VALUE"""),"JavaScript")</f>
        <v>JavaScript</v>
      </c>
      <c r="F2098" s="9" t="str">
        <f>IFERROR(__xludf.DUMMYFUNCTION("""COMPUTED_VALUE"""),"JavaScript")</f>
        <v>JavaScript</v>
      </c>
      <c r="G2098" s="9" t="str">
        <f>IFERROR(__xludf.DUMMYFUNCTION("""COMPUTED_VALUE"""),"JavaScript")</f>
        <v>JavaScript</v>
      </c>
      <c r="H2098" s="9" t="str">
        <f>IFERROR(__xludf.DUMMYFUNCTION("""COMPUTED_VALUE"""),"TypeScript")</f>
        <v>TypeScript</v>
      </c>
      <c r="I2098" s="9" t="str">
        <f>IFERROR(__xludf.DUMMYFUNCTION("""COMPUTED_VALUE"""),"PHP")</f>
        <v>PHP</v>
      </c>
      <c r="J2098" s="9" t="str">
        <f>IFERROR(__xludf.DUMMYFUNCTION("""COMPUTED_VALUE"""),"HTML/CSS")</f>
        <v>HTML/CSS</v>
      </c>
      <c r="K2098" s="9" t="str">
        <f>IFERROR(__xludf.DUMMYFUNCTION("""COMPUTED_VALUE"""),"PHP")</f>
        <v>PHP</v>
      </c>
      <c r="L2098" s="9" t="str">
        <f>IFERROR(__xludf.DUMMYFUNCTION("""COMPUTED_VALUE"""),"Python")</f>
        <v>Python</v>
      </c>
      <c r="M2098" s="9" t="s">
        <v>24</v>
      </c>
    </row>
    <row r="2099" ht="15.75" customHeight="1">
      <c r="A2099" s="7"/>
      <c r="B2099" s="7" t="str">
        <f>IFERROR(__xludf.DUMMYFUNCTION("""COMPUTED_VALUE"""),"C#")</f>
        <v>C#</v>
      </c>
      <c r="C2099" s="9" t="str">
        <f>IFERROR(__xludf.DUMMYFUNCTION("""COMPUTED_VALUE"""),"JavaScript")</f>
        <v>JavaScript</v>
      </c>
      <c r="D2099" s="9" t="str">
        <f>IFERROR(__xludf.DUMMYFUNCTION("""COMPUTED_VALUE"""),"SQL")</f>
        <v>SQL</v>
      </c>
      <c r="E2099" s="9" t="str">
        <f>IFERROR(__xludf.DUMMYFUNCTION("""COMPUTED_VALUE"""),"HTML/CSS")</f>
        <v>HTML/CSS</v>
      </c>
      <c r="F2099" s="9" t="str">
        <f>IFERROR(__xludf.DUMMYFUNCTION("""COMPUTED_VALUE"""),"PHP")</f>
        <v>PHP</v>
      </c>
      <c r="G2099" s="9" t="str">
        <f>IFERROR(__xludf.DUMMYFUNCTION("""COMPUTED_VALUE"""),"SQL")</f>
        <v>SQL</v>
      </c>
      <c r="H2099" s="9" t="str">
        <f>IFERROR(__xludf.DUMMYFUNCTION("""COMPUTED_VALUE"""),"VBA")</f>
        <v>VBA</v>
      </c>
      <c r="I2099" s="9" t="str">
        <f>IFERROR(__xludf.DUMMYFUNCTION("""COMPUTED_VALUE"""),"SQL")</f>
        <v>SQL</v>
      </c>
      <c r="J2099" s="9" t="str">
        <f>IFERROR(__xludf.DUMMYFUNCTION("""COMPUTED_VALUE"""),"JavaScript")</f>
        <v>JavaScript</v>
      </c>
      <c r="K2099" s="9" t="str">
        <f>IFERROR(__xludf.DUMMYFUNCTION("""COMPUTED_VALUE"""),"Python")</f>
        <v>Python</v>
      </c>
      <c r="L2099" s="9" t="str">
        <f>IFERROR(__xludf.DUMMYFUNCTION("""COMPUTED_VALUE"""),"C#")</f>
        <v>C#</v>
      </c>
      <c r="M2099" s="9" t="s">
        <v>21</v>
      </c>
    </row>
    <row r="2100" ht="15.75" customHeight="1">
      <c r="A2100" s="7"/>
      <c r="B2100" s="7" t="str">
        <f>IFERROR(__xludf.DUMMYFUNCTION("""COMPUTED_VALUE"""),"Bash/Shell/PowerShell;C;Java;Python")</f>
        <v>Bash/Shell/PowerShell;C;Java;Python</v>
      </c>
      <c r="C2100" s="9" t="str">
        <f>IFERROR(__xludf.DUMMYFUNCTION("""COMPUTED_VALUE"""),"PHP")</f>
        <v>PHP</v>
      </c>
      <c r="D2100" s="9" t="str">
        <f>IFERROR(__xludf.DUMMYFUNCTION("""COMPUTED_VALUE"""),"Other(s):")</f>
        <v>Other(s):</v>
      </c>
      <c r="E2100" s="9" t="str">
        <f>IFERROR(__xludf.DUMMYFUNCTION("""COMPUTED_VALUE"""),"Java")</f>
        <v>Java</v>
      </c>
      <c r="F2100" s="9" t="str">
        <f>IFERROR(__xludf.DUMMYFUNCTION("""COMPUTED_VALUE"""),"Python")</f>
        <v>Python</v>
      </c>
      <c r="G2100" s="9" t="str">
        <f>IFERROR(__xludf.DUMMYFUNCTION("""COMPUTED_VALUE"""),"Other(s):")</f>
        <v>Other(s):</v>
      </c>
      <c r="H2100" s="9" t="str">
        <f>IFERROR(__xludf.DUMMYFUNCTION("""COMPUTED_VALUE"""),"Bash/Shell/PowerShell")</f>
        <v>Bash/Shell/PowerShell</v>
      </c>
      <c r="I2100" s="9" t="str">
        <f>IFERROR(__xludf.DUMMYFUNCTION("""COMPUTED_VALUE"""),"Bash/Shell/PowerShell")</f>
        <v>Bash/Shell/PowerShell</v>
      </c>
      <c r="J2100" s="9" t="str">
        <f>IFERROR(__xludf.DUMMYFUNCTION("""COMPUTED_VALUE"""),"PHP")</f>
        <v>PHP</v>
      </c>
      <c r="K2100" s="9" t="str">
        <f>IFERROR(__xludf.DUMMYFUNCTION("""COMPUTED_VALUE"""),"SQL")</f>
        <v>SQL</v>
      </c>
      <c r="L2100" s="9" t="str">
        <f>IFERROR(__xludf.DUMMYFUNCTION("""COMPUTED_VALUE"""),"HTML/CSS")</f>
        <v>HTML/CSS</v>
      </c>
      <c r="M2100" s="9" t="s">
        <v>37</v>
      </c>
    </row>
    <row r="2101" ht="15.75" customHeight="1">
      <c r="A2101" s="7"/>
      <c r="B2101" s="7" t="str">
        <f>IFERROR(__xludf.DUMMYFUNCTION("""COMPUTED_VALUE"""),"JavaScript;Python")</f>
        <v>JavaScript;Python</v>
      </c>
      <c r="C2101" s="9" t="str">
        <f>IFERROR(__xludf.DUMMYFUNCTION("""COMPUTED_VALUE"""),"SQL")</f>
        <v>SQL</v>
      </c>
      <c r="D2101" s="9" t="str">
        <f>IFERROR(__xludf.DUMMYFUNCTION("""COMPUTED_VALUE"""),"Bash/Shell/PowerShell")</f>
        <v>Bash/Shell/PowerShell</v>
      </c>
      <c r="E2101" s="9" t="str">
        <f>IFERROR(__xludf.DUMMYFUNCTION("""COMPUTED_VALUE"""),"JavaScript")</f>
        <v>JavaScript</v>
      </c>
      <c r="F2101" s="9" t="str">
        <f>IFERROR(__xludf.DUMMYFUNCTION("""COMPUTED_VALUE"""),"SQL")</f>
        <v>SQL</v>
      </c>
      <c r="G2101" s="9" t="str">
        <f>IFERROR(__xludf.DUMMYFUNCTION("""COMPUTED_VALUE"""),"C")</f>
        <v>C</v>
      </c>
      <c r="H2101" s="9" t="str">
        <f>IFERROR(__xludf.DUMMYFUNCTION("""COMPUTED_VALUE"""),"JavaScript")</f>
        <v>JavaScript</v>
      </c>
      <c r="I2101" s="9" t="str">
        <f>IFERROR(__xludf.DUMMYFUNCTION("""COMPUTED_VALUE"""),"Java")</f>
        <v>Java</v>
      </c>
      <c r="J2101" s="9" t="str">
        <f>IFERROR(__xludf.DUMMYFUNCTION("""COMPUTED_VALUE"""),"Other(s):")</f>
        <v>Other(s):</v>
      </c>
      <c r="K2101" s="9" t="str">
        <f>IFERROR(__xludf.DUMMYFUNCTION("""COMPUTED_VALUE"""),"TypeScript")</f>
        <v>TypeScript</v>
      </c>
      <c r="L2101" s="9" t="str">
        <f>IFERROR(__xludf.DUMMYFUNCTION("""COMPUTED_VALUE"""),"Java")</f>
        <v>Java</v>
      </c>
      <c r="M2101" s="9" t="s">
        <v>27</v>
      </c>
    </row>
    <row r="2102" ht="15.75" customHeight="1">
      <c r="A2102" s="7"/>
      <c r="B2102" s="7" t="str">
        <f>IFERROR(__xludf.DUMMYFUNCTION("""COMPUTED_VALUE"""),"HTML/CSS;JavaScript;PHP;SQL")</f>
        <v>HTML/CSS;JavaScript;PHP;SQL</v>
      </c>
      <c r="C2102" s="9" t="str">
        <f>IFERROR(__xludf.DUMMYFUNCTION("""COMPUTED_VALUE"""),"VBA")</f>
        <v>VBA</v>
      </c>
      <c r="D2102" s="9" t="str">
        <f>IFERROR(__xludf.DUMMYFUNCTION("""COMPUTED_VALUE"""),"C")</f>
        <v>C</v>
      </c>
      <c r="E2102" s="9" t="str">
        <f>IFERROR(__xludf.DUMMYFUNCTION("""COMPUTED_VALUE"""),"PHP")</f>
        <v>PHP</v>
      </c>
      <c r="F2102" s="9" t="str">
        <f>IFERROR(__xludf.DUMMYFUNCTION("""COMPUTED_VALUE"""),"Objective-C")</f>
        <v>Objective-C</v>
      </c>
      <c r="G2102" s="9" t="str">
        <f>IFERROR(__xludf.DUMMYFUNCTION("""COMPUTED_VALUE"""),"Java")</f>
        <v>Java</v>
      </c>
      <c r="H2102" s="9" t="str">
        <f>IFERROR(__xludf.DUMMYFUNCTION("""COMPUTED_VALUE"""),"Bash/Shell/PowerShell")</f>
        <v>Bash/Shell/PowerShell</v>
      </c>
      <c r="I2102" s="9" t="str">
        <f>IFERROR(__xludf.DUMMYFUNCTION("""COMPUTED_VALUE"""),"Clojure")</f>
        <v>Clojure</v>
      </c>
      <c r="J2102" s="9" t="str">
        <f>IFERROR(__xludf.DUMMYFUNCTION("""COMPUTED_VALUE"""),"C#")</f>
        <v>C#</v>
      </c>
      <c r="K2102" s="9" t="str">
        <f>IFERROR(__xludf.DUMMYFUNCTION("""COMPUTED_VALUE"""),"HTML/CSS")</f>
        <v>HTML/CSS</v>
      </c>
      <c r="L2102" s="9" t="str">
        <f>IFERROR(__xludf.DUMMYFUNCTION("""COMPUTED_VALUE"""),"PHP")</f>
        <v>PHP</v>
      </c>
      <c r="M2102" s="9" t="s">
        <v>28</v>
      </c>
    </row>
    <row r="2103" ht="15.75" customHeight="1">
      <c r="A2103" s="7"/>
      <c r="B2103" s="7" t="str">
        <f>IFERROR(__xludf.DUMMYFUNCTION("""COMPUTED_VALUE"""),"Assembly;Bash/Shell/PowerShell;C;C++;HTML/CSS;Java;JavaScript;PHP;Python;SQL;Other(s):")</f>
        <v>Assembly;Bash/Shell/PowerShell;C;C++;HTML/CSS;Java;JavaScript;PHP;Python;SQL;Other(s):</v>
      </c>
      <c r="C2103" s="9" t="str">
        <f>IFERROR(__xludf.DUMMYFUNCTION("""COMPUTED_VALUE"""),"Java")</f>
        <v>Java</v>
      </c>
      <c r="D2103" s="9" t="str">
        <f>IFERROR(__xludf.DUMMYFUNCTION("""COMPUTED_VALUE"""),"C++")</f>
        <v>C++</v>
      </c>
      <c r="E2103" s="9" t="str">
        <f>IFERROR(__xludf.DUMMYFUNCTION("""COMPUTED_VALUE"""),"Python")</f>
        <v>Python</v>
      </c>
      <c r="F2103" s="9" t="str">
        <f>IFERROR(__xludf.DUMMYFUNCTION("""COMPUTED_VALUE"""),"SQL")</f>
        <v>SQL</v>
      </c>
      <c r="G2103" s="9" t="str">
        <f>IFERROR(__xludf.DUMMYFUNCTION("""COMPUTED_VALUE"""),"Python")</f>
        <v>Python</v>
      </c>
      <c r="H2103" s="9" t="str">
        <f>IFERROR(__xludf.DUMMYFUNCTION("""COMPUTED_VALUE"""),"HTML/CSS")</f>
        <v>HTML/CSS</v>
      </c>
      <c r="I2103" s="9" t="str">
        <f>IFERROR(__xludf.DUMMYFUNCTION("""COMPUTED_VALUE"""),"HTML/CSS")</f>
        <v>HTML/CSS</v>
      </c>
      <c r="J2103" s="9" t="str">
        <f>IFERROR(__xludf.DUMMYFUNCTION("""COMPUTED_VALUE"""),"HTML/CSS")</f>
        <v>HTML/CSS</v>
      </c>
      <c r="K2103" s="9" t="str">
        <f>IFERROR(__xludf.DUMMYFUNCTION("""COMPUTED_VALUE"""),"JavaScript")</f>
        <v>JavaScript</v>
      </c>
      <c r="L2103" s="9" t="str">
        <f>IFERROR(__xludf.DUMMYFUNCTION("""COMPUTED_VALUE"""),"Java")</f>
        <v>Java</v>
      </c>
      <c r="M2103" s="9" t="s">
        <v>20</v>
      </c>
    </row>
    <row r="2104" ht="15.75" customHeight="1">
      <c r="A2104" s="7"/>
      <c r="B2104" s="7" t="str">
        <f>IFERROR(__xludf.DUMMYFUNCTION("""COMPUTED_VALUE"""),"Java;JavaScript;PHP;SQL;Other(s):")</f>
        <v>Java;JavaScript;PHP;SQL;Other(s):</v>
      </c>
      <c r="C2104" s="9" t="str">
        <f>IFERROR(__xludf.DUMMYFUNCTION("""COMPUTED_VALUE"""),"C#")</f>
        <v>C#</v>
      </c>
      <c r="D2104" s="9" t="str">
        <f>IFERROR(__xludf.DUMMYFUNCTION("""COMPUTED_VALUE"""),"HTML/CSS")</f>
        <v>HTML/CSS</v>
      </c>
      <c r="E2104" s="9" t="str">
        <f>IFERROR(__xludf.DUMMYFUNCTION("""COMPUTED_VALUE"""),"SQL")</f>
        <v>SQL</v>
      </c>
      <c r="F2104" s="9" t="str">
        <f>IFERROR(__xludf.DUMMYFUNCTION("""COMPUTED_VALUE"""),"Swift")</f>
        <v>Swift</v>
      </c>
      <c r="G2104" s="9" t="str">
        <f>IFERROR(__xludf.DUMMYFUNCTION("""COMPUTED_VALUE"""),"Assembly")</f>
        <v>Assembly</v>
      </c>
      <c r="H2104" s="9" t="str">
        <f>IFERROR(__xludf.DUMMYFUNCTION("""COMPUTED_VALUE"""),"JavaScript")</f>
        <v>JavaScript</v>
      </c>
      <c r="I2104" s="9" t="str">
        <f>IFERROR(__xludf.DUMMYFUNCTION("""COMPUTED_VALUE"""),"Java")</f>
        <v>Java</v>
      </c>
      <c r="J2104" s="9" t="str">
        <f>IFERROR(__xludf.DUMMYFUNCTION("""COMPUTED_VALUE"""),"JavaScript")</f>
        <v>JavaScript</v>
      </c>
      <c r="K2104" s="9" t="str">
        <f>IFERROR(__xludf.DUMMYFUNCTION("""COMPUTED_VALUE"""),"C++")</f>
        <v>C++</v>
      </c>
      <c r="L2104" s="9" t="str">
        <f>IFERROR(__xludf.DUMMYFUNCTION("""COMPUTED_VALUE"""),"SQL")</f>
        <v>SQL</v>
      </c>
      <c r="M2104" s="9" t="s">
        <v>26</v>
      </c>
    </row>
    <row r="2105" ht="15.75" customHeight="1">
      <c r="A2105" s="7"/>
      <c r="B2105" s="7" t="str">
        <f>IFERROR(__xludf.DUMMYFUNCTION("""COMPUTED_VALUE"""),"HTML/CSS;JavaScript;PHP")</f>
        <v>HTML/CSS;JavaScript;PHP</v>
      </c>
      <c r="C2105" s="9" t="str">
        <f>IFERROR(__xludf.DUMMYFUNCTION("""COMPUTED_VALUE"""),"HTML/CSS")</f>
        <v>HTML/CSS</v>
      </c>
      <c r="D2105" s="9" t="str">
        <f>IFERROR(__xludf.DUMMYFUNCTION("""COMPUTED_VALUE"""),"Java")</f>
        <v>Java</v>
      </c>
      <c r="E2105" s="9" t="str">
        <f>IFERROR(__xludf.DUMMYFUNCTION("""COMPUTED_VALUE"""),"TypeScript")</f>
        <v>TypeScript</v>
      </c>
      <c r="F2105" s="9" t="str">
        <f>IFERROR(__xludf.DUMMYFUNCTION("""COMPUTED_VALUE"""),"C#")</f>
        <v>C#</v>
      </c>
      <c r="G2105" s="9" t="str">
        <f>IFERROR(__xludf.DUMMYFUNCTION("""COMPUTED_VALUE"""),"C++")</f>
        <v>C++</v>
      </c>
      <c r="H2105" s="9" t="str">
        <f>IFERROR(__xludf.DUMMYFUNCTION("""COMPUTED_VALUE"""),"PHP")</f>
        <v>PHP</v>
      </c>
      <c r="I2105" s="9" t="str">
        <f>IFERROR(__xludf.DUMMYFUNCTION("""COMPUTED_VALUE"""),"JavaScript")</f>
        <v>JavaScript</v>
      </c>
      <c r="J2105" s="9" t="str">
        <f>IFERROR(__xludf.DUMMYFUNCTION("""COMPUTED_VALUE"""),"Python")</f>
        <v>Python</v>
      </c>
      <c r="K2105" s="9" t="str">
        <f>IFERROR(__xludf.DUMMYFUNCTION("""COMPUTED_VALUE"""),"HTML/CSS")</f>
        <v>HTML/CSS</v>
      </c>
      <c r="L2105" s="9" t="str">
        <f>IFERROR(__xludf.DUMMYFUNCTION("""COMPUTED_VALUE"""),"C#")</f>
        <v>C#</v>
      </c>
      <c r="M2105" s="9" t="s">
        <v>24</v>
      </c>
    </row>
    <row r="2106" ht="15.75" customHeight="1">
      <c r="A2106" s="7"/>
      <c r="B2106" s="7" t="str">
        <f>IFERROR(__xludf.DUMMYFUNCTION("""COMPUTED_VALUE"""),"C#;F#;Python;Other(s):")</f>
        <v>C#;F#;Python;Other(s):</v>
      </c>
      <c r="C2106" s="9" t="str">
        <f>IFERROR(__xludf.DUMMYFUNCTION("""COMPUTED_VALUE"""),"JavaScript")</f>
        <v>JavaScript</v>
      </c>
      <c r="D2106" s="9" t="str">
        <f>IFERROR(__xludf.DUMMYFUNCTION("""COMPUTED_VALUE"""),"JavaScript")</f>
        <v>JavaScript</v>
      </c>
      <c r="E2106" s="9" t="str">
        <f>IFERROR(__xludf.DUMMYFUNCTION("""COMPUTED_VALUE"""),"C")</f>
        <v>C</v>
      </c>
      <c r="F2106" s="9" t="str">
        <f>IFERROR(__xludf.DUMMYFUNCTION("""COMPUTED_VALUE"""),"HTML/CSS")</f>
        <v>HTML/CSS</v>
      </c>
      <c r="G2106" s="9" t="str">
        <f>IFERROR(__xludf.DUMMYFUNCTION("""COMPUTED_VALUE"""),"HTML/CSS")</f>
        <v>HTML/CSS</v>
      </c>
      <c r="H2106" s="9" t="str">
        <f>IFERROR(__xludf.DUMMYFUNCTION("""COMPUTED_VALUE"""),"Python")</f>
        <v>Python</v>
      </c>
      <c r="I2106" s="9" t="str">
        <f>IFERROR(__xludf.DUMMYFUNCTION("""COMPUTED_VALUE"""),"Kotlin")</f>
        <v>Kotlin</v>
      </c>
      <c r="J2106" s="9" t="str">
        <f>IFERROR(__xludf.DUMMYFUNCTION("""COMPUTED_VALUE"""),"TypeScript")</f>
        <v>TypeScript</v>
      </c>
      <c r="K2106" s="9" t="str">
        <f>IFERROR(__xludf.DUMMYFUNCTION("""COMPUTED_VALUE"""),"Java")</f>
        <v>Java</v>
      </c>
      <c r="L2106" s="9" t="str">
        <f>IFERROR(__xludf.DUMMYFUNCTION("""COMPUTED_VALUE"""),"HTML/CSS")</f>
        <v>HTML/CSS</v>
      </c>
      <c r="M2106" s="9" t="s">
        <v>21</v>
      </c>
    </row>
    <row r="2107" ht="15.75" customHeight="1">
      <c r="A2107" s="7"/>
      <c r="B2107" s="7" t="str">
        <f>IFERROR(__xludf.DUMMYFUNCTION("""COMPUTED_VALUE"""),"JavaScript;Ruby;SQL")</f>
        <v>JavaScript;Ruby;SQL</v>
      </c>
      <c r="C2107" s="9" t="str">
        <f>IFERROR(__xludf.DUMMYFUNCTION("""COMPUTED_VALUE"""),"SQL")</f>
        <v>SQL</v>
      </c>
      <c r="D2107" s="9" t="str">
        <f>IFERROR(__xludf.DUMMYFUNCTION("""COMPUTED_VALUE"""),"SQL")</f>
        <v>SQL</v>
      </c>
      <c r="E2107" s="9" t="str">
        <f>IFERROR(__xludf.DUMMYFUNCTION("""COMPUTED_VALUE"""),"Java")</f>
        <v>Java</v>
      </c>
      <c r="F2107" s="9" t="str">
        <f>IFERROR(__xludf.DUMMYFUNCTION("""COMPUTED_VALUE"""),"Java")</f>
        <v>Java</v>
      </c>
      <c r="G2107" s="9" t="str">
        <f>IFERROR(__xludf.DUMMYFUNCTION("""COMPUTED_VALUE"""),"Java")</f>
        <v>Java</v>
      </c>
      <c r="H2107" s="9" t="str">
        <f>IFERROR(__xludf.DUMMYFUNCTION("""COMPUTED_VALUE"""),"Ruby")</f>
        <v>Ruby</v>
      </c>
      <c r="I2107" s="9" t="str">
        <f>IFERROR(__xludf.DUMMYFUNCTION("""COMPUTED_VALUE"""),"Python")</f>
        <v>Python</v>
      </c>
      <c r="J2107" s="9" t="str">
        <f>IFERROR(__xludf.DUMMYFUNCTION("""COMPUTED_VALUE"""),"C")</f>
        <v>C</v>
      </c>
      <c r="K2107" s="9" t="str">
        <f>IFERROR(__xludf.DUMMYFUNCTION("""COMPUTED_VALUE"""),"JavaScript")</f>
        <v>JavaScript</v>
      </c>
      <c r="L2107" s="9" t="str">
        <f>IFERROR(__xludf.DUMMYFUNCTION("""COMPUTED_VALUE"""),"JavaScript")</f>
        <v>JavaScript</v>
      </c>
      <c r="M2107" s="9" t="s">
        <v>27</v>
      </c>
    </row>
    <row r="2108" ht="15.75" customHeight="1">
      <c r="A2108" s="7"/>
      <c r="B2108" s="7" t="str">
        <f>IFERROR(__xludf.DUMMYFUNCTION("""COMPUTED_VALUE"""),"Assembly;Bash/Shell/PowerShell;C;C++;C#;Erlang;F#;Go;HTML/CSS;Java;JavaScript;Kotlin;Python;R;Rust;Swift;TypeScript;VBA;WebAssembly")</f>
        <v>Assembly;Bash/Shell/PowerShell;C;C++;C#;Erlang;F#;Go;HTML/CSS;Java;JavaScript;Kotlin;Python;R;Rust;Swift;TypeScript;VBA;WebAssembly</v>
      </c>
      <c r="C2108" s="9" t="str">
        <f>IFERROR(__xludf.DUMMYFUNCTION("""COMPUTED_VALUE"""),"TypeScript")</f>
        <v>TypeScript</v>
      </c>
      <c r="D2108" s="9" t="str">
        <f>IFERROR(__xludf.DUMMYFUNCTION("""COMPUTED_VALUE"""),"HTML/CSS")</f>
        <v>HTML/CSS</v>
      </c>
      <c r="E2108" s="9" t="str">
        <f>IFERROR(__xludf.DUMMYFUNCTION("""COMPUTED_VALUE"""),"Kotlin")</f>
        <v>Kotlin</v>
      </c>
      <c r="F2108" s="9" t="str">
        <f>IFERROR(__xludf.DUMMYFUNCTION("""COMPUTED_VALUE"""),"JavaScript")</f>
        <v>JavaScript</v>
      </c>
      <c r="G2108" s="9" t="str">
        <f>IFERROR(__xludf.DUMMYFUNCTION("""COMPUTED_VALUE"""),"SQL")</f>
        <v>SQL</v>
      </c>
      <c r="H2108" s="9" t="str">
        <f>IFERROR(__xludf.DUMMYFUNCTION("""COMPUTED_VALUE"""),"SQL")</f>
        <v>SQL</v>
      </c>
      <c r="I2108" s="9" t="str">
        <f>IFERROR(__xludf.DUMMYFUNCTION("""COMPUTED_VALUE"""),"SQL")</f>
        <v>SQL</v>
      </c>
      <c r="J2108" s="9" t="str">
        <f>IFERROR(__xludf.DUMMYFUNCTION("""COMPUTED_VALUE"""),"C++")</f>
        <v>C++</v>
      </c>
      <c r="K2108" s="9" t="str">
        <f>IFERROR(__xludf.DUMMYFUNCTION("""COMPUTED_VALUE"""),"Objective-C")</f>
        <v>Objective-C</v>
      </c>
      <c r="L2108" s="9" t="str">
        <f>IFERROR(__xludf.DUMMYFUNCTION("""COMPUTED_VALUE"""),"Python")</f>
        <v>Python</v>
      </c>
      <c r="M2108" s="9" t="s">
        <v>33</v>
      </c>
    </row>
    <row r="2109" ht="15.75" customHeight="1">
      <c r="A2109" s="7"/>
      <c r="B2109" s="7" t="str">
        <f>IFERROR(__xludf.DUMMYFUNCTION("""COMPUTED_VALUE"""),"HTML/CSS;JavaScript;PHP;SQL")</f>
        <v>HTML/CSS;JavaScript;PHP;SQL</v>
      </c>
      <c r="C2109" s="9" t="str">
        <f>IFERROR(__xludf.DUMMYFUNCTION("""COMPUTED_VALUE"""),"Bash/Shell/PowerShell")</f>
        <v>Bash/Shell/PowerShell</v>
      </c>
      <c r="D2109" s="9" t="str">
        <f>IFERROR(__xludf.DUMMYFUNCTION("""COMPUTED_VALUE"""),"JavaScript")</f>
        <v>JavaScript</v>
      </c>
      <c r="E2109" s="9" t="str">
        <f>IFERROR(__xludf.DUMMYFUNCTION("""COMPUTED_VALUE"""),"HTML/CSS")</f>
        <v>HTML/CSS</v>
      </c>
      <c r="F2109" s="9" t="str">
        <f>IFERROR(__xludf.DUMMYFUNCTION("""COMPUTED_VALUE"""),"PHP")</f>
        <v>PHP</v>
      </c>
      <c r="G2109" s="9" t="str">
        <f>IFERROR(__xludf.DUMMYFUNCTION("""COMPUTED_VALUE"""),"HTML/CSS")</f>
        <v>HTML/CSS</v>
      </c>
      <c r="H2109" s="9" t="str">
        <f>IFERROR(__xludf.DUMMYFUNCTION("""COMPUTED_VALUE"""),"TypeScript")</f>
        <v>TypeScript</v>
      </c>
      <c r="I2109" s="9" t="str">
        <f>IFERROR(__xludf.DUMMYFUNCTION("""COMPUTED_VALUE"""),"TypeScript")</f>
        <v>TypeScript</v>
      </c>
      <c r="J2109" s="9" t="str">
        <f>IFERROR(__xludf.DUMMYFUNCTION("""COMPUTED_VALUE"""),"HTML/CSS")</f>
        <v>HTML/CSS</v>
      </c>
      <c r="K2109" s="9" t="str">
        <f>IFERROR(__xludf.DUMMYFUNCTION("""COMPUTED_VALUE"""),"PHP")</f>
        <v>PHP</v>
      </c>
      <c r="L2109" s="9" t="str">
        <f>IFERROR(__xludf.DUMMYFUNCTION("""COMPUTED_VALUE"""),"SQL")</f>
        <v>SQL</v>
      </c>
      <c r="M2109" s="9" t="s">
        <v>30</v>
      </c>
    </row>
    <row r="2110" ht="15.75" customHeight="1">
      <c r="A2110" s="7"/>
      <c r="B2110" s="7" t="str">
        <f>IFERROR(__xludf.DUMMYFUNCTION("""COMPUTED_VALUE"""),"HTML/CSS;JavaScript;Python")</f>
        <v>HTML/CSS;JavaScript;Python</v>
      </c>
      <c r="C2110" s="9" t="str">
        <f>IFERROR(__xludf.DUMMYFUNCTION("""COMPUTED_VALUE"""),"Java")</f>
        <v>Java</v>
      </c>
      <c r="D2110" s="9" t="str">
        <f>IFERROR(__xludf.DUMMYFUNCTION("""COMPUTED_VALUE"""),"Kotlin")</f>
        <v>Kotlin</v>
      </c>
      <c r="E2110" s="9" t="str">
        <f>IFERROR(__xludf.DUMMYFUNCTION("""COMPUTED_VALUE"""),"Java")</f>
        <v>Java</v>
      </c>
      <c r="F2110" s="9" t="str">
        <f>IFERROR(__xludf.DUMMYFUNCTION("""COMPUTED_VALUE"""),"SQL")</f>
        <v>SQL</v>
      </c>
      <c r="G2110" s="9" t="str">
        <f>IFERROR(__xludf.DUMMYFUNCTION("""COMPUTED_VALUE"""),"JavaScript")</f>
        <v>JavaScript</v>
      </c>
      <c r="H2110" s="9" t="str">
        <f>IFERROR(__xludf.DUMMYFUNCTION("""COMPUTED_VALUE"""),"Other(s):")</f>
        <v>Other(s):</v>
      </c>
      <c r="I2110" s="9" t="str">
        <f>IFERROR(__xludf.DUMMYFUNCTION("""COMPUTED_VALUE"""),"C#")</f>
        <v>C#</v>
      </c>
      <c r="J2110" s="9" t="str">
        <f>IFERROR(__xludf.DUMMYFUNCTION("""COMPUTED_VALUE"""),"Java")</f>
        <v>Java</v>
      </c>
      <c r="K2110" s="9" t="str">
        <f>IFERROR(__xludf.DUMMYFUNCTION("""COMPUTED_VALUE"""),"SQL")</f>
        <v>SQL</v>
      </c>
      <c r="L2110" s="9" t="str">
        <f>IFERROR(__xludf.DUMMYFUNCTION("""COMPUTED_VALUE"""),"Bash/Shell/PowerShell")</f>
        <v>Bash/Shell/PowerShell</v>
      </c>
      <c r="M2110" s="9" t="s">
        <v>20</v>
      </c>
    </row>
    <row r="2111" ht="15.75" customHeight="1">
      <c r="A2111" s="7"/>
      <c r="B2111" s="7" t="str">
        <f>IFERROR(__xludf.DUMMYFUNCTION("""COMPUTED_VALUE"""),"Bash/Shell/PowerShell;HTML/CSS;JavaScript;PHP;TypeScript")</f>
        <v>Bash/Shell/PowerShell;HTML/CSS;JavaScript;PHP;TypeScript</v>
      </c>
      <c r="C2111" s="9" t="str">
        <f>IFERROR(__xludf.DUMMYFUNCTION("""COMPUTED_VALUE"""),"Python")</f>
        <v>Python</v>
      </c>
      <c r="D2111" s="9" t="str">
        <f>IFERROR(__xludf.DUMMYFUNCTION("""COMPUTED_VALUE"""),"Python")</f>
        <v>Python</v>
      </c>
      <c r="E2111" s="9" t="str">
        <f>IFERROR(__xludf.DUMMYFUNCTION("""COMPUTED_VALUE"""),"JavaScript")</f>
        <v>JavaScript</v>
      </c>
      <c r="F2111" s="9" t="str">
        <f>IFERROR(__xludf.DUMMYFUNCTION("""COMPUTED_VALUE"""),"Other(s):")</f>
        <v>Other(s):</v>
      </c>
      <c r="G2111" s="9" t="str">
        <f>IFERROR(__xludf.DUMMYFUNCTION("""COMPUTED_VALUE"""),"Bash/Shell/PowerShell")</f>
        <v>Bash/Shell/PowerShell</v>
      </c>
      <c r="H2111" s="9" t="str">
        <f>IFERROR(__xludf.DUMMYFUNCTION("""COMPUTED_VALUE"""),"Bash/Shell/PowerShell")</f>
        <v>Bash/Shell/PowerShell</v>
      </c>
      <c r="I2111" s="9" t="str">
        <f>IFERROR(__xludf.DUMMYFUNCTION("""COMPUTED_VALUE"""),"C++")</f>
        <v>C++</v>
      </c>
      <c r="J2111" s="9" t="str">
        <f>IFERROR(__xludf.DUMMYFUNCTION("""COMPUTED_VALUE"""),"JavaScript")</f>
        <v>JavaScript</v>
      </c>
      <c r="K2111" s="9" t="str">
        <f>IFERROR(__xludf.DUMMYFUNCTION("""COMPUTED_VALUE"""),"Bash/Shell/PowerShell")</f>
        <v>Bash/Shell/PowerShell</v>
      </c>
      <c r="L2111" s="9" t="str">
        <f>IFERROR(__xludf.DUMMYFUNCTION("""COMPUTED_VALUE"""),"HTML/CSS")</f>
        <v>HTML/CSS</v>
      </c>
      <c r="M2111" s="9" t="s">
        <v>22</v>
      </c>
    </row>
    <row r="2112" ht="15.75" customHeight="1">
      <c r="A2112" s="7"/>
      <c r="B2112" s="7" t="str">
        <f>IFERROR(__xludf.DUMMYFUNCTION("""COMPUTED_VALUE"""),"Bash/Shell/PowerShell;Java;Python;SQL")</f>
        <v>Bash/Shell/PowerShell;Java;Python;SQL</v>
      </c>
      <c r="C2112" s="9" t="str">
        <f>IFERROR(__xludf.DUMMYFUNCTION("""COMPUTED_VALUE"""),"C#")</f>
        <v>C#</v>
      </c>
      <c r="D2112" s="9" t="str">
        <f>IFERROR(__xludf.DUMMYFUNCTION("""COMPUTED_VALUE"""),"SQL")</f>
        <v>SQL</v>
      </c>
      <c r="E2112" s="9" t="str">
        <f>IFERROR(__xludf.DUMMYFUNCTION("""COMPUTED_VALUE"""),"SQL")</f>
        <v>SQL</v>
      </c>
      <c r="F2112" s="9" t="str">
        <f>IFERROR(__xludf.DUMMYFUNCTION("""COMPUTED_VALUE"""),"Assembly")</f>
        <v>Assembly</v>
      </c>
      <c r="G2112" s="9" t="str">
        <f>IFERROR(__xludf.DUMMYFUNCTION("""COMPUTED_VALUE"""),"C#")</f>
        <v>C#</v>
      </c>
      <c r="H2112" s="9" t="str">
        <f>IFERROR(__xludf.DUMMYFUNCTION("""COMPUTED_VALUE"""),"C")</f>
        <v>C</v>
      </c>
      <c r="I2112" s="9" t="str">
        <f>IFERROR(__xludf.DUMMYFUNCTION("""COMPUTED_VALUE"""),"HTML/CSS")</f>
        <v>HTML/CSS</v>
      </c>
      <c r="J2112" s="9" t="str">
        <f>IFERROR(__xludf.DUMMYFUNCTION("""COMPUTED_VALUE"""),"SQL")</f>
        <v>SQL</v>
      </c>
      <c r="K2112" s="9" t="str">
        <f>IFERROR(__xludf.DUMMYFUNCTION("""COMPUTED_VALUE"""),"HTML/CSS")</f>
        <v>HTML/CSS</v>
      </c>
      <c r="L2112" s="9" t="str">
        <f>IFERROR(__xludf.DUMMYFUNCTION("""COMPUTED_VALUE"""),"JavaScript")</f>
        <v>JavaScript</v>
      </c>
      <c r="M2112" s="9" t="s">
        <v>26</v>
      </c>
    </row>
    <row r="2113" ht="15.75" customHeight="1">
      <c r="A2113" s="7"/>
      <c r="B2113" s="7" t="str">
        <f>IFERROR(__xludf.DUMMYFUNCTION("""COMPUTED_VALUE"""),"Java;SQL")</f>
        <v>Java;SQL</v>
      </c>
      <c r="C2113" s="9" t="str">
        <f>IFERROR(__xludf.DUMMYFUNCTION("""COMPUTED_VALUE"""),"Assembly")</f>
        <v>Assembly</v>
      </c>
      <c r="D2113" s="9" t="str">
        <f>IFERROR(__xludf.DUMMYFUNCTION("""COMPUTED_VALUE"""),"Java")</f>
        <v>Java</v>
      </c>
      <c r="E2113" s="9" t="str">
        <f>IFERROR(__xludf.DUMMYFUNCTION("""COMPUTED_VALUE"""),"Clojure")</f>
        <v>Clojure</v>
      </c>
      <c r="F2113" s="9" t="str">
        <f>IFERROR(__xludf.DUMMYFUNCTION("""COMPUTED_VALUE"""),"C")</f>
        <v>C</v>
      </c>
      <c r="G2113" s="9" t="str">
        <f>IFERROR(__xludf.DUMMYFUNCTION("""COMPUTED_VALUE"""),"HTML/CSS")</f>
        <v>HTML/CSS</v>
      </c>
      <c r="H2113" s="9" t="str">
        <f>IFERROR(__xludf.DUMMYFUNCTION("""COMPUTED_VALUE"""),"C#")</f>
        <v>C#</v>
      </c>
      <c r="I2113" s="9" t="str">
        <f>IFERROR(__xludf.DUMMYFUNCTION("""COMPUTED_VALUE"""),"Java")</f>
        <v>Java</v>
      </c>
      <c r="J2113" s="9" t="str">
        <f>IFERROR(__xludf.DUMMYFUNCTION("""COMPUTED_VALUE"""),"Bash/Shell/PowerShell")</f>
        <v>Bash/Shell/PowerShell</v>
      </c>
      <c r="K2113" s="9" t="str">
        <f>IFERROR(__xludf.DUMMYFUNCTION("""COMPUTED_VALUE"""),"JavaScript")</f>
        <v>JavaScript</v>
      </c>
      <c r="L2113" s="9" t="str">
        <f>IFERROR(__xludf.DUMMYFUNCTION("""COMPUTED_VALUE"""),"PHP")</f>
        <v>PHP</v>
      </c>
      <c r="M2113" s="9" t="s">
        <v>38</v>
      </c>
    </row>
    <row r="2114" ht="15.75" customHeight="1">
      <c r="A2114" s="7"/>
      <c r="B2114" s="7" t="str">
        <f>IFERROR(__xludf.DUMMYFUNCTION("""COMPUTED_VALUE"""),"Bash/Shell/PowerShell;C++;Python")</f>
        <v>Bash/Shell/PowerShell;C++;Python</v>
      </c>
      <c r="C2114" s="9" t="str">
        <f>IFERROR(__xludf.DUMMYFUNCTION("""COMPUTED_VALUE"""),"C++")</f>
        <v>C++</v>
      </c>
      <c r="D2114" s="9" t="str">
        <f>IFERROR(__xludf.DUMMYFUNCTION("""COMPUTED_VALUE"""),"Scala")</f>
        <v>Scala</v>
      </c>
      <c r="E2114" s="9" t="str">
        <f>IFERROR(__xludf.DUMMYFUNCTION("""COMPUTED_VALUE"""),"HTML/CSS")</f>
        <v>HTML/CSS</v>
      </c>
      <c r="F2114" s="9" t="str">
        <f>IFERROR(__xludf.DUMMYFUNCTION("""COMPUTED_VALUE"""),"C++")</f>
        <v>C++</v>
      </c>
      <c r="G2114" s="9" t="str">
        <f>IFERROR(__xludf.DUMMYFUNCTION("""COMPUTED_VALUE"""),"Java")</f>
        <v>Java</v>
      </c>
      <c r="H2114" s="9" t="str">
        <f>IFERROR(__xludf.DUMMYFUNCTION("""COMPUTED_VALUE"""),"HTML/CSS")</f>
        <v>HTML/CSS</v>
      </c>
      <c r="I2114" s="9" t="str">
        <f>IFERROR(__xludf.DUMMYFUNCTION("""COMPUTED_VALUE"""),"C#")</f>
        <v>C#</v>
      </c>
      <c r="J2114" s="9" t="str">
        <f>IFERROR(__xludf.DUMMYFUNCTION("""COMPUTED_VALUE"""),"HTML/CSS")</f>
        <v>HTML/CSS</v>
      </c>
      <c r="K2114" s="9" t="str">
        <f>IFERROR(__xludf.DUMMYFUNCTION("""COMPUTED_VALUE"""),"PHP")</f>
        <v>PHP</v>
      </c>
      <c r="L2114" s="9" t="str">
        <f>IFERROR(__xludf.DUMMYFUNCTION("""COMPUTED_VALUE"""),"Bash/Shell/PowerShell")</f>
        <v>Bash/Shell/PowerShell</v>
      </c>
      <c r="M2114" s="9" t="s">
        <v>23</v>
      </c>
    </row>
    <row r="2115" ht="15.75" customHeight="1">
      <c r="A2115" s="7"/>
      <c r="B2115" s="7" t="str">
        <f>IFERROR(__xludf.DUMMYFUNCTION("""COMPUTED_VALUE"""),"C#;HTML/CSS;JavaScript;PHP")</f>
        <v>C#;HTML/CSS;JavaScript;PHP</v>
      </c>
      <c r="C2115" s="9" t="str">
        <f>IFERROR(__xludf.DUMMYFUNCTION("""COMPUTED_VALUE"""),"C#")</f>
        <v>C#</v>
      </c>
      <c r="D2115" s="9" t="str">
        <f>IFERROR(__xludf.DUMMYFUNCTION("""COMPUTED_VALUE"""),"Assembly")</f>
        <v>Assembly</v>
      </c>
      <c r="E2115" s="9" t="str">
        <f>IFERROR(__xludf.DUMMYFUNCTION("""COMPUTED_VALUE"""),"Java")</f>
        <v>Java</v>
      </c>
      <c r="F2115" s="9" t="str">
        <f>IFERROR(__xludf.DUMMYFUNCTION("""COMPUTED_VALUE"""),"C#")</f>
        <v>C#</v>
      </c>
      <c r="G2115" s="9" t="str">
        <f>IFERROR(__xludf.DUMMYFUNCTION("""COMPUTED_VALUE"""),"JavaScript")</f>
        <v>JavaScript</v>
      </c>
      <c r="H2115" s="9" t="str">
        <f>IFERROR(__xludf.DUMMYFUNCTION("""COMPUTED_VALUE"""),"Java")</f>
        <v>Java</v>
      </c>
      <c r="I2115" s="9" t="str">
        <f>IFERROR(__xludf.DUMMYFUNCTION("""COMPUTED_VALUE"""),"HTML/CSS")</f>
        <v>HTML/CSS</v>
      </c>
      <c r="J2115" s="9" t="str">
        <f>IFERROR(__xludf.DUMMYFUNCTION("""COMPUTED_VALUE"""),"Java")</f>
        <v>Java</v>
      </c>
      <c r="K2115" s="9" t="str">
        <f>IFERROR(__xludf.DUMMYFUNCTION("""COMPUTED_VALUE"""),"Ruby")</f>
        <v>Ruby</v>
      </c>
      <c r="L2115" s="9" t="str">
        <f>IFERROR(__xludf.DUMMYFUNCTION("""COMPUTED_VALUE"""),"JavaScript")</f>
        <v>JavaScript</v>
      </c>
      <c r="M2115" s="9" t="s">
        <v>26</v>
      </c>
    </row>
    <row r="2116" ht="15.75" customHeight="1">
      <c r="A2116" s="7"/>
      <c r="B2116" s="7" t="str">
        <f>IFERROR(__xludf.DUMMYFUNCTION("""COMPUTED_VALUE"""),"HTML/CSS;JavaScript;PHP;SQL")</f>
        <v>HTML/CSS;JavaScript;PHP;SQL</v>
      </c>
      <c r="C2116" s="9" t="str">
        <f>IFERROR(__xludf.DUMMYFUNCTION("""COMPUTED_VALUE"""),"HTML/CSS")</f>
        <v>HTML/CSS</v>
      </c>
      <c r="D2116" s="9" t="str">
        <f>IFERROR(__xludf.DUMMYFUNCTION("""COMPUTED_VALUE"""),"Bash/Shell/PowerShell")</f>
        <v>Bash/Shell/PowerShell</v>
      </c>
      <c r="E2116" s="9" t="str">
        <f>IFERROR(__xludf.DUMMYFUNCTION("""COMPUTED_VALUE"""),"Other(s):")</f>
        <v>Other(s):</v>
      </c>
      <c r="F2116" s="9" t="str">
        <f>IFERROR(__xludf.DUMMYFUNCTION("""COMPUTED_VALUE"""),"Java")</f>
        <v>Java</v>
      </c>
      <c r="G2116" s="9" t="str">
        <f>IFERROR(__xludf.DUMMYFUNCTION("""COMPUTED_VALUE"""),"PHP")</f>
        <v>PHP</v>
      </c>
      <c r="H2116" s="9" t="str">
        <f>IFERROR(__xludf.DUMMYFUNCTION("""COMPUTED_VALUE"""),"JavaScript")</f>
        <v>JavaScript</v>
      </c>
      <c r="I2116" s="9" t="str">
        <f>IFERROR(__xludf.DUMMYFUNCTION("""COMPUTED_VALUE"""),"JavaScript")</f>
        <v>JavaScript</v>
      </c>
      <c r="J2116" s="9" t="str">
        <f>IFERROR(__xludf.DUMMYFUNCTION("""COMPUTED_VALUE"""),"Ruby")</f>
        <v>Ruby</v>
      </c>
      <c r="K2116" s="9" t="str">
        <f>IFERROR(__xludf.DUMMYFUNCTION("""COMPUTED_VALUE"""),"JavaScript")</f>
        <v>JavaScript</v>
      </c>
      <c r="L2116" s="9" t="str">
        <f>IFERROR(__xludf.DUMMYFUNCTION("""COMPUTED_VALUE"""),"Python")</f>
        <v>Python</v>
      </c>
      <c r="M2116" s="9" t="s">
        <v>24</v>
      </c>
    </row>
    <row r="2117" ht="15.75" customHeight="1">
      <c r="A2117" s="7"/>
      <c r="B2117" s="7" t="str">
        <f>IFERROR(__xludf.DUMMYFUNCTION("""COMPUTED_VALUE"""),"Bash/Shell/PowerShell;C;C++;C#;Java")</f>
        <v>Bash/Shell/PowerShell;C;C++;C#;Java</v>
      </c>
      <c r="C2117" s="9" t="str">
        <f>IFERROR(__xludf.DUMMYFUNCTION("""COMPUTED_VALUE"""),"Java")</f>
        <v>Java</v>
      </c>
      <c r="D2117" s="9" t="str">
        <f>IFERROR(__xludf.DUMMYFUNCTION("""COMPUTED_VALUE"""),"C")</f>
        <v>C</v>
      </c>
      <c r="E2117" s="9" t="str">
        <f>IFERROR(__xludf.DUMMYFUNCTION("""COMPUTED_VALUE"""),"Bash/Shell/PowerShell")</f>
        <v>Bash/Shell/PowerShell</v>
      </c>
      <c r="F2117" s="9" t="str">
        <f>IFERROR(__xludf.DUMMYFUNCTION("""COMPUTED_VALUE"""),"PHP")</f>
        <v>PHP</v>
      </c>
      <c r="G2117" s="9" t="str">
        <f>IFERROR(__xludf.DUMMYFUNCTION("""COMPUTED_VALUE"""),"Ruby")</f>
        <v>Ruby</v>
      </c>
      <c r="H2117" s="9" t="str">
        <f>IFERROR(__xludf.DUMMYFUNCTION("""COMPUTED_VALUE"""),"PHP")</f>
        <v>PHP</v>
      </c>
      <c r="I2117" s="9" t="str">
        <f>IFERROR(__xludf.DUMMYFUNCTION("""COMPUTED_VALUE"""),"Other(s):")</f>
        <v>Other(s):</v>
      </c>
      <c r="J2117" s="9" t="str">
        <f>IFERROR(__xludf.DUMMYFUNCTION("""COMPUTED_VALUE"""),"SQL")</f>
        <v>SQL</v>
      </c>
      <c r="K2117" s="9" t="str">
        <f>IFERROR(__xludf.DUMMYFUNCTION("""COMPUTED_VALUE"""),"Python")</f>
        <v>Python</v>
      </c>
      <c r="L2117" s="9" t="str">
        <f>IFERROR(__xludf.DUMMYFUNCTION("""COMPUTED_VALUE"""),"HTML/CSS")</f>
        <v>HTML/CSS</v>
      </c>
      <c r="M2117" s="9" t="s">
        <v>20</v>
      </c>
    </row>
    <row r="2118" ht="15.75" customHeight="1">
      <c r="A2118" s="7"/>
      <c r="B2118" s="7" t="str">
        <f>IFERROR(__xludf.DUMMYFUNCTION("""COMPUTED_VALUE"""),"HTML/CSS;Java;JavaScript;Kotlin;Python;SQL")</f>
        <v>HTML/CSS;Java;JavaScript;Kotlin;Python;SQL</v>
      </c>
      <c r="C2118" s="9" t="str">
        <f>IFERROR(__xludf.DUMMYFUNCTION("""COMPUTED_VALUE"""),"JavaScript")</f>
        <v>JavaScript</v>
      </c>
      <c r="D2118" s="9" t="str">
        <f>IFERROR(__xludf.DUMMYFUNCTION("""COMPUTED_VALUE"""),"C++")</f>
        <v>C++</v>
      </c>
      <c r="E2118" s="9" t="str">
        <f>IFERROR(__xludf.DUMMYFUNCTION("""COMPUTED_VALUE"""),"C++")</f>
        <v>C++</v>
      </c>
      <c r="F2118" s="9" t="str">
        <f>IFERROR(__xludf.DUMMYFUNCTION("""COMPUTED_VALUE"""),"Ruby")</f>
        <v>Ruby</v>
      </c>
      <c r="G2118" s="9" t="str">
        <f>IFERROR(__xludf.DUMMYFUNCTION("""COMPUTED_VALUE"""),"SQL")</f>
        <v>SQL</v>
      </c>
      <c r="H2118" s="9" t="str">
        <f>IFERROR(__xludf.DUMMYFUNCTION("""COMPUTED_VALUE"""),"SQL")</f>
        <v>SQL</v>
      </c>
      <c r="I2118" s="9" t="str">
        <f>IFERROR(__xludf.DUMMYFUNCTION("""COMPUTED_VALUE"""),"Erlang")</f>
        <v>Erlang</v>
      </c>
      <c r="J2118" s="9" t="str">
        <f>IFERROR(__xludf.DUMMYFUNCTION("""COMPUTED_VALUE"""),"C#")</f>
        <v>C#</v>
      </c>
      <c r="K2118" s="9" t="str">
        <f>IFERROR(__xludf.DUMMYFUNCTION("""COMPUTED_VALUE"""),"Bash/Shell/PowerShell")</f>
        <v>Bash/Shell/PowerShell</v>
      </c>
      <c r="L2118" s="9" t="str">
        <f>IFERROR(__xludf.DUMMYFUNCTION("""COMPUTED_VALUE"""),"JavaScript")</f>
        <v>JavaScript</v>
      </c>
      <c r="M2118" s="9" t="s">
        <v>21</v>
      </c>
    </row>
    <row r="2119" ht="15.75" customHeight="1">
      <c r="A2119" s="7"/>
      <c r="B2119" s="7" t="str">
        <f>IFERROR(__xludf.DUMMYFUNCTION("""COMPUTED_VALUE"""),"C#;HTML/CSS;JavaScript")</f>
        <v>C#;HTML/CSS;JavaScript</v>
      </c>
      <c r="C2119" s="9" t="str">
        <f>IFERROR(__xludf.DUMMYFUNCTION("""COMPUTED_VALUE"""),"Objective-C")</f>
        <v>Objective-C</v>
      </c>
      <c r="D2119" s="9" t="str">
        <f>IFERROR(__xludf.DUMMYFUNCTION("""COMPUTED_VALUE"""),"C#")</f>
        <v>C#</v>
      </c>
      <c r="E2119" s="9" t="str">
        <f>IFERROR(__xludf.DUMMYFUNCTION("""COMPUTED_VALUE"""),"HTML/CSS")</f>
        <v>HTML/CSS</v>
      </c>
      <c r="F2119" s="9" t="str">
        <f>IFERROR(__xludf.DUMMYFUNCTION("""COMPUTED_VALUE"""),"SQL")</f>
        <v>SQL</v>
      </c>
      <c r="G2119" s="9" t="str">
        <f>IFERROR(__xludf.DUMMYFUNCTION("""COMPUTED_VALUE"""),"VBA")</f>
        <v>VBA</v>
      </c>
      <c r="H2119" s="9" t="str">
        <f>IFERROR(__xludf.DUMMYFUNCTION("""COMPUTED_VALUE"""),"TypeScript")</f>
        <v>TypeScript</v>
      </c>
      <c r="I2119" s="9" t="str">
        <f>IFERROR(__xludf.DUMMYFUNCTION("""COMPUTED_VALUE"""),"HTML/CSS")</f>
        <v>HTML/CSS</v>
      </c>
      <c r="J2119" s="9" t="str">
        <f>IFERROR(__xludf.DUMMYFUNCTION("""COMPUTED_VALUE"""),"HTML/CSS")</f>
        <v>HTML/CSS</v>
      </c>
      <c r="K2119" s="9" t="str">
        <f>IFERROR(__xludf.DUMMYFUNCTION("""COMPUTED_VALUE"""),"C#")</f>
        <v>C#</v>
      </c>
      <c r="L2119" s="9" t="str">
        <f>IFERROR(__xludf.DUMMYFUNCTION("""COMPUTED_VALUE"""),"PHP")</f>
        <v>PHP</v>
      </c>
      <c r="M2119" s="9" t="s">
        <v>41</v>
      </c>
    </row>
    <row r="2120" ht="15.75" customHeight="1">
      <c r="A2120" s="7"/>
      <c r="B2120" s="7" t="str">
        <f>IFERROR(__xludf.DUMMYFUNCTION("""COMPUTED_VALUE"""),"C#;HTML/CSS;JavaScript;SQL;TypeScript")</f>
        <v>C#;HTML/CSS;JavaScript;SQL;TypeScript</v>
      </c>
      <c r="C2120" s="9" t="str">
        <f>IFERROR(__xludf.DUMMYFUNCTION("""COMPUTED_VALUE"""),"PHP")</f>
        <v>PHP</v>
      </c>
      <c r="D2120" s="9" t="str">
        <f>IFERROR(__xludf.DUMMYFUNCTION("""COMPUTED_VALUE"""),"Go")</f>
        <v>Go</v>
      </c>
      <c r="E2120" s="9" t="str">
        <f>IFERROR(__xludf.DUMMYFUNCTION("""COMPUTED_VALUE"""),"Java")</f>
        <v>Java</v>
      </c>
      <c r="F2120" s="9" t="str">
        <f>IFERROR(__xludf.DUMMYFUNCTION("""COMPUTED_VALUE"""),"HTML/CSS")</f>
        <v>HTML/CSS</v>
      </c>
      <c r="G2120" s="9" t="str">
        <f>IFERROR(__xludf.DUMMYFUNCTION("""COMPUTED_VALUE"""),"Bash/Shell/PowerShell")</f>
        <v>Bash/Shell/PowerShell</v>
      </c>
      <c r="H2120" s="9" t="str">
        <f>IFERROR(__xludf.DUMMYFUNCTION("""COMPUTED_VALUE"""),"Bash/Shell/PowerShell")</f>
        <v>Bash/Shell/PowerShell</v>
      </c>
      <c r="I2120" s="9" t="str">
        <f>IFERROR(__xludf.DUMMYFUNCTION("""COMPUTED_VALUE"""),"Java")</f>
        <v>Java</v>
      </c>
      <c r="J2120" s="9" t="str">
        <f>IFERROR(__xludf.DUMMYFUNCTION("""COMPUTED_VALUE"""),"JavaScript")</f>
        <v>JavaScript</v>
      </c>
      <c r="K2120" s="9" t="str">
        <f>IFERROR(__xludf.DUMMYFUNCTION("""COMPUTED_VALUE"""),"HTML/CSS")</f>
        <v>HTML/CSS</v>
      </c>
      <c r="L2120" s="9" t="str">
        <f>IFERROR(__xludf.DUMMYFUNCTION("""COMPUTED_VALUE"""),"SQL")</f>
        <v>SQL</v>
      </c>
      <c r="M2120" s="9" t="s">
        <v>37</v>
      </c>
    </row>
    <row r="2121" ht="15.75" customHeight="1">
      <c r="A2121" s="7"/>
      <c r="B2121" s="7" t="str">
        <f>IFERROR(__xludf.DUMMYFUNCTION("""COMPUTED_VALUE"""),"Go;Objective-C;Swift;TypeScript")</f>
        <v>Go;Objective-C;Swift;TypeScript</v>
      </c>
      <c r="C2121" s="9" t="str">
        <f>IFERROR(__xludf.DUMMYFUNCTION("""COMPUTED_VALUE"""),"SQL")</f>
        <v>SQL</v>
      </c>
      <c r="D2121" s="9" t="str">
        <f>IFERROR(__xludf.DUMMYFUNCTION("""COMPUTED_VALUE"""),"HTML/CSS")</f>
        <v>HTML/CSS</v>
      </c>
      <c r="E2121" s="9" t="str">
        <f>IFERROR(__xludf.DUMMYFUNCTION("""COMPUTED_VALUE"""),"JavaScript")</f>
        <v>JavaScript</v>
      </c>
      <c r="F2121" s="9" t="str">
        <f>IFERROR(__xludf.DUMMYFUNCTION("""COMPUTED_VALUE"""),"JavaScript")</f>
        <v>JavaScript</v>
      </c>
      <c r="G2121" s="9" t="str">
        <f>IFERROR(__xludf.DUMMYFUNCTION("""COMPUTED_VALUE"""),"Go")</f>
        <v>Go</v>
      </c>
      <c r="H2121" s="9" t="str">
        <f>IFERROR(__xludf.DUMMYFUNCTION("""COMPUTED_VALUE"""),"C++")</f>
        <v>C++</v>
      </c>
      <c r="I2121" s="9" t="str">
        <f>IFERROR(__xludf.DUMMYFUNCTION("""COMPUTED_VALUE"""),"JavaScript")</f>
        <v>JavaScript</v>
      </c>
      <c r="J2121" s="9" t="str">
        <f>IFERROR(__xludf.DUMMYFUNCTION("""COMPUTED_VALUE"""),"HTML/CSS")</f>
        <v>HTML/CSS</v>
      </c>
      <c r="K2121" s="9" t="str">
        <f>IFERROR(__xludf.DUMMYFUNCTION("""COMPUTED_VALUE"""),"JavaScript")</f>
        <v>JavaScript</v>
      </c>
      <c r="L2121" s="9" t="str">
        <f>IFERROR(__xludf.DUMMYFUNCTION("""COMPUTED_VALUE"""),"TypeScript")</f>
        <v>TypeScript</v>
      </c>
      <c r="M2121" s="9" t="s">
        <v>27</v>
      </c>
    </row>
    <row r="2122" ht="15.75" customHeight="1">
      <c r="A2122" s="7"/>
      <c r="B2122" s="7" t="str">
        <f>IFERROR(__xludf.DUMMYFUNCTION("""COMPUTED_VALUE"""),"Bash/Shell/PowerShell;Elixir;HTML/CSS;JavaScript;Ruby")</f>
        <v>Bash/Shell/PowerShell;Elixir;HTML/CSS;JavaScript;Ruby</v>
      </c>
      <c r="C2122" s="9" t="str">
        <f>IFERROR(__xludf.DUMMYFUNCTION("""COMPUTED_VALUE"""),"Other(s):")</f>
        <v>Other(s):</v>
      </c>
      <c r="D2122" s="9" t="str">
        <f>IFERROR(__xludf.DUMMYFUNCTION("""COMPUTED_VALUE"""),"Java")</f>
        <v>Java</v>
      </c>
      <c r="E2122" s="9" t="str">
        <f>IFERROR(__xludf.DUMMYFUNCTION("""COMPUTED_VALUE"""),"Python")</f>
        <v>Python</v>
      </c>
      <c r="F2122" s="9" t="str">
        <f>IFERROR(__xludf.DUMMYFUNCTION("""COMPUTED_VALUE"""),"PHP")</f>
        <v>PHP</v>
      </c>
      <c r="G2122" s="9" t="str">
        <f>IFERROR(__xludf.DUMMYFUNCTION("""COMPUTED_VALUE"""),"Python")</f>
        <v>Python</v>
      </c>
      <c r="H2122" s="9" t="str">
        <f>IFERROR(__xludf.DUMMYFUNCTION("""COMPUTED_VALUE"""),"Elixir")</f>
        <v>Elixir</v>
      </c>
      <c r="I2122" s="9" t="str">
        <f>IFERROR(__xludf.DUMMYFUNCTION("""COMPUTED_VALUE"""),"Python")</f>
        <v>Python</v>
      </c>
      <c r="J2122" s="9" t="str">
        <f>IFERROR(__xludf.DUMMYFUNCTION("""COMPUTED_VALUE"""),"JavaScript")</f>
        <v>JavaScript</v>
      </c>
      <c r="K2122" s="9" t="str">
        <f>IFERROR(__xludf.DUMMYFUNCTION("""COMPUTED_VALUE"""),"Python")</f>
        <v>Python</v>
      </c>
      <c r="L2122" s="9" t="str">
        <f>IFERROR(__xludf.DUMMYFUNCTION("""COMPUTED_VALUE"""),"HTML/CSS")</f>
        <v>HTML/CSS</v>
      </c>
      <c r="M2122" s="9" t="s">
        <v>35</v>
      </c>
    </row>
    <row r="2123" ht="15.75" customHeight="1">
      <c r="A2123" s="7"/>
      <c r="B2123" s="7" t="str">
        <f>IFERROR(__xludf.DUMMYFUNCTION("""COMPUTED_VALUE"""),"C;C++;Java;PHP;SQL")</f>
        <v>C;C++;Java;PHP;SQL</v>
      </c>
      <c r="C2123" s="9" t="str">
        <f>IFERROR(__xludf.DUMMYFUNCTION("""COMPUTED_VALUE"""),"VBA")</f>
        <v>VBA</v>
      </c>
      <c r="D2123" s="9" t="str">
        <f>IFERROR(__xludf.DUMMYFUNCTION("""COMPUTED_VALUE"""),"Python")</f>
        <v>Python</v>
      </c>
      <c r="E2123" s="9" t="str">
        <f>IFERROR(__xludf.DUMMYFUNCTION("""COMPUTED_VALUE"""),"SQL")</f>
        <v>SQL</v>
      </c>
      <c r="F2123" s="9" t="str">
        <f>IFERROR(__xludf.DUMMYFUNCTION("""COMPUTED_VALUE"""),"SQL")</f>
        <v>SQL</v>
      </c>
      <c r="G2123" s="9" t="str">
        <f>IFERROR(__xludf.DUMMYFUNCTION("""COMPUTED_VALUE"""),"Ruby")</f>
        <v>Ruby</v>
      </c>
      <c r="H2123" s="9" t="str">
        <f>IFERROR(__xludf.DUMMYFUNCTION("""COMPUTED_VALUE"""),"HTML/CSS")</f>
        <v>HTML/CSS</v>
      </c>
      <c r="I2123" s="9" t="str">
        <f>IFERROR(__xludf.DUMMYFUNCTION("""COMPUTED_VALUE"""),"SQL")</f>
        <v>SQL</v>
      </c>
      <c r="J2123" s="9" t="str">
        <f>IFERROR(__xludf.DUMMYFUNCTION("""COMPUTED_VALUE"""),"Bash/Shell/PowerShell")</f>
        <v>Bash/Shell/PowerShell</v>
      </c>
      <c r="K2123" s="9" t="str">
        <f>IFERROR(__xludf.DUMMYFUNCTION("""COMPUTED_VALUE"""),"TypeScript")</f>
        <v>TypeScript</v>
      </c>
      <c r="L2123" s="9" t="str">
        <f>IFERROR(__xludf.DUMMYFUNCTION("""COMPUTED_VALUE"""),"JavaScript")</f>
        <v>JavaScript</v>
      </c>
      <c r="M2123" s="9" t="s">
        <v>28</v>
      </c>
    </row>
    <row r="2124" ht="15.75" customHeight="1">
      <c r="A2124" s="7"/>
      <c r="B2124" s="7" t="str">
        <f>IFERROR(__xludf.DUMMYFUNCTION("""COMPUTED_VALUE"""),"JavaScript;TypeScript")</f>
        <v>JavaScript;TypeScript</v>
      </c>
      <c r="C2124" s="9" t="str">
        <f>IFERROR(__xludf.DUMMYFUNCTION("""COMPUTED_VALUE"""),"Other(s):")</f>
        <v>Other(s):</v>
      </c>
      <c r="D2124" s="9" t="str">
        <f>IFERROR(__xludf.DUMMYFUNCTION("""COMPUTED_VALUE"""),"Scala")</f>
        <v>Scala</v>
      </c>
      <c r="E2124" s="9" t="str">
        <f>IFERROR(__xludf.DUMMYFUNCTION("""COMPUTED_VALUE"""),"TypeScript")</f>
        <v>TypeScript</v>
      </c>
      <c r="F2124" s="9" t="str">
        <f>IFERROR(__xludf.DUMMYFUNCTION("""COMPUTED_VALUE"""),"HTML/CSS")</f>
        <v>HTML/CSS</v>
      </c>
      <c r="G2124" s="9" t="str">
        <f>IFERROR(__xludf.DUMMYFUNCTION("""COMPUTED_VALUE"""),"SQL")</f>
        <v>SQL</v>
      </c>
      <c r="H2124" s="9" t="str">
        <f>IFERROR(__xludf.DUMMYFUNCTION("""COMPUTED_VALUE"""),"JavaScript")</f>
        <v>JavaScript</v>
      </c>
      <c r="I2124" s="9" t="str">
        <f>IFERROR(__xludf.DUMMYFUNCTION("""COMPUTED_VALUE"""),"Bash/Shell/PowerShell")</f>
        <v>Bash/Shell/PowerShell</v>
      </c>
      <c r="J2124" s="9" t="str">
        <f>IFERROR(__xludf.DUMMYFUNCTION("""COMPUTED_VALUE"""),"Go")</f>
        <v>Go</v>
      </c>
      <c r="K2124" s="9" t="str">
        <f>IFERROR(__xludf.DUMMYFUNCTION("""COMPUTED_VALUE"""),"HTML/CSS")</f>
        <v>HTML/CSS</v>
      </c>
      <c r="L2124" s="9" t="str">
        <f>IFERROR(__xludf.DUMMYFUNCTION("""COMPUTED_VALUE"""),"Python")</f>
        <v>Python</v>
      </c>
      <c r="M2124" s="9" t="s">
        <v>35</v>
      </c>
    </row>
    <row r="2125" ht="15.75" customHeight="1">
      <c r="A2125" s="7"/>
      <c r="B2125" s="7" t="str">
        <f>IFERROR(__xludf.DUMMYFUNCTION("""COMPUTED_VALUE"""),"Bash/Shell/PowerShell;C#;HTML/CSS;JavaScript;PHP;SQL;Other(s):")</f>
        <v>Bash/Shell/PowerShell;C#;HTML/CSS;JavaScript;PHP;SQL;Other(s):</v>
      </c>
      <c r="C2125" s="9" t="str">
        <f>IFERROR(__xludf.DUMMYFUNCTION("""COMPUTED_VALUE"""),"HTML/CSS")</f>
        <v>HTML/CSS</v>
      </c>
      <c r="D2125" s="9" t="str">
        <f>IFERROR(__xludf.DUMMYFUNCTION("""COMPUTED_VALUE"""),"C#")</f>
        <v>C#</v>
      </c>
      <c r="E2125" s="9" t="str">
        <f>IFERROR(__xludf.DUMMYFUNCTION("""COMPUTED_VALUE"""),"Bash/Shell/PowerShell")</f>
        <v>Bash/Shell/PowerShell</v>
      </c>
      <c r="F2125" s="9" t="str">
        <f>IFERROR(__xludf.DUMMYFUNCTION("""COMPUTED_VALUE"""),"JavaScript")</f>
        <v>JavaScript</v>
      </c>
      <c r="G2125" s="9" t="str">
        <f>IFERROR(__xludf.DUMMYFUNCTION("""COMPUTED_VALUE"""),"C++")</f>
        <v>C++</v>
      </c>
      <c r="H2125" s="9" t="str">
        <f>IFERROR(__xludf.DUMMYFUNCTION("""COMPUTED_VALUE"""),"Ruby")</f>
        <v>Ruby</v>
      </c>
      <c r="I2125" s="9" t="str">
        <f>IFERROR(__xludf.DUMMYFUNCTION("""COMPUTED_VALUE"""),"Python")</f>
        <v>Python</v>
      </c>
      <c r="J2125" s="9" t="str">
        <f>IFERROR(__xludf.DUMMYFUNCTION("""COMPUTED_VALUE"""),"HTML/CSS")</f>
        <v>HTML/CSS</v>
      </c>
      <c r="K2125" s="9" t="str">
        <f>IFERROR(__xludf.DUMMYFUNCTION("""COMPUTED_VALUE"""),"Java")</f>
        <v>Java</v>
      </c>
      <c r="L2125" s="9" t="str">
        <f>IFERROR(__xludf.DUMMYFUNCTION("""COMPUTED_VALUE"""),"Rust")</f>
        <v>Rust</v>
      </c>
      <c r="M2125" s="9" t="s">
        <v>24</v>
      </c>
    </row>
    <row r="2126" ht="15.75" customHeight="1">
      <c r="A2126" s="7"/>
      <c r="B2126" s="7" t="str">
        <f>IFERROR(__xludf.DUMMYFUNCTION("""COMPUTED_VALUE"""),"JavaScript;Kotlin;Swift")</f>
        <v>JavaScript;Kotlin;Swift</v>
      </c>
      <c r="C2126" s="9" t="str">
        <f>IFERROR(__xludf.DUMMYFUNCTION("""COMPUTED_VALUE"""),"Java")</f>
        <v>Java</v>
      </c>
      <c r="D2126" s="9" t="str">
        <f>IFERROR(__xludf.DUMMYFUNCTION("""COMPUTED_VALUE"""),"HTML/CSS")</f>
        <v>HTML/CSS</v>
      </c>
      <c r="E2126" s="9" t="str">
        <f>IFERROR(__xludf.DUMMYFUNCTION("""COMPUTED_VALUE"""),"C")</f>
        <v>C</v>
      </c>
      <c r="F2126" s="9" t="str">
        <f>IFERROR(__xludf.DUMMYFUNCTION("""COMPUTED_VALUE"""),"Python")</f>
        <v>Python</v>
      </c>
      <c r="G2126" s="9" t="str">
        <f>IFERROR(__xludf.DUMMYFUNCTION("""COMPUTED_VALUE"""),"Python")</f>
        <v>Python</v>
      </c>
      <c r="H2126" s="9" t="str">
        <f>IFERROR(__xludf.DUMMYFUNCTION("""COMPUTED_VALUE"""),"Rust")</f>
        <v>Rust</v>
      </c>
      <c r="I2126" s="9" t="str">
        <f>IFERROR(__xludf.DUMMYFUNCTION("""COMPUTED_VALUE"""),"HTML/CSS")</f>
        <v>HTML/CSS</v>
      </c>
      <c r="J2126" s="9" t="str">
        <f>IFERROR(__xludf.DUMMYFUNCTION("""COMPUTED_VALUE"""),"JavaScript")</f>
        <v>JavaScript</v>
      </c>
      <c r="K2126" s="9" t="str">
        <f>IFERROR(__xludf.DUMMYFUNCTION("""COMPUTED_VALUE"""),"JavaScript")</f>
        <v>JavaScript</v>
      </c>
      <c r="L2126" s="9" t="str">
        <f>IFERROR(__xludf.DUMMYFUNCTION("""COMPUTED_VALUE"""),"SQL")</f>
        <v>SQL</v>
      </c>
      <c r="M2126" s="9" t="s">
        <v>20</v>
      </c>
    </row>
    <row r="2127" ht="15.75" customHeight="1">
      <c r="A2127" s="7"/>
      <c r="B2127" s="7" t="str">
        <f>IFERROR(__xludf.DUMMYFUNCTION("""COMPUTED_VALUE"""),"Bash/Shell/PowerShell;C#;HTML/CSS;JavaScript;Rust;SQL;TypeScript;VBA")</f>
        <v>Bash/Shell/PowerShell;C#;HTML/CSS;JavaScript;Rust;SQL;TypeScript;VBA</v>
      </c>
      <c r="C2127" s="9" t="str">
        <f>IFERROR(__xludf.DUMMYFUNCTION("""COMPUTED_VALUE"""),"JavaScript")</f>
        <v>JavaScript</v>
      </c>
      <c r="D2127" s="9" t="str">
        <f>IFERROR(__xludf.DUMMYFUNCTION("""COMPUTED_VALUE"""),"JavaScript")</f>
        <v>JavaScript</v>
      </c>
      <c r="E2127" s="9" t="str">
        <f>IFERROR(__xludf.DUMMYFUNCTION("""COMPUTED_VALUE"""),"HTML/CSS")</f>
        <v>HTML/CSS</v>
      </c>
      <c r="F2127" s="9" t="str">
        <f>IFERROR(__xludf.DUMMYFUNCTION("""COMPUTED_VALUE"""),"SQL")</f>
        <v>SQL</v>
      </c>
      <c r="G2127" s="9" t="str">
        <f>IFERROR(__xludf.DUMMYFUNCTION("""COMPUTED_VALUE"""),"SQL")</f>
        <v>SQL</v>
      </c>
      <c r="H2127" s="9" t="str">
        <f>IFERROR(__xludf.DUMMYFUNCTION("""COMPUTED_VALUE"""),"SQL")</f>
        <v>SQL</v>
      </c>
      <c r="I2127" s="9" t="str">
        <f>IFERROR(__xludf.DUMMYFUNCTION("""COMPUTED_VALUE"""),"Java")</f>
        <v>Java</v>
      </c>
      <c r="J2127" s="9" t="str">
        <f>IFERROR(__xludf.DUMMYFUNCTION("""COMPUTED_VALUE"""),"C#")</f>
        <v>C#</v>
      </c>
      <c r="K2127" s="9" t="str">
        <f>IFERROR(__xludf.DUMMYFUNCTION("""COMPUTED_VALUE"""),"SQL")</f>
        <v>SQL</v>
      </c>
      <c r="L2127" s="9" t="str">
        <f>IFERROR(__xludf.DUMMYFUNCTION("""COMPUTED_VALUE"""),"Bash/Shell/PowerShell")</f>
        <v>Bash/Shell/PowerShell</v>
      </c>
      <c r="M2127" s="9" t="s">
        <v>21</v>
      </c>
    </row>
    <row r="2128" ht="15.75" customHeight="1">
      <c r="A2128" s="7"/>
      <c r="B2128" s="7" t="str">
        <f>IFERROR(__xludf.DUMMYFUNCTION("""COMPUTED_VALUE"""),"C++;HTML/CSS;Java;PHP;Python;SQL;VBA")</f>
        <v>C++;HTML/CSS;Java;PHP;Python;SQL;VBA</v>
      </c>
      <c r="C2128" s="9" t="str">
        <f>IFERROR(__xludf.DUMMYFUNCTION("""COMPUTED_VALUE"""),"SQL")</f>
        <v>SQL</v>
      </c>
      <c r="D2128" s="9" t="str">
        <f>IFERROR(__xludf.DUMMYFUNCTION("""COMPUTED_VALUE"""),"SQL")</f>
        <v>SQL</v>
      </c>
      <c r="E2128" s="9" t="str">
        <f>IFERROR(__xludf.DUMMYFUNCTION("""COMPUTED_VALUE"""),"JavaScript")</f>
        <v>JavaScript</v>
      </c>
      <c r="F2128" s="9" t="str">
        <f>IFERROR(__xludf.DUMMYFUNCTION("""COMPUTED_VALUE"""),"Bash/Shell/PowerShell")</f>
        <v>Bash/Shell/PowerShell</v>
      </c>
      <c r="G2128" s="9" t="str">
        <f>IFERROR(__xludf.DUMMYFUNCTION("""COMPUTED_VALUE"""),"Bash/Shell/PowerShell")</f>
        <v>Bash/Shell/PowerShell</v>
      </c>
      <c r="H2128" s="9" t="str">
        <f>IFERROR(__xludf.DUMMYFUNCTION("""COMPUTED_VALUE"""),"C#")</f>
        <v>C#</v>
      </c>
      <c r="I2128" s="9" t="str">
        <f>IFERROR(__xludf.DUMMYFUNCTION("""COMPUTED_VALUE"""),"JavaScript")</f>
        <v>JavaScript</v>
      </c>
      <c r="J2128" s="9" t="str">
        <f>IFERROR(__xludf.DUMMYFUNCTION("""COMPUTED_VALUE"""),"HTML/CSS")</f>
        <v>HTML/CSS</v>
      </c>
      <c r="K2128" s="9" t="str">
        <f>IFERROR(__xludf.DUMMYFUNCTION("""COMPUTED_VALUE"""),"TypeScript")</f>
        <v>TypeScript</v>
      </c>
      <c r="L2128" s="9" t="str">
        <f>IFERROR(__xludf.DUMMYFUNCTION("""COMPUTED_VALUE"""),"C#")</f>
        <v>C#</v>
      </c>
      <c r="M2128" s="9" t="s">
        <v>27</v>
      </c>
    </row>
    <row r="2129" ht="15.75" customHeight="1">
      <c r="A2129" s="7"/>
      <c r="B2129" s="7" t="str">
        <f>IFERROR(__xludf.DUMMYFUNCTION("""COMPUTED_VALUE"""),"C#;HTML/CSS;JavaScript;TypeScript")</f>
        <v>C#;HTML/CSS;JavaScript;TypeScript</v>
      </c>
      <c r="C2129" s="9" t="str">
        <f>IFERROR(__xludf.DUMMYFUNCTION("""COMPUTED_VALUE"""),"TypeScript")</f>
        <v>TypeScript</v>
      </c>
      <c r="D2129" s="9" t="str">
        <f>IFERROR(__xludf.DUMMYFUNCTION("""COMPUTED_VALUE"""),"TypeScript")</f>
        <v>TypeScript</v>
      </c>
      <c r="E2129" s="9" t="str">
        <f>IFERROR(__xludf.DUMMYFUNCTION("""COMPUTED_VALUE"""),"Python")</f>
        <v>Python</v>
      </c>
      <c r="F2129" s="9" t="str">
        <f>IFERROR(__xludf.DUMMYFUNCTION("""COMPUTED_VALUE"""),"C#")</f>
        <v>C#</v>
      </c>
      <c r="G2129" s="9" t="str">
        <f>IFERROR(__xludf.DUMMYFUNCTION("""COMPUTED_VALUE"""),"C#")</f>
        <v>C#</v>
      </c>
      <c r="H2129" s="9" t="str">
        <f>IFERROR(__xludf.DUMMYFUNCTION("""COMPUTED_VALUE"""),"Other(s):")</f>
        <v>Other(s):</v>
      </c>
      <c r="I2129" s="9" t="str">
        <f>IFERROR(__xludf.DUMMYFUNCTION("""COMPUTED_VALUE"""),"Objective-C")</f>
        <v>Objective-C</v>
      </c>
      <c r="J2129" s="9" t="str">
        <f>IFERROR(__xludf.DUMMYFUNCTION("""COMPUTED_VALUE"""),"JavaScript")</f>
        <v>JavaScript</v>
      </c>
      <c r="K2129" s="9" t="str">
        <f>IFERROR(__xludf.DUMMYFUNCTION("""COMPUTED_VALUE"""),"C#")</f>
        <v>C#</v>
      </c>
      <c r="L2129" s="9" t="str">
        <f>IFERROR(__xludf.DUMMYFUNCTION("""COMPUTED_VALUE"""),"HTML/CSS")</f>
        <v>HTML/CSS</v>
      </c>
      <c r="M2129" s="9" t="s">
        <v>33</v>
      </c>
    </row>
    <row r="2130" ht="15.75" customHeight="1">
      <c r="A2130" s="7"/>
      <c r="B2130" s="7" t="str">
        <f>IFERROR(__xludf.DUMMYFUNCTION("""COMPUTED_VALUE"""),"C#;HTML/CSS;Objective-C;Python")</f>
        <v>C#;HTML/CSS;Objective-C;Python</v>
      </c>
      <c r="C2130" s="9" t="str">
        <f>IFERROR(__xludf.DUMMYFUNCTION("""COMPUTED_VALUE"""),"VBA")</f>
        <v>VBA</v>
      </c>
      <c r="D2130" s="9" t="str">
        <f>IFERROR(__xludf.DUMMYFUNCTION("""COMPUTED_VALUE"""),"HTML/CSS")</f>
        <v>HTML/CSS</v>
      </c>
      <c r="E2130" s="9" t="str">
        <f>IFERROR(__xludf.DUMMYFUNCTION("""COMPUTED_VALUE"""),"VBA")</f>
        <v>VBA</v>
      </c>
      <c r="F2130" s="9" t="str">
        <f>IFERROR(__xludf.DUMMYFUNCTION("""COMPUTED_VALUE"""),"SQL")</f>
        <v>SQL</v>
      </c>
      <c r="G2130" s="9" t="str">
        <f>IFERROR(__xludf.DUMMYFUNCTION("""COMPUTED_VALUE"""),"HTML/CSS")</f>
        <v>HTML/CSS</v>
      </c>
      <c r="H2130" s="9" t="str">
        <f>IFERROR(__xludf.DUMMYFUNCTION("""COMPUTED_VALUE"""),"Bash/Shell/PowerShell")</f>
        <v>Bash/Shell/PowerShell</v>
      </c>
      <c r="I2130" s="9" t="str">
        <f>IFERROR(__xludf.DUMMYFUNCTION("""COMPUTED_VALUE"""),"PHP")</f>
        <v>PHP</v>
      </c>
      <c r="J2130" s="9" t="str">
        <f>IFERROR(__xludf.DUMMYFUNCTION("""COMPUTED_VALUE"""),"Python")</f>
        <v>Python</v>
      </c>
      <c r="K2130" s="9" t="str">
        <f>IFERROR(__xludf.DUMMYFUNCTION("""COMPUTED_VALUE"""),"HTML/CSS")</f>
        <v>HTML/CSS</v>
      </c>
      <c r="L2130" s="9" t="str">
        <f>IFERROR(__xludf.DUMMYFUNCTION("""COMPUTED_VALUE"""),"Java")</f>
        <v>Java</v>
      </c>
      <c r="M2130" s="9" t="s">
        <v>28</v>
      </c>
    </row>
    <row r="2131" ht="15.75" customHeight="1">
      <c r="A2131" s="7"/>
      <c r="B2131" s="7" t="str">
        <f>IFERROR(__xludf.DUMMYFUNCTION("""COMPUTED_VALUE"""),"Java;SQL")</f>
        <v>Java;SQL</v>
      </c>
      <c r="C2131" s="9" t="str">
        <f>IFERROR(__xludf.DUMMYFUNCTION("""COMPUTED_VALUE"""),"Other(s):")</f>
        <v>Other(s):</v>
      </c>
      <c r="D2131" s="9" t="str">
        <f>IFERROR(__xludf.DUMMYFUNCTION("""COMPUTED_VALUE"""),"JavaScript")</f>
        <v>JavaScript</v>
      </c>
      <c r="E2131" s="9" t="str">
        <f>IFERROR(__xludf.DUMMYFUNCTION("""COMPUTED_VALUE"""),"Bash/Shell/PowerShell")</f>
        <v>Bash/Shell/PowerShell</v>
      </c>
      <c r="F2131" s="9" t="str">
        <f>IFERROR(__xludf.DUMMYFUNCTION("""COMPUTED_VALUE"""),"VBA")</f>
        <v>VBA</v>
      </c>
      <c r="G2131" s="9" t="str">
        <f>IFERROR(__xludf.DUMMYFUNCTION("""COMPUTED_VALUE"""),"JavaScript")</f>
        <v>JavaScript</v>
      </c>
      <c r="H2131" s="9" t="str">
        <f>IFERROR(__xludf.DUMMYFUNCTION("""COMPUTED_VALUE"""),"Go")</f>
        <v>Go</v>
      </c>
      <c r="I2131" s="9" t="str">
        <f>IFERROR(__xludf.DUMMYFUNCTION("""COMPUTED_VALUE"""),"Python")</f>
        <v>Python</v>
      </c>
      <c r="J2131" s="9" t="str">
        <f>IFERROR(__xludf.DUMMYFUNCTION("""COMPUTED_VALUE"""),"SQL")</f>
        <v>SQL</v>
      </c>
      <c r="K2131" s="9" t="str">
        <f>IFERROR(__xludf.DUMMYFUNCTION("""COMPUTED_VALUE"""),"JavaScript")</f>
        <v>JavaScript</v>
      </c>
      <c r="L2131" s="9" t="str">
        <f>IFERROR(__xludf.DUMMYFUNCTION("""COMPUTED_VALUE"""),"JavaScript")</f>
        <v>JavaScript</v>
      </c>
      <c r="M2131" s="9" t="s">
        <v>35</v>
      </c>
    </row>
    <row r="2132" ht="15.75" customHeight="1">
      <c r="A2132" s="7"/>
      <c r="B2132" s="7" t="str">
        <f>IFERROR(__xludf.DUMMYFUNCTION("""COMPUTED_VALUE"""),"Bash/Shell/PowerShell;HTML/CSS;JavaScript;PHP;Python;SQL")</f>
        <v>Bash/Shell/PowerShell;HTML/CSS;JavaScript;PHP;Python;SQL</v>
      </c>
      <c r="C2132" s="9" t="str">
        <f>IFERROR(__xludf.DUMMYFUNCTION("""COMPUTED_VALUE"""),"Bash/Shell/PowerShell")</f>
        <v>Bash/Shell/PowerShell</v>
      </c>
      <c r="D2132" s="9" t="str">
        <f>IFERROR(__xludf.DUMMYFUNCTION("""COMPUTED_VALUE"""),"PHP")</f>
        <v>PHP</v>
      </c>
      <c r="E2132" s="9" t="str">
        <f>IFERROR(__xludf.DUMMYFUNCTION("""COMPUTED_VALUE"""),"C#")</f>
        <v>C#</v>
      </c>
      <c r="F2132" s="9" t="str">
        <f>IFERROR(__xludf.DUMMYFUNCTION("""COMPUTED_VALUE"""),"C#")</f>
        <v>C#</v>
      </c>
      <c r="G2132" s="9" t="str">
        <f>IFERROR(__xludf.DUMMYFUNCTION("""COMPUTED_VALUE"""),"TypeScript")</f>
        <v>TypeScript</v>
      </c>
      <c r="H2132" s="9" t="str">
        <f>IFERROR(__xludf.DUMMYFUNCTION("""COMPUTED_VALUE"""),"Java")</f>
        <v>Java</v>
      </c>
      <c r="I2132" s="9" t="str">
        <f>IFERROR(__xludf.DUMMYFUNCTION("""COMPUTED_VALUE"""),"SQL")</f>
        <v>SQL</v>
      </c>
      <c r="J2132" s="9" t="str">
        <f>IFERROR(__xludf.DUMMYFUNCTION("""COMPUTED_VALUE"""),"Bash/Shell/PowerShell")</f>
        <v>Bash/Shell/PowerShell</v>
      </c>
      <c r="K2132" s="9" t="str">
        <f>IFERROR(__xludf.DUMMYFUNCTION("""COMPUTED_VALUE"""),"SQL")</f>
        <v>SQL</v>
      </c>
      <c r="L2132" s="9" t="str">
        <f>IFERROR(__xludf.DUMMYFUNCTION("""COMPUTED_VALUE"""),"Python")</f>
        <v>Python</v>
      </c>
      <c r="M2132" s="9" t="s">
        <v>30</v>
      </c>
    </row>
    <row r="2133" ht="15.75" customHeight="1">
      <c r="A2133" s="7"/>
      <c r="B2133" s="7" t="str">
        <f>IFERROR(__xludf.DUMMYFUNCTION("""COMPUTED_VALUE"""),"C#;HTML/CSS;Java;JavaScript;SQL;TypeScript")</f>
        <v>C#;HTML/CSS;Java;JavaScript;SQL;TypeScript</v>
      </c>
      <c r="C2133" s="9" t="str">
        <f>IFERROR(__xludf.DUMMYFUNCTION("""COMPUTED_VALUE"""),"C")</f>
        <v>C</v>
      </c>
      <c r="D2133" s="9" t="str">
        <f>IFERROR(__xludf.DUMMYFUNCTION("""COMPUTED_VALUE"""),"SQL")</f>
        <v>SQL</v>
      </c>
      <c r="E2133" s="9" t="str">
        <f>IFERROR(__xludf.DUMMYFUNCTION("""COMPUTED_VALUE"""),"JavaScript")</f>
        <v>JavaScript</v>
      </c>
      <c r="F2133" s="9" t="str">
        <f>IFERROR(__xludf.DUMMYFUNCTION("""COMPUTED_VALUE"""),"Python")</f>
        <v>Python</v>
      </c>
      <c r="G2133" s="9" t="str">
        <f>IFERROR(__xludf.DUMMYFUNCTION("""COMPUTED_VALUE"""),"Bash/Shell/PowerShell")</f>
        <v>Bash/Shell/PowerShell</v>
      </c>
      <c r="H2133" s="9" t="str">
        <f>IFERROR(__xludf.DUMMYFUNCTION("""COMPUTED_VALUE"""),"C")</f>
        <v>C</v>
      </c>
      <c r="I2133" s="9" t="str">
        <f>IFERROR(__xludf.DUMMYFUNCTION("""COMPUTED_VALUE"""),"Swift")</f>
        <v>Swift</v>
      </c>
      <c r="J2133" s="9" t="str">
        <f>IFERROR(__xludf.DUMMYFUNCTION("""COMPUTED_VALUE"""),"C#")</f>
        <v>C#</v>
      </c>
      <c r="K2133" s="9" t="str">
        <f>IFERROR(__xludf.DUMMYFUNCTION("""COMPUTED_VALUE"""),"TypeScript")</f>
        <v>TypeScript</v>
      </c>
      <c r="L2133" s="9" t="str">
        <f>IFERROR(__xludf.DUMMYFUNCTION("""COMPUTED_VALUE"""),"SQL")</f>
        <v>SQL</v>
      </c>
      <c r="M2133" s="9" t="s">
        <v>25</v>
      </c>
    </row>
    <row r="2134" ht="15.75" customHeight="1">
      <c r="A2134" s="7"/>
      <c r="B2134" s="7" t="str">
        <f>IFERROR(__xludf.DUMMYFUNCTION("""COMPUTED_VALUE"""),"HTML/CSS;JavaScript;PHP;SQL")</f>
        <v>HTML/CSS;JavaScript;PHP;SQL</v>
      </c>
      <c r="C2134" s="9" t="str">
        <f>IFERROR(__xludf.DUMMYFUNCTION("""COMPUTED_VALUE"""),"C++")</f>
        <v>C++</v>
      </c>
      <c r="D2134" s="9" t="str">
        <f>IFERROR(__xludf.DUMMYFUNCTION("""COMPUTED_VALUE"""),"HTML/CSS")</f>
        <v>HTML/CSS</v>
      </c>
      <c r="E2134" s="9" t="str">
        <f>IFERROR(__xludf.DUMMYFUNCTION("""COMPUTED_VALUE"""),"SQL")</f>
        <v>SQL</v>
      </c>
      <c r="F2134" s="9" t="str">
        <f>IFERROR(__xludf.DUMMYFUNCTION("""COMPUTED_VALUE"""),"Bash/Shell/PowerShell")</f>
        <v>Bash/Shell/PowerShell</v>
      </c>
      <c r="G2134" s="9" t="str">
        <f>IFERROR(__xludf.DUMMYFUNCTION("""COMPUTED_VALUE"""),"C")</f>
        <v>C</v>
      </c>
      <c r="H2134" s="9" t="str">
        <f>IFERROR(__xludf.DUMMYFUNCTION("""COMPUTED_VALUE"""),"C++")</f>
        <v>C++</v>
      </c>
      <c r="I2134" s="9" t="str">
        <f>IFERROR(__xludf.DUMMYFUNCTION("""COMPUTED_VALUE"""),"Bash/Shell/PowerShell")</f>
        <v>Bash/Shell/PowerShell</v>
      </c>
      <c r="J2134" s="9" t="str">
        <f>IFERROR(__xludf.DUMMYFUNCTION("""COMPUTED_VALUE"""),"HTML/CSS")</f>
        <v>HTML/CSS</v>
      </c>
      <c r="K2134" s="9" t="str">
        <f>IFERROR(__xludf.DUMMYFUNCTION("""COMPUTED_VALUE"""),"Go")</f>
        <v>Go</v>
      </c>
      <c r="L2134" s="9" t="str">
        <f>IFERROR(__xludf.DUMMYFUNCTION("""COMPUTED_VALUE"""),"Other(s):")</f>
        <v>Other(s):</v>
      </c>
      <c r="M2134" s="9" t="s">
        <v>23</v>
      </c>
    </row>
    <row r="2135" ht="15.75" customHeight="1">
      <c r="A2135" s="7"/>
      <c r="B2135" s="7" t="str">
        <f>IFERROR(__xludf.DUMMYFUNCTION("""COMPUTED_VALUE"""),"Assembly;Bash/Shell/PowerShell;C;C++;C#;Go;HTML/CSS;JavaScript;PHP;Python;Rust;WebAssembly;Other(s):")</f>
        <v>Assembly;Bash/Shell/PowerShell;C;C++;C#;Go;HTML/CSS;JavaScript;PHP;Python;Rust;WebAssembly;Other(s):</v>
      </c>
      <c r="C2135" s="9" t="str">
        <f>IFERROR(__xludf.DUMMYFUNCTION("""COMPUTED_VALUE"""),"HTML/CSS")</f>
        <v>HTML/CSS</v>
      </c>
      <c r="D2135" s="9" t="str">
        <f>IFERROR(__xludf.DUMMYFUNCTION("""COMPUTED_VALUE"""),"JavaScript")</f>
        <v>JavaScript</v>
      </c>
      <c r="E2135" s="9" t="str">
        <f>IFERROR(__xludf.DUMMYFUNCTION("""COMPUTED_VALUE"""),"HTML/CSS")</f>
        <v>HTML/CSS</v>
      </c>
      <c r="F2135" s="9" t="str">
        <f>IFERROR(__xludf.DUMMYFUNCTION("""COMPUTED_VALUE"""),"C#")</f>
        <v>C#</v>
      </c>
      <c r="G2135" s="9" t="str">
        <f>IFERROR(__xludf.DUMMYFUNCTION("""COMPUTED_VALUE"""),"C++")</f>
        <v>C++</v>
      </c>
      <c r="H2135" s="9" t="str">
        <f>IFERROR(__xludf.DUMMYFUNCTION("""COMPUTED_VALUE"""),"HTML/CSS")</f>
        <v>HTML/CSS</v>
      </c>
      <c r="I2135" s="9" t="str">
        <f>IFERROR(__xludf.DUMMYFUNCTION("""COMPUTED_VALUE"""),"C")</f>
        <v>C</v>
      </c>
      <c r="J2135" s="9" t="str">
        <f>IFERROR(__xludf.DUMMYFUNCTION("""COMPUTED_VALUE"""),"JavaScript")</f>
        <v>JavaScript</v>
      </c>
      <c r="K2135" s="9" t="str">
        <f>IFERROR(__xludf.DUMMYFUNCTION("""COMPUTED_VALUE"""),"HTML/CSS")</f>
        <v>HTML/CSS</v>
      </c>
      <c r="L2135" s="9" t="str">
        <f>IFERROR(__xludf.DUMMYFUNCTION("""COMPUTED_VALUE"""),"Bash/Shell/PowerShell")</f>
        <v>Bash/Shell/PowerShell</v>
      </c>
      <c r="M2135" s="9" t="s">
        <v>24</v>
      </c>
    </row>
    <row r="2136" ht="15.75" customHeight="1">
      <c r="A2136" s="7"/>
      <c r="B2136" s="7" t="str">
        <f>IFERROR(__xludf.DUMMYFUNCTION("""COMPUTED_VALUE"""),"Assembly;Bash/Shell/PowerShell;C;C++;Java;JavaScript;PHP;Python;SQL;WebAssembly")</f>
        <v>Assembly;Bash/Shell/PowerShell;C;C++;Java;JavaScript;PHP;Python;SQL;WebAssembly</v>
      </c>
      <c r="C2136" s="9" t="str">
        <f>IFERROR(__xludf.DUMMYFUNCTION("""COMPUTED_VALUE"""),"Java")</f>
        <v>Java</v>
      </c>
      <c r="D2136" s="9" t="str">
        <f>IFERROR(__xludf.DUMMYFUNCTION("""COMPUTED_VALUE"""),"PHP")</f>
        <v>PHP</v>
      </c>
      <c r="E2136" s="9" t="str">
        <f>IFERROR(__xludf.DUMMYFUNCTION("""COMPUTED_VALUE"""),"Java")</f>
        <v>Java</v>
      </c>
      <c r="F2136" s="9" t="str">
        <f>IFERROR(__xludf.DUMMYFUNCTION("""COMPUTED_VALUE"""),"HTML/CSS")</f>
        <v>HTML/CSS</v>
      </c>
      <c r="G2136" s="9" t="str">
        <f>IFERROR(__xludf.DUMMYFUNCTION("""COMPUTED_VALUE"""),"Go")</f>
        <v>Go</v>
      </c>
      <c r="H2136" s="9" t="str">
        <f>IFERROR(__xludf.DUMMYFUNCTION("""COMPUTED_VALUE"""),"Java")</f>
        <v>Java</v>
      </c>
      <c r="I2136" s="9" t="str">
        <f>IFERROR(__xludf.DUMMYFUNCTION("""COMPUTED_VALUE"""),"C++")</f>
        <v>C++</v>
      </c>
      <c r="J2136" s="9" t="str">
        <f>IFERROR(__xludf.DUMMYFUNCTION("""COMPUTED_VALUE"""),"SQL")</f>
        <v>SQL</v>
      </c>
      <c r="K2136" s="9" t="str">
        <f>IFERROR(__xludf.DUMMYFUNCTION("""COMPUTED_VALUE"""),"JavaScript")</f>
        <v>JavaScript</v>
      </c>
      <c r="L2136" s="9" t="str">
        <f>IFERROR(__xludf.DUMMYFUNCTION("""COMPUTED_VALUE"""),"C++")</f>
        <v>C++</v>
      </c>
      <c r="M2136" s="9" t="s">
        <v>20</v>
      </c>
    </row>
    <row r="2137" ht="15.75" customHeight="1">
      <c r="A2137" s="7"/>
      <c r="B2137" s="7" t="str">
        <f>IFERROR(__xludf.DUMMYFUNCTION("""COMPUTED_VALUE"""),"Bash/Shell/PowerShell;JavaScript;PHP;SQL")</f>
        <v>Bash/Shell/PowerShell;JavaScript;PHP;SQL</v>
      </c>
      <c r="C2137" s="9" t="str">
        <f>IFERROR(__xludf.DUMMYFUNCTION("""COMPUTED_VALUE"""),"JavaScript")</f>
        <v>JavaScript</v>
      </c>
      <c r="D2137" s="9" t="str">
        <f>IFERROR(__xludf.DUMMYFUNCTION("""COMPUTED_VALUE"""),"SQL")</f>
        <v>SQL</v>
      </c>
      <c r="E2137" s="9" t="str">
        <f>IFERROR(__xludf.DUMMYFUNCTION("""COMPUTED_VALUE"""),"SQL")</f>
        <v>SQL</v>
      </c>
      <c r="F2137" s="9" t="str">
        <f>IFERROR(__xludf.DUMMYFUNCTION("""COMPUTED_VALUE"""),"JavaScript")</f>
        <v>JavaScript</v>
      </c>
      <c r="G2137" s="9" t="str">
        <f>IFERROR(__xludf.DUMMYFUNCTION("""COMPUTED_VALUE"""),"HTML/CSS")</f>
        <v>HTML/CSS</v>
      </c>
      <c r="H2137" s="9" t="str">
        <f>IFERROR(__xludf.DUMMYFUNCTION("""COMPUTED_VALUE"""),"JavaScript")</f>
        <v>JavaScript</v>
      </c>
      <c r="I2137" s="9" t="str">
        <f>IFERROR(__xludf.DUMMYFUNCTION("""COMPUTED_VALUE"""),"Java")</f>
        <v>Java</v>
      </c>
      <c r="J2137" s="9" t="str">
        <f>IFERROR(__xludf.DUMMYFUNCTION("""COMPUTED_VALUE"""),"Bash/Shell/PowerShell")</f>
        <v>Bash/Shell/PowerShell</v>
      </c>
      <c r="K2137" s="9" t="str">
        <f>IFERROR(__xludf.DUMMYFUNCTION("""COMPUTED_VALUE"""),"Python")</f>
        <v>Python</v>
      </c>
      <c r="L2137" s="9" t="str">
        <f>IFERROR(__xludf.DUMMYFUNCTION("""COMPUTED_VALUE"""),"C#")</f>
        <v>C#</v>
      </c>
      <c r="M2137" s="9" t="s">
        <v>21</v>
      </c>
    </row>
    <row r="2138" ht="15.75" customHeight="1">
      <c r="A2138" s="7"/>
      <c r="B2138" s="7" t="str">
        <f>IFERROR(__xludf.DUMMYFUNCTION("""COMPUTED_VALUE"""),"Assembly;C++;Python")</f>
        <v>Assembly;C++;Python</v>
      </c>
      <c r="C2138" s="9" t="str">
        <f>IFERROR(__xludf.DUMMYFUNCTION("""COMPUTED_VALUE"""),"Python")</f>
        <v>Python</v>
      </c>
      <c r="D2138" s="9" t="str">
        <f>IFERROR(__xludf.DUMMYFUNCTION("""COMPUTED_VALUE"""),"C++")</f>
        <v>C++</v>
      </c>
      <c r="E2138" s="9" t="str">
        <f>IFERROR(__xludf.DUMMYFUNCTION("""COMPUTED_VALUE"""),"Assembly")</f>
        <v>Assembly</v>
      </c>
      <c r="F2138" s="9" t="str">
        <f>IFERROR(__xludf.DUMMYFUNCTION("""COMPUTED_VALUE"""),"SQL")</f>
        <v>SQL</v>
      </c>
      <c r="G2138" s="9" t="str">
        <f>IFERROR(__xludf.DUMMYFUNCTION("""COMPUTED_VALUE"""),"Java")</f>
        <v>Java</v>
      </c>
      <c r="H2138" s="9" t="str">
        <f>IFERROR(__xludf.DUMMYFUNCTION("""COMPUTED_VALUE"""),"Kotlin")</f>
        <v>Kotlin</v>
      </c>
      <c r="I2138" s="9" t="str">
        <f>IFERROR(__xludf.DUMMYFUNCTION("""COMPUTED_VALUE"""),"JavaScript")</f>
        <v>JavaScript</v>
      </c>
      <c r="J2138" s="9" t="str">
        <f>IFERROR(__xludf.DUMMYFUNCTION("""COMPUTED_VALUE"""),"HTML/CSS")</f>
        <v>HTML/CSS</v>
      </c>
      <c r="K2138" s="9" t="str">
        <f>IFERROR(__xludf.DUMMYFUNCTION("""COMPUTED_VALUE"""),"Rust")</f>
        <v>Rust</v>
      </c>
      <c r="L2138" s="9" t="str">
        <f>IFERROR(__xludf.DUMMYFUNCTION("""COMPUTED_VALUE"""),"HTML/CSS")</f>
        <v>HTML/CSS</v>
      </c>
      <c r="M2138" s="9" t="s">
        <v>22</v>
      </c>
    </row>
    <row r="2139" ht="15.75" customHeight="1">
      <c r="A2139" s="7"/>
      <c r="B2139" s="7" t="str">
        <f>IFERROR(__xludf.DUMMYFUNCTION("""COMPUTED_VALUE"""),"Bash/Shell/PowerShell;C#;HTML/CSS;JavaScript;Python;SQL")</f>
        <v>Bash/Shell/PowerShell;C#;HTML/CSS;JavaScript;Python;SQL</v>
      </c>
      <c r="C2139" s="9" t="str">
        <f>IFERROR(__xludf.DUMMYFUNCTION("""COMPUTED_VALUE"""),"Bash/Shell/PowerShell")</f>
        <v>Bash/Shell/PowerShell</v>
      </c>
      <c r="D2139" s="9" t="str">
        <f>IFERROR(__xludf.DUMMYFUNCTION("""COMPUTED_VALUE"""),"C#")</f>
        <v>C#</v>
      </c>
      <c r="E2139" s="9" t="str">
        <f>IFERROR(__xludf.DUMMYFUNCTION("""COMPUTED_VALUE"""),"Bash/Shell/PowerShell")</f>
        <v>Bash/Shell/PowerShell</v>
      </c>
      <c r="F2139" s="9" t="str">
        <f>IFERROR(__xludf.DUMMYFUNCTION("""COMPUTED_VALUE"""),"TypeScript")</f>
        <v>TypeScript</v>
      </c>
      <c r="G2139" s="9" t="str">
        <f>IFERROR(__xludf.DUMMYFUNCTION("""COMPUTED_VALUE"""),"JavaScript")</f>
        <v>JavaScript</v>
      </c>
      <c r="H2139" s="9" t="str">
        <f>IFERROR(__xludf.DUMMYFUNCTION("""COMPUTED_VALUE"""),"Python")</f>
        <v>Python</v>
      </c>
      <c r="I2139" s="9" t="str">
        <f>IFERROR(__xludf.DUMMYFUNCTION("""COMPUTED_VALUE"""),"Python")</f>
        <v>Python</v>
      </c>
      <c r="J2139" s="9" t="str">
        <f>IFERROR(__xludf.DUMMYFUNCTION("""COMPUTED_VALUE"""),"JavaScript")</f>
        <v>JavaScript</v>
      </c>
      <c r="K2139" s="9" t="str">
        <f>IFERROR(__xludf.DUMMYFUNCTION("""COMPUTED_VALUE"""),"SQL")</f>
        <v>SQL</v>
      </c>
      <c r="L2139" s="9" t="str">
        <f>IFERROR(__xludf.DUMMYFUNCTION("""COMPUTED_VALUE"""),"Java")</f>
        <v>Java</v>
      </c>
      <c r="M2139" s="9" t="s">
        <v>30</v>
      </c>
    </row>
    <row r="2140" ht="15.75" customHeight="1">
      <c r="A2140" s="7"/>
      <c r="B2140" s="7" t="str">
        <f>IFERROR(__xludf.DUMMYFUNCTION("""COMPUTED_VALUE"""),"Bash/Shell/PowerShell;C;Python")</f>
        <v>Bash/Shell/PowerShell;C;Python</v>
      </c>
      <c r="C2140" s="9" t="str">
        <f>IFERROR(__xludf.DUMMYFUNCTION("""COMPUTED_VALUE"""),"C#")</f>
        <v>C#</v>
      </c>
      <c r="D2140" s="9" t="str">
        <f>IFERROR(__xludf.DUMMYFUNCTION("""COMPUTED_VALUE"""),"HTML/CSS")</f>
        <v>HTML/CSS</v>
      </c>
      <c r="E2140" s="9" t="str">
        <f>IFERROR(__xludf.DUMMYFUNCTION("""COMPUTED_VALUE"""),"C")</f>
        <v>C</v>
      </c>
      <c r="F2140" s="9" t="str">
        <f>IFERROR(__xludf.DUMMYFUNCTION("""COMPUTED_VALUE"""),"C")</f>
        <v>C</v>
      </c>
      <c r="G2140" s="9" t="str">
        <f>IFERROR(__xludf.DUMMYFUNCTION("""COMPUTED_VALUE"""),"PHP")</f>
        <v>PHP</v>
      </c>
      <c r="H2140" s="9" t="str">
        <f>IFERROR(__xludf.DUMMYFUNCTION("""COMPUTED_VALUE"""),"HTML/CSS")</f>
        <v>HTML/CSS</v>
      </c>
      <c r="I2140" s="9" t="str">
        <f>IFERROR(__xludf.DUMMYFUNCTION("""COMPUTED_VALUE"""),"C")</f>
        <v>C</v>
      </c>
      <c r="J2140" s="9" t="str">
        <f>IFERROR(__xludf.DUMMYFUNCTION("""COMPUTED_VALUE"""),"Python")</f>
        <v>Python</v>
      </c>
      <c r="K2140" s="9" t="str">
        <f>IFERROR(__xludf.DUMMYFUNCTION("""COMPUTED_VALUE"""),"TypeScript")</f>
        <v>TypeScript</v>
      </c>
      <c r="L2140" s="9" t="str">
        <f>IFERROR(__xludf.DUMMYFUNCTION("""COMPUTED_VALUE"""),"JavaScript")</f>
        <v>JavaScript</v>
      </c>
      <c r="M2140" s="9" t="s">
        <v>26</v>
      </c>
    </row>
    <row r="2141" ht="15.75" customHeight="1">
      <c r="A2141" s="7"/>
      <c r="B2141" s="7" t="str">
        <f>IFERROR(__xludf.DUMMYFUNCTION("""COMPUTED_VALUE"""),"HTML/CSS;Ruby")</f>
        <v>HTML/CSS;Ruby</v>
      </c>
      <c r="C2141" s="9" t="str">
        <f>IFERROR(__xludf.DUMMYFUNCTION("""COMPUTED_VALUE"""),"HTML/CSS")</f>
        <v>HTML/CSS</v>
      </c>
      <c r="D2141" s="9" t="str">
        <f>IFERROR(__xludf.DUMMYFUNCTION("""COMPUTED_VALUE"""),"JavaScript")</f>
        <v>JavaScript</v>
      </c>
      <c r="E2141" s="9" t="str">
        <f>IFERROR(__xludf.DUMMYFUNCTION("""COMPUTED_VALUE"""),"C++")</f>
        <v>C++</v>
      </c>
      <c r="F2141" s="9" t="str">
        <f>IFERROR(__xludf.DUMMYFUNCTION("""COMPUTED_VALUE"""),"C++")</f>
        <v>C++</v>
      </c>
      <c r="G2141" s="9" t="str">
        <f>IFERROR(__xludf.DUMMYFUNCTION("""COMPUTED_VALUE"""),"Python")</f>
        <v>Python</v>
      </c>
      <c r="H2141" s="9" t="str">
        <f>IFERROR(__xludf.DUMMYFUNCTION("""COMPUTED_VALUE"""),"JavaScript")</f>
        <v>JavaScript</v>
      </c>
      <c r="I2141" s="9" t="str">
        <f>IFERROR(__xludf.DUMMYFUNCTION("""COMPUTED_VALUE"""),"C++")</f>
        <v>C++</v>
      </c>
      <c r="J2141" s="9" t="str">
        <f>IFERROR(__xludf.DUMMYFUNCTION("""COMPUTED_VALUE"""),"SQL")</f>
        <v>SQL</v>
      </c>
      <c r="K2141" s="9" t="str">
        <f>IFERROR(__xludf.DUMMYFUNCTION("""COMPUTED_VALUE"""),"WebAssembly")</f>
        <v>WebAssembly</v>
      </c>
      <c r="L2141" s="9" t="str">
        <f>IFERROR(__xludf.DUMMYFUNCTION("""COMPUTED_VALUE"""),"Objective-C")</f>
        <v>Objective-C</v>
      </c>
      <c r="M2141" s="9" t="s">
        <v>24</v>
      </c>
    </row>
    <row r="2142" ht="15.75" customHeight="1">
      <c r="A2142" s="7"/>
      <c r="B2142" s="7" t="str">
        <f>IFERROR(__xludf.DUMMYFUNCTION("""COMPUTED_VALUE"""),"Bash/Shell/PowerShell;C#;SQL;TypeScript")</f>
        <v>Bash/Shell/PowerShell;C#;SQL;TypeScript</v>
      </c>
      <c r="C2142" s="9" t="str">
        <f>IFERROR(__xludf.DUMMYFUNCTION("""COMPUTED_VALUE"""),"JavaScript")</f>
        <v>JavaScript</v>
      </c>
      <c r="D2142" s="9" t="str">
        <f>IFERROR(__xludf.DUMMYFUNCTION("""COMPUTED_VALUE"""),"C#")</f>
        <v>C#</v>
      </c>
      <c r="E2142" s="9" t="str">
        <f>IFERROR(__xludf.DUMMYFUNCTION("""COMPUTED_VALUE"""),"C#")</f>
        <v>C#</v>
      </c>
      <c r="F2142" s="9" t="str">
        <f>IFERROR(__xludf.DUMMYFUNCTION("""COMPUTED_VALUE"""),"HTML/CSS")</f>
        <v>HTML/CSS</v>
      </c>
      <c r="G2142" s="9" t="str">
        <f>IFERROR(__xludf.DUMMYFUNCTION("""COMPUTED_VALUE"""),"SQL")</f>
        <v>SQL</v>
      </c>
      <c r="H2142" s="9" t="str">
        <f>IFERROR(__xludf.DUMMYFUNCTION("""COMPUTED_VALUE"""),"TypeScript")</f>
        <v>TypeScript</v>
      </c>
      <c r="I2142" s="9" t="str">
        <f>IFERROR(__xludf.DUMMYFUNCTION("""COMPUTED_VALUE"""),"PHP")</f>
        <v>PHP</v>
      </c>
      <c r="J2142" s="9" t="str">
        <f>IFERROR(__xludf.DUMMYFUNCTION("""COMPUTED_VALUE"""),"Other(s):")</f>
        <v>Other(s):</v>
      </c>
      <c r="K2142" s="9" t="str">
        <f>IFERROR(__xludf.DUMMYFUNCTION("""COMPUTED_VALUE"""),"Bash/Shell/PowerShell")</f>
        <v>Bash/Shell/PowerShell</v>
      </c>
      <c r="L2142" s="9" t="str">
        <f>IFERROR(__xludf.DUMMYFUNCTION("""COMPUTED_VALUE"""),"SQL")</f>
        <v>SQL</v>
      </c>
      <c r="M2142" s="9" t="s">
        <v>21</v>
      </c>
    </row>
    <row r="2143" ht="15.75" customHeight="1">
      <c r="A2143" s="7"/>
      <c r="B2143" s="7" t="str">
        <f>IFERROR(__xludf.DUMMYFUNCTION("""COMPUTED_VALUE"""),"C#;HTML/CSS;JavaScript;SQL;WebAssembly")</f>
        <v>C#;HTML/CSS;JavaScript;SQL;WebAssembly</v>
      </c>
      <c r="C2143" s="9" t="str">
        <f>IFERROR(__xludf.DUMMYFUNCTION("""COMPUTED_VALUE"""),"SQL")</f>
        <v>SQL</v>
      </c>
      <c r="D2143" s="9" t="str">
        <f>IFERROR(__xludf.DUMMYFUNCTION("""COMPUTED_VALUE"""),"Python")</f>
        <v>Python</v>
      </c>
      <c r="E2143" s="9" t="str">
        <f>IFERROR(__xludf.DUMMYFUNCTION("""COMPUTED_VALUE"""),"HTML/CSS")</f>
        <v>HTML/CSS</v>
      </c>
      <c r="F2143" s="9" t="str">
        <f>IFERROR(__xludf.DUMMYFUNCTION("""COMPUTED_VALUE"""),"Java")</f>
        <v>Java</v>
      </c>
      <c r="G2143" s="9" t="str">
        <f>IFERROR(__xludf.DUMMYFUNCTION("""COMPUTED_VALUE"""),"Bash/Shell/PowerShell")</f>
        <v>Bash/Shell/PowerShell</v>
      </c>
      <c r="H2143" s="9" t="str">
        <f>IFERROR(__xludf.DUMMYFUNCTION("""COMPUTED_VALUE"""),"C#")</f>
        <v>C#</v>
      </c>
      <c r="I2143" s="9" t="str">
        <f>IFERROR(__xludf.DUMMYFUNCTION("""COMPUTED_VALUE"""),"Python")</f>
        <v>Python</v>
      </c>
      <c r="J2143" s="9" t="str">
        <f>IFERROR(__xludf.DUMMYFUNCTION("""COMPUTED_VALUE"""),"Bash/Shell/PowerShell")</f>
        <v>Bash/Shell/PowerShell</v>
      </c>
      <c r="K2143" s="9" t="str">
        <f>IFERROR(__xludf.DUMMYFUNCTION("""COMPUTED_VALUE"""),"C")</f>
        <v>C</v>
      </c>
      <c r="L2143" s="9" t="str">
        <f>IFERROR(__xludf.DUMMYFUNCTION("""COMPUTED_VALUE"""),"Swift")</f>
        <v>Swift</v>
      </c>
      <c r="M2143" s="9" t="s">
        <v>27</v>
      </c>
    </row>
    <row r="2144" ht="15.75" customHeight="1">
      <c r="A2144" s="7"/>
      <c r="B2144" s="7" t="str">
        <f>IFERROR(__xludf.DUMMYFUNCTION("""COMPUTED_VALUE"""),"JavaScript;Swift;TypeScript")</f>
        <v>JavaScript;Swift;TypeScript</v>
      </c>
      <c r="C2144" s="9" t="str">
        <f>IFERROR(__xludf.DUMMYFUNCTION("""COMPUTED_VALUE"""),"Bash/Shell/PowerShell")</f>
        <v>Bash/Shell/PowerShell</v>
      </c>
      <c r="D2144" s="9" t="str">
        <f>IFERROR(__xludf.DUMMYFUNCTION("""COMPUTED_VALUE"""),"Rust")</f>
        <v>Rust</v>
      </c>
      <c r="E2144" s="9" t="str">
        <f>IFERROR(__xludf.DUMMYFUNCTION("""COMPUTED_VALUE"""),"JavaScript")</f>
        <v>JavaScript</v>
      </c>
      <c r="F2144" s="9" t="str">
        <f>IFERROR(__xludf.DUMMYFUNCTION("""COMPUTED_VALUE"""),"JavaScript")</f>
        <v>JavaScript</v>
      </c>
      <c r="G2144" s="9" t="str">
        <f>IFERROR(__xludf.DUMMYFUNCTION("""COMPUTED_VALUE"""),"C++")</f>
        <v>C++</v>
      </c>
      <c r="H2144" s="9" t="str">
        <f>IFERROR(__xludf.DUMMYFUNCTION("""COMPUTED_VALUE"""),"HTML/CSS")</f>
        <v>HTML/CSS</v>
      </c>
      <c r="I2144" s="9" t="str">
        <f>IFERROR(__xludf.DUMMYFUNCTION("""COMPUTED_VALUE"""),"Java")</f>
        <v>Java</v>
      </c>
      <c r="J2144" s="9" t="str">
        <f>IFERROR(__xludf.DUMMYFUNCTION("""COMPUTED_VALUE"""),"C++")</f>
        <v>C++</v>
      </c>
      <c r="K2144" s="9" t="str">
        <f>IFERROR(__xludf.DUMMYFUNCTION("""COMPUTED_VALUE"""),"Go")</f>
        <v>Go</v>
      </c>
      <c r="L2144" s="9" t="str">
        <f>IFERROR(__xludf.DUMMYFUNCTION("""COMPUTED_VALUE"""),"HTML/CSS")</f>
        <v>HTML/CSS</v>
      </c>
      <c r="M2144" s="9" t="s">
        <v>30</v>
      </c>
    </row>
    <row r="2145" ht="15.75" customHeight="1">
      <c r="A2145" s="7"/>
      <c r="B2145" s="7" t="str">
        <f>IFERROR(__xludf.DUMMYFUNCTION("""COMPUTED_VALUE"""),"C;C++;C#;HTML/CSS;Java;JavaScript;Kotlin;SQL;TypeScript")</f>
        <v>C;C++;C#;HTML/CSS;Java;JavaScript;Kotlin;SQL;TypeScript</v>
      </c>
      <c r="C2145" s="9" t="str">
        <f>IFERROR(__xludf.DUMMYFUNCTION("""COMPUTED_VALUE"""),"C#")</f>
        <v>C#</v>
      </c>
      <c r="D2145" s="9" t="str">
        <f>IFERROR(__xludf.DUMMYFUNCTION("""COMPUTED_VALUE"""),"HTML/CSS")</f>
        <v>HTML/CSS</v>
      </c>
      <c r="E2145" s="9" t="str">
        <f>IFERROR(__xludf.DUMMYFUNCTION("""COMPUTED_VALUE"""),"PHP")</f>
        <v>PHP</v>
      </c>
      <c r="F2145" s="9" t="str">
        <f>IFERROR(__xludf.DUMMYFUNCTION("""COMPUTED_VALUE"""),"PHP")</f>
        <v>PHP</v>
      </c>
      <c r="G2145" s="9" t="str">
        <f>IFERROR(__xludf.DUMMYFUNCTION("""COMPUTED_VALUE"""),"C#")</f>
        <v>C#</v>
      </c>
      <c r="H2145" s="9" t="str">
        <f>IFERROR(__xludf.DUMMYFUNCTION("""COMPUTED_VALUE"""),"SQL")</f>
        <v>SQL</v>
      </c>
      <c r="I2145" s="9" t="str">
        <f>IFERROR(__xludf.DUMMYFUNCTION("""COMPUTED_VALUE"""),"Kotlin")</f>
        <v>Kotlin</v>
      </c>
      <c r="J2145" s="9" t="str">
        <f>IFERROR(__xludf.DUMMYFUNCTION("""COMPUTED_VALUE"""),"HTML/CSS")</f>
        <v>HTML/CSS</v>
      </c>
      <c r="K2145" s="9" t="str">
        <f>IFERROR(__xludf.DUMMYFUNCTION("""COMPUTED_VALUE"""),"HTML/CSS")</f>
        <v>HTML/CSS</v>
      </c>
      <c r="L2145" s="9" t="str">
        <f>IFERROR(__xludf.DUMMYFUNCTION("""COMPUTED_VALUE"""),"JavaScript")</f>
        <v>JavaScript</v>
      </c>
      <c r="M2145" s="9" t="s">
        <v>26</v>
      </c>
    </row>
    <row r="2146" ht="15.75" customHeight="1">
      <c r="A2146" s="7"/>
      <c r="B2146" s="7" t="str">
        <f>IFERROR(__xludf.DUMMYFUNCTION("""COMPUTED_VALUE"""),"Bash/Shell/PowerShell;HTML/CSS;JavaScript;VBA")</f>
        <v>Bash/Shell/PowerShell;HTML/CSS;JavaScript;VBA</v>
      </c>
      <c r="C2146" s="9" t="str">
        <f>IFERROR(__xludf.DUMMYFUNCTION("""COMPUTED_VALUE"""),"HTML/CSS")</f>
        <v>HTML/CSS</v>
      </c>
      <c r="D2146" s="9" t="str">
        <f>IFERROR(__xludf.DUMMYFUNCTION("""COMPUTED_VALUE"""),"JavaScript")</f>
        <v>JavaScript</v>
      </c>
      <c r="E2146" s="9" t="str">
        <f>IFERROR(__xludf.DUMMYFUNCTION("""COMPUTED_VALUE"""),"SQL")</f>
        <v>SQL</v>
      </c>
      <c r="F2146" s="9" t="str">
        <f>IFERROR(__xludf.DUMMYFUNCTION("""COMPUTED_VALUE"""),"SQL")</f>
        <v>SQL</v>
      </c>
      <c r="G2146" s="9" t="str">
        <f>IFERROR(__xludf.DUMMYFUNCTION("""COMPUTED_VALUE"""),"HTML/CSS")</f>
        <v>HTML/CSS</v>
      </c>
      <c r="H2146" s="9" t="str">
        <f>IFERROR(__xludf.DUMMYFUNCTION("""COMPUTED_VALUE"""),"VBA")</f>
        <v>VBA</v>
      </c>
      <c r="I2146" s="9" t="str">
        <f>IFERROR(__xludf.DUMMYFUNCTION("""COMPUTED_VALUE"""),"SQL")</f>
        <v>SQL</v>
      </c>
      <c r="J2146" s="9" t="str">
        <f>IFERROR(__xludf.DUMMYFUNCTION("""COMPUTED_VALUE"""),"JavaScript")</f>
        <v>JavaScript</v>
      </c>
      <c r="K2146" s="9" t="str">
        <f>IFERROR(__xludf.DUMMYFUNCTION("""COMPUTED_VALUE"""),"Java")</f>
        <v>Java</v>
      </c>
      <c r="L2146" s="9" t="str">
        <f>IFERROR(__xludf.DUMMYFUNCTION("""COMPUTED_VALUE"""),"Bash/Shell/PowerShell")</f>
        <v>Bash/Shell/PowerShell</v>
      </c>
      <c r="M2146" s="9" t="s">
        <v>24</v>
      </c>
    </row>
    <row r="2147" ht="15.75" customHeight="1">
      <c r="A2147" s="7"/>
      <c r="B2147" s="7" t="str">
        <f>IFERROR(__xludf.DUMMYFUNCTION("""COMPUTED_VALUE"""),"Bash/Shell/PowerShell;C#;HTML/CSS;Java;JavaScript;PHP;SQL")</f>
        <v>Bash/Shell/PowerShell;C#;HTML/CSS;Java;JavaScript;PHP;SQL</v>
      </c>
      <c r="C2147" s="9" t="str">
        <f>IFERROR(__xludf.DUMMYFUNCTION("""COMPUTED_VALUE"""),"JavaScript")</f>
        <v>JavaScript</v>
      </c>
      <c r="D2147" s="9" t="str">
        <f>IFERROR(__xludf.DUMMYFUNCTION("""COMPUTED_VALUE"""),"PHP")</f>
        <v>PHP</v>
      </c>
      <c r="E2147" s="9" t="str">
        <f>IFERROR(__xludf.DUMMYFUNCTION("""COMPUTED_VALUE"""),"C++")</f>
        <v>C++</v>
      </c>
      <c r="F2147" s="9" t="str">
        <f>IFERROR(__xludf.DUMMYFUNCTION("""COMPUTED_VALUE"""),"C#")</f>
        <v>C#</v>
      </c>
      <c r="G2147" s="9" t="str">
        <f>IFERROR(__xludf.DUMMYFUNCTION("""COMPUTED_VALUE"""),"Java")</f>
        <v>Java</v>
      </c>
      <c r="H2147" s="9" t="str">
        <f>IFERROR(__xludf.DUMMYFUNCTION("""COMPUTED_VALUE"""),"Bash/Shell/PowerShell")</f>
        <v>Bash/Shell/PowerShell</v>
      </c>
      <c r="I2147" s="9" t="str">
        <f>IFERROR(__xludf.DUMMYFUNCTION("""COMPUTED_VALUE"""),"Bash/Shell/PowerShell")</f>
        <v>Bash/Shell/PowerShell</v>
      </c>
      <c r="J2147" s="9" t="str">
        <f>IFERROR(__xludf.DUMMYFUNCTION("""COMPUTED_VALUE"""),"PHP")</f>
        <v>PHP</v>
      </c>
      <c r="K2147" s="9" t="str">
        <f>IFERROR(__xludf.DUMMYFUNCTION("""COMPUTED_VALUE"""),"JavaScript")</f>
        <v>JavaScript</v>
      </c>
      <c r="L2147" s="9" t="str">
        <f>IFERROR(__xludf.DUMMYFUNCTION("""COMPUTED_VALUE"""),"C")</f>
        <v>C</v>
      </c>
      <c r="M2147" s="9" t="s">
        <v>21</v>
      </c>
    </row>
    <row r="2148" ht="15.75" customHeight="1">
      <c r="A2148" s="7"/>
      <c r="B2148" s="7" t="str">
        <f>IFERROR(__xludf.DUMMYFUNCTION("""COMPUTED_VALUE"""),"Java;SQL;VBA")</f>
        <v>Java;SQL;VBA</v>
      </c>
      <c r="C2148" s="9" t="str">
        <f>IFERROR(__xludf.DUMMYFUNCTION("""COMPUTED_VALUE"""),"Python")</f>
        <v>Python</v>
      </c>
      <c r="D2148" s="9" t="str">
        <f>IFERROR(__xludf.DUMMYFUNCTION("""COMPUTED_VALUE"""),"SQL")</f>
        <v>SQL</v>
      </c>
      <c r="E2148" s="9" t="str">
        <f>IFERROR(__xludf.DUMMYFUNCTION("""COMPUTED_VALUE"""),"C#")</f>
        <v>C#</v>
      </c>
      <c r="F2148" s="9" t="str">
        <f>IFERROR(__xludf.DUMMYFUNCTION("""COMPUTED_VALUE"""),"HTML/CSS")</f>
        <v>HTML/CSS</v>
      </c>
      <c r="G2148" s="9" t="str">
        <f>IFERROR(__xludf.DUMMYFUNCTION("""COMPUTED_VALUE"""),"Python")</f>
        <v>Python</v>
      </c>
      <c r="H2148" s="9" t="str">
        <f>IFERROR(__xludf.DUMMYFUNCTION("""COMPUTED_VALUE"""),"Java")</f>
        <v>Java</v>
      </c>
      <c r="I2148" s="9" t="str">
        <f>IFERROR(__xludf.DUMMYFUNCTION("""COMPUTED_VALUE"""),"C")</f>
        <v>C</v>
      </c>
      <c r="J2148" s="9" t="str">
        <f>IFERROR(__xludf.DUMMYFUNCTION("""COMPUTED_VALUE"""),"Python")</f>
        <v>Python</v>
      </c>
      <c r="K2148" s="9" t="str">
        <f>IFERROR(__xludf.DUMMYFUNCTION("""COMPUTED_VALUE"""),"Python")</f>
        <v>Python</v>
      </c>
      <c r="L2148" s="9" t="str">
        <f>IFERROR(__xludf.DUMMYFUNCTION("""COMPUTED_VALUE"""),"Go")</f>
        <v>Go</v>
      </c>
      <c r="M2148" s="9" t="s">
        <v>22</v>
      </c>
    </row>
    <row r="2149" ht="15.75" customHeight="1">
      <c r="A2149" s="7"/>
      <c r="B2149" s="7" t="str">
        <f>IFERROR(__xludf.DUMMYFUNCTION("""COMPUTED_VALUE"""),"HTML/CSS;JavaScript;TypeScript")</f>
        <v>HTML/CSS;JavaScript;TypeScript</v>
      </c>
      <c r="C2149" s="9" t="str">
        <f>IFERROR(__xludf.DUMMYFUNCTION("""COMPUTED_VALUE"""),"SQL")</f>
        <v>SQL</v>
      </c>
      <c r="D2149" s="9" t="str">
        <f>IFERROR(__xludf.DUMMYFUNCTION("""COMPUTED_VALUE"""),"Bash/Shell/PowerShell")</f>
        <v>Bash/Shell/PowerShell</v>
      </c>
      <c r="E2149" s="9" t="str">
        <f>IFERROR(__xludf.DUMMYFUNCTION("""COMPUTED_VALUE"""),"Java")</f>
        <v>Java</v>
      </c>
      <c r="F2149" s="9" t="str">
        <f>IFERROR(__xludf.DUMMYFUNCTION("""COMPUTED_VALUE"""),"Java")</f>
        <v>Java</v>
      </c>
      <c r="G2149" s="9" t="str">
        <f>IFERROR(__xludf.DUMMYFUNCTION("""COMPUTED_VALUE"""),"SQL")</f>
        <v>SQL</v>
      </c>
      <c r="H2149" s="9" t="str">
        <f>IFERROR(__xludf.DUMMYFUNCTION("""COMPUTED_VALUE"""),"C")</f>
        <v>C</v>
      </c>
      <c r="I2149" s="9" t="str">
        <f>IFERROR(__xludf.DUMMYFUNCTION("""COMPUTED_VALUE"""),"C++")</f>
        <v>C++</v>
      </c>
      <c r="J2149" s="9" t="str">
        <f>IFERROR(__xludf.DUMMYFUNCTION("""COMPUTED_VALUE"""),"TypeScript")</f>
        <v>TypeScript</v>
      </c>
      <c r="K2149" s="9" t="str">
        <f>IFERROR(__xludf.DUMMYFUNCTION("""COMPUTED_VALUE"""),"TypeScript")</f>
        <v>TypeScript</v>
      </c>
      <c r="L2149" s="9" t="str">
        <f>IFERROR(__xludf.DUMMYFUNCTION("""COMPUTED_VALUE"""),"JavaScript")</f>
        <v>JavaScript</v>
      </c>
      <c r="M2149" s="9" t="s">
        <v>27</v>
      </c>
    </row>
    <row r="2150" ht="15.75" customHeight="1">
      <c r="A2150" s="7"/>
      <c r="B2150" s="7" t="str">
        <f>IFERROR(__xludf.DUMMYFUNCTION("""COMPUTED_VALUE"""),"JavaScript;PHP")</f>
        <v>JavaScript;PHP</v>
      </c>
      <c r="C2150" s="9" t="str">
        <f>IFERROR(__xludf.DUMMYFUNCTION("""COMPUTED_VALUE"""),"Swift")</f>
        <v>Swift</v>
      </c>
      <c r="D2150" s="9" t="str">
        <f>IFERROR(__xludf.DUMMYFUNCTION("""COMPUTED_VALUE"""),"Java")</f>
        <v>Java</v>
      </c>
      <c r="E2150" s="9" t="str">
        <f>IFERROR(__xludf.DUMMYFUNCTION("""COMPUTED_VALUE"""),"Python")</f>
        <v>Python</v>
      </c>
      <c r="F2150" s="9" t="str">
        <f>IFERROR(__xludf.DUMMYFUNCTION("""COMPUTED_VALUE"""),"JavaScript")</f>
        <v>JavaScript</v>
      </c>
      <c r="G2150" s="9" t="str">
        <f>IFERROR(__xludf.DUMMYFUNCTION("""COMPUTED_VALUE"""),"HTML/CSS")</f>
        <v>HTML/CSS</v>
      </c>
      <c r="H2150" s="9" t="str">
        <f>IFERROR(__xludf.DUMMYFUNCTION("""COMPUTED_VALUE"""),"C++")</f>
        <v>C++</v>
      </c>
      <c r="I2150" s="9" t="str">
        <f>IFERROR(__xludf.DUMMYFUNCTION("""COMPUTED_VALUE"""),"Java")</f>
        <v>Java</v>
      </c>
      <c r="J2150" s="9" t="str">
        <f>IFERROR(__xludf.DUMMYFUNCTION("""COMPUTED_VALUE"""),"C#")</f>
        <v>C#</v>
      </c>
      <c r="K2150" s="9" t="str">
        <f>IFERROR(__xludf.DUMMYFUNCTION("""COMPUTED_VALUE"""),"HTML/CSS")</f>
        <v>HTML/CSS</v>
      </c>
      <c r="L2150" s="9" t="str">
        <f>IFERROR(__xludf.DUMMYFUNCTION("""COMPUTED_VALUE"""),"Python")</f>
        <v>Python</v>
      </c>
      <c r="M2150" s="9" t="s">
        <v>40</v>
      </c>
    </row>
    <row r="2151" ht="15.75" customHeight="1">
      <c r="A2151" s="7"/>
      <c r="B2151" s="7" t="str">
        <f>IFERROR(__xludf.DUMMYFUNCTION("""COMPUTED_VALUE"""),"C;C++;HTML/CSS;Java;JavaScript;Objective-C;Python;TypeScript")</f>
        <v>C;C++;HTML/CSS;Java;JavaScript;Objective-C;Python;TypeScript</v>
      </c>
      <c r="C2151" s="9" t="str">
        <f>IFERROR(__xludf.DUMMYFUNCTION("""COMPUTED_VALUE"""),"Bash/Shell/PowerShell")</f>
        <v>Bash/Shell/PowerShell</v>
      </c>
      <c r="D2151" s="9" t="str">
        <f>IFERROR(__xludf.DUMMYFUNCTION("""COMPUTED_VALUE"""),"JavaScript")</f>
        <v>JavaScript</v>
      </c>
      <c r="E2151" s="9" t="str">
        <f>IFERROR(__xludf.DUMMYFUNCTION("""COMPUTED_VALUE"""),"Bash/Shell/PowerShell")</f>
        <v>Bash/Shell/PowerShell</v>
      </c>
      <c r="F2151" s="9" t="str">
        <f>IFERROR(__xludf.DUMMYFUNCTION("""COMPUTED_VALUE"""),"Kotlin")</f>
        <v>Kotlin</v>
      </c>
      <c r="G2151" s="9" t="str">
        <f>IFERROR(__xludf.DUMMYFUNCTION("""COMPUTED_VALUE"""),"JavaScript")</f>
        <v>JavaScript</v>
      </c>
      <c r="H2151" s="9" t="str">
        <f>IFERROR(__xludf.DUMMYFUNCTION("""COMPUTED_VALUE"""),"C#")</f>
        <v>C#</v>
      </c>
      <c r="I2151" s="9" t="str">
        <f>IFERROR(__xludf.DUMMYFUNCTION("""COMPUTED_VALUE"""),"Python")</f>
        <v>Python</v>
      </c>
      <c r="J2151" s="9" t="str">
        <f>IFERROR(__xludf.DUMMYFUNCTION("""COMPUTED_VALUE"""),"HTML/CSS")</f>
        <v>HTML/CSS</v>
      </c>
      <c r="K2151" s="9" t="str">
        <f>IFERROR(__xludf.DUMMYFUNCTION("""COMPUTED_VALUE"""),"JavaScript")</f>
        <v>JavaScript</v>
      </c>
      <c r="L2151" s="9" t="str">
        <f>IFERROR(__xludf.DUMMYFUNCTION("""COMPUTED_VALUE"""),"Ruby")</f>
        <v>Ruby</v>
      </c>
      <c r="M2151" s="9" t="s">
        <v>30</v>
      </c>
    </row>
    <row r="2152" ht="15.75" customHeight="1">
      <c r="A2152" s="7"/>
      <c r="B2152" s="7" t="str">
        <f>IFERROR(__xludf.DUMMYFUNCTION("""COMPUTED_VALUE"""),"HTML/CSS;SQL;Other(s):")</f>
        <v>HTML/CSS;SQL;Other(s):</v>
      </c>
      <c r="C2152" s="9" t="str">
        <f>IFERROR(__xludf.DUMMYFUNCTION("""COMPUTED_VALUE"""),"HTML/CSS")</f>
        <v>HTML/CSS</v>
      </c>
      <c r="D2152" s="9" t="str">
        <f>IFERROR(__xludf.DUMMYFUNCTION("""COMPUTED_VALUE"""),"Python")</f>
        <v>Python</v>
      </c>
      <c r="E2152" s="9" t="str">
        <f>IFERROR(__xludf.DUMMYFUNCTION("""COMPUTED_VALUE"""),"C++")</f>
        <v>C++</v>
      </c>
      <c r="F2152" s="9" t="str">
        <f>IFERROR(__xludf.DUMMYFUNCTION("""COMPUTED_VALUE"""),"SQL")</f>
        <v>SQL</v>
      </c>
      <c r="G2152" s="9" t="str">
        <f>IFERROR(__xludf.DUMMYFUNCTION("""COMPUTED_VALUE"""),"Python")</f>
        <v>Python</v>
      </c>
      <c r="H2152" s="9" t="str">
        <f>IFERROR(__xludf.DUMMYFUNCTION("""COMPUTED_VALUE"""),"HTML/CSS")</f>
        <v>HTML/CSS</v>
      </c>
      <c r="I2152" s="9" t="str">
        <f>IFERROR(__xludf.DUMMYFUNCTION("""COMPUTED_VALUE"""),"HTML/CSS")</f>
        <v>HTML/CSS</v>
      </c>
      <c r="J2152" s="9" t="str">
        <f>IFERROR(__xludf.DUMMYFUNCTION("""COMPUTED_VALUE"""),"JavaScript")</f>
        <v>JavaScript</v>
      </c>
      <c r="K2152" s="9" t="str">
        <f>IFERROR(__xludf.DUMMYFUNCTION("""COMPUTED_VALUE"""),"TypeScript")</f>
        <v>TypeScript</v>
      </c>
      <c r="L2152" s="9" t="str">
        <f>IFERROR(__xludf.DUMMYFUNCTION("""COMPUTED_VALUE"""),"Go")</f>
        <v>Go</v>
      </c>
      <c r="M2152" s="9" t="s">
        <v>24</v>
      </c>
    </row>
    <row r="2153" ht="15.75" customHeight="1">
      <c r="A2153" s="7"/>
      <c r="B2153" s="7" t="str">
        <f>IFERROR(__xludf.DUMMYFUNCTION("""COMPUTED_VALUE"""),"Assembly;Bash/Shell/PowerShell;C;Go;HTML/CSS;Java;JavaScript;Python;R;TypeScript")</f>
        <v>Assembly;Bash/Shell/PowerShell;C;Go;HTML/CSS;Java;JavaScript;Python;R;TypeScript</v>
      </c>
      <c r="C2153" s="9" t="str">
        <f>IFERROR(__xludf.DUMMYFUNCTION("""COMPUTED_VALUE"""),"Java")</f>
        <v>Java</v>
      </c>
      <c r="D2153" s="9" t="str">
        <f>IFERROR(__xludf.DUMMYFUNCTION("""COMPUTED_VALUE"""),"SQL")</f>
        <v>SQL</v>
      </c>
      <c r="E2153" s="9" t="str">
        <f>IFERROR(__xludf.DUMMYFUNCTION("""COMPUTED_VALUE"""),"C#")</f>
        <v>C#</v>
      </c>
      <c r="F2153" s="9" t="str">
        <f>IFERROR(__xludf.DUMMYFUNCTION("""COMPUTED_VALUE"""),"Bash/Shell/PowerShell")</f>
        <v>Bash/Shell/PowerShell</v>
      </c>
      <c r="G2153" s="9" t="str">
        <f>IFERROR(__xludf.DUMMYFUNCTION("""COMPUTED_VALUE"""),"SQL")</f>
        <v>SQL</v>
      </c>
      <c r="H2153" s="9" t="str">
        <f>IFERROR(__xludf.DUMMYFUNCTION("""COMPUTED_VALUE"""),"JavaScript")</f>
        <v>JavaScript</v>
      </c>
      <c r="I2153" s="9" t="str">
        <f>IFERROR(__xludf.DUMMYFUNCTION("""COMPUTED_VALUE"""),"JavaScript")</f>
        <v>JavaScript</v>
      </c>
      <c r="J2153" s="9" t="str">
        <f>IFERROR(__xludf.DUMMYFUNCTION("""COMPUTED_VALUE"""),"Python")</f>
        <v>Python</v>
      </c>
      <c r="K2153" s="9" t="str">
        <f>IFERROR(__xludf.DUMMYFUNCTION("""COMPUTED_VALUE"""),"HTML/CSS")</f>
        <v>HTML/CSS</v>
      </c>
      <c r="L2153" s="9" t="str">
        <f>IFERROR(__xludf.DUMMYFUNCTION("""COMPUTED_VALUE"""),"JavaScript")</f>
        <v>JavaScript</v>
      </c>
      <c r="M2153" s="9" t="s">
        <v>20</v>
      </c>
    </row>
    <row r="2154" ht="15.75" customHeight="1">
      <c r="A2154" s="7"/>
      <c r="B2154" s="7" t="str">
        <f>IFERROR(__xludf.DUMMYFUNCTION("""COMPUTED_VALUE"""),"Bash/Shell/PowerShell;C;C++;Java;Python;Ruby")</f>
        <v>Bash/Shell/PowerShell;C;C++;Java;Python;Ruby</v>
      </c>
      <c r="C2154" s="9" t="str">
        <f>IFERROR(__xludf.DUMMYFUNCTION("""COMPUTED_VALUE"""),"JavaScript")</f>
        <v>JavaScript</v>
      </c>
      <c r="D2154" s="9" t="str">
        <f>IFERROR(__xludf.DUMMYFUNCTION("""COMPUTED_VALUE"""),"C++")</f>
        <v>C++</v>
      </c>
      <c r="E2154" s="9" t="str">
        <f>IFERROR(__xludf.DUMMYFUNCTION("""COMPUTED_VALUE"""),"Dart")</f>
        <v>Dart</v>
      </c>
      <c r="F2154" s="9" t="str">
        <f>IFERROR(__xludf.DUMMYFUNCTION("""COMPUTED_VALUE"""),"HTML/CSS")</f>
        <v>HTML/CSS</v>
      </c>
      <c r="G2154" s="9" t="str">
        <f>IFERROR(__xludf.DUMMYFUNCTION("""COMPUTED_VALUE"""),"Clojure")</f>
        <v>Clojure</v>
      </c>
      <c r="H2154" s="9" t="str">
        <f>IFERROR(__xludf.DUMMYFUNCTION("""COMPUTED_VALUE"""),"PHP")</f>
        <v>PHP</v>
      </c>
      <c r="I2154" s="9" t="str">
        <f>IFERROR(__xludf.DUMMYFUNCTION("""COMPUTED_VALUE"""),"PHP")</f>
        <v>PHP</v>
      </c>
      <c r="J2154" s="9" t="str">
        <f>IFERROR(__xludf.DUMMYFUNCTION("""COMPUTED_VALUE"""),"SQL")</f>
        <v>SQL</v>
      </c>
      <c r="K2154" s="9" t="str">
        <f>IFERROR(__xludf.DUMMYFUNCTION("""COMPUTED_VALUE"""),"JavaScript")</f>
        <v>JavaScript</v>
      </c>
      <c r="L2154" s="9" t="str">
        <f>IFERROR(__xludf.DUMMYFUNCTION("""COMPUTED_VALUE"""),"PHP")</f>
        <v>PHP</v>
      </c>
      <c r="M2154" s="9" t="s">
        <v>21</v>
      </c>
    </row>
    <row r="2155" ht="15.75" customHeight="1">
      <c r="A2155" s="7"/>
      <c r="B2155" s="7" t="str">
        <f>IFERROR(__xludf.DUMMYFUNCTION("""COMPUTED_VALUE"""),"C;C++;HTML/CSS;JavaScript;Python;R;Ruby;SQL")</f>
        <v>C;C++;HTML/CSS;JavaScript;Python;R;Ruby;SQL</v>
      </c>
      <c r="C2155" s="9" t="str">
        <f>IFERROR(__xludf.DUMMYFUNCTION("""COMPUTED_VALUE"""),"PHP")</f>
        <v>PHP</v>
      </c>
      <c r="D2155" s="9" t="str">
        <f>IFERROR(__xludf.DUMMYFUNCTION("""COMPUTED_VALUE"""),"Java")</f>
        <v>Java</v>
      </c>
      <c r="E2155" s="9" t="str">
        <f>IFERROR(__xludf.DUMMYFUNCTION("""COMPUTED_VALUE"""),"F#")</f>
        <v>F#</v>
      </c>
      <c r="F2155" s="9" t="str">
        <f>IFERROR(__xludf.DUMMYFUNCTION("""COMPUTED_VALUE"""),"JavaScript")</f>
        <v>JavaScript</v>
      </c>
      <c r="G2155" s="9" t="str">
        <f>IFERROR(__xludf.DUMMYFUNCTION("""COMPUTED_VALUE"""),"Go")</f>
        <v>Go</v>
      </c>
      <c r="H2155" s="9" t="str">
        <f>IFERROR(__xludf.DUMMYFUNCTION("""COMPUTED_VALUE"""),"SQL")</f>
        <v>SQL</v>
      </c>
      <c r="I2155" s="9" t="str">
        <f>IFERROR(__xludf.DUMMYFUNCTION("""COMPUTED_VALUE"""),"SQL")</f>
        <v>SQL</v>
      </c>
      <c r="J2155" s="9" t="str">
        <f>IFERROR(__xludf.DUMMYFUNCTION("""COMPUTED_VALUE"""),"HTML/CSS")</f>
        <v>HTML/CSS</v>
      </c>
      <c r="K2155" s="9" t="str">
        <f>IFERROR(__xludf.DUMMYFUNCTION("""COMPUTED_VALUE"""),"PHP")</f>
        <v>PHP</v>
      </c>
      <c r="L2155" s="9" t="str">
        <f>IFERROR(__xludf.DUMMYFUNCTION("""COMPUTED_VALUE"""),"SQL")</f>
        <v>SQL</v>
      </c>
      <c r="M2155" s="9" t="s">
        <v>37</v>
      </c>
    </row>
    <row r="2156" ht="15.75" customHeight="1">
      <c r="A2156" s="7"/>
      <c r="B2156" s="7" t="str">
        <f>IFERROR(__xludf.DUMMYFUNCTION("""COMPUTED_VALUE"""),"C;C++;HTML/CSS;Java;JavaScript;Objective-C;Scala")</f>
        <v>C;C++;HTML/CSS;Java;JavaScript;Objective-C;Scala</v>
      </c>
      <c r="C2156" s="9" t="str">
        <f>IFERROR(__xludf.DUMMYFUNCTION("""COMPUTED_VALUE"""),"Python")</f>
        <v>Python</v>
      </c>
      <c r="D2156" s="9" t="str">
        <f>IFERROR(__xludf.DUMMYFUNCTION("""COMPUTED_VALUE"""),"Kotlin")</f>
        <v>Kotlin</v>
      </c>
      <c r="E2156" s="9" t="str">
        <f>IFERROR(__xludf.DUMMYFUNCTION("""COMPUTED_VALUE"""),"Go")</f>
        <v>Go</v>
      </c>
      <c r="F2156" s="9" t="str">
        <f>IFERROR(__xludf.DUMMYFUNCTION("""COMPUTED_VALUE"""),"PHP")</f>
        <v>PHP</v>
      </c>
      <c r="G2156" s="9" t="str">
        <f>IFERROR(__xludf.DUMMYFUNCTION("""COMPUTED_VALUE"""),"HTML/CSS")</f>
        <v>HTML/CSS</v>
      </c>
      <c r="H2156" s="9" t="str">
        <f>IFERROR(__xludf.DUMMYFUNCTION("""COMPUTED_VALUE"""),"C#")</f>
        <v>C#</v>
      </c>
      <c r="I2156" s="9" t="str">
        <f>IFERROR(__xludf.DUMMYFUNCTION("""COMPUTED_VALUE"""),"HTML/CSS")</f>
        <v>HTML/CSS</v>
      </c>
      <c r="J2156" s="9" t="str">
        <f>IFERROR(__xludf.DUMMYFUNCTION("""COMPUTED_VALUE"""),"JavaScript")</f>
        <v>JavaScript</v>
      </c>
      <c r="K2156" s="9" t="str">
        <f>IFERROR(__xludf.DUMMYFUNCTION("""COMPUTED_VALUE"""),"HTML/CSS")</f>
        <v>HTML/CSS</v>
      </c>
      <c r="L2156" s="9" t="str">
        <f>IFERROR(__xludf.DUMMYFUNCTION("""COMPUTED_VALUE"""),"HTML/CSS")</f>
        <v>HTML/CSS</v>
      </c>
      <c r="M2156" s="9" t="s">
        <v>22</v>
      </c>
    </row>
    <row r="2157" ht="15.75" customHeight="1">
      <c r="A2157" s="7"/>
      <c r="B2157" s="7" t="str">
        <f>IFERROR(__xludf.DUMMYFUNCTION("""COMPUTED_VALUE"""),"C#;HTML/CSS;JavaScript;SQL;TypeScript")</f>
        <v>C#;HTML/CSS;JavaScript;SQL;TypeScript</v>
      </c>
      <c r="C2157" s="9" t="str">
        <f>IFERROR(__xludf.DUMMYFUNCTION("""COMPUTED_VALUE"""),"SQL")</f>
        <v>SQL</v>
      </c>
      <c r="D2157" s="9" t="str">
        <f>IFERROR(__xludf.DUMMYFUNCTION("""COMPUTED_VALUE"""),"Python")</f>
        <v>Python</v>
      </c>
      <c r="E2157" s="9" t="str">
        <f>IFERROR(__xludf.DUMMYFUNCTION("""COMPUTED_VALUE"""),"HTML/CSS")</f>
        <v>HTML/CSS</v>
      </c>
      <c r="F2157" s="9" t="str">
        <f>IFERROR(__xludf.DUMMYFUNCTION("""COMPUTED_VALUE"""),"Python")</f>
        <v>Python</v>
      </c>
      <c r="G2157" s="9" t="str">
        <f>IFERROR(__xludf.DUMMYFUNCTION("""COMPUTED_VALUE"""),"JavaScript")</f>
        <v>JavaScript</v>
      </c>
      <c r="H2157" s="9" t="str">
        <f>IFERROR(__xludf.DUMMYFUNCTION("""COMPUTED_VALUE"""),"HTML/CSS")</f>
        <v>HTML/CSS</v>
      </c>
      <c r="I2157" s="9" t="str">
        <f>IFERROR(__xludf.DUMMYFUNCTION("""COMPUTED_VALUE"""),"Java")</f>
        <v>Java</v>
      </c>
      <c r="J2157" s="9" t="str">
        <f>IFERROR(__xludf.DUMMYFUNCTION("""COMPUTED_VALUE"""),"Bash/Shell/PowerShell")</f>
        <v>Bash/Shell/PowerShell</v>
      </c>
      <c r="K2157" s="9" t="str">
        <f>IFERROR(__xludf.DUMMYFUNCTION("""COMPUTED_VALUE"""),"Java")</f>
        <v>Java</v>
      </c>
      <c r="L2157" s="9" t="str">
        <f>IFERROR(__xludf.DUMMYFUNCTION("""COMPUTED_VALUE"""),"JavaScript")</f>
        <v>JavaScript</v>
      </c>
      <c r="M2157" s="9" t="s">
        <v>27</v>
      </c>
    </row>
    <row r="2158" ht="15.75" customHeight="1">
      <c r="A2158" s="7"/>
      <c r="B2158" s="7" t="str">
        <f>IFERROR(__xludf.DUMMYFUNCTION("""COMPUTED_VALUE"""),"Bash/Shell/PowerShell;C#;HTML/CSS;JavaScript;SQL")</f>
        <v>Bash/Shell/PowerShell;C#;HTML/CSS;JavaScript;SQL</v>
      </c>
      <c r="C2158" s="9" t="str">
        <f>IFERROR(__xludf.DUMMYFUNCTION("""COMPUTED_VALUE"""),"Bash/Shell/PowerShell")</f>
        <v>Bash/Shell/PowerShell</v>
      </c>
      <c r="D2158" s="9" t="str">
        <f>IFERROR(__xludf.DUMMYFUNCTION("""COMPUTED_VALUE"""),"SQL")</f>
        <v>SQL</v>
      </c>
      <c r="E2158" s="9" t="str">
        <f>IFERROR(__xludf.DUMMYFUNCTION("""COMPUTED_VALUE"""),"Java")</f>
        <v>Java</v>
      </c>
      <c r="F2158" s="9" t="str">
        <f>IFERROR(__xludf.DUMMYFUNCTION("""COMPUTED_VALUE"""),"SQL")</f>
        <v>SQL</v>
      </c>
      <c r="G2158" s="9" t="str">
        <f>IFERROR(__xludf.DUMMYFUNCTION("""COMPUTED_VALUE"""),"Python")</f>
        <v>Python</v>
      </c>
      <c r="H2158" s="9" t="str">
        <f>IFERROR(__xludf.DUMMYFUNCTION("""COMPUTED_VALUE"""),"JavaScript")</f>
        <v>JavaScript</v>
      </c>
      <c r="I2158" s="9" t="str">
        <f>IFERROR(__xludf.DUMMYFUNCTION("""COMPUTED_VALUE"""),"JavaScript")</f>
        <v>JavaScript</v>
      </c>
      <c r="J2158" s="9" t="str">
        <f>IFERROR(__xludf.DUMMYFUNCTION("""COMPUTED_VALUE"""),"HTML/CSS")</f>
        <v>HTML/CSS</v>
      </c>
      <c r="K2158" s="9" t="str">
        <f>IFERROR(__xludf.DUMMYFUNCTION("""COMPUTED_VALUE"""),"JavaScript")</f>
        <v>JavaScript</v>
      </c>
      <c r="L2158" s="9" t="str">
        <f>IFERROR(__xludf.DUMMYFUNCTION("""COMPUTED_VALUE"""),"PHP")</f>
        <v>PHP</v>
      </c>
      <c r="M2158" s="9" t="s">
        <v>30</v>
      </c>
    </row>
    <row r="2159" ht="15.75" customHeight="1">
      <c r="A2159" s="7"/>
      <c r="B2159" s="7" t="str">
        <f>IFERROR(__xludf.DUMMYFUNCTION("""COMPUTED_VALUE"""),"Bash/Shell/PowerShell;C#;JavaScript;Python;SQL")</f>
        <v>Bash/Shell/PowerShell;C#;JavaScript;Python;SQL</v>
      </c>
      <c r="C2159" s="9" t="str">
        <f>IFERROR(__xludf.DUMMYFUNCTION("""COMPUTED_VALUE"""),"C")</f>
        <v>C</v>
      </c>
      <c r="D2159" s="9" t="str">
        <f>IFERROR(__xludf.DUMMYFUNCTION("""COMPUTED_VALUE"""),"C")</f>
        <v>C</v>
      </c>
      <c r="E2159" s="9" t="str">
        <f>IFERROR(__xludf.DUMMYFUNCTION("""COMPUTED_VALUE"""),"JavaScript")</f>
        <v>JavaScript</v>
      </c>
      <c r="F2159" s="9" t="str">
        <f>IFERROR(__xludf.DUMMYFUNCTION("""COMPUTED_VALUE"""),"Other(s):")</f>
        <v>Other(s):</v>
      </c>
      <c r="G2159" s="9" t="str">
        <f>IFERROR(__xludf.DUMMYFUNCTION("""COMPUTED_VALUE"""),"SQL")</f>
        <v>SQL</v>
      </c>
      <c r="H2159" s="9" t="str">
        <f>IFERROR(__xludf.DUMMYFUNCTION("""COMPUTED_VALUE"""),"PHP")</f>
        <v>PHP</v>
      </c>
      <c r="I2159" s="9" t="str">
        <f>IFERROR(__xludf.DUMMYFUNCTION("""COMPUTED_VALUE"""),"PHP")</f>
        <v>PHP</v>
      </c>
      <c r="J2159" s="9" t="str">
        <f>IFERROR(__xludf.DUMMYFUNCTION("""COMPUTED_VALUE"""),"JavaScript")</f>
        <v>JavaScript</v>
      </c>
      <c r="K2159" s="9" t="str">
        <f>IFERROR(__xludf.DUMMYFUNCTION("""COMPUTED_VALUE"""),"PHP")</f>
        <v>PHP</v>
      </c>
      <c r="L2159" s="9" t="str">
        <f>IFERROR(__xludf.DUMMYFUNCTION("""COMPUTED_VALUE"""),"SQL")</f>
        <v>SQL</v>
      </c>
      <c r="M2159" s="9" t="s">
        <v>25</v>
      </c>
    </row>
    <row r="2160" ht="15.75" customHeight="1">
      <c r="A2160" s="7"/>
      <c r="B2160" s="7" t="str">
        <f>IFERROR(__xludf.DUMMYFUNCTION("""COMPUTED_VALUE"""),"Python;SQL")</f>
        <v>Python;SQL</v>
      </c>
      <c r="C2160" s="9" t="str">
        <f>IFERROR(__xludf.DUMMYFUNCTION("""COMPUTED_VALUE"""),"C++")</f>
        <v>C++</v>
      </c>
      <c r="D2160" s="9" t="str">
        <f>IFERROR(__xludf.DUMMYFUNCTION("""COMPUTED_VALUE"""),"C++")</f>
        <v>C++</v>
      </c>
      <c r="E2160" s="9" t="str">
        <f>IFERROR(__xludf.DUMMYFUNCTION("""COMPUTED_VALUE"""),"Kotlin")</f>
        <v>Kotlin</v>
      </c>
      <c r="F2160" s="9" t="str">
        <f>IFERROR(__xludf.DUMMYFUNCTION("""COMPUTED_VALUE"""),"HTML/CSS")</f>
        <v>HTML/CSS</v>
      </c>
      <c r="G2160" s="9" t="str">
        <f>IFERROR(__xludf.DUMMYFUNCTION("""COMPUTED_VALUE"""),"HTML/CSS")</f>
        <v>HTML/CSS</v>
      </c>
      <c r="H2160" s="9" t="str">
        <f>IFERROR(__xludf.DUMMYFUNCTION("""COMPUTED_VALUE"""),"SQL")</f>
        <v>SQL</v>
      </c>
      <c r="I2160" s="9" t="str">
        <f>IFERROR(__xludf.DUMMYFUNCTION("""COMPUTED_VALUE"""),"Ruby")</f>
        <v>Ruby</v>
      </c>
      <c r="J2160" s="9" t="str">
        <f>IFERROR(__xludf.DUMMYFUNCTION("""COMPUTED_VALUE"""),"Scala")</f>
        <v>Scala</v>
      </c>
      <c r="K2160" s="9" t="str">
        <f>IFERROR(__xludf.DUMMYFUNCTION("""COMPUTED_VALUE"""),"Ruby")</f>
        <v>Ruby</v>
      </c>
      <c r="L2160" s="9" t="str">
        <f>IFERROR(__xludf.DUMMYFUNCTION("""COMPUTED_VALUE"""),"Bash/Shell/PowerShell")</f>
        <v>Bash/Shell/PowerShell</v>
      </c>
      <c r="M2160" s="9" t="s">
        <v>23</v>
      </c>
    </row>
    <row r="2161" ht="15.75" customHeight="1">
      <c r="A2161" s="7"/>
      <c r="B2161" s="7" t="str">
        <f>IFERROR(__xludf.DUMMYFUNCTION("""COMPUTED_VALUE"""),"Bash/Shell/PowerShell;Python")</f>
        <v>Bash/Shell/PowerShell;Python</v>
      </c>
      <c r="C2161" s="9" t="str">
        <f>IFERROR(__xludf.DUMMYFUNCTION("""COMPUTED_VALUE"""),"Go")</f>
        <v>Go</v>
      </c>
      <c r="D2161" s="9" t="str">
        <f>IFERROR(__xludf.DUMMYFUNCTION("""COMPUTED_VALUE"""),"C#")</f>
        <v>C#</v>
      </c>
      <c r="E2161" s="9" t="str">
        <f>IFERROR(__xludf.DUMMYFUNCTION("""COMPUTED_VALUE"""),"Objective-C")</f>
        <v>Objective-C</v>
      </c>
      <c r="F2161" s="9" t="str">
        <f>IFERROR(__xludf.DUMMYFUNCTION("""COMPUTED_VALUE"""),"JavaScript")</f>
        <v>JavaScript</v>
      </c>
      <c r="G2161" s="9" t="str">
        <f>IFERROR(__xludf.DUMMYFUNCTION("""COMPUTED_VALUE"""),"Java")</f>
        <v>Java</v>
      </c>
      <c r="H2161" s="9" t="str">
        <f>IFERROR(__xludf.DUMMYFUNCTION("""COMPUTED_VALUE"""),"C#")</f>
        <v>C#</v>
      </c>
      <c r="I2161" s="9" t="str">
        <f>IFERROR(__xludf.DUMMYFUNCTION("""COMPUTED_VALUE"""),"SQL")</f>
        <v>SQL</v>
      </c>
      <c r="J2161" s="9" t="str">
        <f>IFERROR(__xludf.DUMMYFUNCTION("""COMPUTED_VALUE"""),"TypeScript")</f>
        <v>TypeScript</v>
      </c>
      <c r="K2161" s="9" t="str">
        <f>IFERROR(__xludf.DUMMYFUNCTION("""COMPUTED_VALUE"""),"SQL")</f>
        <v>SQL</v>
      </c>
      <c r="L2161" s="9" t="str">
        <f>IFERROR(__xludf.DUMMYFUNCTION("""COMPUTED_VALUE"""),"HTML/CSS")</f>
        <v>HTML/CSS</v>
      </c>
      <c r="M2161" s="9" t="s">
        <v>36</v>
      </c>
    </row>
    <row r="2162" ht="15.75" customHeight="1">
      <c r="A2162" s="7"/>
      <c r="B2162" s="7" t="str">
        <f>IFERROR(__xludf.DUMMYFUNCTION("""COMPUTED_VALUE"""),"Bash/Shell/PowerShell;HTML/CSS;JavaScript;PHP;Python;SQL")</f>
        <v>Bash/Shell/PowerShell;HTML/CSS;JavaScript;PHP;Python;SQL</v>
      </c>
      <c r="C2162" s="9" t="str">
        <f>IFERROR(__xludf.DUMMYFUNCTION("""COMPUTED_VALUE"""),"HTML/CSS")</f>
        <v>HTML/CSS</v>
      </c>
      <c r="D2162" s="9" t="str">
        <f>IFERROR(__xludf.DUMMYFUNCTION("""COMPUTED_VALUE"""),"Java")</f>
        <v>Java</v>
      </c>
      <c r="E2162" s="9" t="str">
        <f>IFERROR(__xludf.DUMMYFUNCTION("""COMPUTED_VALUE"""),"PHP")</f>
        <v>PHP</v>
      </c>
      <c r="F2162" s="9" t="str">
        <f>IFERROR(__xludf.DUMMYFUNCTION("""COMPUTED_VALUE"""),"TypeScript")</f>
        <v>TypeScript</v>
      </c>
      <c r="G2162" s="9" t="str">
        <f>IFERROR(__xludf.DUMMYFUNCTION("""COMPUTED_VALUE"""),"JavaScript")</f>
        <v>JavaScript</v>
      </c>
      <c r="H2162" s="9" t="str">
        <f>IFERROR(__xludf.DUMMYFUNCTION("""COMPUTED_VALUE"""),"HTML/CSS")</f>
        <v>HTML/CSS</v>
      </c>
      <c r="I2162" s="9" t="str">
        <f>IFERROR(__xludf.DUMMYFUNCTION("""COMPUTED_VALUE"""),"PHP")</f>
        <v>PHP</v>
      </c>
      <c r="J2162" s="9" t="str">
        <f>IFERROR(__xludf.DUMMYFUNCTION("""COMPUTED_VALUE"""),"Assembly")</f>
        <v>Assembly</v>
      </c>
      <c r="K2162" s="9" t="str">
        <f>IFERROR(__xludf.DUMMYFUNCTION("""COMPUTED_VALUE"""),"TypeScript")</f>
        <v>TypeScript</v>
      </c>
      <c r="L2162" s="9" t="str">
        <f>IFERROR(__xludf.DUMMYFUNCTION("""COMPUTED_VALUE"""),"JavaScript")</f>
        <v>JavaScript</v>
      </c>
      <c r="M2162" s="9" t="s">
        <v>24</v>
      </c>
    </row>
    <row r="2163" ht="15.75" customHeight="1">
      <c r="A2163" s="7"/>
      <c r="B2163" s="7" t="str">
        <f>IFERROR(__xludf.DUMMYFUNCTION("""COMPUTED_VALUE"""),"C++;C#;HTML/CSS;JavaScript;Python;SQL;TypeScript;Other(s):")</f>
        <v>C++;C#;HTML/CSS;JavaScript;Python;SQL;TypeScript;Other(s):</v>
      </c>
      <c r="C2163" s="9" t="str">
        <f>IFERROR(__xludf.DUMMYFUNCTION("""COMPUTED_VALUE"""),"JavaScript")</f>
        <v>JavaScript</v>
      </c>
      <c r="D2163" s="9" t="str">
        <f>IFERROR(__xludf.DUMMYFUNCTION("""COMPUTED_VALUE"""),"SQL")</f>
        <v>SQL</v>
      </c>
      <c r="E2163" s="9" t="str">
        <f>IFERROR(__xludf.DUMMYFUNCTION("""COMPUTED_VALUE"""),"Python")</f>
        <v>Python</v>
      </c>
      <c r="F2163" s="9" t="str">
        <f>IFERROR(__xludf.DUMMYFUNCTION("""COMPUTED_VALUE"""),"C++")</f>
        <v>C++</v>
      </c>
      <c r="G2163" s="9" t="str">
        <f>IFERROR(__xludf.DUMMYFUNCTION("""COMPUTED_VALUE"""),"Kotlin")</f>
        <v>Kotlin</v>
      </c>
      <c r="H2163" s="9" t="str">
        <f>IFERROR(__xludf.DUMMYFUNCTION("""COMPUTED_VALUE"""),"Java")</f>
        <v>Java</v>
      </c>
      <c r="I2163" s="9" t="str">
        <f>IFERROR(__xludf.DUMMYFUNCTION("""COMPUTED_VALUE"""),"SQL")</f>
        <v>SQL</v>
      </c>
      <c r="J2163" s="9" t="str">
        <f>IFERROR(__xludf.DUMMYFUNCTION("""COMPUTED_VALUE"""),"Java")</f>
        <v>Java</v>
      </c>
      <c r="K2163" s="9" t="str">
        <f>IFERROR(__xludf.DUMMYFUNCTION("""COMPUTED_VALUE"""),"VBA")</f>
        <v>VBA</v>
      </c>
      <c r="L2163" s="9" t="str">
        <f>IFERROR(__xludf.DUMMYFUNCTION("""COMPUTED_VALUE"""),"Python")</f>
        <v>Python</v>
      </c>
      <c r="M2163" s="9" t="s">
        <v>21</v>
      </c>
    </row>
    <row r="2164" ht="15.75" customHeight="1">
      <c r="A2164" s="7"/>
      <c r="B2164" s="7" t="str">
        <f>IFERROR(__xludf.DUMMYFUNCTION("""COMPUTED_VALUE"""),"HTML/CSS;Java;JavaScript;Python;SQL")</f>
        <v>HTML/CSS;Java;JavaScript;Python;SQL</v>
      </c>
      <c r="C2164" s="9" t="str">
        <f>IFERROR(__xludf.DUMMYFUNCTION("""COMPUTED_VALUE"""),"R")</f>
        <v>R</v>
      </c>
      <c r="D2164" s="9" t="str">
        <f>IFERROR(__xludf.DUMMYFUNCTION("""COMPUTED_VALUE"""),"VBA")</f>
        <v>VBA</v>
      </c>
      <c r="E2164" s="9" t="str">
        <f>IFERROR(__xludf.DUMMYFUNCTION("""COMPUTED_VALUE"""),"Ruby")</f>
        <v>Ruby</v>
      </c>
      <c r="F2164" s="9" t="str">
        <f>IFERROR(__xludf.DUMMYFUNCTION("""COMPUTED_VALUE"""),"Java")</f>
        <v>Java</v>
      </c>
      <c r="G2164" s="9" t="str">
        <f>IFERROR(__xludf.DUMMYFUNCTION("""COMPUTED_VALUE"""),"Objective-C")</f>
        <v>Objective-C</v>
      </c>
      <c r="H2164" s="9" t="str">
        <f>IFERROR(__xludf.DUMMYFUNCTION("""COMPUTED_VALUE"""),"JavaScript")</f>
        <v>JavaScript</v>
      </c>
      <c r="I2164" s="9" t="str">
        <f>IFERROR(__xludf.DUMMYFUNCTION("""COMPUTED_VALUE"""),"Other(s):")</f>
        <v>Other(s):</v>
      </c>
      <c r="J2164" s="9" t="str">
        <f>IFERROR(__xludf.DUMMYFUNCTION("""COMPUTED_VALUE"""),"PHP")</f>
        <v>PHP</v>
      </c>
      <c r="K2164" s="9" t="str">
        <f>IFERROR(__xludf.DUMMYFUNCTION("""COMPUTED_VALUE"""),"C#")</f>
        <v>C#</v>
      </c>
      <c r="L2164" s="9" t="str">
        <f>IFERROR(__xludf.DUMMYFUNCTION("""COMPUTED_VALUE"""),"C++")</f>
        <v>C++</v>
      </c>
      <c r="M2164" s="9" t="s">
        <v>29</v>
      </c>
    </row>
    <row r="2165" ht="15.75" customHeight="1">
      <c r="A2165" s="7"/>
      <c r="B2165" s="7" t="str">
        <f>IFERROR(__xludf.DUMMYFUNCTION("""COMPUTED_VALUE"""),"C#;HTML/CSS;Java;JavaScript")</f>
        <v>C#;HTML/CSS;Java;JavaScript</v>
      </c>
      <c r="C2165" s="9" t="str">
        <f>IFERROR(__xludf.DUMMYFUNCTION("""COMPUTED_VALUE"""),"SQL")</f>
        <v>SQL</v>
      </c>
      <c r="D2165" s="9" t="str">
        <f>IFERROR(__xludf.DUMMYFUNCTION("""COMPUTED_VALUE"""),"HTML/CSS")</f>
        <v>HTML/CSS</v>
      </c>
      <c r="E2165" s="9" t="str">
        <f>IFERROR(__xludf.DUMMYFUNCTION("""COMPUTED_VALUE"""),"Rust")</f>
        <v>Rust</v>
      </c>
      <c r="F2165" s="9" t="str">
        <f>IFERROR(__xludf.DUMMYFUNCTION("""COMPUTED_VALUE"""),"JavaScript")</f>
        <v>JavaScript</v>
      </c>
      <c r="G2165" s="9" t="str">
        <f>IFERROR(__xludf.DUMMYFUNCTION("""COMPUTED_VALUE"""),"Swift")</f>
        <v>Swift</v>
      </c>
      <c r="H2165" s="9" t="str">
        <f>IFERROR(__xludf.DUMMYFUNCTION("""COMPUTED_VALUE"""),"PHP")</f>
        <v>PHP</v>
      </c>
      <c r="I2165" s="9" t="str">
        <f>IFERROR(__xludf.DUMMYFUNCTION("""COMPUTED_VALUE"""),"Bash/Shell/PowerShell")</f>
        <v>Bash/Shell/PowerShell</v>
      </c>
      <c r="J2165" s="9" t="str">
        <f>IFERROR(__xludf.DUMMYFUNCTION("""COMPUTED_VALUE"""),"Swift")</f>
        <v>Swift</v>
      </c>
      <c r="K2165" s="9" t="str">
        <f>IFERROR(__xludf.DUMMYFUNCTION("""COMPUTED_VALUE"""),"HTML/CSS")</f>
        <v>HTML/CSS</v>
      </c>
      <c r="L2165" s="9" t="str">
        <f>IFERROR(__xludf.DUMMYFUNCTION("""COMPUTED_VALUE"""),"C#")</f>
        <v>C#</v>
      </c>
      <c r="M2165" s="9" t="s">
        <v>27</v>
      </c>
    </row>
    <row r="2166" ht="15.75" customHeight="1">
      <c r="A2166" s="7"/>
      <c r="B2166" s="7" t="str">
        <f>IFERROR(__xludf.DUMMYFUNCTION("""COMPUTED_VALUE"""),"HTML/CSS;Java;JavaScript;Python;Other(s):")</f>
        <v>HTML/CSS;Java;JavaScript;Python;Other(s):</v>
      </c>
      <c r="C2166" s="9" t="str">
        <f>IFERROR(__xludf.DUMMYFUNCTION("""COMPUTED_VALUE"""),"Bash/Shell/PowerShell")</f>
        <v>Bash/Shell/PowerShell</v>
      </c>
      <c r="D2166" s="9" t="str">
        <f>IFERROR(__xludf.DUMMYFUNCTION("""COMPUTED_VALUE"""),"JavaScript")</f>
        <v>JavaScript</v>
      </c>
      <c r="E2166" s="9" t="str">
        <f>IFERROR(__xludf.DUMMYFUNCTION("""COMPUTED_VALUE"""),"SQL")</f>
        <v>SQL</v>
      </c>
      <c r="F2166" s="9" t="str">
        <f>IFERROR(__xludf.DUMMYFUNCTION("""COMPUTED_VALUE"""),"SQL")</f>
        <v>SQL</v>
      </c>
      <c r="G2166" s="9" t="str">
        <f>IFERROR(__xludf.DUMMYFUNCTION("""COMPUTED_VALUE"""),"C#")</f>
        <v>C#</v>
      </c>
      <c r="H2166" s="9" t="str">
        <f>IFERROR(__xludf.DUMMYFUNCTION("""COMPUTED_VALUE"""),"SQL")</f>
        <v>SQL</v>
      </c>
      <c r="I2166" s="9" t="str">
        <f>IFERROR(__xludf.DUMMYFUNCTION("""COMPUTED_VALUE"""),"C#")</f>
        <v>C#</v>
      </c>
      <c r="J2166" s="9" t="str">
        <f>IFERROR(__xludf.DUMMYFUNCTION("""COMPUTED_VALUE"""),"Bash/Shell/PowerShell")</f>
        <v>Bash/Shell/PowerShell</v>
      </c>
      <c r="K2166" s="9" t="str">
        <f>IFERROR(__xludf.DUMMYFUNCTION("""COMPUTED_VALUE"""),"JavaScript")</f>
        <v>JavaScript</v>
      </c>
      <c r="L2166" s="9" t="str">
        <f>IFERROR(__xludf.DUMMYFUNCTION("""COMPUTED_VALUE"""),"HTML/CSS")</f>
        <v>HTML/CSS</v>
      </c>
      <c r="M2166" s="9" t="s">
        <v>30</v>
      </c>
    </row>
    <row r="2167" ht="15.75" customHeight="1">
      <c r="A2167" s="7"/>
      <c r="B2167" s="7" t="str">
        <f>IFERROR(__xludf.DUMMYFUNCTION("""COMPUTED_VALUE"""),"Bash/Shell/PowerShell;C;C++;C#;HTML/CSS;JavaScript;SQL")</f>
        <v>Bash/Shell/PowerShell;C;C++;C#;HTML/CSS;JavaScript;SQL</v>
      </c>
      <c r="C2167" s="9" t="str">
        <f>IFERROR(__xludf.DUMMYFUNCTION("""COMPUTED_VALUE"""),"C#")</f>
        <v>C#</v>
      </c>
      <c r="D2167" s="9" t="str">
        <f>IFERROR(__xludf.DUMMYFUNCTION("""COMPUTED_VALUE"""),"PHP")</f>
        <v>PHP</v>
      </c>
      <c r="E2167" s="9" t="str">
        <f>IFERROR(__xludf.DUMMYFUNCTION("""COMPUTED_VALUE"""),"Swift")</f>
        <v>Swift</v>
      </c>
      <c r="F2167" s="9" t="str">
        <f>IFERROR(__xludf.DUMMYFUNCTION("""COMPUTED_VALUE"""),"C#")</f>
        <v>C#</v>
      </c>
      <c r="G2167" s="9" t="str">
        <f>IFERROR(__xludf.DUMMYFUNCTION("""COMPUTED_VALUE"""),"JavaScript")</f>
        <v>JavaScript</v>
      </c>
      <c r="H2167" s="9" t="str">
        <f>IFERROR(__xludf.DUMMYFUNCTION("""COMPUTED_VALUE"""),"TypeScript")</f>
        <v>TypeScript</v>
      </c>
      <c r="I2167" s="9" t="str">
        <f>IFERROR(__xludf.DUMMYFUNCTION("""COMPUTED_VALUE"""),"HTML/CSS")</f>
        <v>HTML/CSS</v>
      </c>
      <c r="J2167" s="9" t="str">
        <f>IFERROR(__xludf.DUMMYFUNCTION("""COMPUTED_VALUE"""),"Elixir")</f>
        <v>Elixir</v>
      </c>
      <c r="K2167" s="9" t="str">
        <f>IFERROR(__xludf.DUMMYFUNCTION("""COMPUTED_VALUE"""),"SQL")</f>
        <v>SQL</v>
      </c>
      <c r="L2167" s="9" t="str">
        <f>IFERROR(__xludf.DUMMYFUNCTION("""COMPUTED_VALUE"""),"Java")</f>
        <v>Java</v>
      </c>
      <c r="M2167" s="9" t="s">
        <v>26</v>
      </c>
    </row>
    <row r="2168" ht="15.75" customHeight="1">
      <c r="A2168" s="7"/>
      <c r="B2168" s="7" t="str">
        <f>IFERROR(__xludf.DUMMYFUNCTION("""COMPUTED_VALUE"""),"Bash/Shell/PowerShell;HTML/CSS;JavaScript")</f>
        <v>Bash/Shell/PowerShell;HTML/CSS;JavaScript</v>
      </c>
      <c r="C2168" s="9" t="str">
        <f>IFERROR(__xludf.DUMMYFUNCTION("""COMPUTED_VALUE"""),"HTML/CSS")</f>
        <v>HTML/CSS</v>
      </c>
      <c r="D2168" s="9" t="str">
        <f>IFERROR(__xludf.DUMMYFUNCTION("""COMPUTED_VALUE"""),"SQL")</f>
        <v>SQL</v>
      </c>
      <c r="E2168" s="9" t="str">
        <f>IFERROR(__xludf.DUMMYFUNCTION("""COMPUTED_VALUE"""),"TypeScript")</f>
        <v>TypeScript</v>
      </c>
      <c r="F2168" s="9" t="str">
        <f>IFERROR(__xludf.DUMMYFUNCTION("""COMPUTED_VALUE"""),"HTML/CSS")</f>
        <v>HTML/CSS</v>
      </c>
      <c r="G2168" s="9" t="str">
        <f>IFERROR(__xludf.DUMMYFUNCTION("""COMPUTED_VALUE"""),"C++")</f>
        <v>C++</v>
      </c>
      <c r="H2168" s="9" t="str">
        <f>IFERROR(__xludf.DUMMYFUNCTION("""COMPUTED_VALUE"""),"C++")</f>
        <v>C++</v>
      </c>
      <c r="I2168" s="9" t="str">
        <f>IFERROR(__xludf.DUMMYFUNCTION("""COMPUTED_VALUE"""),"JavaScript")</f>
        <v>JavaScript</v>
      </c>
      <c r="J2168" s="9" t="str">
        <f>IFERROR(__xludf.DUMMYFUNCTION("""COMPUTED_VALUE"""),"Java")</f>
        <v>Java</v>
      </c>
      <c r="K2168" s="9" t="str">
        <f>IFERROR(__xludf.DUMMYFUNCTION("""COMPUTED_VALUE"""),"Bash/Shell/PowerShell")</f>
        <v>Bash/Shell/PowerShell</v>
      </c>
      <c r="L2168" s="9" t="str">
        <f>IFERROR(__xludf.DUMMYFUNCTION("""COMPUTED_VALUE"""),"JavaScript")</f>
        <v>JavaScript</v>
      </c>
      <c r="M2168" s="9" t="s">
        <v>24</v>
      </c>
    </row>
    <row r="2169" ht="15.75" customHeight="1">
      <c r="A2169" s="7"/>
      <c r="B2169" s="7" t="str">
        <f>IFERROR(__xludf.DUMMYFUNCTION("""COMPUTED_VALUE"""),"Assembly;Bash/Shell/PowerShell;C;C++;Go;HTML/CSS;Java;PHP;Python;R;Scala;SQL")</f>
        <v>Assembly;Bash/Shell/PowerShell;C;C++;Go;HTML/CSS;Java;PHP;Python;R;Scala;SQL</v>
      </c>
      <c r="C2169" s="9" t="str">
        <f>IFERROR(__xludf.DUMMYFUNCTION("""COMPUTED_VALUE"""),"Java")</f>
        <v>Java</v>
      </c>
      <c r="D2169" s="9" t="str">
        <f>IFERROR(__xludf.DUMMYFUNCTION("""COMPUTED_VALUE"""),"C#")</f>
        <v>C#</v>
      </c>
      <c r="E2169" s="9" t="str">
        <f>IFERROR(__xludf.DUMMYFUNCTION("""COMPUTED_VALUE"""),"Bash/Shell/PowerShell")</f>
        <v>Bash/Shell/PowerShell</v>
      </c>
      <c r="F2169" s="9" t="str">
        <f>IFERROR(__xludf.DUMMYFUNCTION("""COMPUTED_VALUE"""),"JavaScript")</f>
        <v>JavaScript</v>
      </c>
      <c r="G2169" s="9" t="str">
        <f>IFERROR(__xludf.DUMMYFUNCTION("""COMPUTED_VALUE"""),"JavaScript")</f>
        <v>JavaScript</v>
      </c>
      <c r="H2169" s="9" t="str">
        <f>IFERROR(__xludf.DUMMYFUNCTION("""COMPUTED_VALUE"""),"Java")</f>
        <v>Java</v>
      </c>
      <c r="I2169" s="9" t="str">
        <f>IFERROR(__xludf.DUMMYFUNCTION("""COMPUTED_VALUE"""),"Python")</f>
        <v>Python</v>
      </c>
      <c r="J2169" s="9" t="str">
        <f>IFERROR(__xludf.DUMMYFUNCTION("""COMPUTED_VALUE"""),"JavaScript")</f>
        <v>JavaScript</v>
      </c>
      <c r="K2169" s="9" t="str">
        <f>IFERROR(__xludf.DUMMYFUNCTION("""COMPUTED_VALUE"""),"HTML/CSS")</f>
        <v>HTML/CSS</v>
      </c>
      <c r="L2169" s="9" t="str">
        <f>IFERROR(__xludf.DUMMYFUNCTION("""COMPUTED_VALUE"""),"PHP")</f>
        <v>PHP</v>
      </c>
      <c r="M2169" s="9" t="s">
        <v>20</v>
      </c>
    </row>
    <row r="2170" ht="15.75" customHeight="1">
      <c r="A2170" s="7"/>
      <c r="B2170" s="7" t="str">
        <f>IFERROR(__xludf.DUMMYFUNCTION("""COMPUTED_VALUE"""),"HTML/CSS;JavaScript;TypeScript")</f>
        <v>HTML/CSS;JavaScript;TypeScript</v>
      </c>
      <c r="C2170" s="9" t="str">
        <f>IFERROR(__xludf.DUMMYFUNCTION("""COMPUTED_VALUE"""),"JavaScript")</f>
        <v>JavaScript</v>
      </c>
      <c r="D2170" s="9" t="str">
        <f>IFERROR(__xludf.DUMMYFUNCTION("""COMPUTED_VALUE"""),"HTML/CSS")</f>
        <v>HTML/CSS</v>
      </c>
      <c r="E2170" s="9" t="str">
        <f>IFERROR(__xludf.DUMMYFUNCTION("""COMPUTED_VALUE"""),"C++")</f>
        <v>C++</v>
      </c>
      <c r="F2170" s="9" t="str">
        <f>IFERROR(__xludf.DUMMYFUNCTION("""COMPUTED_VALUE"""),"SQL")</f>
        <v>SQL</v>
      </c>
      <c r="G2170" s="9" t="str">
        <f>IFERROR(__xludf.DUMMYFUNCTION("""COMPUTED_VALUE"""),"R")</f>
        <v>R</v>
      </c>
      <c r="H2170" s="9" t="str">
        <f>IFERROR(__xludf.DUMMYFUNCTION("""COMPUTED_VALUE"""),"Python")</f>
        <v>Python</v>
      </c>
      <c r="I2170" s="9" t="str">
        <f>IFERROR(__xludf.DUMMYFUNCTION("""COMPUTED_VALUE"""),"SQL")</f>
        <v>SQL</v>
      </c>
      <c r="J2170" s="9" t="str">
        <f>IFERROR(__xludf.DUMMYFUNCTION("""COMPUTED_VALUE"""),"Assembly")</f>
        <v>Assembly</v>
      </c>
      <c r="K2170" s="9" t="str">
        <f>IFERROR(__xludf.DUMMYFUNCTION("""COMPUTED_VALUE"""),"JavaScript")</f>
        <v>JavaScript</v>
      </c>
      <c r="L2170" s="9" t="str">
        <f>IFERROR(__xludf.DUMMYFUNCTION("""COMPUTED_VALUE"""),"SQL")</f>
        <v>SQL</v>
      </c>
      <c r="M2170" s="9" t="s">
        <v>21</v>
      </c>
    </row>
    <row r="2171" ht="15.75" customHeight="1">
      <c r="A2171" s="7"/>
      <c r="B2171" s="7" t="str">
        <f>IFERROR(__xludf.DUMMYFUNCTION("""COMPUTED_VALUE"""),"Bash/Shell/PowerShell;Python")</f>
        <v>Bash/Shell/PowerShell;Python</v>
      </c>
      <c r="C2171" s="9" t="str">
        <f>IFERROR(__xludf.DUMMYFUNCTION("""COMPUTED_VALUE"""),"PHP")</f>
        <v>PHP</v>
      </c>
      <c r="D2171" s="9" t="str">
        <f>IFERROR(__xludf.DUMMYFUNCTION("""COMPUTED_VALUE"""),"Java")</f>
        <v>Java</v>
      </c>
      <c r="E2171" s="9" t="str">
        <f>IFERROR(__xludf.DUMMYFUNCTION("""COMPUTED_VALUE"""),"HTML/CSS")</f>
        <v>HTML/CSS</v>
      </c>
      <c r="F2171" s="9" t="str">
        <f>IFERROR(__xludf.DUMMYFUNCTION("""COMPUTED_VALUE"""),"Bash/Shell/PowerShell")</f>
        <v>Bash/Shell/PowerShell</v>
      </c>
      <c r="G2171" s="9" t="str">
        <f>IFERROR(__xludf.DUMMYFUNCTION("""COMPUTED_VALUE"""),"HTML/CSS")</f>
        <v>HTML/CSS</v>
      </c>
      <c r="H2171" s="9" t="str">
        <f>IFERROR(__xludf.DUMMYFUNCTION("""COMPUTED_VALUE"""),"Assembly")</f>
        <v>Assembly</v>
      </c>
      <c r="I2171" s="9" t="str">
        <f>IFERROR(__xludf.DUMMYFUNCTION("""COMPUTED_VALUE"""),"TypeScript")</f>
        <v>TypeScript</v>
      </c>
      <c r="J2171" s="9" t="str">
        <f>IFERROR(__xludf.DUMMYFUNCTION("""COMPUTED_VALUE"""),"Bash/Shell/PowerShell")</f>
        <v>Bash/Shell/PowerShell</v>
      </c>
      <c r="K2171" s="9" t="str">
        <f>IFERROR(__xludf.DUMMYFUNCTION("""COMPUTED_VALUE"""),"PHP")</f>
        <v>PHP</v>
      </c>
      <c r="L2171" s="9" t="str">
        <f>IFERROR(__xludf.DUMMYFUNCTION("""COMPUTED_VALUE"""),"Python")</f>
        <v>Python</v>
      </c>
      <c r="M2171" s="9" t="s">
        <v>37</v>
      </c>
    </row>
    <row r="2172" ht="15.75" customHeight="1">
      <c r="A2172" s="7"/>
      <c r="B2172" s="7" t="str">
        <f>IFERROR(__xludf.DUMMYFUNCTION("""COMPUTED_VALUE"""),"Assembly;Python")</f>
        <v>Assembly;Python</v>
      </c>
      <c r="C2172" s="9" t="str">
        <f>IFERROR(__xludf.DUMMYFUNCTION("""COMPUTED_VALUE"""),"Python")</f>
        <v>Python</v>
      </c>
      <c r="D2172" s="9" t="str">
        <f>IFERROR(__xludf.DUMMYFUNCTION("""COMPUTED_VALUE"""),"JavaScript")</f>
        <v>JavaScript</v>
      </c>
      <c r="E2172" s="9" t="str">
        <f>IFERROR(__xludf.DUMMYFUNCTION("""COMPUTED_VALUE"""),"JavaScript")</f>
        <v>JavaScript</v>
      </c>
      <c r="F2172" s="9" t="str">
        <f>IFERROR(__xludf.DUMMYFUNCTION("""COMPUTED_VALUE"""),"HTML/CSS")</f>
        <v>HTML/CSS</v>
      </c>
      <c r="G2172" s="9" t="str">
        <f>IFERROR(__xludf.DUMMYFUNCTION("""COMPUTED_VALUE"""),"Java")</f>
        <v>Java</v>
      </c>
      <c r="H2172" s="9" t="str">
        <f>IFERROR(__xludf.DUMMYFUNCTION("""COMPUTED_VALUE"""),"Bash/Shell/PowerShell")</f>
        <v>Bash/Shell/PowerShell</v>
      </c>
      <c r="I2172" s="9" t="str">
        <f>IFERROR(__xludf.DUMMYFUNCTION("""COMPUTED_VALUE"""),"Assembly")</f>
        <v>Assembly</v>
      </c>
      <c r="J2172" s="9" t="str">
        <f>IFERROR(__xludf.DUMMYFUNCTION("""COMPUTED_VALUE"""),"C")</f>
        <v>C</v>
      </c>
      <c r="K2172" s="9" t="str">
        <f>IFERROR(__xludf.DUMMYFUNCTION("""COMPUTED_VALUE"""),"Python")</f>
        <v>Python</v>
      </c>
      <c r="L2172" s="9" t="str">
        <f>IFERROR(__xludf.DUMMYFUNCTION("""COMPUTED_VALUE"""),"Bash/Shell/PowerShell")</f>
        <v>Bash/Shell/PowerShell</v>
      </c>
      <c r="M2172" s="9" t="s">
        <v>22</v>
      </c>
    </row>
    <row r="2173" ht="15.75" customHeight="1">
      <c r="A2173" s="7"/>
      <c r="B2173" s="7" t="str">
        <f>IFERROR(__xludf.DUMMYFUNCTION("""COMPUTED_VALUE"""),"Go;Java;JavaScript;PHP;Ruby")</f>
        <v>Go;Java;JavaScript;PHP;Ruby</v>
      </c>
      <c r="C2173" s="9" t="str">
        <f>IFERROR(__xludf.DUMMYFUNCTION("""COMPUTED_VALUE"""),"SQL")</f>
        <v>SQL</v>
      </c>
      <c r="D2173" s="9" t="str">
        <f>IFERROR(__xludf.DUMMYFUNCTION("""COMPUTED_VALUE"""),"PHP")</f>
        <v>PHP</v>
      </c>
      <c r="E2173" s="9" t="str">
        <f>IFERROR(__xludf.DUMMYFUNCTION("""COMPUTED_VALUE"""),"Rust")</f>
        <v>Rust</v>
      </c>
      <c r="F2173" s="9" t="str">
        <f>IFERROR(__xludf.DUMMYFUNCTION("""COMPUTED_VALUE"""),"Java")</f>
        <v>Java</v>
      </c>
      <c r="G2173" s="9" t="str">
        <f>IFERROR(__xludf.DUMMYFUNCTION("""COMPUTED_VALUE"""),"JavaScript")</f>
        <v>JavaScript</v>
      </c>
      <c r="H2173" s="9" t="str">
        <f>IFERROR(__xludf.DUMMYFUNCTION("""COMPUTED_VALUE"""),"PHP")</f>
        <v>PHP</v>
      </c>
      <c r="I2173" s="9" t="str">
        <f>IFERROR(__xludf.DUMMYFUNCTION("""COMPUTED_VALUE"""),"Bash/Shell/PowerShell")</f>
        <v>Bash/Shell/PowerShell</v>
      </c>
      <c r="J2173" s="9" t="str">
        <f>IFERROR(__xludf.DUMMYFUNCTION("""COMPUTED_VALUE"""),"HTML/CSS")</f>
        <v>HTML/CSS</v>
      </c>
      <c r="K2173" s="9" t="str">
        <f>IFERROR(__xludf.DUMMYFUNCTION("""COMPUTED_VALUE"""),"SQL")</f>
        <v>SQL</v>
      </c>
      <c r="L2173" s="9" t="str">
        <f>IFERROR(__xludf.DUMMYFUNCTION("""COMPUTED_VALUE"""),"HTML/CSS")</f>
        <v>HTML/CSS</v>
      </c>
      <c r="M2173" s="9" t="s">
        <v>27</v>
      </c>
    </row>
    <row r="2174" ht="15.75" customHeight="1">
      <c r="A2174" s="7"/>
      <c r="B2174" s="7" t="str">
        <f>IFERROR(__xludf.DUMMYFUNCTION("""COMPUTED_VALUE"""),"Bash/Shell/PowerShell;C#;Go;HTML/CSS;Java;JavaScript;Kotlin;TypeScript")</f>
        <v>Bash/Shell/PowerShell;C#;Go;HTML/CSS;Java;JavaScript;Kotlin;TypeScript</v>
      </c>
      <c r="C2174" s="9" t="str">
        <f>IFERROR(__xludf.DUMMYFUNCTION("""COMPUTED_VALUE"""),"TypeScript")</f>
        <v>TypeScript</v>
      </c>
      <c r="D2174" s="9" t="str">
        <f>IFERROR(__xludf.DUMMYFUNCTION("""COMPUTED_VALUE"""),"HTML/CSS")</f>
        <v>HTML/CSS</v>
      </c>
      <c r="E2174" s="9" t="str">
        <f>IFERROR(__xludf.DUMMYFUNCTION("""COMPUTED_VALUE"""),"TypeScript")</f>
        <v>TypeScript</v>
      </c>
      <c r="F2174" s="9" t="str">
        <f>IFERROR(__xludf.DUMMYFUNCTION("""COMPUTED_VALUE"""),"Python")</f>
        <v>Python</v>
      </c>
      <c r="G2174" s="9" t="str">
        <f>IFERROR(__xludf.DUMMYFUNCTION("""COMPUTED_VALUE"""),"Swift")</f>
        <v>Swift</v>
      </c>
      <c r="H2174" s="9" t="str">
        <f>IFERROR(__xludf.DUMMYFUNCTION("""COMPUTED_VALUE"""),"SQL")</f>
        <v>SQL</v>
      </c>
      <c r="I2174" s="9" t="str">
        <f>IFERROR(__xludf.DUMMYFUNCTION("""COMPUTED_VALUE"""),"C")</f>
        <v>C</v>
      </c>
      <c r="J2174" s="9" t="str">
        <f>IFERROR(__xludf.DUMMYFUNCTION("""COMPUTED_VALUE"""),"Java")</f>
        <v>Java</v>
      </c>
      <c r="K2174" s="9" t="str">
        <f>IFERROR(__xludf.DUMMYFUNCTION("""COMPUTED_VALUE"""),"TypeScript")</f>
        <v>TypeScript</v>
      </c>
      <c r="L2174" s="9" t="str">
        <f>IFERROR(__xludf.DUMMYFUNCTION("""COMPUTED_VALUE"""),"Java")</f>
        <v>Java</v>
      </c>
      <c r="M2174" s="9" t="s">
        <v>33</v>
      </c>
    </row>
    <row r="2175" ht="15.75" customHeight="1">
      <c r="A2175" s="7"/>
      <c r="B2175" s="7" t="str">
        <f>IFERROR(__xludf.DUMMYFUNCTION("""COMPUTED_VALUE"""),"Bash/Shell/PowerShell;C;C++;C#;HTML/CSS;TypeScript")</f>
        <v>Bash/Shell/PowerShell;C;C++;C#;HTML/CSS;TypeScript</v>
      </c>
      <c r="C2175" s="9" t="str">
        <f>IFERROR(__xludf.DUMMYFUNCTION("""COMPUTED_VALUE"""),"Bash/Shell/PowerShell")</f>
        <v>Bash/Shell/PowerShell</v>
      </c>
      <c r="D2175" s="9" t="str">
        <f>IFERROR(__xludf.DUMMYFUNCTION("""COMPUTED_VALUE"""),"JavaScript")</f>
        <v>JavaScript</v>
      </c>
      <c r="E2175" s="9" t="str">
        <f>IFERROR(__xludf.DUMMYFUNCTION("""COMPUTED_VALUE"""),"C")</f>
        <v>C</v>
      </c>
      <c r="F2175" s="9" t="str">
        <f>IFERROR(__xludf.DUMMYFUNCTION("""COMPUTED_VALUE"""),"HTML/CSS")</f>
        <v>HTML/CSS</v>
      </c>
      <c r="G2175" s="9" t="str">
        <f>IFERROR(__xludf.DUMMYFUNCTION("""COMPUTED_VALUE"""),"TypeScript")</f>
        <v>TypeScript</v>
      </c>
      <c r="H2175" s="9" t="str">
        <f>IFERROR(__xludf.DUMMYFUNCTION("""COMPUTED_VALUE"""),"Bash/Shell/PowerShell")</f>
        <v>Bash/Shell/PowerShell</v>
      </c>
      <c r="I2175" s="9" t="str">
        <f>IFERROR(__xludf.DUMMYFUNCTION("""COMPUTED_VALUE"""),"HTML/CSS")</f>
        <v>HTML/CSS</v>
      </c>
      <c r="J2175" s="9" t="str">
        <f>IFERROR(__xludf.DUMMYFUNCTION("""COMPUTED_VALUE"""),"PHP")</f>
        <v>PHP</v>
      </c>
      <c r="K2175" s="9" t="str">
        <f>IFERROR(__xludf.DUMMYFUNCTION("""COMPUTED_VALUE"""),"C++")</f>
        <v>C++</v>
      </c>
      <c r="L2175" s="9" t="str">
        <f>IFERROR(__xludf.DUMMYFUNCTION("""COMPUTED_VALUE"""),"JavaScript")</f>
        <v>JavaScript</v>
      </c>
      <c r="M2175" s="9" t="s">
        <v>30</v>
      </c>
    </row>
    <row r="2176" ht="15.75" customHeight="1">
      <c r="A2176" s="7"/>
      <c r="B2176" s="7" t="str">
        <f>IFERROR(__xludf.DUMMYFUNCTION("""COMPUTED_VALUE"""),"HTML/CSS;Java;JavaScript;PHP;SQL")</f>
        <v>HTML/CSS;Java;JavaScript;PHP;SQL</v>
      </c>
      <c r="C2176" s="9" t="str">
        <f>IFERROR(__xludf.DUMMYFUNCTION("""COMPUTED_VALUE"""),"C++")</f>
        <v>C++</v>
      </c>
      <c r="D2176" s="9" t="str">
        <f>IFERROR(__xludf.DUMMYFUNCTION("""COMPUTED_VALUE"""),"PHP")</f>
        <v>PHP</v>
      </c>
      <c r="E2176" s="9" t="str">
        <f>IFERROR(__xludf.DUMMYFUNCTION("""COMPUTED_VALUE"""),"HTML/CSS")</f>
        <v>HTML/CSS</v>
      </c>
      <c r="F2176" s="9" t="str">
        <f>IFERROR(__xludf.DUMMYFUNCTION("""COMPUTED_VALUE"""),"JavaScript")</f>
        <v>JavaScript</v>
      </c>
      <c r="G2176" s="9" t="str">
        <f>IFERROR(__xludf.DUMMYFUNCTION("""COMPUTED_VALUE"""),"C#")</f>
        <v>C#</v>
      </c>
      <c r="H2176" s="9" t="str">
        <f>IFERROR(__xludf.DUMMYFUNCTION("""COMPUTED_VALUE"""),"C")</f>
        <v>C</v>
      </c>
      <c r="I2176" s="9" t="str">
        <f>IFERROR(__xludf.DUMMYFUNCTION("""COMPUTED_VALUE"""),"Java")</f>
        <v>Java</v>
      </c>
      <c r="J2176" s="9" t="str">
        <f>IFERROR(__xludf.DUMMYFUNCTION("""COMPUTED_VALUE"""),"Python")</f>
        <v>Python</v>
      </c>
      <c r="K2176" s="9" t="str">
        <f>IFERROR(__xludf.DUMMYFUNCTION("""COMPUTED_VALUE"""),"C#")</f>
        <v>C#</v>
      </c>
      <c r="L2176" s="9" t="str">
        <f>IFERROR(__xludf.DUMMYFUNCTION("""COMPUTED_VALUE"""),"Python")</f>
        <v>Python</v>
      </c>
      <c r="M2176" s="9" t="s">
        <v>23</v>
      </c>
    </row>
    <row r="2177" ht="15.75" customHeight="1">
      <c r="A2177" s="7"/>
      <c r="B2177" s="7" t="str">
        <f>IFERROR(__xludf.DUMMYFUNCTION("""COMPUTED_VALUE"""),"C#;Go")</f>
        <v>C#;Go</v>
      </c>
      <c r="C2177" s="9" t="str">
        <f>IFERROR(__xludf.DUMMYFUNCTION("""COMPUTED_VALUE"""),"HTML/CSS")</f>
        <v>HTML/CSS</v>
      </c>
      <c r="D2177" s="9" t="str">
        <f>IFERROR(__xludf.DUMMYFUNCTION("""COMPUTED_VALUE"""),"Python")</f>
        <v>Python</v>
      </c>
      <c r="E2177" s="9" t="str">
        <f>IFERROR(__xludf.DUMMYFUNCTION("""COMPUTED_VALUE"""),"Java")</f>
        <v>Java</v>
      </c>
      <c r="F2177" s="9" t="str">
        <f>IFERROR(__xludf.DUMMYFUNCTION("""COMPUTED_VALUE"""),"PHP")</f>
        <v>PHP</v>
      </c>
      <c r="G2177" s="9" t="str">
        <f>IFERROR(__xludf.DUMMYFUNCTION("""COMPUTED_VALUE"""),"HTML/CSS")</f>
        <v>HTML/CSS</v>
      </c>
      <c r="H2177" s="9" t="str">
        <f>IFERROR(__xludf.DUMMYFUNCTION("""COMPUTED_VALUE"""),"Python")</f>
        <v>Python</v>
      </c>
      <c r="I2177" s="9" t="str">
        <f>IFERROR(__xludf.DUMMYFUNCTION("""COMPUTED_VALUE"""),"JavaScript")</f>
        <v>JavaScript</v>
      </c>
      <c r="J2177" s="9" t="str">
        <f>IFERROR(__xludf.DUMMYFUNCTION("""COMPUTED_VALUE"""),"SQL")</f>
        <v>SQL</v>
      </c>
      <c r="K2177" s="9" t="str">
        <f>IFERROR(__xludf.DUMMYFUNCTION("""COMPUTED_VALUE"""),"Python")</f>
        <v>Python</v>
      </c>
      <c r="L2177" s="9" t="str">
        <f>IFERROR(__xludf.DUMMYFUNCTION("""COMPUTED_VALUE"""),"SQL")</f>
        <v>SQL</v>
      </c>
      <c r="M2177" s="9" t="s">
        <v>24</v>
      </c>
    </row>
    <row r="2178" ht="15.75" customHeight="1">
      <c r="A2178" s="7"/>
      <c r="B2178" s="7" t="str">
        <f>IFERROR(__xludf.DUMMYFUNCTION("""COMPUTED_VALUE"""),"C;Java")</f>
        <v>C;Java</v>
      </c>
      <c r="C2178" s="9" t="str">
        <f>IFERROR(__xludf.DUMMYFUNCTION("""COMPUTED_VALUE"""),"Java")</f>
        <v>Java</v>
      </c>
      <c r="D2178" s="9" t="str">
        <f>IFERROR(__xludf.DUMMYFUNCTION("""COMPUTED_VALUE"""),"Swift")</f>
        <v>Swift</v>
      </c>
      <c r="E2178" s="9" t="str">
        <f>IFERROR(__xludf.DUMMYFUNCTION("""COMPUTED_VALUE"""),"JavaScript")</f>
        <v>JavaScript</v>
      </c>
      <c r="F2178" s="9" t="str">
        <f>IFERROR(__xludf.DUMMYFUNCTION("""COMPUTED_VALUE"""),"SQL")</f>
        <v>SQL</v>
      </c>
      <c r="G2178" s="9" t="str">
        <f>IFERROR(__xludf.DUMMYFUNCTION("""COMPUTED_VALUE"""),"JavaScript")</f>
        <v>JavaScript</v>
      </c>
      <c r="H2178" s="9" t="str">
        <f>IFERROR(__xludf.DUMMYFUNCTION("""COMPUTED_VALUE"""),"Other(s):")</f>
        <v>Other(s):</v>
      </c>
      <c r="I2178" s="9" t="str">
        <f>IFERROR(__xludf.DUMMYFUNCTION("""COMPUTED_VALUE"""),"PHP")</f>
        <v>PHP</v>
      </c>
      <c r="J2178" s="9" t="str">
        <f>IFERROR(__xludf.DUMMYFUNCTION("""COMPUTED_VALUE"""),"Bash/Shell/PowerShell")</f>
        <v>Bash/Shell/PowerShell</v>
      </c>
      <c r="K2178" s="9" t="str">
        <f>IFERROR(__xludf.DUMMYFUNCTION("""COMPUTED_VALUE"""),"SQL")</f>
        <v>SQL</v>
      </c>
      <c r="L2178" s="9" t="str">
        <f>IFERROR(__xludf.DUMMYFUNCTION("""COMPUTED_VALUE"""),"Other(s):")</f>
        <v>Other(s):</v>
      </c>
      <c r="M2178" s="9" t="s">
        <v>20</v>
      </c>
    </row>
    <row r="2179" ht="15.75" customHeight="1">
      <c r="A2179" s="7"/>
      <c r="B2179" s="7" t="str">
        <f>IFERROR(__xludf.DUMMYFUNCTION("""COMPUTED_VALUE"""),"Bash/Shell/PowerShell;C#;Elixir;Go;HTML/CSS;JavaScript;Ruby;Scala;Swift")</f>
        <v>Bash/Shell/PowerShell;C#;Elixir;Go;HTML/CSS;JavaScript;Ruby;Scala;Swift</v>
      </c>
      <c r="C2179" s="9" t="str">
        <f>IFERROR(__xludf.DUMMYFUNCTION("""COMPUTED_VALUE"""),"PHP")</f>
        <v>PHP</v>
      </c>
      <c r="D2179" s="9" t="str">
        <f>IFERROR(__xludf.DUMMYFUNCTION("""COMPUTED_VALUE"""),"Bash/Shell/PowerShell")</f>
        <v>Bash/Shell/PowerShell</v>
      </c>
      <c r="E2179" s="9" t="str">
        <f>IFERROR(__xludf.DUMMYFUNCTION("""COMPUTED_VALUE"""),"PHP")</f>
        <v>PHP</v>
      </c>
      <c r="F2179" s="9" t="str">
        <f>IFERROR(__xludf.DUMMYFUNCTION("""COMPUTED_VALUE"""),"HTML/CSS")</f>
        <v>HTML/CSS</v>
      </c>
      <c r="G2179" s="9" t="str">
        <f>IFERROR(__xludf.DUMMYFUNCTION("""COMPUTED_VALUE"""),"Kotlin")</f>
        <v>Kotlin</v>
      </c>
      <c r="H2179" s="9" t="str">
        <f>IFERROR(__xludf.DUMMYFUNCTION("""COMPUTED_VALUE"""),"Bash/Shell/PowerShell")</f>
        <v>Bash/Shell/PowerShell</v>
      </c>
      <c r="I2179" s="9" t="str">
        <f>IFERROR(__xludf.DUMMYFUNCTION("""COMPUTED_VALUE"""),"R")</f>
        <v>R</v>
      </c>
      <c r="J2179" s="9" t="str">
        <f>IFERROR(__xludf.DUMMYFUNCTION("""COMPUTED_VALUE"""),"C#")</f>
        <v>C#</v>
      </c>
      <c r="K2179" s="9" t="str">
        <f>IFERROR(__xludf.DUMMYFUNCTION("""COMPUTED_VALUE"""),"VBA")</f>
        <v>VBA</v>
      </c>
      <c r="L2179" s="9" t="str">
        <f>IFERROR(__xludf.DUMMYFUNCTION("""COMPUTED_VALUE"""),"C++")</f>
        <v>C++</v>
      </c>
      <c r="M2179" s="9" t="s">
        <v>37</v>
      </c>
    </row>
    <row r="2180" ht="15.75" customHeight="1">
      <c r="A2180" s="7"/>
      <c r="B2180" s="7" t="str">
        <f>IFERROR(__xludf.DUMMYFUNCTION("""COMPUTED_VALUE"""),"HTML/CSS;Java;Python;Ruby;VBA;Other(s):")</f>
        <v>HTML/CSS;Java;Python;Ruby;VBA;Other(s):</v>
      </c>
      <c r="C2180" s="9" t="str">
        <f>IFERROR(__xludf.DUMMYFUNCTION("""COMPUTED_VALUE"""),"SQL")</f>
        <v>SQL</v>
      </c>
      <c r="D2180" s="9" t="str">
        <f>IFERROR(__xludf.DUMMYFUNCTION("""COMPUTED_VALUE"""),"PHP")</f>
        <v>PHP</v>
      </c>
      <c r="E2180" s="9" t="str">
        <f>IFERROR(__xludf.DUMMYFUNCTION("""COMPUTED_VALUE"""),"SQL")</f>
        <v>SQL</v>
      </c>
      <c r="F2180" s="9" t="str">
        <f>IFERROR(__xludf.DUMMYFUNCTION("""COMPUTED_VALUE"""),"JavaScript")</f>
        <v>JavaScript</v>
      </c>
      <c r="G2180" s="9" t="str">
        <f>IFERROR(__xludf.DUMMYFUNCTION("""COMPUTED_VALUE"""),"Python")</f>
        <v>Python</v>
      </c>
      <c r="H2180" s="9" t="str">
        <f>IFERROR(__xludf.DUMMYFUNCTION("""COMPUTED_VALUE"""),"HTML/CSS")</f>
        <v>HTML/CSS</v>
      </c>
      <c r="I2180" s="9" t="str">
        <f>IFERROR(__xludf.DUMMYFUNCTION("""COMPUTED_VALUE"""),"SQL")</f>
        <v>SQL</v>
      </c>
      <c r="J2180" s="9" t="str">
        <f>IFERROR(__xludf.DUMMYFUNCTION("""COMPUTED_VALUE"""),"HTML/CSS")</f>
        <v>HTML/CSS</v>
      </c>
      <c r="K2180" s="9" t="str">
        <f>IFERROR(__xludf.DUMMYFUNCTION("""COMPUTED_VALUE"""),"Bash/Shell/PowerShell")</f>
        <v>Bash/Shell/PowerShell</v>
      </c>
      <c r="L2180" s="9" t="str">
        <f>IFERROR(__xludf.DUMMYFUNCTION("""COMPUTED_VALUE"""),"C#")</f>
        <v>C#</v>
      </c>
      <c r="M2180" s="9" t="s">
        <v>27</v>
      </c>
    </row>
    <row r="2181" ht="15.75" customHeight="1">
      <c r="A2181" s="7"/>
      <c r="B2181" s="7" t="str">
        <f>IFERROR(__xludf.DUMMYFUNCTION("""COMPUTED_VALUE"""),"Bash/Shell/PowerShell;Java;Swift")</f>
        <v>Bash/Shell/PowerShell;Java;Swift</v>
      </c>
      <c r="C2181" s="9" t="str">
        <f>IFERROR(__xludf.DUMMYFUNCTION("""COMPUTED_VALUE"""),"C#")</f>
        <v>C#</v>
      </c>
      <c r="D2181" s="9" t="str">
        <f>IFERROR(__xludf.DUMMYFUNCTION("""COMPUTED_VALUE"""),"C#")</f>
        <v>C#</v>
      </c>
      <c r="E2181" s="9" t="str">
        <f>IFERROR(__xludf.DUMMYFUNCTION("""COMPUTED_VALUE"""),"Bash/Shell/PowerShell")</f>
        <v>Bash/Shell/PowerShell</v>
      </c>
      <c r="F2181" s="9" t="str">
        <f>IFERROR(__xludf.DUMMYFUNCTION("""COMPUTED_VALUE"""),"Ruby")</f>
        <v>Ruby</v>
      </c>
      <c r="G2181" s="9" t="str">
        <f>IFERROR(__xludf.DUMMYFUNCTION("""COMPUTED_VALUE"""),"SQL")</f>
        <v>SQL</v>
      </c>
      <c r="H2181" s="9" t="str">
        <f>IFERROR(__xludf.DUMMYFUNCTION("""COMPUTED_VALUE"""),"Java")</f>
        <v>Java</v>
      </c>
      <c r="I2181" s="9" t="str">
        <f>IFERROR(__xludf.DUMMYFUNCTION("""COMPUTED_VALUE"""),"VBA")</f>
        <v>VBA</v>
      </c>
      <c r="J2181" s="9" t="str">
        <f>IFERROR(__xludf.DUMMYFUNCTION("""COMPUTED_VALUE"""),"JavaScript")</f>
        <v>JavaScript</v>
      </c>
      <c r="K2181" s="9" t="str">
        <f>IFERROR(__xludf.DUMMYFUNCTION("""COMPUTED_VALUE"""),"HTML/CSS")</f>
        <v>HTML/CSS</v>
      </c>
      <c r="L2181" s="9" t="str">
        <f>IFERROR(__xludf.DUMMYFUNCTION("""COMPUTED_VALUE"""),"HTML/CSS")</f>
        <v>HTML/CSS</v>
      </c>
      <c r="M2181" s="9" t="s">
        <v>26</v>
      </c>
    </row>
    <row r="2182" ht="15.75" customHeight="1">
      <c r="A2182" s="7"/>
      <c r="B2182" s="7" t="str">
        <f>IFERROR(__xludf.DUMMYFUNCTION("""COMPUTED_VALUE"""),"C#;HTML/CSS;JavaScript;R;SQL")</f>
        <v>C#;HTML/CSS;JavaScript;R;SQL</v>
      </c>
      <c r="C2182" s="9" t="str">
        <f>IFERROR(__xludf.DUMMYFUNCTION("""COMPUTED_VALUE"""),"HTML/CSS")</f>
        <v>HTML/CSS</v>
      </c>
      <c r="D2182" s="9" t="str">
        <f>IFERROR(__xludf.DUMMYFUNCTION("""COMPUTED_VALUE"""),"JavaScript")</f>
        <v>JavaScript</v>
      </c>
      <c r="E2182" s="9" t="str">
        <f>IFERROR(__xludf.DUMMYFUNCTION("""COMPUTED_VALUE"""),"C")</f>
        <v>C</v>
      </c>
      <c r="F2182" s="9" t="str">
        <f>IFERROR(__xludf.DUMMYFUNCTION("""COMPUTED_VALUE"""),"SQL")</f>
        <v>SQL</v>
      </c>
      <c r="G2182" s="9" t="str">
        <f>IFERROR(__xludf.DUMMYFUNCTION("""COMPUTED_VALUE"""),"C#")</f>
        <v>C#</v>
      </c>
      <c r="H2182" s="9" t="str">
        <f>IFERROR(__xludf.DUMMYFUNCTION("""COMPUTED_VALUE"""),"JavaScript")</f>
        <v>JavaScript</v>
      </c>
      <c r="I2182" s="9" t="str">
        <f>IFERROR(__xludf.DUMMYFUNCTION("""COMPUTED_VALUE"""),"Bash/Shell/PowerShell")</f>
        <v>Bash/Shell/PowerShell</v>
      </c>
      <c r="J2182" s="9" t="str">
        <f>IFERROR(__xludf.DUMMYFUNCTION("""COMPUTED_VALUE"""),"PHP")</f>
        <v>PHP</v>
      </c>
      <c r="K2182" s="9" t="str">
        <f>IFERROR(__xludf.DUMMYFUNCTION("""COMPUTED_VALUE"""),"JavaScript")</f>
        <v>JavaScript</v>
      </c>
      <c r="L2182" s="9" t="str">
        <f>IFERROR(__xludf.DUMMYFUNCTION("""COMPUTED_VALUE"""),"Java")</f>
        <v>Java</v>
      </c>
      <c r="M2182" s="9" t="s">
        <v>24</v>
      </c>
    </row>
    <row r="2183" ht="15.75" customHeight="1">
      <c r="A2183" s="7"/>
      <c r="B2183" s="7" t="str">
        <f>IFERROR(__xludf.DUMMYFUNCTION("""COMPUTED_VALUE"""),"Bash/Shell/PowerShell;C;Python;SQL")</f>
        <v>Bash/Shell/PowerShell;C;Python;SQL</v>
      </c>
      <c r="C2183" s="9" t="str">
        <f>IFERROR(__xludf.DUMMYFUNCTION("""COMPUTED_VALUE"""),"Java")</f>
        <v>Java</v>
      </c>
      <c r="D2183" s="9" t="str">
        <f>IFERROR(__xludf.DUMMYFUNCTION("""COMPUTED_VALUE"""),"SQL")</f>
        <v>SQL</v>
      </c>
      <c r="E2183" s="9" t="str">
        <f>IFERROR(__xludf.DUMMYFUNCTION("""COMPUTED_VALUE"""),"Objective-C")</f>
        <v>Objective-C</v>
      </c>
      <c r="F2183" s="9" t="str">
        <f>IFERROR(__xludf.DUMMYFUNCTION("""COMPUTED_VALUE"""),"Bash/Shell/PowerShell")</f>
        <v>Bash/Shell/PowerShell</v>
      </c>
      <c r="G2183" s="9" t="str">
        <f>IFERROR(__xludf.DUMMYFUNCTION("""COMPUTED_VALUE"""),"HTML/CSS")</f>
        <v>HTML/CSS</v>
      </c>
      <c r="H2183" s="9" t="str">
        <f>IFERROR(__xludf.DUMMYFUNCTION("""COMPUTED_VALUE"""),"PHP")</f>
        <v>PHP</v>
      </c>
      <c r="I2183" s="9" t="str">
        <f>IFERROR(__xludf.DUMMYFUNCTION("""COMPUTED_VALUE"""),"C#")</f>
        <v>C#</v>
      </c>
      <c r="J2183" s="9" t="str">
        <f>IFERROR(__xludf.DUMMYFUNCTION("""COMPUTED_VALUE"""),"SQL")</f>
        <v>SQL</v>
      </c>
      <c r="K2183" s="9" t="str">
        <f>IFERROR(__xludf.DUMMYFUNCTION("""COMPUTED_VALUE"""),"PHP")</f>
        <v>PHP</v>
      </c>
      <c r="L2183" s="9" t="str">
        <f>IFERROR(__xludf.DUMMYFUNCTION("""COMPUTED_VALUE"""),"JavaScript")</f>
        <v>JavaScript</v>
      </c>
      <c r="M2183" s="9" t="s">
        <v>20</v>
      </c>
    </row>
    <row r="2184" ht="15.75" customHeight="1">
      <c r="A2184" s="7"/>
      <c r="B2184" s="7" t="str">
        <f>IFERROR(__xludf.DUMMYFUNCTION("""COMPUTED_VALUE"""),"Bash/Shell/PowerShell;C++;Dart;HTML/CSS;Java;JavaScript;Kotlin;Objective-C;Python;SQL;Swift")</f>
        <v>Bash/Shell/PowerShell;C++;Dart;HTML/CSS;Java;JavaScript;Kotlin;Objective-C;Python;SQL;Swift</v>
      </c>
      <c r="C2184" s="9" t="str">
        <f>IFERROR(__xludf.DUMMYFUNCTION("""COMPUTED_VALUE"""),"JavaScript")</f>
        <v>JavaScript</v>
      </c>
      <c r="D2184" s="9" t="str">
        <f>IFERROR(__xludf.DUMMYFUNCTION("""COMPUTED_VALUE"""),"TypeScript")</f>
        <v>TypeScript</v>
      </c>
      <c r="E2184" s="9" t="str">
        <f>IFERROR(__xludf.DUMMYFUNCTION("""COMPUTED_VALUE"""),"Python")</f>
        <v>Python</v>
      </c>
      <c r="F2184" s="9" t="str">
        <f>IFERROR(__xludf.DUMMYFUNCTION("""COMPUTED_VALUE"""),"C++")</f>
        <v>C++</v>
      </c>
      <c r="G2184" s="9" t="str">
        <f>IFERROR(__xludf.DUMMYFUNCTION("""COMPUTED_VALUE"""),"JavaScript")</f>
        <v>JavaScript</v>
      </c>
      <c r="H2184" s="9" t="str">
        <f>IFERROR(__xludf.DUMMYFUNCTION("""COMPUTED_VALUE"""),"SQL")</f>
        <v>SQL</v>
      </c>
      <c r="I2184" s="9" t="str">
        <f>IFERROR(__xludf.DUMMYFUNCTION("""COMPUTED_VALUE"""),"HTML/CSS")</f>
        <v>HTML/CSS</v>
      </c>
      <c r="J2184" s="9" t="str">
        <f>IFERROR(__xludf.DUMMYFUNCTION("""COMPUTED_VALUE"""),"Java")</f>
        <v>Java</v>
      </c>
      <c r="K2184" s="9" t="str">
        <f>IFERROR(__xludf.DUMMYFUNCTION("""COMPUTED_VALUE"""),"Python")</f>
        <v>Python</v>
      </c>
      <c r="L2184" s="9" t="str">
        <f>IFERROR(__xludf.DUMMYFUNCTION("""COMPUTED_VALUE"""),"PHP")</f>
        <v>PHP</v>
      </c>
      <c r="M2184" s="9" t="s">
        <v>21</v>
      </c>
    </row>
    <row r="2185" ht="15.75" customHeight="1">
      <c r="A2185" s="7"/>
      <c r="B2185" s="7" t="str">
        <f>IFERROR(__xludf.DUMMYFUNCTION("""COMPUTED_VALUE"""),"C#;HTML/CSS;JavaScript;SQL;TypeScript")</f>
        <v>C#;HTML/CSS;JavaScript;SQL;TypeScript</v>
      </c>
      <c r="C2185" s="9" t="str">
        <f>IFERROR(__xludf.DUMMYFUNCTION("""COMPUTED_VALUE"""),"PHP")</f>
        <v>PHP</v>
      </c>
      <c r="D2185" s="9" t="str">
        <f>IFERROR(__xludf.DUMMYFUNCTION("""COMPUTED_VALUE"""),"HTML/CSS")</f>
        <v>HTML/CSS</v>
      </c>
      <c r="E2185" s="9" t="str">
        <f>IFERROR(__xludf.DUMMYFUNCTION("""COMPUTED_VALUE"""),"HTML/CSS")</f>
        <v>HTML/CSS</v>
      </c>
      <c r="F2185" s="9" t="str">
        <f>IFERROR(__xludf.DUMMYFUNCTION("""COMPUTED_VALUE"""),"C#")</f>
        <v>C#</v>
      </c>
      <c r="G2185" s="9" t="str">
        <f>IFERROR(__xludf.DUMMYFUNCTION("""COMPUTED_VALUE"""),"PHP")</f>
        <v>PHP</v>
      </c>
      <c r="H2185" s="9" t="str">
        <f>IFERROR(__xludf.DUMMYFUNCTION("""COMPUTED_VALUE"""),"TypeScript")</f>
        <v>TypeScript</v>
      </c>
      <c r="I2185" s="9" t="str">
        <f>IFERROR(__xludf.DUMMYFUNCTION("""COMPUTED_VALUE"""),"JavaScript")</f>
        <v>JavaScript</v>
      </c>
      <c r="J2185" s="9" t="str">
        <f>IFERROR(__xludf.DUMMYFUNCTION("""COMPUTED_VALUE"""),"Python")</f>
        <v>Python</v>
      </c>
      <c r="K2185" s="9" t="str">
        <f>IFERROR(__xludf.DUMMYFUNCTION("""COMPUTED_VALUE"""),"Bash/Shell/PowerShell")</f>
        <v>Bash/Shell/PowerShell</v>
      </c>
      <c r="L2185" s="9" t="str">
        <f>IFERROR(__xludf.DUMMYFUNCTION("""COMPUTED_VALUE"""),"SQL")</f>
        <v>SQL</v>
      </c>
      <c r="M2185" s="9" t="s">
        <v>37</v>
      </c>
    </row>
    <row r="2186" ht="15.75" customHeight="1">
      <c r="A2186" s="7"/>
      <c r="B2186" s="7" t="str">
        <f>IFERROR(__xludf.DUMMYFUNCTION("""COMPUTED_VALUE"""),"Bash/Shell/PowerShell;HTML/CSS;Java;JavaScript;SQL;TypeScript")</f>
        <v>Bash/Shell/PowerShell;HTML/CSS;Java;JavaScript;SQL;TypeScript</v>
      </c>
      <c r="C2186" s="9" t="str">
        <f>IFERROR(__xludf.DUMMYFUNCTION("""COMPUTED_VALUE"""),"HTML/CSS")</f>
        <v>HTML/CSS</v>
      </c>
      <c r="D2186" s="9" t="str">
        <f>IFERROR(__xludf.DUMMYFUNCTION("""COMPUTED_VALUE"""),"Java")</f>
        <v>Java</v>
      </c>
      <c r="E2186" s="9" t="str">
        <f>IFERROR(__xludf.DUMMYFUNCTION("""COMPUTED_VALUE"""),"JavaScript")</f>
        <v>JavaScript</v>
      </c>
      <c r="F2186" s="9" t="str">
        <f>IFERROR(__xludf.DUMMYFUNCTION("""COMPUTED_VALUE"""),"Go")</f>
        <v>Go</v>
      </c>
      <c r="G2186" s="9" t="str">
        <f>IFERROR(__xludf.DUMMYFUNCTION("""COMPUTED_VALUE"""),"SQL")</f>
        <v>SQL</v>
      </c>
      <c r="H2186" s="9" t="str">
        <f>IFERROR(__xludf.DUMMYFUNCTION("""COMPUTED_VALUE"""),"Clojure")</f>
        <v>Clojure</v>
      </c>
      <c r="I2186" s="9" t="str">
        <f>IFERROR(__xludf.DUMMYFUNCTION("""COMPUTED_VALUE"""),"SQL")</f>
        <v>SQL</v>
      </c>
      <c r="J2186" s="9" t="str">
        <f>IFERROR(__xludf.DUMMYFUNCTION("""COMPUTED_VALUE"""),"Go")</f>
        <v>Go</v>
      </c>
      <c r="K2186" s="9" t="str">
        <f>IFERROR(__xludf.DUMMYFUNCTION("""COMPUTED_VALUE"""),"PHP")</f>
        <v>PHP</v>
      </c>
      <c r="L2186" s="9" t="str">
        <f>IFERROR(__xludf.DUMMYFUNCTION("""COMPUTED_VALUE"""),"Python")</f>
        <v>Python</v>
      </c>
      <c r="M2186" s="9" t="s">
        <v>24</v>
      </c>
    </row>
    <row r="2187" ht="15.75" customHeight="1">
      <c r="A2187" s="7"/>
      <c r="B2187" s="7" t="str">
        <f>IFERROR(__xludf.DUMMYFUNCTION("""COMPUTED_VALUE"""),"Bash/Shell/PowerShell;C#;Go;Java;JavaScript;Python;Scala;SQL")</f>
        <v>Bash/Shell/PowerShell;C#;Go;Java;JavaScript;Python;Scala;SQL</v>
      </c>
      <c r="C2187" s="9" t="str">
        <f>IFERROR(__xludf.DUMMYFUNCTION("""COMPUTED_VALUE"""),"JavaScript")</f>
        <v>JavaScript</v>
      </c>
      <c r="D2187" s="9" t="str">
        <f>IFERROR(__xludf.DUMMYFUNCTION("""COMPUTED_VALUE"""),"Kotlin")</f>
        <v>Kotlin</v>
      </c>
      <c r="E2187" s="9" t="str">
        <f>IFERROR(__xludf.DUMMYFUNCTION("""COMPUTED_VALUE"""),"Python")</f>
        <v>Python</v>
      </c>
      <c r="F2187" s="9" t="str">
        <f>IFERROR(__xludf.DUMMYFUNCTION("""COMPUTED_VALUE"""),"HTML/CSS")</f>
        <v>HTML/CSS</v>
      </c>
      <c r="G2187" s="9" t="str">
        <f>IFERROR(__xludf.DUMMYFUNCTION("""COMPUTED_VALUE"""),"HTML/CSS")</f>
        <v>HTML/CSS</v>
      </c>
      <c r="H2187" s="9" t="str">
        <f>IFERROR(__xludf.DUMMYFUNCTION("""COMPUTED_VALUE"""),"HTML/CSS")</f>
        <v>HTML/CSS</v>
      </c>
      <c r="I2187" s="9" t="str">
        <f>IFERROR(__xludf.DUMMYFUNCTION("""COMPUTED_VALUE"""),"TypeScript")</f>
        <v>TypeScript</v>
      </c>
      <c r="J2187" s="9" t="str">
        <f>IFERROR(__xludf.DUMMYFUNCTION("""COMPUTED_VALUE"""),"HTML/CSS")</f>
        <v>HTML/CSS</v>
      </c>
      <c r="K2187" s="9" t="str">
        <f>IFERROR(__xludf.DUMMYFUNCTION("""COMPUTED_VALUE"""),"SQL")</f>
        <v>SQL</v>
      </c>
      <c r="L2187" s="9" t="str">
        <f>IFERROR(__xludf.DUMMYFUNCTION("""COMPUTED_VALUE"""),"R")</f>
        <v>R</v>
      </c>
      <c r="M2187" s="9" t="s">
        <v>21</v>
      </c>
    </row>
    <row r="2188" ht="15.75" customHeight="1">
      <c r="A2188" s="7"/>
      <c r="B2188" s="7" t="str">
        <f>IFERROR(__xludf.DUMMYFUNCTION("""COMPUTED_VALUE"""),"Java;Kotlin")</f>
        <v>Java;Kotlin</v>
      </c>
      <c r="C2188" s="9" t="str">
        <f>IFERROR(__xludf.DUMMYFUNCTION("""COMPUTED_VALUE"""),"HTML/CSS")</f>
        <v>HTML/CSS</v>
      </c>
      <c r="D2188" s="9" t="str">
        <f>IFERROR(__xludf.DUMMYFUNCTION("""COMPUTED_VALUE"""),"Python")</f>
        <v>Python</v>
      </c>
      <c r="E2188" s="9" t="str">
        <f>IFERROR(__xludf.DUMMYFUNCTION("""COMPUTED_VALUE"""),"SQL")</f>
        <v>SQL</v>
      </c>
      <c r="F2188" s="9" t="str">
        <f>IFERROR(__xludf.DUMMYFUNCTION("""COMPUTED_VALUE"""),"JavaScript")</f>
        <v>JavaScript</v>
      </c>
      <c r="G2188" s="9" t="str">
        <f>IFERROR(__xludf.DUMMYFUNCTION("""COMPUTED_VALUE"""),"PHP")</f>
        <v>PHP</v>
      </c>
      <c r="H2188" s="9" t="str">
        <f>IFERROR(__xludf.DUMMYFUNCTION("""COMPUTED_VALUE"""),"Java")</f>
        <v>Java</v>
      </c>
      <c r="I2188" s="9" t="str">
        <f>IFERROR(__xludf.DUMMYFUNCTION("""COMPUTED_VALUE"""),"HTML/CSS")</f>
        <v>HTML/CSS</v>
      </c>
      <c r="J2188" s="9" t="str">
        <f>IFERROR(__xludf.DUMMYFUNCTION("""COMPUTED_VALUE"""),"JavaScript")</f>
        <v>JavaScript</v>
      </c>
      <c r="K2188" s="9" t="str">
        <f>IFERROR(__xludf.DUMMYFUNCTION("""COMPUTED_VALUE"""),"C++")</f>
        <v>C++</v>
      </c>
      <c r="L2188" s="9" t="str">
        <f>IFERROR(__xludf.DUMMYFUNCTION("""COMPUTED_VALUE"""),"VBA")</f>
        <v>VBA</v>
      </c>
      <c r="M2188" s="9" t="s">
        <v>24</v>
      </c>
    </row>
    <row r="2189" ht="15.75" customHeight="1">
      <c r="A2189" s="7"/>
      <c r="B2189" s="7" t="str">
        <f>IFERROR(__xludf.DUMMYFUNCTION("""COMPUTED_VALUE"""),"HTML/CSS;JavaScript;PHP;TypeScript")</f>
        <v>HTML/CSS;JavaScript;PHP;TypeScript</v>
      </c>
      <c r="C2189" s="9" t="str">
        <f>IFERROR(__xludf.DUMMYFUNCTION("""COMPUTED_VALUE"""),"JavaScript")</f>
        <v>JavaScript</v>
      </c>
      <c r="D2189" s="9" t="str">
        <f>IFERROR(__xludf.DUMMYFUNCTION("""COMPUTED_VALUE"""),"SQL")</f>
        <v>SQL</v>
      </c>
      <c r="E2189" s="9" t="str">
        <f>IFERROR(__xludf.DUMMYFUNCTION("""COMPUTED_VALUE"""),"HTML/CSS")</f>
        <v>HTML/CSS</v>
      </c>
      <c r="F2189" s="9" t="str">
        <f>IFERROR(__xludf.DUMMYFUNCTION("""COMPUTED_VALUE"""),"PHP")</f>
        <v>PHP</v>
      </c>
      <c r="G2189" s="9" t="str">
        <f>IFERROR(__xludf.DUMMYFUNCTION("""COMPUTED_VALUE"""),"SQL")</f>
        <v>SQL</v>
      </c>
      <c r="H2189" s="9" t="str">
        <f>IFERROR(__xludf.DUMMYFUNCTION("""COMPUTED_VALUE"""),"JavaScript")</f>
        <v>JavaScript</v>
      </c>
      <c r="I2189" s="9" t="str">
        <f>IFERROR(__xludf.DUMMYFUNCTION("""COMPUTED_VALUE"""),"JavaScript")</f>
        <v>JavaScript</v>
      </c>
      <c r="J2189" s="9" t="str">
        <f>IFERROR(__xludf.DUMMYFUNCTION("""COMPUTED_VALUE"""),"TypeScript")</f>
        <v>TypeScript</v>
      </c>
      <c r="K2189" s="9" t="str">
        <f>IFERROR(__xludf.DUMMYFUNCTION("""COMPUTED_VALUE"""),"Go")</f>
        <v>Go</v>
      </c>
      <c r="L2189" s="9" t="str">
        <f>IFERROR(__xludf.DUMMYFUNCTION("""COMPUTED_VALUE"""),"Assembly")</f>
        <v>Assembly</v>
      </c>
      <c r="M2189" s="9" t="s">
        <v>21</v>
      </c>
    </row>
    <row r="2190" ht="15.75" customHeight="1">
      <c r="A2190" s="7"/>
      <c r="B2190" s="7" t="str">
        <f>IFERROR(__xludf.DUMMYFUNCTION("""COMPUTED_VALUE"""),"Bash/Shell/PowerShell;C#;HTML/CSS;Java;JavaScript;SQL")</f>
        <v>Bash/Shell/PowerShell;C#;HTML/CSS;Java;JavaScript;SQL</v>
      </c>
      <c r="C2190" s="9" t="str">
        <f>IFERROR(__xludf.DUMMYFUNCTION("""COMPUTED_VALUE"""),"TypeScript")</f>
        <v>TypeScript</v>
      </c>
      <c r="D2190" s="9" t="str">
        <f>IFERROR(__xludf.DUMMYFUNCTION("""COMPUTED_VALUE"""),"Bash/Shell/PowerShell")</f>
        <v>Bash/Shell/PowerShell</v>
      </c>
      <c r="E2190" s="9" t="str">
        <f>IFERROR(__xludf.DUMMYFUNCTION("""COMPUTED_VALUE"""),"JavaScript")</f>
        <v>JavaScript</v>
      </c>
      <c r="F2190" s="9" t="str">
        <f>IFERROR(__xludf.DUMMYFUNCTION("""COMPUTED_VALUE"""),"Python")</f>
        <v>Python</v>
      </c>
      <c r="G2190" s="9" t="str">
        <f>IFERROR(__xludf.DUMMYFUNCTION("""COMPUTED_VALUE"""),"Bash/Shell/PowerShell")</f>
        <v>Bash/Shell/PowerShell</v>
      </c>
      <c r="H2190" s="9" t="str">
        <f>IFERROR(__xludf.DUMMYFUNCTION("""COMPUTED_VALUE"""),"SQL")</f>
        <v>SQL</v>
      </c>
      <c r="I2190" s="9" t="str">
        <f>IFERROR(__xludf.DUMMYFUNCTION("""COMPUTED_VALUE"""),"PHP")</f>
        <v>PHP</v>
      </c>
      <c r="J2190" s="9" t="str">
        <f>IFERROR(__xludf.DUMMYFUNCTION("""COMPUTED_VALUE"""),"C")</f>
        <v>C</v>
      </c>
      <c r="K2190" s="9" t="str">
        <f>IFERROR(__xludf.DUMMYFUNCTION("""COMPUTED_VALUE"""),"Python")</f>
        <v>Python</v>
      </c>
      <c r="L2190" s="9" t="str">
        <f>IFERROR(__xludf.DUMMYFUNCTION("""COMPUTED_VALUE"""),"HTML/CSS")</f>
        <v>HTML/CSS</v>
      </c>
      <c r="M2190" s="9" t="s">
        <v>33</v>
      </c>
    </row>
    <row r="2191" ht="15.75" customHeight="1">
      <c r="A2191" s="7"/>
      <c r="B2191" s="7" t="str">
        <f>IFERROR(__xludf.DUMMYFUNCTION("""COMPUTED_VALUE"""),"HTML/CSS;JavaScript;PHP;SQL")</f>
        <v>HTML/CSS;JavaScript;PHP;SQL</v>
      </c>
      <c r="C2191" s="9" t="str">
        <f>IFERROR(__xludf.DUMMYFUNCTION("""COMPUTED_VALUE"""),"Bash/Shell/PowerShell")</f>
        <v>Bash/Shell/PowerShell</v>
      </c>
      <c r="D2191" s="9" t="str">
        <f>IFERROR(__xludf.DUMMYFUNCTION("""COMPUTED_VALUE"""),"HTML/CSS")</f>
        <v>HTML/CSS</v>
      </c>
      <c r="E2191" s="9" t="str">
        <f>IFERROR(__xludf.DUMMYFUNCTION("""COMPUTED_VALUE"""),"PHP")</f>
        <v>PHP</v>
      </c>
      <c r="F2191" s="9" t="str">
        <f>IFERROR(__xludf.DUMMYFUNCTION("""COMPUTED_VALUE"""),"TypeScript")</f>
        <v>TypeScript</v>
      </c>
      <c r="G2191" s="9" t="str">
        <f>IFERROR(__xludf.DUMMYFUNCTION("""COMPUTED_VALUE"""),"R")</f>
        <v>R</v>
      </c>
      <c r="H2191" s="9" t="str">
        <f>IFERROR(__xludf.DUMMYFUNCTION("""COMPUTED_VALUE"""),"Other(s):")</f>
        <v>Other(s):</v>
      </c>
      <c r="I2191" s="9" t="str">
        <f>IFERROR(__xludf.DUMMYFUNCTION("""COMPUTED_VALUE"""),"Ruby")</f>
        <v>Ruby</v>
      </c>
      <c r="J2191" s="9" t="str">
        <f>IFERROR(__xludf.DUMMYFUNCTION("""COMPUTED_VALUE"""),"C++")</f>
        <v>C++</v>
      </c>
      <c r="K2191" s="9" t="str">
        <f>IFERROR(__xludf.DUMMYFUNCTION("""COMPUTED_VALUE"""),"Bash/Shell/PowerShell")</f>
        <v>Bash/Shell/PowerShell</v>
      </c>
      <c r="L2191" s="9" t="str">
        <f>IFERROR(__xludf.DUMMYFUNCTION("""COMPUTED_VALUE"""),"Java")</f>
        <v>Java</v>
      </c>
      <c r="M2191" s="9" t="s">
        <v>30</v>
      </c>
    </row>
    <row r="2192" ht="15.75" customHeight="1">
      <c r="A2192" s="7"/>
      <c r="B2192" s="7" t="str">
        <f>IFERROR(__xludf.DUMMYFUNCTION("""COMPUTED_VALUE"""),"Bash/Shell/PowerShell;C;C++;C#;HTML/CSS;Java;JavaScript;PHP;Scala;SQL")</f>
        <v>Bash/Shell/PowerShell;C;C++;C#;HTML/CSS;Java;JavaScript;PHP;Scala;SQL</v>
      </c>
      <c r="C2192" s="9" t="str">
        <f>IFERROR(__xludf.DUMMYFUNCTION("""COMPUTED_VALUE"""),"C")</f>
        <v>C</v>
      </c>
      <c r="D2192" s="9" t="str">
        <f>IFERROR(__xludf.DUMMYFUNCTION("""COMPUTED_VALUE"""),"Java")</f>
        <v>Java</v>
      </c>
      <c r="E2192" s="9" t="str">
        <f>IFERROR(__xludf.DUMMYFUNCTION("""COMPUTED_VALUE"""),"SQL")</f>
        <v>SQL</v>
      </c>
      <c r="F2192" s="9" t="str">
        <f>IFERROR(__xludf.DUMMYFUNCTION("""COMPUTED_VALUE"""),"Bash/Shell/PowerShell")</f>
        <v>Bash/Shell/PowerShell</v>
      </c>
      <c r="G2192" s="9" t="str">
        <f>IFERROR(__xludf.DUMMYFUNCTION("""COMPUTED_VALUE"""),"Bash/Shell/PowerShell")</f>
        <v>Bash/Shell/PowerShell</v>
      </c>
      <c r="H2192" s="9" t="str">
        <f>IFERROR(__xludf.DUMMYFUNCTION("""COMPUTED_VALUE"""),"R")</f>
        <v>R</v>
      </c>
      <c r="I2192" s="9" t="str">
        <f>IFERROR(__xludf.DUMMYFUNCTION("""COMPUTED_VALUE"""),"SQL")</f>
        <v>SQL</v>
      </c>
      <c r="J2192" s="9" t="str">
        <f>IFERROR(__xludf.DUMMYFUNCTION("""COMPUTED_VALUE"""),"C#")</f>
        <v>C#</v>
      </c>
      <c r="K2192" s="9" t="str">
        <f>IFERROR(__xludf.DUMMYFUNCTION("""COMPUTED_VALUE"""),"C++")</f>
        <v>C++</v>
      </c>
      <c r="L2192" s="9" t="str">
        <f>IFERROR(__xludf.DUMMYFUNCTION("""COMPUTED_VALUE"""),"JavaScript")</f>
        <v>JavaScript</v>
      </c>
      <c r="M2192" s="9" t="s">
        <v>25</v>
      </c>
    </row>
    <row r="2193" ht="15.75" customHeight="1">
      <c r="A2193" s="7"/>
      <c r="B2193" s="7" t="str">
        <f>IFERROR(__xludf.DUMMYFUNCTION("""COMPUTED_VALUE"""),"HTML/CSS;Java;JavaScript;Python")</f>
        <v>HTML/CSS;Java;JavaScript;Python</v>
      </c>
      <c r="C2193" s="9" t="str">
        <f>IFERROR(__xludf.DUMMYFUNCTION("""COMPUTED_VALUE"""),"C++")</f>
        <v>C++</v>
      </c>
      <c r="D2193" s="9" t="str">
        <f>IFERROR(__xludf.DUMMYFUNCTION("""COMPUTED_VALUE"""),"JavaScript")</f>
        <v>JavaScript</v>
      </c>
      <c r="E2193" s="9" t="str">
        <f>IFERROR(__xludf.DUMMYFUNCTION("""COMPUTED_VALUE"""),"C++")</f>
        <v>C++</v>
      </c>
      <c r="F2193" s="9" t="str">
        <f>IFERROR(__xludf.DUMMYFUNCTION("""COMPUTED_VALUE"""),"C")</f>
        <v>C</v>
      </c>
      <c r="G2193" s="9" t="str">
        <f>IFERROR(__xludf.DUMMYFUNCTION("""COMPUTED_VALUE"""),"C#")</f>
        <v>C#</v>
      </c>
      <c r="H2193" s="9" t="str">
        <f>IFERROR(__xludf.DUMMYFUNCTION("""COMPUTED_VALUE"""),"SQL")</f>
        <v>SQL</v>
      </c>
      <c r="I2193" s="9" t="str">
        <f>IFERROR(__xludf.DUMMYFUNCTION("""COMPUTED_VALUE"""),"Bash/Shell/PowerShell")</f>
        <v>Bash/Shell/PowerShell</v>
      </c>
      <c r="J2193" s="9" t="str">
        <f>IFERROR(__xludf.DUMMYFUNCTION("""COMPUTED_VALUE"""),"HTML/CSS")</f>
        <v>HTML/CSS</v>
      </c>
      <c r="K2193" s="9" t="str">
        <f>IFERROR(__xludf.DUMMYFUNCTION("""COMPUTED_VALUE"""),"C#")</f>
        <v>C#</v>
      </c>
      <c r="L2193" s="9" t="str">
        <f>IFERROR(__xludf.DUMMYFUNCTION("""COMPUTED_VALUE"""),"PHP")</f>
        <v>PHP</v>
      </c>
      <c r="M2193" s="9" t="s">
        <v>23</v>
      </c>
    </row>
    <row r="2194" ht="15.75" customHeight="1">
      <c r="A2194" s="7"/>
      <c r="B2194" s="7" t="str">
        <f>IFERROR(__xludf.DUMMYFUNCTION("""COMPUTED_VALUE"""),"Bash/Shell/PowerShell;C#;Clojure;Java;JavaScript;Python;TypeScript;Other(s):")</f>
        <v>Bash/Shell/PowerShell;C#;Clojure;Java;JavaScript;Python;TypeScript;Other(s):</v>
      </c>
      <c r="C2194" s="9" t="str">
        <f>IFERROR(__xludf.DUMMYFUNCTION("""COMPUTED_VALUE"""),"HTML/CSS")</f>
        <v>HTML/CSS</v>
      </c>
      <c r="D2194" s="9" t="str">
        <f>IFERROR(__xludf.DUMMYFUNCTION("""COMPUTED_VALUE"""),"PHP")</f>
        <v>PHP</v>
      </c>
      <c r="E2194" s="9" t="str">
        <f>IFERROR(__xludf.DUMMYFUNCTION("""COMPUTED_VALUE"""),"C#")</f>
        <v>C#</v>
      </c>
      <c r="F2194" s="9" t="str">
        <f>IFERROR(__xludf.DUMMYFUNCTION("""COMPUTED_VALUE"""),"C++")</f>
        <v>C++</v>
      </c>
      <c r="G2194" s="9" t="str">
        <f>IFERROR(__xludf.DUMMYFUNCTION("""COMPUTED_VALUE"""),"HTML/CSS")</f>
        <v>HTML/CSS</v>
      </c>
      <c r="H2194" s="9" t="str">
        <f>IFERROR(__xludf.DUMMYFUNCTION("""COMPUTED_VALUE"""),"HTML/CSS")</f>
        <v>HTML/CSS</v>
      </c>
      <c r="I2194" s="9" t="str">
        <f>IFERROR(__xludf.DUMMYFUNCTION("""COMPUTED_VALUE"""),"Go")</f>
        <v>Go</v>
      </c>
      <c r="J2194" s="9" t="str">
        <f>IFERROR(__xludf.DUMMYFUNCTION("""COMPUTED_VALUE"""),"Java")</f>
        <v>Java</v>
      </c>
      <c r="K2194" s="9" t="str">
        <f>IFERROR(__xludf.DUMMYFUNCTION("""COMPUTED_VALUE"""),"HTML/CSS")</f>
        <v>HTML/CSS</v>
      </c>
      <c r="L2194" s="9" t="str">
        <f>IFERROR(__xludf.DUMMYFUNCTION("""COMPUTED_VALUE"""),"Python")</f>
        <v>Python</v>
      </c>
      <c r="M2194" s="9" t="s">
        <v>24</v>
      </c>
    </row>
    <row r="2195" ht="15.75" customHeight="1">
      <c r="A2195" s="7"/>
      <c r="B2195" s="7" t="str">
        <f>IFERROR(__xludf.DUMMYFUNCTION("""COMPUTED_VALUE"""),"HTML/CSS;JavaScript;PHP")</f>
        <v>HTML/CSS;JavaScript;PHP</v>
      </c>
      <c r="C2195" s="9" t="str">
        <f>IFERROR(__xludf.DUMMYFUNCTION("""COMPUTED_VALUE"""),"Python")</f>
        <v>Python</v>
      </c>
      <c r="D2195" s="9" t="str">
        <f>IFERROR(__xludf.DUMMYFUNCTION("""COMPUTED_VALUE"""),"Python")</f>
        <v>Python</v>
      </c>
      <c r="E2195" s="9" t="str">
        <f>IFERROR(__xludf.DUMMYFUNCTION("""COMPUTED_VALUE"""),"Java")</f>
        <v>Java</v>
      </c>
      <c r="F2195" s="9" t="str">
        <f>IFERROR(__xludf.DUMMYFUNCTION("""COMPUTED_VALUE"""),"C#")</f>
        <v>C#</v>
      </c>
      <c r="G2195" s="9" t="str">
        <f>IFERROR(__xludf.DUMMYFUNCTION("""COMPUTED_VALUE"""),"JavaScript")</f>
        <v>JavaScript</v>
      </c>
      <c r="H2195" s="9" t="str">
        <f>IFERROR(__xludf.DUMMYFUNCTION("""COMPUTED_VALUE"""),"Java")</f>
        <v>Java</v>
      </c>
      <c r="I2195" s="9" t="str">
        <f>IFERROR(__xludf.DUMMYFUNCTION("""COMPUTED_VALUE"""),"HTML/CSS")</f>
        <v>HTML/CSS</v>
      </c>
      <c r="J2195" s="9" t="str">
        <f>IFERROR(__xludf.DUMMYFUNCTION("""COMPUTED_VALUE"""),"JavaScript")</f>
        <v>JavaScript</v>
      </c>
      <c r="K2195" s="9" t="str">
        <f>IFERROR(__xludf.DUMMYFUNCTION("""COMPUTED_VALUE"""),"JavaScript")</f>
        <v>JavaScript</v>
      </c>
      <c r="L2195" s="9" t="str">
        <f>IFERROR(__xludf.DUMMYFUNCTION("""COMPUTED_VALUE"""),"SQL")</f>
        <v>SQL</v>
      </c>
      <c r="M2195" s="9" t="s">
        <v>22</v>
      </c>
    </row>
    <row r="2196" ht="15.75" customHeight="1">
      <c r="A2196" s="7"/>
      <c r="B2196" s="7" t="str">
        <f>IFERROR(__xludf.DUMMYFUNCTION("""COMPUTED_VALUE"""),"C;Objective-C;Swift")</f>
        <v>C;Objective-C;Swift</v>
      </c>
      <c r="C2196" s="9" t="str">
        <f>IFERROR(__xludf.DUMMYFUNCTION("""COMPUTED_VALUE"""),"C#")</f>
        <v>C#</v>
      </c>
      <c r="D2196" s="9" t="str">
        <f>IFERROR(__xludf.DUMMYFUNCTION("""COMPUTED_VALUE"""),"SQL")</f>
        <v>SQL</v>
      </c>
      <c r="E2196" s="9" t="str">
        <f>IFERROR(__xludf.DUMMYFUNCTION("""COMPUTED_VALUE"""),"JavaScript")</f>
        <v>JavaScript</v>
      </c>
      <c r="F2196" s="9" t="str">
        <f>IFERROR(__xludf.DUMMYFUNCTION("""COMPUTED_VALUE"""),"HTML/CSS")</f>
        <v>HTML/CSS</v>
      </c>
      <c r="G2196" s="9" t="str">
        <f>IFERROR(__xludf.DUMMYFUNCTION("""COMPUTED_VALUE"""),"SQL")</f>
        <v>SQL</v>
      </c>
      <c r="H2196" s="9" t="str">
        <f>IFERROR(__xludf.DUMMYFUNCTION("""COMPUTED_VALUE"""),"JavaScript")</f>
        <v>JavaScript</v>
      </c>
      <c r="I2196" s="9" t="str">
        <f>IFERROR(__xludf.DUMMYFUNCTION("""COMPUTED_VALUE"""),"JavaScript")</f>
        <v>JavaScript</v>
      </c>
      <c r="J2196" s="9" t="str">
        <f>IFERROR(__xludf.DUMMYFUNCTION("""COMPUTED_VALUE"""),"R")</f>
        <v>R</v>
      </c>
      <c r="K2196" s="9" t="str">
        <f>IFERROR(__xludf.DUMMYFUNCTION("""COMPUTED_VALUE"""),"SQL")</f>
        <v>SQL</v>
      </c>
      <c r="L2196" s="9" t="str">
        <f>IFERROR(__xludf.DUMMYFUNCTION("""COMPUTED_VALUE"""),"TypeScript")</f>
        <v>TypeScript</v>
      </c>
      <c r="M2196" s="9" t="s">
        <v>26</v>
      </c>
    </row>
    <row r="2197" ht="15.75" customHeight="1">
      <c r="A2197" s="7"/>
      <c r="B2197" s="7" t="str">
        <f>IFERROR(__xludf.DUMMYFUNCTION("""COMPUTED_VALUE"""),"C#;Go;HTML/CSS;Java;JavaScript;Kotlin;Objective-C;PHP;Python;SQL;Swift")</f>
        <v>C#;Go;HTML/CSS;Java;JavaScript;Kotlin;Objective-C;PHP;Python;SQL;Swift</v>
      </c>
      <c r="C2197" s="9" t="str">
        <f>IFERROR(__xludf.DUMMYFUNCTION("""COMPUTED_VALUE"""),"SQL")</f>
        <v>SQL</v>
      </c>
      <c r="D2197" s="9" t="str">
        <f>IFERROR(__xludf.DUMMYFUNCTION("""COMPUTED_VALUE"""),"Bash/Shell/PowerShell")</f>
        <v>Bash/Shell/PowerShell</v>
      </c>
      <c r="E2197" s="9" t="str">
        <f>IFERROR(__xludf.DUMMYFUNCTION("""COMPUTED_VALUE"""),"Python")</f>
        <v>Python</v>
      </c>
      <c r="F2197" s="9" t="str">
        <f>IFERROR(__xludf.DUMMYFUNCTION("""COMPUTED_VALUE"""),"Java")</f>
        <v>Java</v>
      </c>
      <c r="G2197" s="9" t="str">
        <f>IFERROR(__xludf.DUMMYFUNCTION("""COMPUTED_VALUE"""),"Assembly")</f>
        <v>Assembly</v>
      </c>
      <c r="H2197" s="9" t="str">
        <f>IFERROR(__xludf.DUMMYFUNCTION("""COMPUTED_VALUE"""),"JavaScript")</f>
        <v>JavaScript</v>
      </c>
      <c r="I2197" s="9" t="str">
        <f>IFERROR(__xludf.DUMMYFUNCTION("""COMPUTED_VALUE"""),"Python")</f>
        <v>Python</v>
      </c>
      <c r="J2197" s="9" t="str">
        <f>IFERROR(__xludf.DUMMYFUNCTION("""COMPUTED_VALUE"""),"SQL")</f>
        <v>SQL</v>
      </c>
      <c r="K2197" s="9" t="str">
        <f>IFERROR(__xludf.DUMMYFUNCTION("""COMPUTED_VALUE"""),"TypeScript")</f>
        <v>TypeScript</v>
      </c>
      <c r="L2197" s="9" t="str">
        <f>IFERROR(__xludf.DUMMYFUNCTION("""COMPUTED_VALUE"""),"C++")</f>
        <v>C++</v>
      </c>
      <c r="M2197" s="9" t="s">
        <v>27</v>
      </c>
    </row>
    <row r="2198" ht="15.75" customHeight="1">
      <c r="A2198" s="7"/>
      <c r="B2198" s="7" t="str">
        <f>IFERROR(__xludf.DUMMYFUNCTION("""COMPUTED_VALUE"""),"Assembly;Bash/Shell/PowerShell;C;C++;C#;HTML/CSS;Java;JavaScript;PHP;SQL;TypeScript;VBA")</f>
        <v>Assembly;Bash/Shell/PowerShell;C;C++;C#;HTML/CSS;Java;JavaScript;PHP;SQL;TypeScript;VBA</v>
      </c>
      <c r="C2198" s="9" t="str">
        <f>IFERROR(__xludf.DUMMYFUNCTION("""COMPUTED_VALUE"""),"Bash/Shell/PowerShell")</f>
        <v>Bash/Shell/PowerShell</v>
      </c>
      <c r="D2198" s="9" t="str">
        <f>IFERROR(__xludf.DUMMYFUNCTION("""COMPUTED_VALUE"""),"HTML/CSS")</f>
        <v>HTML/CSS</v>
      </c>
      <c r="E2198" s="9" t="str">
        <f>IFERROR(__xludf.DUMMYFUNCTION("""COMPUTED_VALUE"""),"SQL")</f>
        <v>SQL</v>
      </c>
      <c r="F2198" s="9" t="str">
        <f>IFERROR(__xludf.DUMMYFUNCTION("""COMPUTED_VALUE"""),"JavaScript")</f>
        <v>JavaScript</v>
      </c>
      <c r="G2198" s="9" t="str">
        <f>IFERROR(__xludf.DUMMYFUNCTION("""COMPUTED_VALUE"""),"Bash/Shell/PowerShell")</f>
        <v>Bash/Shell/PowerShell</v>
      </c>
      <c r="H2198" s="9" t="str">
        <f>IFERROR(__xludf.DUMMYFUNCTION("""COMPUTED_VALUE"""),"Objective-C")</f>
        <v>Objective-C</v>
      </c>
      <c r="I2198" s="9" t="str">
        <f>IFERROR(__xludf.DUMMYFUNCTION("""COMPUTED_VALUE"""),"TypeScript")</f>
        <v>TypeScript</v>
      </c>
      <c r="J2198" s="9" t="str">
        <f>IFERROR(__xludf.DUMMYFUNCTION("""COMPUTED_VALUE"""),"HTML/CSS")</f>
        <v>HTML/CSS</v>
      </c>
      <c r="K2198" s="9" t="str">
        <f>IFERROR(__xludf.DUMMYFUNCTION("""COMPUTED_VALUE"""),"C#")</f>
        <v>C#</v>
      </c>
      <c r="L2198" s="9" t="str">
        <f>IFERROR(__xludf.DUMMYFUNCTION("""COMPUTED_VALUE"""),"C#")</f>
        <v>C#</v>
      </c>
      <c r="M2198" s="9" t="s">
        <v>30</v>
      </c>
    </row>
    <row r="2199" ht="15.75" customHeight="1">
      <c r="A2199" s="7"/>
      <c r="B2199" s="7" t="str">
        <f>IFERROR(__xludf.DUMMYFUNCTION("""COMPUTED_VALUE"""),"Assembly;Bash/Shell/PowerShell;C;HTML/CSS;Java;Python;SQL")</f>
        <v>Assembly;Bash/Shell/PowerShell;C;HTML/CSS;Java;Python;SQL</v>
      </c>
      <c r="C2199" s="9" t="str">
        <f>IFERROR(__xludf.DUMMYFUNCTION("""COMPUTED_VALUE"""),"HTML/CSS")</f>
        <v>HTML/CSS</v>
      </c>
      <c r="D2199" s="9" t="str">
        <f>IFERROR(__xludf.DUMMYFUNCTION("""COMPUTED_VALUE"""),"Java")</f>
        <v>Java</v>
      </c>
      <c r="E2199" s="9" t="str">
        <f>IFERROR(__xludf.DUMMYFUNCTION("""COMPUTED_VALUE"""),"TypeScript")</f>
        <v>TypeScript</v>
      </c>
      <c r="F2199" s="9" t="str">
        <f>IFERROR(__xludf.DUMMYFUNCTION("""COMPUTED_VALUE"""),"Python")</f>
        <v>Python</v>
      </c>
      <c r="G2199" s="9" t="str">
        <f>IFERROR(__xludf.DUMMYFUNCTION("""COMPUTED_VALUE"""),"C")</f>
        <v>C</v>
      </c>
      <c r="H2199" s="9" t="str">
        <f>IFERROR(__xludf.DUMMYFUNCTION("""COMPUTED_VALUE"""),"Swift")</f>
        <v>Swift</v>
      </c>
      <c r="I2199" s="9" t="str">
        <f>IFERROR(__xludf.DUMMYFUNCTION("""COMPUTED_VALUE"""),"HTML/CSS")</f>
        <v>HTML/CSS</v>
      </c>
      <c r="J2199" s="9" t="str">
        <f>IFERROR(__xludf.DUMMYFUNCTION("""COMPUTED_VALUE"""),"Java")</f>
        <v>Java</v>
      </c>
      <c r="K2199" s="9" t="str">
        <f>IFERROR(__xludf.DUMMYFUNCTION("""COMPUTED_VALUE"""),"JavaScript")</f>
        <v>JavaScript</v>
      </c>
      <c r="L2199" s="9" t="str">
        <f>IFERROR(__xludf.DUMMYFUNCTION("""COMPUTED_VALUE"""),"Dart")</f>
        <v>Dart</v>
      </c>
      <c r="M2199" s="9" t="s">
        <v>24</v>
      </c>
    </row>
    <row r="2200" ht="15.75" customHeight="1">
      <c r="A2200" s="7"/>
      <c r="B2200" s="7" t="str">
        <f>IFERROR(__xludf.DUMMYFUNCTION("""COMPUTED_VALUE"""),"Bash/Shell/PowerShell;HTML/CSS;Java;JavaScript;PHP;Ruby;SQL;Swift;TypeScript")</f>
        <v>Bash/Shell/PowerShell;HTML/CSS;Java;JavaScript;PHP;Ruby;SQL;Swift;TypeScript</v>
      </c>
      <c r="C2200" s="9" t="str">
        <f>IFERROR(__xludf.DUMMYFUNCTION("""COMPUTED_VALUE"""),"Java")</f>
        <v>Java</v>
      </c>
      <c r="D2200" s="9" t="str">
        <f>IFERROR(__xludf.DUMMYFUNCTION("""COMPUTED_VALUE"""),"JavaScript")</f>
        <v>JavaScript</v>
      </c>
      <c r="E2200" s="9" t="str">
        <f>IFERROR(__xludf.DUMMYFUNCTION("""COMPUTED_VALUE"""),"HTML/CSS")</f>
        <v>HTML/CSS</v>
      </c>
      <c r="F2200" s="9" t="str">
        <f>IFERROR(__xludf.DUMMYFUNCTION("""COMPUTED_VALUE"""),"TypeScript")</f>
        <v>TypeScript</v>
      </c>
      <c r="G2200" s="9" t="str">
        <f>IFERROR(__xludf.DUMMYFUNCTION("""COMPUTED_VALUE"""),"C++")</f>
        <v>C++</v>
      </c>
      <c r="H2200" s="9" t="str">
        <f>IFERROR(__xludf.DUMMYFUNCTION("""COMPUTED_VALUE"""),"C#")</f>
        <v>C#</v>
      </c>
      <c r="I2200" s="9" t="str">
        <f>IFERROR(__xludf.DUMMYFUNCTION("""COMPUTED_VALUE"""),"Java")</f>
        <v>Java</v>
      </c>
      <c r="J2200" s="9" t="str">
        <f>IFERROR(__xludf.DUMMYFUNCTION("""COMPUTED_VALUE"""),"JavaScript")</f>
        <v>JavaScript</v>
      </c>
      <c r="K2200" s="9" t="str">
        <f>IFERROR(__xludf.DUMMYFUNCTION("""COMPUTED_VALUE"""),"SQL")</f>
        <v>SQL</v>
      </c>
      <c r="L2200" s="9" t="str">
        <f>IFERROR(__xludf.DUMMYFUNCTION("""COMPUTED_VALUE"""),"HTML/CSS")</f>
        <v>HTML/CSS</v>
      </c>
      <c r="M2200" s="9" t="s">
        <v>20</v>
      </c>
    </row>
    <row r="2201" ht="15.75" customHeight="1">
      <c r="A2201" s="7"/>
      <c r="B2201" s="7" t="str">
        <f>IFERROR(__xludf.DUMMYFUNCTION("""COMPUTED_VALUE"""),"Bash/Shell/PowerShell;C++;HTML/CSS;Java;JavaScript;PHP;Python;R;SQL")</f>
        <v>Bash/Shell/PowerShell;C++;HTML/CSS;Java;JavaScript;PHP;Python;R;SQL</v>
      </c>
      <c r="C2201" s="9" t="str">
        <f>IFERROR(__xludf.DUMMYFUNCTION("""COMPUTED_VALUE"""),"JavaScript")</f>
        <v>JavaScript</v>
      </c>
      <c r="D2201" s="9" t="str">
        <f>IFERROR(__xludf.DUMMYFUNCTION("""COMPUTED_VALUE"""),"PHP")</f>
        <v>PHP</v>
      </c>
      <c r="E2201" s="9" t="str">
        <f>IFERROR(__xludf.DUMMYFUNCTION("""COMPUTED_VALUE"""),"Java")</f>
        <v>Java</v>
      </c>
      <c r="F2201" s="9" t="str">
        <f>IFERROR(__xludf.DUMMYFUNCTION("""COMPUTED_VALUE"""),"Assembly")</f>
        <v>Assembly</v>
      </c>
      <c r="G2201" s="9" t="str">
        <f>IFERROR(__xludf.DUMMYFUNCTION("""COMPUTED_VALUE"""),"C#")</f>
        <v>C#</v>
      </c>
      <c r="H2201" s="9" t="str">
        <f>IFERROR(__xludf.DUMMYFUNCTION("""COMPUTED_VALUE"""),"HTML/CSS")</f>
        <v>HTML/CSS</v>
      </c>
      <c r="I2201" s="9" t="str">
        <f>IFERROR(__xludf.DUMMYFUNCTION("""COMPUTED_VALUE"""),"JavaScript")</f>
        <v>JavaScript</v>
      </c>
      <c r="J2201" s="9" t="str">
        <f>IFERROR(__xludf.DUMMYFUNCTION("""COMPUTED_VALUE"""),"Python")</f>
        <v>Python</v>
      </c>
      <c r="K2201" s="9" t="str">
        <f>IFERROR(__xludf.DUMMYFUNCTION("""COMPUTED_VALUE"""),"Other(s):")</f>
        <v>Other(s):</v>
      </c>
      <c r="L2201" s="9" t="str">
        <f>IFERROR(__xludf.DUMMYFUNCTION("""COMPUTED_VALUE"""),"Java")</f>
        <v>Java</v>
      </c>
      <c r="M2201" s="9" t="s">
        <v>21</v>
      </c>
    </row>
    <row r="2202" ht="15.75" customHeight="1">
      <c r="A2202" s="7"/>
      <c r="B2202" s="7" t="str">
        <f>IFERROR(__xludf.DUMMYFUNCTION("""COMPUTED_VALUE"""),"C++;Java;Python;SQL")</f>
        <v>C++;Java;Python;SQL</v>
      </c>
      <c r="C2202" s="9" t="str">
        <f>IFERROR(__xludf.DUMMYFUNCTION("""COMPUTED_VALUE"""),"Python")</f>
        <v>Python</v>
      </c>
      <c r="D2202" s="9" t="str">
        <f>IFERROR(__xludf.DUMMYFUNCTION("""COMPUTED_VALUE"""),"Python")</f>
        <v>Python</v>
      </c>
      <c r="E2202" s="9" t="str">
        <f>IFERROR(__xludf.DUMMYFUNCTION("""COMPUTED_VALUE"""),"JavaScript")</f>
        <v>JavaScript</v>
      </c>
      <c r="F2202" s="9" t="str">
        <f>IFERROR(__xludf.DUMMYFUNCTION("""COMPUTED_VALUE"""),"Bash/Shell/PowerShell")</f>
        <v>Bash/Shell/PowerShell</v>
      </c>
      <c r="G2202" s="9" t="str">
        <f>IFERROR(__xludf.DUMMYFUNCTION("""COMPUTED_VALUE"""),"HTML/CSS")</f>
        <v>HTML/CSS</v>
      </c>
      <c r="H2202" s="9" t="str">
        <f>IFERROR(__xludf.DUMMYFUNCTION("""COMPUTED_VALUE"""),"JavaScript")</f>
        <v>JavaScript</v>
      </c>
      <c r="I2202" s="9" t="str">
        <f>IFERROR(__xludf.DUMMYFUNCTION("""COMPUTED_VALUE"""),"PHP")</f>
        <v>PHP</v>
      </c>
      <c r="J2202" s="9" t="str">
        <f>IFERROR(__xludf.DUMMYFUNCTION("""COMPUTED_VALUE"""),"Bash/Shell/PowerShell")</f>
        <v>Bash/Shell/PowerShell</v>
      </c>
      <c r="K2202" s="9" t="str">
        <f>IFERROR(__xludf.DUMMYFUNCTION("""COMPUTED_VALUE"""),"Bash/Shell/PowerShell")</f>
        <v>Bash/Shell/PowerShell</v>
      </c>
      <c r="L2202" s="9" t="str">
        <f>IFERROR(__xludf.DUMMYFUNCTION("""COMPUTED_VALUE"""),"JavaScript")</f>
        <v>JavaScript</v>
      </c>
      <c r="M2202" s="9" t="s">
        <v>22</v>
      </c>
    </row>
    <row r="2203" ht="15.75" customHeight="1">
      <c r="A2203" s="7"/>
      <c r="B2203" s="7" t="str">
        <f>IFERROR(__xludf.DUMMYFUNCTION("""COMPUTED_VALUE"""),"Assembly;HTML/CSS;Java;JavaScript")</f>
        <v>Assembly;HTML/CSS;Java;JavaScript</v>
      </c>
      <c r="C2203" s="9" t="str">
        <f>IFERROR(__xludf.DUMMYFUNCTION("""COMPUTED_VALUE"""),"Bash/Shell/PowerShell")</f>
        <v>Bash/Shell/PowerShell</v>
      </c>
      <c r="D2203" s="9" t="str">
        <f>IFERROR(__xludf.DUMMYFUNCTION("""COMPUTED_VALUE"""),"R")</f>
        <v>R</v>
      </c>
      <c r="E2203" s="9" t="str">
        <f>IFERROR(__xludf.DUMMYFUNCTION("""COMPUTED_VALUE"""),"PHP")</f>
        <v>PHP</v>
      </c>
      <c r="F2203" s="9" t="str">
        <f>IFERROR(__xludf.DUMMYFUNCTION("""COMPUTED_VALUE"""),"C")</f>
        <v>C</v>
      </c>
      <c r="G2203" s="9" t="str">
        <f>IFERROR(__xludf.DUMMYFUNCTION("""COMPUTED_VALUE"""),"Objective-C")</f>
        <v>Objective-C</v>
      </c>
      <c r="H2203" s="9" t="str">
        <f>IFERROR(__xludf.DUMMYFUNCTION("""COMPUTED_VALUE"""),"Python")</f>
        <v>Python</v>
      </c>
      <c r="I2203" s="9" t="str">
        <f>IFERROR(__xludf.DUMMYFUNCTION("""COMPUTED_VALUE"""),"SQL")</f>
        <v>SQL</v>
      </c>
      <c r="J2203" s="9" t="str">
        <f>IFERROR(__xludf.DUMMYFUNCTION("""COMPUTED_VALUE"""),"C#")</f>
        <v>C#</v>
      </c>
      <c r="K2203" s="9" t="str">
        <f>IFERROR(__xludf.DUMMYFUNCTION("""COMPUTED_VALUE"""),"C")</f>
        <v>C</v>
      </c>
      <c r="L2203" s="9" t="str">
        <f>IFERROR(__xludf.DUMMYFUNCTION("""COMPUTED_VALUE"""),"SQL")</f>
        <v>SQL</v>
      </c>
      <c r="M2203" s="9" t="s">
        <v>30</v>
      </c>
    </row>
    <row r="2204" ht="15.75" customHeight="1">
      <c r="A2204" s="7"/>
      <c r="B2204" s="7" t="str">
        <f>IFERROR(__xludf.DUMMYFUNCTION("""COMPUTED_VALUE"""),"Bash/Shell/PowerShell;HTML/CSS;JavaScript;SQL;Other(s):")</f>
        <v>Bash/Shell/PowerShell;HTML/CSS;JavaScript;SQL;Other(s):</v>
      </c>
      <c r="C2204" s="9" t="str">
        <f>IFERROR(__xludf.DUMMYFUNCTION("""COMPUTED_VALUE"""),"Java")</f>
        <v>Java</v>
      </c>
      <c r="D2204" s="9" t="str">
        <f>IFERROR(__xludf.DUMMYFUNCTION("""COMPUTED_VALUE"""),"Scala")</f>
        <v>Scala</v>
      </c>
      <c r="E2204" s="9" t="str">
        <f>IFERROR(__xludf.DUMMYFUNCTION("""COMPUTED_VALUE"""),"Python")</f>
        <v>Python</v>
      </c>
      <c r="F2204" s="9" t="str">
        <f>IFERROR(__xludf.DUMMYFUNCTION("""COMPUTED_VALUE"""),"C++")</f>
        <v>C++</v>
      </c>
      <c r="G2204" s="9" t="str">
        <f>IFERROR(__xludf.DUMMYFUNCTION("""COMPUTED_VALUE"""),"PHP")</f>
        <v>PHP</v>
      </c>
      <c r="H2204" s="9" t="str">
        <f>IFERROR(__xludf.DUMMYFUNCTION("""COMPUTED_VALUE"""),"SQL")</f>
        <v>SQL</v>
      </c>
      <c r="I2204" s="9" t="str">
        <f>IFERROR(__xludf.DUMMYFUNCTION("""COMPUTED_VALUE"""),"TypeScript")</f>
        <v>TypeScript</v>
      </c>
      <c r="J2204" s="9" t="str">
        <f>IFERROR(__xludf.DUMMYFUNCTION("""COMPUTED_VALUE"""),"HTML/CSS")</f>
        <v>HTML/CSS</v>
      </c>
      <c r="K2204" s="9" t="str">
        <f>IFERROR(__xludf.DUMMYFUNCTION("""COMPUTED_VALUE"""),"C++")</f>
        <v>C++</v>
      </c>
      <c r="L2204" s="9" t="str">
        <f>IFERROR(__xludf.DUMMYFUNCTION("""COMPUTED_VALUE"""),"TypeScript")</f>
        <v>TypeScript</v>
      </c>
      <c r="M2204" s="9" t="s">
        <v>20</v>
      </c>
    </row>
    <row r="2205" ht="15.75" customHeight="1">
      <c r="A2205" s="7"/>
      <c r="B2205" s="7" t="str">
        <f>IFERROR(__xludf.DUMMYFUNCTION("""COMPUTED_VALUE"""),"Java;JavaScript;SQL")</f>
        <v>Java;JavaScript;SQL</v>
      </c>
      <c r="C2205" s="9" t="str">
        <f>IFERROR(__xludf.DUMMYFUNCTION("""COMPUTED_VALUE"""),"Python")</f>
        <v>Python</v>
      </c>
      <c r="D2205" s="9" t="str">
        <f>IFERROR(__xludf.DUMMYFUNCTION("""COMPUTED_VALUE"""),"SQL")</f>
        <v>SQL</v>
      </c>
      <c r="E2205" s="9" t="str">
        <f>IFERROR(__xludf.DUMMYFUNCTION("""COMPUTED_VALUE"""),"SQL")</f>
        <v>SQL</v>
      </c>
      <c r="F2205" s="9" t="str">
        <f>IFERROR(__xludf.DUMMYFUNCTION("""COMPUTED_VALUE"""),"HTML/CSS")</f>
        <v>HTML/CSS</v>
      </c>
      <c r="G2205" s="9" t="str">
        <f>IFERROR(__xludf.DUMMYFUNCTION("""COMPUTED_VALUE"""),"SQL")</f>
        <v>SQL</v>
      </c>
      <c r="H2205" s="9" t="str">
        <f>IFERROR(__xludf.DUMMYFUNCTION("""COMPUTED_VALUE"""),"TypeScript")</f>
        <v>TypeScript</v>
      </c>
      <c r="I2205" s="9" t="str">
        <f>IFERROR(__xludf.DUMMYFUNCTION("""COMPUTED_VALUE"""),"C++")</f>
        <v>C++</v>
      </c>
      <c r="J2205" s="9" t="str">
        <f>IFERROR(__xludf.DUMMYFUNCTION("""COMPUTED_VALUE"""),"JavaScript")</f>
        <v>JavaScript</v>
      </c>
      <c r="K2205" s="9" t="str">
        <f>IFERROR(__xludf.DUMMYFUNCTION("""COMPUTED_VALUE"""),"Bash/Shell/PowerShell")</f>
        <v>Bash/Shell/PowerShell</v>
      </c>
      <c r="L2205" s="9" t="str">
        <f>IFERROR(__xludf.DUMMYFUNCTION("""COMPUTED_VALUE"""),"WebAssembly")</f>
        <v>WebAssembly</v>
      </c>
      <c r="M2205" s="9" t="s">
        <v>22</v>
      </c>
    </row>
    <row r="2206" ht="15.75" customHeight="1">
      <c r="A2206" s="7"/>
      <c r="B2206" s="7" t="str">
        <f>IFERROR(__xludf.DUMMYFUNCTION("""COMPUTED_VALUE"""),"Bash/Shell/PowerShell;C#;HTML/CSS;JavaScript;PHP;SQL;TypeScript;VBA")</f>
        <v>Bash/Shell/PowerShell;C#;HTML/CSS;JavaScript;PHP;SQL;TypeScript;VBA</v>
      </c>
      <c r="C2206" s="9" t="str">
        <f>IFERROR(__xludf.DUMMYFUNCTION("""COMPUTED_VALUE"""),"Bash/Shell/PowerShell")</f>
        <v>Bash/Shell/PowerShell</v>
      </c>
      <c r="D2206" s="9" t="str">
        <f>IFERROR(__xludf.DUMMYFUNCTION("""COMPUTED_VALUE"""),"VBA")</f>
        <v>VBA</v>
      </c>
      <c r="E2206" s="9" t="str">
        <f>IFERROR(__xludf.DUMMYFUNCTION("""COMPUTED_VALUE"""),"Assembly")</f>
        <v>Assembly</v>
      </c>
      <c r="F2206" s="9" t="str">
        <f>IFERROR(__xludf.DUMMYFUNCTION("""COMPUTED_VALUE"""),"JavaScript")</f>
        <v>JavaScript</v>
      </c>
      <c r="G2206" s="9" t="str">
        <f>IFERROR(__xludf.DUMMYFUNCTION("""COMPUTED_VALUE"""),"C#")</f>
        <v>C#</v>
      </c>
      <c r="H2206" s="9" t="str">
        <f>IFERROR(__xludf.DUMMYFUNCTION("""COMPUTED_VALUE"""),"VBA")</f>
        <v>VBA</v>
      </c>
      <c r="I2206" s="9" t="str">
        <f>IFERROR(__xludf.DUMMYFUNCTION("""COMPUTED_VALUE"""),"Java")</f>
        <v>Java</v>
      </c>
      <c r="J2206" s="9" t="str">
        <f>IFERROR(__xludf.DUMMYFUNCTION("""COMPUTED_VALUE"""),"TypeScript")</f>
        <v>TypeScript</v>
      </c>
      <c r="K2206" s="9" t="str">
        <f>IFERROR(__xludf.DUMMYFUNCTION("""COMPUTED_VALUE"""),"C++")</f>
        <v>C++</v>
      </c>
      <c r="L2206" s="9" t="str">
        <f>IFERROR(__xludf.DUMMYFUNCTION("""COMPUTED_VALUE"""),"Bash/Shell/PowerShell")</f>
        <v>Bash/Shell/PowerShell</v>
      </c>
      <c r="M2206" s="9" t="s">
        <v>30</v>
      </c>
    </row>
    <row r="2207" ht="15.75" customHeight="1">
      <c r="A2207" s="7"/>
      <c r="B2207" s="7" t="str">
        <f>IFERROR(__xludf.DUMMYFUNCTION("""COMPUTED_VALUE"""),"HTML/CSS;JavaScript;PHP;Python")</f>
        <v>HTML/CSS;JavaScript;PHP;Python</v>
      </c>
      <c r="C2207" s="9" t="str">
        <f>IFERROR(__xludf.DUMMYFUNCTION("""COMPUTED_VALUE"""),"Java")</f>
        <v>Java</v>
      </c>
      <c r="D2207" s="9" t="str">
        <f>IFERROR(__xludf.DUMMYFUNCTION("""COMPUTED_VALUE"""),"Bash/Shell/PowerShell")</f>
        <v>Bash/Shell/PowerShell</v>
      </c>
      <c r="E2207" s="9" t="str">
        <f>IFERROR(__xludf.DUMMYFUNCTION("""COMPUTED_VALUE"""),"Bash/Shell/PowerShell")</f>
        <v>Bash/Shell/PowerShell</v>
      </c>
      <c r="F2207" s="9" t="str">
        <f>IFERROR(__xludf.DUMMYFUNCTION("""COMPUTED_VALUE"""),"Python")</f>
        <v>Python</v>
      </c>
      <c r="G2207" s="9" t="str">
        <f>IFERROR(__xludf.DUMMYFUNCTION("""COMPUTED_VALUE"""),"SQL")</f>
        <v>SQL</v>
      </c>
      <c r="H2207" s="9" t="str">
        <f>IFERROR(__xludf.DUMMYFUNCTION("""COMPUTED_VALUE"""),"Bash/Shell/PowerShell")</f>
        <v>Bash/Shell/PowerShell</v>
      </c>
      <c r="I2207" s="9" t="str">
        <f>IFERROR(__xludf.DUMMYFUNCTION("""COMPUTED_VALUE"""),"PHP")</f>
        <v>PHP</v>
      </c>
      <c r="J2207" s="9" t="str">
        <f>IFERROR(__xludf.DUMMYFUNCTION("""COMPUTED_VALUE"""),"C#")</f>
        <v>C#</v>
      </c>
      <c r="K2207" s="9" t="str">
        <f>IFERROR(__xludf.DUMMYFUNCTION("""COMPUTED_VALUE"""),"HTML/CSS")</f>
        <v>HTML/CSS</v>
      </c>
      <c r="L2207" s="9" t="str">
        <f>IFERROR(__xludf.DUMMYFUNCTION("""COMPUTED_VALUE"""),"C++")</f>
        <v>C++</v>
      </c>
      <c r="M2207" s="9" t="s">
        <v>20</v>
      </c>
    </row>
    <row r="2208" ht="15.75" customHeight="1">
      <c r="A2208" s="7"/>
      <c r="B2208" s="7" t="str">
        <f>IFERROR(__xludf.DUMMYFUNCTION("""COMPUTED_VALUE"""),"C++;HTML/CSS;Java;JavaScript;SQL;TypeScript")</f>
        <v>C++;HTML/CSS;Java;JavaScript;SQL;TypeScript</v>
      </c>
      <c r="C2208" s="9" t="str">
        <f>IFERROR(__xludf.DUMMYFUNCTION("""COMPUTED_VALUE"""),"SQL")</f>
        <v>SQL</v>
      </c>
      <c r="D2208" s="9" t="str">
        <f>IFERROR(__xludf.DUMMYFUNCTION("""COMPUTED_VALUE"""),"C#")</f>
        <v>C#</v>
      </c>
      <c r="E2208" s="9" t="str">
        <f>IFERROR(__xludf.DUMMYFUNCTION("""COMPUTED_VALUE"""),"C")</f>
        <v>C</v>
      </c>
      <c r="F2208" s="9" t="str">
        <f>IFERROR(__xludf.DUMMYFUNCTION("""COMPUTED_VALUE"""),"Bash/Shell/PowerShell")</f>
        <v>Bash/Shell/PowerShell</v>
      </c>
      <c r="G2208" s="9" t="str">
        <f>IFERROR(__xludf.DUMMYFUNCTION("""COMPUTED_VALUE"""),"C")</f>
        <v>C</v>
      </c>
      <c r="H2208" s="9" t="str">
        <f>IFERROR(__xludf.DUMMYFUNCTION("""COMPUTED_VALUE"""),"HTML/CSS")</f>
        <v>HTML/CSS</v>
      </c>
      <c r="I2208" s="9" t="str">
        <f>IFERROR(__xludf.DUMMYFUNCTION("""COMPUTED_VALUE"""),"Bash/Shell/PowerShell")</f>
        <v>Bash/Shell/PowerShell</v>
      </c>
      <c r="J2208" s="9" t="str">
        <f>IFERROR(__xludf.DUMMYFUNCTION("""COMPUTED_VALUE"""),"HTML/CSS")</f>
        <v>HTML/CSS</v>
      </c>
      <c r="K2208" s="9" t="str">
        <f>IFERROR(__xludf.DUMMYFUNCTION("""COMPUTED_VALUE"""),"Java")</f>
        <v>Java</v>
      </c>
      <c r="L2208" s="9" t="str">
        <f>IFERROR(__xludf.DUMMYFUNCTION("""COMPUTED_VALUE"""),"HTML/CSS")</f>
        <v>HTML/CSS</v>
      </c>
      <c r="M2208" s="9" t="s">
        <v>27</v>
      </c>
    </row>
    <row r="2209" ht="15.75" customHeight="1">
      <c r="A2209" s="7"/>
      <c r="B2209" s="7" t="str">
        <f>IFERROR(__xludf.DUMMYFUNCTION("""COMPUTED_VALUE"""),"Bash/Shell/PowerShell;C;C++;C#;HTML/CSS;JavaScript;PHP;SQL;VBA")</f>
        <v>Bash/Shell/PowerShell;C;C++;C#;HTML/CSS;JavaScript;PHP;SQL;VBA</v>
      </c>
      <c r="C2209" s="9" t="str">
        <f>IFERROR(__xludf.DUMMYFUNCTION("""COMPUTED_VALUE"""),"Other(s):")</f>
        <v>Other(s):</v>
      </c>
      <c r="D2209" s="9" t="str">
        <f>IFERROR(__xludf.DUMMYFUNCTION("""COMPUTED_VALUE"""),"HTML/CSS")</f>
        <v>HTML/CSS</v>
      </c>
      <c r="E2209" s="9" t="str">
        <f>IFERROR(__xludf.DUMMYFUNCTION("""COMPUTED_VALUE"""),"C++")</f>
        <v>C++</v>
      </c>
      <c r="F2209" s="9" t="str">
        <f>IFERROR(__xludf.DUMMYFUNCTION("""COMPUTED_VALUE"""),"Python")</f>
        <v>Python</v>
      </c>
      <c r="G2209" s="9" t="str">
        <f>IFERROR(__xludf.DUMMYFUNCTION("""COMPUTED_VALUE"""),"Dart")</f>
        <v>Dart</v>
      </c>
      <c r="H2209" s="9" t="str">
        <f>IFERROR(__xludf.DUMMYFUNCTION("""COMPUTED_VALUE"""),"Java")</f>
        <v>Java</v>
      </c>
      <c r="I2209" s="9" t="str">
        <f>IFERROR(__xludf.DUMMYFUNCTION("""COMPUTED_VALUE"""),"HTML/CSS")</f>
        <v>HTML/CSS</v>
      </c>
      <c r="J2209" s="9" t="str">
        <f>IFERROR(__xludf.DUMMYFUNCTION("""COMPUTED_VALUE"""),"JavaScript")</f>
        <v>JavaScript</v>
      </c>
      <c r="K2209" s="9" t="str">
        <f>IFERROR(__xludf.DUMMYFUNCTION("""COMPUTED_VALUE"""),"JavaScript")</f>
        <v>JavaScript</v>
      </c>
      <c r="L2209" s="9" t="str">
        <f>IFERROR(__xludf.DUMMYFUNCTION("""COMPUTED_VALUE"""),"Java")</f>
        <v>Java</v>
      </c>
      <c r="M2209" s="9" t="s">
        <v>35</v>
      </c>
    </row>
    <row r="2210" ht="15.75" customHeight="1">
      <c r="A2210" s="7"/>
      <c r="B2210" s="7" t="str">
        <f>IFERROR(__xludf.DUMMYFUNCTION("""COMPUTED_VALUE"""),"Assembly;Bash/Shell/PowerShell;C;C++;HTML/CSS;Java;JavaScript;Kotlin;PHP;Python;SQL;Swift;TypeScript;Other(s):")</f>
        <v>Assembly;Bash/Shell/PowerShell;C;C++;HTML/CSS;Java;JavaScript;Kotlin;PHP;Python;SQL;Swift;TypeScript;Other(s):</v>
      </c>
      <c r="C2210" s="9" t="str">
        <f>IFERROR(__xludf.DUMMYFUNCTION("""COMPUTED_VALUE"""),"Bash/Shell/PowerShell")</f>
        <v>Bash/Shell/PowerShell</v>
      </c>
      <c r="D2210" s="9" t="str">
        <f>IFERROR(__xludf.DUMMYFUNCTION("""COMPUTED_VALUE"""),"Java")</f>
        <v>Java</v>
      </c>
      <c r="E2210" s="9" t="str">
        <f>IFERROR(__xludf.DUMMYFUNCTION("""COMPUTED_VALUE"""),"C#")</f>
        <v>C#</v>
      </c>
      <c r="F2210" s="9" t="str">
        <f>IFERROR(__xludf.DUMMYFUNCTION("""COMPUTED_VALUE"""),"C++")</f>
        <v>C++</v>
      </c>
      <c r="G2210" s="9" t="str">
        <f>IFERROR(__xludf.DUMMYFUNCTION("""COMPUTED_VALUE"""),"HTML/CSS")</f>
        <v>HTML/CSS</v>
      </c>
      <c r="H2210" s="9" t="str">
        <f>IFERROR(__xludf.DUMMYFUNCTION("""COMPUTED_VALUE"""),"JavaScript")</f>
        <v>JavaScript</v>
      </c>
      <c r="I2210" s="9" t="str">
        <f>IFERROR(__xludf.DUMMYFUNCTION("""COMPUTED_VALUE"""),"Java")</f>
        <v>Java</v>
      </c>
      <c r="J2210" s="9" t="str">
        <f>IFERROR(__xludf.DUMMYFUNCTION("""COMPUTED_VALUE"""),"SQL")</f>
        <v>SQL</v>
      </c>
      <c r="K2210" s="9" t="str">
        <f>IFERROR(__xludf.DUMMYFUNCTION("""COMPUTED_VALUE"""),"PHP")</f>
        <v>PHP</v>
      </c>
      <c r="L2210" s="9" t="str">
        <f>IFERROR(__xludf.DUMMYFUNCTION("""COMPUTED_VALUE"""),"JavaScript")</f>
        <v>JavaScript</v>
      </c>
      <c r="M2210" s="9" t="s">
        <v>30</v>
      </c>
    </row>
    <row r="2211" ht="15.75" customHeight="1">
      <c r="A2211" s="7"/>
      <c r="B2211" s="7" t="str">
        <f>IFERROR(__xludf.DUMMYFUNCTION("""COMPUTED_VALUE"""),"Bash/Shell/PowerShell;C#;HTML/CSS;Java;JavaScript;SQL;TypeScript")</f>
        <v>Bash/Shell/PowerShell;C#;HTML/CSS;Java;JavaScript;SQL;TypeScript</v>
      </c>
      <c r="C2211" s="9" t="str">
        <f>IFERROR(__xludf.DUMMYFUNCTION("""COMPUTED_VALUE"""),"C#")</f>
        <v>C#</v>
      </c>
      <c r="D2211" s="9" t="str">
        <f>IFERROR(__xludf.DUMMYFUNCTION("""COMPUTED_VALUE"""),"JavaScript")</f>
        <v>JavaScript</v>
      </c>
      <c r="E2211" s="9" t="str">
        <f>IFERROR(__xludf.DUMMYFUNCTION("""COMPUTED_VALUE"""),"HTML/CSS")</f>
        <v>HTML/CSS</v>
      </c>
      <c r="F2211" s="9" t="str">
        <f>IFERROR(__xludf.DUMMYFUNCTION("""COMPUTED_VALUE"""),"C#")</f>
        <v>C#</v>
      </c>
      <c r="G2211" s="9" t="str">
        <f>IFERROR(__xludf.DUMMYFUNCTION("""COMPUTED_VALUE"""),"Java")</f>
        <v>Java</v>
      </c>
      <c r="H2211" s="9" t="str">
        <f>IFERROR(__xludf.DUMMYFUNCTION("""COMPUTED_VALUE"""),"PHP")</f>
        <v>PHP</v>
      </c>
      <c r="I2211" s="9" t="str">
        <f>IFERROR(__xludf.DUMMYFUNCTION("""COMPUTED_VALUE"""),"JavaScript")</f>
        <v>JavaScript</v>
      </c>
      <c r="J2211" s="9" t="str">
        <f>IFERROR(__xludf.DUMMYFUNCTION("""COMPUTED_VALUE"""),"Python")</f>
        <v>Python</v>
      </c>
      <c r="K2211" s="9" t="str">
        <f>IFERROR(__xludf.DUMMYFUNCTION("""COMPUTED_VALUE"""),"Python")</f>
        <v>Python</v>
      </c>
      <c r="L2211" s="9" t="str">
        <f>IFERROR(__xludf.DUMMYFUNCTION("""COMPUTED_VALUE"""),"PHP")</f>
        <v>PHP</v>
      </c>
      <c r="M2211" s="9" t="s">
        <v>26</v>
      </c>
    </row>
    <row r="2212" ht="15.75" customHeight="1">
      <c r="A2212" s="7"/>
      <c r="B2212" s="7" t="str">
        <f>IFERROR(__xludf.DUMMYFUNCTION("""COMPUTED_VALUE"""),"C;C++;Java;JavaScript;SQL;TypeScript")</f>
        <v>C;C++;Java;JavaScript;SQL;TypeScript</v>
      </c>
      <c r="C2212" s="9" t="str">
        <f>IFERROR(__xludf.DUMMYFUNCTION("""COMPUTED_VALUE"""),"HTML/CSS")</f>
        <v>HTML/CSS</v>
      </c>
      <c r="D2212" s="9" t="str">
        <f>IFERROR(__xludf.DUMMYFUNCTION("""COMPUTED_VALUE"""),"Python")</f>
        <v>Python</v>
      </c>
      <c r="E2212" s="9" t="str">
        <f>IFERROR(__xludf.DUMMYFUNCTION("""COMPUTED_VALUE"""),"Java")</f>
        <v>Java</v>
      </c>
      <c r="F2212" s="9" t="str">
        <f>IFERROR(__xludf.DUMMYFUNCTION("""COMPUTED_VALUE"""),"Java")</f>
        <v>Java</v>
      </c>
      <c r="G2212" s="9" t="str">
        <f>IFERROR(__xludf.DUMMYFUNCTION("""COMPUTED_VALUE"""),"JavaScript")</f>
        <v>JavaScript</v>
      </c>
      <c r="H2212" s="9" t="str">
        <f>IFERROR(__xludf.DUMMYFUNCTION("""COMPUTED_VALUE"""),"SQL")</f>
        <v>SQL</v>
      </c>
      <c r="I2212" s="9" t="str">
        <f>IFERROR(__xludf.DUMMYFUNCTION("""COMPUTED_VALUE"""),"SQL")</f>
        <v>SQL</v>
      </c>
      <c r="J2212" s="9" t="str">
        <f>IFERROR(__xludf.DUMMYFUNCTION("""COMPUTED_VALUE"""),"Scala")</f>
        <v>Scala</v>
      </c>
      <c r="K2212" s="9" t="str">
        <f>IFERROR(__xludf.DUMMYFUNCTION("""COMPUTED_VALUE"""),"C#")</f>
        <v>C#</v>
      </c>
      <c r="L2212" s="9" t="str">
        <f>IFERROR(__xludf.DUMMYFUNCTION("""COMPUTED_VALUE"""),"Python")</f>
        <v>Python</v>
      </c>
      <c r="M2212" s="9" t="s">
        <v>24</v>
      </c>
    </row>
    <row r="2213" ht="15.75" customHeight="1">
      <c r="A2213" s="7"/>
      <c r="B2213" s="7" t="str">
        <f>IFERROR(__xludf.DUMMYFUNCTION("""COMPUTED_VALUE"""),"HTML/CSS;Python;R")</f>
        <v>HTML/CSS;Python;R</v>
      </c>
      <c r="C2213" s="9" t="str">
        <f>IFERROR(__xludf.DUMMYFUNCTION("""COMPUTED_VALUE"""),"Java")</f>
        <v>Java</v>
      </c>
      <c r="D2213" s="9" t="str">
        <f>IFERROR(__xludf.DUMMYFUNCTION("""COMPUTED_VALUE"""),"SQL")</f>
        <v>SQL</v>
      </c>
      <c r="E2213" s="9" t="str">
        <f>IFERROR(__xludf.DUMMYFUNCTION("""COMPUTED_VALUE"""),"JavaScript")</f>
        <v>JavaScript</v>
      </c>
      <c r="F2213" s="9" t="str">
        <f>IFERROR(__xludf.DUMMYFUNCTION("""COMPUTED_VALUE"""),"Objective-C")</f>
        <v>Objective-C</v>
      </c>
      <c r="G2213" s="9" t="str">
        <f>IFERROR(__xludf.DUMMYFUNCTION("""COMPUTED_VALUE"""),"Kotlin")</f>
        <v>Kotlin</v>
      </c>
      <c r="H2213" s="9" t="str">
        <f>IFERROR(__xludf.DUMMYFUNCTION("""COMPUTED_VALUE"""),"HTML/CSS")</f>
        <v>HTML/CSS</v>
      </c>
      <c r="I2213" s="9" t="str">
        <f>IFERROR(__xludf.DUMMYFUNCTION("""COMPUTED_VALUE"""),"C")</f>
        <v>C</v>
      </c>
      <c r="J2213" s="9" t="str">
        <f>IFERROR(__xludf.DUMMYFUNCTION("""COMPUTED_VALUE"""),"SQL")</f>
        <v>SQL</v>
      </c>
      <c r="K2213" s="9" t="str">
        <f>IFERROR(__xludf.DUMMYFUNCTION("""COMPUTED_VALUE"""),"HTML/CSS")</f>
        <v>HTML/CSS</v>
      </c>
      <c r="L2213" s="9" t="str">
        <f>IFERROR(__xludf.DUMMYFUNCTION("""COMPUTED_VALUE"""),"SQL")</f>
        <v>SQL</v>
      </c>
      <c r="M2213" s="9" t="s">
        <v>20</v>
      </c>
    </row>
    <row r="2214" ht="15.75" customHeight="1">
      <c r="A2214" s="7"/>
      <c r="B2214" s="7" t="str">
        <f>IFERROR(__xludf.DUMMYFUNCTION("""COMPUTED_VALUE"""),"C#;HTML/CSS;JavaScript")</f>
        <v>C#;HTML/CSS;JavaScript</v>
      </c>
      <c r="C2214" s="9" t="str">
        <f>IFERROR(__xludf.DUMMYFUNCTION("""COMPUTED_VALUE"""),"JavaScript")</f>
        <v>JavaScript</v>
      </c>
      <c r="D2214" s="9" t="str">
        <f>IFERROR(__xludf.DUMMYFUNCTION("""COMPUTED_VALUE"""),"Python")</f>
        <v>Python</v>
      </c>
      <c r="E2214" s="9" t="str">
        <f>IFERROR(__xludf.DUMMYFUNCTION("""COMPUTED_VALUE"""),"Kotlin")</f>
        <v>Kotlin</v>
      </c>
      <c r="F2214" s="9" t="str">
        <f>IFERROR(__xludf.DUMMYFUNCTION("""COMPUTED_VALUE"""),"Bash/Shell/PowerShell")</f>
        <v>Bash/Shell/PowerShell</v>
      </c>
      <c r="G2214" s="9" t="str">
        <f>IFERROR(__xludf.DUMMYFUNCTION("""COMPUTED_VALUE"""),"PHP")</f>
        <v>PHP</v>
      </c>
      <c r="H2214" s="9" t="str">
        <f>IFERROR(__xludf.DUMMYFUNCTION("""COMPUTED_VALUE"""),"Java")</f>
        <v>Java</v>
      </c>
      <c r="I2214" s="9" t="str">
        <f>IFERROR(__xludf.DUMMYFUNCTION("""COMPUTED_VALUE"""),"C++")</f>
        <v>C++</v>
      </c>
      <c r="J2214" s="9" t="str">
        <f>IFERROR(__xludf.DUMMYFUNCTION("""COMPUTED_VALUE"""),"C")</f>
        <v>C</v>
      </c>
      <c r="K2214" s="9" t="str">
        <f>IFERROR(__xludf.DUMMYFUNCTION("""COMPUTED_VALUE"""),"JavaScript")</f>
        <v>JavaScript</v>
      </c>
      <c r="L2214" s="9" t="str">
        <f>IFERROR(__xludf.DUMMYFUNCTION("""COMPUTED_VALUE"""),"Bash/Shell/PowerShell")</f>
        <v>Bash/Shell/PowerShell</v>
      </c>
      <c r="M2214" s="9" t="s">
        <v>21</v>
      </c>
    </row>
    <row r="2215" ht="15.75" customHeight="1">
      <c r="A2215" s="7"/>
      <c r="B2215" s="7" t="str">
        <f>IFERROR(__xludf.DUMMYFUNCTION("""COMPUTED_VALUE"""),"Bash/Shell/PowerShell;HTML/CSS;JavaScript;PHP;Python;SQL;TypeScript")</f>
        <v>Bash/Shell/PowerShell;HTML/CSS;JavaScript;PHP;Python;SQL;TypeScript</v>
      </c>
      <c r="C2215" s="9" t="str">
        <f>IFERROR(__xludf.DUMMYFUNCTION("""COMPUTED_VALUE"""),"TypeScript")</f>
        <v>TypeScript</v>
      </c>
      <c r="D2215" s="9" t="str">
        <f>IFERROR(__xludf.DUMMYFUNCTION("""COMPUTED_VALUE"""),"Bash/Shell/PowerShell")</f>
        <v>Bash/Shell/PowerShell</v>
      </c>
      <c r="E2215" s="9" t="str">
        <f>IFERROR(__xludf.DUMMYFUNCTION("""COMPUTED_VALUE"""),"PHP")</f>
        <v>PHP</v>
      </c>
      <c r="F2215" s="9" t="str">
        <f>IFERROR(__xludf.DUMMYFUNCTION("""COMPUTED_VALUE"""),"Java")</f>
        <v>Java</v>
      </c>
      <c r="G2215" s="9" t="str">
        <f>IFERROR(__xludf.DUMMYFUNCTION("""COMPUTED_VALUE"""),"Python")</f>
        <v>Python</v>
      </c>
      <c r="H2215" s="9" t="str">
        <f>IFERROR(__xludf.DUMMYFUNCTION("""COMPUTED_VALUE"""),"JavaScript")</f>
        <v>JavaScript</v>
      </c>
      <c r="I2215" s="9" t="str">
        <f>IFERROR(__xludf.DUMMYFUNCTION("""COMPUTED_VALUE"""),"C#")</f>
        <v>C#</v>
      </c>
      <c r="J2215" s="9" t="str">
        <f>IFERROR(__xludf.DUMMYFUNCTION("""COMPUTED_VALUE"""),"C++")</f>
        <v>C++</v>
      </c>
      <c r="K2215" s="9" t="str">
        <f>IFERROR(__xludf.DUMMYFUNCTION("""COMPUTED_VALUE"""),"Python")</f>
        <v>Python</v>
      </c>
      <c r="L2215" s="9" t="str">
        <f>IFERROR(__xludf.DUMMYFUNCTION("""COMPUTED_VALUE"""),"SQL")</f>
        <v>SQL</v>
      </c>
      <c r="M2215" s="9" t="s">
        <v>33</v>
      </c>
    </row>
    <row r="2216" ht="15.75" customHeight="1">
      <c r="A2216" s="7"/>
      <c r="B2216" s="7" t="str">
        <f>IFERROR(__xludf.DUMMYFUNCTION("""COMPUTED_VALUE"""),"HTML/CSS;JavaScript;Python")</f>
        <v>HTML/CSS;JavaScript;Python</v>
      </c>
      <c r="C2216" s="9" t="str">
        <f>IFERROR(__xludf.DUMMYFUNCTION("""COMPUTED_VALUE"""),"Other(s):")</f>
        <v>Other(s):</v>
      </c>
      <c r="D2216" s="9" t="str">
        <f>IFERROR(__xludf.DUMMYFUNCTION("""COMPUTED_VALUE"""),"HTML/CSS")</f>
        <v>HTML/CSS</v>
      </c>
      <c r="E2216" s="9" t="str">
        <f>IFERROR(__xludf.DUMMYFUNCTION("""COMPUTED_VALUE"""),"Python")</f>
        <v>Python</v>
      </c>
      <c r="F2216" s="9" t="str">
        <f>IFERROR(__xludf.DUMMYFUNCTION("""COMPUTED_VALUE"""),"JavaScript")</f>
        <v>JavaScript</v>
      </c>
      <c r="G2216" s="9" t="str">
        <f>IFERROR(__xludf.DUMMYFUNCTION("""COMPUTED_VALUE"""),"SQL")</f>
        <v>SQL</v>
      </c>
      <c r="H2216" s="9" t="str">
        <f>IFERROR(__xludf.DUMMYFUNCTION("""COMPUTED_VALUE"""),"Python")</f>
        <v>Python</v>
      </c>
      <c r="I2216" s="9" t="str">
        <f>IFERROR(__xludf.DUMMYFUNCTION("""COMPUTED_VALUE"""),"HTML/CSS")</f>
        <v>HTML/CSS</v>
      </c>
      <c r="J2216" s="9" t="str">
        <f>IFERROR(__xludf.DUMMYFUNCTION("""COMPUTED_VALUE"""),"C#")</f>
        <v>C#</v>
      </c>
      <c r="K2216" s="9" t="str">
        <f>IFERROR(__xludf.DUMMYFUNCTION("""COMPUTED_VALUE"""),"SQL")</f>
        <v>SQL</v>
      </c>
      <c r="L2216" s="9" t="str">
        <f>IFERROR(__xludf.DUMMYFUNCTION("""COMPUTED_VALUE"""),"Python")</f>
        <v>Python</v>
      </c>
      <c r="M2216" s="9" t="s">
        <v>35</v>
      </c>
    </row>
    <row r="2217" ht="15.75" customHeight="1">
      <c r="A2217" s="7"/>
      <c r="B2217" s="7" t="str">
        <f>IFERROR(__xludf.DUMMYFUNCTION("""COMPUTED_VALUE"""),"Assembly;C;C++;C#;HTML/CSS;Java;JavaScript;PHP;SQL;Other(s):")</f>
        <v>Assembly;C;C++;C#;HTML/CSS;Java;JavaScript;PHP;SQL;Other(s):</v>
      </c>
      <c r="C2217" s="9" t="str">
        <f>IFERROR(__xludf.DUMMYFUNCTION("""COMPUTED_VALUE"""),"C#")</f>
        <v>C#</v>
      </c>
      <c r="D2217" s="9" t="str">
        <f>IFERROR(__xludf.DUMMYFUNCTION("""COMPUTED_VALUE"""),"Java")</f>
        <v>Java</v>
      </c>
      <c r="E2217" s="9" t="str">
        <f>IFERROR(__xludf.DUMMYFUNCTION("""COMPUTED_VALUE"""),"SQL")</f>
        <v>SQL</v>
      </c>
      <c r="F2217" s="9" t="str">
        <f>IFERROR(__xludf.DUMMYFUNCTION("""COMPUTED_VALUE"""),"Python")</f>
        <v>Python</v>
      </c>
      <c r="G2217" s="9" t="str">
        <f>IFERROR(__xludf.DUMMYFUNCTION("""COMPUTED_VALUE"""),"Java")</f>
        <v>Java</v>
      </c>
      <c r="H2217" s="9" t="str">
        <f>IFERROR(__xludf.DUMMYFUNCTION("""COMPUTED_VALUE"""),"Other(s):")</f>
        <v>Other(s):</v>
      </c>
      <c r="I2217" s="9" t="str">
        <f>IFERROR(__xludf.DUMMYFUNCTION("""COMPUTED_VALUE"""),"JavaScript")</f>
        <v>JavaScript</v>
      </c>
      <c r="J2217" s="9" t="str">
        <f>IFERROR(__xludf.DUMMYFUNCTION("""COMPUTED_VALUE"""),"HTML/CSS")</f>
        <v>HTML/CSS</v>
      </c>
      <c r="K2217" s="9" t="str">
        <f>IFERROR(__xludf.DUMMYFUNCTION("""COMPUTED_VALUE"""),"TypeScript")</f>
        <v>TypeScript</v>
      </c>
      <c r="L2217" s="9" t="str">
        <f>IFERROR(__xludf.DUMMYFUNCTION("""COMPUTED_VALUE"""),"C")</f>
        <v>C</v>
      </c>
      <c r="M2217" s="9" t="s">
        <v>26</v>
      </c>
    </row>
    <row r="2218" ht="15.75" customHeight="1">
      <c r="A2218" s="7"/>
      <c r="B2218" s="7" t="str">
        <f>IFERROR(__xludf.DUMMYFUNCTION("""COMPUTED_VALUE"""),"C;C++;HTML/CSS;JavaScript")</f>
        <v>C;C++;HTML/CSS;JavaScript</v>
      </c>
      <c r="C2218" s="9" t="str">
        <f>IFERROR(__xludf.DUMMYFUNCTION("""COMPUTED_VALUE"""),"HTML/CSS")</f>
        <v>HTML/CSS</v>
      </c>
      <c r="D2218" s="9" t="str">
        <f>IFERROR(__xludf.DUMMYFUNCTION("""COMPUTED_VALUE"""),"JavaScript")</f>
        <v>JavaScript</v>
      </c>
      <c r="E2218" s="9" t="str">
        <f>IFERROR(__xludf.DUMMYFUNCTION("""COMPUTED_VALUE"""),"TypeScript")</f>
        <v>TypeScript</v>
      </c>
      <c r="F2218" s="9" t="str">
        <f>IFERROR(__xludf.DUMMYFUNCTION("""COMPUTED_VALUE"""),"SQL")</f>
        <v>SQL</v>
      </c>
      <c r="G2218" s="9" t="str">
        <f>IFERROR(__xludf.DUMMYFUNCTION("""COMPUTED_VALUE"""),"Bash/Shell/PowerShell")</f>
        <v>Bash/Shell/PowerShell</v>
      </c>
      <c r="H2218" s="9" t="str">
        <f>IFERROR(__xludf.DUMMYFUNCTION("""COMPUTED_VALUE"""),"C#")</f>
        <v>C#</v>
      </c>
      <c r="I2218" s="9" t="str">
        <f>IFERROR(__xludf.DUMMYFUNCTION("""COMPUTED_VALUE"""),"TypeScript")</f>
        <v>TypeScript</v>
      </c>
      <c r="J2218" s="9" t="str">
        <f>IFERROR(__xludf.DUMMYFUNCTION("""COMPUTED_VALUE"""),"Java")</f>
        <v>Java</v>
      </c>
      <c r="K2218" s="9" t="str">
        <f>IFERROR(__xludf.DUMMYFUNCTION("""COMPUTED_VALUE"""),"Bash/Shell/PowerShell")</f>
        <v>Bash/Shell/PowerShell</v>
      </c>
      <c r="L2218" s="9" t="str">
        <f>IFERROR(__xludf.DUMMYFUNCTION("""COMPUTED_VALUE"""),"C++")</f>
        <v>C++</v>
      </c>
      <c r="M2218" s="9" t="s">
        <v>24</v>
      </c>
    </row>
    <row r="2219" ht="15.75" customHeight="1">
      <c r="A2219" s="7"/>
      <c r="B2219" s="7" t="str">
        <f>IFERROR(__xludf.DUMMYFUNCTION("""COMPUTED_VALUE"""),"Python;SQL")</f>
        <v>Python;SQL</v>
      </c>
      <c r="C2219" s="9" t="str">
        <f>IFERROR(__xludf.DUMMYFUNCTION("""COMPUTED_VALUE"""),"JavaScript")</f>
        <v>JavaScript</v>
      </c>
      <c r="D2219" s="9" t="str">
        <f>IFERROR(__xludf.DUMMYFUNCTION("""COMPUTED_VALUE"""),"PHP")</f>
        <v>PHP</v>
      </c>
      <c r="E2219" s="9" t="str">
        <f>IFERROR(__xludf.DUMMYFUNCTION("""COMPUTED_VALUE"""),"C++")</f>
        <v>C++</v>
      </c>
      <c r="F2219" s="9" t="str">
        <f>IFERROR(__xludf.DUMMYFUNCTION("""COMPUTED_VALUE"""),"Assembly")</f>
        <v>Assembly</v>
      </c>
      <c r="G2219" s="9" t="str">
        <f>IFERROR(__xludf.DUMMYFUNCTION("""COMPUTED_VALUE"""),"C++")</f>
        <v>C++</v>
      </c>
      <c r="H2219" s="9" t="str">
        <f>IFERROR(__xludf.DUMMYFUNCTION("""COMPUTED_VALUE"""),"JavaScript")</f>
        <v>JavaScript</v>
      </c>
      <c r="I2219" s="9" t="str">
        <f>IFERROR(__xludf.DUMMYFUNCTION("""COMPUTED_VALUE"""),"C#")</f>
        <v>C#</v>
      </c>
      <c r="J2219" s="9" t="str">
        <f>IFERROR(__xludf.DUMMYFUNCTION("""COMPUTED_VALUE"""),"JavaScript")</f>
        <v>JavaScript</v>
      </c>
      <c r="K2219" s="9" t="str">
        <f>IFERROR(__xludf.DUMMYFUNCTION("""COMPUTED_VALUE"""),"HTML/CSS")</f>
        <v>HTML/CSS</v>
      </c>
      <c r="L2219" s="9" t="str">
        <f>IFERROR(__xludf.DUMMYFUNCTION("""COMPUTED_VALUE"""),"HTML/CSS")</f>
        <v>HTML/CSS</v>
      </c>
      <c r="M2219" s="9" t="s">
        <v>21</v>
      </c>
    </row>
    <row r="2220" ht="15.75" customHeight="1">
      <c r="A2220" s="7"/>
      <c r="B2220" s="7" t="str">
        <f>IFERROR(__xludf.DUMMYFUNCTION("""COMPUTED_VALUE"""),"HTML/CSS;JavaScript;PHP;SQL")</f>
        <v>HTML/CSS;JavaScript;PHP;SQL</v>
      </c>
      <c r="C2220" s="9" t="str">
        <f>IFERROR(__xludf.DUMMYFUNCTION("""COMPUTED_VALUE"""),"TypeScript")</f>
        <v>TypeScript</v>
      </c>
      <c r="D2220" s="9" t="str">
        <f>IFERROR(__xludf.DUMMYFUNCTION("""COMPUTED_VALUE"""),"SQL")</f>
        <v>SQL</v>
      </c>
      <c r="E2220" s="9" t="str">
        <f>IFERROR(__xludf.DUMMYFUNCTION("""COMPUTED_VALUE"""),"C#")</f>
        <v>C#</v>
      </c>
      <c r="F2220" s="9" t="str">
        <f>IFERROR(__xludf.DUMMYFUNCTION("""COMPUTED_VALUE"""),"Bash/Shell/PowerShell")</f>
        <v>Bash/Shell/PowerShell</v>
      </c>
      <c r="G2220" s="9" t="str">
        <f>IFERROR(__xludf.DUMMYFUNCTION("""COMPUTED_VALUE"""),"C#")</f>
        <v>C#</v>
      </c>
      <c r="H2220" s="9" t="str">
        <f>IFERROR(__xludf.DUMMYFUNCTION("""COMPUTED_VALUE"""),"C++")</f>
        <v>C++</v>
      </c>
      <c r="I2220" s="9" t="str">
        <f>IFERROR(__xludf.DUMMYFUNCTION("""COMPUTED_VALUE"""),"HTML/CSS")</f>
        <v>HTML/CSS</v>
      </c>
      <c r="J2220" s="9" t="str">
        <f>IFERROR(__xludf.DUMMYFUNCTION("""COMPUTED_VALUE"""),"PHP")</f>
        <v>PHP</v>
      </c>
      <c r="K2220" s="9" t="str">
        <f>IFERROR(__xludf.DUMMYFUNCTION("""COMPUTED_VALUE"""),"Python")</f>
        <v>Python</v>
      </c>
      <c r="L2220" s="9" t="str">
        <f>IFERROR(__xludf.DUMMYFUNCTION("""COMPUTED_VALUE"""),"Java")</f>
        <v>Java</v>
      </c>
      <c r="M2220" s="9" t="s">
        <v>33</v>
      </c>
    </row>
    <row r="2221" ht="15.75" customHeight="1">
      <c r="A2221" s="7"/>
      <c r="B2221" s="7" t="str">
        <f>IFERROR(__xludf.DUMMYFUNCTION("""COMPUTED_VALUE"""),"Bash/Shell/PowerShell;C;Java;JavaScript;PHP;Python;Ruby")</f>
        <v>Bash/Shell/PowerShell;C;Java;JavaScript;PHP;Python;Ruby</v>
      </c>
      <c r="C2221" s="9" t="str">
        <f>IFERROR(__xludf.DUMMYFUNCTION("""COMPUTED_VALUE"""),"Bash/Shell/PowerShell")</f>
        <v>Bash/Shell/PowerShell</v>
      </c>
      <c r="D2221" s="9" t="str">
        <f>IFERROR(__xludf.DUMMYFUNCTION("""COMPUTED_VALUE"""),"Python")</f>
        <v>Python</v>
      </c>
      <c r="E2221" s="9" t="str">
        <f>IFERROR(__xludf.DUMMYFUNCTION("""COMPUTED_VALUE"""),"HTML/CSS")</f>
        <v>HTML/CSS</v>
      </c>
      <c r="F2221" s="9" t="str">
        <f>IFERROR(__xludf.DUMMYFUNCTION("""COMPUTED_VALUE"""),"C++")</f>
        <v>C++</v>
      </c>
      <c r="G2221" s="9" t="str">
        <f>IFERROR(__xludf.DUMMYFUNCTION("""COMPUTED_VALUE"""),"F#")</f>
        <v>F#</v>
      </c>
      <c r="H2221" s="9" t="str">
        <f>IFERROR(__xludf.DUMMYFUNCTION("""COMPUTED_VALUE"""),"C#")</f>
        <v>C#</v>
      </c>
      <c r="I2221" s="9" t="str">
        <f>IFERROR(__xludf.DUMMYFUNCTION("""COMPUTED_VALUE"""),"JavaScript")</f>
        <v>JavaScript</v>
      </c>
      <c r="J2221" s="9" t="str">
        <f>IFERROR(__xludf.DUMMYFUNCTION("""COMPUTED_VALUE"""),"Python")</f>
        <v>Python</v>
      </c>
      <c r="K2221" s="9" t="str">
        <f>IFERROR(__xludf.DUMMYFUNCTION("""COMPUTED_VALUE"""),"SQL")</f>
        <v>SQL</v>
      </c>
      <c r="L2221" s="9" t="str">
        <f>IFERROR(__xludf.DUMMYFUNCTION("""COMPUTED_VALUE"""),"Python")</f>
        <v>Python</v>
      </c>
      <c r="M2221" s="9" t="s">
        <v>30</v>
      </c>
    </row>
    <row r="2222" ht="15.75" customHeight="1">
      <c r="A2222" s="7"/>
      <c r="B2222" s="7" t="str">
        <f>IFERROR(__xludf.DUMMYFUNCTION("""COMPUTED_VALUE"""),"JavaScript;Python")</f>
        <v>JavaScript;Python</v>
      </c>
      <c r="C2222" s="9" t="str">
        <f>IFERROR(__xludf.DUMMYFUNCTION("""COMPUTED_VALUE"""),"C")</f>
        <v>C</v>
      </c>
      <c r="D2222" s="9" t="str">
        <f>IFERROR(__xludf.DUMMYFUNCTION("""COMPUTED_VALUE"""),"R")</f>
        <v>R</v>
      </c>
      <c r="E2222" s="9" t="str">
        <f>IFERROR(__xludf.DUMMYFUNCTION("""COMPUTED_VALUE"""),"JavaScript")</f>
        <v>JavaScript</v>
      </c>
      <c r="F2222" s="9" t="str">
        <f>IFERROR(__xludf.DUMMYFUNCTION("""COMPUTED_VALUE"""),"HTML/CSS")</f>
        <v>HTML/CSS</v>
      </c>
      <c r="G2222" s="9" t="str">
        <f>IFERROR(__xludf.DUMMYFUNCTION("""COMPUTED_VALUE"""),"HTML/CSS")</f>
        <v>HTML/CSS</v>
      </c>
      <c r="H2222" s="9" t="str">
        <f>IFERROR(__xludf.DUMMYFUNCTION("""COMPUTED_VALUE"""),"Java")</f>
        <v>Java</v>
      </c>
      <c r="I2222" s="9" t="str">
        <f>IFERROR(__xludf.DUMMYFUNCTION("""COMPUTED_VALUE"""),"SQL")</f>
        <v>SQL</v>
      </c>
      <c r="J2222" s="9" t="str">
        <f>IFERROR(__xludf.DUMMYFUNCTION("""COMPUTED_VALUE"""),"SQL")</f>
        <v>SQL</v>
      </c>
      <c r="K2222" s="9" t="str">
        <f>IFERROR(__xludf.DUMMYFUNCTION("""COMPUTED_VALUE"""),"C#")</f>
        <v>C#</v>
      </c>
      <c r="L2222" s="9" t="str">
        <f>IFERROR(__xludf.DUMMYFUNCTION("""COMPUTED_VALUE"""),"C++")</f>
        <v>C++</v>
      </c>
      <c r="M2222" s="9" t="s">
        <v>25</v>
      </c>
    </row>
    <row r="2223" ht="15.75" customHeight="1">
      <c r="A2223" s="7"/>
      <c r="B2223" s="7" t="str">
        <f>IFERROR(__xludf.DUMMYFUNCTION("""COMPUTED_VALUE"""),"Java;JavaScript")</f>
        <v>Java;JavaScript</v>
      </c>
      <c r="C2223" s="9" t="str">
        <f>IFERROR(__xludf.DUMMYFUNCTION("""COMPUTED_VALUE"""),"C++")</f>
        <v>C++</v>
      </c>
      <c r="D2223" s="9" t="str">
        <f>IFERROR(__xludf.DUMMYFUNCTION("""COMPUTED_VALUE"""),"HTML/CSS")</f>
        <v>HTML/CSS</v>
      </c>
      <c r="E2223" s="9" t="str">
        <f>IFERROR(__xludf.DUMMYFUNCTION("""COMPUTED_VALUE"""),"SQL")</f>
        <v>SQL</v>
      </c>
      <c r="F2223" s="9" t="str">
        <f>IFERROR(__xludf.DUMMYFUNCTION("""COMPUTED_VALUE"""),"Ruby")</f>
        <v>Ruby</v>
      </c>
      <c r="G2223" s="9" t="str">
        <f>IFERROR(__xludf.DUMMYFUNCTION("""COMPUTED_VALUE"""),"JavaScript")</f>
        <v>JavaScript</v>
      </c>
      <c r="H2223" s="9" t="str">
        <f>IFERROR(__xludf.DUMMYFUNCTION("""COMPUTED_VALUE"""),"Python")</f>
        <v>Python</v>
      </c>
      <c r="I2223" s="9" t="str">
        <f>IFERROR(__xludf.DUMMYFUNCTION("""COMPUTED_VALUE"""),"Other(s):")</f>
        <v>Other(s):</v>
      </c>
      <c r="J2223" s="9" t="str">
        <f>IFERROR(__xludf.DUMMYFUNCTION("""COMPUTED_VALUE"""),"Other(s):")</f>
        <v>Other(s):</v>
      </c>
      <c r="K2223" s="9" t="str">
        <f>IFERROR(__xludf.DUMMYFUNCTION("""COMPUTED_VALUE"""),"HTML/CSS")</f>
        <v>HTML/CSS</v>
      </c>
      <c r="L2223" s="9" t="str">
        <f>IFERROR(__xludf.DUMMYFUNCTION("""COMPUTED_VALUE"""),"Python")</f>
        <v>Python</v>
      </c>
      <c r="M2223" s="9" t="s">
        <v>23</v>
      </c>
    </row>
    <row r="2224" ht="15.75" customHeight="1">
      <c r="A2224" s="7"/>
      <c r="B2224" s="7" t="str">
        <f>IFERROR(__xludf.DUMMYFUNCTION("""COMPUTED_VALUE"""),"C;C++;HTML/CSS;Java;JavaScript;PHP;R;SQL;TypeScript")</f>
        <v>C;C++;HTML/CSS;Java;JavaScript;PHP;R;SQL;TypeScript</v>
      </c>
      <c r="C2224" s="9" t="str">
        <f>IFERROR(__xludf.DUMMYFUNCTION("""COMPUTED_VALUE"""),"C#")</f>
        <v>C#</v>
      </c>
      <c r="D2224" s="9" t="str">
        <f>IFERROR(__xludf.DUMMYFUNCTION("""COMPUTED_VALUE"""),"JavaScript")</f>
        <v>JavaScript</v>
      </c>
      <c r="E2224" s="9" t="str">
        <f>IFERROR(__xludf.DUMMYFUNCTION("""COMPUTED_VALUE"""),"Bash/Shell/PowerShell")</f>
        <v>Bash/Shell/PowerShell</v>
      </c>
      <c r="F2224" s="9" t="str">
        <f>IFERROR(__xludf.DUMMYFUNCTION("""COMPUTED_VALUE"""),"Rust")</f>
        <v>Rust</v>
      </c>
      <c r="G2224" s="9" t="str">
        <f>IFERROR(__xludf.DUMMYFUNCTION("""COMPUTED_VALUE"""),"Objective-C")</f>
        <v>Objective-C</v>
      </c>
      <c r="H2224" s="9" t="str">
        <f>IFERROR(__xludf.DUMMYFUNCTION("""COMPUTED_VALUE"""),"JavaScript")</f>
        <v>JavaScript</v>
      </c>
      <c r="I2224" s="9" t="str">
        <f>IFERROR(__xludf.DUMMYFUNCTION("""COMPUTED_VALUE"""),"Bash/Shell/PowerShell")</f>
        <v>Bash/Shell/PowerShell</v>
      </c>
      <c r="J2224" s="9" t="str">
        <f>IFERROR(__xludf.DUMMYFUNCTION("""COMPUTED_VALUE"""),"Bash/Shell/PowerShell")</f>
        <v>Bash/Shell/PowerShell</v>
      </c>
      <c r="K2224" s="9" t="str">
        <f>IFERROR(__xludf.DUMMYFUNCTION("""COMPUTED_VALUE"""),"JavaScript")</f>
        <v>JavaScript</v>
      </c>
      <c r="L2224" s="9" t="str">
        <f>IFERROR(__xludf.DUMMYFUNCTION("""COMPUTED_VALUE"""),"HTML/CSS")</f>
        <v>HTML/CSS</v>
      </c>
      <c r="M2224" s="9" t="s">
        <v>26</v>
      </c>
    </row>
    <row r="2225" ht="15.75" customHeight="1">
      <c r="A2225" s="7"/>
      <c r="B2225" s="7" t="str">
        <f>IFERROR(__xludf.DUMMYFUNCTION("""COMPUTED_VALUE"""),"Bash/Shell/PowerShell;HTML/CSS;JavaScript;Python;TypeScript")</f>
        <v>Bash/Shell/PowerShell;HTML/CSS;JavaScript;Python;TypeScript</v>
      </c>
      <c r="C2225" s="9" t="str">
        <f>IFERROR(__xludf.DUMMYFUNCTION("""COMPUTED_VALUE"""),"Java")</f>
        <v>Java</v>
      </c>
      <c r="D2225" s="9" t="str">
        <f>IFERROR(__xludf.DUMMYFUNCTION("""COMPUTED_VALUE"""),"PHP")</f>
        <v>PHP</v>
      </c>
      <c r="E2225" s="9" t="str">
        <f>IFERROR(__xludf.DUMMYFUNCTION("""COMPUTED_VALUE"""),"C#")</f>
        <v>C#</v>
      </c>
      <c r="F2225" s="9" t="str">
        <f>IFERROR(__xludf.DUMMYFUNCTION("""COMPUTED_VALUE"""),"HTML/CSS")</f>
        <v>HTML/CSS</v>
      </c>
      <c r="G2225" s="9" t="str">
        <f>IFERROR(__xludf.DUMMYFUNCTION("""COMPUTED_VALUE"""),"PHP")</f>
        <v>PHP</v>
      </c>
      <c r="H2225" s="9" t="str">
        <f>IFERROR(__xludf.DUMMYFUNCTION("""COMPUTED_VALUE"""),"HTML/CSS")</f>
        <v>HTML/CSS</v>
      </c>
      <c r="I2225" s="9" t="str">
        <f>IFERROR(__xludf.DUMMYFUNCTION("""COMPUTED_VALUE"""),"C#")</f>
        <v>C#</v>
      </c>
      <c r="J2225" s="9" t="str">
        <f>IFERROR(__xludf.DUMMYFUNCTION("""COMPUTED_VALUE"""),"HTML/CSS")</f>
        <v>HTML/CSS</v>
      </c>
      <c r="K2225" s="9" t="str">
        <f>IFERROR(__xludf.DUMMYFUNCTION("""COMPUTED_VALUE"""),"Python")</f>
        <v>Python</v>
      </c>
      <c r="L2225" s="9" t="str">
        <f>IFERROR(__xludf.DUMMYFUNCTION("""COMPUTED_VALUE"""),"JavaScript")</f>
        <v>JavaScript</v>
      </c>
      <c r="M2225" s="9" t="s">
        <v>20</v>
      </c>
    </row>
    <row r="2226" ht="15.75" customHeight="1">
      <c r="A2226" s="7"/>
      <c r="B2226" s="7" t="str">
        <f>IFERROR(__xludf.DUMMYFUNCTION("""COMPUTED_VALUE"""),"Bash/Shell/PowerShell;HTML/CSS;JavaScript;Python;SQL;TypeScript;Other(s):")</f>
        <v>Bash/Shell/PowerShell;HTML/CSS;JavaScript;Python;SQL;TypeScript;Other(s):</v>
      </c>
      <c r="C2226" s="9" t="str">
        <f>IFERROR(__xludf.DUMMYFUNCTION("""COMPUTED_VALUE"""),"Python")</f>
        <v>Python</v>
      </c>
      <c r="D2226" s="9" t="str">
        <f>IFERROR(__xludf.DUMMYFUNCTION("""COMPUTED_VALUE"""),"SQL")</f>
        <v>SQL</v>
      </c>
      <c r="E2226" s="9" t="str">
        <f>IFERROR(__xludf.DUMMYFUNCTION("""COMPUTED_VALUE"""),"HTML/CSS")</f>
        <v>HTML/CSS</v>
      </c>
      <c r="F2226" s="9" t="str">
        <f>IFERROR(__xludf.DUMMYFUNCTION("""COMPUTED_VALUE"""),"JavaScript")</f>
        <v>JavaScript</v>
      </c>
      <c r="G2226" s="9" t="str">
        <f>IFERROR(__xludf.DUMMYFUNCTION("""COMPUTED_VALUE"""),"Python")</f>
        <v>Python</v>
      </c>
      <c r="H2226" s="9" t="str">
        <f>IFERROR(__xludf.DUMMYFUNCTION("""COMPUTED_VALUE"""),"JavaScript")</f>
        <v>JavaScript</v>
      </c>
      <c r="I2226" s="9" t="str">
        <f>IFERROR(__xludf.DUMMYFUNCTION("""COMPUTED_VALUE"""),"HTML/CSS")</f>
        <v>HTML/CSS</v>
      </c>
      <c r="J2226" s="9" t="str">
        <f>IFERROR(__xludf.DUMMYFUNCTION("""COMPUTED_VALUE"""),"JavaScript")</f>
        <v>JavaScript</v>
      </c>
      <c r="K2226" s="9" t="str">
        <f>IFERROR(__xludf.DUMMYFUNCTION("""COMPUTED_VALUE"""),"TypeScript")</f>
        <v>TypeScript</v>
      </c>
      <c r="L2226" s="9" t="str">
        <f>IFERROR(__xludf.DUMMYFUNCTION("""COMPUTED_VALUE"""),"PHP")</f>
        <v>PHP</v>
      </c>
      <c r="M2226" s="9" t="s">
        <v>22</v>
      </c>
    </row>
    <row r="2227" ht="15.75" customHeight="1">
      <c r="A2227" s="7"/>
      <c r="B2227" s="7" t="str">
        <f>IFERROR(__xludf.DUMMYFUNCTION("""COMPUTED_VALUE"""),"Bash/Shell/PowerShell;C#;HTML/CSS;JavaScript;SQL;TypeScript")</f>
        <v>Bash/Shell/PowerShell;C#;HTML/CSS;JavaScript;SQL;TypeScript</v>
      </c>
      <c r="C2227" s="9" t="str">
        <f>IFERROR(__xludf.DUMMYFUNCTION("""COMPUTED_VALUE"""),"Rust")</f>
        <v>Rust</v>
      </c>
      <c r="D2227" s="9" t="str">
        <f>IFERROR(__xludf.DUMMYFUNCTION("""COMPUTED_VALUE"""),"TypeScript")</f>
        <v>TypeScript</v>
      </c>
      <c r="E2227" s="9" t="str">
        <f>IFERROR(__xludf.DUMMYFUNCTION("""COMPUTED_VALUE"""),"Java")</f>
        <v>Java</v>
      </c>
      <c r="F2227" s="9" t="str">
        <f>IFERROR(__xludf.DUMMYFUNCTION("""COMPUTED_VALUE"""),"PHP")</f>
        <v>PHP</v>
      </c>
      <c r="G2227" s="9" t="str">
        <f>IFERROR(__xludf.DUMMYFUNCTION("""COMPUTED_VALUE"""),"SQL")</f>
        <v>SQL</v>
      </c>
      <c r="H2227" s="9" t="str">
        <f>IFERROR(__xludf.DUMMYFUNCTION("""COMPUTED_VALUE"""),"PHP")</f>
        <v>PHP</v>
      </c>
      <c r="I2227" s="9" t="str">
        <f>IFERROR(__xludf.DUMMYFUNCTION("""COMPUTED_VALUE"""),"JavaScript")</f>
        <v>JavaScript</v>
      </c>
      <c r="J2227" s="9" t="str">
        <f>IFERROR(__xludf.DUMMYFUNCTION("""COMPUTED_VALUE"""),"PHP")</f>
        <v>PHP</v>
      </c>
      <c r="K2227" s="9" t="str">
        <f>IFERROR(__xludf.DUMMYFUNCTION("""COMPUTED_VALUE"""),"Assembly")</f>
        <v>Assembly</v>
      </c>
      <c r="L2227" s="9" t="str">
        <f>IFERROR(__xludf.DUMMYFUNCTION("""COMPUTED_VALUE"""),"Bash/Shell/PowerShell")</f>
        <v>Bash/Shell/PowerShell</v>
      </c>
      <c r="M2227" s="9" t="s">
        <v>32</v>
      </c>
    </row>
    <row r="2228" ht="15.75" customHeight="1">
      <c r="A2228" s="7"/>
      <c r="B2228" s="7" t="str">
        <f>IFERROR(__xludf.DUMMYFUNCTION("""COMPUTED_VALUE"""),"Bash/Shell/PowerShell;C#;HTML/CSS;JavaScript;Python;Scala;SQL")</f>
        <v>Bash/Shell/PowerShell;C#;HTML/CSS;JavaScript;Python;Scala;SQL</v>
      </c>
      <c r="C2228" s="9" t="str">
        <f>IFERROR(__xludf.DUMMYFUNCTION("""COMPUTED_VALUE"""),"SQL")</f>
        <v>SQL</v>
      </c>
      <c r="D2228" s="9" t="str">
        <f>IFERROR(__xludf.DUMMYFUNCTION("""COMPUTED_VALUE"""),"HTML/CSS")</f>
        <v>HTML/CSS</v>
      </c>
      <c r="E2228" s="9" t="str">
        <f>IFERROR(__xludf.DUMMYFUNCTION("""COMPUTED_VALUE"""),"JavaScript")</f>
        <v>JavaScript</v>
      </c>
      <c r="F2228" s="9" t="str">
        <f>IFERROR(__xludf.DUMMYFUNCTION("""COMPUTED_VALUE"""),"Java")</f>
        <v>Java</v>
      </c>
      <c r="G2228" s="9" t="str">
        <f>IFERROR(__xludf.DUMMYFUNCTION("""COMPUTED_VALUE"""),"VBA")</f>
        <v>VBA</v>
      </c>
      <c r="H2228" s="9" t="str">
        <f>IFERROR(__xludf.DUMMYFUNCTION("""COMPUTED_VALUE"""),"Python")</f>
        <v>Python</v>
      </c>
      <c r="I2228" s="9" t="str">
        <f>IFERROR(__xludf.DUMMYFUNCTION("""COMPUTED_VALUE"""),"Python")</f>
        <v>Python</v>
      </c>
      <c r="J2228" s="9" t="str">
        <f>IFERROR(__xludf.DUMMYFUNCTION("""COMPUTED_VALUE"""),"SQL")</f>
        <v>SQL</v>
      </c>
      <c r="K2228" s="9" t="str">
        <f>IFERROR(__xludf.DUMMYFUNCTION("""COMPUTED_VALUE"""),"Bash/Shell/PowerShell")</f>
        <v>Bash/Shell/PowerShell</v>
      </c>
      <c r="L2228" s="9" t="str">
        <f>IFERROR(__xludf.DUMMYFUNCTION("""COMPUTED_VALUE"""),"Go")</f>
        <v>Go</v>
      </c>
      <c r="M2228" s="9" t="s">
        <v>27</v>
      </c>
    </row>
    <row r="2229" ht="15.75" customHeight="1">
      <c r="A2229" s="7"/>
      <c r="B2229" s="7" t="str">
        <f>IFERROR(__xludf.DUMMYFUNCTION("""COMPUTED_VALUE"""),"Assembly;Bash/Shell/PowerShell;C;C++;C#;HTML/CSS;Java;JavaScript;PHP;SQL")</f>
        <v>Assembly;Bash/Shell/PowerShell;C;C++;C#;HTML/CSS;Java;JavaScript;PHP;SQL</v>
      </c>
      <c r="C2229" s="9" t="str">
        <f>IFERROR(__xludf.DUMMYFUNCTION("""COMPUTED_VALUE"""),"VBA")</f>
        <v>VBA</v>
      </c>
      <c r="D2229" s="9" t="str">
        <f>IFERROR(__xludf.DUMMYFUNCTION("""COMPUTED_VALUE"""),"JavaScript")</f>
        <v>JavaScript</v>
      </c>
      <c r="E2229" s="9" t="str">
        <f>IFERROR(__xludf.DUMMYFUNCTION("""COMPUTED_VALUE"""),"Python")</f>
        <v>Python</v>
      </c>
      <c r="F2229" s="9" t="str">
        <f>IFERROR(__xludf.DUMMYFUNCTION("""COMPUTED_VALUE"""),"SQL")</f>
        <v>SQL</v>
      </c>
      <c r="G2229" s="9" t="str">
        <f>IFERROR(__xludf.DUMMYFUNCTION("""COMPUTED_VALUE"""),"C")</f>
        <v>C</v>
      </c>
      <c r="H2229" s="9" t="str">
        <f>IFERROR(__xludf.DUMMYFUNCTION("""COMPUTED_VALUE"""),"SQL")</f>
        <v>SQL</v>
      </c>
      <c r="I2229" s="9" t="str">
        <f>IFERROR(__xludf.DUMMYFUNCTION("""COMPUTED_VALUE"""),"Swift")</f>
        <v>Swift</v>
      </c>
      <c r="J2229" s="9" t="str">
        <f>IFERROR(__xludf.DUMMYFUNCTION("""COMPUTED_VALUE"""),"Assembly")</f>
        <v>Assembly</v>
      </c>
      <c r="K2229" s="9" t="str">
        <f>IFERROR(__xludf.DUMMYFUNCTION("""COMPUTED_VALUE"""),"C")</f>
        <v>C</v>
      </c>
      <c r="L2229" s="9" t="str">
        <f>IFERROR(__xludf.DUMMYFUNCTION("""COMPUTED_VALUE"""),"Java")</f>
        <v>Java</v>
      </c>
      <c r="M2229" s="9" t="s">
        <v>28</v>
      </c>
    </row>
    <row r="2230" ht="15.75" customHeight="1">
      <c r="A2230" s="7"/>
      <c r="B2230" s="7" t="str">
        <f>IFERROR(__xludf.DUMMYFUNCTION("""COMPUTED_VALUE"""),"Bash/Shell/PowerShell;Python")</f>
        <v>Bash/Shell/PowerShell;Python</v>
      </c>
      <c r="C2230" s="9" t="str">
        <f>IFERROR(__xludf.DUMMYFUNCTION("""COMPUTED_VALUE"""),"C++")</f>
        <v>C++</v>
      </c>
      <c r="D2230" s="9" t="str">
        <f>IFERROR(__xludf.DUMMYFUNCTION("""COMPUTED_VALUE"""),"Python")</f>
        <v>Python</v>
      </c>
      <c r="E2230" s="9" t="str">
        <f>IFERROR(__xludf.DUMMYFUNCTION("""COMPUTED_VALUE"""),"JavaScript")</f>
        <v>JavaScript</v>
      </c>
      <c r="F2230" s="9" t="str">
        <f>IFERROR(__xludf.DUMMYFUNCTION("""COMPUTED_VALUE"""),"HTML/CSS")</f>
        <v>HTML/CSS</v>
      </c>
      <c r="G2230" s="9" t="str">
        <f>IFERROR(__xludf.DUMMYFUNCTION("""COMPUTED_VALUE"""),"HTML/CSS")</f>
        <v>HTML/CSS</v>
      </c>
      <c r="H2230" s="9" t="str">
        <f>IFERROR(__xludf.DUMMYFUNCTION("""COMPUTED_VALUE"""),"C#")</f>
        <v>C#</v>
      </c>
      <c r="I2230" s="9" t="str">
        <f>IFERROR(__xludf.DUMMYFUNCTION("""COMPUTED_VALUE"""),"Bash/Shell/PowerShell")</f>
        <v>Bash/Shell/PowerShell</v>
      </c>
      <c r="J2230" s="9" t="str">
        <f>IFERROR(__xludf.DUMMYFUNCTION("""COMPUTED_VALUE"""),"Bash/Shell/PowerShell")</f>
        <v>Bash/Shell/PowerShell</v>
      </c>
      <c r="K2230" s="9" t="str">
        <f>IFERROR(__xludf.DUMMYFUNCTION("""COMPUTED_VALUE"""),"C++")</f>
        <v>C++</v>
      </c>
      <c r="L2230" s="9" t="str">
        <f>IFERROR(__xludf.DUMMYFUNCTION("""COMPUTED_VALUE"""),"Python")</f>
        <v>Python</v>
      </c>
      <c r="M2230" s="9" t="s">
        <v>23</v>
      </c>
    </row>
    <row r="2231" ht="15.75" customHeight="1">
      <c r="A2231" s="7"/>
      <c r="B2231" s="7" t="str">
        <f>IFERROR(__xludf.DUMMYFUNCTION("""COMPUTED_VALUE"""),"C++;C#;HTML/CSS;Java;JavaScript;PHP;SQL;TypeScript")</f>
        <v>C++;C#;HTML/CSS;Java;JavaScript;PHP;SQL;TypeScript</v>
      </c>
      <c r="C2231" s="9" t="str">
        <f>IFERROR(__xludf.DUMMYFUNCTION("""COMPUTED_VALUE"""),"C#")</f>
        <v>C#</v>
      </c>
      <c r="D2231" s="9" t="str">
        <f>IFERROR(__xludf.DUMMYFUNCTION("""COMPUTED_VALUE"""),"HTML/CSS")</f>
        <v>HTML/CSS</v>
      </c>
      <c r="E2231" s="9" t="str">
        <f>IFERROR(__xludf.DUMMYFUNCTION("""COMPUTED_VALUE"""),"HTML/CSS")</f>
        <v>HTML/CSS</v>
      </c>
      <c r="F2231" s="9" t="str">
        <f>IFERROR(__xludf.DUMMYFUNCTION("""COMPUTED_VALUE"""),"Java")</f>
        <v>Java</v>
      </c>
      <c r="G2231" s="9" t="str">
        <f>IFERROR(__xludf.DUMMYFUNCTION("""COMPUTED_VALUE"""),"JavaScript")</f>
        <v>JavaScript</v>
      </c>
      <c r="H2231" s="9" t="str">
        <f>IFERROR(__xludf.DUMMYFUNCTION("""COMPUTED_VALUE"""),"HTML/CSS")</f>
        <v>HTML/CSS</v>
      </c>
      <c r="I2231" s="9" t="str">
        <f>IFERROR(__xludf.DUMMYFUNCTION("""COMPUTED_VALUE"""),"HTML/CSS")</f>
        <v>HTML/CSS</v>
      </c>
      <c r="J2231" s="9" t="str">
        <f>IFERROR(__xludf.DUMMYFUNCTION("""COMPUTED_VALUE"""),"C")</f>
        <v>C</v>
      </c>
      <c r="K2231" s="9" t="str">
        <f>IFERROR(__xludf.DUMMYFUNCTION("""COMPUTED_VALUE"""),"C#")</f>
        <v>C#</v>
      </c>
      <c r="L2231" s="9" t="str">
        <f>IFERROR(__xludf.DUMMYFUNCTION("""COMPUTED_VALUE"""),"SQL")</f>
        <v>SQL</v>
      </c>
      <c r="M2231" s="9" t="s">
        <v>26</v>
      </c>
    </row>
    <row r="2232" ht="15.75" customHeight="1">
      <c r="A2232" s="7"/>
      <c r="B2232" s="7" t="str">
        <f>IFERROR(__xludf.DUMMYFUNCTION("""COMPUTED_VALUE"""),"Bash/Shell/PowerShell;Go;HTML/CSS;JavaScript;Ruby")</f>
        <v>Bash/Shell/PowerShell;Go;HTML/CSS;JavaScript;Ruby</v>
      </c>
      <c r="C2232" s="9" t="str">
        <f>IFERROR(__xludf.DUMMYFUNCTION("""COMPUTED_VALUE"""),"SQL")</f>
        <v>SQL</v>
      </c>
      <c r="D2232" s="9" t="str">
        <f>IFERROR(__xludf.DUMMYFUNCTION("""COMPUTED_VALUE"""),"Java")</f>
        <v>Java</v>
      </c>
      <c r="E2232" s="9" t="str">
        <f>IFERROR(__xludf.DUMMYFUNCTION("""COMPUTED_VALUE"""),"JavaScript")</f>
        <v>JavaScript</v>
      </c>
      <c r="F2232" s="9" t="str">
        <f>IFERROR(__xludf.DUMMYFUNCTION("""COMPUTED_VALUE"""),"JavaScript")</f>
        <v>JavaScript</v>
      </c>
      <c r="G2232" s="9" t="str">
        <f>IFERROR(__xludf.DUMMYFUNCTION("""COMPUTED_VALUE"""),"PHP")</f>
        <v>PHP</v>
      </c>
      <c r="H2232" s="9" t="str">
        <f>IFERROR(__xludf.DUMMYFUNCTION("""COMPUTED_VALUE"""),"Java")</f>
        <v>Java</v>
      </c>
      <c r="I2232" s="9" t="str">
        <f>IFERROR(__xludf.DUMMYFUNCTION("""COMPUTED_VALUE"""),"JavaScript")</f>
        <v>JavaScript</v>
      </c>
      <c r="J2232" s="9" t="str">
        <f>IFERROR(__xludf.DUMMYFUNCTION("""COMPUTED_VALUE"""),"C++")</f>
        <v>C++</v>
      </c>
      <c r="K2232" s="9" t="str">
        <f>IFERROR(__xludf.DUMMYFUNCTION("""COMPUTED_VALUE"""),"Kotlin")</f>
        <v>Kotlin</v>
      </c>
      <c r="L2232" s="9" t="str">
        <f>IFERROR(__xludf.DUMMYFUNCTION("""COMPUTED_VALUE"""),"Go")</f>
        <v>Go</v>
      </c>
      <c r="M2232" s="9" t="s">
        <v>27</v>
      </c>
    </row>
    <row r="2233" ht="15.75" customHeight="1">
      <c r="A2233" s="7"/>
      <c r="B2233" s="7" t="str">
        <f>IFERROR(__xludf.DUMMYFUNCTION("""COMPUTED_VALUE"""),"C++;C#;Java;JavaScript;PHP;Python;Other(s):")</f>
        <v>C++;C#;Java;JavaScript;PHP;Python;Other(s):</v>
      </c>
      <c r="C2233" s="9" t="str">
        <f>IFERROR(__xludf.DUMMYFUNCTION("""COMPUTED_VALUE"""),"Bash/Shell/PowerShell")</f>
        <v>Bash/Shell/PowerShell</v>
      </c>
      <c r="D2233" s="9" t="str">
        <f>IFERROR(__xludf.DUMMYFUNCTION("""COMPUTED_VALUE"""),"JavaScript")</f>
        <v>JavaScript</v>
      </c>
      <c r="E2233" s="9" t="str">
        <f>IFERROR(__xludf.DUMMYFUNCTION("""COMPUTED_VALUE"""),"Python")</f>
        <v>Python</v>
      </c>
      <c r="F2233" s="9" t="str">
        <f>IFERROR(__xludf.DUMMYFUNCTION("""COMPUTED_VALUE"""),"VBA")</f>
        <v>VBA</v>
      </c>
      <c r="G2233" s="9" t="str">
        <f>IFERROR(__xludf.DUMMYFUNCTION("""COMPUTED_VALUE"""),"SQL")</f>
        <v>SQL</v>
      </c>
      <c r="H2233" s="9" t="str">
        <f>IFERROR(__xludf.DUMMYFUNCTION("""COMPUTED_VALUE"""),"JavaScript")</f>
        <v>JavaScript</v>
      </c>
      <c r="I2233" s="9" t="str">
        <f>IFERROR(__xludf.DUMMYFUNCTION("""COMPUTED_VALUE"""),"Python")</f>
        <v>Python</v>
      </c>
      <c r="J2233" s="9" t="str">
        <f>IFERROR(__xludf.DUMMYFUNCTION("""COMPUTED_VALUE"""),"C#")</f>
        <v>C#</v>
      </c>
      <c r="K2233" s="9" t="str">
        <f>IFERROR(__xludf.DUMMYFUNCTION("""COMPUTED_VALUE"""),"Objective-C")</f>
        <v>Objective-C</v>
      </c>
      <c r="L2233" s="9" t="str">
        <f>IFERROR(__xludf.DUMMYFUNCTION("""COMPUTED_VALUE"""),"HTML/CSS")</f>
        <v>HTML/CSS</v>
      </c>
      <c r="M2233" s="9" t="s">
        <v>30</v>
      </c>
    </row>
    <row r="2234" ht="15.75" customHeight="1">
      <c r="A2234" s="7"/>
      <c r="B2234" s="7" t="str">
        <f>IFERROR(__xludf.DUMMYFUNCTION("""COMPUTED_VALUE"""),"C++;C#;JavaScript;Objective-C;Python;Ruby;SQL;Swift;TypeScript")</f>
        <v>C++;C#;JavaScript;Objective-C;Python;Ruby;SQL;Swift;TypeScript</v>
      </c>
      <c r="C2234" s="9" t="str">
        <f>IFERROR(__xludf.DUMMYFUNCTION("""COMPUTED_VALUE"""),"Elixir")</f>
        <v>Elixir</v>
      </c>
      <c r="D2234" s="9" t="str">
        <f>IFERROR(__xludf.DUMMYFUNCTION("""COMPUTED_VALUE"""),"SQL")</f>
        <v>SQL</v>
      </c>
      <c r="E2234" s="9" t="str">
        <f>IFERROR(__xludf.DUMMYFUNCTION("""COMPUTED_VALUE"""),"Other(s):")</f>
        <v>Other(s):</v>
      </c>
      <c r="F2234" s="9" t="str">
        <f>IFERROR(__xludf.DUMMYFUNCTION("""COMPUTED_VALUE"""),"Bash/Shell/PowerShell")</f>
        <v>Bash/Shell/PowerShell</v>
      </c>
      <c r="G2234" s="9" t="str">
        <f>IFERROR(__xludf.DUMMYFUNCTION("""COMPUTED_VALUE"""),"C")</f>
        <v>C</v>
      </c>
      <c r="H2234" s="9" t="str">
        <f>IFERROR(__xludf.DUMMYFUNCTION("""COMPUTED_VALUE"""),"PHP")</f>
        <v>PHP</v>
      </c>
      <c r="I2234" s="9" t="str">
        <f>IFERROR(__xludf.DUMMYFUNCTION("""COMPUTED_VALUE"""),"SQL")</f>
        <v>SQL</v>
      </c>
      <c r="J2234" s="9" t="str">
        <f>IFERROR(__xludf.DUMMYFUNCTION("""COMPUTED_VALUE"""),"Python")</f>
        <v>Python</v>
      </c>
      <c r="K2234" s="9" t="str">
        <f>IFERROR(__xludf.DUMMYFUNCTION("""COMPUTED_VALUE"""),"PHP")</f>
        <v>PHP</v>
      </c>
      <c r="L2234" s="9" t="str">
        <f>IFERROR(__xludf.DUMMYFUNCTION("""COMPUTED_VALUE"""),"JavaScript")</f>
        <v>JavaScript</v>
      </c>
      <c r="M2234" s="9" t="s">
        <v>42</v>
      </c>
    </row>
    <row r="2235" ht="15.75" customHeight="1">
      <c r="A2235" s="7"/>
      <c r="B2235" s="7" t="str">
        <f>IFERROR(__xludf.DUMMYFUNCTION("""COMPUTED_VALUE"""),"C#;F#;HTML/CSS;Java;JavaScript;Ruby;SQL")</f>
        <v>C#;F#;HTML/CSS;Java;JavaScript;Ruby;SQL</v>
      </c>
      <c r="C2235" s="9" t="str">
        <f>IFERROR(__xludf.DUMMYFUNCTION("""COMPUTED_VALUE"""),"HTML/CSS")</f>
        <v>HTML/CSS</v>
      </c>
      <c r="D2235" s="9" t="str">
        <f>IFERROR(__xludf.DUMMYFUNCTION("""COMPUTED_VALUE"""),"Bash/Shell/PowerShell")</f>
        <v>Bash/Shell/PowerShell</v>
      </c>
      <c r="E2235" s="9" t="str">
        <f>IFERROR(__xludf.DUMMYFUNCTION("""COMPUTED_VALUE"""),"Bash/Shell/PowerShell")</f>
        <v>Bash/Shell/PowerShell</v>
      </c>
      <c r="F2235" s="9" t="str">
        <f>IFERROR(__xludf.DUMMYFUNCTION("""COMPUTED_VALUE"""),"HTML/CSS")</f>
        <v>HTML/CSS</v>
      </c>
      <c r="G2235" s="9" t="str">
        <f>IFERROR(__xludf.DUMMYFUNCTION("""COMPUTED_VALUE"""),"Dart")</f>
        <v>Dart</v>
      </c>
      <c r="H2235" s="9" t="str">
        <f>IFERROR(__xludf.DUMMYFUNCTION("""COMPUTED_VALUE"""),"SQL")</f>
        <v>SQL</v>
      </c>
      <c r="I2235" s="9" t="str">
        <f>IFERROR(__xludf.DUMMYFUNCTION("""COMPUTED_VALUE"""),"Bash/Shell/PowerShell")</f>
        <v>Bash/Shell/PowerShell</v>
      </c>
      <c r="J2235" s="9" t="str">
        <f>IFERROR(__xludf.DUMMYFUNCTION("""COMPUTED_VALUE"""),"Java")</f>
        <v>Java</v>
      </c>
      <c r="K2235" s="9" t="str">
        <f>IFERROR(__xludf.DUMMYFUNCTION("""COMPUTED_VALUE"""),"SQL")</f>
        <v>SQL</v>
      </c>
      <c r="L2235" s="9" t="str">
        <f>IFERROR(__xludf.DUMMYFUNCTION("""COMPUTED_VALUE"""),"Python")</f>
        <v>Python</v>
      </c>
      <c r="M2235" s="9" t="s">
        <v>24</v>
      </c>
    </row>
    <row r="2236" ht="15.75" customHeight="1">
      <c r="A2236" s="7"/>
      <c r="B2236" s="7" t="str">
        <f>IFERROR(__xludf.DUMMYFUNCTION("""COMPUTED_VALUE"""),"C++;Python")</f>
        <v>C++;Python</v>
      </c>
      <c r="C2236" s="9" t="str">
        <f>IFERROR(__xludf.DUMMYFUNCTION("""COMPUTED_VALUE"""),"JavaScript")</f>
        <v>JavaScript</v>
      </c>
      <c r="D2236" s="9" t="str">
        <f>IFERROR(__xludf.DUMMYFUNCTION("""COMPUTED_VALUE"""),"Other(s):")</f>
        <v>Other(s):</v>
      </c>
      <c r="E2236" s="9" t="str">
        <f>IFERROR(__xludf.DUMMYFUNCTION("""COMPUTED_VALUE"""),"HTML/CSS")</f>
        <v>HTML/CSS</v>
      </c>
      <c r="F2236" s="9" t="str">
        <f>IFERROR(__xludf.DUMMYFUNCTION("""COMPUTED_VALUE"""),"Java")</f>
        <v>Java</v>
      </c>
      <c r="G2236" s="9" t="str">
        <f>IFERROR(__xludf.DUMMYFUNCTION("""COMPUTED_VALUE"""),"F#")</f>
        <v>F#</v>
      </c>
      <c r="H2236" s="9" t="str">
        <f>IFERROR(__xludf.DUMMYFUNCTION("""COMPUTED_VALUE"""),"VBA")</f>
        <v>VBA</v>
      </c>
      <c r="I2236" s="9" t="str">
        <f>IFERROR(__xludf.DUMMYFUNCTION("""COMPUTED_VALUE"""),"JavaScript")</f>
        <v>JavaScript</v>
      </c>
      <c r="J2236" s="9" t="str">
        <f>IFERROR(__xludf.DUMMYFUNCTION("""COMPUTED_VALUE"""),"Kotlin")</f>
        <v>Kotlin</v>
      </c>
      <c r="K2236" s="9" t="str">
        <f>IFERROR(__xludf.DUMMYFUNCTION("""COMPUTED_VALUE"""),"Swift")</f>
        <v>Swift</v>
      </c>
      <c r="L2236" s="9" t="str">
        <f>IFERROR(__xludf.DUMMYFUNCTION("""COMPUTED_VALUE"""),"Other(s):")</f>
        <v>Other(s):</v>
      </c>
      <c r="M2236" s="9" t="s">
        <v>21</v>
      </c>
    </row>
    <row r="2237" ht="15.75" customHeight="1">
      <c r="A2237" s="7"/>
      <c r="B2237" s="7" t="str">
        <f>IFERROR(__xludf.DUMMYFUNCTION("""COMPUTED_VALUE"""),"Python")</f>
        <v>Python</v>
      </c>
      <c r="C2237" s="9" t="str">
        <f>IFERROR(__xludf.DUMMYFUNCTION("""COMPUTED_VALUE"""),"Ruby")</f>
        <v>Ruby</v>
      </c>
      <c r="D2237" s="9" t="str">
        <f>IFERROR(__xludf.DUMMYFUNCTION("""COMPUTED_VALUE"""),"C#")</f>
        <v>C#</v>
      </c>
      <c r="E2237" s="9" t="str">
        <f>IFERROR(__xludf.DUMMYFUNCTION("""COMPUTED_VALUE"""),"JavaScript")</f>
        <v>JavaScript</v>
      </c>
      <c r="F2237" s="9" t="str">
        <f>IFERROR(__xludf.DUMMYFUNCTION("""COMPUTED_VALUE"""),"JavaScript")</f>
        <v>JavaScript</v>
      </c>
      <c r="G2237" s="9" t="str">
        <f>IFERROR(__xludf.DUMMYFUNCTION("""COMPUTED_VALUE"""),"HTML/CSS")</f>
        <v>HTML/CSS</v>
      </c>
      <c r="H2237" s="9" t="str">
        <f>IFERROR(__xludf.DUMMYFUNCTION("""COMPUTED_VALUE"""),"C#")</f>
        <v>C#</v>
      </c>
      <c r="I2237" s="9" t="str">
        <f>IFERROR(__xludf.DUMMYFUNCTION("""COMPUTED_VALUE"""),"PHP")</f>
        <v>PHP</v>
      </c>
      <c r="J2237" s="9" t="str">
        <f>IFERROR(__xludf.DUMMYFUNCTION("""COMPUTED_VALUE"""),"Bash/Shell/PowerShell")</f>
        <v>Bash/Shell/PowerShell</v>
      </c>
      <c r="K2237" s="9" t="str">
        <f>IFERROR(__xludf.DUMMYFUNCTION("""COMPUTED_VALUE"""),"Java")</f>
        <v>Java</v>
      </c>
      <c r="L2237" s="9" t="str">
        <f>IFERROR(__xludf.DUMMYFUNCTION("""COMPUTED_VALUE"""),"C")</f>
        <v>C</v>
      </c>
      <c r="M2237" s="9" t="s">
        <v>31</v>
      </c>
    </row>
    <row r="2238" ht="15.75" customHeight="1">
      <c r="A2238" s="7"/>
      <c r="B2238" s="7" t="str">
        <f>IFERROR(__xludf.DUMMYFUNCTION("""COMPUTED_VALUE"""),"C++;HTML/CSS;JavaScript")</f>
        <v>C++;HTML/CSS;JavaScript</v>
      </c>
      <c r="C2238" s="9" t="str">
        <f>IFERROR(__xludf.DUMMYFUNCTION("""COMPUTED_VALUE"""),"SQL")</f>
        <v>SQL</v>
      </c>
      <c r="D2238" s="9" t="str">
        <f>IFERROR(__xludf.DUMMYFUNCTION("""COMPUTED_VALUE"""),"HTML/CSS")</f>
        <v>HTML/CSS</v>
      </c>
      <c r="E2238" s="9" t="str">
        <f>IFERROR(__xludf.DUMMYFUNCTION("""COMPUTED_VALUE"""),"PHP")</f>
        <v>PHP</v>
      </c>
      <c r="F2238" s="9" t="str">
        <f>IFERROR(__xludf.DUMMYFUNCTION("""COMPUTED_VALUE"""),"PHP")</f>
        <v>PHP</v>
      </c>
      <c r="G2238" s="9" t="str">
        <f>IFERROR(__xludf.DUMMYFUNCTION("""COMPUTED_VALUE"""),"Java")</f>
        <v>Java</v>
      </c>
      <c r="H2238" s="9" t="str">
        <f>IFERROR(__xludf.DUMMYFUNCTION("""COMPUTED_VALUE"""),"HTML/CSS")</f>
        <v>HTML/CSS</v>
      </c>
      <c r="I2238" s="9" t="str">
        <f>IFERROR(__xludf.DUMMYFUNCTION("""COMPUTED_VALUE"""),"SQL")</f>
        <v>SQL</v>
      </c>
      <c r="J2238" s="9" t="str">
        <f>IFERROR(__xludf.DUMMYFUNCTION("""COMPUTED_VALUE"""),"C#")</f>
        <v>C#</v>
      </c>
      <c r="K2238" s="9" t="str">
        <f>IFERROR(__xludf.DUMMYFUNCTION("""COMPUTED_VALUE"""),"SQL")</f>
        <v>SQL</v>
      </c>
      <c r="L2238" s="9" t="str">
        <f>IFERROR(__xludf.DUMMYFUNCTION("""COMPUTED_VALUE"""),"Bash/Shell/PowerShell")</f>
        <v>Bash/Shell/PowerShell</v>
      </c>
      <c r="M2238" s="9" t="s">
        <v>27</v>
      </c>
    </row>
    <row r="2239" ht="15.75" customHeight="1">
      <c r="A2239" s="7"/>
      <c r="B2239" s="7" t="str">
        <f>IFERROR(__xludf.DUMMYFUNCTION("""COMPUTED_VALUE"""),"C;HTML/CSS;JavaScript;VBA;Other(s):")</f>
        <v>C;HTML/CSS;JavaScript;VBA;Other(s):</v>
      </c>
      <c r="C2239" s="9" t="str">
        <f>IFERROR(__xludf.DUMMYFUNCTION("""COMPUTED_VALUE"""),"Other(s):")</f>
        <v>Other(s):</v>
      </c>
      <c r="D2239" s="9" t="str">
        <f>IFERROR(__xludf.DUMMYFUNCTION("""COMPUTED_VALUE"""),"JavaScript")</f>
        <v>JavaScript</v>
      </c>
      <c r="E2239" s="9" t="str">
        <f>IFERROR(__xludf.DUMMYFUNCTION("""COMPUTED_VALUE"""),"TypeScript")</f>
        <v>TypeScript</v>
      </c>
      <c r="F2239" s="9" t="str">
        <f>IFERROR(__xludf.DUMMYFUNCTION("""COMPUTED_VALUE"""),"Python")</f>
        <v>Python</v>
      </c>
      <c r="G2239" s="9" t="str">
        <f>IFERROR(__xludf.DUMMYFUNCTION("""COMPUTED_VALUE"""),"PHP")</f>
        <v>PHP</v>
      </c>
      <c r="H2239" s="9" t="str">
        <f>IFERROR(__xludf.DUMMYFUNCTION("""COMPUTED_VALUE"""),"JavaScript")</f>
        <v>JavaScript</v>
      </c>
      <c r="I2239" s="9" t="str">
        <f>IFERROR(__xludf.DUMMYFUNCTION("""COMPUTED_VALUE"""),"Bash/Shell/PowerShell")</f>
        <v>Bash/Shell/PowerShell</v>
      </c>
      <c r="J2239" s="9" t="str">
        <f>IFERROR(__xludf.DUMMYFUNCTION("""COMPUTED_VALUE"""),"HTML/CSS")</f>
        <v>HTML/CSS</v>
      </c>
      <c r="K2239" s="9" t="str">
        <f>IFERROR(__xludf.DUMMYFUNCTION("""COMPUTED_VALUE"""),"Bash/Shell/PowerShell")</f>
        <v>Bash/Shell/PowerShell</v>
      </c>
      <c r="L2239" s="9" t="str">
        <f>IFERROR(__xludf.DUMMYFUNCTION("""COMPUTED_VALUE"""),"C")</f>
        <v>C</v>
      </c>
      <c r="M2239" s="9" t="s">
        <v>35</v>
      </c>
    </row>
    <row r="2240" ht="15.75" customHeight="1">
      <c r="A2240" s="7"/>
      <c r="B2240" s="7" t="str">
        <f>IFERROR(__xludf.DUMMYFUNCTION("""COMPUTED_VALUE"""),"C;C++;C#")</f>
        <v>C;C++;C#</v>
      </c>
      <c r="C2240" s="9" t="str">
        <f>IFERROR(__xludf.DUMMYFUNCTION("""COMPUTED_VALUE"""),"C++")</f>
        <v>C++</v>
      </c>
      <c r="D2240" s="9" t="str">
        <f>IFERROR(__xludf.DUMMYFUNCTION("""COMPUTED_VALUE"""),"PHP")</f>
        <v>PHP</v>
      </c>
      <c r="E2240" s="9" t="str">
        <f>IFERROR(__xludf.DUMMYFUNCTION("""COMPUTED_VALUE"""),"C++")</f>
        <v>C++</v>
      </c>
      <c r="F2240" s="9" t="str">
        <f>IFERROR(__xludf.DUMMYFUNCTION("""COMPUTED_VALUE"""),"SQL")</f>
        <v>SQL</v>
      </c>
      <c r="G2240" s="9" t="str">
        <f>IFERROR(__xludf.DUMMYFUNCTION("""COMPUTED_VALUE"""),"Python")</f>
        <v>Python</v>
      </c>
      <c r="H2240" s="9" t="str">
        <f>IFERROR(__xludf.DUMMYFUNCTION("""COMPUTED_VALUE"""),"SQL")</f>
        <v>SQL</v>
      </c>
      <c r="I2240" s="9" t="str">
        <f>IFERROR(__xludf.DUMMYFUNCTION("""COMPUTED_VALUE"""),"Dart")</f>
        <v>Dart</v>
      </c>
      <c r="J2240" s="9" t="str">
        <f>IFERROR(__xludf.DUMMYFUNCTION("""COMPUTED_VALUE"""),"Java")</f>
        <v>Java</v>
      </c>
      <c r="K2240" s="9" t="str">
        <f>IFERROR(__xludf.DUMMYFUNCTION("""COMPUTED_VALUE"""),"HTML/CSS")</f>
        <v>HTML/CSS</v>
      </c>
      <c r="L2240" s="9" t="str">
        <f>IFERROR(__xludf.DUMMYFUNCTION("""COMPUTED_VALUE"""),"C++")</f>
        <v>C++</v>
      </c>
      <c r="M2240" s="9" t="s">
        <v>23</v>
      </c>
    </row>
    <row r="2241" ht="15.75" customHeight="1">
      <c r="A2241" s="7"/>
      <c r="B2241" s="7" t="str">
        <f>IFERROR(__xludf.DUMMYFUNCTION("""COMPUTED_VALUE"""),"Bash/Shell/PowerShell;HTML/CSS;JavaScript;PHP;Python;SQL")</f>
        <v>Bash/Shell/PowerShell;HTML/CSS;JavaScript;PHP;Python;SQL</v>
      </c>
      <c r="C2241" s="9" t="str">
        <f>IFERROR(__xludf.DUMMYFUNCTION("""COMPUTED_VALUE"""),"Python")</f>
        <v>Python</v>
      </c>
      <c r="D2241" s="9" t="str">
        <f>IFERROR(__xludf.DUMMYFUNCTION("""COMPUTED_VALUE"""),"SQL")</f>
        <v>SQL</v>
      </c>
      <c r="E2241" s="9" t="str">
        <f>IFERROR(__xludf.DUMMYFUNCTION("""COMPUTED_VALUE"""),"C#")</f>
        <v>C#</v>
      </c>
      <c r="F2241" s="9" t="str">
        <f>IFERROR(__xludf.DUMMYFUNCTION("""COMPUTED_VALUE"""),"Assembly")</f>
        <v>Assembly</v>
      </c>
      <c r="G2241" s="9" t="str">
        <f>IFERROR(__xludf.DUMMYFUNCTION("""COMPUTED_VALUE"""),"R")</f>
        <v>R</v>
      </c>
      <c r="H2241" s="9" t="str">
        <f>IFERROR(__xludf.DUMMYFUNCTION("""COMPUTED_VALUE"""),"TypeScript")</f>
        <v>TypeScript</v>
      </c>
      <c r="I2241" s="9" t="str">
        <f>IFERROR(__xludf.DUMMYFUNCTION("""COMPUTED_VALUE"""),"HTML/CSS")</f>
        <v>HTML/CSS</v>
      </c>
      <c r="J2241" s="9" t="str">
        <f>IFERROR(__xludf.DUMMYFUNCTION("""COMPUTED_VALUE"""),"JavaScript")</f>
        <v>JavaScript</v>
      </c>
      <c r="K2241" s="9" t="str">
        <f>IFERROR(__xludf.DUMMYFUNCTION("""COMPUTED_VALUE"""),"JavaScript")</f>
        <v>JavaScript</v>
      </c>
      <c r="L2241" s="9" t="str">
        <f>IFERROR(__xludf.DUMMYFUNCTION("""COMPUTED_VALUE"""),"HTML/CSS")</f>
        <v>HTML/CSS</v>
      </c>
      <c r="M2241" s="9" t="s">
        <v>22</v>
      </c>
    </row>
    <row r="2242" ht="15.75" customHeight="1">
      <c r="A2242" s="7"/>
      <c r="B2242" s="7" t="str">
        <f>IFERROR(__xludf.DUMMYFUNCTION("""COMPUTED_VALUE"""),"C#;SQL")</f>
        <v>C#;SQL</v>
      </c>
      <c r="C2242" s="9" t="str">
        <f>IFERROR(__xludf.DUMMYFUNCTION("""COMPUTED_VALUE"""),"Ruby")</f>
        <v>Ruby</v>
      </c>
      <c r="D2242" s="9" t="str">
        <f>IFERROR(__xludf.DUMMYFUNCTION("""COMPUTED_VALUE"""),"TypeScript")</f>
        <v>TypeScript</v>
      </c>
      <c r="E2242" s="9" t="str">
        <f>IFERROR(__xludf.DUMMYFUNCTION("""COMPUTED_VALUE"""),"HTML/CSS")</f>
        <v>HTML/CSS</v>
      </c>
      <c r="F2242" s="9" t="str">
        <f>IFERROR(__xludf.DUMMYFUNCTION("""COMPUTED_VALUE"""),"C++")</f>
        <v>C++</v>
      </c>
      <c r="G2242" s="9" t="str">
        <f>IFERROR(__xludf.DUMMYFUNCTION("""COMPUTED_VALUE"""),"Scala")</f>
        <v>Scala</v>
      </c>
      <c r="H2242" s="9" t="str">
        <f>IFERROR(__xludf.DUMMYFUNCTION("""COMPUTED_VALUE"""),"Ruby")</f>
        <v>Ruby</v>
      </c>
      <c r="I2242" s="9" t="str">
        <f>IFERROR(__xludf.DUMMYFUNCTION("""COMPUTED_VALUE"""),"Java")</f>
        <v>Java</v>
      </c>
      <c r="J2242" s="9" t="str">
        <f>IFERROR(__xludf.DUMMYFUNCTION("""COMPUTED_VALUE"""),"Objective-C")</f>
        <v>Objective-C</v>
      </c>
      <c r="K2242" s="9" t="str">
        <f>IFERROR(__xludf.DUMMYFUNCTION("""COMPUTED_VALUE"""),"PHP")</f>
        <v>PHP</v>
      </c>
      <c r="L2242" s="9" t="str">
        <f>IFERROR(__xludf.DUMMYFUNCTION("""COMPUTED_VALUE"""),"Java")</f>
        <v>Java</v>
      </c>
      <c r="M2242" s="9" t="s">
        <v>31</v>
      </c>
    </row>
    <row r="2243" ht="15.75" customHeight="1">
      <c r="A2243" s="7"/>
      <c r="B2243" s="7" t="str">
        <f>IFERROR(__xludf.DUMMYFUNCTION("""COMPUTED_VALUE"""),"HTML/CSS;Java;JavaScript;PHP;SQL")</f>
        <v>HTML/CSS;Java;JavaScript;PHP;SQL</v>
      </c>
      <c r="C2243" s="9" t="str">
        <f>IFERROR(__xludf.DUMMYFUNCTION("""COMPUTED_VALUE"""),"Bash/Shell/PowerShell")</f>
        <v>Bash/Shell/PowerShell</v>
      </c>
      <c r="D2243" s="9" t="str">
        <f>IFERROR(__xludf.DUMMYFUNCTION("""COMPUTED_VALUE"""),"HTML/CSS")</f>
        <v>HTML/CSS</v>
      </c>
      <c r="E2243" s="9" t="str">
        <f>IFERROR(__xludf.DUMMYFUNCTION("""COMPUTED_VALUE"""),"Java")</f>
        <v>Java</v>
      </c>
      <c r="F2243" s="9" t="str">
        <f>IFERROR(__xludf.DUMMYFUNCTION("""COMPUTED_VALUE"""),"Python")</f>
        <v>Python</v>
      </c>
      <c r="G2243" s="9" t="str">
        <f>IFERROR(__xludf.DUMMYFUNCTION("""COMPUTED_VALUE"""),"SQL")</f>
        <v>SQL</v>
      </c>
      <c r="H2243" s="9" t="str">
        <f>IFERROR(__xludf.DUMMYFUNCTION("""COMPUTED_VALUE"""),"SQL")</f>
        <v>SQL</v>
      </c>
      <c r="I2243" s="9" t="str">
        <f>IFERROR(__xludf.DUMMYFUNCTION("""COMPUTED_VALUE"""),"JavaScript")</f>
        <v>JavaScript</v>
      </c>
      <c r="J2243" s="9" t="str">
        <f>IFERROR(__xludf.DUMMYFUNCTION("""COMPUTED_VALUE"""),"PHP")</f>
        <v>PHP</v>
      </c>
      <c r="K2243" s="9" t="str">
        <f>IFERROR(__xludf.DUMMYFUNCTION("""COMPUTED_VALUE"""),"C")</f>
        <v>C</v>
      </c>
      <c r="L2243" s="9" t="str">
        <f>IFERROR(__xludf.DUMMYFUNCTION("""COMPUTED_VALUE"""),"JavaScript")</f>
        <v>JavaScript</v>
      </c>
      <c r="M2243" s="9" t="s">
        <v>30</v>
      </c>
    </row>
    <row r="2244" ht="15.75" customHeight="1">
      <c r="A2244" s="7"/>
      <c r="B2244" s="7" t="str">
        <f>IFERROR(__xludf.DUMMYFUNCTION("""COMPUTED_VALUE"""),"HTML/CSS;JavaScript;SQL")</f>
        <v>HTML/CSS;JavaScript;SQL</v>
      </c>
      <c r="C2244" s="9" t="str">
        <f>IFERROR(__xludf.DUMMYFUNCTION("""COMPUTED_VALUE"""),"JavaScript")</f>
        <v>JavaScript</v>
      </c>
      <c r="D2244" s="9" t="str">
        <f>IFERROR(__xludf.DUMMYFUNCTION("""COMPUTED_VALUE"""),"JavaScript")</f>
        <v>JavaScript</v>
      </c>
      <c r="E2244" s="9" t="str">
        <f>IFERROR(__xludf.DUMMYFUNCTION("""COMPUTED_VALUE"""),"JavaScript")</f>
        <v>JavaScript</v>
      </c>
      <c r="F2244" s="9" t="str">
        <f>IFERROR(__xludf.DUMMYFUNCTION("""COMPUTED_VALUE"""),"HTML/CSS")</f>
        <v>HTML/CSS</v>
      </c>
      <c r="G2244" s="9" t="str">
        <f>IFERROR(__xludf.DUMMYFUNCTION("""COMPUTED_VALUE"""),"Swift")</f>
        <v>Swift</v>
      </c>
      <c r="H2244" s="9" t="str">
        <f>IFERROR(__xludf.DUMMYFUNCTION("""COMPUTED_VALUE"""),"Python")</f>
        <v>Python</v>
      </c>
      <c r="I2244" s="9" t="str">
        <f>IFERROR(__xludf.DUMMYFUNCTION("""COMPUTED_VALUE"""),"PHP")</f>
        <v>PHP</v>
      </c>
      <c r="J2244" s="9" t="str">
        <f>IFERROR(__xludf.DUMMYFUNCTION("""COMPUTED_VALUE"""),"TypeScript")</f>
        <v>TypeScript</v>
      </c>
      <c r="K2244" s="9" t="str">
        <f>IFERROR(__xludf.DUMMYFUNCTION("""COMPUTED_VALUE"""),"C++")</f>
        <v>C++</v>
      </c>
      <c r="L2244" s="9" t="str">
        <f>IFERROR(__xludf.DUMMYFUNCTION("""COMPUTED_VALUE"""),"Python")</f>
        <v>Python</v>
      </c>
      <c r="M2244" s="9" t="s">
        <v>21</v>
      </c>
    </row>
    <row r="2245" ht="15.75" customHeight="1">
      <c r="A2245" s="7"/>
      <c r="B2245" s="7" t="str">
        <f>IFERROR(__xludf.DUMMYFUNCTION("""COMPUTED_VALUE"""),"C++;C#")</f>
        <v>C++;C#</v>
      </c>
      <c r="C2245" s="9" t="str">
        <f>IFERROR(__xludf.DUMMYFUNCTION("""COMPUTED_VALUE"""),"Python")</f>
        <v>Python</v>
      </c>
      <c r="D2245" s="9" t="str">
        <f>IFERROR(__xludf.DUMMYFUNCTION("""COMPUTED_VALUE"""),"Rust")</f>
        <v>Rust</v>
      </c>
      <c r="E2245" s="9" t="str">
        <f>IFERROR(__xludf.DUMMYFUNCTION("""COMPUTED_VALUE"""),"PHP")</f>
        <v>PHP</v>
      </c>
      <c r="F2245" s="9" t="str">
        <f>IFERROR(__xludf.DUMMYFUNCTION("""COMPUTED_VALUE"""),"JavaScript")</f>
        <v>JavaScript</v>
      </c>
      <c r="G2245" s="9" t="str">
        <f>IFERROR(__xludf.DUMMYFUNCTION("""COMPUTED_VALUE"""),"Bash/Shell/PowerShell")</f>
        <v>Bash/Shell/PowerShell</v>
      </c>
      <c r="H2245" s="9" t="str">
        <f>IFERROR(__xludf.DUMMYFUNCTION("""COMPUTED_VALUE"""),"R")</f>
        <v>R</v>
      </c>
      <c r="I2245" s="9" t="str">
        <f>IFERROR(__xludf.DUMMYFUNCTION("""COMPUTED_VALUE"""),"Python")</f>
        <v>Python</v>
      </c>
      <c r="J2245" s="9" t="str">
        <f>IFERROR(__xludf.DUMMYFUNCTION("""COMPUTED_VALUE"""),"C#")</f>
        <v>C#</v>
      </c>
      <c r="K2245" s="9" t="str">
        <f>IFERROR(__xludf.DUMMYFUNCTION("""COMPUTED_VALUE"""),"HTML/CSS")</f>
        <v>HTML/CSS</v>
      </c>
      <c r="L2245" s="9" t="str">
        <f>IFERROR(__xludf.DUMMYFUNCTION("""COMPUTED_VALUE"""),"Bash/Shell/PowerShell")</f>
        <v>Bash/Shell/PowerShell</v>
      </c>
      <c r="M2245" s="9" t="s">
        <v>22</v>
      </c>
    </row>
    <row r="2246" ht="15.75" customHeight="1">
      <c r="A2246" s="7"/>
      <c r="B2246" s="7" t="str">
        <f>IFERROR(__xludf.DUMMYFUNCTION("""COMPUTED_VALUE"""),"HTML/CSS;JavaScript;PHP;Rust;TypeScript;WebAssembly")</f>
        <v>HTML/CSS;JavaScript;PHP;Rust;TypeScript;WebAssembly</v>
      </c>
      <c r="C2246" s="9" t="str">
        <f>IFERROR(__xludf.DUMMYFUNCTION("""COMPUTED_VALUE"""),"SQL")</f>
        <v>SQL</v>
      </c>
      <c r="D2246" s="9" t="str">
        <f>IFERROR(__xludf.DUMMYFUNCTION("""COMPUTED_VALUE"""),"SQL")</f>
        <v>SQL</v>
      </c>
      <c r="E2246" s="9" t="str">
        <f>IFERROR(__xludf.DUMMYFUNCTION("""COMPUTED_VALUE"""),"SQL")</f>
        <v>SQL</v>
      </c>
      <c r="F2246" s="9" t="str">
        <f>IFERROR(__xludf.DUMMYFUNCTION("""COMPUTED_VALUE"""),"Python")</f>
        <v>Python</v>
      </c>
      <c r="G2246" s="9" t="str">
        <f>IFERROR(__xludf.DUMMYFUNCTION("""COMPUTED_VALUE"""),"C")</f>
        <v>C</v>
      </c>
      <c r="H2246" s="9" t="str">
        <f>IFERROR(__xludf.DUMMYFUNCTION("""COMPUTED_VALUE"""),"SQL")</f>
        <v>SQL</v>
      </c>
      <c r="I2246" s="9" t="str">
        <f>IFERROR(__xludf.DUMMYFUNCTION("""COMPUTED_VALUE"""),"SQL")</f>
        <v>SQL</v>
      </c>
      <c r="J2246" s="9" t="str">
        <f>IFERROR(__xludf.DUMMYFUNCTION("""COMPUTED_VALUE"""),"JavaScript")</f>
        <v>JavaScript</v>
      </c>
      <c r="K2246" s="9" t="str">
        <f>IFERROR(__xludf.DUMMYFUNCTION("""COMPUTED_VALUE"""),"JavaScript")</f>
        <v>JavaScript</v>
      </c>
      <c r="L2246" s="9" t="str">
        <f>IFERROR(__xludf.DUMMYFUNCTION("""COMPUTED_VALUE"""),"C")</f>
        <v>C</v>
      </c>
      <c r="M2246" s="9" t="s">
        <v>27</v>
      </c>
    </row>
    <row r="2247" ht="15.75" customHeight="1">
      <c r="A2247" s="7"/>
      <c r="B2247" s="7" t="str">
        <f>IFERROR(__xludf.DUMMYFUNCTION("""COMPUTED_VALUE"""),"Bash/Shell/PowerShell;C;C++;C#;HTML/CSS;JavaScript;Kotlin;PHP;Python;Rust;SQL;TypeScript")</f>
        <v>Bash/Shell/PowerShell;C;C++;C#;HTML/CSS;JavaScript;Kotlin;PHP;Python;Rust;SQL;TypeScript</v>
      </c>
      <c r="C2247" s="9" t="str">
        <f>IFERROR(__xludf.DUMMYFUNCTION("""COMPUTED_VALUE"""),"HTML/CSS")</f>
        <v>HTML/CSS</v>
      </c>
      <c r="D2247" s="9" t="str">
        <f>IFERROR(__xludf.DUMMYFUNCTION("""COMPUTED_VALUE"""),"C")</f>
        <v>C</v>
      </c>
      <c r="E2247" s="9" t="str">
        <f>IFERROR(__xludf.DUMMYFUNCTION("""COMPUTED_VALUE"""),"TypeScript")</f>
        <v>TypeScript</v>
      </c>
      <c r="F2247" s="9" t="str">
        <f>IFERROR(__xludf.DUMMYFUNCTION("""COMPUTED_VALUE"""),"Bash/Shell/PowerShell")</f>
        <v>Bash/Shell/PowerShell</v>
      </c>
      <c r="G2247" s="9" t="str">
        <f>IFERROR(__xludf.DUMMYFUNCTION("""COMPUTED_VALUE"""),"C++")</f>
        <v>C++</v>
      </c>
      <c r="H2247" s="9" t="str">
        <f>IFERROR(__xludf.DUMMYFUNCTION("""COMPUTED_VALUE"""),"C#")</f>
        <v>C#</v>
      </c>
      <c r="I2247" s="9" t="str">
        <f>IFERROR(__xludf.DUMMYFUNCTION("""COMPUTED_VALUE"""),"TypeScript")</f>
        <v>TypeScript</v>
      </c>
      <c r="J2247" s="9" t="str">
        <f>IFERROR(__xludf.DUMMYFUNCTION("""COMPUTED_VALUE"""),"Python")</f>
        <v>Python</v>
      </c>
      <c r="K2247" s="9" t="str">
        <f>IFERROR(__xludf.DUMMYFUNCTION("""COMPUTED_VALUE"""),"PHP")</f>
        <v>PHP</v>
      </c>
      <c r="L2247" s="9" t="str">
        <f>IFERROR(__xludf.DUMMYFUNCTION("""COMPUTED_VALUE"""),"C++")</f>
        <v>C++</v>
      </c>
      <c r="M2247" s="9" t="s">
        <v>24</v>
      </c>
    </row>
    <row r="2248" ht="15.75" customHeight="1">
      <c r="A2248" s="7"/>
      <c r="B2248" s="7" t="str">
        <f>IFERROR(__xludf.DUMMYFUNCTION("""COMPUTED_VALUE"""),"Java;Python")</f>
        <v>Java;Python</v>
      </c>
      <c r="C2248" s="9" t="str">
        <f>IFERROR(__xludf.DUMMYFUNCTION("""COMPUTED_VALUE"""),"JavaScript")</f>
        <v>JavaScript</v>
      </c>
      <c r="D2248" s="9" t="str">
        <f>IFERROR(__xludf.DUMMYFUNCTION("""COMPUTED_VALUE"""),"C++")</f>
        <v>C++</v>
      </c>
      <c r="E2248" s="9" t="str">
        <f>IFERROR(__xludf.DUMMYFUNCTION("""COMPUTED_VALUE"""),"Bash/Shell/PowerShell")</f>
        <v>Bash/Shell/PowerShell</v>
      </c>
      <c r="F2248" s="9" t="str">
        <f>IFERROR(__xludf.DUMMYFUNCTION("""COMPUTED_VALUE"""),"C")</f>
        <v>C</v>
      </c>
      <c r="G2248" s="9" t="str">
        <f>IFERROR(__xludf.DUMMYFUNCTION("""COMPUTED_VALUE"""),"Elixir")</f>
        <v>Elixir</v>
      </c>
      <c r="H2248" s="9" t="str">
        <f>IFERROR(__xludf.DUMMYFUNCTION("""COMPUTED_VALUE"""),"HTML/CSS")</f>
        <v>HTML/CSS</v>
      </c>
      <c r="I2248" s="9" t="str">
        <f>IFERROR(__xludf.DUMMYFUNCTION("""COMPUTED_VALUE"""),"Python")</f>
        <v>Python</v>
      </c>
      <c r="J2248" s="9" t="str">
        <f>IFERROR(__xludf.DUMMYFUNCTION("""COMPUTED_VALUE"""),"Ruby")</f>
        <v>Ruby</v>
      </c>
      <c r="K2248" s="9" t="str">
        <f>IFERROR(__xludf.DUMMYFUNCTION("""COMPUTED_VALUE"""),"Swift")</f>
        <v>Swift</v>
      </c>
      <c r="L2248" s="9" t="str">
        <f>IFERROR(__xludf.DUMMYFUNCTION("""COMPUTED_VALUE"""),"Bash/Shell/PowerShell")</f>
        <v>Bash/Shell/PowerShell</v>
      </c>
      <c r="M2248" s="9" t="s">
        <v>21</v>
      </c>
    </row>
    <row r="2249" ht="15.75" customHeight="1">
      <c r="A2249" s="7"/>
      <c r="B2249" s="7" t="str">
        <f>IFERROR(__xludf.DUMMYFUNCTION("""COMPUTED_VALUE"""),"Java;Kotlin;Python")</f>
        <v>Java;Kotlin;Python</v>
      </c>
      <c r="C2249" s="9" t="str">
        <f>IFERROR(__xludf.DUMMYFUNCTION("""COMPUTED_VALUE"""),"Assembly")</f>
        <v>Assembly</v>
      </c>
      <c r="D2249" s="9" t="str">
        <f>IFERROR(__xludf.DUMMYFUNCTION("""COMPUTED_VALUE"""),"HTML/CSS")</f>
        <v>HTML/CSS</v>
      </c>
      <c r="E2249" s="9" t="str">
        <f>IFERROR(__xludf.DUMMYFUNCTION("""COMPUTED_VALUE"""),"HTML/CSS")</f>
        <v>HTML/CSS</v>
      </c>
      <c r="F2249" s="9" t="str">
        <f>IFERROR(__xludf.DUMMYFUNCTION("""COMPUTED_VALUE"""),"HTML/CSS")</f>
        <v>HTML/CSS</v>
      </c>
      <c r="G2249" s="9" t="str">
        <f>IFERROR(__xludf.DUMMYFUNCTION("""COMPUTED_VALUE"""),"HTML/CSS")</f>
        <v>HTML/CSS</v>
      </c>
      <c r="H2249" s="9" t="str">
        <f>IFERROR(__xludf.DUMMYFUNCTION("""COMPUTED_VALUE"""),"JavaScript")</f>
        <v>JavaScript</v>
      </c>
      <c r="I2249" s="9" t="str">
        <f>IFERROR(__xludf.DUMMYFUNCTION("""COMPUTED_VALUE"""),"VBA")</f>
        <v>VBA</v>
      </c>
      <c r="J2249" s="9" t="str">
        <f>IFERROR(__xludf.DUMMYFUNCTION("""COMPUTED_VALUE"""),"Swift")</f>
        <v>Swift</v>
      </c>
      <c r="K2249" s="9" t="str">
        <f>IFERROR(__xludf.DUMMYFUNCTION("""COMPUTED_VALUE"""),"C++")</f>
        <v>C++</v>
      </c>
      <c r="L2249" s="9" t="str">
        <f>IFERROR(__xludf.DUMMYFUNCTION("""COMPUTED_VALUE"""),"HTML/CSS")</f>
        <v>HTML/CSS</v>
      </c>
      <c r="M2249" s="9" t="s">
        <v>38</v>
      </c>
    </row>
    <row r="2250" ht="15.75" customHeight="1">
      <c r="A2250" s="7"/>
      <c r="B2250" s="7" t="str">
        <f>IFERROR(__xludf.DUMMYFUNCTION("""COMPUTED_VALUE"""),"Bash/Shell/PowerShell;HTML/CSS;JavaScript;Python;Ruby;SQL")</f>
        <v>Bash/Shell/PowerShell;HTML/CSS;JavaScript;Python;Ruby;SQL</v>
      </c>
      <c r="C2250" s="9" t="str">
        <f>IFERROR(__xludf.DUMMYFUNCTION("""COMPUTED_VALUE"""),"C")</f>
        <v>C</v>
      </c>
      <c r="D2250" s="9" t="str">
        <f>IFERROR(__xludf.DUMMYFUNCTION("""COMPUTED_VALUE"""),"Java")</f>
        <v>Java</v>
      </c>
      <c r="E2250" s="9" t="str">
        <f>IFERROR(__xludf.DUMMYFUNCTION("""COMPUTED_VALUE"""),"JavaScript")</f>
        <v>JavaScript</v>
      </c>
      <c r="F2250" s="9" t="str">
        <f>IFERROR(__xludf.DUMMYFUNCTION("""COMPUTED_VALUE"""),"JavaScript")</f>
        <v>JavaScript</v>
      </c>
      <c r="G2250" s="9" t="str">
        <f>IFERROR(__xludf.DUMMYFUNCTION("""COMPUTED_VALUE"""),"JavaScript")</f>
        <v>JavaScript</v>
      </c>
      <c r="H2250" s="9" t="str">
        <f>IFERROR(__xludf.DUMMYFUNCTION("""COMPUTED_VALUE"""),"SQL")</f>
        <v>SQL</v>
      </c>
      <c r="I2250" s="9" t="str">
        <f>IFERROR(__xludf.DUMMYFUNCTION("""COMPUTED_VALUE"""),"C#")</f>
        <v>C#</v>
      </c>
      <c r="J2250" s="9" t="str">
        <f>IFERROR(__xludf.DUMMYFUNCTION("""COMPUTED_VALUE"""),"C#")</f>
        <v>C#</v>
      </c>
      <c r="K2250" s="9" t="str">
        <f>IFERROR(__xludf.DUMMYFUNCTION("""COMPUTED_VALUE"""),"Java")</f>
        <v>Java</v>
      </c>
      <c r="L2250" s="9" t="str">
        <f>IFERROR(__xludf.DUMMYFUNCTION("""COMPUTED_VALUE"""),"JavaScript")</f>
        <v>JavaScript</v>
      </c>
      <c r="M2250" s="9" t="s">
        <v>25</v>
      </c>
    </row>
    <row r="2251" ht="15.75" customHeight="1">
      <c r="A2251" s="7"/>
      <c r="B2251" s="7" t="str">
        <f>IFERROR(__xludf.DUMMYFUNCTION("""COMPUTED_VALUE"""),"Bash/Shell/PowerShell;Go;HTML/CSS;Java;JavaScript;PHP;Python;SQL")</f>
        <v>Bash/Shell/PowerShell;Go;HTML/CSS;Java;JavaScript;PHP;Python;SQL</v>
      </c>
      <c r="C2251" s="9" t="str">
        <f>IFERROR(__xludf.DUMMYFUNCTION("""COMPUTED_VALUE"""),"Python")</f>
        <v>Python</v>
      </c>
      <c r="D2251" s="9" t="str">
        <f>IFERROR(__xludf.DUMMYFUNCTION("""COMPUTED_VALUE"""),"JavaScript")</f>
        <v>JavaScript</v>
      </c>
      <c r="E2251" s="9" t="str">
        <f>IFERROR(__xludf.DUMMYFUNCTION("""COMPUTED_VALUE"""),"Assembly")</f>
        <v>Assembly</v>
      </c>
      <c r="F2251" s="9" t="str">
        <f>IFERROR(__xludf.DUMMYFUNCTION("""COMPUTED_VALUE"""),"PHP")</f>
        <v>PHP</v>
      </c>
      <c r="G2251" s="9" t="str">
        <f>IFERROR(__xludf.DUMMYFUNCTION("""COMPUTED_VALUE"""),"Rust")</f>
        <v>Rust</v>
      </c>
      <c r="H2251" s="9" t="str">
        <f>IFERROR(__xludf.DUMMYFUNCTION("""COMPUTED_VALUE"""),"TypeScript")</f>
        <v>TypeScript</v>
      </c>
      <c r="I2251" s="9" t="str">
        <f>IFERROR(__xludf.DUMMYFUNCTION("""COMPUTED_VALUE"""),"F#")</f>
        <v>F#</v>
      </c>
      <c r="J2251" s="9" t="str">
        <f>IFERROR(__xludf.DUMMYFUNCTION("""COMPUTED_VALUE"""),"HTML/CSS")</f>
        <v>HTML/CSS</v>
      </c>
      <c r="K2251" s="9" t="str">
        <f>IFERROR(__xludf.DUMMYFUNCTION("""COMPUTED_VALUE"""),"Kotlin")</f>
        <v>Kotlin</v>
      </c>
      <c r="L2251" s="9" t="str">
        <f>IFERROR(__xludf.DUMMYFUNCTION("""COMPUTED_VALUE"""),"Python")</f>
        <v>Python</v>
      </c>
      <c r="M2251" s="9" t="s">
        <v>22</v>
      </c>
    </row>
    <row r="2252" ht="15.75" customHeight="1">
      <c r="A2252" s="7"/>
      <c r="B2252" s="7" t="str">
        <f>IFERROR(__xludf.DUMMYFUNCTION("""COMPUTED_VALUE"""),"C++;Python")</f>
        <v>C++;Python</v>
      </c>
      <c r="C2252" s="9" t="str">
        <f>IFERROR(__xludf.DUMMYFUNCTION("""COMPUTED_VALUE"""),"Rust")</f>
        <v>Rust</v>
      </c>
      <c r="D2252" s="9" t="str">
        <f>IFERROR(__xludf.DUMMYFUNCTION("""COMPUTED_VALUE"""),"PHP")</f>
        <v>PHP</v>
      </c>
      <c r="E2252" s="9" t="str">
        <f>IFERROR(__xludf.DUMMYFUNCTION("""COMPUTED_VALUE"""),"Bash/Shell/PowerShell")</f>
        <v>Bash/Shell/PowerShell</v>
      </c>
      <c r="F2252" s="9" t="str">
        <f>IFERROR(__xludf.DUMMYFUNCTION("""COMPUTED_VALUE"""),"HTML/CSS")</f>
        <v>HTML/CSS</v>
      </c>
      <c r="G2252" s="9" t="str">
        <f>IFERROR(__xludf.DUMMYFUNCTION("""COMPUTED_VALUE"""),"TypeScript")</f>
        <v>TypeScript</v>
      </c>
      <c r="H2252" s="9" t="str">
        <f>IFERROR(__xludf.DUMMYFUNCTION("""COMPUTED_VALUE"""),"Bash/Shell/PowerShell")</f>
        <v>Bash/Shell/PowerShell</v>
      </c>
      <c r="I2252" s="9" t="str">
        <f>IFERROR(__xludf.DUMMYFUNCTION("""COMPUTED_VALUE"""),"Python")</f>
        <v>Python</v>
      </c>
      <c r="J2252" s="9" t="str">
        <f>IFERROR(__xludf.DUMMYFUNCTION("""COMPUTED_VALUE"""),"Java")</f>
        <v>Java</v>
      </c>
      <c r="K2252" s="9" t="str">
        <f>IFERROR(__xludf.DUMMYFUNCTION("""COMPUTED_VALUE"""),"Objective-C")</f>
        <v>Objective-C</v>
      </c>
      <c r="L2252" s="9" t="str">
        <f>IFERROR(__xludf.DUMMYFUNCTION("""COMPUTED_VALUE"""),"SQL")</f>
        <v>SQL</v>
      </c>
      <c r="M2252" s="9" t="s">
        <v>32</v>
      </c>
    </row>
    <row r="2253" ht="15.75" customHeight="1">
      <c r="A2253" s="7"/>
      <c r="B2253" s="7" t="str">
        <f>IFERROR(__xludf.DUMMYFUNCTION("""COMPUTED_VALUE"""),"Bash/Shell/PowerShell;HTML/CSS;Java;JavaScript;PHP;Python;SQL;TypeScript")</f>
        <v>Bash/Shell/PowerShell;HTML/CSS;Java;JavaScript;PHP;Python;SQL;TypeScript</v>
      </c>
      <c r="C2253" s="9" t="str">
        <f>IFERROR(__xludf.DUMMYFUNCTION("""COMPUTED_VALUE"""),"C#")</f>
        <v>C#</v>
      </c>
      <c r="D2253" s="9" t="str">
        <f>IFERROR(__xludf.DUMMYFUNCTION("""COMPUTED_VALUE"""),"SQL")</f>
        <v>SQL</v>
      </c>
      <c r="E2253" s="9" t="str">
        <f>IFERROR(__xludf.DUMMYFUNCTION("""COMPUTED_VALUE"""),"C")</f>
        <v>C</v>
      </c>
      <c r="F2253" s="9" t="str">
        <f>IFERROR(__xludf.DUMMYFUNCTION("""COMPUTED_VALUE"""),"JavaScript")</f>
        <v>JavaScript</v>
      </c>
      <c r="G2253" s="9" t="str">
        <f>IFERROR(__xludf.DUMMYFUNCTION("""COMPUTED_VALUE"""),"WebAssembly")</f>
        <v>WebAssembly</v>
      </c>
      <c r="H2253" s="9" t="str">
        <f>IFERROR(__xludf.DUMMYFUNCTION("""COMPUTED_VALUE"""),"HTML/CSS")</f>
        <v>HTML/CSS</v>
      </c>
      <c r="I2253" s="9" t="str">
        <f>IFERROR(__xludf.DUMMYFUNCTION("""COMPUTED_VALUE"""),"Bash/Shell/PowerShell")</f>
        <v>Bash/Shell/PowerShell</v>
      </c>
      <c r="J2253" s="9" t="str">
        <f>IFERROR(__xludf.DUMMYFUNCTION("""COMPUTED_VALUE"""),"JavaScript")</f>
        <v>JavaScript</v>
      </c>
      <c r="K2253" s="9" t="str">
        <f>IFERROR(__xludf.DUMMYFUNCTION("""COMPUTED_VALUE"""),"C++")</f>
        <v>C++</v>
      </c>
      <c r="L2253" s="9" t="str">
        <f>IFERROR(__xludf.DUMMYFUNCTION("""COMPUTED_VALUE"""),"Bash/Shell/PowerShell")</f>
        <v>Bash/Shell/PowerShell</v>
      </c>
      <c r="M2253" s="9" t="s">
        <v>26</v>
      </c>
    </row>
    <row r="2254" ht="15.75" customHeight="1">
      <c r="A2254" s="7"/>
      <c r="B2254" s="7" t="str">
        <f>IFERROR(__xludf.DUMMYFUNCTION("""COMPUTED_VALUE"""),"C")</f>
        <v>C</v>
      </c>
      <c r="C2254" s="9" t="str">
        <f>IFERROR(__xludf.DUMMYFUNCTION("""COMPUTED_VALUE"""),"SQL")</f>
        <v>SQL</v>
      </c>
      <c r="D2254" s="9" t="str">
        <f>IFERROR(__xludf.DUMMYFUNCTION("""COMPUTED_VALUE"""),"Java")</f>
        <v>Java</v>
      </c>
      <c r="E2254" s="9" t="str">
        <f>IFERROR(__xludf.DUMMYFUNCTION("""COMPUTED_VALUE"""),"C++")</f>
        <v>C++</v>
      </c>
      <c r="F2254" s="9" t="str">
        <f>IFERROR(__xludf.DUMMYFUNCTION("""COMPUTED_VALUE"""),"PHP")</f>
        <v>PHP</v>
      </c>
      <c r="G2254" s="9" t="str">
        <f>IFERROR(__xludf.DUMMYFUNCTION("""COMPUTED_VALUE"""),"HTML/CSS")</f>
        <v>HTML/CSS</v>
      </c>
      <c r="H2254" s="9" t="str">
        <f>IFERROR(__xludf.DUMMYFUNCTION("""COMPUTED_VALUE"""),"Java")</f>
        <v>Java</v>
      </c>
      <c r="I2254" s="9" t="str">
        <f>IFERROR(__xludf.DUMMYFUNCTION("""COMPUTED_VALUE"""),"C")</f>
        <v>C</v>
      </c>
      <c r="J2254" s="9" t="str">
        <f>IFERROR(__xludf.DUMMYFUNCTION("""COMPUTED_VALUE"""),"PHP")</f>
        <v>PHP</v>
      </c>
      <c r="K2254" s="9" t="str">
        <f>IFERROR(__xludf.DUMMYFUNCTION("""COMPUTED_VALUE"""),"C#")</f>
        <v>C#</v>
      </c>
      <c r="L2254" s="9" t="str">
        <f>IFERROR(__xludf.DUMMYFUNCTION("""COMPUTED_VALUE"""),"HTML/CSS")</f>
        <v>HTML/CSS</v>
      </c>
      <c r="M2254" s="9" t="s">
        <v>27</v>
      </c>
    </row>
    <row r="2255" ht="15.75" customHeight="1">
      <c r="A2255" s="7"/>
      <c r="B2255" s="7" t="str">
        <f>IFERROR(__xludf.DUMMYFUNCTION("""COMPUTED_VALUE"""),"C#;F#;Java")</f>
        <v>C#;F#;Java</v>
      </c>
      <c r="C2255" s="9" t="str">
        <f>IFERROR(__xludf.DUMMYFUNCTION("""COMPUTED_VALUE"""),"Bash/Shell/PowerShell")</f>
        <v>Bash/Shell/PowerShell</v>
      </c>
      <c r="D2255" s="9" t="str">
        <f>IFERROR(__xludf.DUMMYFUNCTION("""COMPUTED_VALUE"""),"Python")</f>
        <v>Python</v>
      </c>
      <c r="E2255" s="9" t="str">
        <f>IFERROR(__xludf.DUMMYFUNCTION("""COMPUTED_VALUE"""),"C#")</f>
        <v>C#</v>
      </c>
      <c r="F2255" s="9" t="str">
        <f>IFERROR(__xludf.DUMMYFUNCTION("""COMPUTED_VALUE"""),"Python")</f>
        <v>Python</v>
      </c>
      <c r="G2255" s="9" t="str">
        <f>IFERROR(__xludf.DUMMYFUNCTION("""COMPUTED_VALUE"""),"JavaScript")</f>
        <v>JavaScript</v>
      </c>
      <c r="H2255" s="9" t="str">
        <f>IFERROR(__xludf.DUMMYFUNCTION("""COMPUTED_VALUE"""),"JavaScript")</f>
        <v>JavaScript</v>
      </c>
      <c r="I2255" s="9" t="str">
        <f>IFERROR(__xludf.DUMMYFUNCTION("""COMPUTED_VALUE"""),"C++")</f>
        <v>C++</v>
      </c>
      <c r="J2255" s="9" t="str">
        <f>IFERROR(__xludf.DUMMYFUNCTION("""COMPUTED_VALUE"""),"Bash/Shell/PowerShell")</f>
        <v>Bash/Shell/PowerShell</v>
      </c>
      <c r="K2255" s="9" t="str">
        <f>IFERROR(__xludf.DUMMYFUNCTION("""COMPUTED_VALUE"""),"HTML/CSS")</f>
        <v>HTML/CSS</v>
      </c>
      <c r="L2255" s="9" t="str">
        <f>IFERROR(__xludf.DUMMYFUNCTION("""COMPUTED_VALUE"""),"Java")</f>
        <v>Java</v>
      </c>
      <c r="M2255" s="9" t="s">
        <v>30</v>
      </c>
    </row>
    <row r="2256" ht="15.75" customHeight="1">
      <c r="A2256" s="7"/>
      <c r="B2256" s="7" t="str">
        <f>IFERROR(__xludf.DUMMYFUNCTION("""COMPUTED_VALUE"""),"Objective-C;Swift")</f>
        <v>Objective-C;Swift</v>
      </c>
      <c r="C2256" s="9" t="str">
        <f>IFERROR(__xludf.DUMMYFUNCTION("""COMPUTED_VALUE"""),"C#")</f>
        <v>C#</v>
      </c>
      <c r="D2256" s="9" t="str">
        <f>IFERROR(__xludf.DUMMYFUNCTION("""COMPUTED_VALUE"""),"SQL")</f>
        <v>SQL</v>
      </c>
      <c r="E2256" s="9" t="str">
        <f>IFERROR(__xludf.DUMMYFUNCTION("""COMPUTED_VALUE"""),"HTML/CSS")</f>
        <v>HTML/CSS</v>
      </c>
      <c r="F2256" s="9" t="str">
        <f>IFERROR(__xludf.DUMMYFUNCTION("""COMPUTED_VALUE"""),"Go")</f>
        <v>Go</v>
      </c>
      <c r="G2256" s="9" t="str">
        <f>IFERROR(__xludf.DUMMYFUNCTION("""COMPUTED_VALUE"""),"SQL")</f>
        <v>SQL</v>
      </c>
      <c r="H2256" s="9" t="str">
        <f>IFERROR(__xludf.DUMMYFUNCTION("""COMPUTED_VALUE"""),"SQL")</f>
        <v>SQL</v>
      </c>
      <c r="I2256" s="9" t="str">
        <f>IFERROR(__xludf.DUMMYFUNCTION("""COMPUTED_VALUE"""),"Go")</f>
        <v>Go</v>
      </c>
      <c r="J2256" s="9" t="str">
        <f>IFERROR(__xludf.DUMMYFUNCTION("""COMPUTED_VALUE"""),"HTML/CSS")</f>
        <v>HTML/CSS</v>
      </c>
      <c r="K2256" s="9" t="str">
        <f>IFERROR(__xludf.DUMMYFUNCTION("""COMPUTED_VALUE"""),"JavaScript")</f>
        <v>JavaScript</v>
      </c>
      <c r="L2256" s="9" t="str">
        <f>IFERROR(__xludf.DUMMYFUNCTION("""COMPUTED_VALUE"""),"JavaScript")</f>
        <v>JavaScript</v>
      </c>
      <c r="M2256" s="9" t="s">
        <v>26</v>
      </c>
    </row>
    <row r="2257" ht="15.75" customHeight="1">
      <c r="A2257" s="7"/>
      <c r="B2257" s="7" t="str">
        <f>IFERROR(__xludf.DUMMYFUNCTION("""COMPUTED_VALUE"""),"Objective-C;Swift")</f>
        <v>Objective-C;Swift</v>
      </c>
      <c r="C2257" s="9" t="str">
        <f>IFERROR(__xludf.DUMMYFUNCTION("""COMPUTED_VALUE"""),"HTML/CSS")</f>
        <v>HTML/CSS</v>
      </c>
      <c r="D2257" s="9" t="str">
        <f>IFERROR(__xludf.DUMMYFUNCTION("""COMPUTED_VALUE"""),"C++")</f>
        <v>C++</v>
      </c>
      <c r="E2257" s="9" t="str">
        <f>IFERROR(__xludf.DUMMYFUNCTION("""COMPUTED_VALUE"""),"Java")</f>
        <v>Java</v>
      </c>
      <c r="F2257" s="9" t="str">
        <f>IFERROR(__xludf.DUMMYFUNCTION("""COMPUTED_VALUE"""),"HTML/CSS")</f>
        <v>HTML/CSS</v>
      </c>
      <c r="G2257" s="9" t="str">
        <f>IFERROR(__xludf.DUMMYFUNCTION("""COMPUTED_VALUE"""),"HTML/CSS")</f>
        <v>HTML/CSS</v>
      </c>
      <c r="H2257" s="9" t="str">
        <f>IFERROR(__xludf.DUMMYFUNCTION("""COMPUTED_VALUE"""),"TypeScript")</f>
        <v>TypeScript</v>
      </c>
      <c r="I2257" s="9" t="str">
        <f>IFERROR(__xludf.DUMMYFUNCTION("""COMPUTED_VALUE"""),"Python")</f>
        <v>Python</v>
      </c>
      <c r="J2257" s="9" t="str">
        <f>IFERROR(__xludf.DUMMYFUNCTION("""COMPUTED_VALUE"""),"Java")</f>
        <v>Java</v>
      </c>
      <c r="K2257" s="9" t="str">
        <f>IFERROR(__xludf.DUMMYFUNCTION("""COMPUTED_VALUE"""),"SQL")</f>
        <v>SQL</v>
      </c>
      <c r="L2257" s="9" t="str">
        <f>IFERROR(__xludf.DUMMYFUNCTION("""COMPUTED_VALUE"""),"Scala")</f>
        <v>Scala</v>
      </c>
      <c r="M2257" s="9" t="s">
        <v>24</v>
      </c>
    </row>
    <row r="2258" ht="15.75" customHeight="1">
      <c r="A2258" s="7"/>
      <c r="B2258" s="7" t="str">
        <f>IFERROR(__xludf.DUMMYFUNCTION("""COMPUTED_VALUE"""),"C#;HTML/CSS;Java;JavaScript;Python;SQL;TypeScript")</f>
        <v>C#;HTML/CSS;Java;JavaScript;Python;SQL;TypeScript</v>
      </c>
      <c r="C2258" s="9" t="str">
        <f>IFERROR(__xludf.DUMMYFUNCTION("""COMPUTED_VALUE"""),"JavaScript")</f>
        <v>JavaScript</v>
      </c>
      <c r="D2258" s="9" t="str">
        <f>IFERROR(__xludf.DUMMYFUNCTION("""COMPUTED_VALUE"""),"JavaScript")</f>
        <v>JavaScript</v>
      </c>
      <c r="E2258" s="9" t="str">
        <f>IFERROR(__xludf.DUMMYFUNCTION("""COMPUTED_VALUE"""),"JavaScript")</f>
        <v>JavaScript</v>
      </c>
      <c r="F2258" s="9" t="str">
        <f>IFERROR(__xludf.DUMMYFUNCTION("""COMPUTED_VALUE"""),"JavaScript")</f>
        <v>JavaScript</v>
      </c>
      <c r="G2258" s="9" t="str">
        <f>IFERROR(__xludf.DUMMYFUNCTION("""COMPUTED_VALUE"""),"JavaScript")</f>
        <v>JavaScript</v>
      </c>
      <c r="H2258" s="9" t="str">
        <f>IFERROR(__xludf.DUMMYFUNCTION("""COMPUTED_VALUE"""),"C#")</f>
        <v>C#</v>
      </c>
      <c r="I2258" s="9" t="str">
        <f>IFERROR(__xludf.DUMMYFUNCTION("""COMPUTED_VALUE"""),"Bash/Shell/PowerShell")</f>
        <v>Bash/Shell/PowerShell</v>
      </c>
      <c r="J2258" s="9" t="str">
        <f>IFERROR(__xludf.DUMMYFUNCTION("""COMPUTED_VALUE"""),"JavaScript")</f>
        <v>JavaScript</v>
      </c>
      <c r="K2258" s="9" t="str">
        <f>IFERROR(__xludf.DUMMYFUNCTION("""COMPUTED_VALUE"""),"TypeScript")</f>
        <v>TypeScript</v>
      </c>
      <c r="L2258" s="9" t="str">
        <f>IFERROR(__xludf.DUMMYFUNCTION("""COMPUTED_VALUE"""),"SQL")</f>
        <v>SQL</v>
      </c>
      <c r="M2258" s="9" t="s">
        <v>21</v>
      </c>
    </row>
    <row r="2259" ht="15.75" customHeight="1">
      <c r="A2259" s="7"/>
      <c r="B2259" s="7" t="str">
        <f>IFERROR(__xludf.DUMMYFUNCTION("""COMPUTED_VALUE"""),"Java;JavaScript;Kotlin;Python;R;Scala;TypeScript")</f>
        <v>Java;JavaScript;Kotlin;Python;R;Scala;TypeScript</v>
      </c>
      <c r="C2259" s="9" t="str">
        <f>IFERROR(__xludf.DUMMYFUNCTION("""COMPUTED_VALUE"""),"PHP")</f>
        <v>PHP</v>
      </c>
      <c r="D2259" s="9" t="str">
        <f>IFERROR(__xludf.DUMMYFUNCTION("""COMPUTED_VALUE"""),"TypeScript")</f>
        <v>TypeScript</v>
      </c>
      <c r="E2259" s="9" t="str">
        <f>IFERROR(__xludf.DUMMYFUNCTION("""COMPUTED_VALUE"""),"PHP")</f>
        <v>PHP</v>
      </c>
      <c r="F2259" s="9" t="str">
        <f>IFERROR(__xludf.DUMMYFUNCTION("""COMPUTED_VALUE"""),"Python")</f>
        <v>Python</v>
      </c>
      <c r="G2259" s="9" t="str">
        <f>IFERROR(__xludf.DUMMYFUNCTION("""COMPUTED_VALUE"""),"Bash/Shell/PowerShell")</f>
        <v>Bash/Shell/PowerShell</v>
      </c>
      <c r="H2259" s="9" t="str">
        <f>IFERROR(__xludf.DUMMYFUNCTION("""COMPUTED_VALUE"""),"SQL")</f>
        <v>SQL</v>
      </c>
      <c r="I2259" s="9" t="str">
        <f>IFERROR(__xludf.DUMMYFUNCTION("""COMPUTED_VALUE"""),"C")</f>
        <v>C</v>
      </c>
      <c r="J2259" s="9" t="str">
        <f>IFERROR(__xludf.DUMMYFUNCTION("""COMPUTED_VALUE"""),"Python")</f>
        <v>Python</v>
      </c>
      <c r="K2259" s="9" t="str">
        <f>IFERROR(__xludf.DUMMYFUNCTION("""COMPUTED_VALUE"""),"C")</f>
        <v>C</v>
      </c>
      <c r="L2259" s="9" t="str">
        <f>IFERROR(__xludf.DUMMYFUNCTION("""COMPUTED_VALUE"""),"Bash/Shell/PowerShell")</f>
        <v>Bash/Shell/PowerShell</v>
      </c>
      <c r="M2259" s="9" t="s">
        <v>37</v>
      </c>
    </row>
    <row r="2260" ht="15.75" customHeight="1">
      <c r="A2260" s="7"/>
      <c r="B2260" s="7" t="str">
        <f>IFERROR(__xludf.DUMMYFUNCTION("""COMPUTED_VALUE"""),"Bash/Shell/PowerShell;HTML/CSS;JavaScript;Python;VBA")</f>
        <v>Bash/Shell/PowerShell;HTML/CSS;JavaScript;Python;VBA</v>
      </c>
      <c r="C2260" s="9" t="str">
        <f>IFERROR(__xludf.DUMMYFUNCTION("""COMPUTED_VALUE"""),"Python")</f>
        <v>Python</v>
      </c>
      <c r="D2260" s="9" t="str">
        <f>IFERROR(__xludf.DUMMYFUNCTION("""COMPUTED_VALUE"""),"Python")</f>
        <v>Python</v>
      </c>
      <c r="E2260" s="9" t="str">
        <f>IFERROR(__xludf.DUMMYFUNCTION("""COMPUTED_VALUE"""),"Python")</f>
        <v>Python</v>
      </c>
      <c r="F2260" s="9" t="str">
        <f>IFERROR(__xludf.DUMMYFUNCTION("""COMPUTED_VALUE"""),"R")</f>
        <v>R</v>
      </c>
      <c r="G2260" s="9" t="str">
        <f>IFERROR(__xludf.DUMMYFUNCTION("""COMPUTED_VALUE"""),"C++")</f>
        <v>C++</v>
      </c>
      <c r="H2260" s="9" t="str">
        <f>IFERROR(__xludf.DUMMYFUNCTION("""COMPUTED_VALUE"""),"Go")</f>
        <v>Go</v>
      </c>
      <c r="I2260" s="9" t="str">
        <f>IFERROR(__xludf.DUMMYFUNCTION("""COMPUTED_VALUE"""),"HTML/CSS")</f>
        <v>HTML/CSS</v>
      </c>
      <c r="J2260" s="9" t="str">
        <f>IFERROR(__xludf.DUMMYFUNCTION("""COMPUTED_VALUE"""),"SQL")</f>
        <v>SQL</v>
      </c>
      <c r="K2260" s="9" t="str">
        <f>IFERROR(__xludf.DUMMYFUNCTION("""COMPUTED_VALUE"""),"Dart")</f>
        <v>Dart</v>
      </c>
      <c r="L2260" s="9" t="str">
        <f>IFERROR(__xludf.DUMMYFUNCTION("""COMPUTED_VALUE"""),"HTML/CSS")</f>
        <v>HTML/CSS</v>
      </c>
      <c r="M2260" s="9" t="s">
        <v>22</v>
      </c>
    </row>
    <row r="2261" ht="15.75" customHeight="1">
      <c r="A2261" s="7"/>
      <c r="B2261" s="7" t="str">
        <f>IFERROR(__xludf.DUMMYFUNCTION("""COMPUTED_VALUE"""),"HTML/CSS;JavaScript")</f>
        <v>HTML/CSS;JavaScript</v>
      </c>
      <c r="C2261" s="9" t="str">
        <f>IFERROR(__xludf.DUMMYFUNCTION("""COMPUTED_VALUE"""),"HTML/CSS")</f>
        <v>HTML/CSS</v>
      </c>
      <c r="D2261" s="9" t="str">
        <f>IFERROR(__xludf.DUMMYFUNCTION("""COMPUTED_VALUE"""),"SQL")</f>
        <v>SQL</v>
      </c>
      <c r="E2261" s="9" t="str">
        <f>IFERROR(__xludf.DUMMYFUNCTION("""COMPUTED_VALUE"""),"SQL")</f>
        <v>SQL</v>
      </c>
      <c r="F2261" s="9" t="str">
        <f>IFERROR(__xludf.DUMMYFUNCTION("""COMPUTED_VALUE"""),"SQL")</f>
        <v>SQL</v>
      </c>
      <c r="G2261" s="9" t="str">
        <f>IFERROR(__xludf.DUMMYFUNCTION("""COMPUTED_VALUE"""),"C#")</f>
        <v>C#</v>
      </c>
      <c r="H2261" s="9" t="str">
        <f>IFERROR(__xludf.DUMMYFUNCTION("""COMPUTED_VALUE"""),"HTML/CSS")</f>
        <v>HTML/CSS</v>
      </c>
      <c r="I2261" s="9" t="str">
        <f>IFERROR(__xludf.DUMMYFUNCTION("""COMPUTED_VALUE"""),"Java")</f>
        <v>Java</v>
      </c>
      <c r="J2261" s="9" t="str">
        <f>IFERROR(__xludf.DUMMYFUNCTION("""COMPUTED_VALUE"""),"C")</f>
        <v>C</v>
      </c>
      <c r="K2261" s="9" t="str">
        <f>IFERROR(__xludf.DUMMYFUNCTION("""COMPUTED_VALUE"""),"Java")</f>
        <v>Java</v>
      </c>
      <c r="L2261" s="9" t="str">
        <f>IFERROR(__xludf.DUMMYFUNCTION("""COMPUTED_VALUE"""),"Java")</f>
        <v>Java</v>
      </c>
      <c r="M2261" s="9" t="s">
        <v>24</v>
      </c>
    </row>
    <row r="2262" ht="15.75" customHeight="1">
      <c r="A2262" s="7"/>
      <c r="B2262" s="7" t="str">
        <f>IFERROR(__xludf.DUMMYFUNCTION("""COMPUTED_VALUE"""),"Bash/Shell/PowerShell;Java;JavaScript;Python;SQL")</f>
        <v>Bash/Shell/PowerShell;Java;JavaScript;Python;SQL</v>
      </c>
      <c r="C2262" s="9" t="str">
        <f>IFERROR(__xludf.DUMMYFUNCTION("""COMPUTED_VALUE"""),"JavaScript")</f>
        <v>JavaScript</v>
      </c>
      <c r="D2262" s="9" t="str">
        <f>IFERROR(__xludf.DUMMYFUNCTION("""COMPUTED_VALUE"""),"C#")</f>
        <v>C#</v>
      </c>
      <c r="E2262" s="9" t="str">
        <f>IFERROR(__xludf.DUMMYFUNCTION("""COMPUTED_VALUE"""),"VBA")</f>
        <v>VBA</v>
      </c>
      <c r="F2262" s="9" t="str">
        <f>IFERROR(__xludf.DUMMYFUNCTION("""COMPUTED_VALUE"""),"TypeScript")</f>
        <v>TypeScript</v>
      </c>
      <c r="G2262" s="9" t="str">
        <f>IFERROR(__xludf.DUMMYFUNCTION("""COMPUTED_VALUE"""),"JavaScript")</f>
        <v>JavaScript</v>
      </c>
      <c r="H2262" s="9" t="str">
        <f>IFERROR(__xludf.DUMMYFUNCTION("""COMPUTED_VALUE"""),"Python")</f>
        <v>Python</v>
      </c>
      <c r="I2262" s="9" t="str">
        <f>IFERROR(__xludf.DUMMYFUNCTION("""COMPUTED_VALUE"""),"JavaScript")</f>
        <v>JavaScript</v>
      </c>
      <c r="J2262" s="9" t="str">
        <f>IFERROR(__xludf.DUMMYFUNCTION("""COMPUTED_VALUE"""),"C++")</f>
        <v>C++</v>
      </c>
      <c r="K2262" s="9" t="str">
        <f>IFERROR(__xludf.DUMMYFUNCTION("""COMPUTED_VALUE"""),"Kotlin")</f>
        <v>Kotlin</v>
      </c>
      <c r="L2262" s="9" t="str">
        <f>IFERROR(__xludf.DUMMYFUNCTION("""COMPUTED_VALUE"""),"JavaScript")</f>
        <v>JavaScript</v>
      </c>
      <c r="M2262" s="9" t="s">
        <v>21</v>
      </c>
    </row>
    <row r="2263" ht="15.75" customHeight="1">
      <c r="A2263" s="7"/>
      <c r="B2263" s="7" t="str">
        <f>IFERROR(__xludf.DUMMYFUNCTION("""COMPUTED_VALUE"""),"Bash/Shell/PowerShell;C++;Go;HTML/CSS;Python;R;Scala;SQL")</f>
        <v>Bash/Shell/PowerShell;C++;Go;HTML/CSS;Python;R;Scala;SQL</v>
      </c>
      <c r="C2263" s="9" t="str">
        <f>IFERROR(__xludf.DUMMYFUNCTION("""COMPUTED_VALUE"""),"PHP")</f>
        <v>PHP</v>
      </c>
      <c r="D2263" s="9" t="str">
        <f>IFERROR(__xludf.DUMMYFUNCTION("""COMPUTED_VALUE"""),"HTML/CSS")</f>
        <v>HTML/CSS</v>
      </c>
      <c r="E2263" s="9" t="str">
        <f>IFERROR(__xludf.DUMMYFUNCTION("""COMPUTED_VALUE"""),"HTML/CSS")</f>
        <v>HTML/CSS</v>
      </c>
      <c r="F2263" s="9" t="str">
        <f>IFERROR(__xludf.DUMMYFUNCTION("""COMPUTED_VALUE"""),"VBA")</f>
        <v>VBA</v>
      </c>
      <c r="G2263" s="9" t="str">
        <f>IFERROR(__xludf.DUMMYFUNCTION("""COMPUTED_VALUE"""),"Python")</f>
        <v>Python</v>
      </c>
      <c r="H2263" s="9" t="str">
        <f>IFERROR(__xludf.DUMMYFUNCTION("""COMPUTED_VALUE"""),"Ruby")</f>
        <v>Ruby</v>
      </c>
      <c r="I2263" s="9" t="str">
        <f>IFERROR(__xludf.DUMMYFUNCTION("""COMPUTED_VALUE"""),"PHP")</f>
        <v>PHP</v>
      </c>
      <c r="J2263" s="9" t="str">
        <f>IFERROR(__xludf.DUMMYFUNCTION("""COMPUTED_VALUE"""),"Go")</f>
        <v>Go</v>
      </c>
      <c r="K2263" s="9" t="str">
        <f>IFERROR(__xludf.DUMMYFUNCTION("""COMPUTED_VALUE"""),"Python")</f>
        <v>Python</v>
      </c>
      <c r="L2263" s="9" t="str">
        <f>IFERROR(__xludf.DUMMYFUNCTION("""COMPUTED_VALUE"""),"Python")</f>
        <v>Python</v>
      </c>
      <c r="M2263" s="9" t="s">
        <v>37</v>
      </c>
    </row>
    <row r="2264" ht="15.75" customHeight="1">
      <c r="A2264" s="7"/>
      <c r="B2264" s="7" t="str">
        <f>IFERROR(__xludf.DUMMYFUNCTION("""COMPUTED_VALUE"""),"C#;HTML/CSS;Java;Python;SQL")</f>
        <v>C#;HTML/CSS;Java;Python;SQL</v>
      </c>
      <c r="C2264" s="9" t="str">
        <f>IFERROR(__xludf.DUMMYFUNCTION("""COMPUTED_VALUE"""),"SQL")</f>
        <v>SQL</v>
      </c>
      <c r="D2264" s="9" t="str">
        <f>IFERROR(__xludf.DUMMYFUNCTION("""COMPUTED_VALUE"""),"JavaScript")</f>
        <v>JavaScript</v>
      </c>
      <c r="E2264" s="9" t="str">
        <f>IFERROR(__xludf.DUMMYFUNCTION("""COMPUTED_VALUE"""),"JavaScript")</f>
        <v>JavaScript</v>
      </c>
      <c r="F2264" s="9" t="str">
        <f>IFERROR(__xludf.DUMMYFUNCTION("""COMPUTED_VALUE"""),"Bash/Shell/PowerShell")</f>
        <v>Bash/Shell/PowerShell</v>
      </c>
      <c r="G2264" s="9" t="str">
        <f>IFERROR(__xludf.DUMMYFUNCTION("""COMPUTED_VALUE"""),"Swift")</f>
        <v>Swift</v>
      </c>
      <c r="H2264" s="9" t="str">
        <f>IFERROR(__xludf.DUMMYFUNCTION("""COMPUTED_VALUE"""),"SQL")</f>
        <v>SQL</v>
      </c>
      <c r="I2264" s="9" t="str">
        <f>IFERROR(__xludf.DUMMYFUNCTION("""COMPUTED_VALUE"""),"Assembly")</f>
        <v>Assembly</v>
      </c>
      <c r="J2264" s="9" t="str">
        <f>IFERROR(__xludf.DUMMYFUNCTION("""COMPUTED_VALUE"""),"HTML/CSS")</f>
        <v>HTML/CSS</v>
      </c>
      <c r="K2264" s="9" t="str">
        <f>IFERROR(__xludf.DUMMYFUNCTION("""COMPUTED_VALUE"""),"SQL")</f>
        <v>SQL</v>
      </c>
      <c r="L2264" s="9" t="str">
        <f>IFERROR(__xludf.DUMMYFUNCTION("""COMPUTED_VALUE"""),"HTML/CSS")</f>
        <v>HTML/CSS</v>
      </c>
      <c r="M2264" s="9" t="s">
        <v>27</v>
      </c>
    </row>
    <row r="2265" ht="15.75" customHeight="1">
      <c r="A2265" s="7"/>
      <c r="B2265" s="7" t="str">
        <f>IFERROR(__xludf.DUMMYFUNCTION("""COMPUTED_VALUE"""),"C;C#;HTML/CSS;JavaScript;Python")</f>
        <v>C;C#;HTML/CSS;JavaScript;Python</v>
      </c>
      <c r="C2265" s="9" t="str">
        <f>IFERROR(__xludf.DUMMYFUNCTION("""COMPUTED_VALUE"""),"Bash/Shell/PowerShell")</f>
        <v>Bash/Shell/PowerShell</v>
      </c>
      <c r="D2265" s="9" t="str">
        <f>IFERROR(__xludf.DUMMYFUNCTION("""COMPUTED_VALUE"""),"C")</f>
        <v>C</v>
      </c>
      <c r="E2265" s="9" t="str">
        <f>IFERROR(__xludf.DUMMYFUNCTION("""COMPUTED_VALUE"""),"PHP")</f>
        <v>PHP</v>
      </c>
      <c r="F2265" s="9" t="str">
        <f>IFERROR(__xludf.DUMMYFUNCTION("""COMPUTED_VALUE"""),"Java")</f>
        <v>Java</v>
      </c>
      <c r="G2265" s="9" t="str">
        <f>IFERROR(__xludf.DUMMYFUNCTION("""COMPUTED_VALUE"""),"HTML/CSS")</f>
        <v>HTML/CSS</v>
      </c>
      <c r="H2265" s="9" t="str">
        <f>IFERROR(__xludf.DUMMYFUNCTION("""COMPUTED_VALUE"""),"Bash/Shell/PowerShell")</f>
        <v>Bash/Shell/PowerShell</v>
      </c>
      <c r="I2265" s="9" t="str">
        <f>IFERROR(__xludf.DUMMYFUNCTION("""COMPUTED_VALUE"""),"Bash/Shell/PowerShell")</f>
        <v>Bash/Shell/PowerShell</v>
      </c>
      <c r="J2265" s="9" t="str">
        <f>IFERROR(__xludf.DUMMYFUNCTION("""COMPUTED_VALUE"""),"Java")</f>
        <v>Java</v>
      </c>
      <c r="K2265" s="9" t="str">
        <f>IFERROR(__xludf.DUMMYFUNCTION("""COMPUTED_VALUE"""),"C++")</f>
        <v>C++</v>
      </c>
      <c r="L2265" s="9" t="str">
        <f>IFERROR(__xludf.DUMMYFUNCTION("""COMPUTED_VALUE"""),"Java")</f>
        <v>Java</v>
      </c>
      <c r="M2265" s="9" t="s">
        <v>30</v>
      </c>
    </row>
    <row r="2266" ht="15.75" customHeight="1">
      <c r="A2266" s="7"/>
      <c r="B2266" s="7" t="str">
        <f>IFERROR(__xludf.DUMMYFUNCTION("""COMPUTED_VALUE"""),"C#;Python")</f>
        <v>C#;Python</v>
      </c>
      <c r="C2266" s="9" t="str">
        <f>IFERROR(__xludf.DUMMYFUNCTION("""COMPUTED_VALUE"""),"C#")</f>
        <v>C#</v>
      </c>
      <c r="D2266" s="9" t="str">
        <f>IFERROR(__xludf.DUMMYFUNCTION("""COMPUTED_VALUE"""),"C++")</f>
        <v>C++</v>
      </c>
      <c r="E2266" s="9" t="str">
        <f>IFERROR(__xludf.DUMMYFUNCTION("""COMPUTED_VALUE"""),"SQL")</f>
        <v>SQL</v>
      </c>
      <c r="F2266" s="9" t="str">
        <f>IFERROR(__xludf.DUMMYFUNCTION("""COMPUTED_VALUE"""),"JavaScript")</f>
        <v>JavaScript</v>
      </c>
      <c r="G2266" s="9" t="str">
        <f>IFERROR(__xludf.DUMMYFUNCTION("""COMPUTED_VALUE"""),"JavaScript")</f>
        <v>JavaScript</v>
      </c>
      <c r="H2266" s="9" t="str">
        <f>IFERROR(__xludf.DUMMYFUNCTION("""COMPUTED_VALUE"""),"Java")</f>
        <v>Java</v>
      </c>
      <c r="I2266" s="9" t="str">
        <f>IFERROR(__xludf.DUMMYFUNCTION("""COMPUTED_VALUE"""),"C")</f>
        <v>C</v>
      </c>
      <c r="J2266" s="9" t="str">
        <f>IFERROR(__xludf.DUMMYFUNCTION("""COMPUTED_VALUE"""),"JavaScript")</f>
        <v>JavaScript</v>
      </c>
      <c r="K2266" s="9" t="str">
        <f>IFERROR(__xludf.DUMMYFUNCTION("""COMPUTED_VALUE"""),"HTML/CSS")</f>
        <v>HTML/CSS</v>
      </c>
      <c r="L2266" s="9" t="str">
        <f>IFERROR(__xludf.DUMMYFUNCTION("""COMPUTED_VALUE"""),"JavaScript")</f>
        <v>JavaScript</v>
      </c>
      <c r="M2266" s="9" t="s">
        <v>26</v>
      </c>
    </row>
    <row r="2267" ht="15.75" customHeight="1">
      <c r="A2267" s="7"/>
      <c r="B2267" s="7" t="str">
        <f>IFERROR(__xludf.DUMMYFUNCTION("""COMPUTED_VALUE"""),"C#;SQL")</f>
        <v>C#;SQL</v>
      </c>
      <c r="C2267" s="9" t="str">
        <f>IFERROR(__xludf.DUMMYFUNCTION("""COMPUTED_VALUE"""),"HTML/CSS")</f>
        <v>HTML/CSS</v>
      </c>
      <c r="D2267" s="9" t="str">
        <f>IFERROR(__xludf.DUMMYFUNCTION("""COMPUTED_VALUE"""),"Java")</f>
        <v>Java</v>
      </c>
      <c r="E2267" s="9" t="str">
        <f>IFERROR(__xludf.DUMMYFUNCTION("""COMPUTED_VALUE"""),"TypeScript")</f>
        <v>TypeScript</v>
      </c>
      <c r="F2267" s="9" t="str">
        <f>IFERROR(__xludf.DUMMYFUNCTION("""COMPUTED_VALUE"""),"Python")</f>
        <v>Python</v>
      </c>
      <c r="G2267" s="9" t="str">
        <f>IFERROR(__xludf.DUMMYFUNCTION("""COMPUTED_VALUE"""),"TypeScript")</f>
        <v>TypeScript</v>
      </c>
      <c r="H2267" s="9" t="str">
        <f>IFERROR(__xludf.DUMMYFUNCTION("""COMPUTED_VALUE"""),"Python")</f>
        <v>Python</v>
      </c>
      <c r="I2267" s="9" t="str">
        <f>IFERROR(__xludf.DUMMYFUNCTION("""COMPUTED_VALUE"""),"HTML/CSS")</f>
        <v>HTML/CSS</v>
      </c>
      <c r="J2267" s="9" t="str">
        <f>IFERROR(__xludf.DUMMYFUNCTION("""COMPUTED_VALUE"""),"PHP")</f>
        <v>PHP</v>
      </c>
      <c r="K2267" s="9" t="str">
        <f>IFERROR(__xludf.DUMMYFUNCTION("""COMPUTED_VALUE"""),"Python")</f>
        <v>Python</v>
      </c>
      <c r="L2267" s="9" t="str">
        <f>IFERROR(__xludf.DUMMYFUNCTION("""COMPUTED_VALUE"""),"R")</f>
        <v>R</v>
      </c>
      <c r="M2267" s="9" t="s">
        <v>24</v>
      </c>
    </row>
    <row r="2268" ht="15.75" customHeight="1">
      <c r="A2268" s="7"/>
      <c r="B2268" s="7" t="str">
        <f>IFERROR(__xludf.DUMMYFUNCTION("""COMPUTED_VALUE"""),"Bash/Shell/PowerShell;C++;Elixir;HTML/CSS;Java;JavaScript;Python;Scala;SQL;TypeScript")</f>
        <v>Bash/Shell/PowerShell;C++;Elixir;HTML/CSS;Java;JavaScript;Python;Scala;SQL;TypeScript</v>
      </c>
      <c r="C2268" s="9" t="str">
        <f>IFERROR(__xludf.DUMMYFUNCTION("""COMPUTED_VALUE"""),"JavaScript")</f>
        <v>JavaScript</v>
      </c>
      <c r="D2268" s="9" t="str">
        <f>IFERROR(__xludf.DUMMYFUNCTION("""COMPUTED_VALUE"""),"JavaScript")</f>
        <v>JavaScript</v>
      </c>
      <c r="E2268" s="9" t="str">
        <f>IFERROR(__xludf.DUMMYFUNCTION("""COMPUTED_VALUE"""),"Java")</f>
        <v>Java</v>
      </c>
      <c r="F2268" s="9" t="str">
        <f>IFERROR(__xludf.DUMMYFUNCTION("""COMPUTED_VALUE"""),"SQL")</f>
        <v>SQL</v>
      </c>
      <c r="G2268" s="9" t="str">
        <f>IFERROR(__xludf.DUMMYFUNCTION("""COMPUTED_VALUE"""),"WebAssembly")</f>
        <v>WebAssembly</v>
      </c>
      <c r="H2268" s="9" t="str">
        <f>IFERROR(__xludf.DUMMYFUNCTION("""COMPUTED_VALUE"""),"SQL")</f>
        <v>SQL</v>
      </c>
      <c r="I2268" s="9" t="str">
        <f>IFERROR(__xludf.DUMMYFUNCTION("""COMPUTED_VALUE"""),"Java")</f>
        <v>Java</v>
      </c>
      <c r="J2268" s="9" t="str">
        <f>IFERROR(__xludf.DUMMYFUNCTION("""COMPUTED_VALUE"""),"SQL")</f>
        <v>SQL</v>
      </c>
      <c r="K2268" s="9" t="str">
        <f>IFERROR(__xludf.DUMMYFUNCTION("""COMPUTED_VALUE"""),"HTML/CSS")</f>
        <v>HTML/CSS</v>
      </c>
      <c r="L2268" s="9" t="str">
        <f>IFERROR(__xludf.DUMMYFUNCTION("""COMPUTED_VALUE"""),"SQL")</f>
        <v>SQL</v>
      </c>
      <c r="M2268" s="9" t="s">
        <v>21</v>
      </c>
    </row>
    <row r="2269" ht="15.75" customHeight="1">
      <c r="A2269" s="7"/>
      <c r="B2269" s="7" t="str">
        <f>IFERROR(__xludf.DUMMYFUNCTION("""COMPUTED_VALUE"""),"HTML/CSS;Java;JavaScript;PHP;R;SQL")</f>
        <v>HTML/CSS;Java;JavaScript;PHP;R;SQL</v>
      </c>
      <c r="C2269" s="9" t="str">
        <f>IFERROR(__xludf.DUMMYFUNCTION("""COMPUTED_VALUE"""),"Python")</f>
        <v>Python</v>
      </c>
      <c r="D2269" s="9" t="str">
        <f>IFERROR(__xludf.DUMMYFUNCTION("""COMPUTED_VALUE"""),"Bash/Shell/PowerShell")</f>
        <v>Bash/Shell/PowerShell</v>
      </c>
      <c r="E2269" s="9" t="str">
        <f>IFERROR(__xludf.DUMMYFUNCTION("""COMPUTED_VALUE"""),"JavaScript")</f>
        <v>JavaScript</v>
      </c>
      <c r="F2269" s="9" t="str">
        <f>IFERROR(__xludf.DUMMYFUNCTION("""COMPUTED_VALUE"""),"C#")</f>
        <v>C#</v>
      </c>
      <c r="G2269" s="9" t="str">
        <f>IFERROR(__xludf.DUMMYFUNCTION("""COMPUTED_VALUE"""),"Assembly")</f>
        <v>Assembly</v>
      </c>
      <c r="H2269" s="9" t="str">
        <f>IFERROR(__xludf.DUMMYFUNCTION("""COMPUTED_VALUE"""),"C")</f>
        <v>C</v>
      </c>
      <c r="I2269" s="9" t="str">
        <f>IFERROR(__xludf.DUMMYFUNCTION("""COMPUTED_VALUE"""),"JavaScript")</f>
        <v>JavaScript</v>
      </c>
      <c r="J2269" s="9" t="str">
        <f>IFERROR(__xludf.DUMMYFUNCTION("""COMPUTED_VALUE"""),"C++")</f>
        <v>C++</v>
      </c>
      <c r="K2269" s="9" t="str">
        <f>IFERROR(__xludf.DUMMYFUNCTION("""COMPUTED_VALUE"""),"Java")</f>
        <v>Java</v>
      </c>
      <c r="L2269" s="9" t="str">
        <f>IFERROR(__xludf.DUMMYFUNCTION("""COMPUTED_VALUE"""),"VBA")</f>
        <v>VBA</v>
      </c>
      <c r="M2269" s="9" t="s">
        <v>22</v>
      </c>
    </row>
    <row r="2270" ht="15.75" customHeight="1">
      <c r="A2270" s="7"/>
      <c r="B2270" s="7" t="str">
        <f>IFERROR(__xludf.DUMMYFUNCTION("""COMPUTED_VALUE"""),"HTML/CSS;Java;JavaScript;PHP;SQL;TypeScript")</f>
        <v>HTML/CSS;Java;JavaScript;PHP;SQL;TypeScript</v>
      </c>
      <c r="C2270" s="9" t="str">
        <f>IFERROR(__xludf.DUMMYFUNCTION("""COMPUTED_VALUE"""),"SQL")</f>
        <v>SQL</v>
      </c>
      <c r="D2270" s="9" t="str">
        <f>IFERROR(__xludf.DUMMYFUNCTION("""COMPUTED_VALUE"""),"Dart")</f>
        <v>Dart</v>
      </c>
      <c r="E2270" s="9" t="str">
        <f>IFERROR(__xludf.DUMMYFUNCTION("""COMPUTED_VALUE"""),"Bash/Shell/PowerShell")</f>
        <v>Bash/Shell/PowerShell</v>
      </c>
      <c r="F2270" s="9" t="str">
        <f>IFERROR(__xludf.DUMMYFUNCTION("""COMPUTED_VALUE"""),"HTML/CSS")</f>
        <v>HTML/CSS</v>
      </c>
      <c r="G2270" s="9" t="str">
        <f>IFERROR(__xludf.DUMMYFUNCTION("""COMPUTED_VALUE"""),"C++")</f>
        <v>C++</v>
      </c>
      <c r="H2270" s="9" t="str">
        <f>IFERROR(__xludf.DUMMYFUNCTION("""COMPUTED_VALUE"""),"C++")</f>
        <v>C++</v>
      </c>
      <c r="I2270" s="9" t="str">
        <f>IFERROR(__xludf.DUMMYFUNCTION("""COMPUTED_VALUE"""),"TypeScript")</f>
        <v>TypeScript</v>
      </c>
      <c r="J2270" s="9" t="str">
        <f>IFERROR(__xludf.DUMMYFUNCTION("""COMPUTED_VALUE"""),"Go")</f>
        <v>Go</v>
      </c>
      <c r="K2270" s="9" t="str">
        <f>IFERROR(__xludf.DUMMYFUNCTION("""COMPUTED_VALUE"""),"JavaScript")</f>
        <v>JavaScript</v>
      </c>
      <c r="L2270" s="9" t="str">
        <f>IFERROR(__xludf.DUMMYFUNCTION("""COMPUTED_VALUE"""),"Bash/Shell/PowerShell")</f>
        <v>Bash/Shell/PowerShell</v>
      </c>
      <c r="M2270" s="9" t="s">
        <v>27</v>
      </c>
    </row>
    <row r="2271" ht="15.75" customHeight="1">
      <c r="A2271" s="7"/>
      <c r="B2271" s="7" t="str">
        <f>IFERROR(__xludf.DUMMYFUNCTION("""COMPUTED_VALUE"""),"C;Java;Python")</f>
        <v>C;Java;Python</v>
      </c>
      <c r="C2271" s="9" t="str">
        <f>IFERROR(__xludf.DUMMYFUNCTION("""COMPUTED_VALUE"""),"HTML/CSS")</f>
        <v>HTML/CSS</v>
      </c>
      <c r="D2271" s="9" t="str">
        <f>IFERROR(__xludf.DUMMYFUNCTION("""COMPUTED_VALUE"""),"Go")</f>
        <v>Go</v>
      </c>
      <c r="E2271" s="9" t="str">
        <f>IFERROR(__xludf.DUMMYFUNCTION("""COMPUTED_VALUE"""),"Java")</f>
        <v>Java</v>
      </c>
      <c r="F2271" s="9" t="str">
        <f>IFERROR(__xludf.DUMMYFUNCTION("""COMPUTED_VALUE"""),"JavaScript")</f>
        <v>JavaScript</v>
      </c>
      <c r="G2271" s="9" t="str">
        <f>IFERROR(__xludf.DUMMYFUNCTION("""COMPUTED_VALUE"""),"Dart")</f>
        <v>Dart</v>
      </c>
      <c r="H2271" s="9" t="str">
        <f>IFERROR(__xludf.DUMMYFUNCTION("""COMPUTED_VALUE"""),"Java")</f>
        <v>Java</v>
      </c>
      <c r="I2271" s="9" t="str">
        <f>IFERROR(__xludf.DUMMYFUNCTION("""COMPUTED_VALUE"""),"Bash/Shell/PowerShell")</f>
        <v>Bash/Shell/PowerShell</v>
      </c>
      <c r="J2271" s="9" t="str">
        <f>IFERROR(__xludf.DUMMYFUNCTION("""COMPUTED_VALUE"""),"HTML/CSS")</f>
        <v>HTML/CSS</v>
      </c>
      <c r="K2271" s="9" t="str">
        <f>IFERROR(__xludf.DUMMYFUNCTION("""COMPUTED_VALUE"""),"PHP")</f>
        <v>PHP</v>
      </c>
      <c r="L2271" s="9" t="str">
        <f>IFERROR(__xludf.DUMMYFUNCTION("""COMPUTED_VALUE"""),"HTML/CSS")</f>
        <v>HTML/CSS</v>
      </c>
      <c r="M2271" s="9" t="s">
        <v>24</v>
      </c>
    </row>
    <row r="2272" ht="15.75" customHeight="1">
      <c r="A2272" s="7"/>
      <c r="B2272" s="7" t="str">
        <f>IFERROR(__xludf.DUMMYFUNCTION("""COMPUTED_VALUE"""),"HTML/CSS;Java;JavaScript")</f>
        <v>HTML/CSS;Java;JavaScript</v>
      </c>
      <c r="C2272" s="9" t="str">
        <f>IFERROR(__xludf.DUMMYFUNCTION("""COMPUTED_VALUE"""),"Java")</f>
        <v>Java</v>
      </c>
      <c r="D2272" s="9" t="str">
        <f>IFERROR(__xludf.DUMMYFUNCTION("""COMPUTED_VALUE"""),"HTML/CSS")</f>
        <v>HTML/CSS</v>
      </c>
      <c r="E2272" s="9" t="str">
        <f>IFERROR(__xludf.DUMMYFUNCTION("""COMPUTED_VALUE"""),"SQL")</f>
        <v>SQL</v>
      </c>
      <c r="F2272" s="9" t="str">
        <f>IFERROR(__xludf.DUMMYFUNCTION("""COMPUTED_VALUE"""),"TypeScript")</f>
        <v>TypeScript</v>
      </c>
      <c r="G2272" s="9" t="str">
        <f>IFERROR(__xludf.DUMMYFUNCTION("""COMPUTED_VALUE"""),"HTML/CSS")</f>
        <v>HTML/CSS</v>
      </c>
      <c r="H2272" s="9" t="str">
        <f>IFERROR(__xludf.DUMMYFUNCTION("""COMPUTED_VALUE"""),"Python")</f>
        <v>Python</v>
      </c>
      <c r="I2272" s="9" t="str">
        <f>IFERROR(__xludf.DUMMYFUNCTION("""COMPUTED_VALUE"""),"Go")</f>
        <v>Go</v>
      </c>
      <c r="J2272" s="9" t="str">
        <f>IFERROR(__xludf.DUMMYFUNCTION("""COMPUTED_VALUE"""),"JavaScript")</f>
        <v>JavaScript</v>
      </c>
      <c r="K2272" s="9" t="str">
        <f>IFERROR(__xludf.DUMMYFUNCTION("""COMPUTED_VALUE"""),"Python")</f>
        <v>Python</v>
      </c>
      <c r="L2272" s="9" t="str">
        <f>IFERROR(__xludf.DUMMYFUNCTION("""COMPUTED_VALUE"""),"Java")</f>
        <v>Java</v>
      </c>
      <c r="M2272" s="9" t="s">
        <v>20</v>
      </c>
    </row>
    <row r="2273" ht="15.75" customHeight="1">
      <c r="A2273" s="7"/>
      <c r="B2273" s="7" t="str">
        <f>IFERROR(__xludf.DUMMYFUNCTION("""COMPUTED_VALUE"""),"Go;HTML/CSS;Java;JavaScript;Python;Ruby;SQL")</f>
        <v>Go;HTML/CSS;Java;JavaScript;Python;Ruby;SQL</v>
      </c>
      <c r="C2273" s="9" t="str">
        <f>IFERROR(__xludf.DUMMYFUNCTION("""COMPUTED_VALUE"""),"JavaScript")</f>
        <v>JavaScript</v>
      </c>
      <c r="D2273" s="9" t="str">
        <f>IFERROR(__xludf.DUMMYFUNCTION("""COMPUTED_VALUE"""),"Java")</f>
        <v>Java</v>
      </c>
      <c r="E2273" s="9" t="str">
        <f>IFERROR(__xludf.DUMMYFUNCTION("""COMPUTED_VALUE"""),"C")</f>
        <v>C</v>
      </c>
      <c r="F2273" s="9" t="str">
        <f>IFERROR(__xludf.DUMMYFUNCTION("""COMPUTED_VALUE"""),"Bash/Shell/PowerShell")</f>
        <v>Bash/Shell/PowerShell</v>
      </c>
      <c r="G2273" s="9" t="str">
        <f>IFERROR(__xludf.DUMMYFUNCTION("""COMPUTED_VALUE"""),"JavaScript")</f>
        <v>JavaScript</v>
      </c>
      <c r="H2273" s="9" t="str">
        <f>IFERROR(__xludf.DUMMYFUNCTION("""COMPUTED_VALUE"""),"Bash/Shell/PowerShell")</f>
        <v>Bash/Shell/PowerShell</v>
      </c>
      <c r="I2273" s="9" t="str">
        <f>IFERROR(__xludf.DUMMYFUNCTION("""COMPUTED_VALUE"""),"Java")</f>
        <v>Java</v>
      </c>
      <c r="J2273" s="9" t="str">
        <f>IFERROR(__xludf.DUMMYFUNCTION("""COMPUTED_VALUE"""),"SQL")</f>
        <v>SQL</v>
      </c>
      <c r="K2273" s="9" t="str">
        <f>IFERROR(__xludf.DUMMYFUNCTION("""COMPUTED_VALUE"""),"SQL")</f>
        <v>SQL</v>
      </c>
      <c r="L2273" s="9" t="str">
        <f>IFERROR(__xludf.DUMMYFUNCTION("""COMPUTED_VALUE"""),"JavaScript")</f>
        <v>JavaScript</v>
      </c>
      <c r="M2273" s="9" t="s">
        <v>21</v>
      </c>
    </row>
    <row r="2274" ht="15.75" customHeight="1">
      <c r="A2274" s="7"/>
      <c r="B2274" s="7" t="str">
        <f>IFERROR(__xludf.DUMMYFUNCTION("""COMPUTED_VALUE"""),"Bash/Shell/PowerShell;C;C++;HTML/CSS;JavaScript;Python")</f>
        <v>Bash/Shell/PowerShell;C;C++;HTML/CSS;JavaScript;Python</v>
      </c>
      <c r="C2274" s="9" t="str">
        <f>IFERROR(__xludf.DUMMYFUNCTION("""COMPUTED_VALUE"""),"PHP")</f>
        <v>PHP</v>
      </c>
      <c r="D2274" s="9" t="str">
        <f>IFERROR(__xludf.DUMMYFUNCTION("""COMPUTED_VALUE"""),"JavaScript")</f>
        <v>JavaScript</v>
      </c>
      <c r="E2274" s="9" t="str">
        <f>IFERROR(__xludf.DUMMYFUNCTION("""COMPUTED_VALUE"""),"C++")</f>
        <v>C++</v>
      </c>
      <c r="F2274" s="9" t="str">
        <f>IFERROR(__xludf.DUMMYFUNCTION("""COMPUTED_VALUE"""),"JavaScript")</f>
        <v>JavaScript</v>
      </c>
      <c r="G2274" s="9" t="str">
        <f>IFERROR(__xludf.DUMMYFUNCTION("""COMPUTED_VALUE"""),"PHP")</f>
        <v>PHP</v>
      </c>
      <c r="H2274" s="9" t="str">
        <f>IFERROR(__xludf.DUMMYFUNCTION("""COMPUTED_VALUE"""),"C")</f>
        <v>C</v>
      </c>
      <c r="I2274" s="9" t="str">
        <f>IFERROR(__xludf.DUMMYFUNCTION("""COMPUTED_VALUE"""),"Python")</f>
        <v>Python</v>
      </c>
      <c r="J2274" s="9" t="str">
        <f>IFERROR(__xludf.DUMMYFUNCTION("""COMPUTED_VALUE"""),"Bash/Shell/PowerShell")</f>
        <v>Bash/Shell/PowerShell</v>
      </c>
      <c r="K2274" s="9" t="str">
        <f>IFERROR(__xludf.DUMMYFUNCTION("""COMPUTED_VALUE"""),"Assembly")</f>
        <v>Assembly</v>
      </c>
      <c r="L2274" s="9" t="str">
        <f>IFERROR(__xludf.DUMMYFUNCTION("""COMPUTED_VALUE"""),"Python")</f>
        <v>Python</v>
      </c>
      <c r="M2274" s="9" t="s">
        <v>37</v>
      </c>
    </row>
    <row r="2275" ht="15.75" customHeight="1">
      <c r="A2275" s="7"/>
      <c r="B2275" s="7" t="str">
        <f>IFERROR(__xludf.DUMMYFUNCTION("""COMPUTED_VALUE"""),"Bash/Shell/PowerShell;C++;HTML/CSS;JavaScript;SQL;Other(s):")</f>
        <v>Bash/Shell/PowerShell;C++;HTML/CSS;JavaScript;SQL;Other(s):</v>
      </c>
      <c r="C2275" s="9" t="str">
        <f>IFERROR(__xludf.DUMMYFUNCTION("""COMPUTED_VALUE"""),"SQL")</f>
        <v>SQL</v>
      </c>
      <c r="D2275" s="9" t="str">
        <f>IFERROR(__xludf.DUMMYFUNCTION("""COMPUTED_VALUE"""),"PHP")</f>
        <v>PHP</v>
      </c>
      <c r="E2275" s="9" t="str">
        <f>IFERROR(__xludf.DUMMYFUNCTION("""COMPUTED_VALUE"""),"C#")</f>
        <v>C#</v>
      </c>
      <c r="F2275" s="9" t="str">
        <f>IFERROR(__xludf.DUMMYFUNCTION("""COMPUTED_VALUE"""),"TypeScript")</f>
        <v>TypeScript</v>
      </c>
      <c r="G2275" s="9" t="str">
        <f>IFERROR(__xludf.DUMMYFUNCTION("""COMPUTED_VALUE"""),"Python")</f>
        <v>Python</v>
      </c>
      <c r="H2275" s="9" t="str">
        <f>IFERROR(__xludf.DUMMYFUNCTION("""COMPUTED_VALUE"""),"C++")</f>
        <v>C++</v>
      </c>
      <c r="I2275" s="9" t="str">
        <f>IFERROR(__xludf.DUMMYFUNCTION("""COMPUTED_VALUE"""),"SQL")</f>
        <v>SQL</v>
      </c>
      <c r="J2275" s="9" t="str">
        <f>IFERROR(__xludf.DUMMYFUNCTION("""COMPUTED_VALUE"""),"Python")</f>
        <v>Python</v>
      </c>
      <c r="K2275" s="9" t="str">
        <f>IFERROR(__xludf.DUMMYFUNCTION("""COMPUTED_VALUE"""),"Bash/Shell/PowerShell")</f>
        <v>Bash/Shell/PowerShell</v>
      </c>
      <c r="L2275" s="9" t="str">
        <f>IFERROR(__xludf.DUMMYFUNCTION("""COMPUTED_VALUE"""),"SQL")</f>
        <v>SQL</v>
      </c>
      <c r="M2275" s="9" t="s">
        <v>27</v>
      </c>
    </row>
    <row r="2276" ht="15.75" customHeight="1">
      <c r="A2276" s="7"/>
      <c r="B2276" s="7" t="str">
        <f>IFERROR(__xludf.DUMMYFUNCTION("""COMPUTED_VALUE"""),"Bash/Shell/PowerShell;HTML/CSS;JavaScript;PHP;TypeScript")</f>
        <v>Bash/Shell/PowerShell;HTML/CSS;JavaScript;PHP;TypeScript</v>
      </c>
      <c r="C2276" s="9" t="str">
        <f>IFERROR(__xludf.DUMMYFUNCTION("""COMPUTED_VALUE"""),"Other(s):")</f>
        <v>Other(s):</v>
      </c>
      <c r="D2276" s="9" t="str">
        <f>IFERROR(__xludf.DUMMYFUNCTION("""COMPUTED_VALUE"""),"Python")</f>
        <v>Python</v>
      </c>
      <c r="E2276" s="9" t="str">
        <f>IFERROR(__xludf.DUMMYFUNCTION("""COMPUTED_VALUE"""),"HTML/CSS")</f>
        <v>HTML/CSS</v>
      </c>
      <c r="F2276" s="9" t="str">
        <f>IFERROR(__xludf.DUMMYFUNCTION("""COMPUTED_VALUE"""),"Bash/Shell/PowerShell")</f>
        <v>Bash/Shell/PowerShell</v>
      </c>
      <c r="G2276" s="9" t="str">
        <f>IFERROR(__xludf.DUMMYFUNCTION("""COMPUTED_VALUE"""),"SQL")</f>
        <v>SQL</v>
      </c>
      <c r="H2276" s="9" t="str">
        <f>IFERROR(__xludf.DUMMYFUNCTION("""COMPUTED_VALUE"""),"C#")</f>
        <v>C#</v>
      </c>
      <c r="I2276" s="9" t="str">
        <f>IFERROR(__xludf.DUMMYFUNCTION("""COMPUTED_VALUE"""),"Bash/Shell/PowerShell")</f>
        <v>Bash/Shell/PowerShell</v>
      </c>
      <c r="J2276" s="9" t="str">
        <f>IFERROR(__xludf.DUMMYFUNCTION("""COMPUTED_VALUE"""),"HTML/CSS")</f>
        <v>HTML/CSS</v>
      </c>
      <c r="K2276" s="9" t="str">
        <f>IFERROR(__xludf.DUMMYFUNCTION("""COMPUTED_VALUE"""),"C")</f>
        <v>C</v>
      </c>
      <c r="L2276" s="9" t="str">
        <f>IFERROR(__xludf.DUMMYFUNCTION("""COMPUTED_VALUE"""),"TypeScript")</f>
        <v>TypeScript</v>
      </c>
      <c r="M2276" s="9" t="s">
        <v>35</v>
      </c>
    </row>
    <row r="2277" ht="15.75" customHeight="1">
      <c r="A2277" s="7"/>
      <c r="B2277" s="7" t="str">
        <f>IFERROR(__xludf.DUMMYFUNCTION("""COMPUTED_VALUE"""),"C#;Java;Kotlin;Python")</f>
        <v>C#;Java;Kotlin;Python</v>
      </c>
      <c r="C2277" s="9" t="str">
        <f>IFERROR(__xludf.DUMMYFUNCTION("""COMPUTED_VALUE"""),"C")</f>
        <v>C</v>
      </c>
      <c r="D2277" s="9" t="str">
        <f>IFERROR(__xludf.DUMMYFUNCTION("""COMPUTED_VALUE"""),"Ruby")</f>
        <v>Ruby</v>
      </c>
      <c r="E2277" s="9" t="str">
        <f>IFERROR(__xludf.DUMMYFUNCTION("""COMPUTED_VALUE"""),"Python")</f>
        <v>Python</v>
      </c>
      <c r="F2277" s="9" t="str">
        <f>IFERROR(__xludf.DUMMYFUNCTION("""COMPUTED_VALUE"""),"Java")</f>
        <v>Java</v>
      </c>
      <c r="G2277" s="9" t="str">
        <f>IFERROR(__xludf.DUMMYFUNCTION("""COMPUTED_VALUE"""),"TypeScript")</f>
        <v>TypeScript</v>
      </c>
      <c r="H2277" s="9" t="str">
        <f>IFERROR(__xludf.DUMMYFUNCTION("""COMPUTED_VALUE"""),"Java")</f>
        <v>Java</v>
      </c>
      <c r="I2277" s="9" t="str">
        <f>IFERROR(__xludf.DUMMYFUNCTION("""COMPUTED_VALUE"""),"HTML/CSS")</f>
        <v>HTML/CSS</v>
      </c>
      <c r="J2277" s="9" t="str">
        <f>IFERROR(__xludf.DUMMYFUNCTION("""COMPUTED_VALUE"""),"JavaScript")</f>
        <v>JavaScript</v>
      </c>
      <c r="K2277" s="9" t="str">
        <f>IFERROR(__xludf.DUMMYFUNCTION("""COMPUTED_VALUE"""),"C++")</f>
        <v>C++</v>
      </c>
      <c r="L2277" s="9" t="str">
        <f>IFERROR(__xludf.DUMMYFUNCTION("""COMPUTED_VALUE"""),"Other(s):")</f>
        <v>Other(s):</v>
      </c>
      <c r="M2277" s="9" t="s">
        <v>25</v>
      </c>
    </row>
    <row r="2278" ht="15.75" customHeight="1">
      <c r="A2278" s="7"/>
      <c r="B2278" s="7" t="str">
        <f>IFERROR(__xludf.DUMMYFUNCTION("""COMPUTED_VALUE"""),"C++;Go;Python")</f>
        <v>C++;Go;Python</v>
      </c>
      <c r="C2278" s="9" t="str">
        <f>IFERROR(__xludf.DUMMYFUNCTION("""COMPUTED_VALUE"""),"Python")</f>
        <v>Python</v>
      </c>
      <c r="D2278" s="9" t="str">
        <f>IFERROR(__xludf.DUMMYFUNCTION("""COMPUTED_VALUE"""),"Scala")</f>
        <v>Scala</v>
      </c>
      <c r="E2278" s="9" t="str">
        <f>IFERROR(__xludf.DUMMYFUNCTION("""COMPUTED_VALUE"""),"SQL")</f>
        <v>SQL</v>
      </c>
      <c r="F2278" s="9" t="str">
        <f>IFERROR(__xludf.DUMMYFUNCTION("""COMPUTED_VALUE"""),"JavaScript")</f>
        <v>JavaScript</v>
      </c>
      <c r="G2278" s="9" t="str">
        <f>IFERROR(__xludf.DUMMYFUNCTION("""COMPUTED_VALUE"""),"Elixir")</f>
        <v>Elixir</v>
      </c>
      <c r="H2278" s="9" t="str">
        <f>IFERROR(__xludf.DUMMYFUNCTION("""COMPUTED_VALUE"""),"Assembly")</f>
        <v>Assembly</v>
      </c>
      <c r="I2278" s="9" t="str">
        <f>IFERROR(__xludf.DUMMYFUNCTION("""COMPUTED_VALUE"""),"JavaScript")</f>
        <v>JavaScript</v>
      </c>
      <c r="J2278" s="9" t="str">
        <f>IFERROR(__xludf.DUMMYFUNCTION("""COMPUTED_VALUE"""),"PHP")</f>
        <v>PHP</v>
      </c>
      <c r="K2278" s="9" t="str">
        <f>IFERROR(__xludf.DUMMYFUNCTION("""COMPUTED_VALUE"""),"C#")</f>
        <v>C#</v>
      </c>
      <c r="L2278" s="9" t="str">
        <f>IFERROR(__xludf.DUMMYFUNCTION("""COMPUTED_VALUE"""),"HTML/CSS")</f>
        <v>HTML/CSS</v>
      </c>
      <c r="M2278" s="9" t="s">
        <v>22</v>
      </c>
    </row>
    <row r="2279" ht="15.75" customHeight="1">
      <c r="A2279" s="7"/>
      <c r="B2279" s="7" t="str">
        <f>IFERROR(__xludf.DUMMYFUNCTION("""COMPUTED_VALUE"""),"HTML/CSS;JavaScript;PHP;Python;SQL")</f>
        <v>HTML/CSS;JavaScript;PHP;Python;SQL</v>
      </c>
      <c r="C2279" s="9" t="str">
        <f>IFERROR(__xludf.DUMMYFUNCTION("""COMPUTED_VALUE"""),"Bash/Shell/PowerShell")</f>
        <v>Bash/Shell/PowerShell</v>
      </c>
      <c r="D2279" s="9" t="str">
        <f>IFERROR(__xludf.DUMMYFUNCTION("""COMPUTED_VALUE"""),"TypeScript")</f>
        <v>TypeScript</v>
      </c>
      <c r="E2279" s="9" t="str">
        <f>IFERROR(__xludf.DUMMYFUNCTION("""COMPUTED_VALUE"""),"Assembly")</f>
        <v>Assembly</v>
      </c>
      <c r="F2279" s="9" t="str">
        <f>IFERROR(__xludf.DUMMYFUNCTION("""COMPUTED_VALUE"""),"R")</f>
        <v>R</v>
      </c>
      <c r="G2279" s="9" t="str">
        <f>IFERROR(__xludf.DUMMYFUNCTION("""COMPUTED_VALUE"""),"Swift")</f>
        <v>Swift</v>
      </c>
      <c r="H2279" s="9" t="str">
        <f>IFERROR(__xludf.DUMMYFUNCTION("""COMPUTED_VALUE"""),"Bash/Shell/PowerShell")</f>
        <v>Bash/Shell/PowerShell</v>
      </c>
      <c r="I2279" s="9" t="str">
        <f>IFERROR(__xludf.DUMMYFUNCTION("""COMPUTED_VALUE"""),"SQL")</f>
        <v>SQL</v>
      </c>
      <c r="J2279" s="9" t="str">
        <f>IFERROR(__xludf.DUMMYFUNCTION("""COMPUTED_VALUE"""),"C")</f>
        <v>C</v>
      </c>
      <c r="K2279" s="9" t="str">
        <f>IFERROR(__xludf.DUMMYFUNCTION("""COMPUTED_VALUE"""),"HTML/CSS")</f>
        <v>HTML/CSS</v>
      </c>
      <c r="L2279" s="9" t="str">
        <f>IFERROR(__xludf.DUMMYFUNCTION("""COMPUTED_VALUE"""),"JavaScript")</f>
        <v>JavaScript</v>
      </c>
      <c r="M2279" s="9" t="s">
        <v>30</v>
      </c>
    </row>
    <row r="2280" ht="15.75" customHeight="1">
      <c r="A2280" s="7"/>
      <c r="B2280" s="7" t="str">
        <f>IFERROR(__xludf.DUMMYFUNCTION("""COMPUTED_VALUE"""),"Bash/Shell/PowerShell;C;HTML/CSS;Java;JavaScript;Python;SQL")</f>
        <v>Bash/Shell/PowerShell;C;HTML/CSS;Java;JavaScript;Python;SQL</v>
      </c>
      <c r="C2280" s="9" t="str">
        <f>IFERROR(__xludf.DUMMYFUNCTION("""COMPUTED_VALUE"""),"C#")</f>
        <v>C#</v>
      </c>
      <c r="D2280" s="9" t="str">
        <f>IFERROR(__xludf.DUMMYFUNCTION("""COMPUTED_VALUE"""),"C")</f>
        <v>C</v>
      </c>
      <c r="E2280" s="9" t="str">
        <f>IFERROR(__xludf.DUMMYFUNCTION("""COMPUTED_VALUE"""),"C#")</f>
        <v>C#</v>
      </c>
      <c r="F2280" s="9" t="str">
        <f>IFERROR(__xludf.DUMMYFUNCTION("""COMPUTED_VALUE"""),"SQL")</f>
        <v>SQL</v>
      </c>
      <c r="G2280" s="9" t="str">
        <f>IFERROR(__xludf.DUMMYFUNCTION("""COMPUTED_VALUE"""),"C#")</f>
        <v>C#</v>
      </c>
      <c r="H2280" s="9" t="str">
        <f>IFERROR(__xludf.DUMMYFUNCTION("""COMPUTED_VALUE"""),"C")</f>
        <v>C</v>
      </c>
      <c r="I2280" s="9" t="str">
        <f>IFERROR(__xludf.DUMMYFUNCTION("""COMPUTED_VALUE"""),"TypeScript")</f>
        <v>TypeScript</v>
      </c>
      <c r="J2280" s="9" t="str">
        <f>IFERROR(__xludf.DUMMYFUNCTION("""COMPUTED_VALUE"""),"HTML/CSS")</f>
        <v>HTML/CSS</v>
      </c>
      <c r="K2280" s="9" t="str">
        <f>IFERROR(__xludf.DUMMYFUNCTION("""COMPUTED_VALUE"""),"Java")</f>
        <v>Java</v>
      </c>
      <c r="L2280" s="9" t="str">
        <f>IFERROR(__xludf.DUMMYFUNCTION("""COMPUTED_VALUE"""),"Python")</f>
        <v>Python</v>
      </c>
      <c r="M2280" s="9" t="s">
        <v>26</v>
      </c>
    </row>
    <row r="2281" ht="15.75" customHeight="1">
      <c r="A2281" s="7"/>
      <c r="B2281" s="7" t="str">
        <f>IFERROR(__xludf.DUMMYFUNCTION("""COMPUTED_VALUE"""),"JavaScript;PHP")</f>
        <v>JavaScript;PHP</v>
      </c>
      <c r="C2281" s="9" t="str">
        <f>IFERROR(__xludf.DUMMYFUNCTION("""COMPUTED_VALUE"""),"HTML/CSS")</f>
        <v>HTML/CSS</v>
      </c>
      <c r="D2281" s="9" t="str">
        <f>IFERROR(__xludf.DUMMYFUNCTION("""COMPUTED_VALUE"""),"HTML/CSS")</f>
        <v>HTML/CSS</v>
      </c>
      <c r="E2281" s="9" t="str">
        <f>IFERROR(__xludf.DUMMYFUNCTION("""COMPUTED_VALUE"""),"Python")</f>
        <v>Python</v>
      </c>
      <c r="F2281" s="9" t="str">
        <f>IFERROR(__xludf.DUMMYFUNCTION("""COMPUTED_VALUE"""),"R")</f>
        <v>R</v>
      </c>
      <c r="G2281" s="9" t="str">
        <f>IFERROR(__xludf.DUMMYFUNCTION("""COMPUTED_VALUE"""),"HTML/CSS")</f>
        <v>HTML/CSS</v>
      </c>
      <c r="H2281" s="9" t="str">
        <f>IFERROR(__xludf.DUMMYFUNCTION("""COMPUTED_VALUE"""),"C++")</f>
        <v>C++</v>
      </c>
      <c r="I2281" s="9" t="str">
        <f>IFERROR(__xludf.DUMMYFUNCTION("""COMPUTED_VALUE"""),"C#")</f>
        <v>C#</v>
      </c>
      <c r="J2281" s="9" t="str">
        <f>IFERROR(__xludf.DUMMYFUNCTION("""COMPUTED_VALUE"""),"JavaScript")</f>
        <v>JavaScript</v>
      </c>
      <c r="K2281" s="9" t="str">
        <f>IFERROR(__xludf.DUMMYFUNCTION("""COMPUTED_VALUE"""),"JavaScript")</f>
        <v>JavaScript</v>
      </c>
      <c r="L2281" s="9" t="str">
        <f>IFERROR(__xludf.DUMMYFUNCTION("""COMPUTED_VALUE"""),"HTML/CSS")</f>
        <v>HTML/CSS</v>
      </c>
      <c r="M2281" s="9" t="s">
        <v>24</v>
      </c>
    </row>
    <row r="2282" ht="15.75" customHeight="1">
      <c r="A2282" s="7"/>
      <c r="B2282" s="7" t="str">
        <f>IFERROR(__xludf.DUMMYFUNCTION("""COMPUTED_VALUE"""),"C++;Java;Scala;SQL")</f>
        <v>C++;Java;Scala;SQL</v>
      </c>
      <c r="C2282" s="9" t="str">
        <f>IFERROR(__xludf.DUMMYFUNCTION("""COMPUTED_VALUE"""),"JavaScript")</f>
        <v>JavaScript</v>
      </c>
      <c r="D2282" s="9" t="str">
        <f>IFERROR(__xludf.DUMMYFUNCTION("""COMPUTED_VALUE"""),"PHP")</f>
        <v>PHP</v>
      </c>
      <c r="E2282" s="9" t="str">
        <f>IFERROR(__xludf.DUMMYFUNCTION("""COMPUTED_VALUE"""),"Other(s):")</f>
        <v>Other(s):</v>
      </c>
      <c r="F2282" s="9" t="str">
        <f>IFERROR(__xludf.DUMMYFUNCTION("""COMPUTED_VALUE"""),"HTML/CSS")</f>
        <v>HTML/CSS</v>
      </c>
      <c r="G2282" s="9" t="str">
        <f>IFERROR(__xludf.DUMMYFUNCTION("""COMPUTED_VALUE"""),"Java")</f>
        <v>Java</v>
      </c>
      <c r="H2282" s="9" t="str">
        <f>IFERROR(__xludf.DUMMYFUNCTION("""COMPUTED_VALUE"""),"HTML/CSS")</f>
        <v>HTML/CSS</v>
      </c>
      <c r="I2282" s="9" t="str">
        <f>IFERROR(__xludf.DUMMYFUNCTION("""COMPUTED_VALUE"""),"Python")</f>
        <v>Python</v>
      </c>
      <c r="J2282" s="9" t="str">
        <f>IFERROR(__xludf.DUMMYFUNCTION("""COMPUTED_VALUE"""),"Python")</f>
        <v>Python</v>
      </c>
      <c r="K2282" s="9" t="str">
        <f>IFERROR(__xludf.DUMMYFUNCTION("""COMPUTED_VALUE"""),"PHP")</f>
        <v>PHP</v>
      </c>
      <c r="L2282" s="9" t="str">
        <f>IFERROR(__xludf.DUMMYFUNCTION("""COMPUTED_VALUE"""),"Java")</f>
        <v>Java</v>
      </c>
      <c r="M2282" s="9" t="s">
        <v>21</v>
      </c>
    </row>
    <row r="2283" ht="15.75" customHeight="1">
      <c r="A2283" s="7"/>
      <c r="B2283" s="7" t="str">
        <f>IFERROR(__xludf.DUMMYFUNCTION("""COMPUTED_VALUE"""),"Java;Scala;SQL")</f>
        <v>Java;Scala;SQL</v>
      </c>
      <c r="C2283" s="9" t="str">
        <f>IFERROR(__xludf.DUMMYFUNCTION("""COMPUTED_VALUE"""),"SQL")</f>
        <v>SQL</v>
      </c>
      <c r="D2283" s="9" t="str">
        <f>IFERROR(__xludf.DUMMYFUNCTION("""COMPUTED_VALUE"""),"Bash/Shell/PowerShell")</f>
        <v>Bash/Shell/PowerShell</v>
      </c>
      <c r="E2283" s="9" t="str">
        <f>IFERROR(__xludf.DUMMYFUNCTION("""COMPUTED_VALUE"""),"HTML/CSS")</f>
        <v>HTML/CSS</v>
      </c>
      <c r="F2283" s="9" t="str">
        <f>IFERROR(__xludf.DUMMYFUNCTION("""COMPUTED_VALUE"""),"JavaScript")</f>
        <v>JavaScript</v>
      </c>
      <c r="G2283" s="9" t="str">
        <f>IFERROR(__xludf.DUMMYFUNCTION("""COMPUTED_VALUE"""),"JavaScript")</f>
        <v>JavaScript</v>
      </c>
      <c r="H2283" s="9" t="str">
        <f>IFERROR(__xludf.DUMMYFUNCTION("""COMPUTED_VALUE"""),"JavaScript")</f>
        <v>JavaScript</v>
      </c>
      <c r="I2283" s="9" t="str">
        <f>IFERROR(__xludf.DUMMYFUNCTION("""COMPUTED_VALUE"""),"TypeScript")</f>
        <v>TypeScript</v>
      </c>
      <c r="J2283" s="9" t="str">
        <f>IFERROR(__xludf.DUMMYFUNCTION("""COMPUTED_VALUE"""),"Java")</f>
        <v>Java</v>
      </c>
      <c r="K2283" s="9" t="str">
        <f>IFERROR(__xludf.DUMMYFUNCTION("""COMPUTED_VALUE"""),"Python")</f>
        <v>Python</v>
      </c>
      <c r="L2283" s="9" t="str">
        <f>IFERROR(__xludf.DUMMYFUNCTION("""COMPUTED_VALUE"""),"JavaScript")</f>
        <v>JavaScript</v>
      </c>
      <c r="M2283" s="9" t="s">
        <v>27</v>
      </c>
    </row>
    <row r="2284" ht="15.75" customHeight="1">
      <c r="A2284" s="7"/>
      <c r="B2284" s="7" t="str">
        <f>IFERROR(__xludf.DUMMYFUNCTION("""COMPUTED_VALUE"""),"Bash/Shell/PowerShell;HTML/CSS;Java;JavaScript;Kotlin;PHP;Python;Ruby;SQL;Swift;TypeScript")</f>
        <v>Bash/Shell/PowerShell;HTML/CSS;Java;JavaScript;Kotlin;PHP;Python;Ruby;SQL;Swift;TypeScript</v>
      </c>
      <c r="C2284" s="9" t="str">
        <f>IFERROR(__xludf.DUMMYFUNCTION("""COMPUTED_VALUE"""),"TypeScript")</f>
        <v>TypeScript</v>
      </c>
      <c r="D2284" s="9" t="str">
        <f>IFERROR(__xludf.DUMMYFUNCTION("""COMPUTED_VALUE"""),"Java")</f>
        <v>Java</v>
      </c>
      <c r="E2284" s="9" t="str">
        <f>IFERROR(__xludf.DUMMYFUNCTION("""COMPUTED_VALUE"""),"JavaScript")</f>
        <v>JavaScript</v>
      </c>
      <c r="F2284" s="9" t="str">
        <f>IFERROR(__xludf.DUMMYFUNCTION("""COMPUTED_VALUE"""),"PHP")</f>
        <v>PHP</v>
      </c>
      <c r="G2284" s="9" t="str">
        <f>IFERROR(__xludf.DUMMYFUNCTION("""COMPUTED_VALUE"""),"SQL")</f>
        <v>SQL</v>
      </c>
      <c r="H2284" s="9" t="str">
        <f>IFERROR(__xludf.DUMMYFUNCTION("""COMPUTED_VALUE"""),"Python")</f>
        <v>Python</v>
      </c>
      <c r="I2284" s="9" t="str">
        <f>IFERROR(__xludf.DUMMYFUNCTION("""COMPUTED_VALUE"""),"HTML/CSS")</f>
        <v>HTML/CSS</v>
      </c>
      <c r="J2284" s="9" t="str">
        <f>IFERROR(__xludf.DUMMYFUNCTION("""COMPUTED_VALUE"""),"PHP")</f>
        <v>PHP</v>
      </c>
      <c r="K2284" s="9" t="str">
        <f>IFERROR(__xludf.DUMMYFUNCTION("""COMPUTED_VALUE"""),"Scala")</f>
        <v>Scala</v>
      </c>
      <c r="L2284" s="9" t="str">
        <f>IFERROR(__xludf.DUMMYFUNCTION("""COMPUTED_VALUE"""),"Bash/Shell/PowerShell")</f>
        <v>Bash/Shell/PowerShell</v>
      </c>
      <c r="M2284" s="9" t="s">
        <v>33</v>
      </c>
    </row>
    <row r="2285" ht="15.75" customHeight="1">
      <c r="A2285" s="7"/>
      <c r="B2285" s="7" t="str">
        <f>IFERROR(__xludf.DUMMYFUNCTION("""COMPUTED_VALUE"""),"Bash/Shell/PowerShell;C;C++;JavaScript;Python")</f>
        <v>Bash/Shell/PowerShell;C;C++;JavaScript;Python</v>
      </c>
      <c r="C2285" s="9" t="str">
        <f>IFERROR(__xludf.DUMMYFUNCTION("""COMPUTED_VALUE"""),"HTML/CSS")</f>
        <v>HTML/CSS</v>
      </c>
      <c r="D2285" s="9" t="str">
        <f>IFERROR(__xludf.DUMMYFUNCTION("""COMPUTED_VALUE"""),"JavaScript")</f>
        <v>JavaScript</v>
      </c>
      <c r="E2285" s="9" t="str">
        <f>IFERROR(__xludf.DUMMYFUNCTION("""COMPUTED_VALUE"""),"Python")</f>
        <v>Python</v>
      </c>
      <c r="F2285" s="9" t="str">
        <f>IFERROR(__xludf.DUMMYFUNCTION("""COMPUTED_VALUE"""),"Java")</f>
        <v>Java</v>
      </c>
      <c r="G2285" s="9" t="str">
        <f>IFERROR(__xludf.DUMMYFUNCTION("""COMPUTED_VALUE"""),"TypeScript")</f>
        <v>TypeScript</v>
      </c>
      <c r="H2285" s="9" t="str">
        <f>IFERROR(__xludf.DUMMYFUNCTION("""COMPUTED_VALUE"""),"HTML/CSS")</f>
        <v>HTML/CSS</v>
      </c>
      <c r="I2285" s="9" t="str">
        <f>IFERROR(__xludf.DUMMYFUNCTION("""COMPUTED_VALUE"""),"Java")</f>
        <v>Java</v>
      </c>
      <c r="J2285" s="9" t="str">
        <f>IFERROR(__xludf.DUMMYFUNCTION("""COMPUTED_VALUE"""),"Python")</f>
        <v>Python</v>
      </c>
      <c r="K2285" s="9" t="str">
        <f>IFERROR(__xludf.DUMMYFUNCTION("""COMPUTED_VALUE"""),"SQL")</f>
        <v>SQL</v>
      </c>
      <c r="L2285" s="9" t="str">
        <f>IFERROR(__xludf.DUMMYFUNCTION("""COMPUTED_VALUE"""),"C#")</f>
        <v>C#</v>
      </c>
      <c r="M2285" s="9" t="s">
        <v>24</v>
      </c>
    </row>
    <row r="2286" ht="15.75" customHeight="1">
      <c r="A2286" s="7"/>
      <c r="B2286" s="7" t="str">
        <f>IFERROR(__xludf.DUMMYFUNCTION("""COMPUTED_VALUE"""),"C;C++;HTML/CSS;Java;JavaScript;PHP;Python;SQL")</f>
        <v>C;C++;HTML/CSS;Java;JavaScript;PHP;Python;SQL</v>
      </c>
      <c r="C2286" s="9" t="str">
        <f>IFERROR(__xludf.DUMMYFUNCTION("""COMPUTED_VALUE"""),"JavaScript")</f>
        <v>JavaScript</v>
      </c>
      <c r="D2286" s="9" t="str">
        <f>IFERROR(__xludf.DUMMYFUNCTION("""COMPUTED_VALUE"""),"Python")</f>
        <v>Python</v>
      </c>
      <c r="E2286" s="9" t="str">
        <f>IFERROR(__xludf.DUMMYFUNCTION("""COMPUTED_VALUE"""),"Ruby")</f>
        <v>Ruby</v>
      </c>
      <c r="F2286" s="9" t="str">
        <f>IFERROR(__xludf.DUMMYFUNCTION("""COMPUTED_VALUE"""),"JavaScript")</f>
        <v>JavaScript</v>
      </c>
      <c r="G2286" s="9" t="str">
        <f>IFERROR(__xludf.DUMMYFUNCTION("""COMPUTED_VALUE"""),"Other(s):")</f>
        <v>Other(s):</v>
      </c>
      <c r="H2286" s="9" t="str">
        <f>IFERROR(__xludf.DUMMYFUNCTION("""COMPUTED_VALUE"""),"JavaScript")</f>
        <v>JavaScript</v>
      </c>
      <c r="I2286" s="9" t="str">
        <f>IFERROR(__xludf.DUMMYFUNCTION("""COMPUTED_VALUE"""),"JavaScript")</f>
        <v>JavaScript</v>
      </c>
      <c r="J2286" s="9" t="str">
        <f>IFERROR(__xludf.DUMMYFUNCTION("""COMPUTED_VALUE"""),"SQL")</f>
        <v>SQL</v>
      </c>
      <c r="K2286" s="9" t="str">
        <f>IFERROR(__xludf.DUMMYFUNCTION("""COMPUTED_VALUE"""),"C#")</f>
        <v>C#</v>
      </c>
      <c r="L2286" s="9" t="str">
        <f>IFERROR(__xludf.DUMMYFUNCTION("""COMPUTED_VALUE"""),"Go")</f>
        <v>Go</v>
      </c>
      <c r="M2286" s="9" t="s">
        <v>21</v>
      </c>
    </row>
    <row r="2287" ht="15.75" customHeight="1">
      <c r="A2287" s="7"/>
      <c r="B2287" s="7" t="str">
        <f>IFERROR(__xludf.DUMMYFUNCTION("""COMPUTED_VALUE"""),"Bash/Shell/PowerShell;HTML/CSS;JavaScript;Python")</f>
        <v>Bash/Shell/PowerShell;HTML/CSS;JavaScript;Python</v>
      </c>
      <c r="C2287" s="9" t="str">
        <f>IFERROR(__xludf.DUMMYFUNCTION("""COMPUTED_VALUE"""),"TypeScript")</f>
        <v>TypeScript</v>
      </c>
      <c r="D2287" s="9" t="str">
        <f>IFERROR(__xludf.DUMMYFUNCTION("""COMPUTED_VALUE"""),"Scala")</f>
        <v>Scala</v>
      </c>
      <c r="E2287" s="9" t="str">
        <f>IFERROR(__xludf.DUMMYFUNCTION("""COMPUTED_VALUE"""),"TypeScript")</f>
        <v>TypeScript</v>
      </c>
      <c r="F2287" s="9" t="str">
        <f>IFERROR(__xludf.DUMMYFUNCTION("""COMPUTED_VALUE"""),"SQL")</f>
        <v>SQL</v>
      </c>
      <c r="G2287" s="9" t="str">
        <f>IFERROR(__xludf.DUMMYFUNCTION("""COMPUTED_VALUE"""),"Java")</f>
        <v>Java</v>
      </c>
      <c r="H2287" s="9" t="str">
        <f>IFERROR(__xludf.DUMMYFUNCTION("""COMPUTED_VALUE"""),"PHP")</f>
        <v>PHP</v>
      </c>
      <c r="I2287" s="9" t="str">
        <f>IFERROR(__xludf.DUMMYFUNCTION("""COMPUTED_VALUE"""),"SQL")</f>
        <v>SQL</v>
      </c>
      <c r="J2287" s="9" t="str">
        <f>IFERROR(__xludf.DUMMYFUNCTION("""COMPUTED_VALUE"""),"HTML/CSS")</f>
        <v>HTML/CSS</v>
      </c>
      <c r="K2287" s="9" t="str">
        <f>IFERROR(__xludf.DUMMYFUNCTION("""COMPUTED_VALUE"""),"HTML/CSS")</f>
        <v>HTML/CSS</v>
      </c>
      <c r="L2287" s="9" t="str">
        <f>IFERROR(__xludf.DUMMYFUNCTION("""COMPUTED_VALUE"""),"HTML/CSS")</f>
        <v>HTML/CSS</v>
      </c>
      <c r="M2287" s="9" t="s">
        <v>33</v>
      </c>
    </row>
    <row r="2288" ht="15.75" customHeight="1">
      <c r="A2288" s="7"/>
      <c r="B2288" s="7" t="str">
        <f>IFERROR(__xludf.DUMMYFUNCTION("""COMPUTED_VALUE"""),"HTML/CSS;Java;JavaScript;TypeScript;WebAssembly")</f>
        <v>HTML/CSS;Java;JavaScript;TypeScript;WebAssembly</v>
      </c>
      <c r="C2288" s="9" t="str">
        <f>IFERROR(__xludf.DUMMYFUNCTION("""COMPUTED_VALUE"""),"Java")</f>
        <v>Java</v>
      </c>
      <c r="D2288" s="9" t="str">
        <f>IFERROR(__xludf.DUMMYFUNCTION("""COMPUTED_VALUE"""),"SQL")</f>
        <v>SQL</v>
      </c>
      <c r="E2288" s="9" t="str">
        <f>IFERROR(__xludf.DUMMYFUNCTION("""COMPUTED_VALUE"""),"C#")</f>
        <v>C#</v>
      </c>
      <c r="F2288" s="9" t="str">
        <f>IFERROR(__xludf.DUMMYFUNCTION("""COMPUTED_VALUE"""),"HTML/CSS")</f>
        <v>HTML/CSS</v>
      </c>
      <c r="G2288" s="9" t="str">
        <f>IFERROR(__xludf.DUMMYFUNCTION("""COMPUTED_VALUE"""),"SQL")</f>
        <v>SQL</v>
      </c>
      <c r="H2288" s="9" t="str">
        <f>IFERROR(__xludf.DUMMYFUNCTION("""COMPUTED_VALUE"""),"SQL")</f>
        <v>SQL</v>
      </c>
      <c r="I2288" s="9" t="str">
        <f>IFERROR(__xludf.DUMMYFUNCTION("""COMPUTED_VALUE"""),"TypeScript")</f>
        <v>TypeScript</v>
      </c>
      <c r="J2288" s="9" t="str">
        <f>IFERROR(__xludf.DUMMYFUNCTION("""COMPUTED_VALUE"""),"JavaScript")</f>
        <v>JavaScript</v>
      </c>
      <c r="K2288" s="9" t="str">
        <f>IFERROR(__xludf.DUMMYFUNCTION("""COMPUTED_VALUE"""),"Java")</f>
        <v>Java</v>
      </c>
      <c r="L2288" s="9" t="str">
        <f>IFERROR(__xludf.DUMMYFUNCTION("""COMPUTED_VALUE"""),"JavaScript")</f>
        <v>JavaScript</v>
      </c>
      <c r="M2288" s="9" t="s">
        <v>20</v>
      </c>
    </row>
    <row r="2289" ht="15.75" customHeight="1">
      <c r="A2289" s="7"/>
      <c r="B2289" s="7" t="str">
        <f>IFERROR(__xludf.DUMMYFUNCTION("""COMPUTED_VALUE"""),"Bash/Shell/PowerShell;C#;Erlang;HTML/CSS;JavaScript;Python;SQL;TypeScript")</f>
        <v>Bash/Shell/PowerShell;C#;Erlang;HTML/CSS;JavaScript;Python;SQL;TypeScript</v>
      </c>
      <c r="C2289" s="9" t="str">
        <f>IFERROR(__xludf.DUMMYFUNCTION("""COMPUTED_VALUE"""),"Kotlin")</f>
        <v>Kotlin</v>
      </c>
      <c r="D2289" s="9" t="str">
        <f>IFERROR(__xludf.DUMMYFUNCTION("""COMPUTED_VALUE"""),"TypeScript")</f>
        <v>TypeScript</v>
      </c>
      <c r="E2289" s="9" t="str">
        <f>IFERROR(__xludf.DUMMYFUNCTION("""COMPUTED_VALUE"""),"HTML/CSS")</f>
        <v>HTML/CSS</v>
      </c>
      <c r="F2289" s="9" t="str">
        <f>IFERROR(__xludf.DUMMYFUNCTION("""COMPUTED_VALUE"""),"JavaScript")</f>
        <v>JavaScript</v>
      </c>
      <c r="G2289" s="9" t="str">
        <f>IFERROR(__xludf.DUMMYFUNCTION("""COMPUTED_VALUE"""),"HTML/CSS")</f>
        <v>HTML/CSS</v>
      </c>
      <c r="H2289" s="9" t="str">
        <f>IFERROR(__xludf.DUMMYFUNCTION("""COMPUTED_VALUE"""),"Bash/Shell/PowerShell")</f>
        <v>Bash/Shell/PowerShell</v>
      </c>
      <c r="I2289" s="9" t="str">
        <f>IFERROR(__xludf.DUMMYFUNCTION("""COMPUTED_VALUE"""),"HTML/CSS")</f>
        <v>HTML/CSS</v>
      </c>
      <c r="J2289" s="9" t="str">
        <f>IFERROR(__xludf.DUMMYFUNCTION("""COMPUTED_VALUE"""),"PHP")</f>
        <v>PHP</v>
      </c>
      <c r="K2289" s="9" t="str">
        <f>IFERROR(__xludf.DUMMYFUNCTION("""COMPUTED_VALUE"""),"JavaScript")</f>
        <v>JavaScript</v>
      </c>
      <c r="L2289" s="9" t="str">
        <f>IFERROR(__xludf.DUMMYFUNCTION("""COMPUTED_VALUE"""),"Python")</f>
        <v>Python</v>
      </c>
      <c r="M2289" s="9" t="s">
        <v>39</v>
      </c>
    </row>
    <row r="2290" ht="15.75" customHeight="1">
      <c r="A2290" s="7"/>
      <c r="B2290" s="7" t="str">
        <f>IFERROR(__xludf.DUMMYFUNCTION("""COMPUTED_VALUE"""),"C#;HTML/CSS;JavaScript;SQL")</f>
        <v>C#;HTML/CSS;JavaScript;SQL</v>
      </c>
      <c r="C2290" s="9" t="str">
        <f>IFERROR(__xludf.DUMMYFUNCTION("""COMPUTED_VALUE"""),"Python")</f>
        <v>Python</v>
      </c>
      <c r="D2290" s="9" t="str">
        <f>IFERROR(__xludf.DUMMYFUNCTION("""COMPUTED_VALUE"""),"Bash/Shell/PowerShell")</f>
        <v>Bash/Shell/PowerShell</v>
      </c>
      <c r="E2290" s="9" t="str">
        <f>IFERROR(__xludf.DUMMYFUNCTION("""COMPUTED_VALUE"""),"Java")</f>
        <v>Java</v>
      </c>
      <c r="F2290" s="9" t="str">
        <f>IFERROR(__xludf.DUMMYFUNCTION("""COMPUTED_VALUE"""),"PHP")</f>
        <v>PHP</v>
      </c>
      <c r="G2290" s="9" t="str">
        <f>IFERROR(__xludf.DUMMYFUNCTION("""COMPUTED_VALUE"""),"JavaScript")</f>
        <v>JavaScript</v>
      </c>
      <c r="H2290" s="9" t="str">
        <f>IFERROR(__xludf.DUMMYFUNCTION("""COMPUTED_VALUE"""),"HTML/CSS")</f>
        <v>HTML/CSS</v>
      </c>
      <c r="I2290" s="9" t="str">
        <f>IFERROR(__xludf.DUMMYFUNCTION("""COMPUTED_VALUE"""),"Java")</f>
        <v>Java</v>
      </c>
      <c r="J2290" s="9" t="str">
        <f>IFERROR(__xludf.DUMMYFUNCTION("""COMPUTED_VALUE"""),"SQL")</f>
        <v>SQL</v>
      </c>
      <c r="K2290" s="9" t="str">
        <f>IFERROR(__xludf.DUMMYFUNCTION("""COMPUTED_VALUE"""),"PHP")</f>
        <v>PHP</v>
      </c>
      <c r="L2290" s="9" t="str">
        <f>IFERROR(__xludf.DUMMYFUNCTION("""COMPUTED_VALUE"""),"SQL")</f>
        <v>SQL</v>
      </c>
      <c r="M2290" s="9" t="s">
        <v>22</v>
      </c>
    </row>
    <row r="2291" ht="15.75" customHeight="1">
      <c r="A2291" s="7"/>
      <c r="B2291" s="7" t="str">
        <f>IFERROR(__xludf.DUMMYFUNCTION("""COMPUTED_VALUE"""),"Bash/Shell/PowerShell;HTML/CSS;JavaScript;Python;R;Scala;SQL")</f>
        <v>Bash/Shell/PowerShell;HTML/CSS;JavaScript;Python;R;Scala;SQL</v>
      </c>
      <c r="C2291" s="9" t="str">
        <f>IFERROR(__xludf.DUMMYFUNCTION("""COMPUTED_VALUE"""),"SQL")</f>
        <v>SQL</v>
      </c>
      <c r="D2291" s="9" t="str">
        <f>IFERROR(__xludf.DUMMYFUNCTION("""COMPUTED_VALUE"""),"HTML/CSS")</f>
        <v>HTML/CSS</v>
      </c>
      <c r="E2291" s="9" t="str">
        <f>IFERROR(__xludf.DUMMYFUNCTION("""COMPUTED_VALUE"""),"JavaScript")</f>
        <v>JavaScript</v>
      </c>
      <c r="F2291" s="9" t="str">
        <f>IFERROR(__xludf.DUMMYFUNCTION("""COMPUTED_VALUE"""),"Bash/Shell/PowerShell")</f>
        <v>Bash/Shell/PowerShell</v>
      </c>
      <c r="G2291" s="9" t="str">
        <f>IFERROR(__xludf.DUMMYFUNCTION("""COMPUTED_VALUE"""),"PHP")</f>
        <v>PHP</v>
      </c>
      <c r="H2291" s="9" t="str">
        <f>IFERROR(__xludf.DUMMYFUNCTION("""COMPUTED_VALUE"""),"JavaScript")</f>
        <v>JavaScript</v>
      </c>
      <c r="I2291" s="9" t="str">
        <f>IFERROR(__xludf.DUMMYFUNCTION("""COMPUTED_VALUE"""),"JavaScript")</f>
        <v>JavaScript</v>
      </c>
      <c r="J2291" s="9" t="str">
        <f>IFERROR(__xludf.DUMMYFUNCTION("""COMPUTED_VALUE"""),"HTML/CSS")</f>
        <v>HTML/CSS</v>
      </c>
      <c r="K2291" s="9" t="str">
        <f>IFERROR(__xludf.DUMMYFUNCTION("""COMPUTED_VALUE"""),"Python")</f>
        <v>Python</v>
      </c>
      <c r="L2291" s="9" t="str">
        <f>IFERROR(__xludf.DUMMYFUNCTION("""COMPUTED_VALUE"""),"TypeScript")</f>
        <v>TypeScript</v>
      </c>
      <c r="M2291" s="9" t="s">
        <v>27</v>
      </c>
    </row>
    <row r="2292" ht="15.75" customHeight="1">
      <c r="A2292" s="7"/>
      <c r="B2292" s="7" t="str">
        <f>IFERROR(__xludf.DUMMYFUNCTION("""COMPUTED_VALUE"""),"HTML/CSS;JavaScript")</f>
        <v>HTML/CSS;JavaScript</v>
      </c>
      <c r="C2292" s="9" t="str">
        <f>IFERROR(__xludf.DUMMYFUNCTION("""COMPUTED_VALUE"""),"Bash/Shell/PowerShell")</f>
        <v>Bash/Shell/PowerShell</v>
      </c>
      <c r="D2292" s="9" t="str">
        <f>IFERROR(__xludf.DUMMYFUNCTION("""COMPUTED_VALUE"""),"JavaScript")</f>
        <v>JavaScript</v>
      </c>
      <c r="E2292" s="9" t="str">
        <f>IFERROR(__xludf.DUMMYFUNCTION("""COMPUTED_VALUE"""),"Python")</f>
        <v>Python</v>
      </c>
      <c r="F2292" s="9" t="str">
        <f>IFERROR(__xludf.DUMMYFUNCTION("""COMPUTED_VALUE"""),"HTML/CSS")</f>
        <v>HTML/CSS</v>
      </c>
      <c r="G2292" s="9" t="str">
        <f>IFERROR(__xludf.DUMMYFUNCTION("""COMPUTED_VALUE"""),"SQL")</f>
        <v>SQL</v>
      </c>
      <c r="H2292" s="9" t="str">
        <f>IFERROR(__xludf.DUMMYFUNCTION("""COMPUTED_VALUE"""),"Python")</f>
        <v>Python</v>
      </c>
      <c r="I2292" s="9" t="str">
        <f>IFERROR(__xludf.DUMMYFUNCTION("""COMPUTED_VALUE"""),"PHP")</f>
        <v>PHP</v>
      </c>
      <c r="J2292" s="9" t="str">
        <f>IFERROR(__xludf.DUMMYFUNCTION("""COMPUTED_VALUE"""),"JavaScript")</f>
        <v>JavaScript</v>
      </c>
      <c r="K2292" s="9" t="str">
        <f>IFERROR(__xludf.DUMMYFUNCTION("""COMPUTED_VALUE"""),"SQL")</f>
        <v>SQL</v>
      </c>
      <c r="L2292" s="9" t="str">
        <f>IFERROR(__xludf.DUMMYFUNCTION("""COMPUTED_VALUE"""),"Bash/Shell/PowerShell")</f>
        <v>Bash/Shell/PowerShell</v>
      </c>
      <c r="M2292" s="9" t="s">
        <v>30</v>
      </c>
    </row>
    <row r="2293" ht="15.75" customHeight="1">
      <c r="A2293" s="7"/>
      <c r="B2293" s="7" t="str">
        <f>IFERROR(__xludf.DUMMYFUNCTION("""COMPUTED_VALUE"""),"Bash/Shell/PowerShell;C++;Go;HTML/CSS;JavaScript;PHP;Python;SQL;TypeScript")</f>
        <v>Bash/Shell/PowerShell;C++;Go;HTML/CSS;JavaScript;PHP;Python;SQL;TypeScript</v>
      </c>
      <c r="C2293" s="9" t="str">
        <f>IFERROR(__xludf.DUMMYFUNCTION("""COMPUTED_VALUE"""),"C#")</f>
        <v>C#</v>
      </c>
      <c r="D2293" s="9" t="str">
        <f>IFERROR(__xludf.DUMMYFUNCTION("""COMPUTED_VALUE"""),"Python")</f>
        <v>Python</v>
      </c>
      <c r="E2293" s="9" t="str">
        <f>IFERROR(__xludf.DUMMYFUNCTION("""COMPUTED_VALUE"""),"SQL")</f>
        <v>SQL</v>
      </c>
      <c r="F2293" s="9" t="str">
        <f>IFERROR(__xludf.DUMMYFUNCTION("""COMPUTED_VALUE"""),"JavaScript")</f>
        <v>JavaScript</v>
      </c>
      <c r="G2293" s="9" t="str">
        <f>IFERROR(__xludf.DUMMYFUNCTION("""COMPUTED_VALUE"""),"Bash/Shell/PowerShell")</f>
        <v>Bash/Shell/PowerShell</v>
      </c>
      <c r="H2293" s="9" t="str">
        <f>IFERROR(__xludf.DUMMYFUNCTION("""COMPUTED_VALUE"""),"SQL")</f>
        <v>SQL</v>
      </c>
      <c r="I2293" s="9" t="str">
        <f>IFERROR(__xludf.DUMMYFUNCTION("""COMPUTED_VALUE"""),"SQL")</f>
        <v>SQL</v>
      </c>
      <c r="J2293" s="9" t="str">
        <f>IFERROR(__xludf.DUMMYFUNCTION("""COMPUTED_VALUE"""),"PHP")</f>
        <v>PHP</v>
      </c>
      <c r="K2293" s="9" t="str">
        <f>IFERROR(__xludf.DUMMYFUNCTION("""COMPUTED_VALUE"""),"Assembly")</f>
        <v>Assembly</v>
      </c>
      <c r="L2293" s="9" t="str">
        <f>IFERROR(__xludf.DUMMYFUNCTION("""COMPUTED_VALUE"""),"Go")</f>
        <v>Go</v>
      </c>
      <c r="M2293" s="9" t="s">
        <v>26</v>
      </c>
    </row>
    <row r="2294" ht="15.75" customHeight="1">
      <c r="A2294" s="7"/>
      <c r="B2294" s="7" t="str">
        <f>IFERROR(__xludf.DUMMYFUNCTION("""COMPUTED_VALUE"""),"C#;HTML/CSS;Java;JavaScript;Kotlin;Python;R;Scala;SQL;TypeScript")</f>
        <v>C#;HTML/CSS;Java;JavaScript;Kotlin;Python;R;Scala;SQL;TypeScript</v>
      </c>
      <c r="C2294" s="9" t="str">
        <f>IFERROR(__xludf.DUMMYFUNCTION("""COMPUTED_VALUE"""),"HTML/CSS")</f>
        <v>HTML/CSS</v>
      </c>
      <c r="D2294" s="9" t="str">
        <f>IFERROR(__xludf.DUMMYFUNCTION("""COMPUTED_VALUE"""),"C#")</f>
        <v>C#</v>
      </c>
      <c r="E2294" s="9" t="str">
        <f>IFERROR(__xludf.DUMMYFUNCTION("""COMPUTED_VALUE"""),"TypeScript")</f>
        <v>TypeScript</v>
      </c>
      <c r="F2294" s="9" t="str">
        <f>IFERROR(__xludf.DUMMYFUNCTION("""COMPUTED_VALUE"""),"Python")</f>
        <v>Python</v>
      </c>
      <c r="G2294" s="9" t="str">
        <f>IFERROR(__xludf.DUMMYFUNCTION("""COMPUTED_VALUE"""),"C")</f>
        <v>C</v>
      </c>
      <c r="H2294" s="9" t="str">
        <f>IFERROR(__xludf.DUMMYFUNCTION("""COMPUTED_VALUE"""),"Bash/Shell/PowerShell")</f>
        <v>Bash/Shell/PowerShell</v>
      </c>
      <c r="I2294" s="9" t="str">
        <f>IFERROR(__xludf.DUMMYFUNCTION("""COMPUTED_VALUE"""),"TypeScript")</f>
        <v>TypeScript</v>
      </c>
      <c r="J2294" s="9" t="str">
        <f>IFERROR(__xludf.DUMMYFUNCTION("""COMPUTED_VALUE"""),"SQL")</f>
        <v>SQL</v>
      </c>
      <c r="K2294" s="9" t="str">
        <f>IFERROR(__xludf.DUMMYFUNCTION("""COMPUTED_VALUE"""),"Bash/Shell/PowerShell")</f>
        <v>Bash/Shell/PowerShell</v>
      </c>
      <c r="L2294" s="9" t="str">
        <f>IFERROR(__xludf.DUMMYFUNCTION("""COMPUTED_VALUE"""),"HTML/CSS")</f>
        <v>HTML/CSS</v>
      </c>
      <c r="M2294" s="9" t="s">
        <v>24</v>
      </c>
    </row>
    <row r="2295" ht="15.75" customHeight="1">
      <c r="A2295" s="7"/>
      <c r="B2295" s="7" t="str">
        <f>IFERROR(__xludf.DUMMYFUNCTION("""COMPUTED_VALUE"""),"Bash/Shell/PowerShell;HTML/CSS;Java;JavaScript;Python;SQL")</f>
        <v>Bash/Shell/PowerShell;HTML/CSS;Java;JavaScript;Python;SQL</v>
      </c>
      <c r="C2295" s="9" t="str">
        <f>IFERROR(__xludf.DUMMYFUNCTION("""COMPUTED_VALUE"""),"Java")</f>
        <v>Java</v>
      </c>
      <c r="D2295" s="9" t="str">
        <f>IFERROR(__xludf.DUMMYFUNCTION("""COMPUTED_VALUE"""),"JavaScript")</f>
        <v>JavaScript</v>
      </c>
      <c r="E2295" s="9" t="str">
        <f>IFERROR(__xludf.DUMMYFUNCTION("""COMPUTED_VALUE"""),"C")</f>
        <v>C</v>
      </c>
      <c r="F2295" s="9" t="str">
        <f>IFERROR(__xludf.DUMMYFUNCTION("""COMPUTED_VALUE"""),"C")</f>
        <v>C</v>
      </c>
      <c r="G2295" s="9" t="str">
        <f>IFERROR(__xludf.DUMMYFUNCTION("""COMPUTED_VALUE"""),"C++")</f>
        <v>C++</v>
      </c>
      <c r="H2295" s="9" t="str">
        <f>IFERROR(__xludf.DUMMYFUNCTION("""COMPUTED_VALUE"""),"C#")</f>
        <v>C#</v>
      </c>
      <c r="I2295" s="9" t="str">
        <f>IFERROR(__xludf.DUMMYFUNCTION("""COMPUTED_VALUE"""),"Clojure")</f>
        <v>Clojure</v>
      </c>
      <c r="J2295" s="9" t="str">
        <f>IFERROR(__xludf.DUMMYFUNCTION("""COMPUTED_VALUE"""),"VBA")</f>
        <v>VBA</v>
      </c>
      <c r="K2295" s="9" t="str">
        <f>IFERROR(__xludf.DUMMYFUNCTION("""COMPUTED_VALUE"""),"C#")</f>
        <v>C#</v>
      </c>
      <c r="L2295" s="9" t="str">
        <f>IFERROR(__xludf.DUMMYFUNCTION("""COMPUTED_VALUE"""),"Java")</f>
        <v>Java</v>
      </c>
      <c r="M2295" s="9" t="s">
        <v>20</v>
      </c>
    </row>
    <row r="2296" ht="15.75" customHeight="1">
      <c r="A2296" s="7"/>
      <c r="B2296" s="7" t="str">
        <f>IFERROR(__xludf.DUMMYFUNCTION("""COMPUTED_VALUE"""),"Bash/Shell/PowerShell;C;C++;C#")</f>
        <v>Bash/Shell/PowerShell;C;C++;C#</v>
      </c>
      <c r="C2296" s="9" t="str">
        <f>IFERROR(__xludf.DUMMYFUNCTION("""COMPUTED_VALUE"""),"JavaScript")</f>
        <v>JavaScript</v>
      </c>
      <c r="D2296" s="9" t="str">
        <f>IFERROR(__xludf.DUMMYFUNCTION("""COMPUTED_VALUE"""),"C++")</f>
        <v>C++</v>
      </c>
      <c r="E2296" s="9" t="str">
        <f>IFERROR(__xludf.DUMMYFUNCTION("""COMPUTED_VALUE"""),"C++")</f>
        <v>C++</v>
      </c>
      <c r="F2296" s="9" t="str">
        <f>IFERROR(__xludf.DUMMYFUNCTION("""COMPUTED_VALUE"""),"C++")</f>
        <v>C++</v>
      </c>
      <c r="G2296" s="9" t="str">
        <f>IFERROR(__xludf.DUMMYFUNCTION("""COMPUTED_VALUE"""),"Clojure")</f>
        <v>Clojure</v>
      </c>
      <c r="H2296" s="9" t="str">
        <f>IFERROR(__xludf.DUMMYFUNCTION("""COMPUTED_VALUE"""),"Go")</f>
        <v>Go</v>
      </c>
      <c r="I2296" s="9" t="str">
        <f>IFERROR(__xludf.DUMMYFUNCTION("""COMPUTED_VALUE"""),"Java")</f>
        <v>Java</v>
      </c>
      <c r="J2296" s="9" t="str">
        <f>IFERROR(__xludf.DUMMYFUNCTION("""COMPUTED_VALUE"""),"C++")</f>
        <v>C++</v>
      </c>
      <c r="K2296" s="9" t="str">
        <f>IFERROR(__xludf.DUMMYFUNCTION("""COMPUTED_VALUE"""),"Dart")</f>
        <v>Dart</v>
      </c>
      <c r="L2296" s="9" t="str">
        <f>IFERROR(__xludf.DUMMYFUNCTION("""COMPUTED_VALUE"""),"JavaScript")</f>
        <v>JavaScript</v>
      </c>
      <c r="M2296" s="9" t="s">
        <v>21</v>
      </c>
    </row>
    <row r="2297" ht="15.75" customHeight="1">
      <c r="A2297" s="7"/>
      <c r="B2297" s="7" t="str">
        <f>IFERROR(__xludf.DUMMYFUNCTION("""COMPUTED_VALUE"""),"C#;HTML/CSS;JavaScript;SQL")</f>
        <v>C#;HTML/CSS;JavaScript;SQL</v>
      </c>
      <c r="C2297" s="9" t="str">
        <f>IFERROR(__xludf.DUMMYFUNCTION("""COMPUTED_VALUE"""),"Kotlin")</f>
        <v>Kotlin</v>
      </c>
      <c r="D2297" s="9" t="str">
        <f>IFERROR(__xludf.DUMMYFUNCTION("""COMPUTED_VALUE"""),"Python")</f>
        <v>Python</v>
      </c>
      <c r="E2297" s="9" t="str">
        <f>IFERROR(__xludf.DUMMYFUNCTION("""COMPUTED_VALUE"""),"HTML/CSS")</f>
        <v>HTML/CSS</v>
      </c>
      <c r="F2297" s="9" t="str">
        <f>IFERROR(__xludf.DUMMYFUNCTION("""COMPUTED_VALUE"""),"HTML/CSS")</f>
        <v>HTML/CSS</v>
      </c>
      <c r="G2297" s="9" t="str">
        <f>IFERROR(__xludf.DUMMYFUNCTION("""COMPUTED_VALUE"""),"HTML/CSS")</f>
        <v>HTML/CSS</v>
      </c>
      <c r="H2297" s="9" t="str">
        <f>IFERROR(__xludf.DUMMYFUNCTION("""COMPUTED_VALUE"""),"JavaScript")</f>
        <v>JavaScript</v>
      </c>
      <c r="I2297" s="9" t="str">
        <f>IFERROR(__xludf.DUMMYFUNCTION("""COMPUTED_VALUE"""),"Assembly")</f>
        <v>Assembly</v>
      </c>
      <c r="J2297" s="9" t="str">
        <f>IFERROR(__xludf.DUMMYFUNCTION("""COMPUTED_VALUE"""),"HTML/CSS")</f>
        <v>HTML/CSS</v>
      </c>
      <c r="K2297" s="9" t="str">
        <f>IFERROR(__xludf.DUMMYFUNCTION("""COMPUTED_VALUE"""),"Go")</f>
        <v>Go</v>
      </c>
      <c r="L2297" s="9" t="str">
        <f>IFERROR(__xludf.DUMMYFUNCTION("""COMPUTED_VALUE"""),"Python")</f>
        <v>Python</v>
      </c>
      <c r="M2297" s="9" t="s">
        <v>39</v>
      </c>
    </row>
    <row r="2298" ht="15.75" customHeight="1">
      <c r="A2298" s="7"/>
      <c r="B2298" s="7" t="str">
        <f>IFERROR(__xludf.DUMMYFUNCTION("""COMPUTED_VALUE"""),"HTML/CSS;JavaScript;PHP;SQL;TypeScript")</f>
        <v>HTML/CSS;JavaScript;PHP;SQL;TypeScript</v>
      </c>
      <c r="C2298" s="9" t="str">
        <f>IFERROR(__xludf.DUMMYFUNCTION("""COMPUTED_VALUE"""),"SQL")</f>
        <v>SQL</v>
      </c>
      <c r="D2298" s="9" t="str">
        <f>IFERROR(__xludf.DUMMYFUNCTION("""COMPUTED_VALUE"""),"SQL")</f>
        <v>SQL</v>
      </c>
      <c r="E2298" s="9" t="str">
        <f>IFERROR(__xludf.DUMMYFUNCTION("""COMPUTED_VALUE"""),"Java")</f>
        <v>Java</v>
      </c>
      <c r="F2298" s="9" t="str">
        <f>IFERROR(__xludf.DUMMYFUNCTION("""COMPUTED_VALUE"""),"Java")</f>
        <v>Java</v>
      </c>
      <c r="G2298" s="9" t="str">
        <f>IFERROR(__xludf.DUMMYFUNCTION("""COMPUTED_VALUE"""),"Java")</f>
        <v>Java</v>
      </c>
      <c r="H2298" s="9" t="str">
        <f>IFERROR(__xludf.DUMMYFUNCTION("""COMPUTED_VALUE"""),"PHP")</f>
        <v>PHP</v>
      </c>
      <c r="I2298" s="9" t="str">
        <f>IFERROR(__xludf.DUMMYFUNCTION("""COMPUTED_VALUE"""),"C")</f>
        <v>C</v>
      </c>
      <c r="J2298" s="9" t="str">
        <f>IFERROR(__xludf.DUMMYFUNCTION("""COMPUTED_VALUE"""),"Java")</f>
        <v>Java</v>
      </c>
      <c r="K2298" s="9" t="str">
        <f>IFERROR(__xludf.DUMMYFUNCTION("""COMPUTED_VALUE"""),"JavaScript")</f>
        <v>JavaScript</v>
      </c>
      <c r="L2298" s="9" t="str">
        <f>IFERROR(__xludf.DUMMYFUNCTION("""COMPUTED_VALUE"""),"Ruby")</f>
        <v>Ruby</v>
      </c>
      <c r="M2298" s="9" t="s">
        <v>27</v>
      </c>
    </row>
    <row r="2299" ht="15.75" customHeight="1">
      <c r="A2299" s="7"/>
      <c r="B2299" s="7" t="str">
        <f>IFERROR(__xludf.DUMMYFUNCTION("""COMPUTED_VALUE"""),"HTML/CSS;Java;JavaScript;PHP;Python;R;SQL;Swift;TypeScript")</f>
        <v>HTML/CSS;Java;JavaScript;PHP;Python;R;SQL;Swift;TypeScript</v>
      </c>
      <c r="C2299" s="9" t="str">
        <f>IFERROR(__xludf.DUMMYFUNCTION("""COMPUTED_VALUE"""),"Other(s):")</f>
        <v>Other(s):</v>
      </c>
      <c r="D2299" s="9" t="str">
        <f>IFERROR(__xludf.DUMMYFUNCTION("""COMPUTED_VALUE"""),"Bash/Shell/PowerShell")</f>
        <v>Bash/Shell/PowerShell</v>
      </c>
      <c r="E2299" s="9" t="str">
        <f>IFERROR(__xludf.DUMMYFUNCTION("""COMPUTED_VALUE"""),"JavaScript")</f>
        <v>JavaScript</v>
      </c>
      <c r="F2299" s="9" t="str">
        <f>IFERROR(__xludf.DUMMYFUNCTION("""COMPUTED_VALUE"""),"JavaScript")</f>
        <v>JavaScript</v>
      </c>
      <c r="G2299" s="9" t="str">
        <f>IFERROR(__xludf.DUMMYFUNCTION("""COMPUTED_VALUE"""),"JavaScript")</f>
        <v>JavaScript</v>
      </c>
      <c r="H2299" s="9" t="str">
        <f>IFERROR(__xludf.DUMMYFUNCTION("""COMPUTED_VALUE"""),"Python")</f>
        <v>Python</v>
      </c>
      <c r="I2299" s="9" t="str">
        <f>IFERROR(__xludf.DUMMYFUNCTION("""COMPUTED_VALUE"""),"C#")</f>
        <v>C#</v>
      </c>
      <c r="J2299" s="9" t="str">
        <f>IFERROR(__xludf.DUMMYFUNCTION("""COMPUTED_VALUE"""),"JavaScript")</f>
        <v>JavaScript</v>
      </c>
      <c r="K2299" s="9" t="str">
        <f>IFERROR(__xludf.DUMMYFUNCTION("""COMPUTED_VALUE"""),"Objective-C")</f>
        <v>Objective-C</v>
      </c>
      <c r="L2299" s="9" t="str">
        <f>IFERROR(__xludf.DUMMYFUNCTION("""COMPUTED_VALUE"""),"Scala")</f>
        <v>Scala</v>
      </c>
      <c r="M2299" s="9" t="s">
        <v>35</v>
      </c>
    </row>
    <row r="2300" ht="15.75" customHeight="1">
      <c r="A2300" s="7"/>
      <c r="B2300" s="7" t="str">
        <f>IFERROR(__xludf.DUMMYFUNCTION("""COMPUTED_VALUE"""),"Assembly;Bash/Shell/PowerShell;C;C++;HTML/CSS;Java;JavaScript;Objective-C;PHP;Python;SQL;TypeScript")</f>
        <v>Assembly;Bash/Shell/PowerShell;C;C++;HTML/CSS;Java;JavaScript;Objective-C;PHP;Python;SQL;TypeScript</v>
      </c>
      <c r="C2300" s="9" t="str">
        <f>IFERROR(__xludf.DUMMYFUNCTION("""COMPUTED_VALUE"""),"Bash/Shell/PowerShell")</f>
        <v>Bash/Shell/PowerShell</v>
      </c>
      <c r="D2300" s="9" t="str">
        <f>IFERROR(__xludf.DUMMYFUNCTION("""COMPUTED_VALUE"""),"HTML/CSS")</f>
        <v>HTML/CSS</v>
      </c>
      <c r="E2300" s="9" t="str">
        <f>IFERROR(__xludf.DUMMYFUNCTION("""COMPUTED_VALUE"""),"PHP")</f>
        <v>PHP</v>
      </c>
      <c r="F2300" s="9" t="str">
        <f>IFERROR(__xludf.DUMMYFUNCTION("""COMPUTED_VALUE"""),"PHP")</f>
        <v>PHP</v>
      </c>
      <c r="G2300" s="9" t="str">
        <f>IFERROR(__xludf.DUMMYFUNCTION("""COMPUTED_VALUE"""),"Bash/Shell/PowerShell")</f>
        <v>Bash/Shell/PowerShell</v>
      </c>
      <c r="H2300" s="9" t="str">
        <f>IFERROR(__xludf.DUMMYFUNCTION("""COMPUTED_VALUE"""),"R")</f>
        <v>R</v>
      </c>
      <c r="I2300" s="9" t="str">
        <f>IFERROR(__xludf.DUMMYFUNCTION("""COMPUTED_VALUE"""),"Java")</f>
        <v>Java</v>
      </c>
      <c r="J2300" s="9" t="str">
        <f>IFERROR(__xludf.DUMMYFUNCTION("""COMPUTED_VALUE"""),"PHP")</f>
        <v>PHP</v>
      </c>
      <c r="K2300" s="9" t="str">
        <f>IFERROR(__xludf.DUMMYFUNCTION("""COMPUTED_VALUE"""),"Rust")</f>
        <v>Rust</v>
      </c>
      <c r="L2300" s="9" t="str">
        <f>IFERROR(__xludf.DUMMYFUNCTION("""COMPUTED_VALUE"""),"SQL")</f>
        <v>SQL</v>
      </c>
      <c r="M2300" s="9" t="s">
        <v>30</v>
      </c>
    </row>
    <row r="2301" ht="15.75" customHeight="1">
      <c r="A2301" s="7"/>
      <c r="B2301" s="7" t="str">
        <f>IFERROR(__xludf.DUMMYFUNCTION("""COMPUTED_VALUE"""),"Bash/Shell/PowerShell;Java;JavaScript;Python;TypeScript")</f>
        <v>Bash/Shell/PowerShell;Java;JavaScript;Python;TypeScript</v>
      </c>
      <c r="C2301" s="9" t="str">
        <f>IFERROR(__xludf.DUMMYFUNCTION("""COMPUTED_VALUE"""),"JavaScript")</f>
        <v>JavaScript</v>
      </c>
      <c r="D2301" s="9" t="str">
        <f>IFERROR(__xludf.DUMMYFUNCTION("""COMPUTED_VALUE"""),"Java")</f>
        <v>Java</v>
      </c>
      <c r="E2301" s="9" t="str">
        <f>IFERROR(__xludf.DUMMYFUNCTION("""COMPUTED_VALUE"""),"Python")</f>
        <v>Python</v>
      </c>
      <c r="F2301" s="9" t="str">
        <f>IFERROR(__xludf.DUMMYFUNCTION("""COMPUTED_VALUE"""),"Python")</f>
        <v>Python</v>
      </c>
      <c r="G2301" s="9" t="str">
        <f>IFERROR(__xludf.DUMMYFUNCTION("""COMPUTED_VALUE"""),"C#")</f>
        <v>C#</v>
      </c>
      <c r="H2301" s="9" t="str">
        <f>IFERROR(__xludf.DUMMYFUNCTION("""COMPUTED_VALUE"""),"SQL")</f>
        <v>SQL</v>
      </c>
      <c r="I2301" s="9" t="str">
        <f>IFERROR(__xludf.DUMMYFUNCTION("""COMPUTED_VALUE"""),"JavaScript")</f>
        <v>JavaScript</v>
      </c>
      <c r="J2301" s="9" t="str">
        <f>IFERROR(__xludf.DUMMYFUNCTION("""COMPUTED_VALUE"""),"SQL")</f>
        <v>SQL</v>
      </c>
      <c r="K2301" s="9" t="str">
        <f>IFERROR(__xludf.DUMMYFUNCTION("""COMPUTED_VALUE"""),"SQL")</f>
        <v>SQL</v>
      </c>
      <c r="L2301" s="9" t="str">
        <f>IFERROR(__xludf.DUMMYFUNCTION("""COMPUTED_VALUE"""),"C")</f>
        <v>C</v>
      </c>
      <c r="M2301" s="9" t="s">
        <v>21</v>
      </c>
    </row>
    <row r="2302" ht="15.75" customHeight="1">
      <c r="A2302" s="7"/>
      <c r="B2302" s="7" t="str">
        <f>IFERROR(__xludf.DUMMYFUNCTION("""COMPUTED_VALUE"""),"HTML/CSS;PHP;SQL")</f>
        <v>HTML/CSS;PHP;SQL</v>
      </c>
      <c r="C2302" s="9" t="str">
        <f>IFERROR(__xludf.DUMMYFUNCTION("""COMPUTED_VALUE"""),"PHP")</f>
        <v>PHP</v>
      </c>
      <c r="D2302" s="9" t="str">
        <f>IFERROR(__xludf.DUMMYFUNCTION("""COMPUTED_VALUE"""),"JavaScript")</f>
        <v>JavaScript</v>
      </c>
      <c r="E2302" s="9" t="str">
        <f>IFERROR(__xludf.DUMMYFUNCTION("""COMPUTED_VALUE"""),"SQL")</f>
        <v>SQL</v>
      </c>
      <c r="F2302" s="9" t="str">
        <f>IFERROR(__xludf.DUMMYFUNCTION("""COMPUTED_VALUE"""),"R")</f>
        <v>R</v>
      </c>
      <c r="G2302" s="9" t="str">
        <f>IFERROR(__xludf.DUMMYFUNCTION("""COMPUTED_VALUE"""),"HTML/CSS")</f>
        <v>HTML/CSS</v>
      </c>
      <c r="H2302" s="9" t="str">
        <f>IFERROR(__xludf.DUMMYFUNCTION("""COMPUTED_VALUE"""),"Other(s):")</f>
        <v>Other(s):</v>
      </c>
      <c r="I2302" s="9" t="str">
        <f>IFERROR(__xludf.DUMMYFUNCTION("""COMPUTED_VALUE"""),"PHP")</f>
        <v>PHP</v>
      </c>
      <c r="J2302" s="9" t="str">
        <f>IFERROR(__xludf.DUMMYFUNCTION("""COMPUTED_VALUE"""),"HTML/CSS")</f>
        <v>HTML/CSS</v>
      </c>
      <c r="K2302" s="9" t="str">
        <f>IFERROR(__xludf.DUMMYFUNCTION("""COMPUTED_VALUE"""),"TypeScript")</f>
        <v>TypeScript</v>
      </c>
      <c r="L2302" s="9" t="str">
        <f>IFERROR(__xludf.DUMMYFUNCTION("""COMPUTED_VALUE"""),"JavaScript")</f>
        <v>JavaScript</v>
      </c>
      <c r="M2302" s="9" t="s">
        <v>37</v>
      </c>
    </row>
    <row r="2303" ht="15.75" customHeight="1">
      <c r="A2303" s="7"/>
      <c r="B2303" s="7" t="str">
        <f>IFERROR(__xludf.DUMMYFUNCTION("""COMPUTED_VALUE"""),"Java;JavaScript;Kotlin;Objective-C;Python;SQL;Swift;Other(s):")</f>
        <v>Java;JavaScript;Kotlin;Objective-C;Python;SQL;Swift;Other(s):</v>
      </c>
      <c r="C2303" s="9" t="str">
        <f>IFERROR(__xludf.DUMMYFUNCTION("""COMPUTED_VALUE"""),"SQL")</f>
        <v>SQL</v>
      </c>
      <c r="D2303" s="9" t="str">
        <f>IFERROR(__xludf.DUMMYFUNCTION("""COMPUTED_VALUE"""),"Python")</f>
        <v>Python</v>
      </c>
      <c r="E2303" s="9" t="str">
        <f>IFERROR(__xludf.DUMMYFUNCTION("""COMPUTED_VALUE"""),"Swift")</f>
        <v>Swift</v>
      </c>
      <c r="F2303" s="9" t="str">
        <f>IFERROR(__xludf.DUMMYFUNCTION("""COMPUTED_VALUE"""),"SQL")</f>
        <v>SQL</v>
      </c>
      <c r="G2303" s="9" t="str">
        <f>IFERROR(__xludf.DUMMYFUNCTION("""COMPUTED_VALUE"""),"TypeScript")</f>
        <v>TypeScript</v>
      </c>
      <c r="H2303" s="9" t="str">
        <f>IFERROR(__xludf.DUMMYFUNCTION("""COMPUTED_VALUE"""),"Bash/Shell/PowerShell")</f>
        <v>Bash/Shell/PowerShell</v>
      </c>
      <c r="I2303" s="9" t="str">
        <f>IFERROR(__xludf.DUMMYFUNCTION("""COMPUTED_VALUE"""),"Python")</f>
        <v>Python</v>
      </c>
      <c r="J2303" s="9" t="str">
        <f>IFERROR(__xludf.DUMMYFUNCTION("""COMPUTED_VALUE"""),"JavaScript")</f>
        <v>JavaScript</v>
      </c>
      <c r="K2303" s="9" t="str">
        <f>IFERROR(__xludf.DUMMYFUNCTION("""COMPUTED_VALUE"""),"Java")</f>
        <v>Java</v>
      </c>
      <c r="L2303" s="9" t="str">
        <f>IFERROR(__xludf.DUMMYFUNCTION("""COMPUTED_VALUE"""),"Ruby")</f>
        <v>Ruby</v>
      </c>
      <c r="M2303" s="9" t="s">
        <v>27</v>
      </c>
    </row>
    <row r="2304" ht="15.75" customHeight="1">
      <c r="A2304" s="7"/>
      <c r="B2304" s="7" t="str">
        <f>IFERROR(__xludf.DUMMYFUNCTION("""COMPUTED_VALUE"""),"HTML/CSS;Java;Kotlin;SQL")</f>
        <v>HTML/CSS;Java;Kotlin;SQL</v>
      </c>
      <c r="C2304" s="9" t="str">
        <f>IFERROR(__xludf.DUMMYFUNCTION("""COMPUTED_VALUE"""),"HTML/CSS")</f>
        <v>HTML/CSS</v>
      </c>
      <c r="D2304" s="9" t="str">
        <f>IFERROR(__xludf.DUMMYFUNCTION("""COMPUTED_VALUE"""),"HTML/CSS")</f>
        <v>HTML/CSS</v>
      </c>
      <c r="E2304" s="9" t="str">
        <f>IFERROR(__xludf.DUMMYFUNCTION("""COMPUTED_VALUE"""),"Assembly")</f>
        <v>Assembly</v>
      </c>
      <c r="F2304" s="9" t="str">
        <f>IFERROR(__xludf.DUMMYFUNCTION("""COMPUTED_VALUE"""),"Bash/Shell/PowerShell")</f>
        <v>Bash/Shell/PowerShell</v>
      </c>
      <c r="G2304" s="9" t="str">
        <f>IFERROR(__xludf.DUMMYFUNCTION("""COMPUTED_VALUE"""),"Bash/Shell/PowerShell")</f>
        <v>Bash/Shell/PowerShell</v>
      </c>
      <c r="H2304" s="9" t="str">
        <f>IFERROR(__xludf.DUMMYFUNCTION("""COMPUTED_VALUE"""),"Java")</f>
        <v>Java</v>
      </c>
      <c r="I2304" s="9" t="str">
        <f>IFERROR(__xludf.DUMMYFUNCTION("""COMPUTED_VALUE"""),"SQL")</f>
        <v>SQL</v>
      </c>
      <c r="J2304" s="9" t="str">
        <f>IFERROR(__xludf.DUMMYFUNCTION("""COMPUTED_VALUE"""),"PHP")</f>
        <v>PHP</v>
      </c>
      <c r="K2304" s="9" t="str">
        <f>IFERROR(__xludf.DUMMYFUNCTION("""COMPUTED_VALUE"""),"JavaScript")</f>
        <v>JavaScript</v>
      </c>
      <c r="L2304" s="9" t="str">
        <f>IFERROR(__xludf.DUMMYFUNCTION("""COMPUTED_VALUE"""),"Rust")</f>
        <v>Rust</v>
      </c>
      <c r="M2304" s="9" t="s">
        <v>24</v>
      </c>
    </row>
    <row r="2305" ht="15.75" customHeight="1">
      <c r="A2305" s="7"/>
      <c r="B2305" s="7" t="str">
        <f>IFERROR(__xludf.DUMMYFUNCTION("""COMPUTED_VALUE"""),"HTML/CSS;JavaScript;PHP;SQL")</f>
        <v>HTML/CSS;JavaScript;PHP;SQL</v>
      </c>
      <c r="C2305" s="9" t="str">
        <f>IFERROR(__xludf.DUMMYFUNCTION("""COMPUTED_VALUE"""),"Java")</f>
        <v>Java</v>
      </c>
      <c r="D2305" s="9" t="str">
        <f>IFERROR(__xludf.DUMMYFUNCTION("""COMPUTED_VALUE"""),"JavaScript")</f>
        <v>JavaScript</v>
      </c>
      <c r="E2305" s="9" t="str">
        <f>IFERROR(__xludf.DUMMYFUNCTION("""COMPUTED_VALUE"""),"HTML/CSS")</f>
        <v>HTML/CSS</v>
      </c>
      <c r="F2305" s="9" t="str">
        <f>IFERROR(__xludf.DUMMYFUNCTION("""COMPUTED_VALUE"""),"HTML/CSS")</f>
        <v>HTML/CSS</v>
      </c>
      <c r="G2305" s="9" t="str">
        <f>IFERROR(__xludf.DUMMYFUNCTION("""COMPUTED_VALUE"""),"C++")</f>
        <v>C++</v>
      </c>
      <c r="H2305" s="9" t="str">
        <f>IFERROR(__xludf.DUMMYFUNCTION("""COMPUTED_VALUE"""),"Kotlin")</f>
        <v>Kotlin</v>
      </c>
      <c r="I2305" s="9" t="str">
        <f>IFERROR(__xludf.DUMMYFUNCTION("""COMPUTED_VALUE"""),"Bash/Shell/PowerShell")</f>
        <v>Bash/Shell/PowerShell</v>
      </c>
      <c r="J2305" s="9" t="str">
        <f>IFERROR(__xludf.DUMMYFUNCTION("""COMPUTED_VALUE"""),"SQL")</f>
        <v>SQL</v>
      </c>
      <c r="K2305" s="9" t="str">
        <f>IFERROR(__xludf.DUMMYFUNCTION("""COMPUTED_VALUE"""),"Python")</f>
        <v>Python</v>
      </c>
      <c r="L2305" s="9" t="str">
        <f>IFERROR(__xludf.DUMMYFUNCTION("""COMPUTED_VALUE"""),"SQL")</f>
        <v>SQL</v>
      </c>
      <c r="M2305" s="9" t="s">
        <v>20</v>
      </c>
    </row>
    <row r="2306" ht="15.75" customHeight="1">
      <c r="A2306" s="7"/>
      <c r="B2306" s="7" t="str">
        <f>IFERROR(__xludf.DUMMYFUNCTION("""COMPUTED_VALUE"""),"C;C++;Go;HTML/CSS;JavaScript;SQL;TypeScript")</f>
        <v>C;C++;Go;HTML/CSS;JavaScript;SQL;TypeScript</v>
      </c>
      <c r="C2306" s="9" t="str">
        <f>IFERROR(__xludf.DUMMYFUNCTION("""COMPUTED_VALUE"""),"JavaScript")</f>
        <v>JavaScript</v>
      </c>
      <c r="D2306" s="9" t="str">
        <f>IFERROR(__xludf.DUMMYFUNCTION("""COMPUTED_VALUE"""),"PHP")</f>
        <v>PHP</v>
      </c>
      <c r="E2306" s="9" t="str">
        <f>IFERROR(__xludf.DUMMYFUNCTION("""COMPUTED_VALUE"""),"Java")</f>
        <v>Java</v>
      </c>
      <c r="F2306" s="9" t="str">
        <f>IFERROR(__xludf.DUMMYFUNCTION("""COMPUTED_VALUE"""),"Java")</f>
        <v>Java</v>
      </c>
      <c r="G2306" s="9" t="str">
        <f>IFERROR(__xludf.DUMMYFUNCTION("""COMPUTED_VALUE"""),"HTML/CSS")</f>
        <v>HTML/CSS</v>
      </c>
      <c r="H2306" s="9" t="str">
        <f>IFERROR(__xludf.DUMMYFUNCTION("""COMPUTED_VALUE"""),"SQL")</f>
        <v>SQL</v>
      </c>
      <c r="I2306" s="9" t="str">
        <f>IFERROR(__xludf.DUMMYFUNCTION("""COMPUTED_VALUE"""),"C")</f>
        <v>C</v>
      </c>
      <c r="J2306" s="9" t="str">
        <f>IFERROR(__xludf.DUMMYFUNCTION("""COMPUTED_VALUE"""),"C#")</f>
        <v>C#</v>
      </c>
      <c r="K2306" s="9" t="str">
        <f>IFERROR(__xludf.DUMMYFUNCTION("""COMPUTED_VALUE"""),"Bash/Shell/PowerShell")</f>
        <v>Bash/Shell/PowerShell</v>
      </c>
      <c r="L2306" s="9" t="str">
        <f>IFERROR(__xludf.DUMMYFUNCTION("""COMPUTED_VALUE"""),"C++")</f>
        <v>C++</v>
      </c>
      <c r="M2306" s="9" t="s">
        <v>21</v>
      </c>
    </row>
    <row r="2307" ht="15.75" customHeight="1">
      <c r="A2307" s="7"/>
      <c r="B2307" s="7" t="str">
        <f>IFERROR(__xludf.DUMMYFUNCTION("""COMPUTED_VALUE"""),"Java;Python")</f>
        <v>Java;Python</v>
      </c>
      <c r="C2307" s="9" t="str">
        <f>IFERROR(__xludf.DUMMYFUNCTION("""COMPUTED_VALUE"""),"PHP")</f>
        <v>PHP</v>
      </c>
      <c r="D2307" s="9" t="str">
        <f>IFERROR(__xludf.DUMMYFUNCTION("""COMPUTED_VALUE"""),"C#")</f>
        <v>C#</v>
      </c>
      <c r="E2307" s="9" t="str">
        <f>IFERROR(__xludf.DUMMYFUNCTION("""COMPUTED_VALUE"""),"JavaScript")</f>
        <v>JavaScript</v>
      </c>
      <c r="F2307" s="9" t="str">
        <f>IFERROR(__xludf.DUMMYFUNCTION("""COMPUTED_VALUE"""),"JavaScript")</f>
        <v>JavaScript</v>
      </c>
      <c r="G2307" s="9" t="str">
        <f>IFERROR(__xludf.DUMMYFUNCTION("""COMPUTED_VALUE"""),"Java")</f>
        <v>Java</v>
      </c>
      <c r="H2307" s="9" t="str">
        <f>IFERROR(__xludf.DUMMYFUNCTION("""COMPUTED_VALUE"""),"Other(s):")</f>
        <v>Other(s):</v>
      </c>
      <c r="I2307" s="9" t="str">
        <f>IFERROR(__xludf.DUMMYFUNCTION("""COMPUTED_VALUE"""),"C++")</f>
        <v>C++</v>
      </c>
      <c r="J2307" s="9" t="str">
        <f>IFERROR(__xludf.DUMMYFUNCTION("""COMPUTED_VALUE"""),"HTML/CSS")</f>
        <v>HTML/CSS</v>
      </c>
      <c r="K2307" s="9" t="str">
        <f>IFERROR(__xludf.DUMMYFUNCTION("""COMPUTED_VALUE"""),"C++")</f>
        <v>C++</v>
      </c>
      <c r="L2307" s="9" t="str">
        <f>IFERROR(__xludf.DUMMYFUNCTION("""COMPUTED_VALUE"""),"C#")</f>
        <v>C#</v>
      </c>
      <c r="M2307" s="9" t="s">
        <v>37</v>
      </c>
    </row>
    <row r="2308" ht="15.75" customHeight="1">
      <c r="A2308" s="7"/>
      <c r="B2308" s="7" t="str">
        <f>IFERROR(__xludf.DUMMYFUNCTION("""COMPUTED_VALUE"""),"HTML/CSS;JavaScript;Ruby")</f>
        <v>HTML/CSS;JavaScript;Ruby</v>
      </c>
      <c r="C2308" s="9" t="str">
        <f>IFERROR(__xludf.DUMMYFUNCTION("""COMPUTED_VALUE"""),"SQL")</f>
        <v>SQL</v>
      </c>
      <c r="D2308" s="9" t="str">
        <f>IFERROR(__xludf.DUMMYFUNCTION("""COMPUTED_VALUE"""),"HTML/CSS")</f>
        <v>HTML/CSS</v>
      </c>
      <c r="E2308" s="9" t="str">
        <f>IFERROR(__xludf.DUMMYFUNCTION("""COMPUTED_VALUE"""),"C#")</f>
        <v>C#</v>
      </c>
      <c r="F2308" s="9" t="str">
        <f>IFERROR(__xludf.DUMMYFUNCTION("""COMPUTED_VALUE"""),"VBA")</f>
        <v>VBA</v>
      </c>
      <c r="G2308" s="9" t="str">
        <f>IFERROR(__xludf.DUMMYFUNCTION("""COMPUTED_VALUE"""),"JavaScript")</f>
        <v>JavaScript</v>
      </c>
      <c r="H2308" s="9" t="str">
        <f>IFERROR(__xludf.DUMMYFUNCTION("""COMPUTED_VALUE"""),"HTML/CSS")</f>
        <v>HTML/CSS</v>
      </c>
      <c r="I2308" s="9" t="str">
        <f>IFERROR(__xludf.DUMMYFUNCTION("""COMPUTED_VALUE"""),"Python")</f>
        <v>Python</v>
      </c>
      <c r="J2308" s="9" t="str">
        <f>IFERROR(__xludf.DUMMYFUNCTION("""COMPUTED_VALUE"""),"JavaScript")</f>
        <v>JavaScript</v>
      </c>
      <c r="K2308" s="9" t="str">
        <f>IFERROR(__xludf.DUMMYFUNCTION("""COMPUTED_VALUE"""),"JavaScript")</f>
        <v>JavaScript</v>
      </c>
      <c r="L2308" s="9" t="str">
        <f>IFERROR(__xludf.DUMMYFUNCTION("""COMPUTED_VALUE"""),"Java")</f>
        <v>Java</v>
      </c>
      <c r="M2308" s="9" t="s">
        <v>27</v>
      </c>
    </row>
    <row r="2309" ht="15.75" customHeight="1">
      <c r="A2309" s="7"/>
      <c r="B2309" s="7" t="str">
        <f>IFERROR(__xludf.DUMMYFUNCTION("""COMPUTED_VALUE"""),"Bash/Shell/PowerShell;C;HTML/CSS;Java;JavaScript;PHP;Python;SQL;TypeScript")</f>
        <v>Bash/Shell/PowerShell;C;HTML/CSS;Java;JavaScript;PHP;Python;SQL;TypeScript</v>
      </c>
      <c r="C2309" s="9" t="str">
        <f>IFERROR(__xludf.DUMMYFUNCTION("""COMPUTED_VALUE"""),"TypeScript")</f>
        <v>TypeScript</v>
      </c>
      <c r="D2309" s="9" t="str">
        <f>IFERROR(__xludf.DUMMYFUNCTION("""COMPUTED_VALUE"""),"Java")</f>
        <v>Java</v>
      </c>
      <c r="E2309" s="9" t="str">
        <f>IFERROR(__xludf.DUMMYFUNCTION("""COMPUTED_VALUE"""),"Java")</f>
        <v>Java</v>
      </c>
      <c r="F2309" s="9" t="str">
        <f>IFERROR(__xludf.DUMMYFUNCTION("""COMPUTED_VALUE"""),"Bash/Shell/PowerShell")</f>
        <v>Bash/Shell/PowerShell</v>
      </c>
      <c r="G2309" s="9" t="str">
        <f>IFERROR(__xludf.DUMMYFUNCTION("""COMPUTED_VALUE"""),"Python")</f>
        <v>Python</v>
      </c>
      <c r="H2309" s="9" t="str">
        <f>IFERROR(__xludf.DUMMYFUNCTION("""COMPUTED_VALUE"""),"JavaScript")</f>
        <v>JavaScript</v>
      </c>
      <c r="I2309" s="9" t="str">
        <f>IFERROR(__xludf.DUMMYFUNCTION("""COMPUTED_VALUE"""),"C#")</f>
        <v>C#</v>
      </c>
      <c r="J2309" s="9" t="str">
        <f>IFERROR(__xludf.DUMMYFUNCTION("""COMPUTED_VALUE"""),"SQL")</f>
        <v>SQL</v>
      </c>
      <c r="K2309" s="9" t="str">
        <f>IFERROR(__xludf.DUMMYFUNCTION("""COMPUTED_VALUE"""),"Python")</f>
        <v>Python</v>
      </c>
      <c r="L2309" s="9" t="str">
        <f>IFERROR(__xludf.DUMMYFUNCTION("""COMPUTED_VALUE"""),"Python")</f>
        <v>Python</v>
      </c>
      <c r="M2309" s="9" t="s">
        <v>33</v>
      </c>
    </row>
    <row r="2310" ht="15.75" customHeight="1">
      <c r="A2310" s="7"/>
      <c r="B2310" s="7" t="str">
        <f>IFERROR(__xludf.DUMMYFUNCTION("""COMPUTED_VALUE"""),"C#;HTML/CSS;JavaScript;PHP")</f>
        <v>C#;HTML/CSS;JavaScript;PHP</v>
      </c>
      <c r="C2310" s="9" t="str">
        <f>IFERROR(__xludf.DUMMYFUNCTION("""COMPUTED_VALUE"""),"Other(s):")</f>
        <v>Other(s):</v>
      </c>
      <c r="D2310" s="9" t="str">
        <f>IFERROR(__xludf.DUMMYFUNCTION("""COMPUTED_VALUE"""),"JavaScript")</f>
        <v>JavaScript</v>
      </c>
      <c r="E2310" s="9" t="str">
        <f>IFERROR(__xludf.DUMMYFUNCTION("""COMPUTED_VALUE"""),"SQL")</f>
        <v>SQL</v>
      </c>
      <c r="F2310" s="9" t="str">
        <f>IFERROR(__xludf.DUMMYFUNCTION("""COMPUTED_VALUE"""),"HTML/CSS")</f>
        <v>HTML/CSS</v>
      </c>
      <c r="G2310" s="9" t="str">
        <f>IFERROR(__xludf.DUMMYFUNCTION("""COMPUTED_VALUE"""),"C")</f>
        <v>C</v>
      </c>
      <c r="H2310" s="9" t="str">
        <f>IFERROR(__xludf.DUMMYFUNCTION("""COMPUTED_VALUE"""),"PHP")</f>
        <v>PHP</v>
      </c>
      <c r="I2310" s="9" t="str">
        <f>IFERROR(__xludf.DUMMYFUNCTION("""COMPUTED_VALUE"""),"Elixir")</f>
        <v>Elixir</v>
      </c>
      <c r="J2310" s="9" t="str">
        <f>IFERROR(__xludf.DUMMYFUNCTION("""COMPUTED_VALUE"""),"TypeScript")</f>
        <v>TypeScript</v>
      </c>
      <c r="K2310" s="9" t="str">
        <f>IFERROR(__xludf.DUMMYFUNCTION("""COMPUTED_VALUE"""),"Ruby")</f>
        <v>Ruby</v>
      </c>
      <c r="L2310" s="9" t="str">
        <f>IFERROR(__xludf.DUMMYFUNCTION("""COMPUTED_VALUE"""),"Go")</f>
        <v>Go</v>
      </c>
      <c r="M2310" s="9" t="s">
        <v>35</v>
      </c>
    </row>
    <row r="2311" ht="15.75" customHeight="1">
      <c r="A2311" s="7"/>
      <c r="B2311" s="7" t="str">
        <f>IFERROR(__xludf.DUMMYFUNCTION("""COMPUTED_VALUE"""),"Bash/Shell/PowerShell;C;C++;C#;HTML/CSS;JavaScript;SQL")</f>
        <v>Bash/Shell/PowerShell;C;C++;C#;HTML/CSS;JavaScript;SQL</v>
      </c>
      <c r="C2311" s="9" t="str">
        <f>IFERROR(__xludf.DUMMYFUNCTION("""COMPUTED_VALUE"""),"Java")</f>
        <v>Java</v>
      </c>
      <c r="D2311" s="9" t="str">
        <f>IFERROR(__xludf.DUMMYFUNCTION("""COMPUTED_VALUE"""),"Python")</f>
        <v>Python</v>
      </c>
      <c r="E2311" s="9" t="str">
        <f>IFERROR(__xludf.DUMMYFUNCTION("""COMPUTED_VALUE"""),"Other(s):")</f>
        <v>Other(s):</v>
      </c>
      <c r="F2311" s="9" t="str">
        <f>IFERROR(__xludf.DUMMYFUNCTION("""COMPUTED_VALUE"""),"JavaScript")</f>
        <v>JavaScript</v>
      </c>
      <c r="G2311" s="9" t="str">
        <f>IFERROR(__xludf.DUMMYFUNCTION("""COMPUTED_VALUE"""),"C++")</f>
        <v>C++</v>
      </c>
      <c r="H2311" s="9" t="str">
        <f>IFERROR(__xludf.DUMMYFUNCTION("""COMPUTED_VALUE"""),"Python")</f>
        <v>Python</v>
      </c>
      <c r="I2311" s="9" t="str">
        <f>IFERROR(__xludf.DUMMYFUNCTION("""COMPUTED_VALUE"""),"JavaScript")</f>
        <v>JavaScript</v>
      </c>
      <c r="J2311" s="9" t="str">
        <f>IFERROR(__xludf.DUMMYFUNCTION("""COMPUTED_VALUE"""),"HTML/CSS")</f>
        <v>HTML/CSS</v>
      </c>
      <c r="K2311" s="9" t="str">
        <f>IFERROR(__xludf.DUMMYFUNCTION("""COMPUTED_VALUE"""),"HTML/CSS")</f>
        <v>HTML/CSS</v>
      </c>
      <c r="L2311" s="9" t="str">
        <f>IFERROR(__xludf.DUMMYFUNCTION("""COMPUTED_VALUE"""),"JavaScript")</f>
        <v>JavaScript</v>
      </c>
      <c r="M2311" s="9" t="s">
        <v>20</v>
      </c>
    </row>
    <row r="2312" ht="15.75" customHeight="1">
      <c r="A2312" s="7"/>
      <c r="B2312" s="7" t="str">
        <f>IFERROR(__xludf.DUMMYFUNCTION("""COMPUTED_VALUE"""),"Go;Java;JavaScript;Python")</f>
        <v>Go;Java;JavaScript;Python</v>
      </c>
      <c r="C2312" s="9" t="str">
        <f>IFERROR(__xludf.DUMMYFUNCTION("""COMPUTED_VALUE"""),"JavaScript")</f>
        <v>JavaScript</v>
      </c>
      <c r="D2312" s="9" t="str">
        <f>IFERROR(__xludf.DUMMYFUNCTION("""COMPUTED_VALUE"""),"C++")</f>
        <v>C++</v>
      </c>
      <c r="E2312" s="9" t="str">
        <f>IFERROR(__xludf.DUMMYFUNCTION("""COMPUTED_VALUE"""),"C")</f>
        <v>C</v>
      </c>
      <c r="F2312" s="9" t="str">
        <f>IFERROR(__xludf.DUMMYFUNCTION("""COMPUTED_VALUE"""),"Python")</f>
        <v>Python</v>
      </c>
      <c r="G2312" s="9" t="str">
        <f>IFERROR(__xludf.DUMMYFUNCTION("""COMPUTED_VALUE"""),"HTML/CSS")</f>
        <v>HTML/CSS</v>
      </c>
      <c r="H2312" s="9" t="str">
        <f>IFERROR(__xludf.DUMMYFUNCTION("""COMPUTED_VALUE"""),"C")</f>
        <v>C</v>
      </c>
      <c r="I2312" s="9" t="str">
        <f>IFERROR(__xludf.DUMMYFUNCTION("""COMPUTED_VALUE"""),"TypeScript")</f>
        <v>TypeScript</v>
      </c>
      <c r="J2312" s="9" t="str">
        <f>IFERROR(__xludf.DUMMYFUNCTION("""COMPUTED_VALUE"""),"JavaScript")</f>
        <v>JavaScript</v>
      </c>
      <c r="K2312" s="9" t="str">
        <f>IFERROR(__xludf.DUMMYFUNCTION("""COMPUTED_VALUE"""),"JavaScript")</f>
        <v>JavaScript</v>
      </c>
      <c r="L2312" s="9" t="str">
        <f>IFERROR(__xludf.DUMMYFUNCTION("""COMPUTED_VALUE"""),"TypeScript")</f>
        <v>TypeScript</v>
      </c>
      <c r="M2312" s="9" t="s">
        <v>21</v>
      </c>
    </row>
    <row r="2313" ht="15.75" customHeight="1">
      <c r="A2313" s="7"/>
      <c r="B2313" s="7" t="str">
        <f>IFERROR(__xludf.DUMMYFUNCTION("""COMPUTED_VALUE"""),"Java")</f>
        <v>Java</v>
      </c>
      <c r="C2313" s="9" t="str">
        <f>IFERROR(__xludf.DUMMYFUNCTION("""COMPUTED_VALUE"""),"HTML/CSS")</f>
        <v>HTML/CSS</v>
      </c>
      <c r="D2313" s="9" t="str">
        <f>IFERROR(__xludf.DUMMYFUNCTION("""COMPUTED_VALUE"""),"C#")</f>
        <v>C#</v>
      </c>
      <c r="E2313" s="9" t="str">
        <f>IFERROR(__xludf.DUMMYFUNCTION("""COMPUTED_VALUE"""),"C#")</f>
        <v>C#</v>
      </c>
      <c r="F2313" s="9" t="str">
        <f>IFERROR(__xludf.DUMMYFUNCTION("""COMPUTED_VALUE"""),"SQL")</f>
        <v>SQL</v>
      </c>
      <c r="G2313" s="9" t="str">
        <f>IFERROR(__xludf.DUMMYFUNCTION("""COMPUTED_VALUE"""),"Java")</f>
        <v>Java</v>
      </c>
      <c r="H2313" s="9" t="str">
        <f>IFERROR(__xludf.DUMMYFUNCTION("""COMPUTED_VALUE"""),"C#")</f>
        <v>C#</v>
      </c>
      <c r="I2313" s="9" t="str">
        <f>IFERROR(__xludf.DUMMYFUNCTION("""COMPUTED_VALUE"""),"C++")</f>
        <v>C++</v>
      </c>
      <c r="J2313" s="9" t="str">
        <f>IFERROR(__xludf.DUMMYFUNCTION("""COMPUTED_VALUE"""),"C++")</f>
        <v>C++</v>
      </c>
      <c r="K2313" s="9" t="str">
        <f>IFERROR(__xludf.DUMMYFUNCTION("""COMPUTED_VALUE"""),"R")</f>
        <v>R</v>
      </c>
      <c r="L2313" s="9" t="str">
        <f>IFERROR(__xludf.DUMMYFUNCTION("""COMPUTED_VALUE"""),"Bash/Shell/PowerShell")</f>
        <v>Bash/Shell/PowerShell</v>
      </c>
      <c r="M2313" s="9" t="s">
        <v>24</v>
      </c>
    </row>
    <row r="2314" ht="15.75" customHeight="1">
      <c r="A2314" s="7"/>
      <c r="B2314" s="7" t="str">
        <f>IFERROR(__xludf.DUMMYFUNCTION("""COMPUTED_VALUE"""),"Clojure;JavaScript;Ruby;SQL;Other(s):")</f>
        <v>Clojure;JavaScript;Ruby;SQL;Other(s):</v>
      </c>
      <c r="C2314" s="9" t="str">
        <f>IFERROR(__xludf.DUMMYFUNCTION("""COMPUTED_VALUE"""),"JavaScript")</f>
        <v>JavaScript</v>
      </c>
      <c r="D2314" s="9" t="str">
        <f>IFERROR(__xludf.DUMMYFUNCTION("""COMPUTED_VALUE"""),"Java")</f>
        <v>Java</v>
      </c>
      <c r="E2314" s="9" t="str">
        <f>IFERROR(__xludf.DUMMYFUNCTION("""COMPUTED_VALUE"""),"HTML/CSS")</f>
        <v>HTML/CSS</v>
      </c>
      <c r="F2314" s="9" t="str">
        <f>IFERROR(__xludf.DUMMYFUNCTION("""COMPUTED_VALUE"""),"Bash/Shell/PowerShell")</f>
        <v>Bash/Shell/PowerShell</v>
      </c>
      <c r="G2314" s="9" t="str">
        <f>IFERROR(__xludf.DUMMYFUNCTION("""COMPUTED_VALUE"""),"JavaScript")</f>
        <v>JavaScript</v>
      </c>
      <c r="H2314" s="9" t="str">
        <f>IFERROR(__xludf.DUMMYFUNCTION("""COMPUTED_VALUE"""),"HTML/CSS")</f>
        <v>HTML/CSS</v>
      </c>
      <c r="I2314" s="9" t="str">
        <f>IFERROR(__xludf.DUMMYFUNCTION("""COMPUTED_VALUE"""),"C#")</f>
        <v>C#</v>
      </c>
      <c r="J2314" s="9" t="str">
        <f>IFERROR(__xludf.DUMMYFUNCTION("""COMPUTED_VALUE"""),"HTML/CSS")</f>
        <v>HTML/CSS</v>
      </c>
      <c r="K2314" s="9" t="str">
        <f>IFERROR(__xludf.DUMMYFUNCTION("""COMPUTED_VALUE"""),"SQL")</f>
        <v>SQL</v>
      </c>
      <c r="L2314" s="9" t="str">
        <f>IFERROR(__xludf.DUMMYFUNCTION("""COMPUTED_VALUE"""),"C++")</f>
        <v>C++</v>
      </c>
      <c r="M2314" s="9" t="s">
        <v>21</v>
      </c>
    </row>
    <row r="2315" ht="15.75" customHeight="1">
      <c r="A2315" s="7"/>
      <c r="B2315" s="7" t="str">
        <f>IFERROR(__xludf.DUMMYFUNCTION("""COMPUTED_VALUE"""),"Java;JavaScript;SQL;TypeScript")</f>
        <v>Java;JavaScript;SQL;TypeScript</v>
      </c>
      <c r="C2315" s="9" t="str">
        <f>IFERROR(__xludf.DUMMYFUNCTION("""COMPUTED_VALUE"""),"PHP")</f>
        <v>PHP</v>
      </c>
      <c r="D2315" s="9" t="str">
        <f>IFERROR(__xludf.DUMMYFUNCTION("""COMPUTED_VALUE"""),"JavaScript")</f>
        <v>JavaScript</v>
      </c>
      <c r="E2315" s="9" t="str">
        <f>IFERROR(__xludf.DUMMYFUNCTION("""COMPUTED_VALUE"""),"JavaScript")</f>
        <v>JavaScript</v>
      </c>
      <c r="F2315" s="9" t="str">
        <f>IFERROR(__xludf.DUMMYFUNCTION("""COMPUTED_VALUE"""),"HTML/CSS")</f>
        <v>HTML/CSS</v>
      </c>
      <c r="G2315" s="9" t="str">
        <f>IFERROR(__xludf.DUMMYFUNCTION("""COMPUTED_VALUE"""),"PHP")</f>
        <v>PHP</v>
      </c>
      <c r="H2315" s="9" t="str">
        <f>IFERROR(__xludf.DUMMYFUNCTION("""COMPUTED_VALUE"""),"Java")</f>
        <v>Java</v>
      </c>
      <c r="I2315" s="9" t="str">
        <f>IFERROR(__xludf.DUMMYFUNCTION("""COMPUTED_VALUE"""),"Java")</f>
        <v>Java</v>
      </c>
      <c r="J2315" s="9" t="str">
        <f>IFERROR(__xludf.DUMMYFUNCTION("""COMPUTED_VALUE"""),"Java")</f>
        <v>Java</v>
      </c>
      <c r="K2315" s="9" t="str">
        <f>IFERROR(__xludf.DUMMYFUNCTION("""COMPUTED_VALUE"""),"C++")</f>
        <v>C++</v>
      </c>
      <c r="L2315" s="9" t="str">
        <f>IFERROR(__xludf.DUMMYFUNCTION("""COMPUTED_VALUE"""),"C#")</f>
        <v>C#</v>
      </c>
      <c r="M2315" s="9" t="s">
        <v>37</v>
      </c>
    </row>
    <row r="2316" ht="15.75" customHeight="1">
      <c r="A2316" s="7"/>
      <c r="B2316" s="7" t="str">
        <f>IFERROR(__xludf.DUMMYFUNCTION("""COMPUTED_VALUE"""),"Bash/Shell/PowerShell;C#;HTML/CSS;JavaScript;Python;SQL")</f>
        <v>Bash/Shell/PowerShell;C#;HTML/CSS;JavaScript;Python;SQL</v>
      </c>
      <c r="C2316" s="9" t="str">
        <f>IFERROR(__xludf.DUMMYFUNCTION("""COMPUTED_VALUE"""),"Python")</f>
        <v>Python</v>
      </c>
      <c r="D2316" s="9" t="str">
        <f>IFERROR(__xludf.DUMMYFUNCTION("""COMPUTED_VALUE"""),"HTML/CSS")</f>
        <v>HTML/CSS</v>
      </c>
      <c r="E2316" s="9" t="str">
        <f>IFERROR(__xludf.DUMMYFUNCTION("""COMPUTED_VALUE"""),"SQL")</f>
        <v>SQL</v>
      </c>
      <c r="F2316" s="9" t="str">
        <f>IFERROR(__xludf.DUMMYFUNCTION("""COMPUTED_VALUE"""),"JavaScript")</f>
        <v>JavaScript</v>
      </c>
      <c r="G2316" s="9" t="str">
        <f>IFERROR(__xludf.DUMMYFUNCTION("""COMPUTED_VALUE"""),"Python")</f>
        <v>Python</v>
      </c>
      <c r="H2316" s="9" t="str">
        <f>IFERROR(__xludf.DUMMYFUNCTION("""COMPUTED_VALUE"""),"JavaScript")</f>
        <v>JavaScript</v>
      </c>
      <c r="I2316" s="9" t="str">
        <f>IFERROR(__xludf.DUMMYFUNCTION("""COMPUTED_VALUE"""),"C")</f>
        <v>C</v>
      </c>
      <c r="J2316" s="9" t="str">
        <f>IFERROR(__xludf.DUMMYFUNCTION("""COMPUTED_VALUE"""),"SQL")</f>
        <v>SQL</v>
      </c>
      <c r="K2316" s="9" t="str">
        <f>IFERROR(__xludf.DUMMYFUNCTION("""COMPUTED_VALUE"""),"C#")</f>
        <v>C#</v>
      </c>
      <c r="L2316" s="9" t="str">
        <f>IFERROR(__xludf.DUMMYFUNCTION("""COMPUTED_VALUE"""),"HTML/CSS")</f>
        <v>HTML/CSS</v>
      </c>
      <c r="M2316" s="9" t="s">
        <v>22</v>
      </c>
    </row>
    <row r="2317" ht="15.75" customHeight="1">
      <c r="A2317" s="7"/>
      <c r="B2317" s="7" t="str">
        <f>IFERROR(__xludf.DUMMYFUNCTION("""COMPUTED_VALUE"""),"HTML/CSS;JavaScript")</f>
        <v>HTML/CSS;JavaScript</v>
      </c>
      <c r="C2317" s="9" t="str">
        <f>IFERROR(__xludf.DUMMYFUNCTION("""COMPUTED_VALUE"""),"SQL")</f>
        <v>SQL</v>
      </c>
      <c r="D2317" s="9" t="str">
        <f>IFERROR(__xludf.DUMMYFUNCTION("""COMPUTED_VALUE"""),"JavaScript")</f>
        <v>JavaScript</v>
      </c>
      <c r="E2317" s="9" t="str">
        <f>IFERROR(__xludf.DUMMYFUNCTION("""COMPUTED_VALUE"""),"Go")</f>
        <v>Go</v>
      </c>
      <c r="F2317" s="9" t="str">
        <f>IFERROR(__xludf.DUMMYFUNCTION("""COMPUTED_VALUE"""),"PHP")</f>
        <v>PHP</v>
      </c>
      <c r="G2317" s="9" t="str">
        <f>IFERROR(__xludf.DUMMYFUNCTION("""COMPUTED_VALUE"""),"HTML/CSS")</f>
        <v>HTML/CSS</v>
      </c>
      <c r="H2317" s="9" t="str">
        <f>IFERROR(__xludf.DUMMYFUNCTION("""COMPUTED_VALUE"""),"SQL")</f>
        <v>SQL</v>
      </c>
      <c r="I2317" s="9" t="str">
        <f>IFERROR(__xludf.DUMMYFUNCTION("""COMPUTED_VALUE"""),"C#")</f>
        <v>C#</v>
      </c>
      <c r="J2317" s="9" t="str">
        <f>IFERROR(__xludf.DUMMYFUNCTION("""COMPUTED_VALUE"""),"Java")</f>
        <v>Java</v>
      </c>
      <c r="K2317" s="9" t="str">
        <f>IFERROR(__xludf.DUMMYFUNCTION("""COMPUTED_VALUE"""),"HTML/CSS")</f>
        <v>HTML/CSS</v>
      </c>
      <c r="L2317" s="9" t="str">
        <f>IFERROR(__xludf.DUMMYFUNCTION("""COMPUTED_VALUE"""),"JavaScript")</f>
        <v>JavaScript</v>
      </c>
      <c r="M2317" s="9" t="s">
        <v>27</v>
      </c>
    </row>
    <row r="2318" ht="15.75" customHeight="1">
      <c r="A2318" s="7"/>
      <c r="B2318" s="7" t="str">
        <f>IFERROR(__xludf.DUMMYFUNCTION("""COMPUTED_VALUE"""),"C;Python;R;Ruby;SQL;VBA")</f>
        <v>C;Python;R;Ruby;SQL;VBA</v>
      </c>
      <c r="C2318" s="9" t="str">
        <f>IFERROR(__xludf.DUMMYFUNCTION("""COMPUTED_VALUE"""),"C#")</f>
        <v>C#</v>
      </c>
      <c r="D2318" s="9" t="str">
        <f>IFERROR(__xludf.DUMMYFUNCTION("""COMPUTED_VALUE"""),"PHP")</f>
        <v>PHP</v>
      </c>
      <c r="E2318" s="9" t="str">
        <f>IFERROR(__xludf.DUMMYFUNCTION("""COMPUTED_VALUE"""),"HTML/CSS")</f>
        <v>HTML/CSS</v>
      </c>
      <c r="F2318" s="9" t="str">
        <f>IFERROR(__xludf.DUMMYFUNCTION("""COMPUTED_VALUE"""),"Python")</f>
        <v>Python</v>
      </c>
      <c r="G2318" s="9" t="str">
        <f>IFERROR(__xludf.DUMMYFUNCTION("""COMPUTED_VALUE"""),"Java")</f>
        <v>Java</v>
      </c>
      <c r="H2318" s="9" t="str">
        <f>IFERROR(__xludf.DUMMYFUNCTION("""COMPUTED_VALUE"""),"VBA")</f>
        <v>VBA</v>
      </c>
      <c r="I2318" s="9" t="str">
        <f>IFERROR(__xludf.DUMMYFUNCTION("""COMPUTED_VALUE"""),"HTML/CSS")</f>
        <v>HTML/CSS</v>
      </c>
      <c r="J2318" s="9" t="str">
        <f>IFERROR(__xludf.DUMMYFUNCTION("""COMPUTED_VALUE"""),"Bash/Shell/PowerShell")</f>
        <v>Bash/Shell/PowerShell</v>
      </c>
      <c r="K2318" s="9" t="str">
        <f>IFERROR(__xludf.DUMMYFUNCTION("""COMPUTED_VALUE"""),"JavaScript")</f>
        <v>JavaScript</v>
      </c>
      <c r="L2318" s="9" t="str">
        <f>IFERROR(__xludf.DUMMYFUNCTION("""COMPUTED_VALUE"""),"Python")</f>
        <v>Python</v>
      </c>
      <c r="M2318" s="9" t="s">
        <v>26</v>
      </c>
    </row>
    <row r="2319" ht="15.75" customHeight="1">
      <c r="A2319" s="7"/>
      <c r="B2319" s="7" t="str">
        <f>IFERROR(__xludf.DUMMYFUNCTION("""COMPUTED_VALUE"""),"Java;Ruby;Scala")</f>
        <v>Java;Ruby;Scala</v>
      </c>
      <c r="C2319" s="9" t="str">
        <f>IFERROR(__xludf.DUMMYFUNCTION("""COMPUTED_VALUE"""),"JavaScript")</f>
        <v>JavaScript</v>
      </c>
      <c r="D2319" s="9" t="str">
        <f>IFERROR(__xludf.DUMMYFUNCTION("""COMPUTED_VALUE"""),"Other(s):")</f>
        <v>Other(s):</v>
      </c>
      <c r="E2319" s="9" t="str">
        <f>IFERROR(__xludf.DUMMYFUNCTION("""COMPUTED_VALUE"""),"JavaScript")</f>
        <v>JavaScript</v>
      </c>
      <c r="F2319" s="9" t="str">
        <f>IFERROR(__xludf.DUMMYFUNCTION("""COMPUTED_VALUE"""),"Elixir")</f>
        <v>Elixir</v>
      </c>
      <c r="G2319" s="9" t="str">
        <f>IFERROR(__xludf.DUMMYFUNCTION("""COMPUTED_VALUE"""),"JavaScript")</f>
        <v>JavaScript</v>
      </c>
      <c r="H2319" s="9" t="str">
        <f>IFERROR(__xludf.DUMMYFUNCTION("""COMPUTED_VALUE"""),"Dart")</f>
        <v>Dart</v>
      </c>
      <c r="I2319" s="9" t="str">
        <f>IFERROR(__xludf.DUMMYFUNCTION("""COMPUTED_VALUE"""),"Java")</f>
        <v>Java</v>
      </c>
      <c r="J2319" s="9" t="str">
        <f>IFERROR(__xludf.DUMMYFUNCTION("""COMPUTED_VALUE"""),"HTML/CSS")</f>
        <v>HTML/CSS</v>
      </c>
      <c r="K2319" s="9" t="str">
        <f>IFERROR(__xludf.DUMMYFUNCTION("""COMPUTED_VALUE"""),"PHP")</f>
        <v>PHP</v>
      </c>
      <c r="L2319" s="9" t="str">
        <f>IFERROR(__xludf.DUMMYFUNCTION("""COMPUTED_VALUE"""),"HTML/CSS")</f>
        <v>HTML/CSS</v>
      </c>
      <c r="M2319" s="9" t="s">
        <v>21</v>
      </c>
    </row>
    <row r="2320" ht="15.75" customHeight="1">
      <c r="A2320" s="7"/>
      <c r="B2320" s="7" t="str">
        <f>IFERROR(__xludf.DUMMYFUNCTION("""COMPUTED_VALUE"""),"C#;Python;SQL")</f>
        <v>C#;Python;SQL</v>
      </c>
      <c r="C2320" s="9" t="str">
        <f>IFERROR(__xludf.DUMMYFUNCTION("""COMPUTED_VALUE"""),"Java")</f>
        <v>Java</v>
      </c>
      <c r="D2320" s="9" t="str">
        <f>IFERROR(__xludf.DUMMYFUNCTION("""COMPUTED_VALUE"""),"Clojure")</f>
        <v>Clojure</v>
      </c>
      <c r="E2320" s="9" t="str">
        <f>IFERROR(__xludf.DUMMYFUNCTION("""COMPUTED_VALUE"""),"PHP")</f>
        <v>PHP</v>
      </c>
      <c r="F2320" s="9" t="str">
        <f>IFERROR(__xludf.DUMMYFUNCTION("""COMPUTED_VALUE"""),"HTML/CSS")</f>
        <v>HTML/CSS</v>
      </c>
      <c r="G2320" s="9" t="str">
        <f>IFERROR(__xludf.DUMMYFUNCTION("""COMPUTED_VALUE"""),"PHP")</f>
        <v>PHP</v>
      </c>
      <c r="H2320" s="9" t="str">
        <f>IFERROR(__xludf.DUMMYFUNCTION("""COMPUTED_VALUE"""),"HTML/CSS")</f>
        <v>HTML/CSS</v>
      </c>
      <c r="I2320" s="9" t="str">
        <f>IFERROR(__xludf.DUMMYFUNCTION("""COMPUTED_VALUE"""),"JavaScript")</f>
        <v>JavaScript</v>
      </c>
      <c r="J2320" s="9" t="str">
        <f>IFERROR(__xludf.DUMMYFUNCTION("""COMPUTED_VALUE"""),"Java")</f>
        <v>Java</v>
      </c>
      <c r="K2320" s="9" t="str">
        <f>IFERROR(__xludf.DUMMYFUNCTION("""COMPUTED_VALUE"""),"HTML/CSS")</f>
        <v>HTML/CSS</v>
      </c>
      <c r="L2320" s="9" t="str">
        <f>IFERROR(__xludf.DUMMYFUNCTION("""COMPUTED_VALUE"""),"JavaScript")</f>
        <v>JavaScript</v>
      </c>
      <c r="M2320" s="9" t="s">
        <v>20</v>
      </c>
    </row>
    <row r="2321" ht="15.75" customHeight="1">
      <c r="A2321" s="7"/>
      <c r="B2321" s="7" t="str">
        <f>IFERROR(__xludf.DUMMYFUNCTION("""COMPUTED_VALUE"""),"C#;HTML/CSS;JavaScript;Objective-C;PHP;Swift")</f>
        <v>C#;HTML/CSS;JavaScript;Objective-C;PHP;Swift</v>
      </c>
      <c r="C2321" s="9" t="str">
        <f>IFERROR(__xludf.DUMMYFUNCTION("""COMPUTED_VALUE"""),"JavaScript")</f>
        <v>JavaScript</v>
      </c>
      <c r="D2321" s="9" t="str">
        <f>IFERROR(__xludf.DUMMYFUNCTION("""COMPUTED_VALUE"""),"Java")</f>
        <v>Java</v>
      </c>
      <c r="E2321" s="9" t="str">
        <f>IFERROR(__xludf.DUMMYFUNCTION("""COMPUTED_VALUE"""),"TypeScript")</f>
        <v>TypeScript</v>
      </c>
      <c r="F2321" s="9" t="str">
        <f>IFERROR(__xludf.DUMMYFUNCTION("""COMPUTED_VALUE"""),"JavaScript")</f>
        <v>JavaScript</v>
      </c>
      <c r="G2321" s="9" t="str">
        <f>IFERROR(__xludf.DUMMYFUNCTION("""COMPUTED_VALUE"""),"Python")</f>
        <v>Python</v>
      </c>
      <c r="H2321" s="9" t="str">
        <f>IFERROR(__xludf.DUMMYFUNCTION("""COMPUTED_VALUE"""),"JavaScript")</f>
        <v>JavaScript</v>
      </c>
      <c r="I2321" s="9" t="str">
        <f>IFERROR(__xludf.DUMMYFUNCTION("""COMPUTED_VALUE"""),"PHP")</f>
        <v>PHP</v>
      </c>
      <c r="J2321" s="9" t="str">
        <f>IFERROR(__xludf.DUMMYFUNCTION("""COMPUTED_VALUE"""),"JavaScript")</f>
        <v>JavaScript</v>
      </c>
      <c r="K2321" s="9" t="str">
        <f>IFERROR(__xludf.DUMMYFUNCTION("""COMPUTED_VALUE"""),"JavaScript")</f>
        <v>JavaScript</v>
      </c>
      <c r="L2321" s="9" t="str">
        <f>IFERROR(__xludf.DUMMYFUNCTION("""COMPUTED_VALUE"""),"PHP")</f>
        <v>PHP</v>
      </c>
      <c r="M2321" s="9" t="s">
        <v>21</v>
      </c>
    </row>
    <row r="2322" ht="15.75" customHeight="1">
      <c r="A2322" s="7"/>
      <c r="B2322" s="7" t="str">
        <f>IFERROR(__xludf.DUMMYFUNCTION("""COMPUTED_VALUE"""),"C;HTML/CSS")</f>
        <v>C;HTML/CSS</v>
      </c>
      <c r="C2322" s="9" t="str">
        <f>IFERROR(__xludf.DUMMYFUNCTION("""COMPUTED_VALUE"""),"Other(s):")</f>
        <v>Other(s):</v>
      </c>
      <c r="D2322" s="9" t="str">
        <f>IFERROR(__xludf.DUMMYFUNCTION("""COMPUTED_VALUE"""),"Scala")</f>
        <v>Scala</v>
      </c>
      <c r="E2322" s="9" t="str">
        <f>IFERROR(__xludf.DUMMYFUNCTION("""COMPUTED_VALUE"""),"C")</f>
        <v>C</v>
      </c>
      <c r="F2322" s="9" t="str">
        <f>IFERROR(__xludf.DUMMYFUNCTION("""COMPUTED_VALUE"""),"SQL")</f>
        <v>SQL</v>
      </c>
      <c r="G2322" s="9" t="str">
        <f>IFERROR(__xludf.DUMMYFUNCTION("""COMPUTED_VALUE"""),"R")</f>
        <v>R</v>
      </c>
      <c r="H2322" s="9" t="str">
        <f>IFERROR(__xludf.DUMMYFUNCTION("""COMPUTED_VALUE"""),"PHP")</f>
        <v>PHP</v>
      </c>
      <c r="I2322" s="9" t="str">
        <f>IFERROR(__xludf.DUMMYFUNCTION("""COMPUTED_VALUE"""),"Python")</f>
        <v>Python</v>
      </c>
      <c r="J2322" s="9" t="str">
        <f>IFERROR(__xludf.DUMMYFUNCTION("""COMPUTED_VALUE"""),"Kotlin")</f>
        <v>Kotlin</v>
      </c>
      <c r="K2322" s="9" t="str">
        <f>IFERROR(__xludf.DUMMYFUNCTION("""COMPUTED_VALUE"""),"PHP")</f>
        <v>PHP</v>
      </c>
      <c r="L2322" s="9" t="str">
        <f>IFERROR(__xludf.DUMMYFUNCTION("""COMPUTED_VALUE"""),"Ruby")</f>
        <v>Ruby</v>
      </c>
      <c r="M2322" s="9" t="s">
        <v>35</v>
      </c>
    </row>
    <row r="2323" ht="15.75" customHeight="1">
      <c r="A2323" s="7"/>
      <c r="B2323" s="7" t="str">
        <f>IFERROR(__xludf.DUMMYFUNCTION("""COMPUTED_VALUE"""),"C++;HTML/CSS;Java;JavaScript;Python")</f>
        <v>C++;HTML/CSS;Java;JavaScript;Python</v>
      </c>
      <c r="C2323" s="9" t="str">
        <f>IFERROR(__xludf.DUMMYFUNCTION("""COMPUTED_VALUE"""),"C#")</f>
        <v>C#</v>
      </c>
      <c r="D2323" s="9" t="str">
        <f>IFERROR(__xludf.DUMMYFUNCTION("""COMPUTED_VALUE"""),"HTML/CSS")</f>
        <v>HTML/CSS</v>
      </c>
      <c r="E2323" s="9" t="str">
        <f>IFERROR(__xludf.DUMMYFUNCTION("""COMPUTED_VALUE"""),"C#")</f>
        <v>C#</v>
      </c>
      <c r="F2323" s="9" t="str">
        <f>IFERROR(__xludf.DUMMYFUNCTION("""COMPUTED_VALUE"""),"TypeScript")</f>
        <v>TypeScript</v>
      </c>
      <c r="G2323" s="9" t="str">
        <f>IFERROR(__xludf.DUMMYFUNCTION("""COMPUTED_VALUE"""),"SQL")</f>
        <v>SQL</v>
      </c>
      <c r="H2323" s="9" t="str">
        <f>IFERROR(__xludf.DUMMYFUNCTION("""COMPUTED_VALUE"""),"HTML/CSS")</f>
        <v>HTML/CSS</v>
      </c>
      <c r="I2323" s="9" t="str">
        <f>IFERROR(__xludf.DUMMYFUNCTION("""COMPUTED_VALUE"""),"SQL")</f>
        <v>SQL</v>
      </c>
      <c r="J2323" s="9" t="str">
        <f>IFERROR(__xludf.DUMMYFUNCTION("""COMPUTED_VALUE"""),"Python")</f>
        <v>Python</v>
      </c>
      <c r="K2323" s="9" t="str">
        <f>IFERROR(__xludf.DUMMYFUNCTION("""COMPUTED_VALUE"""),"SQL")</f>
        <v>SQL</v>
      </c>
      <c r="L2323" s="9" t="str">
        <f>IFERROR(__xludf.DUMMYFUNCTION("""COMPUTED_VALUE"""),"Java")</f>
        <v>Java</v>
      </c>
      <c r="M2323" s="9" t="s">
        <v>26</v>
      </c>
    </row>
    <row r="2324" ht="15.75" customHeight="1">
      <c r="A2324" s="7"/>
      <c r="B2324" s="7" t="str">
        <f>IFERROR(__xludf.DUMMYFUNCTION("""COMPUTED_VALUE"""),"Objective-C;Swift")</f>
        <v>Objective-C;Swift</v>
      </c>
      <c r="C2324" s="9" t="str">
        <f>IFERROR(__xludf.DUMMYFUNCTION("""COMPUTED_VALUE"""),"HTML/CSS")</f>
        <v>HTML/CSS</v>
      </c>
      <c r="D2324" s="9" t="str">
        <f>IFERROR(__xludf.DUMMYFUNCTION("""COMPUTED_VALUE"""),"Java")</f>
        <v>Java</v>
      </c>
      <c r="E2324" s="9" t="str">
        <f>IFERROR(__xludf.DUMMYFUNCTION("""COMPUTED_VALUE"""),"Java")</f>
        <v>Java</v>
      </c>
      <c r="F2324" s="9" t="str">
        <f>IFERROR(__xludf.DUMMYFUNCTION("""COMPUTED_VALUE"""),"Bash/Shell/PowerShell")</f>
        <v>Bash/Shell/PowerShell</v>
      </c>
      <c r="G2324" s="9" t="str">
        <f>IFERROR(__xludf.DUMMYFUNCTION("""COMPUTED_VALUE"""),"Bash/Shell/PowerShell")</f>
        <v>Bash/Shell/PowerShell</v>
      </c>
      <c r="H2324" s="9" t="str">
        <f>IFERROR(__xludf.DUMMYFUNCTION("""COMPUTED_VALUE"""),"Java")</f>
        <v>Java</v>
      </c>
      <c r="I2324" s="9" t="str">
        <f>IFERROR(__xludf.DUMMYFUNCTION("""COMPUTED_VALUE"""),"Dart")</f>
        <v>Dart</v>
      </c>
      <c r="J2324" s="9" t="str">
        <f>IFERROR(__xludf.DUMMYFUNCTION("""COMPUTED_VALUE"""),"Bash/Shell/PowerShell")</f>
        <v>Bash/Shell/PowerShell</v>
      </c>
      <c r="K2324" s="9" t="str">
        <f>IFERROR(__xludf.DUMMYFUNCTION("""COMPUTED_VALUE"""),"HTML/CSS")</f>
        <v>HTML/CSS</v>
      </c>
      <c r="L2324" s="9" t="str">
        <f>IFERROR(__xludf.DUMMYFUNCTION("""COMPUTED_VALUE"""),"C")</f>
        <v>C</v>
      </c>
      <c r="M2324" s="9" t="s">
        <v>24</v>
      </c>
    </row>
    <row r="2325" ht="15.75" customHeight="1">
      <c r="A2325" s="7"/>
      <c r="B2325" s="7" t="str">
        <f>IFERROR(__xludf.DUMMYFUNCTION("""COMPUTED_VALUE"""),"C;C++;Python;Other(s):")</f>
        <v>C;C++;Python;Other(s):</v>
      </c>
      <c r="C2325" s="9" t="str">
        <f>IFERROR(__xludf.DUMMYFUNCTION("""COMPUTED_VALUE"""),"JavaScript")</f>
        <v>JavaScript</v>
      </c>
      <c r="D2325" s="9" t="str">
        <f>IFERROR(__xludf.DUMMYFUNCTION("""COMPUTED_VALUE"""),"Java")</f>
        <v>Java</v>
      </c>
      <c r="E2325" s="9" t="str">
        <f>IFERROR(__xludf.DUMMYFUNCTION("""COMPUTED_VALUE"""),"Kotlin")</f>
        <v>Kotlin</v>
      </c>
      <c r="F2325" s="9" t="str">
        <f>IFERROR(__xludf.DUMMYFUNCTION("""COMPUTED_VALUE"""),"Go")</f>
        <v>Go</v>
      </c>
      <c r="G2325" s="9" t="str">
        <f>IFERROR(__xludf.DUMMYFUNCTION("""COMPUTED_VALUE"""),"C#")</f>
        <v>C#</v>
      </c>
      <c r="H2325" s="9" t="str">
        <f>IFERROR(__xludf.DUMMYFUNCTION("""COMPUTED_VALUE"""),"JavaScript")</f>
        <v>JavaScript</v>
      </c>
      <c r="I2325" s="9" t="str">
        <f>IFERROR(__xludf.DUMMYFUNCTION("""COMPUTED_VALUE"""),"HTML/CSS")</f>
        <v>HTML/CSS</v>
      </c>
      <c r="J2325" s="9" t="str">
        <f>IFERROR(__xludf.DUMMYFUNCTION("""COMPUTED_VALUE"""),"C++")</f>
        <v>C++</v>
      </c>
      <c r="K2325" s="9" t="str">
        <f>IFERROR(__xludf.DUMMYFUNCTION("""COMPUTED_VALUE"""),"Java")</f>
        <v>Java</v>
      </c>
      <c r="L2325" s="9" t="str">
        <f>IFERROR(__xludf.DUMMYFUNCTION("""COMPUTED_VALUE"""),"C++")</f>
        <v>C++</v>
      </c>
      <c r="M2325" s="9" t="s">
        <v>21</v>
      </c>
    </row>
    <row r="2326" ht="15.75" customHeight="1">
      <c r="A2326" s="7"/>
      <c r="B2326" s="7" t="str">
        <f>IFERROR(__xludf.DUMMYFUNCTION("""COMPUTED_VALUE"""),"HTML/CSS;JavaScript;PHP;SQL")</f>
        <v>HTML/CSS;JavaScript;PHP;SQL</v>
      </c>
      <c r="C2326" s="9" t="str">
        <f>IFERROR(__xludf.DUMMYFUNCTION("""COMPUTED_VALUE"""),"PHP")</f>
        <v>PHP</v>
      </c>
      <c r="D2326" s="9" t="str">
        <f>IFERROR(__xludf.DUMMYFUNCTION("""COMPUTED_VALUE"""),"Bash/Shell/PowerShell")</f>
        <v>Bash/Shell/PowerShell</v>
      </c>
      <c r="E2326" s="9" t="str">
        <f>IFERROR(__xludf.DUMMYFUNCTION("""COMPUTED_VALUE"""),"Bash/Shell/PowerShell")</f>
        <v>Bash/Shell/PowerShell</v>
      </c>
      <c r="F2326" s="9" t="str">
        <f>IFERROR(__xludf.DUMMYFUNCTION("""COMPUTED_VALUE"""),"HTML/CSS")</f>
        <v>HTML/CSS</v>
      </c>
      <c r="G2326" s="9" t="str">
        <f>IFERROR(__xludf.DUMMYFUNCTION("""COMPUTED_VALUE"""),"HTML/CSS")</f>
        <v>HTML/CSS</v>
      </c>
      <c r="H2326" s="9" t="str">
        <f>IFERROR(__xludf.DUMMYFUNCTION("""COMPUTED_VALUE"""),"Python")</f>
        <v>Python</v>
      </c>
      <c r="I2326" s="9" t="str">
        <f>IFERROR(__xludf.DUMMYFUNCTION("""COMPUTED_VALUE"""),"Java")</f>
        <v>Java</v>
      </c>
      <c r="J2326" s="9" t="str">
        <f>IFERROR(__xludf.DUMMYFUNCTION("""COMPUTED_VALUE"""),"C#")</f>
        <v>C#</v>
      </c>
      <c r="K2326" s="9" t="str">
        <f>IFERROR(__xludf.DUMMYFUNCTION("""COMPUTED_VALUE"""),"JavaScript")</f>
        <v>JavaScript</v>
      </c>
      <c r="L2326" s="9" t="str">
        <f>IFERROR(__xludf.DUMMYFUNCTION("""COMPUTED_VALUE"""),"Java")</f>
        <v>Java</v>
      </c>
      <c r="M2326" s="9" t="s">
        <v>37</v>
      </c>
    </row>
    <row r="2327" ht="15.75" customHeight="1">
      <c r="A2327" s="7"/>
      <c r="B2327" s="7" t="str">
        <f>IFERROR(__xludf.DUMMYFUNCTION("""COMPUTED_VALUE"""),"C#;PHP;SQL")</f>
        <v>C#;PHP;SQL</v>
      </c>
      <c r="C2327" s="9" t="str">
        <f>IFERROR(__xludf.DUMMYFUNCTION("""COMPUTED_VALUE"""),"TypeScript")</f>
        <v>TypeScript</v>
      </c>
      <c r="D2327" s="9" t="str">
        <f>IFERROR(__xludf.DUMMYFUNCTION("""COMPUTED_VALUE"""),"C")</f>
        <v>C</v>
      </c>
      <c r="E2327" s="9" t="str">
        <f>IFERROR(__xludf.DUMMYFUNCTION("""COMPUTED_VALUE"""),"HTML/CSS")</f>
        <v>HTML/CSS</v>
      </c>
      <c r="F2327" s="9" t="str">
        <f>IFERROR(__xludf.DUMMYFUNCTION("""COMPUTED_VALUE"""),"Java")</f>
        <v>Java</v>
      </c>
      <c r="G2327" s="9" t="str">
        <f>IFERROR(__xludf.DUMMYFUNCTION("""COMPUTED_VALUE"""),"JavaScript")</f>
        <v>JavaScript</v>
      </c>
      <c r="H2327" s="9" t="str">
        <f>IFERROR(__xludf.DUMMYFUNCTION("""COMPUTED_VALUE"""),"Ruby")</f>
        <v>Ruby</v>
      </c>
      <c r="I2327" s="9" t="str">
        <f>IFERROR(__xludf.DUMMYFUNCTION("""COMPUTED_VALUE"""),"JavaScript")</f>
        <v>JavaScript</v>
      </c>
      <c r="J2327" s="9" t="str">
        <f>IFERROR(__xludf.DUMMYFUNCTION("""COMPUTED_VALUE"""),"HTML/CSS")</f>
        <v>HTML/CSS</v>
      </c>
      <c r="K2327" s="9" t="str">
        <f>IFERROR(__xludf.DUMMYFUNCTION("""COMPUTED_VALUE"""),"SQL")</f>
        <v>SQL</v>
      </c>
      <c r="L2327" s="9" t="str">
        <f>IFERROR(__xludf.DUMMYFUNCTION("""COMPUTED_VALUE"""),"Python")</f>
        <v>Python</v>
      </c>
      <c r="M2327" s="9" t="s">
        <v>33</v>
      </c>
    </row>
    <row r="2328" ht="15.75" customHeight="1">
      <c r="A2328" s="7"/>
      <c r="B2328" s="7" t="str">
        <f>IFERROR(__xludf.DUMMYFUNCTION("""COMPUTED_VALUE"""),"Java")</f>
        <v>Java</v>
      </c>
      <c r="C2328" s="9" t="str">
        <f>IFERROR(__xludf.DUMMYFUNCTION("""COMPUTED_VALUE"""),"HTML/CSS")</f>
        <v>HTML/CSS</v>
      </c>
      <c r="D2328" s="9" t="str">
        <f>IFERROR(__xludf.DUMMYFUNCTION("""COMPUTED_VALUE"""),"C++")</f>
        <v>C++</v>
      </c>
      <c r="E2328" s="9" t="str">
        <f>IFERROR(__xludf.DUMMYFUNCTION("""COMPUTED_VALUE"""),"JavaScript")</f>
        <v>JavaScript</v>
      </c>
      <c r="F2328" s="9" t="str">
        <f>IFERROR(__xludf.DUMMYFUNCTION("""COMPUTED_VALUE"""),"JavaScript")</f>
        <v>JavaScript</v>
      </c>
      <c r="G2328" s="9" t="str">
        <f>IFERROR(__xludf.DUMMYFUNCTION("""COMPUTED_VALUE"""),"SQL")</f>
        <v>SQL</v>
      </c>
      <c r="H2328" s="9" t="str">
        <f>IFERROR(__xludf.DUMMYFUNCTION("""COMPUTED_VALUE"""),"C#")</f>
        <v>C#</v>
      </c>
      <c r="I2328" s="9" t="str">
        <f>IFERROR(__xludf.DUMMYFUNCTION("""COMPUTED_VALUE"""),"PHP")</f>
        <v>PHP</v>
      </c>
      <c r="J2328" s="9" t="str">
        <f>IFERROR(__xludf.DUMMYFUNCTION("""COMPUTED_VALUE"""),"JavaScript")</f>
        <v>JavaScript</v>
      </c>
      <c r="K2328" s="9" t="str">
        <f>IFERROR(__xludf.DUMMYFUNCTION("""COMPUTED_VALUE"""),"TypeScript")</f>
        <v>TypeScript</v>
      </c>
      <c r="L2328" s="9" t="str">
        <f>IFERROR(__xludf.DUMMYFUNCTION("""COMPUTED_VALUE"""),"R")</f>
        <v>R</v>
      </c>
      <c r="M2328" s="9" t="s">
        <v>24</v>
      </c>
    </row>
    <row r="2329" ht="15.75" customHeight="1">
      <c r="A2329" s="7"/>
      <c r="B2329" s="7" t="str">
        <f>IFERROR(__xludf.DUMMYFUNCTION("""COMPUTED_VALUE"""),"Java;Python")</f>
        <v>Java;Python</v>
      </c>
      <c r="C2329" s="9" t="str">
        <f>IFERROR(__xludf.DUMMYFUNCTION("""COMPUTED_VALUE"""),"JavaScript")</f>
        <v>JavaScript</v>
      </c>
      <c r="D2329" s="9" t="str">
        <f>IFERROR(__xludf.DUMMYFUNCTION("""COMPUTED_VALUE"""),"Clojure")</f>
        <v>Clojure</v>
      </c>
      <c r="E2329" s="9" t="str">
        <f>IFERROR(__xludf.DUMMYFUNCTION("""COMPUTED_VALUE"""),"Ruby")</f>
        <v>Ruby</v>
      </c>
      <c r="F2329" s="9" t="str">
        <f>IFERROR(__xludf.DUMMYFUNCTION("""COMPUTED_VALUE"""),"Kotlin")</f>
        <v>Kotlin</v>
      </c>
      <c r="G2329" s="9" t="str">
        <f>IFERROR(__xludf.DUMMYFUNCTION("""COMPUTED_VALUE"""),"TypeScript")</f>
        <v>TypeScript</v>
      </c>
      <c r="H2329" s="9" t="str">
        <f>IFERROR(__xludf.DUMMYFUNCTION("""COMPUTED_VALUE"""),"Java")</f>
        <v>Java</v>
      </c>
      <c r="I2329" s="9" t="str">
        <f>IFERROR(__xludf.DUMMYFUNCTION("""COMPUTED_VALUE"""),"SQL")</f>
        <v>SQL</v>
      </c>
      <c r="J2329" s="9" t="str">
        <f>IFERROR(__xludf.DUMMYFUNCTION("""COMPUTED_VALUE"""),"Python")</f>
        <v>Python</v>
      </c>
      <c r="K2329" s="9" t="str">
        <f>IFERROR(__xludf.DUMMYFUNCTION("""COMPUTED_VALUE"""),"C#")</f>
        <v>C#</v>
      </c>
      <c r="L2329" s="9" t="str">
        <f>IFERROR(__xludf.DUMMYFUNCTION("""COMPUTED_VALUE"""),"SQL")</f>
        <v>SQL</v>
      </c>
      <c r="M2329" s="9" t="s">
        <v>21</v>
      </c>
    </row>
    <row r="2330" ht="15.75" customHeight="1">
      <c r="A2330" s="7"/>
      <c r="B2330" s="7" t="str">
        <f>IFERROR(__xludf.DUMMYFUNCTION("""COMPUTED_VALUE"""),"Bash/Shell/PowerShell;C#;SQL")</f>
        <v>Bash/Shell/PowerShell;C#;SQL</v>
      </c>
      <c r="C2330" s="9" t="str">
        <f>IFERROR(__xludf.DUMMYFUNCTION("""COMPUTED_VALUE"""),"PHP")</f>
        <v>PHP</v>
      </c>
      <c r="D2330" s="9" t="str">
        <f>IFERROR(__xludf.DUMMYFUNCTION("""COMPUTED_VALUE"""),"HTML/CSS")</f>
        <v>HTML/CSS</v>
      </c>
      <c r="E2330" s="9" t="str">
        <f>IFERROR(__xludf.DUMMYFUNCTION("""COMPUTED_VALUE"""),"SQL")</f>
        <v>SQL</v>
      </c>
      <c r="F2330" s="9" t="str">
        <f>IFERROR(__xludf.DUMMYFUNCTION("""COMPUTED_VALUE"""),"Python")</f>
        <v>Python</v>
      </c>
      <c r="G2330" s="9" t="str">
        <f>IFERROR(__xludf.DUMMYFUNCTION("""COMPUTED_VALUE"""),"HTML/CSS")</f>
        <v>HTML/CSS</v>
      </c>
      <c r="H2330" s="9" t="str">
        <f>IFERROR(__xludf.DUMMYFUNCTION("""COMPUTED_VALUE"""),"JavaScript")</f>
        <v>JavaScript</v>
      </c>
      <c r="I2330" s="9" t="str">
        <f>IFERROR(__xludf.DUMMYFUNCTION("""COMPUTED_VALUE"""),"Assembly")</f>
        <v>Assembly</v>
      </c>
      <c r="J2330" s="9" t="str">
        <f>IFERROR(__xludf.DUMMYFUNCTION("""COMPUTED_VALUE"""),"SQL")</f>
        <v>SQL</v>
      </c>
      <c r="K2330" s="9" t="str">
        <f>IFERROR(__xludf.DUMMYFUNCTION("""COMPUTED_VALUE"""),"HTML/CSS")</f>
        <v>HTML/CSS</v>
      </c>
      <c r="L2330" s="9" t="str">
        <f>IFERROR(__xludf.DUMMYFUNCTION("""COMPUTED_VALUE"""),"C#")</f>
        <v>C#</v>
      </c>
      <c r="M2330" s="9" t="s">
        <v>37</v>
      </c>
    </row>
    <row r="2331" ht="15.75" customHeight="1">
      <c r="A2331" s="7"/>
      <c r="B2331" s="7" t="str">
        <f>IFERROR(__xludf.DUMMYFUNCTION("""COMPUTED_VALUE"""),"HTML/CSS;Java;JavaScript;PHP;Python;SQL;VBA")</f>
        <v>HTML/CSS;Java;JavaScript;PHP;Python;SQL;VBA</v>
      </c>
      <c r="C2331" s="9" t="str">
        <f>IFERROR(__xludf.DUMMYFUNCTION("""COMPUTED_VALUE"""),"Scala")</f>
        <v>Scala</v>
      </c>
      <c r="D2331" s="9" t="str">
        <f>IFERROR(__xludf.DUMMYFUNCTION("""COMPUTED_VALUE"""),"Java")</f>
        <v>Java</v>
      </c>
      <c r="E2331" s="9" t="str">
        <f>IFERROR(__xludf.DUMMYFUNCTION("""COMPUTED_VALUE"""),"JavaScript")</f>
        <v>JavaScript</v>
      </c>
      <c r="F2331" s="9" t="str">
        <f>IFERROR(__xludf.DUMMYFUNCTION("""COMPUTED_VALUE"""),"SQL")</f>
        <v>SQL</v>
      </c>
      <c r="G2331" s="9" t="str">
        <f>IFERROR(__xludf.DUMMYFUNCTION("""COMPUTED_VALUE"""),"Java")</f>
        <v>Java</v>
      </c>
      <c r="H2331" s="9" t="str">
        <f>IFERROR(__xludf.DUMMYFUNCTION("""COMPUTED_VALUE"""),"PHP")</f>
        <v>PHP</v>
      </c>
      <c r="I2331" s="9" t="str">
        <f>IFERROR(__xludf.DUMMYFUNCTION("""COMPUTED_VALUE"""),"HTML/CSS")</f>
        <v>HTML/CSS</v>
      </c>
      <c r="J2331" s="9" t="str">
        <f>IFERROR(__xludf.DUMMYFUNCTION("""COMPUTED_VALUE"""),"JavaScript")</f>
        <v>JavaScript</v>
      </c>
      <c r="K2331" s="9" t="str">
        <f>IFERROR(__xludf.DUMMYFUNCTION("""COMPUTED_VALUE"""),"JavaScript")</f>
        <v>JavaScript</v>
      </c>
      <c r="L2331" s="9" t="str">
        <f>IFERROR(__xludf.DUMMYFUNCTION("""COMPUTED_VALUE"""),"HTML/CSS")</f>
        <v>HTML/CSS</v>
      </c>
      <c r="M2331" s="9" t="s">
        <v>46</v>
      </c>
    </row>
    <row r="2332" ht="15.75" customHeight="1">
      <c r="A2332" s="7"/>
      <c r="B2332" s="7" t="str">
        <f>IFERROR(__xludf.DUMMYFUNCTION("""COMPUTED_VALUE"""),"HTML/CSS;JavaScript;PHP;SQL")</f>
        <v>HTML/CSS;JavaScript;PHP;SQL</v>
      </c>
      <c r="C2332" s="9" t="str">
        <f>IFERROR(__xludf.DUMMYFUNCTION("""COMPUTED_VALUE"""),"Bash/Shell/PowerShell")</f>
        <v>Bash/Shell/PowerShell</v>
      </c>
      <c r="D2332" s="9" t="str">
        <f>IFERROR(__xludf.DUMMYFUNCTION("""COMPUTED_VALUE"""),"JavaScript")</f>
        <v>JavaScript</v>
      </c>
      <c r="E2332" s="9" t="str">
        <f>IFERROR(__xludf.DUMMYFUNCTION("""COMPUTED_VALUE"""),"PHP")</f>
        <v>PHP</v>
      </c>
      <c r="F2332" s="9" t="str">
        <f>IFERROR(__xludf.DUMMYFUNCTION("""COMPUTED_VALUE"""),"HTML/CSS")</f>
        <v>HTML/CSS</v>
      </c>
      <c r="G2332" s="9" t="str">
        <f>IFERROR(__xludf.DUMMYFUNCTION("""COMPUTED_VALUE"""),"JavaScript")</f>
        <v>JavaScript</v>
      </c>
      <c r="H2332" s="9" t="str">
        <f>IFERROR(__xludf.DUMMYFUNCTION("""COMPUTED_VALUE"""),"SQL")</f>
        <v>SQL</v>
      </c>
      <c r="I2332" s="9" t="str">
        <f>IFERROR(__xludf.DUMMYFUNCTION("""COMPUTED_VALUE"""),"Java")</f>
        <v>Java</v>
      </c>
      <c r="J2332" s="9" t="str">
        <f>IFERROR(__xludf.DUMMYFUNCTION("""COMPUTED_VALUE"""),"PHP")</f>
        <v>PHP</v>
      </c>
      <c r="K2332" s="9" t="str">
        <f>IFERROR(__xludf.DUMMYFUNCTION("""COMPUTED_VALUE"""),"SQL")</f>
        <v>SQL</v>
      </c>
      <c r="L2332" s="9" t="str">
        <f>IFERROR(__xludf.DUMMYFUNCTION("""COMPUTED_VALUE"""),"JavaScript")</f>
        <v>JavaScript</v>
      </c>
      <c r="M2332" s="9" t="s">
        <v>30</v>
      </c>
    </row>
    <row r="2333" ht="15.75" customHeight="1">
      <c r="A2333" s="7"/>
      <c r="B2333" s="7" t="str">
        <f>IFERROR(__xludf.DUMMYFUNCTION("""COMPUTED_VALUE"""),"C++;Rust;SQL;TypeScript")</f>
        <v>C++;Rust;SQL;TypeScript</v>
      </c>
      <c r="C2333" s="9" t="str">
        <f>IFERROR(__xludf.DUMMYFUNCTION("""COMPUTED_VALUE"""),"HTML/CSS")</f>
        <v>HTML/CSS</v>
      </c>
      <c r="D2333" s="9" t="str">
        <f>IFERROR(__xludf.DUMMYFUNCTION("""COMPUTED_VALUE"""),"Python")</f>
        <v>Python</v>
      </c>
      <c r="E2333" s="9" t="str">
        <f>IFERROR(__xludf.DUMMYFUNCTION("""COMPUTED_VALUE"""),"SQL")</f>
        <v>SQL</v>
      </c>
      <c r="F2333" s="9" t="str">
        <f>IFERROR(__xludf.DUMMYFUNCTION("""COMPUTED_VALUE"""),"JavaScript")</f>
        <v>JavaScript</v>
      </c>
      <c r="G2333" s="9" t="str">
        <f>IFERROR(__xludf.DUMMYFUNCTION("""COMPUTED_VALUE"""),"Python")</f>
        <v>Python</v>
      </c>
      <c r="H2333" s="9" t="str">
        <f>IFERROR(__xludf.DUMMYFUNCTION("""COMPUTED_VALUE"""),"C++")</f>
        <v>C++</v>
      </c>
      <c r="I2333" s="9" t="str">
        <f>IFERROR(__xludf.DUMMYFUNCTION("""COMPUTED_VALUE"""),"JavaScript")</f>
        <v>JavaScript</v>
      </c>
      <c r="J2333" s="9" t="str">
        <f>IFERROR(__xludf.DUMMYFUNCTION("""COMPUTED_VALUE"""),"C#")</f>
        <v>C#</v>
      </c>
      <c r="K2333" s="9" t="str">
        <f>IFERROR(__xludf.DUMMYFUNCTION("""COMPUTED_VALUE"""),"C#")</f>
        <v>C#</v>
      </c>
      <c r="L2333" s="9" t="str">
        <f>IFERROR(__xludf.DUMMYFUNCTION("""COMPUTED_VALUE"""),"SQL")</f>
        <v>SQL</v>
      </c>
      <c r="M2333" s="9" t="s">
        <v>24</v>
      </c>
    </row>
    <row r="2334" ht="15.75" customHeight="1">
      <c r="A2334" s="7"/>
      <c r="B2334" s="7" t="str">
        <f>IFERROR(__xludf.DUMMYFUNCTION("""COMPUTED_VALUE"""),"Python;SQL")</f>
        <v>Python;SQL</v>
      </c>
      <c r="C2334" s="9" t="str">
        <f>IFERROR(__xludf.DUMMYFUNCTION("""COMPUTED_VALUE"""),"JavaScript")</f>
        <v>JavaScript</v>
      </c>
      <c r="D2334" s="9" t="str">
        <f>IFERROR(__xludf.DUMMYFUNCTION("""COMPUTED_VALUE"""),"SQL")</f>
        <v>SQL</v>
      </c>
      <c r="E2334" s="9" t="str">
        <f>IFERROR(__xludf.DUMMYFUNCTION("""COMPUTED_VALUE"""),"Bash/Shell/PowerShell")</f>
        <v>Bash/Shell/PowerShell</v>
      </c>
      <c r="F2334" s="9" t="str">
        <f>IFERROR(__xludf.DUMMYFUNCTION("""COMPUTED_VALUE"""),"PHP")</f>
        <v>PHP</v>
      </c>
      <c r="G2334" s="9" t="str">
        <f>IFERROR(__xludf.DUMMYFUNCTION("""COMPUTED_VALUE"""),"Ruby")</f>
        <v>Ruby</v>
      </c>
      <c r="H2334" s="9" t="str">
        <f>IFERROR(__xludf.DUMMYFUNCTION("""COMPUTED_VALUE"""),"HTML/CSS")</f>
        <v>HTML/CSS</v>
      </c>
      <c r="I2334" s="9" t="str">
        <f>IFERROR(__xludf.DUMMYFUNCTION("""COMPUTED_VALUE"""),"PHP")</f>
        <v>PHP</v>
      </c>
      <c r="J2334" s="9" t="str">
        <f>IFERROR(__xludf.DUMMYFUNCTION("""COMPUTED_VALUE"""),"JavaScript")</f>
        <v>JavaScript</v>
      </c>
      <c r="K2334" s="9" t="str">
        <f>IFERROR(__xludf.DUMMYFUNCTION("""COMPUTED_VALUE"""),"HTML/CSS")</f>
        <v>HTML/CSS</v>
      </c>
      <c r="L2334" s="9" t="str">
        <f>IFERROR(__xludf.DUMMYFUNCTION("""COMPUTED_VALUE"""),"C#")</f>
        <v>C#</v>
      </c>
      <c r="M2334" s="9" t="s">
        <v>21</v>
      </c>
    </row>
    <row r="2335" ht="15.75" customHeight="1">
      <c r="A2335" s="7"/>
      <c r="B2335" s="7" t="str">
        <f>IFERROR(__xludf.DUMMYFUNCTION("""COMPUTED_VALUE"""),"Go;HTML/CSS;JavaScript;Python")</f>
        <v>Go;HTML/CSS;JavaScript;Python</v>
      </c>
      <c r="C2335" s="9" t="str">
        <f>IFERROR(__xludf.DUMMYFUNCTION("""COMPUTED_VALUE"""),"PHP")</f>
        <v>PHP</v>
      </c>
      <c r="D2335" s="9" t="str">
        <f>IFERROR(__xludf.DUMMYFUNCTION("""COMPUTED_VALUE"""),"Bash/Shell/PowerShell")</f>
        <v>Bash/Shell/PowerShell</v>
      </c>
      <c r="E2335" s="9" t="str">
        <f>IFERROR(__xludf.DUMMYFUNCTION("""COMPUTED_VALUE"""),"C")</f>
        <v>C</v>
      </c>
      <c r="F2335" s="9" t="str">
        <f>IFERROR(__xludf.DUMMYFUNCTION("""COMPUTED_VALUE"""),"HTML/CSS")</f>
        <v>HTML/CSS</v>
      </c>
      <c r="G2335" s="9" t="str">
        <f>IFERROR(__xludf.DUMMYFUNCTION("""COMPUTED_VALUE"""),"Swift")</f>
        <v>Swift</v>
      </c>
      <c r="H2335" s="9" t="str">
        <f>IFERROR(__xludf.DUMMYFUNCTION("""COMPUTED_VALUE"""),"Java")</f>
        <v>Java</v>
      </c>
      <c r="I2335" s="9" t="str">
        <f>IFERROR(__xludf.DUMMYFUNCTION("""COMPUTED_VALUE"""),"SQL")</f>
        <v>SQL</v>
      </c>
      <c r="J2335" s="9" t="str">
        <f>IFERROR(__xludf.DUMMYFUNCTION("""COMPUTED_VALUE"""),"Python")</f>
        <v>Python</v>
      </c>
      <c r="K2335" s="9" t="str">
        <f>IFERROR(__xludf.DUMMYFUNCTION("""COMPUTED_VALUE"""),"JavaScript")</f>
        <v>JavaScript</v>
      </c>
      <c r="L2335" s="9" t="str">
        <f>IFERROR(__xludf.DUMMYFUNCTION("""COMPUTED_VALUE"""),"HTML/CSS")</f>
        <v>HTML/CSS</v>
      </c>
      <c r="M2335" s="9" t="s">
        <v>37</v>
      </c>
    </row>
    <row r="2336" ht="15.75" customHeight="1">
      <c r="A2336" s="7"/>
      <c r="B2336" s="7" t="str">
        <f>IFERROR(__xludf.DUMMYFUNCTION("""COMPUTED_VALUE"""),"Bash/Shell/PowerShell;C;C++;C#;HTML/CSS;Java;JavaScript;Python;SQL")</f>
        <v>Bash/Shell/PowerShell;C;C++;C#;HTML/CSS;Java;JavaScript;Python;SQL</v>
      </c>
      <c r="C2336" s="9" t="str">
        <f>IFERROR(__xludf.DUMMYFUNCTION("""COMPUTED_VALUE"""),"SQL")</f>
        <v>SQL</v>
      </c>
      <c r="D2336" s="9" t="str">
        <f>IFERROR(__xludf.DUMMYFUNCTION("""COMPUTED_VALUE"""),"C#")</f>
        <v>C#</v>
      </c>
      <c r="E2336" s="9" t="str">
        <f>IFERROR(__xludf.DUMMYFUNCTION("""COMPUTED_VALUE"""),"C++")</f>
        <v>C++</v>
      </c>
      <c r="F2336" s="9" t="str">
        <f>IFERROR(__xludf.DUMMYFUNCTION("""COMPUTED_VALUE"""),"JavaScript")</f>
        <v>JavaScript</v>
      </c>
      <c r="G2336" s="9" t="str">
        <f>IFERROR(__xludf.DUMMYFUNCTION("""COMPUTED_VALUE"""),"HTML/CSS")</f>
        <v>HTML/CSS</v>
      </c>
      <c r="H2336" s="9" t="str">
        <f>IFERROR(__xludf.DUMMYFUNCTION("""COMPUTED_VALUE"""),"Python")</f>
        <v>Python</v>
      </c>
      <c r="I2336" s="9" t="str">
        <f>IFERROR(__xludf.DUMMYFUNCTION("""COMPUTED_VALUE"""),"VBA")</f>
        <v>VBA</v>
      </c>
      <c r="J2336" s="9" t="str">
        <f>IFERROR(__xludf.DUMMYFUNCTION("""COMPUTED_VALUE"""),"TypeScript")</f>
        <v>TypeScript</v>
      </c>
      <c r="K2336" s="9" t="str">
        <f>IFERROR(__xludf.DUMMYFUNCTION("""COMPUTED_VALUE"""),"PHP")</f>
        <v>PHP</v>
      </c>
      <c r="L2336" s="9" t="str">
        <f>IFERROR(__xludf.DUMMYFUNCTION("""COMPUTED_VALUE"""),"JavaScript")</f>
        <v>JavaScript</v>
      </c>
      <c r="M2336" s="9" t="s">
        <v>27</v>
      </c>
    </row>
    <row r="2337" ht="15.75" customHeight="1">
      <c r="A2337" s="7"/>
      <c r="B2337" s="7" t="str">
        <f>IFERROR(__xludf.DUMMYFUNCTION("""COMPUTED_VALUE"""),"PHP")</f>
        <v>PHP</v>
      </c>
      <c r="C2337" s="9" t="str">
        <f>IFERROR(__xludf.DUMMYFUNCTION("""COMPUTED_VALUE"""),"TypeScript")</f>
        <v>TypeScript</v>
      </c>
      <c r="D2337" s="9" t="str">
        <f>IFERROR(__xludf.DUMMYFUNCTION("""COMPUTED_VALUE"""),"HTML/CSS")</f>
        <v>HTML/CSS</v>
      </c>
      <c r="E2337" s="9" t="str">
        <f>IFERROR(__xludf.DUMMYFUNCTION("""COMPUTED_VALUE"""),"C#")</f>
        <v>C#</v>
      </c>
      <c r="F2337" s="9" t="str">
        <f>IFERROR(__xludf.DUMMYFUNCTION("""COMPUTED_VALUE"""),"Java")</f>
        <v>Java</v>
      </c>
      <c r="G2337" s="9" t="str">
        <f>IFERROR(__xludf.DUMMYFUNCTION("""COMPUTED_VALUE"""),"Java")</f>
        <v>Java</v>
      </c>
      <c r="H2337" s="9" t="str">
        <f>IFERROR(__xludf.DUMMYFUNCTION("""COMPUTED_VALUE"""),"SQL")</f>
        <v>SQL</v>
      </c>
      <c r="I2337" s="9" t="str">
        <f>IFERROR(__xludf.DUMMYFUNCTION("""COMPUTED_VALUE"""),"WebAssembly")</f>
        <v>WebAssembly</v>
      </c>
      <c r="J2337" s="9" t="str">
        <f>IFERROR(__xludf.DUMMYFUNCTION("""COMPUTED_VALUE"""),"Bash/Shell/PowerShell")</f>
        <v>Bash/Shell/PowerShell</v>
      </c>
      <c r="K2337" s="9" t="str">
        <f>IFERROR(__xludf.DUMMYFUNCTION("""COMPUTED_VALUE"""),"SQL")</f>
        <v>SQL</v>
      </c>
      <c r="L2337" s="9" t="str">
        <f>IFERROR(__xludf.DUMMYFUNCTION("""COMPUTED_VALUE"""),"Python")</f>
        <v>Python</v>
      </c>
      <c r="M2337" s="9" t="s">
        <v>33</v>
      </c>
    </row>
    <row r="2338" ht="15.75" customHeight="1">
      <c r="A2338" s="7"/>
      <c r="B2338" s="7" t="str">
        <f>IFERROR(__xludf.DUMMYFUNCTION("""COMPUTED_VALUE"""),"Bash/Shell/PowerShell;C#;HTML/CSS;Java;JavaScript;Python;Other(s):")</f>
        <v>Bash/Shell/PowerShell;C#;HTML/CSS;Java;JavaScript;Python;Other(s):</v>
      </c>
      <c r="C2338" s="9" t="str">
        <f>IFERROR(__xludf.DUMMYFUNCTION("""COMPUTED_VALUE"""),"C++")</f>
        <v>C++</v>
      </c>
      <c r="D2338" s="9" t="str">
        <f>IFERROR(__xludf.DUMMYFUNCTION("""COMPUTED_VALUE"""),"Java")</f>
        <v>Java</v>
      </c>
      <c r="E2338" s="9" t="str">
        <f>IFERROR(__xludf.DUMMYFUNCTION("""COMPUTED_VALUE"""),"Python")</f>
        <v>Python</v>
      </c>
      <c r="F2338" s="9" t="str">
        <f>IFERROR(__xludf.DUMMYFUNCTION("""COMPUTED_VALUE"""),"Kotlin")</f>
        <v>Kotlin</v>
      </c>
      <c r="G2338" s="9" t="str">
        <f>IFERROR(__xludf.DUMMYFUNCTION("""COMPUTED_VALUE"""),"JavaScript")</f>
        <v>JavaScript</v>
      </c>
      <c r="H2338" s="9" t="str">
        <f>IFERROR(__xludf.DUMMYFUNCTION("""COMPUTED_VALUE"""),"Other(s):")</f>
        <v>Other(s):</v>
      </c>
      <c r="I2338" s="9" t="str">
        <f>IFERROR(__xludf.DUMMYFUNCTION("""COMPUTED_VALUE"""),"C")</f>
        <v>C</v>
      </c>
      <c r="J2338" s="9" t="str">
        <f>IFERROR(__xludf.DUMMYFUNCTION("""COMPUTED_VALUE"""),"SQL")</f>
        <v>SQL</v>
      </c>
      <c r="K2338" s="9" t="str">
        <f>IFERROR(__xludf.DUMMYFUNCTION("""COMPUTED_VALUE"""),"TypeScript")</f>
        <v>TypeScript</v>
      </c>
      <c r="L2338" s="9" t="str">
        <f>IFERROR(__xludf.DUMMYFUNCTION("""COMPUTED_VALUE"""),"SQL")</f>
        <v>SQL</v>
      </c>
      <c r="M2338" s="9" t="s">
        <v>23</v>
      </c>
    </row>
    <row r="2339" ht="15.75" customHeight="1">
      <c r="A2339" s="7"/>
      <c r="B2339" s="7" t="str">
        <f>IFERROR(__xludf.DUMMYFUNCTION("""COMPUTED_VALUE"""),"Bash/Shell/PowerShell;HTML/CSS;Java;JavaScript;SQL")</f>
        <v>Bash/Shell/PowerShell;HTML/CSS;Java;JavaScript;SQL</v>
      </c>
      <c r="C2339" s="9" t="str">
        <f>IFERROR(__xludf.DUMMYFUNCTION("""COMPUTED_VALUE"""),"HTML/CSS")</f>
        <v>HTML/CSS</v>
      </c>
      <c r="D2339" s="9" t="str">
        <f>IFERROR(__xludf.DUMMYFUNCTION("""COMPUTED_VALUE"""),"JavaScript")</f>
        <v>JavaScript</v>
      </c>
      <c r="E2339" s="9" t="str">
        <f>IFERROR(__xludf.DUMMYFUNCTION("""COMPUTED_VALUE"""),"Java")</f>
        <v>Java</v>
      </c>
      <c r="F2339" s="9" t="str">
        <f>IFERROR(__xludf.DUMMYFUNCTION("""COMPUTED_VALUE"""),"Bash/Shell/PowerShell")</f>
        <v>Bash/Shell/PowerShell</v>
      </c>
      <c r="G2339" s="9" t="str">
        <f>IFERROR(__xludf.DUMMYFUNCTION("""COMPUTED_VALUE"""),"PHP")</f>
        <v>PHP</v>
      </c>
      <c r="H2339" s="9" t="str">
        <f>IFERROR(__xludf.DUMMYFUNCTION("""COMPUTED_VALUE"""),"C")</f>
        <v>C</v>
      </c>
      <c r="I2339" s="9" t="str">
        <f>IFERROR(__xludf.DUMMYFUNCTION("""COMPUTED_VALUE"""),"C++")</f>
        <v>C++</v>
      </c>
      <c r="J2339" s="9" t="str">
        <f>IFERROR(__xludf.DUMMYFUNCTION("""COMPUTED_VALUE"""),"Swift")</f>
        <v>Swift</v>
      </c>
      <c r="K2339" s="9" t="str">
        <f>IFERROR(__xludf.DUMMYFUNCTION("""COMPUTED_VALUE"""),"C")</f>
        <v>C</v>
      </c>
      <c r="L2339" s="9" t="str">
        <f>IFERROR(__xludf.DUMMYFUNCTION("""COMPUTED_VALUE"""),"C#")</f>
        <v>C#</v>
      </c>
      <c r="M2339" s="9" t="s">
        <v>24</v>
      </c>
    </row>
    <row r="2340" ht="15.75" customHeight="1">
      <c r="A2340" s="7"/>
      <c r="B2340" s="7" t="str">
        <f>IFERROR(__xludf.DUMMYFUNCTION("""COMPUTED_VALUE"""),"Bash/Shell/PowerShell;C#;Java;Kotlin;Objective-C;Python;SQL;Swift")</f>
        <v>Bash/Shell/PowerShell;C#;Java;Kotlin;Objective-C;Python;SQL;Swift</v>
      </c>
      <c r="C2340" s="9" t="str">
        <f>IFERROR(__xludf.DUMMYFUNCTION("""COMPUTED_VALUE"""),"JavaScript")</f>
        <v>JavaScript</v>
      </c>
      <c r="D2340" s="9" t="str">
        <f>IFERROR(__xludf.DUMMYFUNCTION("""COMPUTED_VALUE"""),"Python")</f>
        <v>Python</v>
      </c>
      <c r="E2340" s="9" t="str">
        <f>IFERROR(__xludf.DUMMYFUNCTION("""COMPUTED_VALUE"""),"JavaScript")</f>
        <v>JavaScript</v>
      </c>
      <c r="F2340" s="9" t="str">
        <f>IFERROR(__xludf.DUMMYFUNCTION("""COMPUTED_VALUE"""),"HTML/CSS")</f>
        <v>HTML/CSS</v>
      </c>
      <c r="G2340" s="9" t="str">
        <f>IFERROR(__xludf.DUMMYFUNCTION("""COMPUTED_VALUE"""),"SQL")</f>
        <v>SQL</v>
      </c>
      <c r="H2340" s="9" t="str">
        <f>IFERROR(__xludf.DUMMYFUNCTION("""COMPUTED_VALUE"""),"C++")</f>
        <v>C++</v>
      </c>
      <c r="I2340" s="9" t="str">
        <f>IFERROR(__xludf.DUMMYFUNCTION("""COMPUTED_VALUE"""),"HTML/CSS")</f>
        <v>HTML/CSS</v>
      </c>
      <c r="J2340" s="9" t="str">
        <f>IFERROR(__xludf.DUMMYFUNCTION("""COMPUTED_VALUE"""),"Python")</f>
        <v>Python</v>
      </c>
      <c r="K2340" s="9" t="str">
        <f>IFERROR(__xludf.DUMMYFUNCTION("""COMPUTED_VALUE"""),"C++")</f>
        <v>C++</v>
      </c>
      <c r="L2340" s="9" t="str">
        <f>IFERROR(__xludf.DUMMYFUNCTION("""COMPUTED_VALUE"""),"HTML/CSS")</f>
        <v>HTML/CSS</v>
      </c>
      <c r="M2340" s="9" t="s">
        <v>21</v>
      </c>
    </row>
    <row r="2341" ht="15.75" customHeight="1">
      <c r="A2341" s="7"/>
      <c r="B2341" s="7" t="str">
        <f>IFERROR(__xludf.DUMMYFUNCTION("""COMPUTED_VALUE"""),"Bash/Shell/PowerShell;C++;Java;JavaScript;Kotlin;Python;SQL;Swift")</f>
        <v>Bash/Shell/PowerShell;C++;Java;JavaScript;Kotlin;Python;SQL;Swift</v>
      </c>
      <c r="C2341" s="9" t="str">
        <f>IFERROR(__xludf.DUMMYFUNCTION("""COMPUTED_VALUE"""),"PHP")</f>
        <v>PHP</v>
      </c>
      <c r="D2341" s="9" t="str">
        <f>IFERROR(__xludf.DUMMYFUNCTION("""COMPUTED_VALUE"""),"SQL")</f>
        <v>SQL</v>
      </c>
      <c r="E2341" s="9" t="str">
        <f>IFERROR(__xludf.DUMMYFUNCTION("""COMPUTED_VALUE"""),"Rust")</f>
        <v>Rust</v>
      </c>
      <c r="F2341" s="9" t="str">
        <f>IFERROR(__xludf.DUMMYFUNCTION("""COMPUTED_VALUE"""),"Java")</f>
        <v>Java</v>
      </c>
      <c r="G2341" s="9" t="str">
        <f>IFERROR(__xludf.DUMMYFUNCTION("""COMPUTED_VALUE"""),"Other(s):")</f>
        <v>Other(s):</v>
      </c>
      <c r="H2341" s="9" t="str">
        <f>IFERROR(__xludf.DUMMYFUNCTION("""COMPUTED_VALUE"""),"JavaScript")</f>
        <v>JavaScript</v>
      </c>
      <c r="I2341" s="9" t="str">
        <f>IFERROR(__xludf.DUMMYFUNCTION("""COMPUTED_VALUE"""),"JavaScript")</f>
        <v>JavaScript</v>
      </c>
      <c r="J2341" s="9" t="str">
        <f>IFERROR(__xludf.DUMMYFUNCTION("""COMPUTED_VALUE"""),"C")</f>
        <v>C</v>
      </c>
      <c r="K2341" s="9" t="str">
        <f>IFERROR(__xludf.DUMMYFUNCTION("""COMPUTED_VALUE"""),"C#")</f>
        <v>C#</v>
      </c>
      <c r="L2341" s="9" t="str">
        <f>IFERROR(__xludf.DUMMYFUNCTION("""COMPUTED_VALUE"""),"JavaScript")</f>
        <v>JavaScript</v>
      </c>
      <c r="M2341" s="9" t="s">
        <v>37</v>
      </c>
    </row>
    <row r="2342" ht="15.75" customHeight="1">
      <c r="A2342" s="7"/>
      <c r="B2342" s="7" t="str">
        <f>IFERROR(__xludf.DUMMYFUNCTION("""COMPUTED_VALUE"""),"C++;HTML/CSS;Java;JavaScript;Python;Other(s):")</f>
        <v>C++;HTML/CSS;Java;JavaScript;Python;Other(s):</v>
      </c>
      <c r="C2342" s="9" t="str">
        <f>IFERROR(__xludf.DUMMYFUNCTION("""COMPUTED_VALUE"""),"Python")</f>
        <v>Python</v>
      </c>
      <c r="D2342" s="9" t="str">
        <f>IFERROR(__xludf.DUMMYFUNCTION("""COMPUTED_VALUE"""),"C#")</f>
        <v>C#</v>
      </c>
      <c r="E2342" s="9" t="str">
        <f>IFERROR(__xludf.DUMMYFUNCTION("""COMPUTED_VALUE"""),"TypeScript")</f>
        <v>TypeScript</v>
      </c>
      <c r="F2342" s="9" t="str">
        <f>IFERROR(__xludf.DUMMYFUNCTION("""COMPUTED_VALUE"""),"JavaScript")</f>
        <v>JavaScript</v>
      </c>
      <c r="G2342" s="9" t="str">
        <f>IFERROR(__xludf.DUMMYFUNCTION("""COMPUTED_VALUE"""),"HTML/CSS")</f>
        <v>HTML/CSS</v>
      </c>
      <c r="H2342" s="9" t="str">
        <f>IFERROR(__xludf.DUMMYFUNCTION("""COMPUTED_VALUE"""),"Python")</f>
        <v>Python</v>
      </c>
      <c r="I2342" s="9" t="str">
        <f>IFERROR(__xludf.DUMMYFUNCTION("""COMPUTED_VALUE"""),"Python")</f>
        <v>Python</v>
      </c>
      <c r="J2342" s="9" t="str">
        <f>IFERROR(__xludf.DUMMYFUNCTION("""COMPUTED_VALUE"""),"C#")</f>
        <v>C#</v>
      </c>
      <c r="K2342" s="9" t="str">
        <f>IFERROR(__xludf.DUMMYFUNCTION("""COMPUTED_VALUE"""),"HTML/CSS")</f>
        <v>HTML/CSS</v>
      </c>
      <c r="L2342" s="9" t="str">
        <f>IFERROR(__xludf.DUMMYFUNCTION("""COMPUTED_VALUE"""),"PHP")</f>
        <v>PHP</v>
      </c>
      <c r="M2342" s="9" t="s">
        <v>22</v>
      </c>
    </row>
    <row r="2343" ht="15.75" customHeight="1">
      <c r="A2343" s="7"/>
      <c r="B2343" s="7" t="str">
        <f>IFERROR(__xludf.DUMMYFUNCTION("""COMPUTED_VALUE"""),"C#;SQL")</f>
        <v>C#;SQL</v>
      </c>
      <c r="C2343" s="9" t="str">
        <f>IFERROR(__xludf.DUMMYFUNCTION("""COMPUTED_VALUE"""),"Ruby")</f>
        <v>Ruby</v>
      </c>
      <c r="D2343" s="9" t="str">
        <f>IFERROR(__xludf.DUMMYFUNCTION("""COMPUTED_VALUE"""),"Dart")</f>
        <v>Dart</v>
      </c>
      <c r="E2343" s="9" t="str">
        <f>IFERROR(__xludf.DUMMYFUNCTION("""COMPUTED_VALUE"""),"HTML/CSS")</f>
        <v>HTML/CSS</v>
      </c>
      <c r="F2343" s="9" t="str">
        <f>IFERROR(__xludf.DUMMYFUNCTION("""COMPUTED_VALUE"""),"Kotlin")</f>
        <v>Kotlin</v>
      </c>
      <c r="G2343" s="9" t="str">
        <f>IFERROR(__xludf.DUMMYFUNCTION("""COMPUTED_VALUE"""),"JavaScript")</f>
        <v>JavaScript</v>
      </c>
      <c r="H2343" s="9" t="str">
        <f>IFERROR(__xludf.DUMMYFUNCTION("""COMPUTED_VALUE"""),"SQL")</f>
        <v>SQL</v>
      </c>
      <c r="I2343" s="9" t="str">
        <f>IFERROR(__xludf.DUMMYFUNCTION("""COMPUTED_VALUE"""),"SQL")</f>
        <v>SQL</v>
      </c>
      <c r="J2343" s="9" t="str">
        <f>IFERROR(__xludf.DUMMYFUNCTION("""COMPUTED_VALUE"""),"VBA")</f>
        <v>VBA</v>
      </c>
      <c r="K2343" s="9" t="str">
        <f>IFERROR(__xludf.DUMMYFUNCTION("""COMPUTED_VALUE"""),"Java")</f>
        <v>Java</v>
      </c>
      <c r="L2343" s="9" t="str">
        <f>IFERROR(__xludf.DUMMYFUNCTION("""COMPUTED_VALUE"""),"SQL")</f>
        <v>SQL</v>
      </c>
      <c r="M2343" s="9" t="s">
        <v>31</v>
      </c>
    </row>
    <row r="2344" ht="15.75" customHeight="1">
      <c r="A2344" s="7"/>
      <c r="B2344" s="7" t="str">
        <f>IFERROR(__xludf.DUMMYFUNCTION("""COMPUTED_VALUE"""),"C;C++;C#;Java;JavaScript;Python;Rust;SQL")</f>
        <v>C;C++;C#;Java;JavaScript;Python;Rust;SQL</v>
      </c>
      <c r="C2344" s="9" t="str">
        <f>IFERROR(__xludf.DUMMYFUNCTION("""COMPUTED_VALUE"""),"SQL")</f>
        <v>SQL</v>
      </c>
      <c r="D2344" s="9" t="str">
        <f>IFERROR(__xludf.DUMMYFUNCTION("""COMPUTED_VALUE"""),"HTML/CSS")</f>
        <v>HTML/CSS</v>
      </c>
      <c r="E2344" s="9" t="str">
        <f>IFERROR(__xludf.DUMMYFUNCTION("""COMPUTED_VALUE"""),"Java")</f>
        <v>Java</v>
      </c>
      <c r="F2344" s="9" t="str">
        <f>IFERROR(__xludf.DUMMYFUNCTION("""COMPUTED_VALUE"""),"Objective-C")</f>
        <v>Objective-C</v>
      </c>
      <c r="G2344" s="9" t="str">
        <f>IFERROR(__xludf.DUMMYFUNCTION("""COMPUTED_VALUE"""),"Ruby")</f>
        <v>Ruby</v>
      </c>
      <c r="H2344" s="9" t="str">
        <f>IFERROR(__xludf.DUMMYFUNCTION("""COMPUTED_VALUE"""),"C#")</f>
        <v>C#</v>
      </c>
      <c r="I2344" s="9" t="str">
        <f>IFERROR(__xludf.DUMMYFUNCTION("""COMPUTED_VALUE"""),"Bash/Shell/PowerShell")</f>
        <v>Bash/Shell/PowerShell</v>
      </c>
      <c r="J2344" s="9" t="str">
        <f>IFERROR(__xludf.DUMMYFUNCTION("""COMPUTED_VALUE"""),"HTML/CSS")</f>
        <v>HTML/CSS</v>
      </c>
      <c r="K2344" s="9" t="str">
        <f>IFERROR(__xludf.DUMMYFUNCTION("""COMPUTED_VALUE"""),"JavaScript")</f>
        <v>JavaScript</v>
      </c>
      <c r="L2344" s="9" t="str">
        <f>IFERROR(__xludf.DUMMYFUNCTION("""COMPUTED_VALUE"""),"TypeScript")</f>
        <v>TypeScript</v>
      </c>
      <c r="M2344" s="9" t="s">
        <v>27</v>
      </c>
    </row>
    <row r="2345" ht="15.75" customHeight="1">
      <c r="A2345" s="7"/>
      <c r="B2345" s="7" t="str">
        <f>IFERROR(__xludf.DUMMYFUNCTION("""COMPUTED_VALUE"""),"Bash/Shell/PowerShell;Go;Python;Swift")</f>
        <v>Bash/Shell/PowerShell;Go;Python;Swift</v>
      </c>
      <c r="C2345" s="9" t="str">
        <f>IFERROR(__xludf.DUMMYFUNCTION("""COMPUTED_VALUE"""),"C#")</f>
        <v>C#</v>
      </c>
      <c r="D2345" s="9" t="str">
        <f>IFERROR(__xludf.DUMMYFUNCTION("""COMPUTED_VALUE"""),"JavaScript")</f>
        <v>JavaScript</v>
      </c>
      <c r="E2345" s="9" t="str">
        <f>IFERROR(__xludf.DUMMYFUNCTION("""COMPUTED_VALUE"""),"Bash/Shell/PowerShell")</f>
        <v>Bash/Shell/PowerShell</v>
      </c>
      <c r="F2345" s="9" t="str">
        <f>IFERROR(__xludf.DUMMYFUNCTION("""COMPUTED_VALUE"""),"Python")</f>
        <v>Python</v>
      </c>
      <c r="G2345" s="9" t="str">
        <f>IFERROR(__xludf.DUMMYFUNCTION("""COMPUTED_VALUE"""),"Rust")</f>
        <v>Rust</v>
      </c>
      <c r="H2345" s="9" t="str">
        <f>IFERROR(__xludf.DUMMYFUNCTION("""COMPUTED_VALUE"""),"Python")</f>
        <v>Python</v>
      </c>
      <c r="I2345" s="9" t="str">
        <f>IFERROR(__xludf.DUMMYFUNCTION("""COMPUTED_VALUE"""),"HTML/CSS")</f>
        <v>HTML/CSS</v>
      </c>
      <c r="J2345" s="9" t="str">
        <f>IFERROR(__xludf.DUMMYFUNCTION("""COMPUTED_VALUE"""),"Java")</f>
        <v>Java</v>
      </c>
      <c r="K2345" s="9" t="str">
        <f>IFERROR(__xludf.DUMMYFUNCTION("""COMPUTED_VALUE"""),"Kotlin")</f>
        <v>Kotlin</v>
      </c>
      <c r="L2345" s="9" t="str">
        <f>IFERROR(__xludf.DUMMYFUNCTION("""COMPUTED_VALUE"""),"VBA")</f>
        <v>VBA</v>
      </c>
      <c r="M2345" s="9" t="s">
        <v>26</v>
      </c>
    </row>
    <row r="2346" ht="15.75" customHeight="1">
      <c r="A2346" s="7"/>
      <c r="B2346" s="7" t="str">
        <f>IFERROR(__xludf.DUMMYFUNCTION("""COMPUTED_VALUE"""),"C#;PHP;TypeScript")</f>
        <v>C#;PHP;TypeScript</v>
      </c>
      <c r="C2346" s="9" t="str">
        <f>IFERROR(__xludf.DUMMYFUNCTION("""COMPUTED_VALUE"""),"HTML/CSS")</f>
        <v>HTML/CSS</v>
      </c>
      <c r="D2346" s="9" t="str">
        <f>IFERROR(__xludf.DUMMYFUNCTION("""COMPUTED_VALUE"""),"SQL")</f>
        <v>SQL</v>
      </c>
      <c r="E2346" s="9" t="str">
        <f>IFERROR(__xludf.DUMMYFUNCTION("""COMPUTED_VALUE"""),"C#")</f>
        <v>C#</v>
      </c>
      <c r="F2346" s="9" t="str">
        <f>IFERROR(__xludf.DUMMYFUNCTION("""COMPUTED_VALUE"""),"Swift")</f>
        <v>Swift</v>
      </c>
      <c r="G2346" s="9" t="str">
        <f>IFERROR(__xludf.DUMMYFUNCTION("""COMPUTED_VALUE"""),"SQL")</f>
        <v>SQL</v>
      </c>
      <c r="H2346" s="9" t="str">
        <f>IFERROR(__xludf.DUMMYFUNCTION("""COMPUTED_VALUE"""),"Rust")</f>
        <v>Rust</v>
      </c>
      <c r="I2346" s="9" t="str">
        <f>IFERROR(__xludf.DUMMYFUNCTION("""COMPUTED_VALUE"""),"Java")</f>
        <v>Java</v>
      </c>
      <c r="J2346" s="9" t="str">
        <f>IFERROR(__xludf.DUMMYFUNCTION("""COMPUTED_VALUE"""),"TypeScript")</f>
        <v>TypeScript</v>
      </c>
      <c r="K2346" s="9" t="str">
        <f>IFERROR(__xludf.DUMMYFUNCTION("""COMPUTED_VALUE"""),"PHP")</f>
        <v>PHP</v>
      </c>
      <c r="L2346" s="9" t="str">
        <f>IFERROR(__xludf.DUMMYFUNCTION("""COMPUTED_VALUE"""),"Other(s):")</f>
        <v>Other(s):</v>
      </c>
      <c r="M2346" s="9" t="s">
        <v>24</v>
      </c>
    </row>
    <row r="2347" ht="15.75" customHeight="1">
      <c r="A2347" s="7"/>
      <c r="B2347" s="7" t="str">
        <f>IFERROR(__xludf.DUMMYFUNCTION("""COMPUTED_VALUE"""),"Bash/Shell/PowerShell;HTML/CSS;JavaScript")</f>
        <v>Bash/Shell/PowerShell;HTML/CSS;JavaScript</v>
      </c>
      <c r="C2347" s="9" t="str">
        <f>IFERROR(__xludf.DUMMYFUNCTION("""COMPUTED_VALUE"""),"JavaScript")</f>
        <v>JavaScript</v>
      </c>
      <c r="D2347" s="9" t="str">
        <f>IFERROR(__xludf.DUMMYFUNCTION("""COMPUTED_VALUE"""),"C")</f>
        <v>C</v>
      </c>
      <c r="E2347" s="9" t="str">
        <f>IFERROR(__xludf.DUMMYFUNCTION("""COMPUTED_VALUE"""),"HTML/CSS")</f>
        <v>HTML/CSS</v>
      </c>
      <c r="F2347" s="9" t="str">
        <f>IFERROR(__xludf.DUMMYFUNCTION("""COMPUTED_VALUE"""),"Bash/Shell/PowerShell")</f>
        <v>Bash/Shell/PowerShell</v>
      </c>
      <c r="G2347" s="9" t="str">
        <f>IFERROR(__xludf.DUMMYFUNCTION("""COMPUTED_VALUE"""),"HTML/CSS")</f>
        <v>HTML/CSS</v>
      </c>
      <c r="H2347" s="9" t="str">
        <f>IFERROR(__xludf.DUMMYFUNCTION("""COMPUTED_VALUE"""),"Other(s):")</f>
        <v>Other(s):</v>
      </c>
      <c r="I2347" s="9" t="str">
        <f>IFERROR(__xludf.DUMMYFUNCTION("""COMPUTED_VALUE"""),"JavaScript")</f>
        <v>JavaScript</v>
      </c>
      <c r="J2347" s="9" t="str">
        <f>IFERROR(__xludf.DUMMYFUNCTION("""COMPUTED_VALUE"""),"C#")</f>
        <v>C#</v>
      </c>
      <c r="K2347" s="9" t="str">
        <f>IFERROR(__xludf.DUMMYFUNCTION("""COMPUTED_VALUE"""),"SQL")</f>
        <v>SQL</v>
      </c>
      <c r="L2347" s="9" t="str">
        <f>IFERROR(__xludf.DUMMYFUNCTION("""COMPUTED_VALUE"""),"C#")</f>
        <v>C#</v>
      </c>
      <c r="M2347" s="9" t="s">
        <v>21</v>
      </c>
    </row>
    <row r="2348" ht="15.75" customHeight="1">
      <c r="A2348" s="7"/>
      <c r="B2348" s="7" t="str">
        <f>IFERROR(__xludf.DUMMYFUNCTION("""COMPUTED_VALUE"""),"Assembly;C;C++;Python")</f>
        <v>Assembly;C;C++;Python</v>
      </c>
      <c r="C2348" s="9" t="str">
        <f>IFERROR(__xludf.DUMMYFUNCTION("""COMPUTED_VALUE"""),"SQL")</f>
        <v>SQL</v>
      </c>
      <c r="D2348" s="9" t="str">
        <f>IFERROR(__xludf.DUMMYFUNCTION("""COMPUTED_VALUE"""),"C++")</f>
        <v>C++</v>
      </c>
      <c r="E2348" s="9" t="str">
        <f>IFERROR(__xludf.DUMMYFUNCTION("""COMPUTED_VALUE"""),"JavaScript")</f>
        <v>JavaScript</v>
      </c>
      <c r="F2348" s="9" t="str">
        <f>IFERROR(__xludf.DUMMYFUNCTION("""COMPUTED_VALUE"""),"HTML/CSS")</f>
        <v>HTML/CSS</v>
      </c>
      <c r="G2348" s="9" t="str">
        <f>IFERROR(__xludf.DUMMYFUNCTION("""COMPUTED_VALUE"""),"JavaScript")</f>
        <v>JavaScript</v>
      </c>
      <c r="H2348" s="9" t="str">
        <f>IFERROR(__xludf.DUMMYFUNCTION("""COMPUTED_VALUE"""),"Bash/Shell/PowerShell")</f>
        <v>Bash/Shell/PowerShell</v>
      </c>
      <c r="I2348" s="9" t="str">
        <f>IFERROR(__xludf.DUMMYFUNCTION("""COMPUTED_VALUE"""),"Python")</f>
        <v>Python</v>
      </c>
      <c r="J2348" s="9" t="str">
        <f>IFERROR(__xludf.DUMMYFUNCTION("""COMPUTED_VALUE"""),"HTML/CSS")</f>
        <v>HTML/CSS</v>
      </c>
      <c r="K2348" s="9" t="str">
        <f>IFERROR(__xludf.DUMMYFUNCTION("""COMPUTED_VALUE"""),"TypeScript")</f>
        <v>TypeScript</v>
      </c>
      <c r="L2348" s="9" t="str">
        <f>IFERROR(__xludf.DUMMYFUNCTION("""COMPUTED_VALUE"""),"R")</f>
        <v>R</v>
      </c>
      <c r="M2348" s="9" t="s">
        <v>27</v>
      </c>
    </row>
    <row r="2349" ht="15.75" customHeight="1">
      <c r="A2349" s="7"/>
      <c r="B2349" s="7" t="str">
        <f>IFERROR(__xludf.DUMMYFUNCTION("""COMPUTED_VALUE"""),"Java;PHP;Python;SQL")</f>
        <v>Java;PHP;Python;SQL</v>
      </c>
      <c r="C2349" s="9" t="str">
        <f>IFERROR(__xludf.DUMMYFUNCTION("""COMPUTED_VALUE"""),"Other(s):")</f>
        <v>Other(s):</v>
      </c>
      <c r="D2349" s="9" t="str">
        <f>IFERROR(__xludf.DUMMYFUNCTION("""COMPUTED_VALUE"""),"HTML/CSS")</f>
        <v>HTML/CSS</v>
      </c>
      <c r="E2349" s="9" t="str">
        <f>IFERROR(__xludf.DUMMYFUNCTION("""COMPUTED_VALUE"""),"PHP")</f>
        <v>PHP</v>
      </c>
      <c r="F2349" s="9" t="str">
        <f>IFERROR(__xludf.DUMMYFUNCTION("""COMPUTED_VALUE"""),"Java")</f>
        <v>Java</v>
      </c>
      <c r="G2349" s="9" t="str">
        <f>IFERROR(__xludf.DUMMYFUNCTION("""COMPUTED_VALUE"""),"PHP")</f>
        <v>PHP</v>
      </c>
      <c r="H2349" s="9" t="str">
        <f>IFERROR(__xludf.DUMMYFUNCTION("""COMPUTED_VALUE"""),"C#")</f>
        <v>C#</v>
      </c>
      <c r="I2349" s="9" t="str">
        <f>IFERROR(__xludf.DUMMYFUNCTION("""COMPUTED_VALUE"""),"SQL")</f>
        <v>SQL</v>
      </c>
      <c r="J2349" s="9" t="str">
        <f>IFERROR(__xludf.DUMMYFUNCTION("""COMPUTED_VALUE"""),"JavaScript")</f>
        <v>JavaScript</v>
      </c>
      <c r="K2349" s="9" t="str">
        <f>IFERROR(__xludf.DUMMYFUNCTION("""COMPUTED_VALUE"""),"C++")</f>
        <v>C++</v>
      </c>
      <c r="L2349" s="9" t="str">
        <f>IFERROR(__xludf.DUMMYFUNCTION("""COMPUTED_VALUE"""),"SQL")</f>
        <v>SQL</v>
      </c>
      <c r="M2349" s="9" t="s">
        <v>35</v>
      </c>
    </row>
    <row r="2350" ht="15.75" customHeight="1">
      <c r="A2350" s="7"/>
      <c r="B2350" s="7" t="str">
        <f>IFERROR(__xludf.DUMMYFUNCTION("""COMPUTED_VALUE"""),"SQL;Other(s):")</f>
        <v>SQL;Other(s):</v>
      </c>
      <c r="C2350" s="9" t="str">
        <f>IFERROR(__xludf.DUMMYFUNCTION("""COMPUTED_VALUE"""),"C")</f>
        <v>C</v>
      </c>
      <c r="D2350" s="9" t="str">
        <f>IFERROR(__xludf.DUMMYFUNCTION("""COMPUTED_VALUE"""),"JavaScript")</f>
        <v>JavaScript</v>
      </c>
      <c r="E2350" s="9" t="str">
        <f>IFERROR(__xludf.DUMMYFUNCTION("""COMPUTED_VALUE"""),"SQL")</f>
        <v>SQL</v>
      </c>
      <c r="F2350" s="9" t="str">
        <f>IFERROR(__xludf.DUMMYFUNCTION("""COMPUTED_VALUE"""),"JavaScript")</f>
        <v>JavaScript</v>
      </c>
      <c r="G2350" s="9" t="str">
        <f>IFERROR(__xludf.DUMMYFUNCTION("""COMPUTED_VALUE"""),"Ruby")</f>
        <v>Ruby</v>
      </c>
      <c r="H2350" s="9" t="str">
        <f>IFERROR(__xludf.DUMMYFUNCTION("""COMPUTED_VALUE"""),"HTML/CSS")</f>
        <v>HTML/CSS</v>
      </c>
      <c r="I2350" s="9" t="str">
        <f>IFERROR(__xludf.DUMMYFUNCTION("""COMPUTED_VALUE"""),"VBA")</f>
        <v>VBA</v>
      </c>
      <c r="J2350" s="9" t="str">
        <f>IFERROR(__xludf.DUMMYFUNCTION("""COMPUTED_VALUE"""),"SQL")</f>
        <v>SQL</v>
      </c>
      <c r="K2350" s="9" t="str">
        <f>IFERROR(__xludf.DUMMYFUNCTION("""COMPUTED_VALUE"""),"Python")</f>
        <v>Python</v>
      </c>
      <c r="L2350" s="9" t="str">
        <f>IFERROR(__xludf.DUMMYFUNCTION("""COMPUTED_VALUE"""),"HTML/CSS")</f>
        <v>HTML/CSS</v>
      </c>
      <c r="M2350" s="9" t="s">
        <v>25</v>
      </c>
    </row>
    <row r="2351" ht="15.75" customHeight="1">
      <c r="A2351" s="7"/>
      <c r="B2351" s="7" t="str">
        <f>IFERROR(__xludf.DUMMYFUNCTION("""COMPUTED_VALUE"""),"Bash/Shell/PowerShell;C#;HTML/CSS;JavaScript;SQL;Other(s):")</f>
        <v>Bash/Shell/PowerShell;C#;HTML/CSS;JavaScript;SQL;Other(s):</v>
      </c>
      <c r="C2351" s="9" t="str">
        <f>IFERROR(__xludf.DUMMYFUNCTION("""COMPUTED_VALUE"""),"C++")</f>
        <v>C++</v>
      </c>
      <c r="D2351" s="9" t="str">
        <f>IFERROR(__xludf.DUMMYFUNCTION("""COMPUTED_VALUE"""),"SQL")</f>
        <v>SQL</v>
      </c>
      <c r="E2351" s="9" t="str">
        <f>IFERROR(__xludf.DUMMYFUNCTION("""COMPUTED_VALUE"""),"Bash/Shell/PowerShell")</f>
        <v>Bash/Shell/PowerShell</v>
      </c>
      <c r="F2351" s="9" t="str">
        <f>IFERROR(__xludf.DUMMYFUNCTION("""COMPUTED_VALUE"""),"PHP")</f>
        <v>PHP</v>
      </c>
      <c r="G2351" s="9" t="str">
        <f>IFERROR(__xludf.DUMMYFUNCTION("""COMPUTED_VALUE"""),"SQL")</f>
        <v>SQL</v>
      </c>
      <c r="H2351" s="9" t="str">
        <f>IFERROR(__xludf.DUMMYFUNCTION("""COMPUTED_VALUE"""),"JavaScript")</f>
        <v>JavaScript</v>
      </c>
      <c r="I2351" s="9" t="str">
        <f>IFERROR(__xludf.DUMMYFUNCTION("""COMPUTED_VALUE"""),"C#")</f>
        <v>C#</v>
      </c>
      <c r="J2351" s="9" t="str">
        <f>IFERROR(__xludf.DUMMYFUNCTION("""COMPUTED_VALUE"""),"Bash/Shell/PowerShell")</f>
        <v>Bash/Shell/PowerShell</v>
      </c>
      <c r="K2351" s="9" t="str">
        <f>IFERROR(__xludf.DUMMYFUNCTION("""COMPUTED_VALUE"""),"SQL")</f>
        <v>SQL</v>
      </c>
      <c r="L2351" s="9" t="str">
        <f>IFERROR(__xludf.DUMMYFUNCTION("""COMPUTED_VALUE"""),"Java")</f>
        <v>Java</v>
      </c>
      <c r="M2351" s="9" t="s">
        <v>23</v>
      </c>
    </row>
    <row r="2352" ht="15.75" customHeight="1">
      <c r="A2352" s="7"/>
      <c r="B2352" s="7" t="str">
        <f>IFERROR(__xludf.DUMMYFUNCTION("""COMPUTED_VALUE"""),"Bash/Shell/PowerShell;HTML/CSS;JavaScript;Objective-C;PHP;Python;Ruby;SQL;Swift")</f>
        <v>Bash/Shell/PowerShell;HTML/CSS;JavaScript;Objective-C;PHP;Python;Ruby;SQL;Swift</v>
      </c>
      <c r="C2352" s="9" t="str">
        <f>IFERROR(__xludf.DUMMYFUNCTION("""COMPUTED_VALUE"""),"Dart")</f>
        <v>Dart</v>
      </c>
      <c r="D2352" s="9" t="str">
        <f>IFERROR(__xludf.DUMMYFUNCTION("""COMPUTED_VALUE"""),"C#")</f>
        <v>C#</v>
      </c>
      <c r="E2352" s="9" t="str">
        <f>IFERROR(__xludf.DUMMYFUNCTION("""COMPUTED_VALUE"""),"C")</f>
        <v>C</v>
      </c>
      <c r="F2352" s="9" t="str">
        <f>IFERROR(__xludf.DUMMYFUNCTION("""COMPUTED_VALUE"""),"Java")</f>
        <v>Java</v>
      </c>
      <c r="G2352" s="9" t="str">
        <f>IFERROR(__xludf.DUMMYFUNCTION("""COMPUTED_VALUE"""),"TypeScript")</f>
        <v>TypeScript</v>
      </c>
      <c r="H2352" s="9" t="str">
        <f>IFERROR(__xludf.DUMMYFUNCTION("""COMPUTED_VALUE"""),"SQL")</f>
        <v>SQL</v>
      </c>
      <c r="I2352" s="9" t="str">
        <f>IFERROR(__xludf.DUMMYFUNCTION("""COMPUTED_VALUE"""),"HTML/CSS")</f>
        <v>HTML/CSS</v>
      </c>
      <c r="J2352" s="9" t="str">
        <f>IFERROR(__xludf.DUMMYFUNCTION("""COMPUTED_VALUE"""),"HTML/CSS")</f>
        <v>HTML/CSS</v>
      </c>
      <c r="K2352" s="9" t="str">
        <f>IFERROR(__xludf.DUMMYFUNCTION("""COMPUTED_VALUE"""),"C")</f>
        <v>C</v>
      </c>
      <c r="L2352" s="9" t="str">
        <f>IFERROR(__xludf.DUMMYFUNCTION("""COMPUTED_VALUE"""),"JavaScript")</f>
        <v>JavaScript</v>
      </c>
      <c r="M2352" s="9" t="s">
        <v>47</v>
      </c>
    </row>
    <row r="2353" ht="15.75" customHeight="1">
      <c r="A2353" s="7"/>
      <c r="B2353" s="7" t="str">
        <f>IFERROR(__xludf.DUMMYFUNCTION("""COMPUTED_VALUE"""),"Go;HTML/CSS;JavaScript;PHP;SQL")</f>
        <v>Go;HTML/CSS;JavaScript;PHP;SQL</v>
      </c>
      <c r="C2353" s="9" t="str">
        <f>IFERROR(__xludf.DUMMYFUNCTION("""COMPUTED_VALUE"""),"Java")</f>
        <v>Java</v>
      </c>
      <c r="D2353" s="9" t="str">
        <f>IFERROR(__xludf.DUMMYFUNCTION("""COMPUTED_VALUE"""),"HTML/CSS")</f>
        <v>HTML/CSS</v>
      </c>
      <c r="E2353" s="9" t="str">
        <f>IFERROR(__xludf.DUMMYFUNCTION("""COMPUTED_VALUE"""),"C++")</f>
        <v>C++</v>
      </c>
      <c r="F2353" s="9" t="str">
        <f>IFERROR(__xludf.DUMMYFUNCTION("""COMPUTED_VALUE"""),"JavaScript")</f>
        <v>JavaScript</v>
      </c>
      <c r="G2353" s="9" t="str">
        <f>IFERROR(__xludf.DUMMYFUNCTION("""COMPUTED_VALUE"""),"HTML/CSS")</f>
        <v>HTML/CSS</v>
      </c>
      <c r="H2353" s="9" t="str">
        <f>IFERROR(__xludf.DUMMYFUNCTION("""COMPUTED_VALUE"""),"C")</f>
        <v>C</v>
      </c>
      <c r="I2353" s="9" t="str">
        <f>IFERROR(__xludf.DUMMYFUNCTION("""COMPUTED_VALUE"""),"Java")</f>
        <v>Java</v>
      </c>
      <c r="J2353" s="9" t="str">
        <f>IFERROR(__xludf.DUMMYFUNCTION("""COMPUTED_VALUE"""),"JavaScript")</f>
        <v>JavaScript</v>
      </c>
      <c r="K2353" s="9" t="str">
        <f>IFERROR(__xludf.DUMMYFUNCTION("""COMPUTED_VALUE"""),"JavaScript")</f>
        <v>JavaScript</v>
      </c>
      <c r="L2353" s="9" t="str">
        <f>IFERROR(__xludf.DUMMYFUNCTION("""COMPUTED_VALUE"""),"Ruby")</f>
        <v>Ruby</v>
      </c>
      <c r="M2353" s="9" t="s">
        <v>20</v>
      </c>
    </row>
    <row r="2354" ht="15.75" customHeight="1">
      <c r="A2354" s="7"/>
      <c r="B2354" s="7" t="str">
        <f>IFERROR(__xludf.DUMMYFUNCTION("""COMPUTED_VALUE"""),"HTML/CSS;JavaScript")</f>
        <v>HTML/CSS;JavaScript</v>
      </c>
      <c r="C2354" s="9" t="str">
        <f>IFERROR(__xludf.DUMMYFUNCTION("""COMPUTED_VALUE"""),"Python")</f>
        <v>Python</v>
      </c>
      <c r="D2354" s="9" t="str">
        <f>IFERROR(__xludf.DUMMYFUNCTION("""COMPUTED_VALUE"""),"JavaScript")</f>
        <v>JavaScript</v>
      </c>
      <c r="E2354" s="9" t="str">
        <f>IFERROR(__xludf.DUMMYFUNCTION("""COMPUTED_VALUE"""),"C#")</f>
        <v>C#</v>
      </c>
      <c r="F2354" s="9" t="str">
        <f>IFERROR(__xludf.DUMMYFUNCTION("""COMPUTED_VALUE"""),"HTML/CSS")</f>
        <v>HTML/CSS</v>
      </c>
      <c r="G2354" s="9" t="str">
        <f>IFERROR(__xludf.DUMMYFUNCTION("""COMPUTED_VALUE"""),"JavaScript")</f>
        <v>JavaScript</v>
      </c>
      <c r="H2354" s="9" t="str">
        <f>IFERROR(__xludf.DUMMYFUNCTION("""COMPUTED_VALUE"""),"C++")</f>
        <v>C++</v>
      </c>
      <c r="I2354" s="9" t="str">
        <f>IFERROR(__xludf.DUMMYFUNCTION("""COMPUTED_VALUE"""),"SQL")</f>
        <v>SQL</v>
      </c>
      <c r="J2354" s="9" t="str">
        <f>IFERROR(__xludf.DUMMYFUNCTION("""COMPUTED_VALUE"""),"Ruby")</f>
        <v>Ruby</v>
      </c>
      <c r="K2354" s="9" t="str">
        <f>IFERROR(__xludf.DUMMYFUNCTION("""COMPUTED_VALUE"""),"Objective-C")</f>
        <v>Objective-C</v>
      </c>
      <c r="L2354" s="9" t="str">
        <f>IFERROR(__xludf.DUMMYFUNCTION("""COMPUTED_VALUE"""),"HTML/CSS")</f>
        <v>HTML/CSS</v>
      </c>
      <c r="M2354" s="9" t="s">
        <v>22</v>
      </c>
    </row>
    <row r="2355" ht="15.75" customHeight="1">
      <c r="A2355" s="7"/>
      <c r="B2355" s="7" t="str">
        <f>IFERROR(__xludf.DUMMYFUNCTION("""COMPUTED_VALUE"""),"C#;JavaScript;Other(s):")</f>
        <v>C#;JavaScript;Other(s):</v>
      </c>
      <c r="C2355" s="9" t="str">
        <f>IFERROR(__xludf.DUMMYFUNCTION("""COMPUTED_VALUE"""),"Bash/Shell/PowerShell")</f>
        <v>Bash/Shell/PowerShell</v>
      </c>
      <c r="D2355" s="9" t="str">
        <f>IFERROR(__xludf.DUMMYFUNCTION("""COMPUTED_VALUE"""),"Python")</f>
        <v>Python</v>
      </c>
      <c r="E2355" s="9" t="str">
        <f>IFERROR(__xludf.DUMMYFUNCTION("""COMPUTED_VALUE"""),"F#")</f>
        <v>F#</v>
      </c>
      <c r="F2355" s="9" t="str">
        <f>IFERROR(__xludf.DUMMYFUNCTION("""COMPUTED_VALUE"""),"Java")</f>
        <v>Java</v>
      </c>
      <c r="G2355" s="9" t="str">
        <f>IFERROR(__xludf.DUMMYFUNCTION("""COMPUTED_VALUE"""),"PHP")</f>
        <v>PHP</v>
      </c>
      <c r="H2355" s="9" t="str">
        <f>IFERROR(__xludf.DUMMYFUNCTION("""COMPUTED_VALUE"""),"Java")</f>
        <v>Java</v>
      </c>
      <c r="I2355" s="9" t="str">
        <f>IFERROR(__xludf.DUMMYFUNCTION("""COMPUTED_VALUE"""),"Other(s):")</f>
        <v>Other(s):</v>
      </c>
      <c r="J2355" s="9" t="str">
        <f>IFERROR(__xludf.DUMMYFUNCTION("""COMPUTED_VALUE"""),"C")</f>
        <v>C</v>
      </c>
      <c r="K2355" s="9" t="str">
        <f>IFERROR(__xludf.DUMMYFUNCTION("""COMPUTED_VALUE"""),"Ruby")</f>
        <v>Ruby</v>
      </c>
      <c r="L2355" s="9" t="str">
        <f>IFERROR(__xludf.DUMMYFUNCTION("""COMPUTED_VALUE"""),"JavaScript")</f>
        <v>JavaScript</v>
      </c>
      <c r="M2355" s="9" t="s">
        <v>30</v>
      </c>
    </row>
    <row r="2356" ht="15.75" customHeight="1">
      <c r="A2356" s="7"/>
      <c r="B2356" s="7" t="str">
        <f>IFERROR(__xludf.DUMMYFUNCTION("""COMPUTED_VALUE"""),"Bash/Shell/PowerShell;HTML/CSS;Java;JavaScript;PHP;SQL")</f>
        <v>Bash/Shell/PowerShell;HTML/CSS;Java;JavaScript;PHP;SQL</v>
      </c>
      <c r="C2356" s="9" t="str">
        <f>IFERROR(__xludf.DUMMYFUNCTION("""COMPUTED_VALUE"""),"Kotlin")</f>
        <v>Kotlin</v>
      </c>
      <c r="D2356" s="9" t="str">
        <f>IFERROR(__xludf.DUMMYFUNCTION("""COMPUTED_VALUE"""),"SQL")</f>
        <v>SQL</v>
      </c>
      <c r="E2356" s="9" t="str">
        <f>IFERROR(__xludf.DUMMYFUNCTION("""COMPUTED_VALUE"""),"Go")</f>
        <v>Go</v>
      </c>
      <c r="F2356" s="9" t="str">
        <f>IFERROR(__xludf.DUMMYFUNCTION("""COMPUTED_VALUE"""),"JavaScript")</f>
        <v>JavaScript</v>
      </c>
      <c r="G2356" s="9" t="str">
        <f>IFERROR(__xludf.DUMMYFUNCTION("""COMPUTED_VALUE"""),"Bash/Shell/PowerShell")</f>
        <v>Bash/Shell/PowerShell</v>
      </c>
      <c r="H2356" s="9" t="str">
        <f>IFERROR(__xludf.DUMMYFUNCTION("""COMPUTED_VALUE"""),"Kotlin")</f>
        <v>Kotlin</v>
      </c>
      <c r="I2356" s="9" t="str">
        <f>IFERROR(__xludf.DUMMYFUNCTION("""COMPUTED_VALUE"""),"Java")</f>
        <v>Java</v>
      </c>
      <c r="J2356" s="9" t="str">
        <f>IFERROR(__xludf.DUMMYFUNCTION("""COMPUTED_VALUE"""),"HTML/CSS")</f>
        <v>HTML/CSS</v>
      </c>
      <c r="K2356" s="9" t="str">
        <f>IFERROR(__xludf.DUMMYFUNCTION("""COMPUTED_VALUE"""),"Swift")</f>
        <v>Swift</v>
      </c>
      <c r="L2356" s="9" t="str">
        <f>IFERROR(__xludf.DUMMYFUNCTION("""COMPUTED_VALUE"""),"Objective-C")</f>
        <v>Objective-C</v>
      </c>
      <c r="M2356" s="9" t="s">
        <v>39</v>
      </c>
    </row>
    <row r="2357" ht="15.75" customHeight="1">
      <c r="A2357" s="7"/>
      <c r="B2357" s="7" t="str">
        <f>IFERROR(__xludf.DUMMYFUNCTION("""COMPUTED_VALUE"""),"HTML/CSS;JavaScript;PHP;Python;SQL")</f>
        <v>HTML/CSS;JavaScript;PHP;Python;SQL</v>
      </c>
      <c r="C2357" s="9" t="str">
        <f>IFERROR(__xludf.DUMMYFUNCTION("""COMPUTED_VALUE"""),"Bash/Shell/PowerShell")</f>
        <v>Bash/Shell/PowerShell</v>
      </c>
      <c r="D2357" s="9" t="str">
        <f>IFERROR(__xludf.DUMMYFUNCTION("""COMPUTED_VALUE"""),"HTML/CSS")</f>
        <v>HTML/CSS</v>
      </c>
      <c r="E2357" s="9" t="str">
        <f>IFERROR(__xludf.DUMMYFUNCTION("""COMPUTED_VALUE"""),"HTML/CSS")</f>
        <v>HTML/CSS</v>
      </c>
      <c r="F2357" s="9" t="str">
        <f>IFERROR(__xludf.DUMMYFUNCTION("""COMPUTED_VALUE"""),"SQL")</f>
        <v>SQL</v>
      </c>
      <c r="G2357" s="9" t="str">
        <f>IFERROR(__xludf.DUMMYFUNCTION("""COMPUTED_VALUE"""),"HTML/CSS")</f>
        <v>HTML/CSS</v>
      </c>
      <c r="H2357" s="9" t="str">
        <f>IFERROR(__xludf.DUMMYFUNCTION("""COMPUTED_VALUE"""),"Python")</f>
        <v>Python</v>
      </c>
      <c r="I2357" s="9" t="str">
        <f>IFERROR(__xludf.DUMMYFUNCTION("""COMPUTED_VALUE"""),"JavaScript")</f>
        <v>JavaScript</v>
      </c>
      <c r="J2357" s="9" t="str">
        <f>IFERROR(__xludf.DUMMYFUNCTION("""COMPUTED_VALUE"""),"SQL")</f>
        <v>SQL</v>
      </c>
      <c r="K2357" s="9" t="str">
        <f>IFERROR(__xludf.DUMMYFUNCTION("""COMPUTED_VALUE"""),"Bash/Shell/PowerShell")</f>
        <v>Bash/Shell/PowerShell</v>
      </c>
      <c r="L2357" s="9" t="str">
        <f>IFERROR(__xludf.DUMMYFUNCTION("""COMPUTED_VALUE"""),"Swift")</f>
        <v>Swift</v>
      </c>
      <c r="M2357" s="9" t="s">
        <v>30</v>
      </c>
    </row>
    <row r="2358" ht="15.75" customHeight="1">
      <c r="A2358" s="7"/>
      <c r="B2358" s="7" t="str">
        <f>IFERROR(__xludf.DUMMYFUNCTION("""COMPUTED_VALUE"""),"Java")</f>
        <v>Java</v>
      </c>
      <c r="C2358" s="9" t="str">
        <f>IFERROR(__xludf.DUMMYFUNCTION("""COMPUTED_VALUE"""),"HTML/CSS")</f>
        <v>HTML/CSS</v>
      </c>
      <c r="D2358" s="9" t="str">
        <f>IFERROR(__xludf.DUMMYFUNCTION("""COMPUTED_VALUE"""),"JavaScript")</f>
        <v>JavaScript</v>
      </c>
      <c r="E2358" s="9" t="str">
        <f>IFERROR(__xludf.DUMMYFUNCTION("""COMPUTED_VALUE"""),"Java")</f>
        <v>Java</v>
      </c>
      <c r="F2358" s="9" t="str">
        <f>IFERROR(__xludf.DUMMYFUNCTION("""COMPUTED_VALUE"""),"Dart")</f>
        <v>Dart</v>
      </c>
      <c r="G2358" s="9" t="str">
        <f>IFERROR(__xludf.DUMMYFUNCTION("""COMPUTED_VALUE"""),"Java")</f>
        <v>Java</v>
      </c>
      <c r="H2358" s="9" t="str">
        <f>IFERROR(__xludf.DUMMYFUNCTION("""COMPUTED_VALUE"""),"HTML/CSS")</f>
        <v>HTML/CSS</v>
      </c>
      <c r="I2358" s="9" t="str">
        <f>IFERROR(__xludf.DUMMYFUNCTION("""COMPUTED_VALUE"""),"Python")</f>
        <v>Python</v>
      </c>
      <c r="J2358" s="9" t="str">
        <f>IFERROR(__xludf.DUMMYFUNCTION("""COMPUTED_VALUE"""),"Assembly")</f>
        <v>Assembly</v>
      </c>
      <c r="K2358" s="9" t="str">
        <f>IFERROR(__xludf.DUMMYFUNCTION("""COMPUTED_VALUE"""),"C#")</f>
        <v>C#</v>
      </c>
      <c r="L2358" s="9" t="str">
        <f>IFERROR(__xludf.DUMMYFUNCTION("""COMPUTED_VALUE"""),"Bash/Shell/PowerShell")</f>
        <v>Bash/Shell/PowerShell</v>
      </c>
      <c r="M2358" s="9" t="s">
        <v>24</v>
      </c>
    </row>
    <row r="2359" ht="15.75" customHeight="1">
      <c r="A2359" s="7"/>
      <c r="B2359" s="7" t="str">
        <f>IFERROR(__xludf.DUMMYFUNCTION("""COMPUTED_VALUE"""),"Bash/Shell/PowerShell;JavaScript;Python;Swift;VBA")</f>
        <v>Bash/Shell/PowerShell;JavaScript;Python;Swift;VBA</v>
      </c>
      <c r="C2359" s="9" t="str">
        <f>IFERROR(__xludf.DUMMYFUNCTION("""COMPUTED_VALUE"""),"PHP")</f>
        <v>PHP</v>
      </c>
      <c r="D2359" s="9" t="str">
        <f>IFERROR(__xludf.DUMMYFUNCTION("""COMPUTED_VALUE"""),"Other(s):")</f>
        <v>Other(s):</v>
      </c>
      <c r="E2359" s="9" t="str">
        <f>IFERROR(__xludf.DUMMYFUNCTION("""COMPUTED_VALUE"""),"JavaScript")</f>
        <v>JavaScript</v>
      </c>
      <c r="F2359" s="9" t="str">
        <f>IFERROR(__xludf.DUMMYFUNCTION("""COMPUTED_VALUE"""),"Java")</f>
        <v>Java</v>
      </c>
      <c r="G2359" s="9" t="str">
        <f>IFERROR(__xludf.DUMMYFUNCTION("""COMPUTED_VALUE"""),"HTML/CSS")</f>
        <v>HTML/CSS</v>
      </c>
      <c r="H2359" s="9" t="str">
        <f>IFERROR(__xludf.DUMMYFUNCTION("""COMPUTED_VALUE"""),"JavaScript")</f>
        <v>JavaScript</v>
      </c>
      <c r="I2359" s="9" t="str">
        <f>IFERROR(__xludf.DUMMYFUNCTION("""COMPUTED_VALUE"""),"C#")</f>
        <v>C#</v>
      </c>
      <c r="J2359" s="9" t="str">
        <f>IFERROR(__xludf.DUMMYFUNCTION("""COMPUTED_VALUE"""),"C")</f>
        <v>C</v>
      </c>
      <c r="K2359" s="9" t="str">
        <f>IFERROR(__xludf.DUMMYFUNCTION("""COMPUTED_VALUE"""),"Go")</f>
        <v>Go</v>
      </c>
      <c r="L2359" s="9" t="str">
        <f>IFERROR(__xludf.DUMMYFUNCTION("""COMPUTED_VALUE"""),"HTML/CSS")</f>
        <v>HTML/CSS</v>
      </c>
      <c r="M2359" s="9" t="s">
        <v>37</v>
      </c>
    </row>
    <row r="2360" ht="15.75" customHeight="1">
      <c r="A2360" s="7"/>
      <c r="B2360" s="7" t="str">
        <f>IFERROR(__xludf.DUMMYFUNCTION("""COMPUTED_VALUE"""),"C++;C#;Java;JavaScript;Other(s):")</f>
        <v>C++;C#;Java;JavaScript;Other(s):</v>
      </c>
      <c r="C2360" s="9" t="str">
        <f>IFERROR(__xludf.DUMMYFUNCTION("""COMPUTED_VALUE"""),"Bash/Shell/PowerShell")</f>
        <v>Bash/Shell/PowerShell</v>
      </c>
      <c r="D2360" s="9" t="str">
        <f>IFERROR(__xludf.DUMMYFUNCTION("""COMPUTED_VALUE"""),"C#")</f>
        <v>C#</v>
      </c>
      <c r="E2360" s="9" t="str">
        <f>IFERROR(__xludf.DUMMYFUNCTION("""COMPUTED_VALUE"""),"Objective-C")</f>
        <v>Objective-C</v>
      </c>
      <c r="F2360" s="9" t="str">
        <f>IFERROR(__xludf.DUMMYFUNCTION("""COMPUTED_VALUE"""),"Kotlin")</f>
        <v>Kotlin</v>
      </c>
      <c r="G2360" s="9" t="str">
        <f>IFERROR(__xludf.DUMMYFUNCTION("""COMPUTED_VALUE"""),"JavaScript")</f>
        <v>JavaScript</v>
      </c>
      <c r="H2360" s="9" t="str">
        <f>IFERROR(__xludf.DUMMYFUNCTION("""COMPUTED_VALUE"""),"PHP")</f>
        <v>PHP</v>
      </c>
      <c r="I2360" s="9" t="str">
        <f>IFERROR(__xludf.DUMMYFUNCTION("""COMPUTED_VALUE"""),"C#")</f>
        <v>C#</v>
      </c>
      <c r="J2360" s="9" t="str">
        <f>IFERROR(__xludf.DUMMYFUNCTION("""COMPUTED_VALUE"""),"C++")</f>
        <v>C++</v>
      </c>
      <c r="K2360" s="9" t="str">
        <f>IFERROR(__xludf.DUMMYFUNCTION("""COMPUTED_VALUE"""),"HTML/CSS")</f>
        <v>HTML/CSS</v>
      </c>
      <c r="L2360" s="9" t="str">
        <f>IFERROR(__xludf.DUMMYFUNCTION("""COMPUTED_VALUE"""),"Java")</f>
        <v>Java</v>
      </c>
      <c r="M2360" s="9" t="s">
        <v>30</v>
      </c>
    </row>
    <row r="2361" ht="15.75" customHeight="1">
      <c r="A2361" s="7"/>
      <c r="B2361" s="7" t="str">
        <f>IFERROR(__xludf.DUMMYFUNCTION("""COMPUTED_VALUE"""),"Bash/Shell/PowerShell;Java;JavaScript;SQL")</f>
        <v>Bash/Shell/PowerShell;Java;JavaScript;SQL</v>
      </c>
      <c r="C2361" s="9" t="str">
        <f>IFERROR(__xludf.DUMMYFUNCTION("""COMPUTED_VALUE"""),"C#")</f>
        <v>C#</v>
      </c>
      <c r="D2361" s="9" t="str">
        <f>IFERROR(__xludf.DUMMYFUNCTION("""COMPUTED_VALUE"""),"HTML/CSS")</f>
        <v>HTML/CSS</v>
      </c>
      <c r="E2361" s="9" t="str">
        <f>IFERROR(__xludf.DUMMYFUNCTION("""COMPUTED_VALUE"""),"PHP")</f>
        <v>PHP</v>
      </c>
      <c r="F2361" s="9" t="str">
        <f>IFERROR(__xludf.DUMMYFUNCTION("""COMPUTED_VALUE"""),"Bash/Shell/PowerShell")</f>
        <v>Bash/Shell/PowerShell</v>
      </c>
      <c r="G2361" s="9" t="str">
        <f>IFERROR(__xludf.DUMMYFUNCTION("""COMPUTED_VALUE"""),"PHP")</f>
        <v>PHP</v>
      </c>
      <c r="H2361" s="9" t="str">
        <f>IFERROR(__xludf.DUMMYFUNCTION("""COMPUTED_VALUE"""),"Python")</f>
        <v>Python</v>
      </c>
      <c r="I2361" s="9" t="str">
        <f>IFERROR(__xludf.DUMMYFUNCTION("""COMPUTED_VALUE"""),"SQL")</f>
        <v>SQL</v>
      </c>
      <c r="J2361" s="9" t="str">
        <f>IFERROR(__xludf.DUMMYFUNCTION("""COMPUTED_VALUE"""),"C#")</f>
        <v>C#</v>
      </c>
      <c r="K2361" s="9" t="str">
        <f>IFERROR(__xludf.DUMMYFUNCTION("""COMPUTED_VALUE"""),"JavaScript")</f>
        <v>JavaScript</v>
      </c>
      <c r="L2361" s="9" t="str">
        <f>IFERROR(__xludf.DUMMYFUNCTION("""COMPUTED_VALUE"""),"JavaScript")</f>
        <v>JavaScript</v>
      </c>
      <c r="M2361" s="9" t="s">
        <v>26</v>
      </c>
    </row>
    <row r="2362" ht="15.75" customHeight="1">
      <c r="A2362" s="7"/>
      <c r="B2362" s="7" t="str">
        <f>IFERROR(__xludf.DUMMYFUNCTION("""COMPUTED_VALUE"""),"HTML/CSS;Java;JavaScript;PHP;SQL;TypeScript")</f>
        <v>HTML/CSS;Java;JavaScript;PHP;SQL;TypeScript</v>
      </c>
      <c r="C2362" s="9" t="str">
        <f>IFERROR(__xludf.DUMMYFUNCTION("""COMPUTED_VALUE"""),"HTML/CSS")</f>
        <v>HTML/CSS</v>
      </c>
      <c r="D2362" s="9" t="str">
        <f>IFERROR(__xludf.DUMMYFUNCTION("""COMPUTED_VALUE"""),"Java")</f>
        <v>Java</v>
      </c>
      <c r="E2362" s="9" t="str">
        <f>IFERROR(__xludf.DUMMYFUNCTION("""COMPUTED_VALUE"""),"Python")</f>
        <v>Python</v>
      </c>
      <c r="F2362" s="9" t="str">
        <f>IFERROR(__xludf.DUMMYFUNCTION("""COMPUTED_VALUE"""),"C++")</f>
        <v>C++</v>
      </c>
      <c r="G2362" s="9" t="str">
        <f>IFERROR(__xludf.DUMMYFUNCTION("""COMPUTED_VALUE"""),"C")</f>
        <v>C</v>
      </c>
      <c r="H2362" s="9" t="str">
        <f>IFERROR(__xludf.DUMMYFUNCTION("""COMPUTED_VALUE"""),"Scala")</f>
        <v>Scala</v>
      </c>
      <c r="I2362" s="9" t="str">
        <f>IFERROR(__xludf.DUMMYFUNCTION("""COMPUTED_VALUE"""),"Java")</f>
        <v>Java</v>
      </c>
      <c r="J2362" s="9" t="str">
        <f>IFERROR(__xludf.DUMMYFUNCTION("""COMPUTED_VALUE"""),"HTML/CSS")</f>
        <v>HTML/CSS</v>
      </c>
      <c r="K2362" s="9" t="str">
        <f>IFERROR(__xludf.DUMMYFUNCTION("""COMPUTED_VALUE"""),"SQL")</f>
        <v>SQL</v>
      </c>
      <c r="L2362" s="9" t="str">
        <f>IFERROR(__xludf.DUMMYFUNCTION("""COMPUTED_VALUE"""),"SQL")</f>
        <v>SQL</v>
      </c>
      <c r="M2362" s="9" t="s">
        <v>24</v>
      </c>
    </row>
    <row r="2363" ht="15.75" customHeight="1">
      <c r="A2363" s="7"/>
      <c r="B2363" s="7" t="str">
        <f>IFERROR(__xludf.DUMMYFUNCTION("""COMPUTED_VALUE"""),"Go;HTML/CSS;JavaScript;TypeScript")</f>
        <v>Go;HTML/CSS;JavaScript;TypeScript</v>
      </c>
      <c r="C2363" s="9" t="str">
        <f>IFERROR(__xludf.DUMMYFUNCTION("""COMPUTED_VALUE"""),"Java")</f>
        <v>Java</v>
      </c>
      <c r="D2363" s="9" t="str">
        <f>IFERROR(__xludf.DUMMYFUNCTION("""COMPUTED_VALUE"""),"Scala")</f>
        <v>Scala</v>
      </c>
      <c r="E2363" s="9" t="str">
        <f>IFERROR(__xludf.DUMMYFUNCTION("""COMPUTED_VALUE"""),"Ruby")</f>
        <v>Ruby</v>
      </c>
      <c r="F2363" s="9" t="str">
        <f>IFERROR(__xludf.DUMMYFUNCTION("""COMPUTED_VALUE"""),"HTML/CSS")</f>
        <v>HTML/CSS</v>
      </c>
      <c r="G2363" s="9" t="str">
        <f>IFERROR(__xludf.DUMMYFUNCTION("""COMPUTED_VALUE"""),"C++")</f>
        <v>C++</v>
      </c>
      <c r="H2363" s="9" t="str">
        <f>IFERROR(__xludf.DUMMYFUNCTION("""COMPUTED_VALUE"""),"HTML/CSS")</f>
        <v>HTML/CSS</v>
      </c>
      <c r="I2363" s="9" t="str">
        <f>IFERROR(__xludf.DUMMYFUNCTION("""COMPUTED_VALUE"""),"JavaScript")</f>
        <v>JavaScript</v>
      </c>
      <c r="J2363" s="9" t="str">
        <f>IFERROR(__xludf.DUMMYFUNCTION("""COMPUTED_VALUE"""),"Java")</f>
        <v>Java</v>
      </c>
      <c r="K2363" s="9" t="str">
        <f>IFERROR(__xludf.DUMMYFUNCTION("""COMPUTED_VALUE"""),"Bash/Shell/PowerShell")</f>
        <v>Bash/Shell/PowerShell</v>
      </c>
      <c r="L2363" s="9" t="str">
        <f>IFERROR(__xludf.DUMMYFUNCTION("""COMPUTED_VALUE"""),"TypeScript")</f>
        <v>TypeScript</v>
      </c>
      <c r="M2363" s="9" t="s">
        <v>20</v>
      </c>
    </row>
    <row r="2364" ht="15.75" customHeight="1">
      <c r="A2364" s="7"/>
      <c r="B2364" s="7" t="str">
        <f>IFERROR(__xludf.DUMMYFUNCTION("""COMPUTED_VALUE"""),"C++;Java;Other(s):")</f>
        <v>C++;Java;Other(s):</v>
      </c>
      <c r="C2364" s="9" t="str">
        <f>IFERROR(__xludf.DUMMYFUNCTION("""COMPUTED_VALUE"""),"JavaScript")</f>
        <v>JavaScript</v>
      </c>
      <c r="D2364" s="9" t="str">
        <f>IFERROR(__xludf.DUMMYFUNCTION("""COMPUTED_VALUE"""),"SQL")</f>
        <v>SQL</v>
      </c>
      <c r="E2364" s="9" t="str">
        <f>IFERROR(__xludf.DUMMYFUNCTION("""COMPUTED_VALUE"""),"SQL")</f>
        <v>SQL</v>
      </c>
      <c r="F2364" s="9" t="str">
        <f>IFERROR(__xludf.DUMMYFUNCTION("""COMPUTED_VALUE"""),"Java")</f>
        <v>Java</v>
      </c>
      <c r="G2364" s="9" t="str">
        <f>IFERROR(__xludf.DUMMYFUNCTION("""COMPUTED_VALUE"""),"C#")</f>
        <v>C#</v>
      </c>
      <c r="H2364" s="9" t="str">
        <f>IFERROR(__xludf.DUMMYFUNCTION("""COMPUTED_VALUE"""),"JavaScript")</f>
        <v>JavaScript</v>
      </c>
      <c r="I2364" s="9" t="str">
        <f>IFERROR(__xludf.DUMMYFUNCTION("""COMPUTED_VALUE"""),"SQL")</f>
        <v>SQL</v>
      </c>
      <c r="J2364" s="9" t="str">
        <f>IFERROR(__xludf.DUMMYFUNCTION("""COMPUTED_VALUE"""),"JavaScript")</f>
        <v>JavaScript</v>
      </c>
      <c r="K2364" s="9" t="str">
        <f>IFERROR(__xludf.DUMMYFUNCTION("""COMPUTED_VALUE"""),"C")</f>
        <v>C</v>
      </c>
      <c r="L2364" s="9" t="str">
        <f>IFERROR(__xludf.DUMMYFUNCTION("""COMPUTED_VALUE"""),"Bash/Shell/PowerShell")</f>
        <v>Bash/Shell/PowerShell</v>
      </c>
      <c r="M2364" s="9" t="s">
        <v>21</v>
      </c>
    </row>
    <row r="2365" ht="15.75" customHeight="1">
      <c r="A2365" s="7"/>
      <c r="B2365" s="7" t="str">
        <f>IFERROR(__xludf.DUMMYFUNCTION("""COMPUTED_VALUE"""),"Python;R;SQL")</f>
        <v>Python;R;SQL</v>
      </c>
      <c r="C2365" s="9" t="str">
        <f>IFERROR(__xludf.DUMMYFUNCTION("""COMPUTED_VALUE"""),"PHP")</f>
        <v>PHP</v>
      </c>
      <c r="D2365" s="9" t="str">
        <f>IFERROR(__xludf.DUMMYFUNCTION("""COMPUTED_VALUE"""),"TypeScript")</f>
        <v>TypeScript</v>
      </c>
      <c r="E2365" s="9" t="str">
        <f>IFERROR(__xludf.DUMMYFUNCTION("""COMPUTED_VALUE"""),"Swift")</f>
        <v>Swift</v>
      </c>
      <c r="F2365" s="9" t="str">
        <f>IFERROR(__xludf.DUMMYFUNCTION("""COMPUTED_VALUE"""),"JavaScript")</f>
        <v>JavaScript</v>
      </c>
      <c r="G2365" s="9" t="str">
        <f>IFERROR(__xludf.DUMMYFUNCTION("""COMPUTED_VALUE"""),"Clojure")</f>
        <v>Clojure</v>
      </c>
      <c r="H2365" s="9" t="str">
        <f>IFERROR(__xludf.DUMMYFUNCTION("""COMPUTED_VALUE"""),"Ruby")</f>
        <v>Ruby</v>
      </c>
      <c r="I2365" s="9" t="str">
        <f>IFERROR(__xludf.DUMMYFUNCTION("""COMPUTED_VALUE"""),"C#")</f>
        <v>C#</v>
      </c>
      <c r="J2365" s="9" t="str">
        <f>IFERROR(__xludf.DUMMYFUNCTION("""COMPUTED_VALUE"""),"Objective-C")</f>
        <v>Objective-C</v>
      </c>
      <c r="K2365" s="9" t="str">
        <f>IFERROR(__xludf.DUMMYFUNCTION("""COMPUTED_VALUE"""),"C++")</f>
        <v>C++</v>
      </c>
      <c r="L2365" s="9" t="str">
        <f>IFERROR(__xludf.DUMMYFUNCTION("""COMPUTED_VALUE"""),"C#")</f>
        <v>C#</v>
      </c>
      <c r="M2365" s="9" t="s">
        <v>37</v>
      </c>
    </row>
    <row r="2366" ht="15.75" customHeight="1">
      <c r="A2366" s="7"/>
      <c r="B2366" s="7" t="str">
        <f>IFERROR(__xludf.DUMMYFUNCTION("""COMPUTED_VALUE"""),"Python;R;SQL")</f>
        <v>Python;R;SQL</v>
      </c>
      <c r="C2366" s="9" t="str">
        <f>IFERROR(__xludf.DUMMYFUNCTION("""COMPUTED_VALUE"""),"Python")</f>
        <v>Python</v>
      </c>
      <c r="D2366" s="9" t="str">
        <f>IFERROR(__xludf.DUMMYFUNCTION("""COMPUTED_VALUE"""),"C++")</f>
        <v>C++</v>
      </c>
      <c r="E2366" s="9" t="str">
        <f>IFERROR(__xludf.DUMMYFUNCTION("""COMPUTED_VALUE"""),"VBA")</f>
        <v>VBA</v>
      </c>
      <c r="F2366" s="9" t="str">
        <f>IFERROR(__xludf.DUMMYFUNCTION("""COMPUTED_VALUE"""),"Objective-C")</f>
        <v>Objective-C</v>
      </c>
      <c r="G2366" s="9" t="str">
        <f>IFERROR(__xludf.DUMMYFUNCTION("""COMPUTED_VALUE"""),"Elixir")</f>
        <v>Elixir</v>
      </c>
      <c r="H2366" s="9" t="str">
        <f>IFERROR(__xludf.DUMMYFUNCTION("""COMPUTED_VALUE"""),"HTML/CSS")</f>
        <v>HTML/CSS</v>
      </c>
      <c r="I2366" s="9" t="str">
        <f>IFERROR(__xludf.DUMMYFUNCTION("""COMPUTED_VALUE"""),"HTML/CSS")</f>
        <v>HTML/CSS</v>
      </c>
      <c r="J2366" s="9" t="str">
        <f>IFERROR(__xludf.DUMMYFUNCTION("""COMPUTED_VALUE"""),"Python")</f>
        <v>Python</v>
      </c>
      <c r="K2366" s="9" t="str">
        <f>IFERROR(__xludf.DUMMYFUNCTION("""COMPUTED_VALUE"""),"Dart")</f>
        <v>Dart</v>
      </c>
      <c r="L2366" s="9" t="str">
        <f>IFERROR(__xludf.DUMMYFUNCTION("""COMPUTED_VALUE"""),"Python")</f>
        <v>Python</v>
      </c>
      <c r="M2366" s="9" t="s">
        <v>22</v>
      </c>
    </row>
    <row r="2367" ht="15.75" customHeight="1">
      <c r="A2367" s="7"/>
      <c r="B2367" s="7" t="str">
        <f>IFERROR(__xludf.DUMMYFUNCTION("""COMPUTED_VALUE"""),"JavaScript;Ruby")</f>
        <v>JavaScript;Ruby</v>
      </c>
      <c r="C2367" s="9" t="str">
        <f>IFERROR(__xludf.DUMMYFUNCTION("""COMPUTED_VALUE"""),"SQL")</f>
        <v>SQL</v>
      </c>
      <c r="D2367" s="9" t="str">
        <f>IFERROR(__xludf.DUMMYFUNCTION("""COMPUTED_VALUE"""),"Go")</f>
        <v>Go</v>
      </c>
      <c r="E2367" s="9" t="str">
        <f>IFERROR(__xludf.DUMMYFUNCTION("""COMPUTED_VALUE"""),"Other(s):")</f>
        <v>Other(s):</v>
      </c>
      <c r="F2367" s="9" t="str">
        <f>IFERROR(__xludf.DUMMYFUNCTION("""COMPUTED_VALUE"""),"PHP")</f>
        <v>PHP</v>
      </c>
      <c r="G2367" s="9" t="str">
        <f>IFERROR(__xludf.DUMMYFUNCTION("""COMPUTED_VALUE"""),"HTML/CSS")</f>
        <v>HTML/CSS</v>
      </c>
      <c r="H2367" s="9" t="str">
        <f>IFERROR(__xludf.DUMMYFUNCTION("""COMPUTED_VALUE"""),"JavaScript")</f>
        <v>JavaScript</v>
      </c>
      <c r="I2367" s="9" t="str">
        <f>IFERROR(__xludf.DUMMYFUNCTION("""COMPUTED_VALUE"""),"Java")</f>
        <v>Java</v>
      </c>
      <c r="J2367" s="9" t="str">
        <f>IFERROR(__xludf.DUMMYFUNCTION("""COMPUTED_VALUE"""),"Scala")</f>
        <v>Scala</v>
      </c>
      <c r="K2367" s="9" t="str">
        <f>IFERROR(__xludf.DUMMYFUNCTION("""COMPUTED_VALUE"""),"Java")</f>
        <v>Java</v>
      </c>
      <c r="L2367" s="9" t="str">
        <f>IFERROR(__xludf.DUMMYFUNCTION("""COMPUTED_VALUE"""),"Bash/Shell/PowerShell")</f>
        <v>Bash/Shell/PowerShell</v>
      </c>
      <c r="M2367" s="9" t="s">
        <v>27</v>
      </c>
    </row>
    <row r="2368" ht="15.75" customHeight="1">
      <c r="A2368" s="7"/>
      <c r="B2368" s="7" t="str">
        <f>IFERROR(__xludf.DUMMYFUNCTION("""COMPUTED_VALUE"""),"Bash/Shell/PowerShell;C;C#;HTML/CSS;Java;JavaScript;Python;Ruby;SQL;TypeScript")</f>
        <v>Bash/Shell/PowerShell;C;C#;HTML/CSS;Java;JavaScript;Python;Ruby;SQL;TypeScript</v>
      </c>
      <c r="C2368" s="9" t="str">
        <f>IFERROR(__xludf.DUMMYFUNCTION("""COMPUTED_VALUE"""),"HTML/CSS")</f>
        <v>HTML/CSS</v>
      </c>
      <c r="D2368" s="9" t="str">
        <f>IFERROR(__xludf.DUMMYFUNCTION("""COMPUTED_VALUE"""),"JavaScript")</f>
        <v>JavaScript</v>
      </c>
      <c r="E2368" s="9" t="str">
        <f>IFERROR(__xludf.DUMMYFUNCTION("""COMPUTED_VALUE"""),"Assembly")</f>
        <v>Assembly</v>
      </c>
      <c r="F2368" s="9" t="str">
        <f>IFERROR(__xludf.DUMMYFUNCTION("""COMPUTED_VALUE"""),"SQL")</f>
        <v>SQL</v>
      </c>
      <c r="G2368" s="9" t="str">
        <f>IFERROR(__xludf.DUMMYFUNCTION("""COMPUTED_VALUE"""),"JavaScript")</f>
        <v>JavaScript</v>
      </c>
      <c r="H2368" s="9" t="str">
        <f>IFERROR(__xludf.DUMMYFUNCTION("""COMPUTED_VALUE"""),"TypeScript")</f>
        <v>TypeScript</v>
      </c>
      <c r="I2368" s="9" t="str">
        <f>IFERROR(__xludf.DUMMYFUNCTION("""COMPUTED_VALUE"""),"JavaScript")</f>
        <v>JavaScript</v>
      </c>
      <c r="J2368" s="9" t="str">
        <f>IFERROR(__xludf.DUMMYFUNCTION("""COMPUTED_VALUE"""),"SQL")</f>
        <v>SQL</v>
      </c>
      <c r="K2368" s="9" t="str">
        <f>IFERROR(__xludf.DUMMYFUNCTION("""COMPUTED_VALUE"""),"Python")</f>
        <v>Python</v>
      </c>
      <c r="L2368" s="9" t="str">
        <f>IFERROR(__xludf.DUMMYFUNCTION("""COMPUTED_VALUE"""),"HTML/CSS")</f>
        <v>HTML/CSS</v>
      </c>
      <c r="M2368" s="9" t="s">
        <v>24</v>
      </c>
    </row>
    <row r="2369" ht="15.75" customHeight="1">
      <c r="A2369" s="7"/>
      <c r="B2369" s="7" t="str">
        <f>IFERROR(__xludf.DUMMYFUNCTION("""COMPUTED_VALUE"""),"Bash/Shell/PowerShell;HTML/CSS;Java;JavaScript;PHP;Python;SQL")</f>
        <v>Bash/Shell/PowerShell;HTML/CSS;Java;JavaScript;PHP;Python;SQL</v>
      </c>
      <c r="C2369" s="9" t="str">
        <f>IFERROR(__xludf.DUMMYFUNCTION("""COMPUTED_VALUE"""),"Java")</f>
        <v>Java</v>
      </c>
      <c r="D2369" s="9" t="str">
        <f>IFERROR(__xludf.DUMMYFUNCTION("""COMPUTED_VALUE"""),"Python")</f>
        <v>Python</v>
      </c>
      <c r="E2369" s="9" t="str">
        <f>IFERROR(__xludf.DUMMYFUNCTION("""COMPUTED_VALUE"""),"C")</f>
        <v>C</v>
      </c>
      <c r="F2369" s="9" t="str">
        <f>IFERROR(__xludf.DUMMYFUNCTION("""COMPUTED_VALUE"""),"Swift")</f>
        <v>Swift</v>
      </c>
      <c r="G2369" s="9" t="str">
        <f>IFERROR(__xludf.DUMMYFUNCTION("""COMPUTED_VALUE"""),"TypeScript")</f>
        <v>TypeScript</v>
      </c>
      <c r="H2369" s="9" t="str">
        <f>IFERROR(__xludf.DUMMYFUNCTION("""COMPUTED_VALUE"""),"Python")</f>
        <v>Python</v>
      </c>
      <c r="I2369" s="9" t="str">
        <f>IFERROR(__xludf.DUMMYFUNCTION("""COMPUTED_VALUE"""),"PHP")</f>
        <v>PHP</v>
      </c>
      <c r="J2369" s="9" t="str">
        <f>IFERROR(__xludf.DUMMYFUNCTION("""COMPUTED_VALUE"""),"Swift")</f>
        <v>Swift</v>
      </c>
      <c r="K2369" s="9" t="str">
        <f>IFERROR(__xludf.DUMMYFUNCTION("""COMPUTED_VALUE"""),"Java")</f>
        <v>Java</v>
      </c>
      <c r="L2369" s="9" t="str">
        <f>IFERROR(__xludf.DUMMYFUNCTION("""COMPUTED_VALUE"""),"JavaScript")</f>
        <v>JavaScript</v>
      </c>
      <c r="M2369" s="9" t="s">
        <v>20</v>
      </c>
    </row>
    <row r="2370" ht="15.75" customHeight="1">
      <c r="A2370" s="7"/>
      <c r="B2370" s="7" t="str">
        <f>IFERROR(__xludf.DUMMYFUNCTION("""COMPUTED_VALUE"""),"HTML/CSS;JavaScript;Ruby")</f>
        <v>HTML/CSS;JavaScript;Ruby</v>
      </c>
      <c r="C2370" s="9" t="str">
        <f>IFERROR(__xludf.DUMMYFUNCTION("""COMPUTED_VALUE"""),"PHP")</f>
        <v>PHP</v>
      </c>
      <c r="D2370" s="9" t="str">
        <f>IFERROR(__xludf.DUMMYFUNCTION("""COMPUTED_VALUE"""),"HTML/CSS")</f>
        <v>HTML/CSS</v>
      </c>
      <c r="E2370" s="9" t="str">
        <f>IFERROR(__xludf.DUMMYFUNCTION("""COMPUTED_VALUE"""),"C++")</f>
        <v>C++</v>
      </c>
      <c r="F2370" s="9" t="str">
        <f>IFERROR(__xludf.DUMMYFUNCTION("""COMPUTED_VALUE"""),"TypeScript")</f>
        <v>TypeScript</v>
      </c>
      <c r="G2370" s="9" t="str">
        <f>IFERROR(__xludf.DUMMYFUNCTION("""COMPUTED_VALUE"""),"WebAssembly")</f>
        <v>WebAssembly</v>
      </c>
      <c r="H2370" s="9" t="str">
        <f>IFERROR(__xludf.DUMMYFUNCTION("""COMPUTED_VALUE"""),"R")</f>
        <v>R</v>
      </c>
      <c r="I2370" s="9" t="str">
        <f>IFERROR(__xludf.DUMMYFUNCTION("""COMPUTED_VALUE"""),"SQL")</f>
        <v>SQL</v>
      </c>
      <c r="J2370" s="9" t="str">
        <f>IFERROR(__xludf.DUMMYFUNCTION("""COMPUTED_VALUE"""),"TypeScript")</f>
        <v>TypeScript</v>
      </c>
      <c r="K2370" s="9" t="str">
        <f>IFERROR(__xludf.DUMMYFUNCTION("""COMPUTED_VALUE"""),"Bash/Shell/PowerShell")</f>
        <v>Bash/Shell/PowerShell</v>
      </c>
      <c r="L2370" s="9" t="str">
        <f>IFERROR(__xludf.DUMMYFUNCTION("""COMPUTED_VALUE"""),"PHP")</f>
        <v>PHP</v>
      </c>
      <c r="M2370" s="9" t="s">
        <v>37</v>
      </c>
    </row>
    <row r="2371" ht="15.75" customHeight="1">
      <c r="A2371" s="7"/>
      <c r="B2371" s="7" t="str">
        <f>IFERROR(__xludf.DUMMYFUNCTION("""COMPUTED_VALUE"""),"JavaScript;Ruby;SQL;Swift;TypeScript")</f>
        <v>JavaScript;Ruby;SQL;Swift;TypeScript</v>
      </c>
      <c r="C2371" s="9" t="str">
        <f>IFERROR(__xludf.DUMMYFUNCTION("""COMPUTED_VALUE"""),"Python")</f>
        <v>Python</v>
      </c>
      <c r="D2371" s="9" t="str">
        <f>IFERROR(__xludf.DUMMYFUNCTION("""COMPUTED_VALUE"""),"JavaScript")</f>
        <v>JavaScript</v>
      </c>
      <c r="E2371" s="9" t="str">
        <f>IFERROR(__xludf.DUMMYFUNCTION("""COMPUTED_VALUE"""),"C#")</f>
        <v>C#</v>
      </c>
      <c r="F2371" s="9" t="str">
        <f>IFERROR(__xludf.DUMMYFUNCTION("""COMPUTED_VALUE"""),"Assembly")</f>
        <v>Assembly</v>
      </c>
      <c r="G2371" s="9" t="str">
        <f>IFERROR(__xludf.DUMMYFUNCTION("""COMPUTED_VALUE"""),"Bash/Shell/PowerShell")</f>
        <v>Bash/Shell/PowerShell</v>
      </c>
      <c r="H2371" s="9" t="str">
        <f>IFERROR(__xludf.DUMMYFUNCTION("""COMPUTED_VALUE"""),"SQL")</f>
        <v>SQL</v>
      </c>
      <c r="I2371" s="9" t="str">
        <f>IFERROR(__xludf.DUMMYFUNCTION("""COMPUTED_VALUE"""),"Other(s):")</f>
        <v>Other(s):</v>
      </c>
      <c r="J2371" s="9" t="str">
        <f>IFERROR(__xludf.DUMMYFUNCTION("""COMPUTED_VALUE"""),"Go")</f>
        <v>Go</v>
      </c>
      <c r="K2371" s="9" t="str">
        <f>IFERROR(__xludf.DUMMYFUNCTION("""COMPUTED_VALUE"""),"C")</f>
        <v>C</v>
      </c>
      <c r="L2371" s="9" t="str">
        <f>IFERROR(__xludf.DUMMYFUNCTION("""COMPUTED_VALUE"""),"Python")</f>
        <v>Python</v>
      </c>
      <c r="M2371" s="9" t="s">
        <v>22</v>
      </c>
    </row>
    <row r="2372" ht="15.75" customHeight="1">
      <c r="A2372" s="7"/>
      <c r="B2372" s="7" t="str">
        <f>IFERROR(__xludf.DUMMYFUNCTION("""COMPUTED_VALUE"""),"PHP;SQL")</f>
        <v>PHP;SQL</v>
      </c>
      <c r="C2372" s="9" t="str">
        <f>IFERROR(__xludf.DUMMYFUNCTION("""COMPUTED_VALUE"""),"SQL")</f>
        <v>SQL</v>
      </c>
      <c r="D2372" s="9" t="str">
        <f>IFERROR(__xludf.DUMMYFUNCTION("""COMPUTED_VALUE"""),"Python")</f>
        <v>Python</v>
      </c>
      <c r="E2372" s="9" t="str">
        <f>IFERROR(__xludf.DUMMYFUNCTION("""COMPUTED_VALUE"""),"HTML/CSS")</f>
        <v>HTML/CSS</v>
      </c>
      <c r="F2372" s="9" t="str">
        <f>IFERROR(__xludf.DUMMYFUNCTION("""COMPUTED_VALUE"""),"Bash/Shell/PowerShell")</f>
        <v>Bash/Shell/PowerShell</v>
      </c>
      <c r="G2372" s="9" t="str">
        <f>IFERROR(__xludf.DUMMYFUNCTION("""COMPUTED_VALUE"""),"Java")</f>
        <v>Java</v>
      </c>
      <c r="H2372" s="9" t="str">
        <f>IFERROR(__xludf.DUMMYFUNCTION("""COMPUTED_VALUE"""),"C++")</f>
        <v>C++</v>
      </c>
      <c r="I2372" s="9" t="str">
        <f>IFERROR(__xludf.DUMMYFUNCTION("""COMPUTED_VALUE"""),"C#")</f>
        <v>C#</v>
      </c>
      <c r="J2372" s="9" t="str">
        <f>IFERROR(__xludf.DUMMYFUNCTION("""COMPUTED_VALUE"""),"JavaScript")</f>
        <v>JavaScript</v>
      </c>
      <c r="K2372" s="9" t="str">
        <f>IFERROR(__xludf.DUMMYFUNCTION("""COMPUTED_VALUE"""),"C++")</f>
        <v>C++</v>
      </c>
      <c r="L2372" s="9" t="str">
        <f>IFERROR(__xludf.DUMMYFUNCTION("""COMPUTED_VALUE"""),"SQL")</f>
        <v>SQL</v>
      </c>
      <c r="M2372" s="9" t="s">
        <v>27</v>
      </c>
    </row>
    <row r="2373" ht="15.75" customHeight="1">
      <c r="A2373" s="7"/>
      <c r="B2373" s="7" t="str">
        <f>IFERROR(__xludf.DUMMYFUNCTION("""COMPUTED_VALUE"""),"Bash/Shell/PowerShell;Go;JavaScript;Python;Rust")</f>
        <v>Bash/Shell/PowerShell;Go;JavaScript;Python;Rust</v>
      </c>
      <c r="C2373" s="9" t="str">
        <f>IFERROR(__xludf.DUMMYFUNCTION("""COMPUTED_VALUE"""),"Java")</f>
        <v>Java</v>
      </c>
      <c r="D2373" s="9" t="str">
        <f>IFERROR(__xludf.DUMMYFUNCTION("""COMPUTED_VALUE"""),"Assembly")</f>
        <v>Assembly</v>
      </c>
      <c r="E2373" s="9" t="str">
        <f>IFERROR(__xludf.DUMMYFUNCTION("""COMPUTED_VALUE"""),"JavaScript")</f>
        <v>JavaScript</v>
      </c>
      <c r="F2373" s="9" t="str">
        <f>IFERROR(__xludf.DUMMYFUNCTION("""COMPUTED_VALUE"""),"C")</f>
        <v>C</v>
      </c>
      <c r="G2373" s="9" t="str">
        <f>IFERROR(__xludf.DUMMYFUNCTION("""COMPUTED_VALUE"""),"PHP")</f>
        <v>PHP</v>
      </c>
      <c r="H2373" s="9" t="str">
        <f>IFERROR(__xludf.DUMMYFUNCTION("""COMPUTED_VALUE"""),"C#")</f>
        <v>C#</v>
      </c>
      <c r="I2373" s="9" t="str">
        <f>IFERROR(__xludf.DUMMYFUNCTION("""COMPUTED_VALUE"""),"HTML/CSS")</f>
        <v>HTML/CSS</v>
      </c>
      <c r="J2373" s="9" t="str">
        <f>IFERROR(__xludf.DUMMYFUNCTION("""COMPUTED_VALUE"""),"Ruby")</f>
        <v>Ruby</v>
      </c>
      <c r="K2373" s="9" t="str">
        <f>IFERROR(__xludf.DUMMYFUNCTION("""COMPUTED_VALUE"""),"Java")</f>
        <v>Java</v>
      </c>
      <c r="L2373" s="9" t="str">
        <f>IFERROR(__xludf.DUMMYFUNCTION("""COMPUTED_VALUE"""),"Other(s):")</f>
        <v>Other(s):</v>
      </c>
      <c r="M2373" s="9" t="s">
        <v>20</v>
      </c>
    </row>
    <row r="2374" ht="15.75" customHeight="1">
      <c r="A2374" s="7"/>
      <c r="B2374" s="7" t="str">
        <f>IFERROR(__xludf.DUMMYFUNCTION("""COMPUTED_VALUE"""),"Python")</f>
        <v>Python</v>
      </c>
      <c r="C2374" s="9" t="str">
        <f>IFERROR(__xludf.DUMMYFUNCTION("""COMPUTED_VALUE"""),"JavaScript")</f>
        <v>JavaScript</v>
      </c>
      <c r="D2374" s="9" t="str">
        <f>IFERROR(__xludf.DUMMYFUNCTION("""COMPUTED_VALUE"""),"Bash/Shell/PowerShell")</f>
        <v>Bash/Shell/PowerShell</v>
      </c>
      <c r="E2374" s="9" t="str">
        <f>IFERROR(__xludf.DUMMYFUNCTION("""COMPUTED_VALUE"""),"PHP")</f>
        <v>PHP</v>
      </c>
      <c r="F2374" s="9" t="str">
        <f>IFERROR(__xludf.DUMMYFUNCTION("""COMPUTED_VALUE"""),"C++")</f>
        <v>C++</v>
      </c>
      <c r="G2374" s="9" t="str">
        <f>IFERROR(__xludf.DUMMYFUNCTION("""COMPUTED_VALUE"""),"HTML/CSS")</f>
        <v>HTML/CSS</v>
      </c>
      <c r="H2374" s="9" t="str">
        <f>IFERROR(__xludf.DUMMYFUNCTION("""COMPUTED_VALUE"""),"HTML/CSS")</f>
        <v>HTML/CSS</v>
      </c>
      <c r="I2374" s="9" t="str">
        <f>IFERROR(__xludf.DUMMYFUNCTION("""COMPUTED_VALUE"""),"JavaScript")</f>
        <v>JavaScript</v>
      </c>
      <c r="J2374" s="9" t="str">
        <f>IFERROR(__xludf.DUMMYFUNCTION("""COMPUTED_VALUE"""),"C#")</f>
        <v>C#</v>
      </c>
      <c r="K2374" s="9" t="str">
        <f>IFERROR(__xludf.DUMMYFUNCTION("""COMPUTED_VALUE"""),"Kotlin")</f>
        <v>Kotlin</v>
      </c>
      <c r="L2374" s="9" t="str">
        <f>IFERROR(__xludf.DUMMYFUNCTION("""COMPUTED_VALUE"""),"HTML/CSS")</f>
        <v>HTML/CSS</v>
      </c>
      <c r="M2374" s="9" t="s">
        <v>21</v>
      </c>
    </row>
    <row r="2375" ht="15.75" customHeight="1">
      <c r="A2375" s="7"/>
      <c r="B2375" s="7" t="str">
        <f>IFERROR(__xludf.DUMMYFUNCTION("""COMPUTED_VALUE"""),"Bash/Shell/PowerShell;JavaScript;R;SQL")</f>
        <v>Bash/Shell/PowerShell;JavaScript;R;SQL</v>
      </c>
      <c r="C2375" s="9" t="str">
        <f>IFERROR(__xludf.DUMMYFUNCTION("""COMPUTED_VALUE"""),"Scala")</f>
        <v>Scala</v>
      </c>
      <c r="D2375" s="9" t="str">
        <f>IFERROR(__xludf.DUMMYFUNCTION("""COMPUTED_VALUE"""),"C#")</f>
        <v>C#</v>
      </c>
      <c r="E2375" s="9" t="str">
        <f>IFERROR(__xludf.DUMMYFUNCTION("""COMPUTED_VALUE"""),"SQL")</f>
        <v>SQL</v>
      </c>
      <c r="F2375" s="9" t="str">
        <f>IFERROR(__xludf.DUMMYFUNCTION("""COMPUTED_VALUE"""),"C#")</f>
        <v>C#</v>
      </c>
      <c r="G2375" s="9" t="str">
        <f>IFERROR(__xludf.DUMMYFUNCTION("""COMPUTED_VALUE"""),"Python")</f>
        <v>Python</v>
      </c>
      <c r="H2375" s="9" t="str">
        <f>IFERROR(__xludf.DUMMYFUNCTION("""COMPUTED_VALUE"""),"Java")</f>
        <v>Java</v>
      </c>
      <c r="I2375" s="9" t="str">
        <f>IFERROR(__xludf.DUMMYFUNCTION("""COMPUTED_VALUE"""),"PHP")</f>
        <v>PHP</v>
      </c>
      <c r="J2375" s="9" t="str">
        <f>IFERROR(__xludf.DUMMYFUNCTION("""COMPUTED_VALUE"""),"JavaScript")</f>
        <v>JavaScript</v>
      </c>
      <c r="K2375" s="9" t="str">
        <f>IFERROR(__xludf.DUMMYFUNCTION("""COMPUTED_VALUE"""),"Python")</f>
        <v>Python</v>
      </c>
      <c r="L2375" s="9" t="str">
        <f>IFERROR(__xludf.DUMMYFUNCTION("""COMPUTED_VALUE"""),"JavaScript")</f>
        <v>JavaScript</v>
      </c>
      <c r="M2375" s="9" t="s">
        <v>46</v>
      </c>
    </row>
    <row r="2376" ht="15.75" customHeight="1">
      <c r="A2376" s="7"/>
      <c r="B2376" s="7" t="str">
        <f>IFERROR(__xludf.DUMMYFUNCTION("""COMPUTED_VALUE"""),"Go;HTML/CSS;JavaScript;PHP;Ruby;SQL;TypeScript")</f>
        <v>Go;HTML/CSS;JavaScript;PHP;Ruby;SQL;TypeScript</v>
      </c>
      <c r="C2376" s="9" t="str">
        <f>IFERROR(__xludf.DUMMYFUNCTION("""COMPUTED_VALUE"""),"Bash/Shell/PowerShell")</f>
        <v>Bash/Shell/PowerShell</v>
      </c>
      <c r="D2376" s="9" t="str">
        <f>IFERROR(__xludf.DUMMYFUNCTION("""COMPUTED_VALUE"""),"HTML/CSS")</f>
        <v>HTML/CSS</v>
      </c>
      <c r="E2376" s="9" t="str">
        <f>IFERROR(__xludf.DUMMYFUNCTION("""COMPUTED_VALUE"""),"Bash/Shell/PowerShell")</f>
        <v>Bash/Shell/PowerShell</v>
      </c>
      <c r="F2376" s="9" t="str">
        <f>IFERROR(__xludf.DUMMYFUNCTION("""COMPUTED_VALUE"""),"Java")</f>
        <v>Java</v>
      </c>
      <c r="G2376" s="9" t="str">
        <f>IFERROR(__xludf.DUMMYFUNCTION("""COMPUTED_VALUE"""),"Bash/Shell/PowerShell")</f>
        <v>Bash/Shell/PowerShell</v>
      </c>
      <c r="H2376" s="9" t="str">
        <f>IFERROR(__xludf.DUMMYFUNCTION("""COMPUTED_VALUE"""),"JavaScript")</f>
        <v>JavaScript</v>
      </c>
      <c r="I2376" s="9" t="str">
        <f>IFERROR(__xludf.DUMMYFUNCTION("""COMPUTED_VALUE"""),"SQL")</f>
        <v>SQL</v>
      </c>
      <c r="J2376" s="9" t="str">
        <f>IFERROR(__xludf.DUMMYFUNCTION("""COMPUTED_VALUE"""),"TypeScript")</f>
        <v>TypeScript</v>
      </c>
      <c r="K2376" s="9" t="str">
        <f>IFERROR(__xludf.DUMMYFUNCTION("""COMPUTED_VALUE"""),"Ruby")</f>
        <v>Ruby</v>
      </c>
      <c r="L2376" s="9" t="str">
        <f>IFERROR(__xludf.DUMMYFUNCTION("""COMPUTED_VALUE"""),"PHP")</f>
        <v>PHP</v>
      </c>
      <c r="M2376" s="9" t="s">
        <v>30</v>
      </c>
    </row>
    <row r="2377" ht="15.75" customHeight="1">
      <c r="A2377" s="7"/>
      <c r="B2377" s="7" t="str">
        <f>IFERROR(__xludf.DUMMYFUNCTION("""COMPUTED_VALUE"""),"JavaScript;Python")</f>
        <v>JavaScript;Python</v>
      </c>
      <c r="C2377" s="9" t="str">
        <f>IFERROR(__xludf.DUMMYFUNCTION("""COMPUTED_VALUE"""),"HTML/CSS")</f>
        <v>HTML/CSS</v>
      </c>
      <c r="D2377" s="9" t="str">
        <f>IFERROR(__xludf.DUMMYFUNCTION("""COMPUTED_VALUE"""),"JavaScript")</f>
        <v>JavaScript</v>
      </c>
      <c r="E2377" s="9" t="str">
        <f>IFERROR(__xludf.DUMMYFUNCTION("""COMPUTED_VALUE"""),"HTML/CSS")</f>
        <v>HTML/CSS</v>
      </c>
      <c r="F2377" s="9" t="str">
        <f>IFERROR(__xludf.DUMMYFUNCTION("""COMPUTED_VALUE"""),"Python")</f>
        <v>Python</v>
      </c>
      <c r="G2377" s="9" t="str">
        <f>IFERROR(__xludf.DUMMYFUNCTION("""COMPUTED_VALUE"""),"Go")</f>
        <v>Go</v>
      </c>
      <c r="H2377" s="9" t="str">
        <f>IFERROR(__xludf.DUMMYFUNCTION("""COMPUTED_VALUE"""),"SQL")</f>
        <v>SQL</v>
      </c>
      <c r="I2377" s="9" t="str">
        <f>IFERROR(__xludf.DUMMYFUNCTION("""COMPUTED_VALUE"""),"TypeScript")</f>
        <v>TypeScript</v>
      </c>
      <c r="J2377" s="9" t="str">
        <f>IFERROR(__xludf.DUMMYFUNCTION("""COMPUTED_VALUE"""),"C#")</f>
        <v>C#</v>
      </c>
      <c r="K2377" s="9" t="str">
        <f>IFERROR(__xludf.DUMMYFUNCTION("""COMPUTED_VALUE"""),"SQL")</f>
        <v>SQL</v>
      </c>
      <c r="L2377" s="9" t="str">
        <f>IFERROR(__xludf.DUMMYFUNCTION("""COMPUTED_VALUE"""),"SQL")</f>
        <v>SQL</v>
      </c>
      <c r="M2377" s="9" t="s">
        <v>24</v>
      </c>
    </row>
    <row r="2378" ht="15.75" customHeight="1">
      <c r="A2378" s="7"/>
      <c r="B2378" s="7" t="str">
        <f>IFERROR(__xludf.DUMMYFUNCTION("""COMPUTED_VALUE"""),"HTML/CSS;TypeScript")</f>
        <v>HTML/CSS;TypeScript</v>
      </c>
      <c r="C2378" s="9" t="str">
        <f>IFERROR(__xludf.DUMMYFUNCTION("""COMPUTED_VALUE"""),"JavaScript")</f>
        <v>JavaScript</v>
      </c>
      <c r="D2378" s="9" t="str">
        <f>IFERROR(__xludf.DUMMYFUNCTION("""COMPUTED_VALUE"""),"PHP")</f>
        <v>PHP</v>
      </c>
      <c r="E2378" s="9" t="str">
        <f>IFERROR(__xludf.DUMMYFUNCTION("""COMPUTED_VALUE"""),"JavaScript")</f>
        <v>JavaScript</v>
      </c>
      <c r="F2378" s="9" t="str">
        <f>IFERROR(__xludf.DUMMYFUNCTION("""COMPUTED_VALUE"""),"SQL")</f>
        <v>SQL</v>
      </c>
      <c r="G2378" s="9" t="str">
        <f>IFERROR(__xludf.DUMMYFUNCTION("""COMPUTED_VALUE"""),"HTML/CSS")</f>
        <v>HTML/CSS</v>
      </c>
      <c r="H2378" s="9" t="str">
        <f>IFERROR(__xludf.DUMMYFUNCTION("""COMPUTED_VALUE"""),"TypeScript")</f>
        <v>TypeScript</v>
      </c>
      <c r="I2378" s="9" t="str">
        <f>IFERROR(__xludf.DUMMYFUNCTION("""COMPUTED_VALUE"""),"HTML/CSS")</f>
        <v>HTML/CSS</v>
      </c>
      <c r="J2378" s="9" t="str">
        <f>IFERROR(__xludf.DUMMYFUNCTION("""COMPUTED_VALUE"""),"HTML/CSS")</f>
        <v>HTML/CSS</v>
      </c>
      <c r="K2378" s="9" t="str">
        <f>IFERROR(__xludf.DUMMYFUNCTION("""COMPUTED_VALUE"""),"Bash/Shell/PowerShell")</f>
        <v>Bash/Shell/PowerShell</v>
      </c>
      <c r="L2378" s="9" t="str">
        <f>IFERROR(__xludf.DUMMYFUNCTION("""COMPUTED_VALUE"""),"HTML/CSS")</f>
        <v>HTML/CSS</v>
      </c>
      <c r="M2378" s="9" t="s">
        <v>21</v>
      </c>
    </row>
    <row r="2379" ht="15.75" customHeight="1">
      <c r="A2379" s="7"/>
      <c r="B2379" s="7" t="str">
        <f>IFERROR(__xludf.DUMMYFUNCTION("""COMPUTED_VALUE"""),"Bash/Shell/PowerShell;C++;HTML/CSS;Python")</f>
        <v>Bash/Shell/PowerShell;C++;HTML/CSS;Python</v>
      </c>
      <c r="C2379" s="9" t="str">
        <f>IFERROR(__xludf.DUMMYFUNCTION("""COMPUTED_VALUE"""),"TypeScript")</f>
        <v>TypeScript</v>
      </c>
      <c r="D2379" s="9" t="str">
        <f>IFERROR(__xludf.DUMMYFUNCTION("""COMPUTED_VALUE"""),"SQL")</f>
        <v>SQL</v>
      </c>
      <c r="E2379" s="9" t="str">
        <f>IFERROR(__xludf.DUMMYFUNCTION("""COMPUTED_VALUE"""),"TypeScript")</f>
        <v>TypeScript</v>
      </c>
      <c r="F2379" s="9" t="str">
        <f>IFERROR(__xludf.DUMMYFUNCTION("""COMPUTED_VALUE"""),"C++")</f>
        <v>C++</v>
      </c>
      <c r="G2379" s="9" t="str">
        <f>IFERROR(__xludf.DUMMYFUNCTION("""COMPUTED_VALUE"""),"JavaScript")</f>
        <v>JavaScript</v>
      </c>
      <c r="H2379" s="9" t="str">
        <f>IFERROR(__xludf.DUMMYFUNCTION("""COMPUTED_VALUE"""),"Elixir")</f>
        <v>Elixir</v>
      </c>
      <c r="I2379" s="9" t="str">
        <f>IFERROR(__xludf.DUMMYFUNCTION("""COMPUTED_VALUE"""),"JavaScript")</f>
        <v>JavaScript</v>
      </c>
      <c r="J2379" s="9" t="str">
        <f>IFERROR(__xludf.DUMMYFUNCTION("""COMPUTED_VALUE"""),"Java")</f>
        <v>Java</v>
      </c>
      <c r="K2379" s="9" t="str">
        <f>IFERROR(__xludf.DUMMYFUNCTION("""COMPUTED_VALUE"""),"Clojure")</f>
        <v>Clojure</v>
      </c>
      <c r="L2379" s="9" t="str">
        <f>IFERROR(__xludf.DUMMYFUNCTION("""COMPUTED_VALUE"""),"JavaScript")</f>
        <v>JavaScript</v>
      </c>
      <c r="M2379" s="9" t="s">
        <v>33</v>
      </c>
    </row>
    <row r="2380" ht="15.75" customHeight="1">
      <c r="A2380" s="7"/>
      <c r="B2380" s="7" t="str">
        <f>IFERROR(__xludf.DUMMYFUNCTION("""COMPUTED_VALUE"""),"Scala")</f>
        <v>Scala</v>
      </c>
      <c r="C2380" s="9" t="str">
        <f>IFERROR(__xludf.DUMMYFUNCTION("""COMPUTED_VALUE"""),"Bash/Shell/PowerShell")</f>
        <v>Bash/Shell/PowerShell</v>
      </c>
      <c r="D2380" s="9" t="str">
        <f>IFERROR(__xludf.DUMMYFUNCTION("""COMPUTED_VALUE"""),"Other(s):")</f>
        <v>Other(s):</v>
      </c>
      <c r="E2380" s="9" t="str">
        <f>IFERROR(__xludf.DUMMYFUNCTION("""COMPUTED_VALUE"""),"JavaScript")</f>
        <v>JavaScript</v>
      </c>
      <c r="F2380" s="9" t="str">
        <f>IFERROR(__xludf.DUMMYFUNCTION("""COMPUTED_VALUE"""),"Other(s):")</f>
        <v>Other(s):</v>
      </c>
      <c r="G2380" s="9" t="str">
        <f>IFERROR(__xludf.DUMMYFUNCTION("""COMPUTED_VALUE"""),"Python")</f>
        <v>Python</v>
      </c>
      <c r="H2380" s="9" t="str">
        <f>IFERROR(__xludf.DUMMYFUNCTION("""COMPUTED_VALUE"""),"HTML/CSS")</f>
        <v>HTML/CSS</v>
      </c>
      <c r="I2380" s="9" t="str">
        <f>IFERROR(__xludf.DUMMYFUNCTION("""COMPUTED_VALUE"""),"Python")</f>
        <v>Python</v>
      </c>
      <c r="J2380" s="9" t="str">
        <f>IFERROR(__xludf.DUMMYFUNCTION("""COMPUTED_VALUE"""),"JavaScript")</f>
        <v>JavaScript</v>
      </c>
      <c r="K2380" s="9" t="str">
        <f>IFERROR(__xludf.DUMMYFUNCTION("""COMPUTED_VALUE"""),"HTML/CSS")</f>
        <v>HTML/CSS</v>
      </c>
      <c r="L2380" s="9" t="str">
        <f>IFERROR(__xludf.DUMMYFUNCTION("""COMPUTED_VALUE"""),"PHP")</f>
        <v>PHP</v>
      </c>
      <c r="M2380" s="9" t="s">
        <v>30</v>
      </c>
    </row>
    <row r="2381" ht="15.75" customHeight="1">
      <c r="A2381" s="7"/>
      <c r="B2381" s="7" t="str">
        <f>IFERROR(__xludf.DUMMYFUNCTION("""COMPUTED_VALUE"""),"Bash/Shell/PowerShell;JavaScript;Python")</f>
        <v>Bash/Shell/PowerShell;JavaScript;Python</v>
      </c>
      <c r="C2381" s="9" t="str">
        <f>IFERROR(__xludf.DUMMYFUNCTION("""COMPUTED_VALUE"""),"C++")</f>
        <v>C++</v>
      </c>
      <c r="D2381" s="9" t="str">
        <f>IFERROR(__xludf.DUMMYFUNCTION("""COMPUTED_VALUE"""),"Bash/Shell/PowerShell")</f>
        <v>Bash/Shell/PowerShell</v>
      </c>
      <c r="E2381" s="9" t="str">
        <f>IFERROR(__xludf.DUMMYFUNCTION("""COMPUTED_VALUE"""),"Objective-C")</f>
        <v>Objective-C</v>
      </c>
      <c r="F2381" s="9" t="str">
        <f>IFERROR(__xludf.DUMMYFUNCTION("""COMPUTED_VALUE"""),"Bash/Shell/PowerShell")</f>
        <v>Bash/Shell/PowerShell</v>
      </c>
      <c r="G2381" s="9" t="str">
        <f>IFERROR(__xludf.DUMMYFUNCTION("""COMPUTED_VALUE"""),"SQL")</f>
        <v>SQL</v>
      </c>
      <c r="H2381" s="9" t="str">
        <f>IFERROR(__xludf.DUMMYFUNCTION("""COMPUTED_VALUE"""),"JavaScript")</f>
        <v>JavaScript</v>
      </c>
      <c r="I2381" s="9" t="str">
        <f>IFERROR(__xludf.DUMMYFUNCTION("""COMPUTED_VALUE"""),"VBA")</f>
        <v>VBA</v>
      </c>
      <c r="J2381" s="9" t="str">
        <f>IFERROR(__xludf.DUMMYFUNCTION("""COMPUTED_VALUE"""),"SQL")</f>
        <v>SQL</v>
      </c>
      <c r="K2381" s="9" t="str">
        <f>IFERROR(__xludf.DUMMYFUNCTION("""COMPUTED_VALUE"""),"JavaScript")</f>
        <v>JavaScript</v>
      </c>
      <c r="L2381" s="9" t="str">
        <f>IFERROR(__xludf.DUMMYFUNCTION("""COMPUTED_VALUE"""),"Python")</f>
        <v>Python</v>
      </c>
      <c r="M2381" s="9" t="s">
        <v>23</v>
      </c>
    </row>
    <row r="2382" ht="15.75" customHeight="1">
      <c r="A2382" s="7"/>
      <c r="B2382" s="7" t="str">
        <f>IFERROR(__xludf.DUMMYFUNCTION("""COMPUTED_VALUE"""),"Bash/Shell/PowerShell;C#;HTML/CSS;JavaScript;SQL")</f>
        <v>Bash/Shell/PowerShell;C#;HTML/CSS;JavaScript;SQL</v>
      </c>
      <c r="C2382" s="9" t="str">
        <f>IFERROR(__xludf.DUMMYFUNCTION("""COMPUTED_VALUE"""),"C#")</f>
        <v>C#</v>
      </c>
      <c r="D2382" s="9" t="str">
        <f>IFERROR(__xludf.DUMMYFUNCTION("""COMPUTED_VALUE"""),"C++")</f>
        <v>C++</v>
      </c>
      <c r="E2382" s="9" t="str">
        <f>IFERROR(__xludf.DUMMYFUNCTION("""COMPUTED_VALUE"""),"PHP")</f>
        <v>PHP</v>
      </c>
      <c r="F2382" s="9" t="str">
        <f>IFERROR(__xludf.DUMMYFUNCTION("""COMPUTED_VALUE"""),"C")</f>
        <v>C</v>
      </c>
      <c r="G2382" s="9" t="str">
        <f>IFERROR(__xludf.DUMMYFUNCTION("""COMPUTED_VALUE"""),"Other(s):")</f>
        <v>Other(s):</v>
      </c>
      <c r="H2382" s="9" t="str">
        <f>IFERROR(__xludf.DUMMYFUNCTION("""COMPUTED_VALUE"""),"TypeScript")</f>
        <v>TypeScript</v>
      </c>
      <c r="I2382" s="9" t="str">
        <f>IFERROR(__xludf.DUMMYFUNCTION("""COMPUTED_VALUE"""),"JavaScript")</f>
        <v>JavaScript</v>
      </c>
      <c r="J2382" s="9" t="str">
        <f>IFERROR(__xludf.DUMMYFUNCTION("""COMPUTED_VALUE"""),"Bash/Shell/PowerShell")</f>
        <v>Bash/Shell/PowerShell</v>
      </c>
      <c r="K2382" s="9" t="str">
        <f>IFERROR(__xludf.DUMMYFUNCTION("""COMPUTED_VALUE"""),"Ruby")</f>
        <v>Ruby</v>
      </c>
      <c r="L2382" s="9" t="str">
        <f>IFERROR(__xludf.DUMMYFUNCTION("""COMPUTED_VALUE"""),"TypeScript")</f>
        <v>TypeScript</v>
      </c>
      <c r="M2382" s="9" t="s">
        <v>26</v>
      </c>
    </row>
    <row r="2383" ht="15.75" customHeight="1">
      <c r="A2383" s="7"/>
      <c r="B2383" s="7" t="str">
        <f>IFERROR(__xludf.DUMMYFUNCTION("""COMPUTED_VALUE"""),"JavaScript;PHP;SQL;TypeScript")</f>
        <v>JavaScript;PHP;SQL;TypeScript</v>
      </c>
      <c r="C2383" s="9" t="str">
        <f>IFERROR(__xludf.DUMMYFUNCTION("""COMPUTED_VALUE"""),"HTML/CSS")</f>
        <v>HTML/CSS</v>
      </c>
      <c r="D2383" s="9" t="str">
        <f>IFERROR(__xludf.DUMMYFUNCTION("""COMPUTED_VALUE"""),"HTML/CSS")</f>
        <v>HTML/CSS</v>
      </c>
      <c r="E2383" s="9" t="str">
        <f>IFERROR(__xludf.DUMMYFUNCTION("""COMPUTED_VALUE"""),"Swift")</f>
        <v>Swift</v>
      </c>
      <c r="F2383" s="9" t="str">
        <f>IFERROR(__xludf.DUMMYFUNCTION("""COMPUTED_VALUE"""),"C++")</f>
        <v>C++</v>
      </c>
      <c r="G2383" s="9" t="str">
        <f>IFERROR(__xludf.DUMMYFUNCTION("""COMPUTED_VALUE"""),"HTML/CSS")</f>
        <v>HTML/CSS</v>
      </c>
      <c r="H2383" s="9" t="str">
        <f>IFERROR(__xludf.DUMMYFUNCTION("""COMPUTED_VALUE"""),"C#")</f>
        <v>C#</v>
      </c>
      <c r="I2383" s="9" t="str">
        <f>IFERROR(__xludf.DUMMYFUNCTION("""COMPUTED_VALUE"""),"Python")</f>
        <v>Python</v>
      </c>
      <c r="J2383" s="9" t="str">
        <f>IFERROR(__xludf.DUMMYFUNCTION("""COMPUTED_VALUE"""),"HTML/CSS")</f>
        <v>HTML/CSS</v>
      </c>
      <c r="K2383" s="9" t="str">
        <f>IFERROR(__xludf.DUMMYFUNCTION("""COMPUTED_VALUE"""),"C#")</f>
        <v>C#</v>
      </c>
      <c r="L2383" s="9" t="str">
        <f>IFERROR(__xludf.DUMMYFUNCTION("""COMPUTED_VALUE"""),"HTML/CSS")</f>
        <v>HTML/CSS</v>
      </c>
      <c r="M2383" s="9" t="s">
        <v>24</v>
      </c>
    </row>
    <row r="2384" ht="15.75" customHeight="1">
      <c r="A2384" s="7"/>
      <c r="B2384" s="7" t="str">
        <f>IFERROR(__xludf.DUMMYFUNCTION("""COMPUTED_VALUE"""),"Clojure;Java;Python;SQL")</f>
        <v>Clojure;Java;Python;SQL</v>
      </c>
      <c r="C2384" s="9" t="str">
        <f>IFERROR(__xludf.DUMMYFUNCTION("""COMPUTED_VALUE"""),"JavaScript")</f>
        <v>JavaScript</v>
      </c>
      <c r="D2384" s="9" t="str">
        <f>IFERROR(__xludf.DUMMYFUNCTION("""COMPUTED_VALUE"""),"JavaScript")</f>
        <v>JavaScript</v>
      </c>
      <c r="E2384" s="9" t="str">
        <f>IFERROR(__xludf.DUMMYFUNCTION("""COMPUTED_VALUE"""),"TypeScript")</f>
        <v>TypeScript</v>
      </c>
      <c r="F2384" s="9" t="str">
        <f>IFERROR(__xludf.DUMMYFUNCTION("""COMPUTED_VALUE"""),"Python")</f>
        <v>Python</v>
      </c>
      <c r="G2384" s="9" t="str">
        <f>IFERROR(__xludf.DUMMYFUNCTION("""COMPUTED_VALUE"""),"JavaScript")</f>
        <v>JavaScript</v>
      </c>
      <c r="H2384" s="9" t="str">
        <f>IFERROR(__xludf.DUMMYFUNCTION("""COMPUTED_VALUE"""),"JavaScript")</f>
        <v>JavaScript</v>
      </c>
      <c r="I2384" s="9" t="str">
        <f>IFERROR(__xludf.DUMMYFUNCTION("""COMPUTED_VALUE"""),"Ruby")</f>
        <v>Ruby</v>
      </c>
      <c r="J2384" s="9" t="str">
        <f>IFERROR(__xludf.DUMMYFUNCTION("""COMPUTED_VALUE"""),"Java")</f>
        <v>Java</v>
      </c>
      <c r="K2384" s="9" t="str">
        <f>IFERROR(__xludf.DUMMYFUNCTION("""COMPUTED_VALUE"""),"HTML/CSS")</f>
        <v>HTML/CSS</v>
      </c>
      <c r="L2384" s="9" t="str">
        <f>IFERROR(__xludf.DUMMYFUNCTION("""COMPUTED_VALUE"""),"JavaScript")</f>
        <v>JavaScript</v>
      </c>
      <c r="M2384" s="9" t="s">
        <v>21</v>
      </c>
    </row>
    <row r="2385" ht="15.75" customHeight="1">
      <c r="A2385" s="7"/>
      <c r="B2385" s="7" t="str">
        <f>IFERROR(__xludf.DUMMYFUNCTION("""COMPUTED_VALUE"""),"Bash/Shell/PowerShell;Java")</f>
        <v>Bash/Shell/PowerShell;Java</v>
      </c>
      <c r="C2385" s="9" t="str">
        <f>IFERROR(__xludf.DUMMYFUNCTION("""COMPUTED_VALUE"""),"PHP")</f>
        <v>PHP</v>
      </c>
      <c r="D2385" s="9" t="str">
        <f>IFERROR(__xludf.DUMMYFUNCTION("""COMPUTED_VALUE"""),"Python")</f>
        <v>Python</v>
      </c>
      <c r="E2385" s="9" t="str">
        <f>IFERROR(__xludf.DUMMYFUNCTION("""COMPUTED_VALUE"""),"Other(s):")</f>
        <v>Other(s):</v>
      </c>
      <c r="F2385" s="9" t="str">
        <f>IFERROR(__xludf.DUMMYFUNCTION("""COMPUTED_VALUE"""),"HTML/CSS")</f>
        <v>HTML/CSS</v>
      </c>
      <c r="G2385" s="9" t="str">
        <f>IFERROR(__xludf.DUMMYFUNCTION("""COMPUTED_VALUE"""),"PHP")</f>
        <v>PHP</v>
      </c>
      <c r="H2385" s="9" t="str">
        <f>IFERROR(__xludf.DUMMYFUNCTION("""COMPUTED_VALUE"""),"SQL")</f>
        <v>SQL</v>
      </c>
      <c r="I2385" s="9" t="str">
        <f>IFERROR(__xludf.DUMMYFUNCTION("""COMPUTED_VALUE"""),"C")</f>
        <v>C</v>
      </c>
      <c r="J2385" s="9" t="str">
        <f>IFERROR(__xludf.DUMMYFUNCTION("""COMPUTED_VALUE"""),"JavaScript")</f>
        <v>JavaScript</v>
      </c>
      <c r="K2385" s="9" t="str">
        <f>IFERROR(__xludf.DUMMYFUNCTION("""COMPUTED_VALUE"""),"Java")</f>
        <v>Java</v>
      </c>
      <c r="L2385" s="9" t="str">
        <f>IFERROR(__xludf.DUMMYFUNCTION("""COMPUTED_VALUE"""),"PHP")</f>
        <v>PHP</v>
      </c>
      <c r="M2385" s="9" t="s">
        <v>37</v>
      </c>
    </row>
    <row r="2386" ht="15.75" customHeight="1">
      <c r="A2386" s="7"/>
      <c r="B2386" s="7" t="str">
        <f>IFERROR(__xludf.DUMMYFUNCTION("""COMPUTED_VALUE"""),"Bash/Shell/PowerShell;C#;HTML/CSS;JavaScript;Python")</f>
        <v>Bash/Shell/PowerShell;C#;HTML/CSS;JavaScript;Python</v>
      </c>
      <c r="C2386" s="9" t="str">
        <f>IFERROR(__xludf.DUMMYFUNCTION("""COMPUTED_VALUE"""),"SQL")</f>
        <v>SQL</v>
      </c>
      <c r="D2386" s="9" t="str">
        <f>IFERROR(__xludf.DUMMYFUNCTION("""COMPUTED_VALUE"""),"Ruby")</f>
        <v>Ruby</v>
      </c>
      <c r="E2386" s="9" t="str">
        <f>IFERROR(__xludf.DUMMYFUNCTION("""COMPUTED_VALUE"""),"Bash/Shell/PowerShell")</f>
        <v>Bash/Shell/PowerShell</v>
      </c>
      <c r="F2386" s="9" t="str">
        <f>IFERROR(__xludf.DUMMYFUNCTION("""COMPUTED_VALUE"""),"JavaScript")</f>
        <v>JavaScript</v>
      </c>
      <c r="G2386" s="9" t="str">
        <f>IFERROR(__xludf.DUMMYFUNCTION("""COMPUTED_VALUE"""),"SQL")</f>
        <v>SQL</v>
      </c>
      <c r="H2386" s="9" t="str">
        <f>IFERROR(__xludf.DUMMYFUNCTION("""COMPUTED_VALUE"""),"Dart")</f>
        <v>Dart</v>
      </c>
      <c r="I2386" s="9" t="str">
        <f>IFERROR(__xludf.DUMMYFUNCTION("""COMPUTED_VALUE"""),"C++")</f>
        <v>C++</v>
      </c>
      <c r="J2386" s="9" t="str">
        <f>IFERROR(__xludf.DUMMYFUNCTION("""COMPUTED_VALUE"""),"SQL")</f>
        <v>SQL</v>
      </c>
      <c r="K2386" s="9" t="str">
        <f>IFERROR(__xludf.DUMMYFUNCTION("""COMPUTED_VALUE"""),"JavaScript")</f>
        <v>JavaScript</v>
      </c>
      <c r="L2386" s="9" t="str">
        <f>IFERROR(__xludf.DUMMYFUNCTION("""COMPUTED_VALUE"""),"SQL")</f>
        <v>SQL</v>
      </c>
      <c r="M2386" s="9" t="s">
        <v>27</v>
      </c>
    </row>
    <row r="2387" ht="15.75" customHeight="1">
      <c r="A2387" s="7"/>
      <c r="B2387" s="7" t="str">
        <f>IFERROR(__xludf.DUMMYFUNCTION("""COMPUTED_VALUE"""),"Scala")</f>
        <v>Scala</v>
      </c>
      <c r="C2387" s="9" t="str">
        <f>IFERROR(__xludf.DUMMYFUNCTION("""COMPUTED_VALUE"""),"TypeScript")</f>
        <v>TypeScript</v>
      </c>
      <c r="D2387" s="9" t="str">
        <f>IFERROR(__xludf.DUMMYFUNCTION("""COMPUTED_VALUE"""),"TypeScript")</f>
        <v>TypeScript</v>
      </c>
      <c r="E2387" s="9" t="str">
        <f>IFERROR(__xludf.DUMMYFUNCTION("""COMPUTED_VALUE"""),"C")</f>
        <v>C</v>
      </c>
      <c r="F2387" s="9" t="str">
        <f>IFERROR(__xludf.DUMMYFUNCTION("""COMPUTED_VALUE"""),"Assembly")</f>
        <v>Assembly</v>
      </c>
      <c r="G2387" s="9" t="str">
        <f>IFERROR(__xludf.DUMMYFUNCTION("""COMPUTED_VALUE"""),"Other(s):")</f>
        <v>Other(s):</v>
      </c>
      <c r="H2387" s="9" t="str">
        <f>IFERROR(__xludf.DUMMYFUNCTION("""COMPUTED_VALUE"""),"Java")</f>
        <v>Java</v>
      </c>
      <c r="I2387" s="9" t="str">
        <f>IFERROR(__xludf.DUMMYFUNCTION("""COMPUTED_VALUE"""),"C#")</f>
        <v>C#</v>
      </c>
      <c r="J2387" s="9" t="str">
        <f>IFERROR(__xludf.DUMMYFUNCTION("""COMPUTED_VALUE"""),"C++")</f>
        <v>C++</v>
      </c>
      <c r="K2387" s="9" t="str">
        <f>IFERROR(__xludf.DUMMYFUNCTION("""COMPUTED_VALUE"""),"PHP")</f>
        <v>PHP</v>
      </c>
      <c r="L2387" s="9" t="str">
        <f>IFERROR(__xludf.DUMMYFUNCTION("""COMPUTED_VALUE"""),"TypeScript")</f>
        <v>TypeScript</v>
      </c>
      <c r="M2387" s="9" t="s">
        <v>33</v>
      </c>
    </row>
    <row r="2388" ht="15.75" customHeight="1">
      <c r="A2388" s="7"/>
      <c r="B2388" s="7" t="str">
        <f>IFERROR(__xludf.DUMMYFUNCTION("""COMPUTED_VALUE"""),"Bash/Shell/PowerShell;Go;Python;Ruby")</f>
        <v>Bash/Shell/PowerShell;Go;Python;Ruby</v>
      </c>
      <c r="C2388" s="9" t="str">
        <f>IFERROR(__xludf.DUMMYFUNCTION("""COMPUTED_VALUE"""),"C")</f>
        <v>C</v>
      </c>
      <c r="D2388" s="9" t="str">
        <f>IFERROR(__xludf.DUMMYFUNCTION("""COMPUTED_VALUE"""),"JavaScript")</f>
        <v>JavaScript</v>
      </c>
      <c r="E2388" s="9" t="str">
        <f>IFERROR(__xludf.DUMMYFUNCTION("""COMPUTED_VALUE"""),"C++")</f>
        <v>C++</v>
      </c>
      <c r="F2388" s="9" t="str">
        <f>IFERROR(__xludf.DUMMYFUNCTION("""COMPUTED_VALUE"""),"C++")</f>
        <v>C++</v>
      </c>
      <c r="G2388" s="9" t="str">
        <f>IFERROR(__xludf.DUMMYFUNCTION("""COMPUTED_VALUE"""),"C#")</f>
        <v>C#</v>
      </c>
      <c r="H2388" s="9" t="str">
        <f>IFERROR(__xludf.DUMMYFUNCTION("""COMPUTED_VALUE"""),"JavaScript")</f>
        <v>JavaScript</v>
      </c>
      <c r="I2388" s="9" t="str">
        <f>IFERROR(__xludf.DUMMYFUNCTION("""COMPUTED_VALUE"""),"Java")</f>
        <v>Java</v>
      </c>
      <c r="J2388" s="9" t="str">
        <f>IFERROR(__xludf.DUMMYFUNCTION("""COMPUTED_VALUE"""),"Java")</f>
        <v>Java</v>
      </c>
      <c r="K2388" s="9" t="str">
        <f>IFERROR(__xludf.DUMMYFUNCTION("""COMPUTED_VALUE"""),"SQL")</f>
        <v>SQL</v>
      </c>
      <c r="L2388" s="9" t="str">
        <f>IFERROR(__xludf.DUMMYFUNCTION("""COMPUTED_VALUE"""),"Java")</f>
        <v>Java</v>
      </c>
      <c r="M2388" s="9" t="s">
        <v>25</v>
      </c>
    </row>
    <row r="2389" ht="15.75" customHeight="1">
      <c r="A2389" s="7"/>
      <c r="B2389" s="7" t="str">
        <f>IFERROR(__xludf.DUMMYFUNCTION("""COMPUTED_VALUE"""),"Assembly;Bash/Shell/PowerShell;C;HTML/CSS;Java;JavaScript;Python;VBA")</f>
        <v>Assembly;Bash/Shell/PowerShell;C;HTML/CSS;Java;JavaScript;Python;VBA</v>
      </c>
      <c r="C2389" s="9" t="str">
        <f>IFERROR(__xludf.DUMMYFUNCTION("""COMPUTED_VALUE"""),"C++")</f>
        <v>C++</v>
      </c>
      <c r="D2389" s="9" t="str">
        <f>IFERROR(__xludf.DUMMYFUNCTION("""COMPUTED_VALUE"""),"R")</f>
        <v>R</v>
      </c>
      <c r="E2389" s="9" t="str">
        <f>IFERROR(__xludf.DUMMYFUNCTION("""COMPUTED_VALUE"""),"HTML/CSS")</f>
        <v>HTML/CSS</v>
      </c>
      <c r="F2389" s="9" t="str">
        <f>IFERROR(__xludf.DUMMYFUNCTION("""COMPUTED_VALUE"""),"C#")</f>
        <v>C#</v>
      </c>
      <c r="G2389" s="9" t="str">
        <f>IFERROR(__xludf.DUMMYFUNCTION("""COMPUTED_VALUE"""),"HTML/CSS")</f>
        <v>HTML/CSS</v>
      </c>
      <c r="H2389" s="9" t="str">
        <f>IFERROR(__xludf.DUMMYFUNCTION("""COMPUTED_VALUE"""),"Objective-C")</f>
        <v>Objective-C</v>
      </c>
      <c r="I2389" s="9" t="str">
        <f>IFERROR(__xludf.DUMMYFUNCTION("""COMPUTED_VALUE"""),"Python")</f>
        <v>Python</v>
      </c>
      <c r="J2389" s="9" t="str">
        <f>IFERROR(__xludf.DUMMYFUNCTION("""COMPUTED_VALUE"""),"Python")</f>
        <v>Python</v>
      </c>
      <c r="K2389" s="9" t="str">
        <f>IFERROR(__xludf.DUMMYFUNCTION("""COMPUTED_VALUE"""),"TypeScript")</f>
        <v>TypeScript</v>
      </c>
      <c r="L2389" s="9" t="str">
        <f>IFERROR(__xludf.DUMMYFUNCTION("""COMPUTED_VALUE"""),"JavaScript")</f>
        <v>JavaScript</v>
      </c>
      <c r="M2389" s="9" t="s">
        <v>23</v>
      </c>
    </row>
    <row r="2390" ht="15.75" customHeight="1">
      <c r="A2390" s="7"/>
      <c r="B2390" s="7" t="str">
        <f>IFERROR(__xludf.DUMMYFUNCTION("""COMPUTED_VALUE"""),"Bash/Shell/PowerShell;C#;Go;PHP;Python;SQL;VBA")</f>
        <v>Bash/Shell/PowerShell;C#;Go;PHP;Python;SQL;VBA</v>
      </c>
      <c r="C2390" s="9" t="str">
        <f>IFERROR(__xludf.DUMMYFUNCTION("""COMPUTED_VALUE"""),"C#")</f>
        <v>C#</v>
      </c>
      <c r="D2390" s="9" t="str">
        <f>IFERROR(__xludf.DUMMYFUNCTION("""COMPUTED_VALUE"""),"HTML/CSS")</f>
        <v>HTML/CSS</v>
      </c>
      <c r="E2390" s="9" t="str">
        <f>IFERROR(__xludf.DUMMYFUNCTION("""COMPUTED_VALUE"""),"JavaScript")</f>
        <v>JavaScript</v>
      </c>
      <c r="F2390" s="9" t="str">
        <f>IFERROR(__xludf.DUMMYFUNCTION("""COMPUTED_VALUE"""),"HTML/CSS")</f>
        <v>HTML/CSS</v>
      </c>
      <c r="G2390" s="9" t="str">
        <f>IFERROR(__xludf.DUMMYFUNCTION("""COMPUTED_VALUE"""),"JavaScript")</f>
        <v>JavaScript</v>
      </c>
      <c r="H2390" s="9" t="str">
        <f>IFERROR(__xludf.DUMMYFUNCTION("""COMPUTED_VALUE"""),"Python")</f>
        <v>Python</v>
      </c>
      <c r="I2390" s="9" t="str">
        <f>IFERROR(__xludf.DUMMYFUNCTION("""COMPUTED_VALUE"""),"C")</f>
        <v>C</v>
      </c>
      <c r="J2390" s="9" t="str">
        <f>IFERROR(__xludf.DUMMYFUNCTION("""COMPUTED_VALUE"""),"SQL")</f>
        <v>SQL</v>
      </c>
      <c r="K2390" s="9" t="str">
        <f>IFERROR(__xludf.DUMMYFUNCTION("""COMPUTED_VALUE"""),"Bash/Shell/PowerShell")</f>
        <v>Bash/Shell/PowerShell</v>
      </c>
      <c r="L2390" s="9" t="str">
        <f>IFERROR(__xludf.DUMMYFUNCTION("""COMPUTED_VALUE"""),"C#")</f>
        <v>C#</v>
      </c>
      <c r="M2390" s="9" t="s">
        <v>26</v>
      </c>
    </row>
    <row r="2391" ht="15.75" customHeight="1">
      <c r="A2391" s="7"/>
      <c r="B2391" s="7" t="str">
        <f>IFERROR(__xludf.DUMMYFUNCTION("""COMPUTED_VALUE"""),"HTML/CSS;Python;Other(s):")</f>
        <v>HTML/CSS;Python;Other(s):</v>
      </c>
      <c r="C2391" s="9" t="str">
        <f>IFERROR(__xludf.DUMMYFUNCTION("""COMPUTED_VALUE"""),"Java")</f>
        <v>Java</v>
      </c>
      <c r="D2391" s="9" t="str">
        <f>IFERROR(__xludf.DUMMYFUNCTION("""COMPUTED_VALUE"""),"Java")</f>
        <v>Java</v>
      </c>
      <c r="E2391" s="9" t="str">
        <f>IFERROR(__xludf.DUMMYFUNCTION("""COMPUTED_VALUE"""),"Python")</f>
        <v>Python</v>
      </c>
      <c r="F2391" s="9" t="str">
        <f>IFERROR(__xludf.DUMMYFUNCTION("""COMPUTED_VALUE"""),"PHP")</f>
        <v>PHP</v>
      </c>
      <c r="G2391" s="9" t="str">
        <f>IFERROR(__xludf.DUMMYFUNCTION("""COMPUTED_VALUE"""),"SQL")</f>
        <v>SQL</v>
      </c>
      <c r="H2391" s="9" t="str">
        <f>IFERROR(__xludf.DUMMYFUNCTION("""COMPUTED_VALUE"""),"Swift")</f>
        <v>Swift</v>
      </c>
      <c r="I2391" s="9" t="str">
        <f>IFERROR(__xludf.DUMMYFUNCTION("""COMPUTED_VALUE"""),"C++")</f>
        <v>C++</v>
      </c>
      <c r="J2391" s="9" t="str">
        <f>IFERROR(__xludf.DUMMYFUNCTION("""COMPUTED_VALUE"""),"R")</f>
        <v>R</v>
      </c>
      <c r="K2391" s="9" t="str">
        <f>IFERROR(__xludf.DUMMYFUNCTION("""COMPUTED_VALUE"""),"C")</f>
        <v>C</v>
      </c>
      <c r="L2391" s="9" t="str">
        <f>IFERROR(__xludf.DUMMYFUNCTION("""COMPUTED_VALUE"""),"HTML/CSS")</f>
        <v>HTML/CSS</v>
      </c>
      <c r="M2391" s="9" t="s">
        <v>20</v>
      </c>
    </row>
    <row r="2392" ht="15.75" customHeight="1">
      <c r="A2392" s="7"/>
      <c r="B2392" s="7" t="str">
        <f>IFERROR(__xludf.DUMMYFUNCTION("""COMPUTED_VALUE"""),"Python")</f>
        <v>Python</v>
      </c>
      <c r="C2392" s="9" t="str">
        <f>IFERROR(__xludf.DUMMYFUNCTION("""COMPUTED_VALUE"""),"C++")</f>
        <v>C++</v>
      </c>
      <c r="D2392" s="9" t="str">
        <f>IFERROR(__xludf.DUMMYFUNCTION("""COMPUTED_VALUE"""),"JavaScript")</f>
        <v>JavaScript</v>
      </c>
      <c r="E2392" s="9" t="str">
        <f>IFERROR(__xludf.DUMMYFUNCTION("""COMPUTED_VALUE"""),"TypeScript")</f>
        <v>TypeScript</v>
      </c>
      <c r="F2392" s="9" t="str">
        <f>IFERROR(__xludf.DUMMYFUNCTION("""COMPUTED_VALUE"""),"SQL")</f>
        <v>SQL</v>
      </c>
      <c r="G2392" s="9" t="str">
        <f>IFERROR(__xludf.DUMMYFUNCTION("""COMPUTED_VALUE"""),"TypeScript")</f>
        <v>TypeScript</v>
      </c>
      <c r="H2392" s="9" t="str">
        <f>IFERROR(__xludf.DUMMYFUNCTION("""COMPUTED_VALUE"""),"Java")</f>
        <v>Java</v>
      </c>
      <c r="I2392" s="9" t="str">
        <f>IFERROR(__xludf.DUMMYFUNCTION("""COMPUTED_VALUE"""),"C#")</f>
        <v>C#</v>
      </c>
      <c r="J2392" s="9" t="str">
        <f>IFERROR(__xludf.DUMMYFUNCTION("""COMPUTED_VALUE"""),"VBA")</f>
        <v>VBA</v>
      </c>
      <c r="K2392" s="9" t="str">
        <f>IFERROR(__xludf.DUMMYFUNCTION("""COMPUTED_VALUE"""),"C#")</f>
        <v>C#</v>
      </c>
      <c r="L2392" s="9" t="str">
        <f>IFERROR(__xludf.DUMMYFUNCTION("""COMPUTED_VALUE"""),"JavaScript")</f>
        <v>JavaScript</v>
      </c>
      <c r="M2392" s="9" t="s">
        <v>23</v>
      </c>
    </row>
    <row r="2393" ht="15.75" customHeight="1">
      <c r="A2393" s="7"/>
      <c r="B2393" s="7" t="str">
        <f>IFERROR(__xludf.DUMMYFUNCTION("""COMPUTED_VALUE"""),"Bash/Shell/PowerShell;Go;JavaScript;Python;Ruby;SQL")</f>
        <v>Bash/Shell/PowerShell;Go;JavaScript;Python;Ruby;SQL</v>
      </c>
      <c r="C2393" s="9" t="str">
        <f>IFERROR(__xludf.DUMMYFUNCTION("""COMPUTED_VALUE"""),"Python")</f>
        <v>Python</v>
      </c>
      <c r="D2393" s="9" t="str">
        <f>IFERROR(__xludf.DUMMYFUNCTION("""COMPUTED_VALUE"""),"TypeScript")</f>
        <v>TypeScript</v>
      </c>
      <c r="E2393" s="9" t="str">
        <f>IFERROR(__xludf.DUMMYFUNCTION("""COMPUTED_VALUE"""),"Assembly")</f>
        <v>Assembly</v>
      </c>
      <c r="F2393" s="9" t="str">
        <f>IFERROR(__xludf.DUMMYFUNCTION("""COMPUTED_VALUE"""),"Clojure")</f>
        <v>Clojure</v>
      </c>
      <c r="G2393" s="9" t="str">
        <f>IFERROR(__xludf.DUMMYFUNCTION("""COMPUTED_VALUE"""),"Bash/Shell/PowerShell")</f>
        <v>Bash/Shell/PowerShell</v>
      </c>
      <c r="H2393" s="9" t="str">
        <f>IFERROR(__xludf.DUMMYFUNCTION("""COMPUTED_VALUE"""),"SQL")</f>
        <v>SQL</v>
      </c>
      <c r="I2393" s="9" t="str">
        <f>IFERROR(__xludf.DUMMYFUNCTION("""COMPUTED_VALUE"""),"HTML/CSS")</f>
        <v>HTML/CSS</v>
      </c>
      <c r="J2393" s="9" t="str">
        <f>IFERROR(__xludf.DUMMYFUNCTION("""COMPUTED_VALUE"""),"C#")</f>
        <v>C#</v>
      </c>
      <c r="K2393" s="9" t="str">
        <f>IFERROR(__xludf.DUMMYFUNCTION("""COMPUTED_VALUE"""),"HTML/CSS")</f>
        <v>HTML/CSS</v>
      </c>
      <c r="L2393" s="9" t="str">
        <f>IFERROR(__xludf.DUMMYFUNCTION("""COMPUTED_VALUE"""),"Objective-C")</f>
        <v>Objective-C</v>
      </c>
      <c r="M2393" s="9" t="s">
        <v>22</v>
      </c>
    </row>
    <row r="2394" ht="15.75" customHeight="1">
      <c r="A2394" s="7"/>
      <c r="B2394" s="7" t="str">
        <f>IFERROR(__xludf.DUMMYFUNCTION("""COMPUTED_VALUE"""),"HTML/CSS")</f>
        <v>HTML/CSS</v>
      </c>
      <c r="C2394" s="9" t="str">
        <f>IFERROR(__xludf.DUMMYFUNCTION("""COMPUTED_VALUE"""),"HTML/CSS")</f>
        <v>HTML/CSS</v>
      </c>
      <c r="D2394" s="9" t="str">
        <f>IFERROR(__xludf.DUMMYFUNCTION("""COMPUTED_VALUE"""),"Bash/Shell/PowerShell")</f>
        <v>Bash/Shell/PowerShell</v>
      </c>
      <c r="E2394" s="9" t="str">
        <f>IFERROR(__xludf.DUMMYFUNCTION("""COMPUTED_VALUE"""),"Bash/Shell/PowerShell")</f>
        <v>Bash/Shell/PowerShell</v>
      </c>
      <c r="F2394" s="9" t="str">
        <f>IFERROR(__xludf.DUMMYFUNCTION("""COMPUTED_VALUE"""),"JavaScript")</f>
        <v>JavaScript</v>
      </c>
      <c r="G2394" s="9" t="str">
        <f>IFERROR(__xludf.DUMMYFUNCTION("""COMPUTED_VALUE"""),"C#")</f>
        <v>C#</v>
      </c>
      <c r="H2394" s="9" t="str">
        <f>IFERROR(__xludf.DUMMYFUNCTION("""COMPUTED_VALUE"""),"Bash/Shell/PowerShell")</f>
        <v>Bash/Shell/PowerShell</v>
      </c>
      <c r="I2394" s="9" t="str">
        <f>IFERROR(__xludf.DUMMYFUNCTION("""COMPUTED_VALUE"""),"JavaScript")</f>
        <v>JavaScript</v>
      </c>
      <c r="J2394" s="9" t="str">
        <f>IFERROR(__xludf.DUMMYFUNCTION("""COMPUTED_VALUE"""),"HTML/CSS")</f>
        <v>HTML/CSS</v>
      </c>
      <c r="K2394" s="9" t="str">
        <f>IFERROR(__xludf.DUMMYFUNCTION("""COMPUTED_VALUE"""),"JavaScript")</f>
        <v>JavaScript</v>
      </c>
      <c r="L2394" s="9" t="str">
        <f>IFERROR(__xludf.DUMMYFUNCTION("""COMPUTED_VALUE"""),"HTML/CSS")</f>
        <v>HTML/CSS</v>
      </c>
      <c r="M2394" s="9" t="s">
        <v>24</v>
      </c>
    </row>
    <row r="2395" ht="15.75" customHeight="1">
      <c r="A2395" s="7"/>
      <c r="B2395" s="7" t="str">
        <f>IFERROR(__xludf.DUMMYFUNCTION("""COMPUTED_VALUE"""),"C++;Java;VBA")</f>
        <v>C++;Java;VBA</v>
      </c>
      <c r="C2395" s="9" t="str">
        <f>IFERROR(__xludf.DUMMYFUNCTION("""COMPUTED_VALUE"""),"JavaScript")</f>
        <v>JavaScript</v>
      </c>
      <c r="D2395" s="9" t="str">
        <f>IFERROR(__xludf.DUMMYFUNCTION("""COMPUTED_VALUE"""),"HTML/CSS")</f>
        <v>HTML/CSS</v>
      </c>
      <c r="E2395" s="9" t="str">
        <f>IFERROR(__xludf.DUMMYFUNCTION("""COMPUTED_VALUE"""),"C")</f>
        <v>C</v>
      </c>
      <c r="F2395" s="9" t="str">
        <f>IFERROR(__xludf.DUMMYFUNCTION("""COMPUTED_VALUE"""),"Kotlin")</f>
        <v>Kotlin</v>
      </c>
      <c r="G2395" s="9" t="str">
        <f>IFERROR(__xludf.DUMMYFUNCTION("""COMPUTED_VALUE"""),"JavaScript")</f>
        <v>JavaScript</v>
      </c>
      <c r="H2395" s="9" t="str">
        <f>IFERROR(__xludf.DUMMYFUNCTION("""COMPUTED_VALUE"""),"Python")</f>
        <v>Python</v>
      </c>
      <c r="I2395" s="9" t="str">
        <f>IFERROR(__xludf.DUMMYFUNCTION("""COMPUTED_VALUE"""),"TypeScript")</f>
        <v>TypeScript</v>
      </c>
      <c r="J2395" s="9" t="str">
        <f>IFERROR(__xludf.DUMMYFUNCTION("""COMPUTED_VALUE"""),"JavaScript")</f>
        <v>JavaScript</v>
      </c>
      <c r="K2395" s="9" t="str">
        <f>IFERROR(__xludf.DUMMYFUNCTION("""COMPUTED_VALUE"""),"Python")</f>
        <v>Python</v>
      </c>
      <c r="L2395" s="9" t="str">
        <f>IFERROR(__xludf.DUMMYFUNCTION("""COMPUTED_VALUE"""),"JavaScript")</f>
        <v>JavaScript</v>
      </c>
      <c r="M2395" s="9" t="s">
        <v>21</v>
      </c>
    </row>
    <row r="2396" ht="15.75" customHeight="1">
      <c r="A2396" s="7"/>
      <c r="B2396" s="7" t="str">
        <f>IFERROR(__xludf.DUMMYFUNCTION("""COMPUTED_VALUE"""),"Go;HTML/CSS;Java;JavaScript")</f>
        <v>Go;HTML/CSS;Java;JavaScript</v>
      </c>
      <c r="C2396" s="9" t="str">
        <f>IFERROR(__xludf.DUMMYFUNCTION("""COMPUTED_VALUE"""),"Ruby")</f>
        <v>Ruby</v>
      </c>
      <c r="D2396" s="9" t="str">
        <f>IFERROR(__xludf.DUMMYFUNCTION("""COMPUTED_VALUE"""),"JavaScript")</f>
        <v>JavaScript</v>
      </c>
      <c r="E2396" s="9" t="str">
        <f>IFERROR(__xludf.DUMMYFUNCTION("""COMPUTED_VALUE"""),"C++")</f>
        <v>C++</v>
      </c>
      <c r="F2396" s="9" t="str">
        <f>IFERROR(__xludf.DUMMYFUNCTION("""COMPUTED_VALUE"""),"TypeScript")</f>
        <v>TypeScript</v>
      </c>
      <c r="G2396" s="9" t="str">
        <f>IFERROR(__xludf.DUMMYFUNCTION("""COMPUTED_VALUE"""),"Python")</f>
        <v>Python</v>
      </c>
      <c r="H2396" s="9" t="str">
        <f>IFERROR(__xludf.DUMMYFUNCTION("""COMPUTED_VALUE"""),"HTML/CSS")</f>
        <v>HTML/CSS</v>
      </c>
      <c r="I2396" s="9" t="str">
        <f>IFERROR(__xludf.DUMMYFUNCTION("""COMPUTED_VALUE"""),"Java")</f>
        <v>Java</v>
      </c>
      <c r="J2396" s="9" t="str">
        <f>IFERROR(__xludf.DUMMYFUNCTION("""COMPUTED_VALUE"""),"SQL")</f>
        <v>SQL</v>
      </c>
      <c r="K2396" s="9" t="str">
        <f>IFERROR(__xludf.DUMMYFUNCTION("""COMPUTED_VALUE"""),"Bash/Shell/PowerShell")</f>
        <v>Bash/Shell/PowerShell</v>
      </c>
      <c r="L2396" s="9" t="str">
        <f>IFERROR(__xludf.DUMMYFUNCTION("""COMPUTED_VALUE"""),"PHP")</f>
        <v>PHP</v>
      </c>
      <c r="M2396" s="9" t="s">
        <v>31</v>
      </c>
    </row>
    <row r="2397" ht="15.75" customHeight="1">
      <c r="A2397" s="7"/>
      <c r="B2397" s="7" t="str">
        <f>IFERROR(__xludf.DUMMYFUNCTION("""COMPUTED_VALUE"""),"Bash/Shell/PowerShell;HTML/CSS;Java;JavaScript;PHP;Python;Scala;TypeScript;Other(s):")</f>
        <v>Bash/Shell/PowerShell;HTML/CSS;Java;JavaScript;PHP;Python;Scala;TypeScript;Other(s):</v>
      </c>
      <c r="C2397" s="9" t="str">
        <f>IFERROR(__xludf.DUMMYFUNCTION("""COMPUTED_VALUE"""),"Java")</f>
        <v>Java</v>
      </c>
      <c r="D2397" s="9" t="str">
        <f>IFERROR(__xludf.DUMMYFUNCTION("""COMPUTED_VALUE"""),"Python")</f>
        <v>Python</v>
      </c>
      <c r="E2397" s="9" t="str">
        <f>IFERROR(__xludf.DUMMYFUNCTION("""COMPUTED_VALUE"""),"Swift")</f>
        <v>Swift</v>
      </c>
      <c r="F2397" s="9" t="str">
        <f>IFERROR(__xludf.DUMMYFUNCTION("""COMPUTED_VALUE"""),"Bash/Shell/PowerShell")</f>
        <v>Bash/Shell/PowerShell</v>
      </c>
      <c r="G2397" s="9" t="str">
        <f>IFERROR(__xludf.DUMMYFUNCTION("""COMPUTED_VALUE"""),"SQL")</f>
        <v>SQL</v>
      </c>
      <c r="H2397" s="9" t="str">
        <f>IFERROR(__xludf.DUMMYFUNCTION("""COMPUTED_VALUE"""),"Java")</f>
        <v>Java</v>
      </c>
      <c r="I2397" s="9" t="str">
        <f>IFERROR(__xludf.DUMMYFUNCTION("""COMPUTED_VALUE"""),"SQL")</f>
        <v>SQL</v>
      </c>
      <c r="J2397" s="9" t="str">
        <f>IFERROR(__xludf.DUMMYFUNCTION("""COMPUTED_VALUE"""),"C++")</f>
        <v>C++</v>
      </c>
      <c r="K2397" s="9" t="str">
        <f>IFERROR(__xludf.DUMMYFUNCTION("""COMPUTED_VALUE"""),"HTML/CSS")</f>
        <v>HTML/CSS</v>
      </c>
      <c r="L2397" s="9" t="str">
        <f>IFERROR(__xludf.DUMMYFUNCTION("""COMPUTED_VALUE"""),"SQL")</f>
        <v>SQL</v>
      </c>
      <c r="M2397" s="9" t="s">
        <v>20</v>
      </c>
    </row>
    <row r="2398" ht="15.75" customHeight="1">
      <c r="A2398" s="7"/>
      <c r="B2398" s="7" t="str">
        <f>IFERROR(__xludf.DUMMYFUNCTION("""COMPUTED_VALUE"""),"Bash/Shell/PowerShell;Go;HTML/CSS;JavaScript;Ruby")</f>
        <v>Bash/Shell/PowerShell;Go;HTML/CSS;JavaScript;Ruby</v>
      </c>
      <c r="C2398" s="9" t="str">
        <f>IFERROR(__xludf.DUMMYFUNCTION("""COMPUTED_VALUE"""),"Objective-C")</f>
        <v>Objective-C</v>
      </c>
      <c r="D2398" s="9" t="str">
        <f>IFERROR(__xludf.DUMMYFUNCTION("""COMPUTED_VALUE"""),"SQL")</f>
        <v>SQL</v>
      </c>
      <c r="E2398" s="9" t="str">
        <f>IFERROR(__xludf.DUMMYFUNCTION("""COMPUTED_VALUE"""),"TypeScript")</f>
        <v>TypeScript</v>
      </c>
      <c r="F2398" s="9" t="str">
        <f>IFERROR(__xludf.DUMMYFUNCTION("""COMPUTED_VALUE"""),"C")</f>
        <v>C</v>
      </c>
      <c r="G2398" s="9" t="str">
        <f>IFERROR(__xludf.DUMMYFUNCTION("""COMPUTED_VALUE"""),"WebAssembly")</f>
        <v>WebAssembly</v>
      </c>
      <c r="H2398" s="9" t="str">
        <f>IFERROR(__xludf.DUMMYFUNCTION("""COMPUTED_VALUE"""),"JavaScript")</f>
        <v>JavaScript</v>
      </c>
      <c r="I2398" s="9" t="str">
        <f>IFERROR(__xludf.DUMMYFUNCTION("""COMPUTED_VALUE"""),"C#")</f>
        <v>C#</v>
      </c>
      <c r="J2398" s="9" t="str">
        <f>IFERROR(__xludf.DUMMYFUNCTION("""COMPUTED_VALUE"""),"HTML/CSS")</f>
        <v>HTML/CSS</v>
      </c>
      <c r="K2398" s="9" t="str">
        <f>IFERROR(__xludf.DUMMYFUNCTION("""COMPUTED_VALUE"""),"JavaScript")</f>
        <v>JavaScript</v>
      </c>
      <c r="L2398" s="9" t="str">
        <f>IFERROR(__xludf.DUMMYFUNCTION("""COMPUTED_VALUE"""),"C")</f>
        <v>C</v>
      </c>
      <c r="M2398" s="9" t="s">
        <v>41</v>
      </c>
    </row>
    <row r="2399" ht="15.75" customHeight="1">
      <c r="A2399" s="7"/>
      <c r="B2399" s="7" t="str">
        <f>IFERROR(__xludf.DUMMYFUNCTION("""COMPUTED_VALUE"""),"Java;JavaScript;Python;SQL;Other(s):")</f>
        <v>Java;JavaScript;Python;SQL;Other(s):</v>
      </c>
      <c r="C2399" s="9" t="str">
        <f>IFERROR(__xludf.DUMMYFUNCTION("""COMPUTED_VALUE"""),"Bash/Shell/PowerShell")</f>
        <v>Bash/Shell/PowerShell</v>
      </c>
      <c r="D2399" s="9" t="str">
        <f>IFERROR(__xludf.DUMMYFUNCTION("""COMPUTED_VALUE"""),"TypeScript")</f>
        <v>TypeScript</v>
      </c>
      <c r="E2399" s="9" t="str">
        <f>IFERROR(__xludf.DUMMYFUNCTION("""COMPUTED_VALUE"""),"HTML/CSS")</f>
        <v>HTML/CSS</v>
      </c>
      <c r="F2399" s="9" t="str">
        <f>IFERROR(__xludf.DUMMYFUNCTION("""COMPUTED_VALUE"""),"C++")</f>
        <v>C++</v>
      </c>
      <c r="G2399" s="9" t="str">
        <f>IFERROR(__xludf.DUMMYFUNCTION("""COMPUTED_VALUE"""),"Bash/Shell/PowerShell")</f>
        <v>Bash/Shell/PowerShell</v>
      </c>
      <c r="H2399" s="9" t="str">
        <f>IFERROR(__xludf.DUMMYFUNCTION("""COMPUTED_VALUE"""),"Python")</f>
        <v>Python</v>
      </c>
      <c r="I2399" s="9" t="str">
        <f>IFERROR(__xludf.DUMMYFUNCTION("""COMPUTED_VALUE"""),"Python")</f>
        <v>Python</v>
      </c>
      <c r="J2399" s="9" t="str">
        <f>IFERROR(__xludf.DUMMYFUNCTION("""COMPUTED_VALUE"""),"Java")</f>
        <v>Java</v>
      </c>
      <c r="K2399" s="9" t="str">
        <f>IFERROR(__xludf.DUMMYFUNCTION("""COMPUTED_VALUE"""),"Python")</f>
        <v>Python</v>
      </c>
      <c r="L2399" s="9" t="str">
        <f>IFERROR(__xludf.DUMMYFUNCTION("""COMPUTED_VALUE"""),"C++")</f>
        <v>C++</v>
      </c>
      <c r="M2399" s="9" t="s">
        <v>30</v>
      </c>
    </row>
    <row r="2400" ht="15.75" customHeight="1">
      <c r="A2400" s="7"/>
      <c r="B2400" s="7" t="str">
        <f>IFERROR(__xludf.DUMMYFUNCTION("""COMPUTED_VALUE"""),"C#")</f>
        <v>C#</v>
      </c>
      <c r="C2400" s="9" t="str">
        <f>IFERROR(__xludf.DUMMYFUNCTION("""COMPUTED_VALUE"""),"Go")</f>
        <v>Go</v>
      </c>
      <c r="D2400" s="9" t="str">
        <f>IFERROR(__xludf.DUMMYFUNCTION("""COMPUTED_VALUE"""),"R")</f>
        <v>R</v>
      </c>
      <c r="E2400" s="9" t="str">
        <f>IFERROR(__xludf.DUMMYFUNCTION("""COMPUTED_VALUE"""),"JavaScript")</f>
        <v>JavaScript</v>
      </c>
      <c r="F2400" s="9" t="str">
        <f>IFERROR(__xludf.DUMMYFUNCTION("""COMPUTED_VALUE"""),"C#")</f>
        <v>C#</v>
      </c>
      <c r="G2400" s="9" t="str">
        <f>IFERROR(__xludf.DUMMYFUNCTION("""COMPUTED_VALUE"""),"C++")</f>
        <v>C++</v>
      </c>
      <c r="H2400" s="9" t="str">
        <f>IFERROR(__xludf.DUMMYFUNCTION("""COMPUTED_VALUE"""),"R")</f>
        <v>R</v>
      </c>
      <c r="I2400" s="9" t="str">
        <f>IFERROR(__xludf.DUMMYFUNCTION("""COMPUTED_VALUE"""),"JavaScript")</f>
        <v>JavaScript</v>
      </c>
      <c r="J2400" s="9" t="str">
        <f>IFERROR(__xludf.DUMMYFUNCTION("""COMPUTED_VALUE"""),"JavaScript")</f>
        <v>JavaScript</v>
      </c>
      <c r="K2400" s="9" t="str">
        <f>IFERROR(__xludf.DUMMYFUNCTION("""COMPUTED_VALUE"""),"R")</f>
        <v>R</v>
      </c>
      <c r="L2400" s="9" t="str">
        <f>IFERROR(__xludf.DUMMYFUNCTION("""COMPUTED_VALUE"""),"Java")</f>
        <v>Java</v>
      </c>
      <c r="M2400" s="9" t="s">
        <v>36</v>
      </c>
    </row>
    <row r="2401" ht="15.75" customHeight="1">
      <c r="A2401" s="7"/>
      <c r="B2401" s="7" t="str">
        <f>IFERROR(__xludf.DUMMYFUNCTION("""COMPUTED_VALUE"""),"C;C++;HTML/CSS;JavaScript;PHP;Python;SQL;VBA")</f>
        <v>C;C++;HTML/CSS;JavaScript;PHP;Python;SQL;VBA</v>
      </c>
      <c r="C2401" s="9" t="str">
        <f>IFERROR(__xludf.DUMMYFUNCTION("""COMPUTED_VALUE"""),"HTML/CSS")</f>
        <v>HTML/CSS</v>
      </c>
      <c r="D2401" s="9" t="str">
        <f>IFERROR(__xludf.DUMMYFUNCTION("""COMPUTED_VALUE"""),"C++")</f>
        <v>C++</v>
      </c>
      <c r="E2401" s="9" t="str">
        <f>IFERROR(__xludf.DUMMYFUNCTION("""COMPUTED_VALUE"""),"PHP")</f>
        <v>PHP</v>
      </c>
      <c r="F2401" s="9" t="str">
        <f>IFERROR(__xludf.DUMMYFUNCTION("""COMPUTED_VALUE"""),"Go")</f>
        <v>Go</v>
      </c>
      <c r="G2401" s="9" t="str">
        <f>IFERROR(__xludf.DUMMYFUNCTION("""COMPUTED_VALUE"""),"HTML/CSS")</f>
        <v>HTML/CSS</v>
      </c>
      <c r="H2401" s="9" t="str">
        <f>IFERROR(__xludf.DUMMYFUNCTION("""COMPUTED_VALUE"""),"SQL")</f>
        <v>SQL</v>
      </c>
      <c r="I2401" s="9" t="str">
        <f>IFERROR(__xludf.DUMMYFUNCTION("""COMPUTED_VALUE"""),"PHP")</f>
        <v>PHP</v>
      </c>
      <c r="J2401" s="9" t="str">
        <f>IFERROR(__xludf.DUMMYFUNCTION("""COMPUTED_VALUE"""),"PHP")</f>
        <v>PHP</v>
      </c>
      <c r="K2401" s="9" t="str">
        <f>IFERROR(__xludf.DUMMYFUNCTION("""COMPUTED_VALUE"""),"SQL")</f>
        <v>SQL</v>
      </c>
      <c r="L2401" s="9" t="str">
        <f>IFERROR(__xludf.DUMMYFUNCTION("""COMPUTED_VALUE"""),"Python")</f>
        <v>Python</v>
      </c>
      <c r="M2401" s="9" t="s">
        <v>24</v>
      </c>
    </row>
    <row r="2402" ht="15.75" customHeight="1">
      <c r="A2402" s="7"/>
      <c r="B2402" s="7" t="str">
        <f>IFERROR(__xludf.DUMMYFUNCTION("""COMPUTED_VALUE"""),"Bash/Shell/PowerShell;C;C++;Rust")</f>
        <v>Bash/Shell/PowerShell;C;C++;Rust</v>
      </c>
      <c r="C2402" s="9" t="str">
        <f>IFERROR(__xludf.DUMMYFUNCTION("""COMPUTED_VALUE"""),"JavaScript")</f>
        <v>JavaScript</v>
      </c>
      <c r="D2402" s="9" t="str">
        <f>IFERROR(__xludf.DUMMYFUNCTION("""COMPUTED_VALUE"""),"HTML/CSS")</f>
        <v>HTML/CSS</v>
      </c>
      <c r="E2402" s="9" t="str">
        <f>IFERROR(__xludf.DUMMYFUNCTION("""COMPUTED_VALUE"""),"SQL")</f>
        <v>SQL</v>
      </c>
      <c r="F2402" s="9" t="str">
        <f>IFERROR(__xludf.DUMMYFUNCTION("""COMPUTED_VALUE"""),"HTML/CSS")</f>
        <v>HTML/CSS</v>
      </c>
      <c r="G2402" s="9" t="str">
        <f>IFERROR(__xludf.DUMMYFUNCTION("""COMPUTED_VALUE"""),"JavaScript")</f>
        <v>JavaScript</v>
      </c>
      <c r="H2402" s="9" t="str">
        <f>IFERROR(__xludf.DUMMYFUNCTION("""COMPUTED_VALUE"""),"Bash/Shell/PowerShell")</f>
        <v>Bash/Shell/PowerShell</v>
      </c>
      <c r="I2402" s="9" t="str">
        <f>IFERROR(__xludf.DUMMYFUNCTION("""COMPUTED_VALUE"""),"Bash/Shell/PowerShell")</f>
        <v>Bash/Shell/PowerShell</v>
      </c>
      <c r="J2402" s="9" t="str">
        <f>IFERROR(__xludf.DUMMYFUNCTION("""COMPUTED_VALUE"""),"SQL")</f>
        <v>SQL</v>
      </c>
      <c r="K2402" s="9" t="str">
        <f>IFERROR(__xludf.DUMMYFUNCTION("""COMPUTED_VALUE"""),"HTML/CSS")</f>
        <v>HTML/CSS</v>
      </c>
      <c r="L2402" s="9" t="str">
        <f>IFERROR(__xludf.DUMMYFUNCTION("""COMPUTED_VALUE"""),"Assembly")</f>
        <v>Assembly</v>
      </c>
      <c r="M2402" s="9" t="s">
        <v>21</v>
      </c>
    </row>
    <row r="2403" ht="15.75" customHeight="1">
      <c r="A2403" s="7"/>
      <c r="B2403" s="7" t="str">
        <f>IFERROR(__xludf.DUMMYFUNCTION("""COMPUTED_VALUE"""),"C#;HTML/CSS;JavaScript;SQL")</f>
        <v>C#;HTML/CSS;JavaScript;SQL</v>
      </c>
      <c r="C2403" s="9" t="str">
        <f>IFERROR(__xludf.DUMMYFUNCTION("""COMPUTED_VALUE"""),"C#")</f>
        <v>C#</v>
      </c>
      <c r="D2403" s="9" t="str">
        <f>IFERROR(__xludf.DUMMYFUNCTION("""COMPUTED_VALUE"""),"Java")</f>
        <v>Java</v>
      </c>
      <c r="E2403" s="9" t="str">
        <f>IFERROR(__xludf.DUMMYFUNCTION("""COMPUTED_VALUE"""),"JavaScript")</f>
        <v>JavaScript</v>
      </c>
      <c r="F2403" s="9" t="str">
        <f>IFERROR(__xludf.DUMMYFUNCTION("""COMPUTED_VALUE"""),"JavaScript")</f>
        <v>JavaScript</v>
      </c>
      <c r="G2403" s="9" t="str">
        <f>IFERROR(__xludf.DUMMYFUNCTION("""COMPUTED_VALUE"""),"Python")</f>
        <v>Python</v>
      </c>
      <c r="H2403" s="9" t="str">
        <f>IFERROR(__xludf.DUMMYFUNCTION("""COMPUTED_VALUE"""),"C#")</f>
        <v>C#</v>
      </c>
      <c r="I2403" s="9" t="str">
        <f>IFERROR(__xludf.DUMMYFUNCTION("""COMPUTED_VALUE"""),"C#")</f>
        <v>C#</v>
      </c>
      <c r="J2403" s="9" t="str">
        <f>IFERROR(__xludf.DUMMYFUNCTION("""COMPUTED_VALUE"""),"C")</f>
        <v>C</v>
      </c>
      <c r="K2403" s="9" t="str">
        <f>IFERROR(__xludf.DUMMYFUNCTION("""COMPUTED_VALUE"""),"JavaScript")</f>
        <v>JavaScript</v>
      </c>
      <c r="L2403" s="9" t="str">
        <f>IFERROR(__xludf.DUMMYFUNCTION("""COMPUTED_VALUE"""),"C")</f>
        <v>C</v>
      </c>
      <c r="M2403" s="9" t="s">
        <v>26</v>
      </c>
    </row>
    <row r="2404" ht="15.75" customHeight="1">
      <c r="A2404" s="7"/>
      <c r="B2404" s="7" t="str">
        <f>IFERROR(__xludf.DUMMYFUNCTION("""COMPUTED_VALUE"""),"C#;HTML/CSS;JavaScript;Python;SQL")</f>
        <v>C#;HTML/CSS;JavaScript;Python;SQL</v>
      </c>
      <c r="C2404" s="9" t="str">
        <f>IFERROR(__xludf.DUMMYFUNCTION("""COMPUTED_VALUE"""),"Java")</f>
        <v>Java</v>
      </c>
      <c r="D2404" s="9" t="str">
        <f>IFERROR(__xludf.DUMMYFUNCTION("""COMPUTED_VALUE"""),"JavaScript")</f>
        <v>JavaScript</v>
      </c>
      <c r="E2404" s="9" t="str">
        <f>IFERROR(__xludf.DUMMYFUNCTION("""COMPUTED_VALUE"""),"Python")</f>
        <v>Python</v>
      </c>
      <c r="F2404" s="9" t="str">
        <f>IFERROR(__xludf.DUMMYFUNCTION("""COMPUTED_VALUE"""),"Kotlin")</f>
        <v>Kotlin</v>
      </c>
      <c r="G2404" s="9" t="str">
        <f>IFERROR(__xludf.DUMMYFUNCTION("""COMPUTED_VALUE"""),"TypeScript")</f>
        <v>TypeScript</v>
      </c>
      <c r="H2404" s="9" t="str">
        <f>IFERROR(__xludf.DUMMYFUNCTION("""COMPUTED_VALUE"""),"TypeScript")</f>
        <v>TypeScript</v>
      </c>
      <c r="I2404" s="9" t="str">
        <f>IFERROR(__xludf.DUMMYFUNCTION("""COMPUTED_VALUE"""),"HTML/CSS")</f>
        <v>HTML/CSS</v>
      </c>
      <c r="J2404" s="9" t="str">
        <f>IFERROR(__xludf.DUMMYFUNCTION("""COMPUTED_VALUE"""),"C++")</f>
        <v>C++</v>
      </c>
      <c r="K2404" s="9" t="str">
        <f>IFERROR(__xludf.DUMMYFUNCTION("""COMPUTED_VALUE"""),"TypeScript")</f>
        <v>TypeScript</v>
      </c>
      <c r="L2404" s="9" t="str">
        <f>IFERROR(__xludf.DUMMYFUNCTION("""COMPUTED_VALUE"""),"C++")</f>
        <v>C++</v>
      </c>
      <c r="M2404" s="9" t="s">
        <v>20</v>
      </c>
    </row>
    <row r="2405" ht="15.75" customHeight="1">
      <c r="A2405" s="7"/>
      <c r="B2405" s="7" t="str">
        <f>IFERROR(__xludf.DUMMYFUNCTION("""COMPUTED_VALUE"""),"C#;HTML/CSS;JavaScript;SQL;TypeScript;VBA")</f>
        <v>C#;HTML/CSS;JavaScript;SQL;TypeScript;VBA</v>
      </c>
      <c r="C2405" s="9" t="str">
        <f>IFERROR(__xludf.DUMMYFUNCTION("""COMPUTED_VALUE"""),"SQL")</f>
        <v>SQL</v>
      </c>
      <c r="D2405" s="9" t="str">
        <f>IFERROR(__xludf.DUMMYFUNCTION("""COMPUTED_VALUE"""),"PHP")</f>
        <v>PHP</v>
      </c>
      <c r="E2405" s="9" t="str">
        <f>IFERROR(__xludf.DUMMYFUNCTION("""COMPUTED_VALUE"""),"Bash/Shell/PowerShell")</f>
        <v>Bash/Shell/PowerShell</v>
      </c>
      <c r="F2405" s="9" t="str">
        <f>IFERROR(__xludf.DUMMYFUNCTION("""COMPUTED_VALUE"""),"PHP")</f>
        <v>PHP</v>
      </c>
      <c r="G2405" s="9" t="str">
        <f>IFERROR(__xludf.DUMMYFUNCTION("""COMPUTED_VALUE"""),"Bash/Shell/PowerShell")</f>
        <v>Bash/Shell/PowerShell</v>
      </c>
      <c r="H2405" s="9" t="str">
        <f>IFERROR(__xludf.DUMMYFUNCTION("""COMPUTED_VALUE"""),"C#")</f>
        <v>C#</v>
      </c>
      <c r="I2405" s="9" t="str">
        <f>IFERROR(__xludf.DUMMYFUNCTION("""COMPUTED_VALUE"""),"Python")</f>
        <v>Python</v>
      </c>
      <c r="J2405" s="9" t="str">
        <f>IFERROR(__xludf.DUMMYFUNCTION("""COMPUTED_VALUE"""),"Python")</f>
        <v>Python</v>
      </c>
      <c r="K2405" s="9" t="str">
        <f>IFERROR(__xludf.DUMMYFUNCTION("""COMPUTED_VALUE"""),"HTML/CSS")</f>
        <v>HTML/CSS</v>
      </c>
      <c r="L2405" s="9" t="str">
        <f>IFERROR(__xludf.DUMMYFUNCTION("""COMPUTED_VALUE"""),"HTML/CSS")</f>
        <v>HTML/CSS</v>
      </c>
      <c r="M2405" s="9" t="s">
        <v>27</v>
      </c>
    </row>
    <row r="2406" ht="15.75" customHeight="1">
      <c r="A2406" s="7"/>
      <c r="B2406" s="7" t="str">
        <f>IFERROR(__xludf.DUMMYFUNCTION("""COMPUTED_VALUE"""),"Bash/Shell/PowerShell;C#;HTML/CSS;JavaScript;Python;WebAssembly")</f>
        <v>Bash/Shell/PowerShell;C#;HTML/CSS;JavaScript;Python;WebAssembly</v>
      </c>
      <c r="C2406" s="9" t="str">
        <f>IFERROR(__xludf.DUMMYFUNCTION("""COMPUTED_VALUE"""),"Other(s):")</f>
        <v>Other(s):</v>
      </c>
      <c r="D2406" s="9" t="str">
        <f>IFERROR(__xludf.DUMMYFUNCTION("""COMPUTED_VALUE"""),"SQL")</f>
        <v>SQL</v>
      </c>
      <c r="E2406" s="9" t="str">
        <f>IFERROR(__xludf.DUMMYFUNCTION("""COMPUTED_VALUE"""),"HTML/CSS")</f>
        <v>HTML/CSS</v>
      </c>
      <c r="F2406" s="9" t="str">
        <f>IFERROR(__xludf.DUMMYFUNCTION("""COMPUTED_VALUE"""),"Python")</f>
        <v>Python</v>
      </c>
      <c r="G2406" s="9" t="str">
        <f>IFERROR(__xludf.DUMMYFUNCTION("""COMPUTED_VALUE"""),"C++")</f>
        <v>C++</v>
      </c>
      <c r="H2406" s="9" t="str">
        <f>IFERROR(__xludf.DUMMYFUNCTION("""COMPUTED_VALUE"""),"F#")</f>
        <v>F#</v>
      </c>
      <c r="I2406" s="9" t="str">
        <f>IFERROR(__xludf.DUMMYFUNCTION("""COMPUTED_VALUE"""),"R")</f>
        <v>R</v>
      </c>
      <c r="J2406" s="9" t="str">
        <f>IFERROR(__xludf.DUMMYFUNCTION("""COMPUTED_VALUE"""),"C#")</f>
        <v>C#</v>
      </c>
      <c r="K2406" s="9" t="str">
        <f>IFERROR(__xludf.DUMMYFUNCTION("""COMPUTED_VALUE"""),"JavaScript")</f>
        <v>JavaScript</v>
      </c>
      <c r="L2406" s="9" t="str">
        <f>IFERROR(__xludf.DUMMYFUNCTION("""COMPUTED_VALUE"""),"Java")</f>
        <v>Java</v>
      </c>
      <c r="M2406" s="9" t="s">
        <v>35</v>
      </c>
    </row>
    <row r="2407" ht="15.75" customHeight="1">
      <c r="A2407" s="7"/>
      <c r="B2407" s="7" t="str">
        <f>IFERROR(__xludf.DUMMYFUNCTION("""COMPUTED_VALUE"""),"Java;JavaScript;PHP")</f>
        <v>Java;JavaScript;PHP</v>
      </c>
      <c r="C2407" s="9" t="str">
        <f>IFERROR(__xludf.DUMMYFUNCTION("""COMPUTED_VALUE"""),"Assembly")</f>
        <v>Assembly</v>
      </c>
      <c r="D2407" s="9" t="str">
        <f>IFERROR(__xludf.DUMMYFUNCTION("""COMPUTED_VALUE"""),"TypeScript")</f>
        <v>TypeScript</v>
      </c>
      <c r="E2407" s="9" t="str">
        <f>IFERROR(__xludf.DUMMYFUNCTION("""COMPUTED_VALUE"""),"JavaScript")</f>
        <v>JavaScript</v>
      </c>
      <c r="F2407" s="9" t="str">
        <f>IFERROR(__xludf.DUMMYFUNCTION("""COMPUTED_VALUE"""),"Ruby")</f>
        <v>Ruby</v>
      </c>
      <c r="G2407" s="9" t="str">
        <f>IFERROR(__xludf.DUMMYFUNCTION("""COMPUTED_VALUE"""),"Python")</f>
        <v>Python</v>
      </c>
      <c r="H2407" s="9" t="str">
        <f>IFERROR(__xludf.DUMMYFUNCTION("""COMPUTED_VALUE"""),"Python")</f>
        <v>Python</v>
      </c>
      <c r="I2407" s="9" t="str">
        <f>IFERROR(__xludf.DUMMYFUNCTION("""COMPUTED_VALUE"""),"SQL")</f>
        <v>SQL</v>
      </c>
      <c r="J2407" s="9" t="str">
        <f>IFERROR(__xludf.DUMMYFUNCTION("""COMPUTED_VALUE"""),"HTML/CSS")</f>
        <v>HTML/CSS</v>
      </c>
      <c r="K2407" s="9" t="str">
        <f>IFERROR(__xludf.DUMMYFUNCTION("""COMPUTED_VALUE"""),"PHP")</f>
        <v>PHP</v>
      </c>
      <c r="L2407" s="9" t="str">
        <f>IFERROR(__xludf.DUMMYFUNCTION("""COMPUTED_VALUE"""),"JavaScript")</f>
        <v>JavaScript</v>
      </c>
      <c r="M2407" s="9" t="s">
        <v>38</v>
      </c>
    </row>
    <row r="2408" ht="15.75" customHeight="1">
      <c r="A2408" s="7"/>
      <c r="B2408" s="7" t="str">
        <f>IFERROR(__xludf.DUMMYFUNCTION("""COMPUTED_VALUE"""),"Go;HTML/CSS;Java;JavaScript;PHP;Python;Scala;SQL")</f>
        <v>Go;HTML/CSS;Java;JavaScript;PHP;Python;Scala;SQL</v>
      </c>
      <c r="C2408" s="9" t="str">
        <f>IFERROR(__xludf.DUMMYFUNCTION("""COMPUTED_VALUE"""),"C")</f>
        <v>C</v>
      </c>
      <c r="D2408" s="9" t="str">
        <f>IFERROR(__xludf.DUMMYFUNCTION("""COMPUTED_VALUE"""),"Assembly")</f>
        <v>Assembly</v>
      </c>
      <c r="E2408" s="9" t="str">
        <f>IFERROR(__xludf.DUMMYFUNCTION("""COMPUTED_VALUE"""),"Python")</f>
        <v>Python</v>
      </c>
      <c r="F2408" s="9" t="str">
        <f>IFERROR(__xludf.DUMMYFUNCTION("""COMPUTED_VALUE"""),"SQL")</f>
        <v>SQL</v>
      </c>
      <c r="G2408" s="9" t="str">
        <f>IFERROR(__xludf.DUMMYFUNCTION("""COMPUTED_VALUE"""),"C")</f>
        <v>C</v>
      </c>
      <c r="H2408" s="9" t="str">
        <f>IFERROR(__xludf.DUMMYFUNCTION("""COMPUTED_VALUE"""),"SQL")</f>
        <v>SQL</v>
      </c>
      <c r="I2408" s="9" t="str">
        <f>IFERROR(__xludf.DUMMYFUNCTION("""COMPUTED_VALUE"""),"C")</f>
        <v>C</v>
      </c>
      <c r="J2408" s="9" t="str">
        <f>IFERROR(__xludf.DUMMYFUNCTION("""COMPUTED_VALUE"""),"JavaScript")</f>
        <v>JavaScript</v>
      </c>
      <c r="K2408" s="9" t="str">
        <f>IFERROR(__xludf.DUMMYFUNCTION("""COMPUTED_VALUE"""),"SQL")</f>
        <v>SQL</v>
      </c>
      <c r="L2408" s="9" t="str">
        <f>IFERROR(__xludf.DUMMYFUNCTION("""COMPUTED_VALUE"""),"Python")</f>
        <v>Python</v>
      </c>
      <c r="M2408" s="9" t="s">
        <v>25</v>
      </c>
    </row>
    <row r="2409" ht="15.75" customHeight="1">
      <c r="A2409" s="7"/>
      <c r="B2409" s="7" t="str">
        <f>IFERROR(__xludf.DUMMYFUNCTION("""COMPUTED_VALUE"""),"C++;C#;HTML/CSS;Java;JavaScript;PHP;Python;SQL;TypeScript")</f>
        <v>C++;C#;HTML/CSS;Java;JavaScript;PHP;Python;SQL;TypeScript</v>
      </c>
      <c r="C2409" s="9" t="str">
        <f>IFERROR(__xludf.DUMMYFUNCTION("""COMPUTED_VALUE"""),"Erlang")</f>
        <v>Erlang</v>
      </c>
      <c r="D2409" s="9" t="str">
        <f>IFERROR(__xludf.DUMMYFUNCTION("""COMPUTED_VALUE"""),"Bash/Shell/PowerShell")</f>
        <v>Bash/Shell/PowerShell</v>
      </c>
      <c r="E2409" s="9" t="str">
        <f>IFERROR(__xludf.DUMMYFUNCTION("""COMPUTED_VALUE"""),"SQL")</f>
        <v>SQL</v>
      </c>
      <c r="F2409" s="9" t="str">
        <f>IFERROR(__xludf.DUMMYFUNCTION("""COMPUTED_VALUE"""),"Bash/Shell/PowerShell")</f>
        <v>Bash/Shell/PowerShell</v>
      </c>
      <c r="G2409" s="9" t="str">
        <f>IFERROR(__xludf.DUMMYFUNCTION("""COMPUTED_VALUE"""),"C++")</f>
        <v>C++</v>
      </c>
      <c r="H2409" s="9" t="str">
        <f>IFERROR(__xludf.DUMMYFUNCTION("""COMPUTED_VALUE"""),"Other(s):")</f>
        <v>Other(s):</v>
      </c>
      <c r="I2409" s="9" t="str">
        <f>IFERROR(__xludf.DUMMYFUNCTION("""COMPUTED_VALUE"""),"HTML/CSS")</f>
        <v>HTML/CSS</v>
      </c>
      <c r="J2409" s="9" t="str">
        <f>IFERROR(__xludf.DUMMYFUNCTION("""COMPUTED_VALUE"""),"PHP")</f>
        <v>PHP</v>
      </c>
      <c r="K2409" s="9" t="str">
        <f>IFERROR(__xludf.DUMMYFUNCTION("""COMPUTED_VALUE"""),"Bash/Shell/PowerShell")</f>
        <v>Bash/Shell/PowerShell</v>
      </c>
      <c r="L2409" s="9" t="str">
        <f>IFERROR(__xludf.DUMMYFUNCTION("""COMPUTED_VALUE"""),"Swift")</f>
        <v>Swift</v>
      </c>
      <c r="M2409" s="9" t="s">
        <v>43</v>
      </c>
    </row>
    <row r="2410" ht="15.75" customHeight="1">
      <c r="A2410" s="7"/>
      <c r="B2410" s="7" t="str">
        <f>IFERROR(__xludf.DUMMYFUNCTION("""COMPUTED_VALUE"""),"HTML/CSS;Java;JavaScript;Python;SQL;Swift")</f>
        <v>HTML/CSS;Java;JavaScript;Python;SQL;Swift</v>
      </c>
      <c r="C2410" s="9" t="str">
        <f>IFERROR(__xludf.DUMMYFUNCTION("""COMPUTED_VALUE"""),"HTML/CSS")</f>
        <v>HTML/CSS</v>
      </c>
      <c r="D2410" s="9" t="str">
        <f>IFERROR(__xludf.DUMMYFUNCTION("""COMPUTED_VALUE"""),"C")</f>
        <v>C</v>
      </c>
      <c r="E2410" s="9" t="str">
        <f>IFERROR(__xludf.DUMMYFUNCTION("""COMPUTED_VALUE"""),"Assembly")</f>
        <v>Assembly</v>
      </c>
      <c r="F2410" s="9" t="str">
        <f>IFERROR(__xludf.DUMMYFUNCTION("""COMPUTED_VALUE"""),"C")</f>
        <v>C</v>
      </c>
      <c r="G2410" s="9" t="str">
        <f>IFERROR(__xludf.DUMMYFUNCTION("""COMPUTED_VALUE"""),"Erlang")</f>
        <v>Erlang</v>
      </c>
      <c r="H2410" s="9" t="str">
        <f>IFERROR(__xludf.DUMMYFUNCTION("""COMPUTED_VALUE"""),"Bash/Shell/PowerShell")</f>
        <v>Bash/Shell/PowerShell</v>
      </c>
      <c r="I2410" s="9" t="str">
        <f>IFERROR(__xludf.DUMMYFUNCTION("""COMPUTED_VALUE"""),"Java")</f>
        <v>Java</v>
      </c>
      <c r="J2410" s="9" t="str">
        <f>IFERROR(__xludf.DUMMYFUNCTION("""COMPUTED_VALUE"""),"Ruby")</f>
        <v>Ruby</v>
      </c>
      <c r="K2410" s="9" t="str">
        <f>IFERROR(__xludf.DUMMYFUNCTION("""COMPUTED_VALUE"""),"C#")</f>
        <v>C#</v>
      </c>
      <c r="L2410" s="9" t="str">
        <f>IFERROR(__xludf.DUMMYFUNCTION("""COMPUTED_VALUE"""),"Java")</f>
        <v>Java</v>
      </c>
      <c r="M2410" s="9" t="s">
        <v>24</v>
      </c>
    </row>
    <row r="2411" ht="15.75" customHeight="1">
      <c r="A2411" s="7"/>
      <c r="B2411" s="7" t="str">
        <f>IFERROR(__xludf.DUMMYFUNCTION("""COMPUTED_VALUE"""),"Java;SQL")</f>
        <v>Java;SQL</v>
      </c>
      <c r="C2411" s="9" t="str">
        <f>IFERROR(__xludf.DUMMYFUNCTION("""COMPUTED_VALUE"""),"Java")</f>
        <v>Java</v>
      </c>
      <c r="D2411" s="9" t="str">
        <f>IFERROR(__xludf.DUMMYFUNCTION("""COMPUTED_VALUE"""),"C++")</f>
        <v>C++</v>
      </c>
      <c r="E2411" s="9" t="str">
        <f>IFERROR(__xludf.DUMMYFUNCTION("""COMPUTED_VALUE"""),"C")</f>
        <v>C</v>
      </c>
      <c r="F2411" s="9" t="str">
        <f>IFERROR(__xludf.DUMMYFUNCTION("""COMPUTED_VALUE"""),"C++")</f>
        <v>C++</v>
      </c>
      <c r="G2411" s="9" t="str">
        <f>IFERROR(__xludf.DUMMYFUNCTION("""COMPUTED_VALUE"""),"Bash/Shell/PowerShell")</f>
        <v>Bash/Shell/PowerShell</v>
      </c>
      <c r="H2411" s="9" t="str">
        <f>IFERROR(__xludf.DUMMYFUNCTION("""COMPUTED_VALUE"""),"C#")</f>
        <v>C#</v>
      </c>
      <c r="I2411" s="9" t="str">
        <f>IFERROR(__xludf.DUMMYFUNCTION("""COMPUTED_VALUE"""),"JavaScript")</f>
        <v>JavaScript</v>
      </c>
      <c r="J2411" s="9" t="str">
        <f>IFERROR(__xludf.DUMMYFUNCTION("""COMPUTED_VALUE"""),"SQL")</f>
        <v>SQL</v>
      </c>
      <c r="K2411" s="9" t="str">
        <f>IFERROR(__xludf.DUMMYFUNCTION("""COMPUTED_VALUE"""),"SQL")</f>
        <v>SQL</v>
      </c>
      <c r="L2411" s="9" t="str">
        <f>IFERROR(__xludf.DUMMYFUNCTION("""COMPUTED_VALUE"""),"Python")</f>
        <v>Python</v>
      </c>
      <c r="M2411" s="9" t="s">
        <v>20</v>
      </c>
    </row>
    <row r="2412" ht="15.75" customHeight="1">
      <c r="A2412" s="7"/>
      <c r="B2412" s="7" t="str">
        <f>IFERROR(__xludf.DUMMYFUNCTION("""COMPUTED_VALUE"""),"C;C++;HTML/CSS;Java;JavaScript;SQL")</f>
        <v>C;C++;HTML/CSS;Java;JavaScript;SQL</v>
      </c>
      <c r="C2412" s="9" t="str">
        <f>IFERROR(__xludf.DUMMYFUNCTION("""COMPUTED_VALUE"""),"JavaScript")</f>
        <v>JavaScript</v>
      </c>
      <c r="D2412" s="9" t="str">
        <f>IFERROR(__xludf.DUMMYFUNCTION("""COMPUTED_VALUE"""),"C#")</f>
        <v>C#</v>
      </c>
      <c r="E2412" s="9" t="str">
        <f>IFERROR(__xludf.DUMMYFUNCTION("""COMPUTED_VALUE"""),"C#")</f>
        <v>C#</v>
      </c>
      <c r="F2412" s="9" t="str">
        <f>IFERROR(__xludf.DUMMYFUNCTION("""COMPUTED_VALUE"""),"HTML/CSS")</f>
        <v>HTML/CSS</v>
      </c>
      <c r="G2412" s="9" t="str">
        <f>IFERROR(__xludf.DUMMYFUNCTION("""COMPUTED_VALUE"""),"C#")</f>
        <v>C#</v>
      </c>
      <c r="H2412" s="9" t="str">
        <f>IFERROR(__xludf.DUMMYFUNCTION("""COMPUTED_VALUE"""),"HTML/CSS")</f>
        <v>HTML/CSS</v>
      </c>
      <c r="I2412" s="9" t="str">
        <f>IFERROR(__xludf.DUMMYFUNCTION("""COMPUTED_VALUE"""),"Swift")</f>
        <v>Swift</v>
      </c>
      <c r="J2412" s="9" t="str">
        <f>IFERROR(__xludf.DUMMYFUNCTION("""COMPUTED_VALUE"""),"Assembly")</f>
        <v>Assembly</v>
      </c>
      <c r="K2412" s="9" t="str">
        <f>IFERROR(__xludf.DUMMYFUNCTION("""COMPUTED_VALUE"""),"Bash/Shell/PowerShell")</f>
        <v>Bash/Shell/PowerShell</v>
      </c>
      <c r="L2412" s="9" t="str">
        <f>IFERROR(__xludf.DUMMYFUNCTION("""COMPUTED_VALUE"""),"R")</f>
        <v>R</v>
      </c>
      <c r="M2412" s="9" t="s">
        <v>21</v>
      </c>
    </row>
    <row r="2413" ht="15.75" customHeight="1">
      <c r="A2413" s="7"/>
      <c r="B2413" s="7" t="str">
        <f>IFERROR(__xludf.DUMMYFUNCTION("""COMPUTED_VALUE"""),"JavaScript;Python")</f>
        <v>JavaScript;Python</v>
      </c>
      <c r="C2413" s="9" t="str">
        <f>IFERROR(__xludf.DUMMYFUNCTION("""COMPUTED_VALUE"""),"Python")</f>
        <v>Python</v>
      </c>
      <c r="D2413" s="9" t="str">
        <f>IFERROR(__xludf.DUMMYFUNCTION("""COMPUTED_VALUE"""),"HTML/CSS")</f>
        <v>HTML/CSS</v>
      </c>
      <c r="E2413" s="9" t="str">
        <f>IFERROR(__xludf.DUMMYFUNCTION("""COMPUTED_VALUE"""),"HTML/CSS")</f>
        <v>HTML/CSS</v>
      </c>
      <c r="F2413" s="9" t="str">
        <f>IFERROR(__xludf.DUMMYFUNCTION("""COMPUTED_VALUE"""),"Java")</f>
        <v>Java</v>
      </c>
      <c r="G2413" s="9" t="str">
        <f>IFERROR(__xludf.DUMMYFUNCTION("""COMPUTED_VALUE"""),"HTML/CSS")</f>
        <v>HTML/CSS</v>
      </c>
      <c r="H2413" s="9" t="str">
        <f>IFERROR(__xludf.DUMMYFUNCTION("""COMPUTED_VALUE"""),"Java")</f>
        <v>Java</v>
      </c>
      <c r="I2413" s="9" t="str">
        <f>IFERROR(__xludf.DUMMYFUNCTION("""COMPUTED_VALUE"""),"Elixir")</f>
        <v>Elixir</v>
      </c>
      <c r="J2413" s="9" t="str">
        <f>IFERROR(__xludf.DUMMYFUNCTION("""COMPUTED_VALUE"""),"C#")</f>
        <v>C#</v>
      </c>
      <c r="K2413" s="9" t="str">
        <f>IFERROR(__xludf.DUMMYFUNCTION("""COMPUTED_VALUE"""),"HTML/CSS")</f>
        <v>HTML/CSS</v>
      </c>
      <c r="L2413" s="9" t="str">
        <f>IFERROR(__xludf.DUMMYFUNCTION("""COMPUTED_VALUE"""),"Rust")</f>
        <v>Rust</v>
      </c>
      <c r="M2413" s="9" t="s">
        <v>22</v>
      </c>
    </row>
    <row r="2414" ht="15.75" customHeight="1">
      <c r="A2414" s="7"/>
      <c r="B2414" s="7" t="str">
        <f>IFERROR(__xludf.DUMMYFUNCTION("""COMPUTED_VALUE"""),"Bash/Shell/PowerShell;HTML/CSS;Java;JavaScript;SQL;TypeScript")</f>
        <v>Bash/Shell/PowerShell;HTML/CSS;Java;JavaScript;SQL;TypeScript</v>
      </c>
      <c r="C2414" s="9" t="str">
        <f>IFERROR(__xludf.DUMMYFUNCTION("""COMPUTED_VALUE"""),"SQL")</f>
        <v>SQL</v>
      </c>
      <c r="D2414" s="9" t="str">
        <f>IFERROR(__xludf.DUMMYFUNCTION("""COMPUTED_VALUE"""),"Java")</f>
        <v>Java</v>
      </c>
      <c r="E2414" s="9" t="str">
        <f>IFERROR(__xludf.DUMMYFUNCTION("""COMPUTED_VALUE"""),"Java")</f>
        <v>Java</v>
      </c>
      <c r="F2414" s="9" t="str">
        <f>IFERROR(__xludf.DUMMYFUNCTION("""COMPUTED_VALUE"""),"JavaScript")</f>
        <v>JavaScript</v>
      </c>
      <c r="G2414" s="9" t="str">
        <f>IFERROR(__xludf.DUMMYFUNCTION("""COMPUTED_VALUE"""),"JavaScript")</f>
        <v>JavaScript</v>
      </c>
      <c r="H2414" s="9" t="str">
        <f>IFERROR(__xludf.DUMMYFUNCTION("""COMPUTED_VALUE"""),"JavaScript")</f>
        <v>JavaScript</v>
      </c>
      <c r="I2414" s="9" t="str">
        <f>IFERROR(__xludf.DUMMYFUNCTION("""COMPUTED_VALUE"""),"Erlang")</f>
        <v>Erlang</v>
      </c>
      <c r="J2414" s="9" t="str">
        <f>IFERROR(__xludf.DUMMYFUNCTION("""COMPUTED_VALUE"""),"HTML/CSS")</f>
        <v>HTML/CSS</v>
      </c>
      <c r="K2414" s="9" t="str">
        <f>IFERROR(__xludf.DUMMYFUNCTION("""COMPUTED_VALUE"""),"JavaScript")</f>
        <v>JavaScript</v>
      </c>
      <c r="L2414" s="9" t="str">
        <f>IFERROR(__xludf.DUMMYFUNCTION("""COMPUTED_VALUE"""),"Scala")</f>
        <v>Scala</v>
      </c>
      <c r="M2414" s="9" t="s">
        <v>27</v>
      </c>
    </row>
    <row r="2415" ht="15.75" customHeight="1">
      <c r="A2415" s="7"/>
      <c r="B2415" s="7" t="str">
        <f>IFERROR(__xludf.DUMMYFUNCTION("""COMPUTED_VALUE"""),"HTML/CSS;Java;JavaScript;Python")</f>
        <v>HTML/CSS;Java;JavaScript;Python</v>
      </c>
      <c r="C2415" s="9" t="str">
        <f>IFERROR(__xludf.DUMMYFUNCTION("""COMPUTED_VALUE"""),"R")</f>
        <v>R</v>
      </c>
      <c r="D2415" s="9" t="str">
        <f>IFERROR(__xludf.DUMMYFUNCTION("""COMPUTED_VALUE"""),"JavaScript")</f>
        <v>JavaScript</v>
      </c>
      <c r="E2415" s="9" t="str">
        <f>IFERROR(__xludf.DUMMYFUNCTION("""COMPUTED_VALUE"""),"JavaScript")</f>
        <v>JavaScript</v>
      </c>
      <c r="F2415" s="9" t="str">
        <f>IFERROR(__xludf.DUMMYFUNCTION("""COMPUTED_VALUE"""),"Kotlin")</f>
        <v>Kotlin</v>
      </c>
      <c r="G2415" s="9" t="str">
        <f>IFERROR(__xludf.DUMMYFUNCTION("""COMPUTED_VALUE"""),"Rust")</f>
        <v>Rust</v>
      </c>
      <c r="H2415" s="9" t="str">
        <f>IFERROR(__xludf.DUMMYFUNCTION("""COMPUTED_VALUE"""),"SQL")</f>
        <v>SQL</v>
      </c>
      <c r="I2415" s="9" t="str">
        <f>IFERROR(__xludf.DUMMYFUNCTION("""COMPUTED_VALUE"""),"Go")</f>
        <v>Go</v>
      </c>
      <c r="J2415" s="9" t="str">
        <f>IFERROR(__xludf.DUMMYFUNCTION("""COMPUTED_VALUE"""),"Java")</f>
        <v>Java</v>
      </c>
      <c r="K2415" s="9" t="str">
        <f>IFERROR(__xludf.DUMMYFUNCTION("""COMPUTED_VALUE"""),"PHP")</f>
        <v>PHP</v>
      </c>
      <c r="L2415" s="9" t="str">
        <f>IFERROR(__xludf.DUMMYFUNCTION("""COMPUTED_VALUE"""),"SQL")</f>
        <v>SQL</v>
      </c>
      <c r="M2415" s="9" t="s">
        <v>29</v>
      </c>
    </row>
    <row r="2416" ht="15.75" customHeight="1">
      <c r="A2416" s="7"/>
      <c r="B2416" s="7" t="str">
        <f>IFERROR(__xludf.DUMMYFUNCTION("""COMPUTED_VALUE"""),"HTML/CSS;JavaScript;PHP")</f>
        <v>HTML/CSS;JavaScript;PHP</v>
      </c>
      <c r="C2416" s="9" t="str">
        <f>IFERROR(__xludf.DUMMYFUNCTION("""COMPUTED_VALUE"""),"Bash/Shell/PowerShell")</f>
        <v>Bash/Shell/PowerShell</v>
      </c>
      <c r="D2416" s="9" t="str">
        <f>IFERROR(__xludf.DUMMYFUNCTION("""COMPUTED_VALUE"""),"Python")</f>
        <v>Python</v>
      </c>
      <c r="E2416" s="9" t="str">
        <f>IFERROR(__xludf.DUMMYFUNCTION("""COMPUTED_VALUE"""),"PHP")</f>
        <v>PHP</v>
      </c>
      <c r="F2416" s="9" t="str">
        <f>IFERROR(__xludf.DUMMYFUNCTION("""COMPUTED_VALUE"""),"Ruby")</f>
        <v>Ruby</v>
      </c>
      <c r="G2416" s="9" t="str">
        <f>IFERROR(__xludf.DUMMYFUNCTION("""COMPUTED_VALUE"""),"SQL")</f>
        <v>SQL</v>
      </c>
      <c r="H2416" s="9" t="str">
        <f>IFERROR(__xludf.DUMMYFUNCTION("""COMPUTED_VALUE"""),"HTML/CSS")</f>
        <v>HTML/CSS</v>
      </c>
      <c r="I2416" s="9" t="str">
        <f>IFERROR(__xludf.DUMMYFUNCTION("""COMPUTED_VALUE"""),"HTML/CSS")</f>
        <v>HTML/CSS</v>
      </c>
      <c r="J2416" s="9" t="str">
        <f>IFERROR(__xludf.DUMMYFUNCTION("""COMPUTED_VALUE"""),"JavaScript")</f>
        <v>JavaScript</v>
      </c>
      <c r="K2416" s="9" t="str">
        <f>IFERROR(__xludf.DUMMYFUNCTION("""COMPUTED_VALUE"""),"C")</f>
        <v>C</v>
      </c>
      <c r="L2416" s="9" t="str">
        <f>IFERROR(__xludf.DUMMYFUNCTION("""COMPUTED_VALUE"""),"Swift")</f>
        <v>Swift</v>
      </c>
      <c r="M2416" s="9" t="s">
        <v>30</v>
      </c>
    </row>
    <row r="2417" ht="15.75" customHeight="1">
      <c r="A2417" s="7"/>
      <c r="B2417" s="7" t="str">
        <f>IFERROR(__xludf.DUMMYFUNCTION("""COMPUTED_VALUE"""),"Bash/Shell/PowerShell;Python")</f>
        <v>Bash/Shell/PowerShell;Python</v>
      </c>
      <c r="C2417" s="9" t="str">
        <f>IFERROR(__xludf.DUMMYFUNCTION("""COMPUTED_VALUE"""),"Python")</f>
        <v>Python</v>
      </c>
      <c r="D2417" s="9" t="str">
        <f>IFERROR(__xludf.DUMMYFUNCTION("""COMPUTED_VALUE"""),"SQL")</f>
        <v>SQL</v>
      </c>
      <c r="E2417" s="9" t="str">
        <f>IFERROR(__xludf.DUMMYFUNCTION("""COMPUTED_VALUE"""),"Python")</f>
        <v>Python</v>
      </c>
      <c r="F2417" s="9" t="str">
        <f>IFERROR(__xludf.DUMMYFUNCTION("""COMPUTED_VALUE"""),"Bash/Shell/PowerShell")</f>
        <v>Bash/Shell/PowerShell</v>
      </c>
      <c r="G2417" s="9" t="str">
        <f>IFERROR(__xludf.DUMMYFUNCTION("""COMPUTED_VALUE"""),"TypeScript")</f>
        <v>TypeScript</v>
      </c>
      <c r="H2417" s="9" t="str">
        <f>IFERROR(__xludf.DUMMYFUNCTION("""COMPUTED_VALUE"""),"JavaScript")</f>
        <v>JavaScript</v>
      </c>
      <c r="I2417" s="9" t="str">
        <f>IFERROR(__xludf.DUMMYFUNCTION("""COMPUTED_VALUE"""),"JavaScript")</f>
        <v>JavaScript</v>
      </c>
      <c r="J2417" s="9" t="str">
        <f>IFERROR(__xludf.DUMMYFUNCTION("""COMPUTED_VALUE"""),"Python")</f>
        <v>Python</v>
      </c>
      <c r="K2417" s="9" t="str">
        <f>IFERROR(__xludf.DUMMYFUNCTION("""COMPUTED_VALUE"""),"C++")</f>
        <v>C++</v>
      </c>
      <c r="L2417" s="9" t="str">
        <f>IFERROR(__xludf.DUMMYFUNCTION("""COMPUTED_VALUE"""),"Bash/Shell/PowerShell")</f>
        <v>Bash/Shell/PowerShell</v>
      </c>
      <c r="M2417" s="9" t="s">
        <v>22</v>
      </c>
    </row>
    <row r="2418" ht="15.75" customHeight="1">
      <c r="A2418" s="7"/>
      <c r="B2418" s="7" t="str">
        <f>IFERROR(__xludf.DUMMYFUNCTION("""COMPUTED_VALUE"""),"Bash/Shell/PowerShell;HTML/CSS;Java;Ruby;SQL")</f>
        <v>Bash/Shell/PowerShell;HTML/CSS;Java;Ruby;SQL</v>
      </c>
      <c r="C2418" s="9" t="str">
        <f>IFERROR(__xludf.DUMMYFUNCTION("""COMPUTED_VALUE"""),"SQL")</f>
        <v>SQL</v>
      </c>
      <c r="D2418" s="9" t="str">
        <f>IFERROR(__xludf.DUMMYFUNCTION("""COMPUTED_VALUE"""),"C")</f>
        <v>C</v>
      </c>
      <c r="E2418" s="9" t="str">
        <f>IFERROR(__xludf.DUMMYFUNCTION("""COMPUTED_VALUE"""),"SQL")</f>
        <v>SQL</v>
      </c>
      <c r="F2418" s="9" t="str">
        <f>IFERROR(__xludf.DUMMYFUNCTION("""COMPUTED_VALUE"""),"HTML/CSS")</f>
        <v>HTML/CSS</v>
      </c>
      <c r="G2418" s="9" t="str">
        <f>IFERROR(__xludf.DUMMYFUNCTION("""COMPUTED_VALUE"""),"VBA")</f>
        <v>VBA</v>
      </c>
      <c r="H2418" s="9" t="str">
        <f>IFERROR(__xludf.DUMMYFUNCTION("""COMPUTED_VALUE"""),"PHP")</f>
        <v>PHP</v>
      </c>
      <c r="I2418" s="9" t="str">
        <f>IFERROR(__xludf.DUMMYFUNCTION("""COMPUTED_VALUE"""),"Python")</f>
        <v>Python</v>
      </c>
      <c r="J2418" s="9" t="str">
        <f>IFERROR(__xludf.DUMMYFUNCTION("""COMPUTED_VALUE"""),"SQL")</f>
        <v>SQL</v>
      </c>
      <c r="K2418" s="9" t="str">
        <f>IFERROR(__xludf.DUMMYFUNCTION("""COMPUTED_VALUE"""),"Java")</f>
        <v>Java</v>
      </c>
      <c r="L2418" s="9" t="str">
        <f>IFERROR(__xludf.DUMMYFUNCTION("""COMPUTED_VALUE"""),"HTML/CSS")</f>
        <v>HTML/CSS</v>
      </c>
      <c r="M2418" s="9" t="s">
        <v>27</v>
      </c>
    </row>
    <row r="2419" ht="15.75" customHeight="1">
      <c r="A2419" s="7"/>
      <c r="B2419" s="7" t="str">
        <f>IFERROR(__xludf.DUMMYFUNCTION("""COMPUTED_VALUE"""),"HTML/CSS;JavaScript;SQL")</f>
        <v>HTML/CSS;JavaScript;SQL</v>
      </c>
      <c r="C2419" s="9" t="str">
        <f>IFERROR(__xludf.DUMMYFUNCTION("""COMPUTED_VALUE"""),"Dart")</f>
        <v>Dart</v>
      </c>
      <c r="D2419" s="9" t="str">
        <f>IFERROR(__xludf.DUMMYFUNCTION("""COMPUTED_VALUE"""),"C++")</f>
        <v>C++</v>
      </c>
      <c r="E2419" s="9" t="str">
        <f>IFERROR(__xludf.DUMMYFUNCTION("""COMPUTED_VALUE"""),"VBA")</f>
        <v>VBA</v>
      </c>
      <c r="F2419" s="9" t="str">
        <f>IFERROR(__xludf.DUMMYFUNCTION("""COMPUTED_VALUE"""),"Java")</f>
        <v>Java</v>
      </c>
      <c r="G2419" s="9" t="str">
        <f>IFERROR(__xludf.DUMMYFUNCTION("""COMPUTED_VALUE"""),"C#")</f>
        <v>C#</v>
      </c>
      <c r="H2419" s="9" t="str">
        <f>IFERROR(__xludf.DUMMYFUNCTION("""COMPUTED_VALUE"""),"TypeScript")</f>
        <v>TypeScript</v>
      </c>
      <c r="I2419" s="9" t="str">
        <f>IFERROR(__xludf.DUMMYFUNCTION("""COMPUTED_VALUE"""),"TypeScript")</f>
        <v>TypeScript</v>
      </c>
      <c r="J2419" s="9" t="str">
        <f>IFERROR(__xludf.DUMMYFUNCTION("""COMPUTED_VALUE"""),"TypeScript")</f>
        <v>TypeScript</v>
      </c>
      <c r="K2419" s="9" t="str">
        <f>IFERROR(__xludf.DUMMYFUNCTION("""COMPUTED_VALUE"""),"Bash/Shell/PowerShell")</f>
        <v>Bash/Shell/PowerShell</v>
      </c>
      <c r="L2419" s="9" t="str">
        <f>IFERROR(__xludf.DUMMYFUNCTION("""COMPUTED_VALUE"""),"JavaScript")</f>
        <v>JavaScript</v>
      </c>
      <c r="M2419" s="9" t="s">
        <v>47</v>
      </c>
    </row>
    <row r="2420" ht="15.75" customHeight="1">
      <c r="A2420" s="7"/>
      <c r="B2420" s="7" t="str">
        <f>IFERROR(__xludf.DUMMYFUNCTION("""COMPUTED_VALUE"""),"C;C++;HTML/CSS;Java;JavaScript;VBA")</f>
        <v>C;C++;HTML/CSS;Java;JavaScript;VBA</v>
      </c>
      <c r="C2420" s="9" t="str">
        <f>IFERROR(__xludf.DUMMYFUNCTION("""COMPUTED_VALUE"""),"JavaScript")</f>
        <v>JavaScript</v>
      </c>
      <c r="D2420" s="9" t="str">
        <f>IFERROR(__xludf.DUMMYFUNCTION("""COMPUTED_VALUE"""),"C#")</f>
        <v>C#</v>
      </c>
      <c r="E2420" s="9" t="str">
        <f>IFERROR(__xludf.DUMMYFUNCTION("""COMPUTED_VALUE"""),"HTML/CSS")</f>
        <v>HTML/CSS</v>
      </c>
      <c r="F2420" s="9" t="str">
        <f>IFERROR(__xludf.DUMMYFUNCTION("""COMPUTED_VALUE"""),"JavaScript")</f>
        <v>JavaScript</v>
      </c>
      <c r="G2420" s="9" t="str">
        <f>IFERROR(__xludf.DUMMYFUNCTION("""COMPUTED_VALUE"""),"HTML/CSS")</f>
        <v>HTML/CSS</v>
      </c>
      <c r="H2420" s="9" t="str">
        <f>IFERROR(__xludf.DUMMYFUNCTION("""COMPUTED_VALUE"""),"Go")</f>
        <v>Go</v>
      </c>
      <c r="I2420" s="9" t="str">
        <f>IFERROR(__xludf.DUMMYFUNCTION("""COMPUTED_VALUE"""),"Dart")</f>
        <v>Dart</v>
      </c>
      <c r="J2420" s="9" t="str">
        <f>IFERROR(__xludf.DUMMYFUNCTION("""COMPUTED_VALUE"""),"Bash/Shell/PowerShell")</f>
        <v>Bash/Shell/PowerShell</v>
      </c>
      <c r="K2420" s="9" t="str">
        <f>IFERROR(__xludf.DUMMYFUNCTION("""COMPUTED_VALUE"""),"C#")</f>
        <v>C#</v>
      </c>
      <c r="L2420" s="9" t="str">
        <f>IFERROR(__xludf.DUMMYFUNCTION("""COMPUTED_VALUE"""),"PHP")</f>
        <v>PHP</v>
      </c>
      <c r="M2420" s="9" t="s">
        <v>21</v>
      </c>
    </row>
    <row r="2421" ht="15.75" customHeight="1">
      <c r="A2421" s="7"/>
      <c r="B2421" s="7" t="str">
        <f>IFERROR(__xludf.DUMMYFUNCTION("""COMPUTED_VALUE"""),"HTML/CSS;JavaScript;TypeScript")</f>
        <v>HTML/CSS;JavaScript;TypeScript</v>
      </c>
      <c r="C2421" s="9" t="str">
        <f>IFERROR(__xludf.DUMMYFUNCTION("""COMPUTED_VALUE"""),"Kotlin")</f>
        <v>Kotlin</v>
      </c>
      <c r="D2421" s="9" t="str">
        <f>IFERROR(__xludf.DUMMYFUNCTION("""COMPUTED_VALUE"""),"HTML/CSS")</f>
        <v>HTML/CSS</v>
      </c>
      <c r="E2421" s="9" t="str">
        <f>IFERROR(__xludf.DUMMYFUNCTION("""COMPUTED_VALUE"""),"PHP")</f>
        <v>PHP</v>
      </c>
      <c r="F2421" s="9" t="str">
        <f>IFERROR(__xludf.DUMMYFUNCTION("""COMPUTED_VALUE"""),"Python")</f>
        <v>Python</v>
      </c>
      <c r="G2421" s="9" t="str">
        <f>IFERROR(__xludf.DUMMYFUNCTION("""COMPUTED_VALUE"""),"JavaScript")</f>
        <v>JavaScript</v>
      </c>
      <c r="H2421" s="9" t="str">
        <f>IFERROR(__xludf.DUMMYFUNCTION("""COMPUTED_VALUE"""),"Java")</f>
        <v>Java</v>
      </c>
      <c r="I2421" s="9" t="str">
        <f>IFERROR(__xludf.DUMMYFUNCTION("""COMPUTED_VALUE"""),"HTML/CSS")</f>
        <v>HTML/CSS</v>
      </c>
      <c r="J2421" s="9" t="str">
        <f>IFERROR(__xludf.DUMMYFUNCTION("""COMPUTED_VALUE"""),"Python")</f>
        <v>Python</v>
      </c>
      <c r="K2421" s="9" t="str">
        <f>IFERROR(__xludf.DUMMYFUNCTION("""COMPUTED_VALUE"""),"HTML/CSS")</f>
        <v>HTML/CSS</v>
      </c>
      <c r="L2421" s="9" t="str">
        <f>IFERROR(__xludf.DUMMYFUNCTION("""COMPUTED_VALUE"""),"Python")</f>
        <v>Python</v>
      </c>
      <c r="M2421" s="9" t="s">
        <v>39</v>
      </c>
    </row>
    <row r="2422" ht="15.75" customHeight="1">
      <c r="A2422" s="7"/>
      <c r="B2422" s="7" t="str">
        <f>IFERROR(__xludf.DUMMYFUNCTION("""COMPUTED_VALUE"""),"HTML/CSS;Java;JavaScript;Python;TypeScript")</f>
        <v>HTML/CSS;Java;JavaScript;Python;TypeScript</v>
      </c>
      <c r="C2422" s="9" t="str">
        <f>IFERROR(__xludf.DUMMYFUNCTION("""COMPUTED_VALUE"""),"PHP")</f>
        <v>PHP</v>
      </c>
      <c r="D2422" s="9" t="str">
        <f>IFERROR(__xludf.DUMMYFUNCTION("""COMPUTED_VALUE"""),"TypeScript")</f>
        <v>TypeScript</v>
      </c>
      <c r="E2422" s="9" t="str">
        <f>IFERROR(__xludf.DUMMYFUNCTION("""COMPUTED_VALUE"""),"Python")</f>
        <v>Python</v>
      </c>
      <c r="F2422" s="9" t="str">
        <f>IFERROR(__xludf.DUMMYFUNCTION("""COMPUTED_VALUE"""),"SQL")</f>
        <v>SQL</v>
      </c>
      <c r="G2422" s="9" t="str">
        <f>IFERROR(__xludf.DUMMYFUNCTION("""COMPUTED_VALUE"""),"PHP")</f>
        <v>PHP</v>
      </c>
      <c r="H2422" s="9" t="str">
        <f>IFERROR(__xludf.DUMMYFUNCTION("""COMPUTED_VALUE"""),"Python")</f>
        <v>Python</v>
      </c>
      <c r="I2422" s="9" t="str">
        <f>IFERROR(__xludf.DUMMYFUNCTION("""COMPUTED_VALUE"""),"JavaScript")</f>
        <v>JavaScript</v>
      </c>
      <c r="J2422" s="9" t="str">
        <f>IFERROR(__xludf.DUMMYFUNCTION("""COMPUTED_VALUE"""),"Rust")</f>
        <v>Rust</v>
      </c>
      <c r="K2422" s="9" t="str">
        <f>IFERROR(__xludf.DUMMYFUNCTION("""COMPUTED_VALUE"""),"Python")</f>
        <v>Python</v>
      </c>
      <c r="L2422" s="9" t="str">
        <f>IFERROR(__xludf.DUMMYFUNCTION("""COMPUTED_VALUE"""),"SQL")</f>
        <v>SQL</v>
      </c>
      <c r="M2422" s="9" t="s">
        <v>37</v>
      </c>
    </row>
    <row r="2423" ht="15.75" customHeight="1">
      <c r="A2423" s="7"/>
      <c r="B2423" s="7" t="str">
        <f>IFERROR(__xludf.DUMMYFUNCTION("""COMPUTED_VALUE"""),"HTML/CSS;Java;JavaScript;Python;SQL")</f>
        <v>HTML/CSS;Java;JavaScript;Python;SQL</v>
      </c>
      <c r="C2423" s="9" t="str">
        <f>IFERROR(__xludf.DUMMYFUNCTION("""COMPUTED_VALUE"""),"SQL")</f>
        <v>SQL</v>
      </c>
      <c r="D2423" s="9" t="str">
        <f>IFERROR(__xludf.DUMMYFUNCTION("""COMPUTED_VALUE"""),"Bash/Shell/PowerShell")</f>
        <v>Bash/Shell/PowerShell</v>
      </c>
      <c r="E2423" s="9" t="str">
        <f>IFERROR(__xludf.DUMMYFUNCTION("""COMPUTED_VALUE"""),"SQL")</f>
        <v>SQL</v>
      </c>
      <c r="F2423" s="9" t="str">
        <f>IFERROR(__xludf.DUMMYFUNCTION("""COMPUTED_VALUE"""),"Other(s):")</f>
        <v>Other(s):</v>
      </c>
      <c r="G2423" s="9" t="str">
        <f>IFERROR(__xludf.DUMMYFUNCTION("""COMPUTED_VALUE"""),"Python")</f>
        <v>Python</v>
      </c>
      <c r="H2423" s="9" t="str">
        <f>IFERROR(__xludf.DUMMYFUNCTION("""COMPUTED_VALUE"""),"R")</f>
        <v>R</v>
      </c>
      <c r="I2423" s="9" t="str">
        <f>IFERROR(__xludf.DUMMYFUNCTION("""COMPUTED_VALUE"""),"Kotlin")</f>
        <v>Kotlin</v>
      </c>
      <c r="J2423" s="9" t="str">
        <f>IFERROR(__xludf.DUMMYFUNCTION("""COMPUTED_VALUE"""),"Bash/Shell/PowerShell")</f>
        <v>Bash/Shell/PowerShell</v>
      </c>
      <c r="K2423" s="9" t="str">
        <f>IFERROR(__xludf.DUMMYFUNCTION("""COMPUTED_VALUE"""),"SQL")</f>
        <v>SQL</v>
      </c>
      <c r="L2423" s="9" t="str">
        <f>IFERROR(__xludf.DUMMYFUNCTION("""COMPUTED_VALUE"""),"C#")</f>
        <v>C#</v>
      </c>
      <c r="M2423" s="9" t="s">
        <v>27</v>
      </c>
    </row>
    <row r="2424" ht="15.75" customHeight="1">
      <c r="A2424" s="7"/>
      <c r="B2424" s="7" t="str">
        <f>IFERROR(__xludf.DUMMYFUNCTION("""COMPUTED_VALUE"""),"HTML/CSS;JavaScript;PHP;SQL")</f>
        <v>HTML/CSS;JavaScript;PHP;SQL</v>
      </c>
      <c r="C2424" s="9" t="str">
        <f>IFERROR(__xludf.DUMMYFUNCTION("""COMPUTED_VALUE"""),"Swift")</f>
        <v>Swift</v>
      </c>
      <c r="D2424" s="9" t="str">
        <f>IFERROR(__xludf.DUMMYFUNCTION("""COMPUTED_VALUE"""),"HTML/CSS")</f>
        <v>HTML/CSS</v>
      </c>
      <c r="E2424" s="9" t="str">
        <f>IFERROR(__xludf.DUMMYFUNCTION("""COMPUTED_VALUE"""),"JavaScript")</f>
        <v>JavaScript</v>
      </c>
      <c r="F2424" s="9" t="str">
        <f>IFERROR(__xludf.DUMMYFUNCTION("""COMPUTED_VALUE"""),"Python")</f>
        <v>Python</v>
      </c>
      <c r="G2424" s="9" t="str">
        <f>IFERROR(__xludf.DUMMYFUNCTION("""COMPUTED_VALUE"""),"SQL")</f>
        <v>SQL</v>
      </c>
      <c r="H2424" s="9" t="str">
        <f>IFERROR(__xludf.DUMMYFUNCTION("""COMPUTED_VALUE"""),"HTML/CSS")</f>
        <v>HTML/CSS</v>
      </c>
      <c r="I2424" s="9" t="str">
        <f>IFERROR(__xludf.DUMMYFUNCTION("""COMPUTED_VALUE"""),"TypeScript")</f>
        <v>TypeScript</v>
      </c>
      <c r="J2424" s="9" t="str">
        <f>IFERROR(__xludf.DUMMYFUNCTION("""COMPUTED_VALUE"""),"C")</f>
        <v>C</v>
      </c>
      <c r="K2424" s="9" t="str">
        <f>IFERROR(__xludf.DUMMYFUNCTION("""COMPUTED_VALUE"""),"TypeScript")</f>
        <v>TypeScript</v>
      </c>
      <c r="L2424" s="9" t="str">
        <f>IFERROR(__xludf.DUMMYFUNCTION("""COMPUTED_VALUE"""),"HTML/CSS")</f>
        <v>HTML/CSS</v>
      </c>
      <c r="M2424" s="9" t="s">
        <v>40</v>
      </c>
    </row>
    <row r="2425" ht="15.75" customHeight="1">
      <c r="A2425" s="7"/>
      <c r="B2425" s="7" t="str">
        <f>IFERROR(__xludf.DUMMYFUNCTION("""COMPUTED_VALUE"""),"C#;HTML/CSS;JavaScript;SQL;TypeScript")</f>
        <v>C#;HTML/CSS;JavaScript;SQL;TypeScript</v>
      </c>
      <c r="C2425" s="9" t="str">
        <f>IFERROR(__xludf.DUMMYFUNCTION("""COMPUTED_VALUE"""),"TypeScript")</f>
        <v>TypeScript</v>
      </c>
      <c r="D2425" s="9" t="str">
        <f>IFERROR(__xludf.DUMMYFUNCTION("""COMPUTED_VALUE"""),"JavaScript")</f>
        <v>JavaScript</v>
      </c>
      <c r="E2425" s="9" t="str">
        <f>IFERROR(__xludf.DUMMYFUNCTION("""COMPUTED_VALUE"""),"Ruby")</f>
        <v>Ruby</v>
      </c>
      <c r="F2425" s="9" t="str">
        <f>IFERROR(__xludf.DUMMYFUNCTION("""COMPUTED_VALUE"""),"HTML/CSS")</f>
        <v>HTML/CSS</v>
      </c>
      <c r="G2425" s="9" t="str">
        <f>IFERROR(__xludf.DUMMYFUNCTION("""COMPUTED_VALUE"""),"Bash/Shell/PowerShell")</f>
        <v>Bash/Shell/PowerShell</v>
      </c>
      <c r="H2425" s="9" t="str">
        <f>IFERROR(__xludf.DUMMYFUNCTION("""COMPUTED_VALUE"""),"Java")</f>
        <v>Java</v>
      </c>
      <c r="I2425" s="9" t="str">
        <f>IFERROR(__xludf.DUMMYFUNCTION("""COMPUTED_VALUE"""),"Bash/Shell/PowerShell")</f>
        <v>Bash/Shell/PowerShell</v>
      </c>
      <c r="J2425" s="9" t="str">
        <f>IFERROR(__xludf.DUMMYFUNCTION("""COMPUTED_VALUE"""),"C++")</f>
        <v>C++</v>
      </c>
      <c r="K2425" s="9" t="str">
        <f>IFERROR(__xludf.DUMMYFUNCTION("""COMPUTED_VALUE"""),"Bash/Shell/PowerShell")</f>
        <v>Bash/Shell/PowerShell</v>
      </c>
      <c r="L2425" s="9" t="str">
        <f>IFERROR(__xludf.DUMMYFUNCTION("""COMPUTED_VALUE"""),"JavaScript")</f>
        <v>JavaScript</v>
      </c>
      <c r="M2425" s="9" t="s">
        <v>33</v>
      </c>
    </row>
    <row r="2426" ht="15.75" customHeight="1">
      <c r="A2426" s="7"/>
      <c r="B2426" s="7" t="str">
        <f>IFERROR(__xludf.DUMMYFUNCTION("""COMPUTED_VALUE"""),"Bash/Shell/PowerShell;HTML/CSS;PHP;Python;SQL;VBA;Other(s):")</f>
        <v>Bash/Shell/PowerShell;HTML/CSS;PHP;Python;SQL;VBA;Other(s):</v>
      </c>
      <c r="C2426" s="9" t="str">
        <f>IFERROR(__xludf.DUMMYFUNCTION("""COMPUTED_VALUE"""),"C++")</f>
        <v>C++</v>
      </c>
      <c r="D2426" s="9" t="str">
        <f>IFERROR(__xludf.DUMMYFUNCTION("""COMPUTED_VALUE"""),"Python")</f>
        <v>Python</v>
      </c>
      <c r="E2426" s="9" t="str">
        <f>IFERROR(__xludf.DUMMYFUNCTION("""COMPUTED_VALUE"""),"SQL")</f>
        <v>SQL</v>
      </c>
      <c r="F2426" s="9" t="str">
        <f>IFERROR(__xludf.DUMMYFUNCTION("""COMPUTED_VALUE"""),"JavaScript")</f>
        <v>JavaScript</v>
      </c>
      <c r="G2426" s="9" t="str">
        <f>IFERROR(__xludf.DUMMYFUNCTION("""COMPUTED_VALUE"""),"HTML/CSS")</f>
        <v>HTML/CSS</v>
      </c>
      <c r="H2426" s="9" t="str">
        <f>IFERROR(__xludf.DUMMYFUNCTION("""COMPUTED_VALUE"""),"JavaScript")</f>
        <v>JavaScript</v>
      </c>
      <c r="I2426" s="9" t="str">
        <f>IFERROR(__xludf.DUMMYFUNCTION("""COMPUTED_VALUE"""),"HTML/CSS")</f>
        <v>HTML/CSS</v>
      </c>
      <c r="J2426" s="9" t="str">
        <f>IFERROR(__xludf.DUMMYFUNCTION("""COMPUTED_VALUE"""),"HTML/CSS")</f>
        <v>HTML/CSS</v>
      </c>
      <c r="K2426" s="9" t="str">
        <f>IFERROR(__xludf.DUMMYFUNCTION("""COMPUTED_VALUE"""),"HTML/CSS")</f>
        <v>HTML/CSS</v>
      </c>
      <c r="L2426" s="9" t="str">
        <f>IFERROR(__xludf.DUMMYFUNCTION("""COMPUTED_VALUE"""),"TypeScript")</f>
        <v>TypeScript</v>
      </c>
      <c r="M2426" s="9" t="s">
        <v>23</v>
      </c>
    </row>
    <row r="2427" ht="15.75" customHeight="1">
      <c r="A2427" s="7"/>
      <c r="B2427" s="7" t="str">
        <f>IFERROR(__xludf.DUMMYFUNCTION("""COMPUTED_VALUE"""),"Assembly;HTML/CSS;Java;JavaScript;SQL")</f>
        <v>Assembly;HTML/CSS;Java;JavaScript;SQL</v>
      </c>
      <c r="C2427" s="9" t="str">
        <f>IFERROR(__xludf.DUMMYFUNCTION("""COMPUTED_VALUE"""),"HTML/CSS")</f>
        <v>HTML/CSS</v>
      </c>
      <c r="D2427" s="9" t="str">
        <f>IFERROR(__xludf.DUMMYFUNCTION("""COMPUTED_VALUE"""),"Ruby")</f>
        <v>Ruby</v>
      </c>
      <c r="E2427" s="9" t="str">
        <f>IFERROR(__xludf.DUMMYFUNCTION("""COMPUTED_VALUE"""),"Bash/Shell/PowerShell")</f>
        <v>Bash/Shell/PowerShell</v>
      </c>
      <c r="F2427" s="9" t="str">
        <f>IFERROR(__xludf.DUMMYFUNCTION("""COMPUTED_VALUE"""),"Python")</f>
        <v>Python</v>
      </c>
      <c r="G2427" s="9" t="str">
        <f>IFERROR(__xludf.DUMMYFUNCTION("""COMPUTED_VALUE"""),"JavaScript")</f>
        <v>JavaScript</v>
      </c>
      <c r="H2427" s="9" t="str">
        <f>IFERROR(__xludf.DUMMYFUNCTION("""COMPUTED_VALUE"""),"PHP")</f>
        <v>PHP</v>
      </c>
      <c r="I2427" s="9" t="str">
        <f>IFERROR(__xludf.DUMMYFUNCTION("""COMPUTED_VALUE"""),"R")</f>
        <v>R</v>
      </c>
      <c r="J2427" s="9" t="str">
        <f>IFERROR(__xludf.DUMMYFUNCTION("""COMPUTED_VALUE"""),"Java")</f>
        <v>Java</v>
      </c>
      <c r="K2427" s="9" t="str">
        <f>IFERROR(__xludf.DUMMYFUNCTION("""COMPUTED_VALUE"""),"JavaScript")</f>
        <v>JavaScript</v>
      </c>
      <c r="L2427" s="9" t="str">
        <f>IFERROR(__xludf.DUMMYFUNCTION("""COMPUTED_VALUE"""),"Python")</f>
        <v>Python</v>
      </c>
      <c r="M2427" s="9" t="s">
        <v>24</v>
      </c>
    </row>
    <row r="2428" ht="15.75" customHeight="1">
      <c r="A2428" s="7"/>
      <c r="B2428" s="7" t="str">
        <f>IFERROR(__xludf.DUMMYFUNCTION("""COMPUTED_VALUE"""),"Bash/Shell/PowerShell;HTML/CSS;JavaScript;PHP;Python;SQL")</f>
        <v>Bash/Shell/PowerShell;HTML/CSS;JavaScript;PHP;Python;SQL</v>
      </c>
      <c r="C2428" s="9" t="str">
        <f>IFERROR(__xludf.DUMMYFUNCTION("""COMPUTED_VALUE"""),"JavaScript")</f>
        <v>JavaScript</v>
      </c>
      <c r="D2428" s="9" t="str">
        <f>IFERROR(__xludf.DUMMYFUNCTION("""COMPUTED_VALUE"""),"Rust")</f>
        <v>Rust</v>
      </c>
      <c r="E2428" s="9" t="str">
        <f>IFERROR(__xludf.DUMMYFUNCTION("""COMPUTED_VALUE"""),"C++")</f>
        <v>C++</v>
      </c>
      <c r="F2428" s="9" t="str">
        <f>IFERROR(__xludf.DUMMYFUNCTION("""COMPUTED_VALUE"""),"SQL")</f>
        <v>SQL</v>
      </c>
      <c r="G2428" s="9" t="str">
        <f>IFERROR(__xludf.DUMMYFUNCTION("""COMPUTED_VALUE"""),"PHP")</f>
        <v>PHP</v>
      </c>
      <c r="H2428" s="9" t="str">
        <f>IFERROR(__xludf.DUMMYFUNCTION("""COMPUTED_VALUE"""),"Python")</f>
        <v>Python</v>
      </c>
      <c r="I2428" s="9" t="str">
        <f>IFERROR(__xludf.DUMMYFUNCTION("""COMPUTED_VALUE"""),"Ruby")</f>
        <v>Ruby</v>
      </c>
      <c r="J2428" s="9" t="str">
        <f>IFERROR(__xludf.DUMMYFUNCTION("""COMPUTED_VALUE"""),"JavaScript")</f>
        <v>JavaScript</v>
      </c>
      <c r="K2428" s="9" t="str">
        <f>IFERROR(__xludf.DUMMYFUNCTION("""COMPUTED_VALUE"""),"TypeScript")</f>
        <v>TypeScript</v>
      </c>
      <c r="L2428" s="9" t="str">
        <f>IFERROR(__xludf.DUMMYFUNCTION("""COMPUTED_VALUE"""),"Other(s):")</f>
        <v>Other(s):</v>
      </c>
      <c r="M2428" s="9" t="s">
        <v>21</v>
      </c>
    </row>
    <row r="2429" ht="15.75" customHeight="1">
      <c r="A2429" s="7"/>
      <c r="B2429" s="7" t="str">
        <f>IFERROR(__xludf.DUMMYFUNCTION("""COMPUTED_VALUE"""),"Go;HTML/CSS;Java;JavaScript;Python;Ruby;SQL;TypeScript")</f>
        <v>Go;HTML/CSS;Java;JavaScript;Python;Ruby;SQL;TypeScript</v>
      </c>
      <c r="C2429" s="9" t="str">
        <f>IFERROR(__xludf.DUMMYFUNCTION("""COMPUTED_VALUE"""),"Python")</f>
        <v>Python</v>
      </c>
      <c r="D2429" s="9" t="str">
        <f>IFERROR(__xludf.DUMMYFUNCTION("""COMPUTED_VALUE"""),"Bash/Shell/PowerShell")</f>
        <v>Bash/Shell/PowerShell</v>
      </c>
      <c r="E2429" s="9" t="str">
        <f>IFERROR(__xludf.DUMMYFUNCTION("""COMPUTED_VALUE"""),"C#")</f>
        <v>C#</v>
      </c>
      <c r="F2429" s="9" t="str">
        <f>IFERROR(__xludf.DUMMYFUNCTION("""COMPUTED_VALUE"""),"C")</f>
        <v>C</v>
      </c>
      <c r="G2429" s="9" t="str">
        <f>IFERROR(__xludf.DUMMYFUNCTION("""COMPUTED_VALUE"""),"Ruby")</f>
        <v>Ruby</v>
      </c>
      <c r="H2429" s="9" t="str">
        <f>IFERROR(__xludf.DUMMYFUNCTION("""COMPUTED_VALUE"""),"SQL")</f>
        <v>SQL</v>
      </c>
      <c r="I2429" s="9" t="str">
        <f>IFERROR(__xludf.DUMMYFUNCTION("""COMPUTED_VALUE"""),"SQL")</f>
        <v>SQL</v>
      </c>
      <c r="J2429" s="9" t="str">
        <f>IFERROR(__xludf.DUMMYFUNCTION("""COMPUTED_VALUE"""),"TypeScript")</f>
        <v>TypeScript</v>
      </c>
      <c r="K2429" s="9" t="str">
        <f>IFERROR(__xludf.DUMMYFUNCTION("""COMPUTED_VALUE"""),"Bash/Shell/PowerShell")</f>
        <v>Bash/Shell/PowerShell</v>
      </c>
      <c r="L2429" s="9" t="str">
        <f>IFERROR(__xludf.DUMMYFUNCTION("""COMPUTED_VALUE"""),"C#")</f>
        <v>C#</v>
      </c>
      <c r="M2429" s="9" t="s">
        <v>22</v>
      </c>
    </row>
    <row r="2430" ht="15.75" customHeight="1">
      <c r="A2430" s="7"/>
      <c r="B2430" s="7" t="str">
        <f>IFERROR(__xludf.DUMMYFUNCTION("""COMPUTED_VALUE"""),"Java;VBA")</f>
        <v>Java;VBA</v>
      </c>
      <c r="C2430" s="9" t="str">
        <f>IFERROR(__xludf.DUMMYFUNCTION("""COMPUTED_VALUE"""),"Bash/Shell/PowerShell")</f>
        <v>Bash/Shell/PowerShell</v>
      </c>
      <c r="D2430" s="9" t="str">
        <f>IFERROR(__xludf.DUMMYFUNCTION("""COMPUTED_VALUE"""),"C")</f>
        <v>C</v>
      </c>
      <c r="E2430" s="9" t="str">
        <f>IFERROR(__xludf.DUMMYFUNCTION("""COMPUTED_VALUE"""),"HTML/CSS")</f>
        <v>HTML/CSS</v>
      </c>
      <c r="F2430" s="9" t="str">
        <f>IFERROR(__xludf.DUMMYFUNCTION("""COMPUTED_VALUE"""),"C++")</f>
        <v>C++</v>
      </c>
      <c r="G2430" s="9" t="str">
        <f>IFERROR(__xludf.DUMMYFUNCTION("""COMPUTED_VALUE"""),"SQL")</f>
        <v>SQL</v>
      </c>
      <c r="H2430" s="9" t="str">
        <f>IFERROR(__xludf.DUMMYFUNCTION("""COMPUTED_VALUE"""),"Bash/Shell/PowerShell")</f>
        <v>Bash/Shell/PowerShell</v>
      </c>
      <c r="I2430" s="9" t="str">
        <f>IFERROR(__xludf.DUMMYFUNCTION("""COMPUTED_VALUE"""),"Java")</f>
        <v>Java</v>
      </c>
      <c r="J2430" s="9" t="str">
        <f>IFERROR(__xludf.DUMMYFUNCTION("""COMPUTED_VALUE"""),"C++")</f>
        <v>C++</v>
      </c>
      <c r="K2430" s="9" t="str">
        <f>IFERROR(__xludf.DUMMYFUNCTION("""COMPUTED_VALUE"""),"C#")</f>
        <v>C#</v>
      </c>
      <c r="L2430" s="9" t="str">
        <f>IFERROR(__xludf.DUMMYFUNCTION("""COMPUTED_VALUE"""),"HTML/CSS")</f>
        <v>HTML/CSS</v>
      </c>
      <c r="M2430" s="9" t="s">
        <v>30</v>
      </c>
    </row>
    <row r="2431" ht="15.75" customHeight="1">
      <c r="A2431" s="7"/>
      <c r="B2431" s="7" t="str">
        <f>IFERROR(__xludf.DUMMYFUNCTION("""COMPUTED_VALUE"""),"C#;HTML/CSS;JavaScript;SQL;TypeScript")</f>
        <v>C#;HTML/CSS;JavaScript;SQL;TypeScript</v>
      </c>
      <c r="C2431" s="9" t="str">
        <f>IFERROR(__xludf.DUMMYFUNCTION("""COMPUTED_VALUE"""),"HTML/CSS")</f>
        <v>HTML/CSS</v>
      </c>
      <c r="D2431" s="9" t="str">
        <f>IFERROR(__xludf.DUMMYFUNCTION("""COMPUTED_VALUE"""),"HTML/CSS")</f>
        <v>HTML/CSS</v>
      </c>
      <c r="E2431" s="9" t="str">
        <f>IFERROR(__xludf.DUMMYFUNCTION("""COMPUTED_VALUE"""),"JavaScript")</f>
        <v>JavaScript</v>
      </c>
      <c r="F2431" s="9" t="str">
        <f>IFERROR(__xludf.DUMMYFUNCTION("""COMPUTED_VALUE"""),"HTML/CSS")</f>
        <v>HTML/CSS</v>
      </c>
      <c r="G2431" s="9" t="str">
        <f>IFERROR(__xludf.DUMMYFUNCTION("""COMPUTED_VALUE"""),"HTML/CSS")</f>
        <v>HTML/CSS</v>
      </c>
      <c r="H2431" s="9" t="str">
        <f>IFERROR(__xludf.DUMMYFUNCTION("""COMPUTED_VALUE"""),"HTML/CSS")</f>
        <v>HTML/CSS</v>
      </c>
      <c r="I2431" s="9" t="str">
        <f>IFERROR(__xludf.DUMMYFUNCTION("""COMPUTED_VALUE"""),"Ruby")</f>
        <v>Ruby</v>
      </c>
      <c r="J2431" s="9" t="str">
        <f>IFERROR(__xludf.DUMMYFUNCTION("""COMPUTED_VALUE"""),"HTML/CSS")</f>
        <v>HTML/CSS</v>
      </c>
      <c r="K2431" s="9" t="str">
        <f>IFERROR(__xludf.DUMMYFUNCTION("""COMPUTED_VALUE"""),"HTML/CSS")</f>
        <v>HTML/CSS</v>
      </c>
      <c r="L2431" s="9" t="str">
        <f>IFERROR(__xludf.DUMMYFUNCTION("""COMPUTED_VALUE"""),"Java")</f>
        <v>Java</v>
      </c>
      <c r="M2431" s="9" t="s">
        <v>24</v>
      </c>
    </row>
    <row r="2432" ht="15.75" customHeight="1">
      <c r="A2432" s="7"/>
      <c r="B2432" s="7" t="str">
        <f>IFERROR(__xludf.DUMMYFUNCTION("""COMPUTED_VALUE"""),"Bash/Shell/PowerShell;C#;SQL")</f>
        <v>Bash/Shell/PowerShell;C#;SQL</v>
      </c>
      <c r="C2432" s="9" t="str">
        <f>IFERROR(__xludf.DUMMYFUNCTION("""COMPUTED_VALUE"""),"Java")</f>
        <v>Java</v>
      </c>
      <c r="D2432" s="9" t="str">
        <f>IFERROR(__xludf.DUMMYFUNCTION("""COMPUTED_VALUE"""),"Java")</f>
        <v>Java</v>
      </c>
      <c r="E2432" s="9" t="str">
        <f>IFERROR(__xludf.DUMMYFUNCTION("""COMPUTED_VALUE"""),"PHP")</f>
        <v>PHP</v>
      </c>
      <c r="F2432" s="9" t="str">
        <f>IFERROR(__xludf.DUMMYFUNCTION("""COMPUTED_VALUE"""),"JavaScript")</f>
        <v>JavaScript</v>
      </c>
      <c r="G2432" s="9" t="str">
        <f>IFERROR(__xludf.DUMMYFUNCTION("""COMPUTED_VALUE"""),"Java")</f>
        <v>Java</v>
      </c>
      <c r="H2432" s="9" t="str">
        <f>IFERROR(__xludf.DUMMYFUNCTION("""COMPUTED_VALUE"""),"Java")</f>
        <v>Java</v>
      </c>
      <c r="I2432" s="9" t="str">
        <f>IFERROR(__xludf.DUMMYFUNCTION("""COMPUTED_VALUE"""),"Scala")</f>
        <v>Scala</v>
      </c>
      <c r="J2432" s="9" t="str">
        <f>IFERROR(__xludf.DUMMYFUNCTION("""COMPUTED_VALUE"""),"Java")</f>
        <v>Java</v>
      </c>
      <c r="K2432" s="9" t="str">
        <f>IFERROR(__xludf.DUMMYFUNCTION("""COMPUTED_VALUE"""),"Java")</f>
        <v>Java</v>
      </c>
      <c r="L2432" s="9" t="str">
        <f>IFERROR(__xludf.DUMMYFUNCTION("""COMPUTED_VALUE"""),"JavaScript")</f>
        <v>JavaScript</v>
      </c>
      <c r="M2432" s="9" t="s">
        <v>20</v>
      </c>
    </row>
    <row r="2433" ht="15.75" customHeight="1">
      <c r="A2433" s="7"/>
      <c r="B2433" s="7" t="str">
        <f>IFERROR(__xludf.DUMMYFUNCTION("""COMPUTED_VALUE"""),"Bash/Shell/PowerShell;HTML/CSS;JavaScript;PHP;Python;SQL;TypeScript")</f>
        <v>Bash/Shell/PowerShell;HTML/CSS;JavaScript;PHP;Python;SQL;TypeScript</v>
      </c>
      <c r="C2433" s="9" t="str">
        <f>IFERROR(__xludf.DUMMYFUNCTION("""COMPUTED_VALUE"""),"JavaScript")</f>
        <v>JavaScript</v>
      </c>
      <c r="D2433" s="9" t="str">
        <f>IFERROR(__xludf.DUMMYFUNCTION("""COMPUTED_VALUE"""),"JavaScript")</f>
        <v>JavaScript</v>
      </c>
      <c r="E2433" s="9" t="str">
        <f>IFERROR(__xludf.DUMMYFUNCTION("""COMPUTED_VALUE"""),"SQL")</f>
        <v>SQL</v>
      </c>
      <c r="F2433" s="9" t="str">
        <f>IFERROR(__xludf.DUMMYFUNCTION("""COMPUTED_VALUE"""),"Objective-C")</f>
        <v>Objective-C</v>
      </c>
      <c r="G2433" s="9" t="str">
        <f>IFERROR(__xludf.DUMMYFUNCTION("""COMPUTED_VALUE"""),"SQL")</f>
        <v>SQL</v>
      </c>
      <c r="H2433" s="9" t="str">
        <f>IFERROR(__xludf.DUMMYFUNCTION("""COMPUTED_VALUE"""),"JavaScript")</f>
        <v>JavaScript</v>
      </c>
      <c r="I2433" s="9" t="str">
        <f>IFERROR(__xludf.DUMMYFUNCTION("""COMPUTED_VALUE"""),"SQL")</f>
        <v>SQL</v>
      </c>
      <c r="J2433" s="9" t="str">
        <f>IFERROR(__xludf.DUMMYFUNCTION("""COMPUTED_VALUE"""),"JavaScript")</f>
        <v>JavaScript</v>
      </c>
      <c r="K2433" s="9" t="str">
        <f>IFERROR(__xludf.DUMMYFUNCTION("""COMPUTED_VALUE"""),"JavaScript")</f>
        <v>JavaScript</v>
      </c>
      <c r="L2433" s="9" t="str">
        <f>IFERROR(__xludf.DUMMYFUNCTION("""COMPUTED_VALUE"""),"SQL")</f>
        <v>SQL</v>
      </c>
      <c r="M2433" s="9" t="s">
        <v>21</v>
      </c>
    </row>
    <row r="2434" ht="15.75" customHeight="1">
      <c r="A2434" s="7"/>
      <c r="B2434" s="7" t="str">
        <f>IFERROR(__xludf.DUMMYFUNCTION("""COMPUTED_VALUE"""),"C#;Python;R;Rust;SQL")</f>
        <v>C#;Python;R;Rust;SQL</v>
      </c>
      <c r="C2434" s="9" t="str">
        <f>IFERROR(__xludf.DUMMYFUNCTION("""COMPUTED_VALUE"""),"PHP")</f>
        <v>PHP</v>
      </c>
      <c r="D2434" s="9" t="str">
        <f>IFERROR(__xludf.DUMMYFUNCTION("""COMPUTED_VALUE"""),"PHP")</f>
        <v>PHP</v>
      </c>
      <c r="E2434" s="9" t="str">
        <f>IFERROR(__xludf.DUMMYFUNCTION("""COMPUTED_VALUE"""),"TypeScript")</f>
        <v>TypeScript</v>
      </c>
      <c r="F2434" s="9" t="str">
        <f>IFERROR(__xludf.DUMMYFUNCTION("""COMPUTED_VALUE"""),"Python")</f>
        <v>Python</v>
      </c>
      <c r="G2434" s="9" t="str">
        <f>IFERROR(__xludf.DUMMYFUNCTION("""COMPUTED_VALUE"""),"C")</f>
        <v>C</v>
      </c>
      <c r="H2434" s="9" t="str">
        <f>IFERROR(__xludf.DUMMYFUNCTION("""COMPUTED_VALUE"""),"Python")</f>
        <v>Python</v>
      </c>
      <c r="I2434" s="9" t="str">
        <f>IFERROR(__xludf.DUMMYFUNCTION("""COMPUTED_VALUE"""),"C")</f>
        <v>C</v>
      </c>
      <c r="J2434" s="9" t="str">
        <f>IFERROR(__xludf.DUMMYFUNCTION("""COMPUTED_VALUE"""),"Python")</f>
        <v>Python</v>
      </c>
      <c r="K2434" s="9" t="str">
        <f>IFERROR(__xludf.DUMMYFUNCTION("""COMPUTED_VALUE"""),"Python")</f>
        <v>Python</v>
      </c>
      <c r="L2434" s="9" t="str">
        <f>IFERROR(__xludf.DUMMYFUNCTION("""COMPUTED_VALUE"""),"TypeScript")</f>
        <v>TypeScript</v>
      </c>
      <c r="M2434" s="9" t="s">
        <v>37</v>
      </c>
    </row>
    <row r="2435" ht="15.75" customHeight="1">
      <c r="A2435" s="7"/>
      <c r="B2435" s="7" t="str">
        <f>IFERROR(__xludf.DUMMYFUNCTION("""COMPUTED_VALUE"""),"Java;JavaScript")</f>
        <v>Java;JavaScript</v>
      </c>
      <c r="C2435" s="9" t="str">
        <f>IFERROR(__xludf.DUMMYFUNCTION("""COMPUTED_VALUE"""),"Ruby")</f>
        <v>Ruby</v>
      </c>
      <c r="D2435" s="9" t="str">
        <f>IFERROR(__xludf.DUMMYFUNCTION("""COMPUTED_VALUE"""),"Python")</f>
        <v>Python</v>
      </c>
      <c r="E2435" s="9" t="str">
        <f>IFERROR(__xludf.DUMMYFUNCTION("""COMPUTED_VALUE"""),"Bash/Shell/PowerShell")</f>
        <v>Bash/Shell/PowerShell</v>
      </c>
      <c r="F2435" s="9" t="str">
        <f>IFERROR(__xludf.DUMMYFUNCTION("""COMPUTED_VALUE"""),"Swift")</f>
        <v>Swift</v>
      </c>
      <c r="G2435" s="9" t="str">
        <f>IFERROR(__xludf.DUMMYFUNCTION("""COMPUTED_VALUE"""),"C#")</f>
        <v>C#</v>
      </c>
      <c r="H2435" s="9" t="str">
        <f>IFERROR(__xludf.DUMMYFUNCTION("""COMPUTED_VALUE"""),"VBA")</f>
        <v>VBA</v>
      </c>
      <c r="I2435" s="9" t="str">
        <f>IFERROR(__xludf.DUMMYFUNCTION("""COMPUTED_VALUE"""),"Objective-C")</f>
        <v>Objective-C</v>
      </c>
      <c r="J2435" s="9" t="str">
        <f>IFERROR(__xludf.DUMMYFUNCTION("""COMPUTED_VALUE"""),"SQL")</f>
        <v>SQL</v>
      </c>
      <c r="K2435" s="9" t="str">
        <f>IFERROR(__xludf.DUMMYFUNCTION("""COMPUTED_VALUE"""),"SQL")</f>
        <v>SQL</v>
      </c>
      <c r="L2435" s="9" t="str">
        <f>IFERROR(__xludf.DUMMYFUNCTION("""COMPUTED_VALUE"""),"Bash/Shell/PowerShell")</f>
        <v>Bash/Shell/PowerShell</v>
      </c>
      <c r="M2435" s="9" t="s">
        <v>31</v>
      </c>
    </row>
    <row r="2436" ht="15.75" customHeight="1">
      <c r="A2436" s="7"/>
      <c r="B2436" s="7" t="str">
        <f>IFERROR(__xludf.DUMMYFUNCTION("""COMPUTED_VALUE"""),"HTML/CSS;Java;JavaScript;PHP;Python;SQL;TypeScript")</f>
        <v>HTML/CSS;Java;JavaScript;PHP;Python;SQL;TypeScript</v>
      </c>
      <c r="C2436" s="9" t="str">
        <f>IFERROR(__xludf.DUMMYFUNCTION("""COMPUTED_VALUE"""),"SQL")</f>
        <v>SQL</v>
      </c>
      <c r="D2436" s="9" t="str">
        <f>IFERROR(__xludf.DUMMYFUNCTION("""COMPUTED_VALUE"""),"Bash/Shell/PowerShell")</f>
        <v>Bash/Shell/PowerShell</v>
      </c>
      <c r="E2436" s="9" t="str">
        <f>IFERROR(__xludf.DUMMYFUNCTION("""COMPUTED_VALUE"""),"C#")</f>
        <v>C#</v>
      </c>
      <c r="F2436" s="9" t="str">
        <f>IFERROR(__xludf.DUMMYFUNCTION("""COMPUTED_VALUE"""),"C")</f>
        <v>C</v>
      </c>
      <c r="G2436" s="9" t="str">
        <f>IFERROR(__xludf.DUMMYFUNCTION("""COMPUTED_VALUE"""),"Java")</f>
        <v>Java</v>
      </c>
      <c r="H2436" s="9" t="str">
        <f>IFERROR(__xludf.DUMMYFUNCTION("""COMPUTED_VALUE"""),"Assembly")</f>
        <v>Assembly</v>
      </c>
      <c r="I2436" s="9" t="str">
        <f>IFERROR(__xludf.DUMMYFUNCTION("""COMPUTED_VALUE"""),"Other(s):")</f>
        <v>Other(s):</v>
      </c>
      <c r="J2436" s="9" t="str">
        <f>IFERROR(__xludf.DUMMYFUNCTION("""COMPUTED_VALUE"""),"C#")</f>
        <v>C#</v>
      </c>
      <c r="K2436" s="9" t="str">
        <f>IFERROR(__xludf.DUMMYFUNCTION("""COMPUTED_VALUE"""),"TypeScript")</f>
        <v>TypeScript</v>
      </c>
      <c r="L2436" s="9" t="str">
        <f>IFERROR(__xludf.DUMMYFUNCTION("""COMPUTED_VALUE"""),"HTML/CSS")</f>
        <v>HTML/CSS</v>
      </c>
      <c r="M2436" s="9" t="s">
        <v>27</v>
      </c>
    </row>
    <row r="2437" ht="15.75" customHeight="1">
      <c r="A2437" s="7"/>
      <c r="B2437" s="7" t="str">
        <f>IFERROR(__xludf.DUMMYFUNCTION("""COMPUTED_VALUE"""),"C;Java;Kotlin")</f>
        <v>C;Java;Kotlin</v>
      </c>
      <c r="C2437" s="9" t="str">
        <f>IFERROR(__xludf.DUMMYFUNCTION("""COMPUTED_VALUE"""),"VBA")</f>
        <v>VBA</v>
      </c>
      <c r="D2437" s="9" t="str">
        <f>IFERROR(__xludf.DUMMYFUNCTION("""COMPUTED_VALUE"""),"Java")</f>
        <v>Java</v>
      </c>
      <c r="E2437" s="9" t="str">
        <f>IFERROR(__xludf.DUMMYFUNCTION("""COMPUTED_VALUE"""),"HTML/CSS")</f>
        <v>HTML/CSS</v>
      </c>
      <c r="F2437" s="9" t="str">
        <f>IFERROR(__xludf.DUMMYFUNCTION("""COMPUTED_VALUE"""),"C#")</f>
        <v>C#</v>
      </c>
      <c r="G2437" s="9" t="str">
        <f>IFERROR(__xludf.DUMMYFUNCTION("""COMPUTED_VALUE"""),"JavaScript")</f>
        <v>JavaScript</v>
      </c>
      <c r="H2437" s="9" t="str">
        <f>IFERROR(__xludf.DUMMYFUNCTION("""COMPUTED_VALUE"""),"SQL")</f>
        <v>SQL</v>
      </c>
      <c r="I2437" s="9" t="str">
        <f>IFERROR(__xludf.DUMMYFUNCTION("""COMPUTED_VALUE"""),"HTML/CSS")</f>
        <v>HTML/CSS</v>
      </c>
      <c r="J2437" s="9" t="str">
        <f>IFERROR(__xludf.DUMMYFUNCTION("""COMPUTED_VALUE"""),"HTML/CSS")</f>
        <v>HTML/CSS</v>
      </c>
      <c r="K2437" s="9" t="str">
        <f>IFERROR(__xludf.DUMMYFUNCTION("""COMPUTED_VALUE"""),"Bash/Shell/PowerShell")</f>
        <v>Bash/Shell/PowerShell</v>
      </c>
      <c r="L2437" s="9" t="str">
        <f>IFERROR(__xludf.DUMMYFUNCTION("""COMPUTED_VALUE"""),"JavaScript")</f>
        <v>JavaScript</v>
      </c>
      <c r="M2437" s="9" t="s">
        <v>28</v>
      </c>
    </row>
    <row r="2438" ht="15.75" customHeight="1">
      <c r="A2438" s="7"/>
      <c r="B2438" s="7" t="str">
        <f>IFERROR(__xludf.DUMMYFUNCTION("""COMPUTED_VALUE"""),"HTML/CSS;Java;JavaScript;SQL")</f>
        <v>HTML/CSS;Java;JavaScript;SQL</v>
      </c>
      <c r="C2438" s="9" t="str">
        <f>IFERROR(__xludf.DUMMYFUNCTION("""COMPUTED_VALUE"""),"C++")</f>
        <v>C++</v>
      </c>
      <c r="D2438" s="9" t="str">
        <f>IFERROR(__xludf.DUMMYFUNCTION("""COMPUTED_VALUE"""),"Kotlin")</f>
        <v>Kotlin</v>
      </c>
      <c r="E2438" s="9" t="str">
        <f>IFERROR(__xludf.DUMMYFUNCTION("""COMPUTED_VALUE"""),"Java")</f>
        <v>Java</v>
      </c>
      <c r="F2438" s="9" t="str">
        <f>IFERROR(__xludf.DUMMYFUNCTION("""COMPUTED_VALUE"""),"Java")</f>
        <v>Java</v>
      </c>
      <c r="G2438" s="9" t="str">
        <f>IFERROR(__xludf.DUMMYFUNCTION("""COMPUTED_VALUE"""),"Kotlin")</f>
        <v>Kotlin</v>
      </c>
      <c r="H2438" s="9" t="str">
        <f>IFERROR(__xludf.DUMMYFUNCTION("""COMPUTED_VALUE"""),"HTML/CSS")</f>
        <v>HTML/CSS</v>
      </c>
      <c r="I2438" s="9" t="str">
        <f>IFERROR(__xludf.DUMMYFUNCTION("""COMPUTED_VALUE"""),"Java")</f>
        <v>Java</v>
      </c>
      <c r="J2438" s="9" t="str">
        <f>IFERROR(__xludf.DUMMYFUNCTION("""COMPUTED_VALUE"""),"JavaScript")</f>
        <v>JavaScript</v>
      </c>
      <c r="K2438" s="9" t="str">
        <f>IFERROR(__xludf.DUMMYFUNCTION("""COMPUTED_VALUE"""),"C")</f>
        <v>C</v>
      </c>
      <c r="L2438" s="9" t="str">
        <f>IFERROR(__xludf.DUMMYFUNCTION("""COMPUTED_VALUE"""),"Python")</f>
        <v>Python</v>
      </c>
      <c r="M2438" s="9" t="s">
        <v>23</v>
      </c>
    </row>
    <row r="2439" ht="15.75" customHeight="1">
      <c r="A2439" s="7"/>
      <c r="B2439" s="7" t="str">
        <f>IFERROR(__xludf.DUMMYFUNCTION("""COMPUTED_VALUE"""),"Clojure;HTML/CSS;Java;Other(s):")</f>
        <v>Clojure;HTML/CSS;Java;Other(s):</v>
      </c>
      <c r="C2439" s="9" t="str">
        <f>IFERROR(__xludf.DUMMYFUNCTION("""COMPUTED_VALUE"""),"C#")</f>
        <v>C#</v>
      </c>
      <c r="D2439" s="9" t="str">
        <f>IFERROR(__xludf.DUMMYFUNCTION("""COMPUTED_VALUE"""),"Ruby")</f>
        <v>Ruby</v>
      </c>
      <c r="E2439" s="9" t="str">
        <f>IFERROR(__xludf.DUMMYFUNCTION("""COMPUTED_VALUE"""),"JavaScript")</f>
        <v>JavaScript</v>
      </c>
      <c r="F2439" s="9" t="str">
        <f>IFERROR(__xludf.DUMMYFUNCTION("""COMPUTED_VALUE"""),"JavaScript")</f>
        <v>JavaScript</v>
      </c>
      <c r="G2439" s="9" t="str">
        <f>IFERROR(__xludf.DUMMYFUNCTION("""COMPUTED_VALUE"""),"Python")</f>
        <v>Python</v>
      </c>
      <c r="H2439" s="9" t="str">
        <f>IFERROR(__xludf.DUMMYFUNCTION("""COMPUTED_VALUE"""),"Java")</f>
        <v>Java</v>
      </c>
      <c r="I2439" s="9" t="str">
        <f>IFERROR(__xludf.DUMMYFUNCTION("""COMPUTED_VALUE"""),"C++")</f>
        <v>C++</v>
      </c>
      <c r="J2439" s="9" t="str">
        <f>IFERROR(__xludf.DUMMYFUNCTION("""COMPUTED_VALUE"""),"Python")</f>
        <v>Python</v>
      </c>
      <c r="K2439" s="9" t="str">
        <f>IFERROR(__xludf.DUMMYFUNCTION("""COMPUTED_VALUE"""),"C++")</f>
        <v>C++</v>
      </c>
      <c r="L2439" s="9" t="str">
        <f>IFERROR(__xludf.DUMMYFUNCTION("""COMPUTED_VALUE"""),"Python")</f>
        <v>Python</v>
      </c>
      <c r="M2439" s="9" t="s">
        <v>26</v>
      </c>
    </row>
    <row r="2440" ht="15.75" customHeight="1">
      <c r="A2440" s="7"/>
      <c r="B2440" s="7" t="str">
        <f>IFERROR(__xludf.DUMMYFUNCTION("""COMPUTED_VALUE"""),"Bash/Shell/PowerShell;C++;HTML/CSS;Java;JavaScript;Python;SQL;TypeScript")</f>
        <v>Bash/Shell/PowerShell;C++;HTML/CSS;Java;JavaScript;Python;SQL;TypeScript</v>
      </c>
      <c r="C2440" s="9" t="str">
        <f>IFERROR(__xludf.DUMMYFUNCTION("""COMPUTED_VALUE"""),"HTML/CSS")</f>
        <v>HTML/CSS</v>
      </c>
      <c r="D2440" s="9" t="str">
        <f>IFERROR(__xludf.DUMMYFUNCTION("""COMPUTED_VALUE"""),"Scala")</f>
        <v>Scala</v>
      </c>
      <c r="E2440" s="9" t="str">
        <f>IFERROR(__xludf.DUMMYFUNCTION("""COMPUTED_VALUE"""),"SQL")</f>
        <v>SQL</v>
      </c>
      <c r="F2440" s="9" t="str">
        <f>IFERROR(__xludf.DUMMYFUNCTION("""COMPUTED_VALUE"""),"Python")</f>
        <v>Python</v>
      </c>
      <c r="G2440" s="9" t="str">
        <f>IFERROR(__xludf.DUMMYFUNCTION("""COMPUTED_VALUE"""),"Rust")</f>
        <v>Rust</v>
      </c>
      <c r="H2440" s="9" t="str">
        <f>IFERROR(__xludf.DUMMYFUNCTION("""COMPUTED_VALUE"""),"JavaScript")</f>
        <v>JavaScript</v>
      </c>
      <c r="I2440" s="9" t="str">
        <f>IFERROR(__xludf.DUMMYFUNCTION("""COMPUTED_VALUE"""),"C#")</f>
        <v>C#</v>
      </c>
      <c r="J2440" s="9" t="str">
        <f>IFERROR(__xludf.DUMMYFUNCTION("""COMPUTED_VALUE"""),"SQL")</f>
        <v>SQL</v>
      </c>
      <c r="K2440" s="9" t="str">
        <f>IFERROR(__xludf.DUMMYFUNCTION("""COMPUTED_VALUE"""),"C#")</f>
        <v>C#</v>
      </c>
      <c r="L2440" s="9" t="str">
        <f>IFERROR(__xludf.DUMMYFUNCTION("""COMPUTED_VALUE"""),"C")</f>
        <v>C</v>
      </c>
      <c r="M2440" s="9" t="s">
        <v>24</v>
      </c>
    </row>
    <row r="2441" ht="15.75" customHeight="1">
      <c r="A2441" s="7"/>
      <c r="B2441" s="7" t="str">
        <f>IFERROR(__xludf.DUMMYFUNCTION("""COMPUTED_VALUE"""),"Bash/Shell/PowerShell;C;HTML/CSS;JavaScript;Python;VBA")</f>
        <v>Bash/Shell/PowerShell;C;HTML/CSS;JavaScript;Python;VBA</v>
      </c>
      <c r="C2441" s="9" t="str">
        <f>IFERROR(__xludf.DUMMYFUNCTION("""COMPUTED_VALUE"""),"C++")</f>
        <v>C++</v>
      </c>
      <c r="D2441" s="9" t="str">
        <f>IFERROR(__xludf.DUMMYFUNCTION("""COMPUTED_VALUE"""),"C")</f>
        <v>C</v>
      </c>
      <c r="E2441" s="9" t="str">
        <f>IFERROR(__xludf.DUMMYFUNCTION("""COMPUTED_VALUE"""),"Bash/Shell/PowerShell")</f>
        <v>Bash/Shell/PowerShell</v>
      </c>
      <c r="F2441" s="9" t="str">
        <f>IFERROR(__xludf.DUMMYFUNCTION("""COMPUTED_VALUE"""),"SQL")</f>
        <v>SQL</v>
      </c>
      <c r="G2441" s="9" t="str">
        <f>IFERROR(__xludf.DUMMYFUNCTION("""COMPUTED_VALUE"""),"Other(s):")</f>
        <v>Other(s):</v>
      </c>
      <c r="H2441" s="9" t="str">
        <f>IFERROR(__xludf.DUMMYFUNCTION("""COMPUTED_VALUE"""),"SQL")</f>
        <v>SQL</v>
      </c>
      <c r="I2441" s="9" t="str">
        <f>IFERROR(__xludf.DUMMYFUNCTION("""COMPUTED_VALUE"""),"HTML/CSS")</f>
        <v>HTML/CSS</v>
      </c>
      <c r="J2441" s="9" t="str">
        <f>IFERROR(__xludf.DUMMYFUNCTION("""COMPUTED_VALUE"""),"TypeScript")</f>
        <v>TypeScript</v>
      </c>
      <c r="K2441" s="9" t="str">
        <f>IFERROR(__xludf.DUMMYFUNCTION("""COMPUTED_VALUE"""),"HTML/CSS")</f>
        <v>HTML/CSS</v>
      </c>
      <c r="L2441" s="9" t="str">
        <f>IFERROR(__xludf.DUMMYFUNCTION("""COMPUTED_VALUE"""),"C++")</f>
        <v>C++</v>
      </c>
      <c r="M2441" s="9" t="s">
        <v>23</v>
      </c>
    </row>
    <row r="2442" ht="15.75" customHeight="1">
      <c r="A2442" s="7"/>
      <c r="B2442" s="7" t="str">
        <f>IFERROR(__xludf.DUMMYFUNCTION("""COMPUTED_VALUE"""),"Bash/Shell/PowerShell;C#;JavaScript;SQL")</f>
        <v>Bash/Shell/PowerShell;C#;JavaScript;SQL</v>
      </c>
      <c r="C2442" s="9" t="str">
        <f>IFERROR(__xludf.DUMMYFUNCTION("""COMPUTED_VALUE"""),"C#")</f>
        <v>C#</v>
      </c>
      <c r="D2442" s="9" t="str">
        <f>IFERROR(__xludf.DUMMYFUNCTION("""COMPUTED_VALUE"""),"C++")</f>
        <v>C++</v>
      </c>
      <c r="E2442" s="9" t="str">
        <f>IFERROR(__xludf.DUMMYFUNCTION("""COMPUTED_VALUE"""),"C")</f>
        <v>C</v>
      </c>
      <c r="F2442" s="9" t="str">
        <f>IFERROR(__xludf.DUMMYFUNCTION("""COMPUTED_VALUE"""),"HTML/CSS")</f>
        <v>HTML/CSS</v>
      </c>
      <c r="G2442" s="9" t="str">
        <f>IFERROR(__xludf.DUMMYFUNCTION("""COMPUTED_VALUE"""),"Bash/Shell/PowerShell")</f>
        <v>Bash/Shell/PowerShell</v>
      </c>
      <c r="H2442" s="9" t="str">
        <f>IFERROR(__xludf.DUMMYFUNCTION("""COMPUTED_VALUE"""),"C#")</f>
        <v>C#</v>
      </c>
      <c r="I2442" s="9" t="str">
        <f>IFERROR(__xludf.DUMMYFUNCTION("""COMPUTED_VALUE"""),"Java")</f>
        <v>Java</v>
      </c>
      <c r="J2442" s="9" t="str">
        <f>IFERROR(__xludf.DUMMYFUNCTION("""COMPUTED_VALUE"""),"Bash/Shell/PowerShell")</f>
        <v>Bash/Shell/PowerShell</v>
      </c>
      <c r="K2442" s="9" t="str">
        <f>IFERROR(__xludf.DUMMYFUNCTION("""COMPUTED_VALUE"""),"Java")</f>
        <v>Java</v>
      </c>
      <c r="L2442" s="9" t="str">
        <f>IFERROR(__xludf.DUMMYFUNCTION("""COMPUTED_VALUE"""),"C#")</f>
        <v>C#</v>
      </c>
      <c r="M2442" s="9" t="s">
        <v>26</v>
      </c>
    </row>
    <row r="2443" ht="15.75" customHeight="1">
      <c r="A2443" s="7"/>
      <c r="B2443" s="7" t="str">
        <f>IFERROR(__xludf.DUMMYFUNCTION("""COMPUTED_VALUE"""),"HTML/CSS;Java;SQL")</f>
        <v>HTML/CSS;Java;SQL</v>
      </c>
      <c r="C2443" s="9" t="str">
        <f>IFERROR(__xludf.DUMMYFUNCTION("""COMPUTED_VALUE"""),"Bash/Shell/PowerShell")</f>
        <v>Bash/Shell/PowerShell</v>
      </c>
      <c r="D2443" s="9" t="str">
        <f>IFERROR(__xludf.DUMMYFUNCTION("""COMPUTED_VALUE"""),"Java")</f>
        <v>Java</v>
      </c>
      <c r="E2443" s="9" t="str">
        <f>IFERROR(__xludf.DUMMYFUNCTION("""COMPUTED_VALUE"""),"C++")</f>
        <v>C++</v>
      </c>
      <c r="F2443" s="9" t="str">
        <f>IFERROR(__xludf.DUMMYFUNCTION("""COMPUTED_VALUE"""),"Java")</f>
        <v>Java</v>
      </c>
      <c r="G2443" s="9" t="str">
        <f>IFERROR(__xludf.DUMMYFUNCTION("""COMPUTED_VALUE"""),"C++")</f>
        <v>C++</v>
      </c>
      <c r="H2443" s="9" t="str">
        <f>IFERROR(__xludf.DUMMYFUNCTION("""COMPUTED_VALUE"""),"SQL")</f>
        <v>SQL</v>
      </c>
      <c r="I2443" s="9" t="str">
        <f>IFERROR(__xludf.DUMMYFUNCTION("""COMPUTED_VALUE"""),"JavaScript")</f>
        <v>JavaScript</v>
      </c>
      <c r="J2443" s="9" t="str">
        <f>IFERROR(__xludf.DUMMYFUNCTION("""COMPUTED_VALUE"""),"C")</f>
        <v>C</v>
      </c>
      <c r="K2443" s="9" t="str">
        <f>IFERROR(__xludf.DUMMYFUNCTION("""COMPUTED_VALUE"""),"JavaScript")</f>
        <v>JavaScript</v>
      </c>
      <c r="L2443" s="9" t="str">
        <f>IFERROR(__xludf.DUMMYFUNCTION("""COMPUTED_VALUE"""),"Dart")</f>
        <v>Dart</v>
      </c>
      <c r="M2443" s="9" t="s">
        <v>30</v>
      </c>
    </row>
    <row r="2444" ht="15.75" customHeight="1">
      <c r="A2444" s="7"/>
      <c r="B2444" s="7" t="str">
        <f>IFERROR(__xludf.DUMMYFUNCTION("""COMPUTED_VALUE"""),"Assembly;Bash/Shell/PowerShell;C;C++;C#;HTML/CSS;JavaScript;PHP;SQL")</f>
        <v>Assembly;Bash/Shell/PowerShell;C;C++;C#;HTML/CSS;JavaScript;PHP;SQL</v>
      </c>
      <c r="C2444" s="9" t="str">
        <f>IFERROR(__xludf.DUMMYFUNCTION("""COMPUTED_VALUE"""),"HTML/CSS")</f>
        <v>HTML/CSS</v>
      </c>
      <c r="D2444" s="9" t="str">
        <f>IFERROR(__xludf.DUMMYFUNCTION("""COMPUTED_VALUE"""),"C++")</f>
        <v>C++</v>
      </c>
      <c r="E2444" s="9" t="str">
        <f>IFERROR(__xludf.DUMMYFUNCTION("""COMPUTED_VALUE"""),"C#")</f>
        <v>C#</v>
      </c>
      <c r="F2444" s="9" t="str">
        <f>IFERROR(__xludf.DUMMYFUNCTION("""COMPUTED_VALUE"""),"JavaScript")</f>
        <v>JavaScript</v>
      </c>
      <c r="G2444" s="9" t="str">
        <f>IFERROR(__xludf.DUMMYFUNCTION("""COMPUTED_VALUE"""),"C#")</f>
        <v>C#</v>
      </c>
      <c r="H2444" s="9" t="str">
        <f>IFERROR(__xludf.DUMMYFUNCTION("""COMPUTED_VALUE"""),"C")</f>
        <v>C</v>
      </c>
      <c r="I2444" s="9" t="str">
        <f>IFERROR(__xludf.DUMMYFUNCTION("""COMPUTED_VALUE"""),"SQL")</f>
        <v>SQL</v>
      </c>
      <c r="J2444" s="9" t="str">
        <f>IFERROR(__xludf.DUMMYFUNCTION("""COMPUTED_VALUE"""),"C#")</f>
        <v>C#</v>
      </c>
      <c r="K2444" s="9" t="str">
        <f>IFERROR(__xludf.DUMMYFUNCTION("""COMPUTED_VALUE"""),"SQL")</f>
        <v>SQL</v>
      </c>
      <c r="L2444" s="9" t="str">
        <f>IFERROR(__xludf.DUMMYFUNCTION("""COMPUTED_VALUE"""),"Go")</f>
        <v>Go</v>
      </c>
      <c r="M2444" s="9" t="s">
        <v>24</v>
      </c>
    </row>
    <row r="2445" ht="15.75" customHeight="1">
      <c r="A2445" s="7"/>
      <c r="B2445" s="7" t="str">
        <f>IFERROR(__xludf.DUMMYFUNCTION("""COMPUTED_VALUE"""),"C++;C#;Java;Python")</f>
        <v>C++;C#;Java;Python</v>
      </c>
      <c r="C2445" s="9" t="str">
        <f>IFERROR(__xludf.DUMMYFUNCTION("""COMPUTED_VALUE"""),"JavaScript")</f>
        <v>JavaScript</v>
      </c>
      <c r="D2445" s="9" t="str">
        <f>IFERROR(__xludf.DUMMYFUNCTION("""COMPUTED_VALUE"""),"C#")</f>
        <v>C#</v>
      </c>
      <c r="E2445" s="9" t="str">
        <f>IFERROR(__xludf.DUMMYFUNCTION("""COMPUTED_VALUE"""),"Clojure")</f>
        <v>Clojure</v>
      </c>
      <c r="F2445" s="9" t="str">
        <f>IFERROR(__xludf.DUMMYFUNCTION("""COMPUTED_VALUE"""),"Python")</f>
        <v>Python</v>
      </c>
      <c r="G2445" s="9" t="str">
        <f>IFERROR(__xludf.DUMMYFUNCTION("""COMPUTED_VALUE"""),"Python")</f>
        <v>Python</v>
      </c>
      <c r="H2445" s="9" t="str">
        <f>IFERROR(__xludf.DUMMYFUNCTION("""COMPUTED_VALUE"""),"C#")</f>
        <v>C#</v>
      </c>
      <c r="I2445" s="9" t="str">
        <f>IFERROR(__xludf.DUMMYFUNCTION("""COMPUTED_VALUE"""),"C++")</f>
        <v>C++</v>
      </c>
      <c r="J2445" s="9" t="str">
        <f>IFERROR(__xludf.DUMMYFUNCTION("""COMPUTED_VALUE"""),"Java")</f>
        <v>Java</v>
      </c>
      <c r="K2445" s="9" t="str">
        <f>IFERROR(__xludf.DUMMYFUNCTION("""COMPUTED_VALUE"""),"Bash/Shell/PowerShell")</f>
        <v>Bash/Shell/PowerShell</v>
      </c>
      <c r="L2445" s="9" t="str">
        <f>IFERROR(__xludf.DUMMYFUNCTION("""COMPUTED_VALUE"""),"HTML/CSS")</f>
        <v>HTML/CSS</v>
      </c>
      <c r="M2445" s="9" t="s">
        <v>21</v>
      </c>
    </row>
    <row r="2446" ht="15.75" customHeight="1">
      <c r="A2446" s="7"/>
      <c r="B2446" s="7" t="str">
        <f>IFERROR(__xludf.DUMMYFUNCTION("""COMPUTED_VALUE"""),"Bash/Shell/PowerShell;C++;C#;Dart;F#;Go;HTML/CSS;Java;JavaScript;Kotlin;Objective-C;PHP;Python;Ruby;Rust;SQL;Swift;TypeScript")</f>
        <v>Bash/Shell/PowerShell;C++;C#;Dart;F#;Go;HTML/CSS;Java;JavaScript;Kotlin;Objective-C;PHP;Python;Ruby;Rust;SQL;Swift;TypeScript</v>
      </c>
      <c r="C2446" s="9" t="str">
        <f>IFERROR(__xludf.DUMMYFUNCTION("""COMPUTED_VALUE"""),"PHP")</f>
        <v>PHP</v>
      </c>
      <c r="D2446" s="9" t="str">
        <f>IFERROR(__xludf.DUMMYFUNCTION("""COMPUTED_VALUE"""),"Java")</f>
        <v>Java</v>
      </c>
      <c r="E2446" s="9" t="str">
        <f>IFERROR(__xludf.DUMMYFUNCTION("""COMPUTED_VALUE"""),"Go")</f>
        <v>Go</v>
      </c>
      <c r="F2446" s="9" t="str">
        <f>IFERROR(__xludf.DUMMYFUNCTION("""COMPUTED_VALUE"""),"Assembly")</f>
        <v>Assembly</v>
      </c>
      <c r="G2446" s="9" t="str">
        <f>IFERROR(__xludf.DUMMYFUNCTION("""COMPUTED_VALUE"""),"Bash/Shell/PowerShell")</f>
        <v>Bash/Shell/PowerShell</v>
      </c>
      <c r="H2446" s="9" t="str">
        <f>IFERROR(__xludf.DUMMYFUNCTION("""COMPUTED_VALUE"""),"HTML/CSS")</f>
        <v>HTML/CSS</v>
      </c>
      <c r="I2446" s="9" t="str">
        <f>IFERROR(__xludf.DUMMYFUNCTION("""COMPUTED_VALUE"""),"Python")</f>
        <v>Python</v>
      </c>
      <c r="J2446" s="9" t="str">
        <f>IFERROR(__xludf.DUMMYFUNCTION("""COMPUTED_VALUE"""),"Python")</f>
        <v>Python</v>
      </c>
      <c r="K2446" s="9" t="str">
        <f>IFERROR(__xludf.DUMMYFUNCTION("""COMPUTED_VALUE"""),"C")</f>
        <v>C</v>
      </c>
      <c r="L2446" s="9" t="str">
        <f>IFERROR(__xludf.DUMMYFUNCTION("""COMPUTED_VALUE"""),"Java")</f>
        <v>Java</v>
      </c>
      <c r="M2446" s="9" t="s">
        <v>37</v>
      </c>
    </row>
    <row r="2447" ht="15.75" customHeight="1">
      <c r="A2447" s="7"/>
      <c r="B2447" s="7" t="str">
        <f>IFERROR(__xludf.DUMMYFUNCTION("""COMPUTED_VALUE"""),"Bash/Shell/PowerShell;C++;HTML/CSS;JavaScript;Rust;TypeScript")</f>
        <v>Bash/Shell/PowerShell;C++;HTML/CSS;JavaScript;Rust;TypeScript</v>
      </c>
      <c r="C2447" s="9" t="str">
        <f>IFERROR(__xludf.DUMMYFUNCTION("""COMPUTED_VALUE"""),"SQL")</f>
        <v>SQL</v>
      </c>
      <c r="D2447" s="9" t="str">
        <f>IFERROR(__xludf.DUMMYFUNCTION("""COMPUTED_VALUE"""),"Python")</f>
        <v>Python</v>
      </c>
      <c r="E2447" s="9" t="str">
        <f>IFERROR(__xludf.DUMMYFUNCTION("""COMPUTED_VALUE"""),"HTML/CSS")</f>
        <v>HTML/CSS</v>
      </c>
      <c r="F2447" s="9" t="str">
        <f>IFERROR(__xludf.DUMMYFUNCTION("""COMPUTED_VALUE"""),"Bash/Shell/PowerShell")</f>
        <v>Bash/Shell/PowerShell</v>
      </c>
      <c r="G2447" s="9" t="str">
        <f>IFERROR(__xludf.DUMMYFUNCTION("""COMPUTED_VALUE"""),"Java")</f>
        <v>Java</v>
      </c>
      <c r="H2447" s="9" t="str">
        <f>IFERROR(__xludf.DUMMYFUNCTION("""COMPUTED_VALUE"""),"Java")</f>
        <v>Java</v>
      </c>
      <c r="I2447" s="9" t="str">
        <f>IFERROR(__xludf.DUMMYFUNCTION("""COMPUTED_VALUE"""),"C")</f>
        <v>C</v>
      </c>
      <c r="J2447" s="9" t="str">
        <f>IFERROR(__xludf.DUMMYFUNCTION("""COMPUTED_VALUE"""),"Ruby")</f>
        <v>Ruby</v>
      </c>
      <c r="K2447" s="9" t="str">
        <f>IFERROR(__xludf.DUMMYFUNCTION("""COMPUTED_VALUE"""),"C++")</f>
        <v>C++</v>
      </c>
      <c r="L2447" s="9" t="str">
        <f>IFERROR(__xludf.DUMMYFUNCTION("""COMPUTED_VALUE"""),"JavaScript")</f>
        <v>JavaScript</v>
      </c>
      <c r="M2447" s="9" t="s">
        <v>27</v>
      </c>
    </row>
    <row r="2448" ht="15.75" customHeight="1">
      <c r="A2448" s="7"/>
      <c r="B2448" s="7" t="str">
        <f>IFERROR(__xludf.DUMMYFUNCTION("""COMPUTED_VALUE"""),"C;HTML/CSS;Java;JavaScript;PHP;SQL")</f>
        <v>C;HTML/CSS;Java;JavaScript;PHP;SQL</v>
      </c>
      <c r="C2448" s="9" t="str">
        <f>IFERROR(__xludf.DUMMYFUNCTION("""COMPUTED_VALUE"""),"TypeScript")</f>
        <v>TypeScript</v>
      </c>
      <c r="D2448" s="9" t="str">
        <f>IFERROR(__xludf.DUMMYFUNCTION("""COMPUTED_VALUE"""),"VBA")</f>
        <v>VBA</v>
      </c>
      <c r="E2448" s="9" t="str">
        <f>IFERROR(__xludf.DUMMYFUNCTION("""COMPUTED_VALUE"""),"Java")</f>
        <v>Java</v>
      </c>
      <c r="F2448" s="9" t="str">
        <f>IFERROR(__xludf.DUMMYFUNCTION("""COMPUTED_VALUE"""),"C++")</f>
        <v>C++</v>
      </c>
      <c r="G2448" s="9" t="str">
        <f>IFERROR(__xludf.DUMMYFUNCTION("""COMPUTED_VALUE"""),"Python")</f>
        <v>Python</v>
      </c>
      <c r="H2448" s="9" t="str">
        <f>IFERROR(__xludf.DUMMYFUNCTION("""COMPUTED_VALUE"""),"JavaScript")</f>
        <v>JavaScript</v>
      </c>
      <c r="I2448" s="9" t="str">
        <f>IFERROR(__xludf.DUMMYFUNCTION("""COMPUTED_VALUE"""),"Java")</f>
        <v>Java</v>
      </c>
      <c r="J2448" s="9" t="str">
        <f>IFERROR(__xludf.DUMMYFUNCTION("""COMPUTED_VALUE"""),"Scala")</f>
        <v>Scala</v>
      </c>
      <c r="K2448" s="9" t="str">
        <f>IFERROR(__xludf.DUMMYFUNCTION("""COMPUTED_VALUE"""),"HTML/CSS")</f>
        <v>HTML/CSS</v>
      </c>
      <c r="L2448" s="9" t="str">
        <f>IFERROR(__xludf.DUMMYFUNCTION("""COMPUTED_VALUE"""),"PHP")</f>
        <v>PHP</v>
      </c>
      <c r="M2448" s="9" t="s">
        <v>33</v>
      </c>
    </row>
    <row r="2449" ht="15.75" customHeight="1">
      <c r="A2449" s="7"/>
      <c r="B2449" s="7" t="str">
        <f>IFERROR(__xludf.DUMMYFUNCTION("""COMPUTED_VALUE"""),"Bash/Shell/PowerShell;C;Objective-C;Python")</f>
        <v>Bash/Shell/PowerShell;C;Objective-C;Python</v>
      </c>
      <c r="C2449" s="9" t="str">
        <f>IFERROR(__xludf.DUMMYFUNCTION("""COMPUTED_VALUE"""),"Bash/Shell/PowerShell")</f>
        <v>Bash/Shell/PowerShell</v>
      </c>
      <c r="D2449" s="9" t="str">
        <f>IFERROR(__xludf.DUMMYFUNCTION("""COMPUTED_VALUE"""),"Bash/Shell/PowerShell")</f>
        <v>Bash/Shell/PowerShell</v>
      </c>
      <c r="E2449" s="9" t="str">
        <f>IFERROR(__xludf.DUMMYFUNCTION("""COMPUTED_VALUE"""),"JavaScript")</f>
        <v>JavaScript</v>
      </c>
      <c r="F2449" s="9" t="str">
        <f>IFERROR(__xludf.DUMMYFUNCTION("""COMPUTED_VALUE"""),"Dart")</f>
        <v>Dart</v>
      </c>
      <c r="G2449" s="9" t="str">
        <f>IFERROR(__xludf.DUMMYFUNCTION("""COMPUTED_VALUE"""),"HTML/CSS")</f>
        <v>HTML/CSS</v>
      </c>
      <c r="H2449" s="9" t="str">
        <f>IFERROR(__xludf.DUMMYFUNCTION("""COMPUTED_VALUE"""),"PHP")</f>
        <v>PHP</v>
      </c>
      <c r="I2449" s="9" t="str">
        <f>IFERROR(__xludf.DUMMYFUNCTION("""COMPUTED_VALUE"""),"Python")</f>
        <v>Python</v>
      </c>
      <c r="J2449" s="9" t="str">
        <f>IFERROR(__xludf.DUMMYFUNCTION("""COMPUTED_VALUE"""),"Java")</f>
        <v>Java</v>
      </c>
      <c r="K2449" s="9" t="str">
        <f>IFERROR(__xludf.DUMMYFUNCTION("""COMPUTED_VALUE"""),"Java")</f>
        <v>Java</v>
      </c>
      <c r="L2449" s="9" t="str">
        <f>IFERROR(__xludf.DUMMYFUNCTION("""COMPUTED_VALUE"""),"SQL")</f>
        <v>SQL</v>
      </c>
      <c r="M2449" s="9" t="s">
        <v>30</v>
      </c>
    </row>
    <row r="2450" ht="15.75" customHeight="1">
      <c r="A2450" s="7"/>
      <c r="B2450" s="7" t="str">
        <f>IFERROR(__xludf.DUMMYFUNCTION("""COMPUTED_VALUE"""),"HTML/CSS;JavaScript;Python;SQL")</f>
        <v>HTML/CSS;JavaScript;Python;SQL</v>
      </c>
      <c r="C2450" s="9" t="str">
        <f>IFERROR(__xludf.DUMMYFUNCTION("""COMPUTED_VALUE"""),"Python")</f>
        <v>Python</v>
      </c>
      <c r="D2450" s="9" t="str">
        <f>IFERROR(__xludf.DUMMYFUNCTION("""COMPUTED_VALUE"""),"C")</f>
        <v>C</v>
      </c>
      <c r="E2450" s="9" t="str">
        <f>IFERROR(__xludf.DUMMYFUNCTION("""COMPUTED_VALUE"""),"Objective-C")</f>
        <v>Objective-C</v>
      </c>
      <c r="F2450" s="9" t="str">
        <f>IFERROR(__xludf.DUMMYFUNCTION("""COMPUTED_VALUE"""),"HTML/CSS")</f>
        <v>HTML/CSS</v>
      </c>
      <c r="G2450" s="9" t="str">
        <f>IFERROR(__xludf.DUMMYFUNCTION("""COMPUTED_VALUE"""),"JavaScript")</f>
        <v>JavaScript</v>
      </c>
      <c r="H2450" s="9" t="str">
        <f>IFERROR(__xludf.DUMMYFUNCTION("""COMPUTED_VALUE"""),"Python")</f>
        <v>Python</v>
      </c>
      <c r="I2450" s="9" t="str">
        <f>IFERROR(__xludf.DUMMYFUNCTION("""COMPUTED_VALUE"""),"C#")</f>
        <v>C#</v>
      </c>
      <c r="J2450" s="9" t="str">
        <f>IFERROR(__xludf.DUMMYFUNCTION("""COMPUTED_VALUE"""),"JavaScript")</f>
        <v>JavaScript</v>
      </c>
      <c r="K2450" s="9" t="str">
        <f>IFERROR(__xludf.DUMMYFUNCTION("""COMPUTED_VALUE"""),"JavaScript")</f>
        <v>JavaScript</v>
      </c>
      <c r="L2450" s="9" t="str">
        <f>IFERROR(__xludf.DUMMYFUNCTION("""COMPUTED_VALUE"""),"TypeScript")</f>
        <v>TypeScript</v>
      </c>
      <c r="M2450" s="9" t="s">
        <v>22</v>
      </c>
    </row>
    <row r="2451" ht="15.75" customHeight="1">
      <c r="A2451" s="7"/>
      <c r="B2451" s="7" t="str">
        <f>IFERROR(__xludf.DUMMYFUNCTION("""COMPUTED_VALUE"""),"HTML/CSS;JavaScript;PHP;SQL")</f>
        <v>HTML/CSS;JavaScript;PHP;SQL</v>
      </c>
      <c r="C2451" s="9" t="str">
        <f>IFERROR(__xludf.DUMMYFUNCTION("""COMPUTED_VALUE"""),"SQL")</f>
        <v>SQL</v>
      </c>
      <c r="D2451" s="9" t="str">
        <f>IFERROR(__xludf.DUMMYFUNCTION("""COMPUTED_VALUE"""),"C++")</f>
        <v>C++</v>
      </c>
      <c r="E2451" s="9" t="str">
        <f>IFERROR(__xludf.DUMMYFUNCTION("""COMPUTED_VALUE"""),"PHP")</f>
        <v>PHP</v>
      </c>
      <c r="F2451" s="9" t="str">
        <f>IFERROR(__xludf.DUMMYFUNCTION("""COMPUTED_VALUE"""),"Java")</f>
        <v>Java</v>
      </c>
      <c r="G2451" s="9" t="str">
        <f>IFERROR(__xludf.DUMMYFUNCTION("""COMPUTED_VALUE"""),"Ruby")</f>
        <v>Ruby</v>
      </c>
      <c r="H2451" s="9" t="str">
        <f>IFERROR(__xludf.DUMMYFUNCTION("""COMPUTED_VALUE"""),"Ruby")</f>
        <v>Ruby</v>
      </c>
      <c r="I2451" s="9" t="str">
        <f>IFERROR(__xludf.DUMMYFUNCTION("""COMPUTED_VALUE"""),"JavaScript")</f>
        <v>JavaScript</v>
      </c>
      <c r="J2451" s="9" t="str">
        <f>IFERROR(__xludf.DUMMYFUNCTION("""COMPUTED_VALUE"""),"Python")</f>
        <v>Python</v>
      </c>
      <c r="K2451" s="9" t="str">
        <f>IFERROR(__xludf.DUMMYFUNCTION("""COMPUTED_VALUE"""),"PHP")</f>
        <v>PHP</v>
      </c>
      <c r="L2451" s="9" t="str">
        <f>IFERROR(__xludf.DUMMYFUNCTION("""COMPUTED_VALUE"""),"Bash/Shell/PowerShell")</f>
        <v>Bash/Shell/PowerShell</v>
      </c>
      <c r="M2451" s="9" t="s">
        <v>27</v>
      </c>
    </row>
    <row r="2452" ht="15.75" customHeight="1">
      <c r="A2452" s="7"/>
      <c r="B2452" s="7" t="str">
        <f>IFERROR(__xludf.DUMMYFUNCTION("""COMPUTED_VALUE"""),"C++;C#;Java;JavaScript;Python;SQL;TypeScript")</f>
        <v>C++;C#;Java;JavaScript;Python;SQL;TypeScript</v>
      </c>
      <c r="C2452" s="9" t="str">
        <f>IFERROR(__xludf.DUMMYFUNCTION("""COMPUTED_VALUE"""),"C")</f>
        <v>C</v>
      </c>
      <c r="D2452" s="9" t="str">
        <f>IFERROR(__xludf.DUMMYFUNCTION("""COMPUTED_VALUE"""),"HTML/CSS")</f>
        <v>HTML/CSS</v>
      </c>
      <c r="E2452" s="9" t="str">
        <f>IFERROR(__xludf.DUMMYFUNCTION("""COMPUTED_VALUE"""),"Python")</f>
        <v>Python</v>
      </c>
      <c r="F2452" s="9" t="str">
        <f>IFERROR(__xludf.DUMMYFUNCTION("""COMPUTED_VALUE"""),"JavaScript")</f>
        <v>JavaScript</v>
      </c>
      <c r="G2452" s="9" t="str">
        <f>IFERROR(__xludf.DUMMYFUNCTION("""COMPUTED_VALUE"""),"SQL")</f>
        <v>SQL</v>
      </c>
      <c r="H2452" s="9" t="str">
        <f>IFERROR(__xludf.DUMMYFUNCTION("""COMPUTED_VALUE"""),"SQL")</f>
        <v>SQL</v>
      </c>
      <c r="I2452" s="9" t="str">
        <f>IFERROR(__xludf.DUMMYFUNCTION("""COMPUTED_VALUE"""),"PHP")</f>
        <v>PHP</v>
      </c>
      <c r="J2452" s="9" t="str">
        <f>IFERROR(__xludf.DUMMYFUNCTION("""COMPUTED_VALUE"""),"SQL")</f>
        <v>SQL</v>
      </c>
      <c r="K2452" s="9" t="str">
        <f>IFERROR(__xludf.DUMMYFUNCTION("""COMPUTED_VALUE"""),"SQL")</f>
        <v>SQL</v>
      </c>
      <c r="L2452" s="9" t="str">
        <f>IFERROR(__xludf.DUMMYFUNCTION("""COMPUTED_VALUE"""),"C#")</f>
        <v>C#</v>
      </c>
      <c r="M2452" s="9" t="s">
        <v>25</v>
      </c>
    </row>
    <row r="2453" ht="15.75" customHeight="1">
      <c r="A2453" s="7"/>
      <c r="B2453" s="7" t="str">
        <f>IFERROR(__xludf.DUMMYFUNCTION("""COMPUTED_VALUE"""),"HTML/CSS;Java;JavaScript;PHP;Python;SQL")</f>
        <v>HTML/CSS;Java;JavaScript;PHP;Python;SQL</v>
      </c>
      <c r="C2453" s="9" t="str">
        <f>IFERROR(__xludf.DUMMYFUNCTION("""COMPUTED_VALUE"""),"C++")</f>
        <v>C++</v>
      </c>
      <c r="D2453" s="9" t="str">
        <f>IFERROR(__xludf.DUMMYFUNCTION("""COMPUTED_VALUE"""),"Bash/Shell/PowerShell")</f>
        <v>Bash/Shell/PowerShell</v>
      </c>
      <c r="E2453" s="9" t="str">
        <f>IFERROR(__xludf.DUMMYFUNCTION("""COMPUTED_VALUE"""),"R")</f>
        <v>R</v>
      </c>
      <c r="F2453" s="9" t="str">
        <f>IFERROR(__xludf.DUMMYFUNCTION("""COMPUTED_VALUE"""),"Python")</f>
        <v>Python</v>
      </c>
      <c r="G2453" s="9" t="str">
        <f>IFERROR(__xludf.DUMMYFUNCTION("""COMPUTED_VALUE"""),"HTML/CSS")</f>
        <v>HTML/CSS</v>
      </c>
      <c r="H2453" s="9" t="str">
        <f>IFERROR(__xludf.DUMMYFUNCTION("""COMPUTED_VALUE"""),"Bash/Shell/PowerShell")</f>
        <v>Bash/Shell/PowerShell</v>
      </c>
      <c r="I2453" s="9" t="str">
        <f>IFERROR(__xludf.DUMMYFUNCTION("""COMPUTED_VALUE"""),"C")</f>
        <v>C</v>
      </c>
      <c r="J2453" s="9" t="str">
        <f>IFERROR(__xludf.DUMMYFUNCTION("""COMPUTED_VALUE"""),"TypeScript")</f>
        <v>TypeScript</v>
      </c>
      <c r="K2453" s="9" t="str">
        <f>IFERROR(__xludf.DUMMYFUNCTION("""COMPUTED_VALUE"""),"HTML/CSS")</f>
        <v>HTML/CSS</v>
      </c>
      <c r="L2453" s="9" t="str">
        <f>IFERROR(__xludf.DUMMYFUNCTION("""COMPUTED_VALUE"""),"JavaScript")</f>
        <v>JavaScript</v>
      </c>
      <c r="M2453" s="9" t="s">
        <v>23</v>
      </c>
    </row>
    <row r="2454" ht="15.75" customHeight="1">
      <c r="A2454" s="7"/>
      <c r="B2454" s="7" t="str">
        <f>IFERROR(__xludf.DUMMYFUNCTION("""COMPUTED_VALUE"""),"Assembly;Bash/Shell/PowerShell;C;C++;C#;HTML/CSS;Java;JavaScript;Kotlin;PHP;Python;SQL;TypeScript")</f>
        <v>Assembly;Bash/Shell/PowerShell;C;C++;C#;HTML/CSS;Java;JavaScript;Kotlin;PHP;Python;SQL;TypeScript</v>
      </c>
      <c r="C2454" s="9" t="str">
        <f>IFERROR(__xludf.DUMMYFUNCTION("""COMPUTED_VALUE"""),"HTML/CSS")</f>
        <v>HTML/CSS</v>
      </c>
      <c r="D2454" s="9" t="str">
        <f>IFERROR(__xludf.DUMMYFUNCTION("""COMPUTED_VALUE"""),"HTML/CSS")</f>
        <v>HTML/CSS</v>
      </c>
      <c r="E2454" s="9" t="str">
        <f>IFERROR(__xludf.DUMMYFUNCTION("""COMPUTED_VALUE"""),"Ruby")</f>
        <v>Ruby</v>
      </c>
      <c r="F2454" s="9" t="str">
        <f>IFERROR(__xludf.DUMMYFUNCTION("""COMPUTED_VALUE"""),"Ruby")</f>
        <v>Ruby</v>
      </c>
      <c r="G2454" s="9" t="str">
        <f>IFERROR(__xludf.DUMMYFUNCTION("""COMPUTED_VALUE"""),"JavaScript")</f>
        <v>JavaScript</v>
      </c>
      <c r="H2454" s="9" t="str">
        <f>IFERROR(__xludf.DUMMYFUNCTION("""COMPUTED_VALUE"""),"C#")</f>
        <v>C#</v>
      </c>
      <c r="I2454" s="9" t="str">
        <f>IFERROR(__xludf.DUMMYFUNCTION("""COMPUTED_VALUE"""),"C++")</f>
        <v>C++</v>
      </c>
      <c r="J2454" s="9" t="str">
        <f>IFERROR(__xludf.DUMMYFUNCTION("""COMPUTED_VALUE"""),"Bash/Shell/PowerShell")</f>
        <v>Bash/Shell/PowerShell</v>
      </c>
      <c r="K2454" s="9" t="str">
        <f>IFERROR(__xludf.DUMMYFUNCTION("""COMPUTED_VALUE"""),"JavaScript")</f>
        <v>JavaScript</v>
      </c>
      <c r="L2454" s="9" t="str">
        <f>IFERROR(__xludf.DUMMYFUNCTION("""COMPUTED_VALUE"""),"SQL")</f>
        <v>SQL</v>
      </c>
      <c r="M2454" s="9" t="s">
        <v>24</v>
      </c>
    </row>
    <row r="2455" ht="15.75" customHeight="1">
      <c r="A2455" s="7"/>
      <c r="B2455" s="7" t="str">
        <f>IFERROR(__xludf.DUMMYFUNCTION("""COMPUTED_VALUE"""),"C++;C#;HTML/CSS;JavaScript;SQL")</f>
        <v>C++;C#;HTML/CSS;JavaScript;SQL</v>
      </c>
      <c r="C2455" s="9" t="str">
        <f>IFERROR(__xludf.DUMMYFUNCTION("""COMPUTED_VALUE"""),"Java")</f>
        <v>Java</v>
      </c>
      <c r="D2455" s="9" t="str">
        <f>IFERROR(__xludf.DUMMYFUNCTION("""COMPUTED_VALUE"""),"JavaScript")</f>
        <v>JavaScript</v>
      </c>
      <c r="E2455" s="9" t="str">
        <f>IFERROR(__xludf.DUMMYFUNCTION("""COMPUTED_VALUE"""),"Scala")</f>
        <v>Scala</v>
      </c>
      <c r="F2455" s="9" t="str">
        <f>IFERROR(__xludf.DUMMYFUNCTION("""COMPUTED_VALUE"""),"SQL")</f>
        <v>SQL</v>
      </c>
      <c r="G2455" s="9" t="str">
        <f>IFERROR(__xludf.DUMMYFUNCTION("""COMPUTED_VALUE"""),"PHP")</f>
        <v>PHP</v>
      </c>
      <c r="H2455" s="9" t="str">
        <f>IFERROR(__xludf.DUMMYFUNCTION("""COMPUTED_VALUE"""),"HTML/CSS")</f>
        <v>HTML/CSS</v>
      </c>
      <c r="I2455" s="9" t="str">
        <f>IFERROR(__xludf.DUMMYFUNCTION("""COMPUTED_VALUE"""),"C#")</f>
        <v>C#</v>
      </c>
      <c r="J2455" s="9" t="str">
        <f>IFERROR(__xludf.DUMMYFUNCTION("""COMPUTED_VALUE"""),"C++")</f>
        <v>C++</v>
      </c>
      <c r="K2455" s="9" t="str">
        <f>IFERROR(__xludf.DUMMYFUNCTION("""COMPUTED_VALUE"""),"PHP")</f>
        <v>PHP</v>
      </c>
      <c r="L2455" s="9" t="str">
        <f>IFERROR(__xludf.DUMMYFUNCTION("""COMPUTED_VALUE"""),"Other(s):")</f>
        <v>Other(s):</v>
      </c>
      <c r="M2455" s="9" t="s">
        <v>20</v>
      </c>
    </row>
    <row r="2456" ht="15.75" customHeight="1">
      <c r="A2456" s="7"/>
      <c r="B2456" s="7" t="str">
        <f>IFERROR(__xludf.DUMMYFUNCTION("""COMPUTED_VALUE"""),"Bash/Shell/PowerShell;C#;HTML/CSS;Java;JavaScript;Python")</f>
        <v>Bash/Shell/PowerShell;C#;HTML/CSS;Java;JavaScript;Python</v>
      </c>
      <c r="C2456" s="9" t="str">
        <f>IFERROR(__xludf.DUMMYFUNCTION("""COMPUTED_VALUE"""),"SQL")</f>
        <v>SQL</v>
      </c>
      <c r="D2456" s="9" t="str">
        <f>IFERROR(__xludf.DUMMYFUNCTION("""COMPUTED_VALUE"""),"Python")</f>
        <v>Python</v>
      </c>
      <c r="E2456" s="9" t="str">
        <f>IFERROR(__xludf.DUMMYFUNCTION("""COMPUTED_VALUE"""),"SQL")</f>
        <v>SQL</v>
      </c>
      <c r="F2456" s="9" t="str">
        <f>IFERROR(__xludf.DUMMYFUNCTION("""COMPUTED_VALUE"""),"HTML/CSS")</f>
        <v>HTML/CSS</v>
      </c>
      <c r="G2456" s="9" t="str">
        <f>IFERROR(__xludf.DUMMYFUNCTION("""COMPUTED_VALUE"""),"SQL")</f>
        <v>SQL</v>
      </c>
      <c r="H2456" s="9" t="str">
        <f>IFERROR(__xludf.DUMMYFUNCTION("""COMPUTED_VALUE"""),"JavaScript")</f>
        <v>JavaScript</v>
      </c>
      <c r="I2456" s="9" t="str">
        <f>IFERROR(__xludf.DUMMYFUNCTION("""COMPUTED_VALUE"""),"Java")</f>
        <v>Java</v>
      </c>
      <c r="J2456" s="9" t="str">
        <f>IFERROR(__xludf.DUMMYFUNCTION("""COMPUTED_VALUE"""),"Go")</f>
        <v>Go</v>
      </c>
      <c r="K2456" s="9" t="str">
        <f>IFERROR(__xludf.DUMMYFUNCTION("""COMPUTED_VALUE"""),"SQL")</f>
        <v>SQL</v>
      </c>
      <c r="L2456" s="9" t="str">
        <f>IFERROR(__xludf.DUMMYFUNCTION("""COMPUTED_VALUE"""),"Bash/Shell/PowerShell")</f>
        <v>Bash/Shell/PowerShell</v>
      </c>
      <c r="M2456" s="9" t="s">
        <v>27</v>
      </c>
    </row>
    <row r="2457" ht="15.75" customHeight="1">
      <c r="A2457" s="7"/>
      <c r="B2457" s="7" t="str">
        <f>IFERROR(__xludf.DUMMYFUNCTION("""COMPUTED_VALUE"""),"JavaScript")</f>
        <v>JavaScript</v>
      </c>
      <c r="C2457" s="9" t="str">
        <f>IFERROR(__xludf.DUMMYFUNCTION("""COMPUTED_VALUE"""),"Java")</f>
        <v>Java</v>
      </c>
      <c r="D2457" s="9" t="str">
        <f>IFERROR(__xludf.DUMMYFUNCTION("""COMPUTED_VALUE"""),"SQL")</f>
        <v>SQL</v>
      </c>
      <c r="E2457" s="9" t="str">
        <f>IFERROR(__xludf.DUMMYFUNCTION("""COMPUTED_VALUE"""),"Other(s):")</f>
        <v>Other(s):</v>
      </c>
      <c r="F2457" s="9" t="str">
        <f>IFERROR(__xludf.DUMMYFUNCTION("""COMPUTED_VALUE"""),"JavaScript")</f>
        <v>JavaScript</v>
      </c>
      <c r="G2457" s="9" t="str">
        <f>IFERROR(__xludf.DUMMYFUNCTION("""COMPUTED_VALUE"""),"Bash/Shell/PowerShell")</f>
        <v>Bash/Shell/PowerShell</v>
      </c>
      <c r="H2457" s="9" t="str">
        <f>IFERROR(__xludf.DUMMYFUNCTION("""COMPUTED_VALUE"""),"PHP")</f>
        <v>PHP</v>
      </c>
      <c r="I2457" s="9" t="str">
        <f>IFERROR(__xludf.DUMMYFUNCTION("""COMPUTED_VALUE"""),"Bash/Shell/PowerShell")</f>
        <v>Bash/Shell/PowerShell</v>
      </c>
      <c r="J2457" s="9" t="str">
        <f>IFERROR(__xludf.DUMMYFUNCTION("""COMPUTED_VALUE"""),"HTML/CSS")</f>
        <v>HTML/CSS</v>
      </c>
      <c r="K2457" s="9" t="str">
        <f>IFERROR(__xludf.DUMMYFUNCTION("""COMPUTED_VALUE"""),"Other(s):")</f>
        <v>Other(s):</v>
      </c>
      <c r="L2457" s="9" t="str">
        <f>IFERROR(__xludf.DUMMYFUNCTION("""COMPUTED_VALUE"""),"C")</f>
        <v>C</v>
      </c>
      <c r="M2457" s="9" t="s">
        <v>20</v>
      </c>
    </row>
    <row r="2458" ht="15.75" customHeight="1">
      <c r="A2458" s="7"/>
      <c r="B2458" s="7" t="str">
        <f>IFERROR(__xludf.DUMMYFUNCTION("""COMPUTED_VALUE"""),"HTML/CSS;JavaScript;Python;Other(s):")</f>
        <v>HTML/CSS;JavaScript;Python;Other(s):</v>
      </c>
      <c r="C2458" s="9" t="str">
        <f>IFERROR(__xludf.DUMMYFUNCTION("""COMPUTED_VALUE"""),"Go")</f>
        <v>Go</v>
      </c>
      <c r="D2458" s="9" t="str">
        <f>IFERROR(__xludf.DUMMYFUNCTION("""COMPUTED_VALUE"""),"VBA")</f>
        <v>VBA</v>
      </c>
      <c r="E2458" s="9" t="str">
        <f>IFERROR(__xludf.DUMMYFUNCTION("""COMPUTED_VALUE"""),"HTML/CSS")</f>
        <v>HTML/CSS</v>
      </c>
      <c r="F2458" s="9" t="str">
        <f>IFERROR(__xludf.DUMMYFUNCTION("""COMPUTED_VALUE"""),"SQL")</f>
        <v>SQL</v>
      </c>
      <c r="G2458" s="9" t="str">
        <f>IFERROR(__xludf.DUMMYFUNCTION("""COMPUTED_VALUE"""),"HTML/CSS")</f>
        <v>HTML/CSS</v>
      </c>
      <c r="H2458" s="9" t="str">
        <f>IFERROR(__xludf.DUMMYFUNCTION("""COMPUTED_VALUE"""),"Python")</f>
        <v>Python</v>
      </c>
      <c r="I2458" s="9" t="str">
        <f>IFERROR(__xludf.DUMMYFUNCTION("""COMPUTED_VALUE"""),"HTML/CSS")</f>
        <v>HTML/CSS</v>
      </c>
      <c r="J2458" s="9" t="str">
        <f>IFERROR(__xludf.DUMMYFUNCTION("""COMPUTED_VALUE"""),"Java")</f>
        <v>Java</v>
      </c>
      <c r="K2458" s="9" t="str">
        <f>IFERROR(__xludf.DUMMYFUNCTION("""COMPUTED_VALUE"""),"HTML/CSS")</f>
        <v>HTML/CSS</v>
      </c>
      <c r="L2458" s="9" t="str">
        <f>IFERROR(__xludf.DUMMYFUNCTION("""COMPUTED_VALUE"""),"C++")</f>
        <v>C++</v>
      </c>
      <c r="M2458" s="9" t="s">
        <v>36</v>
      </c>
    </row>
    <row r="2459" ht="15.75" customHeight="1">
      <c r="A2459" s="7"/>
      <c r="B2459" s="7" t="str">
        <f>IFERROR(__xludf.DUMMYFUNCTION("""COMPUTED_VALUE"""),"Bash/Shell/PowerShell;HTML/CSS;JavaScript;PHP;TypeScript")</f>
        <v>Bash/Shell/PowerShell;HTML/CSS;JavaScript;PHP;TypeScript</v>
      </c>
      <c r="C2459" s="9" t="str">
        <f>IFERROR(__xludf.DUMMYFUNCTION("""COMPUTED_VALUE"""),"HTML/CSS")</f>
        <v>HTML/CSS</v>
      </c>
      <c r="D2459" s="9" t="str">
        <f>IFERROR(__xludf.DUMMYFUNCTION("""COMPUTED_VALUE"""),"Bash/Shell/PowerShell")</f>
        <v>Bash/Shell/PowerShell</v>
      </c>
      <c r="E2459" s="9" t="str">
        <f>IFERROR(__xludf.DUMMYFUNCTION("""COMPUTED_VALUE"""),"PHP")</f>
        <v>PHP</v>
      </c>
      <c r="F2459" s="9" t="str">
        <f>IFERROR(__xludf.DUMMYFUNCTION("""COMPUTED_VALUE"""),"Assembly")</f>
        <v>Assembly</v>
      </c>
      <c r="G2459" s="9" t="str">
        <f>IFERROR(__xludf.DUMMYFUNCTION("""COMPUTED_VALUE"""),"JavaScript")</f>
        <v>JavaScript</v>
      </c>
      <c r="H2459" s="9" t="str">
        <f>IFERROR(__xludf.DUMMYFUNCTION("""COMPUTED_VALUE"""),"SQL")</f>
        <v>SQL</v>
      </c>
      <c r="I2459" s="9" t="str">
        <f>IFERROR(__xludf.DUMMYFUNCTION("""COMPUTED_VALUE"""),"Java")</f>
        <v>Java</v>
      </c>
      <c r="J2459" s="9" t="str">
        <f>IFERROR(__xludf.DUMMYFUNCTION("""COMPUTED_VALUE"""),"JavaScript")</f>
        <v>JavaScript</v>
      </c>
      <c r="K2459" s="9" t="str">
        <f>IFERROR(__xludf.DUMMYFUNCTION("""COMPUTED_VALUE"""),"PHP")</f>
        <v>PHP</v>
      </c>
      <c r="L2459" s="9" t="str">
        <f>IFERROR(__xludf.DUMMYFUNCTION("""COMPUTED_VALUE"""),"Java")</f>
        <v>Java</v>
      </c>
      <c r="M2459" s="9" t="s">
        <v>24</v>
      </c>
    </row>
    <row r="2460" ht="15.75" customHeight="1">
      <c r="A2460" s="7"/>
      <c r="B2460" s="7" t="str">
        <f>IFERROR(__xludf.DUMMYFUNCTION("""COMPUTED_VALUE"""),"C++;C#;HTML/CSS;Java;JavaScript;PHP;SQL;TypeScript")</f>
        <v>C++;C#;HTML/CSS;Java;JavaScript;PHP;SQL;TypeScript</v>
      </c>
      <c r="C2460" s="9" t="str">
        <f>IFERROR(__xludf.DUMMYFUNCTION("""COMPUTED_VALUE"""),"Java")</f>
        <v>Java</v>
      </c>
      <c r="D2460" s="9" t="str">
        <f>IFERROR(__xludf.DUMMYFUNCTION("""COMPUTED_VALUE"""),"HTML/CSS")</f>
        <v>HTML/CSS</v>
      </c>
      <c r="E2460" s="9" t="str">
        <f>IFERROR(__xludf.DUMMYFUNCTION("""COMPUTED_VALUE"""),"SQL")</f>
        <v>SQL</v>
      </c>
      <c r="F2460" s="9" t="str">
        <f>IFERROR(__xludf.DUMMYFUNCTION("""COMPUTED_VALUE"""),"C")</f>
        <v>C</v>
      </c>
      <c r="G2460" s="9" t="str">
        <f>IFERROR(__xludf.DUMMYFUNCTION("""COMPUTED_VALUE"""),"Python")</f>
        <v>Python</v>
      </c>
      <c r="H2460" s="9" t="str">
        <f>IFERROR(__xludf.DUMMYFUNCTION("""COMPUTED_VALUE"""),"Bash/Shell/PowerShell")</f>
        <v>Bash/Shell/PowerShell</v>
      </c>
      <c r="I2460" s="9" t="str">
        <f>IFERROR(__xludf.DUMMYFUNCTION("""COMPUTED_VALUE"""),"JavaScript")</f>
        <v>JavaScript</v>
      </c>
      <c r="J2460" s="9" t="str">
        <f>IFERROR(__xludf.DUMMYFUNCTION("""COMPUTED_VALUE"""),"Objective-C")</f>
        <v>Objective-C</v>
      </c>
      <c r="K2460" s="9" t="str">
        <f>IFERROR(__xludf.DUMMYFUNCTION("""COMPUTED_VALUE"""),"Python")</f>
        <v>Python</v>
      </c>
      <c r="L2460" s="9" t="str">
        <f>IFERROR(__xludf.DUMMYFUNCTION("""COMPUTED_VALUE"""),"Python")</f>
        <v>Python</v>
      </c>
      <c r="M2460" s="9" t="s">
        <v>20</v>
      </c>
    </row>
    <row r="2461" ht="15.75" customHeight="1">
      <c r="A2461" s="7"/>
      <c r="B2461" s="7" t="str">
        <f>IFERROR(__xludf.DUMMYFUNCTION("""COMPUTED_VALUE"""),"Bash/Shell/PowerShell;HTML/CSS;JavaScript")</f>
        <v>Bash/Shell/PowerShell;HTML/CSS;JavaScript</v>
      </c>
      <c r="C2461" s="9" t="str">
        <f>IFERROR(__xludf.DUMMYFUNCTION("""COMPUTED_VALUE"""),"JavaScript")</f>
        <v>JavaScript</v>
      </c>
      <c r="D2461" s="9" t="str">
        <f>IFERROR(__xludf.DUMMYFUNCTION("""COMPUTED_VALUE"""),"JavaScript")</f>
        <v>JavaScript</v>
      </c>
      <c r="E2461" s="9" t="str">
        <f>IFERROR(__xludf.DUMMYFUNCTION("""COMPUTED_VALUE"""),"Bash/Shell/PowerShell")</f>
        <v>Bash/Shell/PowerShell</v>
      </c>
      <c r="F2461" s="9" t="str">
        <f>IFERROR(__xludf.DUMMYFUNCTION("""COMPUTED_VALUE"""),"C++")</f>
        <v>C++</v>
      </c>
      <c r="G2461" s="9" t="str">
        <f>IFERROR(__xludf.DUMMYFUNCTION("""COMPUTED_VALUE"""),"SQL")</f>
        <v>SQL</v>
      </c>
      <c r="H2461" s="9" t="str">
        <f>IFERROR(__xludf.DUMMYFUNCTION("""COMPUTED_VALUE"""),"HTML/CSS")</f>
        <v>HTML/CSS</v>
      </c>
      <c r="I2461" s="9" t="str">
        <f>IFERROR(__xludf.DUMMYFUNCTION("""COMPUTED_VALUE"""),"Kotlin")</f>
        <v>Kotlin</v>
      </c>
      <c r="J2461" s="9" t="str">
        <f>IFERROR(__xludf.DUMMYFUNCTION("""COMPUTED_VALUE"""),"PHP")</f>
        <v>PHP</v>
      </c>
      <c r="K2461" s="9" t="str">
        <f>IFERROR(__xludf.DUMMYFUNCTION("""COMPUTED_VALUE"""),"SQL")</f>
        <v>SQL</v>
      </c>
      <c r="L2461" s="9" t="str">
        <f>IFERROR(__xludf.DUMMYFUNCTION("""COMPUTED_VALUE"""),"R")</f>
        <v>R</v>
      </c>
      <c r="M2461" s="9" t="s">
        <v>21</v>
      </c>
    </row>
    <row r="2462" ht="15.75" customHeight="1">
      <c r="A2462" s="7"/>
      <c r="B2462" s="7" t="str">
        <f>IFERROR(__xludf.DUMMYFUNCTION("""COMPUTED_VALUE"""),"Assembly;Bash/Shell/PowerShell;C;C++;C#;HTML/CSS;Java;JavaScript;PHP;Python;SQL;VBA")</f>
        <v>Assembly;Bash/Shell/PowerShell;C;C++;C#;HTML/CSS;Java;JavaScript;PHP;Python;SQL;VBA</v>
      </c>
      <c r="C2462" s="9" t="str">
        <f>IFERROR(__xludf.DUMMYFUNCTION("""COMPUTED_VALUE"""),"PHP")</f>
        <v>PHP</v>
      </c>
      <c r="D2462" s="9" t="str">
        <f>IFERROR(__xludf.DUMMYFUNCTION("""COMPUTED_VALUE"""),"HTML/CSS")</f>
        <v>HTML/CSS</v>
      </c>
      <c r="E2462" s="9" t="str">
        <f>IFERROR(__xludf.DUMMYFUNCTION("""COMPUTED_VALUE"""),"C++")</f>
        <v>C++</v>
      </c>
      <c r="F2462" s="9" t="str">
        <f>IFERROR(__xludf.DUMMYFUNCTION("""COMPUTED_VALUE"""),"C#")</f>
        <v>C#</v>
      </c>
      <c r="G2462" s="9" t="str">
        <f>IFERROR(__xludf.DUMMYFUNCTION("""COMPUTED_VALUE"""),"HTML/CSS")</f>
        <v>HTML/CSS</v>
      </c>
      <c r="H2462" s="9" t="str">
        <f>IFERROR(__xludf.DUMMYFUNCTION("""COMPUTED_VALUE"""),"JavaScript")</f>
        <v>JavaScript</v>
      </c>
      <c r="I2462" s="9" t="str">
        <f>IFERROR(__xludf.DUMMYFUNCTION("""COMPUTED_VALUE"""),"Python")</f>
        <v>Python</v>
      </c>
      <c r="J2462" s="9" t="str">
        <f>IFERROR(__xludf.DUMMYFUNCTION("""COMPUTED_VALUE"""),"Python")</f>
        <v>Python</v>
      </c>
      <c r="K2462" s="9" t="str">
        <f>IFERROR(__xludf.DUMMYFUNCTION("""COMPUTED_VALUE"""),"VBA")</f>
        <v>VBA</v>
      </c>
      <c r="L2462" s="9" t="str">
        <f>IFERROR(__xludf.DUMMYFUNCTION("""COMPUTED_VALUE"""),"HTML/CSS")</f>
        <v>HTML/CSS</v>
      </c>
      <c r="M2462" s="9" t="s">
        <v>37</v>
      </c>
    </row>
    <row r="2463" ht="15.75" customHeight="1">
      <c r="A2463" s="7"/>
      <c r="B2463" s="7" t="str">
        <f>IFERROR(__xludf.DUMMYFUNCTION("""COMPUTED_VALUE"""),"HTML/CSS;JavaScript;PHP;SQL;TypeScript")</f>
        <v>HTML/CSS;JavaScript;PHP;SQL;TypeScript</v>
      </c>
      <c r="C2463" s="9" t="str">
        <f>IFERROR(__xludf.DUMMYFUNCTION("""COMPUTED_VALUE"""),"Python")</f>
        <v>Python</v>
      </c>
      <c r="D2463" s="9" t="str">
        <f>IFERROR(__xludf.DUMMYFUNCTION("""COMPUTED_VALUE"""),"JavaScript")</f>
        <v>JavaScript</v>
      </c>
      <c r="E2463" s="9" t="str">
        <f>IFERROR(__xludf.DUMMYFUNCTION("""COMPUTED_VALUE"""),"Go")</f>
        <v>Go</v>
      </c>
      <c r="F2463" s="9" t="str">
        <f>IFERROR(__xludf.DUMMYFUNCTION("""COMPUTED_VALUE"""),"HTML/CSS")</f>
        <v>HTML/CSS</v>
      </c>
      <c r="G2463" s="9" t="str">
        <f>IFERROR(__xludf.DUMMYFUNCTION("""COMPUTED_VALUE"""),"JavaScript")</f>
        <v>JavaScript</v>
      </c>
      <c r="H2463" s="9" t="str">
        <f>IFERROR(__xludf.DUMMYFUNCTION("""COMPUTED_VALUE"""),"Python")</f>
        <v>Python</v>
      </c>
      <c r="I2463" s="9" t="str">
        <f>IFERROR(__xludf.DUMMYFUNCTION("""COMPUTED_VALUE"""),"SQL")</f>
        <v>SQL</v>
      </c>
      <c r="J2463" s="9" t="str">
        <f>IFERROR(__xludf.DUMMYFUNCTION("""COMPUTED_VALUE"""),"SQL")</f>
        <v>SQL</v>
      </c>
      <c r="K2463" s="9" t="str">
        <f>IFERROR(__xludf.DUMMYFUNCTION("""COMPUTED_VALUE"""),"Bash/Shell/PowerShell")</f>
        <v>Bash/Shell/PowerShell</v>
      </c>
      <c r="L2463" s="9" t="str">
        <f>IFERROR(__xludf.DUMMYFUNCTION("""COMPUTED_VALUE"""),"JavaScript")</f>
        <v>JavaScript</v>
      </c>
      <c r="M2463" s="9" t="s">
        <v>22</v>
      </c>
    </row>
    <row r="2464" ht="15.75" customHeight="1">
      <c r="A2464" s="7"/>
      <c r="B2464" s="7" t="str">
        <f>IFERROR(__xludf.DUMMYFUNCTION("""COMPUTED_VALUE"""),"Java;JavaScript")</f>
        <v>Java;JavaScript</v>
      </c>
      <c r="C2464" s="9" t="str">
        <f>IFERROR(__xludf.DUMMYFUNCTION("""COMPUTED_VALUE"""),"SQL")</f>
        <v>SQL</v>
      </c>
      <c r="D2464" s="9" t="str">
        <f>IFERROR(__xludf.DUMMYFUNCTION("""COMPUTED_VALUE"""),"R")</f>
        <v>R</v>
      </c>
      <c r="E2464" s="9" t="str">
        <f>IFERROR(__xludf.DUMMYFUNCTION("""COMPUTED_VALUE"""),"HTML/CSS")</f>
        <v>HTML/CSS</v>
      </c>
      <c r="F2464" s="9" t="str">
        <f>IFERROR(__xludf.DUMMYFUNCTION("""COMPUTED_VALUE"""),"Java")</f>
        <v>Java</v>
      </c>
      <c r="G2464" s="9" t="str">
        <f>IFERROR(__xludf.DUMMYFUNCTION("""COMPUTED_VALUE"""),"Bash/Shell/PowerShell")</f>
        <v>Bash/Shell/PowerShell</v>
      </c>
      <c r="H2464" s="9" t="str">
        <f>IFERROR(__xludf.DUMMYFUNCTION("""COMPUTED_VALUE"""),"R")</f>
        <v>R</v>
      </c>
      <c r="I2464" s="9" t="str">
        <f>IFERROR(__xludf.DUMMYFUNCTION("""COMPUTED_VALUE"""),"HTML/CSS")</f>
        <v>HTML/CSS</v>
      </c>
      <c r="J2464" s="9" t="str">
        <f>IFERROR(__xludf.DUMMYFUNCTION("""COMPUTED_VALUE"""),"Bash/Shell/PowerShell")</f>
        <v>Bash/Shell/PowerShell</v>
      </c>
      <c r="K2464" s="9" t="str">
        <f>IFERROR(__xludf.DUMMYFUNCTION("""COMPUTED_VALUE"""),"Clojure")</f>
        <v>Clojure</v>
      </c>
      <c r="L2464" s="9" t="str">
        <f>IFERROR(__xludf.DUMMYFUNCTION("""COMPUTED_VALUE"""),"Python")</f>
        <v>Python</v>
      </c>
      <c r="M2464" s="9" t="s">
        <v>27</v>
      </c>
    </row>
    <row r="2465" ht="15.75" customHeight="1">
      <c r="A2465" s="7"/>
      <c r="B2465" s="7" t="str">
        <f>IFERROR(__xludf.DUMMYFUNCTION("""COMPUTED_VALUE"""),"Bash/Shell/PowerShell;Java;SQL")</f>
        <v>Bash/Shell/PowerShell;Java;SQL</v>
      </c>
      <c r="C2465" s="9" t="str">
        <f>IFERROR(__xludf.DUMMYFUNCTION("""COMPUTED_VALUE"""),"TypeScript")</f>
        <v>TypeScript</v>
      </c>
      <c r="D2465" s="9" t="str">
        <f>IFERROR(__xludf.DUMMYFUNCTION("""COMPUTED_VALUE"""),"SQL")</f>
        <v>SQL</v>
      </c>
      <c r="E2465" s="9" t="str">
        <f>IFERROR(__xludf.DUMMYFUNCTION("""COMPUTED_VALUE"""),"Java")</f>
        <v>Java</v>
      </c>
      <c r="F2465" s="9" t="str">
        <f>IFERROR(__xludf.DUMMYFUNCTION("""COMPUTED_VALUE"""),"JavaScript")</f>
        <v>JavaScript</v>
      </c>
      <c r="G2465" s="9" t="str">
        <f>IFERROR(__xludf.DUMMYFUNCTION("""COMPUTED_VALUE"""),"C++")</f>
        <v>C++</v>
      </c>
      <c r="H2465" s="9" t="str">
        <f>IFERROR(__xludf.DUMMYFUNCTION("""COMPUTED_VALUE"""),"SQL")</f>
        <v>SQL</v>
      </c>
      <c r="I2465" s="9" t="str">
        <f>IFERROR(__xludf.DUMMYFUNCTION("""COMPUTED_VALUE"""),"Java")</f>
        <v>Java</v>
      </c>
      <c r="J2465" s="9" t="str">
        <f>IFERROR(__xludf.DUMMYFUNCTION("""COMPUTED_VALUE"""),"C#")</f>
        <v>C#</v>
      </c>
      <c r="K2465" s="9" t="str">
        <f>IFERROR(__xludf.DUMMYFUNCTION("""COMPUTED_VALUE"""),"HTML/CSS")</f>
        <v>HTML/CSS</v>
      </c>
      <c r="L2465" s="9" t="str">
        <f>IFERROR(__xludf.DUMMYFUNCTION("""COMPUTED_VALUE"""),"Ruby")</f>
        <v>Ruby</v>
      </c>
      <c r="M2465" s="9" t="s">
        <v>33</v>
      </c>
    </row>
    <row r="2466" ht="15.75" customHeight="1">
      <c r="A2466" s="7"/>
      <c r="B2466" s="7" t="str">
        <f>IFERROR(__xludf.DUMMYFUNCTION("""COMPUTED_VALUE"""),"C;C++;C#;HTML/CSS;Python;SQL")</f>
        <v>C;C++;C#;HTML/CSS;Python;SQL</v>
      </c>
      <c r="C2466" s="9" t="str">
        <f>IFERROR(__xludf.DUMMYFUNCTION("""COMPUTED_VALUE"""),"C")</f>
        <v>C</v>
      </c>
      <c r="D2466" s="9" t="str">
        <f>IFERROR(__xludf.DUMMYFUNCTION("""COMPUTED_VALUE"""),"TypeScript")</f>
        <v>TypeScript</v>
      </c>
      <c r="E2466" s="9" t="str">
        <f>IFERROR(__xludf.DUMMYFUNCTION("""COMPUTED_VALUE"""),"JavaScript")</f>
        <v>JavaScript</v>
      </c>
      <c r="F2466" s="9" t="str">
        <f>IFERROR(__xludf.DUMMYFUNCTION("""COMPUTED_VALUE"""),"Python")</f>
        <v>Python</v>
      </c>
      <c r="G2466" s="9" t="str">
        <f>IFERROR(__xludf.DUMMYFUNCTION("""COMPUTED_VALUE"""),"Python")</f>
        <v>Python</v>
      </c>
      <c r="H2466" s="9" t="str">
        <f>IFERROR(__xludf.DUMMYFUNCTION("""COMPUTED_VALUE"""),"VBA")</f>
        <v>VBA</v>
      </c>
      <c r="I2466" s="9" t="str">
        <f>IFERROR(__xludf.DUMMYFUNCTION("""COMPUTED_VALUE"""),"JavaScript")</f>
        <v>JavaScript</v>
      </c>
      <c r="J2466" s="9" t="str">
        <f>IFERROR(__xludf.DUMMYFUNCTION("""COMPUTED_VALUE"""),"HTML/CSS")</f>
        <v>HTML/CSS</v>
      </c>
      <c r="K2466" s="9" t="str">
        <f>IFERROR(__xludf.DUMMYFUNCTION("""COMPUTED_VALUE"""),"Java")</f>
        <v>Java</v>
      </c>
      <c r="L2466" s="9" t="str">
        <f>IFERROR(__xludf.DUMMYFUNCTION("""COMPUTED_VALUE"""),"Other(s):")</f>
        <v>Other(s):</v>
      </c>
      <c r="M2466" s="9" t="s">
        <v>25</v>
      </c>
    </row>
    <row r="2467" ht="15.75" customHeight="1">
      <c r="A2467" s="7"/>
      <c r="B2467" s="7" t="str">
        <f>IFERROR(__xludf.DUMMYFUNCTION("""COMPUTED_VALUE"""),"Assembly;C#;Python;Other(s):")</f>
        <v>Assembly;C#;Python;Other(s):</v>
      </c>
      <c r="C2467" s="9" t="str">
        <f>IFERROR(__xludf.DUMMYFUNCTION("""COMPUTED_VALUE"""),"C++")</f>
        <v>C++</v>
      </c>
      <c r="D2467" s="9" t="str">
        <f>IFERROR(__xludf.DUMMYFUNCTION("""COMPUTED_VALUE"""),"Bash/Shell/PowerShell")</f>
        <v>Bash/Shell/PowerShell</v>
      </c>
      <c r="E2467" s="9" t="str">
        <f>IFERROR(__xludf.DUMMYFUNCTION("""COMPUTED_VALUE"""),"Python")</f>
        <v>Python</v>
      </c>
      <c r="F2467" s="9" t="str">
        <f>IFERROR(__xludf.DUMMYFUNCTION("""COMPUTED_VALUE"""),"SQL")</f>
        <v>SQL</v>
      </c>
      <c r="G2467" s="9" t="str">
        <f>IFERROR(__xludf.DUMMYFUNCTION("""COMPUTED_VALUE"""),"R")</f>
        <v>R</v>
      </c>
      <c r="H2467" s="9" t="str">
        <f>IFERROR(__xludf.DUMMYFUNCTION("""COMPUTED_VALUE"""),"Bash/Shell/PowerShell")</f>
        <v>Bash/Shell/PowerShell</v>
      </c>
      <c r="I2467" s="9" t="str">
        <f>IFERROR(__xludf.DUMMYFUNCTION("""COMPUTED_VALUE"""),"SQL")</f>
        <v>SQL</v>
      </c>
      <c r="J2467" s="9" t="str">
        <f>IFERROR(__xludf.DUMMYFUNCTION("""COMPUTED_VALUE"""),"Java")</f>
        <v>Java</v>
      </c>
      <c r="K2467" s="9" t="str">
        <f>IFERROR(__xludf.DUMMYFUNCTION("""COMPUTED_VALUE"""),"JavaScript")</f>
        <v>JavaScript</v>
      </c>
      <c r="L2467" s="9" t="str">
        <f>IFERROR(__xludf.DUMMYFUNCTION("""COMPUTED_VALUE"""),"JavaScript")</f>
        <v>JavaScript</v>
      </c>
      <c r="M2467" s="9" t="s">
        <v>23</v>
      </c>
    </row>
    <row r="2468" ht="15.75" customHeight="1">
      <c r="A2468" s="7"/>
      <c r="B2468" s="7" t="str">
        <f>IFERROR(__xludf.DUMMYFUNCTION("""COMPUTED_VALUE"""),"HTML/CSS;JavaScript;Python;Ruby;TypeScript")</f>
        <v>HTML/CSS;JavaScript;Python;Ruby;TypeScript</v>
      </c>
      <c r="C2468" s="9" t="str">
        <f>IFERROR(__xludf.DUMMYFUNCTION("""COMPUTED_VALUE"""),"HTML/CSS")</f>
        <v>HTML/CSS</v>
      </c>
      <c r="D2468" s="9" t="str">
        <f>IFERROR(__xludf.DUMMYFUNCTION("""COMPUTED_VALUE"""),"Python")</f>
        <v>Python</v>
      </c>
      <c r="E2468" s="9" t="str">
        <f>IFERROR(__xludf.DUMMYFUNCTION("""COMPUTED_VALUE"""),"TypeScript")</f>
        <v>TypeScript</v>
      </c>
      <c r="F2468" s="9" t="str">
        <f>IFERROR(__xludf.DUMMYFUNCTION("""COMPUTED_VALUE"""),"HTML/CSS")</f>
        <v>HTML/CSS</v>
      </c>
      <c r="G2468" s="9" t="str">
        <f>IFERROR(__xludf.DUMMYFUNCTION("""COMPUTED_VALUE"""),"VBA")</f>
        <v>VBA</v>
      </c>
      <c r="H2468" s="9" t="str">
        <f>IFERROR(__xludf.DUMMYFUNCTION("""COMPUTED_VALUE"""),"HTML/CSS")</f>
        <v>HTML/CSS</v>
      </c>
      <c r="I2468" s="9" t="str">
        <f>IFERROR(__xludf.DUMMYFUNCTION("""COMPUTED_VALUE"""),"Bash/Shell/PowerShell")</f>
        <v>Bash/Shell/PowerShell</v>
      </c>
      <c r="J2468" s="9" t="str">
        <f>IFERROR(__xludf.DUMMYFUNCTION("""COMPUTED_VALUE"""),"JavaScript")</f>
        <v>JavaScript</v>
      </c>
      <c r="K2468" s="9" t="str">
        <f>IFERROR(__xludf.DUMMYFUNCTION("""COMPUTED_VALUE"""),"Ruby")</f>
        <v>Ruby</v>
      </c>
      <c r="L2468" s="9" t="str">
        <f>IFERROR(__xludf.DUMMYFUNCTION("""COMPUTED_VALUE"""),"TypeScript")</f>
        <v>TypeScript</v>
      </c>
      <c r="M2468" s="9" t="s">
        <v>24</v>
      </c>
    </row>
    <row r="2469" ht="15.75" customHeight="1">
      <c r="A2469" s="7"/>
      <c r="B2469" s="7" t="str">
        <f>IFERROR(__xludf.DUMMYFUNCTION("""COMPUTED_VALUE"""),"C#;HTML/CSS;Java;JavaScript;Python;SQL;TypeScript")</f>
        <v>C#;HTML/CSS;Java;JavaScript;Python;SQL;TypeScript</v>
      </c>
      <c r="C2469" s="9" t="str">
        <f>IFERROR(__xludf.DUMMYFUNCTION("""COMPUTED_VALUE"""),"JavaScript")</f>
        <v>JavaScript</v>
      </c>
      <c r="D2469" s="9" t="str">
        <f>IFERROR(__xludf.DUMMYFUNCTION("""COMPUTED_VALUE"""),"SQL")</f>
        <v>SQL</v>
      </c>
      <c r="E2469" s="9" t="str">
        <f>IFERROR(__xludf.DUMMYFUNCTION("""COMPUTED_VALUE"""),"Bash/Shell/PowerShell")</f>
        <v>Bash/Shell/PowerShell</v>
      </c>
      <c r="F2469" s="9" t="str">
        <f>IFERROR(__xludf.DUMMYFUNCTION("""COMPUTED_VALUE"""),"Java")</f>
        <v>Java</v>
      </c>
      <c r="G2469" s="9" t="str">
        <f>IFERROR(__xludf.DUMMYFUNCTION("""COMPUTED_VALUE"""),"Bash/Shell/PowerShell")</f>
        <v>Bash/Shell/PowerShell</v>
      </c>
      <c r="H2469" s="9" t="str">
        <f>IFERROR(__xludf.DUMMYFUNCTION("""COMPUTED_VALUE"""),"JavaScript")</f>
        <v>JavaScript</v>
      </c>
      <c r="I2469" s="9" t="str">
        <f>IFERROR(__xludf.DUMMYFUNCTION("""COMPUTED_VALUE"""),"C")</f>
        <v>C</v>
      </c>
      <c r="J2469" s="9" t="str">
        <f>IFERROR(__xludf.DUMMYFUNCTION("""COMPUTED_VALUE"""),"Python")</f>
        <v>Python</v>
      </c>
      <c r="K2469" s="9" t="str">
        <f>IFERROR(__xludf.DUMMYFUNCTION("""COMPUTED_VALUE"""),"SQL")</f>
        <v>SQL</v>
      </c>
      <c r="L2469" s="9" t="str">
        <f>IFERROR(__xludf.DUMMYFUNCTION("""COMPUTED_VALUE"""),"Bash/Shell/PowerShell")</f>
        <v>Bash/Shell/PowerShell</v>
      </c>
      <c r="M2469" s="9" t="s">
        <v>21</v>
      </c>
    </row>
    <row r="2470" ht="15.75" customHeight="1">
      <c r="A2470" s="7"/>
      <c r="B2470" s="7" t="str">
        <f>IFERROR(__xludf.DUMMYFUNCTION("""COMPUTED_VALUE"""),"C;C++;HTML/CSS;Java;JavaScript;PHP;Python;SQL;Swift")</f>
        <v>C;C++;HTML/CSS;Java;JavaScript;PHP;Python;SQL;Swift</v>
      </c>
      <c r="C2470" s="9" t="str">
        <f>IFERROR(__xludf.DUMMYFUNCTION("""COMPUTED_VALUE"""),"Bash/Shell/PowerShell")</f>
        <v>Bash/Shell/PowerShell</v>
      </c>
      <c r="D2470" s="9" t="str">
        <f>IFERROR(__xludf.DUMMYFUNCTION("""COMPUTED_VALUE"""),"Bash/Shell/PowerShell")</f>
        <v>Bash/Shell/PowerShell</v>
      </c>
      <c r="E2470" s="9" t="str">
        <f>IFERROR(__xludf.DUMMYFUNCTION("""COMPUTED_VALUE"""),"C")</f>
        <v>C</v>
      </c>
      <c r="F2470" s="9" t="str">
        <f>IFERROR(__xludf.DUMMYFUNCTION("""COMPUTED_VALUE"""),"JavaScript")</f>
        <v>JavaScript</v>
      </c>
      <c r="G2470" s="9" t="str">
        <f>IFERROR(__xludf.DUMMYFUNCTION("""COMPUTED_VALUE"""),"Java")</f>
        <v>Java</v>
      </c>
      <c r="H2470" s="9" t="str">
        <f>IFERROR(__xludf.DUMMYFUNCTION("""COMPUTED_VALUE"""),"PHP")</f>
        <v>PHP</v>
      </c>
      <c r="I2470" s="9" t="str">
        <f>IFERROR(__xludf.DUMMYFUNCTION("""COMPUTED_VALUE"""),"C++")</f>
        <v>C++</v>
      </c>
      <c r="J2470" s="9" t="str">
        <f>IFERROR(__xludf.DUMMYFUNCTION("""COMPUTED_VALUE"""),"Scala")</f>
        <v>Scala</v>
      </c>
      <c r="K2470" s="9" t="str">
        <f>IFERROR(__xludf.DUMMYFUNCTION("""COMPUTED_VALUE"""),"Java")</f>
        <v>Java</v>
      </c>
      <c r="L2470" s="9" t="str">
        <f>IFERROR(__xludf.DUMMYFUNCTION("""COMPUTED_VALUE"""),"C")</f>
        <v>C</v>
      </c>
      <c r="M2470" s="9" t="s">
        <v>30</v>
      </c>
    </row>
    <row r="2471" ht="15.75" customHeight="1">
      <c r="A2471" s="7"/>
      <c r="B2471" s="7" t="str">
        <f>IFERROR(__xludf.DUMMYFUNCTION("""COMPUTED_VALUE"""),"Assembly;HTML/CSS;Java;JavaScript")</f>
        <v>Assembly;HTML/CSS;Java;JavaScript</v>
      </c>
      <c r="C2471" s="9" t="str">
        <f>IFERROR(__xludf.DUMMYFUNCTION("""COMPUTED_VALUE"""),"HTML/CSS")</f>
        <v>HTML/CSS</v>
      </c>
      <c r="D2471" s="9" t="str">
        <f>IFERROR(__xludf.DUMMYFUNCTION("""COMPUTED_VALUE"""),"C#")</f>
        <v>C#</v>
      </c>
      <c r="E2471" s="9" t="str">
        <f>IFERROR(__xludf.DUMMYFUNCTION("""COMPUTED_VALUE"""),"C++")</f>
        <v>C++</v>
      </c>
      <c r="F2471" s="9" t="str">
        <f>IFERROR(__xludf.DUMMYFUNCTION("""COMPUTED_VALUE"""),"Python")</f>
        <v>Python</v>
      </c>
      <c r="G2471" s="9" t="str">
        <f>IFERROR(__xludf.DUMMYFUNCTION("""COMPUTED_VALUE"""),"Kotlin")</f>
        <v>Kotlin</v>
      </c>
      <c r="H2471" s="9" t="str">
        <f>IFERROR(__xludf.DUMMYFUNCTION("""COMPUTED_VALUE"""),"SQL")</f>
        <v>SQL</v>
      </c>
      <c r="I2471" s="9" t="str">
        <f>IFERROR(__xludf.DUMMYFUNCTION("""COMPUTED_VALUE"""),"C#")</f>
        <v>C#</v>
      </c>
      <c r="J2471" s="9" t="str">
        <f>IFERROR(__xludf.DUMMYFUNCTION("""COMPUTED_VALUE"""),"SQL")</f>
        <v>SQL</v>
      </c>
      <c r="K2471" s="9" t="str">
        <f>IFERROR(__xludf.DUMMYFUNCTION("""COMPUTED_VALUE"""),"Objective-C")</f>
        <v>Objective-C</v>
      </c>
      <c r="L2471" s="9" t="str">
        <f>IFERROR(__xludf.DUMMYFUNCTION("""COMPUTED_VALUE"""),"C++")</f>
        <v>C++</v>
      </c>
      <c r="M2471" s="9" t="s">
        <v>24</v>
      </c>
    </row>
    <row r="2472" ht="15.75" customHeight="1">
      <c r="A2472" s="7"/>
      <c r="B2472" s="7" t="str">
        <f>IFERROR(__xludf.DUMMYFUNCTION("""COMPUTED_VALUE"""),"C#")</f>
        <v>C#</v>
      </c>
      <c r="C2472" s="9" t="str">
        <f>IFERROR(__xludf.DUMMYFUNCTION("""COMPUTED_VALUE"""),"JavaScript")</f>
        <v>JavaScript</v>
      </c>
      <c r="D2472" s="9" t="str">
        <f>IFERROR(__xludf.DUMMYFUNCTION("""COMPUTED_VALUE"""),"Go")</f>
        <v>Go</v>
      </c>
      <c r="E2472" s="9" t="str">
        <f>IFERROR(__xludf.DUMMYFUNCTION("""COMPUTED_VALUE"""),"HTML/CSS")</f>
        <v>HTML/CSS</v>
      </c>
      <c r="F2472" s="9" t="str">
        <f>IFERROR(__xludf.DUMMYFUNCTION("""COMPUTED_VALUE"""),"SQL")</f>
        <v>SQL</v>
      </c>
      <c r="G2472" s="9" t="str">
        <f>IFERROR(__xludf.DUMMYFUNCTION("""COMPUTED_VALUE"""),"Python")</f>
        <v>Python</v>
      </c>
      <c r="H2472" s="9" t="str">
        <f>IFERROR(__xludf.DUMMYFUNCTION("""COMPUTED_VALUE"""),"Assembly")</f>
        <v>Assembly</v>
      </c>
      <c r="I2472" s="9" t="str">
        <f>IFERROR(__xludf.DUMMYFUNCTION("""COMPUTED_VALUE"""),"HTML/CSS")</f>
        <v>HTML/CSS</v>
      </c>
      <c r="J2472" s="9" t="str">
        <f>IFERROR(__xludf.DUMMYFUNCTION("""COMPUTED_VALUE"""),"Bash/Shell/PowerShell")</f>
        <v>Bash/Shell/PowerShell</v>
      </c>
      <c r="K2472" s="9" t="str">
        <f>IFERROR(__xludf.DUMMYFUNCTION("""COMPUTED_VALUE"""),"HTML/CSS")</f>
        <v>HTML/CSS</v>
      </c>
      <c r="L2472" s="9" t="str">
        <f>IFERROR(__xludf.DUMMYFUNCTION("""COMPUTED_VALUE"""),"HTML/CSS")</f>
        <v>HTML/CSS</v>
      </c>
      <c r="M2472" s="9" t="s">
        <v>21</v>
      </c>
    </row>
    <row r="2473" ht="15.75" customHeight="1">
      <c r="A2473" s="7"/>
      <c r="B2473" s="7" t="str">
        <f>IFERROR(__xludf.DUMMYFUNCTION("""COMPUTED_VALUE"""),"Java;SQL;Other(s):")</f>
        <v>Java;SQL;Other(s):</v>
      </c>
      <c r="C2473" s="9" t="str">
        <f>IFERROR(__xludf.DUMMYFUNCTION("""COMPUTED_VALUE"""),"PHP")</f>
        <v>PHP</v>
      </c>
      <c r="D2473" s="9" t="str">
        <f>IFERROR(__xludf.DUMMYFUNCTION("""COMPUTED_VALUE"""),"Java")</f>
        <v>Java</v>
      </c>
      <c r="E2473" s="9" t="str">
        <f>IFERROR(__xludf.DUMMYFUNCTION("""COMPUTED_VALUE"""),"Java")</f>
        <v>Java</v>
      </c>
      <c r="F2473" s="9" t="str">
        <f>IFERROR(__xludf.DUMMYFUNCTION("""COMPUTED_VALUE"""),"TypeScript")</f>
        <v>TypeScript</v>
      </c>
      <c r="G2473" s="9" t="str">
        <f>IFERROR(__xludf.DUMMYFUNCTION("""COMPUTED_VALUE"""),"Ruby")</f>
        <v>Ruby</v>
      </c>
      <c r="H2473" s="9" t="str">
        <f>IFERROR(__xludf.DUMMYFUNCTION("""COMPUTED_VALUE"""),"Bash/Shell/PowerShell")</f>
        <v>Bash/Shell/PowerShell</v>
      </c>
      <c r="I2473" s="9" t="str">
        <f>IFERROR(__xludf.DUMMYFUNCTION("""COMPUTED_VALUE"""),"Java")</f>
        <v>Java</v>
      </c>
      <c r="J2473" s="9" t="str">
        <f>IFERROR(__xludf.DUMMYFUNCTION("""COMPUTED_VALUE"""),"HTML/CSS")</f>
        <v>HTML/CSS</v>
      </c>
      <c r="K2473" s="9" t="str">
        <f>IFERROR(__xludf.DUMMYFUNCTION("""COMPUTED_VALUE"""),"JavaScript")</f>
        <v>JavaScript</v>
      </c>
      <c r="L2473" s="9" t="str">
        <f>IFERROR(__xludf.DUMMYFUNCTION("""COMPUTED_VALUE"""),"Python")</f>
        <v>Python</v>
      </c>
      <c r="M2473" s="9" t="s">
        <v>37</v>
      </c>
    </row>
    <row r="2474" ht="15.75" customHeight="1">
      <c r="A2474" s="7"/>
      <c r="B2474" s="7" t="str">
        <f>IFERROR(__xludf.DUMMYFUNCTION("""COMPUTED_VALUE"""),"C;C#;HTML/CSS;JavaScript;SQL")</f>
        <v>C;C#;HTML/CSS;JavaScript;SQL</v>
      </c>
      <c r="C2474" s="9" t="str">
        <f>IFERROR(__xludf.DUMMYFUNCTION("""COMPUTED_VALUE"""),"Python")</f>
        <v>Python</v>
      </c>
      <c r="D2474" s="9" t="str">
        <f>IFERROR(__xludf.DUMMYFUNCTION("""COMPUTED_VALUE"""),"JavaScript")</f>
        <v>JavaScript</v>
      </c>
      <c r="E2474" s="9" t="str">
        <f>IFERROR(__xludf.DUMMYFUNCTION("""COMPUTED_VALUE"""),"JavaScript")</f>
        <v>JavaScript</v>
      </c>
      <c r="F2474" s="9" t="str">
        <f>IFERROR(__xludf.DUMMYFUNCTION("""COMPUTED_VALUE"""),"Objective-C")</f>
        <v>Objective-C</v>
      </c>
      <c r="G2474" s="9" t="str">
        <f>IFERROR(__xludf.DUMMYFUNCTION("""COMPUTED_VALUE"""),"Bash/Shell/PowerShell")</f>
        <v>Bash/Shell/PowerShell</v>
      </c>
      <c r="H2474" s="9" t="str">
        <f>IFERROR(__xludf.DUMMYFUNCTION("""COMPUTED_VALUE"""),"C")</f>
        <v>C</v>
      </c>
      <c r="I2474" s="9" t="str">
        <f>IFERROR(__xludf.DUMMYFUNCTION("""COMPUTED_VALUE"""),"JavaScript")</f>
        <v>JavaScript</v>
      </c>
      <c r="J2474" s="9" t="str">
        <f>IFERROR(__xludf.DUMMYFUNCTION("""COMPUTED_VALUE"""),"JavaScript")</f>
        <v>JavaScript</v>
      </c>
      <c r="K2474" s="9" t="str">
        <f>IFERROR(__xludf.DUMMYFUNCTION("""COMPUTED_VALUE"""),"C#")</f>
        <v>C#</v>
      </c>
      <c r="L2474" s="9" t="str">
        <f>IFERROR(__xludf.DUMMYFUNCTION("""COMPUTED_VALUE"""),"SQL")</f>
        <v>SQL</v>
      </c>
      <c r="M2474" s="9" t="s">
        <v>22</v>
      </c>
    </row>
    <row r="2475" ht="15.75" customHeight="1">
      <c r="A2475" s="7"/>
      <c r="B2475" s="7" t="str">
        <f>IFERROR(__xludf.DUMMYFUNCTION("""COMPUTED_VALUE"""),"Go;HTML/CSS;JavaScript;PHP;TypeScript")</f>
        <v>Go;HTML/CSS;JavaScript;PHP;TypeScript</v>
      </c>
      <c r="C2475" s="9" t="str">
        <f>IFERROR(__xludf.DUMMYFUNCTION("""COMPUTED_VALUE"""),"SQL")</f>
        <v>SQL</v>
      </c>
      <c r="D2475" s="9" t="str">
        <f>IFERROR(__xludf.DUMMYFUNCTION("""COMPUTED_VALUE"""),"Kotlin")</f>
        <v>Kotlin</v>
      </c>
      <c r="E2475" s="9" t="str">
        <f>IFERROR(__xludf.DUMMYFUNCTION("""COMPUTED_VALUE"""),"Python")</f>
        <v>Python</v>
      </c>
      <c r="F2475" s="9" t="str">
        <f>IFERROR(__xludf.DUMMYFUNCTION("""COMPUTED_VALUE"""),"Swift")</f>
        <v>Swift</v>
      </c>
      <c r="G2475" s="9" t="str">
        <f>IFERROR(__xludf.DUMMYFUNCTION("""COMPUTED_VALUE"""),"C")</f>
        <v>C</v>
      </c>
      <c r="H2475" s="9" t="str">
        <f>IFERROR(__xludf.DUMMYFUNCTION("""COMPUTED_VALUE"""),"C#")</f>
        <v>C#</v>
      </c>
      <c r="I2475" s="9" t="str">
        <f>IFERROR(__xludf.DUMMYFUNCTION("""COMPUTED_VALUE"""),"Python")</f>
        <v>Python</v>
      </c>
      <c r="J2475" s="9" t="str">
        <f>IFERROR(__xludf.DUMMYFUNCTION("""COMPUTED_VALUE"""),"Python")</f>
        <v>Python</v>
      </c>
      <c r="K2475" s="9" t="str">
        <f>IFERROR(__xludf.DUMMYFUNCTION("""COMPUTED_VALUE"""),"Go")</f>
        <v>Go</v>
      </c>
      <c r="L2475" s="9" t="str">
        <f>IFERROR(__xludf.DUMMYFUNCTION("""COMPUTED_VALUE"""),"Other(s):")</f>
        <v>Other(s):</v>
      </c>
      <c r="M2475" s="9" t="s">
        <v>27</v>
      </c>
    </row>
    <row r="2476" ht="15.75" customHeight="1">
      <c r="A2476" s="7"/>
      <c r="B2476" s="7" t="str">
        <f>IFERROR(__xludf.DUMMYFUNCTION("""COMPUTED_VALUE"""),"C;C#;Java;Kotlin")</f>
        <v>C;C#;Java;Kotlin</v>
      </c>
      <c r="C2476" s="9" t="str">
        <f>IFERROR(__xludf.DUMMYFUNCTION("""COMPUTED_VALUE"""),"Python")</f>
        <v>Python</v>
      </c>
      <c r="D2476" s="9" t="str">
        <f>IFERROR(__xludf.DUMMYFUNCTION("""COMPUTED_VALUE"""),"SQL")</f>
        <v>SQL</v>
      </c>
      <c r="E2476" s="9" t="str">
        <f>IFERROR(__xludf.DUMMYFUNCTION("""COMPUTED_VALUE"""),"SQL")</f>
        <v>SQL</v>
      </c>
      <c r="F2476" s="9" t="str">
        <f>IFERROR(__xludf.DUMMYFUNCTION("""COMPUTED_VALUE"""),"C")</f>
        <v>C</v>
      </c>
      <c r="G2476" s="9" t="str">
        <f>IFERROR(__xludf.DUMMYFUNCTION("""COMPUTED_VALUE"""),"C++")</f>
        <v>C++</v>
      </c>
      <c r="H2476" s="9" t="str">
        <f>IFERROR(__xludf.DUMMYFUNCTION("""COMPUTED_VALUE"""),"Go")</f>
        <v>Go</v>
      </c>
      <c r="I2476" s="9" t="str">
        <f>IFERROR(__xludf.DUMMYFUNCTION("""COMPUTED_VALUE"""),"SQL")</f>
        <v>SQL</v>
      </c>
      <c r="J2476" s="9" t="str">
        <f>IFERROR(__xludf.DUMMYFUNCTION("""COMPUTED_VALUE"""),"HTML/CSS")</f>
        <v>HTML/CSS</v>
      </c>
      <c r="K2476" s="9" t="str">
        <f>IFERROR(__xludf.DUMMYFUNCTION("""COMPUTED_VALUE"""),"HTML/CSS")</f>
        <v>HTML/CSS</v>
      </c>
      <c r="L2476" s="9" t="str">
        <f>IFERROR(__xludf.DUMMYFUNCTION("""COMPUTED_VALUE"""),"Bash/Shell/PowerShell")</f>
        <v>Bash/Shell/PowerShell</v>
      </c>
      <c r="M2476" s="9" t="s">
        <v>22</v>
      </c>
    </row>
    <row r="2477" ht="15.75" customHeight="1">
      <c r="A2477" s="7"/>
      <c r="B2477" s="7" t="str">
        <f>IFERROR(__xludf.DUMMYFUNCTION("""COMPUTED_VALUE"""),"Bash/Shell/PowerShell;HTML/CSS;JavaScript;Ruby;SQL")</f>
        <v>Bash/Shell/PowerShell;HTML/CSS;JavaScript;Ruby;SQL</v>
      </c>
      <c r="C2477" s="9" t="str">
        <f>IFERROR(__xludf.DUMMYFUNCTION("""COMPUTED_VALUE"""),"HTML/CSS")</f>
        <v>HTML/CSS</v>
      </c>
      <c r="D2477" s="9" t="str">
        <f>IFERROR(__xludf.DUMMYFUNCTION("""COMPUTED_VALUE"""),"TypeScript")</f>
        <v>TypeScript</v>
      </c>
      <c r="E2477" s="9" t="str">
        <f>IFERROR(__xludf.DUMMYFUNCTION("""COMPUTED_VALUE"""),"Bash/Shell/PowerShell")</f>
        <v>Bash/Shell/PowerShell</v>
      </c>
      <c r="F2477" s="9" t="str">
        <f>IFERROR(__xludf.DUMMYFUNCTION("""COMPUTED_VALUE"""),"C++")</f>
        <v>C++</v>
      </c>
      <c r="G2477" s="9" t="str">
        <f>IFERROR(__xludf.DUMMYFUNCTION("""COMPUTED_VALUE"""),"JavaScript")</f>
        <v>JavaScript</v>
      </c>
      <c r="H2477" s="9" t="str">
        <f>IFERROR(__xludf.DUMMYFUNCTION("""COMPUTED_VALUE"""),"HTML/CSS")</f>
        <v>HTML/CSS</v>
      </c>
      <c r="I2477" s="9" t="str">
        <f>IFERROR(__xludf.DUMMYFUNCTION("""COMPUTED_VALUE"""),"TypeScript")</f>
        <v>TypeScript</v>
      </c>
      <c r="J2477" s="9" t="str">
        <f>IFERROR(__xludf.DUMMYFUNCTION("""COMPUTED_VALUE"""),"JavaScript")</f>
        <v>JavaScript</v>
      </c>
      <c r="K2477" s="9" t="str">
        <f>IFERROR(__xludf.DUMMYFUNCTION("""COMPUTED_VALUE"""),"Java")</f>
        <v>Java</v>
      </c>
      <c r="L2477" s="9" t="str">
        <f>IFERROR(__xludf.DUMMYFUNCTION("""COMPUTED_VALUE"""),"C")</f>
        <v>C</v>
      </c>
      <c r="M2477" s="9" t="s">
        <v>24</v>
      </c>
    </row>
    <row r="2478" ht="15.75" customHeight="1">
      <c r="A2478" s="7"/>
      <c r="B2478" s="7" t="str">
        <f>IFERROR(__xludf.DUMMYFUNCTION("""COMPUTED_VALUE"""),"JavaScript;PHP;SQL")</f>
        <v>JavaScript;PHP;SQL</v>
      </c>
      <c r="C2478" s="9" t="str">
        <f>IFERROR(__xludf.DUMMYFUNCTION("""COMPUTED_VALUE"""),"JavaScript")</f>
        <v>JavaScript</v>
      </c>
      <c r="D2478" s="9" t="str">
        <f>IFERROR(__xludf.DUMMYFUNCTION("""COMPUTED_VALUE"""),"HTML/CSS")</f>
        <v>HTML/CSS</v>
      </c>
      <c r="E2478" s="9" t="str">
        <f>IFERROR(__xludf.DUMMYFUNCTION("""COMPUTED_VALUE"""),"Clojure")</f>
        <v>Clojure</v>
      </c>
      <c r="F2478" s="9" t="str">
        <f>IFERROR(__xludf.DUMMYFUNCTION("""COMPUTED_VALUE"""),"HTML/CSS")</f>
        <v>HTML/CSS</v>
      </c>
      <c r="G2478" s="9" t="str">
        <f>IFERROR(__xludf.DUMMYFUNCTION("""COMPUTED_VALUE"""),"Python")</f>
        <v>Python</v>
      </c>
      <c r="H2478" s="9" t="str">
        <f>IFERROR(__xludf.DUMMYFUNCTION("""COMPUTED_VALUE"""),"JavaScript")</f>
        <v>JavaScript</v>
      </c>
      <c r="I2478" s="9" t="str">
        <f>IFERROR(__xludf.DUMMYFUNCTION("""COMPUTED_VALUE"""),"C")</f>
        <v>C</v>
      </c>
      <c r="J2478" s="9" t="str">
        <f>IFERROR(__xludf.DUMMYFUNCTION("""COMPUTED_VALUE"""),"SQL")</f>
        <v>SQL</v>
      </c>
      <c r="K2478" s="9" t="str">
        <f>IFERROR(__xludf.DUMMYFUNCTION("""COMPUTED_VALUE"""),"JavaScript")</f>
        <v>JavaScript</v>
      </c>
      <c r="L2478" s="9" t="str">
        <f>IFERROR(__xludf.DUMMYFUNCTION("""COMPUTED_VALUE"""),"C++")</f>
        <v>C++</v>
      </c>
      <c r="M2478" s="9" t="s">
        <v>21</v>
      </c>
    </row>
    <row r="2479" ht="15.75" customHeight="1">
      <c r="A2479" s="7"/>
      <c r="B2479" s="7" t="str">
        <f>IFERROR(__xludf.DUMMYFUNCTION("""COMPUTED_VALUE"""),"Bash/Shell/PowerShell;C;C++;C#;Python")</f>
        <v>Bash/Shell/PowerShell;C;C++;C#;Python</v>
      </c>
      <c r="C2479" s="9" t="str">
        <f>IFERROR(__xludf.DUMMYFUNCTION("""COMPUTED_VALUE"""),"Ruby")</f>
        <v>Ruby</v>
      </c>
      <c r="D2479" s="9" t="str">
        <f>IFERROR(__xludf.DUMMYFUNCTION("""COMPUTED_VALUE"""),"JavaScript")</f>
        <v>JavaScript</v>
      </c>
      <c r="E2479" s="9" t="str">
        <f>IFERROR(__xludf.DUMMYFUNCTION("""COMPUTED_VALUE"""),"HTML/CSS")</f>
        <v>HTML/CSS</v>
      </c>
      <c r="F2479" s="9" t="str">
        <f>IFERROR(__xludf.DUMMYFUNCTION("""COMPUTED_VALUE"""),"JavaScript")</f>
        <v>JavaScript</v>
      </c>
      <c r="G2479" s="9" t="str">
        <f>IFERROR(__xludf.DUMMYFUNCTION("""COMPUTED_VALUE"""),"Bash/Shell/PowerShell")</f>
        <v>Bash/Shell/PowerShell</v>
      </c>
      <c r="H2479" s="9" t="str">
        <f>IFERROR(__xludf.DUMMYFUNCTION("""COMPUTED_VALUE"""),"Rust")</f>
        <v>Rust</v>
      </c>
      <c r="I2479" s="9" t="str">
        <f>IFERROR(__xludf.DUMMYFUNCTION("""COMPUTED_VALUE"""),"Other(s):")</f>
        <v>Other(s):</v>
      </c>
      <c r="J2479" s="9" t="str">
        <f>IFERROR(__xludf.DUMMYFUNCTION("""COMPUTED_VALUE"""),"Other(s):")</f>
        <v>Other(s):</v>
      </c>
      <c r="K2479" s="9" t="str">
        <f>IFERROR(__xludf.DUMMYFUNCTION("""COMPUTED_VALUE"""),"Python")</f>
        <v>Python</v>
      </c>
      <c r="L2479" s="9" t="str">
        <f>IFERROR(__xludf.DUMMYFUNCTION("""COMPUTED_VALUE"""),"HTML/CSS")</f>
        <v>HTML/CSS</v>
      </c>
      <c r="M2479" s="9" t="s">
        <v>31</v>
      </c>
    </row>
    <row r="2480" ht="15.75" customHeight="1">
      <c r="A2480" s="7"/>
      <c r="B2480" s="7" t="str">
        <f>IFERROR(__xludf.DUMMYFUNCTION("""COMPUTED_VALUE"""),"Java;JavaScript;Rust;TypeScript")</f>
        <v>Java;JavaScript;Rust;TypeScript</v>
      </c>
      <c r="C2480" s="9" t="str">
        <f>IFERROR(__xludf.DUMMYFUNCTION("""COMPUTED_VALUE"""),"SQL")</f>
        <v>SQL</v>
      </c>
      <c r="D2480" s="9" t="str">
        <f>IFERROR(__xludf.DUMMYFUNCTION("""COMPUTED_VALUE"""),"PHP")</f>
        <v>PHP</v>
      </c>
      <c r="E2480" s="9" t="str">
        <f>IFERROR(__xludf.DUMMYFUNCTION("""COMPUTED_VALUE"""),"Java")</f>
        <v>Java</v>
      </c>
      <c r="F2480" s="9" t="str">
        <f>IFERROR(__xludf.DUMMYFUNCTION("""COMPUTED_VALUE"""),"Python")</f>
        <v>Python</v>
      </c>
      <c r="G2480" s="9" t="str">
        <f>IFERROR(__xludf.DUMMYFUNCTION("""COMPUTED_VALUE"""),"C#")</f>
        <v>C#</v>
      </c>
      <c r="H2480" s="9" t="str">
        <f>IFERROR(__xludf.DUMMYFUNCTION("""COMPUTED_VALUE"""),"SQL")</f>
        <v>SQL</v>
      </c>
      <c r="I2480" s="9" t="str">
        <f>IFERROR(__xludf.DUMMYFUNCTION("""COMPUTED_VALUE"""),"Bash/Shell/PowerShell")</f>
        <v>Bash/Shell/PowerShell</v>
      </c>
      <c r="J2480" s="9" t="str">
        <f>IFERROR(__xludf.DUMMYFUNCTION("""COMPUTED_VALUE"""),"C")</f>
        <v>C</v>
      </c>
      <c r="K2480" s="9" t="str">
        <f>IFERROR(__xludf.DUMMYFUNCTION("""COMPUTED_VALUE"""),"SQL")</f>
        <v>SQL</v>
      </c>
      <c r="L2480" s="9" t="str">
        <f>IFERROR(__xludf.DUMMYFUNCTION("""COMPUTED_VALUE"""),"Java")</f>
        <v>Java</v>
      </c>
      <c r="M2480" s="9" t="s">
        <v>27</v>
      </c>
    </row>
    <row r="2481" ht="15.75" customHeight="1">
      <c r="A2481" s="7"/>
      <c r="B2481" s="7" t="str">
        <f>IFERROR(__xludf.DUMMYFUNCTION("""COMPUTED_VALUE"""),"HTML/CSS;Java")</f>
        <v>HTML/CSS;Java</v>
      </c>
      <c r="C2481" s="9" t="str">
        <f>IFERROR(__xludf.DUMMYFUNCTION("""COMPUTED_VALUE"""),"TypeScript")</f>
        <v>TypeScript</v>
      </c>
      <c r="D2481" s="9" t="str">
        <f>IFERROR(__xludf.DUMMYFUNCTION("""COMPUTED_VALUE"""),"Python")</f>
        <v>Python</v>
      </c>
      <c r="E2481" s="9" t="str">
        <f>IFERROR(__xludf.DUMMYFUNCTION("""COMPUTED_VALUE"""),"JavaScript")</f>
        <v>JavaScript</v>
      </c>
      <c r="F2481" s="9" t="str">
        <f>IFERROR(__xludf.DUMMYFUNCTION("""COMPUTED_VALUE"""),"SQL")</f>
        <v>SQL</v>
      </c>
      <c r="G2481" s="9" t="str">
        <f>IFERROR(__xludf.DUMMYFUNCTION("""COMPUTED_VALUE"""),"HTML/CSS")</f>
        <v>HTML/CSS</v>
      </c>
      <c r="H2481" s="9" t="str">
        <f>IFERROR(__xludf.DUMMYFUNCTION("""COMPUTED_VALUE"""),"TypeScript")</f>
        <v>TypeScript</v>
      </c>
      <c r="I2481" s="9" t="str">
        <f>IFERROR(__xludf.DUMMYFUNCTION("""COMPUTED_VALUE"""),"HTML/CSS")</f>
        <v>HTML/CSS</v>
      </c>
      <c r="J2481" s="9" t="str">
        <f>IFERROR(__xludf.DUMMYFUNCTION("""COMPUTED_VALUE"""),"C++")</f>
        <v>C++</v>
      </c>
      <c r="K2481" s="9" t="str">
        <f>IFERROR(__xludf.DUMMYFUNCTION("""COMPUTED_VALUE"""),"TypeScript")</f>
        <v>TypeScript</v>
      </c>
      <c r="L2481" s="9" t="str">
        <f>IFERROR(__xludf.DUMMYFUNCTION("""COMPUTED_VALUE"""),"Python")</f>
        <v>Python</v>
      </c>
      <c r="M2481" s="9" t="s">
        <v>33</v>
      </c>
    </row>
    <row r="2482" ht="15.75" customHeight="1">
      <c r="A2482" s="7"/>
      <c r="B2482" s="7" t="str">
        <f>IFERROR(__xludf.DUMMYFUNCTION("""COMPUTED_VALUE"""),"Bash/Shell/PowerShell;C#;HTML/CSS;JavaScript;PHP;SQL")</f>
        <v>Bash/Shell/PowerShell;C#;HTML/CSS;JavaScript;PHP;SQL</v>
      </c>
      <c r="C2482" s="9" t="str">
        <f>IFERROR(__xludf.DUMMYFUNCTION("""COMPUTED_VALUE"""),"Bash/Shell/PowerShell")</f>
        <v>Bash/Shell/PowerShell</v>
      </c>
      <c r="D2482" s="9" t="str">
        <f>IFERROR(__xludf.DUMMYFUNCTION("""COMPUTED_VALUE"""),"Bash/Shell/PowerShell")</f>
        <v>Bash/Shell/PowerShell</v>
      </c>
      <c r="E2482" s="9" t="str">
        <f>IFERROR(__xludf.DUMMYFUNCTION("""COMPUTED_VALUE"""),"SQL")</f>
        <v>SQL</v>
      </c>
      <c r="F2482" s="9" t="str">
        <f>IFERROR(__xludf.DUMMYFUNCTION("""COMPUTED_VALUE"""),"HTML/CSS")</f>
        <v>HTML/CSS</v>
      </c>
      <c r="G2482" s="9" t="str">
        <f>IFERROR(__xludf.DUMMYFUNCTION("""COMPUTED_VALUE"""),"JavaScript")</f>
        <v>JavaScript</v>
      </c>
      <c r="H2482" s="9" t="str">
        <f>IFERROR(__xludf.DUMMYFUNCTION("""COMPUTED_VALUE"""),"WebAssembly")</f>
        <v>WebAssembly</v>
      </c>
      <c r="I2482" s="9" t="str">
        <f>IFERROR(__xludf.DUMMYFUNCTION("""COMPUTED_VALUE"""),"JavaScript")</f>
        <v>JavaScript</v>
      </c>
      <c r="J2482" s="9" t="str">
        <f>IFERROR(__xludf.DUMMYFUNCTION("""COMPUTED_VALUE"""),"C#")</f>
        <v>C#</v>
      </c>
      <c r="K2482" s="9" t="str">
        <f>IFERROR(__xludf.DUMMYFUNCTION("""COMPUTED_VALUE"""),"Java")</f>
        <v>Java</v>
      </c>
      <c r="L2482" s="9" t="str">
        <f>IFERROR(__xludf.DUMMYFUNCTION("""COMPUTED_VALUE"""),"SQL")</f>
        <v>SQL</v>
      </c>
      <c r="M2482" s="9" t="s">
        <v>30</v>
      </c>
    </row>
    <row r="2483" ht="15.75" customHeight="1">
      <c r="A2483" s="7"/>
      <c r="B2483" s="7" t="str">
        <f>IFERROR(__xludf.DUMMYFUNCTION("""COMPUTED_VALUE"""),"Bash/Shell/PowerShell;C;C++;C#;F#;Go;HTML/CSS;Java;JavaScript;Objective-C;PHP;Python;Ruby;SQL;Swift;VBA;Other(s):")</f>
        <v>Bash/Shell/PowerShell;C;C++;C#;F#;Go;HTML/CSS;Java;JavaScript;Objective-C;PHP;Python;Ruby;SQL;Swift;VBA;Other(s):</v>
      </c>
      <c r="C2483" s="9" t="str">
        <f>IFERROR(__xludf.DUMMYFUNCTION("""COMPUTED_VALUE"""),"Python")</f>
        <v>Python</v>
      </c>
      <c r="D2483" s="9" t="str">
        <f>IFERROR(__xludf.DUMMYFUNCTION("""COMPUTED_VALUE"""),"HTML/CSS")</f>
        <v>HTML/CSS</v>
      </c>
      <c r="E2483" s="9" t="str">
        <f>IFERROR(__xludf.DUMMYFUNCTION("""COMPUTED_VALUE"""),"Bash/Shell/PowerShell")</f>
        <v>Bash/Shell/PowerShell</v>
      </c>
      <c r="F2483" s="9" t="str">
        <f>IFERROR(__xludf.DUMMYFUNCTION("""COMPUTED_VALUE"""),"JavaScript")</f>
        <v>JavaScript</v>
      </c>
      <c r="G2483" s="9" t="str">
        <f>IFERROR(__xludf.DUMMYFUNCTION("""COMPUTED_VALUE"""),"Objective-C")</f>
        <v>Objective-C</v>
      </c>
      <c r="H2483" s="9" t="str">
        <f>IFERROR(__xludf.DUMMYFUNCTION("""COMPUTED_VALUE"""),"Python")</f>
        <v>Python</v>
      </c>
      <c r="I2483" s="9" t="str">
        <f>IFERROR(__xludf.DUMMYFUNCTION("""COMPUTED_VALUE"""),"TypeScript")</f>
        <v>TypeScript</v>
      </c>
      <c r="J2483" s="9" t="str">
        <f>IFERROR(__xludf.DUMMYFUNCTION("""COMPUTED_VALUE"""),"HTML/CSS")</f>
        <v>HTML/CSS</v>
      </c>
      <c r="K2483" s="9" t="str">
        <f>IFERROR(__xludf.DUMMYFUNCTION("""COMPUTED_VALUE"""),"JavaScript")</f>
        <v>JavaScript</v>
      </c>
      <c r="L2483" s="9" t="str">
        <f>IFERROR(__xludf.DUMMYFUNCTION("""COMPUTED_VALUE"""),"C")</f>
        <v>C</v>
      </c>
      <c r="M2483" s="9" t="s">
        <v>22</v>
      </c>
    </row>
    <row r="2484" ht="15.75" customHeight="1">
      <c r="A2484" s="7"/>
      <c r="B2484" s="7" t="str">
        <f>IFERROR(__xludf.DUMMYFUNCTION("""COMPUTED_VALUE"""),"Assembly;C;C++;C#;HTML/CSS;JavaScript;PHP;SQL")</f>
        <v>Assembly;C;C++;C#;HTML/CSS;JavaScript;PHP;SQL</v>
      </c>
      <c r="C2484" s="9" t="str">
        <f>IFERROR(__xludf.DUMMYFUNCTION("""COMPUTED_VALUE"""),"Other(s):")</f>
        <v>Other(s):</v>
      </c>
      <c r="D2484" s="9" t="str">
        <f>IFERROR(__xludf.DUMMYFUNCTION("""COMPUTED_VALUE"""),"Java")</f>
        <v>Java</v>
      </c>
      <c r="E2484" s="9" t="str">
        <f>IFERROR(__xludf.DUMMYFUNCTION("""COMPUTED_VALUE"""),"C++")</f>
        <v>C++</v>
      </c>
      <c r="F2484" s="9" t="str">
        <f>IFERROR(__xludf.DUMMYFUNCTION("""COMPUTED_VALUE"""),"PHP")</f>
        <v>PHP</v>
      </c>
      <c r="G2484" s="9" t="str">
        <f>IFERROR(__xludf.DUMMYFUNCTION("""COMPUTED_VALUE"""),"PHP")</f>
        <v>PHP</v>
      </c>
      <c r="H2484" s="9" t="str">
        <f>IFERROR(__xludf.DUMMYFUNCTION("""COMPUTED_VALUE"""),"HTML/CSS")</f>
        <v>HTML/CSS</v>
      </c>
      <c r="I2484" s="9" t="str">
        <f>IFERROR(__xludf.DUMMYFUNCTION("""COMPUTED_VALUE"""),"Bash/Shell/PowerShell")</f>
        <v>Bash/Shell/PowerShell</v>
      </c>
      <c r="J2484" s="9" t="str">
        <f>IFERROR(__xludf.DUMMYFUNCTION("""COMPUTED_VALUE"""),"Java")</f>
        <v>Java</v>
      </c>
      <c r="K2484" s="9" t="str">
        <f>IFERROR(__xludf.DUMMYFUNCTION("""COMPUTED_VALUE"""),"Kotlin")</f>
        <v>Kotlin</v>
      </c>
      <c r="L2484" s="9" t="str">
        <f>IFERROR(__xludf.DUMMYFUNCTION("""COMPUTED_VALUE"""),"C++")</f>
        <v>C++</v>
      </c>
      <c r="M2484" s="9" t="s">
        <v>35</v>
      </c>
    </row>
    <row r="2485" ht="15.75" customHeight="1">
      <c r="A2485" s="7"/>
      <c r="B2485" s="7" t="str">
        <f>IFERROR(__xludf.DUMMYFUNCTION("""COMPUTED_VALUE"""),"Bash/Shell/PowerShell;HTML/CSS;JavaScript;TypeScript")</f>
        <v>Bash/Shell/PowerShell;HTML/CSS;JavaScript;TypeScript</v>
      </c>
      <c r="C2485" s="9" t="str">
        <f>IFERROR(__xludf.DUMMYFUNCTION("""COMPUTED_VALUE"""),"C++")</f>
        <v>C++</v>
      </c>
      <c r="D2485" s="9" t="str">
        <f>IFERROR(__xludf.DUMMYFUNCTION("""COMPUTED_VALUE"""),"JavaScript")</f>
        <v>JavaScript</v>
      </c>
      <c r="E2485" s="9" t="str">
        <f>IFERROR(__xludf.DUMMYFUNCTION("""COMPUTED_VALUE"""),"R")</f>
        <v>R</v>
      </c>
      <c r="F2485" s="9" t="str">
        <f>IFERROR(__xludf.DUMMYFUNCTION("""COMPUTED_VALUE"""),"SQL")</f>
        <v>SQL</v>
      </c>
      <c r="G2485" s="9" t="str">
        <f>IFERROR(__xludf.DUMMYFUNCTION("""COMPUTED_VALUE"""),"Python")</f>
        <v>Python</v>
      </c>
      <c r="H2485" s="9" t="str">
        <f>IFERROR(__xludf.DUMMYFUNCTION("""COMPUTED_VALUE"""),"Java")</f>
        <v>Java</v>
      </c>
      <c r="I2485" s="9" t="str">
        <f>IFERROR(__xludf.DUMMYFUNCTION("""COMPUTED_VALUE"""),"C")</f>
        <v>C</v>
      </c>
      <c r="J2485" s="9" t="str">
        <f>IFERROR(__xludf.DUMMYFUNCTION("""COMPUTED_VALUE"""),"JavaScript")</f>
        <v>JavaScript</v>
      </c>
      <c r="K2485" s="9" t="str">
        <f>IFERROR(__xludf.DUMMYFUNCTION("""COMPUTED_VALUE"""),"SQL")</f>
        <v>SQL</v>
      </c>
      <c r="L2485" s="9" t="str">
        <f>IFERROR(__xludf.DUMMYFUNCTION("""COMPUTED_VALUE"""),"HTML/CSS")</f>
        <v>HTML/CSS</v>
      </c>
      <c r="M2485" s="9" t="s">
        <v>23</v>
      </c>
    </row>
    <row r="2486" ht="15.75" customHeight="1">
      <c r="A2486" s="7"/>
      <c r="B2486" s="7" t="str">
        <f>IFERROR(__xludf.DUMMYFUNCTION("""COMPUTED_VALUE"""),"JavaScript;Objective-C;PHP;Swift;TypeScript;Other(s):")</f>
        <v>JavaScript;Objective-C;PHP;Swift;TypeScript;Other(s):</v>
      </c>
      <c r="C2486" s="9" t="str">
        <f>IFERROR(__xludf.DUMMYFUNCTION("""COMPUTED_VALUE"""),"Rust")</f>
        <v>Rust</v>
      </c>
      <c r="D2486" s="9" t="str">
        <f>IFERROR(__xludf.DUMMYFUNCTION("""COMPUTED_VALUE"""),"Python")</f>
        <v>Python</v>
      </c>
      <c r="E2486" s="9" t="str">
        <f>IFERROR(__xludf.DUMMYFUNCTION("""COMPUTED_VALUE"""),"VBA")</f>
        <v>VBA</v>
      </c>
      <c r="F2486" s="9" t="str">
        <f>IFERROR(__xludf.DUMMYFUNCTION("""COMPUTED_VALUE"""),"PHP")</f>
        <v>PHP</v>
      </c>
      <c r="G2486" s="9" t="str">
        <f>IFERROR(__xludf.DUMMYFUNCTION("""COMPUTED_VALUE"""),"SQL")</f>
        <v>SQL</v>
      </c>
      <c r="H2486" s="9" t="str">
        <f>IFERROR(__xludf.DUMMYFUNCTION("""COMPUTED_VALUE"""),"JavaScript")</f>
        <v>JavaScript</v>
      </c>
      <c r="I2486" s="9" t="str">
        <f>IFERROR(__xludf.DUMMYFUNCTION("""COMPUTED_VALUE"""),"Other(s):")</f>
        <v>Other(s):</v>
      </c>
      <c r="J2486" s="9" t="str">
        <f>IFERROR(__xludf.DUMMYFUNCTION("""COMPUTED_VALUE"""),"R")</f>
        <v>R</v>
      </c>
      <c r="K2486" s="9" t="str">
        <f>IFERROR(__xludf.DUMMYFUNCTION("""COMPUTED_VALUE"""),"JavaScript")</f>
        <v>JavaScript</v>
      </c>
      <c r="L2486" s="9" t="str">
        <f>IFERROR(__xludf.DUMMYFUNCTION("""COMPUTED_VALUE"""),"Java")</f>
        <v>Java</v>
      </c>
      <c r="M2486" s="9" t="s">
        <v>32</v>
      </c>
    </row>
    <row r="2487" ht="15.75" customHeight="1">
      <c r="A2487" s="7"/>
      <c r="B2487" s="7" t="str">
        <f>IFERROR(__xludf.DUMMYFUNCTION("""COMPUTED_VALUE"""),"Bash/Shell/PowerShell;C;C++;HTML/CSS;JavaScript;Python;TypeScript")</f>
        <v>Bash/Shell/PowerShell;C;C++;HTML/CSS;JavaScript;Python;TypeScript</v>
      </c>
      <c r="C2487" s="9" t="str">
        <f>IFERROR(__xludf.DUMMYFUNCTION("""COMPUTED_VALUE"""),"HTML/CSS")</f>
        <v>HTML/CSS</v>
      </c>
      <c r="D2487" s="9" t="str">
        <f>IFERROR(__xludf.DUMMYFUNCTION("""COMPUTED_VALUE"""),"Swift")</f>
        <v>Swift</v>
      </c>
      <c r="E2487" s="9" t="str">
        <f>IFERROR(__xludf.DUMMYFUNCTION("""COMPUTED_VALUE"""),"HTML/CSS")</f>
        <v>HTML/CSS</v>
      </c>
      <c r="F2487" s="9" t="str">
        <f>IFERROR(__xludf.DUMMYFUNCTION("""COMPUTED_VALUE"""),"SQL")</f>
        <v>SQL</v>
      </c>
      <c r="G2487" s="9" t="str">
        <f>IFERROR(__xludf.DUMMYFUNCTION("""COMPUTED_VALUE"""),"TypeScript")</f>
        <v>TypeScript</v>
      </c>
      <c r="H2487" s="9" t="str">
        <f>IFERROR(__xludf.DUMMYFUNCTION("""COMPUTED_VALUE"""),"Java")</f>
        <v>Java</v>
      </c>
      <c r="I2487" s="9" t="str">
        <f>IFERROR(__xludf.DUMMYFUNCTION("""COMPUTED_VALUE"""),"C++")</f>
        <v>C++</v>
      </c>
      <c r="J2487" s="9" t="str">
        <f>IFERROR(__xludf.DUMMYFUNCTION("""COMPUTED_VALUE"""),"SQL")</f>
        <v>SQL</v>
      </c>
      <c r="K2487" s="9" t="str">
        <f>IFERROR(__xludf.DUMMYFUNCTION("""COMPUTED_VALUE"""),"C#")</f>
        <v>C#</v>
      </c>
      <c r="L2487" s="9" t="str">
        <f>IFERROR(__xludf.DUMMYFUNCTION("""COMPUTED_VALUE"""),"Python")</f>
        <v>Python</v>
      </c>
      <c r="M2487" s="9" t="s">
        <v>24</v>
      </c>
    </row>
    <row r="2488" ht="15.75" customHeight="1">
      <c r="A2488" s="7"/>
      <c r="B2488" s="7" t="str">
        <f>IFERROR(__xludf.DUMMYFUNCTION("""COMPUTED_VALUE"""),"Assembly;Bash/Shell/PowerShell;C;C++")</f>
        <v>Assembly;Bash/Shell/PowerShell;C;C++</v>
      </c>
      <c r="C2488" s="9" t="str">
        <f>IFERROR(__xludf.DUMMYFUNCTION("""COMPUTED_VALUE"""),"JavaScript")</f>
        <v>JavaScript</v>
      </c>
      <c r="D2488" s="9" t="str">
        <f>IFERROR(__xludf.DUMMYFUNCTION("""COMPUTED_VALUE"""),"TypeScript")</f>
        <v>TypeScript</v>
      </c>
      <c r="E2488" s="9" t="str">
        <f>IFERROR(__xludf.DUMMYFUNCTION("""COMPUTED_VALUE"""),"Java")</f>
        <v>Java</v>
      </c>
      <c r="F2488" s="9" t="str">
        <f>IFERROR(__xludf.DUMMYFUNCTION("""COMPUTED_VALUE"""),"HTML/CSS")</f>
        <v>HTML/CSS</v>
      </c>
      <c r="G2488" s="9" t="str">
        <f>IFERROR(__xludf.DUMMYFUNCTION("""COMPUTED_VALUE"""),"Assembly")</f>
        <v>Assembly</v>
      </c>
      <c r="H2488" s="9" t="str">
        <f>IFERROR(__xludf.DUMMYFUNCTION("""COMPUTED_VALUE"""),"JavaScript")</f>
        <v>JavaScript</v>
      </c>
      <c r="I2488" s="9" t="str">
        <f>IFERROR(__xludf.DUMMYFUNCTION("""COMPUTED_VALUE"""),"C#")</f>
        <v>C#</v>
      </c>
      <c r="J2488" s="9" t="str">
        <f>IFERROR(__xludf.DUMMYFUNCTION("""COMPUTED_VALUE"""),"HTML/CSS")</f>
        <v>HTML/CSS</v>
      </c>
      <c r="K2488" s="9" t="str">
        <f>IFERROR(__xludf.DUMMYFUNCTION("""COMPUTED_VALUE"""),"HTML/CSS")</f>
        <v>HTML/CSS</v>
      </c>
      <c r="L2488" s="9" t="str">
        <f>IFERROR(__xludf.DUMMYFUNCTION("""COMPUTED_VALUE"""),"C")</f>
        <v>C</v>
      </c>
      <c r="M2488" s="9" t="s">
        <v>21</v>
      </c>
    </row>
    <row r="2489" ht="15.75" customHeight="1">
      <c r="A2489" s="7"/>
      <c r="B2489" s="7" t="str">
        <f>IFERROR(__xludf.DUMMYFUNCTION("""COMPUTED_VALUE"""),"Swift;TypeScript")</f>
        <v>Swift;TypeScript</v>
      </c>
      <c r="C2489" s="9" t="str">
        <f>IFERROR(__xludf.DUMMYFUNCTION("""COMPUTED_VALUE"""),"Python")</f>
        <v>Python</v>
      </c>
      <c r="D2489" s="9" t="str">
        <f>IFERROR(__xludf.DUMMYFUNCTION("""COMPUTED_VALUE"""),"Bash/Shell/PowerShell")</f>
        <v>Bash/Shell/PowerShell</v>
      </c>
      <c r="E2489" s="9" t="str">
        <f>IFERROR(__xludf.DUMMYFUNCTION("""COMPUTED_VALUE"""),"JavaScript")</f>
        <v>JavaScript</v>
      </c>
      <c r="F2489" s="9" t="str">
        <f>IFERROR(__xludf.DUMMYFUNCTION("""COMPUTED_VALUE"""),"JavaScript")</f>
        <v>JavaScript</v>
      </c>
      <c r="G2489" s="9" t="str">
        <f>IFERROR(__xludf.DUMMYFUNCTION("""COMPUTED_VALUE"""),"Bash/Shell/PowerShell")</f>
        <v>Bash/Shell/PowerShell</v>
      </c>
      <c r="H2489" s="9" t="str">
        <f>IFERROR(__xludf.DUMMYFUNCTION("""COMPUTED_VALUE"""),"Objective-C")</f>
        <v>Objective-C</v>
      </c>
      <c r="I2489" s="9" t="str">
        <f>IFERROR(__xludf.DUMMYFUNCTION("""COMPUTED_VALUE"""),"HTML/CSS")</f>
        <v>HTML/CSS</v>
      </c>
      <c r="J2489" s="9" t="str">
        <f>IFERROR(__xludf.DUMMYFUNCTION("""COMPUTED_VALUE"""),"Java")</f>
        <v>Java</v>
      </c>
      <c r="K2489" s="9" t="str">
        <f>IFERROR(__xludf.DUMMYFUNCTION("""COMPUTED_VALUE"""),"Java")</f>
        <v>Java</v>
      </c>
      <c r="L2489" s="9" t="str">
        <f>IFERROR(__xludf.DUMMYFUNCTION("""COMPUTED_VALUE"""),"Dart")</f>
        <v>Dart</v>
      </c>
      <c r="M2489" s="9" t="s">
        <v>22</v>
      </c>
    </row>
    <row r="2490" ht="15.75" customHeight="1">
      <c r="A2490" s="7"/>
      <c r="B2490" s="7" t="str">
        <f>IFERROR(__xludf.DUMMYFUNCTION("""COMPUTED_VALUE"""),"HTML/CSS;JavaScript;PHP;SQL")</f>
        <v>HTML/CSS;JavaScript;PHP;SQL</v>
      </c>
      <c r="C2490" s="9" t="str">
        <f>IFERROR(__xludf.DUMMYFUNCTION("""COMPUTED_VALUE"""),"Ruby")</f>
        <v>Ruby</v>
      </c>
      <c r="D2490" s="9" t="str">
        <f>IFERROR(__xludf.DUMMYFUNCTION("""COMPUTED_VALUE"""),"C")</f>
        <v>C</v>
      </c>
      <c r="E2490" s="9" t="str">
        <f>IFERROR(__xludf.DUMMYFUNCTION("""COMPUTED_VALUE"""),"PHP")</f>
        <v>PHP</v>
      </c>
      <c r="F2490" s="9" t="str">
        <f>IFERROR(__xludf.DUMMYFUNCTION("""COMPUTED_VALUE"""),"TypeScript")</f>
        <v>TypeScript</v>
      </c>
      <c r="G2490" s="9" t="str">
        <f>IFERROR(__xludf.DUMMYFUNCTION("""COMPUTED_VALUE"""),"C")</f>
        <v>C</v>
      </c>
      <c r="H2490" s="9" t="str">
        <f>IFERROR(__xludf.DUMMYFUNCTION("""COMPUTED_VALUE"""),"TypeScript")</f>
        <v>TypeScript</v>
      </c>
      <c r="I2490" s="9" t="str">
        <f>IFERROR(__xludf.DUMMYFUNCTION("""COMPUTED_VALUE"""),"Java")</f>
        <v>Java</v>
      </c>
      <c r="J2490" s="9" t="str">
        <f>IFERROR(__xludf.DUMMYFUNCTION("""COMPUTED_VALUE"""),"JavaScript")</f>
        <v>JavaScript</v>
      </c>
      <c r="K2490" s="9" t="str">
        <f>IFERROR(__xludf.DUMMYFUNCTION("""COMPUTED_VALUE"""),"JavaScript")</f>
        <v>JavaScript</v>
      </c>
      <c r="L2490" s="9" t="str">
        <f>IFERROR(__xludf.DUMMYFUNCTION("""COMPUTED_VALUE"""),"JavaScript")</f>
        <v>JavaScript</v>
      </c>
      <c r="M2490" s="9" t="s">
        <v>31</v>
      </c>
    </row>
    <row r="2491" ht="15.75" customHeight="1">
      <c r="A2491" s="7"/>
      <c r="B2491" s="7" t="str">
        <f>IFERROR(__xludf.DUMMYFUNCTION("""COMPUTED_VALUE"""),"JavaScript;Python")</f>
        <v>JavaScript;Python</v>
      </c>
      <c r="C2491" s="9" t="str">
        <f>IFERROR(__xludf.DUMMYFUNCTION("""COMPUTED_VALUE"""),"TypeScript")</f>
        <v>TypeScript</v>
      </c>
      <c r="D2491" s="9" t="str">
        <f>IFERROR(__xludf.DUMMYFUNCTION("""COMPUTED_VALUE"""),"Go")</f>
        <v>Go</v>
      </c>
      <c r="E2491" s="9" t="str">
        <f>IFERROR(__xludf.DUMMYFUNCTION("""COMPUTED_VALUE"""),"TypeScript")</f>
        <v>TypeScript</v>
      </c>
      <c r="F2491" s="9" t="str">
        <f>IFERROR(__xludf.DUMMYFUNCTION("""COMPUTED_VALUE"""),"Python")</f>
        <v>Python</v>
      </c>
      <c r="G2491" s="9" t="str">
        <f>IFERROR(__xludf.DUMMYFUNCTION("""COMPUTED_VALUE"""),"C++")</f>
        <v>C++</v>
      </c>
      <c r="H2491" s="9" t="str">
        <f>IFERROR(__xludf.DUMMYFUNCTION("""COMPUTED_VALUE"""),"Bash/Shell/PowerShell")</f>
        <v>Bash/Shell/PowerShell</v>
      </c>
      <c r="I2491" s="9" t="str">
        <f>IFERROR(__xludf.DUMMYFUNCTION("""COMPUTED_VALUE"""),"JavaScript")</f>
        <v>JavaScript</v>
      </c>
      <c r="J2491" s="9" t="str">
        <f>IFERROR(__xludf.DUMMYFUNCTION("""COMPUTED_VALUE"""),"SQL")</f>
        <v>SQL</v>
      </c>
      <c r="K2491" s="9" t="str">
        <f>IFERROR(__xludf.DUMMYFUNCTION("""COMPUTED_VALUE"""),"PHP")</f>
        <v>PHP</v>
      </c>
      <c r="L2491" s="9" t="str">
        <f>IFERROR(__xludf.DUMMYFUNCTION("""COMPUTED_VALUE"""),"Python")</f>
        <v>Python</v>
      </c>
      <c r="M2491" s="9" t="s">
        <v>33</v>
      </c>
    </row>
    <row r="2492" ht="15.75" customHeight="1">
      <c r="A2492" s="7"/>
      <c r="B2492" s="7" t="str">
        <f>IFERROR(__xludf.DUMMYFUNCTION("""COMPUTED_VALUE"""),"Bash/Shell/PowerShell;HTML/CSS;JavaScript;Python;SQL")</f>
        <v>Bash/Shell/PowerShell;HTML/CSS;JavaScript;Python;SQL</v>
      </c>
      <c r="C2492" s="9" t="str">
        <f>IFERROR(__xludf.DUMMYFUNCTION("""COMPUTED_VALUE"""),"C++")</f>
        <v>C++</v>
      </c>
      <c r="D2492" s="9" t="str">
        <f>IFERROR(__xludf.DUMMYFUNCTION("""COMPUTED_VALUE"""),"Java")</f>
        <v>Java</v>
      </c>
      <c r="E2492" s="9" t="str">
        <f>IFERROR(__xludf.DUMMYFUNCTION("""COMPUTED_VALUE"""),"C#")</f>
        <v>C#</v>
      </c>
      <c r="F2492" s="9" t="str">
        <f>IFERROR(__xludf.DUMMYFUNCTION("""COMPUTED_VALUE"""),"VBA")</f>
        <v>VBA</v>
      </c>
      <c r="G2492" s="9" t="str">
        <f>IFERROR(__xludf.DUMMYFUNCTION("""COMPUTED_VALUE"""),"HTML/CSS")</f>
        <v>HTML/CSS</v>
      </c>
      <c r="H2492" s="9" t="str">
        <f>IFERROR(__xludf.DUMMYFUNCTION("""COMPUTED_VALUE"""),"Go")</f>
        <v>Go</v>
      </c>
      <c r="I2492" s="9" t="str">
        <f>IFERROR(__xludf.DUMMYFUNCTION("""COMPUTED_VALUE"""),"PHP")</f>
        <v>PHP</v>
      </c>
      <c r="J2492" s="9" t="str">
        <f>IFERROR(__xludf.DUMMYFUNCTION("""COMPUTED_VALUE"""),"TypeScript")</f>
        <v>TypeScript</v>
      </c>
      <c r="K2492" s="9" t="str">
        <f>IFERROR(__xludf.DUMMYFUNCTION("""COMPUTED_VALUE"""),"SQL")</f>
        <v>SQL</v>
      </c>
      <c r="L2492" s="9" t="str">
        <f>IFERROR(__xludf.DUMMYFUNCTION("""COMPUTED_VALUE"""),"C#")</f>
        <v>C#</v>
      </c>
      <c r="M2492" s="9" t="s">
        <v>23</v>
      </c>
    </row>
    <row r="2493" ht="15.75" customHeight="1">
      <c r="A2493" s="7"/>
      <c r="B2493" s="7" t="str">
        <f>IFERROR(__xludf.DUMMYFUNCTION("""COMPUTED_VALUE"""),"Assembly;C;C#;HTML/CSS;Java;JavaScript;PHP;Python;SQL;VBA")</f>
        <v>Assembly;C;C#;HTML/CSS;Java;JavaScript;PHP;Python;SQL;VBA</v>
      </c>
      <c r="C2493" s="9" t="str">
        <f>IFERROR(__xludf.DUMMYFUNCTION("""COMPUTED_VALUE"""),"HTML/CSS")</f>
        <v>HTML/CSS</v>
      </c>
      <c r="D2493" s="9" t="str">
        <f>IFERROR(__xludf.DUMMYFUNCTION("""COMPUTED_VALUE"""),"Python")</f>
        <v>Python</v>
      </c>
      <c r="E2493" s="9" t="str">
        <f>IFERROR(__xludf.DUMMYFUNCTION("""COMPUTED_VALUE"""),"HTML/CSS")</f>
        <v>HTML/CSS</v>
      </c>
      <c r="F2493" s="9" t="str">
        <f>IFERROR(__xludf.DUMMYFUNCTION("""COMPUTED_VALUE"""),"C")</f>
        <v>C</v>
      </c>
      <c r="G2493" s="9" t="str">
        <f>IFERROR(__xludf.DUMMYFUNCTION("""COMPUTED_VALUE"""),"Java")</f>
        <v>Java</v>
      </c>
      <c r="H2493" s="9" t="str">
        <f>IFERROR(__xludf.DUMMYFUNCTION("""COMPUTED_VALUE"""),"HTML/CSS")</f>
        <v>HTML/CSS</v>
      </c>
      <c r="I2493" s="9" t="str">
        <f>IFERROR(__xludf.DUMMYFUNCTION("""COMPUTED_VALUE"""),"SQL")</f>
        <v>SQL</v>
      </c>
      <c r="J2493" s="9" t="str">
        <f>IFERROR(__xludf.DUMMYFUNCTION("""COMPUTED_VALUE"""),"C")</f>
        <v>C</v>
      </c>
      <c r="K2493" s="9" t="str">
        <f>IFERROR(__xludf.DUMMYFUNCTION("""COMPUTED_VALUE"""),"C#")</f>
        <v>C#</v>
      </c>
      <c r="L2493" s="9" t="str">
        <f>IFERROR(__xludf.DUMMYFUNCTION("""COMPUTED_VALUE"""),"HTML/CSS")</f>
        <v>HTML/CSS</v>
      </c>
      <c r="M2493" s="9" t="s">
        <v>24</v>
      </c>
    </row>
    <row r="2494" ht="15.75" customHeight="1">
      <c r="A2494" s="7"/>
      <c r="B2494" s="7" t="str">
        <f>IFERROR(__xludf.DUMMYFUNCTION("""COMPUTED_VALUE"""),"HTML/CSS;PHP;Python;SQL")</f>
        <v>HTML/CSS;PHP;Python;SQL</v>
      </c>
      <c r="C2494" s="9" t="str">
        <f>IFERROR(__xludf.DUMMYFUNCTION("""COMPUTED_VALUE"""),"Java")</f>
        <v>Java</v>
      </c>
      <c r="D2494" s="9" t="str">
        <f>IFERROR(__xludf.DUMMYFUNCTION("""COMPUTED_VALUE"""),"Scala")</f>
        <v>Scala</v>
      </c>
      <c r="E2494" s="9" t="str">
        <f>IFERROR(__xludf.DUMMYFUNCTION("""COMPUTED_VALUE"""),"JavaScript")</f>
        <v>JavaScript</v>
      </c>
      <c r="F2494" s="9" t="str">
        <f>IFERROR(__xludf.DUMMYFUNCTION("""COMPUTED_VALUE"""),"HTML/CSS")</f>
        <v>HTML/CSS</v>
      </c>
      <c r="G2494" s="9" t="str">
        <f>IFERROR(__xludf.DUMMYFUNCTION("""COMPUTED_VALUE"""),"JavaScript")</f>
        <v>JavaScript</v>
      </c>
      <c r="H2494" s="9" t="str">
        <f>IFERROR(__xludf.DUMMYFUNCTION("""COMPUTED_VALUE"""),"JavaScript")</f>
        <v>JavaScript</v>
      </c>
      <c r="I2494" s="9" t="str">
        <f>IFERROR(__xludf.DUMMYFUNCTION("""COMPUTED_VALUE"""),"VBA")</f>
        <v>VBA</v>
      </c>
      <c r="J2494" s="9" t="str">
        <f>IFERROR(__xludf.DUMMYFUNCTION("""COMPUTED_VALUE"""),"HTML/CSS")</f>
        <v>HTML/CSS</v>
      </c>
      <c r="K2494" s="9" t="str">
        <f>IFERROR(__xludf.DUMMYFUNCTION("""COMPUTED_VALUE"""),"Dart")</f>
        <v>Dart</v>
      </c>
      <c r="L2494" s="9" t="str">
        <f>IFERROR(__xludf.DUMMYFUNCTION("""COMPUTED_VALUE"""),"JavaScript")</f>
        <v>JavaScript</v>
      </c>
      <c r="M2494" s="9" t="s">
        <v>20</v>
      </c>
    </row>
    <row r="2495" ht="15.75" customHeight="1">
      <c r="A2495" s="7"/>
      <c r="B2495" s="7" t="str">
        <f>IFERROR(__xludf.DUMMYFUNCTION("""COMPUTED_VALUE"""),"JavaScript;Ruby;SQL")</f>
        <v>JavaScript;Ruby;SQL</v>
      </c>
      <c r="C2495" s="9" t="str">
        <f>IFERROR(__xludf.DUMMYFUNCTION("""COMPUTED_VALUE"""),"JavaScript")</f>
        <v>JavaScript</v>
      </c>
      <c r="D2495" s="9" t="str">
        <f>IFERROR(__xludf.DUMMYFUNCTION("""COMPUTED_VALUE"""),"SQL")</f>
        <v>SQL</v>
      </c>
      <c r="E2495" s="9" t="str">
        <f>IFERROR(__xludf.DUMMYFUNCTION("""COMPUTED_VALUE"""),"SQL")</f>
        <v>SQL</v>
      </c>
      <c r="F2495" s="9" t="str">
        <f>IFERROR(__xludf.DUMMYFUNCTION("""COMPUTED_VALUE"""),"JavaScript")</f>
        <v>JavaScript</v>
      </c>
      <c r="G2495" s="9" t="str">
        <f>IFERROR(__xludf.DUMMYFUNCTION("""COMPUTED_VALUE"""),"Python")</f>
        <v>Python</v>
      </c>
      <c r="H2495" s="9" t="str">
        <f>IFERROR(__xludf.DUMMYFUNCTION("""COMPUTED_VALUE"""),"Python")</f>
        <v>Python</v>
      </c>
      <c r="I2495" s="9" t="str">
        <f>IFERROR(__xludf.DUMMYFUNCTION("""COMPUTED_VALUE"""),"Bash/Shell/PowerShell")</f>
        <v>Bash/Shell/PowerShell</v>
      </c>
      <c r="J2495" s="9" t="str">
        <f>IFERROR(__xludf.DUMMYFUNCTION("""COMPUTED_VALUE"""),"JavaScript")</f>
        <v>JavaScript</v>
      </c>
      <c r="K2495" s="9" t="str">
        <f>IFERROR(__xludf.DUMMYFUNCTION("""COMPUTED_VALUE"""),"HTML/CSS")</f>
        <v>HTML/CSS</v>
      </c>
      <c r="L2495" s="9" t="str">
        <f>IFERROR(__xludf.DUMMYFUNCTION("""COMPUTED_VALUE"""),"PHP")</f>
        <v>PHP</v>
      </c>
      <c r="M2495" s="9" t="s">
        <v>21</v>
      </c>
    </row>
    <row r="2496" ht="15.75" customHeight="1">
      <c r="A2496" s="7"/>
      <c r="B2496" s="7" t="str">
        <f>IFERROR(__xludf.DUMMYFUNCTION("""COMPUTED_VALUE"""),"Bash/Shell/PowerShell;C++;C#;HTML/CSS;JavaScript;PHP;SQL;TypeScript")</f>
        <v>Bash/Shell/PowerShell;C++;C#;HTML/CSS;JavaScript;PHP;SQL;TypeScript</v>
      </c>
      <c r="C2496" s="9" t="str">
        <f>IFERROR(__xludf.DUMMYFUNCTION("""COMPUTED_VALUE"""),"PHP")</f>
        <v>PHP</v>
      </c>
      <c r="D2496" s="9" t="str">
        <f>IFERROR(__xludf.DUMMYFUNCTION("""COMPUTED_VALUE"""),"C#")</f>
        <v>C#</v>
      </c>
      <c r="E2496" s="9" t="str">
        <f>IFERROR(__xludf.DUMMYFUNCTION("""COMPUTED_VALUE"""),"Bash/Shell/PowerShell")</f>
        <v>Bash/Shell/PowerShell</v>
      </c>
      <c r="F2496" s="9" t="str">
        <f>IFERROR(__xludf.DUMMYFUNCTION("""COMPUTED_VALUE"""),"PHP")</f>
        <v>PHP</v>
      </c>
      <c r="G2496" s="9" t="str">
        <f>IFERROR(__xludf.DUMMYFUNCTION("""COMPUTED_VALUE"""),"SQL")</f>
        <v>SQL</v>
      </c>
      <c r="H2496" s="9" t="str">
        <f>IFERROR(__xludf.DUMMYFUNCTION("""COMPUTED_VALUE"""),"Ruby")</f>
        <v>Ruby</v>
      </c>
      <c r="I2496" s="9" t="str">
        <f>IFERROR(__xludf.DUMMYFUNCTION("""COMPUTED_VALUE"""),"C#")</f>
        <v>C#</v>
      </c>
      <c r="J2496" s="9" t="str">
        <f>IFERROR(__xludf.DUMMYFUNCTION("""COMPUTED_VALUE"""),"Bash/Shell/PowerShell")</f>
        <v>Bash/Shell/PowerShell</v>
      </c>
      <c r="K2496" s="9" t="str">
        <f>IFERROR(__xludf.DUMMYFUNCTION("""COMPUTED_VALUE"""),"Java")</f>
        <v>Java</v>
      </c>
      <c r="L2496" s="9" t="str">
        <f>IFERROR(__xludf.DUMMYFUNCTION("""COMPUTED_VALUE"""),"SQL")</f>
        <v>SQL</v>
      </c>
      <c r="M2496" s="9" t="s">
        <v>37</v>
      </c>
    </row>
    <row r="2497" ht="15.75" customHeight="1">
      <c r="A2497" s="7"/>
      <c r="B2497" s="7" t="str">
        <f>IFERROR(__xludf.DUMMYFUNCTION("""COMPUTED_VALUE"""),"Bash/Shell/PowerShell;C#;HTML/CSS;Java;JavaScript;SQL")</f>
        <v>Bash/Shell/PowerShell;C#;HTML/CSS;Java;JavaScript;SQL</v>
      </c>
      <c r="C2497" s="9" t="str">
        <f>IFERROR(__xludf.DUMMYFUNCTION("""COMPUTED_VALUE"""),"Python")</f>
        <v>Python</v>
      </c>
      <c r="D2497" s="9" t="str">
        <f>IFERROR(__xludf.DUMMYFUNCTION("""COMPUTED_VALUE"""),"SQL")</f>
        <v>SQL</v>
      </c>
      <c r="E2497" s="9" t="str">
        <f>IFERROR(__xludf.DUMMYFUNCTION("""COMPUTED_VALUE"""),"HTML/CSS")</f>
        <v>HTML/CSS</v>
      </c>
      <c r="F2497" s="9" t="str">
        <f>IFERROR(__xludf.DUMMYFUNCTION("""COMPUTED_VALUE"""),"Python")</f>
        <v>Python</v>
      </c>
      <c r="G2497" s="9" t="str">
        <f>IFERROR(__xludf.DUMMYFUNCTION("""COMPUTED_VALUE"""),"WebAssembly")</f>
        <v>WebAssembly</v>
      </c>
      <c r="H2497" s="9" t="str">
        <f>IFERROR(__xludf.DUMMYFUNCTION("""COMPUTED_VALUE"""),"SQL")</f>
        <v>SQL</v>
      </c>
      <c r="I2497" s="9" t="str">
        <f>IFERROR(__xludf.DUMMYFUNCTION("""COMPUTED_VALUE"""),"HTML/CSS")</f>
        <v>HTML/CSS</v>
      </c>
      <c r="J2497" s="9" t="str">
        <f>IFERROR(__xludf.DUMMYFUNCTION("""COMPUTED_VALUE"""),"Go")</f>
        <v>Go</v>
      </c>
      <c r="K2497" s="9" t="str">
        <f>IFERROR(__xludf.DUMMYFUNCTION("""COMPUTED_VALUE"""),"JavaScript")</f>
        <v>JavaScript</v>
      </c>
      <c r="L2497" s="9" t="str">
        <f>IFERROR(__xludf.DUMMYFUNCTION("""COMPUTED_VALUE"""),"TypeScript")</f>
        <v>TypeScript</v>
      </c>
      <c r="M2497" s="9" t="s">
        <v>22</v>
      </c>
    </row>
    <row r="2498" ht="15.75" customHeight="1">
      <c r="A2498" s="7"/>
      <c r="B2498" s="7" t="str">
        <f>IFERROR(__xludf.DUMMYFUNCTION("""COMPUTED_VALUE"""),"Bash/Shell/PowerShell;C;C++;C#;Clojure;Go;HTML/CSS;Java;JavaScript;Objective-C;PHP;Python;R;Ruby;Scala;SQL;Other(s):")</f>
        <v>Bash/Shell/PowerShell;C;C++;C#;Clojure;Go;HTML/CSS;Java;JavaScript;Objective-C;PHP;Python;R;Ruby;Scala;SQL;Other(s):</v>
      </c>
      <c r="C2498" s="9" t="str">
        <f>IFERROR(__xludf.DUMMYFUNCTION("""COMPUTED_VALUE"""),"SQL")</f>
        <v>SQL</v>
      </c>
      <c r="D2498" s="9" t="str">
        <f>IFERROR(__xludf.DUMMYFUNCTION("""COMPUTED_VALUE"""),"Go")</f>
        <v>Go</v>
      </c>
      <c r="E2498" s="9" t="str">
        <f>IFERROR(__xludf.DUMMYFUNCTION("""COMPUTED_VALUE"""),"Java")</f>
        <v>Java</v>
      </c>
      <c r="F2498" s="9" t="str">
        <f>IFERROR(__xludf.DUMMYFUNCTION("""COMPUTED_VALUE"""),"SQL")</f>
        <v>SQL</v>
      </c>
      <c r="G2498" s="9" t="str">
        <f>IFERROR(__xludf.DUMMYFUNCTION("""COMPUTED_VALUE"""),"HTML/CSS")</f>
        <v>HTML/CSS</v>
      </c>
      <c r="H2498" s="9" t="str">
        <f>IFERROR(__xludf.DUMMYFUNCTION("""COMPUTED_VALUE"""),"Bash/Shell/PowerShell")</f>
        <v>Bash/Shell/PowerShell</v>
      </c>
      <c r="I2498" s="9" t="str">
        <f>IFERROR(__xludf.DUMMYFUNCTION("""COMPUTED_VALUE"""),"JavaScript")</f>
        <v>JavaScript</v>
      </c>
      <c r="J2498" s="9" t="str">
        <f>IFERROR(__xludf.DUMMYFUNCTION("""COMPUTED_VALUE"""),"HTML/CSS")</f>
        <v>HTML/CSS</v>
      </c>
      <c r="K2498" s="9" t="str">
        <f>IFERROR(__xludf.DUMMYFUNCTION("""COMPUTED_VALUE"""),"Kotlin")</f>
        <v>Kotlin</v>
      </c>
      <c r="L2498" s="9" t="str">
        <f>IFERROR(__xludf.DUMMYFUNCTION("""COMPUTED_VALUE"""),"Bash/Shell/PowerShell")</f>
        <v>Bash/Shell/PowerShell</v>
      </c>
      <c r="M2498" s="9" t="s">
        <v>27</v>
      </c>
    </row>
    <row r="2499" ht="15.75" customHeight="1">
      <c r="A2499" s="7"/>
      <c r="B2499" s="7" t="str">
        <f>IFERROR(__xludf.DUMMYFUNCTION("""COMPUTED_VALUE"""),"HTML/CSS;PHP;SQL")</f>
        <v>HTML/CSS;PHP;SQL</v>
      </c>
      <c r="C2499" s="9" t="str">
        <f>IFERROR(__xludf.DUMMYFUNCTION("""COMPUTED_VALUE"""),"Bash/Shell/PowerShell")</f>
        <v>Bash/Shell/PowerShell</v>
      </c>
      <c r="D2499" s="9" t="str">
        <f>IFERROR(__xludf.DUMMYFUNCTION("""COMPUTED_VALUE"""),"HTML/CSS")</f>
        <v>HTML/CSS</v>
      </c>
      <c r="E2499" s="9" t="str">
        <f>IFERROR(__xludf.DUMMYFUNCTION("""COMPUTED_VALUE"""),"JavaScript")</f>
        <v>JavaScript</v>
      </c>
      <c r="F2499" s="9" t="str">
        <f>IFERROR(__xludf.DUMMYFUNCTION("""COMPUTED_VALUE"""),"C#")</f>
        <v>C#</v>
      </c>
      <c r="G2499" s="9" t="str">
        <f>IFERROR(__xludf.DUMMYFUNCTION("""COMPUTED_VALUE"""),"Java")</f>
        <v>Java</v>
      </c>
      <c r="H2499" s="9" t="str">
        <f>IFERROR(__xludf.DUMMYFUNCTION("""COMPUTED_VALUE"""),"C#")</f>
        <v>C#</v>
      </c>
      <c r="I2499" s="9" t="str">
        <f>IFERROR(__xludf.DUMMYFUNCTION("""COMPUTED_VALUE"""),"PHP")</f>
        <v>PHP</v>
      </c>
      <c r="J2499" s="9" t="str">
        <f>IFERROR(__xludf.DUMMYFUNCTION("""COMPUTED_VALUE"""),"Java")</f>
        <v>Java</v>
      </c>
      <c r="K2499" s="9" t="str">
        <f>IFERROR(__xludf.DUMMYFUNCTION("""COMPUTED_VALUE"""),"Objective-C")</f>
        <v>Objective-C</v>
      </c>
      <c r="L2499" s="9" t="str">
        <f>IFERROR(__xludf.DUMMYFUNCTION("""COMPUTED_VALUE"""),"C")</f>
        <v>C</v>
      </c>
      <c r="M2499" s="9" t="s">
        <v>30</v>
      </c>
    </row>
    <row r="2500" ht="15.75" customHeight="1">
      <c r="A2500" s="7"/>
      <c r="B2500" s="7" t="str">
        <f>IFERROR(__xludf.DUMMYFUNCTION("""COMPUTED_VALUE"""),"Bash/Shell/PowerShell;C++;Go;HTML/CSS;Java;JavaScript;Python;TypeScript")</f>
        <v>Bash/Shell/PowerShell;C++;Go;HTML/CSS;Java;JavaScript;Python;TypeScript</v>
      </c>
      <c r="C2500" s="9" t="str">
        <f>IFERROR(__xludf.DUMMYFUNCTION("""COMPUTED_VALUE"""),"C++")</f>
        <v>C++</v>
      </c>
      <c r="D2500" s="9" t="str">
        <f>IFERROR(__xludf.DUMMYFUNCTION("""COMPUTED_VALUE"""),"Java")</f>
        <v>Java</v>
      </c>
      <c r="E2500" s="9" t="str">
        <f>IFERROR(__xludf.DUMMYFUNCTION("""COMPUTED_VALUE"""),"PHP")</f>
        <v>PHP</v>
      </c>
      <c r="F2500" s="9" t="str">
        <f>IFERROR(__xludf.DUMMYFUNCTION("""COMPUTED_VALUE"""),"F#")</f>
        <v>F#</v>
      </c>
      <c r="G2500" s="9" t="str">
        <f>IFERROR(__xludf.DUMMYFUNCTION("""COMPUTED_VALUE"""),"JavaScript")</f>
        <v>JavaScript</v>
      </c>
      <c r="H2500" s="9" t="str">
        <f>IFERROR(__xludf.DUMMYFUNCTION("""COMPUTED_VALUE"""),"HTML/CSS")</f>
        <v>HTML/CSS</v>
      </c>
      <c r="I2500" s="9" t="str">
        <f>IFERROR(__xludf.DUMMYFUNCTION("""COMPUTED_VALUE"""),"SQL")</f>
        <v>SQL</v>
      </c>
      <c r="J2500" s="9" t="str">
        <f>IFERROR(__xludf.DUMMYFUNCTION("""COMPUTED_VALUE"""),"JavaScript")</f>
        <v>JavaScript</v>
      </c>
      <c r="K2500" s="9" t="str">
        <f>IFERROR(__xludf.DUMMYFUNCTION("""COMPUTED_VALUE"""),"SQL")</f>
        <v>SQL</v>
      </c>
      <c r="L2500" s="9" t="str">
        <f>IFERROR(__xludf.DUMMYFUNCTION("""COMPUTED_VALUE"""),"C++")</f>
        <v>C++</v>
      </c>
      <c r="M2500" s="9" t="s">
        <v>23</v>
      </c>
    </row>
    <row r="2501" ht="15.75" customHeight="1">
      <c r="A2501" s="7"/>
      <c r="B2501" s="7" t="str">
        <f>IFERROR(__xludf.DUMMYFUNCTION("""COMPUTED_VALUE"""),"Bash/Shell/PowerShell;C;C++;HTML/CSS;Java;JavaScript;Python;SQL")</f>
        <v>Bash/Shell/PowerShell;C;C++;HTML/CSS;Java;JavaScript;Python;SQL</v>
      </c>
      <c r="C2501" s="9" t="str">
        <f>IFERROR(__xludf.DUMMYFUNCTION("""COMPUTED_VALUE"""),"Python")</f>
        <v>Python</v>
      </c>
      <c r="D2501" s="9" t="str">
        <f>IFERROR(__xludf.DUMMYFUNCTION("""COMPUTED_VALUE"""),"JavaScript")</f>
        <v>JavaScript</v>
      </c>
      <c r="E2501" s="9" t="str">
        <f>IFERROR(__xludf.DUMMYFUNCTION("""COMPUTED_VALUE"""),"SQL")</f>
        <v>SQL</v>
      </c>
      <c r="F2501" s="9" t="str">
        <f>IFERROR(__xludf.DUMMYFUNCTION("""COMPUTED_VALUE"""),"HTML/CSS")</f>
        <v>HTML/CSS</v>
      </c>
      <c r="G2501" s="9" t="str">
        <f>IFERROR(__xludf.DUMMYFUNCTION("""COMPUTED_VALUE"""),"Objective-C")</f>
        <v>Objective-C</v>
      </c>
      <c r="H2501" s="9" t="str">
        <f>IFERROR(__xludf.DUMMYFUNCTION("""COMPUTED_VALUE"""),"TypeScript")</f>
        <v>TypeScript</v>
      </c>
      <c r="I2501" s="9" t="str">
        <f>IFERROR(__xludf.DUMMYFUNCTION("""COMPUTED_VALUE"""),"TypeScript")</f>
        <v>TypeScript</v>
      </c>
      <c r="J2501" s="9" t="str">
        <f>IFERROR(__xludf.DUMMYFUNCTION("""COMPUTED_VALUE"""),"Objective-C")</f>
        <v>Objective-C</v>
      </c>
      <c r="K2501" s="9" t="str">
        <f>IFERROR(__xludf.DUMMYFUNCTION("""COMPUTED_VALUE"""),"Swift")</f>
        <v>Swift</v>
      </c>
      <c r="L2501" s="9" t="str">
        <f>IFERROR(__xludf.DUMMYFUNCTION("""COMPUTED_VALUE"""),"C#")</f>
        <v>C#</v>
      </c>
      <c r="M2501" s="9" t="s">
        <v>22</v>
      </c>
    </row>
    <row r="2502" ht="15.75" customHeight="1">
      <c r="A2502" s="7"/>
      <c r="B2502" s="7" t="str">
        <f>IFERROR(__xludf.DUMMYFUNCTION("""COMPUTED_VALUE"""),"Bash/Shell/PowerShell;Clojure;HTML/CSS;Java;JavaScript;SQL")</f>
        <v>Bash/Shell/PowerShell;Clojure;HTML/CSS;Java;JavaScript;SQL</v>
      </c>
      <c r="C2502" s="9" t="str">
        <f>IFERROR(__xludf.DUMMYFUNCTION("""COMPUTED_VALUE"""),"Assembly")</f>
        <v>Assembly</v>
      </c>
      <c r="D2502" s="9" t="str">
        <f>IFERROR(__xludf.DUMMYFUNCTION("""COMPUTED_VALUE"""),"Kotlin")</f>
        <v>Kotlin</v>
      </c>
      <c r="E2502" s="9" t="str">
        <f>IFERROR(__xludf.DUMMYFUNCTION("""COMPUTED_VALUE"""),"C")</f>
        <v>C</v>
      </c>
      <c r="F2502" s="9" t="str">
        <f>IFERROR(__xludf.DUMMYFUNCTION("""COMPUTED_VALUE"""),"Java")</f>
        <v>Java</v>
      </c>
      <c r="G2502" s="9" t="str">
        <f>IFERROR(__xludf.DUMMYFUNCTION("""COMPUTED_VALUE"""),"PHP")</f>
        <v>PHP</v>
      </c>
      <c r="H2502" s="9" t="str">
        <f>IFERROR(__xludf.DUMMYFUNCTION("""COMPUTED_VALUE"""),"Bash/Shell/PowerShell")</f>
        <v>Bash/Shell/PowerShell</v>
      </c>
      <c r="I2502" s="9" t="str">
        <f>IFERROR(__xludf.DUMMYFUNCTION("""COMPUTED_VALUE"""),"Bash/Shell/PowerShell")</f>
        <v>Bash/Shell/PowerShell</v>
      </c>
      <c r="J2502" s="9" t="str">
        <f>IFERROR(__xludf.DUMMYFUNCTION("""COMPUTED_VALUE"""),"PHP")</f>
        <v>PHP</v>
      </c>
      <c r="K2502" s="9" t="str">
        <f>IFERROR(__xludf.DUMMYFUNCTION("""COMPUTED_VALUE"""),"TypeScript")</f>
        <v>TypeScript</v>
      </c>
      <c r="L2502" s="9" t="str">
        <f>IFERROR(__xludf.DUMMYFUNCTION("""COMPUTED_VALUE"""),"HTML/CSS")</f>
        <v>HTML/CSS</v>
      </c>
      <c r="M2502" s="9" t="s">
        <v>38</v>
      </c>
    </row>
    <row r="2503" ht="15.75" customHeight="1">
      <c r="A2503" s="7"/>
      <c r="B2503" s="7" t="str">
        <f>IFERROR(__xludf.DUMMYFUNCTION("""COMPUTED_VALUE"""),"Bash/Shell/PowerShell;C++;R;VBA")</f>
        <v>Bash/Shell/PowerShell;C++;R;VBA</v>
      </c>
      <c r="C2503" s="9" t="str">
        <f>IFERROR(__xludf.DUMMYFUNCTION("""COMPUTED_VALUE"""),"C++")</f>
        <v>C++</v>
      </c>
      <c r="D2503" s="9" t="str">
        <f>IFERROR(__xludf.DUMMYFUNCTION("""COMPUTED_VALUE"""),"SQL")</f>
        <v>SQL</v>
      </c>
      <c r="E2503" s="9" t="str">
        <f>IFERROR(__xludf.DUMMYFUNCTION("""COMPUTED_VALUE"""),"C++")</f>
        <v>C++</v>
      </c>
      <c r="F2503" s="9" t="str">
        <f>IFERROR(__xludf.DUMMYFUNCTION("""COMPUTED_VALUE"""),"JavaScript")</f>
        <v>JavaScript</v>
      </c>
      <c r="G2503" s="9" t="str">
        <f>IFERROR(__xludf.DUMMYFUNCTION("""COMPUTED_VALUE"""),"Python")</f>
        <v>Python</v>
      </c>
      <c r="H2503" s="9" t="str">
        <f>IFERROR(__xludf.DUMMYFUNCTION("""COMPUTED_VALUE"""),"HTML/CSS")</f>
        <v>HTML/CSS</v>
      </c>
      <c r="I2503" s="9" t="str">
        <f>IFERROR(__xludf.DUMMYFUNCTION("""COMPUTED_VALUE"""),"C#")</f>
        <v>C#</v>
      </c>
      <c r="J2503" s="9" t="str">
        <f>IFERROR(__xludf.DUMMYFUNCTION("""COMPUTED_VALUE"""),"Python")</f>
        <v>Python</v>
      </c>
      <c r="K2503" s="9" t="str">
        <f>IFERROR(__xludf.DUMMYFUNCTION("""COMPUTED_VALUE"""),"Bash/Shell/PowerShell")</f>
        <v>Bash/Shell/PowerShell</v>
      </c>
      <c r="L2503" s="9" t="str">
        <f>IFERROR(__xludf.DUMMYFUNCTION("""COMPUTED_VALUE"""),"Java")</f>
        <v>Java</v>
      </c>
      <c r="M2503" s="9" t="s">
        <v>23</v>
      </c>
    </row>
    <row r="2504" ht="15.75" customHeight="1">
      <c r="A2504" s="7"/>
      <c r="B2504" s="7" t="str">
        <f>IFERROR(__xludf.DUMMYFUNCTION("""COMPUTED_VALUE"""),"HTML/CSS;Java;JavaScript;PHP;TypeScript")</f>
        <v>HTML/CSS;Java;JavaScript;PHP;TypeScript</v>
      </c>
      <c r="C2504" s="9" t="str">
        <f>IFERROR(__xludf.DUMMYFUNCTION("""COMPUTED_VALUE"""),"F#")</f>
        <v>F#</v>
      </c>
      <c r="D2504" s="9" t="str">
        <f>IFERROR(__xludf.DUMMYFUNCTION("""COMPUTED_VALUE"""),"Bash/Shell/PowerShell")</f>
        <v>Bash/Shell/PowerShell</v>
      </c>
      <c r="E2504" s="9" t="str">
        <f>IFERROR(__xludf.DUMMYFUNCTION("""COMPUTED_VALUE"""),"HTML/CSS")</f>
        <v>HTML/CSS</v>
      </c>
      <c r="F2504" s="9" t="str">
        <f>IFERROR(__xludf.DUMMYFUNCTION("""COMPUTED_VALUE"""),"SQL")</f>
        <v>SQL</v>
      </c>
      <c r="G2504" s="9" t="str">
        <f>IFERROR(__xludf.DUMMYFUNCTION("""COMPUTED_VALUE"""),"SQL")</f>
        <v>SQL</v>
      </c>
      <c r="H2504" s="9" t="str">
        <f>IFERROR(__xludf.DUMMYFUNCTION("""COMPUTED_VALUE"""),"JavaScript")</f>
        <v>JavaScript</v>
      </c>
      <c r="I2504" s="9" t="str">
        <f>IFERROR(__xludf.DUMMYFUNCTION("""COMPUTED_VALUE"""),"JavaScript")</f>
        <v>JavaScript</v>
      </c>
      <c r="J2504" s="9" t="str">
        <f>IFERROR(__xludf.DUMMYFUNCTION("""COMPUTED_VALUE"""),"R")</f>
        <v>R</v>
      </c>
      <c r="K2504" s="9" t="str">
        <f>IFERROR(__xludf.DUMMYFUNCTION("""COMPUTED_VALUE"""),"C")</f>
        <v>C</v>
      </c>
      <c r="L2504" s="9" t="str">
        <f>IFERROR(__xludf.DUMMYFUNCTION("""COMPUTED_VALUE"""),"JavaScript")</f>
        <v>JavaScript</v>
      </c>
      <c r="M2504" s="9" t="s">
        <v>45</v>
      </c>
    </row>
    <row r="2505" ht="15.75" customHeight="1">
      <c r="A2505" s="7"/>
      <c r="B2505" s="7" t="str">
        <f>IFERROR(__xludf.DUMMYFUNCTION("""COMPUTED_VALUE"""),"C#;HTML/CSS;JavaScript;SQL")</f>
        <v>C#;HTML/CSS;JavaScript;SQL</v>
      </c>
      <c r="C2505" s="9" t="str">
        <f>IFERROR(__xludf.DUMMYFUNCTION("""COMPUTED_VALUE"""),"HTML/CSS")</f>
        <v>HTML/CSS</v>
      </c>
      <c r="D2505" s="9" t="str">
        <f>IFERROR(__xludf.DUMMYFUNCTION("""COMPUTED_VALUE"""),"Python")</f>
        <v>Python</v>
      </c>
      <c r="E2505" s="9" t="str">
        <f>IFERROR(__xludf.DUMMYFUNCTION("""COMPUTED_VALUE"""),"JavaScript")</f>
        <v>JavaScript</v>
      </c>
      <c r="F2505" s="9" t="str">
        <f>IFERROR(__xludf.DUMMYFUNCTION("""COMPUTED_VALUE"""),"HTML/CSS")</f>
        <v>HTML/CSS</v>
      </c>
      <c r="G2505" s="9" t="str">
        <f>IFERROR(__xludf.DUMMYFUNCTION("""COMPUTED_VALUE"""),"Swift")</f>
        <v>Swift</v>
      </c>
      <c r="H2505" s="9" t="str">
        <f>IFERROR(__xludf.DUMMYFUNCTION("""COMPUTED_VALUE"""),"PHP")</f>
        <v>PHP</v>
      </c>
      <c r="I2505" s="9" t="str">
        <f>IFERROR(__xludf.DUMMYFUNCTION("""COMPUTED_VALUE"""),"SQL")</f>
        <v>SQL</v>
      </c>
      <c r="J2505" s="9" t="str">
        <f>IFERROR(__xludf.DUMMYFUNCTION("""COMPUTED_VALUE"""),"Ruby")</f>
        <v>Ruby</v>
      </c>
      <c r="K2505" s="9" t="str">
        <f>IFERROR(__xludf.DUMMYFUNCTION("""COMPUTED_VALUE"""),"C++")</f>
        <v>C++</v>
      </c>
      <c r="L2505" s="9" t="str">
        <f>IFERROR(__xludf.DUMMYFUNCTION("""COMPUTED_VALUE"""),"PHP")</f>
        <v>PHP</v>
      </c>
      <c r="M2505" s="9" t="s">
        <v>24</v>
      </c>
    </row>
    <row r="2506" ht="15.75" customHeight="1">
      <c r="A2506" s="7"/>
      <c r="B2506" s="7" t="str">
        <f>IFERROR(__xludf.DUMMYFUNCTION("""COMPUTED_VALUE"""),"Bash/Shell/PowerShell;HTML/CSS;Java;JavaScript;PHP;SQL")</f>
        <v>Bash/Shell/PowerShell;HTML/CSS;Java;JavaScript;PHP;SQL</v>
      </c>
      <c r="C2506" s="9" t="str">
        <f>IFERROR(__xludf.DUMMYFUNCTION("""COMPUTED_VALUE"""),"PHP")</f>
        <v>PHP</v>
      </c>
      <c r="D2506" s="9" t="str">
        <f>IFERROR(__xludf.DUMMYFUNCTION("""COMPUTED_VALUE"""),"Other(s):")</f>
        <v>Other(s):</v>
      </c>
      <c r="E2506" s="9" t="str">
        <f>IFERROR(__xludf.DUMMYFUNCTION("""COMPUTED_VALUE"""),"PHP")</f>
        <v>PHP</v>
      </c>
      <c r="F2506" s="9" t="str">
        <f>IFERROR(__xludf.DUMMYFUNCTION("""COMPUTED_VALUE"""),"Ruby")</f>
        <v>Ruby</v>
      </c>
      <c r="G2506" s="9" t="str">
        <f>IFERROR(__xludf.DUMMYFUNCTION("""COMPUTED_VALUE"""),"JavaScript")</f>
        <v>JavaScript</v>
      </c>
      <c r="H2506" s="9" t="str">
        <f>IFERROR(__xludf.DUMMYFUNCTION("""COMPUTED_VALUE"""),"Python")</f>
        <v>Python</v>
      </c>
      <c r="I2506" s="9" t="str">
        <f>IFERROR(__xludf.DUMMYFUNCTION("""COMPUTED_VALUE"""),"TypeScript")</f>
        <v>TypeScript</v>
      </c>
      <c r="J2506" s="9" t="str">
        <f>IFERROR(__xludf.DUMMYFUNCTION("""COMPUTED_VALUE"""),"SQL")</f>
        <v>SQL</v>
      </c>
      <c r="K2506" s="9" t="str">
        <f>IFERROR(__xludf.DUMMYFUNCTION("""COMPUTED_VALUE"""),"C#")</f>
        <v>C#</v>
      </c>
      <c r="L2506" s="9" t="str">
        <f>IFERROR(__xludf.DUMMYFUNCTION("""COMPUTED_VALUE"""),"Python")</f>
        <v>Python</v>
      </c>
      <c r="M2506" s="9" t="s">
        <v>37</v>
      </c>
    </row>
    <row r="2507" ht="15.75" customHeight="1">
      <c r="A2507" s="7"/>
      <c r="B2507" s="7" t="str">
        <f>IFERROR(__xludf.DUMMYFUNCTION("""COMPUTED_VALUE"""),"C;C++;HTML/CSS;JavaScript;PHP;SQL")</f>
        <v>C;C++;HTML/CSS;JavaScript;PHP;SQL</v>
      </c>
      <c r="C2507" s="9" t="str">
        <f>IFERROR(__xludf.DUMMYFUNCTION("""COMPUTED_VALUE"""),"Python")</f>
        <v>Python</v>
      </c>
      <c r="D2507" s="9" t="str">
        <f>IFERROR(__xludf.DUMMYFUNCTION("""COMPUTED_VALUE"""),"Assembly")</f>
        <v>Assembly</v>
      </c>
      <c r="E2507" s="9" t="str">
        <f>IFERROR(__xludf.DUMMYFUNCTION("""COMPUTED_VALUE"""),"SQL")</f>
        <v>SQL</v>
      </c>
      <c r="F2507" s="9" t="str">
        <f>IFERROR(__xludf.DUMMYFUNCTION("""COMPUTED_VALUE"""),"SQL")</f>
        <v>SQL</v>
      </c>
      <c r="G2507" s="9" t="str">
        <f>IFERROR(__xludf.DUMMYFUNCTION("""COMPUTED_VALUE"""),"HTML/CSS")</f>
        <v>HTML/CSS</v>
      </c>
      <c r="H2507" s="9" t="str">
        <f>IFERROR(__xludf.DUMMYFUNCTION("""COMPUTED_VALUE"""),"Bash/Shell/PowerShell")</f>
        <v>Bash/Shell/PowerShell</v>
      </c>
      <c r="I2507" s="9" t="str">
        <f>IFERROR(__xludf.DUMMYFUNCTION("""COMPUTED_VALUE"""),"WebAssembly")</f>
        <v>WebAssembly</v>
      </c>
      <c r="J2507" s="9" t="str">
        <f>IFERROR(__xludf.DUMMYFUNCTION("""COMPUTED_VALUE"""),"Swift")</f>
        <v>Swift</v>
      </c>
      <c r="K2507" s="9" t="str">
        <f>IFERROR(__xludf.DUMMYFUNCTION("""COMPUTED_VALUE"""),"HTML/CSS")</f>
        <v>HTML/CSS</v>
      </c>
      <c r="L2507" s="9" t="str">
        <f>IFERROR(__xludf.DUMMYFUNCTION("""COMPUTED_VALUE"""),"R")</f>
        <v>R</v>
      </c>
      <c r="M2507" s="9" t="s">
        <v>22</v>
      </c>
    </row>
    <row r="2508" ht="15.75" customHeight="1">
      <c r="A2508" s="7"/>
      <c r="B2508" s="7" t="str">
        <f>IFERROR(__xludf.DUMMYFUNCTION("""COMPUTED_VALUE"""),"HTML/CSS;Java;Python")</f>
        <v>HTML/CSS;Java;Python</v>
      </c>
      <c r="C2508" s="9" t="str">
        <f>IFERROR(__xludf.DUMMYFUNCTION("""COMPUTED_VALUE"""),"R")</f>
        <v>R</v>
      </c>
      <c r="D2508" s="9" t="str">
        <f>IFERROR(__xludf.DUMMYFUNCTION("""COMPUTED_VALUE"""),"Bash/Shell/PowerShell")</f>
        <v>Bash/Shell/PowerShell</v>
      </c>
      <c r="E2508" s="9" t="str">
        <f>IFERROR(__xludf.DUMMYFUNCTION("""COMPUTED_VALUE"""),"HTML/CSS")</f>
        <v>HTML/CSS</v>
      </c>
      <c r="F2508" s="9" t="str">
        <f>IFERROR(__xludf.DUMMYFUNCTION("""COMPUTED_VALUE"""),"Other(s):")</f>
        <v>Other(s):</v>
      </c>
      <c r="G2508" s="9" t="str">
        <f>IFERROR(__xludf.DUMMYFUNCTION("""COMPUTED_VALUE"""),"JavaScript")</f>
        <v>JavaScript</v>
      </c>
      <c r="H2508" s="9" t="str">
        <f>IFERROR(__xludf.DUMMYFUNCTION("""COMPUTED_VALUE"""),"C#")</f>
        <v>C#</v>
      </c>
      <c r="I2508" s="9" t="str">
        <f>IFERROR(__xludf.DUMMYFUNCTION("""COMPUTED_VALUE"""),"Assembly")</f>
        <v>Assembly</v>
      </c>
      <c r="J2508" s="9" t="str">
        <f>IFERROR(__xludf.DUMMYFUNCTION("""COMPUTED_VALUE"""),"TypeScript")</f>
        <v>TypeScript</v>
      </c>
      <c r="K2508" s="9" t="str">
        <f>IFERROR(__xludf.DUMMYFUNCTION("""COMPUTED_VALUE"""),"JavaScript")</f>
        <v>JavaScript</v>
      </c>
      <c r="L2508" s="9" t="str">
        <f>IFERROR(__xludf.DUMMYFUNCTION("""COMPUTED_VALUE"""),"SQL")</f>
        <v>SQL</v>
      </c>
      <c r="M2508" s="9" t="s">
        <v>29</v>
      </c>
    </row>
    <row r="2509" ht="15.75" customHeight="1">
      <c r="A2509" s="7"/>
      <c r="B2509" s="7" t="str">
        <f>IFERROR(__xludf.DUMMYFUNCTION("""COMPUTED_VALUE"""),"Bash/Shell/PowerShell;C;C++;C#;Clojure;HTML/CSS;Java;JavaScript;Python;SQL;TypeScript")</f>
        <v>Bash/Shell/PowerShell;C;C++;C#;Clojure;HTML/CSS;Java;JavaScript;Python;SQL;TypeScript</v>
      </c>
      <c r="C2509" s="9" t="str">
        <f>IFERROR(__xludf.DUMMYFUNCTION("""COMPUTED_VALUE"""),"Rust")</f>
        <v>Rust</v>
      </c>
      <c r="D2509" s="9" t="str">
        <f>IFERROR(__xludf.DUMMYFUNCTION("""COMPUTED_VALUE"""),"C")</f>
        <v>C</v>
      </c>
      <c r="E2509" s="9" t="str">
        <f>IFERROR(__xludf.DUMMYFUNCTION("""COMPUTED_VALUE"""),"Java")</f>
        <v>Java</v>
      </c>
      <c r="F2509" s="9" t="str">
        <f>IFERROR(__xludf.DUMMYFUNCTION("""COMPUTED_VALUE"""),"Bash/Shell/PowerShell")</f>
        <v>Bash/Shell/PowerShell</v>
      </c>
      <c r="G2509" s="9" t="str">
        <f>IFERROR(__xludf.DUMMYFUNCTION("""COMPUTED_VALUE"""),"PHP")</f>
        <v>PHP</v>
      </c>
      <c r="H2509" s="9" t="str">
        <f>IFERROR(__xludf.DUMMYFUNCTION("""COMPUTED_VALUE"""),"HTML/CSS")</f>
        <v>HTML/CSS</v>
      </c>
      <c r="I2509" s="9" t="str">
        <f>IFERROR(__xludf.DUMMYFUNCTION("""COMPUTED_VALUE"""),"C")</f>
        <v>C</v>
      </c>
      <c r="J2509" s="9" t="str">
        <f>IFERROR(__xludf.DUMMYFUNCTION("""COMPUTED_VALUE"""),"HTML/CSS")</f>
        <v>HTML/CSS</v>
      </c>
      <c r="K2509" s="9" t="str">
        <f>IFERROR(__xludf.DUMMYFUNCTION("""COMPUTED_VALUE"""),"SQL")</f>
        <v>SQL</v>
      </c>
      <c r="L2509" s="9" t="str">
        <f>IFERROR(__xludf.DUMMYFUNCTION("""COMPUTED_VALUE"""),"Bash/Shell/PowerShell")</f>
        <v>Bash/Shell/PowerShell</v>
      </c>
      <c r="M2509" s="9" t="s">
        <v>32</v>
      </c>
    </row>
    <row r="2510" ht="15.75" customHeight="1">
      <c r="A2510" s="7"/>
      <c r="B2510" s="7" t="str">
        <f>IFERROR(__xludf.DUMMYFUNCTION("""COMPUTED_VALUE"""),"Java;JavaScript;Python;SQL;TypeScript")</f>
        <v>Java;JavaScript;Python;SQL;TypeScript</v>
      </c>
      <c r="C2510" s="9" t="str">
        <f>IFERROR(__xludf.DUMMYFUNCTION("""COMPUTED_VALUE"""),"TypeScript")</f>
        <v>TypeScript</v>
      </c>
      <c r="D2510" s="9" t="str">
        <f>IFERROR(__xludf.DUMMYFUNCTION("""COMPUTED_VALUE"""),"C++")</f>
        <v>C++</v>
      </c>
      <c r="E2510" s="9" t="str">
        <f>IFERROR(__xludf.DUMMYFUNCTION("""COMPUTED_VALUE"""),"Python")</f>
        <v>Python</v>
      </c>
      <c r="F2510" s="9" t="str">
        <f>IFERROR(__xludf.DUMMYFUNCTION("""COMPUTED_VALUE"""),"C++")</f>
        <v>C++</v>
      </c>
      <c r="G2510" s="9" t="str">
        <f>IFERROR(__xludf.DUMMYFUNCTION("""COMPUTED_VALUE"""),"Python")</f>
        <v>Python</v>
      </c>
      <c r="H2510" s="9" t="str">
        <f>IFERROR(__xludf.DUMMYFUNCTION("""COMPUTED_VALUE"""),"JavaScript")</f>
        <v>JavaScript</v>
      </c>
      <c r="I2510" s="9" t="str">
        <f>IFERROR(__xludf.DUMMYFUNCTION("""COMPUTED_VALUE"""),"Java")</f>
        <v>Java</v>
      </c>
      <c r="J2510" s="9" t="str">
        <f>IFERROR(__xludf.DUMMYFUNCTION("""COMPUTED_VALUE"""),"JavaScript")</f>
        <v>JavaScript</v>
      </c>
      <c r="K2510" s="9" t="str">
        <f>IFERROR(__xludf.DUMMYFUNCTION("""COMPUTED_VALUE"""),"TypeScript")</f>
        <v>TypeScript</v>
      </c>
      <c r="L2510" s="9" t="str">
        <f>IFERROR(__xludf.DUMMYFUNCTION("""COMPUTED_VALUE"""),"C")</f>
        <v>C</v>
      </c>
      <c r="M2510" s="9" t="s">
        <v>33</v>
      </c>
    </row>
    <row r="2511" ht="15.75" customHeight="1">
      <c r="A2511" s="7"/>
      <c r="B2511" s="7" t="str">
        <f>IFERROR(__xludf.DUMMYFUNCTION("""COMPUTED_VALUE"""),"Assembly;Bash/Shell/PowerShell;C;C++;HTML/CSS;Java;JavaScript;Kotlin;Objective-C;Python;SQL;Swift")</f>
        <v>Assembly;Bash/Shell/PowerShell;C;C++;HTML/CSS;Java;JavaScript;Kotlin;Objective-C;Python;SQL;Swift</v>
      </c>
      <c r="C2511" s="9" t="str">
        <f>IFERROR(__xludf.DUMMYFUNCTION("""COMPUTED_VALUE"""),"Other(s):")</f>
        <v>Other(s):</v>
      </c>
      <c r="D2511" s="9" t="str">
        <f>IFERROR(__xludf.DUMMYFUNCTION("""COMPUTED_VALUE"""),"C#")</f>
        <v>C#</v>
      </c>
      <c r="E2511" s="9" t="str">
        <f>IFERROR(__xludf.DUMMYFUNCTION("""COMPUTED_VALUE"""),"Bash/Shell/PowerShell")</f>
        <v>Bash/Shell/PowerShell</v>
      </c>
      <c r="F2511" s="9" t="str">
        <f>IFERROR(__xludf.DUMMYFUNCTION("""COMPUTED_VALUE"""),"HTML/CSS")</f>
        <v>HTML/CSS</v>
      </c>
      <c r="G2511" s="9" t="str">
        <f>IFERROR(__xludf.DUMMYFUNCTION("""COMPUTED_VALUE"""),"SQL")</f>
        <v>SQL</v>
      </c>
      <c r="H2511" s="9" t="str">
        <f>IFERROR(__xludf.DUMMYFUNCTION("""COMPUTED_VALUE"""),"TypeScript")</f>
        <v>TypeScript</v>
      </c>
      <c r="I2511" s="9" t="str">
        <f>IFERROR(__xludf.DUMMYFUNCTION("""COMPUTED_VALUE"""),"Bash/Shell/PowerShell")</f>
        <v>Bash/Shell/PowerShell</v>
      </c>
      <c r="J2511" s="9" t="str">
        <f>IFERROR(__xludf.DUMMYFUNCTION("""COMPUTED_VALUE"""),"PHP")</f>
        <v>PHP</v>
      </c>
      <c r="K2511" s="9" t="str">
        <f>IFERROR(__xludf.DUMMYFUNCTION("""COMPUTED_VALUE"""),"Assembly")</f>
        <v>Assembly</v>
      </c>
      <c r="L2511" s="9" t="str">
        <f>IFERROR(__xludf.DUMMYFUNCTION("""COMPUTED_VALUE"""),"C++")</f>
        <v>C++</v>
      </c>
      <c r="M2511" s="9" t="s">
        <v>35</v>
      </c>
    </row>
    <row r="2512" ht="15.75" customHeight="1">
      <c r="A2512" s="7"/>
      <c r="B2512" s="7" t="str">
        <f>IFERROR(__xludf.DUMMYFUNCTION("""COMPUTED_VALUE"""),"Bash/Shell/PowerShell;HTML/CSS;JavaScript;Python;SQL;TypeScript")</f>
        <v>Bash/Shell/PowerShell;HTML/CSS;JavaScript;Python;SQL;TypeScript</v>
      </c>
      <c r="C2512" s="9" t="str">
        <f>IFERROR(__xludf.DUMMYFUNCTION("""COMPUTED_VALUE"""),"C")</f>
        <v>C</v>
      </c>
      <c r="D2512" s="9" t="str">
        <f>IFERROR(__xludf.DUMMYFUNCTION("""COMPUTED_VALUE"""),"HTML/CSS")</f>
        <v>HTML/CSS</v>
      </c>
      <c r="E2512" s="9" t="str">
        <f>IFERROR(__xludf.DUMMYFUNCTION("""COMPUTED_VALUE"""),"C")</f>
        <v>C</v>
      </c>
      <c r="F2512" s="9" t="str">
        <f>IFERROR(__xludf.DUMMYFUNCTION("""COMPUTED_VALUE"""),"JavaScript")</f>
        <v>JavaScript</v>
      </c>
      <c r="G2512" s="9" t="str">
        <f>IFERROR(__xludf.DUMMYFUNCTION("""COMPUTED_VALUE"""),"TypeScript")</f>
        <v>TypeScript</v>
      </c>
      <c r="H2512" s="9" t="str">
        <f>IFERROR(__xludf.DUMMYFUNCTION("""COMPUTED_VALUE"""),"HTML/CSS")</f>
        <v>HTML/CSS</v>
      </c>
      <c r="I2512" s="9" t="str">
        <f>IFERROR(__xludf.DUMMYFUNCTION("""COMPUTED_VALUE"""),"HTML/CSS")</f>
        <v>HTML/CSS</v>
      </c>
      <c r="J2512" s="9" t="str">
        <f>IFERROR(__xludf.DUMMYFUNCTION("""COMPUTED_VALUE"""),"SQL")</f>
        <v>SQL</v>
      </c>
      <c r="K2512" s="9" t="str">
        <f>IFERROR(__xludf.DUMMYFUNCTION("""COMPUTED_VALUE"""),"Bash/Shell/PowerShell")</f>
        <v>Bash/Shell/PowerShell</v>
      </c>
      <c r="L2512" s="9" t="str">
        <f>IFERROR(__xludf.DUMMYFUNCTION("""COMPUTED_VALUE"""),"Go")</f>
        <v>Go</v>
      </c>
      <c r="M2512" s="9" t="s">
        <v>25</v>
      </c>
    </row>
    <row r="2513" ht="15.75" customHeight="1">
      <c r="A2513" s="7"/>
      <c r="B2513" s="7" t="str">
        <f>IFERROR(__xludf.DUMMYFUNCTION("""COMPUTED_VALUE"""),"Bash/Shell/PowerShell;HTML/CSS;JavaScript;PHP;SQL;TypeScript")</f>
        <v>Bash/Shell/PowerShell;HTML/CSS;JavaScript;PHP;SQL;TypeScript</v>
      </c>
      <c r="C2513" s="9" t="str">
        <f>IFERROR(__xludf.DUMMYFUNCTION("""COMPUTED_VALUE"""),"HTML/CSS")</f>
        <v>HTML/CSS</v>
      </c>
      <c r="D2513" s="9" t="str">
        <f>IFERROR(__xludf.DUMMYFUNCTION("""COMPUTED_VALUE"""),"Java")</f>
        <v>Java</v>
      </c>
      <c r="E2513" s="9" t="str">
        <f>IFERROR(__xludf.DUMMYFUNCTION("""COMPUTED_VALUE"""),"C++")</f>
        <v>C++</v>
      </c>
      <c r="F2513" s="9" t="str">
        <f>IFERROR(__xludf.DUMMYFUNCTION("""COMPUTED_VALUE"""),"Python")</f>
        <v>Python</v>
      </c>
      <c r="G2513" s="9" t="str">
        <f>IFERROR(__xludf.DUMMYFUNCTION("""COMPUTED_VALUE"""),"C#")</f>
        <v>C#</v>
      </c>
      <c r="H2513" s="9" t="str">
        <f>IFERROR(__xludf.DUMMYFUNCTION("""COMPUTED_VALUE"""),"JavaScript")</f>
        <v>JavaScript</v>
      </c>
      <c r="I2513" s="9" t="str">
        <f>IFERROR(__xludf.DUMMYFUNCTION("""COMPUTED_VALUE"""),"Java")</f>
        <v>Java</v>
      </c>
      <c r="J2513" s="9" t="str">
        <f>IFERROR(__xludf.DUMMYFUNCTION("""COMPUTED_VALUE"""),"C")</f>
        <v>C</v>
      </c>
      <c r="K2513" s="9" t="str">
        <f>IFERROR(__xludf.DUMMYFUNCTION("""COMPUTED_VALUE"""),"C")</f>
        <v>C</v>
      </c>
      <c r="L2513" s="9" t="str">
        <f>IFERROR(__xludf.DUMMYFUNCTION("""COMPUTED_VALUE"""),"HTML/CSS")</f>
        <v>HTML/CSS</v>
      </c>
      <c r="M2513" s="9" t="s">
        <v>24</v>
      </c>
    </row>
    <row r="2514" ht="15.75" customHeight="1">
      <c r="A2514" s="7"/>
      <c r="B2514" s="7" t="str">
        <f>IFERROR(__xludf.DUMMYFUNCTION("""COMPUTED_VALUE"""),"HTML/CSS;Java;Kotlin;SQL")</f>
        <v>HTML/CSS;Java;Kotlin;SQL</v>
      </c>
      <c r="C2514" s="9" t="str">
        <f>IFERROR(__xludf.DUMMYFUNCTION("""COMPUTED_VALUE"""),"Java")</f>
        <v>Java</v>
      </c>
      <c r="D2514" s="9" t="str">
        <f>IFERROR(__xludf.DUMMYFUNCTION("""COMPUTED_VALUE"""),"JavaScript")</f>
        <v>JavaScript</v>
      </c>
      <c r="E2514" s="9" t="str">
        <f>IFERROR(__xludf.DUMMYFUNCTION("""COMPUTED_VALUE"""),"C#")</f>
        <v>C#</v>
      </c>
      <c r="F2514" s="9" t="str">
        <f>IFERROR(__xludf.DUMMYFUNCTION("""COMPUTED_VALUE"""),"SQL")</f>
        <v>SQL</v>
      </c>
      <c r="G2514" s="9" t="str">
        <f>IFERROR(__xludf.DUMMYFUNCTION("""COMPUTED_VALUE"""),"HTML/CSS")</f>
        <v>HTML/CSS</v>
      </c>
      <c r="H2514" s="9" t="str">
        <f>IFERROR(__xludf.DUMMYFUNCTION("""COMPUTED_VALUE"""),"PHP")</f>
        <v>PHP</v>
      </c>
      <c r="I2514" s="9" t="str">
        <f>IFERROR(__xludf.DUMMYFUNCTION("""COMPUTED_VALUE"""),"JavaScript")</f>
        <v>JavaScript</v>
      </c>
      <c r="J2514" s="9" t="str">
        <f>IFERROR(__xludf.DUMMYFUNCTION("""COMPUTED_VALUE"""),"Python")</f>
        <v>Python</v>
      </c>
      <c r="K2514" s="9" t="str">
        <f>IFERROR(__xludf.DUMMYFUNCTION("""COMPUTED_VALUE"""),"HTML/CSS")</f>
        <v>HTML/CSS</v>
      </c>
      <c r="L2514" s="9" t="str">
        <f>IFERROR(__xludf.DUMMYFUNCTION("""COMPUTED_VALUE"""),"JavaScript")</f>
        <v>JavaScript</v>
      </c>
      <c r="M2514" s="9" t="s">
        <v>20</v>
      </c>
    </row>
    <row r="2515" ht="15.75" customHeight="1">
      <c r="A2515" s="7"/>
      <c r="B2515" s="7" t="str">
        <f>IFERROR(__xludf.DUMMYFUNCTION("""COMPUTED_VALUE"""),"HTML/CSS;JavaScript;PHP;SQL")</f>
        <v>HTML/CSS;JavaScript;PHP;SQL</v>
      </c>
      <c r="C2515" s="9" t="str">
        <f>IFERROR(__xludf.DUMMYFUNCTION("""COMPUTED_VALUE"""),"JavaScript")</f>
        <v>JavaScript</v>
      </c>
      <c r="D2515" s="9" t="str">
        <f>IFERROR(__xludf.DUMMYFUNCTION("""COMPUTED_VALUE"""),"Objective-C")</f>
        <v>Objective-C</v>
      </c>
      <c r="E2515" s="9" t="str">
        <f>IFERROR(__xludf.DUMMYFUNCTION("""COMPUTED_VALUE"""),"Clojure")</f>
        <v>Clojure</v>
      </c>
      <c r="F2515" s="9" t="str">
        <f>IFERROR(__xludf.DUMMYFUNCTION("""COMPUTED_VALUE"""),"Java")</f>
        <v>Java</v>
      </c>
      <c r="G2515" s="9" t="str">
        <f>IFERROR(__xludf.DUMMYFUNCTION("""COMPUTED_VALUE"""),"JavaScript")</f>
        <v>JavaScript</v>
      </c>
      <c r="H2515" s="9" t="str">
        <f>IFERROR(__xludf.DUMMYFUNCTION("""COMPUTED_VALUE"""),"Bash/Shell/PowerShell")</f>
        <v>Bash/Shell/PowerShell</v>
      </c>
      <c r="I2515" s="9" t="str">
        <f>IFERROR(__xludf.DUMMYFUNCTION("""COMPUTED_VALUE"""),"SQL")</f>
        <v>SQL</v>
      </c>
      <c r="J2515" s="9" t="str">
        <f>IFERROR(__xludf.DUMMYFUNCTION("""COMPUTED_VALUE"""),"C++")</f>
        <v>C++</v>
      </c>
      <c r="K2515" s="9" t="str">
        <f>IFERROR(__xludf.DUMMYFUNCTION("""COMPUTED_VALUE"""),"JavaScript")</f>
        <v>JavaScript</v>
      </c>
      <c r="L2515" s="9" t="str">
        <f>IFERROR(__xludf.DUMMYFUNCTION("""COMPUTED_VALUE"""),"Ruby")</f>
        <v>Ruby</v>
      </c>
      <c r="M2515" s="9" t="s">
        <v>21</v>
      </c>
    </row>
    <row r="2516" ht="15.75" customHeight="1">
      <c r="A2516" s="7"/>
      <c r="B2516" s="7" t="str">
        <f>IFERROR(__xludf.DUMMYFUNCTION("""COMPUTED_VALUE"""),"HTML/CSS;Java;JavaScript;VBA")</f>
        <v>HTML/CSS;Java;JavaScript;VBA</v>
      </c>
      <c r="C2516" s="9" t="str">
        <f>IFERROR(__xludf.DUMMYFUNCTION("""COMPUTED_VALUE"""),"SQL")</f>
        <v>SQL</v>
      </c>
      <c r="D2516" s="9" t="str">
        <f>IFERROR(__xludf.DUMMYFUNCTION("""COMPUTED_VALUE"""),"PHP")</f>
        <v>PHP</v>
      </c>
      <c r="E2516" s="9" t="str">
        <f>IFERROR(__xludf.DUMMYFUNCTION("""COMPUTED_VALUE"""),"HTML/CSS")</f>
        <v>HTML/CSS</v>
      </c>
      <c r="F2516" s="9" t="str">
        <f>IFERROR(__xludf.DUMMYFUNCTION("""COMPUTED_VALUE"""),"JavaScript")</f>
        <v>JavaScript</v>
      </c>
      <c r="G2516" s="9" t="str">
        <f>IFERROR(__xludf.DUMMYFUNCTION("""COMPUTED_VALUE"""),"SQL")</f>
        <v>SQL</v>
      </c>
      <c r="H2516" s="9" t="str">
        <f>IFERROR(__xludf.DUMMYFUNCTION("""COMPUTED_VALUE"""),"HTML/CSS")</f>
        <v>HTML/CSS</v>
      </c>
      <c r="I2516" s="9" t="str">
        <f>IFERROR(__xludf.DUMMYFUNCTION("""COMPUTED_VALUE"""),"Python")</f>
        <v>Python</v>
      </c>
      <c r="J2516" s="9" t="str">
        <f>IFERROR(__xludf.DUMMYFUNCTION("""COMPUTED_VALUE"""),"JavaScript")</f>
        <v>JavaScript</v>
      </c>
      <c r="K2516" s="9" t="str">
        <f>IFERROR(__xludf.DUMMYFUNCTION("""COMPUTED_VALUE"""),"Swift")</f>
        <v>Swift</v>
      </c>
      <c r="L2516" s="9" t="str">
        <f>IFERROR(__xludf.DUMMYFUNCTION("""COMPUTED_VALUE"""),"C#")</f>
        <v>C#</v>
      </c>
      <c r="M2516" s="9" t="s">
        <v>27</v>
      </c>
    </row>
    <row r="2517" ht="15.75" customHeight="1">
      <c r="A2517" s="7"/>
      <c r="B2517" s="7" t="str">
        <f>IFERROR(__xludf.DUMMYFUNCTION("""COMPUTED_VALUE"""),"C;HTML/CSS;Java;JavaScript;Python;SQL")</f>
        <v>C;HTML/CSS;Java;JavaScript;Python;SQL</v>
      </c>
      <c r="C2517" s="9" t="str">
        <f>IFERROR(__xludf.DUMMYFUNCTION("""COMPUTED_VALUE"""),"HTML/CSS")</f>
        <v>HTML/CSS</v>
      </c>
      <c r="D2517" s="9" t="str">
        <f>IFERROR(__xludf.DUMMYFUNCTION("""COMPUTED_VALUE"""),"Python")</f>
        <v>Python</v>
      </c>
      <c r="E2517" s="9" t="str">
        <f>IFERROR(__xludf.DUMMYFUNCTION("""COMPUTED_VALUE"""),"Java")</f>
        <v>Java</v>
      </c>
      <c r="F2517" s="9" t="str">
        <f>IFERROR(__xludf.DUMMYFUNCTION("""COMPUTED_VALUE"""),"PHP")</f>
        <v>PHP</v>
      </c>
      <c r="G2517" s="9" t="str">
        <f>IFERROR(__xludf.DUMMYFUNCTION("""COMPUTED_VALUE"""),"Bash/Shell/PowerShell")</f>
        <v>Bash/Shell/PowerShell</v>
      </c>
      <c r="H2517" s="9" t="str">
        <f>IFERROR(__xludf.DUMMYFUNCTION("""COMPUTED_VALUE"""),"JavaScript")</f>
        <v>JavaScript</v>
      </c>
      <c r="I2517" s="9" t="str">
        <f>IFERROR(__xludf.DUMMYFUNCTION("""COMPUTED_VALUE"""),"C#")</f>
        <v>C#</v>
      </c>
      <c r="J2517" s="9" t="str">
        <f>IFERROR(__xludf.DUMMYFUNCTION("""COMPUTED_VALUE"""),"Bash/Shell/PowerShell")</f>
        <v>Bash/Shell/PowerShell</v>
      </c>
      <c r="K2517" s="9" t="str">
        <f>IFERROR(__xludf.DUMMYFUNCTION("""COMPUTED_VALUE"""),"HTML/CSS")</f>
        <v>HTML/CSS</v>
      </c>
      <c r="L2517" s="9" t="str">
        <f>IFERROR(__xludf.DUMMYFUNCTION("""COMPUTED_VALUE"""),"HTML/CSS")</f>
        <v>HTML/CSS</v>
      </c>
      <c r="M2517" s="9" t="s">
        <v>24</v>
      </c>
    </row>
    <row r="2518" ht="15.75" customHeight="1">
      <c r="A2518" s="7"/>
      <c r="B2518" s="7" t="str">
        <f>IFERROR(__xludf.DUMMYFUNCTION("""COMPUTED_VALUE"""),"Bash/Shell/PowerShell;C;C++;Clojure;HTML/CSS;Java;Python;Scala;SQL")</f>
        <v>Bash/Shell/PowerShell;C;C++;Clojure;HTML/CSS;Java;Python;Scala;SQL</v>
      </c>
      <c r="C2518" s="9" t="str">
        <f>IFERROR(__xludf.DUMMYFUNCTION("""COMPUTED_VALUE"""),"PHP")</f>
        <v>PHP</v>
      </c>
      <c r="D2518" s="9" t="str">
        <f>IFERROR(__xludf.DUMMYFUNCTION("""COMPUTED_VALUE"""),"R")</f>
        <v>R</v>
      </c>
      <c r="E2518" s="9" t="str">
        <f>IFERROR(__xludf.DUMMYFUNCTION("""COMPUTED_VALUE"""),"JavaScript")</f>
        <v>JavaScript</v>
      </c>
      <c r="F2518" s="9" t="str">
        <f>IFERROR(__xludf.DUMMYFUNCTION("""COMPUTED_VALUE"""),"Python")</f>
        <v>Python</v>
      </c>
      <c r="G2518" s="9" t="str">
        <f>IFERROR(__xludf.DUMMYFUNCTION("""COMPUTED_VALUE"""),"HTML/CSS")</f>
        <v>HTML/CSS</v>
      </c>
      <c r="H2518" s="9" t="str">
        <f>IFERROR(__xludf.DUMMYFUNCTION("""COMPUTED_VALUE"""),"PHP")</f>
        <v>PHP</v>
      </c>
      <c r="I2518" s="9" t="str">
        <f>IFERROR(__xludf.DUMMYFUNCTION("""COMPUTED_VALUE"""),"HTML/CSS")</f>
        <v>HTML/CSS</v>
      </c>
      <c r="J2518" s="9" t="str">
        <f>IFERROR(__xludf.DUMMYFUNCTION("""COMPUTED_VALUE"""),"C#")</f>
        <v>C#</v>
      </c>
      <c r="K2518" s="9" t="str">
        <f>IFERROR(__xludf.DUMMYFUNCTION("""COMPUTED_VALUE"""),"Java")</f>
        <v>Java</v>
      </c>
      <c r="L2518" s="9" t="str">
        <f>IFERROR(__xludf.DUMMYFUNCTION("""COMPUTED_VALUE"""),"JavaScript")</f>
        <v>JavaScript</v>
      </c>
      <c r="M2518" s="9" t="s">
        <v>37</v>
      </c>
    </row>
    <row r="2519" ht="15.75" customHeight="1">
      <c r="A2519" s="7"/>
      <c r="B2519" s="7" t="str">
        <f>IFERROR(__xludf.DUMMYFUNCTION("""COMPUTED_VALUE"""),"HTML/CSS")</f>
        <v>HTML/CSS</v>
      </c>
      <c r="C2519" s="9" t="str">
        <f>IFERROR(__xludf.DUMMYFUNCTION("""COMPUTED_VALUE"""),"HTML/CSS")</f>
        <v>HTML/CSS</v>
      </c>
      <c r="D2519" s="9" t="str">
        <f>IFERROR(__xludf.DUMMYFUNCTION("""COMPUTED_VALUE"""),"SQL")</f>
        <v>SQL</v>
      </c>
      <c r="E2519" s="9" t="str">
        <f>IFERROR(__xludf.DUMMYFUNCTION("""COMPUTED_VALUE"""),"Python")</f>
        <v>Python</v>
      </c>
      <c r="F2519" s="9" t="str">
        <f>IFERROR(__xludf.DUMMYFUNCTION("""COMPUTED_VALUE"""),"Swift")</f>
        <v>Swift</v>
      </c>
      <c r="G2519" s="9" t="str">
        <f>IFERROR(__xludf.DUMMYFUNCTION("""COMPUTED_VALUE"""),"JavaScript")</f>
        <v>JavaScript</v>
      </c>
      <c r="H2519" s="9" t="str">
        <f>IFERROR(__xludf.DUMMYFUNCTION("""COMPUTED_VALUE"""),"Python")</f>
        <v>Python</v>
      </c>
      <c r="I2519" s="9" t="str">
        <f>IFERROR(__xludf.DUMMYFUNCTION("""COMPUTED_VALUE"""),"JavaScript")</f>
        <v>JavaScript</v>
      </c>
      <c r="J2519" s="9" t="str">
        <f>IFERROR(__xludf.DUMMYFUNCTION("""COMPUTED_VALUE"""),"C#")</f>
        <v>C#</v>
      </c>
      <c r="K2519" s="9" t="str">
        <f>IFERROR(__xludf.DUMMYFUNCTION("""COMPUTED_VALUE"""),"JavaScript")</f>
        <v>JavaScript</v>
      </c>
      <c r="L2519" s="9" t="str">
        <f>IFERROR(__xludf.DUMMYFUNCTION("""COMPUTED_VALUE"""),"SQL")</f>
        <v>SQL</v>
      </c>
      <c r="M2519" s="9" t="s">
        <v>24</v>
      </c>
    </row>
    <row r="2520" ht="15.75" customHeight="1">
      <c r="A2520" s="7"/>
      <c r="B2520" s="7" t="str">
        <f>IFERROR(__xludf.DUMMYFUNCTION("""COMPUTED_VALUE"""),"HTML/CSS;Java;JavaScript;PHP;SQL")</f>
        <v>HTML/CSS;Java;JavaScript;PHP;SQL</v>
      </c>
      <c r="C2520" s="9" t="str">
        <f>IFERROR(__xludf.DUMMYFUNCTION("""COMPUTED_VALUE"""),"Java")</f>
        <v>Java</v>
      </c>
      <c r="D2520" s="9" t="str">
        <f>IFERROR(__xludf.DUMMYFUNCTION("""COMPUTED_VALUE"""),"VBA")</f>
        <v>VBA</v>
      </c>
      <c r="E2520" s="9" t="str">
        <f>IFERROR(__xludf.DUMMYFUNCTION("""COMPUTED_VALUE"""),"SQL")</f>
        <v>SQL</v>
      </c>
      <c r="F2520" s="9" t="str">
        <f>IFERROR(__xludf.DUMMYFUNCTION("""COMPUTED_VALUE"""),"C#")</f>
        <v>C#</v>
      </c>
      <c r="G2520" s="9" t="str">
        <f>IFERROR(__xludf.DUMMYFUNCTION("""COMPUTED_VALUE"""),"PHP")</f>
        <v>PHP</v>
      </c>
      <c r="H2520" s="9" t="str">
        <f>IFERROR(__xludf.DUMMYFUNCTION("""COMPUTED_VALUE"""),"SQL")</f>
        <v>SQL</v>
      </c>
      <c r="I2520" s="9" t="str">
        <f>IFERROR(__xludf.DUMMYFUNCTION("""COMPUTED_VALUE"""),"SQL")</f>
        <v>SQL</v>
      </c>
      <c r="J2520" s="9" t="str">
        <f>IFERROR(__xludf.DUMMYFUNCTION("""COMPUTED_VALUE"""),"HTML/CSS")</f>
        <v>HTML/CSS</v>
      </c>
      <c r="K2520" s="9" t="str">
        <f>IFERROR(__xludf.DUMMYFUNCTION("""COMPUTED_VALUE"""),"TypeScript")</f>
        <v>TypeScript</v>
      </c>
      <c r="L2520" s="9" t="str">
        <f>IFERROR(__xludf.DUMMYFUNCTION("""COMPUTED_VALUE"""),"TypeScript")</f>
        <v>TypeScript</v>
      </c>
      <c r="M2520" s="9" t="s">
        <v>20</v>
      </c>
    </row>
    <row r="2521" ht="15.75" customHeight="1">
      <c r="A2521" s="7"/>
      <c r="B2521" s="7" t="str">
        <f>IFERROR(__xludf.DUMMYFUNCTION("""COMPUTED_VALUE"""),"Java;Objective-C")</f>
        <v>Java;Objective-C</v>
      </c>
      <c r="C2521" s="9" t="str">
        <f>IFERROR(__xludf.DUMMYFUNCTION("""COMPUTED_VALUE"""),"JavaScript")</f>
        <v>JavaScript</v>
      </c>
      <c r="D2521" s="9" t="str">
        <f>IFERROR(__xludf.DUMMYFUNCTION("""COMPUTED_VALUE"""),"Go")</f>
        <v>Go</v>
      </c>
      <c r="E2521" s="9" t="str">
        <f>IFERROR(__xludf.DUMMYFUNCTION("""COMPUTED_VALUE"""),"TypeScript")</f>
        <v>TypeScript</v>
      </c>
      <c r="F2521" s="9" t="str">
        <f>IFERROR(__xludf.DUMMYFUNCTION("""COMPUTED_VALUE"""),"R")</f>
        <v>R</v>
      </c>
      <c r="G2521" s="9" t="str">
        <f>IFERROR(__xludf.DUMMYFUNCTION("""COMPUTED_VALUE"""),"HTML/CSS")</f>
        <v>HTML/CSS</v>
      </c>
      <c r="H2521" s="9" t="str">
        <f>IFERROR(__xludf.DUMMYFUNCTION("""COMPUTED_VALUE"""),"TypeScript")</f>
        <v>TypeScript</v>
      </c>
      <c r="I2521" s="9" t="str">
        <f>IFERROR(__xludf.DUMMYFUNCTION("""COMPUTED_VALUE"""),"TypeScript")</f>
        <v>TypeScript</v>
      </c>
      <c r="J2521" s="9" t="str">
        <f>IFERROR(__xludf.DUMMYFUNCTION("""COMPUTED_VALUE"""),"JavaScript")</f>
        <v>JavaScript</v>
      </c>
      <c r="K2521" s="9" t="str">
        <f>IFERROR(__xludf.DUMMYFUNCTION("""COMPUTED_VALUE"""),"C++")</f>
        <v>C++</v>
      </c>
      <c r="L2521" s="9" t="str">
        <f>IFERROR(__xludf.DUMMYFUNCTION("""COMPUTED_VALUE"""),"Bash/Shell/PowerShell")</f>
        <v>Bash/Shell/PowerShell</v>
      </c>
      <c r="M2521" s="9" t="s">
        <v>21</v>
      </c>
    </row>
    <row r="2522" ht="15.75" customHeight="1">
      <c r="A2522" s="7"/>
      <c r="B2522" s="7" t="str">
        <f>IFERROR(__xludf.DUMMYFUNCTION("""COMPUTED_VALUE"""),"Assembly;Bash/Shell/PowerShell;C;HTML/CSS;Java;JavaScript;Python;SQL")</f>
        <v>Assembly;Bash/Shell/PowerShell;C;HTML/CSS;Java;JavaScript;Python;SQL</v>
      </c>
      <c r="C2522" s="9" t="str">
        <f>IFERROR(__xludf.DUMMYFUNCTION("""COMPUTED_VALUE"""),"Python")</f>
        <v>Python</v>
      </c>
      <c r="D2522" s="9" t="str">
        <f>IFERROR(__xludf.DUMMYFUNCTION("""COMPUTED_VALUE"""),"HTML/CSS")</f>
        <v>HTML/CSS</v>
      </c>
      <c r="E2522" s="9" t="str">
        <f>IFERROR(__xludf.DUMMYFUNCTION("""COMPUTED_VALUE"""),"Java")</f>
        <v>Java</v>
      </c>
      <c r="F2522" s="9" t="str">
        <f>IFERROR(__xludf.DUMMYFUNCTION("""COMPUTED_VALUE"""),"SQL")</f>
        <v>SQL</v>
      </c>
      <c r="G2522" s="9" t="str">
        <f>IFERROR(__xludf.DUMMYFUNCTION("""COMPUTED_VALUE"""),"JavaScript")</f>
        <v>JavaScript</v>
      </c>
      <c r="H2522" s="9" t="str">
        <f>IFERROR(__xludf.DUMMYFUNCTION("""COMPUTED_VALUE"""),"Bash/Shell/PowerShell")</f>
        <v>Bash/Shell/PowerShell</v>
      </c>
      <c r="I2522" s="9" t="str">
        <f>IFERROR(__xludf.DUMMYFUNCTION("""COMPUTED_VALUE"""),"Bash/Shell/PowerShell")</f>
        <v>Bash/Shell/PowerShell</v>
      </c>
      <c r="J2522" s="9" t="str">
        <f>IFERROR(__xludf.DUMMYFUNCTION("""COMPUTED_VALUE"""),"SQL")</f>
        <v>SQL</v>
      </c>
      <c r="K2522" s="9" t="str">
        <f>IFERROR(__xludf.DUMMYFUNCTION("""COMPUTED_VALUE"""),"HTML/CSS")</f>
        <v>HTML/CSS</v>
      </c>
      <c r="L2522" s="9" t="str">
        <f>IFERROR(__xludf.DUMMYFUNCTION("""COMPUTED_VALUE"""),"C")</f>
        <v>C</v>
      </c>
      <c r="M2522" s="9" t="s">
        <v>22</v>
      </c>
    </row>
    <row r="2523" ht="15.75" customHeight="1">
      <c r="A2523" s="7"/>
      <c r="B2523" s="7" t="str">
        <f>IFERROR(__xludf.DUMMYFUNCTION("""COMPUTED_VALUE"""),"Python")</f>
        <v>Python</v>
      </c>
      <c r="C2523" s="9" t="str">
        <f>IFERROR(__xludf.DUMMYFUNCTION("""COMPUTED_VALUE"""),"SQL")</f>
        <v>SQL</v>
      </c>
      <c r="D2523" s="9" t="str">
        <f>IFERROR(__xludf.DUMMYFUNCTION("""COMPUTED_VALUE"""),"JavaScript")</f>
        <v>JavaScript</v>
      </c>
      <c r="E2523" s="9" t="str">
        <f>IFERROR(__xludf.DUMMYFUNCTION("""COMPUTED_VALUE"""),"JavaScript")</f>
        <v>JavaScript</v>
      </c>
      <c r="F2523" s="9" t="str">
        <f>IFERROR(__xludf.DUMMYFUNCTION("""COMPUTED_VALUE"""),"C")</f>
        <v>C</v>
      </c>
      <c r="G2523" s="9" t="str">
        <f>IFERROR(__xludf.DUMMYFUNCTION("""COMPUTED_VALUE"""),"Python")</f>
        <v>Python</v>
      </c>
      <c r="H2523" s="9" t="str">
        <f>IFERROR(__xludf.DUMMYFUNCTION("""COMPUTED_VALUE"""),"C")</f>
        <v>C</v>
      </c>
      <c r="I2523" s="9" t="str">
        <f>IFERROR(__xludf.DUMMYFUNCTION("""COMPUTED_VALUE"""),"C++")</f>
        <v>C++</v>
      </c>
      <c r="J2523" s="9" t="str">
        <f>IFERROR(__xludf.DUMMYFUNCTION("""COMPUTED_VALUE"""),"TypeScript")</f>
        <v>TypeScript</v>
      </c>
      <c r="K2523" s="9" t="str">
        <f>IFERROR(__xludf.DUMMYFUNCTION("""COMPUTED_VALUE"""),"JavaScript")</f>
        <v>JavaScript</v>
      </c>
      <c r="L2523" s="9" t="str">
        <f>IFERROR(__xludf.DUMMYFUNCTION("""COMPUTED_VALUE"""),"HTML/CSS")</f>
        <v>HTML/CSS</v>
      </c>
      <c r="M2523" s="9" t="s">
        <v>27</v>
      </c>
    </row>
    <row r="2524" ht="15.75" customHeight="1">
      <c r="A2524" s="7"/>
      <c r="B2524" s="7" t="str">
        <f>IFERROR(__xludf.DUMMYFUNCTION("""COMPUTED_VALUE"""),"Assembly;Bash/Shell/PowerShell;C;C++;C#;HTML/CSS;Java;JavaScript;Objective-C;Python;Swift;TypeScript")</f>
        <v>Assembly;Bash/Shell/PowerShell;C;C++;C#;HTML/CSS;Java;JavaScript;Objective-C;Python;Swift;TypeScript</v>
      </c>
      <c r="C2524" s="9" t="str">
        <f>IFERROR(__xludf.DUMMYFUNCTION("""COMPUTED_VALUE"""),"TypeScript")</f>
        <v>TypeScript</v>
      </c>
      <c r="D2524" s="9" t="str">
        <f>IFERROR(__xludf.DUMMYFUNCTION("""COMPUTED_VALUE"""),"HTML/CSS")</f>
        <v>HTML/CSS</v>
      </c>
      <c r="E2524" s="9" t="str">
        <f>IFERROR(__xludf.DUMMYFUNCTION("""COMPUTED_VALUE"""),"Python")</f>
        <v>Python</v>
      </c>
      <c r="F2524" s="9" t="str">
        <f>IFERROR(__xludf.DUMMYFUNCTION("""COMPUTED_VALUE"""),"Java")</f>
        <v>Java</v>
      </c>
      <c r="G2524" s="9" t="str">
        <f>IFERROR(__xludf.DUMMYFUNCTION("""COMPUTED_VALUE"""),"Assembly")</f>
        <v>Assembly</v>
      </c>
      <c r="H2524" s="9" t="str">
        <f>IFERROR(__xludf.DUMMYFUNCTION("""COMPUTED_VALUE"""),"C++")</f>
        <v>C++</v>
      </c>
      <c r="I2524" s="9" t="str">
        <f>IFERROR(__xludf.DUMMYFUNCTION("""COMPUTED_VALUE"""),"C#")</f>
        <v>C#</v>
      </c>
      <c r="J2524" s="9" t="str">
        <f>IFERROR(__xludf.DUMMYFUNCTION("""COMPUTED_VALUE"""),"Python")</f>
        <v>Python</v>
      </c>
      <c r="K2524" s="9" t="str">
        <f>IFERROR(__xludf.DUMMYFUNCTION("""COMPUTED_VALUE"""),"PHP")</f>
        <v>PHP</v>
      </c>
      <c r="L2524" s="9" t="str">
        <f>IFERROR(__xludf.DUMMYFUNCTION("""COMPUTED_VALUE"""),"JavaScript")</f>
        <v>JavaScript</v>
      </c>
      <c r="M2524" s="9" t="s">
        <v>33</v>
      </c>
    </row>
    <row r="2525" ht="15.75" customHeight="1">
      <c r="A2525" s="7"/>
      <c r="B2525" s="7" t="str">
        <f>IFERROR(__xludf.DUMMYFUNCTION("""COMPUTED_VALUE"""),"HTML/CSS;JavaScript;PHP")</f>
        <v>HTML/CSS;JavaScript;PHP</v>
      </c>
      <c r="C2525" s="9" t="str">
        <f>IFERROR(__xludf.DUMMYFUNCTION("""COMPUTED_VALUE"""),"HTML/CSS")</f>
        <v>HTML/CSS</v>
      </c>
      <c r="D2525" s="9" t="str">
        <f>IFERROR(__xludf.DUMMYFUNCTION("""COMPUTED_VALUE"""),"TypeScript")</f>
        <v>TypeScript</v>
      </c>
      <c r="E2525" s="9" t="str">
        <f>IFERROR(__xludf.DUMMYFUNCTION("""COMPUTED_VALUE"""),"SQL")</f>
        <v>SQL</v>
      </c>
      <c r="F2525" s="9" t="str">
        <f>IFERROR(__xludf.DUMMYFUNCTION("""COMPUTED_VALUE"""),"Python")</f>
        <v>Python</v>
      </c>
      <c r="G2525" s="9" t="str">
        <f>IFERROR(__xludf.DUMMYFUNCTION("""COMPUTED_VALUE"""),"Bash/Shell/PowerShell")</f>
        <v>Bash/Shell/PowerShell</v>
      </c>
      <c r="H2525" s="9" t="str">
        <f>IFERROR(__xludf.DUMMYFUNCTION("""COMPUTED_VALUE"""),"C#")</f>
        <v>C#</v>
      </c>
      <c r="I2525" s="9" t="str">
        <f>IFERROR(__xludf.DUMMYFUNCTION("""COMPUTED_VALUE"""),"HTML/CSS")</f>
        <v>HTML/CSS</v>
      </c>
      <c r="J2525" s="9" t="str">
        <f>IFERROR(__xludf.DUMMYFUNCTION("""COMPUTED_VALUE"""),"Other(s):")</f>
        <v>Other(s):</v>
      </c>
      <c r="K2525" s="9" t="str">
        <f>IFERROR(__xludf.DUMMYFUNCTION("""COMPUTED_VALUE"""),"Python")</f>
        <v>Python</v>
      </c>
      <c r="L2525" s="9" t="str">
        <f>IFERROR(__xludf.DUMMYFUNCTION("""COMPUTED_VALUE"""),"Python")</f>
        <v>Python</v>
      </c>
      <c r="M2525" s="9" t="s">
        <v>24</v>
      </c>
    </row>
    <row r="2526" ht="15.75" customHeight="1">
      <c r="A2526" s="7"/>
      <c r="B2526" s="7" t="str">
        <f>IFERROR(__xludf.DUMMYFUNCTION("""COMPUTED_VALUE"""),"C++;Java;Objective-C;Python;Swift")</f>
        <v>C++;Java;Objective-C;Python;Swift</v>
      </c>
      <c r="C2526" s="9" t="str">
        <f>IFERROR(__xludf.DUMMYFUNCTION("""COMPUTED_VALUE"""),"JavaScript")</f>
        <v>JavaScript</v>
      </c>
      <c r="D2526" s="9" t="str">
        <f>IFERROR(__xludf.DUMMYFUNCTION("""COMPUTED_VALUE"""),"Bash/Shell/PowerShell")</f>
        <v>Bash/Shell/PowerShell</v>
      </c>
      <c r="E2526" s="9" t="str">
        <f>IFERROR(__xludf.DUMMYFUNCTION("""COMPUTED_VALUE"""),"TypeScript")</f>
        <v>TypeScript</v>
      </c>
      <c r="F2526" s="9" t="str">
        <f>IFERROR(__xludf.DUMMYFUNCTION("""COMPUTED_VALUE"""),"HTML/CSS")</f>
        <v>HTML/CSS</v>
      </c>
      <c r="G2526" s="9" t="str">
        <f>IFERROR(__xludf.DUMMYFUNCTION("""COMPUTED_VALUE"""),"C")</f>
        <v>C</v>
      </c>
      <c r="H2526" s="9" t="str">
        <f>IFERROR(__xludf.DUMMYFUNCTION("""COMPUTED_VALUE"""),"HTML/CSS")</f>
        <v>HTML/CSS</v>
      </c>
      <c r="I2526" s="9" t="str">
        <f>IFERROR(__xludf.DUMMYFUNCTION("""COMPUTED_VALUE"""),"Java")</f>
        <v>Java</v>
      </c>
      <c r="J2526" s="9" t="str">
        <f>IFERROR(__xludf.DUMMYFUNCTION("""COMPUTED_VALUE"""),"Java")</f>
        <v>Java</v>
      </c>
      <c r="K2526" s="9" t="str">
        <f>IFERROR(__xludf.DUMMYFUNCTION("""COMPUTED_VALUE"""),"SQL")</f>
        <v>SQL</v>
      </c>
      <c r="L2526" s="9" t="str">
        <f>IFERROR(__xludf.DUMMYFUNCTION("""COMPUTED_VALUE"""),"SQL")</f>
        <v>SQL</v>
      </c>
      <c r="M2526" s="9" t="s">
        <v>21</v>
      </c>
    </row>
    <row r="2527" ht="15.75" customHeight="1">
      <c r="A2527" s="7"/>
      <c r="B2527" s="7" t="str">
        <f>IFERROR(__xludf.DUMMYFUNCTION("""COMPUTED_VALUE"""),"HTML/CSS;Java;JavaScript;Objective-C;Python;TypeScript")</f>
        <v>HTML/CSS;Java;JavaScript;Objective-C;Python;TypeScript</v>
      </c>
      <c r="C2527" s="9" t="str">
        <f>IFERROR(__xludf.DUMMYFUNCTION("""COMPUTED_VALUE"""),"HTML/CSS")</f>
        <v>HTML/CSS</v>
      </c>
      <c r="D2527" s="9" t="str">
        <f>IFERROR(__xludf.DUMMYFUNCTION("""COMPUTED_VALUE"""),"C#")</f>
        <v>C#</v>
      </c>
      <c r="E2527" s="9" t="str">
        <f>IFERROR(__xludf.DUMMYFUNCTION("""COMPUTED_VALUE"""),"Assembly")</f>
        <v>Assembly</v>
      </c>
      <c r="F2527" s="9" t="str">
        <f>IFERROR(__xludf.DUMMYFUNCTION("""COMPUTED_VALUE"""),"JavaScript")</f>
        <v>JavaScript</v>
      </c>
      <c r="G2527" s="9" t="str">
        <f>IFERROR(__xludf.DUMMYFUNCTION("""COMPUTED_VALUE"""),"C++")</f>
        <v>C++</v>
      </c>
      <c r="H2527" s="9" t="str">
        <f>IFERROR(__xludf.DUMMYFUNCTION("""COMPUTED_VALUE"""),"Java")</f>
        <v>Java</v>
      </c>
      <c r="I2527" s="9" t="str">
        <f>IFERROR(__xludf.DUMMYFUNCTION("""COMPUTED_VALUE"""),"JavaScript")</f>
        <v>JavaScript</v>
      </c>
      <c r="J2527" s="9" t="str">
        <f>IFERROR(__xludf.DUMMYFUNCTION("""COMPUTED_VALUE"""),"JavaScript")</f>
        <v>JavaScript</v>
      </c>
      <c r="K2527" s="9" t="str">
        <f>IFERROR(__xludf.DUMMYFUNCTION("""COMPUTED_VALUE"""),"C#")</f>
        <v>C#</v>
      </c>
      <c r="L2527" s="9" t="str">
        <f>IFERROR(__xludf.DUMMYFUNCTION("""COMPUTED_VALUE"""),"HTML/CSS")</f>
        <v>HTML/CSS</v>
      </c>
      <c r="M2527" s="9" t="s">
        <v>24</v>
      </c>
    </row>
    <row r="2528" ht="15.75" customHeight="1">
      <c r="A2528" s="7"/>
      <c r="B2528" s="7" t="str">
        <f>IFERROR(__xludf.DUMMYFUNCTION("""COMPUTED_VALUE"""),"C++")</f>
        <v>C++</v>
      </c>
      <c r="C2528" s="9" t="str">
        <f>IFERROR(__xludf.DUMMYFUNCTION("""COMPUTED_VALUE"""),"Python")</f>
        <v>Python</v>
      </c>
      <c r="D2528" s="9" t="str">
        <f>IFERROR(__xludf.DUMMYFUNCTION("""COMPUTED_VALUE"""),"Java")</f>
        <v>Java</v>
      </c>
      <c r="E2528" s="9" t="str">
        <f>IFERROR(__xludf.DUMMYFUNCTION("""COMPUTED_VALUE"""),"Bash/Shell/PowerShell")</f>
        <v>Bash/Shell/PowerShell</v>
      </c>
      <c r="F2528" s="9" t="str">
        <f>IFERROR(__xludf.DUMMYFUNCTION("""COMPUTED_VALUE"""),"TypeScript")</f>
        <v>TypeScript</v>
      </c>
      <c r="G2528" s="9" t="str">
        <f>IFERROR(__xludf.DUMMYFUNCTION("""COMPUTED_VALUE"""),"C#")</f>
        <v>C#</v>
      </c>
      <c r="H2528" s="9" t="str">
        <f>IFERROR(__xludf.DUMMYFUNCTION("""COMPUTED_VALUE"""),"JavaScript")</f>
        <v>JavaScript</v>
      </c>
      <c r="I2528" s="9" t="str">
        <f>IFERROR(__xludf.DUMMYFUNCTION("""COMPUTED_VALUE"""),"Python")</f>
        <v>Python</v>
      </c>
      <c r="J2528" s="9" t="str">
        <f>IFERROR(__xludf.DUMMYFUNCTION("""COMPUTED_VALUE"""),"SQL")</f>
        <v>SQL</v>
      </c>
      <c r="K2528" s="9" t="str">
        <f>IFERROR(__xludf.DUMMYFUNCTION("""COMPUTED_VALUE"""),"HTML/CSS")</f>
        <v>HTML/CSS</v>
      </c>
      <c r="L2528" s="9" t="str">
        <f>IFERROR(__xludf.DUMMYFUNCTION("""COMPUTED_VALUE"""),"Java")</f>
        <v>Java</v>
      </c>
      <c r="M2528" s="9" t="s">
        <v>22</v>
      </c>
    </row>
    <row r="2529" ht="15.75" customHeight="1">
      <c r="A2529" s="7"/>
      <c r="B2529" s="7" t="str">
        <f>IFERROR(__xludf.DUMMYFUNCTION("""COMPUTED_VALUE"""),"HTML/CSS;JavaScript;PHP;SQL;TypeScript")</f>
        <v>HTML/CSS;JavaScript;PHP;SQL;TypeScript</v>
      </c>
      <c r="C2529" s="9" t="str">
        <f>IFERROR(__xludf.DUMMYFUNCTION("""COMPUTED_VALUE"""),"Bash/Shell/PowerShell")</f>
        <v>Bash/Shell/PowerShell</v>
      </c>
      <c r="D2529" s="9" t="str">
        <f>IFERROR(__xludf.DUMMYFUNCTION("""COMPUTED_VALUE"""),"JavaScript")</f>
        <v>JavaScript</v>
      </c>
      <c r="E2529" s="9" t="str">
        <f>IFERROR(__xludf.DUMMYFUNCTION("""COMPUTED_VALUE"""),"C")</f>
        <v>C</v>
      </c>
      <c r="F2529" s="9" t="str">
        <f>IFERROR(__xludf.DUMMYFUNCTION("""COMPUTED_VALUE"""),"Go")</f>
        <v>Go</v>
      </c>
      <c r="G2529" s="9" t="str">
        <f>IFERROR(__xludf.DUMMYFUNCTION("""COMPUTED_VALUE"""),"Go")</f>
        <v>Go</v>
      </c>
      <c r="H2529" s="9" t="str">
        <f>IFERROR(__xludf.DUMMYFUNCTION("""COMPUTED_VALUE"""),"Python")</f>
        <v>Python</v>
      </c>
      <c r="I2529" s="9" t="str">
        <f>IFERROR(__xludf.DUMMYFUNCTION("""COMPUTED_VALUE"""),"TypeScript")</f>
        <v>TypeScript</v>
      </c>
      <c r="J2529" s="9" t="str">
        <f>IFERROR(__xludf.DUMMYFUNCTION("""COMPUTED_VALUE"""),"C#")</f>
        <v>C#</v>
      </c>
      <c r="K2529" s="9" t="str">
        <f>IFERROR(__xludf.DUMMYFUNCTION("""COMPUTED_VALUE"""),"Java")</f>
        <v>Java</v>
      </c>
      <c r="L2529" s="9" t="str">
        <f>IFERROR(__xludf.DUMMYFUNCTION("""COMPUTED_VALUE"""),"JavaScript")</f>
        <v>JavaScript</v>
      </c>
      <c r="M2529" s="9" t="s">
        <v>30</v>
      </c>
    </row>
    <row r="2530" ht="15.75" customHeight="1">
      <c r="A2530" s="7"/>
      <c r="B2530" s="7" t="str">
        <f>IFERROR(__xludf.DUMMYFUNCTION("""COMPUTED_VALUE"""),"Bash/Shell/PowerShell;C++;C#;HTML/CSS;Java;JavaScript;PHP;Python;Ruby")</f>
        <v>Bash/Shell/PowerShell;C++;C#;HTML/CSS;Java;JavaScript;PHP;Python;Ruby</v>
      </c>
      <c r="C2530" s="9" t="str">
        <f>IFERROR(__xludf.DUMMYFUNCTION("""COMPUTED_VALUE"""),"HTML/CSS")</f>
        <v>HTML/CSS</v>
      </c>
      <c r="D2530" s="9" t="str">
        <f>IFERROR(__xludf.DUMMYFUNCTION("""COMPUTED_VALUE"""),"Kotlin")</f>
        <v>Kotlin</v>
      </c>
      <c r="E2530" s="9" t="str">
        <f>IFERROR(__xludf.DUMMYFUNCTION("""COMPUTED_VALUE"""),"C++")</f>
        <v>C++</v>
      </c>
      <c r="F2530" s="9" t="str">
        <f>IFERROR(__xludf.DUMMYFUNCTION("""COMPUTED_VALUE"""),"HTML/CSS")</f>
        <v>HTML/CSS</v>
      </c>
      <c r="G2530" s="9" t="str">
        <f>IFERROR(__xludf.DUMMYFUNCTION("""COMPUTED_VALUE"""),"HTML/CSS")</f>
        <v>HTML/CSS</v>
      </c>
      <c r="H2530" s="9" t="str">
        <f>IFERROR(__xludf.DUMMYFUNCTION("""COMPUTED_VALUE"""),"SQL")</f>
        <v>SQL</v>
      </c>
      <c r="I2530" s="9" t="str">
        <f>IFERROR(__xludf.DUMMYFUNCTION("""COMPUTED_VALUE"""),"Bash/Shell/PowerShell")</f>
        <v>Bash/Shell/PowerShell</v>
      </c>
      <c r="J2530" s="9" t="str">
        <f>IFERROR(__xludf.DUMMYFUNCTION("""COMPUTED_VALUE"""),"HTML/CSS")</f>
        <v>HTML/CSS</v>
      </c>
      <c r="K2530" s="9" t="str">
        <f>IFERROR(__xludf.DUMMYFUNCTION("""COMPUTED_VALUE"""),"JavaScript")</f>
        <v>JavaScript</v>
      </c>
      <c r="L2530" s="9" t="str">
        <f>IFERROR(__xludf.DUMMYFUNCTION("""COMPUTED_VALUE"""),"SQL")</f>
        <v>SQL</v>
      </c>
      <c r="M2530" s="9" t="s">
        <v>24</v>
      </c>
    </row>
    <row r="2531" ht="15.75" customHeight="1">
      <c r="A2531" s="7"/>
      <c r="B2531" s="7" t="str">
        <f>IFERROR(__xludf.DUMMYFUNCTION("""COMPUTED_VALUE"""),"Bash/Shell/PowerShell;C")</f>
        <v>Bash/Shell/PowerShell;C</v>
      </c>
      <c r="C2531" s="9" t="str">
        <f>IFERROR(__xludf.DUMMYFUNCTION("""COMPUTED_VALUE"""),"JavaScript")</f>
        <v>JavaScript</v>
      </c>
      <c r="D2531" s="9" t="str">
        <f>IFERROR(__xludf.DUMMYFUNCTION("""COMPUTED_VALUE"""),"PHP")</f>
        <v>PHP</v>
      </c>
      <c r="E2531" s="9" t="str">
        <f>IFERROR(__xludf.DUMMYFUNCTION("""COMPUTED_VALUE"""),"HTML/CSS")</f>
        <v>HTML/CSS</v>
      </c>
      <c r="F2531" s="9" t="str">
        <f>IFERROR(__xludf.DUMMYFUNCTION("""COMPUTED_VALUE"""),"Java")</f>
        <v>Java</v>
      </c>
      <c r="G2531" s="9" t="str">
        <f>IFERROR(__xludf.DUMMYFUNCTION("""COMPUTED_VALUE"""),"Java")</f>
        <v>Java</v>
      </c>
      <c r="H2531" s="9" t="str">
        <f>IFERROR(__xludf.DUMMYFUNCTION("""COMPUTED_VALUE"""),"Other(s):")</f>
        <v>Other(s):</v>
      </c>
      <c r="I2531" s="9" t="str">
        <f>IFERROR(__xludf.DUMMYFUNCTION("""COMPUTED_VALUE"""),"C")</f>
        <v>C</v>
      </c>
      <c r="J2531" s="9" t="str">
        <f>IFERROR(__xludf.DUMMYFUNCTION("""COMPUTED_VALUE"""),"Java")</f>
        <v>Java</v>
      </c>
      <c r="K2531" s="9" t="str">
        <f>IFERROR(__xludf.DUMMYFUNCTION("""COMPUTED_VALUE"""),"Go")</f>
        <v>Go</v>
      </c>
      <c r="L2531" s="9" t="str">
        <f>IFERROR(__xludf.DUMMYFUNCTION("""COMPUTED_VALUE"""),"TypeScript")</f>
        <v>TypeScript</v>
      </c>
      <c r="M2531" s="9" t="s">
        <v>21</v>
      </c>
    </row>
    <row r="2532" ht="15.75" customHeight="1">
      <c r="A2532" s="7"/>
      <c r="B2532" s="7" t="str">
        <f>IFERROR(__xludf.DUMMYFUNCTION("""COMPUTED_VALUE"""),"Kotlin")</f>
        <v>Kotlin</v>
      </c>
      <c r="C2532" s="9" t="str">
        <f>IFERROR(__xludf.DUMMYFUNCTION("""COMPUTED_VALUE"""),"Python")</f>
        <v>Python</v>
      </c>
      <c r="D2532" s="9" t="str">
        <f>IFERROR(__xludf.DUMMYFUNCTION("""COMPUTED_VALUE"""),"Swift")</f>
        <v>Swift</v>
      </c>
      <c r="E2532" s="9" t="str">
        <f>IFERROR(__xludf.DUMMYFUNCTION("""COMPUTED_VALUE"""),"Java")</f>
        <v>Java</v>
      </c>
      <c r="F2532" s="9" t="str">
        <f>IFERROR(__xludf.DUMMYFUNCTION("""COMPUTED_VALUE"""),"JavaScript")</f>
        <v>JavaScript</v>
      </c>
      <c r="G2532" s="9" t="str">
        <f>IFERROR(__xludf.DUMMYFUNCTION("""COMPUTED_VALUE"""),"JavaScript")</f>
        <v>JavaScript</v>
      </c>
      <c r="H2532" s="9" t="str">
        <f>IFERROR(__xludf.DUMMYFUNCTION("""COMPUTED_VALUE"""),"HTML/CSS")</f>
        <v>HTML/CSS</v>
      </c>
      <c r="I2532" s="9" t="str">
        <f>IFERROR(__xludf.DUMMYFUNCTION("""COMPUTED_VALUE"""),"C++")</f>
        <v>C++</v>
      </c>
      <c r="J2532" s="9" t="str">
        <f>IFERROR(__xludf.DUMMYFUNCTION("""COMPUTED_VALUE"""),"JavaScript")</f>
        <v>JavaScript</v>
      </c>
      <c r="K2532" s="9" t="str">
        <f>IFERROR(__xludf.DUMMYFUNCTION("""COMPUTED_VALUE"""),"HTML/CSS")</f>
        <v>HTML/CSS</v>
      </c>
      <c r="L2532" s="9" t="str">
        <f>IFERROR(__xludf.DUMMYFUNCTION("""COMPUTED_VALUE"""),"C")</f>
        <v>C</v>
      </c>
      <c r="M2532" s="9" t="s">
        <v>22</v>
      </c>
    </row>
    <row r="2533" ht="15.75" customHeight="1">
      <c r="A2533" s="7"/>
      <c r="B2533" s="7" t="str">
        <f>IFERROR(__xludf.DUMMYFUNCTION("""COMPUTED_VALUE"""),"HTML/CSS;JavaScript;TypeScript")</f>
        <v>HTML/CSS;JavaScript;TypeScript</v>
      </c>
      <c r="C2533" s="9" t="str">
        <f>IFERROR(__xludf.DUMMYFUNCTION("""COMPUTED_VALUE"""),"R")</f>
        <v>R</v>
      </c>
      <c r="D2533" s="9" t="str">
        <f>IFERROR(__xludf.DUMMYFUNCTION("""COMPUTED_VALUE"""),"Go")</f>
        <v>Go</v>
      </c>
      <c r="E2533" s="9" t="str">
        <f>IFERROR(__xludf.DUMMYFUNCTION("""COMPUTED_VALUE"""),"JavaScript")</f>
        <v>JavaScript</v>
      </c>
      <c r="F2533" s="9" t="str">
        <f>IFERROR(__xludf.DUMMYFUNCTION("""COMPUTED_VALUE"""),"Python")</f>
        <v>Python</v>
      </c>
      <c r="G2533" s="9" t="str">
        <f>IFERROR(__xludf.DUMMYFUNCTION("""COMPUTED_VALUE"""),"PHP")</f>
        <v>PHP</v>
      </c>
      <c r="H2533" s="9" t="str">
        <f>IFERROR(__xludf.DUMMYFUNCTION("""COMPUTED_VALUE"""),"Java")</f>
        <v>Java</v>
      </c>
      <c r="I2533" s="9" t="str">
        <f>IFERROR(__xludf.DUMMYFUNCTION("""COMPUTED_VALUE"""),"C#")</f>
        <v>C#</v>
      </c>
      <c r="J2533" s="9" t="str">
        <f>IFERROR(__xludf.DUMMYFUNCTION("""COMPUTED_VALUE"""),"Python")</f>
        <v>Python</v>
      </c>
      <c r="K2533" s="9" t="str">
        <f>IFERROR(__xludf.DUMMYFUNCTION("""COMPUTED_VALUE"""),"Java")</f>
        <v>Java</v>
      </c>
      <c r="L2533" s="9" t="str">
        <f>IFERROR(__xludf.DUMMYFUNCTION("""COMPUTED_VALUE"""),"C++")</f>
        <v>C++</v>
      </c>
      <c r="M2533" s="9" t="s">
        <v>29</v>
      </c>
    </row>
    <row r="2534" ht="15.75" customHeight="1">
      <c r="A2534" s="7"/>
      <c r="B2534" s="7" t="str">
        <f>IFERROR(__xludf.DUMMYFUNCTION("""COMPUTED_VALUE"""),"Bash/Shell/PowerShell;C#;HTML/CSS;JavaScript;SQL;TypeScript")</f>
        <v>Bash/Shell/PowerShell;C#;HTML/CSS;JavaScript;SQL;TypeScript</v>
      </c>
      <c r="C2534" s="9" t="str">
        <f>IFERROR(__xludf.DUMMYFUNCTION("""COMPUTED_VALUE"""),"Python")</f>
        <v>Python</v>
      </c>
      <c r="D2534" s="9" t="str">
        <f>IFERROR(__xludf.DUMMYFUNCTION("""COMPUTED_VALUE"""),"HTML/CSS")</f>
        <v>HTML/CSS</v>
      </c>
      <c r="E2534" s="9" t="str">
        <f>IFERROR(__xludf.DUMMYFUNCTION("""COMPUTED_VALUE"""),"Kotlin")</f>
        <v>Kotlin</v>
      </c>
      <c r="F2534" s="9" t="str">
        <f>IFERROR(__xludf.DUMMYFUNCTION("""COMPUTED_VALUE"""),"Ruby")</f>
        <v>Ruby</v>
      </c>
      <c r="G2534" s="9" t="str">
        <f>IFERROR(__xludf.DUMMYFUNCTION("""COMPUTED_VALUE"""),"Python")</f>
        <v>Python</v>
      </c>
      <c r="H2534" s="9" t="str">
        <f>IFERROR(__xludf.DUMMYFUNCTION("""COMPUTED_VALUE"""),"JavaScript")</f>
        <v>JavaScript</v>
      </c>
      <c r="I2534" s="9" t="str">
        <f>IFERROR(__xludf.DUMMYFUNCTION("""COMPUTED_VALUE"""),"HTML/CSS")</f>
        <v>HTML/CSS</v>
      </c>
      <c r="J2534" s="9" t="str">
        <f>IFERROR(__xludf.DUMMYFUNCTION("""COMPUTED_VALUE"""),"SQL")</f>
        <v>SQL</v>
      </c>
      <c r="K2534" s="9" t="str">
        <f>IFERROR(__xludf.DUMMYFUNCTION("""COMPUTED_VALUE"""),"JavaScript")</f>
        <v>JavaScript</v>
      </c>
      <c r="L2534" s="9" t="str">
        <f>IFERROR(__xludf.DUMMYFUNCTION("""COMPUTED_VALUE"""),"HTML/CSS")</f>
        <v>HTML/CSS</v>
      </c>
      <c r="M2534" s="9" t="s">
        <v>22</v>
      </c>
    </row>
    <row r="2535" ht="15.75" customHeight="1">
      <c r="A2535" s="7"/>
      <c r="B2535" s="7" t="str">
        <f>IFERROR(__xludf.DUMMYFUNCTION("""COMPUTED_VALUE"""),"Assembly;C;C++;Java;VBA")</f>
        <v>Assembly;C;C++;Java;VBA</v>
      </c>
      <c r="C2535" s="9" t="str">
        <f>IFERROR(__xludf.DUMMYFUNCTION("""COMPUTED_VALUE"""),"Other(s):")</f>
        <v>Other(s):</v>
      </c>
      <c r="D2535" s="9" t="str">
        <f>IFERROR(__xludf.DUMMYFUNCTION("""COMPUTED_VALUE"""),"JavaScript")</f>
        <v>JavaScript</v>
      </c>
      <c r="E2535" s="9" t="str">
        <f>IFERROR(__xludf.DUMMYFUNCTION("""COMPUTED_VALUE"""),"Objective-C")</f>
        <v>Objective-C</v>
      </c>
      <c r="F2535" s="9" t="str">
        <f>IFERROR(__xludf.DUMMYFUNCTION("""COMPUTED_VALUE"""),"SQL")</f>
        <v>SQL</v>
      </c>
      <c r="G2535" s="9" t="str">
        <f>IFERROR(__xludf.DUMMYFUNCTION("""COMPUTED_VALUE"""),"SQL")</f>
        <v>SQL</v>
      </c>
      <c r="H2535" s="9" t="str">
        <f>IFERROR(__xludf.DUMMYFUNCTION("""COMPUTED_VALUE"""),"PHP")</f>
        <v>PHP</v>
      </c>
      <c r="I2535" s="9" t="str">
        <f>IFERROR(__xludf.DUMMYFUNCTION("""COMPUTED_VALUE"""),"Java")</f>
        <v>Java</v>
      </c>
      <c r="J2535" s="9" t="str">
        <f>IFERROR(__xludf.DUMMYFUNCTION("""COMPUTED_VALUE"""),"TypeScript")</f>
        <v>TypeScript</v>
      </c>
      <c r="K2535" s="9" t="str">
        <f>IFERROR(__xludf.DUMMYFUNCTION("""COMPUTED_VALUE"""),"Kotlin")</f>
        <v>Kotlin</v>
      </c>
      <c r="L2535" s="9" t="str">
        <f>IFERROR(__xludf.DUMMYFUNCTION("""COMPUTED_VALUE"""),"Python")</f>
        <v>Python</v>
      </c>
      <c r="M2535" s="9" t="s">
        <v>35</v>
      </c>
    </row>
    <row r="2536" ht="15.75" customHeight="1">
      <c r="A2536" s="7"/>
      <c r="B2536" s="7" t="str">
        <f>IFERROR(__xludf.DUMMYFUNCTION("""COMPUTED_VALUE"""),"Bash/Shell/PowerShell;C;C++;HTML/CSS;Java;JavaScript;Python;SQL;TypeScript")</f>
        <v>Bash/Shell/PowerShell;C;C++;HTML/CSS;Java;JavaScript;Python;SQL;TypeScript</v>
      </c>
      <c r="C2536" s="9" t="str">
        <f>IFERROR(__xludf.DUMMYFUNCTION("""COMPUTED_VALUE"""),"C#")</f>
        <v>C#</v>
      </c>
      <c r="D2536" s="9" t="str">
        <f>IFERROR(__xludf.DUMMYFUNCTION("""COMPUTED_VALUE"""),"SQL")</f>
        <v>SQL</v>
      </c>
      <c r="E2536" s="9" t="str">
        <f>IFERROR(__xludf.DUMMYFUNCTION("""COMPUTED_VALUE"""),"Python")</f>
        <v>Python</v>
      </c>
      <c r="F2536" s="9" t="str">
        <f>IFERROR(__xludf.DUMMYFUNCTION("""COMPUTED_VALUE"""),"C#")</f>
        <v>C#</v>
      </c>
      <c r="G2536" s="9" t="str">
        <f>IFERROR(__xludf.DUMMYFUNCTION("""COMPUTED_VALUE"""),"Bash/Shell/PowerShell")</f>
        <v>Bash/Shell/PowerShell</v>
      </c>
      <c r="H2536" s="9" t="str">
        <f>IFERROR(__xludf.DUMMYFUNCTION("""COMPUTED_VALUE"""),"SQL")</f>
        <v>SQL</v>
      </c>
      <c r="I2536" s="9" t="str">
        <f>IFERROR(__xludf.DUMMYFUNCTION("""COMPUTED_VALUE"""),"JavaScript")</f>
        <v>JavaScript</v>
      </c>
      <c r="J2536" s="9" t="str">
        <f>IFERROR(__xludf.DUMMYFUNCTION("""COMPUTED_VALUE"""),"Assembly")</f>
        <v>Assembly</v>
      </c>
      <c r="K2536" s="9" t="str">
        <f>IFERROR(__xludf.DUMMYFUNCTION("""COMPUTED_VALUE"""),"SQL")</f>
        <v>SQL</v>
      </c>
      <c r="L2536" s="9" t="str">
        <f>IFERROR(__xludf.DUMMYFUNCTION("""COMPUTED_VALUE"""),"C#")</f>
        <v>C#</v>
      </c>
      <c r="M2536" s="9" t="s">
        <v>26</v>
      </c>
    </row>
    <row r="2537" ht="15.75" customHeight="1">
      <c r="A2537" s="7"/>
      <c r="B2537" s="7" t="str">
        <f>IFERROR(__xludf.DUMMYFUNCTION("""COMPUTED_VALUE"""),"HTML/CSS;JavaScript;PHP;Python;SQL")</f>
        <v>HTML/CSS;JavaScript;PHP;Python;SQL</v>
      </c>
      <c r="C2537" s="9" t="str">
        <f>IFERROR(__xludf.DUMMYFUNCTION("""COMPUTED_VALUE"""),"SQL")</f>
        <v>SQL</v>
      </c>
      <c r="D2537" s="9" t="str">
        <f>IFERROR(__xludf.DUMMYFUNCTION("""COMPUTED_VALUE"""),"Swift")</f>
        <v>Swift</v>
      </c>
      <c r="E2537" s="9" t="str">
        <f>IFERROR(__xludf.DUMMYFUNCTION("""COMPUTED_VALUE"""),"SQL")</f>
        <v>SQL</v>
      </c>
      <c r="F2537" s="9" t="str">
        <f>IFERROR(__xludf.DUMMYFUNCTION("""COMPUTED_VALUE"""),"HTML/CSS")</f>
        <v>HTML/CSS</v>
      </c>
      <c r="G2537" s="9" t="str">
        <f>IFERROR(__xludf.DUMMYFUNCTION("""COMPUTED_VALUE"""),"C#")</f>
        <v>C#</v>
      </c>
      <c r="H2537" s="9" t="str">
        <f>IFERROR(__xludf.DUMMYFUNCTION("""COMPUTED_VALUE"""),"TypeScript")</f>
        <v>TypeScript</v>
      </c>
      <c r="I2537" s="9" t="str">
        <f>IFERROR(__xludf.DUMMYFUNCTION("""COMPUTED_VALUE"""),"PHP")</f>
        <v>PHP</v>
      </c>
      <c r="J2537" s="9" t="str">
        <f>IFERROR(__xludf.DUMMYFUNCTION("""COMPUTED_VALUE"""),"Bash/Shell/PowerShell")</f>
        <v>Bash/Shell/PowerShell</v>
      </c>
      <c r="K2537" s="9" t="str">
        <f>IFERROR(__xludf.DUMMYFUNCTION("""COMPUTED_VALUE"""),"Bash/Shell/PowerShell")</f>
        <v>Bash/Shell/PowerShell</v>
      </c>
      <c r="L2537" s="9" t="str">
        <f>IFERROR(__xludf.DUMMYFUNCTION("""COMPUTED_VALUE"""),"HTML/CSS")</f>
        <v>HTML/CSS</v>
      </c>
      <c r="M2537" s="9" t="s">
        <v>27</v>
      </c>
    </row>
    <row r="2538" ht="15.75" customHeight="1">
      <c r="A2538" s="7"/>
      <c r="B2538" s="7" t="str">
        <f>IFERROR(__xludf.DUMMYFUNCTION("""COMPUTED_VALUE"""),"C++;Python")</f>
        <v>C++;Python</v>
      </c>
      <c r="C2538" s="9" t="str">
        <f>IFERROR(__xludf.DUMMYFUNCTION("""COMPUTED_VALUE"""),"VBA")</f>
        <v>VBA</v>
      </c>
      <c r="D2538" s="9" t="str">
        <f>IFERROR(__xludf.DUMMYFUNCTION("""COMPUTED_VALUE"""),"Python")</f>
        <v>Python</v>
      </c>
      <c r="E2538" s="9" t="str">
        <f>IFERROR(__xludf.DUMMYFUNCTION("""COMPUTED_VALUE"""),"Swift")</f>
        <v>Swift</v>
      </c>
      <c r="F2538" s="9" t="str">
        <f>IFERROR(__xludf.DUMMYFUNCTION("""COMPUTED_VALUE"""),"JavaScript")</f>
        <v>JavaScript</v>
      </c>
      <c r="G2538" s="9" t="str">
        <f>IFERROR(__xludf.DUMMYFUNCTION("""COMPUTED_VALUE"""),"SQL")</f>
        <v>SQL</v>
      </c>
      <c r="H2538" s="9" t="str">
        <f>IFERROR(__xludf.DUMMYFUNCTION("""COMPUTED_VALUE"""),"Bash/Shell/PowerShell")</f>
        <v>Bash/Shell/PowerShell</v>
      </c>
      <c r="I2538" s="9" t="str">
        <f>IFERROR(__xludf.DUMMYFUNCTION("""COMPUTED_VALUE"""),"Python")</f>
        <v>Python</v>
      </c>
      <c r="J2538" s="9" t="str">
        <f>IFERROR(__xludf.DUMMYFUNCTION("""COMPUTED_VALUE"""),"Java")</f>
        <v>Java</v>
      </c>
      <c r="K2538" s="9" t="str">
        <f>IFERROR(__xludf.DUMMYFUNCTION("""COMPUTED_VALUE"""),"C#")</f>
        <v>C#</v>
      </c>
      <c r="L2538" s="9" t="str">
        <f>IFERROR(__xludf.DUMMYFUNCTION("""COMPUTED_VALUE"""),"Java")</f>
        <v>Java</v>
      </c>
      <c r="M2538" s="9" t="s">
        <v>28</v>
      </c>
    </row>
    <row r="2539" ht="15.75" customHeight="1">
      <c r="A2539" s="7"/>
      <c r="B2539" s="7" t="str">
        <f>IFERROR(__xludf.DUMMYFUNCTION("""COMPUTED_VALUE"""),"Java;Kotlin")</f>
        <v>Java;Kotlin</v>
      </c>
      <c r="C2539" s="9" t="str">
        <f>IFERROR(__xludf.DUMMYFUNCTION("""COMPUTED_VALUE"""),"Bash/Shell/PowerShell")</f>
        <v>Bash/Shell/PowerShell</v>
      </c>
      <c r="D2539" s="9" t="str">
        <f>IFERROR(__xludf.DUMMYFUNCTION("""COMPUTED_VALUE"""),"R")</f>
        <v>R</v>
      </c>
      <c r="E2539" s="9" t="str">
        <f>IFERROR(__xludf.DUMMYFUNCTION("""COMPUTED_VALUE"""),"Bash/Shell/PowerShell")</f>
        <v>Bash/Shell/PowerShell</v>
      </c>
      <c r="F2539" s="9" t="str">
        <f>IFERROR(__xludf.DUMMYFUNCTION("""COMPUTED_VALUE"""),"JavaScript")</f>
        <v>JavaScript</v>
      </c>
      <c r="G2539" s="9" t="str">
        <f>IFERROR(__xludf.DUMMYFUNCTION("""COMPUTED_VALUE"""),"C#")</f>
        <v>C#</v>
      </c>
      <c r="H2539" s="9" t="str">
        <f>IFERROR(__xludf.DUMMYFUNCTION("""COMPUTED_VALUE"""),"HTML/CSS")</f>
        <v>HTML/CSS</v>
      </c>
      <c r="I2539" s="9" t="str">
        <f>IFERROR(__xludf.DUMMYFUNCTION("""COMPUTED_VALUE"""),"SQL")</f>
        <v>SQL</v>
      </c>
      <c r="J2539" s="9" t="str">
        <f>IFERROR(__xludf.DUMMYFUNCTION("""COMPUTED_VALUE"""),"Python")</f>
        <v>Python</v>
      </c>
      <c r="K2539" s="9" t="str">
        <f>IFERROR(__xludf.DUMMYFUNCTION("""COMPUTED_VALUE"""),"HTML/CSS")</f>
        <v>HTML/CSS</v>
      </c>
      <c r="L2539" s="9" t="str">
        <f>IFERROR(__xludf.DUMMYFUNCTION("""COMPUTED_VALUE"""),"JavaScript")</f>
        <v>JavaScript</v>
      </c>
      <c r="M2539" s="9" t="s">
        <v>30</v>
      </c>
    </row>
    <row r="2540" ht="15.75" customHeight="1">
      <c r="A2540" s="7"/>
      <c r="B2540" s="7" t="str">
        <f>IFERROR(__xludf.DUMMYFUNCTION("""COMPUTED_VALUE"""),"Bash/Shell/PowerShell;HTML/CSS;Java;JavaScript;SQL;TypeScript")</f>
        <v>Bash/Shell/PowerShell;HTML/CSS;Java;JavaScript;SQL;TypeScript</v>
      </c>
      <c r="C2540" s="9" t="str">
        <f>IFERROR(__xludf.DUMMYFUNCTION("""COMPUTED_VALUE"""),"C#")</f>
        <v>C#</v>
      </c>
      <c r="D2540" s="9" t="str">
        <f>IFERROR(__xludf.DUMMYFUNCTION("""COMPUTED_VALUE"""),"HTML/CSS")</f>
        <v>HTML/CSS</v>
      </c>
      <c r="E2540" s="9" t="str">
        <f>IFERROR(__xludf.DUMMYFUNCTION("""COMPUTED_VALUE"""),"HTML/CSS")</f>
        <v>HTML/CSS</v>
      </c>
      <c r="F2540" s="9" t="str">
        <f>IFERROR(__xludf.DUMMYFUNCTION("""COMPUTED_VALUE"""),"Rust")</f>
        <v>Rust</v>
      </c>
      <c r="G2540" s="9" t="str">
        <f>IFERROR(__xludf.DUMMYFUNCTION("""COMPUTED_VALUE"""),"HTML/CSS")</f>
        <v>HTML/CSS</v>
      </c>
      <c r="H2540" s="9" t="str">
        <f>IFERROR(__xludf.DUMMYFUNCTION("""COMPUTED_VALUE"""),"JavaScript")</f>
        <v>JavaScript</v>
      </c>
      <c r="I2540" s="9" t="str">
        <f>IFERROR(__xludf.DUMMYFUNCTION("""COMPUTED_VALUE"""),"Swift")</f>
        <v>Swift</v>
      </c>
      <c r="J2540" s="9" t="str">
        <f>IFERROR(__xludf.DUMMYFUNCTION("""COMPUTED_VALUE"""),"R")</f>
        <v>R</v>
      </c>
      <c r="K2540" s="9" t="str">
        <f>IFERROR(__xludf.DUMMYFUNCTION("""COMPUTED_VALUE"""),"JavaScript")</f>
        <v>JavaScript</v>
      </c>
      <c r="L2540" s="9" t="str">
        <f>IFERROR(__xludf.DUMMYFUNCTION("""COMPUTED_VALUE"""),"Python")</f>
        <v>Python</v>
      </c>
      <c r="M2540" s="9" t="s">
        <v>26</v>
      </c>
    </row>
    <row r="2541" ht="15.75" customHeight="1">
      <c r="A2541" s="7"/>
      <c r="B2541" s="7" t="str">
        <f>IFERROR(__xludf.DUMMYFUNCTION("""COMPUTED_VALUE"""),"Objective-C;Python;Swift")</f>
        <v>Objective-C;Python;Swift</v>
      </c>
      <c r="C2541" s="9" t="str">
        <f>IFERROR(__xludf.DUMMYFUNCTION("""COMPUTED_VALUE"""),"HTML/CSS")</f>
        <v>HTML/CSS</v>
      </c>
      <c r="D2541" s="9" t="str">
        <f>IFERROR(__xludf.DUMMYFUNCTION("""COMPUTED_VALUE"""),"Python")</f>
        <v>Python</v>
      </c>
      <c r="E2541" s="9" t="str">
        <f>IFERROR(__xludf.DUMMYFUNCTION("""COMPUTED_VALUE"""),"JavaScript")</f>
        <v>JavaScript</v>
      </c>
      <c r="F2541" s="9" t="str">
        <f>IFERROR(__xludf.DUMMYFUNCTION("""COMPUTED_VALUE"""),"HTML/CSS")</f>
        <v>HTML/CSS</v>
      </c>
      <c r="G2541" s="9" t="str">
        <f>IFERROR(__xludf.DUMMYFUNCTION("""COMPUTED_VALUE"""),"Assembly")</f>
        <v>Assembly</v>
      </c>
      <c r="H2541" s="9" t="str">
        <f>IFERROR(__xludf.DUMMYFUNCTION("""COMPUTED_VALUE"""),"TypeScript")</f>
        <v>TypeScript</v>
      </c>
      <c r="I2541" s="9" t="str">
        <f>IFERROR(__xludf.DUMMYFUNCTION("""COMPUTED_VALUE"""),"HTML/CSS")</f>
        <v>HTML/CSS</v>
      </c>
      <c r="J2541" s="9" t="str">
        <f>IFERROR(__xludf.DUMMYFUNCTION("""COMPUTED_VALUE"""),"SQL")</f>
        <v>SQL</v>
      </c>
      <c r="K2541" s="9" t="str">
        <f>IFERROR(__xludf.DUMMYFUNCTION("""COMPUTED_VALUE"""),"PHP")</f>
        <v>PHP</v>
      </c>
      <c r="L2541" s="9" t="str">
        <f>IFERROR(__xludf.DUMMYFUNCTION("""COMPUTED_VALUE"""),"SQL")</f>
        <v>SQL</v>
      </c>
      <c r="M2541" s="9" t="s">
        <v>24</v>
      </c>
    </row>
    <row r="2542" ht="15.75" customHeight="1">
      <c r="A2542" s="7"/>
      <c r="B2542" s="7" t="str">
        <f>IFERROR(__xludf.DUMMYFUNCTION("""COMPUTED_VALUE"""),"C#;HTML/CSS;JavaScript;SQL")</f>
        <v>C#;HTML/CSS;JavaScript;SQL</v>
      </c>
      <c r="C2542" s="9" t="str">
        <f>IFERROR(__xludf.DUMMYFUNCTION("""COMPUTED_VALUE"""),"JavaScript")</f>
        <v>JavaScript</v>
      </c>
      <c r="D2542" s="9" t="str">
        <f>IFERROR(__xludf.DUMMYFUNCTION("""COMPUTED_VALUE"""),"C")</f>
        <v>C</v>
      </c>
      <c r="E2542" s="9" t="str">
        <f>IFERROR(__xludf.DUMMYFUNCTION("""COMPUTED_VALUE"""),"Python")</f>
        <v>Python</v>
      </c>
      <c r="F2542" s="9" t="str">
        <f>IFERROR(__xludf.DUMMYFUNCTION("""COMPUTED_VALUE"""),"JavaScript")</f>
        <v>JavaScript</v>
      </c>
      <c r="G2542" s="9" t="str">
        <f>IFERROR(__xludf.DUMMYFUNCTION("""COMPUTED_VALUE"""),"Bash/Shell/PowerShell")</f>
        <v>Bash/Shell/PowerShell</v>
      </c>
      <c r="H2542" s="9" t="str">
        <f>IFERROR(__xludf.DUMMYFUNCTION("""COMPUTED_VALUE"""),"C#")</f>
        <v>C#</v>
      </c>
      <c r="I2542" s="9" t="str">
        <f>IFERROR(__xludf.DUMMYFUNCTION("""COMPUTED_VALUE"""),"JavaScript")</f>
        <v>JavaScript</v>
      </c>
      <c r="J2542" s="9" t="str">
        <f>IFERROR(__xludf.DUMMYFUNCTION("""COMPUTED_VALUE"""),"Bash/Shell/PowerShell")</f>
        <v>Bash/Shell/PowerShell</v>
      </c>
      <c r="K2542" s="9" t="str">
        <f>IFERROR(__xludf.DUMMYFUNCTION("""COMPUTED_VALUE"""),"SQL")</f>
        <v>SQL</v>
      </c>
      <c r="L2542" s="9" t="str">
        <f>IFERROR(__xludf.DUMMYFUNCTION("""COMPUTED_VALUE"""),"Swift")</f>
        <v>Swift</v>
      </c>
      <c r="M2542" s="9" t="s">
        <v>21</v>
      </c>
    </row>
    <row r="2543" ht="15.75" customHeight="1">
      <c r="A2543" s="7"/>
      <c r="B2543" s="7" t="str">
        <f>IFERROR(__xludf.DUMMYFUNCTION("""COMPUTED_VALUE"""),"Bash/Shell/PowerShell;HTML/CSS;JavaScript;Python;R")</f>
        <v>Bash/Shell/PowerShell;HTML/CSS;JavaScript;Python;R</v>
      </c>
      <c r="C2543" s="9" t="str">
        <f>IFERROR(__xludf.DUMMYFUNCTION("""COMPUTED_VALUE"""),"SQL")</f>
        <v>SQL</v>
      </c>
      <c r="D2543" s="9" t="str">
        <f>IFERROR(__xludf.DUMMYFUNCTION("""COMPUTED_VALUE"""),"C++")</f>
        <v>C++</v>
      </c>
      <c r="E2543" s="9" t="str">
        <f>IFERROR(__xludf.DUMMYFUNCTION("""COMPUTED_VALUE"""),"SQL")</f>
        <v>SQL</v>
      </c>
      <c r="F2543" s="9" t="str">
        <f>IFERROR(__xludf.DUMMYFUNCTION("""COMPUTED_VALUE"""),"SQL")</f>
        <v>SQL</v>
      </c>
      <c r="G2543" s="9" t="str">
        <f>IFERROR(__xludf.DUMMYFUNCTION("""COMPUTED_VALUE"""),"C")</f>
        <v>C</v>
      </c>
      <c r="H2543" s="9" t="str">
        <f>IFERROR(__xludf.DUMMYFUNCTION("""COMPUTED_VALUE"""),"HTML/CSS")</f>
        <v>HTML/CSS</v>
      </c>
      <c r="I2543" s="9" t="str">
        <f>IFERROR(__xludf.DUMMYFUNCTION("""COMPUTED_VALUE"""),"Other(s):")</f>
        <v>Other(s):</v>
      </c>
      <c r="J2543" s="9" t="str">
        <f>IFERROR(__xludf.DUMMYFUNCTION("""COMPUTED_VALUE"""),"C#")</f>
        <v>C#</v>
      </c>
      <c r="K2543" s="9" t="str">
        <f>IFERROR(__xludf.DUMMYFUNCTION("""COMPUTED_VALUE"""),"TypeScript")</f>
        <v>TypeScript</v>
      </c>
      <c r="L2543" s="9" t="str">
        <f>IFERROR(__xludf.DUMMYFUNCTION("""COMPUTED_VALUE"""),"HTML/CSS")</f>
        <v>HTML/CSS</v>
      </c>
      <c r="M2543" s="9" t="s">
        <v>27</v>
      </c>
    </row>
    <row r="2544" ht="15.75" customHeight="1">
      <c r="A2544" s="7"/>
      <c r="B2544" s="7" t="str">
        <f>IFERROR(__xludf.DUMMYFUNCTION("""COMPUTED_VALUE"""),"Python;R;Scala;SQL")</f>
        <v>Python;R;Scala;SQL</v>
      </c>
      <c r="C2544" s="9" t="str">
        <f>IFERROR(__xludf.DUMMYFUNCTION("""COMPUTED_VALUE"""),"HTML/CSS")</f>
        <v>HTML/CSS</v>
      </c>
      <c r="D2544" s="9" t="str">
        <f>IFERROR(__xludf.DUMMYFUNCTION("""COMPUTED_VALUE"""),"C#")</f>
        <v>C#</v>
      </c>
      <c r="E2544" s="9" t="str">
        <f>IFERROR(__xludf.DUMMYFUNCTION("""COMPUTED_VALUE"""),"TypeScript")</f>
        <v>TypeScript</v>
      </c>
      <c r="F2544" s="9" t="str">
        <f>IFERROR(__xludf.DUMMYFUNCTION("""COMPUTED_VALUE"""),"Assembly")</f>
        <v>Assembly</v>
      </c>
      <c r="G2544" s="9" t="str">
        <f>IFERROR(__xludf.DUMMYFUNCTION("""COMPUTED_VALUE"""),"C++")</f>
        <v>C++</v>
      </c>
      <c r="H2544" s="9" t="str">
        <f>IFERROR(__xludf.DUMMYFUNCTION("""COMPUTED_VALUE"""),"JavaScript")</f>
        <v>JavaScript</v>
      </c>
      <c r="I2544" s="9" t="str">
        <f>IFERROR(__xludf.DUMMYFUNCTION("""COMPUTED_VALUE"""),"Java")</f>
        <v>Java</v>
      </c>
      <c r="J2544" s="9" t="str">
        <f>IFERROR(__xludf.DUMMYFUNCTION("""COMPUTED_VALUE"""),"HTML/CSS")</f>
        <v>HTML/CSS</v>
      </c>
      <c r="K2544" s="9" t="str">
        <f>IFERROR(__xludf.DUMMYFUNCTION("""COMPUTED_VALUE"""),"Objective-C")</f>
        <v>Objective-C</v>
      </c>
      <c r="L2544" s="9" t="str">
        <f>IFERROR(__xludf.DUMMYFUNCTION("""COMPUTED_VALUE"""),"Java")</f>
        <v>Java</v>
      </c>
      <c r="M2544" s="9" t="s">
        <v>24</v>
      </c>
    </row>
    <row r="2545" ht="15.75" customHeight="1">
      <c r="A2545" s="7"/>
      <c r="B2545" s="7" t="str">
        <f>IFERROR(__xludf.DUMMYFUNCTION("""COMPUTED_VALUE"""),"Bash/Shell/PowerShell;C#;Go;JavaScript;Kotlin;Rust;TypeScript")</f>
        <v>Bash/Shell/PowerShell;C#;Go;JavaScript;Kotlin;Rust;TypeScript</v>
      </c>
      <c r="C2545" s="9" t="str">
        <f>IFERROR(__xludf.DUMMYFUNCTION("""COMPUTED_VALUE"""),"JavaScript")</f>
        <v>JavaScript</v>
      </c>
      <c r="D2545" s="9" t="str">
        <f>IFERROR(__xludf.DUMMYFUNCTION("""COMPUTED_VALUE"""),"HTML/CSS")</f>
        <v>HTML/CSS</v>
      </c>
      <c r="E2545" s="9" t="str">
        <f>IFERROR(__xludf.DUMMYFUNCTION("""COMPUTED_VALUE"""),"Bash/Shell/PowerShell")</f>
        <v>Bash/Shell/PowerShell</v>
      </c>
      <c r="F2545" s="9" t="str">
        <f>IFERROR(__xludf.DUMMYFUNCTION("""COMPUTED_VALUE"""),"C#")</f>
        <v>C#</v>
      </c>
      <c r="G2545" s="9" t="str">
        <f>IFERROR(__xludf.DUMMYFUNCTION("""COMPUTED_VALUE"""),"C#")</f>
        <v>C#</v>
      </c>
      <c r="H2545" s="9" t="str">
        <f>IFERROR(__xludf.DUMMYFUNCTION("""COMPUTED_VALUE"""),"SQL")</f>
        <v>SQL</v>
      </c>
      <c r="I2545" s="9" t="str">
        <f>IFERROR(__xludf.DUMMYFUNCTION("""COMPUTED_VALUE"""),"Python")</f>
        <v>Python</v>
      </c>
      <c r="J2545" s="9" t="str">
        <f>IFERROR(__xludf.DUMMYFUNCTION("""COMPUTED_VALUE"""),"JavaScript")</f>
        <v>JavaScript</v>
      </c>
      <c r="K2545" s="9" t="str">
        <f>IFERROR(__xludf.DUMMYFUNCTION("""COMPUTED_VALUE"""),"Swift")</f>
        <v>Swift</v>
      </c>
      <c r="L2545" s="9" t="str">
        <f>IFERROR(__xludf.DUMMYFUNCTION("""COMPUTED_VALUE"""),"TypeScript")</f>
        <v>TypeScript</v>
      </c>
      <c r="M2545" s="9" t="s">
        <v>21</v>
      </c>
    </row>
    <row r="2546" ht="15.75" customHeight="1">
      <c r="A2546" s="7"/>
      <c r="B2546" s="7" t="str">
        <f>IFERROR(__xludf.DUMMYFUNCTION("""COMPUTED_VALUE"""),"Go;JavaScript;Python;TypeScript")</f>
        <v>Go;JavaScript;Python;TypeScript</v>
      </c>
      <c r="C2546" s="9" t="str">
        <f>IFERROR(__xludf.DUMMYFUNCTION("""COMPUTED_VALUE"""),"Objective-C")</f>
        <v>Objective-C</v>
      </c>
      <c r="D2546" s="9" t="str">
        <f>IFERROR(__xludf.DUMMYFUNCTION("""COMPUTED_VALUE"""),"Java")</f>
        <v>Java</v>
      </c>
      <c r="E2546" s="9" t="str">
        <f>IFERROR(__xludf.DUMMYFUNCTION("""COMPUTED_VALUE"""),"HTML/CSS")</f>
        <v>HTML/CSS</v>
      </c>
      <c r="F2546" s="9" t="str">
        <f>IFERROR(__xludf.DUMMYFUNCTION("""COMPUTED_VALUE"""),"HTML/CSS")</f>
        <v>HTML/CSS</v>
      </c>
      <c r="G2546" s="9" t="str">
        <f>IFERROR(__xludf.DUMMYFUNCTION("""COMPUTED_VALUE"""),"Dart")</f>
        <v>Dart</v>
      </c>
      <c r="H2546" s="9" t="str">
        <f>IFERROR(__xludf.DUMMYFUNCTION("""COMPUTED_VALUE"""),"Assembly")</f>
        <v>Assembly</v>
      </c>
      <c r="I2546" s="9" t="str">
        <f>IFERROR(__xludf.DUMMYFUNCTION("""COMPUTED_VALUE"""),"Bash/Shell/PowerShell")</f>
        <v>Bash/Shell/PowerShell</v>
      </c>
      <c r="J2546" s="9" t="str">
        <f>IFERROR(__xludf.DUMMYFUNCTION("""COMPUTED_VALUE"""),"SQL")</f>
        <v>SQL</v>
      </c>
      <c r="K2546" s="9" t="str">
        <f>IFERROR(__xludf.DUMMYFUNCTION("""COMPUTED_VALUE"""),"HTML/CSS")</f>
        <v>HTML/CSS</v>
      </c>
      <c r="L2546" s="9" t="str">
        <f>IFERROR(__xludf.DUMMYFUNCTION("""COMPUTED_VALUE"""),"C#")</f>
        <v>C#</v>
      </c>
      <c r="M2546" s="9" t="s">
        <v>41</v>
      </c>
    </row>
    <row r="2547" ht="15.75" customHeight="1">
      <c r="A2547" s="7"/>
      <c r="B2547" s="7" t="str">
        <f>IFERROR(__xludf.DUMMYFUNCTION("""COMPUTED_VALUE"""),"C#;HTML/CSS;Java;JavaScript;Python;SQL;TypeScript")</f>
        <v>C#;HTML/CSS;Java;JavaScript;Python;SQL;TypeScript</v>
      </c>
      <c r="C2547" s="9" t="str">
        <f>IFERROR(__xludf.DUMMYFUNCTION("""COMPUTED_VALUE"""),"Swift")</f>
        <v>Swift</v>
      </c>
      <c r="D2547" s="9" t="str">
        <f>IFERROR(__xludf.DUMMYFUNCTION("""COMPUTED_VALUE"""),"JavaScript")</f>
        <v>JavaScript</v>
      </c>
      <c r="E2547" s="9" t="str">
        <f>IFERROR(__xludf.DUMMYFUNCTION("""COMPUTED_VALUE"""),"JavaScript")</f>
        <v>JavaScript</v>
      </c>
      <c r="F2547" s="9" t="str">
        <f>IFERROR(__xludf.DUMMYFUNCTION("""COMPUTED_VALUE"""),"JavaScript")</f>
        <v>JavaScript</v>
      </c>
      <c r="G2547" s="9" t="str">
        <f>IFERROR(__xludf.DUMMYFUNCTION("""COMPUTED_VALUE"""),"HTML/CSS")</f>
        <v>HTML/CSS</v>
      </c>
      <c r="H2547" s="9" t="str">
        <f>IFERROR(__xludf.DUMMYFUNCTION("""COMPUTED_VALUE"""),"Bash/Shell/PowerShell")</f>
        <v>Bash/Shell/PowerShell</v>
      </c>
      <c r="I2547" s="9" t="str">
        <f>IFERROR(__xludf.DUMMYFUNCTION("""COMPUTED_VALUE"""),"HTML/CSS")</f>
        <v>HTML/CSS</v>
      </c>
      <c r="J2547" s="9" t="str">
        <f>IFERROR(__xludf.DUMMYFUNCTION("""COMPUTED_VALUE"""),"TypeScript")</f>
        <v>TypeScript</v>
      </c>
      <c r="K2547" s="9" t="str">
        <f>IFERROR(__xludf.DUMMYFUNCTION("""COMPUTED_VALUE"""),"JavaScript")</f>
        <v>JavaScript</v>
      </c>
      <c r="L2547" s="9" t="str">
        <f>IFERROR(__xludf.DUMMYFUNCTION("""COMPUTED_VALUE"""),"HTML/CSS")</f>
        <v>HTML/CSS</v>
      </c>
      <c r="M2547" s="9" t="s">
        <v>40</v>
      </c>
    </row>
    <row r="2548" ht="15.75" customHeight="1">
      <c r="A2548" s="7"/>
      <c r="B2548" s="7" t="str">
        <f>IFERROR(__xludf.DUMMYFUNCTION("""COMPUTED_VALUE"""),"C;C++;Java;Python")</f>
        <v>C;C++;Java;Python</v>
      </c>
      <c r="C2548" s="9" t="str">
        <f>IFERROR(__xludf.DUMMYFUNCTION("""COMPUTED_VALUE"""),"Bash/Shell/PowerShell")</f>
        <v>Bash/Shell/PowerShell</v>
      </c>
      <c r="D2548" s="9" t="str">
        <f>IFERROR(__xludf.DUMMYFUNCTION("""COMPUTED_VALUE"""),"Swift")</f>
        <v>Swift</v>
      </c>
      <c r="E2548" s="9" t="str">
        <f>IFERROR(__xludf.DUMMYFUNCTION("""COMPUTED_VALUE"""),"PHP")</f>
        <v>PHP</v>
      </c>
      <c r="F2548" s="9" t="str">
        <f>IFERROR(__xludf.DUMMYFUNCTION("""COMPUTED_VALUE"""),"Python")</f>
        <v>Python</v>
      </c>
      <c r="G2548" s="9" t="str">
        <f>IFERROR(__xludf.DUMMYFUNCTION("""COMPUTED_VALUE"""),"Java")</f>
        <v>Java</v>
      </c>
      <c r="H2548" s="9" t="str">
        <f>IFERROR(__xludf.DUMMYFUNCTION("""COMPUTED_VALUE"""),"C")</f>
        <v>C</v>
      </c>
      <c r="I2548" s="9" t="str">
        <f>IFERROR(__xludf.DUMMYFUNCTION("""COMPUTED_VALUE"""),"Java")</f>
        <v>Java</v>
      </c>
      <c r="J2548" s="9" t="str">
        <f>IFERROR(__xludf.DUMMYFUNCTION("""COMPUTED_VALUE"""),"C")</f>
        <v>C</v>
      </c>
      <c r="K2548" s="9" t="str">
        <f>IFERROR(__xludf.DUMMYFUNCTION("""COMPUTED_VALUE"""),"HTML/CSS")</f>
        <v>HTML/CSS</v>
      </c>
      <c r="L2548" s="9" t="str">
        <f>IFERROR(__xludf.DUMMYFUNCTION("""COMPUTED_VALUE"""),"JavaScript")</f>
        <v>JavaScript</v>
      </c>
      <c r="M2548" s="9" t="s">
        <v>30</v>
      </c>
    </row>
    <row r="2549" ht="15.75" customHeight="1">
      <c r="A2549" s="7"/>
      <c r="B2549" s="7" t="str">
        <f>IFERROR(__xludf.DUMMYFUNCTION("""COMPUTED_VALUE"""),"C;C#;HTML/CSS;Java;JavaScript;Objective-C;PHP;SQL;Swift;TypeScript")</f>
        <v>C;C#;HTML/CSS;Java;JavaScript;Objective-C;PHP;SQL;Swift;TypeScript</v>
      </c>
      <c r="C2549" s="9" t="str">
        <f>IFERROR(__xludf.DUMMYFUNCTION("""COMPUTED_VALUE"""),"Java")</f>
        <v>Java</v>
      </c>
      <c r="D2549" s="9" t="str">
        <f>IFERROR(__xludf.DUMMYFUNCTION("""COMPUTED_VALUE"""),"Bash/Shell/PowerShell")</f>
        <v>Bash/Shell/PowerShell</v>
      </c>
      <c r="E2549" s="9" t="str">
        <f>IFERROR(__xludf.DUMMYFUNCTION("""COMPUTED_VALUE"""),"SQL")</f>
        <v>SQL</v>
      </c>
      <c r="F2549" s="9" t="str">
        <f>IFERROR(__xludf.DUMMYFUNCTION("""COMPUTED_VALUE"""),"Go")</f>
        <v>Go</v>
      </c>
      <c r="G2549" s="9" t="str">
        <f>IFERROR(__xludf.DUMMYFUNCTION("""COMPUTED_VALUE"""),"JavaScript")</f>
        <v>JavaScript</v>
      </c>
      <c r="H2549" s="9" t="str">
        <f>IFERROR(__xludf.DUMMYFUNCTION("""COMPUTED_VALUE"""),"C++")</f>
        <v>C++</v>
      </c>
      <c r="I2549" s="9" t="str">
        <f>IFERROR(__xludf.DUMMYFUNCTION("""COMPUTED_VALUE"""),"PHP")</f>
        <v>PHP</v>
      </c>
      <c r="J2549" s="9" t="str">
        <f>IFERROR(__xludf.DUMMYFUNCTION("""COMPUTED_VALUE"""),"C++")</f>
        <v>C++</v>
      </c>
      <c r="K2549" s="9" t="str">
        <f>IFERROR(__xludf.DUMMYFUNCTION("""COMPUTED_VALUE"""),"PHP")</f>
        <v>PHP</v>
      </c>
      <c r="L2549" s="9" t="str">
        <f>IFERROR(__xludf.DUMMYFUNCTION("""COMPUTED_VALUE"""),"TypeScript")</f>
        <v>TypeScript</v>
      </c>
      <c r="M2549" s="9" t="s">
        <v>20</v>
      </c>
    </row>
    <row r="2550" ht="15.75" customHeight="1">
      <c r="A2550" s="7"/>
      <c r="B2550" s="7" t="str">
        <f>IFERROR(__xludf.DUMMYFUNCTION("""COMPUTED_VALUE"""),"Go;HTML/CSS;JavaScript;TypeScript")</f>
        <v>Go;HTML/CSS;JavaScript;TypeScript</v>
      </c>
      <c r="C2550" s="9" t="str">
        <f>IFERROR(__xludf.DUMMYFUNCTION("""COMPUTED_VALUE"""),"JavaScript")</f>
        <v>JavaScript</v>
      </c>
      <c r="D2550" s="9" t="str">
        <f>IFERROR(__xludf.DUMMYFUNCTION("""COMPUTED_VALUE"""),"Go")</f>
        <v>Go</v>
      </c>
      <c r="E2550" s="9" t="str">
        <f>IFERROR(__xludf.DUMMYFUNCTION("""COMPUTED_VALUE"""),"TypeScript")</f>
        <v>TypeScript</v>
      </c>
      <c r="F2550" s="9" t="str">
        <f>IFERROR(__xludf.DUMMYFUNCTION("""COMPUTED_VALUE"""),"HTML/CSS")</f>
        <v>HTML/CSS</v>
      </c>
      <c r="G2550" s="9" t="str">
        <f>IFERROR(__xludf.DUMMYFUNCTION("""COMPUTED_VALUE"""),"PHP")</f>
        <v>PHP</v>
      </c>
      <c r="H2550" s="9" t="str">
        <f>IFERROR(__xludf.DUMMYFUNCTION("""COMPUTED_VALUE"""),"Rust")</f>
        <v>Rust</v>
      </c>
      <c r="I2550" s="9" t="str">
        <f>IFERROR(__xludf.DUMMYFUNCTION("""COMPUTED_VALUE"""),"Python")</f>
        <v>Python</v>
      </c>
      <c r="J2550" s="9" t="str">
        <f>IFERROR(__xludf.DUMMYFUNCTION("""COMPUTED_VALUE"""),"Elixir")</f>
        <v>Elixir</v>
      </c>
      <c r="K2550" s="9" t="str">
        <f>IFERROR(__xludf.DUMMYFUNCTION("""COMPUTED_VALUE"""),"Python")</f>
        <v>Python</v>
      </c>
      <c r="L2550" s="9" t="str">
        <f>IFERROR(__xludf.DUMMYFUNCTION("""COMPUTED_VALUE"""),"Assembly")</f>
        <v>Assembly</v>
      </c>
      <c r="M2550" s="9" t="s">
        <v>21</v>
      </c>
    </row>
    <row r="2551" ht="15.75" customHeight="1">
      <c r="A2551" s="7"/>
      <c r="B2551" s="7" t="str">
        <f>IFERROR(__xludf.DUMMYFUNCTION("""COMPUTED_VALUE"""),"Bash/Shell/PowerShell;HTML/CSS;Java;JavaScript;PHP;Python;SQL")</f>
        <v>Bash/Shell/PowerShell;HTML/CSS;Java;JavaScript;PHP;Python;SQL</v>
      </c>
      <c r="C2551" s="9" t="str">
        <f>IFERROR(__xludf.DUMMYFUNCTION("""COMPUTED_VALUE"""),"Python")</f>
        <v>Python</v>
      </c>
      <c r="D2551" s="9" t="str">
        <f>IFERROR(__xludf.DUMMYFUNCTION("""COMPUTED_VALUE"""),"Java")</f>
        <v>Java</v>
      </c>
      <c r="E2551" s="9" t="str">
        <f>IFERROR(__xludf.DUMMYFUNCTION("""COMPUTED_VALUE"""),"HTML/CSS")</f>
        <v>HTML/CSS</v>
      </c>
      <c r="F2551" s="9" t="str">
        <f>IFERROR(__xludf.DUMMYFUNCTION("""COMPUTED_VALUE"""),"Java")</f>
        <v>Java</v>
      </c>
      <c r="G2551" s="9" t="str">
        <f>IFERROR(__xludf.DUMMYFUNCTION("""COMPUTED_VALUE"""),"Python")</f>
        <v>Python</v>
      </c>
      <c r="H2551" s="9" t="str">
        <f>IFERROR(__xludf.DUMMYFUNCTION("""COMPUTED_VALUE"""),"Bash/Shell/PowerShell")</f>
        <v>Bash/Shell/PowerShell</v>
      </c>
      <c r="I2551" s="9" t="str">
        <f>IFERROR(__xludf.DUMMYFUNCTION("""COMPUTED_VALUE"""),"SQL")</f>
        <v>SQL</v>
      </c>
      <c r="J2551" s="9" t="str">
        <f>IFERROR(__xludf.DUMMYFUNCTION("""COMPUTED_VALUE"""),"JavaScript")</f>
        <v>JavaScript</v>
      </c>
      <c r="K2551" s="9" t="str">
        <f>IFERROR(__xludf.DUMMYFUNCTION("""COMPUTED_VALUE"""),"C++")</f>
        <v>C++</v>
      </c>
      <c r="L2551" s="9" t="str">
        <f>IFERROR(__xludf.DUMMYFUNCTION("""COMPUTED_VALUE"""),"Bash/Shell/PowerShell")</f>
        <v>Bash/Shell/PowerShell</v>
      </c>
      <c r="M2551" s="9" t="s">
        <v>22</v>
      </c>
    </row>
    <row r="2552" ht="15.75" customHeight="1">
      <c r="A2552" s="7"/>
      <c r="B2552" s="7" t="str">
        <f>IFERROR(__xludf.DUMMYFUNCTION("""COMPUTED_VALUE"""),"HTML/CSS;PHP;SQL")</f>
        <v>HTML/CSS;PHP;SQL</v>
      </c>
      <c r="C2552" s="9" t="str">
        <f>IFERROR(__xludf.DUMMYFUNCTION("""COMPUTED_VALUE"""),"SQL")</f>
        <v>SQL</v>
      </c>
      <c r="D2552" s="9" t="str">
        <f>IFERROR(__xludf.DUMMYFUNCTION("""COMPUTED_VALUE"""),"JavaScript")</f>
        <v>JavaScript</v>
      </c>
      <c r="E2552" s="9" t="str">
        <f>IFERROR(__xludf.DUMMYFUNCTION("""COMPUTED_VALUE"""),"Java")</f>
        <v>Java</v>
      </c>
      <c r="F2552" s="9" t="str">
        <f>IFERROR(__xludf.DUMMYFUNCTION("""COMPUTED_VALUE"""),"JavaScript")</f>
        <v>JavaScript</v>
      </c>
      <c r="G2552" s="9" t="str">
        <f>IFERROR(__xludf.DUMMYFUNCTION("""COMPUTED_VALUE"""),"Ruby")</f>
        <v>Ruby</v>
      </c>
      <c r="H2552" s="9" t="str">
        <f>IFERROR(__xludf.DUMMYFUNCTION("""COMPUTED_VALUE"""),"C")</f>
        <v>C</v>
      </c>
      <c r="I2552" s="9" t="str">
        <f>IFERROR(__xludf.DUMMYFUNCTION("""COMPUTED_VALUE"""),"Bash/Shell/PowerShell")</f>
        <v>Bash/Shell/PowerShell</v>
      </c>
      <c r="J2552" s="9" t="str">
        <f>IFERROR(__xludf.DUMMYFUNCTION("""COMPUTED_VALUE"""),"Python")</f>
        <v>Python</v>
      </c>
      <c r="K2552" s="9" t="str">
        <f>IFERROR(__xludf.DUMMYFUNCTION("""COMPUTED_VALUE"""),"Java")</f>
        <v>Java</v>
      </c>
      <c r="L2552" s="9" t="str">
        <f>IFERROR(__xludf.DUMMYFUNCTION("""COMPUTED_VALUE"""),"C")</f>
        <v>C</v>
      </c>
      <c r="M2552" s="9" t="s">
        <v>27</v>
      </c>
    </row>
    <row r="2553" ht="15.75" customHeight="1">
      <c r="A2553" s="7"/>
      <c r="B2553" s="7" t="str">
        <f>IFERROR(__xludf.DUMMYFUNCTION("""COMPUTED_VALUE"""),"Objective-C;Swift")</f>
        <v>Objective-C;Swift</v>
      </c>
      <c r="C2553" s="9" t="str">
        <f>IFERROR(__xludf.DUMMYFUNCTION("""COMPUTED_VALUE"""),"Bash/Shell/PowerShell")</f>
        <v>Bash/Shell/PowerShell</v>
      </c>
      <c r="D2553" s="9" t="str">
        <f>IFERROR(__xludf.DUMMYFUNCTION("""COMPUTED_VALUE"""),"Python")</f>
        <v>Python</v>
      </c>
      <c r="E2553" s="9" t="str">
        <f>IFERROR(__xludf.DUMMYFUNCTION("""COMPUTED_VALUE"""),"Kotlin")</f>
        <v>Kotlin</v>
      </c>
      <c r="F2553" s="9" t="str">
        <f>IFERROR(__xludf.DUMMYFUNCTION("""COMPUTED_VALUE"""),"PHP")</f>
        <v>PHP</v>
      </c>
      <c r="G2553" s="9" t="str">
        <f>IFERROR(__xludf.DUMMYFUNCTION("""COMPUTED_VALUE"""),"Scala")</f>
        <v>Scala</v>
      </c>
      <c r="H2553" s="9" t="str">
        <f>IFERROR(__xludf.DUMMYFUNCTION("""COMPUTED_VALUE"""),"C++")</f>
        <v>C++</v>
      </c>
      <c r="I2553" s="9" t="str">
        <f>IFERROR(__xludf.DUMMYFUNCTION("""COMPUTED_VALUE"""),"Python")</f>
        <v>Python</v>
      </c>
      <c r="J2553" s="9" t="str">
        <f>IFERROR(__xludf.DUMMYFUNCTION("""COMPUTED_VALUE"""),"R")</f>
        <v>R</v>
      </c>
      <c r="K2553" s="9" t="str">
        <f>IFERROR(__xludf.DUMMYFUNCTION("""COMPUTED_VALUE"""),"Python")</f>
        <v>Python</v>
      </c>
      <c r="L2553" s="9" t="str">
        <f>IFERROR(__xludf.DUMMYFUNCTION("""COMPUTED_VALUE"""),"C++")</f>
        <v>C++</v>
      </c>
      <c r="M2553" s="9" t="s">
        <v>30</v>
      </c>
    </row>
    <row r="2554" ht="15.75" customHeight="1">
      <c r="A2554" s="7"/>
      <c r="B2554" s="7" t="str">
        <f>IFERROR(__xludf.DUMMYFUNCTION("""COMPUTED_VALUE"""),"Java;JavaScript;Scala;TypeScript")</f>
        <v>Java;JavaScript;Scala;TypeScript</v>
      </c>
      <c r="C2554" s="9" t="str">
        <f>IFERROR(__xludf.DUMMYFUNCTION("""COMPUTED_VALUE"""),"HTML/CSS")</f>
        <v>HTML/CSS</v>
      </c>
      <c r="D2554" s="9" t="str">
        <f>IFERROR(__xludf.DUMMYFUNCTION("""COMPUTED_VALUE"""),"C")</f>
        <v>C</v>
      </c>
      <c r="E2554" s="9" t="str">
        <f>IFERROR(__xludf.DUMMYFUNCTION("""COMPUTED_VALUE"""),"SQL")</f>
        <v>SQL</v>
      </c>
      <c r="F2554" s="9" t="str">
        <f>IFERROR(__xludf.DUMMYFUNCTION("""COMPUTED_VALUE"""),"R")</f>
        <v>R</v>
      </c>
      <c r="G2554" s="9" t="str">
        <f>IFERROR(__xludf.DUMMYFUNCTION("""COMPUTED_VALUE"""),"SQL")</f>
        <v>SQL</v>
      </c>
      <c r="H2554" s="9" t="str">
        <f>IFERROR(__xludf.DUMMYFUNCTION("""COMPUTED_VALUE"""),"Python")</f>
        <v>Python</v>
      </c>
      <c r="I2554" s="9" t="str">
        <f>IFERROR(__xludf.DUMMYFUNCTION("""COMPUTED_VALUE"""),"R")</f>
        <v>R</v>
      </c>
      <c r="J2554" s="9" t="str">
        <f>IFERROR(__xludf.DUMMYFUNCTION("""COMPUTED_VALUE"""),"SQL")</f>
        <v>SQL</v>
      </c>
      <c r="K2554" s="9" t="str">
        <f>IFERROR(__xludf.DUMMYFUNCTION("""COMPUTED_VALUE"""),"Java")</f>
        <v>Java</v>
      </c>
      <c r="L2554" s="9" t="str">
        <f>IFERROR(__xludf.DUMMYFUNCTION("""COMPUTED_VALUE"""),"C#")</f>
        <v>C#</v>
      </c>
      <c r="M2554" s="9" t="s">
        <v>24</v>
      </c>
    </row>
    <row r="2555" ht="15.75" customHeight="1">
      <c r="A2555" s="7"/>
      <c r="B2555" s="7" t="str">
        <f>IFERROR(__xludf.DUMMYFUNCTION("""COMPUTED_VALUE"""),"C;Python")</f>
        <v>C;Python</v>
      </c>
      <c r="C2555" s="9" t="str">
        <f>IFERROR(__xludf.DUMMYFUNCTION("""COMPUTED_VALUE"""),"Java")</f>
        <v>Java</v>
      </c>
      <c r="D2555" s="9" t="str">
        <f>IFERROR(__xludf.DUMMYFUNCTION("""COMPUTED_VALUE"""),"C++")</f>
        <v>C++</v>
      </c>
      <c r="E2555" s="9" t="str">
        <f>IFERROR(__xludf.DUMMYFUNCTION("""COMPUTED_VALUE"""),"HTML/CSS")</f>
        <v>HTML/CSS</v>
      </c>
      <c r="F2555" s="9" t="str">
        <f>IFERROR(__xludf.DUMMYFUNCTION("""COMPUTED_VALUE"""),"SQL")</f>
        <v>SQL</v>
      </c>
      <c r="G2555" s="9" t="str">
        <f>IFERROR(__xludf.DUMMYFUNCTION("""COMPUTED_VALUE"""),"TypeScript")</f>
        <v>TypeScript</v>
      </c>
      <c r="H2555" s="9" t="str">
        <f>IFERROR(__xludf.DUMMYFUNCTION("""COMPUTED_VALUE"""),"C#")</f>
        <v>C#</v>
      </c>
      <c r="I2555" s="9" t="str">
        <f>IFERROR(__xludf.DUMMYFUNCTION("""COMPUTED_VALUE"""),"SQL")</f>
        <v>SQL</v>
      </c>
      <c r="J2555" s="9" t="str">
        <f>IFERROR(__xludf.DUMMYFUNCTION("""COMPUTED_VALUE"""),"Objective-C")</f>
        <v>Objective-C</v>
      </c>
      <c r="K2555" s="9" t="str">
        <f>IFERROR(__xludf.DUMMYFUNCTION("""COMPUTED_VALUE"""),"SQL")</f>
        <v>SQL</v>
      </c>
      <c r="L2555" s="9" t="str">
        <f>IFERROR(__xludf.DUMMYFUNCTION("""COMPUTED_VALUE"""),"HTML/CSS")</f>
        <v>HTML/CSS</v>
      </c>
      <c r="M2555" s="9" t="s">
        <v>20</v>
      </c>
    </row>
    <row r="2556" ht="15.75" customHeight="1">
      <c r="A2556" s="7"/>
      <c r="B2556" s="7" t="str">
        <f>IFERROR(__xludf.DUMMYFUNCTION("""COMPUTED_VALUE"""),"Bash/Shell/PowerShell;HTML/CSS;JavaScript;Python;Ruby;TypeScript")</f>
        <v>Bash/Shell/PowerShell;HTML/CSS;JavaScript;Python;Ruby;TypeScript</v>
      </c>
      <c r="C2556" s="9" t="str">
        <f>IFERROR(__xludf.DUMMYFUNCTION("""COMPUTED_VALUE"""),"JavaScript")</f>
        <v>JavaScript</v>
      </c>
      <c r="D2556" s="9" t="str">
        <f>IFERROR(__xludf.DUMMYFUNCTION("""COMPUTED_VALUE"""),"C#")</f>
        <v>C#</v>
      </c>
      <c r="E2556" s="9" t="str">
        <f>IFERROR(__xludf.DUMMYFUNCTION("""COMPUTED_VALUE"""),"JavaScript")</f>
        <v>JavaScript</v>
      </c>
      <c r="F2556" s="9" t="str">
        <f>IFERROR(__xludf.DUMMYFUNCTION("""COMPUTED_VALUE"""),"HTML/CSS")</f>
        <v>HTML/CSS</v>
      </c>
      <c r="G2556" s="9" t="str">
        <f>IFERROR(__xludf.DUMMYFUNCTION("""COMPUTED_VALUE"""),"Bash/Shell/PowerShell")</f>
        <v>Bash/Shell/PowerShell</v>
      </c>
      <c r="H2556" s="9" t="str">
        <f>IFERROR(__xludf.DUMMYFUNCTION("""COMPUTED_VALUE"""),"Ruby")</f>
        <v>Ruby</v>
      </c>
      <c r="I2556" s="9" t="str">
        <f>IFERROR(__xludf.DUMMYFUNCTION("""COMPUTED_VALUE"""),"VBA")</f>
        <v>VBA</v>
      </c>
      <c r="J2556" s="9" t="str">
        <f>IFERROR(__xludf.DUMMYFUNCTION("""COMPUTED_VALUE"""),"Swift")</f>
        <v>Swift</v>
      </c>
      <c r="K2556" s="9" t="str">
        <f>IFERROR(__xludf.DUMMYFUNCTION("""COMPUTED_VALUE"""),"Other(s):")</f>
        <v>Other(s):</v>
      </c>
      <c r="L2556" s="9" t="str">
        <f>IFERROR(__xludf.DUMMYFUNCTION("""COMPUTED_VALUE"""),"Java")</f>
        <v>Java</v>
      </c>
      <c r="M2556" s="9" t="s">
        <v>21</v>
      </c>
    </row>
    <row r="2557" ht="15.75" customHeight="1">
      <c r="A2557" s="7"/>
      <c r="B2557" s="7" t="str">
        <f>IFERROR(__xludf.DUMMYFUNCTION("""COMPUTED_VALUE"""),"C#;HTML/CSS;JavaScript")</f>
        <v>C#;HTML/CSS;JavaScript</v>
      </c>
      <c r="C2557" s="9" t="str">
        <f>IFERROR(__xludf.DUMMYFUNCTION("""COMPUTED_VALUE"""),"PHP")</f>
        <v>PHP</v>
      </c>
      <c r="D2557" s="9" t="str">
        <f>IFERROR(__xludf.DUMMYFUNCTION("""COMPUTED_VALUE"""),"HTML/CSS")</f>
        <v>HTML/CSS</v>
      </c>
      <c r="E2557" s="9" t="str">
        <f>IFERROR(__xludf.DUMMYFUNCTION("""COMPUTED_VALUE"""),"PHP")</f>
        <v>PHP</v>
      </c>
      <c r="F2557" s="9" t="str">
        <f>IFERROR(__xludf.DUMMYFUNCTION("""COMPUTED_VALUE"""),"Java")</f>
        <v>Java</v>
      </c>
      <c r="G2557" s="9" t="str">
        <f>IFERROR(__xludf.DUMMYFUNCTION("""COMPUTED_VALUE"""),"C")</f>
        <v>C</v>
      </c>
      <c r="H2557" s="9" t="str">
        <f>IFERROR(__xludf.DUMMYFUNCTION("""COMPUTED_VALUE"""),"Rust")</f>
        <v>Rust</v>
      </c>
      <c r="I2557" s="9" t="str">
        <f>IFERROR(__xludf.DUMMYFUNCTION("""COMPUTED_VALUE"""),"Bash/Shell/PowerShell")</f>
        <v>Bash/Shell/PowerShell</v>
      </c>
      <c r="J2557" s="9" t="str">
        <f>IFERROR(__xludf.DUMMYFUNCTION("""COMPUTED_VALUE"""),"HTML/CSS")</f>
        <v>HTML/CSS</v>
      </c>
      <c r="K2557" s="9" t="str">
        <f>IFERROR(__xludf.DUMMYFUNCTION("""COMPUTED_VALUE"""),"Java")</f>
        <v>Java</v>
      </c>
      <c r="L2557" s="9" t="str">
        <f>IFERROR(__xludf.DUMMYFUNCTION("""COMPUTED_VALUE"""),"JavaScript")</f>
        <v>JavaScript</v>
      </c>
      <c r="M2557" s="9" t="s">
        <v>37</v>
      </c>
    </row>
    <row r="2558" ht="15.75" customHeight="1">
      <c r="A2558" s="7"/>
      <c r="B2558" s="7" t="str">
        <f>IFERROR(__xludf.DUMMYFUNCTION("""COMPUTED_VALUE"""),"Bash/Shell/PowerShell;HTML/CSS;JavaScript;PHP;Python;Other(s):")</f>
        <v>Bash/Shell/PowerShell;HTML/CSS;JavaScript;PHP;Python;Other(s):</v>
      </c>
      <c r="C2558" s="9" t="str">
        <f>IFERROR(__xludf.DUMMYFUNCTION("""COMPUTED_VALUE"""),"Python")</f>
        <v>Python</v>
      </c>
      <c r="D2558" s="9" t="str">
        <f>IFERROR(__xludf.DUMMYFUNCTION("""COMPUTED_VALUE"""),"Java")</f>
        <v>Java</v>
      </c>
      <c r="E2558" s="9" t="str">
        <f>IFERROR(__xludf.DUMMYFUNCTION("""COMPUTED_VALUE"""),"SQL")</f>
        <v>SQL</v>
      </c>
      <c r="F2558" s="9" t="str">
        <f>IFERROR(__xludf.DUMMYFUNCTION("""COMPUTED_VALUE"""),"JavaScript")</f>
        <v>JavaScript</v>
      </c>
      <c r="G2558" s="9" t="str">
        <f>IFERROR(__xludf.DUMMYFUNCTION("""COMPUTED_VALUE"""),"Go")</f>
        <v>Go</v>
      </c>
      <c r="H2558" s="9" t="str">
        <f>IFERROR(__xludf.DUMMYFUNCTION("""COMPUTED_VALUE"""),"Bash/Shell/PowerShell")</f>
        <v>Bash/Shell/PowerShell</v>
      </c>
      <c r="I2558" s="9" t="str">
        <f>IFERROR(__xludf.DUMMYFUNCTION("""COMPUTED_VALUE"""),"C#")</f>
        <v>C#</v>
      </c>
      <c r="J2558" s="9" t="str">
        <f>IFERROR(__xludf.DUMMYFUNCTION("""COMPUTED_VALUE"""),"JavaScript")</f>
        <v>JavaScript</v>
      </c>
      <c r="K2558" s="9" t="str">
        <f>IFERROR(__xludf.DUMMYFUNCTION("""COMPUTED_VALUE"""),"JavaScript")</f>
        <v>JavaScript</v>
      </c>
      <c r="L2558" s="9" t="str">
        <f>IFERROR(__xludf.DUMMYFUNCTION("""COMPUTED_VALUE"""),"PHP")</f>
        <v>PHP</v>
      </c>
      <c r="M2558" s="9" t="s">
        <v>22</v>
      </c>
    </row>
    <row r="2559" ht="15.75" customHeight="1">
      <c r="A2559" s="7"/>
      <c r="B2559" s="7" t="str">
        <f>IFERROR(__xludf.DUMMYFUNCTION("""COMPUTED_VALUE"""),"Bash/Shell/PowerShell;JavaScript;PHP;SQL")</f>
        <v>Bash/Shell/PowerShell;JavaScript;PHP;SQL</v>
      </c>
      <c r="C2559" s="9" t="str">
        <f>IFERROR(__xludf.DUMMYFUNCTION("""COMPUTED_VALUE"""),"SQL")</f>
        <v>SQL</v>
      </c>
      <c r="D2559" s="9" t="str">
        <f>IFERROR(__xludf.DUMMYFUNCTION("""COMPUTED_VALUE"""),"JavaScript")</f>
        <v>JavaScript</v>
      </c>
      <c r="E2559" s="9" t="str">
        <f>IFERROR(__xludf.DUMMYFUNCTION("""COMPUTED_VALUE"""),"HTML/CSS")</f>
        <v>HTML/CSS</v>
      </c>
      <c r="F2559" s="9" t="str">
        <f>IFERROR(__xludf.DUMMYFUNCTION("""COMPUTED_VALUE"""),"PHP")</f>
        <v>PHP</v>
      </c>
      <c r="G2559" s="9" t="str">
        <f>IFERROR(__xludf.DUMMYFUNCTION("""COMPUTED_VALUE"""),"HTML/CSS")</f>
        <v>HTML/CSS</v>
      </c>
      <c r="H2559" s="9" t="str">
        <f>IFERROR(__xludf.DUMMYFUNCTION("""COMPUTED_VALUE"""),"C")</f>
        <v>C</v>
      </c>
      <c r="I2559" s="9" t="str">
        <f>IFERROR(__xludf.DUMMYFUNCTION("""COMPUTED_VALUE"""),"JavaScript")</f>
        <v>JavaScript</v>
      </c>
      <c r="J2559" s="9" t="str">
        <f>IFERROR(__xludf.DUMMYFUNCTION("""COMPUTED_VALUE"""),"Python")</f>
        <v>Python</v>
      </c>
      <c r="K2559" s="9" t="str">
        <f>IFERROR(__xludf.DUMMYFUNCTION("""COMPUTED_VALUE"""),"Other(s):")</f>
        <v>Other(s):</v>
      </c>
      <c r="L2559" s="9" t="str">
        <f>IFERROR(__xludf.DUMMYFUNCTION("""COMPUTED_VALUE"""),"SQL")</f>
        <v>SQL</v>
      </c>
      <c r="M2559" s="9" t="s">
        <v>27</v>
      </c>
    </row>
    <row r="2560" ht="15.75" customHeight="1">
      <c r="A2560" s="7"/>
      <c r="B2560" s="7" t="str">
        <f>IFERROR(__xludf.DUMMYFUNCTION("""COMPUTED_VALUE"""),"C++;C#;HTML/CSS;JavaScript;VBA")</f>
        <v>C++;C#;HTML/CSS;JavaScript;VBA</v>
      </c>
      <c r="C2560" s="9" t="str">
        <f>IFERROR(__xludf.DUMMYFUNCTION("""COMPUTED_VALUE"""),"TypeScript")</f>
        <v>TypeScript</v>
      </c>
      <c r="D2560" s="9" t="str">
        <f>IFERROR(__xludf.DUMMYFUNCTION("""COMPUTED_VALUE"""),"PHP")</f>
        <v>PHP</v>
      </c>
      <c r="E2560" s="9" t="str">
        <f>IFERROR(__xludf.DUMMYFUNCTION("""COMPUTED_VALUE"""),"Java")</f>
        <v>Java</v>
      </c>
      <c r="F2560" s="9" t="str">
        <f>IFERROR(__xludf.DUMMYFUNCTION("""COMPUTED_VALUE"""),"Other(s):")</f>
        <v>Other(s):</v>
      </c>
      <c r="G2560" s="9" t="str">
        <f>IFERROR(__xludf.DUMMYFUNCTION("""COMPUTED_VALUE"""),"Java")</f>
        <v>Java</v>
      </c>
      <c r="H2560" s="9" t="str">
        <f>IFERROR(__xludf.DUMMYFUNCTION("""COMPUTED_VALUE"""),"HTML/CSS")</f>
        <v>HTML/CSS</v>
      </c>
      <c r="I2560" s="9" t="str">
        <f>IFERROR(__xludf.DUMMYFUNCTION("""COMPUTED_VALUE"""),"Python")</f>
        <v>Python</v>
      </c>
      <c r="J2560" s="9" t="str">
        <f>IFERROR(__xludf.DUMMYFUNCTION("""COMPUTED_VALUE"""),"Java")</f>
        <v>Java</v>
      </c>
      <c r="K2560" s="9" t="str">
        <f>IFERROR(__xludf.DUMMYFUNCTION("""COMPUTED_VALUE"""),"Bash/Shell/PowerShell")</f>
        <v>Bash/Shell/PowerShell</v>
      </c>
      <c r="L2560" s="9" t="str">
        <f>IFERROR(__xludf.DUMMYFUNCTION("""COMPUTED_VALUE"""),"VBA")</f>
        <v>VBA</v>
      </c>
      <c r="M2560" s="9" t="s">
        <v>33</v>
      </c>
    </row>
    <row r="2561" ht="15.75" customHeight="1">
      <c r="A2561" s="7"/>
      <c r="B2561" s="7" t="str">
        <f>IFERROR(__xludf.DUMMYFUNCTION("""COMPUTED_VALUE"""),"C#;HTML/CSS;JavaScript;SQL")</f>
        <v>C#;HTML/CSS;JavaScript;SQL</v>
      </c>
      <c r="C2561" s="9" t="str">
        <f>IFERROR(__xludf.DUMMYFUNCTION("""COMPUTED_VALUE"""),"C")</f>
        <v>C</v>
      </c>
      <c r="D2561" s="9" t="str">
        <f>IFERROR(__xludf.DUMMYFUNCTION("""COMPUTED_VALUE"""),"Swift")</f>
        <v>Swift</v>
      </c>
      <c r="E2561" s="9" t="str">
        <f>IFERROR(__xludf.DUMMYFUNCTION("""COMPUTED_VALUE"""),"JavaScript")</f>
        <v>JavaScript</v>
      </c>
      <c r="F2561" s="9" t="str">
        <f>IFERROR(__xludf.DUMMYFUNCTION("""COMPUTED_VALUE"""),"HTML/CSS")</f>
        <v>HTML/CSS</v>
      </c>
      <c r="G2561" s="9" t="str">
        <f>IFERROR(__xludf.DUMMYFUNCTION("""COMPUTED_VALUE"""),"JavaScript")</f>
        <v>JavaScript</v>
      </c>
      <c r="H2561" s="9" t="str">
        <f>IFERROR(__xludf.DUMMYFUNCTION("""COMPUTED_VALUE"""),"JavaScript")</f>
        <v>JavaScript</v>
      </c>
      <c r="I2561" s="9" t="str">
        <f>IFERROR(__xludf.DUMMYFUNCTION("""COMPUTED_VALUE"""),"SQL")</f>
        <v>SQL</v>
      </c>
      <c r="J2561" s="9" t="str">
        <f>IFERROR(__xludf.DUMMYFUNCTION("""COMPUTED_VALUE"""),"Kotlin")</f>
        <v>Kotlin</v>
      </c>
      <c r="K2561" s="9" t="str">
        <f>IFERROR(__xludf.DUMMYFUNCTION("""COMPUTED_VALUE"""),"C")</f>
        <v>C</v>
      </c>
      <c r="L2561" s="9" t="str">
        <f>IFERROR(__xludf.DUMMYFUNCTION("""COMPUTED_VALUE"""),"Bash/Shell/PowerShell")</f>
        <v>Bash/Shell/PowerShell</v>
      </c>
      <c r="M2561" s="9" t="s">
        <v>25</v>
      </c>
    </row>
    <row r="2562" ht="15.75" customHeight="1">
      <c r="A2562" s="7"/>
      <c r="B2562" s="7" t="str">
        <f>IFERROR(__xludf.DUMMYFUNCTION("""COMPUTED_VALUE"""),"C;C#;Dart;Go;HTML/CSS;Java;JavaScript;Python;SQL;Swift;TypeScript")</f>
        <v>C;C#;Dart;Go;HTML/CSS;Java;JavaScript;Python;SQL;Swift;TypeScript</v>
      </c>
      <c r="C2562" s="9" t="str">
        <f>IFERROR(__xludf.DUMMYFUNCTION("""COMPUTED_VALUE"""),"C++")</f>
        <v>C++</v>
      </c>
      <c r="D2562" s="9" t="str">
        <f>IFERROR(__xludf.DUMMYFUNCTION("""COMPUTED_VALUE"""),"Bash/Shell/PowerShell")</f>
        <v>Bash/Shell/PowerShell</v>
      </c>
      <c r="E2562" s="9" t="str">
        <f>IFERROR(__xludf.DUMMYFUNCTION("""COMPUTED_VALUE"""),"VBA")</f>
        <v>VBA</v>
      </c>
      <c r="F2562" s="9" t="str">
        <f>IFERROR(__xludf.DUMMYFUNCTION("""COMPUTED_VALUE"""),"Java")</f>
        <v>Java</v>
      </c>
      <c r="G2562" s="9" t="str">
        <f>IFERROR(__xludf.DUMMYFUNCTION("""COMPUTED_VALUE"""),"PHP")</f>
        <v>PHP</v>
      </c>
      <c r="H2562" s="9" t="str">
        <f>IFERROR(__xludf.DUMMYFUNCTION("""COMPUTED_VALUE"""),"PHP")</f>
        <v>PHP</v>
      </c>
      <c r="I2562" s="9" t="str">
        <f>IFERROR(__xludf.DUMMYFUNCTION("""COMPUTED_VALUE"""),"TypeScript")</f>
        <v>TypeScript</v>
      </c>
      <c r="J2562" s="9" t="str">
        <f>IFERROR(__xludf.DUMMYFUNCTION("""COMPUTED_VALUE"""),"Assembly")</f>
        <v>Assembly</v>
      </c>
      <c r="K2562" s="9" t="str">
        <f>IFERROR(__xludf.DUMMYFUNCTION("""COMPUTED_VALUE"""),"C++")</f>
        <v>C++</v>
      </c>
      <c r="L2562" s="9" t="str">
        <f>IFERROR(__xludf.DUMMYFUNCTION("""COMPUTED_VALUE"""),"HTML/CSS")</f>
        <v>HTML/CSS</v>
      </c>
      <c r="M2562" s="9" t="s">
        <v>23</v>
      </c>
    </row>
    <row r="2563" ht="15.75" customHeight="1">
      <c r="A2563" s="7"/>
      <c r="B2563" s="7" t="str">
        <f>IFERROR(__xludf.DUMMYFUNCTION("""COMPUTED_VALUE"""),"C#")</f>
        <v>C#</v>
      </c>
      <c r="C2563" s="9" t="str">
        <f>IFERROR(__xludf.DUMMYFUNCTION("""COMPUTED_VALUE"""),"C#")</f>
        <v>C#</v>
      </c>
      <c r="D2563" s="9" t="str">
        <f>IFERROR(__xludf.DUMMYFUNCTION("""COMPUTED_VALUE"""),"C")</f>
        <v>C</v>
      </c>
      <c r="E2563" s="9" t="str">
        <f>IFERROR(__xludf.DUMMYFUNCTION("""COMPUTED_VALUE"""),"C")</f>
        <v>C</v>
      </c>
      <c r="F2563" s="9" t="str">
        <f>IFERROR(__xludf.DUMMYFUNCTION("""COMPUTED_VALUE"""),"JavaScript")</f>
        <v>JavaScript</v>
      </c>
      <c r="G2563" s="9" t="str">
        <f>IFERROR(__xludf.DUMMYFUNCTION("""COMPUTED_VALUE"""),"Ruby")</f>
        <v>Ruby</v>
      </c>
      <c r="H2563" s="9" t="str">
        <f>IFERROR(__xludf.DUMMYFUNCTION("""COMPUTED_VALUE"""),"TypeScript")</f>
        <v>TypeScript</v>
      </c>
      <c r="I2563" s="9" t="str">
        <f>IFERROR(__xludf.DUMMYFUNCTION("""COMPUTED_VALUE"""),"C#")</f>
        <v>C#</v>
      </c>
      <c r="J2563" s="9" t="str">
        <f>IFERROR(__xludf.DUMMYFUNCTION("""COMPUTED_VALUE"""),"C")</f>
        <v>C</v>
      </c>
      <c r="K2563" s="9" t="str">
        <f>IFERROR(__xludf.DUMMYFUNCTION("""COMPUTED_VALUE"""),"C#")</f>
        <v>C#</v>
      </c>
      <c r="L2563" s="9" t="str">
        <f>IFERROR(__xludf.DUMMYFUNCTION("""COMPUTED_VALUE"""),"Java")</f>
        <v>Java</v>
      </c>
      <c r="M2563" s="9" t="s">
        <v>26</v>
      </c>
    </row>
    <row r="2564" ht="15.75" customHeight="1">
      <c r="A2564" s="7"/>
      <c r="B2564" s="7" t="str">
        <f>IFERROR(__xludf.DUMMYFUNCTION("""COMPUTED_VALUE"""),"C++;HTML/CSS;Java;JavaScript;Scala;TypeScript;WebAssembly")</f>
        <v>C++;HTML/CSS;Java;JavaScript;Scala;TypeScript;WebAssembly</v>
      </c>
      <c r="C2564" s="9" t="str">
        <f>IFERROR(__xludf.DUMMYFUNCTION("""COMPUTED_VALUE"""),"C#")</f>
        <v>C#</v>
      </c>
      <c r="D2564" s="9" t="str">
        <f>IFERROR(__xludf.DUMMYFUNCTION("""COMPUTED_VALUE"""),"SQL")</f>
        <v>SQL</v>
      </c>
      <c r="E2564" s="9" t="str">
        <f>IFERROR(__xludf.DUMMYFUNCTION("""COMPUTED_VALUE"""),"HTML/CSS")</f>
        <v>HTML/CSS</v>
      </c>
      <c r="F2564" s="9" t="str">
        <f>IFERROR(__xludf.DUMMYFUNCTION("""COMPUTED_VALUE"""),"HTML/CSS")</f>
        <v>HTML/CSS</v>
      </c>
      <c r="G2564" s="9" t="str">
        <f>IFERROR(__xludf.DUMMYFUNCTION("""COMPUTED_VALUE"""),"SQL")</f>
        <v>SQL</v>
      </c>
      <c r="H2564" s="9" t="str">
        <f>IFERROR(__xludf.DUMMYFUNCTION("""COMPUTED_VALUE"""),"Java")</f>
        <v>Java</v>
      </c>
      <c r="I2564" s="9" t="str">
        <f>IFERROR(__xludf.DUMMYFUNCTION("""COMPUTED_VALUE"""),"HTML/CSS")</f>
        <v>HTML/CSS</v>
      </c>
      <c r="J2564" s="9" t="str">
        <f>IFERROR(__xludf.DUMMYFUNCTION("""COMPUTED_VALUE"""),"Go")</f>
        <v>Go</v>
      </c>
      <c r="K2564" s="9" t="str">
        <f>IFERROR(__xludf.DUMMYFUNCTION("""COMPUTED_VALUE"""),"Elixir")</f>
        <v>Elixir</v>
      </c>
      <c r="L2564" s="9" t="str">
        <f>IFERROR(__xludf.DUMMYFUNCTION("""COMPUTED_VALUE"""),"JavaScript")</f>
        <v>JavaScript</v>
      </c>
      <c r="M2564" s="9" t="s">
        <v>26</v>
      </c>
    </row>
    <row r="2565" ht="15.75" customHeight="1">
      <c r="A2565" s="7"/>
      <c r="B2565" s="7" t="str">
        <f>IFERROR(__xludf.DUMMYFUNCTION("""COMPUTED_VALUE"""),"Bash/Shell/PowerShell;Python")</f>
        <v>Bash/Shell/PowerShell;Python</v>
      </c>
      <c r="C2565" s="9" t="str">
        <f>IFERROR(__xludf.DUMMYFUNCTION("""COMPUTED_VALUE"""),"Bash/Shell/PowerShell")</f>
        <v>Bash/Shell/PowerShell</v>
      </c>
      <c r="D2565" s="9" t="str">
        <f>IFERROR(__xludf.DUMMYFUNCTION("""COMPUTED_VALUE"""),"Bash/Shell/PowerShell")</f>
        <v>Bash/Shell/PowerShell</v>
      </c>
      <c r="E2565" s="9" t="str">
        <f>IFERROR(__xludf.DUMMYFUNCTION("""COMPUTED_VALUE"""),"Java")</f>
        <v>Java</v>
      </c>
      <c r="F2565" s="9" t="str">
        <f>IFERROR(__xludf.DUMMYFUNCTION("""COMPUTED_VALUE"""),"Java")</f>
        <v>Java</v>
      </c>
      <c r="G2565" s="9" t="str">
        <f>IFERROR(__xludf.DUMMYFUNCTION("""COMPUTED_VALUE"""),"TypeScript")</f>
        <v>TypeScript</v>
      </c>
      <c r="H2565" s="9" t="str">
        <f>IFERROR(__xludf.DUMMYFUNCTION("""COMPUTED_VALUE"""),"Kotlin")</f>
        <v>Kotlin</v>
      </c>
      <c r="I2565" s="9" t="str">
        <f>IFERROR(__xludf.DUMMYFUNCTION("""COMPUTED_VALUE"""),"JavaScript")</f>
        <v>JavaScript</v>
      </c>
      <c r="J2565" s="9" t="str">
        <f>IFERROR(__xludf.DUMMYFUNCTION("""COMPUTED_VALUE"""),"HTML/CSS")</f>
        <v>HTML/CSS</v>
      </c>
      <c r="K2565" s="9" t="str">
        <f>IFERROR(__xludf.DUMMYFUNCTION("""COMPUTED_VALUE"""),"Erlang")</f>
        <v>Erlang</v>
      </c>
      <c r="L2565" s="9" t="str">
        <f>IFERROR(__xludf.DUMMYFUNCTION("""COMPUTED_VALUE"""),"Kotlin")</f>
        <v>Kotlin</v>
      </c>
      <c r="M2565" s="9" t="s">
        <v>30</v>
      </c>
    </row>
    <row r="2566" ht="15.75" customHeight="1">
      <c r="A2566" s="7"/>
      <c r="B2566" s="7" t="str">
        <f>IFERROR(__xludf.DUMMYFUNCTION("""COMPUTED_VALUE"""),"HTML/CSS;JavaScript;Python")</f>
        <v>HTML/CSS;JavaScript;Python</v>
      </c>
      <c r="C2566" s="9" t="str">
        <f>IFERROR(__xludf.DUMMYFUNCTION("""COMPUTED_VALUE"""),"C")</f>
        <v>C</v>
      </c>
      <c r="D2566" s="9" t="str">
        <f>IFERROR(__xludf.DUMMYFUNCTION("""COMPUTED_VALUE"""),"Python")</f>
        <v>Python</v>
      </c>
      <c r="E2566" s="9" t="str">
        <f>IFERROR(__xludf.DUMMYFUNCTION("""COMPUTED_VALUE"""),"JavaScript")</f>
        <v>JavaScript</v>
      </c>
      <c r="F2566" s="9" t="str">
        <f>IFERROR(__xludf.DUMMYFUNCTION("""COMPUTED_VALUE"""),"Python")</f>
        <v>Python</v>
      </c>
      <c r="G2566" s="9" t="str">
        <f>IFERROR(__xludf.DUMMYFUNCTION("""COMPUTED_VALUE"""),"Bash/Shell/PowerShell")</f>
        <v>Bash/Shell/PowerShell</v>
      </c>
      <c r="H2566" s="9" t="str">
        <f>IFERROR(__xludf.DUMMYFUNCTION("""COMPUTED_VALUE"""),"C#")</f>
        <v>C#</v>
      </c>
      <c r="I2566" s="9" t="str">
        <f>IFERROR(__xludf.DUMMYFUNCTION("""COMPUTED_VALUE"""),"SQL")</f>
        <v>SQL</v>
      </c>
      <c r="J2566" s="9" t="str">
        <f>IFERROR(__xludf.DUMMYFUNCTION("""COMPUTED_VALUE"""),"Java")</f>
        <v>Java</v>
      </c>
      <c r="K2566" s="9" t="str">
        <f>IFERROR(__xludf.DUMMYFUNCTION("""COMPUTED_VALUE"""),"Go")</f>
        <v>Go</v>
      </c>
      <c r="L2566" s="9" t="str">
        <f>IFERROR(__xludf.DUMMYFUNCTION("""COMPUTED_VALUE"""),"PHP")</f>
        <v>PHP</v>
      </c>
      <c r="M2566" s="9" t="s">
        <v>25</v>
      </c>
    </row>
    <row r="2567" ht="15.75" customHeight="1">
      <c r="A2567" s="7"/>
      <c r="B2567" s="7" t="str">
        <f>IFERROR(__xludf.DUMMYFUNCTION("""COMPUTED_VALUE"""),"C#;Dart;JavaScript;Python;SQL;TypeScript")</f>
        <v>C#;Dart;JavaScript;Python;SQL;TypeScript</v>
      </c>
      <c r="C2567" s="9" t="str">
        <f>IFERROR(__xludf.DUMMYFUNCTION("""COMPUTED_VALUE"""),"C++")</f>
        <v>C++</v>
      </c>
      <c r="D2567" s="9" t="str">
        <f>IFERROR(__xludf.DUMMYFUNCTION("""COMPUTED_VALUE"""),"Bash/Shell/PowerShell")</f>
        <v>Bash/Shell/PowerShell</v>
      </c>
      <c r="E2567" s="9" t="str">
        <f>IFERROR(__xludf.DUMMYFUNCTION("""COMPUTED_VALUE"""),"Python")</f>
        <v>Python</v>
      </c>
      <c r="F2567" s="9" t="str">
        <f>IFERROR(__xludf.DUMMYFUNCTION("""COMPUTED_VALUE"""),"SQL")</f>
        <v>SQL</v>
      </c>
      <c r="G2567" s="9" t="str">
        <f>IFERROR(__xludf.DUMMYFUNCTION("""COMPUTED_VALUE"""),"C++")</f>
        <v>C++</v>
      </c>
      <c r="H2567" s="9" t="str">
        <f>IFERROR(__xludf.DUMMYFUNCTION("""COMPUTED_VALUE"""),"HTML/CSS")</f>
        <v>HTML/CSS</v>
      </c>
      <c r="I2567" s="9" t="str">
        <f>IFERROR(__xludf.DUMMYFUNCTION("""COMPUTED_VALUE"""),"VBA")</f>
        <v>VBA</v>
      </c>
      <c r="J2567" s="9" t="str">
        <f>IFERROR(__xludf.DUMMYFUNCTION("""COMPUTED_VALUE"""),"JavaScript")</f>
        <v>JavaScript</v>
      </c>
      <c r="K2567" s="9" t="str">
        <f>IFERROR(__xludf.DUMMYFUNCTION("""COMPUTED_VALUE"""),"HTML/CSS")</f>
        <v>HTML/CSS</v>
      </c>
      <c r="L2567" s="9" t="str">
        <f>IFERROR(__xludf.DUMMYFUNCTION("""COMPUTED_VALUE"""),"Python")</f>
        <v>Python</v>
      </c>
      <c r="M2567" s="9" t="s">
        <v>23</v>
      </c>
    </row>
    <row r="2568" ht="15.75" customHeight="1">
      <c r="A2568" s="7"/>
      <c r="B2568" s="7" t="str">
        <f>IFERROR(__xludf.DUMMYFUNCTION("""COMPUTED_VALUE"""),"Java")</f>
        <v>Java</v>
      </c>
      <c r="C2568" s="9" t="str">
        <f>IFERROR(__xludf.DUMMYFUNCTION("""COMPUTED_VALUE"""),"Java")</f>
        <v>Java</v>
      </c>
      <c r="D2568" s="9" t="str">
        <f>IFERROR(__xludf.DUMMYFUNCTION("""COMPUTED_VALUE"""),"HTML/CSS")</f>
        <v>HTML/CSS</v>
      </c>
      <c r="E2568" s="9" t="str">
        <f>IFERROR(__xludf.DUMMYFUNCTION("""COMPUTED_VALUE"""),"SQL")</f>
        <v>SQL</v>
      </c>
      <c r="F2568" s="9" t="str">
        <f>IFERROR(__xludf.DUMMYFUNCTION("""COMPUTED_VALUE"""),"C++")</f>
        <v>C++</v>
      </c>
      <c r="G2568" s="9" t="str">
        <f>IFERROR(__xludf.DUMMYFUNCTION("""COMPUTED_VALUE"""),"C#")</f>
        <v>C#</v>
      </c>
      <c r="H2568" s="9" t="str">
        <f>IFERROR(__xludf.DUMMYFUNCTION("""COMPUTED_VALUE"""),"PHP")</f>
        <v>PHP</v>
      </c>
      <c r="I2568" s="9" t="str">
        <f>IFERROR(__xludf.DUMMYFUNCTION("""COMPUTED_VALUE"""),"Bash/Shell/PowerShell")</f>
        <v>Bash/Shell/PowerShell</v>
      </c>
      <c r="J2568" s="9" t="str">
        <f>IFERROR(__xludf.DUMMYFUNCTION("""COMPUTED_VALUE"""),"Python")</f>
        <v>Python</v>
      </c>
      <c r="K2568" s="9" t="str">
        <f>IFERROR(__xludf.DUMMYFUNCTION("""COMPUTED_VALUE"""),"Java")</f>
        <v>Java</v>
      </c>
      <c r="L2568" s="9" t="str">
        <f>IFERROR(__xludf.DUMMYFUNCTION("""COMPUTED_VALUE"""),"TypeScript")</f>
        <v>TypeScript</v>
      </c>
      <c r="M2568" s="9" t="s">
        <v>20</v>
      </c>
    </row>
    <row r="2569" ht="15.75" customHeight="1">
      <c r="A2569" s="7"/>
      <c r="B2569" s="7" t="str">
        <f>IFERROR(__xludf.DUMMYFUNCTION("""COMPUTED_VALUE"""),"HTML/CSS;JavaScript;PHP;SQL")</f>
        <v>HTML/CSS;JavaScript;PHP;SQL</v>
      </c>
      <c r="C2569" s="9" t="str">
        <f>IFERROR(__xludf.DUMMYFUNCTION("""COMPUTED_VALUE"""),"Python")</f>
        <v>Python</v>
      </c>
      <c r="D2569" s="9" t="str">
        <f>IFERROR(__xludf.DUMMYFUNCTION("""COMPUTED_VALUE"""),"Java")</f>
        <v>Java</v>
      </c>
      <c r="E2569" s="9" t="str">
        <f>IFERROR(__xludf.DUMMYFUNCTION("""COMPUTED_VALUE"""),"Bash/Shell/PowerShell")</f>
        <v>Bash/Shell/PowerShell</v>
      </c>
      <c r="F2569" s="9" t="str">
        <f>IFERROR(__xludf.DUMMYFUNCTION("""COMPUTED_VALUE"""),"C#")</f>
        <v>C#</v>
      </c>
      <c r="G2569" s="9" t="str">
        <f>IFERROR(__xludf.DUMMYFUNCTION("""COMPUTED_VALUE"""),"Clojure")</f>
        <v>Clojure</v>
      </c>
      <c r="H2569" s="9" t="str">
        <f>IFERROR(__xludf.DUMMYFUNCTION("""COMPUTED_VALUE"""),"SQL")</f>
        <v>SQL</v>
      </c>
      <c r="I2569" s="9" t="str">
        <f>IFERROR(__xludf.DUMMYFUNCTION("""COMPUTED_VALUE"""),"JavaScript")</f>
        <v>JavaScript</v>
      </c>
      <c r="J2569" s="9" t="str">
        <f>IFERROR(__xludf.DUMMYFUNCTION("""COMPUTED_VALUE"""),"R")</f>
        <v>R</v>
      </c>
      <c r="K2569" s="9" t="str">
        <f>IFERROR(__xludf.DUMMYFUNCTION("""COMPUTED_VALUE"""),"JavaScript")</f>
        <v>JavaScript</v>
      </c>
      <c r="L2569" s="9" t="str">
        <f>IFERROR(__xludf.DUMMYFUNCTION("""COMPUTED_VALUE"""),"Other(s):")</f>
        <v>Other(s):</v>
      </c>
      <c r="M2569" s="9" t="s">
        <v>22</v>
      </c>
    </row>
    <row r="2570" ht="15.75" customHeight="1">
      <c r="A2570" s="7"/>
      <c r="B2570" s="7" t="str">
        <f>IFERROR(__xludf.DUMMYFUNCTION("""COMPUTED_VALUE"""),"Assembly;C;C++;HTML/CSS;Java;JavaScript;Python;Ruby;Scala;SQL")</f>
        <v>Assembly;C;C++;HTML/CSS;Java;JavaScript;Python;Ruby;Scala;SQL</v>
      </c>
      <c r="C2570" s="9" t="str">
        <f>IFERROR(__xludf.DUMMYFUNCTION("""COMPUTED_VALUE"""),"C#")</f>
        <v>C#</v>
      </c>
      <c r="D2570" s="9" t="str">
        <f>IFERROR(__xludf.DUMMYFUNCTION("""COMPUTED_VALUE"""),"JavaScript")</f>
        <v>JavaScript</v>
      </c>
      <c r="E2570" s="9" t="str">
        <f>IFERROR(__xludf.DUMMYFUNCTION("""COMPUTED_VALUE"""),"C")</f>
        <v>C</v>
      </c>
      <c r="F2570" s="9" t="str">
        <f>IFERROR(__xludf.DUMMYFUNCTION("""COMPUTED_VALUE"""),"HTML/CSS")</f>
        <v>HTML/CSS</v>
      </c>
      <c r="G2570" s="9" t="str">
        <f>IFERROR(__xludf.DUMMYFUNCTION("""COMPUTED_VALUE"""),"F#")</f>
        <v>F#</v>
      </c>
      <c r="H2570" s="9" t="str">
        <f>IFERROR(__xludf.DUMMYFUNCTION("""COMPUTED_VALUE"""),"VBA")</f>
        <v>VBA</v>
      </c>
      <c r="I2570" s="9" t="str">
        <f>IFERROR(__xludf.DUMMYFUNCTION("""COMPUTED_VALUE"""),"PHP")</f>
        <v>PHP</v>
      </c>
      <c r="J2570" s="9" t="str">
        <f>IFERROR(__xludf.DUMMYFUNCTION("""COMPUTED_VALUE"""),"SQL")</f>
        <v>SQL</v>
      </c>
      <c r="K2570" s="9" t="str">
        <f>IFERROR(__xludf.DUMMYFUNCTION("""COMPUTED_VALUE"""),"Python")</f>
        <v>Python</v>
      </c>
      <c r="L2570" s="9" t="str">
        <f>IFERROR(__xludf.DUMMYFUNCTION("""COMPUTED_VALUE"""),"Bash/Shell/PowerShell")</f>
        <v>Bash/Shell/PowerShell</v>
      </c>
      <c r="M2570" s="9" t="s">
        <v>26</v>
      </c>
    </row>
    <row r="2571" ht="15.75" customHeight="1">
      <c r="A2571" s="7"/>
      <c r="B2571" s="7" t="str">
        <f>IFERROR(__xludf.DUMMYFUNCTION("""COMPUTED_VALUE"""),"JavaScript")</f>
        <v>JavaScript</v>
      </c>
      <c r="C2571" s="9" t="str">
        <f>IFERROR(__xludf.DUMMYFUNCTION("""COMPUTED_VALUE"""),"Java")</f>
        <v>Java</v>
      </c>
      <c r="D2571" s="9" t="str">
        <f>IFERROR(__xludf.DUMMYFUNCTION("""COMPUTED_VALUE"""),"SQL")</f>
        <v>SQL</v>
      </c>
      <c r="E2571" s="9" t="str">
        <f>IFERROR(__xludf.DUMMYFUNCTION("""COMPUTED_VALUE"""),"C++")</f>
        <v>C++</v>
      </c>
      <c r="F2571" s="9" t="str">
        <f>IFERROR(__xludf.DUMMYFUNCTION("""COMPUTED_VALUE"""),"Java")</f>
        <v>Java</v>
      </c>
      <c r="G2571" s="9" t="str">
        <f>IFERROR(__xludf.DUMMYFUNCTION("""COMPUTED_VALUE"""),"Go")</f>
        <v>Go</v>
      </c>
      <c r="H2571" s="9" t="str">
        <f>IFERROR(__xludf.DUMMYFUNCTION("""COMPUTED_VALUE"""),"Java")</f>
        <v>Java</v>
      </c>
      <c r="I2571" s="9" t="str">
        <f>IFERROR(__xludf.DUMMYFUNCTION("""COMPUTED_VALUE"""),"Ruby")</f>
        <v>Ruby</v>
      </c>
      <c r="J2571" s="9" t="str">
        <f>IFERROR(__xludf.DUMMYFUNCTION("""COMPUTED_VALUE"""),"C#")</f>
        <v>C#</v>
      </c>
      <c r="K2571" s="9" t="str">
        <f>IFERROR(__xludf.DUMMYFUNCTION("""COMPUTED_VALUE"""),"Other(s):")</f>
        <v>Other(s):</v>
      </c>
      <c r="L2571" s="9" t="str">
        <f>IFERROR(__xludf.DUMMYFUNCTION("""COMPUTED_VALUE"""),"C#")</f>
        <v>C#</v>
      </c>
      <c r="M2571" s="9" t="s">
        <v>20</v>
      </c>
    </row>
    <row r="2572" ht="15.75" customHeight="1">
      <c r="A2572" s="7"/>
      <c r="B2572" s="7" t="str">
        <f>IFERROR(__xludf.DUMMYFUNCTION("""COMPUTED_VALUE"""),"Bash/Shell/PowerShell;JavaScript;Python")</f>
        <v>Bash/Shell/PowerShell;JavaScript;Python</v>
      </c>
      <c r="C2572" s="9" t="str">
        <f>IFERROR(__xludf.DUMMYFUNCTION("""COMPUTED_VALUE"""),"JavaScript")</f>
        <v>JavaScript</v>
      </c>
      <c r="D2572" s="9" t="str">
        <f>IFERROR(__xludf.DUMMYFUNCTION("""COMPUTED_VALUE"""),"C#")</f>
        <v>C#</v>
      </c>
      <c r="E2572" s="9" t="str">
        <f>IFERROR(__xludf.DUMMYFUNCTION("""COMPUTED_VALUE"""),"Clojure")</f>
        <v>Clojure</v>
      </c>
      <c r="F2572" s="9" t="str">
        <f>IFERROR(__xludf.DUMMYFUNCTION("""COMPUTED_VALUE"""),"JavaScript")</f>
        <v>JavaScript</v>
      </c>
      <c r="G2572" s="9" t="str">
        <f>IFERROR(__xludf.DUMMYFUNCTION("""COMPUTED_VALUE"""),"HTML/CSS")</f>
        <v>HTML/CSS</v>
      </c>
      <c r="H2572" s="9" t="str">
        <f>IFERROR(__xludf.DUMMYFUNCTION("""COMPUTED_VALUE"""),"C#")</f>
        <v>C#</v>
      </c>
      <c r="I2572" s="9" t="str">
        <f>IFERROR(__xludf.DUMMYFUNCTION("""COMPUTED_VALUE"""),"Scala")</f>
        <v>Scala</v>
      </c>
      <c r="J2572" s="9" t="str">
        <f>IFERROR(__xludf.DUMMYFUNCTION("""COMPUTED_VALUE"""),"HTML/CSS")</f>
        <v>HTML/CSS</v>
      </c>
      <c r="K2572" s="9" t="str">
        <f>IFERROR(__xludf.DUMMYFUNCTION("""COMPUTED_VALUE"""),"Bash/Shell/PowerShell")</f>
        <v>Bash/Shell/PowerShell</v>
      </c>
      <c r="L2572" s="9" t="str">
        <f>IFERROR(__xludf.DUMMYFUNCTION("""COMPUTED_VALUE"""),"HTML/CSS")</f>
        <v>HTML/CSS</v>
      </c>
      <c r="M2572" s="9" t="s">
        <v>21</v>
      </c>
    </row>
    <row r="2573" ht="15.75" customHeight="1">
      <c r="A2573" s="7"/>
      <c r="B2573" s="7" t="str">
        <f>IFERROR(__xludf.DUMMYFUNCTION("""COMPUTED_VALUE"""),"HTML/CSS;JavaScript;Python;SQL")</f>
        <v>HTML/CSS;JavaScript;Python;SQL</v>
      </c>
      <c r="C2573" s="9" t="str">
        <f>IFERROR(__xludf.DUMMYFUNCTION("""COMPUTED_VALUE"""),"SQL")</f>
        <v>SQL</v>
      </c>
      <c r="D2573" s="9" t="str">
        <f>IFERROR(__xludf.DUMMYFUNCTION("""COMPUTED_VALUE"""),"HTML/CSS")</f>
        <v>HTML/CSS</v>
      </c>
      <c r="E2573" s="9" t="str">
        <f>IFERROR(__xludf.DUMMYFUNCTION("""COMPUTED_VALUE"""),"HTML/CSS")</f>
        <v>HTML/CSS</v>
      </c>
      <c r="F2573" s="9" t="str">
        <f>IFERROR(__xludf.DUMMYFUNCTION("""COMPUTED_VALUE"""),"Python")</f>
        <v>Python</v>
      </c>
      <c r="G2573" s="9" t="str">
        <f>IFERROR(__xludf.DUMMYFUNCTION("""COMPUTED_VALUE"""),"Java")</f>
        <v>Java</v>
      </c>
      <c r="H2573" s="9" t="str">
        <f>IFERROR(__xludf.DUMMYFUNCTION("""COMPUTED_VALUE"""),"HTML/CSS")</f>
        <v>HTML/CSS</v>
      </c>
      <c r="I2573" s="9" t="str">
        <f>IFERROR(__xludf.DUMMYFUNCTION("""COMPUTED_VALUE"""),"SQL")</f>
        <v>SQL</v>
      </c>
      <c r="J2573" s="9" t="str">
        <f>IFERROR(__xludf.DUMMYFUNCTION("""COMPUTED_VALUE"""),"Java")</f>
        <v>Java</v>
      </c>
      <c r="K2573" s="9" t="str">
        <f>IFERROR(__xludf.DUMMYFUNCTION("""COMPUTED_VALUE"""),"Java")</f>
        <v>Java</v>
      </c>
      <c r="L2573" s="9" t="str">
        <f>IFERROR(__xludf.DUMMYFUNCTION("""COMPUTED_VALUE"""),"Java")</f>
        <v>Java</v>
      </c>
      <c r="M2573" s="9" t="s">
        <v>27</v>
      </c>
    </row>
    <row r="2574" ht="15.75" customHeight="1">
      <c r="A2574" s="7"/>
      <c r="B2574" s="7" t="str">
        <f>IFERROR(__xludf.DUMMYFUNCTION("""COMPUTED_VALUE"""),"Bash/Shell/PowerShell;C#;HTML/CSS;Java;JavaScript;Rust;SQL;TypeScript")</f>
        <v>Bash/Shell/PowerShell;C#;HTML/CSS;Java;JavaScript;Rust;SQL;TypeScript</v>
      </c>
      <c r="C2574" s="9" t="str">
        <f>IFERROR(__xludf.DUMMYFUNCTION("""COMPUTED_VALUE"""),"Elixir")</f>
        <v>Elixir</v>
      </c>
      <c r="D2574" s="9" t="str">
        <f>IFERROR(__xludf.DUMMYFUNCTION("""COMPUTED_VALUE"""),"JavaScript")</f>
        <v>JavaScript</v>
      </c>
      <c r="E2574" s="9" t="str">
        <f>IFERROR(__xludf.DUMMYFUNCTION("""COMPUTED_VALUE"""),"Java")</f>
        <v>Java</v>
      </c>
      <c r="F2574" s="9" t="str">
        <f>IFERROR(__xludf.DUMMYFUNCTION("""COMPUTED_VALUE"""),"TypeScript")</f>
        <v>TypeScript</v>
      </c>
      <c r="G2574" s="9" t="str">
        <f>IFERROR(__xludf.DUMMYFUNCTION("""COMPUTED_VALUE"""),"JavaScript")</f>
        <v>JavaScript</v>
      </c>
      <c r="H2574" s="9" t="str">
        <f>IFERROR(__xludf.DUMMYFUNCTION("""COMPUTED_VALUE"""),"JavaScript")</f>
        <v>JavaScript</v>
      </c>
      <c r="I2574" s="9" t="str">
        <f>IFERROR(__xludf.DUMMYFUNCTION("""COMPUTED_VALUE"""),"TypeScript")</f>
        <v>TypeScript</v>
      </c>
      <c r="J2574" s="9" t="str">
        <f>IFERROR(__xludf.DUMMYFUNCTION("""COMPUTED_VALUE"""),"Python")</f>
        <v>Python</v>
      </c>
      <c r="K2574" s="9" t="str">
        <f>IFERROR(__xludf.DUMMYFUNCTION("""COMPUTED_VALUE"""),"Python")</f>
        <v>Python</v>
      </c>
      <c r="L2574" s="9" t="str">
        <f>IFERROR(__xludf.DUMMYFUNCTION("""COMPUTED_VALUE"""),"JavaScript")</f>
        <v>JavaScript</v>
      </c>
      <c r="M2574" s="9" t="s">
        <v>42</v>
      </c>
    </row>
    <row r="2575" ht="15.75" customHeight="1">
      <c r="A2575" s="7"/>
      <c r="B2575" s="7" t="str">
        <f>IFERROR(__xludf.DUMMYFUNCTION("""COMPUTED_VALUE"""),"HTML/CSS;JavaScript;PHP;Ruby")</f>
        <v>HTML/CSS;JavaScript;PHP;Ruby</v>
      </c>
      <c r="C2575" s="9" t="str">
        <f>IFERROR(__xludf.DUMMYFUNCTION("""COMPUTED_VALUE"""),"VBA")</f>
        <v>VBA</v>
      </c>
      <c r="D2575" s="9" t="str">
        <f>IFERROR(__xludf.DUMMYFUNCTION("""COMPUTED_VALUE"""),"SQL")</f>
        <v>SQL</v>
      </c>
      <c r="E2575" s="9" t="str">
        <f>IFERROR(__xludf.DUMMYFUNCTION("""COMPUTED_VALUE"""),"Python")</f>
        <v>Python</v>
      </c>
      <c r="F2575" s="9" t="str">
        <f>IFERROR(__xludf.DUMMYFUNCTION("""COMPUTED_VALUE"""),"HTML/CSS")</f>
        <v>HTML/CSS</v>
      </c>
      <c r="G2575" s="9" t="str">
        <f>IFERROR(__xludf.DUMMYFUNCTION("""COMPUTED_VALUE"""),"Kotlin")</f>
        <v>Kotlin</v>
      </c>
      <c r="H2575" s="9" t="str">
        <f>IFERROR(__xludf.DUMMYFUNCTION("""COMPUTED_VALUE"""),"SQL")</f>
        <v>SQL</v>
      </c>
      <c r="I2575" s="9" t="str">
        <f>IFERROR(__xludf.DUMMYFUNCTION("""COMPUTED_VALUE"""),"C")</f>
        <v>C</v>
      </c>
      <c r="J2575" s="9" t="str">
        <f>IFERROR(__xludf.DUMMYFUNCTION("""COMPUTED_VALUE"""),"VBA")</f>
        <v>VBA</v>
      </c>
      <c r="K2575" s="9" t="str">
        <f>IFERROR(__xludf.DUMMYFUNCTION("""COMPUTED_VALUE"""),"Java")</f>
        <v>Java</v>
      </c>
      <c r="L2575" s="9" t="str">
        <f>IFERROR(__xludf.DUMMYFUNCTION("""COMPUTED_VALUE"""),"SQL")</f>
        <v>SQL</v>
      </c>
      <c r="M2575" s="9" t="s">
        <v>28</v>
      </c>
    </row>
    <row r="2576" ht="15.75" customHeight="1">
      <c r="A2576" s="7"/>
      <c r="B2576" s="7" t="str">
        <f>IFERROR(__xludf.DUMMYFUNCTION("""COMPUTED_VALUE"""),"Assembly;Bash/Shell/PowerShell;C;C++;C#;HTML/CSS;Java;JavaScript;Kotlin;PHP;Python;SQL;Other(s):")</f>
        <v>Assembly;Bash/Shell/PowerShell;C;C++;C#;HTML/CSS;Java;JavaScript;Kotlin;PHP;Python;SQL;Other(s):</v>
      </c>
      <c r="C2576" s="9" t="str">
        <f>IFERROR(__xludf.DUMMYFUNCTION("""COMPUTED_VALUE"""),"C#")</f>
        <v>C#</v>
      </c>
      <c r="D2576" s="9" t="str">
        <f>IFERROR(__xludf.DUMMYFUNCTION("""COMPUTED_VALUE"""),"TypeScript")</f>
        <v>TypeScript</v>
      </c>
      <c r="E2576" s="9" t="str">
        <f>IFERROR(__xludf.DUMMYFUNCTION("""COMPUTED_VALUE"""),"Scala")</f>
        <v>Scala</v>
      </c>
      <c r="F2576" s="9" t="str">
        <f>IFERROR(__xludf.DUMMYFUNCTION("""COMPUTED_VALUE"""),"JavaScript")</f>
        <v>JavaScript</v>
      </c>
      <c r="G2576" s="9" t="str">
        <f>IFERROR(__xludf.DUMMYFUNCTION("""COMPUTED_VALUE"""),"Python")</f>
        <v>Python</v>
      </c>
      <c r="H2576" s="9" t="str">
        <f>IFERROR(__xludf.DUMMYFUNCTION("""COMPUTED_VALUE"""),"TypeScript")</f>
        <v>TypeScript</v>
      </c>
      <c r="I2576" s="9" t="str">
        <f>IFERROR(__xludf.DUMMYFUNCTION("""COMPUTED_VALUE"""),"HTML/CSS")</f>
        <v>HTML/CSS</v>
      </c>
      <c r="J2576" s="9" t="str">
        <f>IFERROR(__xludf.DUMMYFUNCTION("""COMPUTED_VALUE"""),"Ruby")</f>
        <v>Ruby</v>
      </c>
      <c r="K2576" s="9" t="str">
        <f>IFERROR(__xludf.DUMMYFUNCTION("""COMPUTED_VALUE"""),"JavaScript")</f>
        <v>JavaScript</v>
      </c>
      <c r="L2576" s="9" t="str">
        <f>IFERROR(__xludf.DUMMYFUNCTION("""COMPUTED_VALUE"""),"Bash/Shell/PowerShell")</f>
        <v>Bash/Shell/PowerShell</v>
      </c>
      <c r="M2576" s="9" t="s">
        <v>26</v>
      </c>
    </row>
    <row r="2577" ht="15.75" customHeight="1">
      <c r="A2577" s="7"/>
      <c r="B2577" s="7" t="str">
        <f>IFERROR(__xludf.DUMMYFUNCTION("""COMPUTED_VALUE"""),"HTML/CSS;Java;JavaScript")</f>
        <v>HTML/CSS;Java;JavaScript</v>
      </c>
      <c r="C2577" s="9" t="str">
        <f>IFERROR(__xludf.DUMMYFUNCTION("""COMPUTED_VALUE"""),"HTML/CSS")</f>
        <v>HTML/CSS</v>
      </c>
      <c r="D2577" s="9" t="str">
        <f>IFERROR(__xludf.DUMMYFUNCTION("""COMPUTED_VALUE"""),"Bash/Shell/PowerShell")</f>
        <v>Bash/Shell/PowerShell</v>
      </c>
      <c r="E2577" s="9" t="str">
        <f>IFERROR(__xludf.DUMMYFUNCTION("""COMPUTED_VALUE"""),"SQL")</f>
        <v>SQL</v>
      </c>
      <c r="F2577" s="9" t="str">
        <f>IFERROR(__xludf.DUMMYFUNCTION("""COMPUTED_VALUE"""),"Python")</f>
        <v>Python</v>
      </c>
      <c r="G2577" s="9" t="str">
        <f>IFERROR(__xludf.DUMMYFUNCTION("""COMPUTED_VALUE"""),"Ruby")</f>
        <v>Ruby</v>
      </c>
      <c r="H2577" s="9" t="str">
        <f>IFERROR(__xludf.DUMMYFUNCTION("""COMPUTED_VALUE"""),"Bash/Shell/PowerShell")</f>
        <v>Bash/Shell/PowerShell</v>
      </c>
      <c r="I2577" s="9" t="str">
        <f>IFERROR(__xludf.DUMMYFUNCTION("""COMPUTED_VALUE"""),"Java")</f>
        <v>Java</v>
      </c>
      <c r="J2577" s="9" t="str">
        <f>IFERROR(__xludf.DUMMYFUNCTION("""COMPUTED_VALUE"""),"Swift")</f>
        <v>Swift</v>
      </c>
      <c r="K2577" s="9" t="str">
        <f>IFERROR(__xludf.DUMMYFUNCTION("""COMPUTED_VALUE"""),"C")</f>
        <v>C</v>
      </c>
      <c r="L2577" s="9" t="str">
        <f>IFERROR(__xludf.DUMMYFUNCTION("""COMPUTED_VALUE"""),"C")</f>
        <v>C</v>
      </c>
      <c r="M2577" s="9" t="s">
        <v>24</v>
      </c>
    </row>
    <row r="2578" ht="15.75" customHeight="1">
      <c r="A2578" s="7"/>
      <c r="B2578" s="7" t="str">
        <f>IFERROR(__xludf.DUMMYFUNCTION("""COMPUTED_VALUE"""),"Bash/Shell/PowerShell;C;C++;HTML/CSS;Java;JavaScript;PHP;Python")</f>
        <v>Bash/Shell/PowerShell;C;C++;HTML/CSS;Java;JavaScript;PHP;Python</v>
      </c>
      <c r="C2578" s="9" t="str">
        <f>IFERROR(__xludf.DUMMYFUNCTION("""COMPUTED_VALUE"""),"Java")</f>
        <v>Java</v>
      </c>
      <c r="D2578" s="9" t="str">
        <f>IFERROR(__xludf.DUMMYFUNCTION("""COMPUTED_VALUE"""),"Elixir")</f>
        <v>Elixir</v>
      </c>
      <c r="E2578" s="9" t="str">
        <f>IFERROR(__xludf.DUMMYFUNCTION("""COMPUTED_VALUE"""),"HTML/CSS")</f>
        <v>HTML/CSS</v>
      </c>
      <c r="F2578" s="9" t="str">
        <f>IFERROR(__xludf.DUMMYFUNCTION("""COMPUTED_VALUE"""),"Ruby")</f>
        <v>Ruby</v>
      </c>
      <c r="G2578" s="9" t="str">
        <f>IFERROR(__xludf.DUMMYFUNCTION("""COMPUTED_VALUE"""),"Rust")</f>
        <v>Rust</v>
      </c>
      <c r="H2578" s="9" t="str">
        <f>IFERROR(__xludf.DUMMYFUNCTION("""COMPUTED_VALUE"""),"Clojure")</f>
        <v>Clojure</v>
      </c>
      <c r="I2578" s="9" t="str">
        <f>IFERROR(__xludf.DUMMYFUNCTION("""COMPUTED_VALUE"""),"JavaScript")</f>
        <v>JavaScript</v>
      </c>
      <c r="J2578" s="9" t="str">
        <f>IFERROR(__xludf.DUMMYFUNCTION("""COMPUTED_VALUE"""),"HTML/CSS")</f>
        <v>HTML/CSS</v>
      </c>
      <c r="K2578" s="9" t="str">
        <f>IFERROR(__xludf.DUMMYFUNCTION("""COMPUTED_VALUE"""),"C++")</f>
        <v>C++</v>
      </c>
      <c r="L2578" s="9" t="str">
        <f>IFERROR(__xludf.DUMMYFUNCTION("""COMPUTED_VALUE"""),"HTML/CSS")</f>
        <v>HTML/CSS</v>
      </c>
      <c r="M2578" s="9" t="s">
        <v>20</v>
      </c>
    </row>
    <row r="2579" ht="15.75" customHeight="1">
      <c r="A2579" s="7"/>
      <c r="B2579" s="7" t="str">
        <f>IFERROR(__xludf.DUMMYFUNCTION("""COMPUTED_VALUE"""),"C#;JavaScript;SQL")</f>
        <v>C#;JavaScript;SQL</v>
      </c>
      <c r="C2579" s="9" t="str">
        <f>IFERROR(__xludf.DUMMYFUNCTION("""COMPUTED_VALUE"""),"JavaScript")</f>
        <v>JavaScript</v>
      </c>
      <c r="D2579" s="9" t="str">
        <f>IFERROR(__xludf.DUMMYFUNCTION("""COMPUTED_VALUE"""),"Erlang")</f>
        <v>Erlang</v>
      </c>
      <c r="E2579" s="9" t="str">
        <f>IFERROR(__xludf.DUMMYFUNCTION("""COMPUTED_VALUE"""),"HTML/CSS")</f>
        <v>HTML/CSS</v>
      </c>
      <c r="F2579" s="9" t="str">
        <f>IFERROR(__xludf.DUMMYFUNCTION("""COMPUTED_VALUE"""),"SQL")</f>
        <v>SQL</v>
      </c>
      <c r="G2579" s="9" t="str">
        <f>IFERROR(__xludf.DUMMYFUNCTION("""COMPUTED_VALUE"""),"Scala")</f>
        <v>Scala</v>
      </c>
      <c r="H2579" s="9" t="str">
        <f>IFERROR(__xludf.DUMMYFUNCTION("""COMPUTED_VALUE"""),"HTML/CSS")</f>
        <v>HTML/CSS</v>
      </c>
      <c r="I2579" s="9" t="str">
        <f>IFERROR(__xludf.DUMMYFUNCTION("""COMPUTED_VALUE"""),"Python")</f>
        <v>Python</v>
      </c>
      <c r="J2579" s="9" t="str">
        <f>IFERROR(__xludf.DUMMYFUNCTION("""COMPUTED_VALUE"""),"JavaScript")</f>
        <v>JavaScript</v>
      </c>
      <c r="K2579" s="9" t="str">
        <f>IFERROR(__xludf.DUMMYFUNCTION("""COMPUTED_VALUE"""),"HTML/CSS")</f>
        <v>HTML/CSS</v>
      </c>
      <c r="L2579" s="9" t="str">
        <f>IFERROR(__xludf.DUMMYFUNCTION("""COMPUTED_VALUE"""),"JavaScript")</f>
        <v>JavaScript</v>
      </c>
      <c r="M2579" s="9" t="s">
        <v>21</v>
      </c>
    </row>
    <row r="2580" ht="15.75" customHeight="1">
      <c r="A2580" s="7"/>
      <c r="B2580" s="7" t="str">
        <f>IFERROR(__xludf.DUMMYFUNCTION("""COMPUTED_VALUE"""),"HTML/CSS;JavaScript;TypeScript")</f>
        <v>HTML/CSS;JavaScript;TypeScript</v>
      </c>
      <c r="C2580" s="9" t="str">
        <f>IFERROR(__xludf.DUMMYFUNCTION("""COMPUTED_VALUE"""),"PHP")</f>
        <v>PHP</v>
      </c>
      <c r="D2580" s="9" t="str">
        <f>IFERROR(__xludf.DUMMYFUNCTION("""COMPUTED_VALUE"""),"Go")</f>
        <v>Go</v>
      </c>
      <c r="E2580" s="9" t="str">
        <f>IFERROR(__xludf.DUMMYFUNCTION("""COMPUTED_VALUE"""),"Java")</f>
        <v>Java</v>
      </c>
      <c r="F2580" s="9" t="str">
        <f>IFERROR(__xludf.DUMMYFUNCTION("""COMPUTED_VALUE"""),"C#")</f>
        <v>C#</v>
      </c>
      <c r="G2580" s="9" t="str">
        <f>IFERROR(__xludf.DUMMYFUNCTION("""COMPUTED_VALUE"""),"SQL")</f>
        <v>SQL</v>
      </c>
      <c r="H2580" s="9" t="str">
        <f>IFERROR(__xludf.DUMMYFUNCTION("""COMPUTED_VALUE"""),"JavaScript")</f>
        <v>JavaScript</v>
      </c>
      <c r="I2580" s="9" t="str">
        <f>IFERROR(__xludf.DUMMYFUNCTION("""COMPUTED_VALUE"""),"Ruby")</f>
        <v>Ruby</v>
      </c>
      <c r="J2580" s="9" t="str">
        <f>IFERROR(__xludf.DUMMYFUNCTION("""COMPUTED_VALUE"""),"Java")</f>
        <v>Java</v>
      </c>
      <c r="K2580" s="9" t="str">
        <f>IFERROR(__xludf.DUMMYFUNCTION("""COMPUTED_VALUE"""),"Java")</f>
        <v>Java</v>
      </c>
      <c r="L2580" s="9" t="str">
        <f>IFERROR(__xludf.DUMMYFUNCTION("""COMPUTED_VALUE"""),"PHP")</f>
        <v>PHP</v>
      </c>
      <c r="M2580" s="9" t="s">
        <v>37</v>
      </c>
    </row>
    <row r="2581" ht="15.75" customHeight="1">
      <c r="A2581" s="7"/>
      <c r="B2581" s="7" t="str">
        <f>IFERROR(__xludf.DUMMYFUNCTION("""COMPUTED_VALUE"""),"Dart;HTML/CSS;JavaScript;PHP;SQL")</f>
        <v>Dart;HTML/CSS;JavaScript;PHP;SQL</v>
      </c>
      <c r="C2581" s="9" t="str">
        <f>IFERROR(__xludf.DUMMYFUNCTION("""COMPUTED_VALUE"""),"Python")</f>
        <v>Python</v>
      </c>
      <c r="D2581" s="9" t="str">
        <f>IFERROR(__xludf.DUMMYFUNCTION("""COMPUTED_VALUE"""),"Java")</f>
        <v>Java</v>
      </c>
      <c r="E2581" s="9" t="str">
        <f>IFERROR(__xludf.DUMMYFUNCTION("""COMPUTED_VALUE"""),"JavaScript")</f>
        <v>JavaScript</v>
      </c>
      <c r="F2581" s="9" t="str">
        <f>IFERROR(__xludf.DUMMYFUNCTION("""COMPUTED_VALUE"""),"HTML/CSS")</f>
        <v>HTML/CSS</v>
      </c>
      <c r="G2581" s="9" t="str">
        <f>IFERROR(__xludf.DUMMYFUNCTION("""COMPUTED_VALUE"""),"HTML/CSS")</f>
        <v>HTML/CSS</v>
      </c>
      <c r="H2581" s="9" t="str">
        <f>IFERROR(__xludf.DUMMYFUNCTION("""COMPUTED_VALUE"""),"Python")</f>
        <v>Python</v>
      </c>
      <c r="I2581" s="9" t="str">
        <f>IFERROR(__xludf.DUMMYFUNCTION("""COMPUTED_VALUE"""),"HTML/CSS")</f>
        <v>HTML/CSS</v>
      </c>
      <c r="J2581" s="9" t="str">
        <f>IFERROR(__xludf.DUMMYFUNCTION("""COMPUTED_VALUE"""),"SQL")</f>
        <v>SQL</v>
      </c>
      <c r="K2581" s="9" t="str">
        <f>IFERROR(__xludf.DUMMYFUNCTION("""COMPUTED_VALUE"""),"JavaScript")</f>
        <v>JavaScript</v>
      </c>
      <c r="L2581" s="9" t="str">
        <f>IFERROR(__xludf.DUMMYFUNCTION("""COMPUTED_VALUE"""),"Python")</f>
        <v>Python</v>
      </c>
      <c r="M2581" s="9" t="s">
        <v>22</v>
      </c>
    </row>
    <row r="2582" ht="15.75" customHeight="1">
      <c r="A2582" s="7"/>
      <c r="B2582" s="7" t="str">
        <f>IFERROR(__xludf.DUMMYFUNCTION("""COMPUTED_VALUE"""),"Bash/Shell/PowerShell;C#;HTML/CSS;JavaScript;PHP;SQL")</f>
        <v>Bash/Shell/PowerShell;C#;HTML/CSS;JavaScript;PHP;SQL</v>
      </c>
      <c r="C2582" s="9" t="str">
        <f>IFERROR(__xludf.DUMMYFUNCTION("""COMPUTED_VALUE"""),"SQL")</f>
        <v>SQL</v>
      </c>
      <c r="D2582" s="9" t="str">
        <f>IFERROR(__xludf.DUMMYFUNCTION("""COMPUTED_VALUE"""),"JavaScript")</f>
        <v>JavaScript</v>
      </c>
      <c r="E2582" s="9" t="str">
        <f>IFERROR(__xludf.DUMMYFUNCTION("""COMPUTED_VALUE"""),"PHP")</f>
        <v>PHP</v>
      </c>
      <c r="F2582" s="9" t="str">
        <f>IFERROR(__xludf.DUMMYFUNCTION("""COMPUTED_VALUE"""),"JavaScript")</f>
        <v>JavaScript</v>
      </c>
      <c r="G2582" s="9" t="str">
        <f>IFERROR(__xludf.DUMMYFUNCTION("""COMPUTED_VALUE"""),"Java")</f>
        <v>Java</v>
      </c>
      <c r="H2582" s="9" t="str">
        <f>IFERROR(__xludf.DUMMYFUNCTION("""COMPUTED_VALUE"""),"TypeScript")</f>
        <v>TypeScript</v>
      </c>
      <c r="I2582" s="9" t="str">
        <f>IFERROR(__xludf.DUMMYFUNCTION("""COMPUTED_VALUE"""),"JavaScript")</f>
        <v>JavaScript</v>
      </c>
      <c r="J2582" s="9" t="str">
        <f>IFERROR(__xludf.DUMMYFUNCTION("""COMPUTED_VALUE"""),"HTML/CSS")</f>
        <v>HTML/CSS</v>
      </c>
      <c r="K2582" s="9" t="str">
        <f>IFERROR(__xludf.DUMMYFUNCTION("""COMPUTED_VALUE"""),"Python")</f>
        <v>Python</v>
      </c>
      <c r="L2582" s="9" t="str">
        <f>IFERROR(__xludf.DUMMYFUNCTION("""COMPUTED_VALUE"""),"SQL")</f>
        <v>SQL</v>
      </c>
      <c r="M2582" s="9" t="s">
        <v>27</v>
      </c>
    </row>
    <row r="2583" ht="15.75" customHeight="1">
      <c r="A2583" s="7"/>
      <c r="B2583" s="7" t="str">
        <f>IFERROR(__xludf.DUMMYFUNCTION("""COMPUTED_VALUE"""),"Kotlin;Objective-C;Swift")</f>
        <v>Kotlin;Objective-C;Swift</v>
      </c>
      <c r="C2583" s="9" t="str">
        <f>IFERROR(__xludf.DUMMYFUNCTION("""COMPUTED_VALUE"""),"C#")</f>
        <v>C#</v>
      </c>
      <c r="D2583" s="9" t="str">
        <f>IFERROR(__xludf.DUMMYFUNCTION("""COMPUTED_VALUE"""),"Python")</f>
        <v>Python</v>
      </c>
      <c r="E2583" s="9" t="str">
        <f>IFERROR(__xludf.DUMMYFUNCTION("""COMPUTED_VALUE"""),"SQL")</f>
        <v>SQL</v>
      </c>
      <c r="F2583" s="9" t="str">
        <f>IFERROR(__xludf.DUMMYFUNCTION("""COMPUTED_VALUE"""),"SQL")</f>
        <v>SQL</v>
      </c>
      <c r="G2583" s="9" t="str">
        <f>IFERROR(__xludf.DUMMYFUNCTION("""COMPUTED_VALUE"""),"JavaScript")</f>
        <v>JavaScript</v>
      </c>
      <c r="H2583" s="9" t="str">
        <f>IFERROR(__xludf.DUMMYFUNCTION("""COMPUTED_VALUE"""),"HTML/CSS")</f>
        <v>HTML/CSS</v>
      </c>
      <c r="I2583" s="9" t="str">
        <f>IFERROR(__xludf.DUMMYFUNCTION("""COMPUTED_VALUE"""),"TypeScript")</f>
        <v>TypeScript</v>
      </c>
      <c r="J2583" s="9" t="str">
        <f>IFERROR(__xludf.DUMMYFUNCTION("""COMPUTED_VALUE"""),"JavaScript")</f>
        <v>JavaScript</v>
      </c>
      <c r="K2583" s="9" t="str">
        <f>IFERROR(__xludf.DUMMYFUNCTION("""COMPUTED_VALUE"""),"Bash/Shell/PowerShell")</f>
        <v>Bash/Shell/PowerShell</v>
      </c>
      <c r="L2583" s="9" t="str">
        <f>IFERROR(__xludf.DUMMYFUNCTION("""COMPUTED_VALUE"""),"Bash/Shell/PowerShell")</f>
        <v>Bash/Shell/PowerShell</v>
      </c>
      <c r="M2583" s="9" t="s">
        <v>26</v>
      </c>
    </row>
    <row r="2584" ht="15.75" customHeight="1">
      <c r="A2584" s="7"/>
      <c r="B2584" s="7" t="str">
        <f>IFERROR(__xludf.DUMMYFUNCTION("""COMPUTED_VALUE"""),"Bash/Shell/PowerShell;C;C++;C#;HTML/CSS;JavaScript;PHP;Python;SQL;WebAssembly")</f>
        <v>Bash/Shell/PowerShell;C;C++;C#;HTML/CSS;JavaScript;PHP;Python;SQL;WebAssembly</v>
      </c>
      <c r="C2584" s="9" t="str">
        <f>IFERROR(__xludf.DUMMYFUNCTION("""COMPUTED_VALUE"""),"HTML/CSS")</f>
        <v>HTML/CSS</v>
      </c>
      <c r="D2584" s="9" t="str">
        <f>IFERROR(__xludf.DUMMYFUNCTION("""COMPUTED_VALUE"""),"Ruby")</f>
        <v>Ruby</v>
      </c>
      <c r="E2584" s="9" t="str">
        <f>IFERROR(__xludf.DUMMYFUNCTION("""COMPUTED_VALUE"""),"Java")</f>
        <v>Java</v>
      </c>
      <c r="F2584" s="9" t="str">
        <f>IFERROR(__xludf.DUMMYFUNCTION("""COMPUTED_VALUE"""),"VBA")</f>
        <v>VBA</v>
      </c>
      <c r="G2584" s="9" t="str">
        <f>IFERROR(__xludf.DUMMYFUNCTION("""COMPUTED_VALUE"""),"PHP")</f>
        <v>PHP</v>
      </c>
      <c r="H2584" s="9" t="str">
        <f>IFERROR(__xludf.DUMMYFUNCTION("""COMPUTED_VALUE"""),"JavaScript")</f>
        <v>JavaScript</v>
      </c>
      <c r="I2584" s="9" t="str">
        <f>IFERROR(__xludf.DUMMYFUNCTION("""COMPUTED_VALUE"""),"Bash/Shell/PowerShell")</f>
        <v>Bash/Shell/PowerShell</v>
      </c>
      <c r="J2584" s="9" t="str">
        <f>IFERROR(__xludf.DUMMYFUNCTION("""COMPUTED_VALUE"""),"PHP")</f>
        <v>PHP</v>
      </c>
      <c r="K2584" s="9" t="str">
        <f>IFERROR(__xludf.DUMMYFUNCTION("""COMPUTED_VALUE"""),"C#")</f>
        <v>C#</v>
      </c>
      <c r="L2584" s="9" t="str">
        <f>IFERROR(__xludf.DUMMYFUNCTION("""COMPUTED_VALUE"""),"C++")</f>
        <v>C++</v>
      </c>
      <c r="M2584" s="9" t="s">
        <v>24</v>
      </c>
    </row>
    <row r="2585" ht="15.75" customHeight="1">
      <c r="A2585" s="7"/>
      <c r="B2585" s="7" t="str">
        <f>IFERROR(__xludf.DUMMYFUNCTION("""COMPUTED_VALUE"""),"C;C++;HTML/CSS;Java;JavaScript;Python")</f>
        <v>C;C++;HTML/CSS;Java;JavaScript;Python</v>
      </c>
      <c r="C2585" s="9" t="str">
        <f>IFERROR(__xludf.DUMMYFUNCTION("""COMPUTED_VALUE"""),"JavaScript")</f>
        <v>JavaScript</v>
      </c>
      <c r="D2585" s="9" t="str">
        <f>IFERROR(__xludf.DUMMYFUNCTION("""COMPUTED_VALUE"""),"SQL")</f>
        <v>SQL</v>
      </c>
      <c r="E2585" s="9" t="str">
        <f>IFERROR(__xludf.DUMMYFUNCTION("""COMPUTED_VALUE"""),"Objective-C")</f>
        <v>Objective-C</v>
      </c>
      <c r="F2585" s="9" t="str">
        <f>IFERROR(__xludf.DUMMYFUNCTION("""COMPUTED_VALUE"""),"Java")</f>
        <v>Java</v>
      </c>
      <c r="G2585" s="9" t="str">
        <f>IFERROR(__xludf.DUMMYFUNCTION("""COMPUTED_VALUE"""),"SQL")</f>
        <v>SQL</v>
      </c>
      <c r="H2585" s="9" t="str">
        <f>IFERROR(__xludf.DUMMYFUNCTION("""COMPUTED_VALUE"""),"Ruby")</f>
        <v>Ruby</v>
      </c>
      <c r="I2585" s="9" t="str">
        <f>IFERROR(__xludf.DUMMYFUNCTION("""COMPUTED_VALUE"""),"HTML/CSS")</f>
        <v>HTML/CSS</v>
      </c>
      <c r="J2585" s="9" t="str">
        <f>IFERROR(__xludf.DUMMYFUNCTION("""COMPUTED_VALUE"""),"Bash/Shell/PowerShell")</f>
        <v>Bash/Shell/PowerShell</v>
      </c>
      <c r="K2585" s="9" t="str">
        <f>IFERROR(__xludf.DUMMYFUNCTION("""COMPUTED_VALUE"""),"HTML/CSS")</f>
        <v>HTML/CSS</v>
      </c>
      <c r="L2585" s="9" t="str">
        <f>IFERROR(__xludf.DUMMYFUNCTION("""COMPUTED_VALUE"""),"C#")</f>
        <v>C#</v>
      </c>
      <c r="M2585" s="9" t="s">
        <v>21</v>
      </c>
    </row>
    <row r="2586" ht="15.75" customHeight="1">
      <c r="A2586" s="7"/>
      <c r="B2586" s="7" t="str">
        <f>IFERROR(__xludf.DUMMYFUNCTION("""COMPUTED_VALUE"""),"Bash/Shell/PowerShell;C++;C#;HTML/CSS;JavaScript;PHP;Rust;SQL;TypeScript")</f>
        <v>Bash/Shell/PowerShell;C++;C#;HTML/CSS;JavaScript;PHP;Rust;SQL;TypeScript</v>
      </c>
      <c r="C2586" s="9" t="str">
        <f>IFERROR(__xludf.DUMMYFUNCTION("""COMPUTED_VALUE"""),"SQL")</f>
        <v>SQL</v>
      </c>
      <c r="D2586" s="9" t="str">
        <f>IFERROR(__xludf.DUMMYFUNCTION("""COMPUTED_VALUE"""),"Bash/Shell/PowerShell")</f>
        <v>Bash/Shell/PowerShell</v>
      </c>
      <c r="E2586" s="9" t="str">
        <f>IFERROR(__xludf.DUMMYFUNCTION("""COMPUTED_VALUE"""),"Assembly")</f>
        <v>Assembly</v>
      </c>
      <c r="F2586" s="9" t="str">
        <f>IFERROR(__xludf.DUMMYFUNCTION("""COMPUTED_VALUE"""),"HTML/CSS")</f>
        <v>HTML/CSS</v>
      </c>
      <c r="G2586" s="9" t="str">
        <f>IFERROR(__xludf.DUMMYFUNCTION("""COMPUTED_VALUE"""),"Swift")</f>
        <v>Swift</v>
      </c>
      <c r="H2586" s="9" t="str">
        <f>IFERROR(__xludf.DUMMYFUNCTION("""COMPUTED_VALUE"""),"C#")</f>
        <v>C#</v>
      </c>
      <c r="I2586" s="9" t="str">
        <f>IFERROR(__xludf.DUMMYFUNCTION("""COMPUTED_VALUE"""),"Java")</f>
        <v>Java</v>
      </c>
      <c r="J2586" s="9" t="str">
        <f>IFERROR(__xludf.DUMMYFUNCTION("""COMPUTED_VALUE"""),"C++")</f>
        <v>C++</v>
      </c>
      <c r="K2586" s="9" t="str">
        <f>IFERROR(__xludf.DUMMYFUNCTION("""COMPUTED_VALUE"""),"JavaScript")</f>
        <v>JavaScript</v>
      </c>
      <c r="L2586" s="9" t="str">
        <f>IFERROR(__xludf.DUMMYFUNCTION("""COMPUTED_VALUE"""),"HTML/CSS")</f>
        <v>HTML/CSS</v>
      </c>
      <c r="M2586" s="9" t="s">
        <v>27</v>
      </c>
    </row>
    <row r="2587" ht="15.75" customHeight="1">
      <c r="A2587" s="7"/>
      <c r="B2587" s="7" t="str">
        <f>IFERROR(__xludf.DUMMYFUNCTION("""COMPUTED_VALUE"""),"C++;C#;Go;HTML/CSS;JavaScript;Python;Ruby;SQL")</f>
        <v>C++;C#;Go;HTML/CSS;JavaScript;Python;Ruby;SQL</v>
      </c>
      <c r="C2587" s="9" t="str">
        <f>IFERROR(__xludf.DUMMYFUNCTION("""COMPUTED_VALUE"""),"TypeScript")</f>
        <v>TypeScript</v>
      </c>
      <c r="D2587" s="9" t="str">
        <f>IFERROR(__xludf.DUMMYFUNCTION("""COMPUTED_VALUE"""),"Java")</f>
        <v>Java</v>
      </c>
      <c r="E2587" s="9" t="str">
        <f>IFERROR(__xludf.DUMMYFUNCTION("""COMPUTED_VALUE"""),"Bash/Shell/PowerShell")</f>
        <v>Bash/Shell/PowerShell</v>
      </c>
      <c r="F2587" s="9" t="str">
        <f>IFERROR(__xludf.DUMMYFUNCTION("""COMPUTED_VALUE"""),"JavaScript")</f>
        <v>JavaScript</v>
      </c>
      <c r="G2587" s="9" t="str">
        <f>IFERROR(__xludf.DUMMYFUNCTION("""COMPUTED_VALUE"""),"C#")</f>
        <v>C#</v>
      </c>
      <c r="H2587" s="9" t="str">
        <f>IFERROR(__xludf.DUMMYFUNCTION("""COMPUTED_VALUE"""),"JavaScript")</f>
        <v>JavaScript</v>
      </c>
      <c r="I2587" s="9" t="str">
        <f>IFERROR(__xludf.DUMMYFUNCTION("""COMPUTED_VALUE"""),"JavaScript")</f>
        <v>JavaScript</v>
      </c>
      <c r="J2587" s="9" t="str">
        <f>IFERROR(__xludf.DUMMYFUNCTION("""COMPUTED_VALUE"""),"Dart")</f>
        <v>Dart</v>
      </c>
      <c r="K2587" s="9" t="str">
        <f>IFERROR(__xludf.DUMMYFUNCTION("""COMPUTED_VALUE"""),"SQL")</f>
        <v>SQL</v>
      </c>
      <c r="L2587" s="9" t="str">
        <f>IFERROR(__xludf.DUMMYFUNCTION("""COMPUTED_VALUE"""),"Java")</f>
        <v>Java</v>
      </c>
      <c r="M2587" s="9" t="s">
        <v>33</v>
      </c>
    </row>
    <row r="2588" ht="15.75" customHeight="1">
      <c r="A2588" s="7"/>
      <c r="B2588" s="7" t="str">
        <f>IFERROR(__xludf.DUMMYFUNCTION("""COMPUTED_VALUE"""),"C++;Go;Kotlin;Python;Ruby;SQL;Swift;TypeScript")</f>
        <v>C++;Go;Kotlin;Python;Ruby;SQL;Swift;TypeScript</v>
      </c>
      <c r="C2588" s="9" t="str">
        <f>IFERROR(__xludf.DUMMYFUNCTION("""COMPUTED_VALUE"""),"Other(s):")</f>
        <v>Other(s):</v>
      </c>
      <c r="D2588" s="9" t="str">
        <f>IFERROR(__xludf.DUMMYFUNCTION("""COMPUTED_VALUE"""),"JavaScript")</f>
        <v>JavaScript</v>
      </c>
      <c r="E2588" s="9" t="str">
        <f>IFERROR(__xludf.DUMMYFUNCTION("""COMPUTED_VALUE"""),"C")</f>
        <v>C</v>
      </c>
      <c r="F2588" s="9" t="str">
        <f>IFERROR(__xludf.DUMMYFUNCTION("""COMPUTED_VALUE"""),"PHP")</f>
        <v>PHP</v>
      </c>
      <c r="G2588" s="9" t="str">
        <f>IFERROR(__xludf.DUMMYFUNCTION("""COMPUTED_VALUE"""),"HTML/CSS")</f>
        <v>HTML/CSS</v>
      </c>
      <c r="H2588" s="9" t="str">
        <f>IFERROR(__xludf.DUMMYFUNCTION("""COMPUTED_VALUE"""),"Other(s):")</f>
        <v>Other(s):</v>
      </c>
      <c r="I2588" s="9" t="str">
        <f>IFERROR(__xludf.DUMMYFUNCTION("""COMPUTED_VALUE"""),"Python")</f>
        <v>Python</v>
      </c>
      <c r="J2588" s="9" t="str">
        <f>IFERROR(__xludf.DUMMYFUNCTION("""COMPUTED_VALUE"""),"Elixir")</f>
        <v>Elixir</v>
      </c>
      <c r="K2588" s="9" t="str">
        <f>IFERROR(__xludf.DUMMYFUNCTION("""COMPUTED_VALUE"""),"HTML/CSS")</f>
        <v>HTML/CSS</v>
      </c>
      <c r="L2588" s="9" t="str">
        <f>IFERROR(__xludf.DUMMYFUNCTION("""COMPUTED_VALUE"""),"JavaScript")</f>
        <v>JavaScript</v>
      </c>
      <c r="M2588" s="9" t="s">
        <v>35</v>
      </c>
    </row>
    <row r="2589" ht="15.75" customHeight="1">
      <c r="A2589" s="7"/>
      <c r="B2589" s="7" t="str">
        <f>IFERROR(__xludf.DUMMYFUNCTION("""COMPUTED_VALUE"""),"C;HTML/CSS;Java;PHP;SQL")</f>
        <v>C;HTML/CSS;Java;PHP;SQL</v>
      </c>
      <c r="C2589" s="9" t="str">
        <f>IFERROR(__xludf.DUMMYFUNCTION("""COMPUTED_VALUE"""),"HTML/CSS")</f>
        <v>HTML/CSS</v>
      </c>
      <c r="D2589" s="9" t="str">
        <f>IFERROR(__xludf.DUMMYFUNCTION("""COMPUTED_VALUE"""),"PHP")</f>
        <v>PHP</v>
      </c>
      <c r="E2589" s="9" t="str">
        <f>IFERROR(__xludf.DUMMYFUNCTION("""COMPUTED_VALUE"""),"HTML/CSS")</f>
        <v>HTML/CSS</v>
      </c>
      <c r="F2589" s="9" t="str">
        <f>IFERROR(__xludf.DUMMYFUNCTION("""COMPUTED_VALUE"""),"SQL")</f>
        <v>SQL</v>
      </c>
      <c r="G2589" s="9" t="str">
        <f>IFERROR(__xludf.DUMMYFUNCTION("""COMPUTED_VALUE"""),"Java")</f>
        <v>Java</v>
      </c>
      <c r="H2589" s="9" t="str">
        <f>IFERROR(__xludf.DUMMYFUNCTION("""COMPUTED_VALUE"""),"C#")</f>
        <v>C#</v>
      </c>
      <c r="I2589" s="9" t="str">
        <f>IFERROR(__xludf.DUMMYFUNCTION("""COMPUTED_VALUE"""),"Rust")</f>
        <v>Rust</v>
      </c>
      <c r="J2589" s="9" t="str">
        <f>IFERROR(__xludf.DUMMYFUNCTION("""COMPUTED_VALUE"""),"HTML/CSS")</f>
        <v>HTML/CSS</v>
      </c>
      <c r="K2589" s="9" t="str">
        <f>IFERROR(__xludf.DUMMYFUNCTION("""COMPUTED_VALUE"""),"Java")</f>
        <v>Java</v>
      </c>
      <c r="L2589" s="9" t="str">
        <f>IFERROR(__xludf.DUMMYFUNCTION("""COMPUTED_VALUE"""),"PHP")</f>
        <v>PHP</v>
      </c>
      <c r="M2589" s="9" t="s">
        <v>24</v>
      </c>
    </row>
    <row r="2590" ht="15.75" customHeight="1">
      <c r="A2590" s="7"/>
      <c r="B2590" s="7" t="str">
        <f>IFERROR(__xludf.DUMMYFUNCTION("""COMPUTED_VALUE"""),"Go;HTML/CSS;JavaScript;TypeScript")</f>
        <v>Go;HTML/CSS;JavaScript;TypeScript</v>
      </c>
      <c r="C2590" s="9" t="str">
        <f>IFERROR(__xludf.DUMMYFUNCTION("""COMPUTED_VALUE"""),"Java")</f>
        <v>Java</v>
      </c>
      <c r="D2590" s="9" t="str">
        <f>IFERROR(__xludf.DUMMYFUNCTION("""COMPUTED_VALUE"""),"SQL")</f>
        <v>SQL</v>
      </c>
      <c r="E2590" s="9" t="str">
        <f>IFERROR(__xludf.DUMMYFUNCTION("""COMPUTED_VALUE"""),"Java")</f>
        <v>Java</v>
      </c>
      <c r="F2590" s="9" t="str">
        <f>IFERROR(__xludf.DUMMYFUNCTION("""COMPUTED_VALUE"""),"C#")</f>
        <v>C#</v>
      </c>
      <c r="G2590" s="9" t="str">
        <f>IFERROR(__xludf.DUMMYFUNCTION("""COMPUTED_VALUE"""),"SQL")</f>
        <v>SQL</v>
      </c>
      <c r="H2590" s="9" t="str">
        <f>IFERROR(__xludf.DUMMYFUNCTION("""COMPUTED_VALUE"""),"SQL")</f>
        <v>SQL</v>
      </c>
      <c r="I2590" s="9" t="str">
        <f>IFERROR(__xludf.DUMMYFUNCTION("""COMPUTED_VALUE"""),"SQL")</f>
        <v>SQL</v>
      </c>
      <c r="J2590" s="9" t="str">
        <f>IFERROR(__xludf.DUMMYFUNCTION("""COMPUTED_VALUE"""),"Java")</f>
        <v>Java</v>
      </c>
      <c r="K2590" s="9" t="str">
        <f>IFERROR(__xludf.DUMMYFUNCTION("""COMPUTED_VALUE"""),"JavaScript")</f>
        <v>JavaScript</v>
      </c>
      <c r="L2590" s="9" t="str">
        <f>IFERROR(__xludf.DUMMYFUNCTION("""COMPUTED_VALUE"""),"Python")</f>
        <v>Python</v>
      </c>
      <c r="M2590" s="9" t="s">
        <v>20</v>
      </c>
    </row>
    <row r="2591" ht="15.75" customHeight="1">
      <c r="A2591" s="7"/>
      <c r="B2591" s="7" t="str">
        <f>IFERROR(__xludf.DUMMYFUNCTION("""COMPUTED_VALUE"""),"Bash/Shell/PowerShell;Python;Other(s):")</f>
        <v>Bash/Shell/PowerShell;Python;Other(s):</v>
      </c>
      <c r="C2591" s="9" t="str">
        <f>IFERROR(__xludf.DUMMYFUNCTION("""COMPUTED_VALUE"""),"JavaScript")</f>
        <v>JavaScript</v>
      </c>
      <c r="D2591" s="9" t="str">
        <f>IFERROR(__xludf.DUMMYFUNCTION("""COMPUTED_VALUE"""),"Bash/Shell/PowerShell")</f>
        <v>Bash/Shell/PowerShell</v>
      </c>
      <c r="E2591" s="9" t="str">
        <f>IFERROR(__xludf.DUMMYFUNCTION("""COMPUTED_VALUE"""),"JavaScript")</f>
        <v>JavaScript</v>
      </c>
      <c r="F2591" s="9" t="str">
        <f>IFERROR(__xludf.DUMMYFUNCTION("""COMPUTED_VALUE"""),"HTML/CSS")</f>
        <v>HTML/CSS</v>
      </c>
      <c r="G2591" s="9" t="str">
        <f>IFERROR(__xludf.DUMMYFUNCTION("""COMPUTED_VALUE"""),"HTML/CSS")</f>
        <v>HTML/CSS</v>
      </c>
      <c r="H2591" s="9" t="str">
        <f>IFERROR(__xludf.DUMMYFUNCTION("""COMPUTED_VALUE"""),"Bash/Shell/PowerShell")</f>
        <v>Bash/Shell/PowerShell</v>
      </c>
      <c r="I2591" s="9" t="str">
        <f>IFERROR(__xludf.DUMMYFUNCTION("""COMPUTED_VALUE"""),"Bash/Shell/PowerShell")</f>
        <v>Bash/Shell/PowerShell</v>
      </c>
      <c r="J2591" s="9" t="str">
        <f>IFERROR(__xludf.DUMMYFUNCTION("""COMPUTED_VALUE"""),"JavaScript")</f>
        <v>JavaScript</v>
      </c>
      <c r="K2591" s="9" t="str">
        <f>IFERROR(__xludf.DUMMYFUNCTION("""COMPUTED_VALUE"""),"PHP")</f>
        <v>PHP</v>
      </c>
      <c r="L2591" s="9" t="str">
        <f>IFERROR(__xludf.DUMMYFUNCTION("""COMPUTED_VALUE"""),"SQL")</f>
        <v>SQL</v>
      </c>
      <c r="M2591" s="9" t="s">
        <v>21</v>
      </c>
    </row>
    <row r="2592" ht="15.75" customHeight="1">
      <c r="A2592" s="7"/>
      <c r="B2592" s="7" t="str">
        <f>IFERROR(__xludf.DUMMYFUNCTION("""COMPUTED_VALUE"""),"Elixir;JavaScript;Ruby;SQL;TypeScript")</f>
        <v>Elixir;JavaScript;Ruby;SQL;TypeScript</v>
      </c>
      <c r="C2592" s="9" t="str">
        <f>IFERROR(__xludf.DUMMYFUNCTION("""COMPUTED_VALUE"""),"PHP")</f>
        <v>PHP</v>
      </c>
      <c r="D2592" s="9" t="str">
        <f>IFERROR(__xludf.DUMMYFUNCTION("""COMPUTED_VALUE"""),"C++")</f>
        <v>C++</v>
      </c>
      <c r="E2592" s="9" t="str">
        <f>IFERROR(__xludf.DUMMYFUNCTION("""COMPUTED_VALUE"""),"Python")</f>
        <v>Python</v>
      </c>
      <c r="F2592" s="9" t="str">
        <f>IFERROR(__xludf.DUMMYFUNCTION("""COMPUTED_VALUE"""),"Java")</f>
        <v>Java</v>
      </c>
      <c r="G2592" s="9" t="str">
        <f>IFERROR(__xludf.DUMMYFUNCTION("""COMPUTED_VALUE"""),"Python")</f>
        <v>Python</v>
      </c>
      <c r="H2592" s="9" t="str">
        <f>IFERROR(__xludf.DUMMYFUNCTION("""COMPUTED_VALUE"""),"Clojure")</f>
        <v>Clojure</v>
      </c>
      <c r="I2592" s="9" t="str">
        <f>IFERROR(__xludf.DUMMYFUNCTION("""COMPUTED_VALUE"""),"HTML/CSS")</f>
        <v>HTML/CSS</v>
      </c>
      <c r="J2592" s="9" t="str">
        <f>IFERROR(__xludf.DUMMYFUNCTION("""COMPUTED_VALUE"""),"Kotlin")</f>
        <v>Kotlin</v>
      </c>
      <c r="K2592" s="9" t="str">
        <f>IFERROR(__xludf.DUMMYFUNCTION("""COMPUTED_VALUE"""),"SQL")</f>
        <v>SQL</v>
      </c>
      <c r="L2592" s="9" t="str">
        <f>IFERROR(__xludf.DUMMYFUNCTION("""COMPUTED_VALUE"""),"C#")</f>
        <v>C#</v>
      </c>
      <c r="M2592" s="9" t="s">
        <v>37</v>
      </c>
    </row>
    <row r="2593" ht="15.75" customHeight="1">
      <c r="A2593" s="7"/>
      <c r="B2593" s="7" t="str">
        <f>IFERROR(__xludf.DUMMYFUNCTION("""COMPUTED_VALUE"""),"HTML/CSS;Java;JavaScript;Other(s):")</f>
        <v>HTML/CSS;Java;JavaScript;Other(s):</v>
      </c>
      <c r="C2593" s="9" t="str">
        <f>IFERROR(__xludf.DUMMYFUNCTION("""COMPUTED_VALUE"""),"R")</f>
        <v>R</v>
      </c>
      <c r="D2593" s="9" t="str">
        <f>IFERROR(__xludf.DUMMYFUNCTION("""COMPUTED_VALUE"""),"HTML/CSS")</f>
        <v>HTML/CSS</v>
      </c>
      <c r="E2593" s="9" t="str">
        <f>IFERROR(__xludf.DUMMYFUNCTION("""COMPUTED_VALUE"""),"SQL")</f>
        <v>SQL</v>
      </c>
      <c r="F2593" s="9" t="str">
        <f>IFERROR(__xludf.DUMMYFUNCTION("""COMPUTED_VALUE"""),"PHP")</f>
        <v>PHP</v>
      </c>
      <c r="G2593" s="9" t="str">
        <f>IFERROR(__xludf.DUMMYFUNCTION("""COMPUTED_VALUE"""),"SQL")</f>
        <v>SQL</v>
      </c>
      <c r="H2593" s="9" t="str">
        <f>IFERROR(__xludf.DUMMYFUNCTION("""COMPUTED_VALUE"""),"Java")</f>
        <v>Java</v>
      </c>
      <c r="I2593" s="9" t="str">
        <f>IFERROR(__xludf.DUMMYFUNCTION("""COMPUTED_VALUE"""),"Java")</f>
        <v>Java</v>
      </c>
      <c r="J2593" s="9" t="str">
        <f>IFERROR(__xludf.DUMMYFUNCTION("""COMPUTED_VALUE"""),"Objective-C")</f>
        <v>Objective-C</v>
      </c>
      <c r="K2593" s="9" t="str">
        <f>IFERROR(__xludf.DUMMYFUNCTION("""COMPUTED_VALUE"""),"TypeScript")</f>
        <v>TypeScript</v>
      </c>
      <c r="L2593" s="9" t="str">
        <f>IFERROR(__xludf.DUMMYFUNCTION("""COMPUTED_VALUE"""),"HTML/CSS")</f>
        <v>HTML/CSS</v>
      </c>
      <c r="M2593" s="9" t="s">
        <v>29</v>
      </c>
    </row>
    <row r="2594" ht="15.75" customHeight="1">
      <c r="A2594" s="7"/>
      <c r="B2594" s="7" t="str">
        <f>IFERROR(__xludf.DUMMYFUNCTION("""COMPUTED_VALUE"""),"Assembly;Bash/Shell/PowerShell;C;HTML/CSS;JavaScript;Python;Ruby;SQL")</f>
        <v>Assembly;Bash/Shell/PowerShell;C;HTML/CSS;JavaScript;Python;Ruby;SQL</v>
      </c>
      <c r="C2594" s="9" t="str">
        <f>IFERROR(__xludf.DUMMYFUNCTION("""COMPUTED_VALUE"""),"SQL")</f>
        <v>SQL</v>
      </c>
      <c r="D2594" s="9" t="str">
        <f>IFERROR(__xludf.DUMMYFUNCTION("""COMPUTED_VALUE"""),"JavaScript")</f>
        <v>JavaScript</v>
      </c>
      <c r="E2594" s="9" t="str">
        <f>IFERROR(__xludf.DUMMYFUNCTION("""COMPUTED_VALUE"""),"Python")</f>
        <v>Python</v>
      </c>
      <c r="F2594" s="9" t="str">
        <f>IFERROR(__xludf.DUMMYFUNCTION("""COMPUTED_VALUE"""),"SQL")</f>
        <v>SQL</v>
      </c>
      <c r="G2594" s="9" t="str">
        <f>IFERROR(__xludf.DUMMYFUNCTION("""COMPUTED_VALUE"""),"HTML/CSS")</f>
        <v>HTML/CSS</v>
      </c>
      <c r="H2594" s="9" t="str">
        <f>IFERROR(__xludf.DUMMYFUNCTION("""COMPUTED_VALUE"""),"Scala")</f>
        <v>Scala</v>
      </c>
      <c r="I2594" s="9" t="str">
        <f>IFERROR(__xludf.DUMMYFUNCTION("""COMPUTED_VALUE"""),"JavaScript")</f>
        <v>JavaScript</v>
      </c>
      <c r="J2594" s="9" t="str">
        <f>IFERROR(__xludf.DUMMYFUNCTION("""COMPUTED_VALUE"""),"Python")</f>
        <v>Python</v>
      </c>
      <c r="K2594" s="9" t="str">
        <f>IFERROR(__xludf.DUMMYFUNCTION("""COMPUTED_VALUE"""),"C++")</f>
        <v>C++</v>
      </c>
      <c r="L2594" s="9" t="str">
        <f>IFERROR(__xludf.DUMMYFUNCTION("""COMPUTED_VALUE"""),"JavaScript")</f>
        <v>JavaScript</v>
      </c>
      <c r="M2594" s="9" t="s">
        <v>27</v>
      </c>
    </row>
    <row r="2595" ht="15.75" customHeight="1">
      <c r="A2595" s="7"/>
      <c r="B2595" s="7" t="str">
        <f>IFERROR(__xludf.DUMMYFUNCTION("""COMPUTED_VALUE"""),"JavaScript")</f>
        <v>JavaScript</v>
      </c>
      <c r="C2595" s="9" t="str">
        <f>IFERROR(__xludf.DUMMYFUNCTION("""COMPUTED_VALUE"""),"TypeScript")</f>
        <v>TypeScript</v>
      </c>
      <c r="D2595" s="9" t="str">
        <f>IFERROR(__xludf.DUMMYFUNCTION("""COMPUTED_VALUE"""),"PHP")</f>
        <v>PHP</v>
      </c>
      <c r="E2595" s="9" t="str">
        <f>IFERROR(__xludf.DUMMYFUNCTION("""COMPUTED_VALUE"""),"Assembly")</f>
        <v>Assembly</v>
      </c>
      <c r="F2595" s="9" t="str">
        <f>IFERROR(__xludf.DUMMYFUNCTION("""COMPUTED_VALUE"""),"VBA")</f>
        <v>VBA</v>
      </c>
      <c r="G2595" s="9" t="str">
        <f>IFERROR(__xludf.DUMMYFUNCTION("""COMPUTED_VALUE"""),"JavaScript")</f>
        <v>JavaScript</v>
      </c>
      <c r="H2595" s="9" t="str">
        <f>IFERROR(__xludf.DUMMYFUNCTION("""COMPUTED_VALUE"""),"Bash/Shell/PowerShell")</f>
        <v>Bash/Shell/PowerShell</v>
      </c>
      <c r="I2595" s="9" t="str">
        <f>IFERROR(__xludf.DUMMYFUNCTION("""COMPUTED_VALUE"""),"Python")</f>
        <v>Python</v>
      </c>
      <c r="J2595" s="9" t="str">
        <f>IFERROR(__xludf.DUMMYFUNCTION("""COMPUTED_VALUE"""),"Ruby")</f>
        <v>Ruby</v>
      </c>
      <c r="K2595" s="9" t="str">
        <f>IFERROR(__xludf.DUMMYFUNCTION("""COMPUTED_VALUE"""),"Clojure")</f>
        <v>Clojure</v>
      </c>
      <c r="L2595" s="9" t="str">
        <f>IFERROR(__xludf.DUMMYFUNCTION("""COMPUTED_VALUE"""),"SQL")</f>
        <v>SQL</v>
      </c>
      <c r="M2595" s="9" t="s">
        <v>33</v>
      </c>
    </row>
    <row r="2596" ht="15.75" customHeight="1">
      <c r="A2596" s="7"/>
      <c r="B2596" s="7" t="str">
        <f>IFERROR(__xludf.DUMMYFUNCTION("""COMPUTED_VALUE"""),"Bash/Shell/PowerShell;C;C++;JavaScript;Python;Other(s):")</f>
        <v>Bash/Shell/PowerShell;C;C++;JavaScript;Python;Other(s):</v>
      </c>
      <c r="C2596" s="9" t="str">
        <f>IFERROR(__xludf.DUMMYFUNCTION("""COMPUTED_VALUE"""),"Bash/Shell/PowerShell")</f>
        <v>Bash/Shell/PowerShell</v>
      </c>
      <c r="D2596" s="9" t="str">
        <f>IFERROR(__xludf.DUMMYFUNCTION("""COMPUTED_VALUE"""),"Python")</f>
        <v>Python</v>
      </c>
      <c r="E2596" s="9" t="str">
        <f>IFERROR(__xludf.DUMMYFUNCTION("""COMPUTED_VALUE"""),"Bash/Shell/PowerShell")</f>
        <v>Bash/Shell/PowerShell</v>
      </c>
      <c r="F2596" s="9" t="str">
        <f>IFERROR(__xludf.DUMMYFUNCTION("""COMPUTED_VALUE"""),"Assembly")</f>
        <v>Assembly</v>
      </c>
      <c r="G2596" s="9" t="str">
        <f>IFERROR(__xludf.DUMMYFUNCTION("""COMPUTED_VALUE"""),"PHP")</f>
        <v>PHP</v>
      </c>
      <c r="H2596" s="9" t="str">
        <f>IFERROR(__xludf.DUMMYFUNCTION("""COMPUTED_VALUE"""),"Java")</f>
        <v>Java</v>
      </c>
      <c r="I2596" s="9" t="str">
        <f>IFERROR(__xludf.DUMMYFUNCTION("""COMPUTED_VALUE"""),"Ruby")</f>
        <v>Ruby</v>
      </c>
      <c r="J2596" s="9" t="str">
        <f>IFERROR(__xludf.DUMMYFUNCTION("""COMPUTED_VALUE"""),"SQL")</f>
        <v>SQL</v>
      </c>
      <c r="K2596" s="9" t="str">
        <f>IFERROR(__xludf.DUMMYFUNCTION("""COMPUTED_VALUE"""),"HTML/CSS")</f>
        <v>HTML/CSS</v>
      </c>
      <c r="L2596" s="9" t="str">
        <f>IFERROR(__xludf.DUMMYFUNCTION("""COMPUTED_VALUE"""),"Bash/Shell/PowerShell")</f>
        <v>Bash/Shell/PowerShell</v>
      </c>
      <c r="M2596" s="9" t="s">
        <v>30</v>
      </c>
    </row>
    <row r="2597" ht="15.75" customHeight="1">
      <c r="A2597" s="7"/>
      <c r="B2597" s="7" t="str">
        <f>IFERROR(__xludf.DUMMYFUNCTION("""COMPUTED_VALUE"""),"Bash/Shell/PowerShell;C++;Java;Python;SQL")</f>
        <v>Bash/Shell/PowerShell;C++;Java;Python;SQL</v>
      </c>
      <c r="C2597" s="9" t="str">
        <f>IFERROR(__xludf.DUMMYFUNCTION("""COMPUTED_VALUE"""),"JavaScript")</f>
        <v>JavaScript</v>
      </c>
      <c r="D2597" s="9" t="str">
        <f>IFERROR(__xludf.DUMMYFUNCTION("""COMPUTED_VALUE"""),"C#")</f>
        <v>C#</v>
      </c>
      <c r="E2597" s="9" t="str">
        <f>IFERROR(__xludf.DUMMYFUNCTION("""COMPUTED_VALUE"""),"C")</f>
        <v>C</v>
      </c>
      <c r="F2597" s="9" t="str">
        <f>IFERROR(__xludf.DUMMYFUNCTION("""COMPUTED_VALUE"""),"Bash/Shell/PowerShell")</f>
        <v>Bash/Shell/PowerShell</v>
      </c>
      <c r="G2597" s="9" t="str">
        <f>IFERROR(__xludf.DUMMYFUNCTION("""COMPUTED_VALUE"""),"SQL")</f>
        <v>SQL</v>
      </c>
      <c r="H2597" s="9" t="str">
        <f>IFERROR(__xludf.DUMMYFUNCTION("""COMPUTED_VALUE"""),"JavaScript")</f>
        <v>JavaScript</v>
      </c>
      <c r="I2597" s="9" t="str">
        <f>IFERROR(__xludf.DUMMYFUNCTION("""COMPUTED_VALUE"""),"SQL")</f>
        <v>SQL</v>
      </c>
      <c r="J2597" s="9" t="str">
        <f>IFERROR(__xludf.DUMMYFUNCTION("""COMPUTED_VALUE"""),"Swift")</f>
        <v>Swift</v>
      </c>
      <c r="K2597" s="9" t="str">
        <f>IFERROR(__xludf.DUMMYFUNCTION("""COMPUTED_VALUE"""),"Java")</f>
        <v>Java</v>
      </c>
      <c r="L2597" s="9" t="str">
        <f>IFERROR(__xludf.DUMMYFUNCTION("""COMPUTED_VALUE"""),"JavaScript")</f>
        <v>JavaScript</v>
      </c>
      <c r="M2597" s="9" t="s">
        <v>21</v>
      </c>
    </row>
    <row r="2598" ht="15.75" customHeight="1">
      <c r="A2598" s="7"/>
      <c r="B2598" s="7" t="str">
        <f>IFERROR(__xludf.DUMMYFUNCTION("""COMPUTED_VALUE"""),"HTML/CSS;JavaScript;PHP;SQL")</f>
        <v>HTML/CSS;JavaScript;PHP;SQL</v>
      </c>
      <c r="C2598" s="9" t="str">
        <f>IFERROR(__xludf.DUMMYFUNCTION("""COMPUTED_VALUE"""),"Python")</f>
        <v>Python</v>
      </c>
      <c r="D2598" s="9" t="str">
        <f>IFERROR(__xludf.DUMMYFUNCTION("""COMPUTED_VALUE"""),"HTML/CSS")</f>
        <v>HTML/CSS</v>
      </c>
      <c r="E2598" s="9" t="str">
        <f>IFERROR(__xludf.DUMMYFUNCTION("""COMPUTED_VALUE"""),"C++")</f>
        <v>C++</v>
      </c>
      <c r="F2598" s="9" t="str">
        <f>IFERROR(__xludf.DUMMYFUNCTION("""COMPUTED_VALUE"""),"C")</f>
        <v>C</v>
      </c>
      <c r="G2598" s="9" t="str">
        <f>IFERROR(__xludf.DUMMYFUNCTION("""COMPUTED_VALUE"""),"C")</f>
        <v>C</v>
      </c>
      <c r="H2598" s="9" t="str">
        <f>IFERROR(__xludf.DUMMYFUNCTION("""COMPUTED_VALUE"""),"C#")</f>
        <v>C#</v>
      </c>
      <c r="I2598" s="9" t="str">
        <f>IFERROR(__xludf.DUMMYFUNCTION("""COMPUTED_VALUE"""),"HTML/CSS")</f>
        <v>HTML/CSS</v>
      </c>
      <c r="J2598" s="9" t="str">
        <f>IFERROR(__xludf.DUMMYFUNCTION("""COMPUTED_VALUE"""),"Bash/Shell/PowerShell")</f>
        <v>Bash/Shell/PowerShell</v>
      </c>
      <c r="K2598" s="9" t="str">
        <f>IFERROR(__xludf.DUMMYFUNCTION("""COMPUTED_VALUE"""),"JavaScript")</f>
        <v>JavaScript</v>
      </c>
      <c r="L2598" s="9" t="str">
        <f>IFERROR(__xludf.DUMMYFUNCTION("""COMPUTED_VALUE"""),"PHP")</f>
        <v>PHP</v>
      </c>
      <c r="M2598" s="9" t="s">
        <v>22</v>
      </c>
    </row>
    <row r="2599" ht="15.75" customHeight="1">
      <c r="A2599" s="7"/>
      <c r="B2599" s="7" t="str">
        <f>IFERROR(__xludf.DUMMYFUNCTION("""COMPUTED_VALUE"""),"HTML/CSS;JavaScript;PHP;SQL;TypeScript")</f>
        <v>HTML/CSS;JavaScript;PHP;SQL;TypeScript</v>
      </c>
      <c r="C2599" s="9" t="str">
        <f>IFERROR(__xludf.DUMMYFUNCTION("""COMPUTED_VALUE"""),"SQL")</f>
        <v>SQL</v>
      </c>
      <c r="D2599" s="9" t="str">
        <f>IFERROR(__xludf.DUMMYFUNCTION("""COMPUTED_VALUE"""),"JavaScript")</f>
        <v>JavaScript</v>
      </c>
      <c r="E2599" s="9" t="str">
        <f>IFERROR(__xludf.DUMMYFUNCTION("""COMPUTED_VALUE"""),"C#")</f>
        <v>C#</v>
      </c>
      <c r="F2599" s="9" t="str">
        <f>IFERROR(__xludf.DUMMYFUNCTION("""COMPUTED_VALUE"""),"C++")</f>
        <v>C++</v>
      </c>
      <c r="G2599" s="9" t="str">
        <f>IFERROR(__xludf.DUMMYFUNCTION("""COMPUTED_VALUE"""),"C++")</f>
        <v>C++</v>
      </c>
      <c r="H2599" s="9" t="str">
        <f>IFERROR(__xludf.DUMMYFUNCTION("""COMPUTED_VALUE"""),"HTML/CSS")</f>
        <v>HTML/CSS</v>
      </c>
      <c r="I2599" s="9" t="str">
        <f>IFERROR(__xludf.DUMMYFUNCTION("""COMPUTED_VALUE"""),"Java")</f>
        <v>Java</v>
      </c>
      <c r="J2599" s="9" t="str">
        <f>IFERROR(__xludf.DUMMYFUNCTION("""COMPUTED_VALUE"""),"HTML/CSS")</f>
        <v>HTML/CSS</v>
      </c>
      <c r="K2599" s="9" t="str">
        <f>IFERROR(__xludf.DUMMYFUNCTION("""COMPUTED_VALUE"""),"Python")</f>
        <v>Python</v>
      </c>
      <c r="L2599" s="9" t="str">
        <f>IFERROR(__xludf.DUMMYFUNCTION("""COMPUTED_VALUE"""),"SQL")</f>
        <v>SQL</v>
      </c>
      <c r="M2599" s="9" t="s">
        <v>27</v>
      </c>
    </row>
    <row r="2600" ht="15.75" customHeight="1">
      <c r="A2600" s="7"/>
      <c r="B2600" s="7" t="str">
        <f>IFERROR(__xludf.DUMMYFUNCTION("""COMPUTED_VALUE"""),"Bash/Shell/PowerShell;C#;HTML/CSS;JavaScript;PHP;Ruby;SQL")</f>
        <v>Bash/Shell/PowerShell;C#;HTML/CSS;JavaScript;PHP;Ruby;SQL</v>
      </c>
      <c r="C2600" s="9" t="str">
        <f>IFERROR(__xludf.DUMMYFUNCTION("""COMPUTED_VALUE"""),"JavaScript")</f>
        <v>JavaScript</v>
      </c>
      <c r="D2600" s="9" t="str">
        <f>IFERROR(__xludf.DUMMYFUNCTION("""COMPUTED_VALUE"""),"SQL")</f>
        <v>SQL</v>
      </c>
      <c r="E2600" s="9" t="str">
        <f>IFERROR(__xludf.DUMMYFUNCTION("""COMPUTED_VALUE"""),"HTML/CSS")</f>
        <v>HTML/CSS</v>
      </c>
      <c r="F2600" s="9" t="str">
        <f>IFERROR(__xludf.DUMMYFUNCTION("""COMPUTED_VALUE"""),"C#")</f>
        <v>C#</v>
      </c>
      <c r="G2600" s="9" t="str">
        <f>IFERROR(__xludf.DUMMYFUNCTION("""COMPUTED_VALUE"""),"C#")</f>
        <v>C#</v>
      </c>
      <c r="H2600" s="9" t="str">
        <f>IFERROR(__xludf.DUMMYFUNCTION("""COMPUTED_VALUE"""),"Java")</f>
        <v>Java</v>
      </c>
      <c r="I2600" s="9" t="str">
        <f>IFERROR(__xludf.DUMMYFUNCTION("""COMPUTED_VALUE"""),"JavaScript")</f>
        <v>JavaScript</v>
      </c>
      <c r="J2600" s="9" t="str">
        <f>IFERROR(__xludf.DUMMYFUNCTION("""COMPUTED_VALUE"""),"JavaScript")</f>
        <v>JavaScript</v>
      </c>
      <c r="K2600" s="9" t="str">
        <f>IFERROR(__xludf.DUMMYFUNCTION("""COMPUTED_VALUE"""),"Rust")</f>
        <v>Rust</v>
      </c>
      <c r="L2600" s="9" t="str">
        <f>IFERROR(__xludf.DUMMYFUNCTION("""COMPUTED_VALUE"""),"TypeScript")</f>
        <v>TypeScript</v>
      </c>
      <c r="M2600" s="9" t="s">
        <v>21</v>
      </c>
    </row>
    <row r="2601" ht="15.75" customHeight="1">
      <c r="A2601" s="7"/>
      <c r="B2601" s="7" t="str">
        <f>IFERROR(__xludf.DUMMYFUNCTION("""COMPUTED_VALUE"""),"Bash/Shell/PowerShell;C#;Go;HTML/CSS;JavaScript;Python")</f>
        <v>Bash/Shell/PowerShell;C#;Go;HTML/CSS;JavaScript;Python</v>
      </c>
      <c r="C2601" s="9" t="str">
        <f>IFERROR(__xludf.DUMMYFUNCTION("""COMPUTED_VALUE"""),"Python")</f>
        <v>Python</v>
      </c>
      <c r="D2601" s="9" t="str">
        <f>IFERROR(__xludf.DUMMYFUNCTION("""COMPUTED_VALUE"""),"TypeScript")</f>
        <v>TypeScript</v>
      </c>
      <c r="E2601" s="9" t="str">
        <f>IFERROR(__xludf.DUMMYFUNCTION("""COMPUTED_VALUE"""),"Java")</f>
        <v>Java</v>
      </c>
      <c r="F2601" s="9" t="str">
        <f>IFERROR(__xludf.DUMMYFUNCTION("""COMPUTED_VALUE"""),"HTML/CSS")</f>
        <v>HTML/CSS</v>
      </c>
      <c r="G2601" s="9" t="str">
        <f>IFERROR(__xludf.DUMMYFUNCTION("""COMPUTED_VALUE"""),"HTML/CSS")</f>
        <v>HTML/CSS</v>
      </c>
      <c r="H2601" s="9" t="str">
        <f>IFERROR(__xludf.DUMMYFUNCTION("""COMPUTED_VALUE"""),"JavaScript")</f>
        <v>JavaScript</v>
      </c>
      <c r="I2601" s="9" t="str">
        <f>IFERROR(__xludf.DUMMYFUNCTION("""COMPUTED_VALUE"""),"SQL")</f>
        <v>SQL</v>
      </c>
      <c r="J2601" s="9" t="str">
        <f>IFERROR(__xludf.DUMMYFUNCTION("""COMPUTED_VALUE"""),"HTML/CSS")</f>
        <v>HTML/CSS</v>
      </c>
      <c r="K2601" s="9" t="str">
        <f>IFERROR(__xludf.DUMMYFUNCTION("""COMPUTED_VALUE"""),"TypeScript")</f>
        <v>TypeScript</v>
      </c>
      <c r="L2601" s="9" t="str">
        <f>IFERROR(__xludf.DUMMYFUNCTION("""COMPUTED_VALUE"""),"Bash/Shell/PowerShell")</f>
        <v>Bash/Shell/PowerShell</v>
      </c>
      <c r="M2601" s="9" t="s">
        <v>22</v>
      </c>
    </row>
    <row r="2602" ht="15.75" customHeight="1">
      <c r="A2602" s="7"/>
      <c r="B2602" s="7" t="str">
        <f>IFERROR(__xludf.DUMMYFUNCTION("""COMPUTED_VALUE"""),"HTML/CSS;JavaScript;PHP;Ruby;SQL")</f>
        <v>HTML/CSS;JavaScript;PHP;Ruby;SQL</v>
      </c>
      <c r="C2602" s="9" t="str">
        <f>IFERROR(__xludf.DUMMYFUNCTION("""COMPUTED_VALUE"""),"Bash/Shell/PowerShell")</f>
        <v>Bash/Shell/PowerShell</v>
      </c>
      <c r="D2602" s="9" t="str">
        <f>IFERROR(__xludf.DUMMYFUNCTION("""COMPUTED_VALUE"""),"Assembly")</f>
        <v>Assembly</v>
      </c>
      <c r="E2602" s="9" t="str">
        <f>IFERROR(__xludf.DUMMYFUNCTION("""COMPUTED_VALUE"""),"JavaScript")</f>
        <v>JavaScript</v>
      </c>
      <c r="F2602" s="9" t="str">
        <f>IFERROR(__xludf.DUMMYFUNCTION("""COMPUTED_VALUE"""),"Java")</f>
        <v>Java</v>
      </c>
      <c r="G2602" s="9" t="str">
        <f>IFERROR(__xludf.DUMMYFUNCTION("""COMPUTED_VALUE"""),"JavaScript")</f>
        <v>JavaScript</v>
      </c>
      <c r="H2602" s="9" t="str">
        <f>IFERROR(__xludf.DUMMYFUNCTION("""COMPUTED_VALUE"""),"SQL")</f>
        <v>SQL</v>
      </c>
      <c r="I2602" s="9" t="str">
        <f>IFERROR(__xludf.DUMMYFUNCTION("""COMPUTED_VALUE"""),"Assembly")</f>
        <v>Assembly</v>
      </c>
      <c r="J2602" s="9" t="str">
        <f>IFERROR(__xludf.DUMMYFUNCTION("""COMPUTED_VALUE"""),"JavaScript")</f>
        <v>JavaScript</v>
      </c>
      <c r="K2602" s="9" t="str">
        <f>IFERROR(__xludf.DUMMYFUNCTION("""COMPUTED_VALUE"""),"Bash/Shell/PowerShell")</f>
        <v>Bash/Shell/PowerShell</v>
      </c>
      <c r="L2602" s="9" t="str">
        <f>IFERROR(__xludf.DUMMYFUNCTION("""COMPUTED_VALUE"""),"Java")</f>
        <v>Java</v>
      </c>
      <c r="M2602" s="9" t="s">
        <v>30</v>
      </c>
    </row>
    <row r="2603" ht="15.75" customHeight="1">
      <c r="A2603" s="7"/>
      <c r="B2603" s="7" t="str">
        <f>IFERROR(__xludf.DUMMYFUNCTION("""COMPUTED_VALUE"""),"HTML/CSS;JavaScript;Python;Ruby")</f>
        <v>HTML/CSS;JavaScript;Python;Ruby</v>
      </c>
      <c r="C2603" s="9" t="str">
        <f>IFERROR(__xludf.DUMMYFUNCTION("""COMPUTED_VALUE"""),"C#")</f>
        <v>C#</v>
      </c>
      <c r="D2603" s="9" t="str">
        <f>IFERROR(__xludf.DUMMYFUNCTION("""COMPUTED_VALUE"""),"Bash/Shell/PowerShell")</f>
        <v>Bash/Shell/PowerShell</v>
      </c>
      <c r="E2603" s="9" t="str">
        <f>IFERROR(__xludf.DUMMYFUNCTION("""COMPUTED_VALUE"""),"Objective-C")</f>
        <v>Objective-C</v>
      </c>
      <c r="F2603" s="9" t="str">
        <f>IFERROR(__xludf.DUMMYFUNCTION("""COMPUTED_VALUE"""),"JavaScript")</f>
        <v>JavaScript</v>
      </c>
      <c r="G2603" s="9" t="str">
        <f>IFERROR(__xludf.DUMMYFUNCTION("""COMPUTED_VALUE"""),"Java")</f>
        <v>Java</v>
      </c>
      <c r="H2603" s="9" t="str">
        <f>IFERROR(__xludf.DUMMYFUNCTION("""COMPUTED_VALUE"""),"Other(s):")</f>
        <v>Other(s):</v>
      </c>
      <c r="I2603" s="9" t="str">
        <f>IFERROR(__xludf.DUMMYFUNCTION("""COMPUTED_VALUE"""),"Bash/Shell/PowerShell")</f>
        <v>Bash/Shell/PowerShell</v>
      </c>
      <c r="J2603" s="9" t="str">
        <f>IFERROR(__xludf.DUMMYFUNCTION("""COMPUTED_VALUE"""),"Python")</f>
        <v>Python</v>
      </c>
      <c r="K2603" s="9" t="str">
        <f>IFERROR(__xludf.DUMMYFUNCTION("""COMPUTED_VALUE"""),"C#")</f>
        <v>C#</v>
      </c>
      <c r="L2603" s="9" t="str">
        <f>IFERROR(__xludf.DUMMYFUNCTION("""COMPUTED_VALUE"""),"PHP")</f>
        <v>PHP</v>
      </c>
      <c r="M2603" s="9" t="s">
        <v>26</v>
      </c>
    </row>
    <row r="2604" ht="15.75" customHeight="1">
      <c r="A2604" s="7"/>
      <c r="B2604" s="7" t="str">
        <f>IFERROR(__xludf.DUMMYFUNCTION("""COMPUTED_VALUE"""),"JavaScript;TypeScript")</f>
        <v>JavaScript;TypeScript</v>
      </c>
      <c r="C2604" s="9" t="str">
        <f>IFERROR(__xludf.DUMMYFUNCTION("""COMPUTED_VALUE"""),"HTML/CSS")</f>
        <v>HTML/CSS</v>
      </c>
      <c r="D2604" s="9" t="str">
        <f>IFERROR(__xludf.DUMMYFUNCTION("""COMPUTED_VALUE"""),"C++")</f>
        <v>C++</v>
      </c>
      <c r="E2604" s="9" t="str">
        <f>IFERROR(__xludf.DUMMYFUNCTION("""COMPUTED_VALUE"""),"Python")</f>
        <v>Python</v>
      </c>
      <c r="F2604" s="9" t="str">
        <f>IFERROR(__xludf.DUMMYFUNCTION("""COMPUTED_VALUE"""),"PHP")</f>
        <v>PHP</v>
      </c>
      <c r="G2604" s="9" t="str">
        <f>IFERROR(__xludf.DUMMYFUNCTION("""COMPUTED_VALUE"""),"Kotlin")</f>
        <v>Kotlin</v>
      </c>
      <c r="H2604" s="9" t="str">
        <f>IFERROR(__xludf.DUMMYFUNCTION("""COMPUTED_VALUE"""),"C#")</f>
        <v>C#</v>
      </c>
      <c r="I2604" s="9" t="str">
        <f>IFERROR(__xludf.DUMMYFUNCTION("""COMPUTED_VALUE"""),"C")</f>
        <v>C</v>
      </c>
      <c r="J2604" s="9" t="str">
        <f>IFERROR(__xludf.DUMMYFUNCTION("""COMPUTED_VALUE"""),"R")</f>
        <v>R</v>
      </c>
      <c r="K2604" s="9" t="str">
        <f>IFERROR(__xludf.DUMMYFUNCTION("""COMPUTED_VALUE"""),"HTML/CSS")</f>
        <v>HTML/CSS</v>
      </c>
      <c r="L2604" s="9" t="str">
        <f>IFERROR(__xludf.DUMMYFUNCTION("""COMPUTED_VALUE"""),"Python")</f>
        <v>Python</v>
      </c>
      <c r="M2604" s="9" t="s">
        <v>24</v>
      </c>
    </row>
    <row r="2605" ht="15.75" customHeight="1">
      <c r="A2605" s="7"/>
      <c r="B2605" s="7" t="str">
        <f>IFERROR(__xludf.DUMMYFUNCTION("""COMPUTED_VALUE"""),"Bash/Shell/PowerShell;HTML/CSS;JavaScript;PHP;SQL")</f>
        <v>Bash/Shell/PowerShell;HTML/CSS;JavaScript;PHP;SQL</v>
      </c>
      <c r="C2605" s="9" t="str">
        <f>IFERROR(__xludf.DUMMYFUNCTION("""COMPUTED_VALUE"""),"JavaScript")</f>
        <v>JavaScript</v>
      </c>
      <c r="D2605" s="9" t="str">
        <f>IFERROR(__xludf.DUMMYFUNCTION("""COMPUTED_VALUE"""),"C#")</f>
        <v>C#</v>
      </c>
      <c r="E2605" s="9" t="str">
        <f>IFERROR(__xludf.DUMMYFUNCTION("""COMPUTED_VALUE"""),"Swift")</f>
        <v>Swift</v>
      </c>
      <c r="F2605" s="9" t="str">
        <f>IFERROR(__xludf.DUMMYFUNCTION("""COMPUTED_VALUE"""),"Python")</f>
        <v>Python</v>
      </c>
      <c r="G2605" s="9" t="str">
        <f>IFERROR(__xludf.DUMMYFUNCTION("""COMPUTED_VALUE"""),"Python")</f>
        <v>Python</v>
      </c>
      <c r="H2605" s="9" t="str">
        <f>IFERROR(__xludf.DUMMYFUNCTION("""COMPUTED_VALUE"""),"Java")</f>
        <v>Java</v>
      </c>
      <c r="I2605" s="9" t="str">
        <f>IFERROR(__xludf.DUMMYFUNCTION("""COMPUTED_VALUE"""),"C++")</f>
        <v>C++</v>
      </c>
      <c r="J2605" s="9" t="str">
        <f>IFERROR(__xludf.DUMMYFUNCTION("""COMPUTED_VALUE"""),"SQL")</f>
        <v>SQL</v>
      </c>
      <c r="K2605" s="9" t="str">
        <f>IFERROR(__xludf.DUMMYFUNCTION("""COMPUTED_VALUE"""),"Java")</f>
        <v>Java</v>
      </c>
      <c r="L2605" s="9" t="str">
        <f>IFERROR(__xludf.DUMMYFUNCTION("""COMPUTED_VALUE"""),"SQL")</f>
        <v>SQL</v>
      </c>
      <c r="M2605" s="9" t="s">
        <v>21</v>
      </c>
    </row>
    <row r="2606" ht="15.75" customHeight="1">
      <c r="A2606" s="7"/>
      <c r="B2606" s="7" t="str">
        <f>IFERROR(__xludf.DUMMYFUNCTION("""COMPUTED_VALUE"""),"Java;TypeScript")</f>
        <v>Java;TypeScript</v>
      </c>
      <c r="C2606" s="9" t="str">
        <f>IFERROR(__xludf.DUMMYFUNCTION("""COMPUTED_VALUE"""),"Python")</f>
        <v>Python</v>
      </c>
      <c r="D2606" s="9" t="str">
        <f>IFERROR(__xludf.DUMMYFUNCTION("""COMPUTED_VALUE"""),"HTML/CSS")</f>
        <v>HTML/CSS</v>
      </c>
      <c r="E2606" s="9" t="str">
        <f>IFERROR(__xludf.DUMMYFUNCTION("""COMPUTED_VALUE"""),"TypeScript")</f>
        <v>TypeScript</v>
      </c>
      <c r="F2606" s="9" t="str">
        <f>IFERROR(__xludf.DUMMYFUNCTION("""COMPUTED_VALUE"""),"SQL")</f>
        <v>SQL</v>
      </c>
      <c r="G2606" s="9" t="str">
        <f>IFERROR(__xludf.DUMMYFUNCTION("""COMPUTED_VALUE"""),"C#")</f>
        <v>C#</v>
      </c>
      <c r="H2606" s="9" t="str">
        <f>IFERROR(__xludf.DUMMYFUNCTION("""COMPUTED_VALUE"""),"Kotlin")</f>
        <v>Kotlin</v>
      </c>
      <c r="I2606" s="9" t="str">
        <f>IFERROR(__xludf.DUMMYFUNCTION("""COMPUTED_VALUE"""),"Python")</f>
        <v>Python</v>
      </c>
      <c r="J2606" s="9" t="str">
        <f>IFERROR(__xludf.DUMMYFUNCTION("""COMPUTED_VALUE"""),"Bash/Shell/PowerShell")</f>
        <v>Bash/Shell/PowerShell</v>
      </c>
      <c r="K2606" s="9" t="str">
        <f>IFERROR(__xludf.DUMMYFUNCTION("""COMPUTED_VALUE"""),"JavaScript")</f>
        <v>JavaScript</v>
      </c>
      <c r="L2606" s="9" t="str">
        <f>IFERROR(__xludf.DUMMYFUNCTION("""COMPUTED_VALUE"""),"VBA")</f>
        <v>VBA</v>
      </c>
      <c r="M2606" s="9" t="s">
        <v>22</v>
      </c>
    </row>
    <row r="2607" ht="15.75" customHeight="1">
      <c r="A2607" s="7"/>
      <c r="B2607" s="7" t="str">
        <f>IFERROR(__xludf.DUMMYFUNCTION("""COMPUTED_VALUE"""),"HTML/CSS;JavaScript")</f>
        <v>HTML/CSS;JavaScript</v>
      </c>
      <c r="C2607" s="9" t="str">
        <f>IFERROR(__xludf.DUMMYFUNCTION("""COMPUTED_VALUE"""),"SQL")</f>
        <v>SQL</v>
      </c>
      <c r="D2607" s="9" t="str">
        <f>IFERROR(__xludf.DUMMYFUNCTION("""COMPUTED_VALUE"""),"JavaScript")</f>
        <v>JavaScript</v>
      </c>
      <c r="E2607" s="9" t="str">
        <f>IFERROR(__xludf.DUMMYFUNCTION("""COMPUTED_VALUE"""),"HTML/CSS")</f>
        <v>HTML/CSS</v>
      </c>
      <c r="F2607" s="9" t="str">
        <f>IFERROR(__xludf.DUMMYFUNCTION("""COMPUTED_VALUE"""),"VBA")</f>
        <v>VBA</v>
      </c>
      <c r="G2607" s="9" t="str">
        <f>IFERROR(__xludf.DUMMYFUNCTION("""COMPUTED_VALUE"""),"HTML/CSS")</f>
        <v>HTML/CSS</v>
      </c>
      <c r="H2607" s="9" t="str">
        <f>IFERROR(__xludf.DUMMYFUNCTION("""COMPUTED_VALUE"""),"HTML/CSS")</f>
        <v>HTML/CSS</v>
      </c>
      <c r="I2607" s="9" t="str">
        <f>IFERROR(__xludf.DUMMYFUNCTION("""COMPUTED_VALUE"""),"HTML/CSS")</f>
        <v>HTML/CSS</v>
      </c>
      <c r="J2607" s="9" t="str">
        <f>IFERROR(__xludf.DUMMYFUNCTION("""COMPUTED_VALUE"""),"C++")</f>
        <v>C++</v>
      </c>
      <c r="K2607" s="9" t="str">
        <f>IFERROR(__xludf.DUMMYFUNCTION("""COMPUTED_VALUE"""),"PHP")</f>
        <v>PHP</v>
      </c>
      <c r="L2607" s="9" t="str">
        <f>IFERROR(__xludf.DUMMYFUNCTION("""COMPUTED_VALUE"""),"C#")</f>
        <v>C#</v>
      </c>
      <c r="M2607" s="9" t="s">
        <v>27</v>
      </c>
    </row>
    <row r="2608" ht="15.75" customHeight="1">
      <c r="A2608" s="7"/>
      <c r="B2608" s="7" t="str">
        <f>IFERROR(__xludf.DUMMYFUNCTION("""COMPUTED_VALUE"""),"HTML/CSS;JavaScript;TypeScript")</f>
        <v>HTML/CSS;JavaScript;TypeScript</v>
      </c>
      <c r="C2608" s="9" t="str">
        <f>IFERROR(__xludf.DUMMYFUNCTION("""COMPUTED_VALUE"""),"TypeScript")</f>
        <v>TypeScript</v>
      </c>
      <c r="D2608" s="9" t="str">
        <f>IFERROR(__xludf.DUMMYFUNCTION("""COMPUTED_VALUE"""),"Python")</f>
        <v>Python</v>
      </c>
      <c r="E2608" s="9" t="str">
        <f>IFERROR(__xludf.DUMMYFUNCTION("""COMPUTED_VALUE"""),"JavaScript")</f>
        <v>JavaScript</v>
      </c>
      <c r="F2608" s="9" t="str">
        <f>IFERROR(__xludf.DUMMYFUNCTION("""COMPUTED_VALUE"""),"Other(s):")</f>
        <v>Other(s):</v>
      </c>
      <c r="G2608" s="9" t="str">
        <f>IFERROR(__xludf.DUMMYFUNCTION("""COMPUTED_VALUE"""),"JavaScript")</f>
        <v>JavaScript</v>
      </c>
      <c r="H2608" s="9" t="str">
        <f>IFERROR(__xludf.DUMMYFUNCTION("""COMPUTED_VALUE"""),"JavaScript")</f>
        <v>JavaScript</v>
      </c>
      <c r="I2608" s="9" t="str">
        <f>IFERROR(__xludf.DUMMYFUNCTION("""COMPUTED_VALUE"""),"JavaScript")</f>
        <v>JavaScript</v>
      </c>
      <c r="J2608" s="9" t="str">
        <f>IFERROR(__xludf.DUMMYFUNCTION("""COMPUTED_VALUE"""),"HTML/CSS")</f>
        <v>HTML/CSS</v>
      </c>
      <c r="K2608" s="9" t="str">
        <f>IFERROR(__xludf.DUMMYFUNCTION("""COMPUTED_VALUE"""),"R")</f>
        <v>R</v>
      </c>
      <c r="L2608" s="9" t="str">
        <f>IFERROR(__xludf.DUMMYFUNCTION("""COMPUTED_VALUE"""),"HTML/CSS")</f>
        <v>HTML/CSS</v>
      </c>
      <c r="M2608" s="9" t="s">
        <v>33</v>
      </c>
    </row>
    <row r="2609" ht="15.75" customHeight="1">
      <c r="A2609" s="7"/>
      <c r="B2609" s="7" t="str">
        <f>IFERROR(__xludf.DUMMYFUNCTION("""COMPUTED_VALUE"""),"Bash/Shell/PowerShell;C#;Other(s):")</f>
        <v>Bash/Shell/PowerShell;C#;Other(s):</v>
      </c>
      <c r="C2609" s="9" t="str">
        <f>IFERROR(__xludf.DUMMYFUNCTION("""COMPUTED_VALUE"""),"Other(s):")</f>
        <v>Other(s):</v>
      </c>
      <c r="D2609" s="9" t="str">
        <f>IFERROR(__xludf.DUMMYFUNCTION("""COMPUTED_VALUE"""),"SQL")</f>
        <v>SQL</v>
      </c>
      <c r="E2609" s="9" t="str">
        <f>IFERROR(__xludf.DUMMYFUNCTION("""COMPUTED_VALUE"""),"PHP")</f>
        <v>PHP</v>
      </c>
      <c r="F2609" s="9" t="str">
        <f>IFERROR(__xludf.DUMMYFUNCTION("""COMPUTED_VALUE"""),"HTML/CSS")</f>
        <v>HTML/CSS</v>
      </c>
      <c r="G2609" s="9" t="str">
        <f>IFERROR(__xludf.DUMMYFUNCTION("""COMPUTED_VALUE"""),"SQL")</f>
        <v>SQL</v>
      </c>
      <c r="H2609" s="9" t="str">
        <f>IFERROR(__xludf.DUMMYFUNCTION("""COMPUTED_VALUE"""),"PHP")</f>
        <v>PHP</v>
      </c>
      <c r="I2609" s="9" t="str">
        <f>IFERROR(__xludf.DUMMYFUNCTION("""COMPUTED_VALUE"""),"SQL")</f>
        <v>SQL</v>
      </c>
      <c r="J2609" s="9" t="str">
        <f>IFERROR(__xludf.DUMMYFUNCTION("""COMPUTED_VALUE"""),"JavaScript")</f>
        <v>JavaScript</v>
      </c>
      <c r="K2609" s="9" t="str">
        <f>IFERROR(__xludf.DUMMYFUNCTION("""COMPUTED_VALUE"""),"SQL")</f>
        <v>SQL</v>
      </c>
      <c r="L2609" s="9" t="str">
        <f>IFERROR(__xludf.DUMMYFUNCTION("""COMPUTED_VALUE"""),"Java")</f>
        <v>Java</v>
      </c>
      <c r="M2609" s="9" t="s">
        <v>35</v>
      </c>
    </row>
    <row r="2610" ht="15.75" customHeight="1">
      <c r="A2610" s="7"/>
      <c r="B2610" s="7" t="str">
        <f>IFERROR(__xludf.DUMMYFUNCTION("""COMPUTED_VALUE"""),"C;C++;Python;Other(s):")</f>
        <v>C;C++;Python;Other(s):</v>
      </c>
      <c r="C2610" s="9" t="str">
        <f>IFERROR(__xludf.DUMMYFUNCTION("""COMPUTED_VALUE"""),"Bash/Shell/PowerShell")</f>
        <v>Bash/Shell/PowerShell</v>
      </c>
      <c r="D2610" s="9" t="str">
        <f>IFERROR(__xludf.DUMMYFUNCTION("""COMPUTED_VALUE"""),"Bash/Shell/PowerShell")</f>
        <v>Bash/Shell/PowerShell</v>
      </c>
      <c r="E2610" s="9" t="str">
        <f>IFERROR(__xludf.DUMMYFUNCTION("""COMPUTED_VALUE"""),"C++")</f>
        <v>C++</v>
      </c>
      <c r="F2610" s="9" t="str">
        <f>IFERROR(__xludf.DUMMYFUNCTION("""COMPUTED_VALUE"""),"JavaScript")</f>
        <v>JavaScript</v>
      </c>
      <c r="G2610" s="9" t="str">
        <f>IFERROR(__xludf.DUMMYFUNCTION("""COMPUTED_VALUE"""),"TypeScript")</f>
        <v>TypeScript</v>
      </c>
      <c r="H2610" s="9" t="str">
        <f>IFERROR(__xludf.DUMMYFUNCTION("""COMPUTED_VALUE"""),"SQL")</f>
        <v>SQL</v>
      </c>
      <c r="I2610" s="9" t="str">
        <f>IFERROR(__xludf.DUMMYFUNCTION("""COMPUTED_VALUE"""),"Swift")</f>
        <v>Swift</v>
      </c>
      <c r="J2610" s="9" t="str">
        <f>IFERROR(__xludf.DUMMYFUNCTION("""COMPUTED_VALUE"""),"Python")</f>
        <v>Python</v>
      </c>
      <c r="K2610" s="9" t="str">
        <f>IFERROR(__xludf.DUMMYFUNCTION("""COMPUTED_VALUE"""),"TypeScript")</f>
        <v>TypeScript</v>
      </c>
      <c r="L2610" s="9" t="str">
        <f>IFERROR(__xludf.DUMMYFUNCTION("""COMPUTED_VALUE"""),"JavaScript")</f>
        <v>JavaScript</v>
      </c>
      <c r="M2610" s="9" t="s">
        <v>30</v>
      </c>
    </row>
    <row r="2611" ht="15.75" customHeight="1">
      <c r="A2611" s="7"/>
      <c r="B2611" s="7" t="str">
        <f>IFERROR(__xludf.DUMMYFUNCTION("""COMPUTED_VALUE"""),"Bash/Shell/PowerShell;C#;F#;Go")</f>
        <v>Bash/Shell/PowerShell;C#;F#;Go</v>
      </c>
      <c r="C2611" s="9" t="str">
        <f>IFERROR(__xludf.DUMMYFUNCTION("""COMPUTED_VALUE"""),"C#")</f>
        <v>C#</v>
      </c>
      <c r="D2611" s="9" t="str">
        <f>IFERROR(__xludf.DUMMYFUNCTION("""COMPUTED_VALUE"""),"Java")</f>
        <v>Java</v>
      </c>
      <c r="E2611" s="9" t="str">
        <f>IFERROR(__xludf.DUMMYFUNCTION("""COMPUTED_VALUE"""),"Java")</f>
        <v>Java</v>
      </c>
      <c r="F2611" s="9" t="str">
        <f>IFERROR(__xludf.DUMMYFUNCTION("""COMPUTED_VALUE"""),"Python")</f>
        <v>Python</v>
      </c>
      <c r="G2611" s="9" t="str">
        <f>IFERROR(__xludf.DUMMYFUNCTION("""COMPUTED_VALUE"""),"HTML/CSS")</f>
        <v>HTML/CSS</v>
      </c>
      <c r="H2611" s="9" t="str">
        <f>IFERROR(__xludf.DUMMYFUNCTION("""COMPUTED_VALUE"""),"C#")</f>
        <v>C#</v>
      </c>
      <c r="I2611" s="9" t="str">
        <f>IFERROR(__xludf.DUMMYFUNCTION("""COMPUTED_VALUE"""),"Clojure")</f>
        <v>Clojure</v>
      </c>
      <c r="J2611" s="9" t="str">
        <f>IFERROR(__xludf.DUMMYFUNCTION("""COMPUTED_VALUE"""),"HTML/CSS")</f>
        <v>HTML/CSS</v>
      </c>
      <c r="K2611" s="9" t="str">
        <f>IFERROR(__xludf.DUMMYFUNCTION("""COMPUTED_VALUE"""),"Bash/Shell/PowerShell")</f>
        <v>Bash/Shell/PowerShell</v>
      </c>
      <c r="L2611" s="9" t="str">
        <f>IFERROR(__xludf.DUMMYFUNCTION("""COMPUTED_VALUE"""),"Python")</f>
        <v>Python</v>
      </c>
      <c r="M2611" s="9" t="s">
        <v>26</v>
      </c>
    </row>
    <row r="2612" ht="15.75" customHeight="1">
      <c r="A2612" s="7"/>
      <c r="B2612" s="7" t="str">
        <f>IFERROR(__xludf.DUMMYFUNCTION("""COMPUTED_VALUE"""),"Bash/Shell/PowerShell;HTML/CSS;Java;JavaScript;TypeScript")</f>
        <v>Bash/Shell/PowerShell;HTML/CSS;Java;JavaScript;TypeScript</v>
      </c>
      <c r="C2612" s="9" t="str">
        <f>IFERROR(__xludf.DUMMYFUNCTION("""COMPUTED_VALUE"""),"HTML/CSS")</f>
        <v>HTML/CSS</v>
      </c>
      <c r="D2612" s="9" t="str">
        <f>IFERROR(__xludf.DUMMYFUNCTION("""COMPUTED_VALUE"""),"Ruby")</f>
        <v>Ruby</v>
      </c>
      <c r="E2612" s="9" t="str">
        <f>IFERROR(__xludf.DUMMYFUNCTION("""COMPUTED_VALUE"""),"Objective-C")</f>
        <v>Objective-C</v>
      </c>
      <c r="F2612" s="9" t="str">
        <f>IFERROR(__xludf.DUMMYFUNCTION("""COMPUTED_VALUE"""),"SQL")</f>
        <v>SQL</v>
      </c>
      <c r="G2612" s="9" t="str">
        <f>IFERROR(__xludf.DUMMYFUNCTION("""COMPUTED_VALUE"""),"JavaScript")</f>
        <v>JavaScript</v>
      </c>
      <c r="H2612" s="9" t="str">
        <f>IFERROR(__xludf.DUMMYFUNCTION("""COMPUTED_VALUE"""),"HTML/CSS")</f>
        <v>HTML/CSS</v>
      </c>
      <c r="I2612" s="9" t="str">
        <f>IFERROR(__xludf.DUMMYFUNCTION("""COMPUTED_VALUE"""),"JavaScript")</f>
        <v>JavaScript</v>
      </c>
      <c r="J2612" s="9" t="str">
        <f>IFERROR(__xludf.DUMMYFUNCTION("""COMPUTED_VALUE"""),"JavaScript")</f>
        <v>JavaScript</v>
      </c>
      <c r="K2612" s="9" t="str">
        <f>IFERROR(__xludf.DUMMYFUNCTION("""COMPUTED_VALUE"""),"Go")</f>
        <v>Go</v>
      </c>
      <c r="L2612" s="9" t="str">
        <f>IFERROR(__xludf.DUMMYFUNCTION("""COMPUTED_VALUE"""),"SQL")</f>
        <v>SQL</v>
      </c>
      <c r="M2612" s="9" t="s">
        <v>24</v>
      </c>
    </row>
    <row r="2613" ht="15.75" customHeight="1">
      <c r="A2613" s="7"/>
      <c r="B2613" s="7" t="str">
        <f>IFERROR(__xludf.DUMMYFUNCTION("""COMPUTED_VALUE"""),"HTML/CSS;Java;Kotlin;SQL;VBA")</f>
        <v>HTML/CSS;Java;Kotlin;SQL;VBA</v>
      </c>
      <c r="C2613" s="9" t="str">
        <f>IFERROR(__xludf.DUMMYFUNCTION("""COMPUTED_VALUE"""),"Java")</f>
        <v>Java</v>
      </c>
      <c r="D2613" s="9" t="str">
        <f>IFERROR(__xludf.DUMMYFUNCTION("""COMPUTED_VALUE"""),"C#")</f>
        <v>C#</v>
      </c>
      <c r="E2613" s="9" t="str">
        <f>IFERROR(__xludf.DUMMYFUNCTION("""COMPUTED_VALUE"""),"Python")</f>
        <v>Python</v>
      </c>
      <c r="F2613" s="9" t="str">
        <f>IFERROR(__xludf.DUMMYFUNCTION("""COMPUTED_VALUE"""),"Bash/Shell/PowerShell")</f>
        <v>Bash/Shell/PowerShell</v>
      </c>
      <c r="G2613" s="9" t="str">
        <f>IFERROR(__xludf.DUMMYFUNCTION("""COMPUTED_VALUE"""),"PHP")</f>
        <v>PHP</v>
      </c>
      <c r="H2613" s="9" t="str">
        <f>IFERROR(__xludf.DUMMYFUNCTION("""COMPUTED_VALUE"""),"JavaScript")</f>
        <v>JavaScript</v>
      </c>
      <c r="I2613" s="9" t="str">
        <f>IFERROR(__xludf.DUMMYFUNCTION("""COMPUTED_VALUE"""),"C")</f>
        <v>C</v>
      </c>
      <c r="J2613" s="9" t="str">
        <f>IFERROR(__xludf.DUMMYFUNCTION("""COMPUTED_VALUE"""),"PHP")</f>
        <v>PHP</v>
      </c>
      <c r="K2613" s="9" t="str">
        <f>IFERROR(__xludf.DUMMYFUNCTION("""COMPUTED_VALUE"""),"HTML/CSS")</f>
        <v>HTML/CSS</v>
      </c>
      <c r="L2613" s="9" t="str">
        <f>IFERROR(__xludf.DUMMYFUNCTION("""COMPUTED_VALUE"""),"TypeScript")</f>
        <v>TypeScript</v>
      </c>
      <c r="M2613" s="9" t="s">
        <v>20</v>
      </c>
    </row>
    <row r="2614" ht="15.75" customHeight="1">
      <c r="A2614" s="7"/>
      <c r="B2614" s="7" t="str">
        <f>IFERROR(__xludf.DUMMYFUNCTION("""COMPUTED_VALUE"""),"Bash/Shell/PowerShell;Python;R;SQL;VBA")</f>
        <v>Bash/Shell/PowerShell;Python;R;SQL;VBA</v>
      </c>
      <c r="C2614" s="9" t="str">
        <f>IFERROR(__xludf.DUMMYFUNCTION("""COMPUTED_VALUE"""),"JavaScript")</f>
        <v>JavaScript</v>
      </c>
      <c r="D2614" s="9" t="str">
        <f>IFERROR(__xludf.DUMMYFUNCTION("""COMPUTED_VALUE"""),"Go")</f>
        <v>Go</v>
      </c>
      <c r="E2614" s="9" t="str">
        <f>IFERROR(__xludf.DUMMYFUNCTION("""COMPUTED_VALUE"""),"Swift")</f>
        <v>Swift</v>
      </c>
      <c r="F2614" s="9" t="str">
        <f>IFERROR(__xludf.DUMMYFUNCTION("""COMPUTED_VALUE"""),"C")</f>
        <v>C</v>
      </c>
      <c r="G2614" s="9" t="str">
        <f>IFERROR(__xludf.DUMMYFUNCTION("""COMPUTED_VALUE"""),"SQL")</f>
        <v>SQL</v>
      </c>
      <c r="H2614" s="9" t="str">
        <f>IFERROR(__xludf.DUMMYFUNCTION("""COMPUTED_VALUE"""),"SQL")</f>
        <v>SQL</v>
      </c>
      <c r="I2614" s="9" t="str">
        <f>IFERROR(__xludf.DUMMYFUNCTION("""COMPUTED_VALUE"""),"HTML/CSS")</f>
        <v>HTML/CSS</v>
      </c>
      <c r="J2614" s="9" t="str">
        <f>IFERROR(__xludf.DUMMYFUNCTION("""COMPUTED_VALUE"""),"Bash/Shell/PowerShell")</f>
        <v>Bash/Shell/PowerShell</v>
      </c>
      <c r="K2614" s="9" t="str">
        <f>IFERROR(__xludf.DUMMYFUNCTION("""COMPUTED_VALUE"""),"Java")</f>
        <v>Java</v>
      </c>
      <c r="L2614" s="9" t="str">
        <f>IFERROR(__xludf.DUMMYFUNCTION("""COMPUTED_VALUE"""),"Other(s):")</f>
        <v>Other(s):</v>
      </c>
      <c r="M2614" s="9" t="s">
        <v>21</v>
      </c>
    </row>
    <row r="2615" ht="15.75" customHeight="1">
      <c r="A2615" s="7"/>
      <c r="B2615" s="7" t="str">
        <f>IFERROR(__xludf.DUMMYFUNCTION("""COMPUTED_VALUE"""),"Bash/Shell/PowerShell;C#;Elixir;Erlang")</f>
        <v>Bash/Shell/PowerShell;C#;Elixir;Erlang</v>
      </c>
      <c r="C2615" s="9" t="str">
        <f>IFERROR(__xludf.DUMMYFUNCTION("""COMPUTED_VALUE"""),"Python")</f>
        <v>Python</v>
      </c>
      <c r="D2615" s="9" t="str">
        <f>IFERROR(__xludf.DUMMYFUNCTION("""COMPUTED_VALUE"""),"HTML/CSS")</f>
        <v>HTML/CSS</v>
      </c>
      <c r="E2615" s="9" t="str">
        <f>IFERROR(__xludf.DUMMYFUNCTION("""COMPUTED_VALUE"""),"HTML/CSS")</f>
        <v>HTML/CSS</v>
      </c>
      <c r="F2615" s="9" t="str">
        <f>IFERROR(__xludf.DUMMYFUNCTION("""COMPUTED_VALUE"""),"C++")</f>
        <v>C++</v>
      </c>
      <c r="G2615" s="9" t="str">
        <f>IFERROR(__xludf.DUMMYFUNCTION("""COMPUTED_VALUE"""),"TypeScript")</f>
        <v>TypeScript</v>
      </c>
      <c r="H2615" s="9" t="str">
        <f>IFERROR(__xludf.DUMMYFUNCTION("""COMPUTED_VALUE"""),"C++")</f>
        <v>C++</v>
      </c>
      <c r="I2615" s="9" t="str">
        <f>IFERROR(__xludf.DUMMYFUNCTION("""COMPUTED_VALUE"""),"Java")</f>
        <v>Java</v>
      </c>
      <c r="J2615" s="9" t="str">
        <f>IFERROR(__xludf.DUMMYFUNCTION("""COMPUTED_VALUE"""),"C")</f>
        <v>C</v>
      </c>
      <c r="K2615" s="9" t="str">
        <f>IFERROR(__xludf.DUMMYFUNCTION("""COMPUTED_VALUE"""),"JavaScript")</f>
        <v>JavaScript</v>
      </c>
      <c r="L2615" s="9" t="str">
        <f>IFERROR(__xludf.DUMMYFUNCTION("""COMPUTED_VALUE"""),"Bash/Shell/PowerShell")</f>
        <v>Bash/Shell/PowerShell</v>
      </c>
      <c r="M2615" s="9" t="s">
        <v>22</v>
      </c>
    </row>
    <row r="2616" ht="15.75" customHeight="1">
      <c r="A2616" s="7"/>
      <c r="B2616" s="7" t="str">
        <f>IFERROR(__xludf.DUMMYFUNCTION("""COMPUTED_VALUE"""),"Bash/Shell/PowerShell;Dart;HTML/CSS;Java;JavaScript;Python;SQL;TypeScript")</f>
        <v>Bash/Shell/PowerShell;Dart;HTML/CSS;Java;JavaScript;Python;SQL;TypeScript</v>
      </c>
      <c r="C2616" s="9" t="str">
        <f>IFERROR(__xludf.DUMMYFUNCTION("""COMPUTED_VALUE"""),"R")</f>
        <v>R</v>
      </c>
      <c r="D2616" s="9" t="str">
        <f>IFERROR(__xludf.DUMMYFUNCTION("""COMPUTED_VALUE"""),"Java")</f>
        <v>Java</v>
      </c>
      <c r="E2616" s="9" t="str">
        <f>IFERROR(__xludf.DUMMYFUNCTION("""COMPUTED_VALUE"""),"Java")</f>
        <v>Java</v>
      </c>
      <c r="F2616" s="9" t="str">
        <f>IFERROR(__xludf.DUMMYFUNCTION("""COMPUTED_VALUE"""),"Java")</f>
        <v>Java</v>
      </c>
      <c r="G2616" s="9" t="str">
        <f>IFERROR(__xludf.DUMMYFUNCTION("""COMPUTED_VALUE"""),"Bash/Shell/PowerShell")</f>
        <v>Bash/Shell/PowerShell</v>
      </c>
      <c r="H2616" s="9" t="str">
        <f>IFERROR(__xludf.DUMMYFUNCTION("""COMPUTED_VALUE"""),"Java")</f>
        <v>Java</v>
      </c>
      <c r="I2616" s="9" t="str">
        <f>IFERROR(__xludf.DUMMYFUNCTION("""COMPUTED_VALUE"""),"Python")</f>
        <v>Python</v>
      </c>
      <c r="J2616" s="9" t="str">
        <f>IFERROR(__xludf.DUMMYFUNCTION("""COMPUTED_VALUE"""),"C++")</f>
        <v>C++</v>
      </c>
      <c r="K2616" s="9" t="str">
        <f>IFERROR(__xludf.DUMMYFUNCTION("""COMPUTED_VALUE"""),"PHP")</f>
        <v>PHP</v>
      </c>
      <c r="L2616" s="9" t="str">
        <f>IFERROR(__xludf.DUMMYFUNCTION("""COMPUTED_VALUE"""),"Python")</f>
        <v>Python</v>
      </c>
      <c r="M2616" s="9" t="s">
        <v>29</v>
      </c>
    </row>
    <row r="2617" ht="15.75" customHeight="1">
      <c r="A2617" s="7"/>
      <c r="B2617" s="7" t="str">
        <f>IFERROR(__xludf.DUMMYFUNCTION("""COMPUTED_VALUE"""),"HTML/CSS;JavaScript;SQL;TypeScript")</f>
        <v>HTML/CSS;JavaScript;SQL;TypeScript</v>
      </c>
      <c r="C2617" s="9" t="str">
        <f>IFERROR(__xludf.DUMMYFUNCTION("""COMPUTED_VALUE"""),"SQL")</f>
        <v>SQL</v>
      </c>
      <c r="D2617" s="9" t="str">
        <f>IFERROR(__xludf.DUMMYFUNCTION("""COMPUTED_VALUE"""),"Kotlin")</f>
        <v>Kotlin</v>
      </c>
      <c r="E2617" s="9" t="str">
        <f>IFERROR(__xludf.DUMMYFUNCTION("""COMPUTED_VALUE"""),"JavaScript")</f>
        <v>JavaScript</v>
      </c>
      <c r="F2617" s="9" t="str">
        <f>IFERROR(__xludf.DUMMYFUNCTION("""COMPUTED_VALUE"""),"Python")</f>
        <v>Python</v>
      </c>
      <c r="G2617" s="9" t="str">
        <f>IFERROR(__xludf.DUMMYFUNCTION("""COMPUTED_VALUE"""),"HTML/CSS")</f>
        <v>HTML/CSS</v>
      </c>
      <c r="H2617" s="9" t="str">
        <f>IFERROR(__xludf.DUMMYFUNCTION("""COMPUTED_VALUE"""),"Elixir")</f>
        <v>Elixir</v>
      </c>
      <c r="I2617" s="9" t="str">
        <f>IFERROR(__xludf.DUMMYFUNCTION("""COMPUTED_VALUE"""),"R")</f>
        <v>R</v>
      </c>
      <c r="J2617" s="9" t="str">
        <f>IFERROR(__xludf.DUMMYFUNCTION("""COMPUTED_VALUE"""),"Other(s):")</f>
        <v>Other(s):</v>
      </c>
      <c r="K2617" s="9" t="str">
        <f>IFERROR(__xludf.DUMMYFUNCTION("""COMPUTED_VALUE"""),"Python")</f>
        <v>Python</v>
      </c>
      <c r="L2617" s="9" t="str">
        <f>IFERROR(__xludf.DUMMYFUNCTION("""COMPUTED_VALUE"""),"Assembly")</f>
        <v>Assembly</v>
      </c>
      <c r="M2617" s="9" t="s">
        <v>27</v>
      </c>
    </row>
    <row r="2618" ht="15.75" customHeight="1">
      <c r="A2618" s="7"/>
      <c r="B2618" s="7" t="str">
        <f>IFERROR(__xludf.DUMMYFUNCTION("""COMPUTED_VALUE"""),"HTML/CSS;JavaScript;PHP")</f>
        <v>HTML/CSS;JavaScript;PHP</v>
      </c>
      <c r="C2618" s="9" t="str">
        <f>IFERROR(__xludf.DUMMYFUNCTION("""COMPUTED_VALUE"""),"C")</f>
        <v>C</v>
      </c>
      <c r="D2618" s="9" t="str">
        <f>IFERROR(__xludf.DUMMYFUNCTION("""COMPUTED_VALUE"""),"PHP")</f>
        <v>PHP</v>
      </c>
      <c r="E2618" s="9" t="str">
        <f>IFERROR(__xludf.DUMMYFUNCTION("""COMPUTED_VALUE"""),"Objective-C")</f>
        <v>Objective-C</v>
      </c>
      <c r="F2618" s="9" t="str">
        <f>IFERROR(__xludf.DUMMYFUNCTION("""COMPUTED_VALUE"""),"SQL")</f>
        <v>SQL</v>
      </c>
      <c r="G2618" s="9" t="str">
        <f>IFERROR(__xludf.DUMMYFUNCTION("""COMPUTED_VALUE"""),"JavaScript")</f>
        <v>JavaScript</v>
      </c>
      <c r="H2618" s="9" t="str">
        <f>IFERROR(__xludf.DUMMYFUNCTION("""COMPUTED_VALUE"""),"HTML/CSS")</f>
        <v>HTML/CSS</v>
      </c>
      <c r="I2618" s="9" t="str">
        <f>IFERROR(__xludf.DUMMYFUNCTION("""COMPUTED_VALUE"""),"SQL")</f>
        <v>SQL</v>
      </c>
      <c r="J2618" s="9" t="str">
        <f>IFERROR(__xludf.DUMMYFUNCTION("""COMPUTED_VALUE"""),"C")</f>
        <v>C</v>
      </c>
      <c r="K2618" s="9" t="str">
        <f>IFERROR(__xludf.DUMMYFUNCTION("""COMPUTED_VALUE"""),"SQL")</f>
        <v>SQL</v>
      </c>
      <c r="L2618" s="9" t="str">
        <f>IFERROR(__xludf.DUMMYFUNCTION("""COMPUTED_VALUE"""),"C++")</f>
        <v>C++</v>
      </c>
      <c r="M2618" s="9" t="s">
        <v>25</v>
      </c>
    </row>
    <row r="2619" ht="15.75" customHeight="1">
      <c r="A2619" s="7"/>
      <c r="B2619" s="7" t="str">
        <f>IFERROR(__xludf.DUMMYFUNCTION("""COMPUTED_VALUE"""),"C++;HTML/CSS;Java;Python")</f>
        <v>C++;HTML/CSS;Java;Python</v>
      </c>
      <c r="C2619" s="9" t="str">
        <f>IFERROR(__xludf.DUMMYFUNCTION("""COMPUTED_VALUE"""),"C#")</f>
        <v>C#</v>
      </c>
      <c r="D2619" s="9" t="str">
        <f>IFERROR(__xludf.DUMMYFUNCTION("""COMPUTED_VALUE"""),"Python")</f>
        <v>Python</v>
      </c>
      <c r="E2619" s="9" t="str">
        <f>IFERROR(__xludf.DUMMYFUNCTION("""COMPUTED_VALUE"""),"Python")</f>
        <v>Python</v>
      </c>
      <c r="F2619" s="9" t="str">
        <f>IFERROR(__xludf.DUMMYFUNCTION("""COMPUTED_VALUE"""),"Bash/Shell/PowerShell")</f>
        <v>Bash/Shell/PowerShell</v>
      </c>
      <c r="G2619" s="9" t="str">
        <f>IFERROR(__xludf.DUMMYFUNCTION("""COMPUTED_VALUE"""),"Python")</f>
        <v>Python</v>
      </c>
      <c r="H2619" s="9" t="str">
        <f>IFERROR(__xludf.DUMMYFUNCTION("""COMPUTED_VALUE"""),"JavaScript")</f>
        <v>JavaScript</v>
      </c>
      <c r="I2619" s="9" t="str">
        <f>IFERROR(__xludf.DUMMYFUNCTION("""COMPUTED_VALUE"""),"Java")</f>
        <v>Java</v>
      </c>
      <c r="J2619" s="9" t="str">
        <f>IFERROR(__xludf.DUMMYFUNCTION("""COMPUTED_VALUE"""),"C#")</f>
        <v>C#</v>
      </c>
      <c r="K2619" s="9" t="str">
        <f>IFERROR(__xludf.DUMMYFUNCTION("""COMPUTED_VALUE"""),"Assembly")</f>
        <v>Assembly</v>
      </c>
      <c r="L2619" s="9" t="str">
        <f>IFERROR(__xludf.DUMMYFUNCTION("""COMPUTED_VALUE"""),"HTML/CSS")</f>
        <v>HTML/CSS</v>
      </c>
      <c r="M2619" s="9" t="s">
        <v>26</v>
      </c>
    </row>
    <row r="2620" ht="15.75" customHeight="1">
      <c r="A2620" s="7"/>
      <c r="B2620" s="7" t="str">
        <f>IFERROR(__xludf.DUMMYFUNCTION("""COMPUTED_VALUE"""),"Bash/Shell/PowerShell;HTML/CSS;JavaScript;Ruby;SQL")</f>
        <v>Bash/Shell/PowerShell;HTML/CSS;JavaScript;Ruby;SQL</v>
      </c>
      <c r="C2620" s="9" t="str">
        <f>IFERROR(__xludf.DUMMYFUNCTION("""COMPUTED_VALUE"""),"HTML/CSS")</f>
        <v>HTML/CSS</v>
      </c>
      <c r="D2620" s="9" t="str">
        <f>IFERROR(__xludf.DUMMYFUNCTION("""COMPUTED_VALUE"""),"Rust")</f>
        <v>Rust</v>
      </c>
      <c r="E2620" s="9" t="str">
        <f>IFERROR(__xludf.DUMMYFUNCTION("""COMPUTED_VALUE"""),"TypeScript")</f>
        <v>TypeScript</v>
      </c>
      <c r="F2620" s="9" t="str">
        <f>IFERROR(__xludf.DUMMYFUNCTION("""COMPUTED_VALUE"""),"HTML/CSS")</f>
        <v>HTML/CSS</v>
      </c>
      <c r="G2620" s="9" t="str">
        <f>IFERROR(__xludf.DUMMYFUNCTION("""COMPUTED_VALUE"""),"SQL")</f>
        <v>SQL</v>
      </c>
      <c r="H2620" s="9" t="str">
        <f>IFERROR(__xludf.DUMMYFUNCTION("""COMPUTED_VALUE"""),"PHP")</f>
        <v>PHP</v>
      </c>
      <c r="I2620" s="9" t="str">
        <f>IFERROR(__xludf.DUMMYFUNCTION("""COMPUTED_VALUE"""),"SQL")</f>
        <v>SQL</v>
      </c>
      <c r="J2620" s="9" t="str">
        <f>IFERROR(__xludf.DUMMYFUNCTION("""COMPUTED_VALUE"""),"Dart")</f>
        <v>Dart</v>
      </c>
      <c r="K2620" s="9" t="str">
        <f>IFERROR(__xludf.DUMMYFUNCTION("""COMPUTED_VALUE"""),"C")</f>
        <v>C</v>
      </c>
      <c r="L2620" s="9" t="str">
        <f>IFERROR(__xludf.DUMMYFUNCTION("""COMPUTED_VALUE"""),"JavaScript")</f>
        <v>JavaScript</v>
      </c>
      <c r="M2620" s="9" t="s">
        <v>24</v>
      </c>
    </row>
    <row r="2621" ht="15.75" customHeight="1">
      <c r="A2621" s="7"/>
      <c r="B2621" s="7" t="str">
        <f>IFERROR(__xludf.DUMMYFUNCTION("""COMPUTED_VALUE"""),"Bash/Shell/PowerShell;Ruby;SQL")</f>
        <v>Bash/Shell/PowerShell;Ruby;SQL</v>
      </c>
      <c r="C2621" s="9" t="str">
        <f>IFERROR(__xludf.DUMMYFUNCTION("""COMPUTED_VALUE"""),"Java")</f>
        <v>Java</v>
      </c>
      <c r="D2621" s="9" t="str">
        <f>IFERROR(__xludf.DUMMYFUNCTION("""COMPUTED_VALUE"""),"Scala")</f>
        <v>Scala</v>
      </c>
      <c r="E2621" s="9" t="str">
        <f>IFERROR(__xludf.DUMMYFUNCTION("""COMPUTED_VALUE"""),"C++")</f>
        <v>C++</v>
      </c>
      <c r="F2621" s="9" t="str">
        <f>IFERROR(__xludf.DUMMYFUNCTION("""COMPUTED_VALUE"""),"JavaScript")</f>
        <v>JavaScript</v>
      </c>
      <c r="G2621" s="9" t="str">
        <f>IFERROR(__xludf.DUMMYFUNCTION("""COMPUTED_VALUE"""),"TypeScript")</f>
        <v>TypeScript</v>
      </c>
      <c r="H2621" s="9" t="str">
        <f>IFERROR(__xludf.DUMMYFUNCTION("""COMPUTED_VALUE"""),"Python")</f>
        <v>Python</v>
      </c>
      <c r="I2621" s="9" t="str">
        <f>IFERROR(__xludf.DUMMYFUNCTION("""COMPUTED_VALUE"""),"Bash/Shell/PowerShell")</f>
        <v>Bash/Shell/PowerShell</v>
      </c>
      <c r="J2621" s="9" t="str">
        <f>IFERROR(__xludf.DUMMYFUNCTION("""COMPUTED_VALUE"""),"HTML/CSS")</f>
        <v>HTML/CSS</v>
      </c>
      <c r="K2621" s="9" t="str">
        <f>IFERROR(__xludf.DUMMYFUNCTION("""COMPUTED_VALUE"""),"C++")</f>
        <v>C++</v>
      </c>
      <c r="L2621" s="9" t="str">
        <f>IFERROR(__xludf.DUMMYFUNCTION("""COMPUTED_VALUE"""),"PHP")</f>
        <v>PHP</v>
      </c>
      <c r="M2621" s="9" t="s">
        <v>20</v>
      </c>
    </row>
    <row r="2622" ht="15.75" customHeight="1">
      <c r="A2622" s="7"/>
      <c r="B2622" s="7" t="str">
        <f>IFERROR(__xludf.DUMMYFUNCTION("""COMPUTED_VALUE"""),"Go;HTML/CSS;JavaScript;Python;Ruby;SQL")</f>
        <v>Go;HTML/CSS;JavaScript;Python;Ruby;SQL</v>
      </c>
      <c r="C2622" s="9" t="str">
        <f>IFERROR(__xludf.DUMMYFUNCTION("""COMPUTED_VALUE"""),"JavaScript")</f>
        <v>JavaScript</v>
      </c>
      <c r="D2622" s="9" t="str">
        <f>IFERROR(__xludf.DUMMYFUNCTION("""COMPUTED_VALUE"""),"SQL")</f>
        <v>SQL</v>
      </c>
      <c r="E2622" s="9" t="str">
        <f>IFERROR(__xludf.DUMMYFUNCTION("""COMPUTED_VALUE"""),"HTML/CSS")</f>
        <v>HTML/CSS</v>
      </c>
      <c r="F2622" s="9" t="str">
        <f>IFERROR(__xludf.DUMMYFUNCTION("""COMPUTED_VALUE"""),"Python")</f>
        <v>Python</v>
      </c>
      <c r="G2622" s="9" t="str">
        <f>IFERROR(__xludf.DUMMYFUNCTION("""COMPUTED_VALUE"""),"HTML/CSS")</f>
        <v>HTML/CSS</v>
      </c>
      <c r="H2622" s="9" t="str">
        <f>IFERROR(__xludf.DUMMYFUNCTION("""COMPUTED_VALUE"""),"Ruby")</f>
        <v>Ruby</v>
      </c>
      <c r="I2622" s="9" t="str">
        <f>IFERROR(__xludf.DUMMYFUNCTION("""COMPUTED_VALUE"""),"HTML/CSS")</f>
        <v>HTML/CSS</v>
      </c>
      <c r="J2622" s="9" t="str">
        <f>IFERROR(__xludf.DUMMYFUNCTION("""COMPUTED_VALUE"""),"Java")</f>
        <v>Java</v>
      </c>
      <c r="K2622" s="9" t="str">
        <f>IFERROR(__xludf.DUMMYFUNCTION("""COMPUTED_VALUE"""),"HTML/CSS")</f>
        <v>HTML/CSS</v>
      </c>
      <c r="L2622" s="9" t="str">
        <f>IFERROR(__xludf.DUMMYFUNCTION("""COMPUTED_VALUE"""),"SQL")</f>
        <v>SQL</v>
      </c>
      <c r="M2622" s="9" t="s">
        <v>21</v>
      </c>
    </row>
    <row r="2623" ht="15.75" customHeight="1">
      <c r="A2623" s="7"/>
      <c r="B2623" s="7" t="str">
        <f>IFERROR(__xludf.DUMMYFUNCTION("""COMPUTED_VALUE"""),"C#;F#;Java;SQL")</f>
        <v>C#;F#;Java;SQL</v>
      </c>
      <c r="C2623" s="9" t="str">
        <f>IFERROR(__xludf.DUMMYFUNCTION("""COMPUTED_VALUE"""),"Kotlin")</f>
        <v>Kotlin</v>
      </c>
      <c r="D2623" s="9" t="str">
        <f>IFERROR(__xludf.DUMMYFUNCTION("""COMPUTED_VALUE"""),"Swift")</f>
        <v>Swift</v>
      </c>
      <c r="E2623" s="9" t="str">
        <f>IFERROR(__xludf.DUMMYFUNCTION("""COMPUTED_VALUE"""),"JavaScript")</f>
        <v>JavaScript</v>
      </c>
      <c r="F2623" s="9" t="str">
        <f>IFERROR(__xludf.DUMMYFUNCTION("""COMPUTED_VALUE"""),"Bash/Shell/PowerShell")</f>
        <v>Bash/Shell/PowerShell</v>
      </c>
      <c r="G2623" s="9" t="str">
        <f>IFERROR(__xludf.DUMMYFUNCTION("""COMPUTED_VALUE"""),"Java")</f>
        <v>Java</v>
      </c>
      <c r="H2623" s="9" t="str">
        <f>IFERROR(__xludf.DUMMYFUNCTION("""COMPUTED_VALUE"""),"SQL")</f>
        <v>SQL</v>
      </c>
      <c r="I2623" s="9" t="str">
        <f>IFERROR(__xludf.DUMMYFUNCTION("""COMPUTED_VALUE"""),"Java")</f>
        <v>Java</v>
      </c>
      <c r="J2623" s="9" t="str">
        <f>IFERROR(__xludf.DUMMYFUNCTION("""COMPUTED_VALUE"""),"HTML/CSS")</f>
        <v>HTML/CSS</v>
      </c>
      <c r="K2623" s="9" t="str">
        <f>IFERROR(__xludf.DUMMYFUNCTION("""COMPUTED_VALUE"""),"Java")</f>
        <v>Java</v>
      </c>
      <c r="L2623" s="9" t="str">
        <f>IFERROR(__xludf.DUMMYFUNCTION("""COMPUTED_VALUE"""),"C#")</f>
        <v>C#</v>
      </c>
      <c r="M2623" s="9" t="s">
        <v>39</v>
      </c>
    </row>
    <row r="2624" ht="15.75" customHeight="1">
      <c r="A2624" s="7"/>
      <c r="B2624" s="7" t="str">
        <f>IFERROR(__xludf.DUMMYFUNCTION("""COMPUTED_VALUE"""),"Bash/Shell/PowerShell;HTML/CSS;JavaScript;PHP;Python;Scala")</f>
        <v>Bash/Shell/PowerShell;HTML/CSS;JavaScript;PHP;Python;Scala</v>
      </c>
      <c r="C2624" s="9" t="str">
        <f>IFERROR(__xludf.DUMMYFUNCTION("""COMPUTED_VALUE"""),"PHP")</f>
        <v>PHP</v>
      </c>
      <c r="D2624" s="9" t="str">
        <f>IFERROR(__xludf.DUMMYFUNCTION("""COMPUTED_VALUE"""),"TypeScript")</f>
        <v>TypeScript</v>
      </c>
      <c r="E2624" s="9" t="str">
        <f>IFERROR(__xludf.DUMMYFUNCTION("""COMPUTED_VALUE"""),"PHP")</f>
        <v>PHP</v>
      </c>
      <c r="F2624" s="9" t="str">
        <f>IFERROR(__xludf.DUMMYFUNCTION("""COMPUTED_VALUE"""),"C")</f>
        <v>C</v>
      </c>
      <c r="G2624" s="9" t="str">
        <f>IFERROR(__xludf.DUMMYFUNCTION("""COMPUTED_VALUE"""),"JavaScript")</f>
        <v>JavaScript</v>
      </c>
      <c r="H2624" s="9" t="str">
        <f>IFERROR(__xludf.DUMMYFUNCTION("""COMPUTED_VALUE"""),"C")</f>
        <v>C</v>
      </c>
      <c r="I2624" s="9" t="str">
        <f>IFERROR(__xludf.DUMMYFUNCTION("""COMPUTED_VALUE"""),"JavaScript")</f>
        <v>JavaScript</v>
      </c>
      <c r="J2624" s="9" t="str">
        <f>IFERROR(__xludf.DUMMYFUNCTION("""COMPUTED_VALUE"""),"Java")</f>
        <v>Java</v>
      </c>
      <c r="K2624" s="9" t="str">
        <f>IFERROR(__xludf.DUMMYFUNCTION("""COMPUTED_VALUE"""),"JavaScript")</f>
        <v>JavaScript</v>
      </c>
      <c r="L2624" s="9" t="str">
        <f>IFERROR(__xludf.DUMMYFUNCTION("""COMPUTED_VALUE"""),"HTML/CSS")</f>
        <v>HTML/CSS</v>
      </c>
      <c r="M2624" s="9" t="s">
        <v>37</v>
      </c>
    </row>
    <row r="2625" ht="15.75" customHeight="1">
      <c r="A2625" s="7"/>
      <c r="B2625" s="7" t="str">
        <f>IFERROR(__xludf.DUMMYFUNCTION("""COMPUTED_VALUE"""),"Bash/Shell/PowerShell;C;C++;HTML/CSS;Java;JavaScript;Python;SQL")</f>
        <v>Bash/Shell/PowerShell;C;C++;HTML/CSS;Java;JavaScript;Python;SQL</v>
      </c>
      <c r="C2625" s="9" t="str">
        <f>IFERROR(__xludf.DUMMYFUNCTION("""COMPUTED_VALUE"""),"TypeScript")</f>
        <v>TypeScript</v>
      </c>
      <c r="D2625" s="9" t="str">
        <f>IFERROR(__xludf.DUMMYFUNCTION("""COMPUTED_VALUE"""),"Bash/Shell/PowerShell")</f>
        <v>Bash/Shell/PowerShell</v>
      </c>
      <c r="E2625" s="9" t="str">
        <f>IFERROR(__xludf.DUMMYFUNCTION("""COMPUTED_VALUE"""),"SQL")</f>
        <v>SQL</v>
      </c>
      <c r="F2625" s="9" t="str">
        <f>IFERROR(__xludf.DUMMYFUNCTION("""COMPUTED_VALUE"""),"C++")</f>
        <v>C++</v>
      </c>
      <c r="G2625" s="9" t="str">
        <f>IFERROR(__xludf.DUMMYFUNCTION("""COMPUTED_VALUE"""),"PHP")</f>
        <v>PHP</v>
      </c>
      <c r="H2625" s="9" t="str">
        <f>IFERROR(__xludf.DUMMYFUNCTION("""COMPUTED_VALUE"""),"HTML/CSS")</f>
        <v>HTML/CSS</v>
      </c>
      <c r="I2625" s="9" t="str">
        <f>IFERROR(__xludf.DUMMYFUNCTION("""COMPUTED_VALUE"""),"PHP")</f>
        <v>PHP</v>
      </c>
      <c r="J2625" s="9" t="str">
        <f>IFERROR(__xludf.DUMMYFUNCTION("""COMPUTED_VALUE"""),"JavaScript")</f>
        <v>JavaScript</v>
      </c>
      <c r="K2625" s="9" t="str">
        <f>IFERROR(__xludf.DUMMYFUNCTION("""COMPUTED_VALUE"""),"SQL")</f>
        <v>SQL</v>
      </c>
      <c r="L2625" s="9" t="str">
        <f>IFERROR(__xludf.DUMMYFUNCTION("""COMPUTED_VALUE"""),"JavaScript")</f>
        <v>JavaScript</v>
      </c>
      <c r="M2625" s="9" t="s">
        <v>33</v>
      </c>
    </row>
    <row r="2626" ht="15.75" customHeight="1">
      <c r="A2626" s="7"/>
      <c r="B2626" s="7" t="str">
        <f>IFERROR(__xludf.DUMMYFUNCTION("""COMPUTED_VALUE"""),"Bash/Shell/PowerShell;Go;HTML/CSS;JavaScript;Python;SQL")</f>
        <v>Bash/Shell/PowerShell;Go;HTML/CSS;JavaScript;Python;SQL</v>
      </c>
      <c r="C2626" s="9" t="str">
        <f>IFERROR(__xludf.DUMMYFUNCTION("""COMPUTED_VALUE"""),"Assembly")</f>
        <v>Assembly</v>
      </c>
      <c r="D2626" s="9" t="str">
        <f>IFERROR(__xludf.DUMMYFUNCTION("""COMPUTED_VALUE"""),"HTML/CSS")</f>
        <v>HTML/CSS</v>
      </c>
      <c r="E2626" s="9" t="str">
        <f>IFERROR(__xludf.DUMMYFUNCTION("""COMPUTED_VALUE"""),"TypeScript")</f>
        <v>TypeScript</v>
      </c>
      <c r="F2626" s="9" t="str">
        <f>IFERROR(__xludf.DUMMYFUNCTION("""COMPUTED_VALUE"""),"C#")</f>
        <v>C#</v>
      </c>
      <c r="G2626" s="9" t="str">
        <f>IFERROR(__xludf.DUMMYFUNCTION("""COMPUTED_VALUE"""),"SQL")</f>
        <v>SQL</v>
      </c>
      <c r="H2626" s="9" t="str">
        <f>IFERROR(__xludf.DUMMYFUNCTION("""COMPUTED_VALUE"""),"Java")</f>
        <v>Java</v>
      </c>
      <c r="I2626" s="9" t="str">
        <f>IFERROR(__xludf.DUMMYFUNCTION("""COMPUTED_VALUE"""),"SQL")</f>
        <v>SQL</v>
      </c>
      <c r="J2626" s="9" t="str">
        <f>IFERROR(__xludf.DUMMYFUNCTION("""COMPUTED_VALUE"""),"Kotlin")</f>
        <v>Kotlin</v>
      </c>
      <c r="K2626" s="9" t="str">
        <f>IFERROR(__xludf.DUMMYFUNCTION("""COMPUTED_VALUE"""),"Bash/Shell/PowerShell")</f>
        <v>Bash/Shell/PowerShell</v>
      </c>
      <c r="L2626" s="9" t="str">
        <f>IFERROR(__xludf.DUMMYFUNCTION("""COMPUTED_VALUE"""),"SQL")</f>
        <v>SQL</v>
      </c>
      <c r="M2626" s="9" t="s">
        <v>38</v>
      </c>
    </row>
    <row r="2627" ht="15.75" customHeight="1">
      <c r="A2627" s="7"/>
      <c r="B2627" s="7" t="str">
        <f>IFERROR(__xludf.DUMMYFUNCTION("""COMPUTED_VALUE"""),"C;C#;Go;HTML/CSS;JavaScript;PHP;Python;SQL")</f>
        <v>C;C#;Go;HTML/CSS;JavaScript;PHP;Python;SQL</v>
      </c>
      <c r="C2627" s="9" t="str">
        <f>IFERROR(__xludf.DUMMYFUNCTION("""COMPUTED_VALUE"""),"Bash/Shell/PowerShell")</f>
        <v>Bash/Shell/PowerShell</v>
      </c>
      <c r="D2627" s="9" t="str">
        <f>IFERROR(__xludf.DUMMYFUNCTION("""COMPUTED_VALUE"""),"Ruby")</f>
        <v>Ruby</v>
      </c>
      <c r="E2627" s="9" t="str">
        <f>IFERROR(__xludf.DUMMYFUNCTION("""COMPUTED_VALUE"""),"Bash/Shell/PowerShell")</f>
        <v>Bash/Shell/PowerShell</v>
      </c>
      <c r="F2627" s="9" t="str">
        <f>IFERROR(__xludf.DUMMYFUNCTION("""COMPUTED_VALUE"""),"HTML/CSS")</f>
        <v>HTML/CSS</v>
      </c>
      <c r="G2627" s="9" t="str">
        <f>IFERROR(__xludf.DUMMYFUNCTION("""COMPUTED_VALUE"""),"VBA")</f>
        <v>VBA</v>
      </c>
      <c r="H2627" s="9" t="str">
        <f>IFERROR(__xludf.DUMMYFUNCTION("""COMPUTED_VALUE"""),"JavaScript")</f>
        <v>JavaScript</v>
      </c>
      <c r="I2627" s="9" t="str">
        <f>IFERROR(__xludf.DUMMYFUNCTION("""COMPUTED_VALUE"""),"Swift")</f>
        <v>Swift</v>
      </c>
      <c r="J2627" s="9" t="str">
        <f>IFERROR(__xludf.DUMMYFUNCTION("""COMPUTED_VALUE"""),"PHP")</f>
        <v>PHP</v>
      </c>
      <c r="K2627" s="9" t="str">
        <f>IFERROR(__xludf.DUMMYFUNCTION("""COMPUTED_VALUE"""),"HTML/CSS")</f>
        <v>HTML/CSS</v>
      </c>
      <c r="L2627" s="9" t="str">
        <f>IFERROR(__xludf.DUMMYFUNCTION("""COMPUTED_VALUE"""),"TypeScript")</f>
        <v>TypeScript</v>
      </c>
      <c r="M2627" s="9" t="s">
        <v>30</v>
      </c>
    </row>
    <row r="2628" ht="15.75" customHeight="1">
      <c r="A2628" s="7"/>
      <c r="B2628" s="7" t="str">
        <f>IFERROR(__xludf.DUMMYFUNCTION("""COMPUTED_VALUE"""),"HTML/CSS;JavaScript;Python;SQL")</f>
        <v>HTML/CSS;JavaScript;Python;SQL</v>
      </c>
      <c r="C2628" s="9" t="str">
        <f>IFERROR(__xludf.DUMMYFUNCTION("""COMPUTED_VALUE"""),"C")</f>
        <v>C</v>
      </c>
      <c r="D2628" s="9" t="str">
        <f>IFERROR(__xludf.DUMMYFUNCTION("""COMPUTED_VALUE"""),"SQL")</f>
        <v>SQL</v>
      </c>
      <c r="E2628" s="9" t="str">
        <f>IFERROR(__xludf.DUMMYFUNCTION("""COMPUTED_VALUE"""),"C++")</f>
        <v>C++</v>
      </c>
      <c r="F2628" s="9" t="str">
        <f>IFERROR(__xludf.DUMMYFUNCTION("""COMPUTED_VALUE"""),"Java")</f>
        <v>Java</v>
      </c>
      <c r="G2628" s="9" t="str">
        <f>IFERROR(__xludf.DUMMYFUNCTION("""COMPUTED_VALUE"""),"C")</f>
        <v>C</v>
      </c>
      <c r="H2628" s="9" t="str">
        <f>IFERROR(__xludf.DUMMYFUNCTION("""COMPUTED_VALUE"""),"Ruby")</f>
        <v>Ruby</v>
      </c>
      <c r="I2628" s="9" t="str">
        <f>IFERROR(__xludf.DUMMYFUNCTION("""COMPUTED_VALUE"""),"TypeScript")</f>
        <v>TypeScript</v>
      </c>
      <c r="J2628" s="9" t="str">
        <f>IFERROR(__xludf.DUMMYFUNCTION("""COMPUTED_VALUE"""),"SQL")</f>
        <v>SQL</v>
      </c>
      <c r="K2628" s="9" t="str">
        <f>IFERROR(__xludf.DUMMYFUNCTION("""COMPUTED_VALUE"""),"Java")</f>
        <v>Java</v>
      </c>
      <c r="L2628" s="9" t="str">
        <f>IFERROR(__xludf.DUMMYFUNCTION("""COMPUTED_VALUE"""),"Assembly")</f>
        <v>Assembly</v>
      </c>
      <c r="M2628" s="9" t="s">
        <v>25</v>
      </c>
    </row>
    <row r="2629" ht="15.75" customHeight="1">
      <c r="A2629" s="7"/>
      <c r="B2629" s="7" t="str">
        <f>IFERROR(__xludf.DUMMYFUNCTION("""COMPUTED_VALUE"""),"Bash/Shell/PowerShell;C#;Java;JavaScript;SQL")</f>
        <v>Bash/Shell/PowerShell;C#;Java;JavaScript;SQL</v>
      </c>
      <c r="C2629" s="9" t="str">
        <f>IFERROR(__xludf.DUMMYFUNCTION("""COMPUTED_VALUE"""),"C++")</f>
        <v>C++</v>
      </c>
      <c r="D2629" s="9" t="str">
        <f>IFERROR(__xludf.DUMMYFUNCTION("""COMPUTED_VALUE"""),"Assembly")</f>
        <v>Assembly</v>
      </c>
      <c r="E2629" s="9" t="str">
        <f>IFERROR(__xludf.DUMMYFUNCTION("""COMPUTED_VALUE"""),"C#")</f>
        <v>C#</v>
      </c>
      <c r="F2629" s="9" t="str">
        <f>IFERROR(__xludf.DUMMYFUNCTION("""COMPUTED_VALUE"""),"JavaScript")</f>
        <v>JavaScript</v>
      </c>
      <c r="G2629" s="9" t="str">
        <f>IFERROR(__xludf.DUMMYFUNCTION("""COMPUTED_VALUE"""),"C++")</f>
        <v>C++</v>
      </c>
      <c r="H2629" s="9" t="str">
        <f>IFERROR(__xludf.DUMMYFUNCTION("""COMPUTED_VALUE"""),"SQL")</f>
        <v>SQL</v>
      </c>
      <c r="I2629" s="9" t="str">
        <f>IFERROR(__xludf.DUMMYFUNCTION("""COMPUTED_VALUE"""),"Bash/Shell/PowerShell")</f>
        <v>Bash/Shell/PowerShell</v>
      </c>
      <c r="J2629" s="9" t="str">
        <f>IFERROR(__xludf.DUMMYFUNCTION("""COMPUTED_VALUE"""),"C#")</f>
        <v>C#</v>
      </c>
      <c r="K2629" s="9" t="str">
        <f>IFERROR(__xludf.DUMMYFUNCTION("""COMPUTED_VALUE"""),"JavaScript")</f>
        <v>JavaScript</v>
      </c>
      <c r="L2629" s="9" t="str">
        <f>IFERROR(__xludf.DUMMYFUNCTION("""COMPUTED_VALUE"""),"HTML/CSS")</f>
        <v>HTML/CSS</v>
      </c>
      <c r="M2629" s="9" t="s">
        <v>23</v>
      </c>
    </row>
    <row r="2630" ht="15.75" customHeight="1">
      <c r="A2630" s="7"/>
      <c r="B2630" s="7" t="str">
        <f>IFERROR(__xludf.DUMMYFUNCTION("""COMPUTED_VALUE"""),"C#;HTML/CSS;JavaScript;SQL;Other(s):")</f>
        <v>C#;HTML/CSS;JavaScript;SQL;Other(s):</v>
      </c>
      <c r="C2630" s="9" t="str">
        <f>IFERROR(__xludf.DUMMYFUNCTION("""COMPUTED_VALUE"""),"Go")</f>
        <v>Go</v>
      </c>
      <c r="D2630" s="9" t="str">
        <f>IFERROR(__xludf.DUMMYFUNCTION("""COMPUTED_VALUE"""),"C")</f>
        <v>C</v>
      </c>
      <c r="E2630" s="9" t="str">
        <f>IFERROR(__xludf.DUMMYFUNCTION("""COMPUTED_VALUE"""),"HTML/CSS")</f>
        <v>HTML/CSS</v>
      </c>
      <c r="F2630" s="9" t="str">
        <f>IFERROR(__xludf.DUMMYFUNCTION("""COMPUTED_VALUE"""),"PHP")</f>
        <v>PHP</v>
      </c>
      <c r="G2630" s="9" t="str">
        <f>IFERROR(__xludf.DUMMYFUNCTION("""COMPUTED_VALUE"""),"HTML/CSS")</f>
        <v>HTML/CSS</v>
      </c>
      <c r="H2630" s="9" t="str">
        <f>IFERROR(__xludf.DUMMYFUNCTION("""COMPUTED_VALUE"""),"Bash/Shell/PowerShell")</f>
        <v>Bash/Shell/PowerShell</v>
      </c>
      <c r="I2630" s="9" t="str">
        <f>IFERROR(__xludf.DUMMYFUNCTION("""COMPUTED_VALUE"""),"HTML/CSS")</f>
        <v>HTML/CSS</v>
      </c>
      <c r="J2630" s="9" t="str">
        <f>IFERROR(__xludf.DUMMYFUNCTION("""COMPUTED_VALUE"""),"HTML/CSS")</f>
        <v>HTML/CSS</v>
      </c>
      <c r="K2630" s="9" t="str">
        <f>IFERROR(__xludf.DUMMYFUNCTION("""COMPUTED_VALUE"""),"Kotlin")</f>
        <v>Kotlin</v>
      </c>
      <c r="L2630" s="9" t="str">
        <f>IFERROR(__xludf.DUMMYFUNCTION("""COMPUTED_VALUE"""),"Java")</f>
        <v>Java</v>
      </c>
      <c r="M2630" s="9" t="s">
        <v>36</v>
      </c>
    </row>
    <row r="2631" ht="15.75" customHeight="1">
      <c r="A2631" s="7"/>
      <c r="B2631" s="7" t="str">
        <f>IFERROR(__xludf.DUMMYFUNCTION("""COMPUTED_VALUE"""),"Bash/Shell/PowerShell;C;C++;HTML/CSS;JavaScript;Python;Rust;SQL")</f>
        <v>Bash/Shell/PowerShell;C;C++;HTML/CSS;JavaScript;Python;Rust;SQL</v>
      </c>
      <c r="C2631" s="9" t="str">
        <f>IFERROR(__xludf.DUMMYFUNCTION("""COMPUTED_VALUE"""),"HTML/CSS")</f>
        <v>HTML/CSS</v>
      </c>
      <c r="D2631" s="9" t="str">
        <f>IFERROR(__xludf.DUMMYFUNCTION("""COMPUTED_VALUE"""),"C#")</f>
        <v>C#</v>
      </c>
      <c r="E2631" s="9" t="str">
        <f>IFERROR(__xludf.DUMMYFUNCTION("""COMPUTED_VALUE"""),"Java")</f>
        <v>Java</v>
      </c>
      <c r="F2631" s="9" t="str">
        <f>IFERROR(__xludf.DUMMYFUNCTION("""COMPUTED_VALUE"""),"Python")</f>
        <v>Python</v>
      </c>
      <c r="G2631" s="9" t="str">
        <f>IFERROR(__xludf.DUMMYFUNCTION("""COMPUTED_VALUE"""),"JavaScript")</f>
        <v>JavaScript</v>
      </c>
      <c r="H2631" s="9" t="str">
        <f>IFERROR(__xludf.DUMMYFUNCTION("""COMPUTED_VALUE"""),"C")</f>
        <v>C</v>
      </c>
      <c r="I2631" s="9" t="str">
        <f>IFERROR(__xludf.DUMMYFUNCTION("""COMPUTED_VALUE"""),"Java")</f>
        <v>Java</v>
      </c>
      <c r="J2631" s="9" t="str">
        <f>IFERROR(__xludf.DUMMYFUNCTION("""COMPUTED_VALUE"""),"Java")</f>
        <v>Java</v>
      </c>
      <c r="K2631" s="9" t="str">
        <f>IFERROR(__xludf.DUMMYFUNCTION("""COMPUTED_VALUE"""),"PHP")</f>
        <v>PHP</v>
      </c>
      <c r="L2631" s="9" t="str">
        <f>IFERROR(__xludf.DUMMYFUNCTION("""COMPUTED_VALUE"""),"JavaScript")</f>
        <v>JavaScript</v>
      </c>
      <c r="M2631" s="9" t="s">
        <v>24</v>
      </c>
    </row>
    <row r="2632" ht="15.75" customHeight="1">
      <c r="A2632" s="7"/>
      <c r="B2632" s="7" t="str">
        <f>IFERROR(__xludf.DUMMYFUNCTION("""COMPUTED_VALUE"""),"C#;JavaScript;TypeScript")</f>
        <v>C#;JavaScript;TypeScript</v>
      </c>
      <c r="C2632" s="9" t="str">
        <f>IFERROR(__xludf.DUMMYFUNCTION("""COMPUTED_VALUE"""),"JavaScript")</f>
        <v>JavaScript</v>
      </c>
      <c r="D2632" s="9" t="str">
        <f>IFERROR(__xludf.DUMMYFUNCTION("""COMPUTED_VALUE"""),"HTML/CSS")</f>
        <v>HTML/CSS</v>
      </c>
      <c r="E2632" s="9" t="str">
        <f>IFERROR(__xludf.DUMMYFUNCTION("""COMPUTED_VALUE"""),"JavaScript")</f>
        <v>JavaScript</v>
      </c>
      <c r="F2632" s="9" t="str">
        <f>IFERROR(__xludf.DUMMYFUNCTION("""COMPUTED_VALUE"""),"Bash/Shell/PowerShell")</f>
        <v>Bash/Shell/PowerShell</v>
      </c>
      <c r="G2632" s="9" t="str">
        <f>IFERROR(__xludf.DUMMYFUNCTION("""COMPUTED_VALUE"""),"Python")</f>
        <v>Python</v>
      </c>
      <c r="H2632" s="9" t="str">
        <f>IFERROR(__xludf.DUMMYFUNCTION("""COMPUTED_VALUE"""),"C++")</f>
        <v>C++</v>
      </c>
      <c r="I2632" s="9" t="str">
        <f>IFERROR(__xludf.DUMMYFUNCTION("""COMPUTED_VALUE"""),"Kotlin")</f>
        <v>Kotlin</v>
      </c>
      <c r="J2632" s="9" t="str">
        <f>IFERROR(__xludf.DUMMYFUNCTION("""COMPUTED_VALUE"""),"JavaScript")</f>
        <v>JavaScript</v>
      </c>
      <c r="K2632" s="9" t="str">
        <f>IFERROR(__xludf.DUMMYFUNCTION("""COMPUTED_VALUE"""),"SQL")</f>
        <v>SQL</v>
      </c>
      <c r="L2632" s="9" t="str">
        <f>IFERROR(__xludf.DUMMYFUNCTION("""COMPUTED_VALUE"""),"PHP")</f>
        <v>PHP</v>
      </c>
      <c r="M2632" s="9" t="s">
        <v>21</v>
      </c>
    </row>
    <row r="2633" ht="15.75" customHeight="1">
      <c r="A2633" s="7"/>
      <c r="B2633" s="7" t="str">
        <f>IFERROR(__xludf.DUMMYFUNCTION("""COMPUTED_VALUE"""),"HTML/CSS;SQL")</f>
        <v>HTML/CSS;SQL</v>
      </c>
      <c r="C2633" s="9" t="str">
        <f>IFERROR(__xludf.DUMMYFUNCTION("""COMPUTED_VALUE"""),"Objective-C")</f>
        <v>Objective-C</v>
      </c>
      <c r="D2633" s="9" t="str">
        <f>IFERROR(__xludf.DUMMYFUNCTION("""COMPUTED_VALUE"""),"Java")</f>
        <v>Java</v>
      </c>
      <c r="E2633" s="9" t="str">
        <f>IFERROR(__xludf.DUMMYFUNCTION("""COMPUTED_VALUE"""),"PHP")</f>
        <v>PHP</v>
      </c>
      <c r="F2633" s="9" t="str">
        <f>IFERROR(__xludf.DUMMYFUNCTION("""COMPUTED_VALUE"""),"HTML/CSS")</f>
        <v>HTML/CSS</v>
      </c>
      <c r="G2633" s="9" t="str">
        <f>IFERROR(__xludf.DUMMYFUNCTION("""COMPUTED_VALUE"""),"R")</f>
        <v>R</v>
      </c>
      <c r="H2633" s="9" t="str">
        <f>IFERROR(__xludf.DUMMYFUNCTION("""COMPUTED_VALUE"""),"C#")</f>
        <v>C#</v>
      </c>
      <c r="I2633" s="9" t="str">
        <f>IFERROR(__xludf.DUMMYFUNCTION("""COMPUTED_VALUE"""),"Objective-C")</f>
        <v>Objective-C</v>
      </c>
      <c r="J2633" s="9" t="str">
        <f>IFERROR(__xludf.DUMMYFUNCTION("""COMPUTED_VALUE"""),"SQL")</f>
        <v>SQL</v>
      </c>
      <c r="K2633" s="9" t="str">
        <f>IFERROR(__xludf.DUMMYFUNCTION("""COMPUTED_VALUE"""),"TypeScript")</f>
        <v>TypeScript</v>
      </c>
      <c r="L2633" s="9" t="str">
        <f>IFERROR(__xludf.DUMMYFUNCTION("""COMPUTED_VALUE"""),"SQL")</f>
        <v>SQL</v>
      </c>
      <c r="M2633" s="9" t="s">
        <v>41</v>
      </c>
    </row>
    <row r="2634" ht="15.75" customHeight="1">
      <c r="A2634" s="7"/>
      <c r="B2634" s="7" t="str">
        <f>IFERROR(__xludf.DUMMYFUNCTION("""COMPUTED_VALUE"""),"C#;HTML/CSS;Java;JavaScript;PHP;SQL;VBA")</f>
        <v>C#;HTML/CSS;Java;JavaScript;PHP;SQL;VBA</v>
      </c>
      <c r="C2634" s="9" t="str">
        <f>IFERROR(__xludf.DUMMYFUNCTION("""COMPUTED_VALUE"""),"PHP")</f>
        <v>PHP</v>
      </c>
      <c r="D2634" s="9" t="str">
        <f>IFERROR(__xludf.DUMMYFUNCTION("""COMPUTED_VALUE"""),"JavaScript")</f>
        <v>JavaScript</v>
      </c>
      <c r="E2634" s="9" t="str">
        <f>IFERROR(__xludf.DUMMYFUNCTION("""COMPUTED_VALUE"""),"Python")</f>
        <v>Python</v>
      </c>
      <c r="F2634" s="9" t="str">
        <f>IFERROR(__xludf.DUMMYFUNCTION("""COMPUTED_VALUE"""),"JavaScript")</f>
        <v>JavaScript</v>
      </c>
      <c r="G2634" s="9" t="str">
        <f>IFERROR(__xludf.DUMMYFUNCTION("""COMPUTED_VALUE"""),"SQL")</f>
        <v>SQL</v>
      </c>
      <c r="H2634" s="9" t="str">
        <f>IFERROR(__xludf.DUMMYFUNCTION("""COMPUTED_VALUE"""),"HTML/CSS")</f>
        <v>HTML/CSS</v>
      </c>
      <c r="I2634" s="9" t="str">
        <f>IFERROR(__xludf.DUMMYFUNCTION("""COMPUTED_VALUE"""),"PHP")</f>
        <v>PHP</v>
      </c>
      <c r="J2634" s="9" t="str">
        <f>IFERROR(__xludf.DUMMYFUNCTION("""COMPUTED_VALUE"""),"VBA")</f>
        <v>VBA</v>
      </c>
      <c r="K2634" s="9" t="str">
        <f>IFERROR(__xludf.DUMMYFUNCTION("""COMPUTED_VALUE"""),"HTML/CSS")</f>
        <v>HTML/CSS</v>
      </c>
      <c r="L2634" s="9" t="str">
        <f>IFERROR(__xludf.DUMMYFUNCTION("""COMPUTED_VALUE"""),"TypeScript")</f>
        <v>TypeScript</v>
      </c>
      <c r="M2634" s="9" t="s">
        <v>37</v>
      </c>
    </row>
    <row r="2635" ht="15.75" customHeight="1">
      <c r="A2635" s="7"/>
      <c r="B2635" s="7" t="str">
        <f>IFERROR(__xludf.DUMMYFUNCTION("""COMPUTED_VALUE"""),"C#;JavaScript;TypeScript")</f>
        <v>C#;JavaScript;TypeScript</v>
      </c>
      <c r="C2635" s="9" t="str">
        <f>IFERROR(__xludf.DUMMYFUNCTION("""COMPUTED_VALUE"""),"Python")</f>
        <v>Python</v>
      </c>
      <c r="D2635" s="9" t="str">
        <f>IFERROR(__xludf.DUMMYFUNCTION("""COMPUTED_VALUE"""),"PHP")</f>
        <v>PHP</v>
      </c>
      <c r="E2635" s="9" t="str">
        <f>IFERROR(__xludf.DUMMYFUNCTION("""COMPUTED_VALUE"""),"Ruby")</f>
        <v>Ruby</v>
      </c>
      <c r="F2635" s="9" t="str">
        <f>IFERROR(__xludf.DUMMYFUNCTION("""COMPUTED_VALUE"""),"PHP")</f>
        <v>PHP</v>
      </c>
      <c r="G2635" s="9" t="str">
        <f>IFERROR(__xludf.DUMMYFUNCTION("""COMPUTED_VALUE"""),"Other(s):")</f>
        <v>Other(s):</v>
      </c>
      <c r="H2635" s="9" t="str">
        <f>IFERROR(__xludf.DUMMYFUNCTION("""COMPUTED_VALUE"""),"Java")</f>
        <v>Java</v>
      </c>
      <c r="I2635" s="9" t="str">
        <f>IFERROR(__xludf.DUMMYFUNCTION("""COMPUTED_VALUE"""),"Python")</f>
        <v>Python</v>
      </c>
      <c r="J2635" s="9" t="str">
        <f>IFERROR(__xludf.DUMMYFUNCTION("""COMPUTED_VALUE"""),"Bash/Shell/PowerShell")</f>
        <v>Bash/Shell/PowerShell</v>
      </c>
      <c r="K2635" s="9" t="str">
        <f>IFERROR(__xludf.DUMMYFUNCTION("""COMPUTED_VALUE"""),"Java")</f>
        <v>Java</v>
      </c>
      <c r="L2635" s="9" t="str">
        <f>IFERROR(__xludf.DUMMYFUNCTION("""COMPUTED_VALUE"""),"VBA")</f>
        <v>VBA</v>
      </c>
      <c r="M2635" s="9" t="s">
        <v>22</v>
      </c>
    </row>
    <row r="2636" ht="15.75" customHeight="1">
      <c r="A2636" s="7"/>
      <c r="B2636" s="7" t="str">
        <f>IFERROR(__xludf.DUMMYFUNCTION("""COMPUTED_VALUE"""),"C#;HTML/CSS;JavaScript;TypeScript")</f>
        <v>C#;HTML/CSS;JavaScript;TypeScript</v>
      </c>
      <c r="C2636" s="9" t="str">
        <f>IFERROR(__xludf.DUMMYFUNCTION("""COMPUTED_VALUE"""),"SQL")</f>
        <v>SQL</v>
      </c>
      <c r="D2636" s="9" t="str">
        <f>IFERROR(__xludf.DUMMYFUNCTION("""COMPUTED_VALUE"""),"Python")</f>
        <v>Python</v>
      </c>
      <c r="E2636" s="9" t="str">
        <f>IFERROR(__xludf.DUMMYFUNCTION("""COMPUTED_VALUE"""),"Bash/Shell/PowerShell")</f>
        <v>Bash/Shell/PowerShell</v>
      </c>
      <c r="F2636" s="9" t="str">
        <f>IFERROR(__xludf.DUMMYFUNCTION("""COMPUTED_VALUE"""),"Python")</f>
        <v>Python</v>
      </c>
      <c r="G2636" s="9" t="str">
        <f>IFERROR(__xludf.DUMMYFUNCTION("""COMPUTED_VALUE"""),"Bash/Shell/PowerShell")</f>
        <v>Bash/Shell/PowerShell</v>
      </c>
      <c r="H2636" s="9" t="str">
        <f>IFERROR(__xludf.DUMMYFUNCTION("""COMPUTED_VALUE"""),"Python")</f>
        <v>Python</v>
      </c>
      <c r="I2636" s="9" t="str">
        <f>IFERROR(__xludf.DUMMYFUNCTION("""COMPUTED_VALUE"""),"Ruby")</f>
        <v>Ruby</v>
      </c>
      <c r="J2636" s="9" t="str">
        <f>IFERROR(__xludf.DUMMYFUNCTION("""COMPUTED_VALUE"""),"HTML/CSS")</f>
        <v>HTML/CSS</v>
      </c>
      <c r="K2636" s="9" t="str">
        <f>IFERROR(__xludf.DUMMYFUNCTION("""COMPUTED_VALUE"""),"JavaScript")</f>
        <v>JavaScript</v>
      </c>
      <c r="L2636" s="9" t="str">
        <f>IFERROR(__xludf.DUMMYFUNCTION("""COMPUTED_VALUE"""),"Other(s):")</f>
        <v>Other(s):</v>
      </c>
      <c r="M2636" s="9" t="s">
        <v>27</v>
      </c>
    </row>
    <row r="2637" ht="15.75" customHeight="1">
      <c r="A2637" s="7"/>
      <c r="B2637" s="7" t="str">
        <f>IFERROR(__xludf.DUMMYFUNCTION("""COMPUTED_VALUE"""),"Go;HTML/CSS;JavaScript;TypeScript")</f>
        <v>Go;HTML/CSS;JavaScript;TypeScript</v>
      </c>
      <c r="C2637" s="9" t="str">
        <f>IFERROR(__xludf.DUMMYFUNCTION("""COMPUTED_VALUE"""),"Bash/Shell/PowerShell")</f>
        <v>Bash/Shell/PowerShell</v>
      </c>
      <c r="D2637" s="9" t="str">
        <f>IFERROR(__xludf.DUMMYFUNCTION("""COMPUTED_VALUE"""),"SQL")</f>
        <v>SQL</v>
      </c>
      <c r="E2637" s="9" t="str">
        <f>IFERROR(__xludf.DUMMYFUNCTION("""COMPUTED_VALUE"""),"C")</f>
        <v>C</v>
      </c>
      <c r="F2637" s="9" t="str">
        <f>IFERROR(__xludf.DUMMYFUNCTION("""COMPUTED_VALUE"""),"TypeScript")</f>
        <v>TypeScript</v>
      </c>
      <c r="G2637" s="9" t="str">
        <f>IFERROR(__xludf.DUMMYFUNCTION("""COMPUTED_VALUE"""),"HTML/CSS")</f>
        <v>HTML/CSS</v>
      </c>
      <c r="H2637" s="9" t="str">
        <f>IFERROR(__xludf.DUMMYFUNCTION("""COMPUTED_VALUE"""),"HTML/CSS")</f>
        <v>HTML/CSS</v>
      </c>
      <c r="I2637" s="9" t="str">
        <f>IFERROR(__xludf.DUMMYFUNCTION("""COMPUTED_VALUE"""),"Scala")</f>
        <v>Scala</v>
      </c>
      <c r="J2637" s="9" t="str">
        <f>IFERROR(__xludf.DUMMYFUNCTION("""COMPUTED_VALUE"""),"JavaScript")</f>
        <v>JavaScript</v>
      </c>
      <c r="K2637" s="9" t="str">
        <f>IFERROR(__xludf.DUMMYFUNCTION("""COMPUTED_VALUE"""),"Kotlin")</f>
        <v>Kotlin</v>
      </c>
      <c r="L2637" s="9" t="str">
        <f>IFERROR(__xludf.DUMMYFUNCTION("""COMPUTED_VALUE"""),"C#")</f>
        <v>C#</v>
      </c>
      <c r="M2637" s="9" t="s">
        <v>30</v>
      </c>
    </row>
    <row r="2638" ht="15.75" customHeight="1">
      <c r="A2638" s="7"/>
      <c r="B2638" s="7" t="str">
        <f>IFERROR(__xludf.DUMMYFUNCTION("""COMPUTED_VALUE"""),"C#;F#;SQL")</f>
        <v>C#;F#;SQL</v>
      </c>
      <c r="C2638" s="9" t="str">
        <f>IFERROR(__xludf.DUMMYFUNCTION("""COMPUTED_VALUE"""),"C++")</f>
        <v>C++</v>
      </c>
      <c r="D2638" s="9" t="str">
        <f>IFERROR(__xludf.DUMMYFUNCTION("""COMPUTED_VALUE"""),"VBA")</f>
        <v>VBA</v>
      </c>
      <c r="E2638" s="9" t="str">
        <f>IFERROR(__xludf.DUMMYFUNCTION("""COMPUTED_VALUE"""),"Kotlin")</f>
        <v>Kotlin</v>
      </c>
      <c r="F2638" s="9" t="str">
        <f>IFERROR(__xludf.DUMMYFUNCTION("""COMPUTED_VALUE"""),"Assembly")</f>
        <v>Assembly</v>
      </c>
      <c r="G2638" s="9" t="str">
        <f>IFERROR(__xludf.DUMMYFUNCTION("""COMPUTED_VALUE"""),"Java")</f>
        <v>Java</v>
      </c>
      <c r="H2638" s="9" t="str">
        <f>IFERROR(__xludf.DUMMYFUNCTION("""COMPUTED_VALUE"""),"Java")</f>
        <v>Java</v>
      </c>
      <c r="I2638" s="9" t="str">
        <f>IFERROR(__xludf.DUMMYFUNCTION("""COMPUTED_VALUE"""),"SQL")</f>
        <v>SQL</v>
      </c>
      <c r="J2638" s="9" t="str">
        <f>IFERROR(__xludf.DUMMYFUNCTION("""COMPUTED_VALUE"""),"PHP")</f>
        <v>PHP</v>
      </c>
      <c r="K2638" s="9" t="str">
        <f>IFERROR(__xludf.DUMMYFUNCTION("""COMPUTED_VALUE"""),"Python")</f>
        <v>Python</v>
      </c>
      <c r="L2638" s="9" t="str">
        <f>IFERROR(__xludf.DUMMYFUNCTION("""COMPUTED_VALUE"""),"HTML/CSS")</f>
        <v>HTML/CSS</v>
      </c>
      <c r="M2638" s="9" t="s">
        <v>23</v>
      </c>
    </row>
    <row r="2639" ht="15.75" customHeight="1">
      <c r="A2639" s="7"/>
      <c r="B2639" s="7" t="str">
        <f>IFERROR(__xludf.DUMMYFUNCTION("""COMPUTED_VALUE"""),"Elixir;HTML/CSS;JavaScript;Ruby")</f>
        <v>Elixir;HTML/CSS;JavaScript;Ruby</v>
      </c>
      <c r="C2639" s="9" t="str">
        <f>IFERROR(__xludf.DUMMYFUNCTION("""COMPUTED_VALUE"""),"C#")</f>
        <v>C#</v>
      </c>
      <c r="D2639" s="9" t="str">
        <f>IFERROR(__xludf.DUMMYFUNCTION("""COMPUTED_VALUE"""),"HTML/CSS")</f>
        <v>HTML/CSS</v>
      </c>
      <c r="E2639" s="9" t="str">
        <f>IFERROR(__xludf.DUMMYFUNCTION("""COMPUTED_VALUE"""),"HTML/CSS")</f>
        <v>HTML/CSS</v>
      </c>
      <c r="F2639" s="9" t="str">
        <f>IFERROR(__xludf.DUMMYFUNCTION("""COMPUTED_VALUE"""),"Bash/Shell/PowerShell")</f>
        <v>Bash/Shell/PowerShell</v>
      </c>
      <c r="G2639" s="9" t="str">
        <f>IFERROR(__xludf.DUMMYFUNCTION("""COMPUTED_VALUE"""),"JavaScript")</f>
        <v>JavaScript</v>
      </c>
      <c r="H2639" s="9" t="str">
        <f>IFERROR(__xludf.DUMMYFUNCTION("""COMPUTED_VALUE"""),"JavaScript")</f>
        <v>JavaScript</v>
      </c>
      <c r="I2639" s="9" t="str">
        <f>IFERROR(__xludf.DUMMYFUNCTION("""COMPUTED_VALUE"""),"Swift")</f>
        <v>Swift</v>
      </c>
      <c r="J2639" s="9" t="str">
        <f>IFERROR(__xludf.DUMMYFUNCTION("""COMPUTED_VALUE"""),"SQL")</f>
        <v>SQL</v>
      </c>
      <c r="K2639" s="9" t="str">
        <f>IFERROR(__xludf.DUMMYFUNCTION("""COMPUTED_VALUE"""),"Ruby")</f>
        <v>Ruby</v>
      </c>
      <c r="L2639" s="9" t="str">
        <f>IFERROR(__xludf.DUMMYFUNCTION("""COMPUTED_VALUE"""),"JavaScript")</f>
        <v>JavaScript</v>
      </c>
      <c r="M2639" s="9" t="s">
        <v>26</v>
      </c>
    </row>
    <row r="2640" ht="15.75" customHeight="1">
      <c r="A2640" s="7"/>
      <c r="B2640" s="7" t="str">
        <f>IFERROR(__xludf.DUMMYFUNCTION("""COMPUTED_VALUE"""),"HTML/CSS;JavaScript;PHP;SQL;TypeScript")</f>
        <v>HTML/CSS;JavaScript;PHP;SQL;TypeScript</v>
      </c>
      <c r="C2640" s="9" t="str">
        <f>IFERROR(__xludf.DUMMYFUNCTION("""COMPUTED_VALUE"""),"Go")</f>
        <v>Go</v>
      </c>
      <c r="D2640" s="9" t="str">
        <f>IFERROR(__xludf.DUMMYFUNCTION("""COMPUTED_VALUE"""),"JavaScript")</f>
        <v>JavaScript</v>
      </c>
      <c r="E2640" s="9" t="str">
        <f>IFERROR(__xludf.DUMMYFUNCTION("""COMPUTED_VALUE"""),"JavaScript")</f>
        <v>JavaScript</v>
      </c>
      <c r="F2640" s="9" t="str">
        <f>IFERROR(__xludf.DUMMYFUNCTION("""COMPUTED_VALUE"""),"C")</f>
        <v>C</v>
      </c>
      <c r="G2640" s="9" t="str">
        <f>IFERROR(__xludf.DUMMYFUNCTION("""COMPUTED_VALUE"""),"Python")</f>
        <v>Python</v>
      </c>
      <c r="H2640" s="9" t="str">
        <f>IFERROR(__xludf.DUMMYFUNCTION("""COMPUTED_VALUE"""),"Kotlin")</f>
        <v>Kotlin</v>
      </c>
      <c r="I2640" s="9" t="str">
        <f>IFERROR(__xludf.DUMMYFUNCTION("""COMPUTED_VALUE"""),"Python")</f>
        <v>Python</v>
      </c>
      <c r="J2640" s="9" t="str">
        <f>IFERROR(__xludf.DUMMYFUNCTION("""COMPUTED_VALUE"""),"VBA")</f>
        <v>VBA</v>
      </c>
      <c r="K2640" s="9" t="str">
        <f>IFERROR(__xludf.DUMMYFUNCTION("""COMPUTED_VALUE"""),"SQL")</f>
        <v>SQL</v>
      </c>
      <c r="L2640" s="9" t="str">
        <f>IFERROR(__xludf.DUMMYFUNCTION("""COMPUTED_VALUE"""),"SQL")</f>
        <v>SQL</v>
      </c>
      <c r="M2640" s="9" t="s">
        <v>36</v>
      </c>
    </row>
    <row r="2641" ht="15.75" customHeight="1">
      <c r="A2641" s="7"/>
      <c r="B2641" s="7" t="str">
        <f>IFERROR(__xludf.DUMMYFUNCTION("""COMPUTED_VALUE"""),"C++;C#;HTML/CSS;Java;JavaScript;SQL;Other(s):")</f>
        <v>C++;C#;HTML/CSS;Java;JavaScript;SQL;Other(s):</v>
      </c>
      <c r="C2641" s="9" t="str">
        <f>IFERROR(__xludf.DUMMYFUNCTION("""COMPUTED_VALUE"""),"HTML/CSS")</f>
        <v>HTML/CSS</v>
      </c>
      <c r="D2641" s="9" t="str">
        <f>IFERROR(__xludf.DUMMYFUNCTION("""COMPUTED_VALUE"""),"C#")</f>
        <v>C#</v>
      </c>
      <c r="E2641" s="9" t="str">
        <f>IFERROR(__xludf.DUMMYFUNCTION("""COMPUTED_VALUE"""),"TypeScript")</f>
        <v>TypeScript</v>
      </c>
      <c r="F2641" s="9" t="str">
        <f>IFERROR(__xludf.DUMMYFUNCTION("""COMPUTED_VALUE"""),"C++")</f>
        <v>C++</v>
      </c>
      <c r="G2641" s="9" t="str">
        <f>IFERROR(__xludf.DUMMYFUNCTION("""COMPUTED_VALUE"""),"SQL")</f>
        <v>SQL</v>
      </c>
      <c r="H2641" s="9" t="str">
        <f>IFERROR(__xludf.DUMMYFUNCTION("""COMPUTED_VALUE"""),"PHP")</f>
        <v>PHP</v>
      </c>
      <c r="I2641" s="9" t="str">
        <f>IFERROR(__xludf.DUMMYFUNCTION("""COMPUTED_VALUE"""),"SQL")</f>
        <v>SQL</v>
      </c>
      <c r="J2641" s="9" t="str">
        <f>IFERROR(__xludf.DUMMYFUNCTION("""COMPUTED_VALUE"""),"C")</f>
        <v>C</v>
      </c>
      <c r="K2641" s="9" t="str">
        <f>IFERROR(__xludf.DUMMYFUNCTION("""COMPUTED_VALUE"""),"TypeScript")</f>
        <v>TypeScript</v>
      </c>
      <c r="L2641" s="9" t="str">
        <f>IFERROR(__xludf.DUMMYFUNCTION("""COMPUTED_VALUE"""),"VBA")</f>
        <v>VBA</v>
      </c>
      <c r="M2641" s="9" t="s">
        <v>24</v>
      </c>
    </row>
    <row r="2642" ht="15.75" customHeight="1">
      <c r="A2642" s="7"/>
      <c r="B2642" s="7" t="str">
        <f>IFERROR(__xludf.DUMMYFUNCTION("""COMPUTED_VALUE"""),"Bash/Shell/PowerShell;HTML/CSS;SQL;VBA")</f>
        <v>Bash/Shell/PowerShell;HTML/CSS;SQL;VBA</v>
      </c>
      <c r="C2642" s="9" t="str">
        <f>IFERROR(__xludf.DUMMYFUNCTION("""COMPUTED_VALUE"""),"JavaScript")</f>
        <v>JavaScript</v>
      </c>
      <c r="D2642" s="9" t="str">
        <f>IFERROR(__xludf.DUMMYFUNCTION("""COMPUTED_VALUE"""),"HTML/CSS")</f>
        <v>HTML/CSS</v>
      </c>
      <c r="E2642" s="9" t="str">
        <f>IFERROR(__xludf.DUMMYFUNCTION("""COMPUTED_VALUE"""),"Bash/Shell/PowerShell")</f>
        <v>Bash/Shell/PowerShell</v>
      </c>
      <c r="F2642" s="9" t="str">
        <f>IFERROR(__xludf.DUMMYFUNCTION("""COMPUTED_VALUE"""),"C#")</f>
        <v>C#</v>
      </c>
      <c r="G2642" s="9" t="str">
        <f>IFERROR(__xludf.DUMMYFUNCTION("""COMPUTED_VALUE"""),"Swift")</f>
        <v>Swift</v>
      </c>
      <c r="H2642" s="9" t="str">
        <f>IFERROR(__xludf.DUMMYFUNCTION("""COMPUTED_VALUE"""),"Ruby")</f>
        <v>Ruby</v>
      </c>
      <c r="I2642" s="9" t="str">
        <f>IFERROR(__xludf.DUMMYFUNCTION("""COMPUTED_VALUE"""),"C#")</f>
        <v>C#</v>
      </c>
      <c r="J2642" s="9" t="str">
        <f>IFERROR(__xludf.DUMMYFUNCTION("""COMPUTED_VALUE"""),"C++")</f>
        <v>C++</v>
      </c>
      <c r="K2642" s="9" t="str">
        <f>IFERROR(__xludf.DUMMYFUNCTION("""COMPUTED_VALUE"""),"WebAssembly")</f>
        <v>WebAssembly</v>
      </c>
      <c r="L2642" s="9" t="str">
        <f>IFERROR(__xludf.DUMMYFUNCTION("""COMPUTED_VALUE"""),"Bash/Shell/PowerShell")</f>
        <v>Bash/Shell/PowerShell</v>
      </c>
      <c r="M2642" s="9" t="s">
        <v>21</v>
      </c>
    </row>
    <row r="2643" ht="15.75" customHeight="1">
      <c r="A2643" s="7"/>
      <c r="B2643" s="7" t="str">
        <f>IFERROR(__xludf.DUMMYFUNCTION("""COMPUTED_VALUE"""),"C#;HTML/CSS;JavaScript;PHP;Ruby;SQL")</f>
        <v>C#;HTML/CSS;JavaScript;PHP;Ruby;SQL</v>
      </c>
      <c r="C2643" s="9" t="str">
        <f>IFERROR(__xludf.DUMMYFUNCTION("""COMPUTED_VALUE"""),"PHP")</f>
        <v>PHP</v>
      </c>
      <c r="D2643" s="9" t="str">
        <f>IFERROR(__xludf.DUMMYFUNCTION("""COMPUTED_VALUE"""),"JavaScript")</f>
        <v>JavaScript</v>
      </c>
      <c r="E2643" s="9" t="str">
        <f>IFERROR(__xludf.DUMMYFUNCTION("""COMPUTED_VALUE"""),"C#")</f>
        <v>C#</v>
      </c>
      <c r="F2643" s="9" t="str">
        <f>IFERROR(__xludf.DUMMYFUNCTION("""COMPUTED_VALUE"""),"HTML/CSS")</f>
        <v>HTML/CSS</v>
      </c>
      <c r="G2643" s="9" t="str">
        <f>IFERROR(__xludf.DUMMYFUNCTION("""COMPUTED_VALUE"""),"TypeScript")</f>
        <v>TypeScript</v>
      </c>
      <c r="H2643" s="9" t="str">
        <f>IFERROR(__xludf.DUMMYFUNCTION("""COMPUTED_VALUE"""),"SQL")</f>
        <v>SQL</v>
      </c>
      <c r="I2643" s="9" t="str">
        <f>IFERROR(__xludf.DUMMYFUNCTION("""COMPUTED_VALUE"""),"JavaScript")</f>
        <v>JavaScript</v>
      </c>
      <c r="J2643" s="9" t="str">
        <f>IFERROR(__xludf.DUMMYFUNCTION("""COMPUTED_VALUE"""),"C#")</f>
        <v>C#</v>
      </c>
      <c r="K2643" s="9" t="str">
        <f>IFERROR(__xludf.DUMMYFUNCTION("""COMPUTED_VALUE"""),"Bash/Shell/PowerShell")</f>
        <v>Bash/Shell/PowerShell</v>
      </c>
      <c r="L2643" s="9" t="str">
        <f>IFERROR(__xludf.DUMMYFUNCTION("""COMPUTED_VALUE"""),"C++")</f>
        <v>C++</v>
      </c>
      <c r="M2643" s="9" t="s">
        <v>37</v>
      </c>
    </row>
    <row r="2644" ht="15.75" customHeight="1">
      <c r="A2644" s="7"/>
      <c r="B2644" s="7" t="str">
        <f>IFERROR(__xludf.DUMMYFUNCTION("""COMPUTED_VALUE"""),"Bash/Shell/PowerShell;C#;HTML/CSS;Java;Python;SQL")</f>
        <v>Bash/Shell/PowerShell;C#;HTML/CSS;Java;Python;SQL</v>
      </c>
      <c r="C2644" s="9" t="str">
        <f>IFERROR(__xludf.DUMMYFUNCTION("""COMPUTED_VALUE"""),"Python")</f>
        <v>Python</v>
      </c>
      <c r="D2644" s="9" t="str">
        <f>IFERROR(__xludf.DUMMYFUNCTION("""COMPUTED_VALUE"""),"PHP")</f>
        <v>PHP</v>
      </c>
      <c r="E2644" s="9" t="str">
        <f>IFERROR(__xludf.DUMMYFUNCTION("""COMPUTED_VALUE"""),"HTML/CSS")</f>
        <v>HTML/CSS</v>
      </c>
      <c r="F2644" s="9" t="str">
        <f>IFERROR(__xludf.DUMMYFUNCTION("""COMPUTED_VALUE"""),"Java")</f>
        <v>Java</v>
      </c>
      <c r="G2644" s="9" t="str">
        <f>IFERROR(__xludf.DUMMYFUNCTION("""COMPUTED_VALUE"""),"Other(s):")</f>
        <v>Other(s):</v>
      </c>
      <c r="H2644" s="9" t="str">
        <f>IFERROR(__xludf.DUMMYFUNCTION("""COMPUTED_VALUE"""),"Swift")</f>
        <v>Swift</v>
      </c>
      <c r="I2644" s="9" t="str">
        <f>IFERROR(__xludf.DUMMYFUNCTION("""COMPUTED_VALUE"""),"SQL")</f>
        <v>SQL</v>
      </c>
      <c r="J2644" s="9" t="str">
        <f>IFERROR(__xludf.DUMMYFUNCTION("""COMPUTED_VALUE"""),"HTML/CSS")</f>
        <v>HTML/CSS</v>
      </c>
      <c r="K2644" s="9" t="str">
        <f>IFERROR(__xludf.DUMMYFUNCTION("""COMPUTED_VALUE"""),"C#")</f>
        <v>C#</v>
      </c>
      <c r="L2644" s="9" t="str">
        <f>IFERROR(__xludf.DUMMYFUNCTION("""COMPUTED_VALUE"""),"Java")</f>
        <v>Java</v>
      </c>
      <c r="M2644" s="9" t="s">
        <v>22</v>
      </c>
    </row>
    <row r="2645" ht="15.75" customHeight="1">
      <c r="A2645" s="7"/>
      <c r="B2645" s="7" t="str">
        <f>IFERROR(__xludf.DUMMYFUNCTION("""COMPUTED_VALUE"""),"C#;PHP;SQL")</f>
        <v>C#;PHP;SQL</v>
      </c>
      <c r="C2645" s="9" t="str">
        <f>IFERROR(__xludf.DUMMYFUNCTION("""COMPUTED_VALUE"""),"SQL")</f>
        <v>SQL</v>
      </c>
      <c r="D2645" s="9" t="str">
        <f>IFERROR(__xludf.DUMMYFUNCTION("""COMPUTED_VALUE"""),"SQL")</f>
        <v>SQL</v>
      </c>
      <c r="E2645" s="9" t="str">
        <f>IFERROR(__xludf.DUMMYFUNCTION("""COMPUTED_VALUE"""),"JavaScript")</f>
        <v>JavaScript</v>
      </c>
      <c r="F2645" s="9" t="str">
        <f>IFERROR(__xludf.DUMMYFUNCTION("""COMPUTED_VALUE"""),"JavaScript")</f>
        <v>JavaScript</v>
      </c>
      <c r="G2645" s="9" t="str">
        <f>IFERROR(__xludf.DUMMYFUNCTION("""COMPUTED_VALUE"""),"Assembly")</f>
        <v>Assembly</v>
      </c>
      <c r="H2645" s="9" t="str">
        <f>IFERROR(__xludf.DUMMYFUNCTION("""COMPUTED_VALUE"""),"C")</f>
        <v>C</v>
      </c>
      <c r="I2645" s="9" t="str">
        <f>IFERROR(__xludf.DUMMYFUNCTION("""COMPUTED_VALUE"""),"Bash/Shell/PowerShell")</f>
        <v>Bash/Shell/PowerShell</v>
      </c>
      <c r="J2645" s="9" t="str">
        <f>IFERROR(__xludf.DUMMYFUNCTION("""COMPUTED_VALUE"""),"JavaScript")</f>
        <v>JavaScript</v>
      </c>
      <c r="K2645" s="9" t="str">
        <f>IFERROR(__xludf.DUMMYFUNCTION("""COMPUTED_VALUE"""),"HTML/CSS")</f>
        <v>HTML/CSS</v>
      </c>
      <c r="L2645" s="9" t="str">
        <f>IFERROR(__xludf.DUMMYFUNCTION("""COMPUTED_VALUE"""),"Kotlin")</f>
        <v>Kotlin</v>
      </c>
      <c r="M2645" s="9" t="s">
        <v>27</v>
      </c>
    </row>
    <row r="2646" ht="15.75" customHeight="1">
      <c r="A2646" s="7"/>
      <c r="B2646" s="7" t="str">
        <f>IFERROR(__xludf.DUMMYFUNCTION("""COMPUTED_VALUE"""),"Assembly;C;C++;C#;HTML/CSS;Java;JavaScript;PHP;SQL;VBA")</f>
        <v>Assembly;C;C++;C#;HTML/CSS;Java;JavaScript;PHP;SQL;VBA</v>
      </c>
      <c r="C2646" s="9" t="str">
        <f>IFERROR(__xludf.DUMMYFUNCTION("""COMPUTED_VALUE"""),"TypeScript")</f>
        <v>TypeScript</v>
      </c>
      <c r="D2646" s="9" t="str">
        <f>IFERROR(__xludf.DUMMYFUNCTION("""COMPUTED_VALUE"""),"TypeScript")</f>
        <v>TypeScript</v>
      </c>
      <c r="E2646" s="9" t="str">
        <f>IFERROR(__xludf.DUMMYFUNCTION("""COMPUTED_VALUE"""),"SQL")</f>
        <v>SQL</v>
      </c>
      <c r="F2646" s="9" t="str">
        <f>IFERROR(__xludf.DUMMYFUNCTION("""COMPUTED_VALUE"""),"PHP")</f>
        <v>PHP</v>
      </c>
      <c r="G2646" s="9" t="str">
        <f>IFERROR(__xludf.DUMMYFUNCTION("""COMPUTED_VALUE"""),"Bash/Shell/PowerShell")</f>
        <v>Bash/Shell/PowerShell</v>
      </c>
      <c r="H2646" s="9" t="str">
        <f>IFERROR(__xludf.DUMMYFUNCTION("""COMPUTED_VALUE"""),"HTML/CSS")</f>
        <v>HTML/CSS</v>
      </c>
      <c r="I2646" s="9" t="str">
        <f>IFERROR(__xludf.DUMMYFUNCTION("""COMPUTED_VALUE"""),"HTML/CSS")</f>
        <v>HTML/CSS</v>
      </c>
      <c r="J2646" s="9" t="str">
        <f>IFERROR(__xludf.DUMMYFUNCTION("""COMPUTED_VALUE"""),"PHP")</f>
        <v>PHP</v>
      </c>
      <c r="K2646" s="9" t="str">
        <f>IFERROR(__xludf.DUMMYFUNCTION("""COMPUTED_VALUE"""),"JavaScript")</f>
        <v>JavaScript</v>
      </c>
      <c r="L2646" s="9" t="str">
        <f>IFERROR(__xludf.DUMMYFUNCTION("""COMPUTED_VALUE"""),"Python")</f>
        <v>Python</v>
      </c>
      <c r="M2646" s="9" t="s">
        <v>33</v>
      </c>
    </row>
    <row r="2647" ht="15.75" customHeight="1">
      <c r="A2647" s="7"/>
      <c r="B2647" s="7" t="str">
        <f>IFERROR(__xludf.DUMMYFUNCTION("""COMPUTED_VALUE"""),"HTML/CSS;JavaScript")</f>
        <v>HTML/CSS;JavaScript</v>
      </c>
      <c r="C2647" s="9" t="str">
        <f>IFERROR(__xludf.DUMMYFUNCTION("""COMPUTED_VALUE"""),"Other(s):")</f>
        <v>Other(s):</v>
      </c>
      <c r="D2647" s="9" t="str">
        <f>IFERROR(__xludf.DUMMYFUNCTION("""COMPUTED_VALUE"""),"Bash/Shell/PowerShell")</f>
        <v>Bash/Shell/PowerShell</v>
      </c>
      <c r="E2647" s="9" t="str">
        <f>IFERROR(__xludf.DUMMYFUNCTION("""COMPUTED_VALUE"""),"TypeScript")</f>
        <v>TypeScript</v>
      </c>
      <c r="F2647" s="9" t="str">
        <f>IFERROR(__xludf.DUMMYFUNCTION("""COMPUTED_VALUE"""),"Python")</f>
        <v>Python</v>
      </c>
      <c r="G2647" s="9" t="str">
        <f>IFERROR(__xludf.DUMMYFUNCTION("""COMPUTED_VALUE"""),"C++")</f>
        <v>C++</v>
      </c>
      <c r="H2647" s="9" t="str">
        <f>IFERROR(__xludf.DUMMYFUNCTION("""COMPUTED_VALUE"""),"Java")</f>
        <v>Java</v>
      </c>
      <c r="I2647" s="9" t="str">
        <f>IFERROR(__xludf.DUMMYFUNCTION("""COMPUTED_VALUE"""),"JavaScript")</f>
        <v>JavaScript</v>
      </c>
      <c r="J2647" s="9" t="str">
        <f>IFERROR(__xludf.DUMMYFUNCTION("""COMPUTED_VALUE"""),"Swift")</f>
        <v>Swift</v>
      </c>
      <c r="K2647" s="9" t="str">
        <f>IFERROR(__xludf.DUMMYFUNCTION("""COMPUTED_VALUE"""),"PHP")</f>
        <v>PHP</v>
      </c>
      <c r="L2647" s="9" t="str">
        <f>IFERROR(__xludf.DUMMYFUNCTION("""COMPUTED_VALUE"""),"Bash/Shell/PowerShell")</f>
        <v>Bash/Shell/PowerShell</v>
      </c>
      <c r="M2647" s="9" t="s">
        <v>35</v>
      </c>
    </row>
    <row r="2648" ht="15.75" customHeight="1">
      <c r="A2648" s="7"/>
      <c r="B2648" s="7" t="str">
        <f>IFERROR(__xludf.DUMMYFUNCTION("""COMPUTED_VALUE"""),"HTML/CSS;JavaScript")</f>
        <v>HTML/CSS;JavaScript</v>
      </c>
      <c r="C2648" s="9" t="str">
        <f>IFERROR(__xludf.DUMMYFUNCTION("""COMPUTED_VALUE"""),"C")</f>
        <v>C</v>
      </c>
      <c r="D2648" s="9" t="str">
        <f>IFERROR(__xludf.DUMMYFUNCTION("""COMPUTED_VALUE"""),"C#")</f>
        <v>C#</v>
      </c>
      <c r="E2648" s="9" t="str">
        <f>IFERROR(__xludf.DUMMYFUNCTION("""COMPUTED_VALUE"""),"Assembly")</f>
        <v>Assembly</v>
      </c>
      <c r="F2648" s="9" t="str">
        <f>IFERROR(__xludf.DUMMYFUNCTION("""COMPUTED_VALUE"""),"SQL")</f>
        <v>SQL</v>
      </c>
      <c r="G2648" s="9" t="str">
        <f>IFERROR(__xludf.DUMMYFUNCTION("""COMPUTED_VALUE"""),"HTML/CSS")</f>
        <v>HTML/CSS</v>
      </c>
      <c r="H2648" s="9" t="str">
        <f>IFERROR(__xludf.DUMMYFUNCTION("""COMPUTED_VALUE"""),"JavaScript")</f>
        <v>JavaScript</v>
      </c>
      <c r="I2648" s="9" t="str">
        <f>IFERROR(__xludf.DUMMYFUNCTION("""COMPUTED_VALUE"""),"PHP")</f>
        <v>PHP</v>
      </c>
      <c r="J2648" s="9" t="str">
        <f>IFERROR(__xludf.DUMMYFUNCTION("""COMPUTED_VALUE"""),"TypeScript")</f>
        <v>TypeScript</v>
      </c>
      <c r="K2648" s="9" t="str">
        <f>IFERROR(__xludf.DUMMYFUNCTION("""COMPUTED_VALUE"""),"Python")</f>
        <v>Python</v>
      </c>
      <c r="L2648" s="9" t="str">
        <f>IFERROR(__xludf.DUMMYFUNCTION("""COMPUTED_VALUE"""),"Go")</f>
        <v>Go</v>
      </c>
      <c r="M2648" s="9" t="s">
        <v>25</v>
      </c>
    </row>
    <row r="2649" ht="15.75" customHeight="1">
      <c r="A2649" s="7"/>
      <c r="B2649" s="7" t="str">
        <f>IFERROR(__xludf.DUMMYFUNCTION("""COMPUTED_VALUE"""),"Bash/Shell/PowerShell;C#;HTML/CSS;JavaScript")</f>
        <v>Bash/Shell/PowerShell;C#;HTML/CSS;JavaScript</v>
      </c>
      <c r="C2649" s="9" t="str">
        <f>IFERROR(__xludf.DUMMYFUNCTION("""COMPUTED_VALUE"""),"Java")</f>
        <v>Java</v>
      </c>
      <c r="D2649" s="9" t="str">
        <f>IFERROR(__xludf.DUMMYFUNCTION("""COMPUTED_VALUE"""),"PHP")</f>
        <v>PHP</v>
      </c>
      <c r="E2649" s="9" t="str">
        <f>IFERROR(__xludf.DUMMYFUNCTION("""COMPUTED_VALUE"""),"C")</f>
        <v>C</v>
      </c>
      <c r="F2649" s="9" t="str">
        <f>IFERROR(__xludf.DUMMYFUNCTION("""COMPUTED_VALUE"""),"VBA")</f>
        <v>VBA</v>
      </c>
      <c r="G2649" s="9" t="str">
        <f>IFERROR(__xludf.DUMMYFUNCTION("""COMPUTED_VALUE"""),"JavaScript")</f>
        <v>JavaScript</v>
      </c>
      <c r="H2649" s="9" t="str">
        <f>IFERROR(__xludf.DUMMYFUNCTION("""COMPUTED_VALUE"""),"PHP")</f>
        <v>PHP</v>
      </c>
      <c r="I2649" s="9" t="str">
        <f>IFERROR(__xludf.DUMMYFUNCTION("""COMPUTED_VALUE"""),"Python")</f>
        <v>Python</v>
      </c>
      <c r="J2649" s="9" t="str">
        <f>IFERROR(__xludf.DUMMYFUNCTION("""COMPUTED_VALUE"""),"C++")</f>
        <v>C++</v>
      </c>
      <c r="K2649" s="9" t="str">
        <f>IFERROR(__xludf.DUMMYFUNCTION("""COMPUTED_VALUE"""),"SQL")</f>
        <v>SQL</v>
      </c>
      <c r="L2649" s="9" t="str">
        <f>IFERROR(__xludf.DUMMYFUNCTION("""COMPUTED_VALUE"""),"Java")</f>
        <v>Java</v>
      </c>
      <c r="M2649" s="9" t="s">
        <v>20</v>
      </c>
    </row>
    <row r="2650" ht="15.75" customHeight="1">
      <c r="A2650" s="7"/>
      <c r="B2650" s="7" t="str">
        <f>IFERROR(__xludf.DUMMYFUNCTION("""COMPUTED_VALUE"""),"C;C++;HTML/CSS;Java;JavaScript;PHP;SQL")</f>
        <v>C;C++;HTML/CSS;Java;JavaScript;PHP;SQL</v>
      </c>
      <c r="C2650" s="9" t="str">
        <f>IFERROR(__xludf.DUMMYFUNCTION("""COMPUTED_VALUE"""),"SQL")</f>
        <v>SQL</v>
      </c>
      <c r="D2650" s="9" t="str">
        <f>IFERROR(__xludf.DUMMYFUNCTION("""COMPUTED_VALUE"""),"SQL")</f>
        <v>SQL</v>
      </c>
      <c r="E2650" s="9" t="str">
        <f>IFERROR(__xludf.DUMMYFUNCTION("""COMPUTED_VALUE"""),"C++")</f>
        <v>C++</v>
      </c>
      <c r="F2650" s="9" t="str">
        <f>IFERROR(__xludf.DUMMYFUNCTION("""COMPUTED_VALUE"""),"C")</f>
        <v>C</v>
      </c>
      <c r="G2650" s="9" t="str">
        <f>IFERROR(__xludf.DUMMYFUNCTION("""COMPUTED_VALUE"""),"PHP")</f>
        <v>PHP</v>
      </c>
      <c r="H2650" s="9" t="str">
        <f>IFERROR(__xludf.DUMMYFUNCTION("""COMPUTED_VALUE"""),"Bash/Shell/PowerShell")</f>
        <v>Bash/Shell/PowerShell</v>
      </c>
      <c r="I2650" s="9" t="str">
        <f>IFERROR(__xludf.DUMMYFUNCTION("""COMPUTED_VALUE"""),"R")</f>
        <v>R</v>
      </c>
      <c r="J2650" s="9" t="str">
        <f>IFERROR(__xludf.DUMMYFUNCTION("""COMPUTED_VALUE"""),"C#")</f>
        <v>C#</v>
      </c>
      <c r="K2650" s="9" t="str">
        <f>IFERROR(__xludf.DUMMYFUNCTION("""COMPUTED_VALUE"""),"Other(s):")</f>
        <v>Other(s):</v>
      </c>
      <c r="L2650" s="9" t="str">
        <f>IFERROR(__xludf.DUMMYFUNCTION("""COMPUTED_VALUE"""),"JavaScript")</f>
        <v>JavaScript</v>
      </c>
      <c r="M2650" s="9" t="s">
        <v>27</v>
      </c>
    </row>
    <row r="2651" ht="15.75" customHeight="1">
      <c r="A2651" s="7"/>
      <c r="B2651" s="7" t="str">
        <f>IFERROR(__xludf.DUMMYFUNCTION("""COMPUTED_VALUE"""),"Bash/Shell/PowerShell;C;C++;C#;Java;Objective-C;Ruby;Swift")</f>
        <v>Bash/Shell/PowerShell;C;C++;C#;Java;Objective-C;Ruby;Swift</v>
      </c>
      <c r="C2651" s="9" t="str">
        <f>IFERROR(__xludf.DUMMYFUNCTION("""COMPUTED_VALUE"""),"C#")</f>
        <v>C#</v>
      </c>
      <c r="D2651" s="9" t="str">
        <f>IFERROR(__xludf.DUMMYFUNCTION("""COMPUTED_VALUE"""),"Assembly")</f>
        <v>Assembly</v>
      </c>
      <c r="E2651" s="9" t="str">
        <f>IFERROR(__xludf.DUMMYFUNCTION("""COMPUTED_VALUE"""),"Java")</f>
        <v>Java</v>
      </c>
      <c r="F2651" s="9" t="str">
        <f>IFERROR(__xludf.DUMMYFUNCTION("""COMPUTED_VALUE"""),"HTML/CSS")</f>
        <v>HTML/CSS</v>
      </c>
      <c r="G2651" s="9" t="str">
        <f>IFERROR(__xludf.DUMMYFUNCTION("""COMPUTED_VALUE"""),"SQL")</f>
        <v>SQL</v>
      </c>
      <c r="H2651" s="9" t="str">
        <f>IFERROR(__xludf.DUMMYFUNCTION("""COMPUTED_VALUE"""),"C")</f>
        <v>C</v>
      </c>
      <c r="I2651" s="9" t="str">
        <f>IFERROR(__xludf.DUMMYFUNCTION("""COMPUTED_VALUE"""),"SQL")</f>
        <v>SQL</v>
      </c>
      <c r="J2651" s="9" t="str">
        <f>IFERROR(__xludf.DUMMYFUNCTION("""COMPUTED_VALUE"""),"HTML/CSS")</f>
        <v>HTML/CSS</v>
      </c>
      <c r="K2651" s="9" t="str">
        <f>IFERROR(__xludf.DUMMYFUNCTION("""COMPUTED_VALUE"""),"Objective-C")</f>
        <v>Objective-C</v>
      </c>
      <c r="L2651" s="9" t="str">
        <f>IFERROR(__xludf.DUMMYFUNCTION("""COMPUTED_VALUE"""),"Kotlin")</f>
        <v>Kotlin</v>
      </c>
      <c r="M2651" s="9" t="s">
        <v>26</v>
      </c>
    </row>
    <row r="2652" ht="15.75" customHeight="1">
      <c r="A2652" s="7"/>
      <c r="B2652" s="7" t="str">
        <f>IFERROR(__xludf.DUMMYFUNCTION("""COMPUTED_VALUE"""),"Bash/Shell/PowerShell;HTML/CSS;JavaScript;PHP;Python;Rust;SQL;TypeScript")</f>
        <v>Bash/Shell/PowerShell;HTML/CSS;JavaScript;PHP;Python;Rust;SQL;TypeScript</v>
      </c>
      <c r="C2652" s="9" t="str">
        <f>IFERROR(__xludf.DUMMYFUNCTION("""COMPUTED_VALUE"""),"HTML/CSS")</f>
        <v>HTML/CSS</v>
      </c>
      <c r="D2652" s="9" t="str">
        <f>IFERROR(__xludf.DUMMYFUNCTION("""COMPUTED_VALUE"""),"C")</f>
        <v>C</v>
      </c>
      <c r="E2652" s="9" t="str">
        <f>IFERROR(__xludf.DUMMYFUNCTION("""COMPUTED_VALUE"""),"VBA")</f>
        <v>VBA</v>
      </c>
      <c r="F2652" s="9" t="str">
        <f>IFERROR(__xludf.DUMMYFUNCTION("""COMPUTED_VALUE"""),"JavaScript")</f>
        <v>JavaScript</v>
      </c>
      <c r="G2652" s="9" t="str">
        <f>IFERROR(__xludf.DUMMYFUNCTION("""COMPUTED_VALUE"""),"Bash/Shell/PowerShell")</f>
        <v>Bash/Shell/PowerShell</v>
      </c>
      <c r="H2652" s="9" t="str">
        <f>IFERROR(__xludf.DUMMYFUNCTION("""COMPUTED_VALUE"""),"C++")</f>
        <v>C++</v>
      </c>
      <c r="I2652" s="9" t="str">
        <f>IFERROR(__xludf.DUMMYFUNCTION("""COMPUTED_VALUE"""),"Assembly")</f>
        <v>Assembly</v>
      </c>
      <c r="J2652" s="9" t="str">
        <f>IFERROR(__xludf.DUMMYFUNCTION("""COMPUTED_VALUE"""),"JavaScript")</f>
        <v>JavaScript</v>
      </c>
      <c r="K2652" s="9" t="str">
        <f>IFERROR(__xludf.DUMMYFUNCTION("""COMPUTED_VALUE"""),"TypeScript")</f>
        <v>TypeScript</v>
      </c>
      <c r="L2652" s="9" t="str">
        <f>IFERROR(__xludf.DUMMYFUNCTION("""COMPUTED_VALUE"""),"Python")</f>
        <v>Python</v>
      </c>
      <c r="M2652" s="9" t="s">
        <v>24</v>
      </c>
    </row>
    <row r="2653" ht="15.75" customHeight="1">
      <c r="A2653" s="7"/>
      <c r="B2653" s="7" t="str">
        <f>IFERROR(__xludf.DUMMYFUNCTION("""COMPUTED_VALUE"""),"C#;Java;JavaScript;TypeScript")</f>
        <v>C#;Java;JavaScript;TypeScript</v>
      </c>
      <c r="C2653" s="9" t="str">
        <f>IFERROR(__xludf.DUMMYFUNCTION("""COMPUTED_VALUE"""),"JavaScript")</f>
        <v>JavaScript</v>
      </c>
      <c r="D2653" s="9" t="str">
        <f>IFERROR(__xludf.DUMMYFUNCTION("""COMPUTED_VALUE"""),"C++")</f>
        <v>C++</v>
      </c>
      <c r="E2653" s="9" t="str">
        <f>IFERROR(__xludf.DUMMYFUNCTION("""COMPUTED_VALUE"""),"Bash/Shell/PowerShell")</f>
        <v>Bash/Shell/PowerShell</v>
      </c>
      <c r="F2653" s="9" t="str">
        <f>IFERROR(__xludf.DUMMYFUNCTION("""COMPUTED_VALUE"""),"Python")</f>
        <v>Python</v>
      </c>
      <c r="G2653" s="9" t="str">
        <f>IFERROR(__xludf.DUMMYFUNCTION("""COMPUTED_VALUE"""),"HTML/CSS")</f>
        <v>HTML/CSS</v>
      </c>
      <c r="H2653" s="9" t="str">
        <f>IFERROR(__xludf.DUMMYFUNCTION("""COMPUTED_VALUE"""),"Python")</f>
        <v>Python</v>
      </c>
      <c r="I2653" s="9" t="str">
        <f>IFERROR(__xludf.DUMMYFUNCTION("""COMPUTED_VALUE"""),"Bash/Shell/PowerShell")</f>
        <v>Bash/Shell/PowerShell</v>
      </c>
      <c r="J2653" s="9" t="str">
        <f>IFERROR(__xludf.DUMMYFUNCTION("""COMPUTED_VALUE"""),"Ruby")</f>
        <v>Ruby</v>
      </c>
      <c r="K2653" s="9" t="str">
        <f>IFERROR(__xludf.DUMMYFUNCTION("""COMPUTED_VALUE"""),"Assembly")</f>
        <v>Assembly</v>
      </c>
      <c r="L2653" s="9" t="str">
        <f>IFERROR(__xludf.DUMMYFUNCTION("""COMPUTED_VALUE"""),"C#")</f>
        <v>C#</v>
      </c>
      <c r="M2653" s="9" t="s">
        <v>21</v>
      </c>
    </row>
    <row r="2654" ht="15.75" customHeight="1">
      <c r="A2654" s="7"/>
      <c r="B2654" s="7" t="str">
        <f>IFERROR(__xludf.DUMMYFUNCTION("""COMPUTED_VALUE"""),"Java;JavaScript")</f>
        <v>Java;JavaScript</v>
      </c>
      <c r="C2654" s="9" t="str">
        <f>IFERROR(__xludf.DUMMYFUNCTION("""COMPUTED_VALUE"""),"SQL")</f>
        <v>SQL</v>
      </c>
      <c r="D2654" s="9" t="str">
        <f>IFERROR(__xludf.DUMMYFUNCTION("""COMPUTED_VALUE"""),"C#")</f>
        <v>C#</v>
      </c>
      <c r="E2654" s="9" t="str">
        <f>IFERROR(__xludf.DUMMYFUNCTION("""COMPUTED_VALUE"""),"C")</f>
        <v>C</v>
      </c>
      <c r="F2654" s="9" t="str">
        <f>IFERROR(__xludf.DUMMYFUNCTION("""COMPUTED_VALUE"""),"Swift")</f>
        <v>Swift</v>
      </c>
      <c r="G2654" s="9" t="str">
        <f>IFERROR(__xludf.DUMMYFUNCTION("""COMPUTED_VALUE"""),"Java")</f>
        <v>Java</v>
      </c>
      <c r="H2654" s="9" t="str">
        <f>IFERROR(__xludf.DUMMYFUNCTION("""COMPUTED_VALUE"""),"C#")</f>
        <v>C#</v>
      </c>
      <c r="I2654" s="9" t="str">
        <f>IFERROR(__xludf.DUMMYFUNCTION("""COMPUTED_VALUE"""),"C")</f>
        <v>C</v>
      </c>
      <c r="J2654" s="9" t="str">
        <f>IFERROR(__xludf.DUMMYFUNCTION("""COMPUTED_VALUE"""),"C++")</f>
        <v>C++</v>
      </c>
      <c r="K2654" s="9" t="str">
        <f>IFERROR(__xludf.DUMMYFUNCTION("""COMPUTED_VALUE"""),"Bash/Shell/PowerShell")</f>
        <v>Bash/Shell/PowerShell</v>
      </c>
      <c r="L2654" s="9" t="str">
        <f>IFERROR(__xludf.DUMMYFUNCTION("""COMPUTED_VALUE"""),"HTML/CSS")</f>
        <v>HTML/CSS</v>
      </c>
      <c r="M2654" s="9" t="s">
        <v>27</v>
      </c>
    </row>
    <row r="2655" ht="15.75" customHeight="1">
      <c r="A2655" s="7"/>
      <c r="B2655" s="7" t="str">
        <f>IFERROR(__xludf.DUMMYFUNCTION("""COMPUTED_VALUE"""),"Bash/Shell/PowerShell;C#;JavaScript;SQL;TypeScript")</f>
        <v>Bash/Shell/PowerShell;C#;JavaScript;SQL;TypeScript</v>
      </c>
      <c r="C2655" s="9" t="str">
        <f>IFERROR(__xludf.DUMMYFUNCTION("""COMPUTED_VALUE"""),"Python")</f>
        <v>Python</v>
      </c>
      <c r="D2655" s="9" t="str">
        <f>IFERROR(__xludf.DUMMYFUNCTION("""COMPUTED_VALUE"""),"Other(s):")</f>
        <v>Other(s):</v>
      </c>
      <c r="E2655" s="9" t="str">
        <f>IFERROR(__xludf.DUMMYFUNCTION("""COMPUTED_VALUE"""),"C++")</f>
        <v>C++</v>
      </c>
      <c r="F2655" s="9" t="str">
        <f>IFERROR(__xludf.DUMMYFUNCTION("""COMPUTED_VALUE"""),"Java")</f>
        <v>Java</v>
      </c>
      <c r="G2655" s="9" t="str">
        <f>IFERROR(__xludf.DUMMYFUNCTION("""COMPUTED_VALUE"""),"JavaScript")</f>
        <v>JavaScript</v>
      </c>
      <c r="H2655" s="9" t="str">
        <f>IFERROR(__xludf.DUMMYFUNCTION("""COMPUTED_VALUE"""),"HTML/CSS")</f>
        <v>HTML/CSS</v>
      </c>
      <c r="I2655" s="9" t="str">
        <f>IFERROR(__xludf.DUMMYFUNCTION("""COMPUTED_VALUE"""),"C++")</f>
        <v>C++</v>
      </c>
      <c r="J2655" s="9" t="str">
        <f>IFERROR(__xludf.DUMMYFUNCTION("""COMPUTED_VALUE"""),"Python")</f>
        <v>Python</v>
      </c>
      <c r="K2655" s="9" t="str">
        <f>IFERROR(__xludf.DUMMYFUNCTION("""COMPUTED_VALUE"""),"C")</f>
        <v>C</v>
      </c>
      <c r="L2655" s="9" t="str">
        <f>IFERROR(__xludf.DUMMYFUNCTION("""COMPUTED_VALUE"""),"JavaScript")</f>
        <v>JavaScript</v>
      </c>
      <c r="M2655" s="9" t="s">
        <v>22</v>
      </c>
    </row>
    <row r="2656" ht="15.75" customHeight="1">
      <c r="A2656" s="7"/>
      <c r="B2656" s="7" t="str">
        <f>IFERROR(__xludf.DUMMYFUNCTION("""COMPUTED_VALUE"""),"Bash/Shell/PowerShell;C#;SQL")</f>
        <v>Bash/Shell/PowerShell;C#;SQL</v>
      </c>
      <c r="C2656" s="9" t="str">
        <f>IFERROR(__xludf.DUMMYFUNCTION("""COMPUTED_VALUE"""),"SQL")</f>
        <v>SQL</v>
      </c>
      <c r="D2656" s="9" t="str">
        <f>IFERROR(__xludf.DUMMYFUNCTION("""COMPUTED_VALUE"""),"Bash/Shell/PowerShell")</f>
        <v>Bash/Shell/PowerShell</v>
      </c>
      <c r="E2656" s="9" t="str">
        <f>IFERROR(__xludf.DUMMYFUNCTION("""COMPUTED_VALUE"""),"HTML/CSS")</f>
        <v>HTML/CSS</v>
      </c>
      <c r="F2656" s="9" t="str">
        <f>IFERROR(__xludf.DUMMYFUNCTION("""COMPUTED_VALUE"""),"Bash/Shell/PowerShell")</f>
        <v>Bash/Shell/PowerShell</v>
      </c>
      <c r="G2656" s="9" t="str">
        <f>IFERROR(__xludf.DUMMYFUNCTION("""COMPUTED_VALUE"""),"Kotlin")</f>
        <v>Kotlin</v>
      </c>
      <c r="H2656" s="9" t="str">
        <f>IFERROR(__xludf.DUMMYFUNCTION("""COMPUTED_VALUE"""),"Java")</f>
        <v>Java</v>
      </c>
      <c r="I2656" s="9" t="str">
        <f>IFERROR(__xludf.DUMMYFUNCTION("""COMPUTED_VALUE"""),"C#")</f>
        <v>C#</v>
      </c>
      <c r="J2656" s="9" t="str">
        <f>IFERROR(__xludf.DUMMYFUNCTION("""COMPUTED_VALUE"""),"Swift")</f>
        <v>Swift</v>
      </c>
      <c r="K2656" s="9" t="str">
        <f>IFERROR(__xludf.DUMMYFUNCTION("""COMPUTED_VALUE"""),"C++")</f>
        <v>C++</v>
      </c>
      <c r="L2656" s="9" t="str">
        <f>IFERROR(__xludf.DUMMYFUNCTION("""COMPUTED_VALUE"""),"SQL")</f>
        <v>SQL</v>
      </c>
      <c r="M2656" s="9" t="s">
        <v>27</v>
      </c>
    </row>
    <row r="2657" ht="15.75" customHeight="1">
      <c r="A2657" s="7"/>
      <c r="B2657" s="7" t="str">
        <f>IFERROR(__xludf.DUMMYFUNCTION("""COMPUTED_VALUE"""),"Bash/Shell/PowerShell;HTML/CSS;JavaScript")</f>
        <v>Bash/Shell/PowerShell;HTML/CSS;JavaScript</v>
      </c>
      <c r="C2657" s="9" t="str">
        <f>IFERROR(__xludf.DUMMYFUNCTION("""COMPUTED_VALUE"""),"VBA")</f>
        <v>VBA</v>
      </c>
      <c r="D2657" s="9" t="str">
        <f>IFERROR(__xludf.DUMMYFUNCTION("""COMPUTED_VALUE"""),"C")</f>
        <v>C</v>
      </c>
      <c r="E2657" s="9" t="str">
        <f>IFERROR(__xludf.DUMMYFUNCTION("""COMPUTED_VALUE"""),"Java")</f>
        <v>Java</v>
      </c>
      <c r="F2657" s="9" t="str">
        <f>IFERROR(__xludf.DUMMYFUNCTION("""COMPUTED_VALUE"""),"C#")</f>
        <v>C#</v>
      </c>
      <c r="G2657" s="9" t="str">
        <f>IFERROR(__xludf.DUMMYFUNCTION("""COMPUTED_VALUE"""),"PHP")</f>
        <v>PHP</v>
      </c>
      <c r="H2657" s="9" t="str">
        <f>IFERROR(__xludf.DUMMYFUNCTION("""COMPUTED_VALUE"""),"JavaScript")</f>
        <v>JavaScript</v>
      </c>
      <c r="I2657" s="9" t="str">
        <f>IFERROR(__xludf.DUMMYFUNCTION("""COMPUTED_VALUE"""),"HTML/CSS")</f>
        <v>HTML/CSS</v>
      </c>
      <c r="J2657" s="9" t="str">
        <f>IFERROR(__xludf.DUMMYFUNCTION("""COMPUTED_VALUE"""),"C")</f>
        <v>C</v>
      </c>
      <c r="K2657" s="9" t="str">
        <f>IFERROR(__xludf.DUMMYFUNCTION("""COMPUTED_VALUE"""),"C#")</f>
        <v>C#</v>
      </c>
      <c r="L2657" s="9" t="str">
        <f>IFERROR(__xludf.DUMMYFUNCTION("""COMPUTED_VALUE"""),"C")</f>
        <v>C</v>
      </c>
      <c r="M2657" s="9" t="s">
        <v>28</v>
      </c>
    </row>
    <row r="2658" ht="15.75" customHeight="1">
      <c r="A2658" s="7"/>
      <c r="B2658" s="7" t="str">
        <f>IFERROR(__xludf.DUMMYFUNCTION("""COMPUTED_VALUE"""),"Python;Rust")</f>
        <v>Python;Rust</v>
      </c>
      <c r="C2658" s="9" t="str">
        <f>IFERROR(__xludf.DUMMYFUNCTION("""COMPUTED_VALUE"""),"C#")</f>
        <v>C#</v>
      </c>
      <c r="D2658" s="9" t="str">
        <f>IFERROR(__xludf.DUMMYFUNCTION("""COMPUTED_VALUE"""),"HTML/CSS")</f>
        <v>HTML/CSS</v>
      </c>
      <c r="E2658" s="9" t="str">
        <f>IFERROR(__xludf.DUMMYFUNCTION("""COMPUTED_VALUE"""),"JavaScript")</f>
        <v>JavaScript</v>
      </c>
      <c r="F2658" s="9" t="str">
        <f>IFERROR(__xludf.DUMMYFUNCTION("""COMPUTED_VALUE"""),"HTML/CSS")</f>
        <v>HTML/CSS</v>
      </c>
      <c r="G2658" s="9" t="str">
        <f>IFERROR(__xludf.DUMMYFUNCTION("""COMPUTED_VALUE"""),"SQL")</f>
        <v>SQL</v>
      </c>
      <c r="H2658" s="9" t="str">
        <f>IFERROR(__xludf.DUMMYFUNCTION("""COMPUTED_VALUE"""),"PHP")</f>
        <v>PHP</v>
      </c>
      <c r="I2658" s="9" t="str">
        <f>IFERROR(__xludf.DUMMYFUNCTION("""COMPUTED_VALUE"""),"Java")</f>
        <v>Java</v>
      </c>
      <c r="J2658" s="9" t="str">
        <f>IFERROR(__xludf.DUMMYFUNCTION("""COMPUTED_VALUE"""),"C++")</f>
        <v>C++</v>
      </c>
      <c r="K2658" s="9" t="str">
        <f>IFERROR(__xludf.DUMMYFUNCTION("""COMPUTED_VALUE"""),"Clojure")</f>
        <v>Clojure</v>
      </c>
      <c r="L2658" s="9" t="str">
        <f>IFERROR(__xludf.DUMMYFUNCTION("""COMPUTED_VALUE"""),"C++")</f>
        <v>C++</v>
      </c>
      <c r="M2658" s="9" t="s">
        <v>26</v>
      </c>
    </row>
    <row r="2659" ht="15.75" customHeight="1">
      <c r="A2659" s="7"/>
      <c r="B2659" s="7" t="str">
        <f>IFERROR(__xludf.DUMMYFUNCTION("""COMPUTED_VALUE"""),"Bash/Shell/PowerShell;Java;SQL;TypeScript")</f>
        <v>Bash/Shell/PowerShell;Java;SQL;TypeScript</v>
      </c>
      <c r="C2659" s="9" t="str">
        <f>IFERROR(__xludf.DUMMYFUNCTION("""COMPUTED_VALUE"""),"HTML/CSS")</f>
        <v>HTML/CSS</v>
      </c>
      <c r="D2659" s="9" t="str">
        <f>IFERROR(__xludf.DUMMYFUNCTION("""COMPUTED_VALUE"""),"Java")</f>
        <v>Java</v>
      </c>
      <c r="E2659" s="9" t="str">
        <f>IFERROR(__xludf.DUMMYFUNCTION("""COMPUTED_VALUE"""),"Python")</f>
        <v>Python</v>
      </c>
      <c r="F2659" s="9" t="str">
        <f>IFERROR(__xludf.DUMMYFUNCTION("""COMPUTED_VALUE"""),"Java")</f>
        <v>Java</v>
      </c>
      <c r="G2659" s="9" t="str">
        <f>IFERROR(__xludf.DUMMYFUNCTION("""COMPUTED_VALUE"""),"Bash/Shell/PowerShell")</f>
        <v>Bash/Shell/PowerShell</v>
      </c>
      <c r="H2659" s="9" t="str">
        <f>IFERROR(__xludf.DUMMYFUNCTION("""COMPUTED_VALUE"""),"Python")</f>
        <v>Python</v>
      </c>
      <c r="I2659" s="9" t="str">
        <f>IFERROR(__xludf.DUMMYFUNCTION("""COMPUTED_VALUE"""),"JavaScript")</f>
        <v>JavaScript</v>
      </c>
      <c r="J2659" s="9" t="str">
        <f>IFERROR(__xludf.DUMMYFUNCTION("""COMPUTED_VALUE"""),"C#")</f>
        <v>C#</v>
      </c>
      <c r="K2659" s="9" t="str">
        <f>IFERROR(__xludf.DUMMYFUNCTION("""COMPUTED_VALUE"""),"Dart")</f>
        <v>Dart</v>
      </c>
      <c r="L2659" s="9" t="str">
        <f>IFERROR(__xludf.DUMMYFUNCTION("""COMPUTED_VALUE"""),"Go")</f>
        <v>Go</v>
      </c>
      <c r="M2659" s="9" t="s">
        <v>24</v>
      </c>
    </row>
    <row r="2660" ht="15.75" customHeight="1">
      <c r="A2660" s="7"/>
      <c r="B2660" s="7" t="str">
        <f>IFERROR(__xludf.DUMMYFUNCTION("""COMPUTED_VALUE"""),"Bash/Shell/PowerShell;Python;SQL;Other(s):")</f>
        <v>Bash/Shell/PowerShell;Python;SQL;Other(s):</v>
      </c>
      <c r="C2660" s="9" t="str">
        <f>IFERROR(__xludf.DUMMYFUNCTION("""COMPUTED_VALUE"""),"JavaScript")</f>
        <v>JavaScript</v>
      </c>
      <c r="D2660" s="9" t="str">
        <f>IFERROR(__xludf.DUMMYFUNCTION("""COMPUTED_VALUE"""),"JavaScript")</f>
        <v>JavaScript</v>
      </c>
      <c r="E2660" s="9" t="str">
        <f>IFERROR(__xludf.DUMMYFUNCTION("""COMPUTED_VALUE"""),"SQL")</f>
        <v>SQL</v>
      </c>
      <c r="F2660" s="9" t="str">
        <f>IFERROR(__xludf.DUMMYFUNCTION("""COMPUTED_VALUE"""),"JavaScript")</f>
        <v>JavaScript</v>
      </c>
      <c r="G2660" s="9" t="str">
        <f>IFERROR(__xludf.DUMMYFUNCTION("""COMPUTED_VALUE"""),"C")</f>
        <v>C</v>
      </c>
      <c r="H2660" s="9" t="str">
        <f>IFERROR(__xludf.DUMMYFUNCTION("""COMPUTED_VALUE"""),"SQL")</f>
        <v>SQL</v>
      </c>
      <c r="I2660" s="9" t="str">
        <f>IFERROR(__xludf.DUMMYFUNCTION("""COMPUTED_VALUE"""),"PHP")</f>
        <v>PHP</v>
      </c>
      <c r="J2660" s="9" t="str">
        <f>IFERROR(__xludf.DUMMYFUNCTION("""COMPUTED_VALUE"""),"Go")</f>
        <v>Go</v>
      </c>
      <c r="K2660" s="9" t="str">
        <f>IFERROR(__xludf.DUMMYFUNCTION("""COMPUTED_VALUE"""),"Elixir")</f>
        <v>Elixir</v>
      </c>
      <c r="L2660" s="9" t="str">
        <f>IFERROR(__xludf.DUMMYFUNCTION("""COMPUTED_VALUE"""),"HTML/CSS")</f>
        <v>HTML/CSS</v>
      </c>
      <c r="M2660" s="9" t="s">
        <v>21</v>
      </c>
    </row>
    <row r="2661" ht="15.75" customHeight="1">
      <c r="A2661" s="7"/>
      <c r="B2661" s="7" t="str">
        <f>IFERROR(__xludf.DUMMYFUNCTION("""COMPUTED_VALUE"""),"Java")</f>
        <v>Java</v>
      </c>
      <c r="C2661" s="9" t="str">
        <f>IFERROR(__xludf.DUMMYFUNCTION("""COMPUTED_VALUE"""),"SQL")</f>
        <v>SQL</v>
      </c>
      <c r="D2661" s="9" t="str">
        <f>IFERROR(__xludf.DUMMYFUNCTION("""COMPUTED_VALUE"""),"Python")</f>
        <v>Python</v>
      </c>
      <c r="E2661" s="9" t="str">
        <f>IFERROR(__xludf.DUMMYFUNCTION("""COMPUTED_VALUE"""),"TypeScript")</f>
        <v>TypeScript</v>
      </c>
      <c r="F2661" s="9" t="str">
        <f>IFERROR(__xludf.DUMMYFUNCTION("""COMPUTED_VALUE"""),"PHP")</f>
        <v>PHP</v>
      </c>
      <c r="G2661" s="9" t="str">
        <f>IFERROR(__xludf.DUMMYFUNCTION("""COMPUTED_VALUE"""),"C++")</f>
        <v>C++</v>
      </c>
      <c r="H2661" s="9" t="str">
        <f>IFERROR(__xludf.DUMMYFUNCTION("""COMPUTED_VALUE"""),"C")</f>
        <v>C</v>
      </c>
      <c r="I2661" s="9" t="str">
        <f>IFERROR(__xludf.DUMMYFUNCTION("""COMPUTED_VALUE"""),"Python")</f>
        <v>Python</v>
      </c>
      <c r="J2661" s="9" t="str">
        <f>IFERROR(__xludf.DUMMYFUNCTION("""COMPUTED_VALUE"""),"HTML/CSS")</f>
        <v>HTML/CSS</v>
      </c>
      <c r="K2661" s="9" t="str">
        <f>IFERROR(__xludf.DUMMYFUNCTION("""COMPUTED_VALUE"""),"Erlang")</f>
        <v>Erlang</v>
      </c>
      <c r="L2661" s="9" t="str">
        <f>IFERROR(__xludf.DUMMYFUNCTION("""COMPUTED_VALUE"""),"Java")</f>
        <v>Java</v>
      </c>
      <c r="M2661" s="9" t="s">
        <v>27</v>
      </c>
    </row>
    <row r="2662" ht="15.75" customHeight="1">
      <c r="A2662" s="7"/>
      <c r="B2662" s="7" t="str">
        <f>IFERROR(__xludf.DUMMYFUNCTION("""COMPUTED_VALUE"""),"Bash/Shell/PowerShell;HTML/CSS;Java;JavaScript;Python")</f>
        <v>Bash/Shell/PowerShell;HTML/CSS;Java;JavaScript;Python</v>
      </c>
      <c r="C2662" s="9" t="str">
        <f>IFERROR(__xludf.DUMMYFUNCTION("""COMPUTED_VALUE"""),"Assembly")</f>
        <v>Assembly</v>
      </c>
      <c r="D2662" s="9" t="str">
        <f>IFERROR(__xludf.DUMMYFUNCTION("""COMPUTED_VALUE"""),"SQL")</f>
        <v>SQL</v>
      </c>
      <c r="E2662" s="9" t="str">
        <f>IFERROR(__xludf.DUMMYFUNCTION("""COMPUTED_VALUE"""),"HTML/CSS")</f>
        <v>HTML/CSS</v>
      </c>
      <c r="F2662" s="9" t="str">
        <f>IFERROR(__xludf.DUMMYFUNCTION("""COMPUTED_VALUE"""),"Python")</f>
        <v>Python</v>
      </c>
      <c r="G2662" s="9" t="str">
        <f>IFERROR(__xludf.DUMMYFUNCTION("""COMPUTED_VALUE"""),"Elixir")</f>
        <v>Elixir</v>
      </c>
      <c r="H2662" s="9" t="str">
        <f>IFERROR(__xludf.DUMMYFUNCTION("""COMPUTED_VALUE"""),"C#")</f>
        <v>C#</v>
      </c>
      <c r="I2662" s="9" t="str">
        <f>IFERROR(__xludf.DUMMYFUNCTION("""COMPUTED_VALUE"""),"Ruby")</f>
        <v>Ruby</v>
      </c>
      <c r="J2662" s="9" t="str">
        <f>IFERROR(__xludf.DUMMYFUNCTION("""COMPUTED_VALUE"""),"Java")</f>
        <v>Java</v>
      </c>
      <c r="K2662" s="9" t="str">
        <f>IFERROR(__xludf.DUMMYFUNCTION("""COMPUTED_VALUE"""),"F#")</f>
        <v>F#</v>
      </c>
      <c r="L2662" s="9" t="str">
        <f>IFERROR(__xludf.DUMMYFUNCTION("""COMPUTED_VALUE"""),"JavaScript")</f>
        <v>JavaScript</v>
      </c>
      <c r="M2662" s="9" t="s">
        <v>38</v>
      </c>
    </row>
    <row r="2663" ht="15.75" customHeight="1">
      <c r="A2663" s="7"/>
      <c r="B2663" s="7" t="str">
        <f>IFERROR(__xludf.DUMMYFUNCTION("""COMPUTED_VALUE"""),"C#;HTML/CSS;Java;JavaScript;PHP;SQL;TypeScript")</f>
        <v>C#;HTML/CSS;Java;JavaScript;PHP;SQL;TypeScript</v>
      </c>
      <c r="C2663" s="9" t="str">
        <f>IFERROR(__xludf.DUMMYFUNCTION("""COMPUTED_VALUE"""),"Bash/Shell/PowerShell")</f>
        <v>Bash/Shell/PowerShell</v>
      </c>
      <c r="D2663" s="9" t="str">
        <f>IFERROR(__xludf.DUMMYFUNCTION("""COMPUTED_VALUE"""),"HTML/CSS")</f>
        <v>HTML/CSS</v>
      </c>
      <c r="E2663" s="9" t="str">
        <f>IFERROR(__xludf.DUMMYFUNCTION("""COMPUTED_VALUE"""),"JavaScript")</f>
        <v>JavaScript</v>
      </c>
      <c r="F2663" s="9" t="str">
        <f>IFERROR(__xludf.DUMMYFUNCTION("""COMPUTED_VALUE"""),"R")</f>
        <v>R</v>
      </c>
      <c r="G2663" s="9" t="str">
        <f>IFERROR(__xludf.DUMMYFUNCTION("""COMPUTED_VALUE"""),"Erlang")</f>
        <v>Erlang</v>
      </c>
      <c r="H2663" s="9" t="str">
        <f>IFERROR(__xludf.DUMMYFUNCTION("""COMPUTED_VALUE"""),"Go")</f>
        <v>Go</v>
      </c>
      <c r="I2663" s="9" t="str">
        <f>IFERROR(__xludf.DUMMYFUNCTION("""COMPUTED_VALUE"""),"Scala")</f>
        <v>Scala</v>
      </c>
      <c r="J2663" s="9" t="str">
        <f>IFERROR(__xludf.DUMMYFUNCTION("""COMPUTED_VALUE"""),"Python")</f>
        <v>Python</v>
      </c>
      <c r="K2663" s="9" t="str">
        <f>IFERROR(__xludf.DUMMYFUNCTION("""COMPUTED_VALUE"""),"Go")</f>
        <v>Go</v>
      </c>
      <c r="L2663" s="9" t="str">
        <f>IFERROR(__xludf.DUMMYFUNCTION("""COMPUTED_VALUE"""),"Objective-C")</f>
        <v>Objective-C</v>
      </c>
      <c r="M2663" s="9" t="s">
        <v>30</v>
      </c>
    </row>
    <row r="2664" ht="15.75" customHeight="1">
      <c r="A2664" s="7"/>
      <c r="B2664" s="7" t="str">
        <f>IFERROR(__xludf.DUMMYFUNCTION("""COMPUTED_VALUE"""),"C#;HTML/CSS;JavaScript;TypeScript")</f>
        <v>C#;HTML/CSS;JavaScript;TypeScript</v>
      </c>
      <c r="C2664" s="9" t="str">
        <f>IFERROR(__xludf.DUMMYFUNCTION("""COMPUTED_VALUE"""),"C")</f>
        <v>C</v>
      </c>
      <c r="D2664" s="9" t="str">
        <f>IFERROR(__xludf.DUMMYFUNCTION("""COMPUTED_VALUE"""),"JavaScript")</f>
        <v>JavaScript</v>
      </c>
      <c r="E2664" s="9" t="str">
        <f>IFERROR(__xludf.DUMMYFUNCTION("""COMPUTED_VALUE"""),"PHP")</f>
        <v>PHP</v>
      </c>
      <c r="F2664" s="9" t="str">
        <f>IFERROR(__xludf.DUMMYFUNCTION("""COMPUTED_VALUE"""),"SQL")</f>
        <v>SQL</v>
      </c>
      <c r="G2664" s="9" t="str">
        <f>IFERROR(__xludf.DUMMYFUNCTION("""COMPUTED_VALUE"""),"JavaScript")</f>
        <v>JavaScript</v>
      </c>
      <c r="H2664" s="9" t="str">
        <f>IFERROR(__xludf.DUMMYFUNCTION("""COMPUTED_VALUE"""),"HTML/CSS")</f>
        <v>HTML/CSS</v>
      </c>
      <c r="I2664" s="9" t="str">
        <f>IFERROR(__xludf.DUMMYFUNCTION("""COMPUTED_VALUE"""),"SQL")</f>
        <v>SQL</v>
      </c>
      <c r="J2664" s="9" t="str">
        <f>IFERROR(__xludf.DUMMYFUNCTION("""COMPUTED_VALUE"""),"HTML/CSS")</f>
        <v>HTML/CSS</v>
      </c>
      <c r="K2664" s="9" t="str">
        <f>IFERROR(__xludf.DUMMYFUNCTION("""COMPUTED_VALUE"""),"HTML/CSS")</f>
        <v>HTML/CSS</v>
      </c>
      <c r="L2664" s="9" t="str">
        <f>IFERROR(__xludf.DUMMYFUNCTION("""COMPUTED_VALUE"""),"PHP")</f>
        <v>PHP</v>
      </c>
      <c r="M2664" s="9" t="s">
        <v>25</v>
      </c>
    </row>
    <row r="2665" ht="15.75" customHeight="1">
      <c r="A2665" s="7"/>
      <c r="B2665" s="7" t="str">
        <f>IFERROR(__xludf.DUMMYFUNCTION("""COMPUTED_VALUE"""),"C;C++;HTML/CSS;Java;JavaScript;Objective-C;Swift")</f>
        <v>C;C++;HTML/CSS;Java;JavaScript;Objective-C;Swift</v>
      </c>
      <c r="C2665" s="9" t="str">
        <f>IFERROR(__xludf.DUMMYFUNCTION("""COMPUTED_VALUE"""),"C++")</f>
        <v>C++</v>
      </c>
      <c r="D2665" s="9" t="str">
        <f>IFERROR(__xludf.DUMMYFUNCTION("""COMPUTED_VALUE"""),"PHP")</f>
        <v>PHP</v>
      </c>
      <c r="E2665" s="9" t="str">
        <f>IFERROR(__xludf.DUMMYFUNCTION("""COMPUTED_VALUE"""),"Python")</f>
        <v>Python</v>
      </c>
      <c r="F2665" s="9" t="str">
        <f>IFERROR(__xludf.DUMMYFUNCTION("""COMPUTED_VALUE"""),"VBA")</f>
        <v>VBA</v>
      </c>
      <c r="G2665" s="9" t="str">
        <f>IFERROR(__xludf.DUMMYFUNCTION("""COMPUTED_VALUE"""),"Other(s):")</f>
        <v>Other(s):</v>
      </c>
      <c r="H2665" s="9" t="str">
        <f>IFERROR(__xludf.DUMMYFUNCTION("""COMPUTED_VALUE"""),"Java")</f>
        <v>Java</v>
      </c>
      <c r="I2665" s="9" t="str">
        <f>IFERROR(__xludf.DUMMYFUNCTION("""COMPUTED_VALUE"""),"TypeScript")</f>
        <v>TypeScript</v>
      </c>
      <c r="J2665" s="9" t="str">
        <f>IFERROR(__xludf.DUMMYFUNCTION("""COMPUTED_VALUE"""),"Java")</f>
        <v>Java</v>
      </c>
      <c r="K2665" s="9" t="str">
        <f>IFERROR(__xludf.DUMMYFUNCTION("""COMPUTED_VALUE"""),"Java")</f>
        <v>Java</v>
      </c>
      <c r="L2665" s="9" t="str">
        <f>IFERROR(__xludf.DUMMYFUNCTION("""COMPUTED_VALUE"""),"Python")</f>
        <v>Python</v>
      </c>
      <c r="M2665" s="9" t="s">
        <v>23</v>
      </c>
    </row>
    <row r="2666" ht="15.75" customHeight="1">
      <c r="A2666" s="7"/>
      <c r="B2666" s="7" t="str">
        <f>IFERROR(__xludf.DUMMYFUNCTION("""COMPUTED_VALUE"""),"Bash/Shell/PowerShell;C;C++;HTML/CSS;Java;Python")</f>
        <v>Bash/Shell/PowerShell;C;C++;HTML/CSS;Java;Python</v>
      </c>
      <c r="C2666" s="9" t="str">
        <f>IFERROR(__xludf.DUMMYFUNCTION("""COMPUTED_VALUE"""),"HTML/CSS")</f>
        <v>HTML/CSS</v>
      </c>
      <c r="D2666" s="9" t="str">
        <f>IFERROR(__xludf.DUMMYFUNCTION("""COMPUTED_VALUE"""),"SQL")</f>
        <v>SQL</v>
      </c>
      <c r="E2666" s="9" t="str">
        <f>IFERROR(__xludf.DUMMYFUNCTION("""COMPUTED_VALUE"""),"SQL")</f>
        <v>SQL</v>
      </c>
      <c r="F2666" s="9" t="str">
        <f>IFERROR(__xludf.DUMMYFUNCTION("""COMPUTED_VALUE"""),"Other(s):")</f>
        <v>Other(s):</v>
      </c>
      <c r="G2666" s="9" t="str">
        <f>IFERROR(__xludf.DUMMYFUNCTION("""COMPUTED_VALUE"""),"HTML/CSS")</f>
        <v>HTML/CSS</v>
      </c>
      <c r="H2666" s="9" t="str">
        <f>IFERROR(__xludf.DUMMYFUNCTION("""COMPUTED_VALUE"""),"JavaScript")</f>
        <v>JavaScript</v>
      </c>
      <c r="I2666" s="9" t="str">
        <f>IFERROR(__xludf.DUMMYFUNCTION("""COMPUTED_VALUE"""),"VBA")</f>
        <v>VBA</v>
      </c>
      <c r="J2666" s="9" t="str">
        <f>IFERROR(__xludf.DUMMYFUNCTION("""COMPUTED_VALUE"""),"JavaScript")</f>
        <v>JavaScript</v>
      </c>
      <c r="K2666" s="9" t="str">
        <f>IFERROR(__xludf.DUMMYFUNCTION("""COMPUTED_VALUE"""),"JavaScript")</f>
        <v>JavaScript</v>
      </c>
      <c r="L2666" s="9" t="str">
        <f>IFERROR(__xludf.DUMMYFUNCTION("""COMPUTED_VALUE"""),"Ruby")</f>
        <v>Ruby</v>
      </c>
      <c r="M2666" s="9" t="s">
        <v>24</v>
      </c>
    </row>
    <row r="2667" ht="15.75" customHeight="1">
      <c r="A2667" s="7"/>
      <c r="B2667" s="7" t="str">
        <f>IFERROR(__xludf.DUMMYFUNCTION("""COMPUTED_VALUE"""),"HTML/CSS;JavaScript")</f>
        <v>HTML/CSS;JavaScript</v>
      </c>
      <c r="C2667" s="9" t="str">
        <f>IFERROR(__xludf.DUMMYFUNCTION("""COMPUTED_VALUE"""),"Java")</f>
        <v>Java</v>
      </c>
      <c r="D2667" s="9" t="str">
        <f>IFERROR(__xludf.DUMMYFUNCTION("""COMPUTED_VALUE"""),"Assembly")</f>
        <v>Assembly</v>
      </c>
      <c r="E2667" s="9" t="str">
        <f>IFERROR(__xludf.DUMMYFUNCTION("""COMPUTED_VALUE"""),"C++")</f>
        <v>C++</v>
      </c>
      <c r="F2667" s="9" t="str">
        <f>IFERROR(__xludf.DUMMYFUNCTION("""COMPUTED_VALUE"""),"C#")</f>
        <v>C#</v>
      </c>
      <c r="G2667" s="9" t="str">
        <f>IFERROR(__xludf.DUMMYFUNCTION("""COMPUTED_VALUE"""),"JavaScript")</f>
        <v>JavaScript</v>
      </c>
      <c r="H2667" s="9" t="str">
        <f>IFERROR(__xludf.DUMMYFUNCTION("""COMPUTED_VALUE"""),"Python")</f>
        <v>Python</v>
      </c>
      <c r="I2667" s="9" t="str">
        <f>IFERROR(__xludf.DUMMYFUNCTION("""COMPUTED_VALUE"""),"Other(s):")</f>
        <v>Other(s):</v>
      </c>
      <c r="J2667" s="9" t="str">
        <f>IFERROR(__xludf.DUMMYFUNCTION("""COMPUTED_VALUE"""),"Bash/Shell/PowerShell")</f>
        <v>Bash/Shell/PowerShell</v>
      </c>
      <c r="K2667" s="9" t="str">
        <f>IFERROR(__xludf.DUMMYFUNCTION("""COMPUTED_VALUE"""),"Kotlin")</f>
        <v>Kotlin</v>
      </c>
      <c r="L2667" s="9" t="str">
        <f>IFERROR(__xludf.DUMMYFUNCTION("""COMPUTED_VALUE"""),"SQL")</f>
        <v>SQL</v>
      </c>
      <c r="M2667" s="9" t="s">
        <v>20</v>
      </c>
    </row>
    <row r="2668" ht="15.75" customHeight="1">
      <c r="A2668" s="7"/>
      <c r="B2668" s="7" t="str">
        <f>IFERROR(__xludf.DUMMYFUNCTION("""COMPUTED_VALUE"""),"HTML/CSS;JavaScript;PHP;SQL")</f>
        <v>HTML/CSS;JavaScript;PHP;SQL</v>
      </c>
      <c r="C2668" s="9" t="str">
        <f>IFERROR(__xludf.DUMMYFUNCTION("""COMPUTED_VALUE"""),"JavaScript")</f>
        <v>JavaScript</v>
      </c>
      <c r="D2668" s="9" t="str">
        <f>IFERROR(__xludf.DUMMYFUNCTION("""COMPUTED_VALUE"""),"Bash/Shell/PowerShell")</f>
        <v>Bash/Shell/PowerShell</v>
      </c>
      <c r="E2668" s="9" t="str">
        <f>IFERROR(__xludf.DUMMYFUNCTION("""COMPUTED_VALUE"""),"Python")</f>
        <v>Python</v>
      </c>
      <c r="F2668" s="9" t="str">
        <f>IFERROR(__xludf.DUMMYFUNCTION("""COMPUTED_VALUE"""),"JavaScript")</f>
        <v>JavaScript</v>
      </c>
      <c r="G2668" s="9" t="str">
        <f>IFERROR(__xludf.DUMMYFUNCTION("""COMPUTED_VALUE"""),"PHP")</f>
        <v>PHP</v>
      </c>
      <c r="H2668" s="9" t="str">
        <f>IFERROR(__xludf.DUMMYFUNCTION("""COMPUTED_VALUE"""),"Ruby")</f>
        <v>Ruby</v>
      </c>
      <c r="I2668" s="9" t="str">
        <f>IFERROR(__xludf.DUMMYFUNCTION("""COMPUTED_VALUE"""),"Assembly")</f>
        <v>Assembly</v>
      </c>
      <c r="J2668" s="9" t="str">
        <f>IFERROR(__xludf.DUMMYFUNCTION("""COMPUTED_VALUE"""),"HTML/CSS")</f>
        <v>HTML/CSS</v>
      </c>
      <c r="K2668" s="9" t="str">
        <f>IFERROR(__xludf.DUMMYFUNCTION("""COMPUTED_VALUE"""),"Objective-C")</f>
        <v>Objective-C</v>
      </c>
      <c r="L2668" s="9" t="str">
        <f>IFERROR(__xludf.DUMMYFUNCTION("""COMPUTED_VALUE"""),"Swift")</f>
        <v>Swift</v>
      </c>
      <c r="M2668" s="9" t="s">
        <v>21</v>
      </c>
    </row>
    <row r="2669" ht="15.75" customHeight="1">
      <c r="A2669" s="7"/>
      <c r="B2669" s="7" t="str">
        <f>IFERROR(__xludf.DUMMYFUNCTION("""COMPUTED_VALUE"""),"Assembly;Bash/Shell/PowerShell;C;C++;C#;HTML/CSS;Java;JavaScript;Kotlin;Python;SQL")</f>
        <v>Assembly;Bash/Shell/PowerShell;C;C++;C#;HTML/CSS;Java;JavaScript;Kotlin;Python;SQL</v>
      </c>
      <c r="C2669" s="9" t="str">
        <f>IFERROR(__xludf.DUMMYFUNCTION("""COMPUTED_VALUE"""),"Python")</f>
        <v>Python</v>
      </c>
      <c r="D2669" s="9" t="str">
        <f>IFERROR(__xludf.DUMMYFUNCTION("""COMPUTED_VALUE"""),"C")</f>
        <v>C</v>
      </c>
      <c r="E2669" s="9" t="str">
        <f>IFERROR(__xludf.DUMMYFUNCTION("""COMPUTED_VALUE"""),"Java")</f>
        <v>Java</v>
      </c>
      <c r="F2669" s="9" t="str">
        <f>IFERROR(__xludf.DUMMYFUNCTION("""COMPUTED_VALUE"""),"Objective-C")</f>
        <v>Objective-C</v>
      </c>
      <c r="G2669" s="9" t="str">
        <f>IFERROR(__xludf.DUMMYFUNCTION("""COMPUTED_VALUE"""),"SQL")</f>
        <v>SQL</v>
      </c>
      <c r="H2669" s="9" t="str">
        <f>IFERROR(__xludf.DUMMYFUNCTION("""COMPUTED_VALUE"""),"TypeScript")</f>
        <v>TypeScript</v>
      </c>
      <c r="I2669" s="9" t="str">
        <f>IFERROR(__xludf.DUMMYFUNCTION("""COMPUTED_VALUE"""),"HTML/CSS")</f>
        <v>HTML/CSS</v>
      </c>
      <c r="J2669" s="9" t="str">
        <f>IFERROR(__xludf.DUMMYFUNCTION("""COMPUTED_VALUE"""),"Java")</f>
        <v>Java</v>
      </c>
      <c r="K2669" s="9" t="str">
        <f>IFERROR(__xludf.DUMMYFUNCTION("""COMPUTED_VALUE"""),"PHP")</f>
        <v>PHP</v>
      </c>
      <c r="L2669" s="9" t="str">
        <f>IFERROR(__xludf.DUMMYFUNCTION("""COMPUTED_VALUE"""),"C#")</f>
        <v>C#</v>
      </c>
      <c r="M2669" s="9" t="s">
        <v>22</v>
      </c>
    </row>
    <row r="2670" ht="15.75" customHeight="1">
      <c r="A2670" s="7"/>
      <c r="B2670" s="7" t="str">
        <f>IFERROR(__xludf.DUMMYFUNCTION("""COMPUTED_VALUE"""),"Assembly;Bash/Shell/PowerShell;C;HTML/CSS;JavaScript;PHP;Python;SQL;Other(s):")</f>
        <v>Assembly;Bash/Shell/PowerShell;C;HTML/CSS;JavaScript;PHP;Python;SQL;Other(s):</v>
      </c>
      <c r="C2670" s="9" t="str">
        <f>IFERROR(__xludf.DUMMYFUNCTION("""COMPUTED_VALUE"""),"R")</f>
        <v>R</v>
      </c>
      <c r="D2670" s="9" t="str">
        <f>IFERROR(__xludf.DUMMYFUNCTION("""COMPUTED_VALUE"""),"C++")</f>
        <v>C++</v>
      </c>
      <c r="E2670" s="9" t="str">
        <f>IFERROR(__xludf.DUMMYFUNCTION("""COMPUTED_VALUE"""),"Kotlin")</f>
        <v>Kotlin</v>
      </c>
      <c r="F2670" s="9" t="str">
        <f>IFERROR(__xludf.DUMMYFUNCTION("""COMPUTED_VALUE"""),"Swift")</f>
        <v>Swift</v>
      </c>
      <c r="G2670" s="9" t="str">
        <f>IFERROR(__xludf.DUMMYFUNCTION("""COMPUTED_VALUE"""),"Bash/Shell/PowerShell")</f>
        <v>Bash/Shell/PowerShell</v>
      </c>
      <c r="H2670" s="9" t="str">
        <f>IFERROR(__xludf.DUMMYFUNCTION("""COMPUTED_VALUE"""),"C++")</f>
        <v>C++</v>
      </c>
      <c r="I2670" s="9" t="str">
        <f>IFERROR(__xludf.DUMMYFUNCTION("""COMPUTED_VALUE"""),"Python")</f>
        <v>Python</v>
      </c>
      <c r="J2670" s="9" t="str">
        <f>IFERROR(__xludf.DUMMYFUNCTION("""COMPUTED_VALUE"""),"JavaScript")</f>
        <v>JavaScript</v>
      </c>
      <c r="K2670" s="9" t="str">
        <f>IFERROR(__xludf.DUMMYFUNCTION("""COMPUTED_VALUE"""),"Python")</f>
        <v>Python</v>
      </c>
      <c r="L2670" s="9" t="str">
        <f>IFERROR(__xludf.DUMMYFUNCTION("""COMPUTED_VALUE"""),"HTML/CSS")</f>
        <v>HTML/CSS</v>
      </c>
      <c r="M2670" s="9" t="s">
        <v>29</v>
      </c>
    </row>
    <row r="2671" ht="15.75" customHeight="1">
      <c r="A2671" s="7"/>
      <c r="B2671" s="7" t="str">
        <f>IFERROR(__xludf.DUMMYFUNCTION("""COMPUTED_VALUE"""),"Bash/Shell/PowerShell;Go;HTML/CSS;Java;JavaScript;Python;SQL;VBA")</f>
        <v>Bash/Shell/PowerShell;Go;HTML/CSS;Java;JavaScript;Python;SQL;VBA</v>
      </c>
      <c r="C2671" s="9" t="str">
        <f>IFERROR(__xludf.DUMMYFUNCTION("""COMPUTED_VALUE"""),"Scala")</f>
        <v>Scala</v>
      </c>
      <c r="D2671" s="9" t="str">
        <f>IFERROR(__xludf.DUMMYFUNCTION("""COMPUTED_VALUE"""),"Python")</f>
        <v>Python</v>
      </c>
      <c r="E2671" s="9" t="str">
        <f>IFERROR(__xludf.DUMMYFUNCTION("""COMPUTED_VALUE"""),"Bash/Shell/PowerShell")</f>
        <v>Bash/Shell/PowerShell</v>
      </c>
      <c r="F2671" s="9" t="str">
        <f>IFERROR(__xludf.DUMMYFUNCTION("""COMPUTED_VALUE"""),"HTML/CSS")</f>
        <v>HTML/CSS</v>
      </c>
      <c r="G2671" s="9" t="str">
        <f>IFERROR(__xludf.DUMMYFUNCTION("""COMPUTED_VALUE"""),"C#")</f>
        <v>C#</v>
      </c>
      <c r="H2671" s="9" t="str">
        <f>IFERROR(__xludf.DUMMYFUNCTION("""COMPUTED_VALUE"""),"C#")</f>
        <v>C#</v>
      </c>
      <c r="I2671" s="9" t="str">
        <f>IFERROR(__xludf.DUMMYFUNCTION("""COMPUTED_VALUE"""),"Bash/Shell/PowerShell")</f>
        <v>Bash/Shell/PowerShell</v>
      </c>
      <c r="J2671" s="9" t="str">
        <f>IFERROR(__xludf.DUMMYFUNCTION("""COMPUTED_VALUE"""),"PHP")</f>
        <v>PHP</v>
      </c>
      <c r="K2671" s="9" t="str">
        <f>IFERROR(__xludf.DUMMYFUNCTION("""COMPUTED_VALUE"""),"R")</f>
        <v>R</v>
      </c>
      <c r="L2671" s="9" t="str">
        <f>IFERROR(__xludf.DUMMYFUNCTION("""COMPUTED_VALUE"""),"Java")</f>
        <v>Java</v>
      </c>
      <c r="M2671" s="9" t="s">
        <v>46</v>
      </c>
    </row>
    <row r="2672" ht="15.75" customHeight="1">
      <c r="A2672" s="7"/>
      <c r="B2672" s="7" t="str">
        <f>IFERROR(__xludf.DUMMYFUNCTION("""COMPUTED_VALUE"""),"Bash/Shell/PowerShell;C;HTML/CSS;JavaScript;Ruby;TypeScript")</f>
        <v>Bash/Shell/PowerShell;C;HTML/CSS;JavaScript;Ruby;TypeScript</v>
      </c>
      <c r="C2672" s="9" t="str">
        <f>IFERROR(__xludf.DUMMYFUNCTION("""COMPUTED_VALUE"""),"SQL")</f>
        <v>SQL</v>
      </c>
      <c r="D2672" s="9" t="str">
        <f>IFERROR(__xludf.DUMMYFUNCTION("""COMPUTED_VALUE"""),"Bash/Shell/PowerShell")</f>
        <v>Bash/Shell/PowerShell</v>
      </c>
      <c r="E2672" s="9" t="str">
        <f>IFERROR(__xludf.DUMMYFUNCTION("""COMPUTED_VALUE"""),"HTML/CSS")</f>
        <v>HTML/CSS</v>
      </c>
      <c r="F2672" s="9" t="str">
        <f>IFERROR(__xludf.DUMMYFUNCTION("""COMPUTED_VALUE"""),"Java")</f>
        <v>Java</v>
      </c>
      <c r="G2672" s="9" t="str">
        <f>IFERROR(__xludf.DUMMYFUNCTION("""COMPUTED_VALUE"""),"HTML/CSS")</f>
        <v>HTML/CSS</v>
      </c>
      <c r="H2672" s="9" t="str">
        <f>IFERROR(__xludf.DUMMYFUNCTION("""COMPUTED_VALUE"""),"HTML/CSS")</f>
        <v>HTML/CSS</v>
      </c>
      <c r="I2672" s="9" t="str">
        <f>IFERROR(__xludf.DUMMYFUNCTION("""COMPUTED_VALUE"""),"C")</f>
        <v>C</v>
      </c>
      <c r="J2672" s="9" t="str">
        <f>IFERROR(__xludf.DUMMYFUNCTION("""COMPUTED_VALUE"""),"Python")</f>
        <v>Python</v>
      </c>
      <c r="K2672" s="9" t="str">
        <f>IFERROR(__xludf.DUMMYFUNCTION("""COMPUTED_VALUE"""),"Ruby")</f>
        <v>Ruby</v>
      </c>
      <c r="L2672" s="9" t="str">
        <f>IFERROR(__xludf.DUMMYFUNCTION("""COMPUTED_VALUE"""),"JavaScript")</f>
        <v>JavaScript</v>
      </c>
      <c r="M2672" s="9" t="s">
        <v>27</v>
      </c>
    </row>
    <row r="2673" ht="15.75" customHeight="1">
      <c r="A2673" s="7"/>
      <c r="B2673" s="7" t="str">
        <f>IFERROR(__xludf.DUMMYFUNCTION("""COMPUTED_VALUE"""),"Assembly;Bash/Shell/PowerShell;C;HTML/CSS;Java;JavaScript;PHP;SQL")</f>
        <v>Assembly;Bash/Shell/PowerShell;C;HTML/CSS;Java;JavaScript;PHP;SQL</v>
      </c>
      <c r="C2673" s="9" t="str">
        <f>IFERROR(__xludf.DUMMYFUNCTION("""COMPUTED_VALUE"""),"HTML/CSS")</f>
        <v>HTML/CSS</v>
      </c>
      <c r="D2673" s="9" t="str">
        <f>IFERROR(__xludf.DUMMYFUNCTION("""COMPUTED_VALUE"""),"C#")</f>
        <v>C#</v>
      </c>
      <c r="E2673" s="9" t="str">
        <f>IFERROR(__xludf.DUMMYFUNCTION("""COMPUTED_VALUE"""),"Java")</f>
        <v>Java</v>
      </c>
      <c r="F2673" s="9" t="str">
        <f>IFERROR(__xludf.DUMMYFUNCTION("""COMPUTED_VALUE"""),"JavaScript")</f>
        <v>JavaScript</v>
      </c>
      <c r="G2673" s="9" t="str">
        <f>IFERROR(__xludf.DUMMYFUNCTION("""COMPUTED_VALUE"""),"JavaScript")</f>
        <v>JavaScript</v>
      </c>
      <c r="H2673" s="9" t="str">
        <f>IFERROR(__xludf.DUMMYFUNCTION("""COMPUTED_VALUE"""),"JavaScript")</f>
        <v>JavaScript</v>
      </c>
      <c r="I2673" s="9" t="str">
        <f>IFERROR(__xludf.DUMMYFUNCTION("""COMPUTED_VALUE"""),"C++")</f>
        <v>C++</v>
      </c>
      <c r="J2673" s="9" t="str">
        <f>IFERROR(__xludf.DUMMYFUNCTION("""COMPUTED_VALUE"""),"SQL")</f>
        <v>SQL</v>
      </c>
      <c r="K2673" s="9" t="str">
        <f>IFERROR(__xludf.DUMMYFUNCTION("""COMPUTED_VALUE"""),"Scala")</f>
        <v>Scala</v>
      </c>
      <c r="L2673" s="9" t="str">
        <f>IFERROR(__xludf.DUMMYFUNCTION("""COMPUTED_VALUE"""),"PHP")</f>
        <v>PHP</v>
      </c>
      <c r="M2673" s="9" t="s">
        <v>24</v>
      </c>
    </row>
    <row r="2674" ht="15.75" customHeight="1">
      <c r="A2674" s="7"/>
      <c r="B2674" s="7" t="str">
        <f>IFERROR(__xludf.DUMMYFUNCTION("""COMPUTED_VALUE"""),"Erlang;Go;HTML/CSS;Java;JavaScript;Python;SQL;TypeScript")</f>
        <v>Erlang;Go;HTML/CSS;Java;JavaScript;Python;SQL;TypeScript</v>
      </c>
      <c r="C2674" s="9" t="str">
        <f>IFERROR(__xludf.DUMMYFUNCTION("""COMPUTED_VALUE"""),"Java")</f>
        <v>Java</v>
      </c>
      <c r="D2674" s="9" t="str">
        <f>IFERROR(__xludf.DUMMYFUNCTION("""COMPUTED_VALUE"""),"HTML/CSS")</f>
        <v>HTML/CSS</v>
      </c>
      <c r="E2674" s="9" t="str">
        <f>IFERROR(__xludf.DUMMYFUNCTION("""COMPUTED_VALUE"""),"JavaScript")</f>
        <v>JavaScript</v>
      </c>
      <c r="F2674" s="9" t="str">
        <f>IFERROR(__xludf.DUMMYFUNCTION("""COMPUTED_VALUE"""),"Python")</f>
        <v>Python</v>
      </c>
      <c r="G2674" s="9" t="str">
        <f>IFERROR(__xludf.DUMMYFUNCTION("""COMPUTED_VALUE"""),"SQL")</f>
        <v>SQL</v>
      </c>
      <c r="H2674" s="9" t="str">
        <f>IFERROR(__xludf.DUMMYFUNCTION("""COMPUTED_VALUE"""),"Python")</f>
        <v>Python</v>
      </c>
      <c r="I2674" s="9" t="str">
        <f>IFERROR(__xludf.DUMMYFUNCTION("""COMPUTED_VALUE"""),"Elixir")</f>
        <v>Elixir</v>
      </c>
      <c r="J2674" s="9" t="str">
        <f>IFERROR(__xludf.DUMMYFUNCTION("""COMPUTED_VALUE"""),"Bash/Shell/PowerShell")</f>
        <v>Bash/Shell/PowerShell</v>
      </c>
      <c r="K2674" s="9" t="str">
        <f>IFERROR(__xludf.DUMMYFUNCTION("""COMPUTED_VALUE"""),"SQL")</f>
        <v>SQL</v>
      </c>
      <c r="L2674" s="9" t="str">
        <f>IFERROR(__xludf.DUMMYFUNCTION("""COMPUTED_VALUE"""),"Python")</f>
        <v>Python</v>
      </c>
      <c r="M2674" s="9" t="s">
        <v>20</v>
      </c>
    </row>
    <row r="2675" ht="15.75" customHeight="1">
      <c r="A2675" s="7"/>
      <c r="B2675" s="7" t="str">
        <f>IFERROR(__xludf.DUMMYFUNCTION("""COMPUTED_VALUE"""),"HTML/CSS;JavaScript;PHP;Ruby;SQL")</f>
        <v>HTML/CSS;JavaScript;PHP;Ruby;SQL</v>
      </c>
      <c r="C2675" s="9" t="str">
        <f>IFERROR(__xludf.DUMMYFUNCTION("""COMPUTED_VALUE"""),"JavaScript")</f>
        <v>JavaScript</v>
      </c>
      <c r="D2675" s="9" t="str">
        <f>IFERROR(__xludf.DUMMYFUNCTION("""COMPUTED_VALUE"""),"JavaScript")</f>
        <v>JavaScript</v>
      </c>
      <c r="E2675" s="9" t="str">
        <f>IFERROR(__xludf.DUMMYFUNCTION("""COMPUTED_VALUE"""),"SQL")</f>
        <v>SQL</v>
      </c>
      <c r="F2675" s="9" t="str">
        <f>IFERROR(__xludf.DUMMYFUNCTION("""COMPUTED_VALUE"""),"SQL")</f>
        <v>SQL</v>
      </c>
      <c r="G2675" s="9" t="str">
        <f>IFERROR(__xludf.DUMMYFUNCTION("""COMPUTED_VALUE"""),"TypeScript")</f>
        <v>TypeScript</v>
      </c>
      <c r="H2675" s="9" t="str">
        <f>IFERROR(__xludf.DUMMYFUNCTION("""COMPUTED_VALUE"""),"SQL")</f>
        <v>SQL</v>
      </c>
      <c r="I2675" s="9" t="str">
        <f>IFERROR(__xludf.DUMMYFUNCTION("""COMPUTED_VALUE"""),"Erlang")</f>
        <v>Erlang</v>
      </c>
      <c r="J2675" s="9" t="str">
        <f>IFERROR(__xludf.DUMMYFUNCTION("""COMPUTED_VALUE"""),"C")</f>
        <v>C</v>
      </c>
      <c r="K2675" s="9" t="str">
        <f>IFERROR(__xludf.DUMMYFUNCTION("""COMPUTED_VALUE"""),"Swift")</f>
        <v>Swift</v>
      </c>
      <c r="L2675" s="9" t="str">
        <f>IFERROR(__xludf.DUMMYFUNCTION("""COMPUTED_VALUE"""),"SQL")</f>
        <v>SQL</v>
      </c>
      <c r="M2675" s="9" t="s">
        <v>21</v>
      </c>
    </row>
    <row r="2676" ht="15.75" customHeight="1">
      <c r="A2676" s="7"/>
      <c r="B2676" s="7" t="str">
        <f>IFERROR(__xludf.DUMMYFUNCTION("""COMPUTED_VALUE"""),"Bash/Shell/PowerShell;C;C++;HTML/CSS;Python;R;Rust;Other(s):")</f>
        <v>Bash/Shell/PowerShell;C;C++;HTML/CSS;Python;R;Rust;Other(s):</v>
      </c>
      <c r="C2676" s="9" t="str">
        <f>IFERROR(__xludf.DUMMYFUNCTION("""COMPUTED_VALUE"""),"PHP")</f>
        <v>PHP</v>
      </c>
      <c r="D2676" s="9" t="str">
        <f>IFERROR(__xludf.DUMMYFUNCTION("""COMPUTED_VALUE"""),"SQL")</f>
        <v>SQL</v>
      </c>
      <c r="E2676" s="9" t="str">
        <f>IFERROR(__xludf.DUMMYFUNCTION("""COMPUTED_VALUE"""),"TypeScript")</f>
        <v>TypeScript</v>
      </c>
      <c r="F2676" s="9" t="str">
        <f>IFERROR(__xludf.DUMMYFUNCTION("""COMPUTED_VALUE"""),"TypeScript")</f>
        <v>TypeScript</v>
      </c>
      <c r="G2676" s="9" t="str">
        <f>IFERROR(__xludf.DUMMYFUNCTION("""COMPUTED_VALUE"""),"C#")</f>
        <v>C#</v>
      </c>
      <c r="H2676" s="9" t="str">
        <f>IFERROR(__xludf.DUMMYFUNCTION("""COMPUTED_VALUE"""),"Assembly")</f>
        <v>Assembly</v>
      </c>
      <c r="I2676" s="9" t="str">
        <f>IFERROR(__xludf.DUMMYFUNCTION("""COMPUTED_VALUE"""),"Go")</f>
        <v>Go</v>
      </c>
      <c r="J2676" s="9" t="str">
        <f>IFERROR(__xludf.DUMMYFUNCTION("""COMPUTED_VALUE"""),"C++")</f>
        <v>C++</v>
      </c>
      <c r="K2676" s="9" t="str">
        <f>IFERROR(__xludf.DUMMYFUNCTION("""COMPUTED_VALUE"""),"TypeScript")</f>
        <v>TypeScript</v>
      </c>
      <c r="L2676" s="9" t="str">
        <f>IFERROR(__xludf.DUMMYFUNCTION("""COMPUTED_VALUE"""),"Bash/Shell/PowerShell")</f>
        <v>Bash/Shell/PowerShell</v>
      </c>
      <c r="M2676" s="9" t="s">
        <v>37</v>
      </c>
    </row>
    <row r="2677" ht="15.75" customHeight="1">
      <c r="A2677" s="7"/>
      <c r="B2677" s="7" t="str">
        <f>IFERROR(__xludf.DUMMYFUNCTION("""COMPUTED_VALUE"""),"Go;Python")</f>
        <v>Go;Python</v>
      </c>
      <c r="C2677" s="9" t="str">
        <f>IFERROR(__xludf.DUMMYFUNCTION("""COMPUTED_VALUE"""),"C#")</f>
        <v>C#</v>
      </c>
      <c r="D2677" s="9" t="str">
        <f>IFERROR(__xludf.DUMMYFUNCTION("""COMPUTED_VALUE"""),"TypeScript")</f>
        <v>TypeScript</v>
      </c>
      <c r="E2677" s="9" t="str">
        <f>IFERROR(__xludf.DUMMYFUNCTION("""COMPUTED_VALUE"""),"Objective-C")</f>
        <v>Objective-C</v>
      </c>
      <c r="F2677" s="9" t="str">
        <f>IFERROR(__xludf.DUMMYFUNCTION("""COMPUTED_VALUE"""),"Bash/Shell/PowerShell")</f>
        <v>Bash/Shell/PowerShell</v>
      </c>
      <c r="G2677" s="9" t="str">
        <f>IFERROR(__xludf.DUMMYFUNCTION("""COMPUTED_VALUE"""),"JavaScript")</f>
        <v>JavaScript</v>
      </c>
      <c r="H2677" s="9" t="str">
        <f>IFERROR(__xludf.DUMMYFUNCTION("""COMPUTED_VALUE"""),"Bash/Shell/PowerShell")</f>
        <v>Bash/Shell/PowerShell</v>
      </c>
      <c r="I2677" s="9" t="str">
        <f>IFERROR(__xludf.DUMMYFUNCTION("""COMPUTED_VALUE"""),"JavaScript")</f>
        <v>JavaScript</v>
      </c>
      <c r="J2677" s="9" t="str">
        <f>IFERROR(__xludf.DUMMYFUNCTION("""COMPUTED_VALUE"""),"C#")</f>
        <v>C#</v>
      </c>
      <c r="K2677" s="9" t="str">
        <f>IFERROR(__xludf.DUMMYFUNCTION("""COMPUTED_VALUE"""),"VBA")</f>
        <v>VBA</v>
      </c>
      <c r="L2677" s="9" t="str">
        <f>IFERROR(__xludf.DUMMYFUNCTION("""COMPUTED_VALUE"""),"HTML/CSS")</f>
        <v>HTML/CSS</v>
      </c>
      <c r="M2677" s="9" t="s">
        <v>26</v>
      </c>
    </row>
    <row r="2678" ht="15.75" customHeight="1">
      <c r="A2678" s="7"/>
      <c r="B2678" s="7" t="str">
        <f>IFERROR(__xludf.DUMMYFUNCTION("""COMPUTED_VALUE"""),"Bash/Shell/PowerShell;C#;SQL")</f>
        <v>Bash/Shell/PowerShell;C#;SQL</v>
      </c>
      <c r="C2678" s="9" t="str">
        <f>IFERROR(__xludf.DUMMYFUNCTION("""COMPUTED_VALUE"""),"HTML/CSS")</f>
        <v>HTML/CSS</v>
      </c>
      <c r="D2678" s="9" t="str">
        <f>IFERROR(__xludf.DUMMYFUNCTION("""COMPUTED_VALUE"""),"C#")</f>
        <v>C#</v>
      </c>
      <c r="E2678" s="9" t="str">
        <f>IFERROR(__xludf.DUMMYFUNCTION("""COMPUTED_VALUE"""),"Python")</f>
        <v>Python</v>
      </c>
      <c r="F2678" s="9" t="str">
        <f>IFERROR(__xludf.DUMMYFUNCTION("""COMPUTED_VALUE"""),"C++")</f>
        <v>C++</v>
      </c>
      <c r="G2678" s="9" t="str">
        <f>IFERROR(__xludf.DUMMYFUNCTION("""COMPUTED_VALUE"""),"Python")</f>
        <v>Python</v>
      </c>
      <c r="H2678" s="9" t="str">
        <f>IFERROR(__xludf.DUMMYFUNCTION("""COMPUTED_VALUE"""),"C")</f>
        <v>C</v>
      </c>
      <c r="I2678" s="9" t="str">
        <f>IFERROR(__xludf.DUMMYFUNCTION("""COMPUTED_VALUE"""),"Python")</f>
        <v>Python</v>
      </c>
      <c r="J2678" s="9" t="str">
        <f>IFERROR(__xludf.DUMMYFUNCTION("""COMPUTED_VALUE"""),"HTML/CSS")</f>
        <v>HTML/CSS</v>
      </c>
      <c r="K2678" s="9" t="str">
        <f>IFERROR(__xludf.DUMMYFUNCTION("""COMPUTED_VALUE"""),"WebAssembly")</f>
        <v>WebAssembly</v>
      </c>
      <c r="L2678" s="9" t="str">
        <f>IFERROR(__xludf.DUMMYFUNCTION("""COMPUTED_VALUE"""),"Java")</f>
        <v>Java</v>
      </c>
      <c r="M2678" s="9" t="s">
        <v>24</v>
      </c>
    </row>
    <row r="2679" ht="15.75" customHeight="1">
      <c r="A2679" s="7"/>
      <c r="B2679" s="7" t="str">
        <f>IFERROR(__xludf.DUMMYFUNCTION("""COMPUTED_VALUE"""),"Python")</f>
        <v>Python</v>
      </c>
      <c r="C2679" s="9" t="str">
        <f>IFERROR(__xludf.DUMMYFUNCTION("""COMPUTED_VALUE"""),"JavaScript")</f>
        <v>JavaScript</v>
      </c>
      <c r="D2679" s="9" t="str">
        <f>IFERROR(__xludf.DUMMYFUNCTION("""COMPUTED_VALUE"""),"HTML/CSS")</f>
        <v>HTML/CSS</v>
      </c>
      <c r="E2679" s="9" t="str">
        <f>IFERROR(__xludf.DUMMYFUNCTION("""COMPUTED_VALUE"""),"Swift")</f>
        <v>Swift</v>
      </c>
      <c r="F2679" s="9" t="str">
        <f>IFERROR(__xludf.DUMMYFUNCTION("""COMPUTED_VALUE"""),"Python")</f>
        <v>Python</v>
      </c>
      <c r="G2679" s="9" t="str">
        <f>IFERROR(__xludf.DUMMYFUNCTION("""COMPUTED_VALUE"""),"Bash/Shell/PowerShell")</f>
        <v>Bash/Shell/PowerShell</v>
      </c>
      <c r="H2679" s="9" t="str">
        <f>IFERROR(__xludf.DUMMYFUNCTION("""COMPUTED_VALUE"""),"C++")</f>
        <v>C++</v>
      </c>
      <c r="I2679" s="9" t="str">
        <f>IFERROR(__xludf.DUMMYFUNCTION("""COMPUTED_VALUE"""),"R")</f>
        <v>R</v>
      </c>
      <c r="J2679" s="9" t="str">
        <f>IFERROR(__xludf.DUMMYFUNCTION("""COMPUTED_VALUE"""),"Java")</f>
        <v>Java</v>
      </c>
      <c r="K2679" s="9" t="str">
        <f>IFERROR(__xludf.DUMMYFUNCTION("""COMPUTED_VALUE"""),"Other(s):")</f>
        <v>Other(s):</v>
      </c>
      <c r="L2679" s="9" t="str">
        <f>IFERROR(__xludf.DUMMYFUNCTION("""COMPUTED_VALUE"""),"JavaScript")</f>
        <v>JavaScript</v>
      </c>
      <c r="M2679" s="9" t="s">
        <v>21</v>
      </c>
    </row>
    <row r="2680" ht="15.75" customHeight="1">
      <c r="A2680" s="7"/>
      <c r="B2680" s="7" t="str">
        <f>IFERROR(__xludf.DUMMYFUNCTION("""COMPUTED_VALUE"""),"HTML/CSS;JavaScript;Ruby;SQL;TypeScript")</f>
        <v>HTML/CSS;JavaScript;Ruby;SQL;TypeScript</v>
      </c>
      <c r="C2680" s="9" t="str">
        <f>IFERROR(__xludf.DUMMYFUNCTION("""COMPUTED_VALUE"""),"Python")</f>
        <v>Python</v>
      </c>
      <c r="D2680" s="9" t="str">
        <f>IFERROR(__xludf.DUMMYFUNCTION("""COMPUTED_VALUE"""),"Java")</f>
        <v>Java</v>
      </c>
      <c r="E2680" s="9" t="str">
        <f>IFERROR(__xludf.DUMMYFUNCTION("""COMPUTED_VALUE"""),"C#")</f>
        <v>C#</v>
      </c>
      <c r="F2680" s="9" t="str">
        <f>IFERROR(__xludf.DUMMYFUNCTION("""COMPUTED_VALUE"""),"SQL")</f>
        <v>SQL</v>
      </c>
      <c r="G2680" s="9" t="str">
        <f>IFERROR(__xludf.DUMMYFUNCTION("""COMPUTED_VALUE"""),"Java")</f>
        <v>Java</v>
      </c>
      <c r="H2680" s="9" t="str">
        <f>IFERROR(__xludf.DUMMYFUNCTION("""COMPUTED_VALUE"""),"Java")</f>
        <v>Java</v>
      </c>
      <c r="I2680" s="9" t="str">
        <f>IFERROR(__xludf.DUMMYFUNCTION("""COMPUTED_VALUE"""),"Ruby")</f>
        <v>Ruby</v>
      </c>
      <c r="J2680" s="9" t="str">
        <f>IFERROR(__xludf.DUMMYFUNCTION("""COMPUTED_VALUE"""),"JavaScript")</f>
        <v>JavaScript</v>
      </c>
      <c r="K2680" s="9" t="str">
        <f>IFERROR(__xludf.DUMMYFUNCTION("""COMPUTED_VALUE"""),"Bash/Shell/PowerShell")</f>
        <v>Bash/Shell/PowerShell</v>
      </c>
      <c r="L2680" s="9" t="str">
        <f>IFERROR(__xludf.DUMMYFUNCTION("""COMPUTED_VALUE"""),"SQL")</f>
        <v>SQL</v>
      </c>
      <c r="M2680" s="9" t="s">
        <v>22</v>
      </c>
    </row>
    <row r="2681" ht="15.75" customHeight="1">
      <c r="A2681" s="7"/>
      <c r="B2681" s="7" t="str">
        <f>IFERROR(__xludf.DUMMYFUNCTION("""COMPUTED_VALUE"""),"HTML/CSS;JavaScript;PHP;SQL")</f>
        <v>HTML/CSS;JavaScript;PHP;SQL</v>
      </c>
      <c r="C2681" s="9" t="str">
        <f>IFERROR(__xludf.DUMMYFUNCTION("""COMPUTED_VALUE"""),"SQL")</f>
        <v>SQL</v>
      </c>
      <c r="D2681" s="9" t="str">
        <f>IFERROR(__xludf.DUMMYFUNCTION("""COMPUTED_VALUE"""),"JavaScript")</f>
        <v>JavaScript</v>
      </c>
      <c r="E2681" s="9" t="str">
        <f>IFERROR(__xludf.DUMMYFUNCTION("""COMPUTED_VALUE"""),"HTML/CSS")</f>
        <v>HTML/CSS</v>
      </c>
      <c r="F2681" s="9" t="str">
        <f>IFERROR(__xludf.DUMMYFUNCTION("""COMPUTED_VALUE"""),"C#")</f>
        <v>C#</v>
      </c>
      <c r="G2681" s="9" t="str">
        <f>IFERROR(__xludf.DUMMYFUNCTION("""COMPUTED_VALUE"""),"Python")</f>
        <v>Python</v>
      </c>
      <c r="H2681" s="9" t="str">
        <f>IFERROR(__xludf.DUMMYFUNCTION("""COMPUTED_VALUE"""),"JavaScript")</f>
        <v>JavaScript</v>
      </c>
      <c r="I2681" s="9" t="str">
        <f>IFERROR(__xludf.DUMMYFUNCTION("""COMPUTED_VALUE"""),"Rust")</f>
        <v>Rust</v>
      </c>
      <c r="J2681" s="9" t="str">
        <f>IFERROR(__xludf.DUMMYFUNCTION("""COMPUTED_VALUE"""),"Objective-C")</f>
        <v>Objective-C</v>
      </c>
      <c r="K2681" s="9" t="str">
        <f>IFERROR(__xludf.DUMMYFUNCTION("""COMPUTED_VALUE"""),"HTML/CSS")</f>
        <v>HTML/CSS</v>
      </c>
      <c r="L2681" s="9" t="str">
        <f>IFERROR(__xludf.DUMMYFUNCTION("""COMPUTED_VALUE"""),"HTML/CSS")</f>
        <v>HTML/CSS</v>
      </c>
      <c r="M2681" s="9" t="s">
        <v>27</v>
      </c>
    </row>
    <row r="2682" ht="15.75" customHeight="1">
      <c r="A2682" s="7"/>
      <c r="B2682" s="7" t="str">
        <f>IFERROR(__xludf.DUMMYFUNCTION("""COMPUTED_VALUE"""),"JavaScript")</f>
        <v>JavaScript</v>
      </c>
      <c r="C2682" s="9" t="str">
        <f>IFERROR(__xludf.DUMMYFUNCTION("""COMPUTED_VALUE"""),"TypeScript")</f>
        <v>TypeScript</v>
      </c>
      <c r="D2682" s="9" t="str">
        <f>IFERROR(__xludf.DUMMYFUNCTION("""COMPUTED_VALUE"""),"Objective-C")</f>
        <v>Objective-C</v>
      </c>
      <c r="E2682" s="9" t="str">
        <f>IFERROR(__xludf.DUMMYFUNCTION("""COMPUTED_VALUE"""),"JavaScript")</f>
        <v>JavaScript</v>
      </c>
      <c r="F2682" s="9" t="str">
        <f>IFERROR(__xludf.DUMMYFUNCTION("""COMPUTED_VALUE"""),"HTML/CSS")</f>
        <v>HTML/CSS</v>
      </c>
      <c r="G2682" s="9" t="str">
        <f>IFERROR(__xludf.DUMMYFUNCTION("""COMPUTED_VALUE"""),"SQL")</f>
        <v>SQL</v>
      </c>
      <c r="H2682" s="9" t="str">
        <f>IFERROR(__xludf.DUMMYFUNCTION("""COMPUTED_VALUE"""),"Python")</f>
        <v>Python</v>
      </c>
      <c r="I2682" s="9" t="str">
        <f>IFERROR(__xludf.DUMMYFUNCTION("""COMPUTED_VALUE"""),"SQL")</f>
        <v>SQL</v>
      </c>
      <c r="J2682" s="9" t="str">
        <f>IFERROR(__xludf.DUMMYFUNCTION("""COMPUTED_VALUE"""),"PHP")</f>
        <v>PHP</v>
      </c>
      <c r="K2682" s="9" t="str">
        <f>IFERROR(__xludf.DUMMYFUNCTION("""COMPUTED_VALUE"""),"JavaScript")</f>
        <v>JavaScript</v>
      </c>
      <c r="L2682" s="9" t="str">
        <f>IFERROR(__xludf.DUMMYFUNCTION("""COMPUTED_VALUE"""),"JavaScript")</f>
        <v>JavaScript</v>
      </c>
      <c r="M2682" s="9" t="s">
        <v>33</v>
      </c>
    </row>
    <row r="2683" ht="15.75" customHeight="1">
      <c r="A2683" s="7"/>
      <c r="B2683" s="7" t="str">
        <f>IFERROR(__xludf.DUMMYFUNCTION("""COMPUTED_VALUE"""),"Assembly;Python")</f>
        <v>Assembly;Python</v>
      </c>
      <c r="C2683" s="9" t="str">
        <f>IFERROR(__xludf.DUMMYFUNCTION("""COMPUTED_VALUE"""),"Go")</f>
        <v>Go</v>
      </c>
      <c r="D2683" s="9" t="str">
        <f>IFERROR(__xludf.DUMMYFUNCTION("""COMPUTED_VALUE"""),"Python")</f>
        <v>Python</v>
      </c>
      <c r="E2683" s="9" t="str">
        <f>IFERROR(__xludf.DUMMYFUNCTION("""COMPUTED_VALUE"""),"SQL")</f>
        <v>SQL</v>
      </c>
      <c r="F2683" s="9" t="str">
        <f>IFERROR(__xludf.DUMMYFUNCTION("""COMPUTED_VALUE"""),"JavaScript")</f>
        <v>JavaScript</v>
      </c>
      <c r="G2683" s="9" t="str">
        <f>IFERROR(__xludf.DUMMYFUNCTION("""COMPUTED_VALUE"""),"Swift")</f>
        <v>Swift</v>
      </c>
      <c r="H2683" s="9" t="str">
        <f>IFERROR(__xludf.DUMMYFUNCTION("""COMPUTED_VALUE"""),"SQL")</f>
        <v>SQL</v>
      </c>
      <c r="I2683" s="9" t="str">
        <f>IFERROR(__xludf.DUMMYFUNCTION("""COMPUTED_VALUE"""),"Bash/Shell/PowerShell")</f>
        <v>Bash/Shell/PowerShell</v>
      </c>
      <c r="J2683" s="9" t="str">
        <f>IFERROR(__xludf.DUMMYFUNCTION("""COMPUTED_VALUE"""),"Python")</f>
        <v>Python</v>
      </c>
      <c r="K2683" s="9" t="str">
        <f>IFERROR(__xludf.DUMMYFUNCTION("""COMPUTED_VALUE"""),"PHP")</f>
        <v>PHP</v>
      </c>
      <c r="L2683" s="9" t="str">
        <f>IFERROR(__xludf.DUMMYFUNCTION("""COMPUTED_VALUE"""),"SQL")</f>
        <v>SQL</v>
      </c>
      <c r="M2683" s="9" t="s">
        <v>36</v>
      </c>
    </row>
    <row r="2684" ht="15.75" customHeight="1">
      <c r="A2684" s="7"/>
      <c r="B2684" s="7" t="str">
        <f>IFERROR(__xludf.DUMMYFUNCTION("""COMPUTED_VALUE"""),"Python")</f>
        <v>Python</v>
      </c>
      <c r="C2684" s="9" t="str">
        <f>IFERROR(__xludf.DUMMYFUNCTION("""COMPUTED_VALUE"""),"JavaScript")</f>
        <v>JavaScript</v>
      </c>
      <c r="D2684" s="9" t="str">
        <f>IFERROR(__xludf.DUMMYFUNCTION("""COMPUTED_VALUE"""),"SQL")</f>
        <v>SQL</v>
      </c>
      <c r="E2684" s="9" t="str">
        <f>IFERROR(__xludf.DUMMYFUNCTION("""COMPUTED_VALUE"""),"Bash/Shell/PowerShell")</f>
        <v>Bash/Shell/PowerShell</v>
      </c>
      <c r="F2684" s="9" t="str">
        <f>IFERROR(__xludf.DUMMYFUNCTION("""COMPUTED_VALUE"""),"SQL")</f>
        <v>SQL</v>
      </c>
      <c r="G2684" s="9" t="str">
        <f>IFERROR(__xludf.DUMMYFUNCTION("""COMPUTED_VALUE"""),"Bash/Shell/PowerShell")</f>
        <v>Bash/Shell/PowerShell</v>
      </c>
      <c r="H2684" s="9" t="str">
        <f>IFERROR(__xludf.DUMMYFUNCTION("""COMPUTED_VALUE"""),"HTML/CSS")</f>
        <v>HTML/CSS</v>
      </c>
      <c r="I2684" s="9" t="str">
        <f>IFERROR(__xludf.DUMMYFUNCTION("""COMPUTED_VALUE"""),"C")</f>
        <v>C</v>
      </c>
      <c r="J2684" s="9" t="str">
        <f>IFERROR(__xludf.DUMMYFUNCTION("""COMPUTED_VALUE"""),"SQL")</f>
        <v>SQL</v>
      </c>
      <c r="K2684" s="9" t="str">
        <f>IFERROR(__xludf.DUMMYFUNCTION("""COMPUTED_VALUE"""),"SQL")</f>
        <v>SQL</v>
      </c>
      <c r="L2684" s="9" t="str">
        <f>IFERROR(__xludf.DUMMYFUNCTION("""COMPUTED_VALUE"""),"Bash/Shell/PowerShell")</f>
        <v>Bash/Shell/PowerShell</v>
      </c>
      <c r="M2684" s="9" t="s">
        <v>21</v>
      </c>
    </row>
    <row r="2685" ht="15.75" customHeight="1">
      <c r="A2685" s="7"/>
      <c r="B2685" s="7" t="str">
        <f>IFERROR(__xludf.DUMMYFUNCTION("""COMPUTED_VALUE"""),"Go;JavaScript;Objective-C;PHP;Ruby;SQL;Swift")</f>
        <v>Go;JavaScript;Objective-C;PHP;Ruby;SQL;Swift</v>
      </c>
      <c r="C2685" s="9" t="str">
        <f>IFERROR(__xludf.DUMMYFUNCTION("""COMPUTED_VALUE"""),"PHP")</f>
        <v>PHP</v>
      </c>
      <c r="D2685" s="9" t="str">
        <f>IFERROR(__xludf.DUMMYFUNCTION("""COMPUTED_VALUE"""),"Other(s):")</f>
        <v>Other(s):</v>
      </c>
      <c r="E2685" s="9" t="str">
        <f>IFERROR(__xludf.DUMMYFUNCTION("""COMPUTED_VALUE"""),"HTML/CSS")</f>
        <v>HTML/CSS</v>
      </c>
      <c r="F2685" s="9" t="str">
        <f>IFERROR(__xludf.DUMMYFUNCTION("""COMPUTED_VALUE"""),"Java")</f>
        <v>Java</v>
      </c>
      <c r="G2685" s="9" t="str">
        <f>IFERROR(__xludf.DUMMYFUNCTION("""COMPUTED_VALUE"""),"HTML/CSS")</f>
        <v>HTML/CSS</v>
      </c>
      <c r="H2685" s="9" t="str">
        <f>IFERROR(__xludf.DUMMYFUNCTION("""COMPUTED_VALUE"""),"JavaScript")</f>
        <v>JavaScript</v>
      </c>
      <c r="I2685" s="9" t="str">
        <f>IFERROR(__xludf.DUMMYFUNCTION("""COMPUTED_VALUE"""),"C++")</f>
        <v>C++</v>
      </c>
      <c r="J2685" s="9" t="str">
        <f>IFERROR(__xludf.DUMMYFUNCTION("""COMPUTED_VALUE"""),"VBA")</f>
        <v>VBA</v>
      </c>
      <c r="K2685" s="9" t="str">
        <f>IFERROR(__xludf.DUMMYFUNCTION("""COMPUTED_VALUE"""),"JavaScript")</f>
        <v>JavaScript</v>
      </c>
      <c r="L2685" s="9" t="str">
        <f>IFERROR(__xludf.DUMMYFUNCTION("""COMPUTED_VALUE"""),"C#")</f>
        <v>C#</v>
      </c>
      <c r="M2685" s="9" t="s">
        <v>37</v>
      </c>
    </row>
    <row r="2686" ht="15.75" customHeight="1">
      <c r="A2686" s="7"/>
      <c r="B2686" s="7" t="str">
        <f>IFERROR(__xludf.DUMMYFUNCTION("""COMPUTED_VALUE"""),"Bash/Shell/PowerShell;Java;SQL")</f>
        <v>Bash/Shell/PowerShell;Java;SQL</v>
      </c>
      <c r="C2686" s="9" t="str">
        <f>IFERROR(__xludf.DUMMYFUNCTION("""COMPUTED_VALUE"""),"Ruby")</f>
        <v>Ruby</v>
      </c>
      <c r="D2686" s="9" t="str">
        <f>IFERROR(__xludf.DUMMYFUNCTION("""COMPUTED_VALUE"""),"Dart")</f>
        <v>Dart</v>
      </c>
      <c r="E2686" s="9" t="str">
        <f>IFERROR(__xludf.DUMMYFUNCTION("""COMPUTED_VALUE"""),"JavaScript")</f>
        <v>JavaScript</v>
      </c>
      <c r="F2686" s="9" t="str">
        <f>IFERROR(__xludf.DUMMYFUNCTION("""COMPUTED_VALUE"""),"JavaScript")</f>
        <v>JavaScript</v>
      </c>
      <c r="G2686" s="9" t="str">
        <f>IFERROR(__xludf.DUMMYFUNCTION("""COMPUTED_VALUE"""),"JavaScript")</f>
        <v>JavaScript</v>
      </c>
      <c r="H2686" s="9" t="str">
        <f>IFERROR(__xludf.DUMMYFUNCTION("""COMPUTED_VALUE"""),"C")</f>
        <v>C</v>
      </c>
      <c r="I2686" s="9" t="str">
        <f>IFERROR(__xludf.DUMMYFUNCTION("""COMPUTED_VALUE"""),"HTML/CSS")</f>
        <v>HTML/CSS</v>
      </c>
      <c r="J2686" s="9" t="str">
        <f>IFERROR(__xludf.DUMMYFUNCTION("""COMPUTED_VALUE"""),"Python")</f>
        <v>Python</v>
      </c>
      <c r="K2686" s="9" t="str">
        <f>IFERROR(__xludf.DUMMYFUNCTION("""COMPUTED_VALUE"""),"TypeScript")</f>
        <v>TypeScript</v>
      </c>
      <c r="L2686" s="9" t="str">
        <f>IFERROR(__xludf.DUMMYFUNCTION("""COMPUTED_VALUE"""),"HTML/CSS")</f>
        <v>HTML/CSS</v>
      </c>
      <c r="M2686" s="9" t="s">
        <v>31</v>
      </c>
    </row>
    <row r="2687" ht="15.75" customHeight="1">
      <c r="A2687" s="7"/>
      <c r="B2687" s="7" t="str">
        <f>IFERROR(__xludf.DUMMYFUNCTION("""COMPUTED_VALUE"""),"Bash/Shell/PowerShell;C;C++;Go")</f>
        <v>Bash/Shell/PowerShell;C;C++;Go</v>
      </c>
      <c r="C2687" s="9" t="str">
        <f>IFERROR(__xludf.DUMMYFUNCTION("""COMPUTED_VALUE"""),"SQL")</f>
        <v>SQL</v>
      </c>
      <c r="D2687" s="9" t="str">
        <f>IFERROR(__xludf.DUMMYFUNCTION("""COMPUTED_VALUE"""),"HTML/CSS")</f>
        <v>HTML/CSS</v>
      </c>
      <c r="E2687" s="9" t="str">
        <f>IFERROR(__xludf.DUMMYFUNCTION("""COMPUTED_VALUE"""),"Python")</f>
        <v>Python</v>
      </c>
      <c r="F2687" s="9" t="str">
        <f>IFERROR(__xludf.DUMMYFUNCTION("""COMPUTED_VALUE"""),"SQL")</f>
        <v>SQL</v>
      </c>
      <c r="G2687" s="9" t="str">
        <f>IFERROR(__xludf.DUMMYFUNCTION("""COMPUTED_VALUE"""),"SQL")</f>
        <v>SQL</v>
      </c>
      <c r="H2687" s="9" t="str">
        <f>IFERROR(__xludf.DUMMYFUNCTION("""COMPUTED_VALUE"""),"C++")</f>
        <v>C++</v>
      </c>
      <c r="I2687" s="9" t="str">
        <f>IFERROR(__xludf.DUMMYFUNCTION("""COMPUTED_VALUE"""),"Java")</f>
        <v>Java</v>
      </c>
      <c r="J2687" s="9" t="str">
        <f>IFERROR(__xludf.DUMMYFUNCTION("""COMPUTED_VALUE"""),"HTML/CSS")</f>
        <v>HTML/CSS</v>
      </c>
      <c r="K2687" s="9" t="str">
        <f>IFERROR(__xludf.DUMMYFUNCTION("""COMPUTED_VALUE"""),"HTML/CSS")</f>
        <v>HTML/CSS</v>
      </c>
      <c r="L2687" s="9" t="str">
        <f>IFERROR(__xludf.DUMMYFUNCTION("""COMPUTED_VALUE"""),"JavaScript")</f>
        <v>JavaScript</v>
      </c>
      <c r="M2687" s="9" t="s">
        <v>27</v>
      </c>
    </row>
    <row r="2688" ht="15.75" customHeight="1">
      <c r="A2688" s="7"/>
      <c r="B2688" s="7" t="str">
        <f>IFERROR(__xludf.DUMMYFUNCTION("""COMPUTED_VALUE"""),"C#;HTML/CSS;JavaScript")</f>
        <v>C#;HTML/CSS;JavaScript</v>
      </c>
      <c r="C2688" s="9" t="str">
        <f>IFERROR(__xludf.DUMMYFUNCTION("""COMPUTED_VALUE"""),"TypeScript")</f>
        <v>TypeScript</v>
      </c>
      <c r="D2688" s="9" t="str">
        <f>IFERROR(__xludf.DUMMYFUNCTION("""COMPUTED_VALUE"""),"JavaScript")</f>
        <v>JavaScript</v>
      </c>
      <c r="E2688" s="9" t="str">
        <f>IFERROR(__xludf.DUMMYFUNCTION("""COMPUTED_VALUE"""),"R")</f>
        <v>R</v>
      </c>
      <c r="F2688" s="9" t="str">
        <f>IFERROR(__xludf.DUMMYFUNCTION("""COMPUTED_VALUE"""),"C#")</f>
        <v>C#</v>
      </c>
      <c r="G2688" s="9" t="str">
        <f>IFERROR(__xludf.DUMMYFUNCTION("""COMPUTED_VALUE"""),"TypeScript")</f>
        <v>TypeScript</v>
      </c>
      <c r="H2688" s="9" t="str">
        <f>IFERROR(__xludf.DUMMYFUNCTION("""COMPUTED_VALUE"""),"Java")</f>
        <v>Java</v>
      </c>
      <c r="I2688" s="9" t="str">
        <f>IFERROR(__xludf.DUMMYFUNCTION("""COMPUTED_VALUE"""),"JavaScript")</f>
        <v>JavaScript</v>
      </c>
      <c r="J2688" s="9" t="str">
        <f>IFERROR(__xludf.DUMMYFUNCTION("""COMPUTED_VALUE"""),"JavaScript")</f>
        <v>JavaScript</v>
      </c>
      <c r="K2688" s="9" t="str">
        <f>IFERROR(__xludf.DUMMYFUNCTION("""COMPUTED_VALUE"""),"Java")</f>
        <v>Java</v>
      </c>
      <c r="L2688" s="9" t="str">
        <f>IFERROR(__xludf.DUMMYFUNCTION("""COMPUTED_VALUE"""),"TypeScript")</f>
        <v>TypeScript</v>
      </c>
      <c r="M2688" s="9" t="s">
        <v>33</v>
      </c>
    </row>
    <row r="2689" ht="15.75" customHeight="1">
      <c r="A2689" s="7"/>
      <c r="B2689" s="7" t="str">
        <f>IFERROR(__xludf.DUMMYFUNCTION("""COMPUTED_VALUE"""),"Assembly;C++;HTML/CSS;Java;JavaScript;SQL;Swift;TypeScript;VBA")</f>
        <v>Assembly;C++;HTML/CSS;Java;JavaScript;SQL;Swift;TypeScript;VBA</v>
      </c>
      <c r="C2689" s="9" t="str">
        <f>IFERROR(__xludf.DUMMYFUNCTION("""COMPUTED_VALUE"""),"C#")</f>
        <v>C#</v>
      </c>
      <c r="D2689" s="9" t="str">
        <f>IFERROR(__xludf.DUMMYFUNCTION("""COMPUTED_VALUE"""),"Python")</f>
        <v>Python</v>
      </c>
      <c r="E2689" s="9" t="str">
        <f>IFERROR(__xludf.DUMMYFUNCTION("""COMPUTED_VALUE"""),"Python")</f>
        <v>Python</v>
      </c>
      <c r="F2689" s="9" t="str">
        <f>IFERROR(__xludf.DUMMYFUNCTION("""COMPUTED_VALUE"""),"PHP")</f>
        <v>PHP</v>
      </c>
      <c r="G2689" s="9" t="str">
        <f>IFERROR(__xludf.DUMMYFUNCTION("""COMPUTED_VALUE"""),"Bash/Shell/PowerShell")</f>
        <v>Bash/Shell/PowerShell</v>
      </c>
      <c r="H2689" s="9" t="str">
        <f>IFERROR(__xludf.DUMMYFUNCTION("""COMPUTED_VALUE"""),"HTML/CSS")</f>
        <v>HTML/CSS</v>
      </c>
      <c r="I2689" s="9" t="str">
        <f>IFERROR(__xludf.DUMMYFUNCTION("""COMPUTED_VALUE"""),"PHP")</f>
        <v>PHP</v>
      </c>
      <c r="J2689" s="9" t="str">
        <f>IFERROR(__xludf.DUMMYFUNCTION("""COMPUTED_VALUE"""),"Python")</f>
        <v>Python</v>
      </c>
      <c r="K2689" s="9" t="str">
        <f>IFERROR(__xludf.DUMMYFUNCTION("""COMPUTED_VALUE"""),"JavaScript")</f>
        <v>JavaScript</v>
      </c>
      <c r="L2689" s="9" t="str">
        <f>IFERROR(__xludf.DUMMYFUNCTION("""COMPUTED_VALUE"""),"HTML/CSS")</f>
        <v>HTML/CSS</v>
      </c>
      <c r="M2689" s="9" t="s">
        <v>26</v>
      </c>
    </row>
    <row r="2690" ht="15.75" customHeight="1">
      <c r="A2690" s="7"/>
      <c r="B2690" s="7" t="str">
        <f>IFERROR(__xludf.DUMMYFUNCTION("""COMPUTED_VALUE"""),"Bash/Shell/PowerShell;HTML/CSS;JavaScript;Python;TypeScript")</f>
        <v>Bash/Shell/PowerShell;HTML/CSS;JavaScript;Python;TypeScript</v>
      </c>
      <c r="C2690" s="9" t="str">
        <f>IFERROR(__xludf.DUMMYFUNCTION("""COMPUTED_VALUE"""),"HTML/CSS")</f>
        <v>HTML/CSS</v>
      </c>
      <c r="D2690" s="9" t="str">
        <f>IFERROR(__xludf.DUMMYFUNCTION("""COMPUTED_VALUE"""),"TypeScript")</f>
        <v>TypeScript</v>
      </c>
      <c r="E2690" s="9" t="str">
        <f>IFERROR(__xludf.DUMMYFUNCTION("""COMPUTED_VALUE"""),"R")</f>
        <v>R</v>
      </c>
      <c r="F2690" s="9" t="str">
        <f>IFERROR(__xludf.DUMMYFUNCTION("""COMPUTED_VALUE"""),"SQL")</f>
        <v>SQL</v>
      </c>
      <c r="G2690" s="9" t="str">
        <f>IFERROR(__xludf.DUMMYFUNCTION("""COMPUTED_VALUE"""),"HTML/CSS")</f>
        <v>HTML/CSS</v>
      </c>
      <c r="H2690" s="9" t="str">
        <f>IFERROR(__xludf.DUMMYFUNCTION("""COMPUTED_VALUE"""),"JavaScript")</f>
        <v>JavaScript</v>
      </c>
      <c r="I2690" s="9" t="str">
        <f>IFERROR(__xludf.DUMMYFUNCTION("""COMPUTED_VALUE"""),"Bash/Shell/PowerShell")</f>
        <v>Bash/Shell/PowerShell</v>
      </c>
      <c r="J2690" s="9" t="str">
        <f>IFERROR(__xludf.DUMMYFUNCTION("""COMPUTED_VALUE"""),"SQL")</f>
        <v>SQL</v>
      </c>
      <c r="K2690" s="9" t="str">
        <f>IFERROR(__xludf.DUMMYFUNCTION("""COMPUTED_VALUE"""),"Python")</f>
        <v>Python</v>
      </c>
      <c r="L2690" s="9" t="str">
        <f>IFERROR(__xludf.DUMMYFUNCTION("""COMPUTED_VALUE"""),"JavaScript")</f>
        <v>JavaScript</v>
      </c>
      <c r="M2690" s="9" t="s">
        <v>24</v>
      </c>
    </row>
    <row r="2691" ht="15.75" customHeight="1">
      <c r="A2691" s="7"/>
      <c r="B2691" s="7" t="str">
        <f>IFERROR(__xludf.DUMMYFUNCTION("""COMPUTED_VALUE"""),"HTML/CSS;JavaScript;Python;Ruby;SQL;VBA")</f>
        <v>HTML/CSS;JavaScript;Python;Ruby;SQL;VBA</v>
      </c>
      <c r="C2691" s="9" t="str">
        <f>IFERROR(__xludf.DUMMYFUNCTION("""COMPUTED_VALUE"""),"JavaScript")</f>
        <v>JavaScript</v>
      </c>
      <c r="D2691" s="9" t="str">
        <f>IFERROR(__xludf.DUMMYFUNCTION("""COMPUTED_VALUE"""),"Bash/Shell/PowerShell")</f>
        <v>Bash/Shell/PowerShell</v>
      </c>
      <c r="E2691" s="9" t="str">
        <f>IFERROR(__xludf.DUMMYFUNCTION("""COMPUTED_VALUE"""),"Scala")</f>
        <v>Scala</v>
      </c>
      <c r="F2691" s="9" t="str">
        <f>IFERROR(__xludf.DUMMYFUNCTION("""COMPUTED_VALUE"""),"HTML/CSS")</f>
        <v>HTML/CSS</v>
      </c>
      <c r="G2691" s="9" t="str">
        <f>IFERROR(__xludf.DUMMYFUNCTION("""COMPUTED_VALUE"""),"JavaScript")</f>
        <v>JavaScript</v>
      </c>
      <c r="H2691" s="9" t="str">
        <f>IFERROR(__xludf.DUMMYFUNCTION("""COMPUTED_VALUE"""),"Python")</f>
        <v>Python</v>
      </c>
      <c r="I2691" s="9" t="str">
        <f>IFERROR(__xludf.DUMMYFUNCTION("""COMPUTED_VALUE"""),"HTML/CSS")</f>
        <v>HTML/CSS</v>
      </c>
      <c r="J2691" s="9" t="str">
        <f>IFERROR(__xludf.DUMMYFUNCTION("""COMPUTED_VALUE"""),"Bash/Shell/PowerShell")</f>
        <v>Bash/Shell/PowerShell</v>
      </c>
      <c r="K2691" s="9" t="str">
        <f>IFERROR(__xludf.DUMMYFUNCTION("""COMPUTED_VALUE"""),"Java")</f>
        <v>Java</v>
      </c>
      <c r="L2691" s="9" t="str">
        <f>IFERROR(__xludf.DUMMYFUNCTION("""COMPUTED_VALUE"""),"PHP")</f>
        <v>PHP</v>
      </c>
      <c r="M2691" s="9" t="s">
        <v>21</v>
      </c>
    </row>
    <row r="2692" ht="15.75" customHeight="1">
      <c r="A2692" s="7"/>
      <c r="B2692" s="7" t="str">
        <f>IFERROR(__xludf.DUMMYFUNCTION("""COMPUTED_VALUE"""),"HTML/CSS;JavaScript;PHP")</f>
        <v>HTML/CSS;JavaScript;PHP</v>
      </c>
      <c r="C2692" s="9" t="str">
        <f>IFERROR(__xludf.DUMMYFUNCTION("""COMPUTED_VALUE"""),"SQL")</f>
        <v>SQL</v>
      </c>
      <c r="D2692" s="9" t="str">
        <f>IFERROR(__xludf.DUMMYFUNCTION("""COMPUTED_VALUE"""),"C")</f>
        <v>C</v>
      </c>
      <c r="E2692" s="9" t="str">
        <f>IFERROR(__xludf.DUMMYFUNCTION("""COMPUTED_VALUE"""),"SQL")</f>
        <v>SQL</v>
      </c>
      <c r="F2692" s="9" t="str">
        <f>IFERROR(__xludf.DUMMYFUNCTION("""COMPUTED_VALUE"""),"JavaScript")</f>
        <v>JavaScript</v>
      </c>
      <c r="G2692" s="9" t="str">
        <f>IFERROR(__xludf.DUMMYFUNCTION("""COMPUTED_VALUE"""),"Ruby")</f>
        <v>Ruby</v>
      </c>
      <c r="H2692" s="9" t="str">
        <f>IFERROR(__xludf.DUMMYFUNCTION("""COMPUTED_VALUE"""),"Swift")</f>
        <v>Swift</v>
      </c>
      <c r="I2692" s="9" t="str">
        <f>IFERROR(__xludf.DUMMYFUNCTION("""COMPUTED_VALUE"""),"JavaScript")</f>
        <v>JavaScript</v>
      </c>
      <c r="J2692" s="9" t="str">
        <f>IFERROR(__xludf.DUMMYFUNCTION("""COMPUTED_VALUE"""),"HTML/CSS")</f>
        <v>HTML/CSS</v>
      </c>
      <c r="K2692" s="9" t="str">
        <f>IFERROR(__xludf.DUMMYFUNCTION("""COMPUTED_VALUE"""),"Kotlin")</f>
        <v>Kotlin</v>
      </c>
      <c r="L2692" s="9" t="str">
        <f>IFERROR(__xludf.DUMMYFUNCTION("""COMPUTED_VALUE"""),"SQL")</f>
        <v>SQL</v>
      </c>
      <c r="M2692" s="9" t="s">
        <v>27</v>
      </c>
    </row>
    <row r="2693" ht="15.75" customHeight="1">
      <c r="A2693" s="7"/>
      <c r="B2693" s="7" t="str">
        <f>IFERROR(__xludf.DUMMYFUNCTION("""COMPUTED_VALUE"""),"Java")</f>
        <v>Java</v>
      </c>
      <c r="C2693" s="9" t="str">
        <f>IFERROR(__xludf.DUMMYFUNCTION("""COMPUTED_VALUE"""),"Bash/Shell/PowerShell")</f>
        <v>Bash/Shell/PowerShell</v>
      </c>
      <c r="D2693" s="9" t="str">
        <f>IFERROR(__xludf.DUMMYFUNCTION("""COMPUTED_VALUE"""),"C++")</f>
        <v>C++</v>
      </c>
      <c r="E2693" s="9" t="str">
        <f>IFERROR(__xludf.DUMMYFUNCTION("""COMPUTED_VALUE"""),"Bash/Shell/PowerShell")</f>
        <v>Bash/Shell/PowerShell</v>
      </c>
      <c r="F2693" s="9" t="str">
        <f>IFERROR(__xludf.DUMMYFUNCTION("""COMPUTED_VALUE"""),"TypeScript")</f>
        <v>TypeScript</v>
      </c>
      <c r="G2693" s="9" t="str">
        <f>IFERROR(__xludf.DUMMYFUNCTION("""COMPUTED_VALUE"""),"SQL")</f>
        <v>SQL</v>
      </c>
      <c r="H2693" s="9" t="str">
        <f>IFERROR(__xludf.DUMMYFUNCTION("""COMPUTED_VALUE"""),"TypeScript")</f>
        <v>TypeScript</v>
      </c>
      <c r="I2693" s="9" t="str">
        <f>IFERROR(__xludf.DUMMYFUNCTION("""COMPUTED_VALUE"""),"SQL")</f>
        <v>SQL</v>
      </c>
      <c r="J2693" s="9" t="str">
        <f>IFERROR(__xludf.DUMMYFUNCTION("""COMPUTED_VALUE"""),"JavaScript")</f>
        <v>JavaScript</v>
      </c>
      <c r="K2693" s="9" t="str">
        <f>IFERROR(__xludf.DUMMYFUNCTION("""COMPUTED_VALUE"""),"C++")</f>
        <v>C++</v>
      </c>
      <c r="L2693" s="9" t="str">
        <f>IFERROR(__xludf.DUMMYFUNCTION("""COMPUTED_VALUE"""),"C#")</f>
        <v>C#</v>
      </c>
      <c r="M2693" s="9" t="s">
        <v>30</v>
      </c>
    </row>
    <row r="2694" ht="15.75" customHeight="1">
      <c r="A2694" s="7"/>
      <c r="B2694" s="7" t="str">
        <f>IFERROR(__xludf.DUMMYFUNCTION("""COMPUTED_VALUE"""),"C;HTML/CSS;Java;JavaScript;PHP;Python;SQL")</f>
        <v>C;HTML/CSS;Java;JavaScript;PHP;Python;SQL</v>
      </c>
      <c r="C2694" s="9" t="str">
        <f>IFERROR(__xludf.DUMMYFUNCTION("""COMPUTED_VALUE"""),"HTML/CSS")</f>
        <v>HTML/CSS</v>
      </c>
      <c r="D2694" s="9" t="str">
        <f>IFERROR(__xludf.DUMMYFUNCTION("""COMPUTED_VALUE"""),"Java")</f>
        <v>Java</v>
      </c>
      <c r="E2694" s="9" t="str">
        <f>IFERROR(__xludf.DUMMYFUNCTION("""COMPUTED_VALUE"""),"C#")</f>
        <v>C#</v>
      </c>
      <c r="F2694" s="9" t="str">
        <f>IFERROR(__xludf.DUMMYFUNCTION("""COMPUTED_VALUE"""),"C#")</f>
        <v>C#</v>
      </c>
      <c r="G2694" s="9" t="str">
        <f>IFERROR(__xludf.DUMMYFUNCTION("""COMPUTED_VALUE"""),"Bash/Shell/PowerShell")</f>
        <v>Bash/Shell/PowerShell</v>
      </c>
      <c r="H2694" s="9" t="str">
        <f>IFERROR(__xludf.DUMMYFUNCTION("""COMPUTED_VALUE"""),"VBA")</f>
        <v>VBA</v>
      </c>
      <c r="I2694" s="9" t="str">
        <f>IFERROR(__xludf.DUMMYFUNCTION("""COMPUTED_VALUE"""),"TypeScript")</f>
        <v>TypeScript</v>
      </c>
      <c r="J2694" s="9" t="str">
        <f>IFERROR(__xludf.DUMMYFUNCTION("""COMPUTED_VALUE"""),"SQL")</f>
        <v>SQL</v>
      </c>
      <c r="K2694" s="9" t="str">
        <f>IFERROR(__xludf.DUMMYFUNCTION("""COMPUTED_VALUE"""),"C#")</f>
        <v>C#</v>
      </c>
      <c r="L2694" s="9" t="str">
        <f>IFERROR(__xludf.DUMMYFUNCTION("""COMPUTED_VALUE"""),"Java")</f>
        <v>Java</v>
      </c>
      <c r="M2694" s="9" t="s">
        <v>24</v>
      </c>
    </row>
    <row r="2695" ht="15.75" customHeight="1">
      <c r="A2695" s="7"/>
      <c r="B2695" s="7" t="str">
        <f>IFERROR(__xludf.DUMMYFUNCTION("""COMPUTED_VALUE"""),"C++;Objective-C;Swift")</f>
        <v>C++;Objective-C;Swift</v>
      </c>
      <c r="C2695" s="9" t="str">
        <f>IFERROR(__xludf.DUMMYFUNCTION("""COMPUTED_VALUE"""),"Java")</f>
        <v>Java</v>
      </c>
      <c r="D2695" s="9" t="str">
        <f>IFERROR(__xludf.DUMMYFUNCTION("""COMPUTED_VALUE"""),"Java")</f>
        <v>Java</v>
      </c>
      <c r="E2695" s="9" t="str">
        <f>IFERROR(__xludf.DUMMYFUNCTION("""COMPUTED_VALUE"""),"Go")</f>
        <v>Go</v>
      </c>
      <c r="F2695" s="9" t="str">
        <f>IFERROR(__xludf.DUMMYFUNCTION("""COMPUTED_VALUE"""),"HTML/CSS")</f>
        <v>HTML/CSS</v>
      </c>
      <c r="G2695" s="9" t="str">
        <f>IFERROR(__xludf.DUMMYFUNCTION("""COMPUTED_VALUE"""),"HTML/CSS")</f>
        <v>HTML/CSS</v>
      </c>
      <c r="H2695" s="9" t="str">
        <f>IFERROR(__xludf.DUMMYFUNCTION("""COMPUTED_VALUE"""),"Python")</f>
        <v>Python</v>
      </c>
      <c r="I2695" s="9" t="str">
        <f>IFERROR(__xludf.DUMMYFUNCTION("""COMPUTED_VALUE"""),"HTML/CSS")</f>
        <v>HTML/CSS</v>
      </c>
      <c r="J2695" s="9" t="str">
        <f>IFERROR(__xludf.DUMMYFUNCTION("""COMPUTED_VALUE"""),"TypeScript")</f>
        <v>TypeScript</v>
      </c>
      <c r="K2695" s="9" t="str">
        <f>IFERROR(__xludf.DUMMYFUNCTION("""COMPUTED_VALUE"""),"JavaScript")</f>
        <v>JavaScript</v>
      </c>
      <c r="L2695" s="9" t="str">
        <f>IFERROR(__xludf.DUMMYFUNCTION("""COMPUTED_VALUE"""),"JavaScript")</f>
        <v>JavaScript</v>
      </c>
      <c r="M2695" s="9" t="s">
        <v>20</v>
      </c>
    </row>
    <row r="2696" ht="15.75" customHeight="1">
      <c r="A2696" s="7"/>
      <c r="B2696" s="7" t="str">
        <f>IFERROR(__xludf.DUMMYFUNCTION("""COMPUTED_VALUE"""),"Python")</f>
        <v>Python</v>
      </c>
      <c r="C2696" s="9" t="str">
        <f>IFERROR(__xludf.DUMMYFUNCTION("""COMPUTED_VALUE"""),"JavaScript")</f>
        <v>JavaScript</v>
      </c>
      <c r="D2696" s="9" t="str">
        <f>IFERROR(__xludf.DUMMYFUNCTION("""COMPUTED_VALUE"""),"SQL")</f>
        <v>SQL</v>
      </c>
      <c r="E2696" s="9" t="str">
        <f>IFERROR(__xludf.DUMMYFUNCTION("""COMPUTED_VALUE"""),"JavaScript")</f>
        <v>JavaScript</v>
      </c>
      <c r="F2696" s="9" t="str">
        <f>IFERROR(__xludf.DUMMYFUNCTION("""COMPUTED_VALUE"""),"Java")</f>
        <v>Java</v>
      </c>
      <c r="G2696" s="9" t="str">
        <f>IFERROR(__xludf.DUMMYFUNCTION("""COMPUTED_VALUE"""),"Java")</f>
        <v>Java</v>
      </c>
      <c r="H2696" s="9" t="str">
        <f>IFERROR(__xludf.DUMMYFUNCTION("""COMPUTED_VALUE"""),"R")</f>
        <v>R</v>
      </c>
      <c r="I2696" s="9" t="str">
        <f>IFERROR(__xludf.DUMMYFUNCTION("""COMPUTED_VALUE"""),"JavaScript")</f>
        <v>JavaScript</v>
      </c>
      <c r="J2696" s="9" t="str">
        <f>IFERROR(__xludf.DUMMYFUNCTION("""COMPUTED_VALUE"""),"HTML/CSS")</f>
        <v>HTML/CSS</v>
      </c>
      <c r="K2696" s="9" t="str">
        <f>IFERROR(__xludf.DUMMYFUNCTION("""COMPUTED_VALUE"""),"Bash/Shell/PowerShell")</f>
        <v>Bash/Shell/PowerShell</v>
      </c>
      <c r="L2696" s="9" t="str">
        <f>IFERROR(__xludf.DUMMYFUNCTION("""COMPUTED_VALUE"""),"SQL")</f>
        <v>SQL</v>
      </c>
      <c r="M2696" s="9" t="s">
        <v>21</v>
      </c>
    </row>
    <row r="2697" ht="15.75" customHeight="1">
      <c r="A2697" s="7"/>
      <c r="B2697" s="7" t="str">
        <f>IFERROR(__xludf.DUMMYFUNCTION("""COMPUTED_VALUE"""),"Bash/Shell/PowerShell;C;C++;Dart;Go;HTML/CSS;Java;JavaScript;Kotlin;Python;Ruby;Rust;Scala;SQL;TypeScript")</f>
        <v>Bash/Shell/PowerShell;C;C++;Dart;Go;HTML/CSS;Java;JavaScript;Kotlin;Python;Ruby;Rust;Scala;SQL;TypeScript</v>
      </c>
      <c r="C2697" s="9" t="str">
        <f>IFERROR(__xludf.DUMMYFUNCTION("""COMPUTED_VALUE"""),"Python")</f>
        <v>Python</v>
      </c>
      <c r="D2697" s="9" t="str">
        <f>IFERROR(__xludf.DUMMYFUNCTION("""COMPUTED_VALUE"""),"HTML/CSS")</f>
        <v>HTML/CSS</v>
      </c>
      <c r="E2697" s="9" t="str">
        <f>IFERROR(__xludf.DUMMYFUNCTION("""COMPUTED_VALUE"""),"Kotlin")</f>
        <v>Kotlin</v>
      </c>
      <c r="F2697" s="9" t="str">
        <f>IFERROR(__xludf.DUMMYFUNCTION("""COMPUTED_VALUE"""),"JavaScript")</f>
        <v>JavaScript</v>
      </c>
      <c r="G2697" s="9" t="str">
        <f>IFERROR(__xludf.DUMMYFUNCTION("""COMPUTED_VALUE"""),"JavaScript")</f>
        <v>JavaScript</v>
      </c>
      <c r="H2697" s="9" t="str">
        <f>IFERROR(__xludf.DUMMYFUNCTION("""COMPUTED_VALUE"""),"Other(s):")</f>
        <v>Other(s):</v>
      </c>
      <c r="I2697" s="9" t="str">
        <f>IFERROR(__xludf.DUMMYFUNCTION("""COMPUTED_VALUE"""),"PHP")</f>
        <v>PHP</v>
      </c>
      <c r="J2697" s="9" t="str">
        <f>IFERROR(__xludf.DUMMYFUNCTION("""COMPUTED_VALUE"""),"Java")</f>
        <v>Java</v>
      </c>
      <c r="K2697" s="9" t="str">
        <f>IFERROR(__xludf.DUMMYFUNCTION("""COMPUTED_VALUE"""),"Java")</f>
        <v>Java</v>
      </c>
      <c r="L2697" s="9" t="str">
        <f>IFERROR(__xludf.DUMMYFUNCTION("""COMPUTED_VALUE"""),"TypeScript")</f>
        <v>TypeScript</v>
      </c>
      <c r="M2697" s="9" t="s">
        <v>22</v>
      </c>
    </row>
    <row r="2698" ht="15.75" customHeight="1">
      <c r="A2698" s="7"/>
      <c r="B2698" s="7" t="str">
        <f>IFERROR(__xludf.DUMMYFUNCTION("""COMPUTED_VALUE"""),"Bash/Shell/PowerShell;Dart;HTML/CSS;JavaScript;Python;Rust;TypeScript")</f>
        <v>Bash/Shell/PowerShell;Dart;HTML/CSS;JavaScript;Python;Rust;TypeScript</v>
      </c>
      <c r="C2698" s="9" t="str">
        <f>IFERROR(__xludf.DUMMYFUNCTION("""COMPUTED_VALUE"""),"SQL")</f>
        <v>SQL</v>
      </c>
      <c r="D2698" s="9" t="str">
        <f>IFERROR(__xludf.DUMMYFUNCTION("""COMPUTED_VALUE"""),"JavaScript")</f>
        <v>JavaScript</v>
      </c>
      <c r="E2698" s="9" t="str">
        <f>IFERROR(__xludf.DUMMYFUNCTION("""COMPUTED_VALUE"""),"Rust")</f>
        <v>Rust</v>
      </c>
      <c r="F2698" s="9" t="str">
        <f>IFERROR(__xludf.DUMMYFUNCTION("""COMPUTED_VALUE"""),"PHP")</f>
        <v>PHP</v>
      </c>
      <c r="G2698" s="9" t="str">
        <f>IFERROR(__xludf.DUMMYFUNCTION("""COMPUTED_VALUE"""),"Python")</f>
        <v>Python</v>
      </c>
      <c r="H2698" s="9" t="str">
        <f>IFERROR(__xludf.DUMMYFUNCTION("""COMPUTED_VALUE"""),"Assembly")</f>
        <v>Assembly</v>
      </c>
      <c r="I2698" s="9" t="str">
        <f>IFERROR(__xludf.DUMMYFUNCTION("""COMPUTED_VALUE"""),"Python")</f>
        <v>Python</v>
      </c>
      <c r="J2698" s="9" t="str">
        <f>IFERROR(__xludf.DUMMYFUNCTION("""COMPUTED_VALUE"""),"JavaScript")</f>
        <v>JavaScript</v>
      </c>
      <c r="K2698" s="9" t="str">
        <f>IFERROR(__xludf.DUMMYFUNCTION("""COMPUTED_VALUE"""),"Python")</f>
        <v>Python</v>
      </c>
      <c r="L2698" s="9" t="str">
        <f>IFERROR(__xludf.DUMMYFUNCTION("""COMPUTED_VALUE"""),"HTML/CSS")</f>
        <v>HTML/CSS</v>
      </c>
      <c r="M2698" s="9" t="s">
        <v>27</v>
      </c>
    </row>
    <row r="2699" ht="15.75" customHeight="1">
      <c r="A2699" s="7"/>
      <c r="B2699" s="7" t="str">
        <f>IFERROR(__xludf.DUMMYFUNCTION("""COMPUTED_VALUE"""),"HTML/CSS;Java;Python;SQL")</f>
        <v>HTML/CSS;Java;Python;SQL</v>
      </c>
      <c r="C2699" s="9" t="str">
        <f>IFERROR(__xludf.DUMMYFUNCTION("""COMPUTED_VALUE"""),"C")</f>
        <v>C</v>
      </c>
      <c r="D2699" s="9" t="str">
        <f>IFERROR(__xludf.DUMMYFUNCTION("""COMPUTED_VALUE"""),"PHP")</f>
        <v>PHP</v>
      </c>
      <c r="E2699" s="9" t="str">
        <f>IFERROR(__xludf.DUMMYFUNCTION("""COMPUTED_VALUE"""),"TypeScript")</f>
        <v>TypeScript</v>
      </c>
      <c r="F2699" s="9" t="str">
        <f>IFERROR(__xludf.DUMMYFUNCTION("""COMPUTED_VALUE"""),"SQL")</f>
        <v>SQL</v>
      </c>
      <c r="G2699" s="9" t="str">
        <f>IFERROR(__xludf.DUMMYFUNCTION("""COMPUTED_VALUE"""),"SQL")</f>
        <v>SQL</v>
      </c>
      <c r="H2699" s="9" t="str">
        <f>IFERROR(__xludf.DUMMYFUNCTION("""COMPUTED_VALUE"""),"C")</f>
        <v>C</v>
      </c>
      <c r="I2699" s="9" t="str">
        <f>IFERROR(__xludf.DUMMYFUNCTION("""COMPUTED_VALUE"""),"SQL")</f>
        <v>SQL</v>
      </c>
      <c r="J2699" s="9" t="str">
        <f>IFERROR(__xludf.DUMMYFUNCTION("""COMPUTED_VALUE"""),"Bash/Shell/PowerShell")</f>
        <v>Bash/Shell/PowerShell</v>
      </c>
      <c r="K2699" s="9" t="str">
        <f>IFERROR(__xludf.DUMMYFUNCTION("""COMPUTED_VALUE"""),"R")</f>
        <v>R</v>
      </c>
      <c r="L2699" s="9" t="str">
        <f>IFERROR(__xludf.DUMMYFUNCTION("""COMPUTED_VALUE"""),"JavaScript")</f>
        <v>JavaScript</v>
      </c>
      <c r="M2699" s="9" t="s">
        <v>25</v>
      </c>
    </row>
    <row r="2700" ht="15.75" customHeight="1">
      <c r="A2700" s="7"/>
      <c r="B2700" s="7" t="str">
        <f>IFERROR(__xludf.DUMMYFUNCTION("""COMPUTED_VALUE"""),"HTML/CSS;JavaScript;PHP")</f>
        <v>HTML/CSS;JavaScript;PHP</v>
      </c>
      <c r="C2700" s="9" t="str">
        <f>IFERROR(__xludf.DUMMYFUNCTION("""COMPUTED_VALUE"""),"C++")</f>
        <v>C++</v>
      </c>
      <c r="D2700" s="9" t="str">
        <f>IFERROR(__xludf.DUMMYFUNCTION("""COMPUTED_VALUE"""),"Python")</f>
        <v>Python</v>
      </c>
      <c r="E2700" s="9" t="str">
        <f>IFERROR(__xludf.DUMMYFUNCTION("""COMPUTED_VALUE"""),"Go")</f>
        <v>Go</v>
      </c>
      <c r="F2700" s="9" t="str">
        <f>IFERROR(__xludf.DUMMYFUNCTION("""COMPUTED_VALUE"""),"Bash/Shell/PowerShell")</f>
        <v>Bash/Shell/PowerShell</v>
      </c>
      <c r="G2700" s="9" t="str">
        <f>IFERROR(__xludf.DUMMYFUNCTION("""COMPUTED_VALUE"""),"TypeScript")</f>
        <v>TypeScript</v>
      </c>
      <c r="H2700" s="9" t="str">
        <f>IFERROR(__xludf.DUMMYFUNCTION("""COMPUTED_VALUE"""),"HTML/CSS")</f>
        <v>HTML/CSS</v>
      </c>
      <c r="I2700" s="9" t="str">
        <f>IFERROR(__xludf.DUMMYFUNCTION("""COMPUTED_VALUE"""),"HTML/CSS")</f>
        <v>HTML/CSS</v>
      </c>
      <c r="J2700" s="9" t="str">
        <f>IFERROR(__xludf.DUMMYFUNCTION("""COMPUTED_VALUE"""),"C#")</f>
        <v>C#</v>
      </c>
      <c r="K2700" s="9" t="str">
        <f>IFERROR(__xludf.DUMMYFUNCTION("""COMPUTED_VALUE"""),"Swift")</f>
        <v>Swift</v>
      </c>
      <c r="L2700" s="9" t="str">
        <f>IFERROR(__xludf.DUMMYFUNCTION("""COMPUTED_VALUE"""),"Python")</f>
        <v>Python</v>
      </c>
      <c r="M2700" s="9" t="s">
        <v>23</v>
      </c>
    </row>
    <row r="2701" ht="15.75" customHeight="1">
      <c r="A2701" s="7"/>
      <c r="B2701" s="7" t="str">
        <f>IFERROR(__xludf.DUMMYFUNCTION("""COMPUTED_VALUE"""),"Bash/Shell/PowerShell;HTML/CSS;Java;JavaScript;PHP;Python;SQL")</f>
        <v>Bash/Shell/PowerShell;HTML/CSS;Java;JavaScript;PHP;Python;SQL</v>
      </c>
      <c r="C2701" s="9" t="str">
        <f>IFERROR(__xludf.DUMMYFUNCTION("""COMPUTED_VALUE"""),"PHP")</f>
        <v>PHP</v>
      </c>
      <c r="D2701" s="9" t="str">
        <f>IFERROR(__xludf.DUMMYFUNCTION("""COMPUTED_VALUE"""),"Bash/Shell/PowerShell")</f>
        <v>Bash/Shell/PowerShell</v>
      </c>
      <c r="E2701" s="9" t="str">
        <f>IFERROR(__xludf.DUMMYFUNCTION("""COMPUTED_VALUE"""),"JavaScript")</f>
        <v>JavaScript</v>
      </c>
      <c r="F2701" s="9" t="str">
        <f>IFERROR(__xludf.DUMMYFUNCTION("""COMPUTED_VALUE"""),"Java")</f>
        <v>Java</v>
      </c>
      <c r="G2701" s="9" t="str">
        <f>IFERROR(__xludf.DUMMYFUNCTION("""COMPUTED_VALUE"""),"Bash/Shell/PowerShell")</f>
        <v>Bash/Shell/PowerShell</v>
      </c>
      <c r="H2701" s="9" t="str">
        <f>IFERROR(__xludf.DUMMYFUNCTION("""COMPUTED_VALUE"""),"JavaScript")</f>
        <v>JavaScript</v>
      </c>
      <c r="I2701" s="9" t="str">
        <f>IFERROR(__xludf.DUMMYFUNCTION("""COMPUTED_VALUE"""),"JavaScript")</f>
        <v>JavaScript</v>
      </c>
      <c r="J2701" s="9" t="str">
        <f>IFERROR(__xludf.DUMMYFUNCTION("""COMPUTED_VALUE"""),"HTML/CSS")</f>
        <v>HTML/CSS</v>
      </c>
      <c r="K2701" s="9" t="str">
        <f>IFERROR(__xludf.DUMMYFUNCTION("""COMPUTED_VALUE"""),"Java")</f>
        <v>Java</v>
      </c>
      <c r="L2701" s="9" t="str">
        <f>IFERROR(__xludf.DUMMYFUNCTION("""COMPUTED_VALUE"""),"Bash/Shell/PowerShell")</f>
        <v>Bash/Shell/PowerShell</v>
      </c>
      <c r="M2701" s="9" t="s">
        <v>37</v>
      </c>
    </row>
    <row r="2702" ht="15.75" customHeight="1">
      <c r="A2702" s="7"/>
      <c r="B2702" s="7" t="str">
        <f>IFERROR(__xludf.DUMMYFUNCTION("""COMPUTED_VALUE"""),"Bash/Shell/PowerShell;C;Java")</f>
        <v>Bash/Shell/PowerShell;C;Java</v>
      </c>
      <c r="C2702" s="9" t="str">
        <f>IFERROR(__xludf.DUMMYFUNCTION("""COMPUTED_VALUE"""),"Python")</f>
        <v>Python</v>
      </c>
      <c r="D2702" s="9" t="str">
        <f>IFERROR(__xludf.DUMMYFUNCTION("""COMPUTED_VALUE"""),"C#")</f>
        <v>C#</v>
      </c>
      <c r="E2702" s="9" t="str">
        <f>IFERROR(__xludf.DUMMYFUNCTION("""COMPUTED_VALUE"""),"Python")</f>
        <v>Python</v>
      </c>
      <c r="F2702" s="9" t="str">
        <f>IFERROR(__xludf.DUMMYFUNCTION("""COMPUTED_VALUE"""),"Python")</f>
        <v>Python</v>
      </c>
      <c r="G2702" s="9" t="str">
        <f>IFERROR(__xludf.DUMMYFUNCTION("""COMPUTED_VALUE"""),"HTML/CSS")</f>
        <v>HTML/CSS</v>
      </c>
      <c r="H2702" s="9" t="str">
        <f>IFERROR(__xludf.DUMMYFUNCTION("""COMPUTED_VALUE"""),"Python")</f>
        <v>Python</v>
      </c>
      <c r="I2702" s="9" t="str">
        <f>IFERROR(__xludf.DUMMYFUNCTION("""COMPUTED_VALUE"""),"PHP")</f>
        <v>PHP</v>
      </c>
      <c r="J2702" s="9" t="str">
        <f>IFERROR(__xludf.DUMMYFUNCTION("""COMPUTED_VALUE"""),"Java")</f>
        <v>Java</v>
      </c>
      <c r="K2702" s="9" t="str">
        <f>IFERROR(__xludf.DUMMYFUNCTION("""COMPUTED_VALUE"""),"Other(s):")</f>
        <v>Other(s):</v>
      </c>
      <c r="L2702" s="9" t="str">
        <f>IFERROR(__xludf.DUMMYFUNCTION("""COMPUTED_VALUE"""),"C")</f>
        <v>C</v>
      </c>
      <c r="M2702" s="9" t="s">
        <v>22</v>
      </c>
    </row>
    <row r="2703" ht="15.75" customHeight="1">
      <c r="A2703" s="7"/>
      <c r="B2703" s="7" t="str">
        <f>IFERROR(__xludf.DUMMYFUNCTION("""COMPUTED_VALUE"""),"Bash/Shell/PowerShell;Dart;Java;JavaScript;Kotlin;R;SQL")</f>
        <v>Bash/Shell/PowerShell;Dart;Java;JavaScript;Kotlin;R;SQL</v>
      </c>
      <c r="C2703" s="9" t="str">
        <f>IFERROR(__xludf.DUMMYFUNCTION("""COMPUTED_VALUE"""),"SQL")</f>
        <v>SQL</v>
      </c>
      <c r="D2703" s="9" t="str">
        <f>IFERROR(__xludf.DUMMYFUNCTION("""COMPUTED_VALUE"""),"HTML/CSS")</f>
        <v>HTML/CSS</v>
      </c>
      <c r="E2703" s="9" t="str">
        <f>IFERROR(__xludf.DUMMYFUNCTION("""COMPUTED_VALUE"""),"TypeScript")</f>
        <v>TypeScript</v>
      </c>
      <c r="F2703" s="9" t="str">
        <f>IFERROR(__xludf.DUMMYFUNCTION("""COMPUTED_VALUE"""),"Ruby")</f>
        <v>Ruby</v>
      </c>
      <c r="G2703" s="9" t="str">
        <f>IFERROR(__xludf.DUMMYFUNCTION("""COMPUTED_VALUE"""),"Java")</f>
        <v>Java</v>
      </c>
      <c r="H2703" s="9" t="str">
        <f>IFERROR(__xludf.DUMMYFUNCTION("""COMPUTED_VALUE"""),"SQL")</f>
        <v>SQL</v>
      </c>
      <c r="I2703" s="9" t="str">
        <f>IFERROR(__xludf.DUMMYFUNCTION("""COMPUTED_VALUE"""),"SQL")</f>
        <v>SQL</v>
      </c>
      <c r="J2703" s="9" t="str">
        <f>IFERROR(__xludf.DUMMYFUNCTION("""COMPUTED_VALUE"""),"JavaScript")</f>
        <v>JavaScript</v>
      </c>
      <c r="K2703" s="9" t="str">
        <f>IFERROR(__xludf.DUMMYFUNCTION("""COMPUTED_VALUE"""),"Java")</f>
        <v>Java</v>
      </c>
      <c r="L2703" s="9" t="str">
        <f>IFERROR(__xludf.DUMMYFUNCTION("""COMPUTED_VALUE"""),"C++")</f>
        <v>C++</v>
      </c>
      <c r="M2703" s="9" t="s">
        <v>27</v>
      </c>
    </row>
    <row r="2704" ht="15.75" customHeight="1">
      <c r="A2704" s="7"/>
      <c r="B2704" s="7" t="str">
        <f>IFERROR(__xludf.DUMMYFUNCTION("""COMPUTED_VALUE"""),"C;C#;HTML/CSS;Java;Python;SQL")</f>
        <v>C;C#;HTML/CSS;Java;Python;SQL</v>
      </c>
      <c r="C2704" s="9" t="str">
        <f>IFERROR(__xludf.DUMMYFUNCTION("""COMPUTED_VALUE"""),"VBA")</f>
        <v>VBA</v>
      </c>
      <c r="D2704" s="9" t="str">
        <f>IFERROR(__xludf.DUMMYFUNCTION("""COMPUTED_VALUE"""),"Java")</f>
        <v>Java</v>
      </c>
      <c r="E2704" s="9" t="str">
        <f>IFERROR(__xludf.DUMMYFUNCTION("""COMPUTED_VALUE"""),"C#")</f>
        <v>C#</v>
      </c>
      <c r="F2704" s="9" t="str">
        <f>IFERROR(__xludf.DUMMYFUNCTION("""COMPUTED_VALUE"""),"Go")</f>
        <v>Go</v>
      </c>
      <c r="G2704" s="9" t="str">
        <f>IFERROR(__xludf.DUMMYFUNCTION("""COMPUTED_VALUE"""),"JavaScript")</f>
        <v>JavaScript</v>
      </c>
      <c r="H2704" s="9" t="str">
        <f>IFERROR(__xludf.DUMMYFUNCTION("""COMPUTED_VALUE"""),"VBA")</f>
        <v>VBA</v>
      </c>
      <c r="I2704" s="9" t="str">
        <f>IFERROR(__xludf.DUMMYFUNCTION("""COMPUTED_VALUE"""),"TypeScript")</f>
        <v>TypeScript</v>
      </c>
      <c r="J2704" s="9" t="str">
        <f>IFERROR(__xludf.DUMMYFUNCTION("""COMPUTED_VALUE"""),"Kotlin")</f>
        <v>Kotlin</v>
      </c>
      <c r="K2704" s="9" t="str">
        <f>IFERROR(__xludf.DUMMYFUNCTION("""COMPUTED_VALUE"""),"JavaScript")</f>
        <v>JavaScript</v>
      </c>
      <c r="L2704" s="9" t="str">
        <f>IFERROR(__xludf.DUMMYFUNCTION("""COMPUTED_VALUE"""),"HTML/CSS")</f>
        <v>HTML/CSS</v>
      </c>
      <c r="M2704" s="9" t="s">
        <v>28</v>
      </c>
    </row>
    <row r="2705" ht="15.75" customHeight="1">
      <c r="A2705" s="7"/>
      <c r="B2705" s="7" t="str">
        <f>IFERROR(__xludf.DUMMYFUNCTION("""COMPUTED_VALUE"""),"HTML/CSS;JavaScript;PHP;SQL")</f>
        <v>HTML/CSS;JavaScript;PHP;SQL</v>
      </c>
      <c r="C2705" s="9" t="str">
        <f>IFERROR(__xludf.DUMMYFUNCTION("""COMPUTED_VALUE"""),"Bash/Shell/PowerShell")</f>
        <v>Bash/Shell/PowerShell</v>
      </c>
      <c r="D2705" s="9" t="str">
        <f>IFERROR(__xludf.DUMMYFUNCTION("""COMPUTED_VALUE"""),"JavaScript")</f>
        <v>JavaScript</v>
      </c>
      <c r="E2705" s="9" t="str">
        <f>IFERROR(__xludf.DUMMYFUNCTION("""COMPUTED_VALUE"""),"HTML/CSS")</f>
        <v>HTML/CSS</v>
      </c>
      <c r="F2705" s="9" t="str">
        <f>IFERROR(__xludf.DUMMYFUNCTION("""COMPUTED_VALUE"""),"HTML/CSS")</f>
        <v>HTML/CSS</v>
      </c>
      <c r="G2705" s="9" t="str">
        <f>IFERROR(__xludf.DUMMYFUNCTION("""COMPUTED_VALUE"""),"SQL")</f>
        <v>SQL</v>
      </c>
      <c r="H2705" s="9" t="str">
        <f>IFERROR(__xludf.DUMMYFUNCTION("""COMPUTED_VALUE"""),"C++")</f>
        <v>C++</v>
      </c>
      <c r="I2705" s="9" t="str">
        <f>IFERROR(__xludf.DUMMYFUNCTION("""COMPUTED_VALUE"""),"Other(s):")</f>
        <v>Other(s):</v>
      </c>
      <c r="J2705" s="9" t="str">
        <f>IFERROR(__xludf.DUMMYFUNCTION("""COMPUTED_VALUE"""),"SQL")</f>
        <v>SQL</v>
      </c>
      <c r="K2705" s="9" t="str">
        <f>IFERROR(__xludf.DUMMYFUNCTION("""COMPUTED_VALUE"""),"Bash/Shell/PowerShell")</f>
        <v>Bash/Shell/PowerShell</v>
      </c>
      <c r="L2705" s="9" t="str">
        <f>IFERROR(__xludf.DUMMYFUNCTION("""COMPUTED_VALUE"""),"Java")</f>
        <v>Java</v>
      </c>
      <c r="M2705" s="9" t="s">
        <v>30</v>
      </c>
    </row>
    <row r="2706" ht="15.75" customHeight="1">
      <c r="A2706" s="7"/>
      <c r="B2706" s="7" t="str">
        <f>IFERROR(__xludf.DUMMYFUNCTION("""COMPUTED_VALUE"""),"C++;R")</f>
        <v>C++;R</v>
      </c>
      <c r="C2706" s="9" t="str">
        <f>IFERROR(__xludf.DUMMYFUNCTION("""COMPUTED_VALUE"""),"C")</f>
        <v>C</v>
      </c>
      <c r="D2706" s="9" t="str">
        <f>IFERROR(__xludf.DUMMYFUNCTION("""COMPUTED_VALUE"""),"SQL")</f>
        <v>SQL</v>
      </c>
      <c r="E2706" s="9" t="str">
        <f>IFERROR(__xludf.DUMMYFUNCTION("""COMPUTED_VALUE"""),"Java")</f>
        <v>Java</v>
      </c>
      <c r="F2706" s="9" t="str">
        <f>IFERROR(__xludf.DUMMYFUNCTION("""COMPUTED_VALUE"""),"JavaScript")</f>
        <v>JavaScript</v>
      </c>
      <c r="G2706" s="9" t="str">
        <f>IFERROR(__xludf.DUMMYFUNCTION("""COMPUTED_VALUE"""),"C#")</f>
        <v>C#</v>
      </c>
      <c r="H2706" s="9" t="str">
        <f>IFERROR(__xludf.DUMMYFUNCTION("""COMPUTED_VALUE"""),"HTML/CSS")</f>
        <v>HTML/CSS</v>
      </c>
      <c r="I2706" s="9" t="str">
        <f>IFERROR(__xludf.DUMMYFUNCTION("""COMPUTED_VALUE"""),"HTML/CSS")</f>
        <v>HTML/CSS</v>
      </c>
      <c r="J2706" s="9" t="str">
        <f>IFERROR(__xludf.DUMMYFUNCTION("""COMPUTED_VALUE"""),"TypeScript")</f>
        <v>TypeScript</v>
      </c>
      <c r="K2706" s="9" t="str">
        <f>IFERROR(__xludf.DUMMYFUNCTION("""COMPUTED_VALUE"""),"C#")</f>
        <v>C#</v>
      </c>
      <c r="L2706" s="9" t="str">
        <f>IFERROR(__xludf.DUMMYFUNCTION("""COMPUTED_VALUE"""),"JavaScript")</f>
        <v>JavaScript</v>
      </c>
      <c r="M2706" s="9" t="s">
        <v>25</v>
      </c>
    </row>
    <row r="2707" ht="15.75" customHeight="1">
      <c r="A2707" s="7"/>
      <c r="B2707" s="7" t="str">
        <f>IFERROR(__xludf.DUMMYFUNCTION("""COMPUTED_VALUE"""),"Bash/Shell/PowerShell;HTML/CSS;JavaScript;SQL")</f>
        <v>Bash/Shell/PowerShell;HTML/CSS;JavaScript;SQL</v>
      </c>
      <c r="C2707" s="9" t="str">
        <f>IFERROR(__xludf.DUMMYFUNCTION("""COMPUTED_VALUE"""),"HTML/CSS")</f>
        <v>HTML/CSS</v>
      </c>
      <c r="D2707" s="9" t="str">
        <f>IFERROR(__xludf.DUMMYFUNCTION("""COMPUTED_VALUE"""),"Assembly")</f>
        <v>Assembly</v>
      </c>
      <c r="E2707" s="9" t="str">
        <f>IFERROR(__xludf.DUMMYFUNCTION("""COMPUTED_VALUE"""),"JavaScript")</f>
        <v>JavaScript</v>
      </c>
      <c r="F2707" s="9" t="str">
        <f>IFERROR(__xludf.DUMMYFUNCTION("""COMPUTED_VALUE"""),"Kotlin")</f>
        <v>Kotlin</v>
      </c>
      <c r="G2707" s="9" t="str">
        <f>IFERROR(__xludf.DUMMYFUNCTION("""COMPUTED_VALUE"""),"HTML/CSS")</f>
        <v>HTML/CSS</v>
      </c>
      <c r="H2707" s="9" t="str">
        <f>IFERROR(__xludf.DUMMYFUNCTION("""COMPUTED_VALUE"""),"Java")</f>
        <v>Java</v>
      </c>
      <c r="I2707" s="9" t="str">
        <f>IFERROR(__xludf.DUMMYFUNCTION("""COMPUTED_VALUE"""),"JavaScript")</f>
        <v>JavaScript</v>
      </c>
      <c r="J2707" s="9" t="str">
        <f>IFERROR(__xludf.DUMMYFUNCTION("""COMPUTED_VALUE"""),"C")</f>
        <v>C</v>
      </c>
      <c r="K2707" s="9" t="str">
        <f>IFERROR(__xludf.DUMMYFUNCTION("""COMPUTED_VALUE"""),"HTML/CSS")</f>
        <v>HTML/CSS</v>
      </c>
      <c r="L2707" s="9" t="str">
        <f>IFERROR(__xludf.DUMMYFUNCTION("""COMPUTED_VALUE"""),"PHP")</f>
        <v>PHP</v>
      </c>
      <c r="M2707" s="9" t="s">
        <v>24</v>
      </c>
    </row>
    <row r="2708" ht="15.75" customHeight="1">
      <c r="A2708" s="7"/>
      <c r="B2708" s="7" t="str">
        <f>IFERROR(__xludf.DUMMYFUNCTION("""COMPUTED_VALUE"""),"HTML/CSS;Java;Kotlin")</f>
        <v>HTML/CSS;Java;Kotlin</v>
      </c>
      <c r="C2708" s="9" t="str">
        <f>IFERROR(__xludf.DUMMYFUNCTION("""COMPUTED_VALUE"""),"Java")</f>
        <v>Java</v>
      </c>
      <c r="D2708" s="9" t="str">
        <f>IFERROR(__xludf.DUMMYFUNCTION("""COMPUTED_VALUE"""),"Bash/Shell/PowerShell")</f>
        <v>Bash/Shell/PowerShell</v>
      </c>
      <c r="E2708" s="9" t="str">
        <f>IFERROR(__xludf.DUMMYFUNCTION("""COMPUTED_VALUE"""),"Python")</f>
        <v>Python</v>
      </c>
      <c r="F2708" s="9" t="str">
        <f>IFERROR(__xludf.DUMMYFUNCTION("""COMPUTED_VALUE"""),"Python")</f>
        <v>Python</v>
      </c>
      <c r="G2708" s="9" t="str">
        <f>IFERROR(__xludf.DUMMYFUNCTION("""COMPUTED_VALUE"""),"JavaScript")</f>
        <v>JavaScript</v>
      </c>
      <c r="H2708" s="9" t="str">
        <f>IFERROR(__xludf.DUMMYFUNCTION("""COMPUTED_VALUE"""),"JavaScript")</f>
        <v>JavaScript</v>
      </c>
      <c r="I2708" s="9" t="str">
        <f>IFERROR(__xludf.DUMMYFUNCTION("""COMPUTED_VALUE"""),"HTML/CSS")</f>
        <v>HTML/CSS</v>
      </c>
      <c r="J2708" s="9" t="str">
        <f>IFERROR(__xludf.DUMMYFUNCTION("""COMPUTED_VALUE"""),"C++")</f>
        <v>C++</v>
      </c>
      <c r="K2708" s="9" t="str">
        <f>IFERROR(__xludf.DUMMYFUNCTION("""COMPUTED_VALUE"""),"JavaScript")</f>
        <v>JavaScript</v>
      </c>
      <c r="L2708" s="9" t="str">
        <f>IFERROR(__xludf.DUMMYFUNCTION("""COMPUTED_VALUE"""),"Python")</f>
        <v>Python</v>
      </c>
      <c r="M2708" s="9" t="s">
        <v>20</v>
      </c>
    </row>
    <row r="2709" ht="15.75" customHeight="1">
      <c r="A2709" s="7"/>
      <c r="B2709" s="7" t="str">
        <f>IFERROR(__xludf.DUMMYFUNCTION("""COMPUTED_VALUE"""),"HTML/CSS;JavaScript;PHP;Python;SQL")</f>
        <v>HTML/CSS;JavaScript;PHP;Python;SQL</v>
      </c>
      <c r="C2709" s="9" t="str">
        <f>IFERROR(__xludf.DUMMYFUNCTION("""COMPUTED_VALUE"""),"JavaScript")</f>
        <v>JavaScript</v>
      </c>
      <c r="D2709" s="9" t="str">
        <f>IFERROR(__xludf.DUMMYFUNCTION("""COMPUTED_VALUE"""),"C")</f>
        <v>C</v>
      </c>
      <c r="E2709" s="9" t="str">
        <f>IFERROR(__xludf.DUMMYFUNCTION("""COMPUTED_VALUE"""),"SQL")</f>
        <v>SQL</v>
      </c>
      <c r="F2709" s="9" t="str">
        <f>IFERROR(__xludf.DUMMYFUNCTION("""COMPUTED_VALUE"""),"Scala")</f>
        <v>Scala</v>
      </c>
      <c r="G2709" s="9" t="str">
        <f>IFERROR(__xludf.DUMMYFUNCTION("""COMPUTED_VALUE"""),"SQL")</f>
        <v>SQL</v>
      </c>
      <c r="H2709" s="9" t="str">
        <f>IFERROR(__xludf.DUMMYFUNCTION("""COMPUTED_VALUE"""),"PHP")</f>
        <v>PHP</v>
      </c>
      <c r="I2709" s="9" t="str">
        <f>IFERROR(__xludf.DUMMYFUNCTION("""COMPUTED_VALUE"""),"JavaScript")</f>
        <v>JavaScript</v>
      </c>
      <c r="J2709" s="9" t="str">
        <f>IFERROR(__xludf.DUMMYFUNCTION("""COMPUTED_VALUE"""),"HTML/CSS")</f>
        <v>HTML/CSS</v>
      </c>
      <c r="K2709" s="9" t="str">
        <f>IFERROR(__xludf.DUMMYFUNCTION("""COMPUTED_VALUE"""),"PHP")</f>
        <v>PHP</v>
      </c>
      <c r="L2709" s="9" t="str">
        <f>IFERROR(__xludf.DUMMYFUNCTION("""COMPUTED_VALUE"""),"SQL")</f>
        <v>SQL</v>
      </c>
      <c r="M2709" s="9" t="s">
        <v>21</v>
      </c>
    </row>
    <row r="2710" ht="15.75" customHeight="1">
      <c r="A2710" s="7"/>
      <c r="B2710" s="7" t="str">
        <f>IFERROR(__xludf.DUMMYFUNCTION("""COMPUTED_VALUE"""),"Bash/Shell/PowerShell;C#;Java;SQL;Other(s):")</f>
        <v>Bash/Shell/PowerShell;C#;Java;SQL;Other(s):</v>
      </c>
      <c r="C2710" s="9" t="str">
        <f>IFERROR(__xludf.DUMMYFUNCTION("""COMPUTED_VALUE"""),"Kotlin")</f>
        <v>Kotlin</v>
      </c>
      <c r="D2710" s="9" t="str">
        <f>IFERROR(__xludf.DUMMYFUNCTION("""COMPUTED_VALUE"""),"C++")</f>
        <v>C++</v>
      </c>
      <c r="E2710" s="9" t="str">
        <f>IFERROR(__xludf.DUMMYFUNCTION("""COMPUTED_VALUE"""),"TypeScript")</f>
        <v>TypeScript</v>
      </c>
      <c r="F2710" s="9" t="str">
        <f>IFERROR(__xludf.DUMMYFUNCTION("""COMPUTED_VALUE"""),"TypeScript")</f>
        <v>TypeScript</v>
      </c>
      <c r="G2710" s="9" t="str">
        <f>IFERROR(__xludf.DUMMYFUNCTION("""COMPUTED_VALUE"""),"TypeScript")</f>
        <v>TypeScript</v>
      </c>
      <c r="H2710" s="9" t="str">
        <f>IFERROR(__xludf.DUMMYFUNCTION("""COMPUTED_VALUE"""),"Python")</f>
        <v>Python</v>
      </c>
      <c r="I2710" s="9" t="str">
        <f>IFERROR(__xludf.DUMMYFUNCTION("""COMPUTED_VALUE"""),"Ruby")</f>
        <v>Ruby</v>
      </c>
      <c r="J2710" s="9" t="str">
        <f>IFERROR(__xludf.DUMMYFUNCTION("""COMPUTED_VALUE"""),"Java")</f>
        <v>Java</v>
      </c>
      <c r="K2710" s="9" t="str">
        <f>IFERROR(__xludf.DUMMYFUNCTION("""COMPUTED_VALUE"""),"Python")</f>
        <v>Python</v>
      </c>
      <c r="L2710" s="9" t="str">
        <f>IFERROR(__xludf.DUMMYFUNCTION("""COMPUTED_VALUE"""),"Go")</f>
        <v>Go</v>
      </c>
      <c r="M2710" s="9" t="s">
        <v>39</v>
      </c>
    </row>
    <row r="2711" ht="15.75" customHeight="1">
      <c r="A2711" s="7"/>
      <c r="B2711" s="7" t="str">
        <f>IFERROR(__xludf.DUMMYFUNCTION("""COMPUTED_VALUE"""),"HTML/CSS;Java;JavaScript;Kotlin;PHP;SQL;Swift")</f>
        <v>HTML/CSS;Java;JavaScript;Kotlin;PHP;SQL;Swift</v>
      </c>
      <c r="C2711" s="9" t="str">
        <f>IFERROR(__xludf.DUMMYFUNCTION("""COMPUTED_VALUE"""),"PHP")</f>
        <v>PHP</v>
      </c>
      <c r="D2711" s="9" t="str">
        <f>IFERROR(__xludf.DUMMYFUNCTION("""COMPUTED_VALUE"""),"Go")</f>
        <v>Go</v>
      </c>
      <c r="E2711" s="9" t="str">
        <f>IFERROR(__xludf.DUMMYFUNCTION("""COMPUTED_VALUE"""),"C")</f>
        <v>C</v>
      </c>
      <c r="F2711" s="9" t="str">
        <f>IFERROR(__xludf.DUMMYFUNCTION("""COMPUTED_VALUE"""),"Assembly")</f>
        <v>Assembly</v>
      </c>
      <c r="G2711" s="9" t="str">
        <f>IFERROR(__xludf.DUMMYFUNCTION("""COMPUTED_VALUE"""),"Bash/Shell/PowerShell")</f>
        <v>Bash/Shell/PowerShell</v>
      </c>
      <c r="H2711" s="9" t="str">
        <f>IFERROR(__xludf.DUMMYFUNCTION("""COMPUTED_VALUE"""),"SQL")</f>
        <v>SQL</v>
      </c>
      <c r="I2711" s="9" t="str">
        <f>IFERROR(__xludf.DUMMYFUNCTION("""COMPUTED_VALUE"""),"C#")</f>
        <v>C#</v>
      </c>
      <c r="J2711" s="9" t="str">
        <f>IFERROR(__xludf.DUMMYFUNCTION("""COMPUTED_VALUE"""),"JavaScript")</f>
        <v>JavaScript</v>
      </c>
      <c r="K2711" s="9" t="str">
        <f>IFERROR(__xludf.DUMMYFUNCTION("""COMPUTED_VALUE"""),"Ruby")</f>
        <v>Ruby</v>
      </c>
      <c r="L2711" s="9" t="str">
        <f>IFERROR(__xludf.DUMMYFUNCTION("""COMPUTED_VALUE"""),"Java")</f>
        <v>Java</v>
      </c>
      <c r="M2711" s="9" t="s">
        <v>37</v>
      </c>
    </row>
    <row r="2712" ht="15.75" customHeight="1">
      <c r="A2712" s="7"/>
      <c r="B2712" s="7" t="str">
        <f>IFERROR(__xludf.DUMMYFUNCTION("""COMPUTED_VALUE"""),"C#;HTML/CSS;JavaScript;PHP;SQL")</f>
        <v>C#;HTML/CSS;JavaScript;PHP;SQL</v>
      </c>
      <c r="C2712" s="9" t="str">
        <f>IFERROR(__xludf.DUMMYFUNCTION("""COMPUTED_VALUE"""),"SQL")</f>
        <v>SQL</v>
      </c>
      <c r="D2712" s="9" t="str">
        <f>IFERROR(__xludf.DUMMYFUNCTION("""COMPUTED_VALUE"""),"HTML/CSS")</f>
        <v>HTML/CSS</v>
      </c>
      <c r="E2712" s="9" t="str">
        <f>IFERROR(__xludf.DUMMYFUNCTION("""COMPUTED_VALUE"""),"C++")</f>
        <v>C++</v>
      </c>
      <c r="F2712" s="9" t="str">
        <f>IFERROR(__xludf.DUMMYFUNCTION("""COMPUTED_VALUE"""),"Bash/Shell/PowerShell")</f>
        <v>Bash/Shell/PowerShell</v>
      </c>
      <c r="G2712" s="9" t="str">
        <f>IFERROR(__xludf.DUMMYFUNCTION("""COMPUTED_VALUE"""),"C")</f>
        <v>C</v>
      </c>
      <c r="H2712" s="9" t="str">
        <f>IFERROR(__xludf.DUMMYFUNCTION("""COMPUTED_VALUE"""),"C++")</f>
        <v>C++</v>
      </c>
      <c r="I2712" s="9" t="str">
        <f>IFERROR(__xludf.DUMMYFUNCTION("""COMPUTED_VALUE"""),"HTML/CSS")</f>
        <v>HTML/CSS</v>
      </c>
      <c r="J2712" s="9" t="str">
        <f>IFERROR(__xludf.DUMMYFUNCTION("""COMPUTED_VALUE"""),"Kotlin")</f>
        <v>Kotlin</v>
      </c>
      <c r="K2712" s="9" t="str">
        <f>IFERROR(__xludf.DUMMYFUNCTION("""COMPUTED_VALUE"""),"SQL")</f>
        <v>SQL</v>
      </c>
      <c r="L2712" s="9" t="str">
        <f>IFERROR(__xludf.DUMMYFUNCTION("""COMPUTED_VALUE"""),"JavaScript")</f>
        <v>JavaScript</v>
      </c>
      <c r="M2712" s="9" t="s">
        <v>27</v>
      </c>
    </row>
    <row r="2713" ht="15.75" customHeight="1">
      <c r="A2713" s="7"/>
      <c r="B2713" s="7" t="str">
        <f>IFERROR(__xludf.DUMMYFUNCTION("""COMPUTED_VALUE"""),"Bash/Shell/PowerShell;C#;HTML/CSS;JavaScript;SQL;TypeScript")</f>
        <v>Bash/Shell/PowerShell;C#;HTML/CSS;JavaScript;SQL;TypeScript</v>
      </c>
      <c r="C2713" s="9" t="str">
        <f>IFERROR(__xludf.DUMMYFUNCTION("""COMPUTED_VALUE"""),"TypeScript")</f>
        <v>TypeScript</v>
      </c>
      <c r="D2713" s="9" t="str">
        <f>IFERROR(__xludf.DUMMYFUNCTION("""COMPUTED_VALUE"""),"Java")</f>
        <v>Java</v>
      </c>
      <c r="E2713" s="9" t="str">
        <f>IFERROR(__xludf.DUMMYFUNCTION("""COMPUTED_VALUE"""),"Java")</f>
        <v>Java</v>
      </c>
      <c r="F2713" s="9" t="str">
        <f>IFERROR(__xludf.DUMMYFUNCTION("""COMPUTED_VALUE"""),"C")</f>
        <v>C</v>
      </c>
      <c r="G2713" s="9" t="str">
        <f>IFERROR(__xludf.DUMMYFUNCTION("""COMPUTED_VALUE"""),"C++")</f>
        <v>C++</v>
      </c>
      <c r="H2713" s="9" t="str">
        <f>IFERROR(__xludf.DUMMYFUNCTION("""COMPUTED_VALUE"""),"JavaScript")</f>
        <v>JavaScript</v>
      </c>
      <c r="I2713" s="9" t="str">
        <f>IFERROR(__xludf.DUMMYFUNCTION("""COMPUTED_VALUE"""),"Java")</f>
        <v>Java</v>
      </c>
      <c r="J2713" s="9" t="str">
        <f>IFERROR(__xludf.DUMMYFUNCTION("""COMPUTED_VALUE"""),"PHP")</f>
        <v>PHP</v>
      </c>
      <c r="K2713" s="9" t="str">
        <f>IFERROR(__xludf.DUMMYFUNCTION("""COMPUTED_VALUE"""),"Bash/Shell/PowerShell")</f>
        <v>Bash/Shell/PowerShell</v>
      </c>
      <c r="L2713" s="9" t="str">
        <f>IFERROR(__xludf.DUMMYFUNCTION("""COMPUTED_VALUE"""),"Kotlin")</f>
        <v>Kotlin</v>
      </c>
      <c r="M2713" s="9" t="s">
        <v>33</v>
      </c>
    </row>
    <row r="2714" ht="15.75" customHeight="1">
      <c r="A2714" s="7"/>
      <c r="B2714" s="7" t="str">
        <f>IFERROR(__xludf.DUMMYFUNCTION("""COMPUTED_VALUE"""),"Bash/Shell/PowerShell;C#;HTML/CSS;Java;JavaScript;SQL;TypeScript")</f>
        <v>Bash/Shell/PowerShell;C#;HTML/CSS;Java;JavaScript;SQL;TypeScript</v>
      </c>
      <c r="C2714" s="9" t="str">
        <f>IFERROR(__xludf.DUMMYFUNCTION("""COMPUTED_VALUE"""),"Bash/Shell/PowerShell")</f>
        <v>Bash/Shell/PowerShell</v>
      </c>
      <c r="D2714" s="9" t="str">
        <f>IFERROR(__xludf.DUMMYFUNCTION("""COMPUTED_VALUE"""),"JavaScript")</f>
        <v>JavaScript</v>
      </c>
      <c r="E2714" s="9" t="str">
        <f>IFERROR(__xludf.DUMMYFUNCTION("""COMPUTED_VALUE"""),"Python")</f>
        <v>Python</v>
      </c>
      <c r="F2714" s="9" t="str">
        <f>IFERROR(__xludf.DUMMYFUNCTION("""COMPUTED_VALUE"""),"C++")</f>
        <v>C++</v>
      </c>
      <c r="G2714" s="9" t="str">
        <f>IFERROR(__xludf.DUMMYFUNCTION("""COMPUTED_VALUE"""),"C#")</f>
        <v>C#</v>
      </c>
      <c r="H2714" s="9" t="str">
        <f>IFERROR(__xludf.DUMMYFUNCTION("""COMPUTED_VALUE"""),"HTML/CSS")</f>
        <v>HTML/CSS</v>
      </c>
      <c r="I2714" s="9" t="str">
        <f>IFERROR(__xludf.DUMMYFUNCTION("""COMPUTED_VALUE"""),"JavaScript")</f>
        <v>JavaScript</v>
      </c>
      <c r="J2714" s="9" t="str">
        <f>IFERROR(__xludf.DUMMYFUNCTION("""COMPUTED_VALUE"""),"SQL")</f>
        <v>SQL</v>
      </c>
      <c r="K2714" s="9" t="str">
        <f>IFERROR(__xludf.DUMMYFUNCTION("""COMPUTED_VALUE"""),"C")</f>
        <v>C</v>
      </c>
      <c r="L2714" s="9" t="str">
        <f>IFERROR(__xludf.DUMMYFUNCTION("""COMPUTED_VALUE"""),"SQL")</f>
        <v>SQL</v>
      </c>
      <c r="M2714" s="9" t="s">
        <v>30</v>
      </c>
    </row>
    <row r="2715" ht="15.75" customHeight="1">
      <c r="A2715" s="7"/>
      <c r="B2715" s="7" t="str">
        <f>IFERROR(__xludf.DUMMYFUNCTION("""COMPUTED_VALUE"""),"HTML/CSS;JavaScript;Python;SQL")</f>
        <v>HTML/CSS;JavaScript;Python;SQL</v>
      </c>
      <c r="C2715" s="9" t="str">
        <f>IFERROR(__xludf.DUMMYFUNCTION("""COMPUTED_VALUE"""),"C")</f>
        <v>C</v>
      </c>
      <c r="D2715" s="9" t="str">
        <f>IFERROR(__xludf.DUMMYFUNCTION("""COMPUTED_VALUE"""),"PHP")</f>
        <v>PHP</v>
      </c>
      <c r="E2715" s="9" t="str">
        <f>IFERROR(__xludf.DUMMYFUNCTION("""COMPUTED_VALUE"""),"C")</f>
        <v>C</v>
      </c>
      <c r="F2715" s="9" t="str">
        <f>IFERROR(__xludf.DUMMYFUNCTION("""COMPUTED_VALUE"""),"C#")</f>
        <v>C#</v>
      </c>
      <c r="G2715" s="9" t="str">
        <f>IFERROR(__xludf.DUMMYFUNCTION("""COMPUTED_VALUE"""),"Dart")</f>
        <v>Dart</v>
      </c>
      <c r="H2715" s="9" t="str">
        <f>IFERROR(__xludf.DUMMYFUNCTION("""COMPUTED_VALUE"""),"Java")</f>
        <v>Java</v>
      </c>
      <c r="I2715" s="9" t="str">
        <f>IFERROR(__xludf.DUMMYFUNCTION("""COMPUTED_VALUE"""),"PHP")</f>
        <v>PHP</v>
      </c>
      <c r="J2715" s="9" t="str">
        <f>IFERROR(__xludf.DUMMYFUNCTION("""COMPUTED_VALUE"""),"HTML/CSS")</f>
        <v>HTML/CSS</v>
      </c>
      <c r="K2715" s="9" t="str">
        <f>IFERROR(__xludf.DUMMYFUNCTION("""COMPUTED_VALUE"""),"C++")</f>
        <v>C++</v>
      </c>
      <c r="L2715" s="9" t="str">
        <f>IFERROR(__xludf.DUMMYFUNCTION("""COMPUTED_VALUE"""),"C#")</f>
        <v>C#</v>
      </c>
      <c r="M2715" s="9" t="s">
        <v>25</v>
      </c>
    </row>
    <row r="2716" ht="15.75" customHeight="1">
      <c r="A2716" s="7"/>
      <c r="B2716" s="7" t="str">
        <f>IFERROR(__xludf.DUMMYFUNCTION("""COMPUTED_VALUE"""),"Bash/Shell/PowerShell;C++;JavaScript;Python;TypeScript")</f>
        <v>Bash/Shell/PowerShell;C++;JavaScript;Python;TypeScript</v>
      </c>
      <c r="C2716" s="9" t="str">
        <f>IFERROR(__xludf.DUMMYFUNCTION("""COMPUTED_VALUE"""),"C++")</f>
        <v>C++</v>
      </c>
      <c r="D2716" s="9" t="str">
        <f>IFERROR(__xludf.DUMMYFUNCTION("""COMPUTED_VALUE"""),"Python")</f>
        <v>Python</v>
      </c>
      <c r="E2716" s="9" t="str">
        <f>IFERROR(__xludf.DUMMYFUNCTION("""COMPUTED_VALUE"""),"C#")</f>
        <v>C#</v>
      </c>
      <c r="F2716" s="9" t="str">
        <f>IFERROR(__xludf.DUMMYFUNCTION("""COMPUTED_VALUE"""),"HTML/CSS")</f>
        <v>HTML/CSS</v>
      </c>
      <c r="G2716" s="9" t="str">
        <f>IFERROR(__xludf.DUMMYFUNCTION("""COMPUTED_VALUE"""),"F#")</f>
        <v>F#</v>
      </c>
      <c r="H2716" s="9" t="str">
        <f>IFERROR(__xludf.DUMMYFUNCTION("""COMPUTED_VALUE"""),"JavaScript")</f>
        <v>JavaScript</v>
      </c>
      <c r="I2716" s="9" t="str">
        <f>IFERROR(__xludf.DUMMYFUNCTION("""COMPUTED_VALUE"""),"SQL")</f>
        <v>SQL</v>
      </c>
      <c r="J2716" s="9" t="str">
        <f>IFERROR(__xludf.DUMMYFUNCTION("""COMPUTED_VALUE"""),"JavaScript")</f>
        <v>JavaScript</v>
      </c>
      <c r="K2716" s="9" t="str">
        <f>IFERROR(__xludf.DUMMYFUNCTION("""COMPUTED_VALUE"""),"HTML/CSS")</f>
        <v>HTML/CSS</v>
      </c>
      <c r="L2716" s="9" t="str">
        <f>IFERROR(__xludf.DUMMYFUNCTION("""COMPUTED_VALUE"""),"HTML/CSS")</f>
        <v>HTML/CSS</v>
      </c>
      <c r="M2716" s="9" t="s">
        <v>23</v>
      </c>
    </row>
    <row r="2717" ht="15.75" customHeight="1">
      <c r="A2717" s="7"/>
      <c r="B2717" s="7" t="str">
        <f>IFERROR(__xludf.DUMMYFUNCTION("""COMPUTED_VALUE"""),"HTML/CSS;Java;JavaScript;PHP;Python")</f>
        <v>HTML/CSS;Java;JavaScript;PHP;Python</v>
      </c>
      <c r="C2717" s="9" t="str">
        <f>IFERROR(__xludf.DUMMYFUNCTION("""COMPUTED_VALUE"""),"C#")</f>
        <v>C#</v>
      </c>
      <c r="D2717" s="9" t="str">
        <f>IFERROR(__xludf.DUMMYFUNCTION("""COMPUTED_VALUE"""),"Rust")</f>
        <v>Rust</v>
      </c>
      <c r="E2717" s="9" t="str">
        <f>IFERROR(__xludf.DUMMYFUNCTION("""COMPUTED_VALUE"""),"HTML/CSS")</f>
        <v>HTML/CSS</v>
      </c>
      <c r="F2717" s="9" t="str">
        <f>IFERROR(__xludf.DUMMYFUNCTION("""COMPUTED_VALUE"""),"Java")</f>
        <v>Java</v>
      </c>
      <c r="G2717" s="9" t="str">
        <f>IFERROR(__xludf.DUMMYFUNCTION("""COMPUTED_VALUE"""),"Go")</f>
        <v>Go</v>
      </c>
      <c r="H2717" s="9" t="str">
        <f>IFERROR(__xludf.DUMMYFUNCTION("""COMPUTED_VALUE"""),"SQL")</f>
        <v>SQL</v>
      </c>
      <c r="I2717" s="9" t="str">
        <f>IFERROR(__xludf.DUMMYFUNCTION("""COMPUTED_VALUE"""),"C++")</f>
        <v>C++</v>
      </c>
      <c r="J2717" s="9" t="str">
        <f>IFERROR(__xludf.DUMMYFUNCTION("""COMPUTED_VALUE"""),"PHP")</f>
        <v>PHP</v>
      </c>
      <c r="K2717" s="9" t="str">
        <f>IFERROR(__xludf.DUMMYFUNCTION("""COMPUTED_VALUE"""),"Java")</f>
        <v>Java</v>
      </c>
      <c r="L2717" s="9" t="str">
        <f>IFERROR(__xludf.DUMMYFUNCTION("""COMPUTED_VALUE"""),"JavaScript")</f>
        <v>JavaScript</v>
      </c>
      <c r="M2717" s="9" t="s">
        <v>26</v>
      </c>
    </row>
    <row r="2718" ht="15.75" customHeight="1">
      <c r="A2718" s="7"/>
      <c r="B2718" s="7" t="str">
        <f>IFERROR(__xludf.DUMMYFUNCTION("""COMPUTED_VALUE"""),"Bash/Shell/PowerShell;C#;HTML/CSS;JavaScript;Python;SQL")</f>
        <v>Bash/Shell/PowerShell;C#;HTML/CSS;JavaScript;Python;SQL</v>
      </c>
      <c r="C2718" s="9" t="str">
        <f>IFERROR(__xludf.DUMMYFUNCTION("""COMPUTED_VALUE"""),"HTML/CSS")</f>
        <v>HTML/CSS</v>
      </c>
      <c r="D2718" s="9" t="str">
        <f>IFERROR(__xludf.DUMMYFUNCTION("""COMPUTED_VALUE"""),"SQL")</f>
        <v>SQL</v>
      </c>
      <c r="E2718" s="9" t="str">
        <f>IFERROR(__xludf.DUMMYFUNCTION("""COMPUTED_VALUE"""),"Java")</f>
        <v>Java</v>
      </c>
      <c r="F2718" s="9" t="str">
        <f>IFERROR(__xludf.DUMMYFUNCTION("""COMPUTED_VALUE"""),"JavaScript")</f>
        <v>JavaScript</v>
      </c>
      <c r="G2718" s="9" t="str">
        <f>IFERROR(__xludf.DUMMYFUNCTION("""COMPUTED_VALUE"""),"HTML/CSS")</f>
        <v>HTML/CSS</v>
      </c>
      <c r="H2718" s="9" t="str">
        <f>IFERROR(__xludf.DUMMYFUNCTION("""COMPUTED_VALUE"""),"TypeScript")</f>
        <v>TypeScript</v>
      </c>
      <c r="I2718" s="9" t="str">
        <f>IFERROR(__xludf.DUMMYFUNCTION("""COMPUTED_VALUE"""),"C#")</f>
        <v>C#</v>
      </c>
      <c r="J2718" s="9" t="str">
        <f>IFERROR(__xludf.DUMMYFUNCTION("""COMPUTED_VALUE"""),"C")</f>
        <v>C</v>
      </c>
      <c r="K2718" s="9" t="str">
        <f>IFERROR(__xludf.DUMMYFUNCTION("""COMPUTED_VALUE"""),"JavaScript")</f>
        <v>JavaScript</v>
      </c>
      <c r="L2718" s="9" t="str">
        <f>IFERROR(__xludf.DUMMYFUNCTION("""COMPUTED_VALUE"""),"TypeScript")</f>
        <v>TypeScript</v>
      </c>
      <c r="M2718" s="9" t="s">
        <v>24</v>
      </c>
    </row>
    <row r="2719" ht="15.75" customHeight="1">
      <c r="A2719" s="7"/>
      <c r="B2719" s="7" t="str">
        <f>IFERROR(__xludf.DUMMYFUNCTION("""COMPUTED_VALUE"""),"C++")</f>
        <v>C++</v>
      </c>
      <c r="C2719" s="9" t="str">
        <f>IFERROR(__xludf.DUMMYFUNCTION("""COMPUTED_VALUE"""),"Java")</f>
        <v>Java</v>
      </c>
      <c r="D2719" s="9" t="str">
        <f>IFERROR(__xludf.DUMMYFUNCTION("""COMPUTED_VALUE"""),"HTML/CSS")</f>
        <v>HTML/CSS</v>
      </c>
      <c r="E2719" s="9" t="str">
        <f>IFERROR(__xludf.DUMMYFUNCTION("""COMPUTED_VALUE"""),"JavaScript")</f>
        <v>JavaScript</v>
      </c>
      <c r="F2719" s="9" t="str">
        <f>IFERROR(__xludf.DUMMYFUNCTION("""COMPUTED_VALUE"""),"PHP")</f>
        <v>PHP</v>
      </c>
      <c r="G2719" s="9" t="str">
        <f>IFERROR(__xludf.DUMMYFUNCTION("""COMPUTED_VALUE"""),"JavaScript")</f>
        <v>JavaScript</v>
      </c>
      <c r="H2719" s="9" t="str">
        <f>IFERROR(__xludf.DUMMYFUNCTION("""COMPUTED_VALUE"""),"C#")</f>
        <v>C#</v>
      </c>
      <c r="I2719" s="9" t="str">
        <f>IFERROR(__xludf.DUMMYFUNCTION("""COMPUTED_VALUE"""),"HTML/CSS")</f>
        <v>HTML/CSS</v>
      </c>
      <c r="J2719" s="9" t="str">
        <f>IFERROR(__xludf.DUMMYFUNCTION("""COMPUTED_VALUE"""),"C++")</f>
        <v>C++</v>
      </c>
      <c r="K2719" s="9" t="str">
        <f>IFERROR(__xludf.DUMMYFUNCTION("""COMPUTED_VALUE"""),"Python")</f>
        <v>Python</v>
      </c>
      <c r="L2719" s="9" t="str">
        <f>IFERROR(__xludf.DUMMYFUNCTION("""COMPUTED_VALUE"""),"C#")</f>
        <v>C#</v>
      </c>
      <c r="M2719" s="9" t="s">
        <v>20</v>
      </c>
    </row>
    <row r="2720" ht="15.75" customHeight="1">
      <c r="A2720" s="7"/>
      <c r="B2720" s="7" t="str">
        <f>IFERROR(__xludf.DUMMYFUNCTION("""COMPUTED_VALUE"""),"Bash/Shell/PowerShell;JavaScript;Python;R;SQL;Other(s):")</f>
        <v>Bash/Shell/PowerShell;JavaScript;Python;R;SQL;Other(s):</v>
      </c>
      <c r="C2720" s="9" t="str">
        <f>IFERROR(__xludf.DUMMYFUNCTION("""COMPUTED_VALUE"""),"PHP")</f>
        <v>PHP</v>
      </c>
      <c r="D2720" s="9" t="str">
        <f>IFERROR(__xludf.DUMMYFUNCTION("""COMPUTED_VALUE"""),"JavaScript")</f>
        <v>JavaScript</v>
      </c>
      <c r="E2720" s="9" t="str">
        <f>IFERROR(__xludf.DUMMYFUNCTION("""COMPUTED_VALUE"""),"Objective-C")</f>
        <v>Objective-C</v>
      </c>
      <c r="F2720" s="9" t="str">
        <f>IFERROR(__xludf.DUMMYFUNCTION("""COMPUTED_VALUE"""),"SQL")</f>
        <v>SQL</v>
      </c>
      <c r="G2720" s="9" t="str">
        <f>IFERROR(__xludf.DUMMYFUNCTION("""COMPUTED_VALUE"""),"PHP")</f>
        <v>PHP</v>
      </c>
      <c r="H2720" s="9" t="str">
        <f>IFERROR(__xludf.DUMMYFUNCTION("""COMPUTED_VALUE"""),"HTML/CSS")</f>
        <v>HTML/CSS</v>
      </c>
      <c r="I2720" s="9" t="str">
        <f>IFERROR(__xludf.DUMMYFUNCTION("""COMPUTED_VALUE"""),"Java")</f>
        <v>Java</v>
      </c>
      <c r="J2720" s="9" t="str">
        <f>IFERROR(__xludf.DUMMYFUNCTION("""COMPUTED_VALUE"""),"C++")</f>
        <v>C++</v>
      </c>
      <c r="K2720" s="9" t="str">
        <f>IFERROR(__xludf.DUMMYFUNCTION("""COMPUTED_VALUE"""),"SQL")</f>
        <v>SQL</v>
      </c>
      <c r="L2720" s="9" t="str">
        <f>IFERROR(__xludf.DUMMYFUNCTION("""COMPUTED_VALUE"""),"HTML/CSS")</f>
        <v>HTML/CSS</v>
      </c>
      <c r="M2720" s="9" t="s">
        <v>37</v>
      </c>
    </row>
    <row r="2721" ht="15.75" customHeight="1">
      <c r="A2721" s="7"/>
      <c r="B2721" s="7" t="str">
        <f>IFERROR(__xludf.DUMMYFUNCTION("""COMPUTED_VALUE"""),"C++;JavaScript;Python;Rust;TypeScript")</f>
        <v>C++;JavaScript;Python;Rust;TypeScript</v>
      </c>
      <c r="C2721" s="9" t="str">
        <f>IFERROR(__xludf.DUMMYFUNCTION("""COMPUTED_VALUE"""),"Python")</f>
        <v>Python</v>
      </c>
      <c r="D2721" s="9" t="str">
        <f>IFERROR(__xludf.DUMMYFUNCTION("""COMPUTED_VALUE"""),"PHP")</f>
        <v>PHP</v>
      </c>
      <c r="E2721" s="9" t="str">
        <f>IFERROR(__xludf.DUMMYFUNCTION("""COMPUTED_VALUE"""),"PHP")</f>
        <v>PHP</v>
      </c>
      <c r="F2721" s="9" t="str">
        <f>IFERROR(__xludf.DUMMYFUNCTION("""COMPUTED_VALUE"""),"Swift")</f>
        <v>Swift</v>
      </c>
      <c r="G2721" s="9" t="str">
        <f>IFERROR(__xludf.DUMMYFUNCTION("""COMPUTED_VALUE"""),"R")</f>
        <v>R</v>
      </c>
      <c r="H2721" s="9" t="str">
        <f>IFERROR(__xludf.DUMMYFUNCTION("""COMPUTED_VALUE"""),"JavaScript")</f>
        <v>JavaScript</v>
      </c>
      <c r="I2721" s="9" t="str">
        <f>IFERROR(__xludf.DUMMYFUNCTION("""COMPUTED_VALUE"""),"PHP")</f>
        <v>PHP</v>
      </c>
      <c r="J2721" s="9" t="str">
        <f>IFERROR(__xludf.DUMMYFUNCTION("""COMPUTED_VALUE"""),"Python")</f>
        <v>Python</v>
      </c>
      <c r="K2721" s="9" t="str">
        <f>IFERROR(__xludf.DUMMYFUNCTION("""COMPUTED_VALUE"""),"C#")</f>
        <v>C#</v>
      </c>
      <c r="L2721" s="9" t="str">
        <f>IFERROR(__xludf.DUMMYFUNCTION("""COMPUTED_VALUE"""),"JavaScript")</f>
        <v>JavaScript</v>
      </c>
      <c r="M2721" s="9" t="s">
        <v>22</v>
      </c>
    </row>
    <row r="2722" ht="15.75" customHeight="1">
      <c r="A2722" s="7"/>
      <c r="B2722" s="7" t="str">
        <f>IFERROR(__xludf.DUMMYFUNCTION("""COMPUTED_VALUE"""),"Bash/Shell/PowerShell;C#;F#;SQL")</f>
        <v>Bash/Shell/PowerShell;C#;F#;SQL</v>
      </c>
      <c r="C2722" s="9" t="str">
        <f>IFERROR(__xludf.DUMMYFUNCTION("""COMPUTED_VALUE"""),"SQL")</f>
        <v>SQL</v>
      </c>
      <c r="D2722" s="9" t="str">
        <f>IFERROR(__xludf.DUMMYFUNCTION("""COMPUTED_VALUE"""),"Ruby")</f>
        <v>Ruby</v>
      </c>
      <c r="E2722" s="9" t="str">
        <f>IFERROR(__xludf.DUMMYFUNCTION("""COMPUTED_VALUE"""),"SQL")</f>
        <v>SQL</v>
      </c>
      <c r="F2722" s="9" t="str">
        <f>IFERROR(__xludf.DUMMYFUNCTION("""COMPUTED_VALUE"""),"TypeScript")</f>
        <v>TypeScript</v>
      </c>
      <c r="G2722" s="9" t="str">
        <f>IFERROR(__xludf.DUMMYFUNCTION("""COMPUTED_VALUE"""),"Rust")</f>
        <v>Rust</v>
      </c>
      <c r="H2722" s="9" t="str">
        <f>IFERROR(__xludf.DUMMYFUNCTION("""COMPUTED_VALUE"""),"PHP")</f>
        <v>PHP</v>
      </c>
      <c r="I2722" s="9" t="str">
        <f>IFERROR(__xludf.DUMMYFUNCTION("""COMPUTED_VALUE"""),"SQL")</f>
        <v>SQL</v>
      </c>
      <c r="J2722" s="9" t="str">
        <f>IFERROR(__xludf.DUMMYFUNCTION("""COMPUTED_VALUE"""),"TypeScript")</f>
        <v>TypeScript</v>
      </c>
      <c r="K2722" s="9" t="str">
        <f>IFERROR(__xludf.DUMMYFUNCTION("""COMPUTED_VALUE"""),"HTML/CSS")</f>
        <v>HTML/CSS</v>
      </c>
      <c r="L2722" s="9" t="str">
        <f>IFERROR(__xludf.DUMMYFUNCTION("""COMPUTED_VALUE"""),"SQL")</f>
        <v>SQL</v>
      </c>
      <c r="M2722" s="9" t="s">
        <v>27</v>
      </c>
    </row>
    <row r="2723" ht="15.75" customHeight="1">
      <c r="A2723" s="7"/>
      <c r="B2723" s="7" t="str">
        <f>IFERROR(__xludf.DUMMYFUNCTION("""COMPUTED_VALUE"""),"Bash/Shell/PowerShell;C;HTML/CSS;Java;JavaScript;Objective-C;SQL")</f>
        <v>Bash/Shell/PowerShell;C;HTML/CSS;Java;JavaScript;Objective-C;SQL</v>
      </c>
      <c r="C2723" s="9" t="str">
        <f>IFERROR(__xludf.DUMMYFUNCTION("""COMPUTED_VALUE"""),"VBA")</f>
        <v>VBA</v>
      </c>
      <c r="D2723" s="9" t="str">
        <f>IFERROR(__xludf.DUMMYFUNCTION("""COMPUTED_VALUE"""),"Bash/Shell/PowerShell")</f>
        <v>Bash/Shell/PowerShell</v>
      </c>
      <c r="E2723" s="9" t="str">
        <f>IFERROR(__xludf.DUMMYFUNCTION("""COMPUTED_VALUE"""),"Swift")</f>
        <v>Swift</v>
      </c>
      <c r="F2723" s="9" t="str">
        <f>IFERROR(__xludf.DUMMYFUNCTION("""COMPUTED_VALUE"""),"Bash/Shell/PowerShell")</f>
        <v>Bash/Shell/PowerShell</v>
      </c>
      <c r="G2723" s="9" t="str">
        <f>IFERROR(__xludf.DUMMYFUNCTION("""COMPUTED_VALUE"""),"SQL")</f>
        <v>SQL</v>
      </c>
      <c r="H2723" s="9" t="str">
        <f>IFERROR(__xludf.DUMMYFUNCTION("""COMPUTED_VALUE"""),"Python")</f>
        <v>Python</v>
      </c>
      <c r="I2723" s="9" t="str">
        <f>IFERROR(__xludf.DUMMYFUNCTION("""COMPUTED_VALUE"""),"VBA")</f>
        <v>VBA</v>
      </c>
      <c r="J2723" s="9" t="str">
        <f>IFERROR(__xludf.DUMMYFUNCTION("""COMPUTED_VALUE"""),"Java")</f>
        <v>Java</v>
      </c>
      <c r="K2723" s="9" t="str">
        <f>IFERROR(__xludf.DUMMYFUNCTION("""COMPUTED_VALUE"""),"SQL")</f>
        <v>SQL</v>
      </c>
      <c r="L2723" s="9" t="str">
        <f>IFERROR(__xludf.DUMMYFUNCTION("""COMPUTED_VALUE"""),"Assembly")</f>
        <v>Assembly</v>
      </c>
      <c r="M2723" s="9" t="s">
        <v>28</v>
      </c>
    </row>
    <row r="2724" ht="15.75" customHeight="1">
      <c r="A2724" s="7"/>
      <c r="B2724" s="7" t="str">
        <f>IFERROR(__xludf.DUMMYFUNCTION("""COMPUTED_VALUE"""),"C;C++;Java;JavaScript;Kotlin;TypeScript")</f>
        <v>C;C++;Java;JavaScript;Kotlin;TypeScript</v>
      </c>
      <c r="C2724" s="9" t="str">
        <f>IFERROR(__xludf.DUMMYFUNCTION("""COMPUTED_VALUE"""),"Bash/Shell/PowerShell")</f>
        <v>Bash/Shell/PowerShell</v>
      </c>
      <c r="D2724" s="9" t="str">
        <f>IFERROR(__xludf.DUMMYFUNCTION("""COMPUTED_VALUE"""),"C++")</f>
        <v>C++</v>
      </c>
      <c r="E2724" s="9" t="str">
        <f>IFERROR(__xludf.DUMMYFUNCTION("""COMPUTED_VALUE"""),"TypeScript")</f>
        <v>TypeScript</v>
      </c>
      <c r="F2724" s="9" t="str">
        <f>IFERROR(__xludf.DUMMYFUNCTION("""COMPUTED_VALUE"""),"C")</f>
        <v>C</v>
      </c>
      <c r="G2724" s="9" t="str">
        <f>IFERROR(__xludf.DUMMYFUNCTION("""COMPUTED_VALUE"""),"TypeScript")</f>
        <v>TypeScript</v>
      </c>
      <c r="H2724" s="9" t="str">
        <f>IFERROR(__xludf.DUMMYFUNCTION("""COMPUTED_VALUE"""),"SQL")</f>
        <v>SQL</v>
      </c>
      <c r="I2724" s="9" t="str">
        <f>IFERROR(__xludf.DUMMYFUNCTION("""COMPUTED_VALUE"""),"Bash/Shell/PowerShell")</f>
        <v>Bash/Shell/PowerShell</v>
      </c>
      <c r="J2724" s="9" t="str">
        <f>IFERROR(__xludf.DUMMYFUNCTION("""COMPUTED_VALUE"""),"Bash/Shell/PowerShell")</f>
        <v>Bash/Shell/PowerShell</v>
      </c>
      <c r="K2724" s="9" t="str">
        <f>IFERROR(__xludf.DUMMYFUNCTION("""COMPUTED_VALUE"""),"Bash/Shell/PowerShell")</f>
        <v>Bash/Shell/PowerShell</v>
      </c>
      <c r="L2724" s="9" t="str">
        <f>IFERROR(__xludf.DUMMYFUNCTION("""COMPUTED_VALUE"""),"Bash/Shell/PowerShell")</f>
        <v>Bash/Shell/PowerShell</v>
      </c>
      <c r="M2724" s="9" t="s">
        <v>30</v>
      </c>
    </row>
    <row r="2725" ht="15.75" customHeight="1">
      <c r="A2725" s="7"/>
      <c r="B2725" s="7" t="str">
        <f>IFERROR(__xludf.DUMMYFUNCTION("""COMPUTED_VALUE"""),"Java;JavaScript")</f>
        <v>Java;JavaScript</v>
      </c>
      <c r="C2725" s="9" t="str">
        <f>IFERROR(__xludf.DUMMYFUNCTION("""COMPUTED_VALUE"""),"C#")</f>
        <v>C#</v>
      </c>
      <c r="D2725" s="9" t="str">
        <f>IFERROR(__xludf.DUMMYFUNCTION("""COMPUTED_VALUE"""),"Java")</f>
        <v>Java</v>
      </c>
      <c r="E2725" s="9" t="str">
        <f>IFERROR(__xludf.DUMMYFUNCTION("""COMPUTED_VALUE"""),"Go")</f>
        <v>Go</v>
      </c>
      <c r="F2725" s="9" t="str">
        <f>IFERROR(__xludf.DUMMYFUNCTION("""COMPUTED_VALUE"""),"HTML/CSS")</f>
        <v>HTML/CSS</v>
      </c>
      <c r="G2725" s="9" t="str">
        <f>IFERROR(__xludf.DUMMYFUNCTION("""COMPUTED_VALUE"""),"C#")</f>
        <v>C#</v>
      </c>
      <c r="H2725" s="9" t="str">
        <f>IFERROR(__xludf.DUMMYFUNCTION("""COMPUTED_VALUE"""),"Other(s):")</f>
        <v>Other(s):</v>
      </c>
      <c r="I2725" s="9" t="str">
        <f>IFERROR(__xludf.DUMMYFUNCTION("""COMPUTED_VALUE"""),"JavaScript")</f>
        <v>JavaScript</v>
      </c>
      <c r="J2725" s="9" t="str">
        <f>IFERROR(__xludf.DUMMYFUNCTION("""COMPUTED_VALUE"""),"HTML/CSS")</f>
        <v>HTML/CSS</v>
      </c>
      <c r="K2725" s="9" t="str">
        <f>IFERROR(__xludf.DUMMYFUNCTION("""COMPUTED_VALUE"""),"HTML/CSS")</f>
        <v>HTML/CSS</v>
      </c>
      <c r="L2725" s="9" t="str">
        <f>IFERROR(__xludf.DUMMYFUNCTION("""COMPUTED_VALUE"""),"C")</f>
        <v>C</v>
      </c>
      <c r="M2725" s="9" t="s">
        <v>26</v>
      </c>
    </row>
    <row r="2726" ht="15.75" customHeight="1">
      <c r="A2726" s="7"/>
      <c r="B2726" s="7" t="str">
        <f>IFERROR(__xludf.DUMMYFUNCTION("""COMPUTED_VALUE"""),"Bash/Shell/PowerShell;HTML/CSS;JavaScript;PHP;SQL")</f>
        <v>Bash/Shell/PowerShell;HTML/CSS;JavaScript;PHP;SQL</v>
      </c>
      <c r="C2726" s="9" t="str">
        <f>IFERROR(__xludf.DUMMYFUNCTION("""COMPUTED_VALUE"""),"HTML/CSS")</f>
        <v>HTML/CSS</v>
      </c>
      <c r="D2726" s="9" t="str">
        <f>IFERROR(__xludf.DUMMYFUNCTION("""COMPUTED_VALUE"""),"Python")</f>
        <v>Python</v>
      </c>
      <c r="E2726" s="9" t="str">
        <f>IFERROR(__xludf.DUMMYFUNCTION("""COMPUTED_VALUE"""),"HTML/CSS")</f>
        <v>HTML/CSS</v>
      </c>
      <c r="F2726" s="9" t="str">
        <f>IFERROR(__xludf.DUMMYFUNCTION("""COMPUTED_VALUE"""),"Java")</f>
        <v>Java</v>
      </c>
      <c r="G2726" s="9" t="str">
        <f>IFERROR(__xludf.DUMMYFUNCTION("""COMPUTED_VALUE"""),"F#")</f>
        <v>F#</v>
      </c>
      <c r="H2726" s="9" t="str">
        <f>IFERROR(__xludf.DUMMYFUNCTION("""COMPUTED_VALUE"""),"Bash/Shell/PowerShell")</f>
        <v>Bash/Shell/PowerShell</v>
      </c>
      <c r="I2726" s="9" t="str">
        <f>IFERROR(__xludf.DUMMYFUNCTION("""COMPUTED_VALUE"""),"PHP")</f>
        <v>PHP</v>
      </c>
      <c r="J2726" s="9" t="str">
        <f>IFERROR(__xludf.DUMMYFUNCTION("""COMPUTED_VALUE"""),"Java")</f>
        <v>Java</v>
      </c>
      <c r="K2726" s="9" t="str">
        <f>IFERROR(__xludf.DUMMYFUNCTION("""COMPUTED_VALUE"""),"JavaScript")</f>
        <v>JavaScript</v>
      </c>
      <c r="L2726" s="9" t="str">
        <f>IFERROR(__xludf.DUMMYFUNCTION("""COMPUTED_VALUE"""),"C#")</f>
        <v>C#</v>
      </c>
      <c r="M2726" s="9" t="s">
        <v>24</v>
      </c>
    </row>
    <row r="2727" ht="15.75" customHeight="1">
      <c r="A2727" s="7"/>
      <c r="B2727" s="7" t="str">
        <f>IFERROR(__xludf.DUMMYFUNCTION("""COMPUTED_VALUE"""),"Bash/Shell/PowerShell;Elixir;HTML/CSS;Java;JavaScript;Ruby;SQL")</f>
        <v>Bash/Shell/PowerShell;Elixir;HTML/CSS;Java;JavaScript;Ruby;SQL</v>
      </c>
      <c r="C2727" s="9" t="str">
        <f>IFERROR(__xludf.DUMMYFUNCTION("""COMPUTED_VALUE"""),"JavaScript")</f>
        <v>JavaScript</v>
      </c>
      <c r="D2727" s="9" t="str">
        <f>IFERROR(__xludf.DUMMYFUNCTION("""COMPUTED_VALUE"""),"Scala")</f>
        <v>Scala</v>
      </c>
      <c r="E2727" s="9" t="str">
        <f>IFERROR(__xludf.DUMMYFUNCTION("""COMPUTED_VALUE"""),"JavaScript")</f>
        <v>JavaScript</v>
      </c>
      <c r="F2727" s="9" t="str">
        <f>IFERROR(__xludf.DUMMYFUNCTION("""COMPUTED_VALUE"""),"Python")</f>
        <v>Python</v>
      </c>
      <c r="G2727" s="9" t="str">
        <f>IFERROR(__xludf.DUMMYFUNCTION("""COMPUTED_VALUE"""),"HTML/CSS")</f>
        <v>HTML/CSS</v>
      </c>
      <c r="H2727" s="9" t="str">
        <f>IFERROR(__xludf.DUMMYFUNCTION("""COMPUTED_VALUE"""),"C#")</f>
        <v>C#</v>
      </c>
      <c r="I2727" s="9" t="str">
        <f>IFERROR(__xludf.DUMMYFUNCTION("""COMPUTED_VALUE"""),"SQL")</f>
        <v>SQL</v>
      </c>
      <c r="J2727" s="9" t="str">
        <f>IFERROR(__xludf.DUMMYFUNCTION("""COMPUTED_VALUE"""),"JavaScript")</f>
        <v>JavaScript</v>
      </c>
      <c r="K2727" s="9" t="str">
        <f>IFERROR(__xludf.DUMMYFUNCTION("""COMPUTED_VALUE"""),"Python")</f>
        <v>Python</v>
      </c>
      <c r="L2727" s="9" t="str">
        <f>IFERROR(__xludf.DUMMYFUNCTION("""COMPUTED_VALUE"""),"HTML/CSS")</f>
        <v>HTML/CSS</v>
      </c>
      <c r="M2727" s="9" t="s">
        <v>21</v>
      </c>
    </row>
    <row r="2728" ht="15.75" customHeight="1">
      <c r="A2728" s="7"/>
      <c r="B2728" s="7" t="str">
        <f>IFERROR(__xludf.DUMMYFUNCTION("""COMPUTED_VALUE"""),"Bash/Shell/PowerShell;C;JavaScript;Python;VBA")</f>
        <v>Bash/Shell/PowerShell;C;JavaScript;Python;VBA</v>
      </c>
      <c r="C2728" s="9" t="str">
        <f>IFERROR(__xludf.DUMMYFUNCTION("""COMPUTED_VALUE"""),"PHP")</f>
        <v>PHP</v>
      </c>
      <c r="D2728" s="9" t="str">
        <f>IFERROR(__xludf.DUMMYFUNCTION("""COMPUTED_VALUE"""),"SQL")</f>
        <v>SQL</v>
      </c>
      <c r="E2728" s="9" t="str">
        <f>IFERROR(__xludf.DUMMYFUNCTION("""COMPUTED_VALUE"""),"TypeScript")</f>
        <v>TypeScript</v>
      </c>
      <c r="F2728" s="9" t="str">
        <f>IFERROR(__xludf.DUMMYFUNCTION("""COMPUTED_VALUE"""),"C#")</f>
        <v>C#</v>
      </c>
      <c r="G2728" s="9" t="str">
        <f>IFERROR(__xludf.DUMMYFUNCTION("""COMPUTED_VALUE"""),"JavaScript")</f>
        <v>JavaScript</v>
      </c>
      <c r="H2728" s="9" t="str">
        <f>IFERROR(__xludf.DUMMYFUNCTION("""COMPUTED_VALUE"""),"HTML/CSS")</f>
        <v>HTML/CSS</v>
      </c>
      <c r="I2728" s="9" t="str">
        <f>IFERROR(__xludf.DUMMYFUNCTION("""COMPUTED_VALUE"""),"Bash/Shell/PowerShell")</f>
        <v>Bash/Shell/PowerShell</v>
      </c>
      <c r="J2728" s="9" t="str">
        <f>IFERROR(__xludf.DUMMYFUNCTION("""COMPUTED_VALUE"""),"SQL")</f>
        <v>SQL</v>
      </c>
      <c r="K2728" s="9" t="str">
        <f>IFERROR(__xludf.DUMMYFUNCTION("""COMPUTED_VALUE"""),"SQL")</f>
        <v>SQL</v>
      </c>
      <c r="L2728" s="9" t="str">
        <f>IFERROR(__xludf.DUMMYFUNCTION("""COMPUTED_VALUE"""),"Java")</f>
        <v>Java</v>
      </c>
      <c r="M2728" s="9" t="s">
        <v>37</v>
      </c>
    </row>
    <row r="2729" ht="15.75" customHeight="1">
      <c r="A2729" s="7"/>
      <c r="B2729" s="7" t="str">
        <f>IFERROR(__xludf.DUMMYFUNCTION("""COMPUTED_VALUE"""),"HTML/CSS;JavaScript;PHP;SQL;TypeScript")</f>
        <v>HTML/CSS;JavaScript;PHP;SQL;TypeScript</v>
      </c>
      <c r="C2729" s="9" t="str">
        <f>IFERROR(__xludf.DUMMYFUNCTION("""COMPUTED_VALUE"""),"SQL")</f>
        <v>SQL</v>
      </c>
      <c r="D2729" s="9" t="str">
        <f>IFERROR(__xludf.DUMMYFUNCTION("""COMPUTED_VALUE"""),"TypeScript")</f>
        <v>TypeScript</v>
      </c>
      <c r="E2729" s="9" t="str">
        <f>IFERROR(__xludf.DUMMYFUNCTION("""COMPUTED_VALUE"""),"Bash/Shell/PowerShell")</f>
        <v>Bash/Shell/PowerShell</v>
      </c>
      <c r="F2729" s="9" t="str">
        <f>IFERROR(__xludf.DUMMYFUNCTION("""COMPUTED_VALUE"""),"F#")</f>
        <v>F#</v>
      </c>
      <c r="G2729" s="9" t="str">
        <f>IFERROR(__xludf.DUMMYFUNCTION("""COMPUTED_VALUE"""),"PHP")</f>
        <v>PHP</v>
      </c>
      <c r="H2729" s="9" t="str">
        <f>IFERROR(__xludf.DUMMYFUNCTION("""COMPUTED_VALUE"""),"Java")</f>
        <v>Java</v>
      </c>
      <c r="I2729" s="9" t="str">
        <f>IFERROR(__xludf.DUMMYFUNCTION("""COMPUTED_VALUE"""),"C#")</f>
        <v>C#</v>
      </c>
      <c r="J2729" s="9" t="str">
        <f>IFERROR(__xludf.DUMMYFUNCTION("""COMPUTED_VALUE"""),"TypeScript")</f>
        <v>TypeScript</v>
      </c>
      <c r="K2729" s="9" t="str">
        <f>IFERROR(__xludf.DUMMYFUNCTION("""COMPUTED_VALUE"""),"TypeScript")</f>
        <v>TypeScript</v>
      </c>
      <c r="L2729" s="9" t="str">
        <f>IFERROR(__xludf.DUMMYFUNCTION("""COMPUTED_VALUE"""),"JavaScript")</f>
        <v>JavaScript</v>
      </c>
      <c r="M2729" s="9" t="s">
        <v>27</v>
      </c>
    </row>
    <row r="2730" ht="15.75" customHeight="1">
      <c r="A2730" s="7"/>
      <c r="B2730" s="7" t="str">
        <f>IFERROR(__xludf.DUMMYFUNCTION("""COMPUTED_VALUE"""),"HTML/CSS;JavaScript;Python;SQL;TypeScript")</f>
        <v>HTML/CSS;JavaScript;Python;SQL;TypeScript</v>
      </c>
      <c r="C2730" s="9" t="str">
        <f>IFERROR(__xludf.DUMMYFUNCTION("""COMPUTED_VALUE"""),"HTML/CSS")</f>
        <v>HTML/CSS</v>
      </c>
      <c r="D2730" s="9" t="str">
        <f>IFERROR(__xludf.DUMMYFUNCTION("""COMPUTED_VALUE"""),"C++")</f>
        <v>C++</v>
      </c>
      <c r="E2730" s="9" t="str">
        <f>IFERROR(__xludf.DUMMYFUNCTION("""COMPUTED_VALUE"""),"HTML/CSS")</f>
        <v>HTML/CSS</v>
      </c>
      <c r="F2730" s="9" t="str">
        <f>IFERROR(__xludf.DUMMYFUNCTION("""COMPUTED_VALUE"""),"HTML/CSS")</f>
        <v>HTML/CSS</v>
      </c>
      <c r="G2730" s="9" t="str">
        <f>IFERROR(__xludf.DUMMYFUNCTION("""COMPUTED_VALUE"""),"Python")</f>
        <v>Python</v>
      </c>
      <c r="H2730" s="9" t="str">
        <f>IFERROR(__xludf.DUMMYFUNCTION("""COMPUTED_VALUE"""),"JavaScript")</f>
        <v>JavaScript</v>
      </c>
      <c r="I2730" s="9" t="str">
        <f>IFERROR(__xludf.DUMMYFUNCTION("""COMPUTED_VALUE"""),"SQL")</f>
        <v>SQL</v>
      </c>
      <c r="J2730" s="9" t="str">
        <f>IFERROR(__xludf.DUMMYFUNCTION("""COMPUTED_VALUE"""),"C#")</f>
        <v>C#</v>
      </c>
      <c r="K2730" s="9" t="str">
        <f>IFERROR(__xludf.DUMMYFUNCTION("""COMPUTED_VALUE"""),"HTML/CSS")</f>
        <v>HTML/CSS</v>
      </c>
      <c r="L2730" s="9" t="str">
        <f>IFERROR(__xludf.DUMMYFUNCTION("""COMPUTED_VALUE"""),"PHP")</f>
        <v>PHP</v>
      </c>
      <c r="M2730" s="9" t="s">
        <v>24</v>
      </c>
    </row>
    <row r="2731" ht="15.75" customHeight="1">
      <c r="A2731" s="7"/>
      <c r="B2731" s="7" t="str">
        <f>IFERROR(__xludf.DUMMYFUNCTION("""COMPUTED_VALUE"""),"Bash/Shell/PowerShell;C;PHP;Python")</f>
        <v>Bash/Shell/PowerShell;C;PHP;Python</v>
      </c>
      <c r="C2731" s="9" t="str">
        <f>IFERROR(__xludf.DUMMYFUNCTION("""COMPUTED_VALUE"""),"Java")</f>
        <v>Java</v>
      </c>
      <c r="D2731" s="9" t="str">
        <f>IFERROR(__xludf.DUMMYFUNCTION("""COMPUTED_VALUE"""),"HTML/CSS")</f>
        <v>HTML/CSS</v>
      </c>
      <c r="E2731" s="9" t="str">
        <f>IFERROR(__xludf.DUMMYFUNCTION("""COMPUTED_VALUE"""),"Java")</f>
        <v>Java</v>
      </c>
      <c r="F2731" s="9" t="str">
        <f>IFERROR(__xludf.DUMMYFUNCTION("""COMPUTED_VALUE"""),"JavaScript")</f>
        <v>JavaScript</v>
      </c>
      <c r="G2731" s="9" t="str">
        <f>IFERROR(__xludf.DUMMYFUNCTION("""COMPUTED_VALUE"""),"SQL")</f>
        <v>SQL</v>
      </c>
      <c r="H2731" s="9" t="str">
        <f>IFERROR(__xludf.DUMMYFUNCTION("""COMPUTED_VALUE"""),"PHP")</f>
        <v>PHP</v>
      </c>
      <c r="I2731" s="9" t="str">
        <f>IFERROR(__xludf.DUMMYFUNCTION("""COMPUTED_VALUE"""),"C++")</f>
        <v>C++</v>
      </c>
      <c r="J2731" s="9" t="str">
        <f>IFERROR(__xludf.DUMMYFUNCTION("""COMPUTED_VALUE"""),"HTML/CSS")</f>
        <v>HTML/CSS</v>
      </c>
      <c r="K2731" s="9" t="str">
        <f>IFERROR(__xludf.DUMMYFUNCTION("""COMPUTED_VALUE"""),"Java")</f>
        <v>Java</v>
      </c>
      <c r="L2731" s="9" t="str">
        <f>IFERROR(__xludf.DUMMYFUNCTION("""COMPUTED_VALUE"""),"SQL")</f>
        <v>SQL</v>
      </c>
      <c r="M2731" s="9" t="s">
        <v>20</v>
      </c>
    </row>
    <row r="2732" ht="15.75" customHeight="1">
      <c r="A2732" s="7"/>
      <c r="B2732" s="7" t="str">
        <f>IFERROR(__xludf.DUMMYFUNCTION("""COMPUTED_VALUE"""),"Python")</f>
        <v>Python</v>
      </c>
      <c r="C2732" s="9" t="str">
        <f>IFERROR(__xludf.DUMMYFUNCTION("""COMPUTED_VALUE"""),"JavaScript")</f>
        <v>JavaScript</v>
      </c>
      <c r="D2732" s="9" t="str">
        <f>IFERROR(__xludf.DUMMYFUNCTION("""COMPUTED_VALUE"""),"JavaScript")</f>
        <v>JavaScript</v>
      </c>
      <c r="E2732" s="9" t="str">
        <f>IFERROR(__xludf.DUMMYFUNCTION("""COMPUTED_VALUE"""),"JavaScript")</f>
        <v>JavaScript</v>
      </c>
      <c r="F2732" s="9" t="str">
        <f>IFERROR(__xludf.DUMMYFUNCTION("""COMPUTED_VALUE"""),"PHP")</f>
        <v>PHP</v>
      </c>
      <c r="G2732" s="9" t="str">
        <f>IFERROR(__xludf.DUMMYFUNCTION("""COMPUTED_VALUE"""),"VBA")</f>
        <v>VBA</v>
      </c>
      <c r="H2732" s="9" t="str">
        <f>IFERROR(__xludf.DUMMYFUNCTION("""COMPUTED_VALUE"""),"SQL")</f>
        <v>SQL</v>
      </c>
      <c r="I2732" s="9" t="str">
        <f>IFERROR(__xludf.DUMMYFUNCTION("""COMPUTED_VALUE"""),"HTML/CSS")</f>
        <v>HTML/CSS</v>
      </c>
      <c r="J2732" s="9" t="str">
        <f>IFERROR(__xludf.DUMMYFUNCTION("""COMPUTED_VALUE"""),"JavaScript")</f>
        <v>JavaScript</v>
      </c>
      <c r="K2732" s="9" t="str">
        <f>IFERROR(__xludf.DUMMYFUNCTION("""COMPUTED_VALUE"""),"JavaScript")</f>
        <v>JavaScript</v>
      </c>
      <c r="L2732" s="9" t="str">
        <f>IFERROR(__xludf.DUMMYFUNCTION("""COMPUTED_VALUE"""),"TypeScript")</f>
        <v>TypeScript</v>
      </c>
      <c r="M2732" s="9" t="s">
        <v>21</v>
      </c>
    </row>
    <row r="2733" ht="15.75" customHeight="1">
      <c r="A2733" s="7"/>
      <c r="B2733" s="7" t="str">
        <f>IFERROR(__xludf.DUMMYFUNCTION("""COMPUTED_VALUE"""),"C;C++;HTML/CSS;JavaScript;PHP;SQL;WebAssembly")</f>
        <v>C;C++;HTML/CSS;JavaScript;PHP;SQL;WebAssembly</v>
      </c>
      <c r="C2733" s="9" t="str">
        <f>IFERROR(__xludf.DUMMYFUNCTION("""COMPUTED_VALUE"""),"Python")</f>
        <v>Python</v>
      </c>
      <c r="D2733" s="9" t="str">
        <f>IFERROR(__xludf.DUMMYFUNCTION("""COMPUTED_VALUE"""),"SQL")</f>
        <v>SQL</v>
      </c>
      <c r="E2733" s="9" t="str">
        <f>IFERROR(__xludf.DUMMYFUNCTION("""COMPUTED_VALUE"""),"PHP")</f>
        <v>PHP</v>
      </c>
      <c r="F2733" s="9" t="str">
        <f>IFERROR(__xludf.DUMMYFUNCTION("""COMPUTED_VALUE"""),"SQL")</f>
        <v>SQL</v>
      </c>
      <c r="G2733" s="9" t="str">
        <f>IFERROR(__xludf.DUMMYFUNCTION("""COMPUTED_VALUE"""),"HTML/CSS")</f>
        <v>HTML/CSS</v>
      </c>
      <c r="H2733" s="9" t="str">
        <f>IFERROR(__xludf.DUMMYFUNCTION("""COMPUTED_VALUE"""),"TypeScript")</f>
        <v>TypeScript</v>
      </c>
      <c r="I2733" s="9" t="str">
        <f>IFERROR(__xludf.DUMMYFUNCTION("""COMPUTED_VALUE"""),"JavaScript")</f>
        <v>JavaScript</v>
      </c>
      <c r="J2733" s="9" t="str">
        <f>IFERROR(__xludf.DUMMYFUNCTION("""COMPUTED_VALUE"""),"Python")</f>
        <v>Python</v>
      </c>
      <c r="K2733" s="9" t="str">
        <f>IFERROR(__xludf.DUMMYFUNCTION("""COMPUTED_VALUE"""),"C#")</f>
        <v>C#</v>
      </c>
      <c r="L2733" s="9" t="str">
        <f>IFERROR(__xludf.DUMMYFUNCTION("""COMPUTED_VALUE"""),"Bash/Shell/PowerShell")</f>
        <v>Bash/Shell/PowerShell</v>
      </c>
      <c r="M2733" s="9" t="s">
        <v>22</v>
      </c>
    </row>
    <row r="2734" ht="15.75" customHeight="1">
      <c r="A2734" s="7"/>
      <c r="B2734" s="7" t="str">
        <f>IFERROR(__xludf.DUMMYFUNCTION("""COMPUTED_VALUE"""),"C++;HTML/CSS;PHP;SQL")</f>
        <v>C++;HTML/CSS;PHP;SQL</v>
      </c>
      <c r="C2734" s="9" t="str">
        <f>IFERROR(__xludf.DUMMYFUNCTION("""COMPUTED_VALUE"""),"Ruby")</f>
        <v>Ruby</v>
      </c>
      <c r="D2734" s="9" t="str">
        <f>IFERROR(__xludf.DUMMYFUNCTION("""COMPUTED_VALUE"""),"C#")</f>
        <v>C#</v>
      </c>
      <c r="E2734" s="9" t="str">
        <f>IFERROR(__xludf.DUMMYFUNCTION("""COMPUTED_VALUE"""),"Python")</f>
        <v>Python</v>
      </c>
      <c r="F2734" s="9" t="str">
        <f>IFERROR(__xludf.DUMMYFUNCTION("""COMPUTED_VALUE"""),"TypeScript")</f>
        <v>TypeScript</v>
      </c>
      <c r="G2734" s="9" t="str">
        <f>IFERROR(__xludf.DUMMYFUNCTION("""COMPUTED_VALUE"""),"JavaScript")</f>
        <v>JavaScript</v>
      </c>
      <c r="H2734" s="9" t="str">
        <f>IFERROR(__xludf.DUMMYFUNCTION("""COMPUTED_VALUE"""),"HTML/CSS")</f>
        <v>HTML/CSS</v>
      </c>
      <c r="I2734" s="9" t="str">
        <f>IFERROR(__xludf.DUMMYFUNCTION("""COMPUTED_VALUE"""),"Objective-C")</f>
        <v>Objective-C</v>
      </c>
      <c r="J2734" s="9" t="str">
        <f>IFERROR(__xludf.DUMMYFUNCTION("""COMPUTED_VALUE"""),"R")</f>
        <v>R</v>
      </c>
      <c r="K2734" s="9" t="str">
        <f>IFERROR(__xludf.DUMMYFUNCTION("""COMPUTED_VALUE"""),"Python")</f>
        <v>Python</v>
      </c>
      <c r="L2734" s="9" t="str">
        <f>IFERROR(__xludf.DUMMYFUNCTION("""COMPUTED_VALUE"""),"C#")</f>
        <v>C#</v>
      </c>
      <c r="M2734" s="9" t="s">
        <v>31</v>
      </c>
    </row>
    <row r="2735" ht="15.75" customHeight="1">
      <c r="A2735" s="7"/>
      <c r="B2735" s="7" t="str">
        <f>IFERROR(__xludf.DUMMYFUNCTION("""COMPUTED_VALUE"""),"C#;HTML/CSS;JavaScript;SQL;TypeScript")</f>
        <v>C#;HTML/CSS;JavaScript;SQL;TypeScript</v>
      </c>
      <c r="C2735" s="9" t="str">
        <f>IFERROR(__xludf.DUMMYFUNCTION("""COMPUTED_VALUE"""),"SQL")</f>
        <v>SQL</v>
      </c>
      <c r="D2735" s="9" t="str">
        <f>IFERROR(__xludf.DUMMYFUNCTION("""COMPUTED_VALUE"""),"HTML/CSS")</f>
        <v>HTML/CSS</v>
      </c>
      <c r="E2735" s="9" t="str">
        <f>IFERROR(__xludf.DUMMYFUNCTION("""COMPUTED_VALUE"""),"SQL")</f>
        <v>SQL</v>
      </c>
      <c r="F2735" s="9" t="str">
        <f>IFERROR(__xludf.DUMMYFUNCTION("""COMPUTED_VALUE"""),"HTML/CSS")</f>
        <v>HTML/CSS</v>
      </c>
      <c r="G2735" s="9" t="str">
        <f>IFERROR(__xludf.DUMMYFUNCTION("""COMPUTED_VALUE"""),"R")</f>
        <v>R</v>
      </c>
      <c r="H2735" s="9" t="str">
        <f>IFERROR(__xludf.DUMMYFUNCTION("""COMPUTED_VALUE"""),"JavaScript")</f>
        <v>JavaScript</v>
      </c>
      <c r="I2735" s="9" t="str">
        <f>IFERROR(__xludf.DUMMYFUNCTION("""COMPUTED_VALUE"""),"Python")</f>
        <v>Python</v>
      </c>
      <c r="J2735" s="9" t="str">
        <f>IFERROR(__xludf.DUMMYFUNCTION("""COMPUTED_VALUE"""),"SQL")</f>
        <v>SQL</v>
      </c>
      <c r="K2735" s="9" t="str">
        <f>IFERROR(__xludf.DUMMYFUNCTION("""COMPUTED_VALUE"""),"C#")</f>
        <v>C#</v>
      </c>
      <c r="L2735" s="9" t="str">
        <f>IFERROR(__xludf.DUMMYFUNCTION("""COMPUTED_VALUE"""),"HTML/CSS")</f>
        <v>HTML/CSS</v>
      </c>
      <c r="M2735" s="9" t="s">
        <v>27</v>
      </c>
    </row>
    <row r="2736" ht="15.75" customHeight="1">
      <c r="A2736" s="7"/>
      <c r="B2736" s="7" t="str">
        <f>IFERROR(__xludf.DUMMYFUNCTION("""COMPUTED_VALUE"""),"HTML/CSS;Java;JavaScript;PHP;SQL;TypeScript;Other(s):")</f>
        <v>HTML/CSS;Java;JavaScript;PHP;SQL;TypeScript;Other(s):</v>
      </c>
      <c r="C2736" s="9" t="str">
        <f>IFERROR(__xludf.DUMMYFUNCTION("""COMPUTED_VALUE"""),"C#")</f>
        <v>C#</v>
      </c>
      <c r="D2736" s="9" t="str">
        <f>IFERROR(__xludf.DUMMYFUNCTION("""COMPUTED_VALUE"""),"JavaScript")</f>
        <v>JavaScript</v>
      </c>
      <c r="E2736" s="9" t="str">
        <f>IFERROR(__xludf.DUMMYFUNCTION("""COMPUTED_VALUE"""),"HTML/CSS")</f>
        <v>HTML/CSS</v>
      </c>
      <c r="F2736" s="9" t="str">
        <f>IFERROR(__xludf.DUMMYFUNCTION("""COMPUTED_VALUE"""),"JavaScript")</f>
        <v>JavaScript</v>
      </c>
      <c r="G2736" s="9" t="str">
        <f>IFERROR(__xludf.DUMMYFUNCTION("""COMPUTED_VALUE"""),"SQL")</f>
        <v>SQL</v>
      </c>
      <c r="H2736" s="9" t="str">
        <f>IFERROR(__xludf.DUMMYFUNCTION("""COMPUTED_VALUE"""),"PHP")</f>
        <v>PHP</v>
      </c>
      <c r="I2736" s="9" t="str">
        <f>IFERROR(__xludf.DUMMYFUNCTION("""COMPUTED_VALUE"""),"Bash/Shell/PowerShell")</f>
        <v>Bash/Shell/PowerShell</v>
      </c>
      <c r="J2736" s="9" t="str">
        <f>IFERROR(__xludf.DUMMYFUNCTION("""COMPUTED_VALUE"""),"TypeScript")</f>
        <v>TypeScript</v>
      </c>
      <c r="K2736" s="9" t="str">
        <f>IFERROR(__xludf.DUMMYFUNCTION("""COMPUTED_VALUE"""),"HTML/CSS")</f>
        <v>HTML/CSS</v>
      </c>
      <c r="L2736" s="9" t="str">
        <f>IFERROR(__xludf.DUMMYFUNCTION("""COMPUTED_VALUE"""),"Java")</f>
        <v>Java</v>
      </c>
      <c r="M2736" s="9" t="s">
        <v>26</v>
      </c>
    </row>
    <row r="2737" ht="15.75" customHeight="1">
      <c r="A2737" s="7"/>
      <c r="B2737" s="7" t="str">
        <f>IFERROR(__xludf.DUMMYFUNCTION("""COMPUTED_VALUE"""),"HTML/CSS;JavaScript;PHP;Python")</f>
        <v>HTML/CSS;JavaScript;PHP;Python</v>
      </c>
      <c r="C2737" s="9" t="str">
        <f>IFERROR(__xludf.DUMMYFUNCTION("""COMPUTED_VALUE"""),"JavaScript")</f>
        <v>JavaScript</v>
      </c>
      <c r="D2737" s="9" t="str">
        <f>IFERROR(__xludf.DUMMYFUNCTION("""COMPUTED_VALUE"""),"SQL")</f>
        <v>SQL</v>
      </c>
      <c r="E2737" s="9" t="str">
        <f>IFERROR(__xludf.DUMMYFUNCTION("""COMPUTED_VALUE"""),"PHP")</f>
        <v>PHP</v>
      </c>
      <c r="F2737" s="9" t="str">
        <f>IFERROR(__xludf.DUMMYFUNCTION("""COMPUTED_VALUE"""),"TypeScript")</f>
        <v>TypeScript</v>
      </c>
      <c r="G2737" s="9" t="str">
        <f>IFERROR(__xludf.DUMMYFUNCTION("""COMPUTED_VALUE"""),"Bash/Shell/PowerShell")</f>
        <v>Bash/Shell/PowerShell</v>
      </c>
      <c r="H2737" s="9" t="str">
        <f>IFERROR(__xludf.DUMMYFUNCTION("""COMPUTED_VALUE"""),"C++")</f>
        <v>C++</v>
      </c>
      <c r="I2737" s="9" t="str">
        <f>IFERROR(__xludf.DUMMYFUNCTION("""COMPUTED_VALUE"""),"HTML/CSS")</f>
        <v>HTML/CSS</v>
      </c>
      <c r="J2737" s="9" t="str">
        <f>IFERROR(__xludf.DUMMYFUNCTION("""COMPUTED_VALUE"""),"Bash/Shell/PowerShell")</f>
        <v>Bash/Shell/PowerShell</v>
      </c>
      <c r="K2737" s="9" t="str">
        <f>IFERROR(__xludf.DUMMYFUNCTION("""COMPUTED_VALUE"""),"Objective-C")</f>
        <v>Objective-C</v>
      </c>
      <c r="L2737" s="9" t="str">
        <f>IFERROR(__xludf.DUMMYFUNCTION("""COMPUTED_VALUE"""),"JavaScript")</f>
        <v>JavaScript</v>
      </c>
      <c r="M2737" s="9" t="s">
        <v>21</v>
      </c>
    </row>
    <row r="2738" ht="15.75" customHeight="1">
      <c r="A2738" s="7"/>
      <c r="B2738" s="7" t="str">
        <f>IFERROR(__xludf.DUMMYFUNCTION("""COMPUTED_VALUE"""),"Java;JavaScript")</f>
        <v>Java;JavaScript</v>
      </c>
      <c r="C2738" s="9" t="str">
        <f>IFERROR(__xludf.DUMMYFUNCTION("""COMPUTED_VALUE"""),"SQL")</f>
        <v>SQL</v>
      </c>
      <c r="D2738" s="9" t="str">
        <f>IFERROR(__xludf.DUMMYFUNCTION("""COMPUTED_VALUE"""),"VBA")</f>
        <v>VBA</v>
      </c>
      <c r="E2738" s="9" t="str">
        <f>IFERROR(__xludf.DUMMYFUNCTION("""COMPUTED_VALUE"""),"SQL")</f>
        <v>SQL</v>
      </c>
      <c r="F2738" s="9" t="str">
        <f>IFERROR(__xludf.DUMMYFUNCTION("""COMPUTED_VALUE"""),"Bash/Shell/PowerShell")</f>
        <v>Bash/Shell/PowerShell</v>
      </c>
      <c r="G2738" s="9" t="str">
        <f>IFERROR(__xludf.DUMMYFUNCTION("""COMPUTED_VALUE"""),"C++")</f>
        <v>C++</v>
      </c>
      <c r="H2738" s="9" t="str">
        <f>IFERROR(__xludf.DUMMYFUNCTION("""COMPUTED_VALUE"""),"HTML/CSS")</f>
        <v>HTML/CSS</v>
      </c>
      <c r="I2738" s="9" t="str">
        <f>IFERROR(__xludf.DUMMYFUNCTION("""COMPUTED_VALUE"""),"JavaScript")</f>
        <v>JavaScript</v>
      </c>
      <c r="J2738" s="9" t="str">
        <f>IFERROR(__xludf.DUMMYFUNCTION("""COMPUTED_VALUE"""),"Java")</f>
        <v>Java</v>
      </c>
      <c r="K2738" s="9" t="str">
        <f>IFERROR(__xludf.DUMMYFUNCTION("""COMPUTED_VALUE"""),"SQL")</f>
        <v>SQL</v>
      </c>
      <c r="L2738" s="9" t="str">
        <f>IFERROR(__xludf.DUMMYFUNCTION("""COMPUTED_VALUE"""),"R")</f>
        <v>R</v>
      </c>
      <c r="M2738" s="9" t="s">
        <v>27</v>
      </c>
    </row>
    <row r="2739" ht="15.75" customHeight="1">
      <c r="A2739" s="7"/>
      <c r="B2739" s="7" t="str">
        <f>IFERROR(__xludf.DUMMYFUNCTION("""COMPUTED_VALUE"""),"HTML/CSS;JavaScript;PHP;TypeScript")</f>
        <v>HTML/CSS;JavaScript;PHP;TypeScript</v>
      </c>
      <c r="C2739" s="9" t="str">
        <f>IFERROR(__xludf.DUMMYFUNCTION("""COMPUTED_VALUE"""),"Assembly")</f>
        <v>Assembly</v>
      </c>
      <c r="D2739" s="9" t="str">
        <f>IFERROR(__xludf.DUMMYFUNCTION("""COMPUTED_VALUE"""),"HTML/CSS")</f>
        <v>HTML/CSS</v>
      </c>
      <c r="E2739" s="9" t="str">
        <f>IFERROR(__xludf.DUMMYFUNCTION("""COMPUTED_VALUE"""),"Objective-C")</f>
        <v>Objective-C</v>
      </c>
      <c r="F2739" s="9" t="str">
        <f>IFERROR(__xludf.DUMMYFUNCTION("""COMPUTED_VALUE"""),"Go")</f>
        <v>Go</v>
      </c>
      <c r="G2739" s="9" t="str">
        <f>IFERROR(__xludf.DUMMYFUNCTION("""COMPUTED_VALUE"""),"Go")</f>
        <v>Go</v>
      </c>
      <c r="H2739" s="9" t="str">
        <f>IFERROR(__xludf.DUMMYFUNCTION("""COMPUTED_VALUE"""),"Java")</f>
        <v>Java</v>
      </c>
      <c r="I2739" s="9" t="str">
        <f>IFERROR(__xludf.DUMMYFUNCTION("""COMPUTED_VALUE"""),"Python")</f>
        <v>Python</v>
      </c>
      <c r="J2739" s="9" t="str">
        <f>IFERROR(__xludf.DUMMYFUNCTION("""COMPUTED_VALUE"""),"Python")</f>
        <v>Python</v>
      </c>
      <c r="K2739" s="9" t="str">
        <f>IFERROR(__xludf.DUMMYFUNCTION("""COMPUTED_VALUE"""),"Bash/Shell/PowerShell")</f>
        <v>Bash/Shell/PowerShell</v>
      </c>
      <c r="L2739" s="9" t="str">
        <f>IFERROR(__xludf.DUMMYFUNCTION("""COMPUTED_VALUE"""),"Scala")</f>
        <v>Scala</v>
      </c>
      <c r="M2739" s="9" t="s">
        <v>38</v>
      </c>
    </row>
    <row r="2740" ht="15.75" customHeight="1">
      <c r="A2740" s="7"/>
      <c r="B2740" s="7" t="str">
        <f>IFERROR(__xludf.DUMMYFUNCTION("""COMPUTED_VALUE"""),"HTML/CSS;JavaScript;Python")</f>
        <v>HTML/CSS;JavaScript;Python</v>
      </c>
      <c r="C2740" s="9" t="str">
        <f>IFERROR(__xludf.DUMMYFUNCTION("""COMPUTED_VALUE"""),"Bash/Shell/PowerShell")</f>
        <v>Bash/Shell/PowerShell</v>
      </c>
      <c r="D2740" s="9" t="str">
        <f>IFERROR(__xludf.DUMMYFUNCTION("""COMPUTED_VALUE"""),"JavaScript")</f>
        <v>JavaScript</v>
      </c>
      <c r="E2740" s="9" t="str">
        <f>IFERROR(__xludf.DUMMYFUNCTION("""COMPUTED_VALUE"""),"Swift")</f>
        <v>Swift</v>
      </c>
      <c r="F2740" s="9" t="str">
        <f>IFERROR(__xludf.DUMMYFUNCTION("""COMPUTED_VALUE"""),"HTML/CSS")</f>
        <v>HTML/CSS</v>
      </c>
      <c r="G2740" s="9" t="str">
        <f>IFERROR(__xludf.DUMMYFUNCTION("""COMPUTED_VALUE"""),"HTML/CSS")</f>
        <v>HTML/CSS</v>
      </c>
      <c r="H2740" s="9" t="str">
        <f>IFERROR(__xludf.DUMMYFUNCTION("""COMPUTED_VALUE"""),"JavaScript")</f>
        <v>JavaScript</v>
      </c>
      <c r="I2740" s="9" t="str">
        <f>IFERROR(__xludf.DUMMYFUNCTION("""COMPUTED_VALUE"""),"SQL")</f>
        <v>SQL</v>
      </c>
      <c r="J2740" s="9" t="str">
        <f>IFERROR(__xludf.DUMMYFUNCTION("""COMPUTED_VALUE"""),"SQL")</f>
        <v>SQL</v>
      </c>
      <c r="K2740" s="9" t="str">
        <f>IFERROR(__xludf.DUMMYFUNCTION("""COMPUTED_VALUE"""),"C#")</f>
        <v>C#</v>
      </c>
      <c r="L2740" s="9" t="str">
        <f>IFERROR(__xludf.DUMMYFUNCTION("""COMPUTED_VALUE"""),"SQL")</f>
        <v>SQL</v>
      </c>
      <c r="M2740" s="9" t="s">
        <v>30</v>
      </c>
    </row>
    <row r="2741" ht="15.75" customHeight="1">
      <c r="A2741" s="7"/>
      <c r="B2741" s="7" t="str">
        <f>IFERROR(__xludf.DUMMYFUNCTION("""COMPUTED_VALUE"""),"Bash/Shell/PowerShell;C#;HTML/CSS;JavaScript;SQL;TypeScript")</f>
        <v>Bash/Shell/PowerShell;C#;HTML/CSS;JavaScript;SQL;TypeScript</v>
      </c>
      <c r="C2741" s="9" t="str">
        <f>IFERROR(__xludf.DUMMYFUNCTION("""COMPUTED_VALUE"""),"C")</f>
        <v>C</v>
      </c>
      <c r="D2741" s="9" t="str">
        <f>IFERROR(__xludf.DUMMYFUNCTION("""COMPUTED_VALUE"""),"PHP")</f>
        <v>PHP</v>
      </c>
      <c r="E2741" s="9" t="str">
        <f>IFERROR(__xludf.DUMMYFUNCTION("""COMPUTED_VALUE"""),"Java")</f>
        <v>Java</v>
      </c>
      <c r="F2741" s="9" t="str">
        <f>IFERROR(__xludf.DUMMYFUNCTION("""COMPUTED_VALUE"""),"Java")</f>
        <v>Java</v>
      </c>
      <c r="G2741" s="9" t="str">
        <f>IFERROR(__xludf.DUMMYFUNCTION("""COMPUTED_VALUE"""),"Java")</f>
        <v>Java</v>
      </c>
      <c r="H2741" s="9" t="str">
        <f>IFERROR(__xludf.DUMMYFUNCTION("""COMPUTED_VALUE"""),"Kotlin")</f>
        <v>Kotlin</v>
      </c>
      <c r="I2741" s="9" t="str">
        <f>IFERROR(__xludf.DUMMYFUNCTION("""COMPUTED_VALUE"""),"HTML/CSS")</f>
        <v>HTML/CSS</v>
      </c>
      <c r="J2741" s="9" t="str">
        <f>IFERROR(__xludf.DUMMYFUNCTION("""COMPUTED_VALUE"""),"C++")</f>
        <v>C++</v>
      </c>
      <c r="K2741" s="9" t="str">
        <f>IFERROR(__xludf.DUMMYFUNCTION("""COMPUTED_VALUE"""),"Java")</f>
        <v>Java</v>
      </c>
      <c r="L2741" s="9" t="str">
        <f>IFERROR(__xludf.DUMMYFUNCTION("""COMPUTED_VALUE"""),"HTML/CSS")</f>
        <v>HTML/CSS</v>
      </c>
      <c r="M2741" s="9" t="s">
        <v>25</v>
      </c>
    </row>
    <row r="2742" ht="15.75" customHeight="1">
      <c r="A2742" s="7"/>
      <c r="B2742" s="7" t="str">
        <f>IFERROR(__xludf.DUMMYFUNCTION("""COMPUTED_VALUE"""),"Bash/Shell/PowerShell;C;C++;HTML/CSS;Python")</f>
        <v>Bash/Shell/PowerShell;C;C++;HTML/CSS;Python</v>
      </c>
      <c r="C2742" s="9" t="str">
        <f>IFERROR(__xludf.DUMMYFUNCTION("""COMPUTED_VALUE"""),"C++")</f>
        <v>C++</v>
      </c>
      <c r="D2742" s="9" t="str">
        <f>IFERROR(__xludf.DUMMYFUNCTION("""COMPUTED_VALUE"""),"Python")</f>
        <v>Python</v>
      </c>
      <c r="E2742" s="9" t="str">
        <f>IFERROR(__xludf.DUMMYFUNCTION("""COMPUTED_VALUE"""),"JavaScript")</f>
        <v>JavaScript</v>
      </c>
      <c r="F2742" s="9" t="str">
        <f>IFERROR(__xludf.DUMMYFUNCTION("""COMPUTED_VALUE"""),"JavaScript")</f>
        <v>JavaScript</v>
      </c>
      <c r="G2742" s="9" t="str">
        <f>IFERROR(__xludf.DUMMYFUNCTION("""COMPUTED_VALUE"""),"JavaScript")</f>
        <v>JavaScript</v>
      </c>
      <c r="H2742" s="9" t="str">
        <f>IFERROR(__xludf.DUMMYFUNCTION("""COMPUTED_VALUE"""),"Objective-C")</f>
        <v>Objective-C</v>
      </c>
      <c r="I2742" s="9" t="str">
        <f>IFERROR(__xludf.DUMMYFUNCTION("""COMPUTED_VALUE"""),"JavaScript")</f>
        <v>JavaScript</v>
      </c>
      <c r="J2742" s="9" t="str">
        <f>IFERROR(__xludf.DUMMYFUNCTION("""COMPUTED_VALUE"""),"C#")</f>
        <v>C#</v>
      </c>
      <c r="K2742" s="9" t="str">
        <f>IFERROR(__xludf.DUMMYFUNCTION("""COMPUTED_VALUE"""),"SQL")</f>
        <v>SQL</v>
      </c>
      <c r="L2742" s="9" t="str">
        <f>IFERROR(__xludf.DUMMYFUNCTION("""COMPUTED_VALUE"""),"JavaScript")</f>
        <v>JavaScript</v>
      </c>
      <c r="M2742" s="9" t="s">
        <v>23</v>
      </c>
    </row>
    <row r="2743" ht="15.75" customHeight="1">
      <c r="A2743" s="7"/>
      <c r="B2743" s="7" t="str">
        <f>IFERROR(__xludf.DUMMYFUNCTION("""COMPUTED_VALUE"""),"JavaScript")</f>
        <v>JavaScript</v>
      </c>
      <c r="C2743" s="9" t="str">
        <f>IFERROR(__xludf.DUMMYFUNCTION("""COMPUTED_VALUE"""),"Python")</f>
        <v>Python</v>
      </c>
      <c r="D2743" s="9" t="str">
        <f>IFERROR(__xludf.DUMMYFUNCTION("""COMPUTED_VALUE"""),"SQL")</f>
        <v>SQL</v>
      </c>
      <c r="E2743" s="9" t="str">
        <f>IFERROR(__xludf.DUMMYFUNCTION("""COMPUTED_VALUE"""),"Scala")</f>
        <v>Scala</v>
      </c>
      <c r="F2743" s="9" t="str">
        <f>IFERROR(__xludf.DUMMYFUNCTION("""COMPUTED_VALUE"""),"Python")</f>
        <v>Python</v>
      </c>
      <c r="G2743" s="9" t="str">
        <f>IFERROR(__xludf.DUMMYFUNCTION("""COMPUTED_VALUE"""),"PHP")</f>
        <v>PHP</v>
      </c>
      <c r="H2743" s="9" t="str">
        <f>IFERROR(__xludf.DUMMYFUNCTION("""COMPUTED_VALUE"""),"TypeScript")</f>
        <v>TypeScript</v>
      </c>
      <c r="I2743" s="9" t="str">
        <f>IFERROR(__xludf.DUMMYFUNCTION("""COMPUTED_VALUE"""),"Ruby")</f>
        <v>Ruby</v>
      </c>
      <c r="J2743" s="9" t="str">
        <f>IFERROR(__xludf.DUMMYFUNCTION("""COMPUTED_VALUE"""),"Java")</f>
        <v>Java</v>
      </c>
      <c r="K2743" s="9" t="str">
        <f>IFERROR(__xludf.DUMMYFUNCTION("""COMPUTED_VALUE"""),"C#")</f>
        <v>C#</v>
      </c>
      <c r="L2743" s="9" t="str">
        <f>IFERROR(__xludf.DUMMYFUNCTION("""COMPUTED_VALUE"""),"TypeScript")</f>
        <v>TypeScript</v>
      </c>
      <c r="M2743" s="9" t="s">
        <v>22</v>
      </c>
    </row>
    <row r="2744" ht="15.75" customHeight="1">
      <c r="A2744" s="7"/>
      <c r="B2744" s="7" t="str">
        <f>IFERROR(__xludf.DUMMYFUNCTION("""COMPUTED_VALUE"""),"Go;HTML/CSS;Java;JavaScript;Python;Ruby;Scala")</f>
        <v>Go;HTML/CSS;Java;JavaScript;Python;Ruby;Scala</v>
      </c>
      <c r="C2744" s="9" t="str">
        <f>IFERROR(__xludf.DUMMYFUNCTION("""COMPUTED_VALUE"""),"SQL")</f>
        <v>SQL</v>
      </c>
      <c r="D2744" s="9" t="str">
        <f>IFERROR(__xludf.DUMMYFUNCTION("""COMPUTED_VALUE"""),"Bash/Shell/PowerShell")</f>
        <v>Bash/Shell/PowerShell</v>
      </c>
      <c r="E2744" s="9" t="str">
        <f>IFERROR(__xludf.DUMMYFUNCTION("""COMPUTED_VALUE"""),"TypeScript")</f>
        <v>TypeScript</v>
      </c>
      <c r="F2744" s="9" t="str">
        <f>IFERROR(__xludf.DUMMYFUNCTION("""COMPUTED_VALUE"""),"Scala")</f>
        <v>Scala</v>
      </c>
      <c r="G2744" s="9" t="str">
        <f>IFERROR(__xludf.DUMMYFUNCTION("""COMPUTED_VALUE"""),"SQL")</f>
        <v>SQL</v>
      </c>
      <c r="H2744" s="9" t="str">
        <f>IFERROR(__xludf.DUMMYFUNCTION("""COMPUTED_VALUE"""),"Assembly")</f>
        <v>Assembly</v>
      </c>
      <c r="I2744" s="9" t="str">
        <f>IFERROR(__xludf.DUMMYFUNCTION("""COMPUTED_VALUE"""),"SQL")</f>
        <v>SQL</v>
      </c>
      <c r="J2744" s="9" t="str">
        <f>IFERROR(__xludf.DUMMYFUNCTION("""COMPUTED_VALUE"""),"Python")</f>
        <v>Python</v>
      </c>
      <c r="K2744" s="9" t="str">
        <f>IFERROR(__xludf.DUMMYFUNCTION("""COMPUTED_VALUE"""),"HTML/CSS")</f>
        <v>HTML/CSS</v>
      </c>
      <c r="L2744" s="9" t="str">
        <f>IFERROR(__xludf.DUMMYFUNCTION("""COMPUTED_VALUE"""),"C++")</f>
        <v>C++</v>
      </c>
      <c r="M2744" s="9" t="s">
        <v>27</v>
      </c>
    </row>
    <row r="2745" ht="15.75" customHeight="1">
      <c r="A2745" s="7"/>
      <c r="B2745" s="7" t="str">
        <f>IFERROR(__xludf.DUMMYFUNCTION("""COMPUTED_VALUE"""),"Bash/Shell/PowerShell;HTML/CSS;JavaScript;PHP;SQL;TypeScript")</f>
        <v>Bash/Shell/PowerShell;HTML/CSS;JavaScript;PHP;SQL;TypeScript</v>
      </c>
      <c r="C2745" s="9" t="str">
        <f>IFERROR(__xludf.DUMMYFUNCTION("""COMPUTED_VALUE"""),"C")</f>
        <v>C</v>
      </c>
      <c r="D2745" s="9" t="str">
        <f>IFERROR(__xludf.DUMMYFUNCTION("""COMPUTED_VALUE"""),"HTML/CSS")</f>
        <v>HTML/CSS</v>
      </c>
      <c r="E2745" s="9" t="str">
        <f>IFERROR(__xludf.DUMMYFUNCTION("""COMPUTED_VALUE"""),"C")</f>
        <v>C</v>
      </c>
      <c r="F2745" s="9" t="str">
        <f>IFERROR(__xludf.DUMMYFUNCTION("""COMPUTED_VALUE"""),"SQL")</f>
        <v>SQL</v>
      </c>
      <c r="G2745" s="9" t="str">
        <f>IFERROR(__xludf.DUMMYFUNCTION("""COMPUTED_VALUE"""),"Assembly")</f>
        <v>Assembly</v>
      </c>
      <c r="H2745" s="9" t="str">
        <f>IFERROR(__xludf.DUMMYFUNCTION("""COMPUTED_VALUE"""),"Bash/Shell/PowerShell")</f>
        <v>Bash/Shell/PowerShell</v>
      </c>
      <c r="I2745" s="9" t="str">
        <f>IFERROR(__xludf.DUMMYFUNCTION("""COMPUTED_VALUE"""),"JavaScript")</f>
        <v>JavaScript</v>
      </c>
      <c r="J2745" s="9" t="str">
        <f>IFERROR(__xludf.DUMMYFUNCTION("""COMPUTED_VALUE"""),"Bash/Shell/PowerShell")</f>
        <v>Bash/Shell/PowerShell</v>
      </c>
      <c r="K2745" s="9" t="str">
        <f>IFERROR(__xludf.DUMMYFUNCTION("""COMPUTED_VALUE"""),"Java")</f>
        <v>Java</v>
      </c>
      <c r="L2745" s="9" t="str">
        <f>IFERROR(__xludf.DUMMYFUNCTION("""COMPUTED_VALUE"""),"Rust")</f>
        <v>Rust</v>
      </c>
      <c r="M2745" s="9" t="s">
        <v>25</v>
      </c>
    </row>
    <row r="2746" ht="15.75" customHeight="1">
      <c r="A2746" s="7"/>
      <c r="B2746" s="7" t="str">
        <f>IFERROR(__xludf.DUMMYFUNCTION("""COMPUTED_VALUE"""),"HTML/CSS;Java;JavaScript;Python;SQL")</f>
        <v>HTML/CSS;Java;JavaScript;Python;SQL</v>
      </c>
      <c r="C2746" s="9" t="str">
        <f>IFERROR(__xludf.DUMMYFUNCTION("""COMPUTED_VALUE"""),"C++")</f>
        <v>C++</v>
      </c>
      <c r="D2746" s="9" t="str">
        <f>IFERROR(__xludf.DUMMYFUNCTION("""COMPUTED_VALUE"""),"Java")</f>
        <v>Java</v>
      </c>
      <c r="E2746" s="9" t="str">
        <f>IFERROR(__xludf.DUMMYFUNCTION("""COMPUTED_VALUE"""),"Python")</f>
        <v>Python</v>
      </c>
      <c r="F2746" s="9" t="str">
        <f>IFERROR(__xludf.DUMMYFUNCTION("""COMPUTED_VALUE"""),"TypeScript")</f>
        <v>TypeScript</v>
      </c>
      <c r="G2746" s="9" t="str">
        <f>IFERROR(__xludf.DUMMYFUNCTION("""COMPUTED_VALUE"""),"Bash/Shell/PowerShell")</f>
        <v>Bash/Shell/PowerShell</v>
      </c>
      <c r="H2746" s="9" t="str">
        <f>IFERROR(__xludf.DUMMYFUNCTION("""COMPUTED_VALUE"""),"C")</f>
        <v>C</v>
      </c>
      <c r="I2746" s="9" t="str">
        <f>IFERROR(__xludf.DUMMYFUNCTION("""COMPUTED_VALUE"""),"TypeScript")</f>
        <v>TypeScript</v>
      </c>
      <c r="J2746" s="9" t="str">
        <f>IFERROR(__xludf.DUMMYFUNCTION("""COMPUTED_VALUE"""),"C#")</f>
        <v>C#</v>
      </c>
      <c r="K2746" s="9" t="str">
        <f>IFERROR(__xludf.DUMMYFUNCTION("""COMPUTED_VALUE"""),"JavaScript")</f>
        <v>JavaScript</v>
      </c>
      <c r="L2746" s="9" t="str">
        <f>IFERROR(__xludf.DUMMYFUNCTION("""COMPUTED_VALUE"""),"Bash/Shell/PowerShell")</f>
        <v>Bash/Shell/PowerShell</v>
      </c>
      <c r="M2746" s="9" t="s">
        <v>23</v>
      </c>
    </row>
    <row r="2747" ht="15.75" customHeight="1">
      <c r="A2747" s="7"/>
      <c r="B2747" s="7" t="str">
        <f>IFERROR(__xludf.DUMMYFUNCTION("""COMPUTED_VALUE"""),"Bash/Shell/PowerShell;HTML/CSS;JavaScript;Python;SQL")</f>
        <v>Bash/Shell/PowerShell;HTML/CSS;JavaScript;Python;SQL</v>
      </c>
      <c r="C2747" s="9" t="str">
        <f>IFERROR(__xludf.DUMMYFUNCTION("""COMPUTED_VALUE"""),"Python")</f>
        <v>Python</v>
      </c>
      <c r="D2747" s="9" t="str">
        <f>IFERROR(__xludf.DUMMYFUNCTION("""COMPUTED_VALUE"""),"SQL")</f>
        <v>SQL</v>
      </c>
      <c r="E2747" s="9" t="str">
        <f>IFERROR(__xludf.DUMMYFUNCTION("""COMPUTED_VALUE"""),"Bash/Shell/PowerShell")</f>
        <v>Bash/Shell/PowerShell</v>
      </c>
      <c r="F2747" s="9" t="str">
        <f>IFERROR(__xludf.DUMMYFUNCTION("""COMPUTED_VALUE"""),"Bash/Shell/PowerShell")</f>
        <v>Bash/Shell/PowerShell</v>
      </c>
      <c r="G2747" s="9" t="str">
        <f>IFERROR(__xludf.DUMMYFUNCTION("""COMPUTED_VALUE"""),"C")</f>
        <v>C</v>
      </c>
      <c r="H2747" s="9" t="str">
        <f>IFERROR(__xludf.DUMMYFUNCTION("""COMPUTED_VALUE"""),"C++")</f>
        <v>C++</v>
      </c>
      <c r="I2747" s="9" t="str">
        <f>IFERROR(__xludf.DUMMYFUNCTION("""COMPUTED_VALUE"""),"Go")</f>
        <v>Go</v>
      </c>
      <c r="J2747" s="9" t="str">
        <f>IFERROR(__xludf.DUMMYFUNCTION("""COMPUTED_VALUE"""),"HTML/CSS")</f>
        <v>HTML/CSS</v>
      </c>
      <c r="K2747" s="9" t="str">
        <f>IFERROR(__xludf.DUMMYFUNCTION("""COMPUTED_VALUE"""),"SQL")</f>
        <v>SQL</v>
      </c>
      <c r="L2747" s="9" t="str">
        <f>IFERROR(__xludf.DUMMYFUNCTION("""COMPUTED_VALUE"""),"Clojure")</f>
        <v>Clojure</v>
      </c>
      <c r="M2747" s="9" t="s">
        <v>22</v>
      </c>
    </row>
    <row r="2748" ht="15.75" customHeight="1">
      <c r="A2748" s="7"/>
      <c r="B2748" s="7" t="str">
        <f>IFERROR(__xludf.DUMMYFUNCTION("""COMPUTED_VALUE"""),"C#;Go;HTML/CSS;Java;JavaScript;Objective-C;SQL;Swift;Other(s):")</f>
        <v>C#;Go;HTML/CSS;Java;JavaScript;Objective-C;SQL;Swift;Other(s):</v>
      </c>
      <c r="C2748" s="9" t="str">
        <f>IFERROR(__xludf.DUMMYFUNCTION("""COMPUTED_VALUE"""),"R")</f>
        <v>R</v>
      </c>
      <c r="D2748" s="9" t="str">
        <f>IFERROR(__xludf.DUMMYFUNCTION("""COMPUTED_VALUE"""),"Bash/Shell/PowerShell")</f>
        <v>Bash/Shell/PowerShell</v>
      </c>
      <c r="E2748" s="9" t="str">
        <f>IFERROR(__xludf.DUMMYFUNCTION("""COMPUTED_VALUE"""),"HTML/CSS")</f>
        <v>HTML/CSS</v>
      </c>
      <c r="F2748" s="9" t="str">
        <f>IFERROR(__xludf.DUMMYFUNCTION("""COMPUTED_VALUE"""),"C++")</f>
        <v>C++</v>
      </c>
      <c r="G2748" s="9" t="str">
        <f>IFERROR(__xludf.DUMMYFUNCTION("""COMPUTED_VALUE"""),"C++")</f>
        <v>C++</v>
      </c>
      <c r="H2748" s="9" t="str">
        <f>IFERROR(__xludf.DUMMYFUNCTION("""COMPUTED_VALUE"""),"C#")</f>
        <v>C#</v>
      </c>
      <c r="I2748" s="9" t="str">
        <f>IFERROR(__xludf.DUMMYFUNCTION("""COMPUTED_VALUE"""),"Python")</f>
        <v>Python</v>
      </c>
      <c r="J2748" s="9" t="str">
        <f>IFERROR(__xludf.DUMMYFUNCTION("""COMPUTED_VALUE"""),"JavaScript")</f>
        <v>JavaScript</v>
      </c>
      <c r="K2748" s="9" t="str">
        <f>IFERROR(__xludf.DUMMYFUNCTION("""COMPUTED_VALUE"""),"Java")</f>
        <v>Java</v>
      </c>
      <c r="L2748" s="9" t="str">
        <f>IFERROR(__xludf.DUMMYFUNCTION("""COMPUTED_VALUE"""),"HTML/CSS")</f>
        <v>HTML/CSS</v>
      </c>
      <c r="M2748" s="9" t="s">
        <v>29</v>
      </c>
    </row>
    <row r="2749" ht="15.75" customHeight="1">
      <c r="A2749" s="7"/>
      <c r="B2749" s="7" t="str">
        <f>IFERROR(__xludf.DUMMYFUNCTION("""COMPUTED_VALUE"""),"C#;HTML/CSS;Java;JavaScript")</f>
        <v>C#;HTML/CSS;Java;JavaScript</v>
      </c>
      <c r="C2749" s="9" t="str">
        <f>IFERROR(__xludf.DUMMYFUNCTION("""COMPUTED_VALUE"""),"SQL")</f>
        <v>SQL</v>
      </c>
      <c r="D2749" s="9" t="str">
        <f>IFERROR(__xludf.DUMMYFUNCTION("""COMPUTED_VALUE"""),"C++")</f>
        <v>C++</v>
      </c>
      <c r="E2749" s="9" t="str">
        <f>IFERROR(__xludf.DUMMYFUNCTION("""COMPUTED_VALUE"""),"JavaScript")</f>
        <v>JavaScript</v>
      </c>
      <c r="F2749" s="9" t="str">
        <f>IFERROR(__xludf.DUMMYFUNCTION("""COMPUTED_VALUE"""),"C#")</f>
        <v>C#</v>
      </c>
      <c r="G2749" s="9" t="str">
        <f>IFERROR(__xludf.DUMMYFUNCTION("""COMPUTED_VALUE"""),"HTML/CSS")</f>
        <v>HTML/CSS</v>
      </c>
      <c r="H2749" s="9" t="str">
        <f>IFERROR(__xludf.DUMMYFUNCTION("""COMPUTED_VALUE"""),"Clojure")</f>
        <v>Clojure</v>
      </c>
      <c r="I2749" s="9" t="str">
        <f>IFERROR(__xludf.DUMMYFUNCTION("""COMPUTED_VALUE"""),"R")</f>
        <v>R</v>
      </c>
      <c r="J2749" s="9" t="str">
        <f>IFERROR(__xludf.DUMMYFUNCTION("""COMPUTED_VALUE"""),"SQL")</f>
        <v>SQL</v>
      </c>
      <c r="K2749" s="9" t="str">
        <f>IFERROR(__xludf.DUMMYFUNCTION("""COMPUTED_VALUE"""),"JavaScript")</f>
        <v>JavaScript</v>
      </c>
      <c r="L2749" s="9" t="str">
        <f>IFERROR(__xludf.DUMMYFUNCTION("""COMPUTED_VALUE"""),"JavaScript")</f>
        <v>JavaScript</v>
      </c>
      <c r="M2749" s="9" t="s">
        <v>27</v>
      </c>
    </row>
    <row r="2750" ht="15.75" customHeight="1">
      <c r="A2750" s="7"/>
      <c r="B2750" s="7" t="str">
        <f>IFERROR(__xludf.DUMMYFUNCTION("""COMPUTED_VALUE"""),"HTML/CSS;JavaScript;PHP;Python;Ruby;SQL")</f>
        <v>HTML/CSS;JavaScript;PHP;Python;Ruby;SQL</v>
      </c>
      <c r="C2750" s="9" t="str">
        <f>IFERROR(__xludf.DUMMYFUNCTION("""COMPUTED_VALUE"""),"Other(s):")</f>
        <v>Other(s):</v>
      </c>
      <c r="D2750" s="9" t="str">
        <f>IFERROR(__xludf.DUMMYFUNCTION("""COMPUTED_VALUE"""),"Python")</f>
        <v>Python</v>
      </c>
      <c r="E2750" s="9" t="str">
        <f>IFERROR(__xludf.DUMMYFUNCTION("""COMPUTED_VALUE"""),"Python")</f>
        <v>Python</v>
      </c>
      <c r="F2750" s="9" t="str">
        <f>IFERROR(__xludf.DUMMYFUNCTION("""COMPUTED_VALUE"""),"HTML/CSS")</f>
        <v>HTML/CSS</v>
      </c>
      <c r="G2750" s="9" t="str">
        <f>IFERROR(__xludf.DUMMYFUNCTION("""COMPUTED_VALUE"""),"Java")</f>
        <v>Java</v>
      </c>
      <c r="H2750" s="9" t="str">
        <f>IFERROR(__xludf.DUMMYFUNCTION("""COMPUTED_VALUE"""),"Dart")</f>
        <v>Dart</v>
      </c>
      <c r="I2750" s="9" t="str">
        <f>IFERROR(__xludf.DUMMYFUNCTION("""COMPUTED_VALUE"""),"Bash/Shell/PowerShell")</f>
        <v>Bash/Shell/PowerShell</v>
      </c>
      <c r="J2750" s="9" t="str">
        <f>IFERROR(__xludf.DUMMYFUNCTION("""COMPUTED_VALUE"""),"VBA")</f>
        <v>VBA</v>
      </c>
      <c r="K2750" s="9" t="str">
        <f>IFERROR(__xludf.DUMMYFUNCTION("""COMPUTED_VALUE"""),"HTML/CSS")</f>
        <v>HTML/CSS</v>
      </c>
      <c r="L2750" s="9" t="str">
        <f>IFERROR(__xludf.DUMMYFUNCTION("""COMPUTED_VALUE"""),"PHP")</f>
        <v>PHP</v>
      </c>
      <c r="M2750" s="9" t="s">
        <v>35</v>
      </c>
    </row>
    <row r="2751" ht="15.75" customHeight="1">
      <c r="A2751" s="7"/>
      <c r="B2751" s="7" t="str">
        <f>IFERROR(__xludf.DUMMYFUNCTION("""COMPUTED_VALUE"""),"Bash/Shell/PowerShell;C;C#;HTML/CSS;Java;JavaScript;Python;SQL")</f>
        <v>Bash/Shell/PowerShell;C;C#;HTML/CSS;Java;JavaScript;Python;SQL</v>
      </c>
      <c r="C2751" s="9" t="str">
        <f>IFERROR(__xludf.DUMMYFUNCTION("""COMPUTED_VALUE"""),"Bash/Shell/PowerShell")</f>
        <v>Bash/Shell/PowerShell</v>
      </c>
      <c r="D2751" s="9" t="str">
        <f>IFERROR(__xludf.DUMMYFUNCTION("""COMPUTED_VALUE"""),"Scala")</f>
        <v>Scala</v>
      </c>
      <c r="E2751" s="9" t="str">
        <f>IFERROR(__xludf.DUMMYFUNCTION("""COMPUTED_VALUE"""),"Ruby")</f>
        <v>Ruby</v>
      </c>
      <c r="F2751" s="9" t="str">
        <f>IFERROR(__xludf.DUMMYFUNCTION("""COMPUTED_VALUE"""),"Java")</f>
        <v>Java</v>
      </c>
      <c r="G2751" s="9" t="str">
        <f>IFERROR(__xludf.DUMMYFUNCTION("""COMPUTED_VALUE"""),"JavaScript")</f>
        <v>JavaScript</v>
      </c>
      <c r="H2751" s="9" t="str">
        <f>IFERROR(__xludf.DUMMYFUNCTION("""COMPUTED_VALUE"""),"Elixir")</f>
        <v>Elixir</v>
      </c>
      <c r="I2751" s="9" t="str">
        <f>IFERROR(__xludf.DUMMYFUNCTION("""COMPUTED_VALUE"""),"Other(s):")</f>
        <v>Other(s):</v>
      </c>
      <c r="J2751" s="9" t="str">
        <f>IFERROR(__xludf.DUMMYFUNCTION("""COMPUTED_VALUE"""),"PHP")</f>
        <v>PHP</v>
      </c>
      <c r="K2751" s="9" t="str">
        <f>IFERROR(__xludf.DUMMYFUNCTION("""COMPUTED_VALUE"""),"Java")</f>
        <v>Java</v>
      </c>
      <c r="L2751" s="9" t="str">
        <f>IFERROR(__xludf.DUMMYFUNCTION("""COMPUTED_VALUE"""),"Ruby")</f>
        <v>Ruby</v>
      </c>
      <c r="M2751" s="9" t="s">
        <v>30</v>
      </c>
    </row>
    <row r="2752" ht="15.75" customHeight="1">
      <c r="A2752" s="7"/>
      <c r="B2752" s="7" t="str">
        <f>IFERROR(__xludf.DUMMYFUNCTION("""COMPUTED_VALUE"""),"HTML/CSS;Java;JavaScript;SQL")</f>
        <v>HTML/CSS;Java;JavaScript;SQL</v>
      </c>
      <c r="C2752" s="9" t="str">
        <f>IFERROR(__xludf.DUMMYFUNCTION("""COMPUTED_VALUE"""),"HTML/CSS")</f>
        <v>HTML/CSS</v>
      </c>
      <c r="D2752" s="9" t="str">
        <f>IFERROR(__xludf.DUMMYFUNCTION("""COMPUTED_VALUE"""),"C")</f>
        <v>C</v>
      </c>
      <c r="E2752" s="9" t="str">
        <f>IFERROR(__xludf.DUMMYFUNCTION("""COMPUTED_VALUE"""),"TypeScript")</f>
        <v>TypeScript</v>
      </c>
      <c r="F2752" s="9" t="str">
        <f>IFERROR(__xludf.DUMMYFUNCTION("""COMPUTED_VALUE"""),"JavaScript")</f>
        <v>JavaScript</v>
      </c>
      <c r="G2752" s="9" t="str">
        <f>IFERROR(__xludf.DUMMYFUNCTION("""COMPUTED_VALUE"""),"R")</f>
        <v>R</v>
      </c>
      <c r="H2752" s="9" t="str">
        <f>IFERROR(__xludf.DUMMYFUNCTION("""COMPUTED_VALUE"""),"Erlang")</f>
        <v>Erlang</v>
      </c>
      <c r="I2752" s="9" t="str">
        <f>IFERROR(__xludf.DUMMYFUNCTION("""COMPUTED_VALUE"""),"HTML/CSS")</f>
        <v>HTML/CSS</v>
      </c>
      <c r="J2752" s="9" t="str">
        <f>IFERROR(__xludf.DUMMYFUNCTION("""COMPUTED_VALUE"""),"Python")</f>
        <v>Python</v>
      </c>
      <c r="K2752" s="9" t="str">
        <f>IFERROR(__xludf.DUMMYFUNCTION("""COMPUTED_VALUE"""),"JavaScript")</f>
        <v>JavaScript</v>
      </c>
      <c r="L2752" s="9" t="str">
        <f>IFERROR(__xludf.DUMMYFUNCTION("""COMPUTED_VALUE"""),"Bash/Shell/PowerShell")</f>
        <v>Bash/Shell/PowerShell</v>
      </c>
      <c r="M2752" s="9" t="s">
        <v>24</v>
      </c>
    </row>
    <row r="2753" ht="15.75" customHeight="1">
      <c r="A2753" s="7"/>
      <c r="B2753" s="7" t="str">
        <f>IFERROR(__xludf.DUMMYFUNCTION("""COMPUTED_VALUE"""),"C#;HTML/CSS;SQL")</f>
        <v>C#;HTML/CSS;SQL</v>
      </c>
      <c r="C2753" s="9" t="str">
        <f>IFERROR(__xludf.DUMMYFUNCTION("""COMPUTED_VALUE"""),"JavaScript")</f>
        <v>JavaScript</v>
      </c>
      <c r="D2753" s="9" t="str">
        <f>IFERROR(__xludf.DUMMYFUNCTION("""COMPUTED_VALUE"""),"HTML/CSS")</f>
        <v>HTML/CSS</v>
      </c>
      <c r="E2753" s="9" t="str">
        <f>IFERROR(__xludf.DUMMYFUNCTION("""COMPUTED_VALUE"""),"C#")</f>
        <v>C#</v>
      </c>
      <c r="F2753" s="9" t="str">
        <f>IFERROR(__xludf.DUMMYFUNCTION("""COMPUTED_VALUE"""),"Kotlin")</f>
        <v>Kotlin</v>
      </c>
      <c r="G2753" s="9" t="str">
        <f>IFERROR(__xludf.DUMMYFUNCTION("""COMPUTED_VALUE"""),"SQL")</f>
        <v>SQL</v>
      </c>
      <c r="H2753" s="9" t="str">
        <f>IFERROR(__xludf.DUMMYFUNCTION("""COMPUTED_VALUE"""),"F#")</f>
        <v>F#</v>
      </c>
      <c r="I2753" s="9" t="str">
        <f>IFERROR(__xludf.DUMMYFUNCTION("""COMPUTED_VALUE"""),"JavaScript")</f>
        <v>JavaScript</v>
      </c>
      <c r="J2753" s="9" t="str">
        <f>IFERROR(__xludf.DUMMYFUNCTION("""COMPUTED_VALUE"""),"SQL")</f>
        <v>SQL</v>
      </c>
      <c r="K2753" s="9" t="str">
        <f>IFERROR(__xludf.DUMMYFUNCTION("""COMPUTED_VALUE"""),"PHP")</f>
        <v>PHP</v>
      </c>
      <c r="L2753" s="9" t="str">
        <f>IFERROR(__xludf.DUMMYFUNCTION("""COMPUTED_VALUE"""),"Java")</f>
        <v>Java</v>
      </c>
      <c r="M2753" s="9" t="s">
        <v>21</v>
      </c>
    </row>
    <row r="2754" ht="15.75" customHeight="1">
      <c r="A2754" s="7"/>
      <c r="B2754" s="7" t="str">
        <f>IFERROR(__xludf.DUMMYFUNCTION("""COMPUTED_VALUE"""),"HTML/CSS;JavaScript;Python;Ruby;SQL;VBA")</f>
        <v>HTML/CSS;JavaScript;Python;Ruby;SQL;VBA</v>
      </c>
      <c r="C2754" s="9" t="str">
        <f>IFERROR(__xludf.DUMMYFUNCTION("""COMPUTED_VALUE"""),"PHP")</f>
        <v>PHP</v>
      </c>
      <c r="D2754" s="9" t="str">
        <f>IFERROR(__xludf.DUMMYFUNCTION("""COMPUTED_VALUE"""),"JavaScript")</f>
        <v>JavaScript</v>
      </c>
      <c r="E2754" s="9" t="str">
        <f>IFERROR(__xludf.DUMMYFUNCTION("""COMPUTED_VALUE"""),"HTML/CSS")</f>
        <v>HTML/CSS</v>
      </c>
      <c r="F2754" s="9" t="str">
        <f>IFERROR(__xludf.DUMMYFUNCTION("""COMPUTED_VALUE"""),"PHP")</f>
        <v>PHP</v>
      </c>
      <c r="G2754" s="9" t="str">
        <f>IFERROR(__xludf.DUMMYFUNCTION("""COMPUTED_VALUE"""),"TypeScript")</f>
        <v>TypeScript</v>
      </c>
      <c r="H2754" s="9" t="str">
        <f>IFERROR(__xludf.DUMMYFUNCTION("""COMPUTED_VALUE"""),"Go")</f>
        <v>Go</v>
      </c>
      <c r="I2754" s="9" t="str">
        <f>IFERROR(__xludf.DUMMYFUNCTION("""COMPUTED_VALUE"""),"Other(s):")</f>
        <v>Other(s):</v>
      </c>
      <c r="J2754" s="9" t="str">
        <f>IFERROR(__xludf.DUMMYFUNCTION("""COMPUTED_VALUE"""),"Bash/Shell/PowerShell")</f>
        <v>Bash/Shell/PowerShell</v>
      </c>
      <c r="K2754" s="9" t="str">
        <f>IFERROR(__xludf.DUMMYFUNCTION("""COMPUTED_VALUE"""),"SQL")</f>
        <v>SQL</v>
      </c>
      <c r="L2754" s="9" t="str">
        <f>IFERROR(__xludf.DUMMYFUNCTION("""COMPUTED_VALUE"""),"Bash/Shell/PowerShell")</f>
        <v>Bash/Shell/PowerShell</v>
      </c>
      <c r="M2754" s="9" t="s">
        <v>37</v>
      </c>
    </row>
    <row r="2755" ht="15.75" customHeight="1">
      <c r="A2755" s="7"/>
      <c r="B2755" s="7" t="str">
        <f>IFERROR(__xludf.DUMMYFUNCTION("""COMPUTED_VALUE"""),"Bash/Shell/PowerShell;C;C++;C#;HTML/CSS;Java;Python;Rust;Scala;SQL;TypeScript")</f>
        <v>Bash/Shell/PowerShell;C;C++;C#;HTML/CSS;Java;Python;Rust;Scala;SQL;TypeScript</v>
      </c>
      <c r="C2755" s="9" t="str">
        <f>IFERROR(__xludf.DUMMYFUNCTION("""COMPUTED_VALUE"""),"SQL")</f>
        <v>SQL</v>
      </c>
      <c r="D2755" s="9" t="str">
        <f>IFERROR(__xludf.DUMMYFUNCTION("""COMPUTED_VALUE"""),"PHP")</f>
        <v>PHP</v>
      </c>
      <c r="E2755" s="9" t="str">
        <f>IFERROR(__xludf.DUMMYFUNCTION("""COMPUTED_VALUE"""),"JavaScript")</f>
        <v>JavaScript</v>
      </c>
      <c r="F2755" s="9" t="str">
        <f>IFERROR(__xludf.DUMMYFUNCTION("""COMPUTED_VALUE"""),"Python")</f>
        <v>Python</v>
      </c>
      <c r="G2755" s="9" t="str">
        <f>IFERROR(__xludf.DUMMYFUNCTION("""COMPUTED_VALUE"""),"Other(s):")</f>
        <v>Other(s):</v>
      </c>
      <c r="H2755" s="9" t="str">
        <f>IFERROR(__xludf.DUMMYFUNCTION("""COMPUTED_VALUE"""),"HTML/CSS")</f>
        <v>HTML/CSS</v>
      </c>
      <c r="I2755" s="9" t="str">
        <f>IFERROR(__xludf.DUMMYFUNCTION("""COMPUTED_VALUE"""),"Bash/Shell/PowerShell")</f>
        <v>Bash/Shell/PowerShell</v>
      </c>
      <c r="J2755" s="9" t="str">
        <f>IFERROR(__xludf.DUMMYFUNCTION("""COMPUTED_VALUE"""),"HTML/CSS")</f>
        <v>HTML/CSS</v>
      </c>
      <c r="K2755" s="9" t="str">
        <f>IFERROR(__xludf.DUMMYFUNCTION("""COMPUTED_VALUE"""),"HTML/CSS")</f>
        <v>HTML/CSS</v>
      </c>
      <c r="L2755" s="9" t="str">
        <f>IFERROR(__xludf.DUMMYFUNCTION("""COMPUTED_VALUE"""),"HTML/CSS")</f>
        <v>HTML/CSS</v>
      </c>
      <c r="M2755" s="9" t="s">
        <v>27</v>
      </c>
    </row>
    <row r="2756" ht="15.75" customHeight="1">
      <c r="A2756" s="7"/>
      <c r="B2756" s="7" t="str">
        <f>IFERROR(__xludf.DUMMYFUNCTION("""COMPUTED_VALUE"""),"C#;Java;JavaScript;PHP;SQL")</f>
        <v>C#;Java;JavaScript;PHP;SQL</v>
      </c>
      <c r="C2756" s="9" t="str">
        <f>IFERROR(__xludf.DUMMYFUNCTION("""COMPUTED_VALUE"""),"Bash/Shell/PowerShell")</f>
        <v>Bash/Shell/PowerShell</v>
      </c>
      <c r="D2756" s="9" t="str">
        <f>IFERROR(__xludf.DUMMYFUNCTION("""COMPUTED_VALUE"""),"R")</f>
        <v>R</v>
      </c>
      <c r="E2756" s="9" t="str">
        <f>IFERROR(__xludf.DUMMYFUNCTION("""COMPUTED_VALUE"""),"Bash/Shell/PowerShell")</f>
        <v>Bash/Shell/PowerShell</v>
      </c>
      <c r="F2756" s="9" t="str">
        <f>IFERROR(__xludf.DUMMYFUNCTION("""COMPUTED_VALUE"""),"Ruby")</f>
        <v>Ruby</v>
      </c>
      <c r="G2756" s="9" t="str">
        <f>IFERROR(__xludf.DUMMYFUNCTION("""COMPUTED_VALUE"""),"Bash/Shell/PowerShell")</f>
        <v>Bash/Shell/PowerShell</v>
      </c>
      <c r="H2756" s="9" t="str">
        <f>IFERROR(__xludf.DUMMYFUNCTION("""COMPUTED_VALUE"""),"Java")</f>
        <v>Java</v>
      </c>
      <c r="I2756" s="9" t="str">
        <f>IFERROR(__xludf.DUMMYFUNCTION("""COMPUTED_VALUE"""),"Dart")</f>
        <v>Dart</v>
      </c>
      <c r="J2756" s="9" t="str">
        <f>IFERROR(__xludf.DUMMYFUNCTION("""COMPUTED_VALUE"""),"JavaScript")</f>
        <v>JavaScript</v>
      </c>
      <c r="K2756" s="9" t="str">
        <f>IFERROR(__xludf.DUMMYFUNCTION("""COMPUTED_VALUE"""),"JavaScript")</f>
        <v>JavaScript</v>
      </c>
      <c r="L2756" s="9" t="str">
        <f>IFERROR(__xludf.DUMMYFUNCTION("""COMPUTED_VALUE"""),"Python")</f>
        <v>Python</v>
      </c>
      <c r="M2756" s="9" t="s">
        <v>30</v>
      </c>
    </row>
    <row r="2757" ht="15.75" customHeight="1">
      <c r="A2757" s="7"/>
      <c r="B2757" s="7" t="str">
        <f>IFERROR(__xludf.DUMMYFUNCTION("""COMPUTED_VALUE"""),"HTML/CSS;Java;JavaScript;TypeScript")</f>
        <v>HTML/CSS;Java;JavaScript;TypeScript</v>
      </c>
      <c r="C2757" s="9" t="str">
        <f>IFERROR(__xludf.DUMMYFUNCTION("""COMPUTED_VALUE"""),"C#")</f>
        <v>C#</v>
      </c>
      <c r="D2757" s="9" t="str">
        <f>IFERROR(__xludf.DUMMYFUNCTION("""COMPUTED_VALUE"""),"SQL")</f>
        <v>SQL</v>
      </c>
      <c r="E2757" s="9" t="str">
        <f>IFERROR(__xludf.DUMMYFUNCTION("""COMPUTED_VALUE"""),"HTML/CSS")</f>
        <v>HTML/CSS</v>
      </c>
      <c r="F2757" s="9" t="str">
        <f>IFERROR(__xludf.DUMMYFUNCTION("""COMPUTED_VALUE"""),"SQL")</f>
        <v>SQL</v>
      </c>
      <c r="G2757" s="9" t="str">
        <f>IFERROR(__xludf.DUMMYFUNCTION("""COMPUTED_VALUE"""),"Java")</f>
        <v>Java</v>
      </c>
      <c r="H2757" s="9" t="str">
        <f>IFERROR(__xludf.DUMMYFUNCTION("""COMPUTED_VALUE"""),"JavaScript")</f>
        <v>JavaScript</v>
      </c>
      <c r="I2757" s="9" t="str">
        <f>IFERROR(__xludf.DUMMYFUNCTION("""COMPUTED_VALUE"""),"HTML/CSS")</f>
        <v>HTML/CSS</v>
      </c>
      <c r="J2757" s="9" t="str">
        <f>IFERROR(__xludf.DUMMYFUNCTION("""COMPUTED_VALUE"""),"SQL")</f>
        <v>SQL</v>
      </c>
      <c r="K2757" s="9" t="str">
        <f>IFERROR(__xludf.DUMMYFUNCTION("""COMPUTED_VALUE"""),"Python")</f>
        <v>Python</v>
      </c>
      <c r="L2757" s="9" t="str">
        <f>IFERROR(__xludf.DUMMYFUNCTION("""COMPUTED_VALUE"""),"SQL")</f>
        <v>SQL</v>
      </c>
      <c r="M2757" s="9" t="s">
        <v>26</v>
      </c>
    </row>
    <row r="2758" ht="15.75" customHeight="1">
      <c r="A2758" s="7"/>
      <c r="B2758" s="7" t="str">
        <f>IFERROR(__xludf.DUMMYFUNCTION("""COMPUTED_VALUE"""),"C++;HTML/CSS;JavaScript;PHP;SQL")</f>
        <v>C++;HTML/CSS;JavaScript;PHP;SQL</v>
      </c>
      <c r="C2758" s="9" t="str">
        <f>IFERROR(__xludf.DUMMYFUNCTION("""COMPUTED_VALUE"""),"HTML/CSS")</f>
        <v>HTML/CSS</v>
      </c>
      <c r="D2758" s="9" t="str">
        <f>IFERROR(__xludf.DUMMYFUNCTION("""COMPUTED_VALUE"""),"VBA")</f>
        <v>VBA</v>
      </c>
      <c r="E2758" s="9" t="str">
        <f>IFERROR(__xludf.DUMMYFUNCTION("""COMPUTED_VALUE"""),"JavaScript")</f>
        <v>JavaScript</v>
      </c>
      <c r="F2758" s="9" t="str">
        <f>IFERROR(__xludf.DUMMYFUNCTION("""COMPUTED_VALUE"""),"Swift")</f>
        <v>Swift</v>
      </c>
      <c r="G2758" s="9" t="str">
        <f>IFERROR(__xludf.DUMMYFUNCTION("""COMPUTED_VALUE"""),"Other(s):")</f>
        <v>Other(s):</v>
      </c>
      <c r="H2758" s="9" t="str">
        <f>IFERROR(__xludf.DUMMYFUNCTION("""COMPUTED_VALUE"""),"Kotlin")</f>
        <v>Kotlin</v>
      </c>
      <c r="I2758" s="9" t="str">
        <f>IFERROR(__xludf.DUMMYFUNCTION("""COMPUTED_VALUE"""),"JavaScript")</f>
        <v>JavaScript</v>
      </c>
      <c r="J2758" s="9" t="str">
        <f>IFERROR(__xludf.DUMMYFUNCTION("""COMPUTED_VALUE"""),"Other(s):")</f>
        <v>Other(s):</v>
      </c>
      <c r="K2758" s="9" t="str">
        <f>IFERROR(__xludf.DUMMYFUNCTION("""COMPUTED_VALUE"""),"Bash/Shell/PowerShell")</f>
        <v>Bash/Shell/PowerShell</v>
      </c>
      <c r="L2758" s="9" t="str">
        <f>IFERROR(__xludf.DUMMYFUNCTION("""COMPUTED_VALUE"""),"Assembly")</f>
        <v>Assembly</v>
      </c>
      <c r="M2758" s="9" t="s">
        <v>24</v>
      </c>
    </row>
    <row r="2759" ht="15.75" customHeight="1">
      <c r="A2759" s="7"/>
      <c r="B2759" s="7" t="str">
        <f>IFERROR(__xludf.DUMMYFUNCTION("""COMPUTED_VALUE"""),"HTML/CSS;JavaScript;PHP;SQL")</f>
        <v>HTML/CSS;JavaScript;PHP;SQL</v>
      </c>
      <c r="C2759" s="9" t="str">
        <f>IFERROR(__xludf.DUMMYFUNCTION("""COMPUTED_VALUE"""),"JavaScript")</f>
        <v>JavaScript</v>
      </c>
      <c r="D2759" s="9" t="str">
        <f>IFERROR(__xludf.DUMMYFUNCTION("""COMPUTED_VALUE"""),"C#")</f>
        <v>C#</v>
      </c>
      <c r="E2759" s="9" t="str">
        <f>IFERROR(__xludf.DUMMYFUNCTION("""COMPUTED_VALUE"""),"PHP")</f>
        <v>PHP</v>
      </c>
      <c r="F2759" s="9" t="str">
        <f>IFERROR(__xludf.DUMMYFUNCTION("""COMPUTED_VALUE"""),"VBA")</f>
        <v>VBA</v>
      </c>
      <c r="G2759" s="9" t="str">
        <f>IFERROR(__xludf.DUMMYFUNCTION("""COMPUTED_VALUE"""),"Assembly")</f>
        <v>Assembly</v>
      </c>
      <c r="H2759" s="9" t="str">
        <f>IFERROR(__xludf.DUMMYFUNCTION("""COMPUTED_VALUE"""),"Objective-C")</f>
        <v>Objective-C</v>
      </c>
      <c r="I2759" s="9" t="str">
        <f>IFERROR(__xludf.DUMMYFUNCTION("""COMPUTED_VALUE"""),"PHP")</f>
        <v>PHP</v>
      </c>
      <c r="J2759" s="9" t="str">
        <f>IFERROR(__xludf.DUMMYFUNCTION("""COMPUTED_VALUE"""),"Bash/Shell/PowerShell")</f>
        <v>Bash/Shell/PowerShell</v>
      </c>
      <c r="K2759" s="9" t="str">
        <f>IFERROR(__xludf.DUMMYFUNCTION("""COMPUTED_VALUE"""),"C")</f>
        <v>C</v>
      </c>
      <c r="L2759" s="9" t="str">
        <f>IFERROR(__xludf.DUMMYFUNCTION("""COMPUTED_VALUE"""),"Bash/Shell/PowerShell")</f>
        <v>Bash/Shell/PowerShell</v>
      </c>
      <c r="M2759" s="9" t="s">
        <v>21</v>
      </c>
    </row>
    <row r="2760" ht="15.75" customHeight="1">
      <c r="A2760" s="7"/>
      <c r="B2760" s="7" t="str">
        <f>IFERROR(__xludf.DUMMYFUNCTION("""COMPUTED_VALUE"""),"Bash/Shell/PowerShell;C++;C#;HTML/CSS;JavaScript;PHP;SQL;TypeScript")</f>
        <v>Bash/Shell/PowerShell;C++;C#;HTML/CSS;JavaScript;PHP;SQL;TypeScript</v>
      </c>
      <c r="C2760" s="9" t="str">
        <f>IFERROR(__xludf.DUMMYFUNCTION("""COMPUTED_VALUE"""),"Bash/Shell/PowerShell")</f>
        <v>Bash/Shell/PowerShell</v>
      </c>
      <c r="D2760" s="9" t="str">
        <f>IFERROR(__xludf.DUMMYFUNCTION("""COMPUTED_VALUE"""),"Assembly")</f>
        <v>Assembly</v>
      </c>
      <c r="E2760" s="9" t="str">
        <f>IFERROR(__xludf.DUMMYFUNCTION("""COMPUTED_VALUE"""),"Python")</f>
        <v>Python</v>
      </c>
      <c r="F2760" s="9" t="str">
        <f>IFERROR(__xludf.DUMMYFUNCTION("""COMPUTED_VALUE"""),"Bash/Shell/PowerShell")</f>
        <v>Bash/Shell/PowerShell</v>
      </c>
      <c r="G2760" s="9" t="str">
        <f>IFERROR(__xludf.DUMMYFUNCTION("""COMPUTED_VALUE"""),"Bash/Shell/PowerShell")</f>
        <v>Bash/Shell/PowerShell</v>
      </c>
      <c r="H2760" s="9" t="str">
        <f>IFERROR(__xludf.DUMMYFUNCTION("""COMPUTED_VALUE"""),"PHP")</f>
        <v>PHP</v>
      </c>
      <c r="I2760" s="9" t="str">
        <f>IFERROR(__xludf.DUMMYFUNCTION("""COMPUTED_VALUE"""),"TypeScript")</f>
        <v>TypeScript</v>
      </c>
      <c r="J2760" s="9" t="str">
        <f>IFERROR(__xludf.DUMMYFUNCTION("""COMPUTED_VALUE"""),"HTML/CSS")</f>
        <v>HTML/CSS</v>
      </c>
      <c r="K2760" s="9" t="str">
        <f>IFERROR(__xludf.DUMMYFUNCTION("""COMPUTED_VALUE"""),"C++")</f>
        <v>C++</v>
      </c>
      <c r="L2760" s="9" t="str">
        <f>IFERROR(__xludf.DUMMYFUNCTION("""COMPUTED_VALUE"""),"C")</f>
        <v>C</v>
      </c>
      <c r="M2760" s="9" t="s">
        <v>30</v>
      </c>
    </row>
    <row r="2761" ht="15.75" customHeight="1">
      <c r="A2761" s="7"/>
      <c r="B2761" s="7" t="str">
        <f>IFERROR(__xludf.DUMMYFUNCTION("""COMPUTED_VALUE"""),"C++;HTML/CSS;Java;JavaScript;SQL")</f>
        <v>C++;HTML/CSS;Java;JavaScript;SQL</v>
      </c>
      <c r="C2761" s="9" t="str">
        <f>IFERROR(__xludf.DUMMYFUNCTION("""COMPUTED_VALUE"""),"C")</f>
        <v>C</v>
      </c>
      <c r="D2761" s="9" t="str">
        <f>IFERROR(__xludf.DUMMYFUNCTION("""COMPUTED_VALUE"""),"C")</f>
        <v>C</v>
      </c>
      <c r="E2761" s="9" t="str">
        <f>IFERROR(__xludf.DUMMYFUNCTION("""COMPUTED_VALUE"""),"Other(s):")</f>
        <v>Other(s):</v>
      </c>
      <c r="F2761" s="9" t="str">
        <f>IFERROR(__xludf.DUMMYFUNCTION("""COMPUTED_VALUE"""),"C#")</f>
        <v>C#</v>
      </c>
      <c r="G2761" s="9" t="str">
        <f>IFERROR(__xludf.DUMMYFUNCTION("""COMPUTED_VALUE"""),"C")</f>
        <v>C</v>
      </c>
      <c r="H2761" s="9" t="str">
        <f>IFERROR(__xludf.DUMMYFUNCTION("""COMPUTED_VALUE"""),"Python")</f>
        <v>Python</v>
      </c>
      <c r="I2761" s="9" t="str">
        <f>IFERROR(__xludf.DUMMYFUNCTION("""COMPUTED_VALUE"""),"R")</f>
        <v>R</v>
      </c>
      <c r="J2761" s="9" t="str">
        <f>IFERROR(__xludf.DUMMYFUNCTION("""COMPUTED_VALUE"""),"JavaScript")</f>
        <v>JavaScript</v>
      </c>
      <c r="K2761" s="9" t="str">
        <f>IFERROR(__xludf.DUMMYFUNCTION("""COMPUTED_VALUE"""),"C#")</f>
        <v>C#</v>
      </c>
      <c r="L2761" s="9" t="str">
        <f>IFERROR(__xludf.DUMMYFUNCTION("""COMPUTED_VALUE"""),"C++")</f>
        <v>C++</v>
      </c>
      <c r="M2761" s="9" t="s">
        <v>25</v>
      </c>
    </row>
    <row r="2762" ht="15.75" customHeight="1">
      <c r="A2762" s="7"/>
      <c r="B2762" s="7" t="str">
        <f>IFERROR(__xludf.DUMMYFUNCTION("""COMPUTED_VALUE"""),"Bash/Shell/PowerShell;C#;HTML/CSS;JavaScript;PHP;Python;SQL;VBA")</f>
        <v>Bash/Shell/PowerShell;C#;HTML/CSS;JavaScript;PHP;Python;SQL;VBA</v>
      </c>
      <c r="C2762" s="9" t="str">
        <f>IFERROR(__xludf.DUMMYFUNCTION("""COMPUTED_VALUE"""),"Java")</f>
        <v>Java</v>
      </c>
      <c r="D2762" s="9" t="str">
        <f>IFERROR(__xludf.DUMMYFUNCTION("""COMPUTED_VALUE"""),"C++")</f>
        <v>C++</v>
      </c>
      <c r="E2762" s="9" t="str">
        <f>IFERROR(__xludf.DUMMYFUNCTION("""COMPUTED_VALUE"""),"Bash/Shell/PowerShell")</f>
        <v>Bash/Shell/PowerShell</v>
      </c>
      <c r="F2762" s="9" t="str">
        <f>IFERROR(__xludf.DUMMYFUNCTION("""COMPUTED_VALUE"""),"HTML/CSS")</f>
        <v>HTML/CSS</v>
      </c>
      <c r="G2762" s="9" t="str">
        <f>IFERROR(__xludf.DUMMYFUNCTION("""COMPUTED_VALUE"""),"HTML/CSS")</f>
        <v>HTML/CSS</v>
      </c>
      <c r="H2762" s="9" t="str">
        <f>IFERROR(__xludf.DUMMYFUNCTION("""COMPUTED_VALUE"""),"R")</f>
        <v>R</v>
      </c>
      <c r="I2762" s="9" t="str">
        <f>IFERROR(__xludf.DUMMYFUNCTION("""COMPUTED_VALUE"""),"SQL")</f>
        <v>SQL</v>
      </c>
      <c r="J2762" s="9" t="str">
        <f>IFERROR(__xludf.DUMMYFUNCTION("""COMPUTED_VALUE"""),"HTML/CSS")</f>
        <v>HTML/CSS</v>
      </c>
      <c r="K2762" s="9" t="str">
        <f>IFERROR(__xludf.DUMMYFUNCTION("""COMPUTED_VALUE"""),"HTML/CSS")</f>
        <v>HTML/CSS</v>
      </c>
      <c r="L2762" s="9" t="str">
        <f>IFERROR(__xludf.DUMMYFUNCTION("""COMPUTED_VALUE"""),"C#")</f>
        <v>C#</v>
      </c>
      <c r="M2762" s="9" t="s">
        <v>20</v>
      </c>
    </row>
    <row r="2763" ht="15.75" customHeight="1">
      <c r="A2763" s="7"/>
      <c r="B2763" s="7" t="str">
        <f>IFERROR(__xludf.DUMMYFUNCTION("""COMPUTED_VALUE"""),"Bash/Shell/PowerShell;Clojure;Go;JavaScript;Python;SQL")</f>
        <v>Bash/Shell/PowerShell;Clojure;Go;JavaScript;Python;SQL</v>
      </c>
      <c r="C2763" s="9" t="str">
        <f>IFERROR(__xludf.DUMMYFUNCTION("""COMPUTED_VALUE"""),"JavaScript")</f>
        <v>JavaScript</v>
      </c>
      <c r="D2763" s="9" t="str">
        <f>IFERROR(__xludf.DUMMYFUNCTION("""COMPUTED_VALUE"""),"HTML/CSS")</f>
        <v>HTML/CSS</v>
      </c>
      <c r="E2763" s="9" t="str">
        <f>IFERROR(__xludf.DUMMYFUNCTION("""COMPUTED_VALUE"""),"JavaScript")</f>
        <v>JavaScript</v>
      </c>
      <c r="F2763" s="9" t="str">
        <f>IFERROR(__xludf.DUMMYFUNCTION("""COMPUTED_VALUE"""),"JavaScript")</f>
        <v>JavaScript</v>
      </c>
      <c r="G2763" s="9" t="str">
        <f>IFERROR(__xludf.DUMMYFUNCTION("""COMPUTED_VALUE"""),"Java")</f>
        <v>Java</v>
      </c>
      <c r="H2763" s="9" t="str">
        <f>IFERROR(__xludf.DUMMYFUNCTION("""COMPUTED_VALUE"""),"Ruby")</f>
        <v>Ruby</v>
      </c>
      <c r="I2763" s="9" t="str">
        <f>IFERROR(__xludf.DUMMYFUNCTION("""COMPUTED_VALUE"""),"VBA")</f>
        <v>VBA</v>
      </c>
      <c r="J2763" s="9" t="str">
        <f>IFERROR(__xludf.DUMMYFUNCTION("""COMPUTED_VALUE"""),"Java")</f>
        <v>Java</v>
      </c>
      <c r="K2763" s="9" t="str">
        <f>IFERROR(__xludf.DUMMYFUNCTION("""COMPUTED_VALUE"""),"Java")</f>
        <v>Java</v>
      </c>
      <c r="L2763" s="9" t="str">
        <f>IFERROR(__xludf.DUMMYFUNCTION("""COMPUTED_VALUE"""),"Clojure")</f>
        <v>Clojure</v>
      </c>
      <c r="M2763" s="9" t="s">
        <v>21</v>
      </c>
    </row>
    <row r="2764" ht="15.75" customHeight="1">
      <c r="A2764" s="7"/>
      <c r="B2764" s="7" t="str">
        <f>IFERROR(__xludf.DUMMYFUNCTION("""COMPUTED_VALUE"""),"C#;HTML/CSS;JavaScript;PHP;Python;SQL;TypeScript")</f>
        <v>C#;HTML/CSS;JavaScript;PHP;Python;SQL;TypeScript</v>
      </c>
      <c r="C2764" s="9" t="str">
        <f>IFERROR(__xludf.DUMMYFUNCTION("""COMPUTED_VALUE"""),"Objective-C")</f>
        <v>Objective-C</v>
      </c>
      <c r="D2764" s="9" t="str">
        <f>IFERROR(__xludf.DUMMYFUNCTION("""COMPUTED_VALUE"""),"Java")</f>
        <v>Java</v>
      </c>
      <c r="E2764" s="9" t="str">
        <f>IFERROR(__xludf.DUMMYFUNCTION("""COMPUTED_VALUE"""),"PHP")</f>
        <v>PHP</v>
      </c>
      <c r="F2764" s="9" t="str">
        <f>IFERROR(__xludf.DUMMYFUNCTION("""COMPUTED_VALUE"""),"Kotlin")</f>
        <v>Kotlin</v>
      </c>
      <c r="G2764" s="9" t="str">
        <f>IFERROR(__xludf.DUMMYFUNCTION("""COMPUTED_VALUE"""),"JavaScript")</f>
        <v>JavaScript</v>
      </c>
      <c r="H2764" s="9" t="str">
        <f>IFERROR(__xludf.DUMMYFUNCTION("""COMPUTED_VALUE"""),"Rust")</f>
        <v>Rust</v>
      </c>
      <c r="I2764" s="9" t="str">
        <f>IFERROR(__xludf.DUMMYFUNCTION("""COMPUTED_VALUE"""),"C")</f>
        <v>C</v>
      </c>
      <c r="J2764" s="9" t="str">
        <f>IFERROR(__xludf.DUMMYFUNCTION("""COMPUTED_VALUE"""),"Python")</f>
        <v>Python</v>
      </c>
      <c r="K2764" s="9" t="str">
        <f>IFERROR(__xludf.DUMMYFUNCTION("""COMPUTED_VALUE"""),"JavaScript")</f>
        <v>JavaScript</v>
      </c>
      <c r="L2764" s="9" t="str">
        <f>IFERROR(__xludf.DUMMYFUNCTION("""COMPUTED_VALUE"""),"Java")</f>
        <v>Java</v>
      </c>
      <c r="M2764" s="9" t="s">
        <v>41</v>
      </c>
    </row>
    <row r="2765" ht="15.75" customHeight="1">
      <c r="A2765" s="7"/>
      <c r="B2765" s="7" t="str">
        <f>IFERROR(__xludf.DUMMYFUNCTION("""COMPUTED_VALUE"""),"Bash/Shell/PowerShell;C;HTML/CSS;JavaScript;Python;TypeScript")</f>
        <v>Bash/Shell/PowerShell;C;HTML/CSS;JavaScript;Python;TypeScript</v>
      </c>
      <c r="C2765" s="9" t="str">
        <f>IFERROR(__xludf.DUMMYFUNCTION("""COMPUTED_VALUE"""),"Rust")</f>
        <v>Rust</v>
      </c>
      <c r="D2765" s="9" t="str">
        <f>IFERROR(__xludf.DUMMYFUNCTION("""COMPUTED_VALUE"""),"JavaScript")</f>
        <v>JavaScript</v>
      </c>
      <c r="E2765" s="9" t="str">
        <f>IFERROR(__xludf.DUMMYFUNCTION("""COMPUTED_VALUE"""),"SQL")</f>
        <v>SQL</v>
      </c>
      <c r="F2765" s="9" t="str">
        <f>IFERROR(__xludf.DUMMYFUNCTION("""COMPUTED_VALUE"""),"Objective-C")</f>
        <v>Objective-C</v>
      </c>
      <c r="G2765" s="9" t="str">
        <f>IFERROR(__xludf.DUMMYFUNCTION("""COMPUTED_VALUE"""),"Python")</f>
        <v>Python</v>
      </c>
      <c r="H2765" s="9" t="str">
        <f>IFERROR(__xludf.DUMMYFUNCTION("""COMPUTED_VALUE"""),"Scala")</f>
        <v>Scala</v>
      </c>
      <c r="I2765" s="9" t="str">
        <f>IFERROR(__xludf.DUMMYFUNCTION("""COMPUTED_VALUE"""),"HTML/CSS")</f>
        <v>HTML/CSS</v>
      </c>
      <c r="J2765" s="9" t="str">
        <f>IFERROR(__xludf.DUMMYFUNCTION("""COMPUTED_VALUE"""),"C#")</f>
        <v>C#</v>
      </c>
      <c r="K2765" s="9" t="str">
        <f>IFERROR(__xludf.DUMMYFUNCTION("""COMPUTED_VALUE"""),"Objective-C")</f>
        <v>Objective-C</v>
      </c>
      <c r="L2765" s="9" t="str">
        <f>IFERROR(__xludf.DUMMYFUNCTION("""COMPUTED_VALUE"""),"SQL")</f>
        <v>SQL</v>
      </c>
      <c r="M2765" s="9" t="s">
        <v>32</v>
      </c>
    </row>
    <row r="2766" ht="15.75" customHeight="1">
      <c r="A2766" s="7"/>
      <c r="B2766" s="7" t="str">
        <f>IFERROR(__xludf.DUMMYFUNCTION("""COMPUTED_VALUE"""),"Bash/Shell/PowerShell;C++;HTML/CSS;JavaScript;Python")</f>
        <v>Bash/Shell/PowerShell;C++;HTML/CSS;JavaScript;Python</v>
      </c>
      <c r="C2766" s="9" t="str">
        <f>IFERROR(__xludf.DUMMYFUNCTION("""COMPUTED_VALUE"""),"Swift")</f>
        <v>Swift</v>
      </c>
      <c r="D2766" s="9" t="str">
        <f>IFERROR(__xludf.DUMMYFUNCTION("""COMPUTED_VALUE"""),"Kotlin")</f>
        <v>Kotlin</v>
      </c>
      <c r="E2766" s="9" t="str">
        <f>IFERROR(__xludf.DUMMYFUNCTION("""COMPUTED_VALUE"""),"C++")</f>
        <v>C++</v>
      </c>
      <c r="F2766" s="9" t="str">
        <f>IFERROR(__xludf.DUMMYFUNCTION("""COMPUTED_VALUE"""),"PHP")</f>
        <v>PHP</v>
      </c>
      <c r="G2766" s="9" t="str">
        <f>IFERROR(__xludf.DUMMYFUNCTION("""COMPUTED_VALUE"""),"SQL")</f>
        <v>SQL</v>
      </c>
      <c r="H2766" s="9" t="str">
        <f>IFERROR(__xludf.DUMMYFUNCTION("""COMPUTED_VALUE"""),"SQL")</f>
        <v>SQL</v>
      </c>
      <c r="I2766" s="9" t="str">
        <f>IFERROR(__xludf.DUMMYFUNCTION("""COMPUTED_VALUE"""),"Java")</f>
        <v>Java</v>
      </c>
      <c r="J2766" s="9" t="str">
        <f>IFERROR(__xludf.DUMMYFUNCTION("""COMPUTED_VALUE"""),"HTML/CSS")</f>
        <v>HTML/CSS</v>
      </c>
      <c r="K2766" s="9" t="str">
        <f>IFERROR(__xludf.DUMMYFUNCTION("""COMPUTED_VALUE"""),"PHP")</f>
        <v>PHP</v>
      </c>
      <c r="L2766" s="9" t="str">
        <f>IFERROR(__xludf.DUMMYFUNCTION("""COMPUTED_VALUE"""),"Bash/Shell/PowerShell")</f>
        <v>Bash/Shell/PowerShell</v>
      </c>
      <c r="M2766" s="9" t="s">
        <v>40</v>
      </c>
    </row>
    <row r="2767" ht="15.75" customHeight="1">
      <c r="A2767" s="7"/>
      <c r="B2767" s="7" t="str">
        <f>IFERROR(__xludf.DUMMYFUNCTION("""COMPUTED_VALUE"""),"Clojure;Elixir;HTML/CSS;JavaScript;Python;R;Rust;SQL;TypeScript")</f>
        <v>Clojure;Elixir;HTML/CSS;JavaScript;Python;R;Rust;SQL;TypeScript</v>
      </c>
      <c r="C2767" s="9" t="str">
        <f>IFERROR(__xludf.DUMMYFUNCTION("""COMPUTED_VALUE"""),"Other(s):")</f>
        <v>Other(s):</v>
      </c>
      <c r="D2767" s="9" t="str">
        <f>IFERROR(__xludf.DUMMYFUNCTION("""COMPUTED_VALUE"""),"PHP")</f>
        <v>PHP</v>
      </c>
      <c r="E2767" s="9" t="str">
        <f>IFERROR(__xludf.DUMMYFUNCTION("""COMPUTED_VALUE"""),"C#")</f>
        <v>C#</v>
      </c>
      <c r="F2767" s="9" t="str">
        <f>IFERROR(__xludf.DUMMYFUNCTION("""COMPUTED_VALUE"""),"Python")</f>
        <v>Python</v>
      </c>
      <c r="G2767" s="9" t="str">
        <f>IFERROR(__xludf.DUMMYFUNCTION("""COMPUTED_VALUE"""),"Other(s):")</f>
        <v>Other(s):</v>
      </c>
      <c r="H2767" s="9" t="str">
        <f>IFERROR(__xludf.DUMMYFUNCTION("""COMPUTED_VALUE"""),"Swift")</f>
        <v>Swift</v>
      </c>
      <c r="I2767" s="9" t="str">
        <f>IFERROR(__xludf.DUMMYFUNCTION("""COMPUTED_VALUE"""),"JavaScript")</f>
        <v>JavaScript</v>
      </c>
      <c r="J2767" s="9" t="str">
        <f>IFERROR(__xludf.DUMMYFUNCTION("""COMPUTED_VALUE"""),"JavaScript")</f>
        <v>JavaScript</v>
      </c>
      <c r="K2767" s="9" t="str">
        <f>IFERROR(__xludf.DUMMYFUNCTION("""COMPUTED_VALUE"""),"Python")</f>
        <v>Python</v>
      </c>
      <c r="L2767" s="9" t="str">
        <f>IFERROR(__xludf.DUMMYFUNCTION("""COMPUTED_VALUE"""),"Go")</f>
        <v>Go</v>
      </c>
      <c r="M2767" s="9" t="s">
        <v>35</v>
      </c>
    </row>
    <row r="2768" ht="15.75" customHeight="1">
      <c r="A2768" s="7"/>
      <c r="B2768" s="7" t="str">
        <f>IFERROR(__xludf.DUMMYFUNCTION("""COMPUTED_VALUE"""),"C#;SQL")</f>
        <v>C#;SQL</v>
      </c>
      <c r="C2768" s="9" t="str">
        <f>IFERROR(__xludf.DUMMYFUNCTION("""COMPUTED_VALUE"""),"C++")</f>
        <v>C++</v>
      </c>
      <c r="D2768" s="9" t="str">
        <f>IFERROR(__xludf.DUMMYFUNCTION("""COMPUTED_VALUE"""),"SQL")</f>
        <v>SQL</v>
      </c>
      <c r="E2768" s="9" t="str">
        <f>IFERROR(__xludf.DUMMYFUNCTION("""COMPUTED_VALUE"""),"HTML/CSS")</f>
        <v>HTML/CSS</v>
      </c>
      <c r="F2768" s="9" t="str">
        <f>IFERROR(__xludf.DUMMYFUNCTION("""COMPUTED_VALUE"""),"SQL")</f>
        <v>SQL</v>
      </c>
      <c r="G2768" s="9" t="str">
        <f>IFERROR(__xludf.DUMMYFUNCTION("""COMPUTED_VALUE"""),"C++")</f>
        <v>C++</v>
      </c>
      <c r="H2768" s="9" t="str">
        <f>IFERROR(__xludf.DUMMYFUNCTION("""COMPUTED_VALUE"""),"TypeScript")</f>
        <v>TypeScript</v>
      </c>
      <c r="I2768" s="9" t="str">
        <f>IFERROR(__xludf.DUMMYFUNCTION("""COMPUTED_VALUE"""),"PHP")</f>
        <v>PHP</v>
      </c>
      <c r="J2768" s="9" t="str">
        <f>IFERROR(__xludf.DUMMYFUNCTION("""COMPUTED_VALUE"""),"SQL")</f>
        <v>SQL</v>
      </c>
      <c r="K2768" s="9" t="str">
        <f>IFERROR(__xludf.DUMMYFUNCTION("""COMPUTED_VALUE"""),"Ruby")</f>
        <v>Ruby</v>
      </c>
      <c r="L2768" s="9" t="str">
        <f>IFERROR(__xludf.DUMMYFUNCTION("""COMPUTED_VALUE"""),"HTML/CSS")</f>
        <v>HTML/CSS</v>
      </c>
      <c r="M2768" s="9" t="s">
        <v>23</v>
      </c>
    </row>
    <row r="2769" ht="15.75" customHeight="1">
      <c r="A2769" s="7"/>
      <c r="B2769" s="7" t="str">
        <f>IFERROR(__xludf.DUMMYFUNCTION("""COMPUTED_VALUE"""),"Assembly;Bash/Shell/PowerShell;C;HTML/CSS;JavaScript;Python;Ruby")</f>
        <v>Assembly;Bash/Shell/PowerShell;C;HTML/CSS;JavaScript;Python;Ruby</v>
      </c>
      <c r="C2769" s="9" t="str">
        <f>IFERROR(__xludf.DUMMYFUNCTION("""COMPUTED_VALUE"""),"C#")</f>
        <v>C#</v>
      </c>
      <c r="D2769" s="9" t="str">
        <f>IFERROR(__xludf.DUMMYFUNCTION("""COMPUTED_VALUE"""),"TypeScript")</f>
        <v>TypeScript</v>
      </c>
      <c r="E2769" s="9" t="str">
        <f>IFERROR(__xludf.DUMMYFUNCTION("""COMPUTED_VALUE"""),"JavaScript")</f>
        <v>JavaScript</v>
      </c>
      <c r="F2769" s="9" t="str">
        <f>IFERROR(__xludf.DUMMYFUNCTION("""COMPUTED_VALUE"""),"Swift")</f>
        <v>Swift</v>
      </c>
      <c r="G2769" s="9" t="str">
        <f>IFERROR(__xludf.DUMMYFUNCTION("""COMPUTED_VALUE"""),"Assembly")</f>
        <v>Assembly</v>
      </c>
      <c r="H2769" s="9" t="str">
        <f>IFERROR(__xludf.DUMMYFUNCTION("""COMPUTED_VALUE"""),"VBA")</f>
        <v>VBA</v>
      </c>
      <c r="I2769" s="9" t="str">
        <f>IFERROR(__xludf.DUMMYFUNCTION("""COMPUTED_VALUE"""),"Python")</f>
        <v>Python</v>
      </c>
      <c r="J2769" s="9" t="str">
        <f>IFERROR(__xludf.DUMMYFUNCTION("""COMPUTED_VALUE"""),"VBA")</f>
        <v>VBA</v>
      </c>
      <c r="K2769" s="9" t="str">
        <f>IFERROR(__xludf.DUMMYFUNCTION("""COMPUTED_VALUE"""),"SQL")</f>
        <v>SQL</v>
      </c>
      <c r="L2769" s="9" t="str">
        <f>IFERROR(__xludf.DUMMYFUNCTION("""COMPUTED_VALUE"""),"JavaScript")</f>
        <v>JavaScript</v>
      </c>
      <c r="M2769" s="9" t="s">
        <v>26</v>
      </c>
    </row>
    <row r="2770" ht="15.75" customHeight="1">
      <c r="A2770" s="7"/>
      <c r="B2770" s="7" t="str">
        <f>IFERROR(__xludf.DUMMYFUNCTION("""COMPUTED_VALUE"""),"C;C++;C#;HTML/CSS;Java")</f>
        <v>C;C++;C#;HTML/CSS;Java</v>
      </c>
      <c r="C2770" s="9" t="str">
        <f>IFERROR(__xludf.DUMMYFUNCTION("""COMPUTED_VALUE"""),"Clojure")</f>
        <v>Clojure</v>
      </c>
      <c r="D2770" s="9" t="str">
        <f>IFERROR(__xludf.DUMMYFUNCTION("""COMPUTED_VALUE"""),"VBA")</f>
        <v>VBA</v>
      </c>
      <c r="E2770" s="9" t="str">
        <f>IFERROR(__xludf.DUMMYFUNCTION("""COMPUTED_VALUE"""),"VBA")</f>
        <v>VBA</v>
      </c>
      <c r="F2770" s="9" t="str">
        <f>IFERROR(__xludf.DUMMYFUNCTION("""COMPUTED_VALUE"""),"HTML/CSS")</f>
        <v>HTML/CSS</v>
      </c>
      <c r="G2770" s="9" t="str">
        <f>IFERROR(__xludf.DUMMYFUNCTION("""COMPUTED_VALUE"""),"Bash/Shell/PowerShell")</f>
        <v>Bash/Shell/PowerShell</v>
      </c>
      <c r="H2770" s="9" t="str">
        <f>IFERROR(__xludf.DUMMYFUNCTION("""COMPUTED_VALUE"""),"WebAssembly")</f>
        <v>WebAssembly</v>
      </c>
      <c r="I2770" s="9" t="str">
        <f>IFERROR(__xludf.DUMMYFUNCTION("""COMPUTED_VALUE"""),"Ruby")</f>
        <v>Ruby</v>
      </c>
      <c r="J2770" s="9" t="str">
        <f>IFERROR(__xludf.DUMMYFUNCTION("""COMPUTED_VALUE"""),"C++")</f>
        <v>C++</v>
      </c>
      <c r="K2770" s="9" t="str">
        <f>IFERROR(__xludf.DUMMYFUNCTION("""COMPUTED_VALUE"""),"Swift")</f>
        <v>Swift</v>
      </c>
      <c r="L2770" s="9" t="str">
        <f>IFERROR(__xludf.DUMMYFUNCTION("""COMPUTED_VALUE"""),"Python")</f>
        <v>Python</v>
      </c>
      <c r="M2770" s="9" t="s">
        <v>44</v>
      </c>
    </row>
    <row r="2771" ht="15.75" customHeight="1">
      <c r="A2771" s="7"/>
      <c r="B2771" s="7" t="str">
        <f>IFERROR(__xludf.DUMMYFUNCTION("""COMPUTED_VALUE"""),"Bash/Shell/PowerShell;Python;Scala;SQL")</f>
        <v>Bash/Shell/PowerShell;Python;Scala;SQL</v>
      </c>
      <c r="C2771" s="9" t="str">
        <f>IFERROR(__xludf.DUMMYFUNCTION("""COMPUTED_VALUE"""),"HTML/CSS")</f>
        <v>HTML/CSS</v>
      </c>
      <c r="D2771" s="9" t="str">
        <f>IFERROR(__xludf.DUMMYFUNCTION("""COMPUTED_VALUE"""),"Assembly")</f>
        <v>Assembly</v>
      </c>
      <c r="E2771" s="9" t="str">
        <f>IFERROR(__xludf.DUMMYFUNCTION("""COMPUTED_VALUE"""),"C#")</f>
        <v>C#</v>
      </c>
      <c r="F2771" s="9" t="str">
        <f>IFERROR(__xludf.DUMMYFUNCTION("""COMPUTED_VALUE"""),"Java")</f>
        <v>Java</v>
      </c>
      <c r="G2771" s="9" t="str">
        <f>IFERROR(__xludf.DUMMYFUNCTION("""COMPUTED_VALUE"""),"C")</f>
        <v>C</v>
      </c>
      <c r="H2771" s="9" t="str">
        <f>IFERROR(__xludf.DUMMYFUNCTION("""COMPUTED_VALUE"""),"R")</f>
        <v>R</v>
      </c>
      <c r="I2771" s="9" t="str">
        <f>IFERROR(__xludf.DUMMYFUNCTION("""COMPUTED_VALUE"""),"SQL")</f>
        <v>SQL</v>
      </c>
      <c r="J2771" s="9" t="str">
        <f>IFERROR(__xludf.DUMMYFUNCTION("""COMPUTED_VALUE"""),"Go")</f>
        <v>Go</v>
      </c>
      <c r="K2771" s="9" t="str">
        <f>IFERROR(__xludf.DUMMYFUNCTION("""COMPUTED_VALUE"""),"VBA")</f>
        <v>VBA</v>
      </c>
      <c r="L2771" s="9" t="str">
        <f>IFERROR(__xludf.DUMMYFUNCTION("""COMPUTED_VALUE"""),"SQL")</f>
        <v>SQL</v>
      </c>
      <c r="M2771" s="9" t="s">
        <v>24</v>
      </c>
    </row>
    <row r="2772" ht="15.75" customHeight="1">
      <c r="A2772" s="7"/>
      <c r="B2772" s="7" t="str">
        <f>IFERROR(__xludf.DUMMYFUNCTION("""COMPUTED_VALUE"""),"Bash/Shell/PowerShell;C;C++;HTML/CSS;Java;JavaScript;Python;SQL;Other(s):")</f>
        <v>Bash/Shell/PowerShell;C;C++;HTML/CSS;Java;JavaScript;Python;SQL;Other(s):</v>
      </c>
      <c r="C2772" s="9" t="str">
        <f>IFERROR(__xludf.DUMMYFUNCTION("""COMPUTED_VALUE"""),"JavaScript")</f>
        <v>JavaScript</v>
      </c>
      <c r="D2772" s="9" t="str">
        <f>IFERROR(__xludf.DUMMYFUNCTION("""COMPUTED_VALUE"""),"C")</f>
        <v>C</v>
      </c>
      <c r="E2772" s="9" t="str">
        <f>IFERROR(__xludf.DUMMYFUNCTION("""COMPUTED_VALUE"""),"HTML/CSS")</f>
        <v>HTML/CSS</v>
      </c>
      <c r="F2772" s="9" t="str">
        <f>IFERROR(__xludf.DUMMYFUNCTION("""COMPUTED_VALUE"""),"JavaScript")</f>
        <v>JavaScript</v>
      </c>
      <c r="G2772" s="9" t="str">
        <f>IFERROR(__xludf.DUMMYFUNCTION("""COMPUTED_VALUE"""),"HTML/CSS")</f>
        <v>HTML/CSS</v>
      </c>
      <c r="H2772" s="9" t="str">
        <f>IFERROR(__xludf.DUMMYFUNCTION("""COMPUTED_VALUE"""),"SQL")</f>
        <v>SQL</v>
      </c>
      <c r="I2772" s="9" t="str">
        <f>IFERROR(__xludf.DUMMYFUNCTION("""COMPUTED_VALUE"""),"HTML/CSS")</f>
        <v>HTML/CSS</v>
      </c>
      <c r="J2772" s="9" t="str">
        <f>IFERROR(__xludf.DUMMYFUNCTION("""COMPUTED_VALUE"""),"JavaScript")</f>
        <v>JavaScript</v>
      </c>
      <c r="K2772" s="9" t="str">
        <f>IFERROR(__xludf.DUMMYFUNCTION("""COMPUTED_VALUE"""),"Other(s):")</f>
        <v>Other(s):</v>
      </c>
      <c r="L2772" s="9" t="str">
        <f>IFERROR(__xludf.DUMMYFUNCTION("""COMPUTED_VALUE"""),"C")</f>
        <v>C</v>
      </c>
      <c r="M2772" s="9" t="s">
        <v>21</v>
      </c>
    </row>
    <row r="2773" ht="15.75" customHeight="1">
      <c r="A2773" s="7"/>
      <c r="B2773" s="7" t="str">
        <f>IFERROR(__xludf.DUMMYFUNCTION("""COMPUTED_VALUE"""),"HTML/CSS;JavaScript;PHP")</f>
        <v>HTML/CSS;JavaScript;PHP</v>
      </c>
      <c r="C2773" s="9" t="str">
        <f>IFERROR(__xludf.DUMMYFUNCTION("""COMPUTED_VALUE"""),"Python")</f>
        <v>Python</v>
      </c>
      <c r="D2773" s="9" t="str">
        <f>IFERROR(__xludf.DUMMYFUNCTION("""COMPUTED_VALUE"""),"C++")</f>
        <v>C++</v>
      </c>
      <c r="E2773" s="9" t="str">
        <f>IFERROR(__xludf.DUMMYFUNCTION("""COMPUTED_VALUE"""),"JavaScript")</f>
        <v>JavaScript</v>
      </c>
      <c r="F2773" s="9" t="str">
        <f>IFERROR(__xludf.DUMMYFUNCTION("""COMPUTED_VALUE"""),"SQL")</f>
        <v>SQL</v>
      </c>
      <c r="G2773" s="9" t="str">
        <f>IFERROR(__xludf.DUMMYFUNCTION("""COMPUTED_VALUE"""),"JavaScript")</f>
        <v>JavaScript</v>
      </c>
      <c r="H2773" s="9" t="str">
        <f>IFERROR(__xludf.DUMMYFUNCTION("""COMPUTED_VALUE"""),"Bash/Shell/PowerShell")</f>
        <v>Bash/Shell/PowerShell</v>
      </c>
      <c r="I2773" s="9" t="str">
        <f>IFERROR(__xludf.DUMMYFUNCTION("""COMPUTED_VALUE"""),"JavaScript")</f>
        <v>JavaScript</v>
      </c>
      <c r="J2773" s="9" t="str">
        <f>IFERROR(__xludf.DUMMYFUNCTION("""COMPUTED_VALUE"""),"Python")</f>
        <v>Python</v>
      </c>
      <c r="K2773" s="9" t="str">
        <f>IFERROR(__xludf.DUMMYFUNCTION("""COMPUTED_VALUE"""),"HTML/CSS")</f>
        <v>HTML/CSS</v>
      </c>
      <c r="L2773" s="9" t="str">
        <f>IFERROR(__xludf.DUMMYFUNCTION("""COMPUTED_VALUE"""),"Other(s):")</f>
        <v>Other(s):</v>
      </c>
      <c r="M2773" s="9" t="s">
        <v>22</v>
      </c>
    </row>
    <row r="2774" ht="15.75" customHeight="1">
      <c r="A2774" s="7"/>
      <c r="B2774" s="7" t="str">
        <f>IFERROR(__xludf.DUMMYFUNCTION("""COMPUTED_VALUE"""),"Bash/Shell/PowerShell;C;C#;Dart;Go;HTML/CSS;JavaScript;SQL;TypeScript")</f>
        <v>Bash/Shell/PowerShell;C;C#;Dart;Go;HTML/CSS;JavaScript;SQL;TypeScript</v>
      </c>
      <c r="C2774" s="9" t="str">
        <f>IFERROR(__xludf.DUMMYFUNCTION("""COMPUTED_VALUE"""),"SQL")</f>
        <v>SQL</v>
      </c>
      <c r="D2774" s="9" t="str">
        <f>IFERROR(__xludf.DUMMYFUNCTION("""COMPUTED_VALUE"""),"C#")</f>
        <v>C#</v>
      </c>
      <c r="E2774" s="9" t="str">
        <f>IFERROR(__xludf.DUMMYFUNCTION("""COMPUTED_VALUE"""),"SQL")</f>
        <v>SQL</v>
      </c>
      <c r="F2774" s="9" t="str">
        <f>IFERROR(__xludf.DUMMYFUNCTION("""COMPUTED_VALUE"""),"Swift")</f>
        <v>Swift</v>
      </c>
      <c r="G2774" s="9" t="str">
        <f>IFERROR(__xludf.DUMMYFUNCTION("""COMPUTED_VALUE"""),"SQL")</f>
        <v>SQL</v>
      </c>
      <c r="H2774" s="9" t="str">
        <f>IFERROR(__xludf.DUMMYFUNCTION("""COMPUTED_VALUE"""),"Python")</f>
        <v>Python</v>
      </c>
      <c r="I2774" s="9" t="str">
        <f>IFERROR(__xludf.DUMMYFUNCTION("""COMPUTED_VALUE"""),"PHP")</f>
        <v>PHP</v>
      </c>
      <c r="J2774" s="9" t="str">
        <f>IFERROR(__xludf.DUMMYFUNCTION("""COMPUTED_VALUE"""),"Bash/Shell/PowerShell")</f>
        <v>Bash/Shell/PowerShell</v>
      </c>
      <c r="K2774" s="9" t="str">
        <f>IFERROR(__xludf.DUMMYFUNCTION("""COMPUTED_VALUE"""),"JavaScript")</f>
        <v>JavaScript</v>
      </c>
      <c r="L2774" s="9" t="str">
        <f>IFERROR(__xludf.DUMMYFUNCTION("""COMPUTED_VALUE"""),"C")</f>
        <v>C</v>
      </c>
      <c r="M2774" s="9" t="s">
        <v>27</v>
      </c>
    </row>
    <row r="2775" ht="15.75" customHeight="1">
      <c r="A2775" s="7"/>
      <c r="B2775" s="7" t="str">
        <f>IFERROR(__xludf.DUMMYFUNCTION("""COMPUTED_VALUE"""),"Java;JavaScript;Python")</f>
        <v>Java;JavaScript;Python</v>
      </c>
      <c r="C2775" s="9" t="str">
        <f>IFERROR(__xludf.DUMMYFUNCTION("""COMPUTED_VALUE"""),"Bash/Shell/PowerShell")</f>
        <v>Bash/Shell/PowerShell</v>
      </c>
      <c r="D2775" s="9" t="str">
        <f>IFERROR(__xludf.DUMMYFUNCTION("""COMPUTED_VALUE"""),"Python")</f>
        <v>Python</v>
      </c>
      <c r="E2775" s="9" t="str">
        <f>IFERROR(__xludf.DUMMYFUNCTION("""COMPUTED_VALUE"""),"C")</f>
        <v>C</v>
      </c>
      <c r="F2775" s="9" t="str">
        <f>IFERROR(__xludf.DUMMYFUNCTION("""COMPUTED_VALUE"""),"TypeScript")</f>
        <v>TypeScript</v>
      </c>
      <c r="G2775" s="9" t="str">
        <f>IFERROR(__xludf.DUMMYFUNCTION("""COMPUTED_VALUE"""),"TypeScript")</f>
        <v>TypeScript</v>
      </c>
      <c r="H2775" s="9" t="str">
        <f>IFERROR(__xludf.DUMMYFUNCTION("""COMPUTED_VALUE"""),"C#")</f>
        <v>C#</v>
      </c>
      <c r="I2775" s="9" t="str">
        <f>IFERROR(__xludf.DUMMYFUNCTION("""COMPUTED_VALUE"""),"Python")</f>
        <v>Python</v>
      </c>
      <c r="J2775" s="9" t="str">
        <f>IFERROR(__xludf.DUMMYFUNCTION("""COMPUTED_VALUE"""),"C#")</f>
        <v>C#</v>
      </c>
      <c r="K2775" s="9" t="str">
        <f>IFERROR(__xludf.DUMMYFUNCTION("""COMPUTED_VALUE"""),"TypeScript")</f>
        <v>TypeScript</v>
      </c>
      <c r="L2775" s="9" t="str">
        <f>IFERROR(__xludf.DUMMYFUNCTION("""COMPUTED_VALUE"""),"HTML/CSS")</f>
        <v>HTML/CSS</v>
      </c>
      <c r="M2775" s="9" t="s">
        <v>30</v>
      </c>
    </row>
    <row r="2776" ht="15.75" customHeight="1">
      <c r="A2776" s="7"/>
      <c r="B2776" s="7" t="str">
        <f>IFERROR(__xludf.DUMMYFUNCTION("""COMPUTED_VALUE"""),"HTML/CSS;JavaScript;Other(s):")</f>
        <v>HTML/CSS;JavaScript;Other(s):</v>
      </c>
      <c r="C2776" s="9" t="str">
        <f>IFERROR(__xludf.DUMMYFUNCTION("""COMPUTED_VALUE"""),"HTML/CSS")</f>
        <v>HTML/CSS</v>
      </c>
      <c r="D2776" s="9" t="str">
        <f>IFERROR(__xludf.DUMMYFUNCTION("""COMPUTED_VALUE"""),"Other(s):")</f>
        <v>Other(s):</v>
      </c>
      <c r="E2776" s="9" t="str">
        <f>IFERROR(__xludf.DUMMYFUNCTION("""COMPUTED_VALUE"""),"C#")</f>
        <v>C#</v>
      </c>
      <c r="F2776" s="9" t="str">
        <f>IFERROR(__xludf.DUMMYFUNCTION("""COMPUTED_VALUE"""),"HTML/CSS")</f>
        <v>HTML/CSS</v>
      </c>
      <c r="G2776" s="9" t="str">
        <f>IFERROR(__xludf.DUMMYFUNCTION("""COMPUTED_VALUE"""),"HTML/CSS")</f>
        <v>HTML/CSS</v>
      </c>
      <c r="H2776" s="9" t="str">
        <f>IFERROR(__xludf.DUMMYFUNCTION("""COMPUTED_VALUE"""),"HTML/CSS")</f>
        <v>HTML/CSS</v>
      </c>
      <c r="I2776" s="9" t="str">
        <f>IFERROR(__xludf.DUMMYFUNCTION("""COMPUTED_VALUE"""),"SQL")</f>
        <v>SQL</v>
      </c>
      <c r="J2776" s="9" t="str">
        <f>IFERROR(__xludf.DUMMYFUNCTION("""COMPUTED_VALUE"""),"HTML/CSS")</f>
        <v>HTML/CSS</v>
      </c>
      <c r="K2776" s="9" t="str">
        <f>IFERROR(__xludf.DUMMYFUNCTION("""COMPUTED_VALUE"""),"C#")</f>
        <v>C#</v>
      </c>
      <c r="L2776" s="9" t="str">
        <f>IFERROR(__xludf.DUMMYFUNCTION("""COMPUTED_VALUE"""),"Java")</f>
        <v>Java</v>
      </c>
      <c r="M2776" s="9" t="s">
        <v>24</v>
      </c>
    </row>
    <row r="2777" ht="15.75" customHeight="1">
      <c r="A2777" s="7"/>
      <c r="B2777" s="7" t="str">
        <f>IFERROR(__xludf.DUMMYFUNCTION("""COMPUTED_VALUE"""),"C;C#;HTML/CSS;JavaScript;PHP;Python")</f>
        <v>C;C#;HTML/CSS;JavaScript;PHP;Python</v>
      </c>
      <c r="C2777" s="9" t="str">
        <f>IFERROR(__xludf.DUMMYFUNCTION("""COMPUTED_VALUE"""),"JavaScript")</f>
        <v>JavaScript</v>
      </c>
      <c r="D2777" s="9" t="str">
        <f>IFERROR(__xludf.DUMMYFUNCTION("""COMPUTED_VALUE"""),"Bash/Shell/PowerShell")</f>
        <v>Bash/Shell/PowerShell</v>
      </c>
      <c r="E2777" s="9" t="str">
        <f>IFERROR(__xludf.DUMMYFUNCTION("""COMPUTED_VALUE"""),"Dart")</f>
        <v>Dart</v>
      </c>
      <c r="F2777" s="9" t="str">
        <f>IFERROR(__xludf.DUMMYFUNCTION("""COMPUTED_VALUE"""),"Java")</f>
        <v>Java</v>
      </c>
      <c r="G2777" s="9" t="str">
        <f>IFERROR(__xludf.DUMMYFUNCTION("""COMPUTED_VALUE"""),"JavaScript")</f>
        <v>JavaScript</v>
      </c>
      <c r="H2777" s="9" t="str">
        <f>IFERROR(__xludf.DUMMYFUNCTION("""COMPUTED_VALUE"""),"Python")</f>
        <v>Python</v>
      </c>
      <c r="I2777" s="9" t="str">
        <f>IFERROR(__xludf.DUMMYFUNCTION("""COMPUTED_VALUE"""),"TypeScript")</f>
        <v>TypeScript</v>
      </c>
      <c r="J2777" s="9" t="str">
        <f>IFERROR(__xludf.DUMMYFUNCTION("""COMPUTED_VALUE"""),"JavaScript")</f>
        <v>JavaScript</v>
      </c>
      <c r="K2777" s="9" t="str">
        <f>IFERROR(__xludf.DUMMYFUNCTION("""COMPUTED_VALUE"""),"HTML/CSS")</f>
        <v>HTML/CSS</v>
      </c>
      <c r="L2777" s="9" t="str">
        <f>IFERROR(__xludf.DUMMYFUNCTION("""COMPUTED_VALUE"""),"JavaScript")</f>
        <v>JavaScript</v>
      </c>
      <c r="M2777" s="9" t="s">
        <v>21</v>
      </c>
    </row>
    <row r="2778" ht="15.75" customHeight="1">
      <c r="A2778" s="7"/>
      <c r="B2778" s="7" t="str">
        <f>IFERROR(__xludf.DUMMYFUNCTION("""COMPUTED_VALUE"""),"Bash/Shell/PowerShell;HTML/CSS;Java;JavaScript;Python;SQL")</f>
        <v>Bash/Shell/PowerShell;HTML/CSS;Java;JavaScript;Python;SQL</v>
      </c>
      <c r="C2778" s="9" t="str">
        <f>IFERROR(__xludf.DUMMYFUNCTION("""COMPUTED_VALUE"""),"Python")</f>
        <v>Python</v>
      </c>
      <c r="D2778" s="9" t="str">
        <f>IFERROR(__xludf.DUMMYFUNCTION("""COMPUTED_VALUE"""),"HTML/CSS")</f>
        <v>HTML/CSS</v>
      </c>
      <c r="E2778" s="9" t="str">
        <f>IFERROR(__xludf.DUMMYFUNCTION("""COMPUTED_VALUE"""),"Go")</f>
        <v>Go</v>
      </c>
      <c r="F2778" s="9" t="str">
        <f>IFERROR(__xludf.DUMMYFUNCTION("""COMPUTED_VALUE"""),"HTML/CSS")</f>
        <v>HTML/CSS</v>
      </c>
      <c r="G2778" s="9" t="str">
        <f>IFERROR(__xludf.DUMMYFUNCTION("""COMPUTED_VALUE"""),"TypeScript")</f>
        <v>TypeScript</v>
      </c>
      <c r="H2778" s="9" t="str">
        <f>IFERROR(__xludf.DUMMYFUNCTION("""COMPUTED_VALUE"""),"SQL")</f>
        <v>SQL</v>
      </c>
      <c r="I2778" s="9" t="str">
        <f>IFERROR(__xludf.DUMMYFUNCTION("""COMPUTED_VALUE"""),"C++")</f>
        <v>C++</v>
      </c>
      <c r="J2778" s="9" t="str">
        <f>IFERROR(__xludf.DUMMYFUNCTION("""COMPUTED_VALUE"""),"PHP")</f>
        <v>PHP</v>
      </c>
      <c r="K2778" s="9" t="str">
        <f>IFERROR(__xludf.DUMMYFUNCTION("""COMPUTED_VALUE"""),"JavaScript")</f>
        <v>JavaScript</v>
      </c>
      <c r="L2778" s="9" t="str">
        <f>IFERROR(__xludf.DUMMYFUNCTION("""COMPUTED_VALUE"""),"PHP")</f>
        <v>PHP</v>
      </c>
      <c r="M2778" s="9" t="s">
        <v>22</v>
      </c>
    </row>
    <row r="2779" ht="15.75" customHeight="1">
      <c r="A2779" s="7"/>
      <c r="B2779" s="7" t="str">
        <f>IFERROR(__xludf.DUMMYFUNCTION("""COMPUTED_VALUE"""),"Assembly;Bash/Shell/PowerShell;C;C++;C#;HTML/CSS;Java;Kotlin;PHP;SQL;Swift")</f>
        <v>Assembly;Bash/Shell/PowerShell;C;C++;C#;HTML/CSS;Java;Kotlin;PHP;SQL;Swift</v>
      </c>
      <c r="C2779" s="9" t="str">
        <f>IFERROR(__xludf.DUMMYFUNCTION("""COMPUTED_VALUE"""),"Assembly")</f>
        <v>Assembly</v>
      </c>
      <c r="D2779" s="9" t="str">
        <f>IFERROR(__xludf.DUMMYFUNCTION("""COMPUTED_VALUE"""),"Java")</f>
        <v>Java</v>
      </c>
      <c r="E2779" s="9" t="str">
        <f>IFERROR(__xludf.DUMMYFUNCTION("""COMPUTED_VALUE"""),"HTML/CSS")</f>
        <v>HTML/CSS</v>
      </c>
      <c r="F2779" s="9" t="str">
        <f>IFERROR(__xludf.DUMMYFUNCTION("""COMPUTED_VALUE"""),"Assembly")</f>
        <v>Assembly</v>
      </c>
      <c r="G2779" s="9" t="str">
        <f>IFERROR(__xludf.DUMMYFUNCTION("""COMPUTED_VALUE"""),"C")</f>
        <v>C</v>
      </c>
      <c r="H2779" s="9" t="str">
        <f>IFERROR(__xludf.DUMMYFUNCTION("""COMPUTED_VALUE"""),"Bash/Shell/PowerShell")</f>
        <v>Bash/Shell/PowerShell</v>
      </c>
      <c r="I2779" s="9" t="str">
        <f>IFERROR(__xludf.DUMMYFUNCTION("""COMPUTED_VALUE"""),"JavaScript")</f>
        <v>JavaScript</v>
      </c>
      <c r="J2779" s="9" t="str">
        <f>IFERROR(__xludf.DUMMYFUNCTION("""COMPUTED_VALUE"""),"Python")</f>
        <v>Python</v>
      </c>
      <c r="K2779" s="9" t="str">
        <f>IFERROR(__xludf.DUMMYFUNCTION("""COMPUTED_VALUE"""),"SQL")</f>
        <v>SQL</v>
      </c>
      <c r="L2779" s="9" t="str">
        <f>IFERROR(__xludf.DUMMYFUNCTION("""COMPUTED_VALUE"""),"SQL")</f>
        <v>SQL</v>
      </c>
      <c r="M2779" s="9" t="s">
        <v>38</v>
      </c>
    </row>
    <row r="2780" ht="15.75" customHeight="1">
      <c r="A2780" s="7"/>
      <c r="B2780" s="7" t="str">
        <f>IFERROR(__xludf.DUMMYFUNCTION("""COMPUTED_VALUE"""),"Bash/Shell/PowerShell;C;HTML/CSS;JavaScript;Python")</f>
        <v>Bash/Shell/PowerShell;C;HTML/CSS;JavaScript;Python</v>
      </c>
      <c r="C2780" s="9" t="str">
        <f>IFERROR(__xludf.DUMMYFUNCTION("""COMPUTED_VALUE"""),"Bash/Shell/PowerShell")</f>
        <v>Bash/Shell/PowerShell</v>
      </c>
      <c r="D2780" s="9" t="str">
        <f>IFERROR(__xludf.DUMMYFUNCTION("""COMPUTED_VALUE"""),"JavaScript")</f>
        <v>JavaScript</v>
      </c>
      <c r="E2780" s="9" t="str">
        <f>IFERROR(__xludf.DUMMYFUNCTION("""COMPUTED_VALUE"""),"Java")</f>
        <v>Java</v>
      </c>
      <c r="F2780" s="9" t="str">
        <f>IFERROR(__xludf.DUMMYFUNCTION("""COMPUTED_VALUE"""),"C")</f>
        <v>C</v>
      </c>
      <c r="G2780" s="9" t="str">
        <f>IFERROR(__xludf.DUMMYFUNCTION("""COMPUTED_VALUE"""),"C++")</f>
        <v>C++</v>
      </c>
      <c r="H2780" s="9" t="str">
        <f>IFERROR(__xludf.DUMMYFUNCTION("""COMPUTED_VALUE"""),"Java")</f>
        <v>Java</v>
      </c>
      <c r="I2780" s="9" t="str">
        <f>IFERROR(__xludf.DUMMYFUNCTION("""COMPUTED_VALUE"""),"Rust")</f>
        <v>Rust</v>
      </c>
      <c r="J2780" s="9" t="str">
        <f>IFERROR(__xludf.DUMMYFUNCTION("""COMPUTED_VALUE"""),"Ruby")</f>
        <v>Ruby</v>
      </c>
      <c r="K2780" s="9" t="str">
        <f>IFERROR(__xludf.DUMMYFUNCTION("""COMPUTED_VALUE"""),"TypeScript")</f>
        <v>TypeScript</v>
      </c>
      <c r="L2780" s="9" t="str">
        <f>IFERROR(__xludf.DUMMYFUNCTION("""COMPUTED_VALUE"""),"Bash/Shell/PowerShell")</f>
        <v>Bash/Shell/PowerShell</v>
      </c>
      <c r="M2780" s="9" t="s">
        <v>30</v>
      </c>
    </row>
    <row r="2781" ht="15.75" customHeight="1">
      <c r="A2781" s="7"/>
      <c r="B2781" s="7" t="str">
        <f>IFERROR(__xludf.DUMMYFUNCTION("""COMPUTED_VALUE"""),"Bash/Shell/PowerShell;C++;C#;HTML/CSS;JavaScript;PHP;Python;SQL;TypeScript")</f>
        <v>Bash/Shell/PowerShell;C++;C#;HTML/CSS;JavaScript;PHP;Python;SQL;TypeScript</v>
      </c>
      <c r="C2781" s="9" t="str">
        <f>IFERROR(__xludf.DUMMYFUNCTION("""COMPUTED_VALUE"""),"C")</f>
        <v>C</v>
      </c>
      <c r="D2781" s="9" t="str">
        <f>IFERROR(__xludf.DUMMYFUNCTION("""COMPUTED_VALUE"""),"PHP")</f>
        <v>PHP</v>
      </c>
      <c r="E2781" s="9" t="str">
        <f>IFERROR(__xludf.DUMMYFUNCTION("""COMPUTED_VALUE"""),"JavaScript")</f>
        <v>JavaScript</v>
      </c>
      <c r="F2781" s="9" t="str">
        <f>IFERROR(__xludf.DUMMYFUNCTION("""COMPUTED_VALUE"""),"HTML/CSS")</f>
        <v>HTML/CSS</v>
      </c>
      <c r="G2781" s="9" t="str">
        <f>IFERROR(__xludf.DUMMYFUNCTION("""COMPUTED_VALUE"""),"Java")</f>
        <v>Java</v>
      </c>
      <c r="H2781" s="9" t="str">
        <f>IFERROR(__xludf.DUMMYFUNCTION("""COMPUTED_VALUE"""),"JavaScript")</f>
        <v>JavaScript</v>
      </c>
      <c r="I2781" s="9" t="str">
        <f>IFERROR(__xludf.DUMMYFUNCTION("""COMPUTED_VALUE"""),"SQL")</f>
        <v>SQL</v>
      </c>
      <c r="J2781" s="9" t="str">
        <f>IFERROR(__xludf.DUMMYFUNCTION("""COMPUTED_VALUE"""),"SQL")</f>
        <v>SQL</v>
      </c>
      <c r="K2781" s="9" t="str">
        <f>IFERROR(__xludf.DUMMYFUNCTION("""COMPUTED_VALUE"""),"C#")</f>
        <v>C#</v>
      </c>
      <c r="L2781" s="9" t="str">
        <f>IFERROR(__xludf.DUMMYFUNCTION("""COMPUTED_VALUE"""),"C#")</f>
        <v>C#</v>
      </c>
      <c r="M2781" s="9" t="s">
        <v>25</v>
      </c>
    </row>
    <row r="2782" ht="15.75" customHeight="1">
      <c r="A2782" s="7"/>
      <c r="B2782" s="7" t="str">
        <f>IFERROR(__xludf.DUMMYFUNCTION("""COMPUTED_VALUE"""),"Bash/Shell/PowerShell;C;C++;C#;Python")</f>
        <v>Bash/Shell/PowerShell;C;C++;C#;Python</v>
      </c>
      <c r="C2782" s="9" t="str">
        <f>IFERROR(__xludf.DUMMYFUNCTION("""COMPUTED_VALUE"""),"C++")</f>
        <v>C++</v>
      </c>
      <c r="D2782" s="9" t="str">
        <f>IFERROR(__xludf.DUMMYFUNCTION("""COMPUTED_VALUE"""),"Python")</f>
        <v>Python</v>
      </c>
      <c r="E2782" s="9" t="str">
        <f>IFERROR(__xludf.DUMMYFUNCTION("""COMPUTED_VALUE"""),"Python")</f>
        <v>Python</v>
      </c>
      <c r="F2782" s="9" t="str">
        <f>IFERROR(__xludf.DUMMYFUNCTION("""COMPUTED_VALUE"""),"Java")</f>
        <v>Java</v>
      </c>
      <c r="G2782" s="9" t="str">
        <f>IFERROR(__xludf.DUMMYFUNCTION("""COMPUTED_VALUE"""),"Kotlin")</f>
        <v>Kotlin</v>
      </c>
      <c r="H2782" s="9" t="str">
        <f>IFERROR(__xludf.DUMMYFUNCTION("""COMPUTED_VALUE"""),"SQL")</f>
        <v>SQL</v>
      </c>
      <c r="I2782" s="9" t="str">
        <f>IFERROR(__xludf.DUMMYFUNCTION("""COMPUTED_VALUE"""),"TypeScript")</f>
        <v>TypeScript</v>
      </c>
      <c r="J2782" s="9" t="str">
        <f>IFERROR(__xludf.DUMMYFUNCTION("""COMPUTED_VALUE"""),"Java")</f>
        <v>Java</v>
      </c>
      <c r="K2782" s="9" t="str">
        <f>IFERROR(__xludf.DUMMYFUNCTION("""COMPUTED_VALUE"""),"HTML/CSS")</f>
        <v>HTML/CSS</v>
      </c>
      <c r="L2782" s="9" t="str">
        <f>IFERROR(__xludf.DUMMYFUNCTION("""COMPUTED_VALUE"""),"HTML/CSS")</f>
        <v>HTML/CSS</v>
      </c>
      <c r="M2782" s="9" t="s">
        <v>23</v>
      </c>
    </row>
    <row r="2783" ht="15.75" customHeight="1">
      <c r="A2783" s="7"/>
      <c r="B2783" s="7" t="str">
        <f>IFERROR(__xludf.DUMMYFUNCTION("""COMPUTED_VALUE"""),"Assembly;Bash/Shell/PowerShell;C;C++;HTML/CSS;JavaScript;PHP;Python;SQL")</f>
        <v>Assembly;Bash/Shell/PowerShell;C;C++;HTML/CSS;JavaScript;PHP;Python;SQL</v>
      </c>
      <c r="C2783" s="9" t="str">
        <f>IFERROR(__xludf.DUMMYFUNCTION("""COMPUTED_VALUE"""),"Erlang")</f>
        <v>Erlang</v>
      </c>
      <c r="D2783" s="9" t="str">
        <f>IFERROR(__xludf.DUMMYFUNCTION("""COMPUTED_VALUE"""),"SQL")</f>
        <v>SQL</v>
      </c>
      <c r="E2783" s="9" t="str">
        <f>IFERROR(__xludf.DUMMYFUNCTION("""COMPUTED_VALUE"""),"SQL")</f>
        <v>SQL</v>
      </c>
      <c r="F2783" s="9" t="str">
        <f>IFERROR(__xludf.DUMMYFUNCTION("""COMPUTED_VALUE"""),"C")</f>
        <v>C</v>
      </c>
      <c r="G2783" s="9" t="str">
        <f>IFERROR(__xludf.DUMMYFUNCTION("""COMPUTED_VALUE"""),"Java")</f>
        <v>Java</v>
      </c>
      <c r="H2783" s="9" t="str">
        <f>IFERROR(__xludf.DUMMYFUNCTION("""COMPUTED_VALUE"""),"Bash/Shell/PowerShell")</f>
        <v>Bash/Shell/PowerShell</v>
      </c>
      <c r="I2783" s="9" t="str">
        <f>IFERROR(__xludf.DUMMYFUNCTION("""COMPUTED_VALUE"""),"HTML/CSS")</f>
        <v>HTML/CSS</v>
      </c>
      <c r="J2783" s="9" t="str">
        <f>IFERROR(__xludf.DUMMYFUNCTION("""COMPUTED_VALUE"""),"JavaScript")</f>
        <v>JavaScript</v>
      </c>
      <c r="K2783" s="9" t="str">
        <f>IFERROR(__xludf.DUMMYFUNCTION("""COMPUTED_VALUE"""),"JavaScript")</f>
        <v>JavaScript</v>
      </c>
      <c r="L2783" s="9" t="str">
        <f>IFERROR(__xludf.DUMMYFUNCTION("""COMPUTED_VALUE"""),"JavaScript")</f>
        <v>JavaScript</v>
      </c>
      <c r="M2783" s="9" t="s">
        <v>43</v>
      </c>
    </row>
    <row r="2784" ht="15.75" customHeight="1">
      <c r="A2784" s="7"/>
      <c r="B2784" s="7" t="str">
        <f>IFERROR(__xludf.DUMMYFUNCTION("""COMPUTED_VALUE"""),"Java;Python;Ruby")</f>
        <v>Java;Python;Ruby</v>
      </c>
      <c r="C2784" s="9" t="str">
        <f>IFERROR(__xludf.DUMMYFUNCTION("""COMPUTED_VALUE"""),"R")</f>
        <v>R</v>
      </c>
      <c r="D2784" s="9" t="str">
        <f>IFERROR(__xludf.DUMMYFUNCTION("""COMPUTED_VALUE"""),"VBA")</f>
        <v>VBA</v>
      </c>
      <c r="E2784" s="9" t="str">
        <f>IFERROR(__xludf.DUMMYFUNCTION("""COMPUTED_VALUE"""),"Swift")</f>
        <v>Swift</v>
      </c>
      <c r="F2784" s="9" t="str">
        <f>IFERROR(__xludf.DUMMYFUNCTION("""COMPUTED_VALUE"""),"C++")</f>
        <v>C++</v>
      </c>
      <c r="G2784" s="9" t="str">
        <f>IFERROR(__xludf.DUMMYFUNCTION("""COMPUTED_VALUE"""),"HTML/CSS")</f>
        <v>HTML/CSS</v>
      </c>
      <c r="H2784" s="9" t="str">
        <f>IFERROR(__xludf.DUMMYFUNCTION("""COMPUTED_VALUE"""),"C#")</f>
        <v>C#</v>
      </c>
      <c r="I2784" s="9" t="str">
        <f>IFERROR(__xludf.DUMMYFUNCTION("""COMPUTED_VALUE"""),"JavaScript")</f>
        <v>JavaScript</v>
      </c>
      <c r="J2784" s="9" t="str">
        <f>IFERROR(__xludf.DUMMYFUNCTION("""COMPUTED_VALUE"""),"Python")</f>
        <v>Python</v>
      </c>
      <c r="K2784" s="9" t="str">
        <f>IFERROR(__xludf.DUMMYFUNCTION("""COMPUTED_VALUE"""),"SQL")</f>
        <v>SQL</v>
      </c>
      <c r="L2784" s="9" t="str">
        <f>IFERROR(__xludf.DUMMYFUNCTION("""COMPUTED_VALUE"""),"PHP")</f>
        <v>PHP</v>
      </c>
      <c r="M2784" s="9" t="s">
        <v>29</v>
      </c>
    </row>
    <row r="2785" ht="15.75" customHeight="1">
      <c r="A2785" s="7"/>
      <c r="B2785" s="7" t="str">
        <f>IFERROR(__xludf.DUMMYFUNCTION("""COMPUTED_VALUE"""),"HTML/CSS;JavaScript;Python;TypeScript")</f>
        <v>HTML/CSS;JavaScript;Python;TypeScript</v>
      </c>
      <c r="C2785" s="9" t="str">
        <f>IFERROR(__xludf.DUMMYFUNCTION("""COMPUTED_VALUE"""),"Rust")</f>
        <v>Rust</v>
      </c>
      <c r="D2785" s="9" t="str">
        <f>IFERROR(__xludf.DUMMYFUNCTION("""COMPUTED_VALUE"""),"HTML/CSS")</f>
        <v>HTML/CSS</v>
      </c>
      <c r="E2785" s="9" t="str">
        <f>IFERROR(__xludf.DUMMYFUNCTION("""COMPUTED_VALUE"""),"TypeScript")</f>
        <v>TypeScript</v>
      </c>
      <c r="F2785" s="9" t="str">
        <f>IFERROR(__xludf.DUMMYFUNCTION("""COMPUTED_VALUE"""),"HTML/CSS")</f>
        <v>HTML/CSS</v>
      </c>
      <c r="G2785" s="9" t="str">
        <f>IFERROR(__xludf.DUMMYFUNCTION("""COMPUTED_VALUE"""),"R")</f>
        <v>R</v>
      </c>
      <c r="H2785" s="9" t="str">
        <f>IFERROR(__xludf.DUMMYFUNCTION("""COMPUTED_VALUE"""),"HTML/CSS")</f>
        <v>HTML/CSS</v>
      </c>
      <c r="I2785" s="9" t="str">
        <f>IFERROR(__xludf.DUMMYFUNCTION("""COMPUTED_VALUE"""),"SQL")</f>
        <v>SQL</v>
      </c>
      <c r="J2785" s="9" t="str">
        <f>IFERROR(__xludf.DUMMYFUNCTION("""COMPUTED_VALUE"""),"Bash/Shell/PowerShell")</f>
        <v>Bash/Shell/PowerShell</v>
      </c>
      <c r="K2785" s="9" t="str">
        <f>IFERROR(__xludf.DUMMYFUNCTION("""COMPUTED_VALUE"""),"Bash/Shell/PowerShell")</f>
        <v>Bash/Shell/PowerShell</v>
      </c>
      <c r="L2785" s="9" t="str">
        <f>IFERROR(__xludf.DUMMYFUNCTION("""COMPUTED_VALUE"""),"Python")</f>
        <v>Python</v>
      </c>
      <c r="M2785" s="9" t="s">
        <v>32</v>
      </c>
    </row>
    <row r="2786" ht="15.75" customHeight="1">
      <c r="A2786" s="7"/>
      <c r="B2786" s="7" t="str">
        <f>IFERROR(__xludf.DUMMYFUNCTION("""COMPUTED_VALUE"""),"Bash/Shell/PowerShell;Go;HTML/CSS;Java;JavaScript;Kotlin;PHP;Python;Ruby;SQL")</f>
        <v>Bash/Shell/PowerShell;Go;HTML/CSS;Java;JavaScript;Kotlin;PHP;Python;Ruby;SQL</v>
      </c>
      <c r="C2786" s="9" t="str">
        <f>IFERROR(__xludf.DUMMYFUNCTION("""COMPUTED_VALUE"""),"Scala")</f>
        <v>Scala</v>
      </c>
      <c r="D2786" s="9" t="str">
        <f>IFERROR(__xludf.DUMMYFUNCTION("""COMPUTED_VALUE"""),"Java")</f>
        <v>Java</v>
      </c>
      <c r="E2786" s="9" t="str">
        <f>IFERROR(__xludf.DUMMYFUNCTION("""COMPUTED_VALUE"""),"C#")</f>
        <v>C#</v>
      </c>
      <c r="F2786" s="9" t="str">
        <f>IFERROR(__xludf.DUMMYFUNCTION("""COMPUTED_VALUE"""),"Java")</f>
        <v>Java</v>
      </c>
      <c r="G2786" s="9" t="str">
        <f>IFERROR(__xludf.DUMMYFUNCTION("""COMPUTED_VALUE"""),"Other(s):")</f>
        <v>Other(s):</v>
      </c>
      <c r="H2786" s="9" t="str">
        <f>IFERROR(__xludf.DUMMYFUNCTION("""COMPUTED_VALUE"""),"Java")</f>
        <v>Java</v>
      </c>
      <c r="I2786" s="9" t="str">
        <f>IFERROR(__xludf.DUMMYFUNCTION("""COMPUTED_VALUE"""),"Other(s):")</f>
        <v>Other(s):</v>
      </c>
      <c r="J2786" s="9" t="str">
        <f>IFERROR(__xludf.DUMMYFUNCTION("""COMPUTED_VALUE"""),"HTML/CSS")</f>
        <v>HTML/CSS</v>
      </c>
      <c r="K2786" s="9" t="str">
        <f>IFERROR(__xludf.DUMMYFUNCTION("""COMPUTED_VALUE"""),"C")</f>
        <v>C</v>
      </c>
      <c r="L2786" s="9" t="str">
        <f>IFERROR(__xludf.DUMMYFUNCTION("""COMPUTED_VALUE"""),"Ruby")</f>
        <v>Ruby</v>
      </c>
      <c r="M2786" s="9" t="s">
        <v>46</v>
      </c>
    </row>
    <row r="2787" ht="15.75" customHeight="1">
      <c r="A2787" s="7"/>
      <c r="B2787" s="7" t="str">
        <f>IFERROR(__xludf.DUMMYFUNCTION("""COMPUTED_VALUE"""),"Bash/Shell/PowerShell;C#;HTML/CSS;JavaScript;Python;R;SQL")</f>
        <v>Bash/Shell/PowerShell;C#;HTML/CSS;JavaScript;Python;R;SQL</v>
      </c>
      <c r="C2787" s="9" t="str">
        <f>IFERROR(__xludf.DUMMYFUNCTION("""COMPUTED_VALUE"""),"Assembly")</f>
        <v>Assembly</v>
      </c>
      <c r="D2787" s="9" t="str">
        <f>IFERROR(__xludf.DUMMYFUNCTION("""COMPUTED_VALUE"""),"JavaScript")</f>
        <v>JavaScript</v>
      </c>
      <c r="E2787" s="9" t="str">
        <f>IFERROR(__xludf.DUMMYFUNCTION("""COMPUTED_VALUE"""),"C++")</f>
        <v>C++</v>
      </c>
      <c r="F2787" s="9" t="str">
        <f>IFERROR(__xludf.DUMMYFUNCTION("""COMPUTED_VALUE"""),"JavaScript")</f>
        <v>JavaScript</v>
      </c>
      <c r="G2787" s="9" t="str">
        <f>IFERROR(__xludf.DUMMYFUNCTION("""COMPUTED_VALUE"""),"Assembly")</f>
        <v>Assembly</v>
      </c>
      <c r="H2787" s="9" t="str">
        <f>IFERROR(__xludf.DUMMYFUNCTION("""COMPUTED_VALUE"""),"JavaScript")</f>
        <v>JavaScript</v>
      </c>
      <c r="I2787" s="9" t="str">
        <f>IFERROR(__xludf.DUMMYFUNCTION("""COMPUTED_VALUE"""),"Python")</f>
        <v>Python</v>
      </c>
      <c r="J2787" s="9" t="str">
        <f>IFERROR(__xludf.DUMMYFUNCTION("""COMPUTED_VALUE"""),"JavaScript")</f>
        <v>JavaScript</v>
      </c>
      <c r="K2787" s="9" t="str">
        <f>IFERROR(__xludf.DUMMYFUNCTION("""COMPUTED_VALUE"""),"C++")</f>
        <v>C++</v>
      </c>
      <c r="L2787" s="9" t="str">
        <f>IFERROR(__xludf.DUMMYFUNCTION("""COMPUTED_VALUE"""),"SQL")</f>
        <v>SQL</v>
      </c>
      <c r="M2787" s="9" t="s">
        <v>38</v>
      </c>
    </row>
    <row r="2788" ht="15.75" customHeight="1">
      <c r="A2788" s="7"/>
      <c r="B2788" s="7" t="str">
        <f>IFERROR(__xludf.DUMMYFUNCTION("""COMPUTED_VALUE"""),"JavaScript;TypeScript")</f>
        <v>JavaScript;TypeScript</v>
      </c>
      <c r="C2788" s="9" t="str">
        <f>IFERROR(__xludf.DUMMYFUNCTION("""COMPUTED_VALUE"""),"C")</f>
        <v>C</v>
      </c>
      <c r="D2788" s="9" t="str">
        <f>IFERROR(__xludf.DUMMYFUNCTION("""COMPUTED_VALUE"""),"Kotlin")</f>
        <v>Kotlin</v>
      </c>
      <c r="E2788" s="9" t="str">
        <f>IFERROR(__xludf.DUMMYFUNCTION("""COMPUTED_VALUE"""),"HTML/CSS")</f>
        <v>HTML/CSS</v>
      </c>
      <c r="F2788" s="9" t="str">
        <f>IFERROR(__xludf.DUMMYFUNCTION("""COMPUTED_VALUE"""),"SQL")</f>
        <v>SQL</v>
      </c>
      <c r="G2788" s="9" t="str">
        <f>IFERROR(__xludf.DUMMYFUNCTION("""COMPUTED_VALUE"""),"C")</f>
        <v>C</v>
      </c>
      <c r="H2788" s="9" t="str">
        <f>IFERROR(__xludf.DUMMYFUNCTION("""COMPUTED_VALUE"""),"SQL")</f>
        <v>SQL</v>
      </c>
      <c r="I2788" s="9" t="str">
        <f>IFERROR(__xludf.DUMMYFUNCTION("""COMPUTED_VALUE"""),"C++")</f>
        <v>C++</v>
      </c>
      <c r="J2788" s="9" t="str">
        <f>IFERROR(__xludf.DUMMYFUNCTION("""COMPUTED_VALUE"""),"PHP")</f>
        <v>PHP</v>
      </c>
      <c r="K2788" s="9" t="str">
        <f>IFERROR(__xludf.DUMMYFUNCTION("""COMPUTED_VALUE"""),"Go")</f>
        <v>Go</v>
      </c>
      <c r="L2788" s="9" t="str">
        <f>IFERROR(__xludf.DUMMYFUNCTION("""COMPUTED_VALUE"""),"TypeScript")</f>
        <v>TypeScript</v>
      </c>
      <c r="M2788" s="9" t="s">
        <v>25</v>
      </c>
    </row>
    <row r="2789" ht="15.75" customHeight="1">
      <c r="A2789" s="7"/>
      <c r="B2789" s="7" t="str">
        <f>IFERROR(__xludf.DUMMYFUNCTION("""COMPUTED_VALUE"""),"C;HTML/CSS;Java;JavaScript;Python;SQL")</f>
        <v>C;HTML/CSS;Java;JavaScript;Python;SQL</v>
      </c>
      <c r="C2789" s="9" t="str">
        <f>IFERROR(__xludf.DUMMYFUNCTION("""COMPUTED_VALUE"""),"C++")</f>
        <v>C++</v>
      </c>
      <c r="D2789" s="9" t="str">
        <f>IFERROR(__xludf.DUMMYFUNCTION("""COMPUTED_VALUE"""),"Python")</f>
        <v>Python</v>
      </c>
      <c r="E2789" s="9" t="str">
        <f>IFERROR(__xludf.DUMMYFUNCTION("""COMPUTED_VALUE"""),"Java")</f>
        <v>Java</v>
      </c>
      <c r="F2789" s="9" t="str">
        <f>IFERROR(__xludf.DUMMYFUNCTION("""COMPUTED_VALUE"""),"HTML/CSS")</f>
        <v>HTML/CSS</v>
      </c>
      <c r="G2789" s="9" t="str">
        <f>IFERROR(__xludf.DUMMYFUNCTION("""COMPUTED_VALUE"""),"C#")</f>
        <v>C#</v>
      </c>
      <c r="H2789" s="9" t="str">
        <f>IFERROR(__xludf.DUMMYFUNCTION("""COMPUTED_VALUE"""),"Bash/Shell/PowerShell")</f>
        <v>Bash/Shell/PowerShell</v>
      </c>
      <c r="I2789" s="9" t="str">
        <f>IFERROR(__xludf.DUMMYFUNCTION("""COMPUTED_VALUE"""),"HTML/CSS")</f>
        <v>HTML/CSS</v>
      </c>
      <c r="J2789" s="9" t="str">
        <f>IFERROR(__xludf.DUMMYFUNCTION("""COMPUTED_VALUE"""),"Python")</f>
        <v>Python</v>
      </c>
      <c r="K2789" s="9" t="str">
        <f>IFERROR(__xludf.DUMMYFUNCTION("""COMPUTED_VALUE"""),"HTML/CSS")</f>
        <v>HTML/CSS</v>
      </c>
      <c r="L2789" s="9" t="str">
        <f>IFERROR(__xludf.DUMMYFUNCTION("""COMPUTED_VALUE"""),"JavaScript")</f>
        <v>JavaScript</v>
      </c>
      <c r="M2789" s="9" t="s">
        <v>23</v>
      </c>
    </row>
    <row r="2790" ht="15.75" customHeight="1">
      <c r="A2790" s="7"/>
      <c r="B2790" s="7" t="str">
        <f>IFERROR(__xludf.DUMMYFUNCTION("""COMPUTED_VALUE"""),"C#;Java;Kotlin;Objective-C;Python;SQL;Swift")</f>
        <v>C#;Java;Kotlin;Objective-C;Python;SQL;Swift</v>
      </c>
      <c r="C2790" s="9" t="str">
        <f>IFERROR(__xludf.DUMMYFUNCTION("""COMPUTED_VALUE"""),"Java")</f>
        <v>Java</v>
      </c>
      <c r="D2790" s="9" t="str">
        <f>IFERROR(__xludf.DUMMYFUNCTION("""COMPUTED_VALUE"""),"TypeScript")</f>
        <v>TypeScript</v>
      </c>
      <c r="E2790" s="9" t="str">
        <f>IFERROR(__xludf.DUMMYFUNCTION("""COMPUTED_VALUE"""),"JavaScript")</f>
        <v>JavaScript</v>
      </c>
      <c r="F2790" s="9" t="str">
        <f>IFERROR(__xludf.DUMMYFUNCTION("""COMPUTED_VALUE"""),"Python")</f>
        <v>Python</v>
      </c>
      <c r="G2790" s="9" t="str">
        <f>IFERROR(__xludf.DUMMYFUNCTION("""COMPUTED_VALUE"""),"HTML/CSS")</f>
        <v>HTML/CSS</v>
      </c>
      <c r="H2790" s="9" t="str">
        <f>IFERROR(__xludf.DUMMYFUNCTION("""COMPUTED_VALUE"""),"Go")</f>
        <v>Go</v>
      </c>
      <c r="I2790" s="9" t="str">
        <f>IFERROR(__xludf.DUMMYFUNCTION("""COMPUTED_VALUE"""),"Java")</f>
        <v>Java</v>
      </c>
      <c r="J2790" s="9" t="str">
        <f>IFERROR(__xludf.DUMMYFUNCTION("""COMPUTED_VALUE"""),"Ruby")</f>
        <v>Ruby</v>
      </c>
      <c r="K2790" s="9" t="str">
        <f>IFERROR(__xludf.DUMMYFUNCTION("""COMPUTED_VALUE"""),"Java")</f>
        <v>Java</v>
      </c>
      <c r="L2790" s="9" t="str">
        <f>IFERROR(__xludf.DUMMYFUNCTION("""COMPUTED_VALUE"""),"Bash/Shell/PowerShell")</f>
        <v>Bash/Shell/PowerShell</v>
      </c>
      <c r="M2790" s="9" t="s">
        <v>20</v>
      </c>
    </row>
    <row r="2791" ht="15.75" customHeight="1">
      <c r="A2791" s="7"/>
      <c r="B2791" s="7" t="str">
        <f>IFERROR(__xludf.DUMMYFUNCTION("""COMPUTED_VALUE"""),"C#;JavaScript;SQL;TypeScript;VBA")</f>
        <v>C#;JavaScript;SQL;TypeScript;VBA</v>
      </c>
      <c r="C2791" s="9" t="str">
        <f>IFERROR(__xludf.DUMMYFUNCTION("""COMPUTED_VALUE"""),"JavaScript")</f>
        <v>JavaScript</v>
      </c>
      <c r="D2791" s="9" t="str">
        <f>IFERROR(__xludf.DUMMYFUNCTION("""COMPUTED_VALUE"""),"Bash/Shell/PowerShell")</f>
        <v>Bash/Shell/PowerShell</v>
      </c>
      <c r="E2791" s="9" t="str">
        <f>IFERROR(__xludf.DUMMYFUNCTION("""COMPUTED_VALUE"""),"Scala")</f>
        <v>Scala</v>
      </c>
      <c r="F2791" s="9" t="str">
        <f>IFERROR(__xludf.DUMMYFUNCTION("""COMPUTED_VALUE"""),"Java")</f>
        <v>Java</v>
      </c>
      <c r="G2791" s="9" t="str">
        <f>IFERROR(__xludf.DUMMYFUNCTION("""COMPUTED_VALUE"""),"Java")</f>
        <v>Java</v>
      </c>
      <c r="H2791" s="9" t="str">
        <f>IFERROR(__xludf.DUMMYFUNCTION("""COMPUTED_VALUE"""),"HTML/CSS")</f>
        <v>HTML/CSS</v>
      </c>
      <c r="I2791" s="9" t="str">
        <f>IFERROR(__xludf.DUMMYFUNCTION("""COMPUTED_VALUE"""),"JavaScript")</f>
        <v>JavaScript</v>
      </c>
      <c r="J2791" s="9" t="str">
        <f>IFERROR(__xludf.DUMMYFUNCTION("""COMPUTED_VALUE"""),"Other(s):")</f>
        <v>Other(s):</v>
      </c>
      <c r="K2791" s="9" t="str">
        <f>IFERROR(__xludf.DUMMYFUNCTION("""COMPUTED_VALUE"""),"JavaScript")</f>
        <v>JavaScript</v>
      </c>
      <c r="L2791" s="9" t="str">
        <f>IFERROR(__xludf.DUMMYFUNCTION("""COMPUTED_VALUE"""),"C")</f>
        <v>C</v>
      </c>
      <c r="M2791" s="9" t="s">
        <v>21</v>
      </c>
    </row>
    <row r="2792" ht="15.75" customHeight="1">
      <c r="A2792" s="7"/>
      <c r="B2792" s="7" t="str">
        <f>IFERROR(__xludf.DUMMYFUNCTION("""COMPUTED_VALUE"""),"C#;F#")</f>
        <v>C#;F#</v>
      </c>
      <c r="C2792" s="9" t="str">
        <f>IFERROR(__xludf.DUMMYFUNCTION("""COMPUTED_VALUE"""),"Kotlin")</f>
        <v>Kotlin</v>
      </c>
      <c r="D2792" s="9" t="str">
        <f>IFERROR(__xludf.DUMMYFUNCTION("""COMPUTED_VALUE"""),"C#")</f>
        <v>C#</v>
      </c>
      <c r="E2792" s="9" t="str">
        <f>IFERROR(__xludf.DUMMYFUNCTION("""COMPUTED_VALUE"""),"TypeScript")</f>
        <v>TypeScript</v>
      </c>
      <c r="F2792" s="9" t="str">
        <f>IFERROR(__xludf.DUMMYFUNCTION("""COMPUTED_VALUE"""),"C++")</f>
        <v>C++</v>
      </c>
      <c r="G2792" s="9" t="str">
        <f>IFERROR(__xludf.DUMMYFUNCTION("""COMPUTED_VALUE"""),"JavaScript")</f>
        <v>JavaScript</v>
      </c>
      <c r="H2792" s="9" t="str">
        <f>IFERROR(__xludf.DUMMYFUNCTION("""COMPUTED_VALUE"""),"JavaScript")</f>
        <v>JavaScript</v>
      </c>
      <c r="I2792" s="9" t="str">
        <f>IFERROR(__xludf.DUMMYFUNCTION("""COMPUTED_VALUE"""),"PHP")</f>
        <v>PHP</v>
      </c>
      <c r="J2792" s="9" t="str">
        <f>IFERROR(__xludf.DUMMYFUNCTION("""COMPUTED_VALUE"""),"Assembly")</f>
        <v>Assembly</v>
      </c>
      <c r="K2792" s="9" t="str">
        <f>IFERROR(__xludf.DUMMYFUNCTION("""COMPUTED_VALUE"""),"PHP")</f>
        <v>PHP</v>
      </c>
      <c r="L2792" s="9" t="str">
        <f>IFERROR(__xludf.DUMMYFUNCTION("""COMPUTED_VALUE"""),"C++")</f>
        <v>C++</v>
      </c>
      <c r="M2792" s="9" t="s">
        <v>39</v>
      </c>
    </row>
    <row r="2793" ht="15.75" customHeight="1">
      <c r="A2793" s="7"/>
      <c r="B2793" s="7" t="str">
        <f>IFERROR(__xludf.DUMMYFUNCTION("""COMPUTED_VALUE"""),"Bash/Shell/PowerShell;HTML/CSS;JavaScript")</f>
        <v>Bash/Shell/PowerShell;HTML/CSS;JavaScript</v>
      </c>
      <c r="C2793" s="9" t="str">
        <f>IFERROR(__xludf.DUMMYFUNCTION("""COMPUTED_VALUE"""),"PHP")</f>
        <v>PHP</v>
      </c>
      <c r="D2793" s="9" t="str">
        <f>IFERROR(__xludf.DUMMYFUNCTION("""COMPUTED_VALUE"""),"HTML/CSS")</f>
        <v>HTML/CSS</v>
      </c>
      <c r="E2793" s="9" t="str">
        <f>IFERROR(__xludf.DUMMYFUNCTION("""COMPUTED_VALUE"""),"WebAssembly")</f>
        <v>WebAssembly</v>
      </c>
      <c r="F2793" s="9" t="str">
        <f>IFERROR(__xludf.DUMMYFUNCTION("""COMPUTED_VALUE"""),"Java")</f>
        <v>Java</v>
      </c>
      <c r="G2793" s="9" t="str">
        <f>IFERROR(__xludf.DUMMYFUNCTION("""COMPUTED_VALUE"""),"PHP")</f>
        <v>PHP</v>
      </c>
      <c r="H2793" s="9" t="str">
        <f>IFERROR(__xludf.DUMMYFUNCTION("""COMPUTED_VALUE"""),"Python")</f>
        <v>Python</v>
      </c>
      <c r="I2793" s="9" t="str">
        <f>IFERROR(__xludf.DUMMYFUNCTION("""COMPUTED_VALUE"""),"Python")</f>
        <v>Python</v>
      </c>
      <c r="J2793" s="9" t="str">
        <f>IFERROR(__xludf.DUMMYFUNCTION("""COMPUTED_VALUE"""),"Bash/Shell/PowerShell")</f>
        <v>Bash/Shell/PowerShell</v>
      </c>
      <c r="K2793" s="9" t="str">
        <f>IFERROR(__xludf.DUMMYFUNCTION("""COMPUTED_VALUE"""),"Python")</f>
        <v>Python</v>
      </c>
      <c r="L2793" s="9" t="str">
        <f>IFERROR(__xludf.DUMMYFUNCTION("""COMPUTED_VALUE"""),"HTML/CSS")</f>
        <v>HTML/CSS</v>
      </c>
      <c r="M2793" s="9" t="s">
        <v>37</v>
      </c>
    </row>
    <row r="2794" ht="15.75" customHeight="1">
      <c r="A2794" s="7"/>
      <c r="B2794" s="7" t="str">
        <f>IFERROR(__xludf.DUMMYFUNCTION("""COMPUTED_VALUE"""),"C;SQL")</f>
        <v>C;SQL</v>
      </c>
      <c r="C2794" s="9" t="str">
        <f>IFERROR(__xludf.DUMMYFUNCTION("""COMPUTED_VALUE"""),"Python")</f>
        <v>Python</v>
      </c>
      <c r="D2794" s="9" t="str">
        <f>IFERROR(__xludf.DUMMYFUNCTION("""COMPUTED_VALUE"""),"Java")</f>
        <v>Java</v>
      </c>
      <c r="E2794" s="9" t="str">
        <f>IFERROR(__xludf.DUMMYFUNCTION("""COMPUTED_VALUE"""),"Bash/Shell/PowerShell")</f>
        <v>Bash/Shell/PowerShell</v>
      </c>
      <c r="F2794" s="9" t="str">
        <f>IFERROR(__xludf.DUMMYFUNCTION("""COMPUTED_VALUE"""),"Python")</f>
        <v>Python</v>
      </c>
      <c r="G2794" s="9" t="str">
        <f>IFERROR(__xludf.DUMMYFUNCTION("""COMPUTED_VALUE"""),"SQL")</f>
        <v>SQL</v>
      </c>
      <c r="H2794" s="9" t="str">
        <f>IFERROR(__xludf.DUMMYFUNCTION("""COMPUTED_VALUE"""),"Bash/Shell/PowerShell")</f>
        <v>Bash/Shell/PowerShell</v>
      </c>
      <c r="I2794" s="9" t="str">
        <f>IFERROR(__xludf.DUMMYFUNCTION("""COMPUTED_VALUE"""),"SQL")</f>
        <v>SQL</v>
      </c>
      <c r="J2794" s="9" t="str">
        <f>IFERROR(__xludf.DUMMYFUNCTION("""COMPUTED_VALUE"""),"C")</f>
        <v>C</v>
      </c>
      <c r="K2794" s="9" t="str">
        <f>IFERROR(__xludf.DUMMYFUNCTION("""COMPUTED_VALUE"""),"R")</f>
        <v>R</v>
      </c>
      <c r="L2794" s="9" t="str">
        <f>IFERROR(__xludf.DUMMYFUNCTION("""COMPUTED_VALUE"""),"Java")</f>
        <v>Java</v>
      </c>
      <c r="M2794" s="9" t="s">
        <v>22</v>
      </c>
    </row>
    <row r="2795" ht="15.75" customHeight="1">
      <c r="A2795" s="7"/>
      <c r="B2795" s="7" t="str">
        <f>IFERROR(__xludf.DUMMYFUNCTION("""COMPUTED_VALUE"""),"C;C#;HTML/CSS;Java;JavaScript;Ruby;SQL;VBA")</f>
        <v>C;C#;HTML/CSS;Java;JavaScript;Ruby;SQL;VBA</v>
      </c>
      <c r="C2795" s="9" t="str">
        <f>IFERROR(__xludf.DUMMYFUNCTION("""COMPUTED_VALUE"""),"Rust")</f>
        <v>Rust</v>
      </c>
      <c r="D2795" s="9" t="str">
        <f>IFERROR(__xludf.DUMMYFUNCTION("""COMPUTED_VALUE"""),"JavaScript")</f>
        <v>JavaScript</v>
      </c>
      <c r="E2795" s="9" t="str">
        <f>IFERROR(__xludf.DUMMYFUNCTION("""COMPUTED_VALUE"""),"Python")</f>
        <v>Python</v>
      </c>
      <c r="F2795" s="9" t="str">
        <f>IFERROR(__xludf.DUMMYFUNCTION("""COMPUTED_VALUE"""),"SQL")</f>
        <v>SQL</v>
      </c>
      <c r="G2795" s="9" t="str">
        <f>IFERROR(__xludf.DUMMYFUNCTION("""COMPUTED_VALUE"""),"VBA")</f>
        <v>VBA</v>
      </c>
      <c r="H2795" s="9" t="str">
        <f>IFERROR(__xludf.DUMMYFUNCTION("""COMPUTED_VALUE"""),"C#")</f>
        <v>C#</v>
      </c>
      <c r="I2795" s="9" t="str">
        <f>IFERROR(__xludf.DUMMYFUNCTION("""COMPUTED_VALUE"""),"Python")</f>
        <v>Python</v>
      </c>
      <c r="J2795" s="9" t="str">
        <f>IFERROR(__xludf.DUMMYFUNCTION("""COMPUTED_VALUE"""),"C#")</f>
        <v>C#</v>
      </c>
      <c r="K2795" s="9" t="str">
        <f>IFERROR(__xludf.DUMMYFUNCTION("""COMPUTED_VALUE"""),"SQL")</f>
        <v>SQL</v>
      </c>
      <c r="L2795" s="9" t="str">
        <f>IFERROR(__xludf.DUMMYFUNCTION("""COMPUTED_VALUE"""),"JavaScript")</f>
        <v>JavaScript</v>
      </c>
      <c r="M2795" s="9" t="s">
        <v>32</v>
      </c>
    </row>
    <row r="2796" ht="15.75" customHeight="1">
      <c r="A2796" s="7"/>
      <c r="B2796" s="7" t="str">
        <f>IFERROR(__xludf.DUMMYFUNCTION("""COMPUTED_VALUE"""),"Bash/Shell/PowerShell;HTML/CSS;JavaScript;Python;SQL")</f>
        <v>Bash/Shell/PowerShell;HTML/CSS;JavaScript;Python;SQL</v>
      </c>
      <c r="C2796" s="9" t="str">
        <f>IFERROR(__xludf.DUMMYFUNCTION("""COMPUTED_VALUE"""),"SQL")</f>
        <v>SQL</v>
      </c>
      <c r="D2796" s="9" t="str">
        <f>IFERROR(__xludf.DUMMYFUNCTION("""COMPUTED_VALUE"""),"SQL")</f>
        <v>SQL</v>
      </c>
      <c r="E2796" s="9" t="str">
        <f>IFERROR(__xludf.DUMMYFUNCTION("""COMPUTED_VALUE"""),"HTML/CSS")</f>
        <v>HTML/CSS</v>
      </c>
      <c r="F2796" s="9" t="str">
        <f>IFERROR(__xludf.DUMMYFUNCTION("""COMPUTED_VALUE"""),"C#")</f>
        <v>C#</v>
      </c>
      <c r="G2796" s="9" t="str">
        <f>IFERROR(__xludf.DUMMYFUNCTION("""COMPUTED_VALUE"""),"C++")</f>
        <v>C++</v>
      </c>
      <c r="H2796" s="9" t="str">
        <f>IFERROR(__xludf.DUMMYFUNCTION("""COMPUTED_VALUE"""),"HTML/CSS")</f>
        <v>HTML/CSS</v>
      </c>
      <c r="I2796" s="9" t="str">
        <f>IFERROR(__xludf.DUMMYFUNCTION("""COMPUTED_VALUE"""),"HTML/CSS")</f>
        <v>HTML/CSS</v>
      </c>
      <c r="J2796" s="9" t="str">
        <f>IFERROR(__xludf.DUMMYFUNCTION("""COMPUTED_VALUE"""),"Clojure")</f>
        <v>Clojure</v>
      </c>
      <c r="K2796" s="9" t="str">
        <f>IFERROR(__xludf.DUMMYFUNCTION("""COMPUTED_VALUE"""),"HTML/CSS")</f>
        <v>HTML/CSS</v>
      </c>
      <c r="L2796" s="9" t="str">
        <f>IFERROR(__xludf.DUMMYFUNCTION("""COMPUTED_VALUE"""),"PHP")</f>
        <v>PHP</v>
      </c>
      <c r="M2796" s="9" t="s">
        <v>27</v>
      </c>
    </row>
    <row r="2797" ht="15.75" customHeight="1">
      <c r="A2797" s="7"/>
      <c r="B2797" s="7" t="str">
        <f>IFERROR(__xludf.DUMMYFUNCTION("""COMPUTED_VALUE"""),"HTML/CSS;JavaScript;SQL")</f>
        <v>HTML/CSS;JavaScript;SQL</v>
      </c>
      <c r="C2797" s="9" t="str">
        <f>IFERROR(__xludf.DUMMYFUNCTION("""COMPUTED_VALUE"""),"TypeScript")</f>
        <v>TypeScript</v>
      </c>
      <c r="D2797" s="9" t="str">
        <f>IFERROR(__xludf.DUMMYFUNCTION("""COMPUTED_VALUE"""),"TypeScript")</f>
        <v>TypeScript</v>
      </c>
      <c r="E2797" s="9" t="str">
        <f>IFERROR(__xludf.DUMMYFUNCTION("""COMPUTED_VALUE"""),"JavaScript")</f>
        <v>JavaScript</v>
      </c>
      <c r="F2797" s="9" t="str">
        <f>IFERROR(__xludf.DUMMYFUNCTION("""COMPUTED_VALUE"""),"Java")</f>
        <v>Java</v>
      </c>
      <c r="G2797" s="9" t="str">
        <f>IFERROR(__xludf.DUMMYFUNCTION("""COMPUTED_VALUE"""),"C#")</f>
        <v>C#</v>
      </c>
      <c r="H2797" s="9" t="str">
        <f>IFERROR(__xludf.DUMMYFUNCTION("""COMPUTED_VALUE"""),"Java")</f>
        <v>Java</v>
      </c>
      <c r="I2797" s="9" t="str">
        <f>IFERROR(__xludf.DUMMYFUNCTION("""COMPUTED_VALUE"""),"JavaScript")</f>
        <v>JavaScript</v>
      </c>
      <c r="J2797" s="9" t="str">
        <f>IFERROR(__xludf.DUMMYFUNCTION("""COMPUTED_VALUE"""),"HTML/CSS")</f>
        <v>HTML/CSS</v>
      </c>
      <c r="K2797" s="9" t="str">
        <f>IFERROR(__xludf.DUMMYFUNCTION("""COMPUTED_VALUE"""),"Java")</f>
        <v>Java</v>
      </c>
      <c r="L2797" s="9" t="str">
        <f>IFERROR(__xludf.DUMMYFUNCTION("""COMPUTED_VALUE"""),"Python")</f>
        <v>Python</v>
      </c>
      <c r="M2797" s="9" t="s">
        <v>33</v>
      </c>
    </row>
    <row r="2798" ht="15.75" customHeight="1">
      <c r="A2798" s="7"/>
      <c r="B2798" s="7" t="str">
        <f>IFERROR(__xludf.DUMMYFUNCTION("""COMPUTED_VALUE"""),"Bash/Shell/PowerShell;HTML/CSS;JavaScript")</f>
        <v>Bash/Shell/PowerShell;HTML/CSS;JavaScript</v>
      </c>
      <c r="C2798" s="9" t="str">
        <f>IFERROR(__xludf.DUMMYFUNCTION("""COMPUTED_VALUE"""),"Assembly")</f>
        <v>Assembly</v>
      </c>
      <c r="D2798" s="9" t="str">
        <f>IFERROR(__xludf.DUMMYFUNCTION("""COMPUTED_VALUE"""),"Java")</f>
        <v>Java</v>
      </c>
      <c r="E2798" s="9" t="str">
        <f>IFERROR(__xludf.DUMMYFUNCTION("""COMPUTED_VALUE"""),"Python")</f>
        <v>Python</v>
      </c>
      <c r="F2798" s="9" t="str">
        <f>IFERROR(__xludf.DUMMYFUNCTION("""COMPUTED_VALUE"""),"JavaScript")</f>
        <v>JavaScript</v>
      </c>
      <c r="G2798" s="9" t="str">
        <f>IFERROR(__xludf.DUMMYFUNCTION("""COMPUTED_VALUE"""),"HTML/CSS")</f>
        <v>HTML/CSS</v>
      </c>
      <c r="H2798" s="9" t="str">
        <f>IFERROR(__xludf.DUMMYFUNCTION("""COMPUTED_VALUE"""),"JavaScript")</f>
        <v>JavaScript</v>
      </c>
      <c r="I2798" s="9" t="str">
        <f>IFERROR(__xludf.DUMMYFUNCTION("""COMPUTED_VALUE"""),"PHP")</f>
        <v>PHP</v>
      </c>
      <c r="J2798" s="9" t="str">
        <f>IFERROR(__xludf.DUMMYFUNCTION("""COMPUTED_VALUE"""),"Java")</f>
        <v>Java</v>
      </c>
      <c r="K2798" s="9" t="str">
        <f>IFERROR(__xludf.DUMMYFUNCTION("""COMPUTED_VALUE"""),"JavaScript")</f>
        <v>JavaScript</v>
      </c>
      <c r="L2798" s="9" t="str">
        <f>IFERROR(__xludf.DUMMYFUNCTION("""COMPUTED_VALUE"""),"Swift")</f>
        <v>Swift</v>
      </c>
      <c r="M2798" s="9" t="s">
        <v>38</v>
      </c>
    </row>
    <row r="2799" ht="15.75" customHeight="1">
      <c r="A2799" s="7"/>
      <c r="B2799" s="7" t="str">
        <f>IFERROR(__xludf.DUMMYFUNCTION("""COMPUTED_VALUE"""),"Assembly;Bash/Shell/PowerShell;C")</f>
        <v>Assembly;Bash/Shell/PowerShell;C</v>
      </c>
      <c r="C2799" s="9" t="str">
        <f>IFERROR(__xludf.DUMMYFUNCTION("""COMPUTED_VALUE"""),"Bash/Shell/PowerShell")</f>
        <v>Bash/Shell/PowerShell</v>
      </c>
      <c r="D2799" s="9" t="str">
        <f>IFERROR(__xludf.DUMMYFUNCTION("""COMPUTED_VALUE"""),"JavaScript")</f>
        <v>JavaScript</v>
      </c>
      <c r="E2799" s="9" t="str">
        <f>IFERROR(__xludf.DUMMYFUNCTION("""COMPUTED_VALUE"""),"C#")</f>
        <v>C#</v>
      </c>
      <c r="F2799" s="9" t="str">
        <f>IFERROR(__xludf.DUMMYFUNCTION("""COMPUTED_VALUE"""),"Kotlin")</f>
        <v>Kotlin</v>
      </c>
      <c r="G2799" s="9" t="str">
        <f>IFERROR(__xludf.DUMMYFUNCTION("""COMPUTED_VALUE"""),"JavaScript")</f>
        <v>JavaScript</v>
      </c>
      <c r="H2799" s="9" t="str">
        <f>IFERROR(__xludf.DUMMYFUNCTION("""COMPUTED_VALUE"""),"SQL")</f>
        <v>SQL</v>
      </c>
      <c r="I2799" s="9" t="str">
        <f>IFERROR(__xludf.DUMMYFUNCTION("""COMPUTED_VALUE"""),"C#")</f>
        <v>C#</v>
      </c>
      <c r="J2799" s="9" t="str">
        <f>IFERROR(__xludf.DUMMYFUNCTION("""COMPUTED_VALUE"""),"JavaScript")</f>
        <v>JavaScript</v>
      </c>
      <c r="K2799" s="9" t="str">
        <f>IFERROR(__xludf.DUMMYFUNCTION("""COMPUTED_VALUE"""),"SQL")</f>
        <v>SQL</v>
      </c>
      <c r="L2799" s="9" t="str">
        <f>IFERROR(__xludf.DUMMYFUNCTION("""COMPUTED_VALUE"""),"C")</f>
        <v>C</v>
      </c>
      <c r="M2799" s="9" t="s">
        <v>30</v>
      </c>
    </row>
    <row r="2800" ht="15.75" customHeight="1">
      <c r="A2800" s="7"/>
      <c r="B2800" s="7" t="str">
        <f>IFERROR(__xludf.DUMMYFUNCTION("""COMPUTED_VALUE"""),"Bash/Shell/PowerShell;HTML/CSS;JavaScript;Ruby")</f>
        <v>Bash/Shell/PowerShell;HTML/CSS;JavaScript;Ruby</v>
      </c>
      <c r="C2800" s="9" t="str">
        <f>IFERROR(__xludf.DUMMYFUNCTION("""COMPUTED_VALUE"""),"C")</f>
        <v>C</v>
      </c>
      <c r="D2800" s="9" t="str">
        <f>IFERROR(__xludf.DUMMYFUNCTION("""COMPUTED_VALUE"""),"PHP")</f>
        <v>PHP</v>
      </c>
      <c r="E2800" s="9" t="str">
        <f>IFERROR(__xludf.DUMMYFUNCTION("""COMPUTED_VALUE"""),"Dart")</f>
        <v>Dart</v>
      </c>
      <c r="F2800" s="9" t="str">
        <f>IFERROR(__xludf.DUMMYFUNCTION("""COMPUTED_VALUE"""),"PHP")</f>
        <v>PHP</v>
      </c>
      <c r="G2800" s="9" t="str">
        <f>IFERROR(__xludf.DUMMYFUNCTION("""COMPUTED_VALUE"""),"PHP")</f>
        <v>PHP</v>
      </c>
      <c r="H2800" s="9" t="str">
        <f>IFERROR(__xludf.DUMMYFUNCTION("""COMPUTED_VALUE"""),"C#")</f>
        <v>C#</v>
      </c>
      <c r="I2800" s="9" t="str">
        <f>IFERROR(__xludf.DUMMYFUNCTION("""COMPUTED_VALUE"""),"Python")</f>
        <v>Python</v>
      </c>
      <c r="J2800" s="9" t="str">
        <f>IFERROR(__xludf.DUMMYFUNCTION("""COMPUTED_VALUE"""),"Python")</f>
        <v>Python</v>
      </c>
      <c r="K2800" s="9" t="str">
        <f>IFERROR(__xludf.DUMMYFUNCTION("""COMPUTED_VALUE"""),"Assembly")</f>
        <v>Assembly</v>
      </c>
      <c r="L2800" s="9" t="str">
        <f>IFERROR(__xludf.DUMMYFUNCTION("""COMPUTED_VALUE"""),"C++")</f>
        <v>C++</v>
      </c>
      <c r="M2800" s="9" t="s">
        <v>25</v>
      </c>
    </row>
    <row r="2801" ht="15.75" customHeight="1">
      <c r="A2801" s="7"/>
      <c r="B2801" s="7" t="str">
        <f>IFERROR(__xludf.DUMMYFUNCTION("""COMPUTED_VALUE"""),"HTML/CSS;Java;JavaScript;Python;R;SQL")</f>
        <v>HTML/CSS;Java;JavaScript;Python;R;SQL</v>
      </c>
      <c r="C2801" s="9" t="str">
        <f>IFERROR(__xludf.DUMMYFUNCTION("""COMPUTED_VALUE"""),"HTML/CSS")</f>
        <v>HTML/CSS</v>
      </c>
      <c r="D2801" s="9" t="str">
        <f>IFERROR(__xludf.DUMMYFUNCTION("""COMPUTED_VALUE"""),"SQL")</f>
        <v>SQL</v>
      </c>
      <c r="E2801" s="9" t="str">
        <f>IFERROR(__xludf.DUMMYFUNCTION("""COMPUTED_VALUE"""),"JavaScript")</f>
        <v>JavaScript</v>
      </c>
      <c r="F2801" s="9" t="str">
        <f>IFERROR(__xludf.DUMMYFUNCTION("""COMPUTED_VALUE"""),"SQL")</f>
        <v>SQL</v>
      </c>
      <c r="G2801" s="9" t="str">
        <f>IFERROR(__xludf.DUMMYFUNCTION("""COMPUTED_VALUE"""),"SQL")</f>
        <v>SQL</v>
      </c>
      <c r="H2801" s="9" t="str">
        <f>IFERROR(__xludf.DUMMYFUNCTION("""COMPUTED_VALUE"""),"HTML/CSS")</f>
        <v>HTML/CSS</v>
      </c>
      <c r="I2801" s="9" t="str">
        <f>IFERROR(__xludf.DUMMYFUNCTION("""COMPUTED_VALUE"""),"Other(s):")</f>
        <v>Other(s):</v>
      </c>
      <c r="J2801" s="9" t="str">
        <f>IFERROR(__xludf.DUMMYFUNCTION("""COMPUTED_VALUE"""),"Rust")</f>
        <v>Rust</v>
      </c>
      <c r="K2801" s="9" t="str">
        <f>IFERROR(__xludf.DUMMYFUNCTION("""COMPUTED_VALUE"""),"Bash/Shell/PowerShell")</f>
        <v>Bash/Shell/PowerShell</v>
      </c>
      <c r="L2801" s="9" t="str">
        <f>IFERROR(__xludf.DUMMYFUNCTION("""COMPUTED_VALUE"""),"HTML/CSS")</f>
        <v>HTML/CSS</v>
      </c>
      <c r="M2801" s="9" t="s">
        <v>24</v>
      </c>
    </row>
    <row r="2802" ht="15.75" customHeight="1">
      <c r="A2802" s="7"/>
      <c r="B2802" s="7" t="str">
        <f>IFERROR(__xludf.DUMMYFUNCTION("""COMPUTED_VALUE"""),"Bash/Shell/PowerShell;HTML/CSS;JavaScript")</f>
        <v>Bash/Shell/PowerShell;HTML/CSS;JavaScript</v>
      </c>
      <c r="C2802" s="9" t="str">
        <f>IFERROR(__xludf.DUMMYFUNCTION("""COMPUTED_VALUE"""),"PHP")</f>
        <v>PHP</v>
      </c>
      <c r="D2802" s="9" t="str">
        <f>IFERROR(__xludf.DUMMYFUNCTION("""COMPUTED_VALUE"""),"Java")</f>
        <v>Java</v>
      </c>
      <c r="E2802" s="9" t="str">
        <f>IFERROR(__xludf.DUMMYFUNCTION("""COMPUTED_VALUE"""),"Python")</f>
        <v>Python</v>
      </c>
      <c r="F2802" s="9" t="str">
        <f>IFERROR(__xludf.DUMMYFUNCTION("""COMPUTED_VALUE"""),"TypeScript")</f>
        <v>TypeScript</v>
      </c>
      <c r="G2802" s="9" t="str">
        <f>IFERROR(__xludf.DUMMYFUNCTION("""COMPUTED_VALUE"""),"Other(s):")</f>
        <v>Other(s):</v>
      </c>
      <c r="H2802" s="9" t="str">
        <f>IFERROR(__xludf.DUMMYFUNCTION("""COMPUTED_VALUE"""),"JavaScript")</f>
        <v>JavaScript</v>
      </c>
      <c r="I2802" s="9" t="str">
        <f>IFERROR(__xludf.DUMMYFUNCTION("""COMPUTED_VALUE"""),"Bash/Shell/PowerShell")</f>
        <v>Bash/Shell/PowerShell</v>
      </c>
      <c r="J2802" s="9" t="str">
        <f>IFERROR(__xludf.DUMMYFUNCTION("""COMPUTED_VALUE"""),"SQL")</f>
        <v>SQL</v>
      </c>
      <c r="K2802" s="9" t="str">
        <f>IFERROR(__xludf.DUMMYFUNCTION("""COMPUTED_VALUE"""),"C")</f>
        <v>C</v>
      </c>
      <c r="L2802" s="9" t="str">
        <f>IFERROR(__xludf.DUMMYFUNCTION("""COMPUTED_VALUE"""),"JavaScript")</f>
        <v>JavaScript</v>
      </c>
      <c r="M2802" s="9" t="s">
        <v>37</v>
      </c>
    </row>
    <row r="2803" ht="15.75" customHeight="1">
      <c r="A2803" s="7"/>
      <c r="B2803" s="7" t="str">
        <f>IFERROR(__xludf.DUMMYFUNCTION("""COMPUTED_VALUE"""),"HTML/CSS;JavaScript;PHP;SQL")</f>
        <v>HTML/CSS;JavaScript;PHP;SQL</v>
      </c>
      <c r="C2803" s="9" t="str">
        <f>IFERROR(__xludf.DUMMYFUNCTION("""COMPUTED_VALUE"""),"Python")</f>
        <v>Python</v>
      </c>
      <c r="D2803" s="9" t="str">
        <f>IFERROR(__xludf.DUMMYFUNCTION("""COMPUTED_VALUE"""),"JavaScript")</f>
        <v>JavaScript</v>
      </c>
      <c r="E2803" s="9" t="str">
        <f>IFERROR(__xludf.DUMMYFUNCTION("""COMPUTED_VALUE"""),"SQL")</f>
        <v>SQL</v>
      </c>
      <c r="F2803" s="9" t="str">
        <f>IFERROR(__xludf.DUMMYFUNCTION("""COMPUTED_VALUE"""),"HTML/CSS")</f>
        <v>HTML/CSS</v>
      </c>
      <c r="G2803" s="9" t="str">
        <f>IFERROR(__xludf.DUMMYFUNCTION("""COMPUTED_VALUE"""),"Bash/Shell/PowerShell")</f>
        <v>Bash/Shell/PowerShell</v>
      </c>
      <c r="H2803" s="9" t="str">
        <f>IFERROR(__xludf.DUMMYFUNCTION("""COMPUTED_VALUE"""),"Python")</f>
        <v>Python</v>
      </c>
      <c r="I2803" s="9" t="str">
        <f>IFERROR(__xludf.DUMMYFUNCTION("""COMPUTED_VALUE"""),"C#")</f>
        <v>C#</v>
      </c>
      <c r="J2803" s="9" t="str">
        <f>IFERROR(__xludf.DUMMYFUNCTION("""COMPUTED_VALUE"""),"C++")</f>
        <v>C++</v>
      </c>
      <c r="K2803" s="9" t="str">
        <f>IFERROR(__xludf.DUMMYFUNCTION("""COMPUTED_VALUE"""),"C++")</f>
        <v>C++</v>
      </c>
      <c r="L2803" s="9" t="str">
        <f>IFERROR(__xludf.DUMMYFUNCTION("""COMPUTED_VALUE"""),"Objective-C")</f>
        <v>Objective-C</v>
      </c>
      <c r="M2803" s="9" t="s">
        <v>22</v>
      </c>
    </row>
    <row r="2804" ht="15.75" customHeight="1">
      <c r="A2804" s="7"/>
      <c r="B2804" s="7" t="str">
        <f>IFERROR(__xludf.DUMMYFUNCTION("""COMPUTED_VALUE"""),"Bash/Shell/PowerShell;C++;Go;Java;Rust")</f>
        <v>Bash/Shell/PowerShell;C++;Go;Java;Rust</v>
      </c>
      <c r="C2804" s="9" t="str">
        <f>IFERROR(__xludf.DUMMYFUNCTION("""COMPUTED_VALUE"""),"SQL")</f>
        <v>SQL</v>
      </c>
      <c r="D2804" s="9" t="str">
        <f>IFERROR(__xludf.DUMMYFUNCTION("""COMPUTED_VALUE"""),"Python")</f>
        <v>Python</v>
      </c>
      <c r="E2804" s="9" t="str">
        <f>IFERROR(__xludf.DUMMYFUNCTION("""COMPUTED_VALUE"""),"TypeScript")</f>
        <v>TypeScript</v>
      </c>
      <c r="F2804" s="9" t="str">
        <f>IFERROR(__xludf.DUMMYFUNCTION("""COMPUTED_VALUE"""),"JavaScript")</f>
        <v>JavaScript</v>
      </c>
      <c r="G2804" s="9" t="str">
        <f>IFERROR(__xludf.DUMMYFUNCTION("""COMPUTED_VALUE"""),"HTML/CSS")</f>
        <v>HTML/CSS</v>
      </c>
      <c r="H2804" s="9" t="str">
        <f>IFERROR(__xludf.DUMMYFUNCTION("""COMPUTED_VALUE"""),"SQL")</f>
        <v>SQL</v>
      </c>
      <c r="I2804" s="9" t="str">
        <f>IFERROR(__xludf.DUMMYFUNCTION("""COMPUTED_VALUE"""),"Java")</f>
        <v>Java</v>
      </c>
      <c r="J2804" s="9" t="str">
        <f>IFERROR(__xludf.DUMMYFUNCTION("""COMPUTED_VALUE"""),"C#")</f>
        <v>C#</v>
      </c>
      <c r="K2804" s="9" t="str">
        <f>IFERROR(__xludf.DUMMYFUNCTION("""COMPUTED_VALUE"""),"C#")</f>
        <v>C#</v>
      </c>
      <c r="L2804" s="9" t="str">
        <f>IFERROR(__xludf.DUMMYFUNCTION("""COMPUTED_VALUE"""),"PHP")</f>
        <v>PHP</v>
      </c>
      <c r="M2804" s="9" t="s">
        <v>27</v>
      </c>
    </row>
    <row r="2805" ht="15.75" customHeight="1">
      <c r="A2805" s="7"/>
      <c r="B2805" s="7" t="str">
        <f>IFERROR(__xludf.DUMMYFUNCTION("""COMPUTED_VALUE"""),"C#;HTML/CSS;JavaScript;SQL")</f>
        <v>C#;HTML/CSS;JavaScript;SQL</v>
      </c>
      <c r="C2805" s="9" t="str">
        <f>IFERROR(__xludf.DUMMYFUNCTION("""COMPUTED_VALUE"""),"Bash/Shell/PowerShell")</f>
        <v>Bash/Shell/PowerShell</v>
      </c>
      <c r="D2805" s="9" t="str">
        <f>IFERROR(__xludf.DUMMYFUNCTION("""COMPUTED_VALUE"""),"Assembly")</f>
        <v>Assembly</v>
      </c>
      <c r="E2805" s="9" t="str">
        <f>IFERROR(__xludf.DUMMYFUNCTION("""COMPUTED_VALUE"""),"Java")</f>
        <v>Java</v>
      </c>
      <c r="F2805" s="9" t="str">
        <f>IFERROR(__xludf.DUMMYFUNCTION("""COMPUTED_VALUE"""),"PHP")</f>
        <v>PHP</v>
      </c>
      <c r="G2805" s="9" t="str">
        <f>IFERROR(__xludf.DUMMYFUNCTION("""COMPUTED_VALUE"""),"Java")</f>
        <v>Java</v>
      </c>
      <c r="H2805" s="9" t="str">
        <f>IFERROR(__xludf.DUMMYFUNCTION("""COMPUTED_VALUE"""),"Bash/Shell/PowerShell")</f>
        <v>Bash/Shell/PowerShell</v>
      </c>
      <c r="I2805" s="9" t="str">
        <f>IFERROR(__xludf.DUMMYFUNCTION("""COMPUTED_VALUE"""),"Java")</f>
        <v>Java</v>
      </c>
      <c r="J2805" s="9" t="str">
        <f>IFERROR(__xludf.DUMMYFUNCTION("""COMPUTED_VALUE"""),"Python")</f>
        <v>Python</v>
      </c>
      <c r="K2805" s="9" t="str">
        <f>IFERROR(__xludf.DUMMYFUNCTION("""COMPUTED_VALUE"""),"Clojure")</f>
        <v>Clojure</v>
      </c>
      <c r="L2805" s="9" t="str">
        <f>IFERROR(__xludf.DUMMYFUNCTION("""COMPUTED_VALUE"""),"SQL")</f>
        <v>SQL</v>
      </c>
      <c r="M2805" s="9" t="s">
        <v>30</v>
      </c>
    </row>
    <row r="2806" ht="15.75" customHeight="1">
      <c r="A2806" s="7"/>
      <c r="B2806" s="7" t="str">
        <f>IFERROR(__xludf.DUMMYFUNCTION("""COMPUTED_VALUE"""),"Go;Ruby;TypeScript")</f>
        <v>Go;Ruby;TypeScript</v>
      </c>
      <c r="C2806" s="9" t="str">
        <f>IFERROR(__xludf.DUMMYFUNCTION("""COMPUTED_VALUE"""),"HTML/CSS")</f>
        <v>HTML/CSS</v>
      </c>
      <c r="D2806" s="9" t="str">
        <f>IFERROR(__xludf.DUMMYFUNCTION("""COMPUTED_VALUE"""),"Bash/Shell/PowerShell")</f>
        <v>Bash/Shell/PowerShell</v>
      </c>
      <c r="E2806" s="9" t="str">
        <f>IFERROR(__xludf.DUMMYFUNCTION("""COMPUTED_VALUE"""),"HTML/CSS")</f>
        <v>HTML/CSS</v>
      </c>
      <c r="F2806" s="9" t="str">
        <f>IFERROR(__xludf.DUMMYFUNCTION("""COMPUTED_VALUE"""),"C")</f>
        <v>C</v>
      </c>
      <c r="G2806" s="9" t="str">
        <f>IFERROR(__xludf.DUMMYFUNCTION("""COMPUTED_VALUE"""),"JavaScript")</f>
        <v>JavaScript</v>
      </c>
      <c r="H2806" s="9" t="str">
        <f>IFERROR(__xludf.DUMMYFUNCTION("""COMPUTED_VALUE"""),"HTML/CSS")</f>
        <v>HTML/CSS</v>
      </c>
      <c r="I2806" s="9" t="str">
        <f>IFERROR(__xludf.DUMMYFUNCTION("""COMPUTED_VALUE"""),"JavaScript")</f>
        <v>JavaScript</v>
      </c>
      <c r="J2806" s="9" t="str">
        <f>IFERROR(__xludf.DUMMYFUNCTION("""COMPUTED_VALUE"""),"SQL")</f>
        <v>SQL</v>
      </c>
      <c r="K2806" s="9" t="str">
        <f>IFERROR(__xludf.DUMMYFUNCTION("""COMPUTED_VALUE"""),"Dart")</f>
        <v>Dart</v>
      </c>
      <c r="L2806" s="9" t="str">
        <f>IFERROR(__xludf.DUMMYFUNCTION("""COMPUTED_VALUE"""),"HTML/CSS")</f>
        <v>HTML/CSS</v>
      </c>
      <c r="M2806" s="9" t="s">
        <v>24</v>
      </c>
    </row>
    <row r="2807" ht="15.75" customHeight="1">
      <c r="A2807" s="7"/>
      <c r="B2807" s="7" t="str">
        <f>IFERROR(__xludf.DUMMYFUNCTION("""COMPUTED_VALUE"""),"Assembly;Bash/Shell/PowerShell;C;C++;C#;Go;HTML/CSS;Java;JavaScript;Kotlin;PHP;Python;SQL;VBA")</f>
        <v>Assembly;Bash/Shell/PowerShell;C;C++;C#;Go;HTML/CSS;Java;JavaScript;Kotlin;PHP;Python;SQL;VBA</v>
      </c>
      <c r="C2807" s="9" t="str">
        <f>IFERROR(__xludf.DUMMYFUNCTION("""COMPUTED_VALUE"""),"JavaScript")</f>
        <v>JavaScript</v>
      </c>
      <c r="D2807" s="9" t="str">
        <f>IFERROR(__xludf.DUMMYFUNCTION("""COMPUTED_VALUE"""),"C")</f>
        <v>C</v>
      </c>
      <c r="E2807" s="9" t="str">
        <f>IFERROR(__xludf.DUMMYFUNCTION("""COMPUTED_VALUE"""),"JavaScript")</f>
        <v>JavaScript</v>
      </c>
      <c r="F2807" s="9" t="str">
        <f>IFERROR(__xludf.DUMMYFUNCTION("""COMPUTED_VALUE"""),"C++")</f>
        <v>C++</v>
      </c>
      <c r="G2807" s="9" t="str">
        <f>IFERROR(__xludf.DUMMYFUNCTION("""COMPUTED_VALUE"""),"SQL")</f>
        <v>SQL</v>
      </c>
      <c r="H2807" s="9" t="str">
        <f>IFERROR(__xludf.DUMMYFUNCTION("""COMPUTED_VALUE"""),"JavaScript")</f>
        <v>JavaScript</v>
      </c>
      <c r="I2807" s="9" t="str">
        <f>IFERROR(__xludf.DUMMYFUNCTION("""COMPUTED_VALUE"""),"Kotlin")</f>
        <v>Kotlin</v>
      </c>
      <c r="J2807" s="9" t="str">
        <f>IFERROR(__xludf.DUMMYFUNCTION("""COMPUTED_VALUE"""),"C")</f>
        <v>C</v>
      </c>
      <c r="K2807" s="9" t="str">
        <f>IFERROR(__xludf.DUMMYFUNCTION("""COMPUTED_VALUE"""),"Elixir")</f>
        <v>Elixir</v>
      </c>
      <c r="L2807" s="9" t="str">
        <f>IFERROR(__xludf.DUMMYFUNCTION("""COMPUTED_VALUE"""),"Java")</f>
        <v>Java</v>
      </c>
      <c r="M2807" s="9" t="s">
        <v>21</v>
      </c>
    </row>
    <row r="2808" ht="15.75" customHeight="1">
      <c r="A2808" s="7"/>
      <c r="B2808" s="7" t="str">
        <f>IFERROR(__xludf.DUMMYFUNCTION("""COMPUTED_VALUE"""),"C++;C#;HTML/CSS;Java;JavaScript;SQL")</f>
        <v>C++;C#;HTML/CSS;Java;JavaScript;SQL</v>
      </c>
      <c r="C2808" s="9" t="str">
        <f>IFERROR(__xludf.DUMMYFUNCTION("""COMPUTED_VALUE"""),"PHP")</f>
        <v>PHP</v>
      </c>
      <c r="D2808" s="9" t="str">
        <f>IFERROR(__xludf.DUMMYFUNCTION("""COMPUTED_VALUE"""),"C++")</f>
        <v>C++</v>
      </c>
      <c r="E2808" s="9" t="str">
        <f>IFERROR(__xludf.DUMMYFUNCTION("""COMPUTED_VALUE"""),"PHP")</f>
        <v>PHP</v>
      </c>
      <c r="F2808" s="9" t="str">
        <f>IFERROR(__xludf.DUMMYFUNCTION("""COMPUTED_VALUE"""),"HTML/CSS")</f>
        <v>HTML/CSS</v>
      </c>
      <c r="G2808" s="9" t="str">
        <f>IFERROR(__xludf.DUMMYFUNCTION("""COMPUTED_VALUE"""),"HTML/CSS")</f>
        <v>HTML/CSS</v>
      </c>
      <c r="H2808" s="9" t="str">
        <f>IFERROR(__xludf.DUMMYFUNCTION("""COMPUTED_VALUE"""),"Rust")</f>
        <v>Rust</v>
      </c>
      <c r="I2808" s="9" t="str">
        <f>IFERROR(__xludf.DUMMYFUNCTION("""COMPUTED_VALUE"""),"SQL")</f>
        <v>SQL</v>
      </c>
      <c r="J2808" s="9" t="str">
        <f>IFERROR(__xludf.DUMMYFUNCTION("""COMPUTED_VALUE"""),"C++")</f>
        <v>C++</v>
      </c>
      <c r="K2808" s="9" t="str">
        <f>IFERROR(__xludf.DUMMYFUNCTION("""COMPUTED_VALUE"""),"Erlang")</f>
        <v>Erlang</v>
      </c>
      <c r="L2808" s="9" t="str">
        <f>IFERROR(__xludf.DUMMYFUNCTION("""COMPUTED_VALUE"""),"JavaScript")</f>
        <v>JavaScript</v>
      </c>
      <c r="M2808" s="9" t="s">
        <v>37</v>
      </c>
    </row>
    <row r="2809" ht="15.75" customHeight="1">
      <c r="A2809" s="7"/>
      <c r="B2809" s="7" t="str">
        <f>IFERROR(__xludf.DUMMYFUNCTION("""COMPUTED_VALUE"""),"Assembly;Bash/Shell/PowerShell;C;C++;Dart;Elixir;Erlang;Go;HTML/CSS;Java;JavaScript;Ruby;Rust;TypeScript;WebAssembly")</f>
        <v>Assembly;Bash/Shell/PowerShell;C;C++;Dart;Elixir;Erlang;Go;HTML/CSS;Java;JavaScript;Ruby;Rust;TypeScript;WebAssembly</v>
      </c>
      <c r="C2809" s="9" t="str">
        <f>IFERROR(__xludf.DUMMYFUNCTION("""COMPUTED_VALUE"""),"Python")</f>
        <v>Python</v>
      </c>
      <c r="D2809" s="9" t="str">
        <f>IFERROR(__xludf.DUMMYFUNCTION("""COMPUTED_VALUE"""),"HTML/CSS")</f>
        <v>HTML/CSS</v>
      </c>
      <c r="E2809" s="9" t="str">
        <f>IFERROR(__xludf.DUMMYFUNCTION("""COMPUTED_VALUE"""),"SQL")</f>
        <v>SQL</v>
      </c>
      <c r="F2809" s="9" t="str">
        <f>IFERROR(__xludf.DUMMYFUNCTION("""COMPUTED_VALUE"""),"Java")</f>
        <v>Java</v>
      </c>
      <c r="G2809" s="9" t="str">
        <f>IFERROR(__xludf.DUMMYFUNCTION("""COMPUTED_VALUE"""),"JavaScript")</f>
        <v>JavaScript</v>
      </c>
      <c r="H2809" s="9" t="str">
        <f>IFERROR(__xludf.DUMMYFUNCTION("""COMPUTED_VALUE"""),"Bash/Shell/PowerShell")</f>
        <v>Bash/Shell/PowerShell</v>
      </c>
      <c r="I2809" s="9" t="str">
        <f>IFERROR(__xludf.DUMMYFUNCTION("""COMPUTED_VALUE"""),"Bash/Shell/PowerShell")</f>
        <v>Bash/Shell/PowerShell</v>
      </c>
      <c r="J2809" s="9" t="str">
        <f>IFERROR(__xludf.DUMMYFUNCTION("""COMPUTED_VALUE"""),"PHP")</f>
        <v>PHP</v>
      </c>
      <c r="K2809" s="9" t="str">
        <f>IFERROR(__xludf.DUMMYFUNCTION("""COMPUTED_VALUE"""),"F#")</f>
        <v>F#</v>
      </c>
      <c r="L2809" s="9" t="str">
        <f>IFERROR(__xludf.DUMMYFUNCTION("""COMPUTED_VALUE"""),"SQL")</f>
        <v>SQL</v>
      </c>
      <c r="M2809" s="9" t="s">
        <v>22</v>
      </c>
    </row>
    <row r="2810" ht="15.75" customHeight="1">
      <c r="A2810" s="7"/>
      <c r="B2810" s="7" t="str">
        <f>IFERROR(__xludf.DUMMYFUNCTION("""COMPUTED_VALUE"""),"Bash/Shell/PowerShell;HTML/CSS;Java;JavaScript;PHP;SQL")</f>
        <v>Bash/Shell/PowerShell;HTML/CSS;Java;JavaScript;PHP;SQL</v>
      </c>
      <c r="C2810" s="9" t="str">
        <f>IFERROR(__xludf.DUMMYFUNCTION("""COMPUTED_VALUE"""),"Ruby")</f>
        <v>Ruby</v>
      </c>
      <c r="D2810" s="9" t="str">
        <f>IFERROR(__xludf.DUMMYFUNCTION("""COMPUTED_VALUE"""),"Java")</f>
        <v>Java</v>
      </c>
      <c r="E2810" s="9" t="str">
        <f>IFERROR(__xludf.DUMMYFUNCTION("""COMPUTED_VALUE"""),"Assembly")</f>
        <v>Assembly</v>
      </c>
      <c r="F2810" s="9" t="str">
        <f>IFERROR(__xludf.DUMMYFUNCTION("""COMPUTED_VALUE"""),"PHP")</f>
        <v>PHP</v>
      </c>
      <c r="G2810" s="9" t="str">
        <f>IFERROR(__xludf.DUMMYFUNCTION("""COMPUTED_VALUE"""),"C++")</f>
        <v>C++</v>
      </c>
      <c r="H2810" s="9" t="str">
        <f>IFERROR(__xludf.DUMMYFUNCTION("""COMPUTED_VALUE"""),"C")</f>
        <v>C</v>
      </c>
      <c r="I2810" s="9" t="str">
        <f>IFERROR(__xludf.DUMMYFUNCTION("""COMPUTED_VALUE"""),"HTML/CSS")</f>
        <v>HTML/CSS</v>
      </c>
      <c r="J2810" s="9" t="str">
        <f>IFERROR(__xludf.DUMMYFUNCTION("""COMPUTED_VALUE"""),"Python")</f>
        <v>Python</v>
      </c>
      <c r="K2810" s="9" t="str">
        <f>IFERROR(__xludf.DUMMYFUNCTION("""COMPUTED_VALUE"""),"Go")</f>
        <v>Go</v>
      </c>
      <c r="L2810" s="9" t="str">
        <f>IFERROR(__xludf.DUMMYFUNCTION("""COMPUTED_VALUE"""),"C#")</f>
        <v>C#</v>
      </c>
      <c r="M2810" s="9" t="s">
        <v>31</v>
      </c>
    </row>
    <row r="2811" ht="15.75" customHeight="1">
      <c r="A2811" s="7"/>
      <c r="B2811" s="7" t="str">
        <f>IFERROR(__xludf.DUMMYFUNCTION("""COMPUTED_VALUE"""),"Java;SQL")</f>
        <v>Java;SQL</v>
      </c>
      <c r="C2811" s="9" t="str">
        <f>IFERROR(__xludf.DUMMYFUNCTION("""COMPUTED_VALUE"""),"Bash/Shell/PowerShell")</f>
        <v>Bash/Shell/PowerShell</v>
      </c>
      <c r="D2811" s="9" t="str">
        <f>IFERROR(__xludf.DUMMYFUNCTION("""COMPUTED_VALUE"""),"JavaScript")</f>
        <v>JavaScript</v>
      </c>
      <c r="E2811" s="9" t="str">
        <f>IFERROR(__xludf.DUMMYFUNCTION("""COMPUTED_VALUE"""),"C")</f>
        <v>C</v>
      </c>
      <c r="F2811" s="9" t="str">
        <f>IFERROR(__xludf.DUMMYFUNCTION("""COMPUTED_VALUE"""),"SQL")</f>
        <v>SQL</v>
      </c>
      <c r="G2811" s="9" t="str">
        <f>IFERROR(__xludf.DUMMYFUNCTION("""COMPUTED_VALUE"""),"HTML/CSS")</f>
        <v>HTML/CSS</v>
      </c>
      <c r="H2811" s="9" t="str">
        <f>IFERROR(__xludf.DUMMYFUNCTION("""COMPUTED_VALUE"""),"Python")</f>
        <v>Python</v>
      </c>
      <c r="I2811" s="9" t="str">
        <f>IFERROR(__xludf.DUMMYFUNCTION("""COMPUTED_VALUE"""),"Java")</f>
        <v>Java</v>
      </c>
      <c r="J2811" s="9" t="str">
        <f>IFERROR(__xludf.DUMMYFUNCTION("""COMPUTED_VALUE"""),"R")</f>
        <v>R</v>
      </c>
      <c r="K2811" s="9" t="str">
        <f>IFERROR(__xludf.DUMMYFUNCTION("""COMPUTED_VALUE"""),"HTML/CSS")</f>
        <v>HTML/CSS</v>
      </c>
      <c r="L2811" s="9" t="str">
        <f>IFERROR(__xludf.DUMMYFUNCTION("""COMPUTED_VALUE"""),"Java")</f>
        <v>Java</v>
      </c>
      <c r="M2811" s="9" t="s">
        <v>30</v>
      </c>
    </row>
    <row r="2812" ht="15.75" customHeight="1">
      <c r="A2812" s="7"/>
      <c r="B2812" s="7" t="str">
        <f>IFERROR(__xludf.DUMMYFUNCTION("""COMPUTED_VALUE"""),"HTML/CSS;Java;JavaScript")</f>
        <v>HTML/CSS;Java;JavaScript</v>
      </c>
      <c r="C2812" s="9" t="str">
        <f>IFERROR(__xludf.DUMMYFUNCTION("""COMPUTED_VALUE"""),"Go")</f>
        <v>Go</v>
      </c>
      <c r="D2812" s="9" t="str">
        <f>IFERROR(__xludf.DUMMYFUNCTION("""COMPUTED_VALUE"""),"Python")</f>
        <v>Python</v>
      </c>
      <c r="E2812" s="9" t="str">
        <f>IFERROR(__xludf.DUMMYFUNCTION("""COMPUTED_VALUE"""),"C++")</f>
        <v>C++</v>
      </c>
      <c r="F2812" s="9" t="str">
        <f>IFERROR(__xludf.DUMMYFUNCTION("""COMPUTED_VALUE"""),"C#")</f>
        <v>C#</v>
      </c>
      <c r="G2812" s="9" t="str">
        <f>IFERROR(__xludf.DUMMYFUNCTION("""COMPUTED_VALUE"""),"Java")</f>
        <v>Java</v>
      </c>
      <c r="H2812" s="9" t="str">
        <f>IFERROR(__xludf.DUMMYFUNCTION("""COMPUTED_VALUE"""),"Bash/Shell/PowerShell")</f>
        <v>Bash/Shell/PowerShell</v>
      </c>
      <c r="I2812" s="9" t="str">
        <f>IFERROR(__xludf.DUMMYFUNCTION("""COMPUTED_VALUE"""),"JavaScript")</f>
        <v>JavaScript</v>
      </c>
      <c r="J2812" s="9" t="str">
        <f>IFERROR(__xludf.DUMMYFUNCTION("""COMPUTED_VALUE"""),"Ruby")</f>
        <v>Ruby</v>
      </c>
      <c r="K2812" s="9" t="str">
        <f>IFERROR(__xludf.DUMMYFUNCTION("""COMPUTED_VALUE"""),"Java")</f>
        <v>Java</v>
      </c>
      <c r="L2812" s="9" t="str">
        <f>IFERROR(__xludf.DUMMYFUNCTION("""COMPUTED_VALUE"""),"Assembly")</f>
        <v>Assembly</v>
      </c>
      <c r="M2812" s="9" t="s">
        <v>36</v>
      </c>
    </row>
    <row r="2813" ht="15.75" customHeight="1">
      <c r="A2813" s="7"/>
      <c r="B2813" s="7" t="str">
        <f>IFERROR(__xludf.DUMMYFUNCTION("""COMPUTED_VALUE"""),"Java;PHP;Python")</f>
        <v>Java;PHP;Python</v>
      </c>
      <c r="C2813" s="9" t="str">
        <f>IFERROR(__xludf.DUMMYFUNCTION("""COMPUTED_VALUE"""),"Python")</f>
        <v>Python</v>
      </c>
      <c r="D2813" s="9" t="str">
        <f>IFERROR(__xludf.DUMMYFUNCTION("""COMPUTED_VALUE"""),"SQL")</f>
        <v>SQL</v>
      </c>
      <c r="E2813" s="9" t="str">
        <f>IFERROR(__xludf.DUMMYFUNCTION("""COMPUTED_VALUE"""),"HTML/CSS")</f>
        <v>HTML/CSS</v>
      </c>
      <c r="F2813" s="9" t="str">
        <f>IFERROR(__xludf.DUMMYFUNCTION("""COMPUTED_VALUE"""),"HTML/CSS")</f>
        <v>HTML/CSS</v>
      </c>
      <c r="G2813" s="9" t="str">
        <f>IFERROR(__xludf.DUMMYFUNCTION("""COMPUTED_VALUE"""),"Python")</f>
        <v>Python</v>
      </c>
      <c r="H2813" s="9" t="str">
        <f>IFERROR(__xludf.DUMMYFUNCTION("""COMPUTED_VALUE"""),"HTML/CSS")</f>
        <v>HTML/CSS</v>
      </c>
      <c r="I2813" s="9" t="str">
        <f>IFERROR(__xludf.DUMMYFUNCTION("""COMPUTED_VALUE"""),"PHP")</f>
        <v>PHP</v>
      </c>
      <c r="J2813" s="9" t="str">
        <f>IFERROR(__xludf.DUMMYFUNCTION("""COMPUTED_VALUE"""),"Assembly")</f>
        <v>Assembly</v>
      </c>
      <c r="K2813" s="9" t="str">
        <f>IFERROR(__xludf.DUMMYFUNCTION("""COMPUTED_VALUE"""),"Kotlin")</f>
        <v>Kotlin</v>
      </c>
      <c r="L2813" s="9" t="str">
        <f>IFERROR(__xludf.DUMMYFUNCTION("""COMPUTED_VALUE"""),"Bash/Shell/PowerShell")</f>
        <v>Bash/Shell/PowerShell</v>
      </c>
      <c r="M2813" s="9" t="s">
        <v>22</v>
      </c>
    </row>
    <row r="2814" ht="15.75" customHeight="1">
      <c r="A2814" s="7"/>
      <c r="B2814" s="7" t="str">
        <f>IFERROR(__xludf.DUMMYFUNCTION("""COMPUTED_VALUE"""),"HTML/CSS;JavaScript;SQL")</f>
        <v>HTML/CSS;JavaScript;SQL</v>
      </c>
      <c r="C2814" s="9" t="str">
        <f>IFERROR(__xludf.DUMMYFUNCTION("""COMPUTED_VALUE"""),"SQL")</f>
        <v>SQL</v>
      </c>
      <c r="D2814" s="9" t="str">
        <f>IFERROR(__xludf.DUMMYFUNCTION("""COMPUTED_VALUE"""),"JavaScript")</f>
        <v>JavaScript</v>
      </c>
      <c r="E2814" s="9" t="str">
        <f>IFERROR(__xludf.DUMMYFUNCTION("""COMPUTED_VALUE"""),"Java")</f>
        <v>Java</v>
      </c>
      <c r="F2814" s="9" t="str">
        <f>IFERROR(__xludf.DUMMYFUNCTION("""COMPUTED_VALUE"""),"JavaScript")</f>
        <v>JavaScript</v>
      </c>
      <c r="G2814" s="9" t="str">
        <f>IFERROR(__xludf.DUMMYFUNCTION("""COMPUTED_VALUE"""),"HTML/CSS")</f>
        <v>HTML/CSS</v>
      </c>
      <c r="H2814" s="9" t="str">
        <f>IFERROR(__xludf.DUMMYFUNCTION("""COMPUTED_VALUE"""),"Java")</f>
        <v>Java</v>
      </c>
      <c r="I2814" s="9" t="str">
        <f>IFERROR(__xludf.DUMMYFUNCTION("""COMPUTED_VALUE"""),"Python")</f>
        <v>Python</v>
      </c>
      <c r="J2814" s="9" t="str">
        <f>IFERROR(__xludf.DUMMYFUNCTION("""COMPUTED_VALUE"""),"Bash/Shell/PowerShell")</f>
        <v>Bash/Shell/PowerShell</v>
      </c>
      <c r="K2814" s="9" t="str">
        <f>IFERROR(__xludf.DUMMYFUNCTION("""COMPUTED_VALUE"""),"Objective-C")</f>
        <v>Objective-C</v>
      </c>
      <c r="L2814" s="9" t="str">
        <f>IFERROR(__xludf.DUMMYFUNCTION("""COMPUTED_VALUE"""),"C")</f>
        <v>C</v>
      </c>
      <c r="M2814" s="9" t="s">
        <v>27</v>
      </c>
    </row>
    <row r="2815" ht="15.75" customHeight="1">
      <c r="A2815" s="7"/>
      <c r="B2815" s="7" t="str">
        <f>IFERROR(__xludf.DUMMYFUNCTION("""COMPUTED_VALUE"""),"Go;Other(s):")</f>
        <v>Go;Other(s):</v>
      </c>
      <c r="C2815" s="9" t="str">
        <f>IFERROR(__xludf.DUMMYFUNCTION("""COMPUTED_VALUE"""),"C#")</f>
        <v>C#</v>
      </c>
      <c r="D2815" s="9" t="str">
        <f>IFERROR(__xludf.DUMMYFUNCTION("""COMPUTED_VALUE"""),"Java")</f>
        <v>Java</v>
      </c>
      <c r="E2815" s="9" t="str">
        <f>IFERROR(__xludf.DUMMYFUNCTION("""COMPUTED_VALUE"""),"JavaScript")</f>
        <v>JavaScript</v>
      </c>
      <c r="F2815" s="9" t="str">
        <f>IFERROR(__xludf.DUMMYFUNCTION("""COMPUTED_VALUE"""),"Bash/Shell/PowerShell")</f>
        <v>Bash/Shell/PowerShell</v>
      </c>
      <c r="G2815" s="9" t="str">
        <f>IFERROR(__xludf.DUMMYFUNCTION("""COMPUTED_VALUE"""),"JavaScript")</f>
        <v>JavaScript</v>
      </c>
      <c r="H2815" s="9" t="str">
        <f>IFERROR(__xludf.DUMMYFUNCTION("""COMPUTED_VALUE"""),"JavaScript")</f>
        <v>JavaScript</v>
      </c>
      <c r="I2815" s="9" t="str">
        <f>IFERROR(__xludf.DUMMYFUNCTION("""COMPUTED_VALUE"""),"Assembly")</f>
        <v>Assembly</v>
      </c>
      <c r="J2815" s="9" t="str">
        <f>IFERROR(__xludf.DUMMYFUNCTION("""COMPUTED_VALUE"""),"C")</f>
        <v>C</v>
      </c>
      <c r="K2815" s="9" t="str">
        <f>IFERROR(__xludf.DUMMYFUNCTION("""COMPUTED_VALUE"""),"PHP")</f>
        <v>PHP</v>
      </c>
      <c r="L2815" s="9" t="str">
        <f>IFERROR(__xludf.DUMMYFUNCTION("""COMPUTED_VALUE"""),"HTML/CSS")</f>
        <v>HTML/CSS</v>
      </c>
      <c r="M2815" s="9" t="s">
        <v>26</v>
      </c>
    </row>
    <row r="2816" ht="15.75" customHeight="1">
      <c r="A2816" s="7"/>
      <c r="B2816" s="7" t="str">
        <f>IFERROR(__xludf.DUMMYFUNCTION("""COMPUTED_VALUE"""),"HTML/CSS;JavaScript")</f>
        <v>HTML/CSS;JavaScript</v>
      </c>
      <c r="C2816" s="9" t="str">
        <f>IFERROR(__xludf.DUMMYFUNCTION("""COMPUTED_VALUE"""),"HTML/CSS")</f>
        <v>HTML/CSS</v>
      </c>
      <c r="D2816" s="9" t="str">
        <f>IFERROR(__xludf.DUMMYFUNCTION("""COMPUTED_VALUE"""),"C++")</f>
        <v>C++</v>
      </c>
      <c r="E2816" s="9" t="str">
        <f>IFERROR(__xludf.DUMMYFUNCTION("""COMPUTED_VALUE"""),"Python")</f>
        <v>Python</v>
      </c>
      <c r="F2816" s="9" t="str">
        <f>IFERROR(__xludf.DUMMYFUNCTION("""COMPUTED_VALUE"""),"C")</f>
        <v>C</v>
      </c>
      <c r="G2816" s="9" t="str">
        <f>IFERROR(__xludf.DUMMYFUNCTION("""COMPUTED_VALUE"""),"Ruby")</f>
        <v>Ruby</v>
      </c>
      <c r="H2816" s="9" t="str">
        <f>IFERROR(__xludf.DUMMYFUNCTION("""COMPUTED_VALUE"""),"SQL")</f>
        <v>SQL</v>
      </c>
      <c r="I2816" s="9" t="str">
        <f>IFERROR(__xludf.DUMMYFUNCTION("""COMPUTED_VALUE"""),"Bash/Shell/PowerShell")</f>
        <v>Bash/Shell/PowerShell</v>
      </c>
      <c r="J2816" s="9" t="str">
        <f>IFERROR(__xludf.DUMMYFUNCTION("""COMPUTED_VALUE"""),"Erlang")</f>
        <v>Erlang</v>
      </c>
      <c r="K2816" s="9" t="str">
        <f>IFERROR(__xludf.DUMMYFUNCTION("""COMPUTED_VALUE"""),"Python")</f>
        <v>Python</v>
      </c>
      <c r="L2816" s="9" t="str">
        <f>IFERROR(__xludf.DUMMYFUNCTION("""COMPUTED_VALUE"""),"Java")</f>
        <v>Java</v>
      </c>
      <c r="M2816" s="9" t="s">
        <v>24</v>
      </c>
    </row>
    <row r="2817" ht="15.75" customHeight="1">
      <c r="A2817" s="7"/>
      <c r="B2817" s="7" t="str">
        <f>IFERROR(__xludf.DUMMYFUNCTION("""COMPUTED_VALUE"""),"Bash/Shell/PowerShell;C#;HTML/CSS;JavaScript;SQL;TypeScript")</f>
        <v>Bash/Shell/PowerShell;C#;HTML/CSS;JavaScript;SQL;TypeScript</v>
      </c>
      <c r="C2817" s="9" t="str">
        <f>IFERROR(__xludf.DUMMYFUNCTION("""COMPUTED_VALUE"""),"JavaScript")</f>
        <v>JavaScript</v>
      </c>
      <c r="D2817" s="9" t="str">
        <f>IFERROR(__xludf.DUMMYFUNCTION("""COMPUTED_VALUE"""),"JavaScript")</f>
        <v>JavaScript</v>
      </c>
      <c r="E2817" s="9" t="str">
        <f>IFERROR(__xludf.DUMMYFUNCTION("""COMPUTED_VALUE"""),"Ruby")</f>
        <v>Ruby</v>
      </c>
      <c r="F2817" s="9" t="str">
        <f>IFERROR(__xludf.DUMMYFUNCTION("""COMPUTED_VALUE"""),"C++")</f>
        <v>C++</v>
      </c>
      <c r="G2817" s="9" t="str">
        <f>IFERROR(__xludf.DUMMYFUNCTION("""COMPUTED_VALUE"""),"TypeScript")</f>
        <v>TypeScript</v>
      </c>
      <c r="H2817" s="9" t="str">
        <f>IFERROR(__xludf.DUMMYFUNCTION("""COMPUTED_VALUE"""),"TypeScript")</f>
        <v>TypeScript</v>
      </c>
      <c r="I2817" s="9" t="str">
        <f>IFERROR(__xludf.DUMMYFUNCTION("""COMPUTED_VALUE"""),"C")</f>
        <v>C</v>
      </c>
      <c r="J2817" s="9" t="str">
        <f>IFERROR(__xludf.DUMMYFUNCTION("""COMPUTED_VALUE"""),"HTML/CSS")</f>
        <v>HTML/CSS</v>
      </c>
      <c r="K2817" s="9" t="str">
        <f>IFERROR(__xludf.DUMMYFUNCTION("""COMPUTED_VALUE"""),"R")</f>
        <v>R</v>
      </c>
      <c r="L2817" s="9" t="str">
        <f>IFERROR(__xludf.DUMMYFUNCTION("""COMPUTED_VALUE"""),"JavaScript")</f>
        <v>JavaScript</v>
      </c>
      <c r="M2817" s="9" t="s">
        <v>21</v>
      </c>
    </row>
    <row r="2818" ht="15.75" customHeight="1">
      <c r="A2818" s="7"/>
      <c r="B2818" s="7" t="str">
        <f>IFERROR(__xludf.DUMMYFUNCTION("""COMPUTED_VALUE"""),"C;C++;C#;Go;HTML/CSS;Java;JavaScript;Objective-C;PHP;Python;Ruby;SQL;Swift;TypeScript")</f>
        <v>C;C++;C#;Go;HTML/CSS;Java;JavaScript;Objective-C;PHP;Python;Ruby;SQL;Swift;TypeScript</v>
      </c>
      <c r="C2818" s="9" t="str">
        <f>IFERROR(__xludf.DUMMYFUNCTION("""COMPUTED_VALUE"""),"Ruby")</f>
        <v>Ruby</v>
      </c>
      <c r="D2818" s="9" t="str">
        <f>IFERROR(__xludf.DUMMYFUNCTION("""COMPUTED_VALUE"""),"Python")</f>
        <v>Python</v>
      </c>
      <c r="E2818" s="9" t="str">
        <f>IFERROR(__xludf.DUMMYFUNCTION("""COMPUTED_VALUE"""),"Scala")</f>
        <v>Scala</v>
      </c>
      <c r="F2818" s="9" t="str">
        <f>IFERROR(__xludf.DUMMYFUNCTION("""COMPUTED_VALUE"""),"Java")</f>
        <v>Java</v>
      </c>
      <c r="G2818" s="9" t="str">
        <f>IFERROR(__xludf.DUMMYFUNCTION("""COMPUTED_VALUE"""),"Bash/Shell/PowerShell")</f>
        <v>Bash/Shell/PowerShell</v>
      </c>
      <c r="H2818" s="9" t="str">
        <f>IFERROR(__xludf.DUMMYFUNCTION("""COMPUTED_VALUE"""),"HTML/CSS")</f>
        <v>HTML/CSS</v>
      </c>
      <c r="I2818" s="9" t="str">
        <f>IFERROR(__xludf.DUMMYFUNCTION("""COMPUTED_VALUE"""),"C++")</f>
        <v>C++</v>
      </c>
      <c r="J2818" s="9" t="str">
        <f>IFERROR(__xludf.DUMMYFUNCTION("""COMPUTED_VALUE"""),"Java")</f>
        <v>Java</v>
      </c>
      <c r="K2818" s="9" t="str">
        <f>IFERROR(__xludf.DUMMYFUNCTION("""COMPUTED_VALUE"""),"Ruby")</f>
        <v>Ruby</v>
      </c>
      <c r="L2818" s="9" t="str">
        <f>IFERROR(__xludf.DUMMYFUNCTION("""COMPUTED_VALUE"""),"Kotlin")</f>
        <v>Kotlin</v>
      </c>
      <c r="M2818" s="9" t="s">
        <v>31</v>
      </c>
    </row>
    <row r="2819" ht="15.75" customHeight="1">
      <c r="A2819" s="7"/>
      <c r="B2819" s="7" t="str">
        <f>IFERROR(__xludf.DUMMYFUNCTION("""COMPUTED_VALUE"""),"C++;C#;F#;HTML/CSS;JavaScript;TypeScript;WebAssembly")</f>
        <v>C++;C#;F#;HTML/CSS;JavaScript;TypeScript;WebAssembly</v>
      </c>
      <c r="C2819" s="9" t="str">
        <f>IFERROR(__xludf.DUMMYFUNCTION("""COMPUTED_VALUE"""),"SQL")</f>
        <v>SQL</v>
      </c>
      <c r="D2819" s="9" t="str">
        <f>IFERROR(__xludf.DUMMYFUNCTION("""COMPUTED_VALUE"""),"Go")</f>
        <v>Go</v>
      </c>
      <c r="E2819" s="9" t="str">
        <f>IFERROR(__xludf.DUMMYFUNCTION("""COMPUTED_VALUE"""),"SQL")</f>
        <v>SQL</v>
      </c>
      <c r="F2819" s="9" t="str">
        <f>IFERROR(__xludf.DUMMYFUNCTION("""COMPUTED_VALUE"""),"Python")</f>
        <v>Python</v>
      </c>
      <c r="G2819" s="9" t="str">
        <f>IFERROR(__xludf.DUMMYFUNCTION("""COMPUTED_VALUE"""),"HTML/CSS")</f>
        <v>HTML/CSS</v>
      </c>
      <c r="H2819" s="9" t="str">
        <f>IFERROR(__xludf.DUMMYFUNCTION("""COMPUTED_VALUE"""),"JavaScript")</f>
        <v>JavaScript</v>
      </c>
      <c r="I2819" s="9" t="str">
        <f>IFERROR(__xludf.DUMMYFUNCTION("""COMPUTED_VALUE"""),"HTML/CSS")</f>
        <v>HTML/CSS</v>
      </c>
      <c r="J2819" s="9" t="str">
        <f>IFERROR(__xludf.DUMMYFUNCTION("""COMPUTED_VALUE"""),"JavaScript")</f>
        <v>JavaScript</v>
      </c>
      <c r="K2819" s="9" t="str">
        <f>IFERROR(__xludf.DUMMYFUNCTION("""COMPUTED_VALUE"""),"Scala")</f>
        <v>Scala</v>
      </c>
      <c r="L2819" s="9" t="str">
        <f>IFERROR(__xludf.DUMMYFUNCTION("""COMPUTED_VALUE"""),"Python")</f>
        <v>Python</v>
      </c>
      <c r="M2819" s="9" t="s">
        <v>27</v>
      </c>
    </row>
    <row r="2820" ht="15.75" customHeight="1">
      <c r="A2820" s="7"/>
      <c r="B2820" s="7" t="str">
        <f>IFERROR(__xludf.DUMMYFUNCTION("""COMPUTED_VALUE"""),"Bash/Shell/PowerShell;HTML/CSS;JavaScript;Python;R;SQL")</f>
        <v>Bash/Shell/PowerShell;HTML/CSS;JavaScript;Python;R;SQL</v>
      </c>
      <c r="C2820" s="9" t="str">
        <f>IFERROR(__xludf.DUMMYFUNCTION("""COMPUTED_VALUE"""),"TypeScript")</f>
        <v>TypeScript</v>
      </c>
      <c r="D2820" s="9" t="str">
        <f>IFERROR(__xludf.DUMMYFUNCTION("""COMPUTED_VALUE"""),"HTML/CSS")</f>
        <v>HTML/CSS</v>
      </c>
      <c r="E2820" s="9" t="str">
        <f>IFERROR(__xludf.DUMMYFUNCTION("""COMPUTED_VALUE"""),"JavaScript")</f>
        <v>JavaScript</v>
      </c>
      <c r="F2820" s="9" t="str">
        <f>IFERROR(__xludf.DUMMYFUNCTION("""COMPUTED_VALUE"""),"SQL")</f>
        <v>SQL</v>
      </c>
      <c r="G2820" s="9" t="str">
        <f>IFERROR(__xludf.DUMMYFUNCTION("""COMPUTED_VALUE"""),"JavaScript")</f>
        <v>JavaScript</v>
      </c>
      <c r="H2820" s="9" t="str">
        <f>IFERROR(__xludf.DUMMYFUNCTION("""COMPUTED_VALUE"""),"PHP")</f>
        <v>PHP</v>
      </c>
      <c r="I2820" s="9" t="str">
        <f>IFERROR(__xludf.DUMMYFUNCTION("""COMPUTED_VALUE"""),"JavaScript")</f>
        <v>JavaScript</v>
      </c>
      <c r="J2820" s="9" t="str">
        <f>IFERROR(__xludf.DUMMYFUNCTION("""COMPUTED_VALUE"""),"Python")</f>
        <v>Python</v>
      </c>
      <c r="K2820" s="9" t="str">
        <f>IFERROR(__xludf.DUMMYFUNCTION("""COMPUTED_VALUE"""),"SQL")</f>
        <v>SQL</v>
      </c>
      <c r="L2820" s="9" t="str">
        <f>IFERROR(__xludf.DUMMYFUNCTION("""COMPUTED_VALUE"""),"Ruby")</f>
        <v>Ruby</v>
      </c>
      <c r="M2820" s="9" t="s">
        <v>33</v>
      </c>
    </row>
    <row r="2821" ht="15.75" customHeight="1">
      <c r="A2821" s="7"/>
      <c r="B2821" s="7" t="str">
        <f>IFERROR(__xludf.DUMMYFUNCTION("""COMPUTED_VALUE"""),"Java;JavaScript;TypeScript")</f>
        <v>Java;JavaScript;TypeScript</v>
      </c>
      <c r="C2821" s="9" t="str">
        <f>IFERROR(__xludf.DUMMYFUNCTION("""COMPUTED_VALUE"""),"Bash/Shell/PowerShell")</f>
        <v>Bash/Shell/PowerShell</v>
      </c>
      <c r="D2821" s="9" t="str">
        <f>IFERROR(__xludf.DUMMYFUNCTION("""COMPUTED_VALUE"""),"JavaScript")</f>
        <v>JavaScript</v>
      </c>
      <c r="E2821" s="9" t="str">
        <f>IFERROR(__xludf.DUMMYFUNCTION("""COMPUTED_VALUE"""),"Bash/Shell/PowerShell")</f>
        <v>Bash/Shell/PowerShell</v>
      </c>
      <c r="F2821" s="9" t="str">
        <f>IFERROR(__xludf.DUMMYFUNCTION("""COMPUTED_VALUE"""),"Python")</f>
        <v>Python</v>
      </c>
      <c r="G2821" s="9" t="str">
        <f>IFERROR(__xludf.DUMMYFUNCTION("""COMPUTED_VALUE"""),"Python")</f>
        <v>Python</v>
      </c>
      <c r="H2821" s="9" t="str">
        <f>IFERROR(__xludf.DUMMYFUNCTION("""COMPUTED_VALUE"""),"SQL")</f>
        <v>SQL</v>
      </c>
      <c r="I2821" s="9" t="str">
        <f>IFERROR(__xludf.DUMMYFUNCTION("""COMPUTED_VALUE"""),"PHP")</f>
        <v>PHP</v>
      </c>
      <c r="J2821" s="9" t="str">
        <f>IFERROR(__xludf.DUMMYFUNCTION("""COMPUTED_VALUE"""),"SQL")</f>
        <v>SQL</v>
      </c>
      <c r="K2821" s="9" t="str">
        <f>IFERROR(__xludf.DUMMYFUNCTION("""COMPUTED_VALUE"""),"Swift")</f>
        <v>Swift</v>
      </c>
      <c r="L2821" s="9" t="str">
        <f>IFERROR(__xludf.DUMMYFUNCTION("""COMPUTED_VALUE"""),"Rust")</f>
        <v>Rust</v>
      </c>
      <c r="M2821" s="9" t="s">
        <v>30</v>
      </c>
    </row>
    <row r="2822" ht="15.75" customHeight="1">
      <c r="A2822" s="7"/>
      <c r="B2822" s="7" t="str">
        <f>IFERROR(__xludf.DUMMYFUNCTION("""COMPUTED_VALUE"""),"Bash/Shell/PowerShell;HTML/CSS;Java;JavaScript;PHP;Python;SQL")</f>
        <v>Bash/Shell/PowerShell;HTML/CSS;Java;JavaScript;PHP;Python;SQL</v>
      </c>
      <c r="C2822" s="9" t="str">
        <f>IFERROR(__xludf.DUMMYFUNCTION("""COMPUTED_VALUE"""),"Python")</f>
        <v>Python</v>
      </c>
      <c r="D2822" s="9" t="str">
        <f>IFERROR(__xludf.DUMMYFUNCTION("""COMPUTED_VALUE"""),"PHP")</f>
        <v>PHP</v>
      </c>
      <c r="E2822" s="9" t="str">
        <f>IFERROR(__xludf.DUMMYFUNCTION("""COMPUTED_VALUE"""),"JavaScript")</f>
        <v>JavaScript</v>
      </c>
      <c r="F2822" s="9" t="str">
        <f>IFERROR(__xludf.DUMMYFUNCTION("""COMPUTED_VALUE"""),"SQL")</f>
        <v>SQL</v>
      </c>
      <c r="G2822" s="9" t="str">
        <f>IFERROR(__xludf.DUMMYFUNCTION("""COMPUTED_VALUE"""),"SQL")</f>
        <v>SQL</v>
      </c>
      <c r="H2822" s="9" t="str">
        <f>IFERROR(__xludf.DUMMYFUNCTION("""COMPUTED_VALUE"""),"Bash/Shell/PowerShell")</f>
        <v>Bash/Shell/PowerShell</v>
      </c>
      <c r="I2822" s="9" t="str">
        <f>IFERROR(__xludf.DUMMYFUNCTION("""COMPUTED_VALUE"""),"Python")</f>
        <v>Python</v>
      </c>
      <c r="J2822" s="9" t="str">
        <f>IFERROR(__xludf.DUMMYFUNCTION("""COMPUTED_VALUE"""),"C++")</f>
        <v>C++</v>
      </c>
      <c r="K2822" s="9" t="str">
        <f>IFERROR(__xludf.DUMMYFUNCTION("""COMPUTED_VALUE"""),"TypeScript")</f>
        <v>TypeScript</v>
      </c>
      <c r="L2822" s="9" t="str">
        <f>IFERROR(__xludf.DUMMYFUNCTION("""COMPUTED_VALUE"""),"Scala")</f>
        <v>Scala</v>
      </c>
      <c r="M2822" s="9" t="s">
        <v>22</v>
      </c>
    </row>
    <row r="2823" ht="15.75" customHeight="1">
      <c r="A2823" s="7"/>
      <c r="B2823" s="7" t="str">
        <f>IFERROR(__xludf.DUMMYFUNCTION("""COMPUTED_VALUE"""),"Java;JavaScript;Scala;TypeScript")</f>
        <v>Java;JavaScript;Scala;TypeScript</v>
      </c>
      <c r="C2823" s="9" t="str">
        <f>IFERROR(__xludf.DUMMYFUNCTION("""COMPUTED_VALUE"""),"Other(s):")</f>
        <v>Other(s):</v>
      </c>
      <c r="D2823" s="9" t="str">
        <f>IFERROR(__xludf.DUMMYFUNCTION("""COMPUTED_VALUE"""),"SQL")</f>
        <v>SQL</v>
      </c>
      <c r="E2823" s="9" t="str">
        <f>IFERROR(__xludf.DUMMYFUNCTION("""COMPUTED_VALUE"""),"Python")</f>
        <v>Python</v>
      </c>
      <c r="F2823" s="9" t="str">
        <f>IFERROR(__xludf.DUMMYFUNCTION("""COMPUTED_VALUE"""),"TypeScript")</f>
        <v>TypeScript</v>
      </c>
      <c r="G2823" s="9" t="str">
        <f>IFERROR(__xludf.DUMMYFUNCTION("""COMPUTED_VALUE"""),"Java")</f>
        <v>Java</v>
      </c>
      <c r="H2823" s="9" t="str">
        <f>IFERROR(__xludf.DUMMYFUNCTION("""COMPUTED_VALUE"""),"C#")</f>
        <v>C#</v>
      </c>
      <c r="I2823" s="9" t="str">
        <f>IFERROR(__xludf.DUMMYFUNCTION("""COMPUTED_VALUE"""),"SQL")</f>
        <v>SQL</v>
      </c>
      <c r="J2823" s="9" t="str">
        <f>IFERROR(__xludf.DUMMYFUNCTION("""COMPUTED_VALUE"""),"HTML/CSS")</f>
        <v>HTML/CSS</v>
      </c>
      <c r="K2823" s="9" t="str">
        <f>IFERROR(__xludf.DUMMYFUNCTION("""COMPUTED_VALUE"""),"VBA")</f>
        <v>VBA</v>
      </c>
      <c r="L2823" s="9" t="str">
        <f>IFERROR(__xludf.DUMMYFUNCTION("""COMPUTED_VALUE"""),"SQL")</f>
        <v>SQL</v>
      </c>
      <c r="M2823" s="9" t="s">
        <v>35</v>
      </c>
    </row>
    <row r="2824" ht="15.75" customHeight="1">
      <c r="A2824" s="7"/>
      <c r="B2824" s="7" t="str">
        <f>IFERROR(__xludf.DUMMYFUNCTION("""COMPUTED_VALUE"""),"JavaScript")</f>
        <v>JavaScript</v>
      </c>
      <c r="C2824" s="9" t="str">
        <f>IFERROR(__xludf.DUMMYFUNCTION("""COMPUTED_VALUE"""),"Bash/Shell/PowerShell")</f>
        <v>Bash/Shell/PowerShell</v>
      </c>
      <c r="D2824" s="9" t="str">
        <f>IFERROR(__xludf.DUMMYFUNCTION("""COMPUTED_VALUE"""),"Bash/Shell/PowerShell")</f>
        <v>Bash/Shell/PowerShell</v>
      </c>
      <c r="E2824" s="9" t="str">
        <f>IFERROR(__xludf.DUMMYFUNCTION("""COMPUTED_VALUE"""),"HTML/CSS")</f>
        <v>HTML/CSS</v>
      </c>
      <c r="F2824" s="9" t="str">
        <f>IFERROR(__xludf.DUMMYFUNCTION("""COMPUTED_VALUE"""),"C")</f>
        <v>C</v>
      </c>
      <c r="G2824" s="9" t="str">
        <f>IFERROR(__xludf.DUMMYFUNCTION("""COMPUTED_VALUE"""),"JavaScript")</f>
        <v>JavaScript</v>
      </c>
      <c r="H2824" s="9" t="str">
        <f>IFERROR(__xludf.DUMMYFUNCTION("""COMPUTED_VALUE"""),"F#")</f>
        <v>F#</v>
      </c>
      <c r="I2824" s="9" t="str">
        <f>IFERROR(__xludf.DUMMYFUNCTION("""COMPUTED_VALUE"""),"JavaScript")</f>
        <v>JavaScript</v>
      </c>
      <c r="J2824" s="9" t="str">
        <f>IFERROR(__xludf.DUMMYFUNCTION("""COMPUTED_VALUE"""),"Java")</f>
        <v>Java</v>
      </c>
      <c r="K2824" s="9" t="str">
        <f>IFERROR(__xludf.DUMMYFUNCTION("""COMPUTED_VALUE"""),"WebAssembly")</f>
        <v>WebAssembly</v>
      </c>
      <c r="L2824" s="9" t="str">
        <f>IFERROR(__xludf.DUMMYFUNCTION("""COMPUTED_VALUE"""),"Other(s):")</f>
        <v>Other(s):</v>
      </c>
      <c r="M2824" s="9" t="s">
        <v>30</v>
      </c>
    </row>
    <row r="2825" ht="15.75" customHeight="1">
      <c r="A2825" s="7"/>
      <c r="B2825" s="7" t="str">
        <f>IFERROR(__xludf.DUMMYFUNCTION("""COMPUTED_VALUE"""),"HTML/CSS;Java;JavaScript;SQL;Other(s):")</f>
        <v>HTML/CSS;Java;JavaScript;SQL;Other(s):</v>
      </c>
      <c r="C2825" s="9" t="str">
        <f>IFERROR(__xludf.DUMMYFUNCTION("""COMPUTED_VALUE"""),"HTML/CSS")</f>
        <v>HTML/CSS</v>
      </c>
      <c r="D2825" s="9" t="str">
        <f>IFERROR(__xludf.DUMMYFUNCTION("""COMPUTED_VALUE"""),"JavaScript")</f>
        <v>JavaScript</v>
      </c>
      <c r="E2825" s="9" t="str">
        <f>IFERROR(__xludf.DUMMYFUNCTION("""COMPUTED_VALUE"""),"JavaScript")</f>
        <v>JavaScript</v>
      </c>
      <c r="F2825" s="9" t="str">
        <f>IFERROR(__xludf.DUMMYFUNCTION("""COMPUTED_VALUE"""),"Dart")</f>
        <v>Dart</v>
      </c>
      <c r="G2825" s="9" t="str">
        <f>IFERROR(__xludf.DUMMYFUNCTION("""COMPUTED_VALUE"""),"SQL")</f>
        <v>SQL</v>
      </c>
      <c r="H2825" s="9" t="str">
        <f>IFERROR(__xludf.DUMMYFUNCTION("""COMPUTED_VALUE"""),"HTML/CSS")</f>
        <v>HTML/CSS</v>
      </c>
      <c r="I2825" s="9" t="str">
        <f>IFERROR(__xludf.DUMMYFUNCTION("""COMPUTED_VALUE"""),"PHP")</f>
        <v>PHP</v>
      </c>
      <c r="J2825" s="9" t="str">
        <f>IFERROR(__xludf.DUMMYFUNCTION("""COMPUTED_VALUE"""),"JavaScript")</f>
        <v>JavaScript</v>
      </c>
      <c r="K2825" s="9" t="str">
        <f>IFERROR(__xludf.DUMMYFUNCTION("""COMPUTED_VALUE"""),"Other(s):")</f>
        <v>Other(s):</v>
      </c>
      <c r="L2825" s="9" t="str">
        <f>IFERROR(__xludf.DUMMYFUNCTION("""COMPUTED_VALUE"""),"HTML/CSS")</f>
        <v>HTML/CSS</v>
      </c>
      <c r="M2825" s="9" t="s">
        <v>24</v>
      </c>
    </row>
    <row r="2826" ht="15.75" customHeight="1">
      <c r="A2826" s="7"/>
      <c r="B2826" s="7" t="str">
        <f>IFERROR(__xludf.DUMMYFUNCTION("""COMPUTED_VALUE"""),"C#;HTML/CSS;JavaScript;TypeScript")</f>
        <v>C#;HTML/CSS;JavaScript;TypeScript</v>
      </c>
      <c r="C2826" s="9" t="str">
        <f>IFERROR(__xludf.DUMMYFUNCTION("""COMPUTED_VALUE"""),"Java")</f>
        <v>Java</v>
      </c>
      <c r="D2826" s="9" t="str">
        <f>IFERROR(__xludf.DUMMYFUNCTION("""COMPUTED_VALUE"""),"Python")</f>
        <v>Python</v>
      </c>
      <c r="E2826" s="9" t="str">
        <f>IFERROR(__xludf.DUMMYFUNCTION("""COMPUTED_VALUE"""),"Python")</f>
        <v>Python</v>
      </c>
      <c r="F2826" s="9" t="str">
        <f>IFERROR(__xludf.DUMMYFUNCTION("""COMPUTED_VALUE"""),"HTML/CSS")</f>
        <v>HTML/CSS</v>
      </c>
      <c r="G2826" s="9" t="str">
        <f>IFERROR(__xludf.DUMMYFUNCTION("""COMPUTED_VALUE"""),"Bash/Shell/PowerShell")</f>
        <v>Bash/Shell/PowerShell</v>
      </c>
      <c r="H2826" s="9" t="str">
        <f>IFERROR(__xludf.DUMMYFUNCTION("""COMPUTED_VALUE"""),"JavaScript")</f>
        <v>JavaScript</v>
      </c>
      <c r="I2826" s="9" t="str">
        <f>IFERROR(__xludf.DUMMYFUNCTION("""COMPUTED_VALUE"""),"SQL")</f>
        <v>SQL</v>
      </c>
      <c r="J2826" s="9" t="str">
        <f>IFERROR(__xludf.DUMMYFUNCTION("""COMPUTED_VALUE"""),"Python")</f>
        <v>Python</v>
      </c>
      <c r="K2826" s="9" t="str">
        <f>IFERROR(__xludf.DUMMYFUNCTION("""COMPUTED_VALUE"""),"HTML/CSS")</f>
        <v>HTML/CSS</v>
      </c>
      <c r="L2826" s="9" t="str">
        <f>IFERROR(__xludf.DUMMYFUNCTION("""COMPUTED_VALUE"""),"Java")</f>
        <v>Java</v>
      </c>
      <c r="M2826" s="9" t="s">
        <v>20</v>
      </c>
    </row>
    <row r="2827" ht="15.75" customHeight="1">
      <c r="A2827" s="7"/>
      <c r="B2827" s="7" t="str">
        <f>IFERROR(__xludf.DUMMYFUNCTION("""COMPUTED_VALUE"""),"Bash/Shell/PowerShell;HTML/CSS;JavaScript;Python;Ruby")</f>
        <v>Bash/Shell/PowerShell;HTML/CSS;JavaScript;Python;Ruby</v>
      </c>
      <c r="C2827" s="9" t="str">
        <f>IFERROR(__xludf.DUMMYFUNCTION("""COMPUTED_VALUE"""),"JavaScript")</f>
        <v>JavaScript</v>
      </c>
      <c r="D2827" s="9" t="str">
        <f>IFERROR(__xludf.DUMMYFUNCTION("""COMPUTED_VALUE"""),"R")</f>
        <v>R</v>
      </c>
      <c r="E2827" s="9" t="str">
        <f>IFERROR(__xludf.DUMMYFUNCTION("""COMPUTED_VALUE"""),"SQL")</f>
        <v>SQL</v>
      </c>
      <c r="F2827" s="9" t="str">
        <f>IFERROR(__xludf.DUMMYFUNCTION("""COMPUTED_VALUE"""),"Java")</f>
        <v>Java</v>
      </c>
      <c r="G2827" s="9" t="str">
        <f>IFERROR(__xludf.DUMMYFUNCTION("""COMPUTED_VALUE"""),"Clojure")</f>
        <v>Clojure</v>
      </c>
      <c r="H2827" s="9" t="str">
        <f>IFERROR(__xludf.DUMMYFUNCTION("""COMPUTED_VALUE"""),"SQL")</f>
        <v>SQL</v>
      </c>
      <c r="I2827" s="9" t="str">
        <f>IFERROR(__xludf.DUMMYFUNCTION("""COMPUTED_VALUE"""),"HTML/CSS")</f>
        <v>HTML/CSS</v>
      </c>
      <c r="J2827" s="9" t="str">
        <f>IFERROR(__xludf.DUMMYFUNCTION("""COMPUTED_VALUE"""),"TypeScript")</f>
        <v>TypeScript</v>
      </c>
      <c r="K2827" s="9" t="str">
        <f>IFERROR(__xludf.DUMMYFUNCTION("""COMPUTED_VALUE"""),"Java")</f>
        <v>Java</v>
      </c>
      <c r="L2827" s="9" t="str">
        <f>IFERROR(__xludf.DUMMYFUNCTION("""COMPUTED_VALUE"""),"JavaScript")</f>
        <v>JavaScript</v>
      </c>
      <c r="M2827" s="9" t="s">
        <v>21</v>
      </c>
    </row>
    <row r="2828" ht="15.75" customHeight="1">
      <c r="A2828" s="7"/>
      <c r="B2828" s="7" t="str">
        <f>IFERROR(__xludf.DUMMYFUNCTION("""COMPUTED_VALUE"""),"Dart;Java;JavaScript;SQL;TypeScript")</f>
        <v>Dart;Java;JavaScript;SQL;TypeScript</v>
      </c>
      <c r="C2828" s="9" t="str">
        <f>IFERROR(__xludf.DUMMYFUNCTION("""COMPUTED_VALUE"""),"SQL")</f>
        <v>SQL</v>
      </c>
      <c r="D2828" s="9" t="str">
        <f>IFERROR(__xludf.DUMMYFUNCTION("""COMPUTED_VALUE"""),"SQL")</f>
        <v>SQL</v>
      </c>
      <c r="E2828" s="9" t="str">
        <f>IFERROR(__xludf.DUMMYFUNCTION("""COMPUTED_VALUE"""),"Bash/Shell/PowerShell")</f>
        <v>Bash/Shell/PowerShell</v>
      </c>
      <c r="F2828" s="9" t="str">
        <f>IFERROR(__xludf.DUMMYFUNCTION("""COMPUTED_VALUE"""),"JavaScript")</f>
        <v>JavaScript</v>
      </c>
      <c r="G2828" s="9" t="str">
        <f>IFERROR(__xludf.DUMMYFUNCTION("""COMPUTED_VALUE"""),"HTML/CSS")</f>
        <v>HTML/CSS</v>
      </c>
      <c r="H2828" s="9" t="str">
        <f>IFERROR(__xludf.DUMMYFUNCTION("""COMPUTED_VALUE"""),"TypeScript")</f>
        <v>TypeScript</v>
      </c>
      <c r="I2828" s="9" t="str">
        <f>IFERROR(__xludf.DUMMYFUNCTION("""COMPUTED_VALUE"""),"JavaScript")</f>
        <v>JavaScript</v>
      </c>
      <c r="J2828" s="9" t="str">
        <f>IFERROR(__xludf.DUMMYFUNCTION("""COMPUTED_VALUE"""),"HTML/CSS")</f>
        <v>HTML/CSS</v>
      </c>
      <c r="K2828" s="9" t="str">
        <f>IFERROR(__xludf.DUMMYFUNCTION("""COMPUTED_VALUE"""),"JavaScript")</f>
        <v>JavaScript</v>
      </c>
      <c r="L2828" s="9" t="str">
        <f>IFERROR(__xludf.DUMMYFUNCTION("""COMPUTED_VALUE"""),"PHP")</f>
        <v>PHP</v>
      </c>
      <c r="M2828" s="9" t="s">
        <v>27</v>
      </c>
    </row>
    <row r="2829" ht="15.75" customHeight="1">
      <c r="A2829" s="7"/>
      <c r="B2829" s="7" t="str">
        <f>IFERROR(__xludf.DUMMYFUNCTION("""COMPUTED_VALUE"""),"JavaScript;Python;TypeScript")</f>
        <v>JavaScript;Python;TypeScript</v>
      </c>
      <c r="C2829" s="9" t="str">
        <f>IFERROR(__xludf.DUMMYFUNCTION("""COMPUTED_VALUE"""),"Swift")</f>
        <v>Swift</v>
      </c>
      <c r="D2829" s="9" t="str">
        <f>IFERROR(__xludf.DUMMYFUNCTION("""COMPUTED_VALUE"""),"C#")</f>
        <v>C#</v>
      </c>
      <c r="E2829" s="9" t="str">
        <f>IFERROR(__xludf.DUMMYFUNCTION("""COMPUTED_VALUE"""),"C#")</f>
        <v>C#</v>
      </c>
      <c r="F2829" s="9" t="str">
        <f>IFERROR(__xludf.DUMMYFUNCTION("""COMPUTED_VALUE"""),"PHP")</f>
        <v>PHP</v>
      </c>
      <c r="G2829" s="9" t="str">
        <f>IFERROR(__xludf.DUMMYFUNCTION("""COMPUTED_VALUE"""),"JavaScript")</f>
        <v>JavaScript</v>
      </c>
      <c r="H2829" s="9" t="str">
        <f>IFERROR(__xludf.DUMMYFUNCTION("""COMPUTED_VALUE"""),"C")</f>
        <v>C</v>
      </c>
      <c r="I2829" s="9" t="str">
        <f>IFERROR(__xludf.DUMMYFUNCTION("""COMPUTED_VALUE"""),"SQL")</f>
        <v>SQL</v>
      </c>
      <c r="J2829" s="9" t="str">
        <f>IFERROR(__xludf.DUMMYFUNCTION("""COMPUTED_VALUE"""),"PHP")</f>
        <v>PHP</v>
      </c>
      <c r="K2829" s="9" t="str">
        <f>IFERROR(__xludf.DUMMYFUNCTION("""COMPUTED_VALUE"""),"Kotlin")</f>
        <v>Kotlin</v>
      </c>
      <c r="L2829" s="9" t="str">
        <f>IFERROR(__xludf.DUMMYFUNCTION("""COMPUTED_VALUE"""),"SQL")</f>
        <v>SQL</v>
      </c>
      <c r="M2829" s="9" t="s">
        <v>40</v>
      </c>
    </row>
    <row r="2830" ht="15.75" customHeight="1">
      <c r="A2830" s="7"/>
      <c r="B2830" s="7" t="str">
        <f>IFERROR(__xludf.DUMMYFUNCTION("""COMPUTED_VALUE"""),"HTML/CSS;JavaScript;Ruby;SQL")</f>
        <v>HTML/CSS;JavaScript;Ruby;SQL</v>
      </c>
      <c r="C2830" s="9" t="str">
        <f>IFERROR(__xludf.DUMMYFUNCTION("""COMPUTED_VALUE"""),"Bash/Shell/PowerShell")</f>
        <v>Bash/Shell/PowerShell</v>
      </c>
      <c r="D2830" s="9" t="str">
        <f>IFERROR(__xludf.DUMMYFUNCTION("""COMPUTED_VALUE"""),"HTML/CSS")</f>
        <v>HTML/CSS</v>
      </c>
      <c r="E2830" s="9" t="str">
        <f>IFERROR(__xludf.DUMMYFUNCTION("""COMPUTED_VALUE"""),"HTML/CSS")</f>
        <v>HTML/CSS</v>
      </c>
      <c r="F2830" s="9" t="str">
        <f>IFERROR(__xludf.DUMMYFUNCTION("""COMPUTED_VALUE"""),"Python")</f>
        <v>Python</v>
      </c>
      <c r="G2830" s="9" t="str">
        <f>IFERROR(__xludf.DUMMYFUNCTION("""COMPUTED_VALUE"""),"Ruby")</f>
        <v>Ruby</v>
      </c>
      <c r="H2830" s="9" t="str">
        <f>IFERROR(__xludf.DUMMYFUNCTION("""COMPUTED_VALUE"""),"C++")</f>
        <v>C++</v>
      </c>
      <c r="I2830" s="9" t="str">
        <f>IFERROR(__xludf.DUMMYFUNCTION("""COMPUTED_VALUE"""),"Bash/Shell/PowerShell")</f>
        <v>Bash/Shell/PowerShell</v>
      </c>
      <c r="J2830" s="9" t="str">
        <f>IFERROR(__xludf.DUMMYFUNCTION("""COMPUTED_VALUE"""),"Python")</f>
        <v>Python</v>
      </c>
      <c r="K2830" s="9" t="str">
        <f>IFERROR(__xludf.DUMMYFUNCTION("""COMPUTED_VALUE"""),"Go")</f>
        <v>Go</v>
      </c>
      <c r="L2830" s="9" t="str">
        <f>IFERROR(__xludf.DUMMYFUNCTION("""COMPUTED_VALUE"""),"Bash/Shell/PowerShell")</f>
        <v>Bash/Shell/PowerShell</v>
      </c>
      <c r="M2830" s="9" t="s">
        <v>30</v>
      </c>
    </row>
    <row r="2831" ht="15.75" customHeight="1">
      <c r="A2831" s="7"/>
      <c r="B2831" s="7" t="str">
        <f>IFERROR(__xludf.DUMMYFUNCTION("""COMPUTED_VALUE"""),"Python;SQL")</f>
        <v>Python;SQL</v>
      </c>
      <c r="C2831" s="9" t="str">
        <f>IFERROR(__xludf.DUMMYFUNCTION("""COMPUTED_VALUE"""),"C++")</f>
        <v>C++</v>
      </c>
      <c r="D2831" s="9" t="str">
        <f>IFERROR(__xludf.DUMMYFUNCTION("""COMPUTED_VALUE"""),"Java")</f>
        <v>Java</v>
      </c>
      <c r="E2831" s="9" t="str">
        <f>IFERROR(__xludf.DUMMYFUNCTION("""COMPUTED_VALUE"""),"Java")</f>
        <v>Java</v>
      </c>
      <c r="F2831" s="9" t="str">
        <f>IFERROR(__xludf.DUMMYFUNCTION("""COMPUTED_VALUE"""),"SQL")</f>
        <v>SQL</v>
      </c>
      <c r="G2831" s="9" t="str">
        <f>IFERROR(__xludf.DUMMYFUNCTION("""COMPUTED_VALUE"""),"C#")</f>
        <v>C#</v>
      </c>
      <c r="H2831" s="9" t="str">
        <f>IFERROR(__xludf.DUMMYFUNCTION("""COMPUTED_VALUE"""),"Java")</f>
        <v>Java</v>
      </c>
      <c r="I2831" s="9" t="str">
        <f>IFERROR(__xludf.DUMMYFUNCTION("""COMPUTED_VALUE"""),"C++")</f>
        <v>C++</v>
      </c>
      <c r="J2831" s="9" t="str">
        <f>IFERROR(__xludf.DUMMYFUNCTION("""COMPUTED_VALUE"""),"Bash/Shell/PowerShell")</f>
        <v>Bash/Shell/PowerShell</v>
      </c>
      <c r="K2831" s="9" t="str">
        <f>IFERROR(__xludf.DUMMYFUNCTION("""COMPUTED_VALUE"""),"JavaScript")</f>
        <v>JavaScript</v>
      </c>
      <c r="L2831" s="9" t="str">
        <f>IFERROR(__xludf.DUMMYFUNCTION("""COMPUTED_VALUE"""),"C")</f>
        <v>C</v>
      </c>
      <c r="M2831" s="9" t="s">
        <v>23</v>
      </c>
    </row>
    <row r="2832" ht="15.75" customHeight="1">
      <c r="A2832" s="7"/>
      <c r="B2832" s="7" t="str">
        <f>IFERROR(__xludf.DUMMYFUNCTION("""COMPUTED_VALUE"""),"C++")</f>
        <v>C++</v>
      </c>
      <c r="C2832" s="9" t="str">
        <f>IFERROR(__xludf.DUMMYFUNCTION("""COMPUTED_VALUE"""),"C#")</f>
        <v>C#</v>
      </c>
      <c r="D2832" s="9" t="str">
        <f>IFERROR(__xludf.DUMMYFUNCTION("""COMPUTED_VALUE"""),"Python")</f>
        <v>Python</v>
      </c>
      <c r="E2832" s="9" t="str">
        <f>IFERROR(__xludf.DUMMYFUNCTION("""COMPUTED_VALUE"""),"JavaScript")</f>
        <v>JavaScript</v>
      </c>
      <c r="F2832" s="9" t="str">
        <f>IFERROR(__xludf.DUMMYFUNCTION("""COMPUTED_VALUE"""),"TypeScript")</f>
        <v>TypeScript</v>
      </c>
      <c r="G2832" s="9" t="str">
        <f>IFERROR(__xludf.DUMMYFUNCTION("""COMPUTED_VALUE"""),"HTML/CSS")</f>
        <v>HTML/CSS</v>
      </c>
      <c r="H2832" s="9" t="str">
        <f>IFERROR(__xludf.DUMMYFUNCTION("""COMPUTED_VALUE"""),"JavaScript")</f>
        <v>JavaScript</v>
      </c>
      <c r="I2832" s="9" t="str">
        <f>IFERROR(__xludf.DUMMYFUNCTION("""COMPUTED_VALUE"""),"HTML/CSS")</f>
        <v>HTML/CSS</v>
      </c>
      <c r="J2832" s="9" t="str">
        <f>IFERROR(__xludf.DUMMYFUNCTION("""COMPUTED_VALUE"""),"HTML/CSS")</f>
        <v>HTML/CSS</v>
      </c>
      <c r="K2832" s="9" t="str">
        <f>IFERROR(__xludf.DUMMYFUNCTION("""COMPUTED_VALUE"""),"SQL")</f>
        <v>SQL</v>
      </c>
      <c r="L2832" s="9" t="str">
        <f>IFERROR(__xludf.DUMMYFUNCTION("""COMPUTED_VALUE"""),"Erlang")</f>
        <v>Erlang</v>
      </c>
      <c r="M2832" s="9" t="s">
        <v>26</v>
      </c>
    </row>
    <row r="2833" ht="15.75" customHeight="1">
      <c r="A2833" s="7"/>
      <c r="B2833" s="7" t="str">
        <f>IFERROR(__xludf.DUMMYFUNCTION("""COMPUTED_VALUE"""),"C++;HTML/CSS;Java;PHP;SQL")</f>
        <v>C++;HTML/CSS;Java;PHP;SQL</v>
      </c>
      <c r="C2833" s="9" t="str">
        <f>IFERROR(__xludf.DUMMYFUNCTION("""COMPUTED_VALUE"""),"HTML/CSS")</f>
        <v>HTML/CSS</v>
      </c>
      <c r="D2833" s="9" t="str">
        <f>IFERROR(__xludf.DUMMYFUNCTION("""COMPUTED_VALUE"""),"Bash/Shell/PowerShell")</f>
        <v>Bash/Shell/PowerShell</v>
      </c>
      <c r="E2833" s="9" t="str">
        <f>IFERROR(__xludf.DUMMYFUNCTION("""COMPUTED_VALUE"""),"Rust")</f>
        <v>Rust</v>
      </c>
      <c r="F2833" s="9" t="str">
        <f>IFERROR(__xludf.DUMMYFUNCTION("""COMPUTED_VALUE"""),"HTML/CSS")</f>
        <v>HTML/CSS</v>
      </c>
      <c r="G2833" s="9" t="str">
        <f>IFERROR(__xludf.DUMMYFUNCTION("""COMPUTED_VALUE"""),"Java")</f>
        <v>Java</v>
      </c>
      <c r="H2833" s="9" t="str">
        <f>IFERROR(__xludf.DUMMYFUNCTION("""COMPUTED_VALUE"""),"Python")</f>
        <v>Python</v>
      </c>
      <c r="I2833" s="9" t="str">
        <f>IFERROR(__xludf.DUMMYFUNCTION("""COMPUTED_VALUE"""),"Java")</f>
        <v>Java</v>
      </c>
      <c r="J2833" s="9" t="str">
        <f>IFERROR(__xludf.DUMMYFUNCTION("""COMPUTED_VALUE"""),"JavaScript")</f>
        <v>JavaScript</v>
      </c>
      <c r="K2833" s="9" t="str">
        <f>IFERROR(__xludf.DUMMYFUNCTION("""COMPUTED_VALUE"""),"TypeScript")</f>
        <v>TypeScript</v>
      </c>
      <c r="L2833" s="9" t="str">
        <f>IFERROR(__xludf.DUMMYFUNCTION("""COMPUTED_VALUE"""),"HTML/CSS")</f>
        <v>HTML/CSS</v>
      </c>
      <c r="M2833" s="9" t="s">
        <v>24</v>
      </c>
    </row>
    <row r="2834" ht="15.75" customHeight="1">
      <c r="A2834" s="7"/>
      <c r="B2834" s="7" t="str">
        <f>IFERROR(__xludf.DUMMYFUNCTION("""COMPUTED_VALUE"""),"Bash/Shell/PowerShell;C#;Python;SQL")</f>
        <v>Bash/Shell/PowerShell;C#;Python;SQL</v>
      </c>
      <c r="C2834" s="9" t="str">
        <f>IFERROR(__xludf.DUMMYFUNCTION("""COMPUTED_VALUE"""),"Java")</f>
        <v>Java</v>
      </c>
      <c r="D2834" s="9" t="str">
        <f>IFERROR(__xludf.DUMMYFUNCTION("""COMPUTED_VALUE"""),"C")</f>
        <v>C</v>
      </c>
      <c r="E2834" s="9" t="str">
        <f>IFERROR(__xludf.DUMMYFUNCTION("""COMPUTED_VALUE"""),"SQL")</f>
        <v>SQL</v>
      </c>
      <c r="F2834" s="9" t="str">
        <f>IFERROR(__xludf.DUMMYFUNCTION("""COMPUTED_VALUE"""),"Java")</f>
        <v>Java</v>
      </c>
      <c r="G2834" s="9" t="str">
        <f>IFERROR(__xludf.DUMMYFUNCTION("""COMPUTED_VALUE"""),"JavaScript")</f>
        <v>JavaScript</v>
      </c>
      <c r="H2834" s="9" t="str">
        <f>IFERROR(__xludf.DUMMYFUNCTION("""COMPUTED_VALUE"""),"SQL")</f>
        <v>SQL</v>
      </c>
      <c r="I2834" s="9" t="str">
        <f>IFERROR(__xludf.DUMMYFUNCTION("""COMPUTED_VALUE"""),"JavaScript")</f>
        <v>JavaScript</v>
      </c>
      <c r="J2834" s="9" t="str">
        <f>IFERROR(__xludf.DUMMYFUNCTION("""COMPUTED_VALUE"""),"Python")</f>
        <v>Python</v>
      </c>
      <c r="K2834" s="9" t="str">
        <f>IFERROR(__xludf.DUMMYFUNCTION("""COMPUTED_VALUE"""),"Java")</f>
        <v>Java</v>
      </c>
      <c r="L2834" s="9" t="str">
        <f>IFERROR(__xludf.DUMMYFUNCTION("""COMPUTED_VALUE"""),"Java")</f>
        <v>Java</v>
      </c>
      <c r="M2834" s="9" t="s">
        <v>20</v>
      </c>
    </row>
    <row r="2835" ht="15.75" customHeight="1">
      <c r="A2835" s="7"/>
      <c r="B2835" s="7" t="str">
        <f>IFERROR(__xludf.DUMMYFUNCTION("""COMPUTED_VALUE"""),"C#;HTML/CSS;JavaScript")</f>
        <v>C#;HTML/CSS;JavaScript</v>
      </c>
      <c r="C2835" s="9" t="str">
        <f>IFERROR(__xludf.DUMMYFUNCTION("""COMPUTED_VALUE"""),"JavaScript")</f>
        <v>JavaScript</v>
      </c>
      <c r="D2835" s="9" t="str">
        <f>IFERROR(__xludf.DUMMYFUNCTION("""COMPUTED_VALUE"""),"C++")</f>
        <v>C++</v>
      </c>
      <c r="E2835" s="9" t="str">
        <f>IFERROR(__xludf.DUMMYFUNCTION("""COMPUTED_VALUE"""),"TypeScript")</f>
        <v>TypeScript</v>
      </c>
      <c r="F2835" s="9" t="str">
        <f>IFERROR(__xludf.DUMMYFUNCTION("""COMPUTED_VALUE"""),"JavaScript")</f>
        <v>JavaScript</v>
      </c>
      <c r="G2835" s="9" t="str">
        <f>IFERROR(__xludf.DUMMYFUNCTION("""COMPUTED_VALUE"""),"Python")</f>
        <v>Python</v>
      </c>
      <c r="H2835" s="9" t="str">
        <f>IFERROR(__xludf.DUMMYFUNCTION("""COMPUTED_VALUE"""),"Ruby")</f>
        <v>Ruby</v>
      </c>
      <c r="I2835" s="9" t="str">
        <f>IFERROR(__xludf.DUMMYFUNCTION("""COMPUTED_VALUE"""),"Kotlin")</f>
        <v>Kotlin</v>
      </c>
      <c r="J2835" s="9" t="str">
        <f>IFERROR(__xludf.DUMMYFUNCTION("""COMPUTED_VALUE"""),"R")</f>
        <v>R</v>
      </c>
      <c r="K2835" s="9" t="str">
        <f>IFERROR(__xludf.DUMMYFUNCTION("""COMPUTED_VALUE"""),"Bash/Shell/PowerShell")</f>
        <v>Bash/Shell/PowerShell</v>
      </c>
      <c r="L2835" s="9" t="str">
        <f>IFERROR(__xludf.DUMMYFUNCTION("""COMPUTED_VALUE"""),"JavaScript")</f>
        <v>JavaScript</v>
      </c>
      <c r="M2835" s="9" t="s">
        <v>21</v>
      </c>
    </row>
    <row r="2836" ht="15.75" customHeight="1">
      <c r="A2836" s="7"/>
      <c r="B2836" s="7" t="str">
        <f>IFERROR(__xludf.DUMMYFUNCTION("""COMPUTED_VALUE"""),"C;C++;HTML/CSS;Java;Python;SQL")</f>
        <v>C;C++;HTML/CSS;Java;Python;SQL</v>
      </c>
      <c r="C2836" s="9" t="str">
        <f>IFERROR(__xludf.DUMMYFUNCTION("""COMPUTED_VALUE"""),"Python")</f>
        <v>Python</v>
      </c>
      <c r="D2836" s="9" t="str">
        <f>IFERROR(__xludf.DUMMYFUNCTION("""COMPUTED_VALUE"""),"C#")</f>
        <v>C#</v>
      </c>
      <c r="E2836" s="9" t="str">
        <f>IFERROR(__xludf.DUMMYFUNCTION("""COMPUTED_VALUE"""),"HTML/CSS")</f>
        <v>HTML/CSS</v>
      </c>
      <c r="F2836" s="9" t="str">
        <f>IFERROR(__xludf.DUMMYFUNCTION("""COMPUTED_VALUE"""),"Python")</f>
        <v>Python</v>
      </c>
      <c r="G2836" s="9" t="str">
        <f>IFERROR(__xludf.DUMMYFUNCTION("""COMPUTED_VALUE"""),"TypeScript")</f>
        <v>TypeScript</v>
      </c>
      <c r="H2836" s="9" t="str">
        <f>IFERROR(__xludf.DUMMYFUNCTION("""COMPUTED_VALUE"""),"C++")</f>
        <v>C++</v>
      </c>
      <c r="I2836" s="9" t="str">
        <f>IFERROR(__xludf.DUMMYFUNCTION("""COMPUTED_VALUE"""),"Objective-C")</f>
        <v>Objective-C</v>
      </c>
      <c r="J2836" s="9" t="str">
        <f>IFERROR(__xludf.DUMMYFUNCTION("""COMPUTED_VALUE"""),"SQL")</f>
        <v>SQL</v>
      </c>
      <c r="K2836" s="9" t="str">
        <f>IFERROR(__xludf.DUMMYFUNCTION("""COMPUTED_VALUE"""),"HTML/CSS")</f>
        <v>HTML/CSS</v>
      </c>
      <c r="L2836" s="9" t="str">
        <f>IFERROR(__xludf.DUMMYFUNCTION("""COMPUTED_VALUE"""),"Kotlin")</f>
        <v>Kotlin</v>
      </c>
      <c r="M2836" s="9" t="s">
        <v>22</v>
      </c>
    </row>
    <row r="2837" ht="15.75" customHeight="1">
      <c r="A2837" s="7"/>
      <c r="B2837" s="7" t="str">
        <f>IFERROR(__xludf.DUMMYFUNCTION("""COMPUTED_VALUE"""),"Bash/Shell/PowerShell;HTML/CSS;JavaScript;PHP")</f>
        <v>Bash/Shell/PowerShell;HTML/CSS;JavaScript;PHP</v>
      </c>
      <c r="C2837" s="9" t="str">
        <f>IFERROR(__xludf.DUMMYFUNCTION("""COMPUTED_VALUE"""),"Bash/Shell/PowerShell")</f>
        <v>Bash/Shell/PowerShell</v>
      </c>
      <c r="D2837" s="9" t="str">
        <f>IFERROR(__xludf.DUMMYFUNCTION("""COMPUTED_VALUE"""),"Python")</f>
        <v>Python</v>
      </c>
      <c r="E2837" s="9" t="str">
        <f>IFERROR(__xludf.DUMMYFUNCTION("""COMPUTED_VALUE"""),"JavaScript")</f>
        <v>JavaScript</v>
      </c>
      <c r="F2837" s="9" t="str">
        <f>IFERROR(__xludf.DUMMYFUNCTION("""COMPUTED_VALUE"""),"SQL")</f>
        <v>SQL</v>
      </c>
      <c r="G2837" s="9" t="str">
        <f>IFERROR(__xludf.DUMMYFUNCTION("""COMPUTED_VALUE"""),"Bash/Shell/PowerShell")</f>
        <v>Bash/Shell/PowerShell</v>
      </c>
      <c r="H2837" s="9" t="str">
        <f>IFERROR(__xludf.DUMMYFUNCTION("""COMPUTED_VALUE"""),"HTML/CSS")</f>
        <v>HTML/CSS</v>
      </c>
      <c r="I2837" s="9" t="str">
        <f>IFERROR(__xludf.DUMMYFUNCTION("""COMPUTED_VALUE"""),"Python")</f>
        <v>Python</v>
      </c>
      <c r="J2837" s="9" t="str">
        <f>IFERROR(__xludf.DUMMYFUNCTION("""COMPUTED_VALUE"""),"Bash/Shell/PowerShell")</f>
        <v>Bash/Shell/PowerShell</v>
      </c>
      <c r="K2837" s="9" t="str">
        <f>IFERROR(__xludf.DUMMYFUNCTION("""COMPUTED_VALUE"""),"JavaScript")</f>
        <v>JavaScript</v>
      </c>
      <c r="L2837" s="9" t="str">
        <f>IFERROR(__xludf.DUMMYFUNCTION("""COMPUTED_VALUE"""),"Python")</f>
        <v>Python</v>
      </c>
      <c r="M2837" s="9" t="s">
        <v>30</v>
      </c>
    </row>
    <row r="2838" ht="15.75" customHeight="1">
      <c r="A2838" s="7"/>
      <c r="B2838" s="7" t="str">
        <f>IFERROR(__xludf.DUMMYFUNCTION("""COMPUTED_VALUE"""),"Java;Python;R;SQL;VBA")</f>
        <v>Java;Python;R;SQL;VBA</v>
      </c>
      <c r="C2838" s="9" t="str">
        <f>IFERROR(__xludf.DUMMYFUNCTION("""COMPUTED_VALUE"""),"HTML/CSS")</f>
        <v>HTML/CSS</v>
      </c>
      <c r="D2838" s="9" t="str">
        <f>IFERROR(__xludf.DUMMYFUNCTION("""COMPUTED_VALUE"""),"Swift")</f>
        <v>Swift</v>
      </c>
      <c r="E2838" s="9" t="str">
        <f>IFERROR(__xludf.DUMMYFUNCTION("""COMPUTED_VALUE"""),"PHP")</f>
        <v>PHP</v>
      </c>
      <c r="F2838" s="9" t="str">
        <f>IFERROR(__xludf.DUMMYFUNCTION("""COMPUTED_VALUE"""),"Assembly")</f>
        <v>Assembly</v>
      </c>
      <c r="G2838" s="9" t="str">
        <f>IFERROR(__xludf.DUMMYFUNCTION("""COMPUTED_VALUE"""),"C")</f>
        <v>C</v>
      </c>
      <c r="H2838" s="9" t="str">
        <f>IFERROR(__xludf.DUMMYFUNCTION("""COMPUTED_VALUE"""),"Java")</f>
        <v>Java</v>
      </c>
      <c r="I2838" s="9" t="str">
        <f>IFERROR(__xludf.DUMMYFUNCTION("""COMPUTED_VALUE"""),"SQL")</f>
        <v>SQL</v>
      </c>
      <c r="J2838" s="9" t="str">
        <f>IFERROR(__xludf.DUMMYFUNCTION("""COMPUTED_VALUE"""),"C")</f>
        <v>C</v>
      </c>
      <c r="K2838" s="9" t="str">
        <f>IFERROR(__xludf.DUMMYFUNCTION("""COMPUTED_VALUE"""),"PHP")</f>
        <v>PHP</v>
      </c>
      <c r="L2838" s="9" t="str">
        <f>IFERROR(__xludf.DUMMYFUNCTION("""COMPUTED_VALUE"""),"R")</f>
        <v>R</v>
      </c>
      <c r="M2838" s="9" t="s">
        <v>24</v>
      </c>
    </row>
    <row r="2839" ht="15.75" customHeight="1">
      <c r="A2839" s="7"/>
      <c r="B2839" s="7" t="str">
        <f>IFERROR(__xludf.DUMMYFUNCTION("""COMPUTED_VALUE"""),"Assembly;Java")</f>
        <v>Assembly;Java</v>
      </c>
      <c r="C2839" s="9" t="str">
        <f>IFERROR(__xludf.DUMMYFUNCTION("""COMPUTED_VALUE"""),"Java")</f>
        <v>Java</v>
      </c>
      <c r="D2839" s="9" t="str">
        <f>IFERROR(__xludf.DUMMYFUNCTION("""COMPUTED_VALUE"""),"HTML/CSS")</f>
        <v>HTML/CSS</v>
      </c>
      <c r="E2839" s="9" t="str">
        <f>IFERROR(__xludf.DUMMYFUNCTION("""COMPUTED_VALUE"""),"Ruby")</f>
        <v>Ruby</v>
      </c>
      <c r="F2839" s="9" t="str">
        <f>IFERROR(__xludf.DUMMYFUNCTION("""COMPUTED_VALUE"""),"C++")</f>
        <v>C++</v>
      </c>
      <c r="G2839" s="9" t="str">
        <f>IFERROR(__xludf.DUMMYFUNCTION("""COMPUTED_VALUE"""),"C++")</f>
        <v>C++</v>
      </c>
      <c r="H2839" s="9" t="str">
        <f>IFERROR(__xludf.DUMMYFUNCTION("""COMPUTED_VALUE"""),"JavaScript")</f>
        <v>JavaScript</v>
      </c>
      <c r="I2839" s="9" t="str">
        <f>IFERROR(__xludf.DUMMYFUNCTION("""COMPUTED_VALUE"""),"Swift")</f>
        <v>Swift</v>
      </c>
      <c r="J2839" s="9" t="str">
        <f>IFERROR(__xludf.DUMMYFUNCTION("""COMPUTED_VALUE"""),"Java")</f>
        <v>Java</v>
      </c>
      <c r="K2839" s="9" t="str">
        <f>IFERROR(__xludf.DUMMYFUNCTION("""COMPUTED_VALUE"""),"SQL")</f>
        <v>SQL</v>
      </c>
      <c r="L2839" s="9" t="str">
        <f>IFERROR(__xludf.DUMMYFUNCTION("""COMPUTED_VALUE"""),"SQL")</f>
        <v>SQL</v>
      </c>
      <c r="M2839" s="9" t="s">
        <v>20</v>
      </c>
    </row>
    <row r="2840" ht="15.75" customHeight="1">
      <c r="A2840" s="7"/>
      <c r="B2840" s="7" t="str">
        <f>IFERROR(__xludf.DUMMYFUNCTION("""COMPUTED_VALUE"""),"C;C++;HTML/CSS;JavaScript;Python;SQL")</f>
        <v>C;C++;HTML/CSS;JavaScript;Python;SQL</v>
      </c>
      <c r="C2840" s="9" t="str">
        <f>IFERROR(__xludf.DUMMYFUNCTION("""COMPUTED_VALUE"""),"JavaScript")</f>
        <v>JavaScript</v>
      </c>
      <c r="D2840" s="9" t="str">
        <f>IFERROR(__xludf.DUMMYFUNCTION("""COMPUTED_VALUE"""),"Java")</f>
        <v>Java</v>
      </c>
      <c r="E2840" s="9" t="str">
        <f>IFERROR(__xludf.DUMMYFUNCTION("""COMPUTED_VALUE"""),"Assembly")</f>
        <v>Assembly</v>
      </c>
      <c r="F2840" s="9" t="str">
        <f>IFERROR(__xludf.DUMMYFUNCTION("""COMPUTED_VALUE"""),"HTML/CSS")</f>
        <v>HTML/CSS</v>
      </c>
      <c r="G2840" s="9" t="str">
        <f>IFERROR(__xludf.DUMMYFUNCTION("""COMPUTED_VALUE"""),"HTML/CSS")</f>
        <v>HTML/CSS</v>
      </c>
      <c r="H2840" s="9" t="str">
        <f>IFERROR(__xludf.DUMMYFUNCTION("""COMPUTED_VALUE"""),"PHP")</f>
        <v>PHP</v>
      </c>
      <c r="I2840" s="9" t="str">
        <f>IFERROR(__xludf.DUMMYFUNCTION("""COMPUTED_VALUE"""),"Bash/Shell/PowerShell")</f>
        <v>Bash/Shell/PowerShell</v>
      </c>
      <c r="J2840" s="9" t="str">
        <f>IFERROR(__xludf.DUMMYFUNCTION("""COMPUTED_VALUE"""),"Kotlin")</f>
        <v>Kotlin</v>
      </c>
      <c r="K2840" s="9" t="str">
        <f>IFERROR(__xludf.DUMMYFUNCTION("""COMPUTED_VALUE"""),"TypeScript")</f>
        <v>TypeScript</v>
      </c>
      <c r="L2840" s="9" t="str">
        <f>IFERROR(__xludf.DUMMYFUNCTION("""COMPUTED_VALUE"""),"Java")</f>
        <v>Java</v>
      </c>
      <c r="M2840" s="9" t="s">
        <v>21</v>
      </c>
    </row>
    <row r="2841" ht="15.75" customHeight="1">
      <c r="A2841" s="7"/>
      <c r="B2841" s="7" t="str">
        <f>IFERROR(__xludf.DUMMYFUNCTION("""COMPUTED_VALUE"""),"C#;HTML/CSS;JavaScript;SQL")</f>
        <v>C#;HTML/CSS;JavaScript;SQL</v>
      </c>
      <c r="C2841" s="9" t="str">
        <f>IFERROR(__xludf.DUMMYFUNCTION("""COMPUTED_VALUE"""),"Python")</f>
        <v>Python</v>
      </c>
      <c r="D2841" s="9" t="str">
        <f>IFERROR(__xludf.DUMMYFUNCTION("""COMPUTED_VALUE"""),"JavaScript")</f>
        <v>JavaScript</v>
      </c>
      <c r="E2841" s="9" t="str">
        <f>IFERROR(__xludf.DUMMYFUNCTION("""COMPUTED_VALUE"""),"Bash/Shell/PowerShell")</f>
        <v>Bash/Shell/PowerShell</v>
      </c>
      <c r="F2841" s="9" t="str">
        <f>IFERROR(__xludf.DUMMYFUNCTION("""COMPUTED_VALUE"""),"Java")</f>
        <v>Java</v>
      </c>
      <c r="G2841" s="9" t="str">
        <f>IFERROR(__xludf.DUMMYFUNCTION("""COMPUTED_VALUE"""),"Python")</f>
        <v>Python</v>
      </c>
      <c r="H2841" s="9" t="str">
        <f>IFERROR(__xludf.DUMMYFUNCTION("""COMPUTED_VALUE"""),"SQL")</f>
        <v>SQL</v>
      </c>
      <c r="I2841" s="9" t="str">
        <f>IFERROR(__xludf.DUMMYFUNCTION("""COMPUTED_VALUE"""),"C#")</f>
        <v>C#</v>
      </c>
      <c r="J2841" s="9" t="str">
        <f>IFERROR(__xludf.DUMMYFUNCTION("""COMPUTED_VALUE"""),"Python")</f>
        <v>Python</v>
      </c>
      <c r="K2841" s="9" t="str">
        <f>IFERROR(__xludf.DUMMYFUNCTION("""COMPUTED_VALUE"""),"Bash/Shell/PowerShell")</f>
        <v>Bash/Shell/PowerShell</v>
      </c>
      <c r="L2841" s="9" t="str">
        <f>IFERROR(__xludf.DUMMYFUNCTION("""COMPUTED_VALUE"""),"Swift")</f>
        <v>Swift</v>
      </c>
      <c r="M2841" s="9" t="s">
        <v>22</v>
      </c>
    </row>
    <row r="2842" ht="15.75" customHeight="1">
      <c r="A2842" s="7"/>
      <c r="B2842" s="7" t="str">
        <f>IFERROR(__xludf.DUMMYFUNCTION("""COMPUTED_VALUE"""),"HTML/CSS;JavaScript;Python;SQL")</f>
        <v>HTML/CSS;JavaScript;Python;SQL</v>
      </c>
      <c r="C2842" s="9" t="str">
        <f>IFERROR(__xludf.DUMMYFUNCTION("""COMPUTED_VALUE"""),"Scala")</f>
        <v>Scala</v>
      </c>
      <c r="D2842" s="9" t="str">
        <f>IFERROR(__xludf.DUMMYFUNCTION("""COMPUTED_VALUE"""),"PHP")</f>
        <v>PHP</v>
      </c>
      <c r="E2842" s="9" t="str">
        <f>IFERROR(__xludf.DUMMYFUNCTION("""COMPUTED_VALUE"""),"C")</f>
        <v>C</v>
      </c>
      <c r="F2842" s="9" t="str">
        <f>IFERROR(__xludf.DUMMYFUNCTION("""COMPUTED_VALUE"""),"JavaScript")</f>
        <v>JavaScript</v>
      </c>
      <c r="G2842" s="9" t="str">
        <f>IFERROR(__xludf.DUMMYFUNCTION("""COMPUTED_VALUE"""),"HTML/CSS")</f>
        <v>HTML/CSS</v>
      </c>
      <c r="H2842" s="9" t="str">
        <f>IFERROR(__xludf.DUMMYFUNCTION("""COMPUTED_VALUE"""),"WebAssembly")</f>
        <v>WebAssembly</v>
      </c>
      <c r="I2842" s="9" t="str">
        <f>IFERROR(__xludf.DUMMYFUNCTION("""COMPUTED_VALUE"""),"HTML/CSS")</f>
        <v>HTML/CSS</v>
      </c>
      <c r="J2842" s="9" t="str">
        <f>IFERROR(__xludf.DUMMYFUNCTION("""COMPUTED_VALUE"""),"Bash/Shell/PowerShell")</f>
        <v>Bash/Shell/PowerShell</v>
      </c>
      <c r="K2842" s="9" t="str">
        <f>IFERROR(__xludf.DUMMYFUNCTION("""COMPUTED_VALUE"""),"C")</f>
        <v>C</v>
      </c>
      <c r="L2842" s="9" t="str">
        <f>IFERROR(__xludf.DUMMYFUNCTION("""COMPUTED_VALUE"""),"Assembly")</f>
        <v>Assembly</v>
      </c>
      <c r="M2842" s="9" t="s">
        <v>46</v>
      </c>
    </row>
    <row r="2843" ht="15.75" customHeight="1">
      <c r="A2843" s="7"/>
      <c r="B2843" s="7" t="str">
        <f>IFERROR(__xludf.DUMMYFUNCTION("""COMPUTED_VALUE"""),"C#;HTML/CSS;Java;JavaScript;PHP;SQL")</f>
        <v>C#;HTML/CSS;Java;JavaScript;PHP;SQL</v>
      </c>
      <c r="C2843" s="9" t="str">
        <f>IFERROR(__xludf.DUMMYFUNCTION("""COMPUTED_VALUE"""),"SQL")</f>
        <v>SQL</v>
      </c>
      <c r="D2843" s="9" t="str">
        <f>IFERROR(__xludf.DUMMYFUNCTION("""COMPUTED_VALUE"""),"Python")</f>
        <v>Python</v>
      </c>
      <c r="E2843" s="9" t="str">
        <f>IFERROR(__xludf.DUMMYFUNCTION("""COMPUTED_VALUE"""),"C++")</f>
        <v>C++</v>
      </c>
      <c r="F2843" s="9" t="str">
        <f>IFERROR(__xludf.DUMMYFUNCTION("""COMPUTED_VALUE"""),"Python")</f>
        <v>Python</v>
      </c>
      <c r="G2843" s="9" t="str">
        <f>IFERROR(__xludf.DUMMYFUNCTION("""COMPUTED_VALUE"""),"Java")</f>
        <v>Java</v>
      </c>
      <c r="H2843" s="9" t="str">
        <f>IFERROR(__xludf.DUMMYFUNCTION("""COMPUTED_VALUE"""),"Assembly")</f>
        <v>Assembly</v>
      </c>
      <c r="I2843" s="9" t="str">
        <f>IFERROR(__xludf.DUMMYFUNCTION("""COMPUTED_VALUE"""),"JavaScript")</f>
        <v>JavaScript</v>
      </c>
      <c r="J2843" s="9" t="str">
        <f>IFERROR(__xludf.DUMMYFUNCTION("""COMPUTED_VALUE"""),"HTML/CSS")</f>
        <v>HTML/CSS</v>
      </c>
      <c r="K2843" s="9" t="str">
        <f>IFERROR(__xludf.DUMMYFUNCTION("""COMPUTED_VALUE"""),"Java")</f>
        <v>Java</v>
      </c>
      <c r="L2843" s="9" t="str">
        <f>IFERROR(__xludf.DUMMYFUNCTION("""COMPUTED_VALUE"""),"Bash/Shell/PowerShell")</f>
        <v>Bash/Shell/PowerShell</v>
      </c>
      <c r="M2843" s="9" t="s">
        <v>27</v>
      </c>
    </row>
    <row r="2844" ht="15.75" customHeight="1">
      <c r="A2844" s="7"/>
      <c r="B2844" s="7" t="str">
        <f>IFERROR(__xludf.DUMMYFUNCTION("""COMPUTED_VALUE"""),"Bash/Shell/PowerShell;HTML/CSS;JavaScript;Ruby")</f>
        <v>Bash/Shell/PowerShell;HTML/CSS;JavaScript;Ruby</v>
      </c>
      <c r="C2844" s="9" t="str">
        <f>IFERROR(__xludf.DUMMYFUNCTION("""COMPUTED_VALUE"""),"Bash/Shell/PowerShell")</f>
        <v>Bash/Shell/PowerShell</v>
      </c>
      <c r="D2844" s="9" t="str">
        <f>IFERROR(__xludf.DUMMYFUNCTION("""COMPUTED_VALUE"""),"SQL")</f>
        <v>SQL</v>
      </c>
      <c r="E2844" s="9" t="str">
        <f>IFERROR(__xludf.DUMMYFUNCTION("""COMPUTED_VALUE"""),"C#")</f>
        <v>C#</v>
      </c>
      <c r="F2844" s="9" t="str">
        <f>IFERROR(__xludf.DUMMYFUNCTION("""COMPUTED_VALUE"""),"SQL")</f>
        <v>SQL</v>
      </c>
      <c r="G2844" s="9" t="str">
        <f>IFERROR(__xludf.DUMMYFUNCTION("""COMPUTED_VALUE"""),"JavaScript")</f>
        <v>JavaScript</v>
      </c>
      <c r="H2844" s="9" t="str">
        <f>IFERROR(__xludf.DUMMYFUNCTION("""COMPUTED_VALUE"""),"Bash/Shell/PowerShell")</f>
        <v>Bash/Shell/PowerShell</v>
      </c>
      <c r="I2844" s="9" t="str">
        <f>IFERROR(__xludf.DUMMYFUNCTION("""COMPUTED_VALUE"""),"SQL")</f>
        <v>SQL</v>
      </c>
      <c r="J2844" s="9" t="str">
        <f>IFERROR(__xludf.DUMMYFUNCTION("""COMPUTED_VALUE"""),"JavaScript")</f>
        <v>JavaScript</v>
      </c>
      <c r="K2844" s="9" t="str">
        <f>IFERROR(__xludf.DUMMYFUNCTION("""COMPUTED_VALUE"""),"Python")</f>
        <v>Python</v>
      </c>
      <c r="L2844" s="9" t="str">
        <f>IFERROR(__xludf.DUMMYFUNCTION("""COMPUTED_VALUE"""),"C")</f>
        <v>C</v>
      </c>
      <c r="M2844" s="9" t="s">
        <v>30</v>
      </c>
    </row>
    <row r="2845" ht="15.75" customHeight="1">
      <c r="A2845" s="7"/>
      <c r="B2845" s="7" t="str">
        <f>IFERROR(__xludf.DUMMYFUNCTION("""COMPUTED_VALUE"""),"Bash/Shell/PowerShell;C#;HTML/CSS;JavaScript;Python;R;SQL")</f>
        <v>Bash/Shell/PowerShell;C#;HTML/CSS;JavaScript;Python;R;SQL</v>
      </c>
      <c r="C2845" s="9" t="str">
        <f>IFERROR(__xludf.DUMMYFUNCTION("""COMPUTED_VALUE"""),"HTML/CSS")</f>
        <v>HTML/CSS</v>
      </c>
      <c r="D2845" s="9" t="str">
        <f>IFERROR(__xludf.DUMMYFUNCTION("""COMPUTED_VALUE"""),"C#")</f>
        <v>C#</v>
      </c>
      <c r="E2845" s="9" t="str">
        <f>IFERROR(__xludf.DUMMYFUNCTION("""COMPUTED_VALUE"""),"HTML/CSS")</f>
        <v>HTML/CSS</v>
      </c>
      <c r="F2845" s="9" t="str">
        <f>IFERROR(__xludf.DUMMYFUNCTION("""COMPUTED_VALUE"""),"HTML/CSS")</f>
        <v>HTML/CSS</v>
      </c>
      <c r="G2845" s="9" t="str">
        <f>IFERROR(__xludf.DUMMYFUNCTION("""COMPUTED_VALUE"""),"Python")</f>
        <v>Python</v>
      </c>
      <c r="H2845" s="9" t="str">
        <f>IFERROR(__xludf.DUMMYFUNCTION("""COMPUTED_VALUE"""),"C")</f>
        <v>C</v>
      </c>
      <c r="I2845" s="9" t="str">
        <f>IFERROR(__xludf.DUMMYFUNCTION("""COMPUTED_VALUE"""),"TypeScript")</f>
        <v>TypeScript</v>
      </c>
      <c r="J2845" s="9" t="str">
        <f>IFERROR(__xludf.DUMMYFUNCTION("""COMPUTED_VALUE"""),"PHP")</f>
        <v>PHP</v>
      </c>
      <c r="K2845" s="9" t="str">
        <f>IFERROR(__xludf.DUMMYFUNCTION("""COMPUTED_VALUE"""),"R")</f>
        <v>R</v>
      </c>
      <c r="L2845" s="9" t="str">
        <f>IFERROR(__xludf.DUMMYFUNCTION("""COMPUTED_VALUE"""),"C++")</f>
        <v>C++</v>
      </c>
      <c r="M2845" s="9" t="s">
        <v>24</v>
      </c>
    </row>
    <row r="2846" ht="15.75" customHeight="1">
      <c r="A2846" s="7"/>
      <c r="B2846" s="7" t="str">
        <f>IFERROR(__xludf.DUMMYFUNCTION("""COMPUTED_VALUE"""),"HTML/CSS;Java;JavaScript")</f>
        <v>HTML/CSS;Java;JavaScript</v>
      </c>
      <c r="C2846" s="9" t="str">
        <f>IFERROR(__xludf.DUMMYFUNCTION("""COMPUTED_VALUE"""),"JavaScript")</f>
        <v>JavaScript</v>
      </c>
      <c r="D2846" s="9" t="str">
        <f>IFERROR(__xludf.DUMMYFUNCTION("""COMPUTED_VALUE"""),"JavaScript")</f>
        <v>JavaScript</v>
      </c>
      <c r="E2846" s="9" t="str">
        <f>IFERROR(__xludf.DUMMYFUNCTION("""COMPUTED_VALUE"""),"Java")</f>
        <v>Java</v>
      </c>
      <c r="F2846" s="9" t="str">
        <f>IFERROR(__xludf.DUMMYFUNCTION("""COMPUTED_VALUE"""),"JavaScript")</f>
        <v>JavaScript</v>
      </c>
      <c r="G2846" s="9" t="str">
        <f>IFERROR(__xludf.DUMMYFUNCTION("""COMPUTED_VALUE"""),"R")</f>
        <v>R</v>
      </c>
      <c r="H2846" s="9" t="str">
        <f>IFERROR(__xludf.DUMMYFUNCTION("""COMPUTED_VALUE"""),"C++")</f>
        <v>C++</v>
      </c>
      <c r="I2846" s="9" t="str">
        <f>IFERROR(__xludf.DUMMYFUNCTION("""COMPUTED_VALUE"""),"C#")</f>
        <v>C#</v>
      </c>
      <c r="J2846" s="9" t="str">
        <f>IFERROR(__xludf.DUMMYFUNCTION("""COMPUTED_VALUE"""),"Rust")</f>
        <v>Rust</v>
      </c>
      <c r="K2846" s="9" t="str">
        <f>IFERROR(__xludf.DUMMYFUNCTION("""COMPUTED_VALUE"""),"Scala")</f>
        <v>Scala</v>
      </c>
      <c r="L2846" s="9" t="str">
        <f>IFERROR(__xludf.DUMMYFUNCTION("""COMPUTED_VALUE"""),"HTML/CSS")</f>
        <v>HTML/CSS</v>
      </c>
      <c r="M2846" s="9" t="s">
        <v>21</v>
      </c>
    </row>
    <row r="2847" ht="15.75" customHeight="1">
      <c r="A2847" s="7"/>
      <c r="B2847" s="7" t="str">
        <f>IFERROR(__xludf.DUMMYFUNCTION("""COMPUTED_VALUE"""),"HTML/CSS;Java;JavaScript;PHP;Python;SQL;TypeScript")</f>
        <v>HTML/CSS;Java;JavaScript;PHP;Python;SQL;TypeScript</v>
      </c>
      <c r="C2847" s="9" t="str">
        <f>IFERROR(__xludf.DUMMYFUNCTION("""COMPUTED_VALUE"""),"PHP")</f>
        <v>PHP</v>
      </c>
      <c r="D2847" s="9" t="str">
        <f>IFERROR(__xludf.DUMMYFUNCTION("""COMPUTED_VALUE"""),"SQL")</f>
        <v>SQL</v>
      </c>
      <c r="E2847" s="9" t="str">
        <f>IFERROR(__xludf.DUMMYFUNCTION("""COMPUTED_VALUE"""),"JavaScript")</f>
        <v>JavaScript</v>
      </c>
      <c r="F2847" s="9" t="str">
        <f>IFERROR(__xludf.DUMMYFUNCTION("""COMPUTED_VALUE"""),"TypeScript")</f>
        <v>TypeScript</v>
      </c>
      <c r="G2847" s="9" t="str">
        <f>IFERROR(__xludf.DUMMYFUNCTION("""COMPUTED_VALUE"""),"Rust")</f>
        <v>Rust</v>
      </c>
      <c r="H2847" s="9" t="str">
        <f>IFERROR(__xludf.DUMMYFUNCTION("""COMPUTED_VALUE"""),"Java")</f>
        <v>Java</v>
      </c>
      <c r="I2847" s="9" t="str">
        <f>IFERROR(__xludf.DUMMYFUNCTION("""COMPUTED_VALUE"""),"HTML/CSS")</f>
        <v>HTML/CSS</v>
      </c>
      <c r="J2847" s="9" t="str">
        <f>IFERROR(__xludf.DUMMYFUNCTION("""COMPUTED_VALUE"""),"Other(s):")</f>
        <v>Other(s):</v>
      </c>
      <c r="K2847" s="9" t="str">
        <f>IFERROR(__xludf.DUMMYFUNCTION("""COMPUTED_VALUE"""),"SQL")</f>
        <v>SQL</v>
      </c>
      <c r="L2847" s="9" t="str">
        <f>IFERROR(__xludf.DUMMYFUNCTION("""COMPUTED_VALUE"""),"Java")</f>
        <v>Java</v>
      </c>
      <c r="M2847" s="9" t="s">
        <v>37</v>
      </c>
    </row>
    <row r="2848" ht="15.75" customHeight="1">
      <c r="A2848" s="7"/>
      <c r="B2848" s="7" t="str">
        <f>IFERROR(__xludf.DUMMYFUNCTION("""COMPUTED_VALUE"""),"Bash/Shell/PowerShell;Go;HTML/CSS;Java;JavaScript;Objective-C;PHP;Python;Ruby;SQL")</f>
        <v>Bash/Shell/PowerShell;Go;HTML/CSS;Java;JavaScript;Objective-C;PHP;Python;Ruby;SQL</v>
      </c>
      <c r="C2848" s="9" t="str">
        <f>IFERROR(__xludf.DUMMYFUNCTION("""COMPUTED_VALUE"""),"TypeScript")</f>
        <v>TypeScript</v>
      </c>
      <c r="D2848" s="9" t="str">
        <f>IFERROR(__xludf.DUMMYFUNCTION("""COMPUTED_VALUE"""),"Bash/Shell/PowerShell")</f>
        <v>Bash/Shell/PowerShell</v>
      </c>
      <c r="E2848" s="9" t="str">
        <f>IFERROR(__xludf.DUMMYFUNCTION("""COMPUTED_VALUE"""),"Kotlin")</f>
        <v>Kotlin</v>
      </c>
      <c r="F2848" s="9" t="str">
        <f>IFERROR(__xludf.DUMMYFUNCTION("""COMPUTED_VALUE"""),"Bash/Shell/PowerShell")</f>
        <v>Bash/Shell/PowerShell</v>
      </c>
      <c r="G2848" s="9" t="str">
        <f>IFERROR(__xludf.DUMMYFUNCTION("""COMPUTED_VALUE"""),"HTML/CSS")</f>
        <v>HTML/CSS</v>
      </c>
      <c r="H2848" s="9" t="str">
        <f>IFERROR(__xludf.DUMMYFUNCTION("""COMPUTED_VALUE"""),"Python")</f>
        <v>Python</v>
      </c>
      <c r="I2848" s="9" t="str">
        <f>IFERROR(__xludf.DUMMYFUNCTION("""COMPUTED_VALUE"""),"JavaScript")</f>
        <v>JavaScript</v>
      </c>
      <c r="J2848" s="9" t="str">
        <f>IFERROR(__xludf.DUMMYFUNCTION("""COMPUTED_VALUE"""),"Go")</f>
        <v>Go</v>
      </c>
      <c r="K2848" s="9" t="str">
        <f>IFERROR(__xludf.DUMMYFUNCTION("""COMPUTED_VALUE"""),"C#")</f>
        <v>C#</v>
      </c>
      <c r="L2848" s="9" t="str">
        <f>IFERROR(__xludf.DUMMYFUNCTION("""COMPUTED_VALUE"""),"JavaScript")</f>
        <v>JavaScript</v>
      </c>
      <c r="M2848" s="9" t="s">
        <v>33</v>
      </c>
    </row>
    <row r="2849" ht="15.75" customHeight="1">
      <c r="A2849" s="7"/>
      <c r="B2849" s="7" t="str">
        <f>IFERROR(__xludf.DUMMYFUNCTION("""COMPUTED_VALUE"""),"Objective-C;Swift")</f>
        <v>Objective-C;Swift</v>
      </c>
      <c r="C2849" s="9" t="str">
        <f>IFERROR(__xludf.DUMMYFUNCTION("""COMPUTED_VALUE"""),"C")</f>
        <v>C</v>
      </c>
      <c r="D2849" s="9" t="str">
        <f>IFERROR(__xludf.DUMMYFUNCTION("""COMPUTED_VALUE"""),"C")</f>
        <v>C</v>
      </c>
      <c r="E2849" s="9" t="str">
        <f>IFERROR(__xludf.DUMMYFUNCTION("""COMPUTED_VALUE"""),"PHP")</f>
        <v>PHP</v>
      </c>
      <c r="F2849" s="9" t="str">
        <f>IFERROR(__xludf.DUMMYFUNCTION("""COMPUTED_VALUE"""),"C++")</f>
        <v>C++</v>
      </c>
      <c r="G2849" s="9" t="str">
        <f>IFERROR(__xludf.DUMMYFUNCTION("""COMPUTED_VALUE"""),"Java")</f>
        <v>Java</v>
      </c>
      <c r="H2849" s="9" t="str">
        <f>IFERROR(__xludf.DUMMYFUNCTION("""COMPUTED_VALUE"""),"Rust")</f>
        <v>Rust</v>
      </c>
      <c r="I2849" s="9" t="str">
        <f>IFERROR(__xludf.DUMMYFUNCTION("""COMPUTED_VALUE"""),"SQL")</f>
        <v>SQL</v>
      </c>
      <c r="J2849" s="9" t="str">
        <f>IFERROR(__xludf.DUMMYFUNCTION("""COMPUTED_VALUE"""),"Python")</f>
        <v>Python</v>
      </c>
      <c r="K2849" s="9" t="str">
        <f>IFERROR(__xludf.DUMMYFUNCTION("""COMPUTED_VALUE"""),"SQL")</f>
        <v>SQL</v>
      </c>
      <c r="L2849" s="9" t="str">
        <f>IFERROR(__xludf.DUMMYFUNCTION("""COMPUTED_VALUE"""),"Other(s):")</f>
        <v>Other(s):</v>
      </c>
      <c r="M2849" s="9" t="s">
        <v>25</v>
      </c>
    </row>
    <row r="2850" ht="15.75" customHeight="1">
      <c r="A2850" s="7"/>
      <c r="B2850" s="7" t="str">
        <f>IFERROR(__xludf.DUMMYFUNCTION("""COMPUTED_VALUE"""),"HTML/CSS;Java;JavaScript;SQL")</f>
        <v>HTML/CSS;Java;JavaScript;SQL</v>
      </c>
      <c r="C2850" s="9" t="str">
        <f>IFERROR(__xludf.DUMMYFUNCTION("""COMPUTED_VALUE"""),"C++")</f>
        <v>C++</v>
      </c>
      <c r="D2850" s="9" t="str">
        <f>IFERROR(__xludf.DUMMYFUNCTION("""COMPUTED_VALUE"""),"C++")</f>
        <v>C++</v>
      </c>
      <c r="E2850" s="9" t="str">
        <f>IFERROR(__xludf.DUMMYFUNCTION("""COMPUTED_VALUE"""),"Python")</f>
        <v>Python</v>
      </c>
      <c r="F2850" s="9" t="str">
        <f>IFERROR(__xludf.DUMMYFUNCTION("""COMPUTED_VALUE"""),"HTML/CSS")</f>
        <v>HTML/CSS</v>
      </c>
      <c r="G2850" s="9" t="str">
        <f>IFERROR(__xludf.DUMMYFUNCTION("""COMPUTED_VALUE"""),"Python")</f>
        <v>Python</v>
      </c>
      <c r="H2850" s="9" t="str">
        <f>IFERROR(__xludf.DUMMYFUNCTION("""COMPUTED_VALUE"""),"C++")</f>
        <v>C++</v>
      </c>
      <c r="I2850" s="9" t="str">
        <f>IFERROR(__xludf.DUMMYFUNCTION("""COMPUTED_VALUE"""),"TypeScript")</f>
        <v>TypeScript</v>
      </c>
      <c r="J2850" s="9" t="str">
        <f>IFERROR(__xludf.DUMMYFUNCTION("""COMPUTED_VALUE"""),"SQL")</f>
        <v>SQL</v>
      </c>
      <c r="K2850" s="9" t="str">
        <f>IFERROR(__xludf.DUMMYFUNCTION("""COMPUTED_VALUE"""),"TypeScript")</f>
        <v>TypeScript</v>
      </c>
      <c r="L2850" s="9" t="str">
        <f>IFERROR(__xludf.DUMMYFUNCTION("""COMPUTED_VALUE"""),"Bash/Shell/PowerShell")</f>
        <v>Bash/Shell/PowerShell</v>
      </c>
      <c r="M2850" s="9" t="s">
        <v>23</v>
      </c>
    </row>
    <row r="2851" ht="15.75" customHeight="1">
      <c r="A2851" s="7"/>
      <c r="B2851" s="7" t="str">
        <f>IFERROR(__xludf.DUMMYFUNCTION("""COMPUTED_VALUE"""),"Bash/Shell/PowerShell;C;Java;JavaScript;Python;R;Scala;SQL")</f>
        <v>Bash/Shell/PowerShell;C;Java;JavaScript;Python;R;Scala;SQL</v>
      </c>
      <c r="C2851" s="9" t="str">
        <f>IFERROR(__xludf.DUMMYFUNCTION("""COMPUTED_VALUE"""),"C#")</f>
        <v>C#</v>
      </c>
      <c r="D2851" s="9" t="str">
        <f>IFERROR(__xludf.DUMMYFUNCTION("""COMPUTED_VALUE"""),"C#")</f>
        <v>C#</v>
      </c>
      <c r="E2851" s="9" t="str">
        <f>IFERROR(__xludf.DUMMYFUNCTION("""COMPUTED_VALUE"""),"SQL")</f>
        <v>SQL</v>
      </c>
      <c r="F2851" s="9" t="str">
        <f>IFERROR(__xludf.DUMMYFUNCTION("""COMPUTED_VALUE"""),"Java")</f>
        <v>Java</v>
      </c>
      <c r="G2851" s="9" t="str">
        <f>IFERROR(__xludf.DUMMYFUNCTION("""COMPUTED_VALUE"""),"SQL")</f>
        <v>SQL</v>
      </c>
      <c r="H2851" s="9" t="str">
        <f>IFERROR(__xludf.DUMMYFUNCTION("""COMPUTED_VALUE"""),"HTML/CSS")</f>
        <v>HTML/CSS</v>
      </c>
      <c r="I2851" s="9" t="str">
        <f>IFERROR(__xludf.DUMMYFUNCTION("""COMPUTED_VALUE"""),"Bash/Shell/PowerShell")</f>
        <v>Bash/Shell/PowerShell</v>
      </c>
      <c r="J2851" s="9" t="str">
        <f>IFERROR(__xludf.DUMMYFUNCTION("""COMPUTED_VALUE"""),"Bash/Shell/PowerShell")</f>
        <v>Bash/Shell/PowerShell</v>
      </c>
      <c r="K2851" s="9" t="str">
        <f>IFERROR(__xludf.DUMMYFUNCTION("""COMPUTED_VALUE"""),"HTML/CSS")</f>
        <v>HTML/CSS</v>
      </c>
      <c r="L2851" s="9" t="str">
        <f>IFERROR(__xludf.DUMMYFUNCTION("""COMPUTED_VALUE"""),"C++")</f>
        <v>C++</v>
      </c>
      <c r="M2851" s="9" t="s">
        <v>26</v>
      </c>
    </row>
    <row r="2852" ht="15.75" customHeight="1">
      <c r="A2852" s="7"/>
      <c r="B2852" s="7" t="str">
        <f>IFERROR(__xludf.DUMMYFUNCTION("""COMPUTED_VALUE"""),"Bash/Shell/PowerShell;C#;HTML/CSS;JavaScript;TypeScript;VBA")</f>
        <v>Bash/Shell/PowerShell;C#;HTML/CSS;JavaScript;TypeScript;VBA</v>
      </c>
      <c r="C2852" s="9" t="str">
        <f>IFERROR(__xludf.DUMMYFUNCTION("""COMPUTED_VALUE"""),"HTML/CSS")</f>
        <v>HTML/CSS</v>
      </c>
      <c r="D2852" s="9" t="str">
        <f>IFERROR(__xludf.DUMMYFUNCTION("""COMPUTED_VALUE"""),"HTML/CSS")</f>
        <v>HTML/CSS</v>
      </c>
      <c r="E2852" s="9" t="str">
        <f>IFERROR(__xludf.DUMMYFUNCTION("""COMPUTED_VALUE"""),"Other(s):")</f>
        <v>Other(s):</v>
      </c>
      <c r="F2852" s="9" t="str">
        <f>IFERROR(__xludf.DUMMYFUNCTION("""COMPUTED_VALUE"""),"JavaScript")</f>
        <v>JavaScript</v>
      </c>
      <c r="G2852" s="9" t="str">
        <f>IFERROR(__xludf.DUMMYFUNCTION("""COMPUTED_VALUE"""),"Java")</f>
        <v>Java</v>
      </c>
      <c r="H2852" s="9" t="str">
        <f>IFERROR(__xludf.DUMMYFUNCTION("""COMPUTED_VALUE"""),"Java")</f>
        <v>Java</v>
      </c>
      <c r="I2852" s="9" t="str">
        <f>IFERROR(__xludf.DUMMYFUNCTION("""COMPUTED_VALUE"""),"C")</f>
        <v>C</v>
      </c>
      <c r="J2852" s="9" t="str">
        <f>IFERROR(__xludf.DUMMYFUNCTION("""COMPUTED_VALUE"""),"C")</f>
        <v>C</v>
      </c>
      <c r="K2852" s="9" t="str">
        <f>IFERROR(__xludf.DUMMYFUNCTION("""COMPUTED_VALUE"""),"JavaScript")</f>
        <v>JavaScript</v>
      </c>
      <c r="L2852" s="9" t="str">
        <f>IFERROR(__xludf.DUMMYFUNCTION("""COMPUTED_VALUE"""),"C#")</f>
        <v>C#</v>
      </c>
      <c r="M2852" s="9" t="s">
        <v>24</v>
      </c>
    </row>
    <row r="2853" ht="15.75" customHeight="1">
      <c r="A2853" s="7"/>
      <c r="B2853" s="7" t="str">
        <f>IFERROR(__xludf.DUMMYFUNCTION("""COMPUTED_VALUE"""),"Bash/Shell/PowerShell;C;HTML/CSS;Java;JavaScript;SQL;TypeScript;Other(s):")</f>
        <v>Bash/Shell/PowerShell;C;HTML/CSS;Java;JavaScript;SQL;TypeScript;Other(s):</v>
      </c>
      <c r="C2853" s="9" t="str">
        <f>IFERROR(__xludf.DUMMYFUNCTION("""COMPUTED_VALUE"""),"Java")</f>
        <v>Java</v>
      </c>
      <c r="D2853" s="9" t="str">
        <f>IFERROR(__xludf.DUMMYFUNCTION("""COMPUTED_VALUE"""),"Java")</f>
        <v>Java</v>
      </c>
      <c r="E2853" s="9" t="str">
        <f>IFERROR(__xludf.DUMMYFUNCTION("""COMPUTED_VALUE"""),"HTML/CSS")</f>
        <v>HTML/CSS</v>
      </c>
      <c r="F2853" s="9" t="str">
        <f>IFERROR(__xludf.DUMMYFUNCTION("""COMPUTED_VALUE"""),"PHP")</f>
        <v>PHP</v>
      </c>
      <c r="G2853" s="9" t="str">
        <f>IFERROR(__xludf.DUMMYFUNCTION("""COMPUTED_VALUE"""),"HTML/CSS")</f>
        <v>HTML/CSS</v>
      </c>
      <c r="H2853" s="9" t="str">
        <f>IFERROR(__xludf.DUMMYFUNCTION("""COMPUTED_VALUE"""),"JavaScript")</f>
        <v>JavaScript</v>
      </c>
      <c r="I2853" s="9" t="str">
        <f>IFERROR(__xludf.DUMMYFUNCTION("""COMPUTED_VALUE"""),"C++")</f>
        <v>C++</v>
      </c>
      <c r="J2853" s="9" t="str">
        <f>IFERROR(__xludf.DUMMYFUNCTION("""COMPUTED_VALUE"""),"C++")</f>
        <v>C++</v>
      </c>
      <c r="K2853" s="9" t="str">
        <f>IFERROR(__xludf.DUMMYFUNCTION("""COMPUTED_VALUE"""),"Bash/Shell/PowerShell")</f>
        <v>Bash/Shell/PowerShell</v>
      </c>
      <c r="L2853" s="9" t="str">
        <f>IFERROR(__xludf.DUMMYFUNCTION("""COMPUTED_VALUE"""),"HTML/CSS")</f>
        <v>HTML/CSS</v>
      </c>
      <c r="M2853" s="9" t="s">
        <v>20</v>
      </c>
    </row>
    <row r="2854" ht="15.75" customHeight="1">
      <c r="A2854" s="7"/>
      <c r="B2854" s="7" t="str">
        <f>IFERROR(__xludf.DUMMYFUNCTION("""COMPUTED_VALUE"""),"HTML/CSS;JavaScript;Python")</f>
        <v>HTML/CSS;JavaScript;Python</v>
      </c>
      <c r="C2854" s="9" t="str">
        <f>IFERROR(__xludf.DUMMYFUNCTION("""COMPUTED_VALUE"""),"JavaScript")</f>
        <v>JavaScript</v>
      </c>
      <c r="D2854" s="9" t="str">
        <f>IFERROR(__xludf.DUMMYFUNCTION("""COMPUTED_VALUE"""),"JavaScript")</f>
        <v>JavaScript</v>
      </c>
      <c r="E2854" s="9" t="str">
        <f>IFERROR(__xludf.DUMMYFUNCTION("""COMPUTED_VALUE"""),"Java")</f>
        <v>Java</v>
      </c>
      <c r="F2854" s="9" t="str">
        <f>IFERROR(__xludf.DUMMYFUNCTION("""COMPUTED_VALUE"""),"Python")</f>
        <v>Python</v>
      </c>
      <c r="G2854" s="9" t="str">
        <f>IFERROR(__xludf.DUMMYFUNCTION("""COMPUTED_VALUE"""),"JavaScript")</f>
        <v>JavaScript</v>
      </c>
      <c r="H2854" s="9" t="str">
        <f>IFERROR(__xludf.DUMMYFUNCTION("""COMPUTED_VALUE"""),"PHP")</f>
        <v>PHP</v>
      </c>
      <c r="I2854" s="9" t="str">
        <f>IFERROR(__xludf.DUMMYFUNCTION("""COMPUTED_VALUE"""),"HTML/CSS")</f>
        <v>HTML/CSS</v>
      </c>
      <c r="J2854" s="9" t="str">
        <f>IFERROR(__xludf.DUMMYFUNCTION("""COMPUTED_VALUE"""),"HTML/CSS")</f>
        <v>HTML/CSS</v>
      </c>
      <c r="K2854" s="9" t="str">
        <f>IFERROR(__xludf.DUMMYFUNCTION("""COMPUTED_VALUE"""),"C++")</f>
        <v>C++</v>
      </c>
      <c r="L2854" s="9" t="str">
        <f>IFERROR(__xludf.DUMMYFUNCTION("""COMPUTED_VALUE"""),"Java")</f>
        <v>Java</v>
      </c>
      <c r="M2854" s="9" t="s">
        <v>21</v>
      </c>
    </row>
    <row r="2855" ht="15.75" customHeight="1">
      <c r="A2855" s="7"/>
      <c r="B2855" s="7" t="str">
        <f>IFERROR(__xludf.DUMMYFUNCTION("""COMPUTED_VALUE"""),"Other(s):")</f>
        <v>Other(s):</v>
      </c>
      <c r="C2855" s="9" t="str">
        <f>IFERROR(__xludf.DUMMYFUNCTION("""COMPUTED_VALUE"""),"PHP")</f>
        <v>PHP</v>
      </c>
      <c r="D2855" s="9" t="str">
        <f>IFERROR(__xludf.DUMMYFUNCTION("""COMPUTED_VALUE"""),"PHP")</f>
        <v>PHP</v>
      </c>
      <c r="E2855" s="9" t="str">
        <f>IFERROR(__xludf.DUMMYFUNCTION("""COMPUTED_VALUE"""),"JavaScript")</f>
        <v>JavaScript</v>
      </c>
      <c r="F2855" s="9" t="str">
        <f>IFERROR(__xludf.DUMMYFUNCTION("""COMPUTED_VALUE"""),"SQL")</f>
        <v>SQL</v>
      </c>
      <c r="G2855" s="9" t="str">
        <f>IFERROR(__xludf.DUMMYFUNCTION("""COMPUTED_VALUE"""),"TypeScript")</f>
        <v>TypeScript</v>
      </c>
      <c r="H2855" s="9" t="str">
        <f>IFERROR(__xludf.DUMMYFUNCTION("""COMPUTED_VALUE"""),"Python")</f>
        <v>Python</v>
      </c>
      <c r="I2855" s="9" t="str">
        <f>IFERROR(__xludf.DUMMYFUNCTION("""COMPUTED_VALUE"""),"Java")</f>
        <v>Java</v>
      </c>
      <c r="J2855" s="9" t="str">
        <f>IFERROR(__xludf.DUMMYFUNCTION("""COMPUTED_VALUE"""),"JavaScript")</f>
        <v>JavaScript</v>
      </c>
      <c r="K2855" s="9" t="str">
        <f>IFERROR(__xludf.DUMMYFUNCTION("""COMPUTED_VALUE"""),"HTML/CSS")</f>
        <v>HTML/CSS</v>
      </c>
      <c r="L2855" s="9" t="str">
        <f>IFERROR(__xludf.DUMMYFUNCTION("""COMPUTED_VALUE"""),"JavaScript")</f>
        <v>JavaScript</v>
      </c>
      <c r="M2855" s="9" t="s">
        <v>37</v>
      </c>
    </row>
    <row r="2856" ht="15.75" customHeight="1">
      <c r="A2856" s="7"/>
      <c r="B2856" s="7" t="str">
        <f>IFERROR(__xludf.DUMMYFUNCTION("""COMPUTED_VALUE"""),"Dart;HTML/CSS;Java;Python")</f>
        <v>Dart;HTML/CSS;Java;Python</v>
      </c>
      <c r="C2856" s="9" t="str">
        <f>IFERROR(__xludf.DUMMYFUNCTION("""COMPUTED_VALUE"""),"Python")</f>
        <v>Python</v>
      </c>
      <c r="D2856" s="9" t="str">
        <f>IFERROR(__xludf.DUMMYFUNCTION("""COMPUTED_VALUE"""),"Python")</f>
        <v>Python</v>
      </c>
      <c r="E2856" s="9" t="str">
        <f>IFERROR(__xludf.DUMMYFUNCTION("""COMPUTED_VALUE"""),"Bash/Shell/PowerShell")</f>
        <v>Bash/Shell/PowerShell</v>
      </c>
      <c r="F2856" s="9" t="str">
        <f>IFERROR(__xludf.DUMMYFUNCTION("""COMPUTED_VALUE"""),"HTML/CSS")</f>
        <v>HTML/CSS</v>
      </c>
      <c r="G2856" s="9" t="str">
        <f>IFERROR(__xludf.DUMMYFUNCTION("""COMPUTED_VALUE"""),"C#")</f>
        <v>C#</v>
      </c>
      <c r="H2856" s="9" t="str">
        <f>IFERROR(__xludf.DUMMYFUNCTION("""COMPUTED_VALUE"""),"SQL")</f>
        <v>SQL</v>
      </c>
      <c r="I2856" s="9" t="str">
        <f>IFERROR(__xludf.DUMMYFUNCTION("""COMPUTED_VALUE"""),"JavaScript")</f>
        <v>JavaScript</v>
      </c>
      <c r="J2856" s="9" t="str">
        <f>IFERROR(__xludf.DUMMYFUNCTION("""COMPUTED_VALUE"""),"PHP")</f>
        <v>PHP</v>
      </c>
      <c r="K2856" s="9" t="str">
        <f>IFERROR(__xludf.DUMMYFUNCTION("""COMPUTED_VALUE"""),"Java")</f>
        <v>Java</v>
      </c>
      <c r="L2856" s="9" t="str">
        <f>IFERROR(__xludf.DUMMYFUNCTION("""COMPUTED_VALUE"""),"PHP")</f>
        <v>PHP</v>
      </c>
      <c r="M2856" s="9" t="s">
        <v>22</v>
      </c>
    </row>
    <row r="2857" ht="15.75" customHeight="1">
      <c r="A2857" s="7"/>
      <c r="B2857" s="7" t="str">
        <f>IFERROR(__xludf.DUMMYFUNCTION("""COMPUTED_VALUE"""),"HTML/CSS;Java;JavaScript;PHP;SQL")</f>
        <v>HTML/CSS;Java;JavaScript;PHP;SQL</v>
      </c>
      <c r="C2857" s="9" t="str">
        <f>IFERROR(__xludf.DUMMYFUNCTION("""COMPUTED_VALUE"""),"SQL")</f>
        <v>SQL</v>
      </c>
      <c r="D2857" s="9" t="str">
        <f>IFERROR(__xludf.DUMMYFUNCTION("""COMPUTED_VALUE"""),"Swift")</f>
        <v>Swift</v>
      </c>
      <c r="E2857" s="9" t="str">
        <f>IFERROR(__xludf.DUMMYFUNCTION("""COMPUTED_VALUE"""),"C")</f>
        <v>C</v>
      </c>
      <c r="F2857" s="9" t="str">
        <f>IFERROR(__xludf.DUMMYFUNCTION("""COMPUTED_VALUE"""),"Python")</f>
        <v>Python</v>
      </c>
      <c r="G2857" s="9" t="str">
        <f>IFERROR(__xludf.DUMMYFUNCTION("""COMPUTED_VALUE"""),"HTML/CSS")</f>
        <v>HTML/CSS</v>
      </c>
      <c r="H2857" s="9" t="str">
        <f>IFERROR(__xludf.DUMMYFUNCTION("""COMPUTED_VALUE"""),"Bash/Shell/PowerShell")</f>
        <v>Bash/Shell/PowerShell</v>
      </c>
      <c r="I2857" s="9" t="str">
        <f>IFERROR(__xludf.DUMMYFUNCTION("""COMPUTED_VALUE"""),"Python")</f>
        <v>Python</v>
      </c>
      <c r="J2857" s="9" t="str">
        <f>IFERROR(__xludf.DUMMYFUNCTION("""COMPUTED_VALUE"""),"Python")</f>
        <v>Python</v>
      </c>
      <c r="K2857" s="9" t="str">
        <f>IFERROR(__xludf.DUMMYFUNCTION("""COMPUTED_VALUE"""),"JavaScript")</f>
        <v>JavaScript</v>
      </c>
      <c r="L2857" s="9" t="str">
        <f>IFERROR(__xludf.DUMMYFUNCTION("""COMPUTED_VALUE"""),"Python")</f>
        <v>Python</v>
      </c>
      <c r="M2857" s="9" t="s">
        <v>27</v>
      </c>
    </row>
    <row r="2858" ht="15.75" customHeight="1">
      <c r="A2858" s="7"/>
      <c r="B2858" s="7" t="str">
        <f>IFERROR(__xludf.DUMMYFUNCTION("""COMPUTED_VALUE"""),"HTML/CSS;Java;JavaScript;Kotlin")</f>
        <v>HTML/CSS;Java;JavaScript;Kotlin</v>
      </c>
      <c r="C2858" s="9" t="str">
        <f>IFERROR(__xludf.DUMMYFUNCTION("""COMPUTED_VALUE"""),"Java")</f>
        <v>Java</v>
      </c>
      <c r="D2858" s="9" t="str">
        <f>IFERROR(__xludf.DUMMYFUNCTION("""COMPUTED_VALUE"""),"TypeScript")</f>
        <v>TypeScript</v>
      </c>
      <c r="E2858" s="9" t="str">
        <f>IFERROR(__xludf.DUMMYFUNCTION("""COMPUTED_VALUE"""),"C++")</f>
        <v>C++</v>
      </c>
      <c r="F2858" s="9" t="str">
        <f>IFERROR(__xludf.DUMMYFUNCTION("""COMPUTED_VALUE"""),"C#")</f>
        <v>C#</v>
      </c>
      <c r="G2858" s="9" t="str">
        <f>IFERROR(__xludf.DUMMYFUNCTION("""COMPUTED_VALUE"""),"JavaScript")</f>
        <v>JavaScript</v>
      </c>
      <c r="H2858" s="9" t="str">
        <f>IFERROR(__xludf.DUMMYFUNCTION("""COMPUTED_VALUE"""),"Clojure")</f>
        <v>Clojure</v>
      </c>
      <c r="I2858" s="9" t="str">
        <f>IFERROR(__xludf.DUMMYFUNCTION("""COMPUTED_VALUE"""),"R")</f>
        <v>R</v>
      </c>
      <c r="J2858" s="9" t="str">
        <f>IFERROR(__xludf.DUMMYFUNCTION("""COMPUTED_VALUE"""),"R")</f>
        <v>R</v>
      </c>
      <c r="K2858" s="9" t="str">
        <f>IFERROR(__xludf.DUMMYFUNCTION("""COMPUTED_VALUE"""),"Python")</f>
        <v>Python</v>
      </c>
      <c r="L2858" s="9" t="str">
        <f>IFERROR(__xludf.DUMMYFUNCTION("""COMPUTED_VALUE"""),"SQL")</f>
        <v>SQL</v>
      </c>
      <c r="M2858" s="9" t="s">
        <v>20</v>
      </c>
    </row>
    <row r="2859" ht="15.75" customHeight="1">
      <c r="A2859" s="7"/>
      <c r="B2859" s="7" t="str">
        <f>IFERROR(__xludf.DUMMYFUNCTION("""COMPUTED_VALUE"""),"C;C++;Objective-C;SQL;Swift")</f>
        <v>C;C++;Objective-C;SQL;Swift</v>
      </c>
      <c r="C2859" s="9" t="str">
        <f>IFERROR(__xludf.DUMMYFUNCTION("""COMPUTED_VALUE"""),"Ruby")</f>
        <v>Ruby</v>
      </c>
      <c r="D2859" s="9" t="str">
        <f>IFERROR(__xludf.DUMMYFUNCTION("""COMPUTED_VALUE"""),"Bash/Shell/PowerShell")</f>
        <v>Bash/Shell/PowerShell</v>
      </c>
      <c r="E2859" s="9" t="str">
        <f>IFERROR(__xludf.DUMMYFUNCTION("""COMPUTED_VALUE"""),"HTML/CSS")</f>
        <v>HTML/CSS</v>
      </c>
      <c r="F2859" s="9" t="str">
        <f>IFERROR(__xludf.DUMMYFUNCTION("""COMPUTED_VALUE"""),"HTML/CSS")</f>
        <v>HTML/CSS</v>
      </c>
      <c r="G2859" s="9" t="str">
        <f>IFERROR(__xludf.DUMMYFUNCTION("""COMPUTED_VALUE"""),"SQL")</f>
        <v>SQL</v>
      </c>
      <c r="H2859" s="9" t="str">
        <f>IFERROR(__xludf.DUMMYFUNCTION("""COMPUTED_VALUE"""),"Go")</f>
        <v>Go</v>
      </c>
      <c r="I2859" s="9" t="str">
        <f>IFERROR(__xludf.DUMMYFUNCTION("""COMPUTED_VALUE"""),"Scala")</f>
        <v>Scala</v>
      </c>
      <c r="J2859" s="9" t="str">
        <f>IFERROR(__xludf.DUMMYFUNCTION("""COMPUTED_VALUE"""),"SQL")</f>
        <v>SQL</v>
      </c>
      <c r="K2859" s="9" t="str">
        <f>IFERROR(__xludf.DUMMYFUNCTION("""COMPUTED_VALUE"""),"SQL")</f>
        <v>SQL</v>
      </c>
      <c r="L2859" s="9" t="str">
        <f>IFERROR(__xludf.DUMMYFUNCTION("""COMPUTED_VALUE"""),"C")</f>
        <v>C</v>
      </c>
      <c r="M2859" s="9" t="s">
        <v>31</v>
      </c>
    </row>
    <row r="2860" ht="15.75" customHeight="1">
      <c r="A2860" s="7"/>
      <c r="B2860" s="7" t="str">
        <f>IFERROR(__xludf.DUMMYFUNCTION("""COMPUTED_VALUE"""),"HTML/CSS;JavaScript;PHP;SQL;Other(s):")</f>
        <v>HTML/CSS;JavaScript;PHP;SQL;Other(s):</v>
      </c>
      <c r="C2860" s="9" t="str">
        <f>IFERROR(__xludf.DUMMYFUNCTION("""COMPUTED_VALUE"""),"Scala")</f>
        <v>Scala</v>
      </c>
      <c r="D2860" s="9" t="str">
        <f>IFERROR(__xludf.DUMMYFUNCTION("""COMPUTED_VALUE"""),"HTML/CSS")</f>
        <v>HTML/CSS</v>
      </c>
      <c r="E2860" s="9" t="str">
        <f>IFERROR(__xludf.DUMMYFUNCTION("""COMPUTED_VALUE"""),"Java")</f>
        <v>Java</v>
      </c>
      <c r="F2860" s="9" t="str">
        <f>IFERROR(__xludf.DUMMYFUNCTION("""COMPUTED_VALUE"""),"JavaScript")</f>
        <v>JavaScript</v>
      </c>
      <c r="G2860" s="9" t="str">
        <f>IFERROR(__xludf.DUMMYFUNCTION("""COMPUTED_VALUE"""),"HTML/CSS")</f>
        <v>HTML/CSS</v>
      </c>
      <c r="H2860" s="9" t="str">
        <f>IFERROR(__xludf.DUMMYFUNCTION("""COMPUTED_VALUE"""),"R")</f>
        <v>R</v>
      </c>
      <c r="I2860" s="9" t="str">
        <f>IFERROR(__xludf.DUMMYFUNCTION("""COMPUTED_VALUE"""),"SQL")</f>
        <v>SQL</v>
      </c>
      <c r="J2860" s="9" t="str">
        <f>IFERROR(__xludf.DUMMYFUNCTION("""COMPUTED_VALUE"""),"VBA")</f>
        <v>VBA</v>
      </c>
      <c r="K2860" s="9" t="str">
        <f>IFERROR(__xludf.DUMMYFUNCTION("""COMPUTED_VALUE"""),"TypeScript")</f>
        <v>TypeScript</v>
      </c>
      <c r="L2860" s="9" t="str">
        <f>IFERROR(__xludf.DUMMYFUNCTION("""COMPUTED_VALUE"""),"C++")</f>
        <v>C++</v>
      </c>
      <c r="M2860" s="9" t="s">
        <v>46</v>
      </c>
    </row>
    <row r="2861" ht="15.75" customHeight="1">
      <c r="A2861" s="7"/>
      <c r="B2861" s="7" t="str">
        <f>IFERROR(__xludf.DUMMYFUNCTION("""COMPUTED_VALUE"""),"Java;JavaScript;Python;Scala;SQL")</f>
        <v>Java;JavaScript;Python;Scala;SQL</v>
      </c>
      <c r="C2861" s="9" t="str">
        <f>IFERROR(__xludf.DUMMYFUNCTION("""COMPUTED_VALUE"""),"SQL")</f>
        <v>SQL</v>
      </c>
      <c r="D2861" s="9" t="str">
        <f>IFERROR(__xludf.DUMMYFUNCTION("""COMPUTED_VALUE"""),"Python")</f>
        <v>Python</v>
      </c>
      <c r="E2861" s="9" t="str">
        <f>IFERROR(__xludf.DUMMYFUNCTION("""COMPUTED_VALUE"""),"JavaScript")</f>
        <v>JavaScript</v>
      </c>
      <c r="F2861" s="9" t="str">
        <f>IFERROR(__xludf.DUMMYFUNCTION("""COMPUTED_VALUE"""),"SQL")</f>
        <v>SQL</v>
      </c>
      <c r="G2861" s="9" t="str">
        <f>IFERROR(__xludf.DUMMYFUNCTION("""COMPUTED_VALUE"""),"JavaScript")</f>
        <v>JavaScript</v>
      </c>
      <c r="H2861" s="9" t="str">
        <f>IFERROR(__xludf.DUMMYFUNCTION("""COMPUTED_VALUE"""),"Ruby")</f>
        <v>Ruby</v>
      </c>
      <c r="I2861" s="9" t="str">
        <f>IFERROR(__xludf.DUMMYFUNCTION("""COMPUTED_VALUE"""),"Other(s):")</f>
        <v>Other(s):</v>
      </c>
      <c r="J2861" s="9" t="str">
        <f>IFERROR(__xludf.DUMMYFUNCTION("""COMPUTED_VALUE"""),"HTML/CSS")</f>
        <v>HTML/CSS</v>
      </c>
      <c r="K2861" s="9" t="str">
        <f>IFERROR(__xludf.DUMMYFUNCTION("""COMPUTED_VALUE"""),"Bash/Shell/PowerShell")</f>
        <v>Bash/Shell/PowerShell</v>
      </c>
      <c r="L2861" s="9" t="str">
        <f>IFERROR(__xludf.DUMMYFUNCTION("""COMPUTED_VALUE"""),"C#")</f>
        <v>C#</v>
      </c>
      <c r="M2861" s="9" t="s">
        <v>27</v>
      </c>
    </row>
    <row r="2862" ht="15.75" customHeight="1">
      <c r="A2862" s="7"/>
      <c r="B2862" s="7" t="str">
        <f>IFERROR(__xludf.DUMMYFUNCTION("""COMPUTED_VALUE"""),"C#;F#;HTML/CSS")</f>
        <v>C#;F#;HTML/CSS</v>
      </c>
      <c r="C2862" s="9" t="str">
        <f>IFERROR(__xludf.DUMMYFUNCTION("""COMPUTED_VALUE"""),"Other(s):")</f>
        <v>Other(s):</v>
      </c>
      <c r="D2862" s="9" t="str">
        <f>IFERROR(__xludf.DUMMYFUNCTION("""COMPUTED_VALUE"""),"R")</f>
        <v>R</v>
      </c>
      <c r="E2862" s="9" t="str">
        <f>IFERROR(__xludf.DUMMYFUNCTION("""COMPUTED_VALUE"""),"PHP")</f>
        <v>PHP</v>
      </c>
      <c r="F2862" s="9" t="str">
        <f>IFERROR(__xludf.DUMMYFUNCTION("""COMPUTED_VALUE"""),"TypeScript")</f>
        <v>TypeScript</v>
      </c>
      <c r="G2862" s="9" t="str">
        <f>IFERROR(__xludf.DUMMYFUNCTION("""COMPUTED_VALUE"""),"Python")</f>
        <v>Python</v>
      </c>
      <c r="H2862" s="9" t="str">
        <f>IFERROR(__xludf.DUMMYFUNCTION("""COMPUTED_VALUE"""),"C++")</f>
        <v>C++</v>
      </c>
      <c r="I2862" s="9" t="str">
        <f>IFERROR(__xludf.DUMMYFUNCTION("""COMPUTED_VALUE"""),"Bash/Shell/PowerShell")</f>
        <v>Bash/Shell/PowerShell</v>
      </c>
      <c r="J2862" s="9" t="str">
        <f>IFERROR(__xludf.DUMMYFUNCTION("""COMPUTED_VALUE"""),"Java")</f>
        <v>Java</v>
      </c>
      <c r="K2862" s="9" t="str">
        <f>IFERROR(__xludf.DUMMYFUNCTION("""COMPUTED_VALUE"""),"HTML/CSS")</f>
        <v>HTML/CSS</v>
      </c>
      <c r="L2862" s="9" t="str">
        <f>IFERROR(__xludf.DUMMYFUNCTION("""COMPUTED_VALUE"""),"HTML/CSS")</f>
        <v>HTML/CSS</v>
      </c>
      <c r="M2862" s="9" t="s">
        <v>35</v>
      </c>
    </row>
    <row r="2863" ht="15.75" customHeight="1">
      <c r="A2863" s="7"/>
      <c r="B2863" s="7" t="str">
        <f>IFERROR(__xludf.DUMMYFUNCTION("""COMPUTED_VALUE"""),"C;Java;Python")</f>
        <v>C;Java;Python</v>
      </c>
      <c r="C2863" s="9" t="str">
        <f>IFERROR(__xludf.DUMMYFUNCTION("""COMPUTED_VALUE"""),"Java")</f>
        <v>Java</v>
      </c>
      <c r="D2863" s="9" t="str">
        <f>IFERROR(__xludf.DUMMYFUNCTION("""COMPUTED_VALUE"""),"SQL")</f>
        <v>SQL</v>
      </c>
      <c r="E2863" s="9" t="str">
        <f>IFERROR(__xludf.DUMMYFUNCTION("""COMPUTED_VALUE"""),"Python")</f>
        <v>Python</v>
      </c>
      <c r="F2863" s="9" t="str">
        <f>IFERROR(__xludf.DUMMYFUNCTION("""COMPUTED_VALUE"""),"Bash/Shell/PowerShell")</f>
        <v>Bash/Shell/PowerShell</v>
      </c>
      <c r="G2863" s="9" t="str">
        <f>IFERROR(__xludf.DUMMYFUNCTION("""COMPUTED_VALUE"""),"C#")</f>
        <v>C#</v>
      </c>
      <c r="H2863" s="9" t="str">
        <f>IFERROR(__xludf.DUMMYFUNCTION("""COMPUTED_VALUE"""),"C#")</f>
        <v>C#</v>
      </c>
      <c r="I2863" s="9" t="str">
        <f>IFERROR(__xludf.DUMMYFUNCTION("""COMPUTED_VALUE"""),"C")</f>
        <v>C</v>
      </c>
      <c r="J2863" s="9" t="str">
        <f>IFERROR(__xludf.DUMMYFUNCTION("""COMPUTED_VALUE"""),"JavaScript")</f>
        <v>JavaScript</v>
      </c>
      <c r="K2863" s="9" t="str">
        <f>IFERROR(__xludf.DUMMYFUNCTION("""COMPUTED_VALUE"""),"JavaScript")</f>
        <v>JavaScript</v>
      </c>
      <c r="L2863" s="9" t="str">
        <f>IFERROR(__xludf.DUMMYFUNCTION("""COMPUTED_VALUE"""),"Java")</f>
        <v>Java</v>
      </c>
      <c r="M2863" s="9" t="s">
        <v>20</v>
      </c>
    </row>
    <row r="2864" ht="15.75" customHeight="1">
      <c r="A2864" s="7"/>
      <c r="B2864" s="7" t="str">
        <f>IFERROR(__xludf.DUMMYFUNCTION("""COMPUTED_VALUE"""),"Assembly;Bash/Shell/PowerShell;C++;C#;HTML/CSS;JavaScript;Python;R;SQL;Other(s):")</f>
        <v>Assembly;Bash/Shell/PowerShell;C++;C#;HTML/CSS;JavaScript;Python;R;SQL;Other(s):</v>
      </c>
      <c r="C2864" s="9" t="str">
        <f>IFERROR(__xludf.DUMMYFUNCTION("""COMPUTED_VALUE"""),"Python")</f>
        <v>Python</v>
      </c>
      <c r="D2864" s="9" t="str">
        <f>IFERROR(__xludf.DUMMYFUNCTION("""COMPUTED_VALUE"""),"HTML/CSS")</f>
        <v>HTML/CSS</v>
      </c>
      <c r="E2864" s="9" t="str">
        <f>IFERROR(__xludf.DUMMYFUNCTION("""COMPUTED_VALUE"""),"C#")</f>
        <v>C#</v>
      </c>
      <c r="F2864" s="9" t="str">
        <f>IFERROR(__xludf.DUMMYFUNCTION("""COMPUTED_VALUE"""),"HTML/CSS")</f>
        <v>HTML/CSS</v>
      </c>
      <c r="G2864" s="9" t="str">
        <f>IFERROR(__xludf.DUMMYFUNCTION("""COMPUTED_VALUE"""),"JavaScript")</f>
        <v>JavaScript</v>
      </c>
      <c r="H2864" s="9" t="str">
        <f>IFERROR(__xludf.DUMMYFUNCTION("""COMPUTED_VALUE"""),"HTML/CSS")</f>
        <v>HTML/CSS</v>
      </c>
      <c r="I2864" s="9" t="str">
        <f>IFERROR(__xludf.DUMMYFUNCTION("""COMPUTED_VALUE"""),"Objective-C")</f>
        <v>Objective-C</v>
      </c>
      <c r="J2864" s="9" t="str">
        <f>IFERROR(__xludf.DUMMYFUNCTION("""COMPUTED_VALUE"""),"Kotlin")</f>
        <v>Kotlin</v>
      </c>
      <c r="K2864" s="9" t="str">
        <f>IFERROR(__xludf.DUMMYFUNCTION("""COMPUTED_VALUE"""),"Ruby")</f>
        <v>Ruby</v>
      </c>
      <c r="L2864" s="9" t="str">
        <f>IFERROR(__xludf.DUMMYFUNCTION("""COMPUTED_VALUE"""),"JavaScript")</f>
        <v>JavaScript</v>
      </c>
      <c r="M2864" s="9" t="s">
        <v>22</v>
      </c>
    </row>
    <row r="2865" ht="15.75" customHeight="1">
      <c r="A2865" s="7"/>
      <c r="B2865" s="7" t="str">
        <f>IFERROR(__xludf.DUMMYFUNCTION("""COMPUTED_VALUE"""),"JavaScript;PHP;SQL")</f>
        <v>JavaScript;PHP;SQL</v>
      </c>
      <c r="C2865" s="9" t="str">
        <f>IFERROR(__xludf.DUMMYFUNCTION("""COMPUTED_VALUE"""),"C#")</f>
        <v>C#</v>
      </c>
      <c r="D2865" s="9" t="str">
        <f>IFERROR(__xludf.DUMMYFUNCTION("""COMPUTED_VALUE"""),"Java")</f>
        <v>Java</v>
      </c>
      <c r="E2865" s="9" t="str">
        <f>IFERROR(__xludf.DUMMYFUNCTION("""COMPUTED_VALUE"""),"JavaScript")</f>
        <v>JavaScript</v>
      </c>
      <c r="F2865" s="9" t="str">
        <f>IFERROR(__xludf.DUMMYFUNCTION("""COMPUTED_VALUE"""),"Java")</f>
        <v>Java</v>
      </c>
      <c r="G2865" s="9" t="str">
        <f>IFERROR(__xludf.DUMMYFUNCTION("""COMPUTED_VALUE"""),"JavaScript")</f>
        <v>JavaScript</v>
      </c>
      <c r="H2865" s="9" t="str">
        <f>IFERROR(__xludf.DUMMYFUNCTION("""COMPUTED_VALUE"""),"JavaScript")</f>
        <v>JavaScript</v>
      </c>
      <c r="I2865" s="9" t="str">
        <f>IFERROR(__xludf.DUMMYFUNCTION("""COMPUTED_VALUE"""),"PHP")</f>
        <v>PHP</v>
      </c>
      <c r="J2865" s="9" t="str">
        <f>IFERROR(__xludf.DUMMYFUNCTION("""COMPUTED_VALUE"""),"Bash/Shell/PowerShell")</f>
        <v>Bash/Shell/PowerShell</v>
      </c>
      <c r="K2865" s="9" t="str">
        <f>IFERROR(__xludf.DUMMYFUNCTION("""COMPUTED_VALUE"""),"SQL")</f>
        <v>SQL</v>
      </c>
      <c r="L2865" s="9" t="str">
        <f>IFERROR(__xludf.DUMMYFUNCTION("""COMPUTED_VALUE"""),"Objective-C")</f>
        <v>Objective-C</v>
      </c>
      <c r="M2865" s="9" t="s">
        <v>26</v>
      </c>
    </row>
    <row r="2866" ht="15.75" customHeight="1">
      <c r="A2866" s="7"/>
      <c r="B2866" s="7" t="str">
        <f>IFERROR(__xludf.DUMMYFUNCTION("""COMPUTED_VALUE"""),"HTML/CSS;JavaScript;PHP")</f>
        <v>HTML/CSS;JavaScript;PHP</v>
      </c>
      <c r="C2866" s="9" t="str">
        <f>IFERROR(__xludf.DUMMYFUNCTION("""COMPUTED_VALUE"""),"Java")</f>
        <v>Java</v>
      </c>
      <c r="D2866" s="9" t="str">
        <f>IFERROR(__xludf.DUMMYFUNCTION("""COMPUTED_VALUE"""),"JavaScript")</f>
        <v>JavaScript</v>
      </c>
      <c r="E2866" s="9" t="str">
        <f>IFERROR(__xludf.DUMMYFUNCTION("""COMPUTED_VALUE"""),"SQL")</f>
        <v>SQL</v>
      </c>
      <c r="F2866" s="9" t="str">
        <f>IFERROR(__xludf.DUMMYFUNCTION("""COMPUTED_VALUE"""),"JavaScript")</f>
        <v>JavaScript</v>
      </c>
      <c r="G2866" s="9" t="str">
        <f>IFERROR(__xludf.DUMMYFUNCTION("""COMPUTED_VALUE"""),"Bash/Shell/PowerShell")</f>
        <v>Bash/Shell/PowerShell</v>
      </c>
      <c r="H2866" s="9" t="str">
        <f>IFERROR(__xludf.DUMMYFUNCTION("""COMPUTED_VALUE"""),"SQL")</f>
        <v>SQL</v>
      </c>
      <c r="I2866" s="9" t="str">
        <f>IFERROR(__xludf.DUMMYFUNCTION("""COMPUTED_VALUE"""),"Swift")</f>
        <v>Swift</v>
      </c>
      <c r="J2866" s="9" t="str">
        <f>IFERROR(__xludf.DUMMYFUNCTION("""COMPUTED_VALUE"""),"C++")</f>
        <v>C++</v>
      </c>
      <c r="K2866" s="9" t="str">
        <f>IFERROR(__xludf.DUMMYFUNCTION("""COMPUTED_VALUE"""),"TypeScript")</f>
        <v>TypeScript</v>
      </c>
      <c r="L2866" s="9" t="str">
        <f>IFERROR(__xludf.DUMMYFUNCTION("""COMPUTED_VALUE"""),"SQL")</f>
        <v>SQL</v>
      </c>
      <c r="M2866" s="9" t="s">
        <v>20</v>
      </c>
    </row>
    <row r="2867" ht="15.75" customHeight="1">
      <c r="A2867" s="7"/>
      <c r="B2867" s="7" t="str">
        <f>IFERROR(__xludf.DUMMYFUNCTION("""COMPUTED_VALUE"""),"Bash/Shell/PowerShell;C;C++;HTML/CSS;Java;JavaScript;Objective-C;SQL")</f>
        <v>Bash/Shell/PowerShell;C;C++;HTML/CSS;Java;JavaScript;Objective-C;SQL</v>
      </c>
      <c r="C2867" s="9" t="str">
        <f>IFERROR(__xludf.DUMMYFUNCTION("""COMPUTED_VALUE"""),"Python")</f>
        <v>Python</v>
      </c>
      <c r="D2867" s="9" t="str">
        <f>IFERROR(__xludf.DUMMYFUNCTION("""COMPUTED_VALUE"""),"PHP")</f>
        <v>PHP</v>
      </c>
      <c r="E2867" s="9" t="str">
        <f>IFERROR(__xludf.DUMMYFUNCTION("""COMPUTED_VALUE"""),"HTML/CSS")</f>
        <v>HTML/CSS</v>
      </c>
      <c r="F2867" s="9" t="str">
        <f>IFERROR(__xludf.DUMMYFUNCTION("""COMPUTED_VALUE"""),"PHP")</f>
        <v>PHP</v>
      </c>
      <c r="G2867" s="9" t="str">
        <f>IFERROR(__xludf.DUMMYFUNCTION("""COMPUTED_VALUE"""),"C")</f>
        <v>C</v>
      </c>
      <c r="H2867" s="9" t="str">
        <f>IFERROR(__xludf.DUMMYFUNCTION("""COMPUTED_VALUE"""),"Bash/Shell/PowerShell")</f>
        <v>Bash/Shell/PowerShell</v>
      </c>
      <c r="I2867" s="9" t="str">
        <f>IFERROR(__xludf.DUMMYFUNCTION("""COMPUTED_VALUE"""),"Assembly")</f>
        <v>Assembly</v>
      </c>
      <c r="J2867" s="9" t="str">
        <f>IFERROR(__xludf.DUMMYFUNCTION("""COMPUTED_VALUE"""),"C#")</f>
        <v>C#</v>
      </c>
      <c r="K2867" s="9" t="str">
        <f>IFERROR(__xludf.DUMMYFUNCTION("""COMPUTED_VALUE"""),"Bash/Shell/PowerShell")</f>
        <v>Bash/Shell/PowerShell</v>
      </c>
      <c r="L2867" s="9" t="str">
        <f>IFERROR(__xludf.DUMMYFUNCTION("""COMPUTED_VALUE"""),"Swift")</f>
        <v>Swift</v>
      </c>
      <c r="M2867" s="9" t="s">
        <v>22</v>
      </c>
    </row>
    <row r="2868" ht="15.75" customHeight="1">
      <c r="A2868" s="7"/>
      <c r="B2868" s="7" t="str">
        <f>IFERROR(__xludf.DUMMYFUNCTION("""COMPUTED_VALUE"""),"Java;JavaScript")</f>
        <v>Java;JavaScript</v>
      </c>
      <c r="C2868" s="9" t="str">
        <f>IFERROR(__xludf.DUMMYFUNCTION("""COMPUTED_VALUE"""),"R")</f>
        <v>R</v>
      </c>
      <c r="D2868" s="9" t="str">
        <f>IFERROR(__xludf.DUMMYFUNCTION("""COMPUTED_VALUE"""),"SQL")</f>
        <v>SQL</v>
      </c>
      <c r="E2868" s="9" t="str">
        <f>IFERROR(__xludf.DUMMYFUNCTION("""COMPUTED_VALUE"""),"JavaScript")</f>
        <v>JavaScript</v>
      </c>
      <c r="F2868" s="9" t="str">
        <f>IFERROR(__xludf.DUMMYFUNCTION("""COMPUTED_VALUE"""),"SQL")</f>
        <v>SQL</v>
      </c>
      <c r="G2868" s="9" t="str">
        <f>IFERROR(__xludf.DUMMYFUNCTION("""COMPUTED_VALUE"""),"C++")</f>
        <v>C++</v>
      </c>
      <c r="H2868" s="9" t="str">
        <f>IFERROR(__xludf.DUMMYFUNCTION("""COMPUTED_VALUE"""),"Clojure")</f>
        <v>Clojure</v>
      </c>
      <c r="I2868" s="9" t="str">
        <f>IFERROR(__xludf.DUMMYFUNCTION("""COMPUTED_VALUE"""),"C")</f>
        <v>C</v>
      </c>
      <c r="J2868" s="9" t="str">
        <f>IFERROR(__xludf.DUMMYFUNCTION("""COMPUTED_VALUE"""),"HTML/CSS")</f>
        <v>HTML/CSS</v>
      </c>
      <c r="K2868" s="9" t="str">
        <f>IFERROR(__xludf.DUMMYFUNCTION("""COMPUTED_VALUE"""),"HTML/CSS")</f>
        <v>HTML/CSS</v>
      </c>
      <c r="L2868" s="9" t="str">
        <f>IFERROR(__xludf.DUMMYFUNCTION("""COMPUTED_VALUE"""),"Python")</f>
        <v>Python</v>
      </c>
      <c r="M2868" s="9" t="s">
        <v>29</v>
      </c>
    </row>
    <row r="2869" ht="15.75" customHeight="1">
      <c r="A2869" s="7"/>
      <c r="B2869" s="7" t="str">
        <f>IFERROR(__xludf.DUMMYFUNCTION("""COMPUTED_VALUE"""),"Assembly;Bash/Shell/PowerShell;C;C++;C#;HTML/CSS;Java;JavaScript;SQL;VBA")</f>
        <v>Assembly;Bash/Shell/PowerShell;C;C++;C#;HTML/CSS;Java;JavaScript;SQL;VBA</v>
      </c>
      <c r="C2869" s="9" t="str">
        <f>IFERROR(__xludf.DUMMYFUNCTION("""COMPUTED_VALUE"""),"VBA")</f>
        <v>VBA</v>
      </c>
      <c r="D2869" s="9" t="str">
        <f>IFERROR(__xludf.DUMMYFUNCTION("""COMPUTED_VALUE"""),"HTML/CSS")</f>
        <v>HTML/CSS</v>
      </c>
      <c r="E2869" s="9" t="str">
        <f>IFERROR(__xludf.DUMMYFUNCTION("""COMPUTED_VALUE"""),"TypeScript")</f>
        <v>TypeScript</v>
      </c>
      <c r="F2869" s="9" t="str">
        <f>IFERROR(__xludf.DUMMYFUNCTION("""COMPUTED_VALUE"""),"TypeScript")</f>
        <v>TypeScript</v>
      </c>
      <c r="G2869" s="9" t="str">
        <f>IFERROR(__xludf.DUMMYFUNCTION("""COMPUTED_VALUE"""),"C#")</f>
        <v>C#</v>
      </c>
      <c r="H2869" s="9" t="str">
        <f>IFERROR(__xludf.DUMMYFUNCTION("""COMPUTED_VALUE"""),"Elixir")</f>
        <v>Elixir</v>
      </c>
      <c r="I2869" s="9" t="str">
        <f>IFERROR(__xludf.DUMMYFUNCTION("""COMPUTED_VALUE"""),"C++")</f>
        <v>C++</v>
      </c>
      <c r="J2869" s="9" t="str">
        <f>IFERROR(__xludf.DUMMYFUNCTION("""COMPUTED_VALUE"""),"Java")</f>
        <v>Java</v>
      </c>
      <c r="K2869" s="9" t="str">
        <f>IFERROR(__xludf.DUMMYFUNCTION("""COMPUTED_VALUE"""),"Java")</f>
        <v>Java</v>
      </c>
      <c r="L2869" s="9" t="str">
        <f>IFERROR(__xludf.DUMMYFUNCTION("""COMPUTED_VALUE"""),"Bash/Shell/PowerShell")</f>
        <v>Bash/Shell/PowerShell</v>
      </c>
      <c r="M2869" s="9" t="s">
        <v>28</v>
      </c>
    </row>
    <row r="2870" ht="15.75" customHeight="1">
      <c r="A2870" s="7"/>
      <c r="B2870" s="7" t="str">
        <f>IFERROR(__xludf.DUMMYFUNCTION("""COMPUTED_VALUE"""),"HTML/CSS;Java;JavaScript;PHP;Other(s):")</f>
        <v>HTML/CSS;Java;JavaScript;PHP;Other(s):</v>
      </c>
      <c r="C2870" s="9" t="str">
        <f>IFERROR(__xludf.DUMMYFUNCTION("""COMPUTED_VALUE"""),"Java")</f>
        <v>Java</v>
      </c>
      <c r="D2870" s="9" t="str">
        <f>IFERROR(__xludf.DUMMYFUNCTION("""COMPUTED_VALUE"""),"Java")</f>
        <v>Java</v>
      </c>
      <c r="E2870" s="9" t="str">
        <f>IFERROR(__xludf.DUMMYFUNCTION("""COMPUTED_VALUE"""),"Dart")</f>
        <v>Dart</v>
      </c>
      <c r="F2870" s="9" t="str">
        <f>IFERROR(__xludf.DUMMYFUNCTION("""COMPUTED_VALUE"""),"HTML/CSS")</f>
        <v>HTML/CSS</v>
      </c>
      <c r="G2870" s="9" t="str">
        <f>IFERROR(__xludf.DUMMYFUNCTION("""COMPUTED_VALUE"""),"HTML/CSS")</f>
        <v>HTML/CSS</v>
      </c>
      <c r="H2870" s="9" t="str">
        <f>IFERROR(__xludf.DUMMYFUNCTION("""COMPUTED_VALUE"""),"Erlang")</f>
        <v>Erlang</v>
      </c>
      <c r="I2870" s="9" t="str">
        <f>IFERROR(__xludf.DUMMYFUNCTION("""COMPUTED_VALUE"""),"C#")</f>
        <v>C#</v>
      </c>
      <c r="J2870" s="9" t="str">
        <f>IFERROR(__xludf.DUMMYFUNCTION("""COMPUTED_VALUE"""),"JavaScript")</f>
        <v>JavaScript</v>
      </c>
      <c r="K2870" s="9" t="str">
        <f>IFERROR(__xludf.DUMMYFUNCTION("""COMPUTED_VALUE"""),"JavaScript")</f>
        <v>JavaScript</v>
      </c>
      <c r="L2870" s="9" t="str">
        <f>IFERROR(__xludf.DUMMYFUNCTION("""COMPUTED_VALUE"""),"C++")</f>
        <v>C++</v>
      </c>
      <c r="M2870" s="9" t="s">
        <v>20</v>
      </c>
    </row>
    <row r="2871" ht="15.75" customHeight="1">
      <c r="A2871" s="7"/>
      <c r="B2871" s="7" t="str">
        <f>IFERROR(__xludf.DUMMYFUNCTION("""COMPUTED_VALUE"""),"C#;HTML/CSS;JavaScript;SQL")</f>
        <v>C#;HTML/CSS;JavaScript;SQL</v>
      </c>
      <c r="C2871" s="9" t="str">
        <f>IFERROR(__xludf.DUMMYFUNCTION("""COMPUTED_VALUE"""),"Python")</f>
        <v>Python</v>
      </c>
      <c r="D2871" s="9" t="str">
        <f>IFERROR(__xludf.DUMMYFUNCTION("""COMPUTED_VALUE"""),"JavaScript")</f>
        <v>JavaScript</v>
      </c>
      <c r="E2871" s="9" t="str">
        <f>IFERROR(__xludf.DUMMYFUNCTION("""COMPUTED_VALUE"""),"HTML/CSS")</f>
        <v>HTML/CSS</v>
      </c>
      <c r="F2871" s="9" t="str">
        <f>IFERROR(__xludf.DUMMYFUNCTION("""COMPUTED_VALUE"""),"JavaScript")</f>
        <v>JavaScript</v>
      </c>
      <c r="G2871" s="9" t="str">
        <f>IFERROR(__xludf.DUMMYFUNCTION("""COMPUTED_VALUE"""),"SQL")</f>
        <v>SQL</v>
      </c>
      <c r="H2871" s="9" t="str">
        <f>IFERROR(__xludf.DUMMYFUNCTION("""COMPUTED_VALUE"""),"Go")</f>
        <v>Go</v>
      </c>
      <c r="I2871" s="9" t="str">
        <f>IFERROR(__xludf.DUMMYFUNCTION("""COMPUTED_VALUE"""),"HTML/CSS")</f>
        <v>HTML/CSS</v>
      </c>
      <c r="J2871" s="9" t="str">
        <f>IFERROR(__xludf.DUMMYFUNCTION("""COMPUTED_VALUE"""),"PHP")</f>
        <v>PHP</v>
      </c>
      <c r="K2871" s="9" t="str">
        <f>IFERROR(__xludf.DUMMYFUNCTION("""COMPUTED_VALUE"""),"Python")</f>
        <v>Python</v>
      </c>
      <c r="L2871" s="9" t="str">
        <f>IFERROR(__xludf.DUMMYFUNCTION("""COMPUTED_VALUE"""),"HTML/CSS")</f>
        <v>HTML/CSS</v>
      </c>
      <c r="M2871" s="9" t="s">
        <v>22</v>
      </c>
    </row>
    <row r="2872" ht="15.75" customHeight="1">
      <c r="A2872" s="7"/>
      <c r="B2872" s="7" t="str">
        <f>IFERROR(__xludf.DUMMYFUNCTION("""COMPUTED_VALUE"""),"C#;HTML/CSS;JavaScript;PHP;SQL")</f>
        <v>C#;HTML/CSS;JavaScript;PHP;SQL</v>
      </c>
      <c r="C2872" s="9" t="str">
        <f>IFERROR(__xludf.DUMMYFUNCTION("""COMPUTED_VALUE"""),"Ruby")</f>
        <v>Ruby</v>
      </c>
      <c r="D2872" s="9" t="str">
        <f>IFERROR(__xludf.DUMMYFUNCTION("""COMPUTED_VALUE"""),"SQL")</f>
        <v>SQL</v>
      </c>
      <c r="E2872" s="9" t="str">
        <f>IFERROR(__xludf.DUMMYFUNCTION("""COMPUTED_VALUE"""),"JavaScript")</f>
        <v>JavaScript</v>
      </c>
      <c r="F2872" s="9" t="str">
        <f>IFERROR(__xludf.DUMMYFUNCTION("""COMPUTED_VALUE"""),"PHP")</f>
        <v>PHP</v>
      </c>
      <c r="G2872" s="9" t="str">
        <f>IFERROR(__xludf.DUMMYFUNCTION("""COMPUTED_VALUE"""),"Other(s):")</f>
        <v>Other(s):</v>
      </c>
      <c r="H2872" s="9" t="str">
        <f>IFERROR(__xludf.DUMMYFUNCTION("""COMPUTED_VALUE"""),"Python")</f>
        <v>Python</v>
      </c>
      <c r="I2872" s="9" t="str">
        <f>IFERROR(__xludf.DUMMYFUNCTION("""COMPUTED_VALUE"""),"Java")</f>
        <v>Java</v>
      </c>
      <c r="J2872" s="9" t="str">
        <f>IFERROR(__xludf.DUMMYFUNCTION("""COMPUTED_VALUE"""),"Python")</f>
        <v>Python</v>
      </c>
      <c r="K2872" s="9" t="str">
        <f>IFERROR(__xludf.DUMMYFUNCTION("""COMPUTED_VALUE"""),"R")</f>
        <v>R</v>
      </c>
      <c r="L2872" s="9" t="str">
        <f>IFERROR(__xludf.DUMMYFUNCTION("""COMPUTED_VALUE"""),"Java")</f>
        <v>Java</v>
      </c>
      <c r="M2872" s="9" t="s">
        <v>31</v>
      </c>
    </row>
    <row r="2873" ht="15.75" customHeight="1">
      <c r="A2873" s="7"/>
      <c r="B2873" s="7" t="str">
        <f>IFERROR(__xludf.DUMMYFUNCTION("""COMPUTED_VALUE"""),"C#;JavaScript;SQL")</f>
        <v>C#;JavaScript;SQL</v>
      </c>
      <c r="C2873" s="9" t="str">
        <f>IFERROR(__xludf.DUMMYFUNCTION("""COMPUTED_VALUE"""),"Bash/Shell/PowerShell")</f>
        <v>Bash/Shell/PowerShell</v>
      </c>
      <c r="D2873" s="9" t="str">
        <f>IFERROR(__xludf.DUMMYFUNCTION("""COMPUTED_VALUE"""),"TypeScript")</f>
        <v>TypeScript</v>
      </c>
      <c r="E2873" s="9" t="str">
        <f>IFERROR(__xludf.DUMMYFUNCTION("""COMPUTED_VALUE"""),"PHP")</f>
        <v>PHP</v>
      </c>
      <c r="F2873" s="9" t="str">
        <f>IFERROR(__xludf.DUMMYFUNCTION("""COMPUTED_VALUE"""),"C#")</f>
        <v>C#</v>
      </c>
      <c r="G2873" s="9" t="str">
        <f>IFERROR(__xludf.DUMMYFUNCTION("""COMPUTED_VALUE"""),"Python")</f>
        <v>Python</v>
      </c>
      <c r="H2873" s="9" t="str">
        <f>IFERROR(__xludf.DUMMYFUNCTION("""COMPUTED_VALUE"""),"Ruby")</f>
        <v>Ruby</v>
      </c>
      <c r="I2873" s="9" t="str">
        <f>IFERROR(__xludf.DUMMYFUNCTION("""COMPUTED_VALUE"""),"JavaScript")</f>
        <v>JavaScript</v>
      </c>
      <c r="J2873" s="9" t="str">
        <f>IFERROR(__xludf.DUMMYFUNCTION("""COMPUTED_VALUE"""),"Ruby")</f>
        <v>Ruby</v>
      </c>
      <c r="K2873" s="9" t="str">
        <f>IFERROR(__xludf.DUMMYFUNCTION("""COMPUTED_VALUE"""),"Ruby")</f>
        <v>Ruby</v>
      </c>
      <c r="L2873" s="9" t="str">
        <f>IFERROR(__xludf.DUMMYFUNCTION("""COMPUTED_VALUE"""),"JavaScript")</f>
        <v>JavaScript</v>
      </c>
      <c r="M2873" s="9" t="s">
        <v>30</v>
      </c>
    </row>
    <row r="2874" ht="15.75" customHeight="1">
      <c r="A2874" s="7"/>
      <c r="B2874" s="7" t="str">
        <f>IFERROR(__xludf.DUMMYFUNCTION("""COMPUTED_VALUE"""),"C++;Objective-C")</f>
        <v>C++;Objective-C</v>
      </c>
      <c r="C2874" s="9" t="str">
        <f>IFERROR(__xludf.DUMMYFUNCTION("""COMPUTED_VALUE"""),"C#")</f>
        <v>C#</v>
      </c>
      <c r="D2874" s="9" t="str">
        <f>IFERROR(__xludf.DUMMYFUNCTION("""COMPUTED_VALUE"""),"Bash/Shell/PowerShell")</f>
        <v>Bash/Shell/PowerShell</v>
      </c>
      <c r="E2874" s="9" t="str">
        <f>IFERROR(__xludf.DUMMYFUNCTION("""COMPUTED_VALUE"""),"SQL")</f>
        <v>SQL</v>
      </c>
      <c r="F2874" s="9" t="str">
        <f>IFERROR(__xludf.DUMMYFUNCTION("""COMPUTED_VALUE"""),"Java")</f>
        <v>Java</v>
      </c>
      <c r="G2874" s="9" t="str">
        <f>IFERROR(__xludf.DUMMYFUNCTION("""COMPUTED_VALUE"""),"Other(s):")</f>
        <v>Other(s):</v>
      </c>
      <c r="H2874" s="9" t="str">
        <f>IFERROR(__xludf.DUMMYFUNCTION("""COMPUTED_VALUE"""),"Scala")</f>
        <v>Scala</v>
      </c>
      <c r="I2874" s="9" t="str">
        <f>IFERROR(__xludf.DUMMYFUNCTION("""COMPUTED_VALUE"""),"Python")</f>
        <v>Python</v>
      </c>
      <c r="J2874" s="9" t="str">
        <f>IFERROR(__xludf.DUMMYFUNCTION("""COMPUTED_VALUE"""),"SQL")</f>
        <v>SQL</v>
      </c>
      <c r="K2874" s="9" t="str">
        <f>IFERROR(__xludf.DUMMYFUNCTION("""COMPUTED_VALUE"""),"Bash/Shell/PowerShell")</f>
        <v>Bash/Shell/PowerShell</v>
      </c>
      <c r="L2874" s="9" t="str">
        <f>IFERROR(__xludf.DUMMYFUNCTION("""COMPUTED_VALUE"""),"Python")</f>
        <v>Python</v>
      </c>
      <c r="M2874" s="9" t="s">
        <v>26</v>
      </c>
    </row>
    <row r="2875" ht="15.75" customHeight="1">
      <c r="A2875" s="7"/>
      <c r="B2875" s="7" t="str">
        <f>IFERROR(__xludf.DUMMYFUNCTION("""COMPUTED_VALUE"""),"Bash/Shell/PowerShell;JavaScript;PHP;TypeScript")</f>
        <v>Bash/Shell/PowerShell;JavaScript;PHP;TypeScript</v>
      </c>
      <c r="C2875" s="9" t="str">
        <f>IFERROR(__xludf.DUMMYFUNCTION("""COMPUTED_VALUE"""),"Java")</f>
        <v>Java</v>
      </c>
      <c r="D2875" s="9" t="str">
        <f>IFERROR(__xludf.DUMMYFUNCTION("""COMPUTED_VALUE"""),"HTML/CSS")</f>
        <v>HTML/CSS</v>
      </c>
      <c r="E2875" s="9" t="str">
        <f>IFERROR(__xludf.DUMMYFUNCTION("""COMPUTED_VALUE"""),"Bash/Shell/PowerShell")</f>
        <v>Bash/Shell/PowerShell</v>
      </c>
      <c r="F2875" s="9" t="str">
        <f>IFERROR(__xludf.DUMMYFUNCTION("""COMPUTED_VALUE"""),"JavaScript")</f>
        <v>JavaScript</v>
      </c>
      <c r="G2875" s="9" t="str">
        <f>IFERROR(__xludf.DUMMYFUNCTION("""COMPUTED_VALUE"""),"Bash/Shell/PowerShell")</f>
        <v>Bash/Shell/PowerShell</v>
      </c>
      <c r="H2875" s="9" t="str">
        <f>IFERROR(__xludf.DUMMYFUNCTION("""COMPUTED_VALUE"""),"C")</f>
        <v>C</v>
      </c>
      <c r="I2875" s="9" t="str">
        <f>IFERROR(__xludf.DUMMYFUNCTION("""COMPUTED_VALUE"""),"SQL")</f>
        <v>SQL</v>
      </c>
      <c r="J2875" s="9" t="str">
        <f>IFERROR(__xludf.DUMMYFUNCTION("""COMPUTED_VALUE"""),"Swift")</f>
        <v>Swift</v>
      </c>
      <c r="K2875" s="9" t="str">
        <f>IFERROR(__xludf.DUMMYFUNCTION("""COMPUTED_VALUE"""),"C#")</f>
        <v>C#</v>
      </c>
      <c r="L2875" s="9" t="str">
        <f>IFERROR(__xludf.DUMMYFUNCTION("""COMPUTED_VALUE"""),"SQL")</f>
        <v>SQL</v>
      </c>
      <c r="M2875" s="9" t="s">
        <v>20</v>
      </c>
    </row>
    <row r="2876" ht="15.75" customHeight="1">
      <c r="A2876" s="7"/>
      <c r="B2876" s="7" t="str">
        <f>IFERROR(__xludf.DUMMYFUNCTION("""COMPUTED_VALUE"""),"HTML/CSS;JavaScript;Python;SQL;VBA")</f>
        <v>HTML/CSS;JavaScript;Python;SQL;VBA</v>
      </c>
      <c r="C2876" s="9" t="str">
        <f>IFERROR(__xludf.DUMMYFUNCTION("""COMPUTED_VALUE"""),"Other(s):")</f>
        <v>Other(s):</v>
      </c>
      <c r="D2876" s="9" t="str">
        <f>IFERROR(__xludf.DUMMYFUNCTION("""COMPUTED_VALUE"""),"Java")</f>
        <v>Java</v>
      </c>
      <c r="E2876" s="9" t="str">
        <f>IFERROR(__xludf.DUMMYFUNCTION("""COMPUTED_VALUE"""),"C#")</f>
        <v>C#</v>
      </c>
      <c r="F2876" s="9" t="str">
        <f>IFERROR(__xludf.DUMMYFUNCTION("""COMPUTED_VALUE"""),"Python")</f>
        <v>Python</v>
      </c>
      <c r="G2876" s="9" t="str">
        <f>IFERROR(__xludf.DUMMYFUNCTION("""COMPUTED_VALUE"""),"Python")</f>
        <v>Python</v>
      </c>
      <c r="H2876" s="9" t="str">
        <f>IFERROR(__xludf.DUMMYFUNCTION("""COMPUTED_VALUE"""),"C++")</f>
        <v>C++</v>
      </c>
      <c r="I2876" s="9" t="str">
        <f>IFERROR(__xludf.DUMMYFUNCTION("""COMPUTED_VALUE"""),"Bash/Shell/PowerShell")</f>
        <v>Bash/Shell/PowerShell</v>
      </c>
      <c r="J2876" s="9" t="str">
        <f>IFERROR(__xludf.DUMMYFUNCTION("""COMPUTED_VALUE"""),"TypeScript")</f>
        <v>TypeScript</v>
      </c>
      <c r="K2876" s="9" t="str">
        <f>IFERROR(__xludf.DUMMYFUNCTION("""COMPUTED_VALUE"""),"SQL")</f>
        <v>SQL</v>
      </c>
      <c r="L2876" s="9" t="str">
        <f>IFERROR(__xludf.DUMMYFUNCTION("""COMPUTED_VALUE"""),"Other(s):")</f>
        <v>Other(s):</v>
      </c>
      <c r="M2876" s="9" t="s">
        <v>35</v>
      </c>
    </row>
    <row r="2877" ht="15.75" customHeight="1">
      <c r="A2877" s="7"/>
      <c r="B2877" s="7" t="str">
        <f>IFERROR(__xludf.DUMMYFUNCTION("""COMPUTED_VALUE"""),"C#;HTML/CSS")</f>
        <v>C#;HTML/CSS</v>
      </c>
      <c r="C2877" s="9" t="str">
        <f>IFERROR(__xludf.DUMMYFUNCTION("""COMPUTED_VALUE"""),"C#")</f>
        <v>C#</v>
      </c>
      <c r="D2877" s="9" t="str">
        <f>IFERROR(__xludf.DUMMYFUNCTION("""COMPUTED_VALUE"""),"JavaScript")</f>
        <v>JavaScript</v>
      </c>
      <c r="E2877" s="9" t="str">
        <f>IFERROR(__xludf.DUMMYFUNCTION("""COMPUTED_VALUE"""),"HTML/CSS")</f>
        <v>HTML/CSS</v>
      </c>
      <c r="F2877" s="9" t="str">
        <f>IFERROR(__xludf.DUMMYFUNCTION("""COMPUTED_VALUE"""),"Assembly")</f>
        <v>Assembly</v>
      </c>
      <c r="G2877" s="9" t="str">
        <f>IFERROR(__xludf.DUMMYFUNCTION("""COMPUTED_VALUE"""),"Scala")</f>
        <v>Scala</v>
      </c>
      <c r="H2877" s="9" t="str">
        <f>IFERROR(__xludf.DUMMYFUNCTION("""COMPUTED_VALUE"""),"C#")</f>
        <v>C#</v>
      </c>
      <c r="I2877" s="9" t="str">
        <f>IFERROR(__xludf.DUMMYFUNCTION("""COMPUTED_VALUE"""),"C")</f>
        <v>C</v>
      </c>
      <c r="J2877" s="9" t="str">
        <f>IFERROR(__xludf.DUMMYFUNCTION("""COMPUTED_VALUE"""),"Bash/Shell/PowerShell")</f>
        <v>Bash/Shell/PowerShell</v>
      </c>
      <c r="K2877" s="9" t="str">
        <f>IFERROR(__xludf.DUMMYFUNCTION("""COMPUTED_VALUE"""),"Python")</f>
        <v>Python</v>
      </c>
      <c r="L2877" s="9" t="str">
        <f>IFERROR(__xludf.DUMMYFUNCTION("""COMPUTED_VALUE"""),"Assembly")</f>
        <v>Assembly</v>
      </c>
      <c r="M2877" s="9" t="s">
        <v>26</v>
      </c>
    </row>
    <row r="2878" ht="15.75" customHeight="1">
      <c r="A2878" s="7"/>
      <c r="B2878" s="7" t="str">
        <f>IFERROR(__xludf.DUMMYFUNCTION("""COMPUTED_VALUE"""),"Assembly;Bash/Shell/PowerShell;C;HTML/CSS;Java;Python")</f>
        <v>Assembly;Bash/Shell/PowerShell;C;HTML/CSS;Java;Python</v>
      </c>
      <c r="C2878" s="9" t="str">
        <f>IFERROR(__xludf.DUMMYFUNCTION("""COMPUTED_VALUE"""),"C#")</f>
        <v>C#</v>
      </c>
      <c r="D2878" s="9" t="str">
        <f>IFERROR(__xludf.DUMMYFUNCTION("""COMPUTED_VALUE"""),"Kotlin")</f>
        <v>Kotlin</v>
      </c>
      <c r="E2878" s="9" t="str">
        <f>IFERROR(__xludf.DUMMYFUNCTION("""COMPUTED_VALUE"""),"JavaScript")</f>
        <v>JavaScript</v>
      </c>
      <c r="F2878" s="9" t="str">
        <f>IFERROR(__xludf.DUMMYFUNCTION("""COMPUTED_VALUE"""),"C")</f>
        <v>C</v>
      </c>
      <c r="G2878" s="9" t="str">
        <f>IFERROR(__xludf.DUMMYFUNCTION("""COMPUTED_VALUE"""),"SQL")</f>
        <v>SQL</v>
      </c>
      <c r="H2878" s="9" t="str">
        <f>IFERROR(__xludf.DUMMYFUNCTION("""COMPUTED_VALUE"""),"Java")</f>
        <v>Java</v>
      </c>
      <c r="I2878" s="9" t="str">
        <f>IFERROR(__xludf.DUMMYFUNCTION("""COMPUTED_VALUE"""),"C++")</f>
        <v>C++</v>
      </c>
      <c r="J2878" s="9" t="str">
        <f>IFERROR(__xludf.DUMMYFUNCTION("""COMPUTED_VALUE"""),"JavaScript")</f>
        <v>JavaScript</v>
      </c>
      <c r="K2878" s="9" t="str">
        <f>IFERROR(__xludf.DUMMYFUNCTION("""COMPUTED_VALUE"""),"SQL")</f>
        <v>SQL</v>
      </c>
      <c r="L2878" s="9" t="str">
        <f>IFERROR(__xludf.DUMMYFUNCTION("""COMPUTED_VALUE"""),"Bash/Shell/PowerShell")</f>
        <v>Bash/Shell/PowerShell</v>
      </c>
      <c r="M2878" s="9" t="s">
        <v>26</v>
      </c>
    </row>
    <row r="2879" ht="15.75" customHeight="1">
      <c r="A2879" s="7"/>
      <c r="B2879" s="7" t="str">
        <f>IFERROR(__xludf.DUMMYFUNCTION("""COMPUTED_VALUE"""),"Assembly;Bash/Shell/PowerShell;C;C++;HTML/CSS;Java;JavaScript;PHP;Python;Ruby;SQL")</f>
        <v>Assembly;Bash/Shell/PowerShell;C;C++;HTML/CSS;Java;JavaScript;PHP;Python;Ruby;SQL</v>
      </c>
      <c r="C2879" s="9" t="str">
        <f>IFERROR(__xludf.DUMMYFUNCTION("""COMPUTED_VALUE"""),"HTML/CSS")</f>
        <v>HTML/CSS</v>
      </c>
      <c r="D2879" s="9" t="str">
        <f>IFERROR(__xludf.DUMMYFUNCTION("""COMPUTED_VALUE"""),"Python")</f>
        <v>Python</v>
      </c>
      <c r="E2879" s="9" t="str">
        <f>IFERROR(__xludf.DUMMYFUNCTION("""COMPUTED_VALUE"""),"PHP")</f>
        <v>PHP</v>
      </c>
      <c r="F2879" s="9" t="str">
        <f>IFERROR(__xludf.DUMMYFUNCTION("""COMPUTED_VALUE"""),"C++")</f>
        <v>C++</v>
      </c>
      <c r="G2879" s="9" t="str">
        <f>IFERROR(__xludf.DUMMYFUNCTION("""COMPUTED_VALUE"""),"Other(s):")</f>
        <v>Other(s):</v>
      </c>
      <c r="H2879" s="9" t="str">
        <f>IFERROR(__xludf.DUMMYFUNCTION("""COMPUTED_VALUE"""),"HTML/CSS")</f>
        <v>HTML/CSS</v>
      </c>
      <c r="I2879" s="9" t="str">
        <f>IFERROR(__xludf.DUMMYFUNCTION("""COMPUTED_VALUE"""),"HTML/CSS")</f>
        <v>HTML/CSS</v>
      </c>
      <c r="J2879" s="9" t="str">
        <f>IFERROR(__xludf.DUMMYFUNCTION("""COMPUTED_VALUE"""),"Python")</f>
        <v>Python</v>
      </c>
      <c r="K2879" s="9" t="str">
        <f>IFERROR(__xludf.DUMMYFUNCTION("""COMPUTED_VALUE"""),"Assembly")</f>
        <v>Assembly</v>
      </c>
      <c r="L2879" s="9" t="str">
        <f>IFERROR(__xludf.DUMMYFUNCTION("""COMPUTED_VALUE"""),"C++")</f>
        <v>C++</v>
      </c>
      <c r="M2879" s="9" t="s">
        <v>24</v>
      </c>
    </row>
    <row r="2880" ht="15.75" customHeight="1">
      <c r="A2880" s="7"/>
      <c r="B2880" s="7" t="str">
        <f>IFERROR(__xludf.DUMMYFUNCTION("""COMPUTED_VALUE"""),"HTML/CSS;Python")</f>
        <v>HTML/CSS;Python</v>
      </c>
      <c r="C2880" s="9" t="str">
        <f>IFERROR(__xludf.DUMMYFUNCTION("""COMPUTED_VALUE"""),"JavaScript")</f>
        <v>JavaScript</v>
      </c>
      <c r="D2880" s="9" t="str">
        <f>IFERROR(__xludf.DUMMYFUNCTION("""COMPUTED_VALUE"""),"Scala")</f>
        <v>Scala</v>
      </c>
      <c r="E2880" s="9" t="str">
        <f>IFERROR(__xludf.DUMMYFUNCTION("""COMPUTED_VALUE"""),"SQL")</f>
        <v>SQL</v>
      </c>
      <c r="F2880" s="9" t="str">
        <f>IFERROR(__xludf.DUMMYFUNCTION("""COMPUTED_VALUE"""),"Java")</f>
        <v>Java</v>
      </c>
      <c r="G2880" s="9" t="str">
        <f>IFERROR(__xludf.DUMMYFUNCTION("""COMPUTED_VALUE"""),"HTML/CSS")</f>
        <v>HTML/CSS</v>
      </c>
      <c r="H2880" s="9" t="str">
        <f>IFERROR(__xludf.DUMMYFUNCTION("""COMPUTED_VALUE"""),"JavaScript")</f>
        <v>JavaScript</v>
      </c>
      <c r="I2880" s="9" t="str">
        <f>IFERROR(__xludf.DUMMYFUNCTION("""COMPUTED_VALUE"""),"PHP")</f>
        <v>PHP</v>
      </c>
      <c r="J2880" s="9" t="str">
        <f>IFERROR(__xludf.DUMMYFUNCTION("""COMPUTED_VALUE"""),"Rust")</f>
        <v>Rust</v>
      </c>
      <c r="K2880" s="9" t="str">
        <f>IFERROR(__xludf.DUMMYFUNCTION("""COMPUTED_VALUE"""),"Python")</f>
        <v>Python</v>
      </c>
      <c r="L2880" s="9" t="str">
        <f>IFERROR(__xludf.DUMMYFUNCTION("""COMPUTED_VALUE"""),"HTML/CSS")</f>
        <v>HTML/CSS</v>
      </c>
      <c r="M2880" s="9" t="s">
        <v>21</v>
      </c>
    </row>
    <row r="2881" ht="15.75" customHeight="1">
      <c r="A2881" s="7"/>
      <c r="B2881" s="7" t="str">
        <f>IFERROR(__xludf.DUMMYFUNCTION("""COMPUTED_VALUE"""),"HTML/CSS;Java;JavaScript")</f>
        <v>HTML/CSS;Java;JavaScript</v>
      </c>
      <c r="C2881" s="9" t="str">
        <f>IFERROR(__xludf.DUMMYFUNCTION("""COMPUTED_VALUE"""),"SQL")</f>
        <v>SQL</v>
      </c>
      <c r="D2881" s="9" t="str">
        <f>IFERROR(__xludf.DUMMYFUNCTION("""COMPUTED_VALUE"""),"SQL")</f>
        <v>SQL</v>
      </c>
      <c r="E2881" s="9" t="str">
        <f>IFERROR(__xludf.DUMMYFUNCTION("""COMPUTED_VALUE"""),"Kotlin")</f>
        <v>Kotlin</v>
      </c>
      <c r="F2881" s="9" t="str">
        <f>IFERROR(__xludf.DUMMYFUNCTION("""COMPUTED_VALUE"""),"JavaScript")</f>
        <v>JavaScript</v>
      </c>
      <c r="G2881" s="9" t="str">
        <f>IFERROR(__xludf.DUMMYFUNCTION("""COMPUTED_VALUE"""),"JavaScript")</f>
        <v>JavaScript</v>
      </c>
      <c r="H2881" s="9" t="str">
        <f>IFERROR(__xludf.DUMMYFUNCTION("""COMPUTED_VALUE"""),"PHP")</f>
        <v>PHP</v>
      </c>
      <c r="I2881" s="9" t="str">
        <f>IFERROR(__xludf.DUMMYFUNCTION("""COMPUTED_VALUE"""),"Python")</f>
        <v>Python</v>
      </c>
      <c r="J2881" s="9" t="str">
        <f>IFERROR(__xludf.DUMMYFUNCTION("""COMPUTED_VALUE"""),"Other(s):")</f>
        <v>Other(s):</v>
      </c>
      <c r="K2881" s="9" t="str">
        <f>IFERROR(__xludf.DUMMYFUNCTION("""COMPUTED_VALUE"""),"Other(s):")</f>
        <v>Other(s):</v>
      </c>
      <c r="L2881" s="9" t="str">
        <f>IFERROR(__xludf.DUMMYFUNCTION("""COMPUTED_VALUE"""),"Java")</f>
        <v>Java</v>
      </c>
      <c r="M2881" s="9" t="s">
        <v>27</v>
      </c>
    </row>
    <row r="2882" ht="15.75" customHeight="1">
      <c r="A2882" s="7"/>
      <c r="B2882" s="7" t="str">
        <f>IFERROR(__xludf.DUMMYFUNCTION("""COMPUTED_VALUE"""),"Assembly;Bash/Shell/PowerShell;C;C++;C#;HTML/CSS;SQL")</f>
        <v>Assembly;Bash/Shell/PowerShell;C;C++;C#;HTML/CSS;SQL</v>
      </c>
      <c r="C2882" s="9" t="str">
        <f>IFERROR(__xludf.DUMMYFUNCTION("""COMPUTED_VALUE"""),"VBA")</f>
        <v>VBA</v>
      </c>
      <c r="D2882" s="9" t="str">
        <f>IFERROR(__xludf.DUMMYFUNCTION("""COMPUTED_VALUE"""),"C++")</f>
        <v>C++</v>
      </c>
      <c r="E2882" s="9" t="str">
        <f>IFERROR(__xludf.DUMMYFUNCTION("""COMPUTED_VALUE"""),"Objective-C")</f>
        <v>Objective-C</v>
      </c>
      <c r="F2882" s="9" t="str">
        <f>IFERROR(__xludf.DUMMYFUNCTION("""COMPUTED_VALUE"""),"Python")</f>
        <v>Python</v>
      </c>
      <c r="G2882" s="9" t="str">
        <f>IFERROR(__xludf.DUMMYFUNCTION("""COMPUTED_VALUE"""),"TypeScript")</f>
        <v>TypeScript</v>
      </c>
      <c r="H2882" s="9" t="str">
        <f>IFERROR(__xludf.DUMMYFUNCTION("""COMPUTED_VALUE"""),"SQL")</f>
        <v>SQL</v>
      </c>
      <c r="I2882" s="9" t="str">
        <f>IFERROR(__xludf.DUMMYFUNCTION("""COMPUTED_VALUE"""),"Ruby")</f>
        <v>Ruby</v>
      </c>
      <c r="J2882" s="9" t="str">
        <f>IFERROR(__xludf.DUMMYFUNCTION("""COMPUTED_VALUE"""),"Python")</f>
        <v>Python</v>
      </c>
      <c r="K2882" s="9" t="str">
        <f>IFERROR(__xludf.DUMMYFUNCTION("""COMPUTED_VALUE"""),"Java")</f>
        <v>Java</v>
      </c>
      <c r="L2882" s="9" t="str">
        <f>IFERROR(__xludf.DUMMYFUNCTION("""COMPUTED_VALUE"""),"PHP")</f>
        <v>PHP</v>
      </c>
      <c r="M2882" s="9" t="s">
        <v>28</v>
      </c>
    </row>
    <row r="2883" ht="15.75" customHeight="1">
      <c r="A2883" s="7"/>
      <c r="B2883" s="7" t="str">
        <f>IFERROR(__xludf.DUMMYFUNCTION("""COMPUTED_VALUE"""),"JavaScript;SQL;TypeScript")</f>
        <v>JavaScript;SQL;TypeScript</v>
      </c>
      <c r="C2883" s="9" t="str">
        <f>IFERROR(__xludf.DUMMYFUNCTION("""COMPUTED_VALUE"""),"C#")</f>
        <v>C#</v>
      </c>
      <c r="D2883" s="9" t="str">
        <f>IFERROR(__xludf.DUMMYFUNCTION("""COMPUTED_VALUE"""),"C#")</f>
        <v>C#</v>
      </c>
      <c r="E2883" s="9" t="str">
        <f>IFERROR(__xludf.DUMMYFUNCTION("""COMPUTED_VALUE"""),"Swift")</f>
        <v>Swift</v>
      </c>
      <c r="F2883" s="9" t="str">
        <f>IFERROR(__xludf.DUMMYFUNCTION("""COMPUTED_VALUE"""),"TypeScript")</f>
        <v>TypeScript</v>
      </c>
      <c r="G2883" s="9" t="str">
        <f>IFERROR(__xludf.DUMMYFUNCTION("""COMPUTED_VALUE"""),"JavaScript")</f>
        <v>JavaScript</v>
      </c>
      <c r="H2883" s="9" t="str">
        <f>IFERROR(__xludf.DUMMYFUNCTION("""COMPUTED_VALUE"""),"Bash/Shell/PowerShell")</f>
        <v>Bash/Shell/PowerShell</v>
      </c>
      <c r="I2883" s="9" t="str">
        <f>IFERROR(__xludf.DUMMYFUNCTION("""COMPUTED_VALUE"""),"SQL")</f>
        <v>SQL</v>
      </c>
      <c r="J2883" s="9" t="str">
        <f>IFERROR(__xludf.DUMMYFUNCTION("""COMPUTED_VALUE"""),"Swift")</f>
        <v>Swift</v>
      </c>
      <c r="K2883" s="9" t="str">
        <f>IFERROR(__xludf.DUMMYFUNCTION("""COMPUTED_VALUE"""),"Bash/Shell/PowerShell")</f>
        <v>Bash/Shell/PowerShell</v>
      </c>
      <c r="L2883" s="9" t="str">
        <f>IFERROR(__xludf.DUMMYFUNCTION("""COMPUTED_VALUE"""),"SQL")</f>
        <v>SQL</v>
      </c>
      <c r="M2883" s="9" t="s">
        <v>26</v>
      </c>
    </row>
    <row r="2884" ht="15.75" customHeight="1">
      <c r="A2884" s="7"/>
      <c r="B2884" s="7" t="str">
        <f>IFERROR(__xludf.DUMMYFUNCTION("""COMPUTED_VALUE"""),"Java;Python;Ruby;Scala")</f>
        <v>Java;Python;Ruby;Scala</v>
      </c>
      <c r="C2884" s="9" t="str">
        <f>IFERROR(__xludf.DUMMYFUNCTION("""COMPUTED_VALUE"""),"SQL")</f>
        <v>SQL</v>
      </c>
      <c r="D2884" s="9" t="str">
        <f>IFERROR(__xludf.DUMMYFUNCTION("""COMPUTED_VALUE"""),"HTML/CSS")</f>
        <v>HTML/CSS</v>
      </c>
      <c r="E2884" s="9" t="str">
        <f>IFERROR(__xludf.DUMMYFUNCTION("""COMPUTED_VALUE"""),"Bash/Shell/PowerShell")</f>
        <v>Bash/Shell/PowerShell</v>
      </c>
      <c r="F2884" s="9" t="str">
        <f>IFERROR(__xludf.DUMMYFUNCTION("""COMPUTED_VALUE"""),"Bash/Shell/PowerShell")</f>
        <v>Bash/Shell/PowerShell</v>
      </c>
      <c r="G2884" s="9" t="str">
        <f>IFERROR(__xludf.DUMMYFUNCTION("""COMPUTED_VALUE"""),"R")</f>
        <v>R</v>
      </c>
      <c r="H2884" s="9" t="str">
        <f>IFERROR(__xludf.DUMMYFUNCTION("""COMPUTED_VALUE"""),"C++")</f>
        <v>C++</v>
      </c>
      <c r="I2884" s="9" t="str">
        <f>IFERROR(__xludf.DUMMYFUNCTION("""COMPUTED_VALUE"""),"C++")</f>
        <v>C++</v>
      </c>
      <c r="J2884" s="9" t="str">
        <f>IFERROR(__xludf.DUMMYFUNCTION("""COMPUTED_VALUE"""),"C#")</f>
        <v>C#</v>
      </c>
      <c r="K2884" s="9" t="str">
        <f>IFERROR(__xludf.DUMMYFUNCTION("""COMPUTED_VALUE"""),"HTML/CSS")</f>
        <v>HTML/CSS</v>
      </c>
      <c r="L2884" s="9" t="str">
        <f>IFERROR(__xludf.DUMMYFUNCTION("""COMPUTED_VALUE"""),"TypeScript")</f>
        <v>TypeScript</v>
      </c>
      <c r="M2884" s="9" t="s">
        <v>27</v>
      </c>
    </row>
    <row r="2885" ht="15.75" customHeight="1">
      <c r="A2885" s="7"/>
      <c r="B2885" s="7" t="str">
        <f>IFERROR(__xludf.DUMMYFUNCTION("""COMPUTED_VALUE"""),"HTML/CSS;JavaScript;PHP;SQL")</f>
        <v>HTML/CSS;JavaScript;PHP;SQL</v>
      </c>
      <c r="C2885" s="9" t="str">
        <f>IFERROR(__xludf.DUMMYFUNCTION("""COMPUTED_VALUE"""),"C#")</f>
        <v>C#</v>
      </c>
      <c r="D2885" s="9" t="str">
        <f>IFERROR(__xludf.DUMMYFUNCTION("""COMPUTED_VALUE"""),"Java")</f>
        <v>Java</v>
      </c>
      <c r="E2885" s="9" t="str">
        <f>IFERROR(__xludf.DUMMYFUNCTION("""COMPUTED_VALUE"""),"C")</f>
        <v>C</v>
      </c>
      <c r="F2885" s="9" t="str">
        <f>IFERROR(__xludf.DUMMYFUNCTION("""COMPUTED_VALUE"""),"C#")</f>
        <v>C#</v>
      </c>
      <c r="G2885" s="9" t="str">
        <f>IFERROR(__xludf.DUMMYFUNCTION("""COMPUTED_VALUE"""),"SQL")</f>
        <v>SQL</v>
      </c>
      <c r="H2885" s="9" t="str">
        <f>IFERROR(__xludf.DUMMYFUNCTION("""COMPUTED_VALUE"""),"Java")</f>
        <v>Java</v>
      </c>
      <c r="I2885" s="9" t="str">
        <f>IFERROR(__xludf.DUMMYFUNCTION("""COMPUTED_VALUE"""),"HTML/CSS")</f>
        <v>HTML/CSS</v>
      </c>
      <c r="J2885" s="9" t="str">
        <f>IFERROR(__xludf.DUMMYFUNCTION("""COMPUTED_VALUE"""),"HTML/CSS")</f>
        <v>HTML/CSS</v>
      </c>
      <c r="K2885" s="9" t="str">
        <f>IFERROR(__xludf.DUMMYFUNCTION("""COMPUTED_VALUE"""),"Java")</f>
        <v>Java</v>
      </c>
      <c r="L2885" s="9" t="str">
        <f>IFERROR(__xludf.DUMMYFUNCTION("""COMPUTED_VALUE"""),"HTML/CSS")</f>
        <v>HTML/CSS</v>
      </c>
      <c r="M2885" s="9" t="s">
        <v>26</v>
      </c>
    </row>
    <row r="2886" ht="15.75" customHeight="1">
      <c r="A2886" s="7"/>
      <c r="B2886" s="7" t="str">
        <f>IFERROR(__xludf.DUMMYFUNCTION("""COMPUTED_VALUE"""),"Assembly;C;C++;HTML/CSS;Java;Objective-C;Python;SQL")</f>
        <v>Assembly;C;C++;HTML/CSS;Java;Objective-C;Python;SQL</v>
      </c>
      <c r="C2886" s="9" t="str">
        <f>IFERROR(__xludf.DUMMYFUNCTION("""COMPUTED_VALUE"""),"JavaScript")</f>
        <v>JavaScript</v>
      </c>
      <c r="D2886" s="9" t="str">
        <f>IFERROR(__xludf.DUMMYFUNCTION("""COMPUTED_VALUE"""),"JavaScript")</f>
        <v>JavaScript</v>
      </c>
      <c r="E2886" s="9" t="str">
        <f>IFERROR(__xludf.DUMMYFUNCTION("""COMPUTED_VALUE"""),"C++")</f>
        <v>C++</v>
      </c>
      <c r="F2886" s="9" t="str">
        <f>IFERROR(__xludf.DUMMYFUNCTION("""COMPUTED_VALUE"""),"HTML/CSS")</f>
        <v>HTML/CSS</v>
      </c>
      <c r="G2886" s="9" t="str">
        <f>IFERROR(__xludf.DUMMYFUNCTION("""COMPUTED_VALUE"""),"Ruby")</f>
        <v>Ruby</v>
      </c>
      <c r="H2886" s="9" t="str">
        <f>IFERROR(__xludf.DUMMYFUNCTION("""COMPUTED_VALUE"""),"Python")</f>
        <v>Python</v>
      </c>
      <c r="I2886" s="9" t="str">
        <f>IFERROR(__xludf.DUMMYFUNCTION("""COMPUTED_VALUE"""),"Java")</f>
        <v>Java</v>
      </c>
      <c r="J2886" s="9" t="str">
        <f>IFERROR(__xludf.DUMMYFUNCTION("""COMPUTED_VALUE"""),"JavaScript")</f>
        <v>JavaScript</v>
      </c>
      <c r="K2886" s="9" t="str">
        <f>IFERROR(__xludf.DUMMYFUNCTION("""COMPUTED_VALUE"""),"JavaScript")</f>
        <v>JavaScript</v>
      </c>
      <c r="L2886" s="9" t="str">
        <f>IFERROR(__xludf.DUMMYFUNCTION("""COMPUTED_VALUE"""),"JavaScript")</f>
        <v>JavaScript</v>
      </c>
      <c r="M2886" s="9" t="s">
        <v>21</v>
      </c>
    </row>
    <row r="2887" ht="15.75" customHeight="1">
      <c r="A2887" s="7"/>
      <c r="B2887" s="7" t="str">
        <f>IFERROR(__xludf.DUMMYFUNCTION("""COMPUTED_VALUE"""),"Assembly;C++;C#;HTML/CSS;Java;JavaScript;PHP;Python;SQL")</f>
        <v>Assembly;C++;C#;HTML/CSS;Java;JavaScript;PHP;Python;SQL</v>
      </c>
      <c r="C2887" s="9" t="str">
        <f>IFERROR(__xludf.DUMMYFUNCTION("""COMPUTED_VALUE"""),"C")</f>
        <v>C</v>
      </c>
      <c r="D2887" s="9" t="str">
        <f>IFERROR(__xludf.DUMMYFUNCTION("""COMPUTED_VALUE"""),"SQL")</f>
        <v>SQL</v>
      </c>
      <c r="E2887" s="9" t="str">
        <f>IFERROR(__xludf.DUMMYFUNCTION("""COMPUTED_VALUE"""),"C#")</f>
        <v>C#</v>
      </c>
      <c r="F2887" s="9" t="str">
        <f>IFERROR(__xludf.DUMMYFUNCTION("""COMPUTED_VALUE"""),"JavaScript")</f>
        <v>JavaScript</v>
      </c>
      <c r="G2887" s="9" t="str">
        <f>IFERROR(__xludf.DUMMYFUNCTION("""COMPUTED_VALUE"""),"Bash/Shell/PowerShell")</f>
        <v>Bash/Shell/PowerShell</v>
      </c>
      <c r="H2887" s="9" t="str">
        <f>IFERROR(__xludf.DUMMYFUNCTION("""COMPUTED_VALUE"""),"HTML/CSS")</f>
        <v>HTML/CSS</v>
      </c>
      <c r="I2887" s="9" t="str">
        <f>IFERROR(__xludf.DUMMYFUNCTION("""COMPUTED_VALUE"""),"SQL")</f>
        <v>SQL</v>
      </c>
      <c r="J2887" s="9" t="str">
        <f>IFERROR(__xludf.DUMMYFUNCTION("""COMPUTED_VALUE"""),"SQL")</f>
        <v>SQL</v>
      </c>
      <c r="K2887" s="9" t="str">
        <f>IFERROR(__xludf.DUMMYFUNCTION("""COMPUTED_VALUE"""),"PHP")</f>
        <v>PHP</v>
      </c>
      <c r="L2887" s="9" t="str">
        <f>IFERROR(__xludf.DUMMYFUNCTION("""COMPUTED_VALUE"""),"PHP")</f>
        <v>PHP</v>
      </c>
      <c r="M2887" s="9" t="s">
        <v>25</v>
      </c>
    </row>
    <row r="2888" ht="15.75" customHeight="1">
      <c r="A2888" s="7"/>
      <c r="B2888" s="7" t="str">
        <f>IFERROR(__xludf.DUMMYFUNCTION("""COMPUTED_VALUE"""),"C#;HTML/CSS;JavaScript;SQL;Swift;TypeScript")</f>
        <v>C#;HTML/CSS;JavaScript;SQL;Swift;TypeScript</v>
      </c>
      <c r="C2888" s="9" t="str">
        <f>IFERROR(__xludf.DUMMYFUNCTION("""COMPUTED_VALUE"""),"C++")</f>
        <v>C++</v>
      </c>
      <c r="D2888" s="9" t="str">
        <f>IFERROR(__xludf.DUMMYFUNCTION("""COMPUTED_VALUE"""),"Bash/Shell/PowerShell")</f>
        <v>Bash/Shell/PowerShell</v>
      </c>
      <c r="E2888" s="9" t="str">
        <f>IFERROR(__xludf.DUMMYFUNCTION("""COMPUTED_VALUE"""),"HTML/CSS")</f>
        <v>HTML/CSS</v>
      </c>
      <c r="F2888" s="9" t="str">
        <f>IFERROR(__xludf.DUMMYFUNCTION("""COMPUTED_VALUE"""),"PHP")</f>
        <v>PHP</v>
      </c>
      <c r="G2888" s="9" t="str">
        <f>IFERROR(__xludf.DUMMYFUNCTION("""COMPUTED_VALUE"""),"C++")</f>
        <v>C++</v>
      </c>
      <c r="H2888" s="9" t="str">
        <f>IFERROR(__xludf.DUMMYFUNCTION("""COMPUTED_VALUE"""),"JavaScript")</f>
        <v>JavaScript</v>
      </c>
      <c r="I2888" s="9" t="str">
        <f>IFERROR(__xludf.DUMMYFUNCTION("""COMPUTED_VALUE"""),"Assembly")</f>
        <v>Assembly</v>
      </c>
      <c r="J2888" s="9" t="str">
        <f>IFERROR(__xludf.DUMMYFUNCTION("""COMPUTED_VALUE"""),"Bash/Shell/PowerShell")</f>
        <v>Bash/Shell/PowerShell</v>
      </c>
      <c r="K2888" s="9" t="str">
        <f>IFERROR(__xludf.DUMMYFUNCTION("""COMPUTED_VALUE"""),"SQL")</f>
        <v>SQL</v>
      </c>
      <c r="L2888" s="9" t="str">
        <f>IFERROR(__xludf.DUMMYFUNCTION("""COMPUTED_VALUE"""),"SQL")</f>
        <v>SQL</v>
      </c>
      <c r="M2888" s="9" t="s">
        <v>23</v>
      </c>
    </row>
    <row r="2889" ht="15.75" customHeight="1">
      <c r="A2889" s="7"/>
      <c r="B2889" s="7" t="str">
        <f>IFERROR(__xludf.DUMMYFUNCTION("""COMPUTED_VALUE"""),"C#")</f>
        <v>C#</v>
      </c>
      <c r="C2889" s="9" t="str">
        <f>IFERROR(__xludf.DUMMYFUNCTION("""COMPUTED_VALUE"""),"HTML/CSS")</f>
        <v>HTML/CSS</v>
      </c>
      <c r="D2889" s="9" t="str">
        <f>IFERROR(__xludf.DUMMYFUNCTION("""COMPUTED_VALUE"""),"HTML/CSS")</f>
        <v>HTML/CSS</v>
      </c>
      <c r="E2889" s="9" t="str">
        <f>IFERROR(__xludf.DUMMYFUNCTION("""COMPUTED_VALUE"""),"JavaScript")</f>
        <v>JavaScript</v>
      </c>
      <c r="F2889" s="9" t="str">
        <f>IFERROR(__xludf.DUMMYFUNCTION("""COMPUTED_VALUE"""),"Python")</f>
        <v>Python</v>
      </c>
      <c r="G2889" s="9" t="str">
        <f>IFERROR(__xludf.DUMMYFUNCTION("""COMPUTED_VALUE"""),"Java")</f>
        <v>Java</v>
      </c>
      <c r="H2889" s="9" t="str">
        <f>IFERROR(__xludf.DUMMYFUNCTION("""COMPUTED_VALUE"""),"Go")</f>
        <v>Go</v>
      </c>
      <c r="I2889" s="9" t="str">
        <f>IFERROR(__xludf.DUMMYFUNCTION("""COMPUTED_VALUE"""),"Bash/Shell/PowerShell")</f>
        <v>Bash/Shell/PowerShell</v>
      </c>
      <c r="J2889" s="9" t="str">
        <f>IFERROR(__xludf.DUMMYFUNCTION("""COMPUTED_VALUE"""),"HTML/CSS")</f>
        <v>HTML/CSS</v>
      </c>
      <c r="K2889" s="9" t="str">
        <f>IFERROR(__xludf.DUMMYFUNCTION("""COMPUTED_VALUE"""),"Bash/Shell/PowerShell")</f>
        <v>Bash/Shell/PowerShell</v>
      </c>
      <c r="L2889" s="9" t="str">
        <f>IFERROR(__xludf.DUMMYFUNCTION("""COMPUTED_VALUE"""),"Assembly")</f>
        <v>Assembly</v>
      </c>
      <c r="M2889" s="9" t="s">
        <v>24</v>
      </c>
    </row>
    <row r="2890" ht="15.75" customHeight="1">
      <c r="A2890" s="7"/>
      <c r="B2890" s="7" t="str">
        <f>IFERROR(__xludf.DUMMYFUNCTION("""COMPUTED_VALUE"""),"Java;Kotlin;Objective-C;Swift;Other(s):")</f>
        <v>Java;Kotlin;Objective-C;Swift;Other(s):</v>
      </c>
      <c r="C2890" s="9" t="str">
        <f>IFERROR(__xludf.DUMMYFUNCTION("""COMPUTED_VALUE"""),"PHP")</f>
        <v>PHP</v>
      </c>
      <c r="D2890" s="9" t="str">
        <f>IFERROR(__xludf.DUMMYFUNCTION("""COMPUTED_VALUE"""),"JavaScript")</f>
        <v>JavaScript</v>
      </c>
      <c r="E2890" s="9" t="str">
        <f>IFERROR(__xludf.DUMMYFUNCTION("""COMPUTED_VALUE"""),"PHP")</f>
        <v>PHP</v>
      </c>
      <c r="F2890" s="9" t="str">
        <f>IFERROR(__xludf.DUMMYFUNCTION("""COMPUTED_VALUE"""),"SQL")</f>
        <v>SQL</v>
      </c>
      <c r="G2890" s="9" t="str">
        <f>IFERROR(__xludf.DUMMYFUNCTION("""COMPUTED_VALUE"""),"JavaScript")</f>
        <v>JavaScript</v>
      </c>
      <c r="H2890" s="9" t="str">
        <f>IFERROR(__xludf.DUMMYFUNCTION("""COMPUTED_VALUE"""),"HTML/CSS")</f>
        <v>HTML/CSS</v>
      </c>
      <c r="I2890" s="9" t="str">
        <f>IFERROR(__xludf.DUMMYFUNCTION("""COMPUTED_VALUE"""),"C")</f>
        <v>C</v>
      </c>
      <c r="J2890" s="9" t="str">
        <f>IFERROR(__xludf.DUMMYFUNCTION("""COMPUTED_VALUE"""),"Java")</f>
        <v>Java</v>
      </c>
      <c r="K2890" s="9" t="str">
        <f>IFERROR(__xludf.DUMMYFUNCTION("""COMPUTED_VALUE"""),"C#")</f>
        <v>C#</v>
      </c>
      <c r="L2890" s="9" t="str">
        <f>IFERROR(__xludf.DUMMYFUNCTION("""COMPUTED_VALUE"""),"C")</f>
        <v>C</v>
      </c>
      <c r="M2890" s="9" t="s">
        <v>37</v>
      </c>
    </row>
    <row r="2891" ht="15.75" customHeight="1">
      <c r="A2891" s="7"/>
      <c r="B2891" s="7" t="str">
        <f>IFERROR(__xludf.DUMMYFUNCTION("""COMPUTED_VALUE"""),"HTML/CSS;Java;JavaScript;PHP")</f>
        <v>HTML/CSS;Java;JavaScript;PHP</v>
      </c>
      <c r="C2891" s="9" t="str">
        <f>IFERROR(__xludf.DUMMYFUNCTION("""COMPUTED_VALUE"""),"Python")</f>
        <v>Python</v>
      </c>
      <c r="D2891" s="9" t="str">
        <f>IFERROR(__xludf.DUMMYFUNCTION("""COMPUTED_VALUE"""),"SQL")</f>
        <v>SQL</v>
      </c>
      <c r="E2891" s="9" t="str">
        <f>IFERROR(__xludf.DUMMYFUNCTION("""COMPUTED_VALUE"""),"Python")</f>
        <v>Python</v>
      </c>
      <c r="F2891" s="9" t="str">
        <f>IFERROR(__xludf.DUMMYFUNCTION("""COMPUTED_VALUE"""),"Go")</f>
        <v>Go</v>
      </c>
      <c r="G2891" s="9" t="str">
        <f>IFERROR(__xludf.DUMMYFUNCTION("""COMPUTED_VALUE"""),"C#")</f>
        <v>C#</v>
      </c>
      <c r="H2891" s="9" t="str">
        <f>IFERROR(__xludf.DUMMYFUNCTION("""COMPUTED_VALUE"""),"JavaScript")</f>
        <v>JavaScript</v>
      </c>
      <c r="I2891" s="9" t="str">
        <f>IFERROR(__xludf.DUMMYFUNCTION("""COMPUTED_VALUE"""),"C++")</f>
        <v>C++</v>
      </c>
      <c r="J2891" s="9" t="str">
        <f>IFERROR(__xludf.DUMMYFUNCTION("""COMPUTED_VALUE"""),"JavaScript")</f>
        <v>JavaScript</v>
      </c>
      <c r="K2891" s="9" t="str">
        <f>IFERROR(__xludf.DUMMYFUNCTION("""COMPUTED_VALUE"""),"JavaScript")</f>
        <v>JavaScript</v>
      </c>
      <c r="L2891" s="9" t="str">
        <f>IFERROR(__xludf.DUMMYFUNCTION("""COMPUTED_VALUE"""),"C++")</f>
        <v>C++</v>
      </c>
      <c r="M2891" s="9" t="s">
        <v>22</v>
      </c>
    </row>
    <row r="2892" ht="15.75" customHeight="1">
      <c r="A2892" s="7"/>
      <c r="B2892" s="7" t="str">
        <f>IFERROR(__xludf.DUMMYFUNCTION("""COMPUTED_VALUE"""),"Bash/Shell/PowerShell;Go;HTML/CSS;Java;JavaScript;Python;Ruby;Rust;SQL;Swift;TypeScript;WebAssembly")</f>
        <v>Bash/Shell/PowerShell;Go;HTML/CSS;Java;JavaScript;Python;Ruby;Rust;SQL;Swift;TypeScript;WebAssembly</v>
      </c>
      <c r="C2892" s="9" t="str">
        <f>IFERROR(__xludf.DUMMYFUNCTION("""COMPUTED_VALUE"""),"SQL")</f>
        <v>SQL</v>
      </c>
      <c r="D2892" s="9" t="str">
        <f>IFERROR(__xludf.DUMMYFUNCTION("""COMPUTED_VALUE"""),"Other(s):")</f>
        <v>Other(s):</v>
      </c>
      <c r="E2892" s="9" t="str">
        <f>IFERROR(__xludf.DUMMYFUNCTION("""COMPUTED_VALUE"""),"SQL")</f>
        <v>SQL</v>
      </c>
      <c r="F2892" s="9" t="str">
        <f>IFERROR(__xludf.DUMMYFUNCTION("""COMPUTED_VALUE"""),"Java")</f>
        <v>Java</v>
      </c>
      <c r="G2892" s="9" t="str">
        <f>IFERROR(__xludf.DUMMYFUNCTION("""COMPUTED_VALUE"""),"HTML/CSS")</f>
        <v>HTML/CSS</v>
      </c>
      <c r="H2892" s="9" t="str">
        <f>IFERROR(__xludf.DUMMYFUNCTION("""COMPUTED_VALUE"""),"Python")</f>
        <v>Python</v>
      </c>
      <c r="I2892" s="9" t="str">
        <f>IFERROR(__xludf.DUMMYFUNCTION("""COMPUTED_VALUE"""),"Java")</f>
        <v>Java</v>
      </c>
      <c r="J2892" s="9" t="str">
        <f>IFERROR(__xludf.DUMMYFUNCTION("""COMPUTED_VALUE"""),"PHP")</f>
        <v>PHP</v>
      </c>
      <c r="K2892" s="9" t="str">
        <f>IFERROR(__xludf.DUMMYFUNCTION("""COMPUTED_VALUE"""),"SQL")</f>
        <v>SQL</v>
      </c>
      <c r="L2892" s="9" t="str">
        <f>IFERROR(__xludf.DUMMYFUNCTION("""COMPUTED_VALUE"""),"Java")</f>
        <v>Java</v>
      </c>
      <c r="M2892" s="9" t="s">
        <v>27</v>
      </c>
    </row>
    <row r="2893" ht="15.75" customHeight="1">
      <c r="A2893" s="7"/>
      <c r="B2893" s="7" t="str">
        <f>IFERROR(__xludf.DUMMYFUNCTION("""COMPUTED_VALUE"""),"Assembly;C;C++;HTML/CSS;Java;JavaScript;Ruby")</f>
        <v>Assembly;C;C++;HTML/CSS;Java;JavaScript;Ruby</v>
      </c>
      <c r="C2893" s="9" t="str">
        <f>IFERROR(__xludf.DUMMYFUNCTION("""COMPUTED_VALUE"""),"HTML/CSS")</f>
        <v>HTML/CSS</v>
      </c>
      <c r="D2893" s="9" t="str">
        <f>IFERROR(__xludf.DUMMYFUNCTION("""COMPUTED_VALUE"""),"Bash/Shell/PowerShell")</f>
        <v>Bash/Shell/PowerShell</v>
      </c>
      <c r="E2893" s="9" t="str">
        <f>IFERROR(__xludf.DUMMYFUNCTION("""COMPUTED_VALUE"""),"WebAssembly")</f>
        <v>WebAssembly</v>
      </c>
      <c r="F2893" s="9" t="str">
        <f>IFERROR(__xludf.DUMMYFUNCTION("""COMPUTED_VALUE"""),"Python")</f>
        <v>Python</v>
      </c>
      <c r="G2893" s="9" t="str">
        <f>IFERROR(__xludf.DUMMYFUNCTION("""COMPUTED_VALUE"""),"Java")</f>
        <v>Java</v>
      </c>
      <c r="H2893" s="9" t="str">
        <f>IFERROR(__xludf.DUMMYFUNCTION("""COMPUTED_VALUE"""),"SQL")</f>
        <v>SQL</v>
      </c>
      <c r="I2893" s="9" t="str">
        <f>IFERROR(__xludf.DUMMYFUNCTION("""COMPUTED_VALUE"""),"C#")</f>
        <v>C#</v>
      </c>
      <c r="J2893" s="9" t="str">
        <f>IFERROR(__xludf.DUMMYFUNCTION("""COMPUTED_VALUE"""),"Python")</f>
        <v>Python</v>
      </c>
      <c r="K2893" s="9" t="str">
        <f>IFERROR(__xludf.DUMMYFUNCTION("""COMPUTED_VALUE"""),"C")</f>
        <v>C</v>
      </c>
      <c r="L2893" s="9" t="str">
        <f>IFERROR(__xludf.DUMMYFUNCTION("""COMPUTED_VALUE"""),"Bash/Shell/PowerShell")</f>
        <v>Bash/Shell/PowerShell</v>
      </c>
      <c r="M2893" s="9" t="s">
        <v>24</v>
      </c>
    </row>
    <row r="2894" ht="15.75" customHeight="1">
      <c r="A2894" s="7"/>
      <c r="B2894" s="7" t="str">
        <f>IFERROR(__xludf.DUMMYFUNCTION("""COMPUTED_VALUE"""),"Bash/Shell/PowerShell;Go;HTML/CSS;Kotlin;Python;SQL")</f>
        <v>Bash/Shell/PowerShell;Go;HTML/CSS;Kotlin;Python;SQL</v>
      </c>
      <c r="C2894" s="9" t="str">
        <f>IFERROR(__xludf.DUMMYFUNCTION("""COMPUTED_VALUE"""),"Java")</f>
        <v>Java</v>
      </c>
      <c r="D2894" s="9" t="str">
        <f>IFERROR(__xludf.DUMMYFUNCTION("""COMPUTED_VALUE"""),"HTML/CSS")</f>
        <v>HTML/CSS</v>
      </c>
      <c r="E2894" s="9" t="str">
        <f>IFERROR(__xludf.DUMMYFUNCTION("""COMPUTED_VALUE"""),"C")</f>
        <v>C</v>
      </c>
      <c r="F2894" s="9" t="str">
        <f>IFERROR(__xludf.DUMMYFUNCTION("""COMPUTED_VALUE"""),"SQL")</f>
        <v>SQL</v>
      </c>
      <c r="G2894" s="9" t="str">
        <f>IFERROR(__xludf.DUMMYFUNCTION("""COMPUTED_VALUE"""),"JavaScript")</f>
        <v>JavaScript</v>
      </c>
      <c r="H2894" s="9" t="str">
        <f>IFERROR(__xludf.DUMMYFUNCTION("""COMPUTED_VALUE"""),"Java")</f>
        <v>Java</v>
      </c>
      <c r="I2894" s="9" t="str">
        <f>IFERROR(__xludf.DUMMYFUNCTION("""COMPUTED_VALUE"""),"Dart")</f>
        <v>Dart</v>
      </c>
      <c r="J2894" s="9" t="str">
        <f>IFERROR(__xludf.DUMMYFUNCTION("""COMPUTED_VALUE"""),"Ruby")</f>
        <v>Ruby</v>
      </c>
      <c r="K2894" s="9" t="str">
        <f>IFERROR(__xludf.DUMMYFUNCTION("""COMPUTED_VALUE"""),"C++")</f>
        <v>C++</v>
      </c>
      <c r="L2894" s="9" t="str">
        <f>IFERROR(__xludf.DUMMYFUNCTION("""COMPUTED_VALUE"""),"C#")</f>
        <v>C#</v>
      </c>
      <c r="M2894" s="9" t="s">
        <v>20</v>
      </c>
    </row>
    <row r="2895" ht="15.75" customHeight="1">
      <c r="A2895" s="7"/>
      <c r="B2895" s="7" t="str">
        <f>IFERROR(__xludf.DUMMYFUNCTION("""COMPUTED_VALUE"""),"Bash/Shell/PowerShell;Objective-C;Python;Swift")</f>
        <v>Bash/Shell/PowerShell;Objective-C;Python;Swift</v>
      </c>
      <c r="C2895" s="9" t="str">
        <f>IFERROR(__xludf.DUMMYFUNCTION("""COMPUTED_VALUE"""),"JavaScript")</f>
        <v>JavaScript</v>
      </c>
      <c r="D2895" s="9" t="str">
        <f>IFERROR(__xludf.DUMMYFUNCTION("""COMPUTED_VALUE"""),"Java")</f>
        <v>Java</v>
      </c>
      <c r="E2895" s="9" t="str">
        <f>IFERROR(__xludf.DUMMYFUNCTION("""COMPUTED_VALUE"""),"C++")</f>
        <v>C++</v>
      </c>
      <c r="F2895" s="9" t="str">
        <f>IFERROR(__xludf.DUMMYFUNCTION("""COMPUTED_VALUE"""),"Java")</f>
        <v>Java</v>
      </c>
      <c r="G2895" s="9" t="str">
        <f>IFERROR(__xludf.DUMMYFUNCTION("""COMPUTED_VALUE"""),"Kotlin")</f>
        <v>Kotlin</v>
      </c>
      <c r="H2895" s="9" t="str">
        <f>IFERROR(__xludf.DUMMYFUNCTION("""COMPUTED_VALUE"""),"HTML/CSS")</f>
        <v>HTML/CSS</v>
      </c>
      <c r="I2895" s="9" t="str">
        <f>IFERROR(__xludf.DUMMYFUNCTION("""COMPUTED_VALUE"""),"F#")</f>
        <v>F#</v>
      </c>
      <c r="J2895" s="9" t="str">
        <f>IFERROR(__xludf.DUMMYFUNCTION("""COMPUTED_VALUE"""),"TypeScript")</f>
        <v>TypeScript</v>
      </c>
      <c r="K2895" s="9" t="str">
        <f>IFERROR(__xludf.DUMMYFUNCTION("""COMPUTED_VALUE"""),"HTML/CSS")</f>
        <v>HTML/CSS</v>
      </c>
      <c r="L2895" s="9" t="str">
        <f>IFERROR(__xludf.DUMMYFUNCTION("""COMPUTED_VALUE"""),"HTML/CSS")</f>
        <v>HTML/CSS</v>
      </c>
      <c r="M2895" s="9" t="s">
        <v>21</v>
      </c>
    </row>
    <row r="2896" ht="15.75" customHeight="1">
      <c r="A2896" s="7"/>
      <c r="B2896" s="7" t="str">
        <f>IFERROR(__xludf.DUMMYFUNCTION("""COMPUTED_VALUE"""),"Assembly;Bash/Shell/PowerShell;C;C++;HTML/CSS;JavaScript;PHP;Ruby")</f>
        <v>Assembly;Bash/Shell/PowerShell;C;C++;HTML/CSS;JavaScript;PHP;Ruby</v>
      </c>
      <c r="C2896" s="9" t="str">
        <f>IFERROR(__xludf.DUMMYFUNCTION("""COMPUTED_VALUE"""),"Kotlin")</f>
        <v>Kotlin</v>
      </c>
      <c r="D2896" s="9" t="str">
        <f>IFERROR(__xludf.DUMMYFUNCTION("""COMPUTED_VALUE"""),"JavaScript")</f>
        <v>JavaScript</v>
      </c>
      <c r="E2896" s="9" t="str">
        <f>IFERROR(__xludf.DUMMYFUNCTION("""COMPUTED_VALUE"""),"HTML/CSS")</f>
        <v>HTML/CSS</v>
      </c>
      <c r="F2896" s="9" t="str">
        <f>IFERROR(__xludf.DUMMYFUNCTION("""COMPUTED_VALUE"""),"JavaScript")</f>
        <v>JavaScript</v>
      </c>
      <c r="G2896" s="9" t="str">
        <f>IFERROR(__xludf.DUMMYFUNCTION("""COMPUTED_VALUE"""),"SQL")</f>
        <v>SQL</v>
      </c>
      <c r="H2896" s="9" t="str">
        <f>IFERROR(__xludf.DUMMYFUNCTION("""COMPUTED_VALUE"""),"JavaScript")</f>
        <v>JavaScript</v>
      </c>
      <c r="I2896" s="9" t="str">
        <f>IFERROR(__xludf.DUMMYFUNCTION("""COMPUTED_VALUE"""),"HTML/CSS")</f>
        <v>HTML/CSS</v>
      </c>
      <c r="J2896" s="9" t="str">
        <f>IFERROR(__xludf.DUMMYFUNCTION("""COMPUTED_VALUE"""),"Dart")</f>
        <v>Dart</v>
      </c>
      <c r="K2896" s="9" t="str">
        <f>IFERROR(__xludf.DUMMYFUNCTION("""COMPUTED_VALUE"""),"JavaScript")</f>
        <v>JavaScript</v>
      </c>
      <c r="L2896" s="9" t="str">
        <f>IFERROR(__xludf.DUMMYFUNCTION("""COMPUTED_VALUE"""),"Java")</f>
        <v>Java</v>
      </c>
      <c r="M2896" s="9" t="s">
        <v>39</v>
      </c>
    </row>
    <row r="2897" ht="15.75" customHeight="1">
      <c r="A2897" s="7"/>
      <c r="B2897" s="7" t="str">
        <f>IFERROR(__xludf.DUMMYFUNCTION("""COMPUTED_VALUE"""),"C++;Go")</f>
        <v>C++;Go</v>
      </c>
      <c r="C2897" s="9" t="str">
        <f>IFERROR(__xludf.DUMMYFUNCTION("""COMPUTED_VALUE"""),"PHP")</f>
        <v>PHP</v>
      </c>
      <c r="D2897" s="9" t="str">
        <f>IFERROR(__xludf.DUMMYFUNCTION("""COMPUTED_VALUE"""),"PHP")</f>
        <v>PHP</v>
      </c>
      <c r="E2897" s="9" t="str">
        <f>IFERROR(__xludf.DUMMYFUNCTION("""COMPUTED_VALUE"""),"Java")</f>
        <v>Java</v>
      </c>
      <c r="F2897" s="9" t="str">
        <f>IFERROR(__xludf.DUMMYFUNCTION("""COMPUTED_VALUE"""),"PHP")</f>
        <v>PHP</v>
      </c>
      <c r="G2897" s="9" t="str">
        <f>IFERROR(__xludf.DUMMYFUNCTION("""COMPUTED_VALUE"""),"TypeScript")</f>
        <v>TypeScript</v>
      </c>
      <c r="H2897" s="9" t="str">
        <f>IFERROR(__xludf.DUMMYFUNCTION("""COMPUTED_VALUE"""),"PHP")</f>
        <v>PHP</v>
      </c>
      <c r="I2897" s="9" t="str">
        <f>IFERROR(__xludf.DUMMYFUNCTION("""COMPUTED_VALUE"""),"JavaScript")</f>
        <v>JavaScript</v>
      </c>
      <c r="J2897" s="9" t="str">
        <f>IFERROR(__xludf.DUMMYFUNCTION("""COMPUTED_VALUE"""),"HTML/CSS")</f>
        <v>HTML/CSS</v>
      </c>
      <c r="K2897" s="9" t="str">
        <f>IFERROR(__xludf.DUMMYFUNCTION("""COMPUTED_VALUE"""),"SQL")</f>
        <v>SQL</v>
      </c>
      <c r="L2897" s="9" t="str">
        <f>IFERROR(__xludf.DUMMYFUNCTION("""COMPUTED_VALUE"""),"JavaScript")</f>
        <v>JavaScript</v>
      </c>
      <c r="M2897" s="9" t="s">
        <v>37</v>
      </c>
    </row>
    <row r="2898" ht="15.75" customHeight="1">
      <c r="A2898" s="7"/>
      <c r="B2898" s="7" t="str">
        <f>IFERROR(__xludf.DUMMYFUNCTION("""COMPUTED_VALUE"""),"Bash/Shell/PowerShell;C#;Go;HTML/CSS;JavaScript;PHP;Python;SQL;VBA")</f>
        <v>Bash/Shell/PowerShell;C#;Go;HTML/CSS;JavaScript;PHP;Python;SQL;VBA</v>
      </c>
      <c r="C2898" s="9" t="str">
        <f>IFERROR(__xludf.DUMMYFUNCTION("""COMPUTED_VALUE"""),"C#")</f>
        <v>C#</v>
      </c>
      <c r="D2898" s="9" t="str">
        <f>IFERROR(__xludf.DUMMYFUNCTION("""COMPUTED_VALUE"""),"SQL")</f>
        <v>SQL</v>
      </c>
      <c r="E2898" s="9" t="str">
        <f>IFERROR(__xludf.DUMMYFUNCTION("""COMPUTED_VALUE"""),"JavaScript")</f>
        <v>JavaScript</v>
      </c>
      <c r="F2898" s="9" t="str">
        <f>IFERROR(__xludf.DUMMYFUNCTION("""COMPUTED_VALUE"""),"Bash/Shell/PowerShell")</f>
        <v>Bash/Shell/PowerShell</v>
      </c>
      <c r="G2898" s="9" t="str">
        <f>IFERROR(__xludf.DUMMYFUNCTION("""COMPUTED_VALUE"""),"HTML/CSS")</f>
        <v>HTML/CSS</v>
      </c>
      <c r="H2898" s="9" t="str">
        <f>IFERROR(__xludf.DUMMYFUNCTION("""COMPUTED_VALUE"""),"Bash/Shell/PowerShell")</f>
        <v>Bash/Shell/PowerShell</v>
      </c>
      <c r="I2898" s="9" t="str">
        <f>IFERROR(__xludf.DUMMYFUNCTION("""COMPUTED_VALUE"""),"PHP")</f>
        <v>PHP</v>
      </c>
      <c r="J2898" s="9" t="str">
        <f>IFERROR(__xludf.DUMMYFUNCTION("""COMPUTED_VALUE"""),"Java")</f>
        <v>Java</v>
      </c>
      <c r="K2898" s="9" t="str">
        <f>IFERROR(__xludf.DUMMYFUNCTION("""COMPUTED_VALUE"""),"Other(s):")</f>
        <v>Other(s):</v>
      </c>
      <c r="L2898" s="9" t="str">
        <f>IFERROR(__xludf.DUMMYFUNCTION("""COMPUTED_VALUE"""),"Python")</f>
        <v>Python</v>
      </c>
      <c r="M2898" s="9" t="s">
        <v>26</v>
      </c>
    </row>
    <row r="2899" ht="15.75" customHeight="1">
      <c r="A2899" s="7"/>
      <c r="B2899" s="7" t="str">
        <f>IFERROR(__xludf.DUMMYFUNCTION("""COMPUTED_VALUE"""),"HTML/CSS;JavaScript;PHP;SQL;TypeScript;Other(s):")</f>
        <v>HTML/CSS;JavaScript;PHP;SQL;TypeScript;Other(s):</v>
      </c>
      <c r="C2899" s="9" t="str">
        <f>IFERROR(__xludf.DUMMYFUNCTION("""COMPUTED_VALUE"""),"HTML/CSS")</f>
        <v>HTML/CSS</v>
      </c>
      <c r="D2899" s="9" t="str">
        <f>IFERROR(__xludf.DUMMYFUNCTION("""COMPUTED_VALUE"""),"Bash/Shell/PowerShell")</f>
        <v>Bash/Shell/PowerShell</v>
      </c>
      <c r="E2899" s="9" t="str">
        <f>IFERROR(__xludf.DUMMYFUNCTION("""COMPUTED_VALUE"""),"Python")</f>
        <v>Python</v>
      </c>
      <c r="F2899" s="9" t="str">
        <f>IFERROR(__xludf.DUMMYFUNCTION("""COMPUTED_VALUE"""),"C++")</f>
        <v>C++</v>
      </c>
      <c r="G2899" s="9" t="str">
        <f>IFERROR(__xludf.DUMMYFUNCTION("""COMPUTED_VALUE"""),"Java")</f>
        <v>Java</v>
      </c>
      <c r="H2899" s="9" t="str">
        <f>IFERROR(__xludf.DUMMYFUNCTION("""COMPUTED_VALUE"""),"HTML/CSS")</f>
        <v>HTML/CSS</v>
      </c>
      <c r="I2899" s="9" t="str">
        <f>IFERROR(__xludf.DUMMYFUNCTION("""COMPUTED_VALUE"""),"SQL")</f>
        <v>SQL</v>
      </c>
      <c r="J2899" s="9" t="str">
        <f>IFERROR(__xludf.DUMMYFUNCTION("""COMPUTED_VALUE"""),"PHP")</f>
        <v>PHP</v>
      </c>
      <c r="K2899" s="9" t="str">
        <f>IFERROR(__xludf.DUMMYFUNCTION("""COMPUTED_VALUE"""),"HTML/CSS")</f>
        <v>HTML/CSS</v>
      </c>
      <c r="L2899" s="9" t="str">
        <f>IFERROR(__xludf.DUMMYFUNCTION("""COMPUTED_VALUE"""),"Ruby")</f>
        <v>Ruby</v>
      </c>
      <c r="M2899" s="9" t="s">
        <v>24</v>
      </c>
    </row>
    <row r="2900" ht="15.75" customHeight="1">
      <c r="A2900" s="7"/>
      <c r="B2900" s="7" t="str">
        <f>IFERROR(__xludf.DUMMYFUNCTION("""COMPUTED_VALUE"""),"HTML/CSS;JavaScript;PHP;SQL;Other(s):")</f>
        <v>HTML/CSS;JavaScript;PHP;SQL;Other(s):</v>
      </c>
      <c r="C2900" s="9" t="str">
        <f>IFERROR(__xludf.DUMMYFUNCTION("""COMPUTED_VALUE"""),"JavaScript")</f>
        <v>JavaScript</v>
      </c>
      <c r="D2900" s="9" t="str">
        <f>IFERROR(__xludf.DUMMYFUNCTION("""COMPUTED_VALUE"""),"HTML/CSS")</f>
        <v>HTML/CSS</v>
      </c>
      <c r="E2900" s="9" t="str">
        <f>IFERROR(__xludf.DUMMYFUNCTION("""COMPUTED_VALUE"""),"Bash/Shell/PowerShell")</f>
        <v>Bash/Shell/PowerShell</v>
      </c>
      <c r="F2900" s="9" t="str">
        <f>IFERROR(__xludf.DUMMYFUNCTION("""COMPUTED_VALUE"""),"C#")</f>
        <v>C#</v>
      </c>
      <c r="G2900" s="9" t="str">
        <f>IFERROR(__xludf.DUMMYFUNCTION("""COMPUTED_VALUE"""),"JavaScript")</f>
        <v>JavaScript</v>
      </c>
      <c r="H2900" s="9" t="str">
        <f>IFERROR(__xludf.DUMMYFUNCTION("""COMPUTED_VALUE"""),"Java")</f>
        <v>Java</v>
      </c>
      <c r="I2900" s="9" t="str">
        <f>IFERROR(__xludf.DUMMYFUNCTION("""COMPUTED_VALUE"""),"WebAssembly")</f>
        <v>WebAssembly</v>
      </c>
      <c r="J2900" s="9" t="str">
        <f>IFERROR(__xludf.DUMMYFUNCTION("""COMPUTED_VALUE"""),"Python")</f>
        <v>Python</v>
      </c>
      <c r="K2900" s="9" t="str">
        <f>IFERROR(__xludf.DUMMYFUNCTION("""COMPUTED_VALUE"""),"Java")</f>
        <v>Java</v>
      </c>
      <c r="L2900" s="9" t="str">
        <f>IFERROR(__xludf.DUMMYFUNCTION("""COMPUTED_VALUE"""),"SQL")</f>
        <v>SQL</v>
      </c>
      <c r="M2900" s="9" t="s">
        <v>21</v>
      </c>
    </row>
    <row r="2901" ht="15.75" customHeight="1">
      <c r="A2901" s="7"/>
      <c r="B2901" s="7" t="str">
        <f>IFERROR(__xludf.DUMMYFUNCTION("""COMPUTED_VALUE"""),"C++;Dart;Go;HTML/CSS;SQL;VBA")</f>
        <v>C++;Dart;Go;HTML/CSS;SQL;VBA</v>
      </c>
      <c r="C2901" s="9" t="str">
        <f>IFERROR(__xludf.DUMMYFUNCTION("""COMPUTED_VALUE"""),"SQL")</f>
        <v>SQL</v>
      </c>
      <c r="D2901" s="9" t="str">
        <f>IFERROR(__xludf.DUMMYFUNCTION("""COMPUTED_VALUE"""),"Java")</f>
        <v>Java</v>
      </c>
      <c r="E2901" s="9" t="str">
        <f>IFERROR(__xludf.DUMMYFUNCTION("""COMPUTED_VALUE"""),"C++")</f>
        <v>C++</v>
      </c>
      <c r="F2901" s="9" t="str">
        <f>IFERROR(__xludf.DUMMYFUNCTION("""COMPUTED_VALUE"""),"F#")</f>
        <v>F#</v>
      </c>
      <c r="G2901" s="9" t="str">
        <f>IFERROR(__xludf.DUMMYFUNCTION("""COMPUTED_VALUE"""),"Python")</f>
        <v>Python</v>
      </c>
      <c r="H2901" s="9" t="str">
        <f>IFERROR(__xludf.DUMMYFUNCTION("""COMPUTED_VALUE"""),"JavaScript")</f>
        <v>JavaScript</v>
      </c>
      <c r="I2901" s="9" t="str">
        <f>IFERROR(__xludf.DUMMYFUNCTION("""COMPUTED_VALUE"""),"HTML/CSS")</f>
        <v>HTML/CSS</v>
      </c>
      <c r="J2901" s="9" t="str">
        <f>IFERROR(__xludf.DUMMYFUNCTION("""COMPUTED_VALUE"""),"SQL")</f>
        <v>SQL</v>
      </c>
      <c r="K2901" s="9" t="str">
        <f>IFERROR(__xludf.DUMMYFUNCTION("""COMPUTED_VALUE"""),"JavaScript")</f>
        <v>JavaScript</v>
      </c>
      <c r="L2901" s="9" t="str">
        <f>IFERROR(__xludf.DUMMYFUNCTION("""COMPUTED_VALUE"""),"C#")</f>
        <v>C#</v>
      </c>
      <c r="M2901" s="9" t="s">
        <v>27</v>
      </c>
    </row>
    <row r="2902" ht="15.75" customHeight="1">
      <c r="A2902" s="7"/>
      <c r="B2902" s="7" t="str">
        <f>IFERROR(__xludf.DUMMYFUNCTION("""COMPUTED_VALUE"""),"Assembly;Bash/Shell/PowerShell;C;C++;HTML/CSS;Java;JavaScript;Python;SQL;TypeScript")</f>
        <v>Assembly;Bash/Shell/PowerShell;C;C++;HTML/CSS;Java;JavaScript;Python;SQL;TypeScript</v>
      </c>
      <c r="C2902" s="9" t="str">
        <f>IFERROR(__xludf.DUMMYFUNCTION("""COMPUTED_VALUE"""),"TypeScript")</f>
        <v>TypeScript</v>
      </c>
      <c r="D2902" s="9" t="str">
        <f>IFERROR(__xludf.DUMMYFUNCTION("""COMPUTED_VALUE"""),"JavaScript")</f>
        <v>JavaScript</v>
      </c>
      <c r="E2902" s="9" t="str">
        <f>IFERROR(__xludf.DUMMYFUNCTION("""COMPUTED_VALUE"""),"C#")</f>
        <v>C#</v>
      </c>
      <c r="F2902" s="9" t="str">
        <f>IFERROR(__xludf.DUMMYFUNCTION("""COMPUTED_VALUE"""),"HTML/CSS")</f>
        <v>HTML/CSS</v>
      </c>
      <c r="G2902" s="9" t="str">
        <f>IFERROR(__xludf.DUMMYFUNCTION("""COMPUTED_VALUE"""),"Ruby")</f>
        <v>Ruby</v>
      </c>
      <c r="H2902" s="9" t="str">
        <f>IFERROR(__xludf.DUMMYFUNCTION("""COMPUTED_VALUE"""),"Python")</f>
        <v>Python</v>
      </c>
      <c r="I2902" s="9" t="str">
        <f>IFERROR(__xludf.DUMMYFUNCTION("""COMPUTED_VALUE"""),"JavaScript")</f>
        <v>JavaScript</v>
      </c>
      <c r="J2902" s="9" t="str">
        <f>IFERROR(__xludf.DUMMYFUNCTION("""COMPUTED_VALUE"""),"TypeScript")</f>
        <v>TypeScript</v>
      </c>
      <c r="K2902" s="9" t="str">
        <f>IFERROR(__xludf.DUMMYFUNCTION("""COMPUTED_VALUE"""),"PHP")</f>
        <v>PHP</v>
      </c>
      <c r="L2902" s="9" t="str">
        <f>IFERROR(__xludf.DUMMYFUNCTION("""COMPUTED_VALUE"""),"HTML/CSS")</f>
        <v>HTML/CSS</v>
      </c>
      <c r="M2902" s="9" t="s">
        <v>33</v>
      </c>
    </row>
    <row r="2903" ht="15.75" customHeight="1">
      <c r="A2903" s="7"/>
      <c r="B2903" s="7" t="str">
        <f>IFERROR(__xludf.DUMMYFUNCTION("""COMPUTED_VALUE"""),"C++;C#;HTML/CSS;Java;JavaScript;Kotlin;SQL;TypeScript")</f>
        <v>C++;C#;HTML/CSS;Java;JavaScript;Kotlin;SQL;TypeScript</v>
      </c>
      <c r="C2903" s="9" t="str">
        <f>IFERROR(__xludf.DUMMYFUNCTION("""COMPUTED_VALUE"""),"Bash/Shell/PowerShell")</f>
        <v>Bash/Shell/PowerShell</v>
      </c>
      <c r="D2903" s="9" t="str">
        <f>IFERROR(__xludf.DUMMYFUNCTION("""COMPUTED_VALUE"""),"SQL")</f>
        <v>SQL</v>
      </c>
      <c r="E2903" s="9" t="str">
        <f>IFERROR(__xludf.DUMMYFUNCTION("""COMPUTED_VALUE"""),"HTML/CSS")</f>
        <v>HTML/CSS</v>
      </c>
      <c r="F2903" s="9" t="str">
        <f>IFERROR(__xludf.DUMMYFUNCTION("""COMPUTED_VALUE"""),"Python")</f>
        <v>Python</v>
      </c>
      <c r="G2903" s="9" t="str">
        <f>IFERROR(__xludf.DUMMYFUNCTION("""COMPUTED_VALUE"""),"HTML/CSS")</f>
        <v>HTML/CSS</v>
      </c>
      <c r="H2903" s="9" t="str">
        <f>IFERROR(__xludf.DUMMYFUNCTION("""COMPUTED_VALUE"""),"C#")</f>
        <v>C#</v>
      </c>
      <c r="I2903" s="9" t="str">
        <f>IFERROR(__xludf.DUMMYFUNCTION("""COMPUTED_VALUE"""),"PHP")</f>
        <v>PHP</v>
      </c>
      <c r="J2903" s="9" t="str">
        <f>IFERROR(__xludf.DUMMYFUNCTION("""COMPUTED_VALUE"""),"C++")</f>
        <v>C++</v>
      </c>
      <c r="K2903" s="9" t="str">
        <f>IFERROR(__xludf.DUMMYFUNCTION("""COMPUTED_VALUE"""),"Python")</f>
        <v>Python</v>
      </c>
      <c r="L2903" s="9" t="str">
        <f>IFERROR(__xludf.DUMMYFUNCTION("""COMPUTED_VALUE"""),"Java")</f>
        <v>Java</v>
      </c>
      <c r="M2903" s="9" t="s">
        <v>30</v>
      </c>
    </row>
    <row r="2904" ht="15.75" customHeight="1">
      <c r="A2904" s="7"/>
      <c r="B2904" s="7" t="str">
        <f>IFERROR(__xludf.DUMMYFUNCTION("""COMPUTED_VALUE"""),"HTML/CSS;Java;JavaScript;Python;SQL")</f>
        <v>HTML/CSS;Java;JavaScript;Python;SQL</v>
      </c>
      <c r="C2904" s="9" t="str">
        <f>IFERROR(__xludf.DUMMYFUNCTION("""COMPUTED_VALUE"""),"C")</f>
        <v>C</v>
      </c>
      <c r="D2904" s="9" t="str">
        <f>IFERROR(__xludf.DUMMYFUNCTION("""COMPUTED_VALUE"""),"TypeScript")</f>
        <v>TypeScript</v>
      </c>
      <c r="E2904" s="9" t="str">
        <f>IFERROR(__xludf.DUMMYFUNCTION("""COMPUTED_VALUE"""),"JavaScript")</f>
        <v>JavaScript</v>
      </c>
      <c r="F2904" s="9" t="str">
        <f>IFERROR(__xludf.DUMMYFUNCTION("""COMPUTED_VALUE"""),"SQL")</f>
        <v>SQL</v>
      </c>
      <c r="G2904" s="9" t="str">
        <f>IFERROR(__xludf.DUMMYFUNCTION("""COMPUTED_VALUE"""),"JavaScript")</f>
        <v>JavaScript</v>
      </c>
      <c r="H2904" s="9" t="str">
        <f>IFERROR(__xludf.DUMMYFUNCTION("""COMPUTED_VALUE"""),"HTML/CSS")</f>
        <v>HTML/CSS</v>
      </c>
      <c r="I2904" s="9" t="str">
        <f>IFERROR(__xludf.DUMMYFUNCTION("""COMPUTED_VALUE"""),"SQL")</f>
        <v>SQL</v>
      </c>
      <c r="J2904" s="9" t="str">
        <f>IFERROR(__xludf.DUMMYFUNCTION("""COMPUTED_VALUE"""),"Bash/Shell/PowerShell")</f>
        <v>Bash/Shell/PowerShell</v>
      </c>
      <c r="K2904" s="9" t="str">
        <f>IFERROR(__xludf.DUMMYFUNCTION("""COMPUTED_VALUE"""),"SQL")</f>
        <v>SQL</v>
      </c>
      <c r="L2904" s="9" t="str">
        <f>IFERROR(__xludf.DUMMYFUNCTION("""COMPUTED_VALUE"""),"JavaScript")</f>
        <v>JavaScript</v>
      </c>
      <c r="M2904" s="9" t="s">
        <v>25</v>
      </c>
    </row>
    <row r="2905" ht="15.75" customHeight="1">
      <c r="A2905" s="7"/>
      <c r="B2905" s="7" t="str">
        <f>IFERROR(__xludf.DUMMYFUNCTION("""COMPUTED_VALUE"""),"Bash/Shell/PowerShell;C++;C#;HTML/CSS;JavaScript")</f>
        <v>Bash/Shell/PowerShell;C++;C#;HTML/CSS;JavaScript</v>
      </c>
      <c r="C2905" s="9" t="str">
        <f>IFERROR(__xludf.DUMMYFUNCTION("""COMPUTED_VALUE"""),"C++")</f>
        <v>C++</v>
      </c>
      <c r="D2905" s="9" t="str">
        <f>IFERROR(__xludf.DUMMYFUNCTION("""COMPUTED_VALUE"""),"C#")</f>
        <v>C#</v>
      </c>
      <c r="E2905" s="9" t="str">
        <f>IFERROR(__xludf.DUMMYFUNCTION("""COMPUTED_VALUE"""),"PHP")</f>
        <v>PHP</v>
      </c>
      <c r="F2905" s="9" t="str">
        <f>IFERROR(__xludf.DUMMYFUNCTION("""COMPUTED_VALUE"""),"Swift")</f>
        <v>Swift</v>
      </c>
      <c r="G2905" s="9" t="str">
        <f>IFERROR(__xludf.DUMMYFUNCTION("""COMPUTED_VALUE"""),"PHP")</f>
        <v>PHP</v>
      </c>
      <c r="H2905" s="9" t="str">
        <f>IFERROR(__xludf.DUMMYFUNCTION("""COMPUTED_VALUE"""),"Java")</f>
        <v>Java</v>
      </c>
      <c r="I2905" s="9" t="str">
        <f>IFERROR(__xludf.DUMMYFUNCTION("""COMPUTED_VALUE"""),"Bash/Shell/PowerShell")</f>
        <v>Bash/Shell/PowerShell</v>
      </c>
      <c r="J2905" s="9" t="str">
        <f>IFERROR(__xludf.DUMMYFUNCTION("""COMPUTED_VALUE"""),"HTML/CSS")</f>
        <v>HTML/CSS</v>
      </c>
      <c r="K2905" s="9" t="str">
        <f>IFERROR(__xludf.DUMMYFUNCTION("""COMPUTED_VALUE"""),"TypeScript")</f>
        <v>TypeScript</v>
      </c>
      <c r="L2905" s="9" t="str">
        <f>IFERROR(__xludf.DUMMYFUNCTION("""COMPUTED_VALUE"""),"PHP")</f>
        <v>PHP</v>
      </c>
      <c r="M2905" s="9" t="s">
        <v>23</v>
      </c>
    </row>
    <row r="2906" ht="15.75" customHeight="1">
      <c r="A2906" s="7"/>
      <c r="B2906" s="7" t="str">
        <f>IFERROR(__xludf.DUMMYFUNCTION("""COMPUTED_VALUE"""),"Bash/Shell/PowerShell;HTML/CSS;Java;JavaScript;PHP;SQL")</f>
        <v>Bash/Shell/PowerShell;HTML/CSS;Java;JavaScript;PHP;SQL</v>
      </c>
      <c r="C2906" s="9" t="str">
        <f>IFERROR(__xludf.DUMMYFUNCTION("""COMPUTED_VALUE"""),"HTML/CSS")</f>
        <v>HTML/CSS</v>
      </c>
      <c r="D2906" s="9" t="str">
        <f>IFERROR(__xludf.DUMMYFUNCTION("""COMPUTED_VALUE"""),"SQL")</f>
        <v>SQL</v>
      </c>
      <c r="E2906" s="9" t="str">
        <f>IFERROR(__xludf.DUMMYFUNCTION("""COMPUTED_VALUE"""),"Rust")</f>
        <v>Rust</v>
      </c>
      <c r="F2906" s="9" t="str">
        <f>IFERROR(__xludf.DUMMYFUNCTION("""COMPUTED_VALUE"""),"TypeScript")</f>
        <v>TypeScript</v>
      </c>
      <c r="G2906" s="9" t="str">
        <f>IFERROR(__xludf.DUMMYFUNCTION("""COMPUTED_VALUE"""),"Python")</f>
        <v>Python</v>
      </c>
      <c r="H2906" s="9" t="str">
        <f>IFERROR(__xludf.DUMMYFUNCTION("""COMPUTED_VALUE"""),"JavaScript")</f>
        <v>JavaScript</v>
      </c>
      <c r="I2906" s="9" t="str">
        <f>IFERROR(__xludf.DUMMYFUNCTION("""COMPUTED_VALUE"""),"Ruby")</f>
        <v>Ruby</v>
      </c>
      <c r="J2906" s="9" t="str">
        <f>IFERROR(__xludf.DUMMYFUNCTION("""COMPUTED_VALUE"""),"Java")</f>
        <v>Java</v>
      </c>
      <c r="K2906" s="9" t="str">
        <f>IFERROR(__xludf.DUMMYFUNCTION("""COMPUTED_VALUE"""),"Bash/Shell/PowerShell")</f>
        <v>Bash/Shell/PowerShell</v>
      </c>
      <c r="L2906" s="9" t="str">
        <f>IFERROR(__xludf.DUMMYFUNCTION("""COMPUTED_VALUE"""),"SQL")</f>
        <v>SQL</v>
      </c>
      <c r="M2906" s="9" t="s">
        <v>24</v>
      </c>
    </row>
    <row r="2907" ht="15.75" customHeight="1">
      <c r="A2907" s="7"/>
      <c r="B2907" s="7" t="str">
        <f>IFERROR(__xludf.DUMMYFUNCTION("""COMPUTED_VALUE"""),"Java")</f>
        <v>Java</v>
      </c>
      <c r="C2907" s="9" t="str">
        <f>IFERROR(__xludf.DUMMYFUNCTION("""COMPUTED_VALUE"""),"Java")</f>
        <v>Java</v>
      </c>
      <c r="D2907" s="9" t="str">
        <f>IFERROR(__xludf.DUMMYFUNCTION("""COMPUTED_VALUE"""),"Bash/Shell/PowerShell")</f>
        <v>Bash/Shell/PowerShell</v>
      </c>
      <c r="E2907" s="9" t="str">
        <f>IFERROR(__xludf.DUMMYFUNCTION("""COMPUTED_VALUE"""),"SQL")</f>
        <v>SQL</v>
      </c>
      <c r="F2907" s="9" t="str">
        <f>IFERROR(__xludf.DUMMYFUNCTION("""COMPUTED_VALUE"""),"Bash/Shell/PowerShell")</f>
        <v>Bash/Shell/PowerShell</v>
      </c>
      <c r="G2907" s="9" t="str">
        <f>IFERROR(__xludf.DUMMYFUNCTION("""COMPUTED_VALUE"""),"TypeScript")</f>
        <v>TypeScript</v>
      </c>
      <c r="H2907" s="9" t="str">
        <f>IFERROR(__xludf.DUMMYFUNCTION("""COMPUTED_VALUE"""),"PHP")</f>
        <v>PHP</v>
      </c>
      <c r="I2907" s="9" t="str">
        <f>IFERROR(__xludf.DUMMYFUNCTION("""COMPUTED_VALUE"""),"SQL")</f>
        <v>SQL</v>
      </c>
      <c r="J2907" s="9" t="str">
        <f>IFERROR(__xludf.DUMMYFUNCTION("""COMPUTED_VALUE"""),"JavaScript")</f>
        <v>JavaScript</v>
      </c>
      <c r="K2907" s="9" t="str">
        <f>IFERROR(__xludf.DUMMYFUNCTION("""COMPUTED_VALUE"""),"C")</f>
        <v>C</v>
      </c>
      <c r="L2907" s="9" t="str">
        <f>IFERROR(__xludf.DUMMYFUNCTION("""COMPUTED_VALUE"""),"TypeScript")</f>
        <v>TypeScript</v>
      </c>
      <c r="M2907" s="9" t="s">
        <v>20</v>
      </c>
    </row>
    <row r="2908" ht="15.75" customHeight="1">
      <c r="A2908" s="7"/>
      <c r="B2908" s="7" t="str">
        <f>IFERROR(__xludf.DUMMYFUNCTION("""COMPUTED_VALUE"""),"Assembly;Bash/Shell/PowerShell;C;C++;C#;HTML/CSS;Java;JavaScript;Python;SQL;TypeScript")</f>
        <v>Assembly;Bash/Shell/PowerShell;C;C++;C#;HTML/CSS;Java;JavaScript;Python;SQL;TypeScript</v>
      </c>
      <c r="C2908" s="9" t="str">
        <f>IFERROR(__xludf.DUMMYFUNCTION("""COMPUTED_VALUE"""),"JavaScript")</f>
        <v>JavaScript</v>
      </c>
      <c r="D2908" s="9" t="str">
        <f>IFERROR(__xludf.DUMMYFUNCTION("""COMPUTED_VALUE"""),"C")</f>
        <v>C</v>
      </c>
      <c r="E2908" s="9" t="str">
        <f>IFERROR(__xludf.DUMMYFUNCTION("""COMPUTED_VALUE"""),"TypeScript")</f>
        <v>TypeScript</v>
      </c>
      <c r="F2908" s="9" t="str">
        <f>IFERROR(__xludf.DUMMYFUNCTION("""COMPUTED_VALUE"""),"HTML/CSS")</f>
        <v>HTML/CSS</v>
      </c>
      <c r="G2908" s="9" t="str">
        <f>IFERROR(__xludf.DUMMYFUNCTION("""COMPUTED_VALUE"""),"C")</f>
        <v>C</v>
      </c>
      <c r="H2908" s="9" t="str">
        <f>IFERROR(__xludf.DUMMYFUNCTION("""COMPUTED_VALUE"""),"Python")</f>
        <v>Python</v>
      </c>
      <c r="I2908" s="9" t="str">
        <f>IFERROR(__xludf.DUMMYFUNCTION("""COMPUTED_VALUE"""),"Bash/Shell/PowerShell")</f>
        <v>Bash/Shell/PowerShell</v>
      </c>
      <c r="J2908" s="9" t="str">
        <f>IFERROR(__xludf.DUMMYFUNCTION("""COMPUTED_VALUE"""),"Python")</f>
        <v>Python</v>
      </c>
      <c r="K2908" s="9" t="str">
        <f>IFERROR(__xludf.DUMMYFUNCTION("""COMPUTED_VALUE"""),"Objective-C")</f>
        <v>Objective-C</v>
      </c>
      <c r="L2908" s="9" t="str">
        <f>IFERROR(__xludf.DUMMYFUNCTION("""COMPUTED_VALUE"""),"C++")</f>
        <v>C++</v>
      </c>
      <c r="M2908" s="9" t="s">
        <v>21</v>
      </c>
    </row>
    <row r="2909" ht="15.75" customHeight="1">
      <c r="A2909" s="7"/>
      <c r="B2909" s="7" t="str">
        <f>IFERROR(__xludf.DUMMYFUNCTION("""COMPUTED_VALUE"""),"C++;Java;Python")</f>
        <v>C++;Java;Python</v>
      </c>
      <c r="C2909" s="9" t="str">
        <f>IFERROR(__xludf.DUMMYFUNCTION("""COMPUTED_VALUE"""),"Python")</f>
        <v>Python</v>
      </c>
      <c r="D2909" s="9" t="str">
        <f>IFERROR(__xludf.DUMMYFUNCTION("""COMPUTED_VALUE"""),"C++")</f>
        <v>C++</v>
      </c>
      <c r="E2909" s="9" t="str">
        <f>IFERROR(__xludf.DUMMYFUNCTION("""COMPUTED_VALUE"""),"C++")</f>
        <v>C++</v>
      </c>
      <c r="F2909" s="9" t="str">
        <f>IFERROR(__xludf.DUMMYFUNCTION("""COMPUTED_VALUE"""),"Java")</f>
        <v>Java</v>
      </c>
      <c r="G2909" s="9" t="str">
        <f>IFERROR(__xludf.DUMMYFUNCTION("""COMPUTED_VALUE"""),"C++")</f>
        <v>C++</v>
      </c>
      <c r="H2909" s="9" t="str">
        <f>IFERROR(__xludf.DUMMYFUNCTION("""COMPUTED_VALUE"""),"SQL")</f>
        <v>SQL</v>
      </c>
      <c r="I2909" s="9" t="str">
        <f>IFERROR(__xludf.DUMMYFUNCTION("""COMPUTED_VALUE"""),"C")</f>
        <v>C</v>
      </c>
      <c r="J2909" s="9" t="str">
        <f>IFERROR(__xludf.DUMMYFUNCTION("""COMPUTED_VALUE"""),"SQL")</f>
        <v>SQL</v>
      </c>
      <c r="K2909" s="9" t="str">
        <f>IFERROR(__xludf.DUMMYFUNCTION("""COMPUTED_VALUE"""),"Swift")</f>
        <v>Swift</v>
      </c>
      <c r="L2909" s="9" t="str">
        <f>IFERROR(__xludf.DUMMYFUNCTION("""COMPUTED_VALUE"""),"Objective-C")</f>
        <v>Objective-C</v>
      </c>
      <c r="M2909" s="9" t="s">
        <v>22</v>
      </c>
    </row>
    <row r="2910" ht="15.75" customHeight="1">
      <c r="A2910" s="7"/>
      <c r="B2910" s="7" t="str">
        <f>IFERROR(__xludf.DUMMYFUNCTION("""COMPUTED_VALUE"""),"Bash/Shell/PowerShell;C#;HTML/CSS;JavaScript;SQL;TypeScript;VBA")</f>
        <v>Bash/Shell/PowerShell;C#;HTML/CSS;JavaScript;SQL;TypeScript;VBA</v>
      </c>
      <c r="C2910" s="9" t="str">
        <f>IFERROR(__xludf.DUMMYFUNCTION("""COMPUTED_VALUE"""),"SQL")</f>
        <v>SQL</v>
      </c>
      <c r="D2910" s="9" t="str">
        <f>IFERROR(__xludf.DUMMYFUNCTION("""COMPUTED_VALUE"""),"Java")</f>
        <v>Java</v>
      </c>
      <c r="E2910" s="9" t="str">
        <f>IFERROR(__xludf.DUMMYFUNCTION("""COMPUTED_VALUE"""),"C#")</f>
        <v>C#</v>
      </c>
      <c r="F2910" s="9" t="str">
        <f>IFERROR(__xludf.DUMMYFUNCTION("""COMPUTED_VALUE"""),"JavaScript")</f>
        <v>JavaScript</v>
      </c>
      <c r="G2910" s="9" t="str">
        <f>IFERROR(__xludf.DUMMYFUNCTION("""COMPUTED_VALUE"""),"C#")</f>
        <v>C#</v>
      </c>
      <c r="H2910" s="9" t="str">
        <f>IFERROR(__xludf.DUMMYFUNCTION("""COMPUTED_VALUE"""),"C")</f>
        <v>C</v>
      </c>
      <c r="I2910" s="9" t="str">
        <f>IFERROR(__xludf.DUMMYFUNCTION("""COMPUTED_VALUE"""),"C++")</f>
        <v>C++</v>
      </c>
      <c r="J2910" s="9" t="str">
        <f>IFERROR(__xludf.DUMMYFUNCTION("""COMPUTED_VALUE"""),"Bash/Shell/PowerShell")</f>
        <v>Bash/Shell/PowerShell</v>
      </c>
      <c r="K2910" s="9" t="str">
        <f>IFERROR(__xludf.DUMMYFUNCTION("""COMPUTED_VALUE"""),"Python")</f>
        <v>Python</v>
      </c>
      <c r="L2910" s="9" t="str">
        <f>IFERROR(__xludf.DUMMYFUNCTION("""COMPUTED_VALUE"""),"Python")</f>
        <v>Python</v>
      </c>
      <c r="M2910" s="9" t="s">
        <v>27</v>
      </c>
    </row>
    <row r="2911" ht="15.75" customHeight="1">
      <c r="A2911" s="7"/>
      <c r="B2911" s="7" t="str">
        <f>IFERROR(__xludf.DUMMYFUNCTION("""COMPUTED_VALUE"""),"Clojure")</f>
        <v>Clojure</v>
      </c>
      <c r="C2911" s="9" t="str">
        <f>IFERROR(__xludf.DUMMYFUNCTION("""COMPUTED_VALUE"""),"TypeScript")</f>
        <v>TypeScript</v>
      </c>
      <c r="D2911" s="9" t="str">
        <f>IFERROR(__xludf.DUMMYFUNCTION("""COMPUTED_VALUE"""),"Kotlin")</f>
        <v>Kotlin</v>
      </c>
      <c r="E2911" s="9" t="str">
        <f>IFERROR(__xludf.DUMMYFUNCTION("""COMPUTED_VALUE"""),"Go")</f>
        <v>Go</v>
      </c>
      <c r="F2911" s="9" t="str">
        <f>IFERROR(__xludf.DUMMYFUNCTION("""COMPUTED_VALUE"""),"PHP")</f>
        <v>PHP</v>
      </c>
      <c r="G2911" s="9" t="str">
        <f>IFERROR(__xludf.DUMMYFUNCTION("""COMPUTED_VALUE"""),"HTML/CSS")</f>
        <v>HTML/CSS</v>
      </c>
      <c r="H2911" s="9" t="str">
        <f>IFERROR(__xludf.DUMMYFUNCTION("""COMPUTED_VALUE"""),"Other(s):")</f>
        <v>Other(s):</v>
      </c>
      <c r="I2911" s="9" t="str">
        <f>IFERROR(__xludf.DUMMYFUNCTION("""COMPUTED_VALUE"""),"Objective-C")</f>
        <v>Objective-C</v>
      </c>
      <c r="J2911" s="9" t="str">
        <f>IFERROR(__xludf.DUMMYFUNCTION("""COMPUTED_VALUE"""),"C")</f>
        <v>C</v>
      </c>
      <c r="K2911" s="9" t="str">
        <f>IFERROR(__xludf.DUMMYFUNCTION("""COMPUTED_VALUE"""),"C++")</f>
        <v>C++</v>
      </c>
      <c r="L2911" s="9" t="str">
        <f>IFERROR(__xludf.DUMMYFUNCTION("""COMPUTED_VALUE"""),"C")</f>
        <v>C</v>
      </c>
      <c r="M2911" s="9" t="s">
        <v>33</v>
      </c>
    </row>
    <row r="2912" ht="15.75" customHeight="1">
      <c r="A2912" s="7"/>
      <c r="B2912" s="7" t="str">
        <f>IFERROR(__xludf.DUMMYFUNCTION("""COMPUTED_VALUE"""),"HTML/CSS;JavaScript;PHP;SQL")</f>
        <v>HTML/CSS;JavaScript;PHP;SQL</v>
      </c>
      <c r="C2912" s="9" t="str">
        <f>IFERROR(__xludf.DUMMYFUNCTION("""COMPUTED_VALUE"""),"Java")</f>
        <v>Java</v>
      </c>
      <c r="D2912" s="9" t="str">
        <f>IFERROR(__xludf.DUMMYFUNCTION("""COMPUTED_VALUE"""),"Python")</f>
        <v>Python</v>
      </c>
      <c r="E2912" s="9" t="str">
        <f>IFERROR(__xludf.DUMMYFUNCTION("""COMPUTED_VALUE"""),"HTML/CSS")</f>
        <v>HTML/CSS</v>
      </c>
      <c r="F2912" s="9" t="str">
        <f>IFERROR(__xludf.DUMMYFUNCTION("""COMPUTED_VALUE"""),"SQL")</f>
        <v>SQL</v>
      </c>
      <c r="G2912" s="9" t="str">
        <f>IFERROR(__xludf.DUMMYFUNCTION("""COMPUTED_VALUE"""),"JavaScript")</f>
        <v>JavaScript</v>
      </c>
      <c r="H2912" s="9" t="str">
        <f>IFERROR(__xludf.DUMMYFUNCTION("""COMPUTED_VALUE"""),"HTML/CSS")</f>
        <v>HTML/CSS</v>
      </c>
      <c r="I2912" s="9" t="str">
        <f>IFERROR(__xludf.DUMMYFUNCTION("""COMPUTED_VALUE"""),"Python")</f>
        <v>Python</v>
      </c>
      <c r="J2912" s="9" t="str">
        <f>IFERROR(__xludf.DUMMYFUNCTION("""COMPUTED_VALUE"""),"C++")</f>
        <v>C++</v>
      </c>
      <c r="K2912" s="9" t="str">
        <f>IFERROR(__xludf.DUMMYFUNCTION("""COMPUTED_VALUE"""),"C#")</f>
        <v>C#</v>
      </c>
      <c r="L2912" s="9" t="str">
        <f>IFERROR(__xludf.DUMMYFUNCTION("""COMPUTED_VALUE"""),"C++")</f>
        <v>C++</v>
      </c>
      <c r="M2912" s="9" t="s">
        <v>20</v>
      </c>
    </row>
    <row r="2913" ht="15.75" customHeight="1">
      <c r="A2913" s="7"/>
      <c r="B2913" s="7" t="str">
        <f>IFERROR(__xludf.DUMMYFUNCTION("""COMPUTED_VALUE"""),"Java;Python;Scala;SQL")</f>
        <v>Java;Python;Scala;SQL</v>
      </c>
      <c r="C2913" s="9" t="str">
        <f>IFERROR(__xludf.DUMMYFUNCTION("""COMPUTED_VALUE"""),"JavaScript")</f>
        <v>JavaScript</v>
      </c>
      <c r="D2913" s="9" t="str">
        <f>IFERROR(__xludf.DUMMYFUNCTION("""COMPUTED_VALUE"""),"Other(s):")</f>
        <v>Other(s):</v>
      </c>
      <c r="E2913" s="9" t="str">
        <f>IFERROR(__xludf.DUMMYFUNCTION("""COMPUTED_VALUE"""),"JavaScript")</f>
        <v>JavaScript</v>
      </c>
      <c r="F2913" s="9" t="str">
        <f>IFERROR(__xludf.DUMMYFUNCTION("""COMPUTED_VALUE"""),"Dart")</f>
        <v>Dart</v>
      </c>
      <c r="G2913" s="9" t="str">
        <f>IFERROR(__xludf.DUMMYFUNCTION("""COMPUTED_VALUE"""),"PHP")</f>
        <v>PHP</v>
      </c>
      <c r="H2913" s="9" t="str">
        <f>IFERROR(__xludf.DUMMYFUNCTION("""COMPUTED_VALUE"""),"Java")</f>
        <v>Java</v>
      </c>
      <c r="I2913" s="9" t="str">
        <f>IFERROR(__xludf.DUMMYFUNCTION("""COMPUTED_VALUE"""),"Swift")</f>
        <v>Swift</v>
      </c>
      <c r="J2913" s="9" t="str">
        <f>IFERROR(__xludf.DUMMYFUNCTION("""COMPUTED_VALUE"""),"Go")</f>
        <v>Go</v>
      </c>
      <c r="K2913" s="9" t="str">
        <f>IFERROR(__xludf.DUMMYFUNCTION("""COMPUTED_VALUE"""),"SQL")</f>
        <v>SQL</v>
      </c>
      <c r="L2913" s="9" t="str">
        <f>IFERROR(__xludf.DUMMYFUNCTION("""COMPUTED_VALUE"""),"Java")</f>
        <v>Java</v>
      </c>
      <c r="M2913" s="9" t="s">
        <v>21</v>
      </c>
    </row>
    <row r="2914" ht="15.75" customHeight="1">
      <c r="A2914" s="7"/>
      <c r="B2914" s="7" t="str">
        <f>IFERROR(__xludf.DUMMYFUNCTION("""COMPUTED_VALUE"""),"C#;SQL")</f>
        <v>C#;SQL</v>
      </c>
      <c r="C2914" s="9" t="str">
        <f>IFERROR(__xludf.DUMMYFUNCTION("""COMPUTED_VALUE"""),"PHP")</f>
        <v>PHP</v>
      </c>
      <c r="D2914" s="9" t="str">
        <f>IFERROR(__xludf.DUMMYFUNCTION("""COMPUTED_VALUE"""),"C++")</f>
        <v>C++</v>
      </c>
      <c r="E2914" s="9" t="str">
        <f>IFERROR(__xludf.DUMMYFUNCTION("""COMPUTED_VALUE"""),"Python")</f>
        <v>Python</v>
      </c>
      <c r="F2914" s="9" t="str">
        <f>IFERROR(__xludf.DUMMYFUNCTION("""COMPUTED_VALUE"""),"HTML/CSS")</f>
        <v>HTML/CSS</v>
      </c>
      <c r="G2914" s="9" t="str">
        <f>IFERROR(__xludf.DUMMYFUNCTION("""COMPUTED_VALUE"""),"Python")</f>
        <v>Python</v>
      </c>
      <c r="H2914" s="9" t="str">
        <f>IFERROR(__xludf.DUMMYFUNCTION("""COMPUTED_VALUE"""),"JavaScript")</f>
        <v>JavaScript</v>
      </c>
      <c r="I2914" s="9" t="str">
        <f>IFERROR(__xludf.DUMMYFUNCTION("""COMPUTED_VALUE"""),"Dart")</f>
        <v>Dart</v>
      </c>
      <c r="J2914" s="9" t="str">
        <f>IFERROR(__xludf.DUMMYFUNCTION("""COMPUTED_VALUE"""),"HTML/CSS")</f>
        <v>HTML/CSS</v>
      </c>
      <c r="K2914" s="9" t="str">
        <f>IFERROR(__xludf.DUMMYFUNCTION("""COMPUTED_VALUE"""),"C++")</f>
        <v>C++</v>
      </c>
      <c r="L2914" s="9" t="str">
        <f>IFERROR(__xludf.DUMMYFUNCTION("""COMPUTED_VALUE"""),"Kotlin")</f>
        <v>Kotlin</v>
      </c>
      <c r="M2914" s="9" t="s">
        <v>37</v>
      </c>
    </row>
    <row r="2915" ht="15.75" customHeight="1">
      <c r="A2915" s="7"/>
      <c r="B2915" s="7" t="str">
        <f>IFERROR(__xludf.DUMMYFUNCTION("""COMPUTED_VALUE"""),"HTML/CSS;Java;JavaScript;Python;SQL")</f>
        <v>HTML/CSS;Java;JavaScript;Python;SQL</v>
      </c>
      <c r="C2915" s="9" t="str">
        <f>IFERROR(__xludf.DUMMYFUNCTION("""COMPUTED_VALUE"""),"Python")</f>
        <v>Python</v>
      </c>
      <c r="D2915" s="9" t="str">
        <f>IFERROR(__xludf.DUMMYFUNCTION("""COMPUTED_VALUE"""),"HTML/CSS")</f>
        <v>HTML/CSS</v>
      </c>
      <c r="E2915" s="9" t="str">
        <f>IFERROR(__xludf.DUMMYFUNCTION("""COMPUTED_VALUE"""),"Ruby")</f>
        <v>Ruby</v>
      </c>
      <c r="F2915" s="9" t="str">
        <f>IFERROR(__xludf.DUMMYFUNCTION("""COMPUTED_VALUE"""),"PHP")</f>
        <v>PHP</v>
      </c>
      <c r="G2915" s="9" t="str">
        <f>IFERROR(__xludf.DUMMYFUNCTION("""COMPUTED_VALUE"""),"SQL")</f>
        <v>SQL</v>
      </c>
      <c r="H2915" s="9" t="str">
        <f>IFERROR(__xludf.DUMMYFUNCTION("""COMPUTED_VALUE"""),"Python")</f>
        <v>Python</v>
      </c>
      <c r="I2915" s="9" t="str">
        <f>IFERROR(__xludf.DUMMYFUNCTION("""COMPUTED_VALUE"""),"Java")</f>
        <v>Java</v>
      </c>
      <c r="J2915" s="9" t="str">
        <f>IFERROR(__xludf.DUMMYFUNCTION("""COMPUTED_VALUE"""),"Java")</f>
        <v>Java</v>
      </c>
      <c r="K2915" s="9" t="str">
        <f>IFERROR(__xludf.DUMMYFUNCTION("""COMPUTED_VALUE"""),"Go")</f>
        <v>Go</v>
      </c>
      <c r="L2915" s="9" t="str">
        <f>IFERROR(__xludf.DUMMYFUNCTION("""COMPUTED_VALUE"""),"Swift")</f>
        <v>Swift</v>
      </c>
      <c r="M2915" s="9" t="s">
        <v>22</v>
      </c>
    </row>
    <row r="2916" ht="15.75" customHeight="1">
      <c r="A2916" s="7"/>
      <c r="B2916" s="7" t="str">
        <f>IFERROR(__xludf.DUMMYFUNCTION("""COMPUTED_VALUE"""),"Bash/Shell/PowerShell;HTML/CSS;JavaScript;Python")</f>
        <v>Bash/Shell/PowerShell;HTML/CSS;JavaScript;Python</v>
      </c>
      <c r="C2916" s="9" t="str">
        <f>IFERROR(__xludf.DUMMYFUNCTION("""COMPUTED_VALUE"""),"SQL")</f>
        <v>SQL</v>
      </c>
      <c r="D2916" s="9" t="str">
        <f>IFERROR(__xludf.DUMMYFUNCTION("""COMPUTED_VALUE"""),"JavaScript")</f>
        <v>JavaScript</v>
      </c>
      <c r="E2916" s="9" t="str">
        <f>IFERROR(__xludf.DUMMYFUNCTION("""COMPUTED_VALUE"""),"SQL")</f>
        <v>SQL</v>
      </c>
      <c r="F2916" s="9" t="str">
        <f>IFERROR(__xludf.DUMMYFUNCTION("""COMPUTED_VALUE"""),"Python")</f>
        <v>Python</v>
      </c>
      <c r="G2916" s="9" t="str">
        <f>IFERROR(__xludf.DUMMYFUNCTION("""COMPUTED_VALUE"""),"Go")</f>
        <v>Go</v>
      </c>
      <c r="H2916" s="9" t="str">
        <f>IFERROR(__xludf.DUMMYFUNCTION("""COMPUTED_VALUE"""),"SQL")</f>
        <v>SQL</v>
      </c>
      <c r="I2916" s="9" t="str">
        <f>IFERROR(__xludf.DUMMYFUNCTION("""COMPUTED_VALUE"""),"Kotlin")</f>
        <v>Kotlin</v>
      </c>
      <c r="J2916" s="9" t="str">
        <f>IFERROR(__xludf.DUMMYFUNCTION("""COMPUTED_VALUE"""),"JavaScript")</f>
        <v>JavaScript</v>
      </c>
      <c r="K2916" s="9" t="str">
        <f>IFERROR(__xludf.DUMMYFUNCTION("""COMPUTED_VALUE"""),"HTML/CSS")</f>
        <v>HTML/CSS</v>
      </c>
      <c r="L2916" s="9" t="str">
        <f>IFERROR(__xludf.DUMMYFUNCTION("""COMPUTED_VALUE"""),"C++")</f>
        <v>C++</v>
      </c>
      <c r="M2916" s="9" t="s">
        <v>27</v>
      </c>
    </row>
    <row r="2917" ht="15.75" customHeight="1">
      <c r="A2917" s="7"/>
      <c r="B2917" s="7" t="str">
        <f>IFERROR(__xludf.DUMMYFUNCTION("""COMPUTED_VALUE"""),"Assembly;Bash/Shell/PowerShell;C;C++;HTML/CSS;Python;VBA")</f>
        <v>Assembly;Bash/Shell/PowerShell;C;C++;HTML/CSS;Python;VBA</v>
      </c>
      <c r="C2917" s="9" t="str">
        <f>IFERROR(__xludf.DUMMYFUNCTION("""COMPUTED_VALUE"""),"Assembly")</f>
        <v>Assembly</v>
      </c>
      <c r="D2917" s="9" t="str">
        <f>IFERROR(__xludf.DUMMYFUNCTION("""COMPUTED_VALUE"""),"Python")</f>
        <v>Python</v>
      </c>
      <c r="E2917" s="9" t="str">
        <f>IFERROR(__xludf.DUMMYFUNCTION("""COMPUTED_VALUE"""),"C++")</f>
        <v>C++</v>
      </c>
      <c r="F2917" s="9" t="str">
        <f>IFERROR(__xludf.DUMMYFUNCTION("""COMPUTED_VALUE"""),"HTML/CSS")</f>
        <v>HTML/CSS</v>
      </c>
      <c r="G2917" s="9" t="str">
        <f>IFERROR(__xludf.DUMMYFUNCTION("""COMPUTED_VALUE"""),"Java")</f>
        <v>Java</v>
      </c>
      <c r="H2917" s="9" t="str">
        <f>IFERROR(__xludf.DUMMYFUNCTION("""COMPUTED_VALUE"""),"HTML/CSS")</f>
        <v>HTML/CSS</v>
      </c>
      <c r="I2917" s="9" t="str">
        <f>IFERROR(__xludf.DUMMYFUNCTION("""COMPUTED_VALUE"""),"Bash/Shell/PowerShell")</f>
        <v>Bash/Shell/PowerShell</v>
      </c>
      <c r="J2917" s="9" t="str">
        <f>IFERROR(__xludf.DUMMYFUNCTION("""COMPUTED_VALUE"""),"Kotlin")</f>
        <v>Kotlin</v>
      </c>
      <c r="K2917" s="9" t="str">
        <f>IFERROR(__xludf.DUMMYFUNCTION("""COMPUTED_VALUE"""),"JavaScript")</f>
        <v>JavaScript</v>
      </c>
      <c r="L2917" s="9" t="str">
        <f>IFERROR(__xludf.DUMMYFUNCTION("""COMPUTED_VALUE"""),"Other(s):")</f>
        <v>Other(s):</v>
      </c>
      <c r="M2917" s="9" t="s">
        <v>38</v>
      </c>
    </row>
    <row r="2918" ht="15.75" customHeight="1">
      <c r="A2918" s="7"/>
      <c r="B2918" s="7" t="str">
        <f>IFERROR(__xludf.DUMMYFUNCTION("""COMPUTED_VALUE"""),"C;HTML/CSS;Java;JavaScript;Python")</f>
        <v>C;HTML/CSS;Java;JavaScript;Python</v>
      </c>
      <c r="C2918" s="9" t="str">
        <f>IFERROR(__xludf.DUMMYFUNCTION("""COMPUTED_VALUE"""),"Bash/Shell/PowerShell")</f>
        <v>Bash/Shell/PowerShell</v>
      </c>
      <c r="D2918" s="9" t="str">
        <f>IFERROR(__xludf.DUMMYFUNCTION("""COMPUTED_VALUE"""),"HTML/CSS")</f>
        <v>HTML/CSS</v>
      </c>
      <c r="E2918" s="9" t="str">
        <f>IFERROR(__xludf.DUMMYFUNCTION("""COMPUTED_VALUE"""),"Go")</f>
        <v>Go</v>
      </c>
      <c r="F2918" s="9" t="str">
        <f>IFERROR(__xludf.DUMMYFUNCTION("""COMPUTED_VALUE"""),"JavaScript")</f>
        <v>JavaScript</v>
      </c>
      <c r="G2918" s="9" t="str">
        <f>IFERROR(__xludf.DUMMYFUNCTION("""COMPUTED_VALUE"""),"JavaScript")</f>
        <v>JavaScript</v>
      </c>
      <c r="H2918" s="9" t="str">
        <f>IFERROR(__xludf.DUMMYFUNCTION("""COMPUTED_VALUE"""),"Java")</f>
        <v>Java</v>
      </c>
      <c r="I2918" s="9" t="str">
        <f>IFERROR(__xludf.DUMMYFUNCTION("""COMPUTED_VALUE"""),"C++")</f>
        <v>C++</v>
      </c>
      <c r="J2918" s="9" t="str">
        <f>IFERROR(__xludf.DUMMYFUNCTION("""COMPUTED_VALUE"""),"PHP")</f>
        <v>PHP</v>
      </c>
      <c r="K2918" s="9" t="str">
        <f>IFERROR(__xludf.DUMMYFUNCTION("""COMPUTED_VALUE"""),"PHP")</f>
        <v>PHP</v>
      </c>
      <c r="L2918" s="9" t="str">
        <f>IFERROR(__xludf.DUMMYFUNCTION("""COMPUTED_VALUE"""),"Assembly")</f>
        <v>Assembly</v>
      </c>
      <c r="M2918" s="9" t="s">
        <v>30</v>
      </c>
    </row>
    <row r="2919" ht="15.75" customHeight="1">
      <c r="A2919" s="7"/>
      <c r="B2919" s="7" t="str">
        <f>IFERROR(__xludf.DUMMYFUNCTION("""COMPUTED_VALUE"""),"HTML/CSS;JavaScript;Python;SQL")</f>
        <v>HTML/CSS;JavaScript;Python;SQL</v>
      </c>
      <c r="C2919" s="9" t="str">
        <f>IFERROR(__xludf.DUMMYFUNCTION("""COMPUTED_VALUE"""),"C")</f>
        <v>C</v>
      </c>
      <c r="D2919" s="9" t="str">
        <f>IFERROR(__xludf.DUMMYFUNCTION("""COMPUTED_VALUE"""),"JavaScript")</f>
        <v>JavaScript</v>
      </c>
      <c r="E2919" s="9" t="str">
        <f>IFERROR(__xludf.DUMMYFUNCTION("""COMPUTED_VALUE"""),"Kotlin")</f>
        <v>Kotlin</v>
      </c>
      <c r="F2919" s="9" t="str">
        <f>IFERROR(__xludf.DUMMYFUNCTION("""COMPUTED_VALUE"""),"PHP")</f>
        <v>PHP</v>
      </c>
      <c r="G2919" s="9" t="str">
        <f>IFERROR(__xludf.DUMMYFUNCTION("""COMPUTED_VALUE"""),"Kotlin")</f>
        <v>Kotlin</v>
      </c>
      <c r="H2919" s="9" t="str">
        <f>IFERROR(__xludf.DUMMYFUNCTION("""COMPUTED_VALUE"""),"JavaScript")</f>
        <v>JavaScript</v>
      </c>
      <c r="I2919" s="9" t="str">
        <f>IFERROR(__xludf.DUMMYFUNCTION("""COMPUTED_VALUE"""),"C#")</f>
        <v>C#</v>
      </c>
      <c r="J2919" s="9" t="str">
        <f>IFERROR(__xludf.DUMMYFUNCTION("""COMPUTED_VALUE"""),"Python")</f>
        <v>Python</v>
      </c>
      <c r="K2919" s="9" t="str">
        <f>IFERROR(__xludf.DUMMYFUNCTION("""COMPUTED_VALUE"""),"Python")</f>
        <v>Python</v>
      </c>
      <c r="L2919" s="9" t="str">
        <f>IFERROR(__xludf.DUMMYFUNCTION("""COMPUTED_VALUE"""),"Bash/Shell/PowerShell")</f>
        <v>Bash/Shell/PowerShell</v>
      </c>
      <c r="M2919" s="9" t="s">
        <v>25</v>
      </c>
    </row>
    <row r="2920" ht="15.75" customHeight="1">
      <c r="A2920" s="7"/>
      <c r="B2920" s="7" t="str">
        <f>IFERROR(__xludf.DUMMYFUNCTION("""COMPUTED_VALUE"""),"C;C++;Java;Kotlin;SQL;Other(s):")</f>
        <v>C;C++;Java;Kotlin;SQL;Other(s):</v>
      </c>
      <c r="C2920" s="9" t="str">
        <f>IFERROR(__xludf.DUMMYFUNCTION("""COMPUTED_VALUE"""),"C++")</f>
        <v>C++</v>
      </c>
      <c r="D2920" s="9" t="str">
        <f>IFERROR(__xludf.DUMMYFUNCTION("""COMPUTED_VALUE"""),"PHP")</f>
        <v>PHP</v>
      </c>
      <c r="E2920" s="9" t="str">
        <f>IFERROR(__xludf.DUMMYFUNCTION("""COMPUTED_VALUE"""),"Python")</f>
        <v>Python</v>
      </c>
      <c r="F2920" s="9" t="str">
        <f>IFERROR(__xludf.DUMMYFUNCTION("""COMPUTED_VALUE"""),"SQL")</f>
        <v>SQL</v>
      </c>
      <c r="G2920" s="9" t="str">
        <f>IFERROR(__xludf.DUMMYFUNCTION("""COMPUTED_VALUE"""),"Ruby")</f>
        <v>Ruby</v>
      </c>
      <c r="H2920" s="9" t="str">
        <f>IFERROR(__xludf.DUMMYFUNCTION("""COMPUTED_VALUE"""),"Objective-C")</f>
        <v>Objective-C</v>
      </c>
      <c r="I2920" s="9" t="str">
        <f>IFERROR(__xludf.DUMMYFUNCTION("""COMPUTED_VALUE"""),"HTML/CSS")</f>
        <v>HTML/CSS</v>
      </c>
      <c r="J2920" s="9" t="str">
        <f>IFERROR(__xludf.DUMMYFUNCTION("""COMPUTED_VALUE"""),"SQL")</f>
        <v>SQL</v>
      </c>
      <c r="K2920" s="9" t="str">
        <f>IFERROR(__xludf.DUMMYFUNCTION("""COMPUTED_VALUE"""),"SQL")</f>
        <v>SQL</v>
      </c>
      <c r="L2920" s="9" t="str">
        <f>IFERROR(__xludf.DUMMYFUNCTION("""COMPUTED_VALUE"""),"C++")</f>
        <v>C++</v>
      </c>
      <c r="M2920" s="9" t="s">
        <v>23</v>
      </c>
    </row>
    <row r="2921" ht="15.75" customHeight="1">
      <c r="A2921" s="7"/>
      <c r="B2921" s="7" t="str">
        <f>IFERROR(__xludf.DUMMYFUNCTION("""COMPUTED_VALUE"""),"Bash/Shell/PowerShell;C#;HTML/CSS;JavaScript;Kotlin;PHP;Python;SQL;TypeScript")</f>
        <v>Bash/Shell/PowerShell;C#;HTML/CSS;JavaScript;Kotlin;PHP;Python;SQL;TypeScript</v>
      </c>
      <c r="C2921" s="9" t="str">
        <f>IFERROR(__xludf.DUMMYFUNCTION("""COMPUTED_VALUE"""),"C#")</f>
        <v>C#</v>
      </c>
      <c r="D2921" s="9" t="str">
        <f>IFERROR(__xludf.DUMMYFUNCTION("""COMPUTED_VALUE"""),"Scala")</f>
        <v>Scala</v>
      </c>
      <c r="E2921" s="9" t="str">
        <f>IFERROR(__xludf.DUMMYFUNCTION("""COMPUTED_VALUE"""),"Ruby")</f>
        <v>Ruby</v>
      </c>
      <c r="F2921" s="9" t="str">
        <f>IFERROR(__xludf.DUMMYFUNCTION("""COMPUTED_VALUE"""),"HTML/CSS")</f>
        <v>HTML/CSS</v>
      </c>
      <c r="G2921" s="9" t="str">
        <f>IFERROR(__xludf.DUMMYFUNCTION("""COMPUTED_VALUE"""),"SQL")</f>
        <v>SQL</v>
      </c>
      <c r="H2921" s="9" t="str">
        <f>IFERROR(__xludf.DUMMYFUNCTION("""COMPUTED_VALUE"""),"PHP")</f>
        <v>PHP</v>
      </c>
      <c r="I2921" s="9" t="str">
        <f>IFERROR(__xludf.DUMMYFUNCTION("""COMPUTED_VALUE"""),"Objective-C")</f>
        <v>Objective-C</v>
      </c>
      <c r="J2921" s="9" t="str">
        <f>IFERROR(__xludf.DUMMYFUNCTION("""COMPUTED_VALUE"""),"C")</f>
        <v>C</v>
      </c>
      <c r="K2921" s="9" t="str">
        <f>IFERROR(__xludf.DUMMYFUNCTION("""COMPUTED_VALUE"""),"TypeScript")</f>
        <v>TypeScript</v>
      </c>
      <c r="L2921" s="9" t="str">
        <f>IFERROR(__xludf.DUMMYFUNCTION("""COMPUTED_VALUE"""),"C#")</f>
        <v>C#</v>
      </c>
      <c r="M2921" s="9" t="s">
        <v>26</v>
      </c>
    </row>
    <row r="2922" ht="15.75" customHeight="1">
      <c r="A2922" s="7"/>
      <c r="B2922" s="7" t="str">
        <f>IFERROR(__xludf.DUMMYFUNCTION("""COMPUTED_VALUE"""),"Java;JavaScript;SQL")</f>
        <v>Java;JavaScript;SQL</v>
      </c>
      <c r="C2922" s="9" t="str">
        <f>IFERROR(__xludf.DUMMYFUNCTION("""COMPUTED_VALUE"""),"HTML/CSS")</f>
        <v>HTML/CSS</v>
      </c>
      <c r="D2922" s="9" t="str">
        <f>IFERROR(__xludf.DUMMYFUNCTION("""COMPUTED_VALUE"""),"SQL")</f>
        <v>SQL</v>
      </c>
      <c r="E2922" s="9" t="str">
        <f>IFERROR(__xludf.DUMMYFUNCTION("""COMPUTED_VALUE"""),"SQL")</f>
        <v>SQL</v>
      </c>
      <c r="F2922" s="9" t="str">
        <f>IFERROR(__xludf.DUMMYFUNCTION("""COMPUTED_VALUE"""),"JavaScript")</f>
        <v>JavaScript</v>
      </c>
      <c r="G2922" s="9" t="str">
        <f>IFERROR(__xludf.DUMMYFUNCTION("""COMPUTED_VALUE"""),"TypeScript")</f>
        <v>TypeScript</v>
      </c>
      <c r="H2922" s="9" t="str">
        <f>IFERROR(__xludf.DUMMYFUNCTION("""COMPUTED_VALUE"""),"Python")</f>
        <v>Python</v>
      </c>
      <c r="I2922" s="9" t="str">
        <f>IFERROR(__xludf.DUMMYFUNCTION("""COMPUTED_VALUE"""),"Swift")</f>
        <v>Swift</v>
      </c>
      <c r="J2922" s="9" t="str">
        <f>IFERROR(__xludf.DUMMYFUNCTION("""COMPUTED_VALUE"""),"C++")</f>
        <v>C++</v>
      </c>
      <c r="K2922" s="9" t="str">
        <f>IFERROR(__xludf.DUMMYFUNCTION("""COMPUTED_VALUE"""),"C#")</f>
        <v>C#</v>
      </c>
      <c r="L2922" s="9" t="str">
        <f>IFERROR(__xludf.DUMMYFUNCTION("""COMPUTED_VALUE"""),"Java")</f>
        <v>Java</v>
      </c>
      <c r="M2922" s="9" t="s">
        <v>24</v>
      </c>
    </row>
    <row r="2923" ht="15.75" customHeight="1">
      <c r="A2923" s="7"/>
      <c r="B2923" s="7" t="str">
        <f>IFERROR(__xludf.DUMMYFUNCTION("""COMPUTED_VALUE"""),"HTML/CSS;JavaScript")</f>
        <v>HTML/CSS;JavaScript</v>
      </c>
      <c r="C2923" s="9" t="str">
        <f>IFERROR(__xludf.DUMMYFUNCTION("""COMPUTED_VALUE"""),"JavaScript")</f>
        <v>JavaScript</v>
      </c>
      <c r="D2923" s="9" t="str">
        <f>IFERROR(__xludf.DUMMYFUNCTION("""COMPUTED_VALUE"""),"Bash/Shell/PowerShell")</f>
        <v>Bash/Shell/PowerShell</v>
      </c>
      <c r="E2923" s="9" t="str">
        <f>IFERROR(__xludf.DUMMYFUNCTION("""COMPUTED_VALUE"""),"Swift")</f>
        <v>Swift</v>
      </c>
      <c r="F2923" s="9" t="str">
        <f>IFERROR(__xludf.DUMMYFUNCTION("""COMPUTED_VALUE"""),"Bash/Shell/PowerShell")</f>
        <v>Bash/Shell/PowerShell</v>
      </c>
      <c r="G2923" s="9" t="str">
        <f>IFERROR(__xludf.DUMMYFUNCTION("""COMPUTED_VALUE"""),"C#")</f>
        <v>C#</v>
      </c>
      <c r="H2923" s="9" t="str">
        <f>IFERROR(__xludf.DUMMYFUNCTION("""COMPUTED_VALUE"""),"Ruby")</f>
        <v>Ruby</v>
      </c>
      <c r="I2923" s="9" t="str">
        <f>IFERROR(__xludf.DUMMYFUNCTION("""COMPUTED_VALUE"""),"Bash/Shell/PowerShell")</f>
        <v>Bash/Shell/PowerShell</v>
      </c>
      <c r="J2923" s="9" t="str">
        <f>IFERROR(__xludf.DUMMYFUNCTION("""COMPUTED_VALUE"""),"C#")</f>
        <v>C#</v>
      </c>
      <c r="K2923" s="9" t="str">
        <f>IFERROR(__xludf.DUMMYFUNCTION("""COMPUTED_VALUE"""),"HTML/CSS")</f>
        <v>HTML/CSS</v>
      </c>
      <c r="L2923" s="9" t="str">
        <f>IFERROR(__xludf.DUMMYFUNCTION("""COMPUTED_VALUE"""),"Python")</f>
        <v>Python</v>
      </c>
      <c r="M2923" s="9" t="s">
        <v>21</v>
      </c>
    </row>
    <row r="2924" ht="15.75" customHeight="1">
      <c r="A2924" s="7"/>
      <c r="B2924" s="7" t="str">
        <f>IFERROR(__xludf.DUMMYFUNCTION("""COMPUTED_VALUE"""),"Bash/Shell/PowerShell;Java;Python")</f>
        <v>Bash/Shell/PowerShell;Java;Python</v>
      </c>
      <c r="C2924" s="9" t="str">
        <f>IFERROR(__xludf.DUMMYFUNCTION("""COMPUTED_VALUE"""),"PHP")</f>
        <v>PHP</v>
      </c>
      <c r="D2924" s="9" t="str">
        <f>IFERROR(__xludf.DUMMYFUNCTION("""COMPUTED_VALUE"""),"C#")</f>
        <v>C#</v>
      </c>
      <c r="E2924" s="9" t="str">
        <f>IFERROR(__xludf.DUMMYFUNCTION("""COMPUTED_VALUE"""),"TypeScript")</f>
        <v>TypeScript</v>
      </c>
      <c r="F2924" s="9" t="str">
        <f>IFERROR(__xludf.DUMMYFUNCTION("""COMPUTED_VALUE"""),"C")</f>
        <v>C</v>
      </c>
      <c r="G2924" s="9" t="str">
        <f>IFERROR(__xludf.DUMMYFUNCTION("""COMPUTED_VALUE"""),"HTML/CSS")</f>
        <v>HTML/CSS</v>
      </c>
      <c r="H2924" s="9" t="str">
        <f>IFERROR(__xludf.DUMMYFUNCTION("""COMPUTED_VALUE"""),"SQL")</f>
        <v>SQL</v>
      </c>
      <c r="I2924" s="9" t="str">
        <f>IFERROR(__xludf.DUMMYFUNCTION("""COMPUTED_VALUE"""),"C")</f>
        <v>C</v>
      </c>
      <c r="J2924" s="9" t="str">
        <f>IFERROR(__xludf.DUMMYFUNCTION("""COMPUTED_VALUE"""),"HTML/CSS")</f>
        <v>HTML/CSS</v>
      </c>
      <c r="K2924" s="9" t="str">
        <f>IFERROR(__xludf.DUMMYFUNCTION("""COMPUTED_VALUE"""),"JavaScript")</f>
        <v>JavaScript</v>
      </c>
      <c r="L2924" s="9" t="str">
        <f>IFERROR(__xludf.DUMMYFUNCTION("""COMPUTED_VALUE"""),"C#")</f>
        <v>C#</v>
      </c>
      <c r="M2924" s="9" t="s">
        <v>37</v>
      </c>
    </row>
    <row r="2925" ht="15.75" customHeight="1">
      <c r="A2925" s="7"/>
      <c r="B2925" s="7" t="str">
        <f>IFERROR(__xludf.DUMMYFUNCTION("""COMPUTED_VALUE"""),"C++;HTML/CSS;JavaScript;PHP")</f>
        <v>C++;HTML/CSS;JavaScript;PHP</v>
      </c>
      <c r="C2925" s="9" t="str">
        <f>IFERROR(__xludf.DUMMYFUNCTION("""COMPUTED_VALUE"""),"Python")</f>
        <v>Python</v>
      </c>
      <c r="D2925" s="9" t="str">
        <f>IFERROR(__xludf.DUMMYFUNCTION("""COMPUTED_VALUE"""),"HTML/CSS")</f>
        <v>HTML/CSS</v>
      </c>
      <c r="E2925" s="9" t="str">
        <f>IFERROR(__xludf.DUMMYFUNCTION("""COMPUTED_VALUE"""),"C")</f>
        <v>C</v>
      </c>
      <c r="F2925" s="9" t="str">
        <f>IFERROR(__xludf.DUMMYFUNCTION("""COMPUTED_VALUE"""),"C++")</f>
        <v>C++</v>
      </c>
      <c r="G2925" s="9" t="str">
        <f>IFERROR(__xludf.DUMMYFUNCTION("""COMPUTED_VALUE"""),"JavaScript")</f>
        <v>JavaScript</v>
      </c>
      <c r="H2925" s="9" t="str">
        <f>IFERROR(__xludf.DUMMYFUNCTION("""COMPUTED_VALUE"""),"Swift")</f>
        <v>Swift</v>
      </c>
      <c r="I2925" s="9" t="str">
        <f>IFERROR(__xludf.DUMMYFUNCTION("""COMPUTED_VALUE"""),"Java")</f>
        <v>Java</v>
      </c>
      <c r="J2925" s="9" t="str">
        <f>IFERROR(__xludf.DUMMYFUNCTION("""COMPUTED_VALUE"""),"JavaScript")</f>
        <v>JavaScript</v>
      </c>
      <c r="K2925" s="9" t="str">
        <f>IFERROR(__xludf.DUMMYFUNCTION("""COMPUTED_VALUE"""),"Python")</f>
        <v>Python</v>
      </c>
      <c r="L2925" s="9" t="str">
        <f>IFERROR(__xludf.DUMMYFUNCTION("""COMPUTED_VALUE"""),"Java")</f>
        <v>Java</v>
      </c>
      <c r="M2925" s="9" t="s">
        <v>22</v>
      </c>
    </row>
    <row r="2926" ht="15.75" customHeight="1">
      <c r="A2926" s="7"/>
      <c r="B2926" s="7" t="str">
        <f>IFERROR(__xludf.DUMMYFUNCTION("""COMPUTED_VALUE"""),"HTML/CSS;JavaScript;PHP;Ruby;SQL")</f>
        <v>HTML/CSS;JavaScript;PHP;Ruby;SQL</v>
      </c>
      <c r="C2926" s="9" t="str">
        <f>IFERROR(__xludf.DUMMYFUNCTION("""COMPUTED_VALUE"""),"SQL")</f>
        <v>SQL</v>
      </c>
      <c r="D2926" s="9" t="str">
        <f>IFERROR(__xludf.DUMMYFUNCTION("""COMPUTED_VALUE"""),"JavaScript")</f>
        <v>JavaScript</v>
      </c>
      <c r="E2926" s="9" t="str">
        <f>IFERROR(__xludf.DUMMYFUNCTION("""COMPUTED_VALUE"""),"HTML/CSS")</f>
        <v>HTML/CSS</v>
      </c>
      <c r="F2926" s="9" t="str">
        <f>IFERROR(__xludf.DUMMYFUNCTION("""COMPUTED_VALUE"""),"C#")</f>
        <v>C#</v>
      </c>
      <c r="G2926" s="9" t="str">
        <f>IFERROR(__xludf.DUMMYFUNCTION("""COMPUTED_VALUE"""),"SQL")</f>
        <v>SQL</v>
      </c>
      <c r="H2926" s="9" t="str">
        <f>IFERROR(__xludf.DUMMYFUNCTION("""COMPUTED_VALUE"""),"Bash/Shell/PowerShell")</f>
        <v>Bash/Shell/PowerShell</v>
      </c>
      <c r="I2926" s="9" t="str">
        <f>IFERROR(__xludf.DUMMYFUNCTION("""COMPUTED_VALUE"""),"Python")</f>
        <v>Python</v>
      </c>
      <c r="J2926" s="9" t="str">
        <f>IFERROR(__xludf.DUMMYFUNCTION("""COMPUTED_VALUE"""),"PHP")</f>
        <v>PHP</v>
      </c>
      <c r="K2926" s="9" t="str">
        <f>IFERROR(__xludf.DUMMYFUNCTION("""COMPUTED_VALUE"""),"SQL")</f>
        <v>SQL</v>
      </c>
      <c r="L2926" s="9" t="str">
        <f>IFERROR(__xludf.DUMMYFUNCTION("""COMPUTED_VALUE"""),"JavaScript")</f>
        <v>JavaScript</v>
      </c>
      <c r="M2926" s="9" t="s">
        <v>27</v>
      </c>
    </row>
    <row r="2927" ht="15.75" customHeight="1">
      <c r="A2927" s="7"/>
      <c r="B2927" s="7" t="str">
        <f>IFERROR(__xludf.DUMMYFUNCTION("""COMPUTED_VALUE"""),"Python")</f>
        <v>Python</v>
      </c>
      <c r="C2927" s="9" t="str">
        <f>IFERROR(__xludf.DUMMYFUNCTION("""COMPUTED_VALUE"""),"Bash/Shell/PowerShell")</f>
        <v>Bash/Shell/PowerShell</v>
      </c>
      <c r="D2927" s="9" t="str">
        <f>IFERROR(__xludf.DUMMYFUNCTION("""COMPUTED_VALUE"""),"PHP")</f>
        <v>PHP</v>
      </c>
      <c r="E2927" s="9" t="str">
        <f>IFERROR(__xludf.DUMMYFUNCTION("""COMPUTED_VALUE"""),"Java")</f>
        <v>Java</v>
      </c>
      <c r="F2927" s="9" t="str">
        <f>IFERROR(__xludf.DUMMYFUNCTION("""COMPUTED_VALUE"""),"F#")</f>
        <v>F#</v>
      </c>
      <c r="G2927" s="9" t="str">
        <f>IFERROR(__xludf.DUMMYFUNCTION("""COMPUTED_VALUE"""),"C#")</f>
        <v>C#</v>
      </c>
      <c r="H2927" s="9" t="str">
        <f>IFERROR(__xludf.DUMMYFUNCTION("""COMPUTED_VALUE"""),"HTML/CSS")</f>
        <v>HTML/CSS</v>
      </c>
      <c r="I2927" s="9" t="str">
        <f>IFERROR(__xludf.DUMMYFUNCTION("""COMPUTED_VALUE"""),"Swift")</f>
        <v>Swift</v>
      </c>
      <c r="J2927" s="9" t="str">
        <f>IFERROR(__xludf.DUMMYFUNCTION("""COMPUTED_VALUE"""),"Dart")</f>
        <v>Dart</v>
      </c>
      <c r="K2927" s="9" t="str">
        <f>IFERROR(__xludf.DUMMYFUNCTION("""COMPUTED_VALUE"""),"VBA")</f>
        <v>VBA</v>
      </c>
      <c r="L2927" s="9" t="str">
        <f>IFERROR(__xludf.DUMMYFUNCTION("""COMPUTED_VALUE"""),"SQL")</f>
        <v>SQL</v>
      </c>
      <c r="M2927" s="9" t="s">
        <v>30</v>
      </c>
    </row>
    <row r="2928" ht="15.75" customHeight="1">
      <c r="A2928" s="7"/>
      <c r="B2928" s="7" t="str">
        <f>IFERROR(__xludf.DUMMYFUNCTION("""COMPUTED_VALUE"""),"HTML/CSS;Java;Kotlin")</f>
        <v>HTML/CSS;Java;Kotlin</v>
      </c>
      <c r="C2928" s="9" t="str">
        <f>IFERROR(__xludf.DUMMYFUNCTION("""COMPUTED_VALUE"""),"HTML/CSS")</f>
        <v>HTML/CSS</v>
      </c>
      <c r="D2928" s="9" t="str">
        <f>IFERROR(__xludf.DUMMYFUNCTION("""COMPUTED_VALUE"""),"Python")</f>
        <v>Python</v>
      </c>
      <c r="E2928" s="9" t="str">
        <f>IFERROR(__xludf.DUMMYFUNCTION("""COMPUTED_VALUE"""),"PHP")</f>
        <v>PHP</v>
      </c>
      <c r="F2928" s="9" t="str">
        <f>IFERROR(__xludf.DUMMYFUNCTION("""COMPUTED_VALUE"""),"HTML/CSS")</f>
        <v>HTML/CSS</v>
      </c>
      <c r="G2928" s="9" t="str">
        <f>IFERROR(__xludf.DUMMYFUNCTION("""COMPUTED_VALUE"""),"HTML/CSS")</f>
        <v>HTML/CSS</v>
      </c>
      <c r="H2928" s="9" t="str">
        <f>IFERROR(__xludf.DUMMYFUNCTION("""COMPUTED_VALUE"""),"JavaScript")</f>
        <v>JavaScript</v>
      </c>
      <c r="I2928" s="9" t="str">
        <f>IFERROR(__xludf.DUMMYFUNCTION("""COMPUTED_VALUE"""),"Bash/Shell/PowerShell")</f>
        <v>Bash/Shell/PowerShell</v>
      </c>
      <c r="J2928" s="9" t="str">
        <f>IFERROR(__xludf.DUMMYFUNCTION("""COMPUTED_VALUE"""),"HTML/CSS")</f>
        <v>HTML/CSS</v>
      </c>
      <c r="K2928" s="9" t="str">
        <f>IFERROR(__xludf.DUMMYFUNCTION("""COMPUTED_VALUE"""),"Bash/Shell/PowerShell")</f>
        <v>Bash/Shell/PowerShell</v>
      </c>
      <c r="L2928" s="9" t="str">
        <f>IFERROR(__xludf.DUMMYFUNCTION("""COMPUTED_VALUE"""),"WebAssembly")</f>
        <v>WebAssembly</v>
      </c>
      <c r="M2928" s="9" t="s">
        <v>24</v>
      </c>
    </row>
    <row r="2929" ht="15.75" customHeight="1">
      <c r="A2929" s="7"/>
      <c r="B2929" s="7" t="str">
        <f>IFERROR(__xludf.DUMMYFUNCTION("""COMPUTED_VALUE"""),"Bash/Shell/PowerShell;HTML/CSS;Java;JavaScript;Python;TypeScript")</f>
        <v>Bash/Shell/PowerShell;HTML/CSS;Java;JavaScript;Python;TypeScript</v>
      </c>
      <c r="C2929" s="9" t="str">
        <f>IFERROR(__xludf.DUMMYFUNCTION("""COMPUTED_VALUE"""),"JavaScript")</f>
        <v>JavaScript</v>
      </c>
      <c r="D2929" s="9" t="str">
        <f>IFERROR(__xludf.DUMMYFUNCTION("""COMPUTED_VALUE"""),"SQL")</f>
        <v>SQL</v>
      </c>
      <c r="E2929" s="9" t="str">
        <f>IFERROR(__xludf.DUMMYFUNCTION("""COMPUTED_VALUE"""),"SQL")</f>
        <v>SQL</v>
      </c>
      <c r="F2929" s="9" t="str">
        <f>IFERROR(__xludf.DUMMYFUNCTION("""COMPUTED_VALUE"""),"JavaScript")</f>
        <v>JavaScript</v>
      </c>
      <c r="G2929" s="9" t="str">
        <f>IFERROR(__xludf.DUMMYFUNCTION("""COMPUTED_VALUE"""),"JavaScript")</f>
        <v>JavaScript</v>
      </c>
      <c r="H2929" s="9" t="str">
        <f>IFERROR(__xludf.DUMMYFUNCTION("""COMPUTED_VALUE"""),"PHP")</f>
        <v>PHP</v>
      </c>
      <c r="I2929" s="9" t="str">
        <f>IFERROR(__xludf.DUMMYFUNCTION("""COMPUTED_VALUE"""),"Clojure")</f>
        <v>Clojure</v>
      </c>
      <c r="J2929" s="9" t="str">
        <f>IFERROR(__xludf.DUMMYFUNCTION("""COMPUTED_VALUE"""),"Java")</f>
        <v>Java</v>
      </c>
      <c r="K2929" s="9" t="str">
        <f>IFERROR(__xludf.DUMMYFUNCTION("""COMPUTED_VALUE"""),"C")</f>
        <v>C</v>
      </c>
      <c r="L2929" s="9" t="str">
        <f>IFERROR(__xludf.DUMMYFUNCTION("""COMPUTED_VALUE"""),"Bash/Shell/PowerShell")</f>
        <v>Bash/Shell/PowerShell</v>
      </c>
      <c r="M2929" s="9" t="s">
        <v>21</v>
      </c>
    </row>
    <row r="2930" ht="15.75" customHeight="1">
      <c r="A2930" s="7"/>
      <c r="B2930" s="7" t="str">
        <f>IFERROR(__xludf.DUMMYFUNCTION("""COMPUTED_VALUE"""),"Bash/Shell/PowerShell;Java;SQL")</f>
        <v>Bash/Shell/PowerShell;Java;SQL</v>
      </c>
      <c r="C2930" s="9" t="str">
        <f>IFERROR(__xludf.DUMMYFUNCTION("""COMPUTED_VALUE"""),"PHP")</f>
        <v>PHP</v>
      </c>
      <c r="D2930" s="9" t="str">
        <f>IFERROR(__xludf.DUMMYFUNCTION("""COMPUTED_VALUE"""),"C")</f>
        <v>C</v>
      </c>
      <c r="E2930" s="9" t="str">
        <f>IFERROR(__xludf.DUMMYFUNCTION("""COMPUTED_VALUE"""),"Go")</f>
        <v>Go</v>
      </c>
      <c r="F2930" s="9" t="str">
        <f>IFERROR(__xludf.DUMMYFUNCTION("""COMPUTED_VALUE"""),"Python")</f>
        <v>Python</v>
      </c>
      <c r="G2930" s="9" t="str">
        <f>IFERROR(__xludf.DUMMYFUNCTION("""COMPUTED_VALUE"""),"Go")</f>
        <v>Go</v>
      </c>
      <c r="H2930" s="9" t="str">
        <f>IFERROR(__xludf.DUMMYFUNCTION("""COMPUTED_VALUE"""),"C++")</f>
        <v>C++</v>
      </c>
      <c r="I2930" s="9" t="str">
        <f>IFERROR(__xludf.DUMMYFUNCTION("""COMPUTED_VALUE"""),"Elixir")</f>
        <v>Elixir</v>
      </c>
      <c r="J2930" s="9" t="str">
        <f>IFERROR(__xludf.DUMMYFUNCTION("""COMPUTED_VALUE"""),"JavaScript")</f>
        <v>JavaScript</v>
      </c>
      <c r="K2930" s="9" t="str">
        <f>IFERROR(__xludf.DUMMYFUNCTION("""COMPUTED_VALUE"""),"C++")</f>
        <v>C++</v>
      </c>
      <c r="L2930" s="9" t="str">
        <f>IFERROR(__xludf.DUMMYFUNCTION("""COMPUTED_VALUE"""),"C")</f>
        <v>C</v>
      </c>
      <c r="M2930" s="9" t="s">
        <v>37</v>
      </c>
    </row>
    <row r="2931" ht="15.75" customHeight="1">
      <c r="A2931" s="7"/>
      <c r="B2931" s="7" t="str">
        <f>IFERROR(__xludf.DUMMYFUNCTION("""COMPUTED_VALUE"""),"C#;HTML/CSS;JavaScript;SQL;TypeScript")</f>
        <v>C#;HTML/CSS;JavaScript;SQL;TypeScript</v>
      </c>
      <c r="C2931" s="9" t="str">
        <f>IFERROR(__xludf.DUMMYFUNCTION("""COMPUTED_VALUE"""),"Ruby")</f>
        <v>Ruby</v>
      </c>
      <c r="D2931" s="9" t="str">
        <f>IFERROR(__xludf.DUMMYFUNCTION("""COMPUTED_VALUE"""),"C++")</f>
        <v>C++</v>
      </c>
      <c r="E2931" s="9" t="str">
        <f>IFERROR(__xludf.DUMMYFUNCTION("""COMPUTED_VALUE"""),"HTML/CSS")</f>
        <v>HTML/CSS</v>
      </c>
      <c r="F2931" s="9" t="str">
        <f>IFERROR(__xludf.DUMMYFUNCTION("""COMPUTED_VALUE"""),"R")</f>
        <v>R</v>
      </c>
      <c r="G2931" s="9" t="str">
        <f>IFERROR(__xludf.DUMMYFUNCTION("""COMPUTED_VALUE"""),"PHP")</f>
        <v>PHP</v>
      </c>
      <c r="H2931" s="9" t="str">
        <f>IFERROR(__xludf.DUMMYFUNCTION("""COMPUTED_VALUE"""),"C#")</f>
        <v>C#</v>
      </c>
      <c r="I2931" s="9" t="str">
        <f>IFERROR(__xludf.DUMMYFUNCTION("""COMPUTED_VALUE"""),"Erlang")</f>
        <v>Erlang</v>
      </c>
      <c r="J2931" s="9" t="str">
        <f>IFERROR(__xludf.DUMMYFUNCTION("""COMPUTED_VALUE"""),"Bash/Shell/PowerShell")</f>
        <v>Bash/Shell/PowerShell</v>
      </c>
      <c r="K2931" s="9" t="str">
        <f>IFERROR(__xludf.DUMMYFUNCTION("""COMPUTED_VALUE"""),"Go")</f>
        <v>Go</v>
      </c>
      <c r="L2931" s="9" t="str">
        <f>IFERROR(__xludf.DUMMYFUNCTION("""COMPUTED_VALUE"""),"C++")</f>
        <v>C++</v>
      </c>
      <c r="M2931" s="9" t="s">
        <v>31</v>
      </c>
    </row>
    <row r="2932" ht="15.75" customHeight="1">
      <c r="A2932" s="7"/>
      <c r="B2932" s="7" t="str">
        <f>IFERROR(__xludf.DUMMYFUNCTION("""COMPUTED_VALUE"""),"Assembly;Bash/Shell/PowerShell;C;Dart;Java;Python;R;SQL")</f>
        <v>Assembly;Bash/Shell/PowerShell;C;Dart;Java;Python;R;SQL</v>
      </c>
      <c r="C2932" s="9" t="str">
        <f>IFERROR(__xludf.DUMMYFUNCTION("""COMPUTED_VALUE"""),"SQL")</f>
        <v>SQL</v>
      </c>
      <c r="D2932" s="9" t="str">
        <f>IFERROR(__xludf.DUMMYFUNCTION("""COMPUTED_VALUE"""),"C#")</f>
        <v>C#</v>
      </c>
      <c r="E2932" s="9" t="str">
        <f>IFERROR(__xludf.DUMMYFUNCTION("""COMPUTED_VALUE"""),"JavaScript")</f>
        <v>JavaScript</v>
      </c>
      <c r="F2932" s="9" t="str">
        <f>IFERROR(__xludf.DUMMYFUNCTION("""COMPUTED_VALUE"""),"SQL")</f>
        <v>SQL</v>
      </c>
      <c r="G2932" s="9" t="str">
        <f>IFERROR(__xludf.DUMMYFUNCTION("""COMPUTED_VALUE"""),"C")</f>
        <v>C</v>
      </c>
      <c r="H2932" s="9" t="str">
        <f>IFERROR(__xludf.DUMMYFUNCTION("""COMPUTED_VALUE"""),"HTML/CSS")</f>
        <v>HTML/CSS</v>
      </c>
      <c r="I2932" s="9" t="str">
        <f>IFERROR(__xludf.DUMMYFUNCTION("""COMPUTED_VALUE"""),"Go")</f>
        <v>Go</v>
      </c>
      <c r="J2932" s="9" t="str">
        <f>IFERROR(__xludf.DUMMYFUNCTION("""COMPUTED_VALUE"""),"C#")</f>
        <v>C#</v>
      </c>
      <c r="K2932" s="9" t="str">
        <f>IFERROR(__xludf.DUMMYFUNCTION("""COMPUTED_VALUE"""),"Python")</f>
        <v>Python</v>
      </c>
      <c r="L2932" s="9" t="str">
        <f>IFERROR(__xludf.DUMMYFUNCTION("""COMPUTED_VALUE"""),"Go")</f>
        <v>Go</v>
      </c>
      <c r="M2932" s="9" t="s">
        <v>27</v>
      </c>
    </row>
    <row r="2933" ht="15.75" customHeight="1">
      <c r="A2933" s="7"/>
      <c r="B2933" s="7" t="str">
        <f>IFERROR(__xludf.DUMMYFUNCTION("""COMPUTED_VALUE"""),"Java;Kotlin")</f>
        <v>Java;Kotlin</v>
      </c>
      <c r="C2933" s="9" t="str">
        <f>IFERROR(__xludf.DUMMYFUNCTION("""COMPUTED_VALUE"""),"Bash/Shell/PowerShell")</f>
        <v>Bash/Shell/PowerShell</v>
      </c>
      <c r="D2933" s="9" t="str">
        <f>IFERROR(__xludf.DUMMYFUNCTION("""COMPUTED_VALUE"""),"HTML/CSS")</f>
        <v>HTML/CSS</v>
      </c>
      <c r="E2933" s="9" t="str">
        <f>IFERROR(__xludf.DUMMYFUNCTION("""COMPUTED_VALUE"""),"TypeScript")</f>
        <v>TypeScript</v>
      </c>
      <c r="F2933" s="9" t="str">
        <f>IFERROR(__xludf.DUMMYFUNCTION("""COMPUTED_VALUE"""),"TypeScript")</f>
        <v>TypeScript</v>
      </c>
      <c r="G2933" s="9" t="str">
        <f>IFERROR(__xludf.DUMMYFUNCTION("""COMPUTED_VALUE"""),"C++")</f>
        <v>C++</v>
      </c>
      <c r="H2933" s="9" t="str">
        <f>IFERROR(__xludf.DUMMYFUNCTION("""COMPUTED_VALUE"""),"Java")</f>
        <v>Java</v>
      </c>
      <c r="I2933" s="9" t="str">
        <f>IFERROR(__xludf.DUMMYFUNCTION("""COMPUTED_VALUE"""),"Java")</f>
        <v>Java</v>
      </c>
      <c r="J2933" s="9" t="str">
        <f>IFERROR(__xludf.DUMMYFUNCTION("""COMPUTED_VALUE"""),"HTML/CSS")</f>
        <v>HTML/CSS</v>
      </c>
      <c r="K2933" s="9" t="str">
        <f>IFERROR(__xludf.DUMMYFUNCTION("""COMPUTED_VALUE"""),"TypeScript")</f>
        <v>TypeScript</v>
      </c>
      <c r="L2933" s="9" t="str">
        <f>IFERROR(__xludf.DUMMYFUNCTION("""COMPUTED_VALUE"""),"HTML/CSS")</f>
        <v>HTML/CSS</v>
      </c>
      <c r="M2933" s="9" t="s">
        <v>30</v>
      </c>
    </row>
    <row r="2934" ht="15.75" customHeight="1">
      <c r="A2934" s="7"/>
      <c r="B2934" s="7" t="str">
        <f>IFERROR(__xludf.DUMMYFUNCTION("""COMPUTED_VALUE"""),"Bash/Shell/PowerShell;HTML/CSS;PHP")</f>
        <v>Bash/Shell/PowerShell;HTML/CSS;PHP</v>
      </c>
      <c r="C2934" s="9" t="str">
        <f>IFERROR(__xludf.DUMMYFUNCTION("""COMPUTED_VALUE"""),"HTML/CSS")</f>
        <v>HTML/CSS</v>
      </c>
      <c r="D2934" s="9" t="str">
        <f>IFERROR(__xludf.DUMMYFUNCTION("""COMPUTED_VALUE"""),"Java")</f>
        <v>Java</v>
      </c>
      <c r="E2934" s="9" t="str">
        <f>IFERROR(__xludf.DUMMYFUNCTION("""COMPUTED_VALUE"""),"Bash/Shell/PowerShell")</f>
        <v>Bash/Shell/PowerShell</v>
      </c>
      <c r="F2934" s="9" t="str">
        <f>IFERROR(__xludf.DUMMYFUNCTION("""COMPUTED_VALUE"""),"JavaScript")</f>
        <v>JavaScript</v>
      </c>
      <c r="G2934" s="9" t="str">
        <f>IFERROR(__xludf.DUMMYFUNCTION("""COMPUTED_VALUE"""),"HTML/CSS")</f>
        <v>HTML/CSS</v>
      </c>
      <c r="H2934" s="9" t="str">
        <f>IFERROR(__xludf.DUMMYFUNCTION("""COMPUTED_VALUE"""),"JavaScript")</f>
        <v>JavaScript</v>
      </c>
      <c r="I2934" s="9" t="str">
        <f>IFERROR(__xludf.DUMMYFUNCTION("""COMPUTED_VALUE"""),"Kotlin")</f>
        <v>Kotlin</v>
      </c>
      <c r="J2934" s="9" t="str">
        <f>IFERROR(__xludf.DUMMYFUNCTION("""COMPUTED_VALUE"""),"Java")</f>
        <v>Java</v>
      </c>
      <c r="K2934" s="9" t="str">
        <f>IFERROR(__xludf.DUMMYFUNCTION("""COMPUTED_VALUE"""),"C#")</f>
        <v>C#</v>
      </c>
      <c r="L2934" s="9" t="str">
        <f>IFERROR(__xludf.DUMMYFUNCTION("""COMPUTED_VALUE"""),"JavaScript")</f>
        <v>JavaScript</v>
      </c>
      <c r="M2934" s="9" t="s">
        <v>24</v>
      </c>
    </row>
    <row r="2935" ht="15.75" customHeight="1">
      <c r="A2935" s="7"/>
      <c r="B2935" s="7" t="str">
        <f>IFERROR(__xludf.DUMMYFUNCTION("""COMPUTED_VALUE"""),"HTML/CSS;JavaScript;Python;TypeScript")</f>
        <v>HTML/CSS;JavaScript;Python;TypeScript</v>
      </c>
      <c r="C2935" s="9" t="str">
        <f>IFERROR(__xludf.DUMMYFUNCTION("""COMPUTED_VALUE"""),"Java")</f>
        <v>Java</v>
      </c>
      <c r="D2935" s="9" t="str">
        <f>IFERROR(__xludf.DUMMYFUNCTION("""COMPUTED_VALUE"""),"JavaScript")</f>
        <v>JavaScript</v>
      </c>
      <c r="E2935" s="9" t="str">
        <f>IFERROR(__xludf.DUMMYFUNCTION("""COMPUTED_VALUE"""),"Python")</f>
        <v>Python</v>
      </c>
      <c r="F2935" s="9" t="str">
        <f>IFERROR(__xludf.DUMMYFUNCTION("""COMPUTED_VALUE"""),"PHP")</f>
        <v>PHP</v>
      </c>
      <c r="G2935" s="9" t="str">
        <f>IFERROR(__xludf.DUMMYFUNCTION("""COMPUTED_VALUE"""),"JavaScript")</f>
        <v>JavaScript</v>
      </c>
      <c r="H2935" s="9" t="str">
        <f>IFERROR(__xludf.DUMMYFUNCTION("""COMPUTED_VALUE"""),"SQL")</f>
        <v>SQL</v>
      </c>
      <c r="I2935" s="9" t="str">
        <f>IFERROR(__xludf.DUMMYFUNCTION("""COMPUTED_VALUE"""),"Ruby")</f>
        <v>Ruby</v>
      </c>
      <c r="J2935" s="9" t="str">
        <f>IFERROR(__xludf.DUMMYFUNCTION("""COMPUTED_VALUE"""),"JavaScript")</f>
        <v>JavaScript</v>
      </c>
      <c r="K2935" s="9" t="str">
        <f>IFERROR(__xludf.DUMMYFUNCTION("""COMPUTED_VALUE"""),"HTML/CSS")</f>
        <v>HTML/CSS</v>
      </c>
      <c r="L2935" s="9" t="str">
        <f>IFERROR(__xludf.DUMMYFUNCTION("""COMPUTED_VALUE"""),"Python")</f>
        <v>Python</v>
      </c>
      <c r="M2935" s="9" t="s">
        <v>20</v>
      </c>
    </row>
    <row r="2936" ht="15.75" customHeight="1">
      <c r="A2936" s="7"/>
      <c r="B2936" s="7" t="str">
        <f>IFERROR(__xludf.DUMMYFUNCTION("""COMPUTED_VALUE"""),"Bash/Shell/PowerShell;JavaScript")</f>
        <v>Bash/Shell/PowerShell;JavaScript</v>
      </c>
      <c r="C2936" s="9" t="str">
        <f>IFERROR(__xludf.DUMMYFUNCTION("""COMPUTED_VALUE"""),"PHP")</f>
        <v>PHP</v>
      </c>
      <c r="D2936" s="9" t="str">
        <f>IFERROR(__xludf.DUMMYFUNCTION("""COMPUTED_VALUE"""),"Kotlin")</f>
        <v>Kotlin</v>
      </c>
      <c r="E2936" s="9" t="str">
        <f>IFERROR(__xludf.DUMMYFUNCTION("""COMPUTED_VALUE"""),"Other(s):")</f>
        <v>Other(s):</v>
      </c>
      <c r="F2936" s="9" t="str">
        <f>IFERROR(__xludf.DUMMYFUNCTION("""COMPUTED_VALUE"""),"SQL")</f>
        <v>SQL</v>
      </c>
      <c r="G2936" s="9" t="str">
        <f>IFERROR(__xludf.DUMMYFUNCTION("""COMPUTED_VALUE"""),"Python")</f>
        <v>Python</v>
      </c>
      <c r="H2936" s="9" t="str">
        <f>IFERROR(__xludf.DUMMYFUNCTION("""COMPUTED_VALUE"""),"TypeScript")</f>
        <v>TypeScript</v>
      </c>
      <c r="I2936" s="9" t="str">
        <f>IFERROR(__xludf.DUMMYFUNCTION("""COMPUTED_VALUE"""),"Rust")</f>
        <v>Rust</v>
      </c>
      <c r="J2936" s="9" t="str">
        <f>IFERROR(__xludf.DUMMYFUNCTION("""COMPUTED_VALUE"""),"SQL")</f>
        <v>SQL</v>
      </c>
      <c r="K2936" s="9" t="str">
        <f>IFERROR(__xludf.DUMMYFUNCTION("""COMPUTED_VALUE"""),"JavaScript")</f>
        <v>JavaScript</v>
      </c>
      <c r="L2936" s="9" t="str">
        <f>IFERROR(__xludf.DUMMYFUNCTION("""COMPUTED_VALUE"""),"SQL")</f>
        <v>SQL</v>
      </c>
      <c r="M2936" s="9" t="s">
        <v>37</v>
      </c>
    </row>
    <row r="2937" ht="15.75" customHeight="1">
      <c r="A2937" s="7"/>
      <c r="B2937" s="7" t="str">
        <f>IFERROR(__xludf.DUMMYFUNCTION("""COMPUTED_VALUE"""),"Assembly;C;Python")</f>
        <v>Assembly;C;Python</v>
      </c>
      <c r="C2937" s="9" t="str">
        <f>IFERROR(__xludf.DUMMYFUNCTION("""COMPUTED_VALUE"""),"Python")</f>
        <v>Python</v>
      </c>
      <c r="D2937" s="9" t="str">
        <f>IFERROR(__xludf.DUMMYFUNCTION("""COMPUTED_VALUE"""),"Rust")</f>
        <v>Rust</v>
      </c>
      <c r="E2937" s="9" t="str">
        <f>IFERROR(__xludf.DUMMYFUNCTION("""COMPUTED_VALUE"""),"Elixir")</f>
        <v>Elixir</v>
      </c>
      <c r="F2937" s="9" t="str">
        <f>IFERROR(__xludf.DUMMYFUNCTION("""COMPUTED_VALUE"""),"Bash/Shell/PowerShell")</f>
        <v>Bash/Shell/PowerShell</v>
      </c>
      <c r="G2937" s="9" t="str">
        <f>IFERROR(__xludf.DUMMYFUNCTION("""COMPUTED_VALUE"""),"TypeScript")</f>
        <v>TypeScript</v>
      </c>
      <c r="H2937" s="9" t="str">
        <f>IFERROR(__xludf.DUMMYFUNCTION("""COMPUTED_VALUE"""),"Bash/Shell/PowerShell")</f>
        <v>Bash/Shell/PowerShell</v>
      </c>
      <c r="I2937" s="9" t="str">
        <f>IFERROR(__xludf.DUMMYFUNCTION("""COMPUTED_VALUE"""),"Scala")</f>
        <v>Scala</v>
      </c>
      <c r="J2937" s="9" t="str">
        <f>IFERROR(__xludf.DUMMYFUNCTION("""COMPUTED_VALUE"""),"VBA")</f>
        <v>VBA</v>
      </c>
      <c r="K2937" s="9" t="str">
        <f>IFERROR(__xludf.DUMMYFUNCTION("""COMPUTED_VALUE"""),"PHP")</f>
        <v>PHP</v>
      </c>
      <c r="L2937" s="9" t="str">
        <f>IFERROR(__xludf.DUMMYFUNCTION("""COMPUTED_VALUE"""),"HTML/CSS")</f>
        <v>HTML/CSS</v>
      </c>
      <c r="M2937" s="9" t="s">
        <v>22</v>
      </c>
    </row>
    <row r="2938" ht="15.75" customHeight="1">
      <c r="A2938" s="7"/>
      <c r="B2938" s="7" t="str">
        <f>IFERROR(__xludf.DUMMYFUNCTION("""COMPUTED_VALUE"""),"C;C++;Python")</f>
        <v>C;C++;Python</v>
      </c>
      <c r="C2938" s="9" t="str">
        <f>IFERROR(__xludf.DUMMYFUNCTION("""COMPUTED_VALUE"""),"SQL")</f>
        <v>SQL</v>
      </c>
      <c r="D2938" s="9" t="str">
        <f>IFERROR(__xludf.DUMMYFUNCTION("""COMPUTED_VALUE"""),"SQL")</f>
        <v>SQL</v>
      </c>
      <c r="E2938" s="9" t="str">
        <f>IFERROR(__xludf.DUMMYFUNCTION("""COMPUTED_VALUE"""),"JavaScript")</f>
        <v>JavaScript</v>
      </c>
      <c r="F2938" s="9" t="str">
        <f>IFERROR(__xludf.DUMMYFUNCTION("""COMPUTED_VALUE"""),"C#")</f>
        <v>C#</v>
      </c>
      <c r="G2938" s="9" t="str">
        <f>IFERROR(__xludf.DUMMYFUNCTION("""COMPUTED_VALUE"""),"Bash/Shell/PowerShell")</f>
        <v>Bash/Shell/PowerShell</v>
      </c>
      <c r="H2938" s="9" t="str">
        <f>IFERROR(__xludf.DUMMYFUNCTION("""COMPUTED_VALUE"""),"Java")</f>
        <v>Java</v>
      </c>
      <c r="I2938" s="9" t="str">
        <f>IFERROR(__xludf.DUMMYFUNCTION("""COMPUTED_VALUE"""),"Bash/Shell/PowerShell")</f>
        <v>Bash/Shell/PowerShell</v>
      </c>
      <c r="J2938" s="9" t="str">
        <f>IFERROR(__xludf.DUMMYFUNCTION("""COMPUTED_VALUE"""),"WebAssembly")</f>
        <v>WebAssembly</v>
      </c>
      <c r="K2938" s="9" t="str">
        <f>IFERROR(__xludf.DUMMYFUNCTION("""COMPUTED_VALUE"""),"SQL")</f>
        <v>SQL</v>
      </c>
      <c r="L2938" s="9" t="str">
        <f>IFERROR(__xludf.DUMMYFUNCTION("""COMPUTED_VALUE"""),"JavaScript")</f>
        <v>JavaScript</v>
      </c>
      <c r="M2938" s="9" t="s">
        <v>27</v>
      </c>
    </row>
    <row r="2939" ht="15.75" customHeight="1">
      <c r="A2939" s="7"/>
      <c r="B2939" s="7" t="str">
        <f>IFERROR(__xludf.DUMMYFUNCTION("""COMPUTED_VALUE"""),"C;C++;C#;HTML/CSS;Java;JavaScript;SQL;TypeScript")</f>
        <v>C;C++;C#;HTML/CSS;Java;JavaScript;SQL;TypeScript</v>
      </c>
      <c r="C2939" s="9" t="str">
        <f>IFERROR(__xludf.DUMMYFUNCTION("""COMPUTED_VALUE"""),"HTML/CSS")</f>
        <v>HTML/CSS</v>
      </c>
      <c r="D2939" s="9" t="str">
        <f>IFERROR(__xludf.DUMMYFUNCTION("""COMPUTED_VALUE"""),"Swift")</f>
        <v>Swift</v>
      </c>
      <c r="E2939" s="9" t="str">
        <f>IFERROR(__xludf.DUMMYFUNCTION("""COMPUTED_VALUE"""),"Ruby")</f>
        <v>Ruby</v>
      </c>
      <c r="F2939" s="9" t="str">
        <f>IFERROR(__xludf.DUMMYFUNCTION("""COMPUTED_VALUE"""),"HTML/CSS")</f>
        <v>HTML/CSS</v>
      </c>
      <c r="G2939" s="9" t="str">
        <f>IFERROR(__xludf.DUMMYFUNCTION("""COMPUTED_VALUE"""),"C#")</f>
        <v>C#</v>
      </c>
      <c r="H2939" s="9" t="str">
        <f>IFERROR(__xludf.DUMMYFUNCTION("""COMPUTED_VALUE"""),"JavaScript")</f>
        <v>JavaScript</v>
      </c>
      <c r="I2939" s="9" t="str">
        <f>IFERROR(__xludf.DUMMYFUNCTION("""COMPUTED_VALUE"""),"HTML/CSS")</f>
        <v>HTML/CSS</v>
      </c>
      <c r="J2939" s="9" t="str">
        <f>IFERROR(__xludf.DUMMYFUNCTION("""COMPUTED_VALUE"""),"Go")</f>
        <v>Go</v>
      </c>
      <c r="K2939" s="9" t="str">
        <f>IFERROR(__xludf.DUMMYFUNCTION("""COMPUTED_VALUE"""),"C")</f>
        <v>C</v>
      </c>
      <c r="L2939" s="9" t="str">
        <f>IFERROR(__xludf.DUMMYFUNCTION("""COMPUTED_VALUE"""),"PHP")</f>
        <v>PHP</v>
      </c>
      <c r="M2939" s="9" t="s">
        <v>24</v>
      </c>
    </row>
    <row r="2940" ht="15.75" customHeight="1">
      <c r="A2940" s="7"/>
      <c r="B2940" s="7" t="str">
        <f>IFERROR(__xludf.DUMMYFUNCTION("""COMPUTED_VALUE"""),"Bash/Shell/PowerShell;Go;HTML/CSS;JavaScript;Python;Ruby;SQL")</f>
        <v>Bash/Shell/PowerShell;Go;HTML/CSS;JavaScript;Python;Ruby;SQL</v>
      </c>
      <c r="C2940" s="9" t="str">
        <f>IFERROR(__xludf.DUMMYFUNCTION("""COMPUTED_VALUE"""),"PHP")</f>
        <v>PHP</v>
      </c>
      <c r="D2940" s="9" t="str">
        <f>IFERROR(__xludf.DUMMYFUNCTION("""COMPUTED_VALUE"""),"TypeScript")</f>
        <v>TypeScript</v>
      </c>
      <c r="E2940" s="9" t="str">
        <f>IFERROR(__xludf.DUMMYFUNCTION("""COMPUTED_VALUE"""),"SQL")</f>
        <v>SQL</v>
      </c>
      <c r="F2940" s="9" t="str">
        <f>IFERROR(__xludf.DUMMYFUNCTION("""COMPUTED_VALUE"""),"Java")</f>
        <v>Java</v>
      </c>
      <c r="G2940" s="9" t="str">
        <f>IFERROR(__xludf.DUMMYFUNCTION("""COMPUTED_VALUE"""),"Java")</f>
        <v>Java</v>
      </c>
      <c r="H2940" s="9" t="str">
        <f>IFERROR(__xludf.DUMMYFUNCTION("""COMPUTED_VALUE"""),"C#")</f>
        <v>C#</v>
      </c>
      <c r="I2940" s="9" t="str">
        <f>IFERROR(__xludf.DUMMYFUNCTION("""COMPUTED_VALUE"""),"JavaScript")</f>
        <v>JavaScript</v>
      </c>
      <c r="J2940" s="9" t="str">
        <f>IFERROR(__xludf.DUMMYFUNCTION("""COMPUTED_VALUE"""),"Java")</f>
        <v>Java</v>
      </c>
      <c r="K2940" s="9" t="str">
        <f>IFERROR(__xludf.DUMMYFUNCTION("""COMPUTED_VALUE"""),"Java")</f>
        <v>Java</v>
      </c>
      <c r="L2940" s="9" t="str">
        <f>IFERROR(__xludf.DUMMYFUNCTION("""COMPUTED_VALUE"""),"Python")</f>
        <v>Python</v>
      </c>
      <c r="M2940" s="9" t="s">
        <v>37</v>
      </c>
    </row>
    <row r="2941" ht="15.75" customHeight="1">
      <c r="A2941" s="7"/>
      <c r="B2941" s="7" t="str">
        <f>IFERROR(__xludf.DUMMYFUNCTION("""COMPUTED_VALUE"""),"C#;Java")</f>
        <v>C#;Java</v>
      </c>
      <c r="C2941" s="9" t="str">
        <f>IFERROR(__xludf.DUMMYFUNCTION("""COMPUTED_VALUE"""),"SQL")</f>
        <v>SQL</v>
      </c>
      <c r="D2941" s="9" t="str">
        <f>IFERROR(__xludf.DUMMYFUNCTION("""COMPUTED_VALUE"""),"HTML/CSS")</f>
        <v>HTML/CSS</v>
      </c>
      <c r="E2941" s="9" t="str">
        <f>IFERROR(__xludf.DUMMYFUNCTION("""COMPUTED_VALUE"""),"TypeScript")</f>
        <v>TypeScript</v>
      </c>
      <c r="F2941" s="9" t="str">
        <f>IFERROR(__xludf.DUMMYFUNCTION("""COMPUTED_VALUE"""),"JavaScript")</f>
        <v>JavaScript</v>
      </c>
      <c r="G2941" s="9" t="str">
        <f>IFERROR(__xludf.DUMMYFUNCTION("""COMPUTED_VALUE"""),"JavaScript")</f>
        <v>JavaScript</v>
      </c>
      <c r="H2941" s="9" t="str">
        <f>IFERROR(__xludf.DUMMYFUNCTION("""COMPUTED_VALUE"""),"HTML/CSS")</f>
        <v>HTML/CSS</v>
      </c>
      <c r="I2941" s="9" t="str">
        <f>IFERROR(__xludf.DUMMYFUNCTION("""COMPUTED_VALUE"""),"Ruby")</f>
        <v>Ruby</v>
      </c>
      <c r="J2941" s="9" t="str">
        <f>IFERROR(__xludf.DUMMYFUNCTION("""COMPUTED_VALUE"""),"Kotlin")</f>
        <v>Kotlin</v>
      </c>
      <c r="K2941" s="9" t="str">
        <f>IFERROR(__xludf.DUMMYFUNCTION("""COMPUTED_VALUE"""),"SQL")</f>
        <v>SQL</v>
      </c>
      <c r="L2941" s="9" t="str">
        <f>IFERROR(__xludf.DUMMYFUNCTION("""COMPUTED_VALUE"""),"SQL")</f>
        <v>SQL</v>
      </c>
      <c r="M2941" s="9" t="s">
        <v>27</v>
      </c>
    </row>
    <row r="2942" ht="15.75" customHeight="1">
      <c r="A2942" s="7"/>
      <c r="B2942" s="7" t="str">
        <f>IFERROR(__xludf.DUMMYFUNCTION("""COMPUTED_VALUE"""),"Java;Kotlin;Python")</f>
        <v>Java;Kotlin;Python</v>
      </c>
      <c r="C2942" s="9" t="str">
        <f>IFERROR(__xludf.DUMMYFUNCTION("""COMPUTED_VALUE"""),"C++")</f>
        <v>C++</v>
      </c>
      <c r="D2942" s="9" t="str">
        <f>IFERROR(__xludf.DUMMYFUNCTION("""COMPUTED_VALUE"""),"JavaScript")</f>
        <v>JavaScript</v>
      </c>
      <c r="E2942" s="9" t="str">
        <f>IFERROR(__xludf.DUMMYFUNCTION("""COMPUTED_VALUE"""),"HTML/CSS")</f>
        <v>HTML/CSS</v>
      </c>
      <c r="F2942" s="9" t="str">
        <f>IFERROR(__xludf.DUMMYFUNCTION("""COMPUTED_VALUE"""),"SQL")</f>
        <v>SQL</v>
      </c>
      <c r="G2942" s="9" t="str">
        <f>IFERROR(__xludf.DUMMYFUNCTION("""COMPUTED_VALUE"""),"SQL")</f>
        <v>SQL</v>
      </c>
      <c r="H2942" s="9" t="str">
        <f>IFERROR(__xludf.DUMMYFUNCTION("""COMPUTED_VALUE"""),"Java")</f>
        <v>Java</v>
      </c>
      <c r="I2942" s="9" t="str">
        <f>IFERROR(__xludf.DUMMYFUNCTION("""COMPUTED_VALUE"""),"SQL")</f>
        <v>SQL</v>
      </c>
      <c r="J2942" s="9" t="str">
        <f>IFERROR(__xludf.DUMMYFUNCTION("""COMPUTED_VALUE"""),"C++")</f>
        <v>C++</v>
      </c>
      <c r="K2942" s="9" t="str">
        <f>IFERROR(__xludf.DUMMYFUNCTION("""COMPUTED_VALUE"""),"Other(s):")</f>
        <v>Other(s):</v>
      </c>
      <c r="L2942" s="9" t="str">
        <f>IFERROR(__xludf.DUMMYFUNCTION("""COMPUTED_VALUE"""),"Bash/Shell/PowerShell")</f>
        <v>Bash/Shell/PowerShell</v>
      </c>
      <c r="M2942" s="9" t="s">
        <v>23</v>
      </c>
    </row>
    <row r="2943" ht="15.75" customHeight="1">
      <c r="A2943" s="7"/>
      <c r="B2943" s="7" t="str">
        <f>IFERROR(__xludf.DUMMYFUNCTION("""COMPUTED_VALUE"""),"C;C++;HTML/CSS;PHP;Other(s):")</f>
        <v>C;C++;HTML/CSS;PHP;Other(s):</v>
      </c>
      <c r="C2943" s="9" t="str">
        <f>IFERROR(__xludf.DUMMYFUNCTION("""COMPUTED_VALUE"""),"C#")</f>
        <v>C#</v>
      </c>
      <c r="D2943" s="9" t="str">
        <f>IFERROR(__xludf.DUMMYFUNCTION("""COMPUTED_VALUE"""),"PHP")</f>
        <v>PHP</v>
      </c>
      <c r="E2943" s="9" t="str">
        <f>IFERROR(__xludf.DUMMYFUNCTION("""COMPUTED_VALUE"""),"Java")</f>
        <v>Java</v>
      </c>
      <c r="F2943" s="9" t="str">
        <f>IFERROR(__xludf.DUMMYFUNCTION("""COMPUTED_VALUE"""),"HTML/CSS")</f>
        <v>HTML/CSS</v>
      </c>
      <c r="G2943" s="9" t="str">
        <f>IFERROR(__xludf.DUMMYFUNCTION("""COMPUTED_VALUE"""),"HTML/CSS")</f>
        <v>HTML/CSS</v>
      </c>
      <c r="H2943" s="9" t="str">
        <f>IFERROR(__xludf.DUMMYFUNCTION("""COMPUTED_VALUE"""),"JavaScript")</f>
        <v>JavaScript</v>
      </c>
      <c r="I2943" s="9" t="str">
        <f>IFERROR(__xludf.DUMMYFUNCTION("""COMPUTED_VALUE"""),"Bash/Shell/PowerShell")</f>
        <v>Bash/Shell/PowerShell</v>
      </c>
      <c r="J2943" s="9" t="str">
        <f>IFERROR(__xludf.DUMMYFUNCTION("""COMPUTED_VALUE"""),"HTML/CSS")</f>
        <v>HTML/CSS</v>
      </c>
      <c r="K2943" s="9" t="str">
        <f>IFERROR(__xludf.DUMMYFUNCTION("""COMPUTED_VALUE"""),"HTML/CSS")</f>
        <v>HTML/CSS</v>
      </c>
      <c r="L2943" s="9" t="str">
        <f>IFERROR(__xludf.DUMMYFUNCTION("""COMPUTED_VALUE"""),"Go")</f>
        <v>Go</v>
      </c>
      <c r="M2943" s="9" t="s">
        <v>26</v>
      </c>
    </row>
    <row r="2944" ht="15.75" customHeight="1">
      <c r="A2944" s="7"/>
      <c r="B2944" s="7" t="str">
        <f>IFERROR(__xludf.DUMMYFUNCTION("""COMPUTED_VALUE"""),"HTML/CSS;JavaScript;PHP")</f>
        <v>HTML/CSS;JavaScript;PHP</v>
      </c>
      <c r="C2944" s="9" t="str">
        <f>IFERROR(__xludf.DUMMYFUNCTION("""COMPUTED_VALUE"""),"HTML/CSS")</f>
        <v>HTML/CSS</v>
      </c>
      <c r="D2944" s="9" t="str">
        <f>IFERROR(__xludf.DUMMYFUNCTION("""COMPUTED_VALUE"""),"SQL")</f>
        <v>SQL</v>
      </c>
      <c r="E2944" s="9" t="str">
        <f>IFERROR(__xludf.DUMMYFUNCTION("""COMPUTED_VALUE"""),"JavaScript")</f>
        <v>JavaScript</v>
      </c>
      <c r="F2944" s="9" t="str">
        <f>IFERROR(__xludf.DUMMYFUNCTION("""COMPUTED_VALUE"""),"JavaScript")</f>
        <v>JavaScript</v>
      </c>
      <c r="G2944" s="9" t="str">
        <f>IFERROR(__xludf.DUMMYFUNCTION("""COMPUTED_VALUE"""),"Java")</f>
        <v>Java</v>
      </c>
      <c r="H2944" s="9" t="str">
        <f>IFERROR(__xludf.DUMMYFUNCTION("""COMPUTED_VALUE"""),"Go")</f>
        <v>Go</v>
      </c>
      <c r="I2944" s="9" t="str">
        <f>IFERROR(__xludf.DUMMYFUNCTION("""COMPUTED_VALUE"""),"HTML/CSS")</f>
        <v>HTML/CSS</v>
      </c>
      <c r="J2944" s="9" t="str">
        <f>IFERROR(__xludf.DUMMYFUNCTION("""COMPUTED_VALUE"""),"Java")</f>
        <v>Java</v>
      </c>
      <c r="K2944" s="9" t="str">
        <f>IFERROR(__xludf.DUMMYFUNCTION("""COMPUTED_VALUE"""),"Java")</f>
        <v>Java</v>
      </c>
      <c r="L2944" s="9" t="str">
        <f>IFERROR(__xludf.DUMMYFUNCTION("""COMPUTED_VALUE"""),"HTML/CSS")</f>
        <v>HTML/CSS</v>
      </c>
      <c r="M2944" s="9" t="s">
        <v>24</v>
      </c>
    </row>
    <row r="2945" ht="15.75" customHeight="1">
      <c r="A2945" s="7"/>
      <c r="B2945" s="7" t="str">
        <f>IFERROR(__xludf.DUMMYFUNCTION("""COMPUTED_VALUE"""),"C#;HTML/CSS;JavaScript;Rust;SQL;TypeScript")</f>
        <v>C#;HTML/CSS;JavaScript;Rust;SQL;TypeScript</v>
      </c>
      <c r="C2945" s="9" t="str">
        <f>IFERROR(__xludf.DUMMYFUNCTION("""COMPUTED_VALUE"""),"Java")</f>
        <v>Java</v>
      </c>
      <c r="D2945" s="9" t="str">
        <f>IFERROR(__xludf.DUMMYFUNCTION("""COMPUTED_VALUE"""),"C#")</f>
        <v>C#</v>
      </c>
      <c r="E2945" s="9" t="str">
        <f>IFERROR(__xludf.DUMMYFUNCTION("""COMPUTED_VALUE"""),"Other(s):")</f>
        <v>Other(s):</v>
      </c>
      <c r="F2945" s="9" t="str">
        <f>IFERROR(__xludf.DUMMYFUNCTION("""COMPUTED_VALUE"""),"TypeScript")</f>
        <v>TypeScript</v>
      </c>
      <c r="G2945" s="9" t="str">
        <f>IFERROR(__xludf.DUMMYFUNCTION("""COMPUTED_VALUE"""),"JavaScript")</f>
        <v>JavaScript</v>
      </c>
      <c r="H2945" s="9" t="str">
        <f>IFERROR(__xludf.DUMMYFUNCTION("""COMPUTED_VALUE"""),"HTML/CSS")</f>
        <v>HTML/CSS</v>
      </c>
      <c r="I2945" s="9" t="str">
        <f>IFERROR(__xludf.DUMMYFUNCTION("""COMPUTED_VALUE"""),"Java")</f>
        <v>Java</v>
      </c>
      <c r="J2945" s="9" t="str">
        <f>IFERROR(__xludf.DUMMYFUNCTION("""COMPUTED_VALUE"""),"JavaScript")</f>
        <v>JavaScript</v>
      </c>
      <c r="K2945" s="9" t="str">
        <f>IFERROR(__xludf.DUMMYFUNCTION("""COMPUTED_VALUE"""),"JavaScript")</f>
        <v>JavaScript</v>
      </c>
      <c r="L2945" s="9" t="str">
        <f>IFERROR(__xludf.DUMMYFUNCTION("""COMPUTED_VALUE"""),"Java")</f>
        <v>Java</v>
      </c>
      <c r="M2945" s="9" t="s">
        <v>20</v>
      </c>
    </row>
    <row r="2946" ht="15.75" customHeight="1">
      <c r="A2946" s="7"/>
      <c r="B2946" s="7" t="str">
        <f>IFERROR(__xludf.DUMMYFUNCTION("""COMPUTED_VALUE"""),"Bash/Shell/PowerShell;HTML/CSS;JavaScript;PHP;Ruby;SQL;TypeScript;Other(s):")</f>
        <v>Bash/Shell/PowerShell;HTML/CSS;JavaScript;PHP;Ruby;SQL;TypeScript;Other(s):</v>
      </c>
      <c r="C2946" s="9" t="str">
        <f>IFERROR(__xludf.DUMMYFUNCTION("""COMPUTED_VALUE"""),"JavaScript")</f>
        <v>JavaScript</v>
      </c>
      <c r="D2946" s="9" t="str">
        <f>IFERROR(__xludf.DUMMYFUNCTION("""COMPUTED_VALUE"""),"HTML/CSS")</f>
        <v>HTML/CSS</v>
      </c>
      <c r="E2946" s="9" t="str">
        <f>IFERROR(__xludf.DUMMYFUNCTION("""COMPUTED_VALUE"""),"Assembly")</f>
        <v>Assembly</v>
      </c>
      <c r="F2946" s="9" t="str">
        <f>IFERROR(__xludf.DUMMYFUNCTION("""COMPUTED_VALUE"""),"C#")</f>
        <v>C#</v>
      </c>
      <c r="G2946" s="9" t="str">
        <f>IFERROR(__xludf.DUMMYFUNCTION("""COMPUTED_VALUE"""),"Python")</f>
        <v>Python</v>
      </c>
      <c r="H2946" s="9" t="str">
        <f>IFERROR(__xludf.DUMMYFUNCTION("""COMPUTED_VALUE"""),"JavaScript")</f>
        <v>JavaScript</v>
      </c>
      <c r="I2946" s="9" t="str">
        <f>IFERROR(__xludf.DUMMYFUNCTION("""COMPUTED_VALUE"""),"JavaScript")</f>
        <v>JavaScript</v>
      </c>
      <c r="J2946" s="9" t="str">
        <f>IFERROR(__xludf.DUMMYFUNCTION("""COMPUTED_VALUE"""),"SQL")</f>
        <v>SQL</v>
      </c>
      <c r="K2946" s="9" t="str">
        <f>IFERROR(__xludf.DUMMYFUNCTION("""COMPUTED_VALUE"""),"TypeScript")</f>
        <v>TypeScript</v>
      </c>
      <c r="L2946" s="9" t="str">
        <f>IFERROR(__xludf.DUMMYFUNCTION("""COMPUTED_VALUE"""),"JavaScript")</f>
        <v>JavaScript</v>
      </c>
      <c r="M2946" s="9" t="s">
        <v>21</v>
      </c>
    </row>
    <row r="2947" ht="15.75" customHeight="1">
      <c r="A2947" s="7"/>
      <c r="B2947" s="7" t="str">
        <f>IFERROR(__xludf.DUMMYFUNCTION("""COMPUTED_VALUE"""),"Bash/Shell/PowerShell;C#;HTML/CSS;JavaScript")</f>
        <v>Bash/Shell/PowerShell;C#;HTML/CSS;JavaScript</v>
      </c>
      <c r="C2947" s="9" t="str">
        <f>IFERROR(__xludf.DUMMYFUNCTION("""COMPUTED_VALUE"""),"PHP")</f>
        <v>PHP</v>
      </c>
      <c r="D2947" s="9" t="str">
        <f>IFERROR(__xludf.DUMMYFUNCTION("""COMPUTED_VALUE"""),"JavaScript")</f>
        <v>JavaScript</v>
      </c>
      <c r="E2947" s="9" t="str">
        <f>IFERROR(__xludf.DUMMYFUNCTION("""COMPUTED_VALUE"""),"Bash/Shell/PowerShell")</f>
        <v>Bash/Shell/PowerShell</v>
      </c>
      <c r="F2947" s="9" t="str">
        <f>IFERROR(__xludf.DUMMYFUNCTION("""COMPUTED_VALUE"""),"HTML/CSS")</f>
        <v>HTML/CSS</v>
      </c>
      <c r="G2947" s="9" t="str">
        <f>IFERROR(__xludf.DUMMYFUNCTION("""COMPUTED_VALUE"""),"Bash/Shell/PowerShell")</f>
        <v>Bash/Shell/PowerShell</v>
      </c>
      <c r="H2947" s="9" t="str">
        <f>IFERROR(__xludf.DUMMYFUNCTION("""COMPUTED_VALUE"""),"PHP")</f>
        <v>PHP</v>
      </c>
      <c r="I2947" s="9" t="str">
        <f>IFERROR(__xludf.DUMMYFUNCTION("""COMPUTED_VALUE"""),"PHP")</f>
        <v>PHP</v>
      </c>
      <c r="J2947" s="9" t="str">
        <f>IFERROR(__xludf.DUMMYFUNCTION("""COMPUTED_VALUE"""),"C#")</f>
        <v>C#</v>
      </c>
      <c r="K2947" s="9" t="str">
        <f>IFERROR(__xludf.DUMMYFUNCTION("""COMPUTED_VALUE"""),"C#")</f>
        <v>C#</v>
      </c>
      <c r="L2947" s="9" t="str">
        <f>IFERROR(__xludf.DUMMYFUNCTION("""COMPUTED_VALUE"""),"PHP")</f>
        <v>PHP</v>
      </c>
      <c r="M2947" s="9" t="s">
        <v>37</v>
      </c>
    </row>
    <row r="2948" ht="15.75" customHeight="1">
      <c r="A2948" s="7"/>
      <c r="B2948" s="7" t="str">
        <f>IFERROR(__xludf.DUMMYFUNCTION("""COMPUTED_VALUE"""),"C;C++;HTML/CSS;Java;JavaScript;Python;VBA")</f>
        <v>C;C++;HTML/CSS;Java;JavaScript;Python;VBA</v>
      </c>
      <c r="C2948" s="9" t="str">
        <f>IFERROR(__xludf.DUMMYFUNCTION("""COMPUTED_VALUE"""),"Python")</f>
        <v>Python</v>
      </c>
      <c r="D2948" s="9" t="str">
        <f>IFERROR(__xludf.DUMMYFUNCTION("""COMPUTED_VALUE"""),"TypeScript")</f>
        <v>TypeScript</v>
      </c>
      <c r="E2948" s="9" t="str">
        <f>IFERROR(__xludf.DUMMYFUNCTION("""COMPUTED_VALUE"""),"C")</f>
        <v>C</v>
      </c>
      <c r="F2948" s="9" t="str">
        <f>IFERROR(__xludf.DUMMYFUNCTION("""COMPUTED_VALUE"""),"JavaScript")</f>
        <v>JavaScript</v>
      </c>
      <c r="G2948" s="9" t="str">
        <f>IFERROR(__xludf.DUMMYFUNCTION("""COMPUTED_VALUE"""),"C#")</f>
        <v>C#</v>
      </c>
      <c r="H2948" s="9" t="str">
        <f>IFERROR(__xludf.DUMMYFUNCTION("""COMPUTED_VALUE"""),"TypeScript")</f>
        <v>TypeScript</v>
      </c>
      <c r="I2948" s="9" t="str">
        <f>IFERROR(__xludf.DUMMYFUNCTION("""COMPUTED_VALUE"""),"Python")</f>
        <v>Python</v>
      </c>
      <c r="J2948" s="9" t="str">
        <f>IFERROR(__xludf.DUMMYFUNCTION("""COMPUTED_VALUE"""),"HTML/CSS")</f>
        <v>HTML/CSS</v>
      </c>
      <c r="K2948" s="9" t="str">
        <f>IFERROR(__xludf.DUMMYFUNCTION("""COMPUTED_VALUE"""),"HTML/CSS")</f>
        <v>HTML/CSS</v>
      </c>
      <c r="L2948" s="9" t="str">
        <f>IFERROR(__xludf.DUMMYFUNCTION("""COMPUTED_VALUE"""),"Python")</f>
        <v>Python</v>
      </c>
      <c r="M2948" s="9" t="s">
        <v>22</v>
      </c>
    </row>
    <row r="2949" ht="15.75" customHeight="1">
      <c r="A2949" s="7"/>
      <c r="B2949" s="7" t="str">
        <f>IFERROR(__xludf.DUMMYFUNCTION("""COMPUTED_VALUE"""),"Dart;Go;JavaScript;Rust;WebAssembly")</f>
        <v>Dart;Go;JavaScript;Rust;WebAssembly</v>
      </c>
      <c r="C2949" s="9" t="str">
        <f>IFERROR(__xludf.DUMMYFUNCTION("""COMPUTED_VALUE"""),"SQL")</f>
        <v>SQL</v>
      </c>
      <c r="D2949" s="9" t="str">
        <f>IFERROR(__xludf.DUMMYFUNCTION("""COMPUTED_VALUE"""),"Bash/Shell/PowerShell")</f>
        <v>Bash/Shell/PowerShell</v>
      </c>
      <c r="E2949" s="9" t="str">
        <f>IFERROR(__xludf.DUMMYFUNCTION("""COMPUTED_VALUE"""),"HTML/CSS")</f>
        <v>HTML/CSS</v>
      </c>
      <c r="F2949" s="9" t="str">
        <f>IFERROR(__xludf.DUMMYFUNCTION("""COMPUTED_VALUE"""),"TypeScript")</f>
        <v>TypeScript</v>
      </c>
      <c r="G2949" s="9" t="str">
        <f>IFERROR(__xludf.DUMMYFUNCTION("""COMPUTED_VALUE"""),"HTML/CSS")</f>
        <v>HTML/CSS</v>
      </c>
      <c r="H2949" s="9" t="str">
        <f>IFERROR(__xludf.DUMMYFUNCTION("""COMPUTED_VALUE"""),"HTML/CSS")</f>
        <v>HTML/CSS</v>
      </c>
      <c r="I2949" s="9" t="str">
        <f>IFERROR(__xludf.DUMMYFUNCTION("""COMPUTED_VALUE"""),"SQL")</f>
        <v>SQL</v>
      </c>
      <c r="J2949" s="9" t="str">
        <f>IFERROR(__xludf.DUMMYFUNCTION("""COMPUTED_VALUE"""),"JavaScript")</f>
        <v>JavaScript</v>
      </c>
      <c r="K2949" s="9" t="str">
        <f>IFERROR(__xludf.DUMMYFUNCTION("""COMPUTED_VALUE"""),"JavaScript")</f>
        <v>JavaScript</v>
      </c>
      <c r="L2949" s="9" t="str">
        <f>IFERROR(__xludf.DUMMYFUNCTION("""COMPUTED_VALUE"""),"TypeScript")</f>
        <v>TypeScript</v>
      </c>
      <c r="M2949" s="9" t="s">
        <v>27</v>
      </c>
    </row>
    <row r="2950" ht="15.75" customHeight="1">
      <c r="A2950" s="7"/>
      <c r="B2950" s="7" t="str">
        <f>IFERROR(__xludf.DUMMYFUNCTION("""COMPUTED_VALUE"""),"C#;HTML/CSS;JavaScript;SQL;VBA")</f>
        <v>C#;HTML/CSS;JavaScript;SQL;VBA</v>
      </c>
      <c r="C2950" s="9" t="str">
        <f>IFERROR(__xludf.DUMMYFUNCTION("""COMPUTED_VALUE"""),"Swift")</f>
        <v>Swift</v>
      </c>
      <c r="D2950" s="9" t="str">
        <f>IFERROR(__xludf.DUMMYFUNCTION("""COMPUTED_VALUE"""),"C#")</f>
        <v>C#</v>
      </c>
      <c r="E2950" s="9" t="str">
        <f>IFERROR(__xludf.DUMMYFUNCTION("""COMPUTED_VALUE"""),"JavaScript")</f>
        <v>JavaScript</v>
      </c>
      <c r="F2950" s="9" t="str">
        <f>IFERROR(__xludf.DUMMYFUNCTION("""COMPUTED_VALUE"""),"HTML/CSS")</f>
        <v>HTML/CSS</v>
      </c>
      <c r="G2950" s="9" t="str">
        <f>IFERROR(__xludf.DUMMYFUNCTION("""COMPUTED_VALUE"""),"JavaScript")</f>
        <v>JavaScript</v>
      </c>
      <c r="H2950" s="9" t="str">
        <f>IFERROR(__xludf.DUMMYFUNCTION("""COMPUTED_VALUE"""),"JavaScript")</f>
        <v>JavaScript</v>
      </c>
      <c r="I2950" s="9" t="str">
        <f>IFERROR(__xludf.DUMMYFUNCTION("""COMPUTED_VALUE"""),"Swift")</f>
        <v>Swift</v>
      </c>
      <c r="J2950" s="9" t="str">
        <f>IFERROR(__xludf.DUMMYFUNCTION("""COMPUTED_VALUE"""),"C#")</f>
        <v>C#</v>
      </c>
      <c r="K2950" s="9" t="str">
        <f>IFERROR(__xludf.DUMMYFUNCTION("""COMPUTED_VALUE"""),"PHP")</f>
        <v>PHP</v>
      </c>
      <c r="L2950" s="9" t="str">
        <f>IFERROR(__xludf.DUMMYFUNCTION("""COMPUTED_VALUE"""),"Bash/Shell/PowerShell")</f>
        <v>Bash/Shell/PowerShell</v>
      </c>
      <c r="M2950" s="9" t="s">
        <v>40</v>
      </c>
    </row>
    <row r="2951" ht="15.75" customHeight="1">
      <c r="A2951" s="7"/>
      <c r="B2951" s="7" t="str">
        <f>IFERROR(__xludf.DUMMYFUNCTION("""COMPUTED_VALUE"""),"Bash/Shell/PowerShell;C;HTML/CSS;Java;JavaScript;Python;Ruby;SQL;TypeScript")</f>
        <v>Bash/Shell/PowerShell;C;HTML/CSS;Java;JavaScript;Python;Ruby;SQL;TypeScript</v>
      </c>
      <c r="C2951" s="9" t="str">
        <f>IFERROR(__xludf.DUMMYFUNCTION("""COMPUTED_VALUE"""),"TypeScript")</f>
        <v>TypeScript</v>
      </c>
      <c r="D2951" s="9" t="str">
        <f>IFERROR(__xludf.DUMMYFUNCTION("""COMPUTED_VALUE"""),"Go")</f>
        <v>Go</v>
      </c>
      <c r="E2951" s="9" t="str">
        <f>IFERROR(__xludf.DUMMYFUNCTION("""COMPUTED_VALUE"""),"Python")</f>
        <v>Python</v>
      </c>
      <c r="F2951" s="9" t="str">
        <f>IFERROR(__xludf.DUMMYFUNCTION("""COMPUTED_VALUE"""),"JavaScript")</f>
        <v>JavaScript</v>
      </c>
      <c r="G2951" s="9" t="str">
        <f>IFERROR(__xludf.DUMMYFUNCTION("""COMPUTED_VALUE"""),"SQL")</f>
        <v>SQL</v>
      </c>
      <c r="H2951" s="9" t="str">
        <f>IFERROR(__xludf.DUMMYFUNCTION("""COMPUTED_VALUE"""),"Ruby")</f>
        <v>Ruby</v>
      </c>
      <c r="I2951" s="9" t="str">
        <f>IFERROR(__xludf.DUMMYFUNCTION("""COMPUTED_VALUE"""),"Other(s):")</f>
        <v>Other(s):</v>
      </c>
      <c r="J2951" s="9" t="str">
        <f>IFERROR(__xludf.DUMMYFUNCTION("""COMPUTED_VALUE"""),"HTML/CSS")</f>
        <v>HTML/CSS</v>
      </c>
      <c r="K2951" s="9" t="str">
        <f>IFERROR(__xludf.DUMMYFUNCTION("""COMPUTED_VALUE"""),"SQL")</f>
        <v>SQL</v>
      </c>
      <c r="L2951" s="9" t="str">
        <f>IFERROR(__xludf.DUMMYFUNCTION("""COMPUTED_VALUE"""),"HTML/CSS")</f>
        <v>HTML/CSS</v>
      </c>
      <c r="M2951" s="9" t="s">
        <v>33</v>
      </c>
    </row>
    <row r="2952" ht="15.75" customHeight="1">
      <c r="A2952" s="7"/>
      <c r="B2952" s="7" t="str">
        <f>IFERROR(__xludf.DUMMYFUNCTION("""COMPUTED_VALUE"""),"C#;HTML/CSS;Java;JavaScript;Kotlin;SQL;TypeScript")</f>
        <v>C#;HTML/CSS;Java;JavaScript;Kotlin;SQL;TypeScript</v>
      </c>
      <c r="C2952" s="9" t="str">
        <f>IFERROR(__xludf.DUMMYFUNCTION("""COMPUTED_VALUE"""),"Bash/Shell/PowerShell")</f>
        <v>Bash/Shell/PowerShell</v>
      </c>
      <c r="D2952" s="9" t="str">
        <f>IFERROR(__xludf.DUMMYFUNCTION("""COMPUTED_VALUE"""),"HTML/CSS")</f>
        <v>HTML/CSS</v>
      </c>
      <c r="E2952" s="9" t="str">
        <f>IFERROR(__xludf.DUMMYFUNCTION("""COMPUTED_VALUE"""),"Ruby")</f>
        <v>Ruby</v>
      </c>
      <c r="F2952" s="9" t="str">
        <f>IFERROR(__xludf.DUMMYFUNCTION("""COMPUTED_VALUE"""),"Python")</f>
        <v>Python</v>
      </c>
      <c r="G2952" s="9" t="str">
        <f>IFERROR(__xludf.DUMMYFUNCTION("""COMPUTED_VALUE"""),"VBA")</f>
        <v>VBA</v>
      </c>
      <c r="H2952" s="9" t="str">
        <f>IFERROR(__xludf.DUMMYFUNCTION("""COMPUTED_VALUE"""),"SQL")</f>
        <v>SQL</v>
      </c>
      <c r="I2952" s="9" t="str">
        <f>IFERROR(__xludf.DUMMYFUNCTION("""COMPUTED_VALUE"""),"Assembly")</f>
        <v>Assembly</v>
      </c>
      <c r="J2952" s="9" t="str">
        <f>IFERROR(__xludf.DUMMYFUNCTION("""COMPUTED_VALUE"""),"JavaScript")</f>
        <v>JavaScript</v>
      </c>
      <c r="K2952" s="9" t="str">
        <f>IFERROR(__xludf.DUMMYFUNCTION("""COMPUTED_VALUE"""),"Go")</f>
        <v>Go</v>
      </c>
      <c r="L2952" s="9" t="str">
        <f>IFERROR(__xludf.DUMMYFUNCTION("""COMPUTED_VALUE"""),"JavaScript")</f>
        <v>JavaScript</v>
      </c>
      <c r="M2952" s="9" t="s">
        <v>30</v>
      </c>
    </row>
    <row r="2953" ht="15.75" customHeight="1">
      <c r="A2953" s="7"/>
      <c r="B2953" s="7" t="str">
        <f>IFERROR(__xludf.DUMMYFUNCTION("""COMPUTED_VALUE"""),"Bash/Shell/PowerShell;HTML/CSS;Java;JavaScript;PHP;SQL")</f>
        <v>Bash/Shell/PowerShell;HTML/CSS;Java;JavaScript;PHP;SQL</v>
      </c>
      <c r="C2953" s="9" t="str">
        <f>IFERROR(__xludf.DUMMYFUNCTION("""COMPUTED_VALUE"""),"HTML/CSS")</f>
        <v>HTML/CSS</v>
      </c>
      <c r="D2953" s="9" t="str">
        <f>IFERROR(__xludf.DUMMYFUNCTION("""COMPUTED_VALUE"""),"JavaScript")</f>
        <v>JavaScript</v>
      </c>
      <c r="E2953" s="9" t="str">
        <f>IFERROR(__xludf.DUMMYFUNCTION("""COMPUTED_VALUE"""),"SQL")</f>
        <v>SQL</v>
      </c>
      <c r="F2953" s="9" t="str">
        <f>IFERROR(__xludf.DUMMYFUNCTION("""COMPUTED_VALUE"""),"Scala")</f>
        <v>Scala</v>
      </c>
      <c r="G2953" s="9" t="str">
        <f>IFERROR(__xludf.DUMMYFUNCTION("""COMPUTED_VALUE"""),"Bash/Shell/PowerShell")</f>
        <v>Bash/Shell/PowerShell</v>
      </c>
      <c r="H2953" s="9" t="str">
        <f>IFERROR(__xludf.DUMMYFUNCTION("""COMPUTED_VALUE"""),"Swift")</f>
        <v>Swift</v>
      </c>
      <c r="I2953" s="9" t="str">
        <f>IFERROR(__xludf.DUMMYFUNCTION("""COMPUTED_VALUE"""),"C")</f>
        <v>C</v>
      </c>
      <c r="J2953" s="9" t="str">
        <f>IFERROR(__xludf.DUMMYFUNCTION("""COMPUTED_VALUE"""),"PHP")</f>
        <v>PHP</v>
      </c>
      <c r="K2953" s="9" t="str">
        <f>IFERROR(__xludf.DUMMYFUNCTION("""COMPUTED_VALUE"""),"HTML/CSS")</f>
        <v>HTML/CSS</v>
      </c>
      <c r="L2953" s="9" t="str">
        <f>IFERROR(__xludf.DUMMYFUNCTION("""COMPUTED_VALUE"""),"Python")</f>
        <v>Python</v>
      </c>
      <c r="M2953" s="9" t="s">
        <v>24</v>
      </c>
    </row>
    <row r="2954" ht="15.75" customHeight="1">
      <c r="A2954" s="7"/>
      <c r="B2954" s="7" t="str">
        <f>IFERROR(__xludf.DUMMYFUNCTION("""COMPUTED_VALUE"""),"HTML/CSS;Java;JavaScript")</f>
        <v>HTML/CSS;Java;JavaScript</v>
      </c>
      <c r="C2954" s="9" t="str">
        <f>IFERROR(__xludf.DUMMYFUNCTION("""COMPUTED_VALUE"""),"Java")</f>
        <v>Java</v>
      </c>
      <c r="D2954" s="9" t="str">
        <f>IFERROR(__xludf.DUMMYFUNCTION("""COMPUTED_VALUE"""),"Python")</f>
        <v>Python</v>
      </c>
      <c r="E2954" s="9" t="str">
        <f>IFERROR(__xludf.DUMMYFUNCTION("""COMPUTED_VALUE"""),"JavaScript")</f>
        <v>JavaScript</v>
      </c>
      <c r="F2954" s="9" t="str">
        <f>IFERROR(__xludf.DUMMYFUNCTION("""COMPUTED_VALUE"""),"TypeScript")</f>
        <v>TypeScript</v>
      </c>
      <c r="G2954" s="9" t="str">
        <f>IFERROR(__xludf.DUMMYFUNCTION("""COMPUTED_VALUE"""),"C")</f>
        <v>C</v>
      </c>
      <c r="H2954" s="9" t="str">
        <f>IFERROR(__xludf.DUMMYFUNCTION("""COMPUTED_VALUE"""),"Bash/Shell/PowerShell")</f>
        <v>Bash/Shell/PowerShell</v>
      </c>
      <c r="I2954" s="9" t="str">
        <f>IFERROR(__xludf.DUMMYFUNCTION("""COMPUTED_VALUE"""),"C++")</f>
        <v>C++</v>
      </c>
      <c r="J2954" s="9" t="str">
        <f>IFERROR(__xludf.DUMMYFUNCTION("""COMPUTED_VALUE"""),"Python")</f>
        <v>Python</v>
      </c>
      <c r="K2954" s="9" t="str">
        <f>IFERROR(__xludf.DUMMYFUNCTION("""COMPUTED_VALUE"""),"Python")</f>
        <v>Python</v>
      </c>
      <c r="L2954" s="9" t="str">
        <f>IFERROR(__xludf.DUMMYFUNCTION("""COMPUTED_VALUE"""),"TypeScript")</f>
        <v>TypeScript</v>
      </c>
      <c r="M2954" s="9" t="s">
        <v>20</v>
      </c>
    </row>
    <row r="2955" ht="15.75" customHeight="1">
      <c r="A2955" s="7"/>
      <c r="B2955" s="7" t="str">
        <f>IFERROR(__xludf.DUMMYFUNCTION("""COMPUTED_VALUE"""),"HTML/CSS;Java;JavaScript;PHP;Python")</f>
        <v>HTML/CSS;Java;JavaScript;PHP;Python</v>
      </c>
      <c r="C2955" s="9" t="str">
        <f>IFERROR(__xludf.DUMMYFUNCTION("""COMPUTED_VALUE"""),"JavaScript")</f>
        <v>JavaScript</v>
      </c>
      <c r="D2955" s="9" t="str">
        <f>IFERROR(__xludf.DUMMYFUNCTION("""COMPUTED_VALUE"""),"R")</f>
        <v>R</v>
      </c>
      <c r="E2955" s="9" t="str">
        <f>IFERROR(__xludf.DUMMYFUNCTION("""COMPUTED_VALUE"""),"Bash/Shell/PowerShell")</f>
        <v>Bash/Shell/PowerShell</v>
      </c>
      <c r="F2955" s="9" t="str">
        <f>IFERROR(__xludf.DUMMYFUNCTION("""COMPUTED_VALUE"""),"C#")</f>
        <v>C#</v>
      </c>
      <c r="G2955" s="9" t="str">
        <f>IFERROR(__xludf.DUMMYFUNCTION("""COMPUTED_VALUE"""),"C++")</f>
        <v>C++</v>
      </c>
      <c r="H2955" s="9" t="str">
        <f>IFERROR(__xludf.DUMMYFUNCTION("""COMPUTED_VALUE"""),"HTML/CSS")</f>
        <v>HTML/CSS</v>
      </c>
      <c r="I2955" s="9" t="str">
        <f>IFERROR(__xludf.DUMMYFUNCTION("""COMPUTED_VALUE"""),"Java")</f>
        <v>Java</v>
      </c>
      <c r="J2955" s="9" t="str">
        <f>IFERROR(__xludf.DUMMYFUNCTION("""COMPUTED_VALUE"""),"SQL")</f>
        <v>SQL</v>
      </c>
      <c r="K2955" s="9" t="str">
        <f>IFERROR(__xludf.DUMMYFUNCTION("""COMPUTED_VALUE"""),"Ruby")</f>
        <v>Ruby</v>
      </c>
      <c r="L2955" s="9" t="str">
        <f>IFERROR(__xludf.DUMMYFUNCTION("""COMPUTED_VALUE"""),"Bash/Shell/PowerShell")</f>
        <v>Bash/Shell/PowerShell</v>
      </c>
      <c r="M2955" s="9" t="s">
        <v>21</v>
      </c>
    </row>
    <row r="2956" ht="15.75" customHeight="1">
      <c r="A2956" s="7"/>
      <c r="B2956" s="7" t="str">
        <f>IFERROR(__xludf.DUMMYFUNCTION("""COMPUTED_VALUE"""),"Bash/Shell/PowerShell;C#;HTML/CSS;Java;JavaScript;SQL;TypeScript")</f>
        <v>Bash/Shell/PowerShell;C#;HTML/CSS;Java;JavaScript;SQL;TypeScript</v>
      </c>
      <c r="C2956" s="9" t="str">
        <f>IFERROR(__xludf.DUMMYFUNCTION("""COMPUTED_VALUE"""),"Bash/Shell/PowerShell")</f>
        <v>Bash/Shell/PowerShell</v>
      </c>
      <c r="D2956" s="9" t="str">
        <f>IFERROR(__xludf.DUMMYFUNCTION("""COMPUTED_VALUE"""),"HTML/CSS")</f>
        <v>HTML/CSS</v>
      </c>
      <c r="E2956" s="9" t="str">
        <f>IFERROR(__xludf.DUMMYFUNCTION("""COMPUTED_VALUE"""),"C")</f>
        <v>C</v>
      </c>
      <c r="F2956" s="9" t="str">
        <f>IFERROR(__xludf.DUMMYFUNCTION("""COMPUTED_VALUE"""),"HTML/CSS")</f>
        <v>HTML/CSS</v>
      </c>
      <c r="G2956" s="9" t="str">
        <f>IFERROR(__xludf.DUMMYFUNCTION("""COMPUTED_VALUE"""),"Go")</f>
        <v>Go</v>
      </c>
      <c r="H2956" s="9" t="str">
        <f>IFERROR(__xludf.DUMMYFUNCTION("""COMPUTED_VALUE"""),"JavaScript")</f>
        <v>JavaScript</v>
      </c>
      <c r="I2956" s="9" t="str">
        <f>IFERROR(__xludf.DUMMYFUNCTION("""COMPUTED_VALUE"""),"SQL")</f>
        <v>SQL</v>
      </c>
      <c r="J2956" s="9" t="str">
        <f>IFERROR(__xludf.DUMMYFUNCTION("""COMPUTED_VALUE"""),"Java")</f>
        <v>Java</v>
      </c>
      <c r="K2956" s="9" t="str">
        <f>IFERROR(__xludf.DUMMYFUNCTION("""COMPUTED_VALUE"""),"SQL")</f>
        <v>SQL</v>
      </c>
      <c r="L2956" s="9" t="str">
        <f>IFERROR(__xludf.DUMMYFUNCTION("""COMPUTED_VALUE"""),"HTML/CSS")</f>
        <v>HTML/CSS</v>
      </c>
      <c r="M2956" s="9" t="s">
        <v>30</v>
      </c>
    </row>
    <row r="2957" ht="15.75" customHeight="1">
      <c r="A2957" s="7"/>
      <c r="B2957" s="7" t="str">
        <f>IFERROR(__xludf.DUMMYFUNCTION("""COMPUTED_VALUE"""),"Other(s):")</f>
        <v>Other(s):</v>
      </c>
      <c r="C2957" s="9" t="str">
        <f>IFERROR(__xludf.DUMMYFUNCTION("""COMPUTED_VALUE"""),"C#")</f>
        <v>C#</v>
      </c>
      <c r="D2957" s="9" t="str">
        <f>IFERROR(__xludf.DUMMYFUNCTION("""COMPUTED_VALUE"""),"JavaScript")</f>
        <v>JavaScript</v>
      </c>
      <c r="E2957" s="9" t="str">
        <f>IFERROR(__xludf.DUMMYFUNCTION("""COMPUTED_VALUE"""),"C++")</f>
        <v>C++</v>
      </c>
      <c r="F2957" s="9" t="str">
        <f>IFERROR(__xludf.DUMMYFUNCTION("""COMPUTED_VALUE"""),"JavaScript")</f>
        <v>JavaScript</v>
      </c>
      <c r="G2957" s="9" t="str">
        <f>IFERROR(__xludf.DUMMYFUNCTION("""COMPUTED_VALUE"""),"HTML/CSS")</f>
        <v>HTML/CSS</v>
      </c>
      <c r="H2957" s="9" t="str">
        <f>IFERROR(__xludf.DUMMYFUNCTION("""COMPUTED_VALUE"""),"PHP")</f>
        <v>PHP</v>
      </c>
      <c r="I2957" s="9" t="str">
        <f>IFERROR(__xludf.DUMMYFUNCTION("""COMPUTED_VALUE"""),"Bash/Shell/PowerShell")</f>
        <v>Bash/Shell/PowerShell</v>
      </c>
      <c r="J2957" s="9" t="str">
        <f>IFERROR(__xludf.DUMMYFUNCTION("""COMPUTED_VALUE"""),"Bash/Shell/PowerShell")</f>
        <v>Bash/Shell/PowerShell</v>
      </c>
      <c r="K2957" s="9" t="str">
        <f>IFERROR(__xludf.DUMMYFUNCTION("""COMPUTED_VALUE"""),"HTML/CSS")</f>
        <v>HTML/CSS</v>
      </c>
      <c r="L2957" s="9" t="str">
        <f>IFERROR(__xludf.DUMMYFUNCTION("""COMPUTED_VALUE"""),"JavaScript")</f>
        <v>JavaScript</v>
      </c>
      <c r="M2957" s="9" t="s">
        <v>26</v>
      </c>
    </row>
    <row r="2958" ht="15.75" customHeight="1">
      <c r="A2958" s="7"/>
      <c r="B2958" s="7" t="str">
        <f>IFERROR(__xludf.DUMMYFUNCTION("""COMPUTED_VALUE"""),"Bash/Shell/PowerShell;C#;Go;HTML/CSS;JavaScript;Kotlin;Python;SQL;TypeScript")</f>
        <v>Bash/Shell/PowerShell;C#;Go;HTML/CSS;JavaScript;Kotlin;Python;SQL;TypeScript</v>
      </c>
      <c r="C2958" s="9" t="str">
        <f>IFERROR(__xludf.DUMMYFUNCTION("""COMPUTED_VALUE"""),"HTML/CSS")</f>
        <v>HTML/CSS</v>
      </c>
      <c r="D2958" s="9" t="str">
        <f>IFERROR(__xludf.DUMMYFUNCTION("""COMPUTED_VALUE"""),"Python")</f>
        <v>Python</v>
      </c>
      <c r="E2958" s="9" t="str">
        <f>IFERROR(__xludf.DUMMYFUNCTION("""COMPUTED_VALUE"""),"JavaScript")</f>
        <v>JavaScript</v>
      </c>
      <c r="F2958" s="9" t="str">
        <f>IFERROR(__xludf.DUMMYFUNCTION("""COMPUTED_VALUE"""),"SQL")</f>
        <v>SQL</v>
      </c>
      <c r="G2958" s="9" t="str">
        <f>IFERROR(__xludf.DUMMYFUNCTION("""COMPUTED_VALUE"""),"JavaScript")</f>
        <v>JavaScript</v>
      </c>
      <c r="H2958" s="9" t="str">
        <f>IFERROR(__xludf.DUMMYFUNCTION("""COMPUTED_VALUE"""),"Ruby")</f>
        <v>Ruby</v>
      </c>
      <c r="I2958" s="9" t="str">
        <f>IFERROR(__xludf.DUMMYFUNCTION("""COMPUTED_VALUE"""),"JavaScript")</f>
        <v>JavaScript</v>
      </c>
      <c r="J2958" s="9" t="str">
        <f>IFERROR(__xludf.DUMMYFUNCTION("""COMPUTED_VALUE"""),"C#")</f>
        <v>C#</v>
      </c>
      <c r="K2958" s="9" t="str">
        <f>IFERROR(__xludf.DUMMYFUNCTION("""COMPUTED_VALUE"""),"Java")</f>
        <v>Java</v>
      </c>
      <c r="L2958" s="9" t="str">
        <f>IFERROR(__xludf.DUMMYFUNCTION("""COMPUTED_VALUE"""),"Kotlin")</f>
        <v>Kotlin</v>
      </c>
      <c r="M2958" s="9" t="s">
        <v>24</v>
      </c>
    </row>
    <row r="2959" ht="15.75" customHeight="1">
      <c r="A2959" s="7"/>
      <c r="B2959" s="7" t="str">
        <f>IFERROR(__xludf.DUMMYFUNCTION("""COMPUTED_VALUE"""),"Swift")</f>
        <v>Swift</v>
      </c>
      <c r="C2959" s="9" t="str">
        <f>IFERROR(__xludf.DUMMYFUNCTION("""COMPUTED_VALUE"""),"JavaScript")</f>
        <v>JavaScript</v>
      </c>
      <c r="D2959" s="9" t="str">
        <f>IFERROR(__xludf.DUMMYFUNCTION("""COMPUTED_VALUE"""),"Other(s):")</f>
        <v>Other(s):</v>
      </c>
      <c r="E2959" s="9" t="str">
        <f>IFERROR(__xludf.DUMMYFUNCTION("""COMPUTED_VALUE"""),"Python")</f>
        <v>Python</v>
      </c>
      <c r="F2959" s="9" t="str">
        <f>IFERROR(__xludf.DUMMYFUNCTION("""COMPUTED_VALUE"""),"Bash/Shell/PowerShell")</f>
        <v>Bash/Shell/PowerShell</v>
      </c>
      <c r="G2959" s="9" t="str">
        <f>IFERROR(__xludf.DUMMYFUNCTION("""COMPUTED_VALUE"""),"Python")</f>
        <v>Python</v>
      </c>
      <c r="H2959" s="9" t="str">
        <f>IFERROR(__xludf.DUMMYFUNCTION("""COMPUTED_VALUE"""),"SQL")</f>
        <v>SQL</v>
      </c>
      <c r="I2959" s="9" t="str">
        <f>IFERROR(__xludf.DUMMYFUNCTION("""COMPUTED_VALUE"""),"Other(s):")</f>
        <v>Other(s):</v>
      </c>
      <c r="J2959" s="9" t="str">
        <f>IFERROR(__xludf.DUMMYFUNCTION("""COMPUTED_VALUE"""),"HTML/CSS")</f>
        <v>HTML/CSS</v>
      </c>
      <c r="K2959" s="9" t="str">
        <f>IFERROR(__xludf.DUMMYFUNCTION("""COMPUTED_VALUE"""),"JavaScript")</f>
        <v>JavaScript</v>
      </c>
      <c r="L2959" s="9" t="str">
        <f>IFERROR(__xludf.DUMMYFUNCTION("""COMPUTED_VALUE"""),"PHP")</f>
        <v>PHP</v>
      </c>
      <c r="M2959" s="9" t="s">
        <v>21</v>
      </c>
    </row>
    <row r="2960" ht="15.75" customHeight="1">
      <c r="A2960" s="7"/>
      <c r="B2960" s="7" t="str">
        <f>IFERROR(__xludf.DUMMYFUNCTION("""COMPUTED_VALUE"""),"HTML/CSS;Java;JavaScript;SQL")</f>
        <v>HTML/CSS;Java;JavaScript;SQL</v>
      </c>
      <c r="C2960" s="9" t="str">
        <f>IFERROR(__xludf.DUMMYFUNCTION("""COMPUTED_VALUE"""),"PHP")</f>
        <v>PHP</v>
      </c>
      <c r="D2960" s="9" t="str">
        <f>IFERROR(__xludf.DUMMYFUNCTION("""COMPUTED_VALUE"""),"Bash/Shell/PowerShell")</f>
        <v>Bash/Shell/PowerShell</v>
      </c>
      <c r="E2960" s="9" t="str">
        <f>IFERROR(__xludf.DUMMYFUNCTION("""COMPUTED_VALUE"""),"Other(s):")</f>
        <v>Other(s):</v>
      </c>
      <c r="F2960" s="9" t="str">
        <f>IFERROR(__xludf.DUMMYFUNCTION("""COMPUTED_VALUE"""),"HTML/CSS")</f>
        <v>HTML/CSS</v>
      </c>
      <c r="G2960" s="9" t="str">
        <f>IFERROR(__xludf.DUMMYFUNCTION("""COMPUTED_VALUE"""),"SQL")</f>
        <v>SQL</v>
      </c>
      <c r="H2960" s="9" t="str">
        <f>IFERROR(__xludf.DUMMYFUNCTION("""COMPUTED_VALUE"""),"C#")</f>
        <v>C#</v>
      </c>
      <c r="I2960" s="9" t="str">
        <f>IFERROR(__xludf.DUMMYFUNCTION("""COMPUTED_VALUE"""),"Go")</f>
        <v>Go</v>
      </c>
      <c r="J2960" s="9" t="str">
        <f>IFERROR(__xludf.DUMMYFUNCTION("""COMPUTED_VALUE"""),"JavaScript")</f>
        <v>JavaScript</v>
      </c>
      <c r="K2960" s="9" t="str">
        <f>IFERROR(__xludf.DUMMYFUNCTION("""COMPUTED_VALUE"""),"Python")</f>
        <v>Python</v>
      </c>
      <c r="L2960" s="9" t="str">
        <f>IFERROR(__xludf.DUMMYFUNCTION("""COMPUTED_VALUE"""),"Swift")</f>
        <v>Swift</v>
      </c>
      <c r="M2960" s="9" t="s">
        <v>37</v>
      </c>
    </row>
    <row r="2961" ht="15.75" customHeight="1">
      <c r="A2961" s="7"/>
      <c r="B2961" s="7" t="str">
        <f>IFERROR(__xludf.DUMMYFUNCTION("""COMPUTED_VALUE"""),"C#;Java;JavaScript;PHP;SQL;Swift")</f>
        <v>C#;Java;JavaScript;PHP;SQL;Swift</v>
      </c>
      <c r="C2961" s="9" t="str">
        <f>IFERROR(__xludf.DUMMYFUNCTION("""COMPUTED_VALUE"""),"SQL")</f>
        <v>SQL</v>
      </c>
      <c r="D2961" s="9" t="str">
        <f>IFERROR(__xludf.DUMMYFUNCTION("""COMPUTED_VALUE"""),"C")</f>
        <v>C</v>
      </c>
      <c r="E2961" s="9" t="str">
        <f>IFERROR(__xludf.DUMMYFUNCTION("""COMPUTED_VALUE"""),"Bash/Shell/PowerShell")</f>
        <v>Bash/Shell/PowerShell</v>
      </c>
      <c r="F2961" s="9" t="str">
        <f>IFERROR(__xludf.DUMMYFUNCTION("""COMPUTED_VALUE"""),"Java")</f>
        <v>Java</v>
      </c>
      <c r="G2961" s="9" t="str">
        <f>IFERROR(__xludf.DUMMYFUNCTION("""COMPUTED_VALUE"""),"HTML/CSS")</f>
        <v>HTML/CSS</v>
      </c>
      <c r="H2961" s="9" t="str">
        <f>IFERROR(__xludf.DUMMYFUNCTION("""COMPUTED_VALUE"""),"HTML/CSS")</f>
        <v>HTML/CSS</v>
      </c>
      <c r="I2961" s="9" t="str">
        <f>IFERROR(__xludf.DUMMYFUNCTION("""COMPUTED_VALUE"""),"HTML/CSS")</f>
        <v>HTML/CSS</v>
      </c>
      <c r="J2961" s="9" t="str">
        <f>IFERROR(__xludf.DUMMYFUNCTION("""COMPUTED_VALUE"""),"PHP")</f>
        <v>PHP</v>
      </c>
      <c r="K2961" s="9" t="str">
        <f>IFERROR(__xludf.DUMMYFUNCTION("""COMPUTED_VALUE"""),"SQL")</f>
        <v>SQL</v>
      </c>
      <c r="L2961" s="9" t="str">
        <f>IFERROR(__xludf.DUMMYFUNCTION("""COMPUTED_VALUE"""),"TypeScript")</f>
        <v>TypeScript</v>
      </c>
      <c r="M2961" s="9" t="s">
        <v>27</v>
      </c>
    </row>
    <row r="2962" ht="15.75" customHeight="1">
      <c r="A2962" s="7"/>
      <c r="B2962" s="7" t="str">
        <f>IFERROR(__xludf.DUMMYFUNCTION("""COMPUTED_VALUE"""),"Bash/Shell/PowerShell;HTML/CSS;JavaScript;PHP;Python;SQL")</f>
        <v>Bash/Shell/PowerShell;HTML/CSS;JavaScript;PHP;Python;SQL</v>
      </c>
      <c r="C2962" s="9" t="str">
        <f>IFERROR(__xludf.DUMMYFUNCTION("""COMPUTED_VALUE"""),"TypeScript")</f>
        <v>TypeScript</v>
      </c>
      <c r="D2962" s="9" t="str">
        <f>IFERROR(__xludf.DUMMYFUNCTION("""COMPUTED_VALUE"""),"C++")</f>
        <v>C++</v>
      </c>
      <c r="E2962" s="9" t="str">
        <f>IFERROR(__xludf.DUMMYFUNCTION("""COMPUTED_VALUE"""),"C++")</f>
        <v>C++</v>
      </c>
      <c r="F2962" s="9" t="str">
        <f>IFERROR(__xludf.DUMMYFUNCTION("""COMPUTED_VALUE"""),"JavaScript")</f>
        <v>JavaScript</v>
      </c>
      <c r="G2962" s="9" t="str">
        <f>IFERROR(__xludf.DUMMYFUNCTION("""COMPUTED_VALUE"""),"JavaScript")</f>
        <v>JavaScript</v>
      </c>
      <c r="H2962" s="9" t="str">
        <f>IFERROR(__xludf.DUMMYFUNCTION("""COMPUTED_VALUE"""),"Java")</f>
        <v>Java</v>
      </c>
      <c r="I2962" s="9" t="str">
        <f>IFERROR(__xludf.DUMMYFUNCTION("""COMPUTED_VALUE"""),"JavaScript")</f>
        <v>JavaScript</v>
      </c>
      <c r="J2962" s="9" t="str">
        <f>IFERROR(__xludf.DUMMYFUNCTION("""COMPUTED_VALUE"""),"SQL")</f>
        <v>SQL</v>
      </c>
      <c r="K2962" s="9" t="str">
        <f>IFERROR(__xludf.DUMMYFUNCTION("""COMPUTED_VALUE"""),"TypeScript")</f>
        <v>TypeScript</v>
      </c>
      <c r="L2962" s="9" t="str">
        <f>IFERROR(__xludf.DUMMYFUNCTION("""COMPUTED_VALUE"""),"Python")</f>
        <v>Python</v>
      </c>
      <c r="M2962" s="9" t="s">
        <v>33</v>
      </c>
    </row>
    <row r="2963" ht="15.75" customHeight="1">
      <c r="A2963" s="7"/>
      <c r="B2963" s="7" t="str">
        <f>IFERROR(__xludf.DUMMYFUNCTION("""COMPUTED_VALUE"""),"Bash/Shell/PowerShell;Go;HTML/CSS;JavaScript;Objective-C;Ruby;SQL;Swift;TypeScript")</f>
        <v>Bash/Shell/PowerShell;Go;HTML/CSS;JavaScript;Objective-C;Ruby;SQL;Swift;TypeScript</v>
      </c>
      <c r="C2963" s="9" t="str">
        <f>IFERROR(__xludf.DUMMYFUNCTION("""COMPUTED_VALUE"""),"Java")</f>
        <v>Java</v>
      </c>
      <c r="D2963" s="9" t="str">
        <f>IFERROR(__xludf.DUMMYFUNCTION("""COMPUTED_VALUE"""),"Python")</f>
        <v>Python</v>
      </c>
      <c r="E2963" s="9" t="str">
        <f>IFERROR(__xludf.DUMMYFUNCTION("""COMPUTED_VALUE"""),"Java")</f>
        <v>Java</v>
      </c>
      <c r="F2963" s="9" t="str">
        <f>IFERROR(__xludf.DUMMYFUNCTION("""COMPUTED_VALUE"""),"SQL")</f>
        <v>SQL</v>
      </c>
      <c r="G2963" s="9" t="str">
        <f>IFERROR(__xludf.DUMMYFUNCTION("""COMPUTED_VALUE"""),"PHP")</f>
        <v>PHP</v>
      </c>
      <c r="H2963" s="9" t="str">
        <f>IFERROR(__xludf.DUMMYFUNCTION("""COMPUTED_VALUE"""),"JavaScript")</f>
        <v>JavaScript</v>
      </c>
      <c r="I2963" s="9" t="str">
        <f>IFERROR(__xludf.DUMMYFUNCTION("""COMPUTED_VALUE"""),"Rust")</f>
        <v>Rust</v>
      </c>
      <c r="J2963" s="9" t="str">
        <f>IFERROR(__xludf.DUMMYFUNCTION("""COMPUTED_VALUE"""),"C++")</f>
        <v>C++</v>
      </c>
      <c r="K2963" s="9" t="str">
        <f>IFERROR(__xludf.DUMMYFUNCTION("""COMPUTED_VALUE"""),"C")</f>
        <v>C</v>
      </c>
      <c r="L2963" s="9" t="str">
        <f>IFERROR(__xludf.DUMMYFUNCTION("""COMPUTED_VALUE"""),"HTML/CSS")</f>
        <v>HTML/CSS</v>
      </c>
      <c r="M2963" s="9" t="s">
        <v>20</v>
      </c>
    </row>
    <row r="2964" ht="15.75" customHeight="1">
      <c r="A2964" s="7"/>
      <c r="B2964" s="7" t="str">
        <f>IFERROR(__xludf.DUMMYFUNCTION("""COMPUTED_VALUE"""),"Bash/Shell/PowerShell;Go;Java;Kotlin;Python")</f>
        <v>Bash/Shell/PowerShell;Go;Java;Kotlin;Python</v>
      </c>
      <c r="C2964" s="9" t="str">
        <f>IFERROR(__xludf.DUMMYFUNCTION("""COMPUTED_VALUE"""),"Kotlin")</f>
        <v>Kotlin</v>
      </c>
      <c r="D2964" s="9" t="str">
        <f>IFERROR(__xludf.DUMMYFUNCTION("""COMPUTED_VALUE"""),"C++")</f>
        <v>C++</v>
      </c>
      <c r="E2964" s="9" t="str">
        <f>IFERROR(__xludf.DUMMYFUNCTION("""COMPUTED_VALUE"""),"Python")</f>
        <v>Python</v>
      </c>
      <c r="F2964" s="9" t="str">
        <f>IFERROR(__xludf.DUMMYFUNCTION("""COMPUTED_VALUE"""),"TypeScript")</f>
        <v>TypeScript</v>
      </c>
      <c r="G2964" s="9" t="str">
        <f>IFERROR(__xludf.DUMMYFUNCTION("""COMPUTED_VALUE"""),"Python")</f>
        <v>Python</v>
      </c>
      <c r="H2964" s="9" t="str">
        <f>IFERROR(__xludf.DUMMYFUNCTION("""COMPUTED_VALUE"""),"Kotlin")</f>
        <v>Kotlin</v>
      </c>
      <c r="I2964" s="9" t="str">
        <f>IFERROR(__xludf.DUMMYFUNCTION("""COMPUTED_VALUE"""),"SQL")</f>
        <v>SQL</v>
      </c>
      <c r="J2964" s="9" t="str">
        <f>IFERROR(__xludf.DUMMYFUNCTION("""COMPUTED_VALUE"""),"C#")</f>
        <v>C#</v>
      </c>
      <c r="K2964" s="9" t="str">
        <f>IFERROR(__xludf.DUMMYFUNCTION("""COMPUTED_VALUE"""),"C++")</f>
        <v>C++</v>
      </c>
      <c r="L2964" s="9" t="str">
        <f>IFERROR(__xludf.DUMMYFUNCTION("""COMPUTED_VALUE"""),"Java")</f>
        <v>Java</v>
      </c>
      <c r="M2964" s="9" t="s">
        <v>39</v>
      </c>
    </row>
    <row r="2965" ht="15.75" customHeight="1">
      <c r="A2965" s="7"/>
      <c r="B2965" s="7" t="str">
        <f>IFERROR(__xludf.DUMMYFUNCTION("""COMPUTED_VALUE"""),"Bash/Shell/PowerShell;C;Python")</f>
        <v>Bash/Shell/PowerShell;C;Python</v>
      </c>
      <c r="C2965" s="9" t="str">
        <f>IFERROR(__xludf.DUMMYFUNCTION("""COMPUTED_VALUE"""),"Bash/Shell/PowerShell")</f>
        <v>Bash/Shell/PowerShell</v>
      </c>
      <c r="D2965" s="9" t="str">
        <f>IFERROR(__xludf.DUMMYFUNCTION("""COMPUTED_VALUE"""),"Python")</f>
        <v>Python</v>
      </c>
      <c r="E2965" s="9" t="str">
        <f>IFERROR(__xludf.DUMMYFUNCTION("""COMPUTED_VALUE"""),"SQL")</f>
        <v>SQL</v>
      </c>
      <c r="F2965" s="9" t="str">
        <f>IFERROR(__xludf.DUMMYFUNCTION("""COMPUTED_VALUE"""),"Bash/Shell/PowerShell")</f>
        <v>Bash/Shell/PowerShell</v>
      </c>
      <c r="G2965" s="9" t="str">
        <f>IFERROR(__xludf.DUMMYFUNCTION("""COMPUTED_VALUE"""),"R")</f>
        <v>R</v>
      </c>
      <c r="H2965" s="9" t="str">
        <f>IFERROR(__xludf.DUMMYFUNCTION("""COMPUTED_VALUE"""),"HTML/CSS")</f>
        <v>HTML/CSS</v>
      </c>
      <c r="I2965" s="9" t="str">
        <f>IFERROR(__xludf.DUMMYFUNCTION("""COMPUTED_VALUE"""),"Assembly")</f>
        <v>Assembly</v>
      </c>
      <c r="J2965" s="9" t="str">
        <f>IFERROR(__xludf.DUMMYFUNCTION("""COMPUTED_VALUE"""),"HTML/CSS")</f>
        <v>HTML/CSS</v>
      </c>
      <c r="K2965" s="9" t="str">
        <f>IFERROR(__xludf.DUMMYFUNCTION("""COMPUTED_VALUE"""),"HTML/CSS")</f>
        <v>HTML/CSS</v>
      </c>
      <c r="L2965" s="9" t="str">
        <f>IFERROR(__xludf.DUMMYFUNCTION("""COMPUTED_VALUE"""),"JavaScript")</f>
        <v>JavaScript</v>
      </c>
      <c r="M2965" s="9" t="s">
        <v>30</v>
      </c>
    </row>
    <row r="2966" ht="15.75" customHeight="1">
      <c r="A2966" s="7"/>
      <c r="B2966" s="7" t="str">
        <f>IFERROR(__xludf.DUMMYFUNCTION("""COMPUTED_VALUE"""),"Assembly;C;C++;C#;HTML/CSS;Java;JavaScript;Python")</f>
        <v>Assembly;C;C++;C#;HTML/CSS;Java;JavaScript;Python</v>
      </c>
      <c r="C2966" s="9" t="str">
        <f>IFERROR(__xludf.DUMMYFUNCTION("""COMPUTED_VALUE"""),"Clojure")</f>
        <v>Clojure</v>
      </c>
      <c r="D2966" s="9" t="str">
        <f>IFERROR(__xludf.DUMMYFUNCTION("""COMPUTED_VALUE"""),"HTML/CSS")</f>
        <v>HTML/CSS</v>
      </c>
      <c r="E2966" s="9" t="str">
        <f>IFERROR(__xludf.DUMMYFUNCTION("""COMPUTED_VALUE"""),"HTML/CSS")</f>
        <v>HTML/CSS</v>
      </c>
      <c r="F2966" s="9" t="str">
        <f>IFERROR(__xludf.DUMMYFUNCTION("""COMPUTED_VALUE"""),"Scala")</f>
        <v>Scala</v>
      </c>
      <c r="G2966" s="9" t="str">
        <f>IFERROR(__xludf.DUMMYFUNCTION("""COMPUTED_VALUE"""),"Bash/Shell/PowerShell")</f>
        <v>Bash/Shell/PowerShell</v>
      </c>
      <c r="H2966" s="9" t="str">
        <f>IFERROR(__xludf.DUMMYFUNCTION("""COMPUTED_VALUE"""),"JavaScript")</f>
        <v>JavaScript</v>
      </c>
      <c r="I2966" s="9" t="str">
        <f>IFERROR(__xludf.DUMMYFUNCTION("""COMPUTED_VALUE"""),"C#")</f>
        <v>C#</v>
      </c>
      <c r="J2966" s="9" t="str">
        <f>IFERROR(__xludf.DUMMYFUNCTION("""COMPUTED_VALUE"""),"Java")</f>
        <v>Java</v>
      </c>
      <c r="K2966" s="9" t="str">
        <f>IFERROR(__xludf.DUMMYFUNCTION("""COMPUTED_VALUE"""),"Java")</f>
        <v>Java</v>
      </c>
      <c r="L2966" s="9" t="str">
        <f>IFERROR(__xludf.DUMMYFUNCTION("""COMPUTED_VALUE"""),"Kotlin")</f>
        <v>Kotlin</v>
      </c>
      <c r="M2966" s="9" t="s">
        <v>44</v>
      </c>
    </row>
    <row r="2967" ht="15.75" customHeight="1">
      <c r="A2967" s="7"/>
      <c r="B2967" s="7" t="str">
        <f>IFERROR(__xludf.DUMMYFUNCTION("""COMPUTED_VALUE"""),"C;JavaScript;Python")</f>
        <v>C;JavaScript;Python</v>
      </c>
      <c r="C2967" s="9" t="str">
        <f>IFERROR(__xludf.DUMMYFUNCTION("""COMPUTED_VALUE"""),"HTML/CSS")</f>
        <v>HTML/CSS</v>
      </c>
      <c r="D2967" s="9" t="str">
        <f>IFERROR(__xludf.DUMMYFUNCTION("""COMPUTED_VALUE"""),"Java")</f>
        <v>Java</v>
      </c>
      <c r="E2967" s="9" t="str">
        <f>IFERROR(__xludf.DUMMYFUNCTION("""COMPUTED_VALUE"""),"JavaScript")</f>
        <v>JavaScript</v>
      </c>
      <c r="F2967" s="9" t="str">
        <f>IFERROR(__xludf.DUMMYFUNCTION("""COMPUTED_VALUE"""),"SQL")</f>
        <v>SQL</v>
      </c>
      <c r="G2967" s="9" t="str">
        <f>IFERROR(__xludf.DUMMYFUNCTION("""COMPUTED_VALUE"""),"Clojure")</f>
        <v>Clojure</v>
      </c>
      <c r="H2967" s="9" t="str">
        <f>IFERROR(__xludf.DUMMYFUNCTION("""COMPUTED_VALUE"""),"PHP")</f>
        <v>PHP</v>
      </c>
      <c r="I2967" s="9" t="str">
        <f>IFERROR(__xludf.DUMMYFUNCTION("""COMPUTED_VALUE"""),"HTML/CSS")</f>
        <v>HTML/CSS</v>
      </c>
      <c r="J2967" s="9" t="str">
        <f>IFERROR(__xludf.DUMMYFUNCTION("""COMPUTED_VALUE"""),"JavaScript")</f>
        <v>JavaScript</v>
      </c>
      <c r="K2967" s="9" t="str">
        <f>IFERROR(__xludf.DUMMYFUNCTION("""COMPUTED_VALUE"""),"JavaScript")</f>
        <v>JavaScript</v>
      </c>
      <c r="L2967" s="9" t="str">
        <f>IFERROR(__xludf.DUMMYFUNCTION("""COMPUTED_VALUE"""),"PHP")</f>
        <v>PHP</v>
      </c>
      <c r="M2967" s="9" t="s">
        <v>24</v>
      </c>
    </row>
    <row r="2968" ht="15.75" customHeight="1">
      <c r="A2968" s="7"/>
      <c r="B2968" s="7" t="str">
        <f>IFERROR(__xludf.DUMMYFUNCTION("""COMPUTED_VALUE"""),"Bash/Shell/PowerShell;Go;JavaScript;PHP;Python;Other(s):")</f>
        <v>Bash/Shell/PowerShell;Go;JavaScript;PHP;Python;Other(s):</v>
      </c>
      <c r="C2968" s="9" t="str">
        <f>IFERROR(__xludf.DUMMYFUNCTION("""COMPUTED_VALUE"""),"Java")</f>
        <v>Java</v>
      </c>
      <c r="D2968" s="9" t="str">
        <f>IFERROR(__xludf.DUMMYFUNCTION("""COMPUTED_VALUE"""),"JavaScript")</f>
        <v>JavaScript</v>
      </c>
      <c r="E2968" s="9" t="str">
        <f>IFERROR(__xludf.DUMMYFUNCTION("""COMPUTED_VALUE"""),"PHP")</f>
        <v>PHP</v>
      </c>
      <c r="F2968" s="9" t="str">
        <f>IFERROR(__xludf.DUMMYFUNCTION("""COMPUTED_VALUE"""),"TypeScript")</f>
        <v>TypeScript</v>
      </c>
      <c r="G2968" s="9" t="str">
        <f>IFERROR(__xludf.DUMMYFUNCTION("""COMPUTED_VALUE"""),"HTML/CSS")</f>
        <v>HTML/CSS</v>
      </c>
      <c r="H2968" s="9" t="str">
        <f>IFERROR(__xludf.DUMMYFUNCTION("""COMPUTED_VALUE"""),"SQL")</f>
        <v>SQL</v>
      </c>
      <c r="I2968" s="9" t="str">
        <f>IFERROR(__xludf.DUMMYFUNCTION("""COMPUTED_VALUE"""),"JavaScript")</f>
        <v>JavaScript</v>
      </c>
      <c r="J2968" s="9" t="str">
        <f>IFERROR(__xludf.DUMMYFUNCTION("""COMPUTED_VALUE"""),"PHP")</f>
        <v>PHP</v>
      </c>
      <c r="K2968" s="9" t="str">
        <f>IFERROR(__xludf.DUMMYFUNCTION("""COMPUTED_VALUE"""),"Python")</f>
        <v>Python</v>
      </c>
      <c r="L2968" s="9" t="str">
        <f>IFERROR(__xludf.DUMMYFUNCTION("""COMPUTED_VALUE"""),"SQL")</f>
        <v>SQL</v>
      </c>
      <c r="M2968" s="9" t="s">
        <v>20</v>
      </c>
    </row>
    <row r="2969" ht="15.75" customHeight="1">
      <c r="A2969" s="7"/>
      <c r="B2969" s="7" t="str">
        <f>IFERROR(__xludf.DUMMYFUNCTION("""COMPUTED_VALUE"""),"C#;HTML/CSS;TypeScript")</f>
        <v>C#;HTML/CSS;TypeScript</v>
      </c>
      <c r="C2969" s="9" t="str">
        <f>IFERROR(__xludf.DUMMYFUNCTION("""COMPUTED_VALUE"""),"JavaScript")</f>
        <v>JavaScript</v>
      </c>
      <c r="D2969" s="9" t="str">
        <f>IFERROR(__xludf.DUMMYFUNCTION("""COMPUTED_VALUE"""),"TypeScript")</f>
        <v>TypeScript</v>
      </c>
      <c r="E2969" s="9" t="str">
        <f>IFERROR(__xludf.DUMMYFUNCTION("""COMPUTED_VALUE"""),"SQL")</f>
        <v>SQL</v>
      </c>
      <c r="F2969" s="9" t="str">
        <f>IFERROR(__xludf.DUMMYFUNCTION("""COMPUTED_VALUE"""),"C")</f>
        <v>C</v>
      </c>
      <c r="G2969" s="9" t="str">
        <f>IFERROR(__xludf.DUMMYFUNCTION("""COMPUTED_VALUE"""),"Java")</f>
        <v>Java</v>
      </c>
      <c r="H2969" s="9" t="str">
        <f>IFERROR(__xludf.DUMMYFUNCTION("""COMPUTED_VALUE"""),"TypeScript")</f>
        <v>TypeScript</v>
      </c>
      <c r="I2969" s="9" t="str">
        <f>IFERROR(__xludf.DUMMYFUNCTION("""COMPUTED_VALUE"""),"Python")</f>
        <v>Python</v>
      </c>
      <c r="J2969" s="9" t="str">
        <f>IFERROR(__xludf.DUMMYFUNCTION("""COMPUTED_VALUE"""),"SQL")</f>
        <v>SQL</v>
      </c>
      <c r="K2969" s="9" t="str">
        <f>IFERROR(__xludf.DUMMYFUNCTION("""COMPUTED_VALUE"""),"R")</f>
        <v>R</v>
      </c>
      <c r="L2969" s="9" t="str">
        <f>IFERROR(__xludf.DUMMYFUNCTION("""COMPUTED_VALUE"""),"TypeScript")</f>
        <v>TypeScript</v>
      </c>
      <c r="M2969" s="9" t="s">
        <v>21</v>
      </c>
    </row>
    <row r="2970" ht="15.75" customHeight="1">
      <c r="A2970" s="7"/>
      <c r="B2970" s="7" t="str">
        <f>IFERROR(__xludf.DUMMYFUNCTION("""COMPUTED_VALUE"""),"Bash/Shell/PowerShell;C;C++;Go;Java;JavaScript;Python;SQL")</f>
        <v>Bash/Shell/PowerShell;C;C++;Go;Java;JavaScript;Python;SQL</v>
      </c>
      <c r="C2970" s="9" t="str">
        <f>IFERROR(__xludf.DUMMYFUNCTION("""COMPUTED_VALUE"""),"PHP")</f>
        <v>PHP</v>
      </c>
      <c r="D2970" s="9" t="str">
        <f>IFERROR(__xludf.DUMMYFUNCTION("""COMPUTED_VALUE"""),"Other(s):")</f>
        <v>Other(s):</v>
      </c>
      <c r="E2970" s="9" t="str">
        <f>IFERROR(__xludf.DUMMYFUNCTION("""COMPUTED_VALUE"""),"HTML/CSS")</f>
        <v>HTML/CSS</v>
      </c>
      <c r="F2970" s="9" t="str">
        <f>IFERROR(__xludf.DUMMYFUNCTION("""COMPUTED_VALUE"""),"C++")</f>
        <v>C++</v>
      </c>
      <c r="G2970" s="9" t="str">
        <f>IFERROR(__xludf.DUMMYFUNCTION("""COMPUTED_VALUE"""),"JavaScript")</f>
        <v>JavaScript</v>
      </c>
      <c r="H2970" s="9" t="str">
        <f>IFERROR(__xludf.DUMMYFUNCTION("""COMPUTED_VALUE"""),"Other(s):")</f>
        <v>Other(s):</v>
      </c>
      <c r="I2970" s="9" t="str">
        <f>IFERROR(__xludf.DUMMYFUNCTION("""COMPUTED_VALUE"""),"SQL")</f>
        <v>SQL</v>
      </c>
      <c r="J2970" s="9" t="str">
        <f>IFERROR(__xludf.DUMMYFUNCTION("""COMPUTED_VALUE"""),"Swift")</f>
        <v>Swift</v>
      </c>
      <c r="K2970" s="9" t="str">
        <f>IFERROR(__xludf.DUMMYFUNCTION("""COMPUTED_VALUE"""),"SQL")</f>
        <v>SQL</v>
      </c>
      <c r="L2970" s="9" t="str">
        <f>IFERROR(__xludf.DUMMYFUNCTION("""COMPUTED_VALUE"""),"Bash/Shell/PowerShell")</f>
        <v>Bash/Shell/PowerShell</v>
      </c>
      <c r="M2970" s="9" t="s">
        <v>37</v>
      </c>
    </row>
    <row r="2971" ht="15.75" customHeight="1">
      <c r="A2971" s="7"/>
      <c r="B2971" s="7" t="str">
        <f>IFERROR(__xludf.DUMMYFUNCTION("""COMPUTED_VALUE"""),"Bash/Shell/PowerShell;HTML/CSS;Java;JavaScript;Kotlin;Python;TypeScript")</f>
        <v>Bash/Shell/PowerShell;HTML/CSS;Java;JavaScript;Kotlin;Python;TypeScript</v>
      </c>
      <c r="C2971" s="9" t="str">
        <f>IFERROR(__xludf.DUMMYFUNCTION("""COMPUTED_VALUE"""),"Python")</f>
        <v>Python</v>
      </c>
      <c r="D2971" s="9" t="str">
        <f>IFERROR(__xludf.DUMMYFUNCTION("""COMPUTED_VALUE"""),"HTML/CSS")</f>
        <v>HTML/CSS</v>
      </c>
      <c r="E2971" s="9" t="str">
        <f>IFERROR(__xludf.DUMMYFUNCTION("""COMPUTED_VALUE"""),"JavaScript")</f>
        <v>JavaScript</v>
      </c>
      <c r="F2971" s="9" t="str">
        <f>IFERROR(__xludf.DUMMYFUNCTION("""COMPUTED_VALUE"""),"C#")</f>
        <v>C#</v>
      </c>
      <c r="G2971" s="9" t="str">
        <f>IFERROR(__xludf.DUMMYFUNCTION("""COMPUTED_VALUE"""),"PHP")</f>
        <v>PHP</v>
      </c>
      <c r="H2971" s="9" t="str">
        <f>IFERROR(__xludf.DUMMYFUNCTION("""COMPUTED_VALUE"""),"HTML/CSS")</f>
        <v>HTML/CSS</v>
      </c>
      <c r="I2971" s="9" t="str">
        <f>IFERROR(__xludf.DUMMYFUNCTION("""COMPUTED_VALUE"""),"Bash/Shell/PowerShell")</f>
        <v>Bash/Shell/PowerShell</v>
      </c>
      <c r="J2971" s="9" t="str">
        <f>IFERROR(__xludf.DUMMYFUNCTION("""COMPUTED_VALUE"""),"TypeScript")</f>
        <v>TypeScript</v>
      </c>
      <c r="K2971" s="9" t="str">
        <f>IFERROR(__xludf.DUMMYFUNCTION("""COMPUTED_VALUE"""),"Bash/Shell/PowerShell")</f>
        <v>Bash/Shell/PowerShell</v>
      </c>
      <c r="L2971" s="9" t="str">
        <f>IFERROR(__xludf.DUMMYFUNCTION("""COMPUTED_VALUE"""),"C++")</f>
        <v>C++</v>
      </c>
      <c r="M2971" s="9" t="s">
        <v>22</v>
      </c>
    </row>
    <row r="2972" ht="15.75" customHeight="1">
      <c r="A2972" s="7"/>
      <c r="B2972" s="7" t="str">
        <f>IFERROR(__xludf.DUMMYFUNCTION("""COMPUTED_VALUE"""),"C;C++;Objective-C;Swift;TypeScript")</f>
        <v>C;C++;Objective-C;Swift;TypeScript</v>
      </c>
      <c r="C2972" s="9" t="str">
        <f>IFERROR(__xludf.DUMMYFUNCTION("""COMPUTED_VALUE"""),"Ruby")</f>
        <v>Ruby</v>
      </c>
      <c r="D2972" s="9" t="str">
        <f>IFERROR(__xludf.DUMMYFUNCTION("""COMPUTED_VALUE"""),"JavaScript")</f>
        <v>JavaScript</v>
      </c>
      <c r="E2972" s="9" t="str">
        <f>IFERROR(__xludf.DUMMYFUNCTION("""COMPUTED_VALUE"""),"PHP")</f>
        <v>PHP</v>
      </c>
      <c r="F2972" s="9" t="str">
        <f>IFERROR(__xludf.DUMMYFUNCTION("""COMPUTED_VALUE"""),"Bash/Shell/PowerShell")</f>
        <v>Bash/Shell/PowerShell</v>
      </c>
      <c r="G2972" s="9" t="str">
        <f>IFERROR(__xludf.DUMMYFUNCTION("""COMPUTED_VALUE"""),"SQL")</f>
        <v>SQL</v>
      </c>
      <c r="H2972" s="9" t="str">
        <f>IFERROR(__xludf.DUMMYFUNCTION("""COMPUTED_VALUE"""),"JavaScript")</f>
        <v>JavaScript</v>
      </c>
      <c r="I2972" s="9" t="str">
        <f>IFERROR(__xludf.DUMMYFUNCTION("""COMPUTED_VALUE"""),"Elixir")</f>
        <v>Elixir</v>
      </c>
      <c r="J2972" s="9" t="str">
        <f>IFERROR(__xludf.DUMMYFUNCTION("""COMPUTED_VALUE"""),"HTML/CSS")</f>
        <v>HTML/CSS</v>
      </c>
      <c r="K2972" s="9" t="str">
        <f>IFERROR(__xludf.DUMMYFUNCTION("""COMPUTED_VALUE"""),"C#")</f>
        <v>C#</v>
      </c>
      <c r="L2972" s="9" t="str">
        <f>IFERROR(__xludf.DUMMYFUNCTION("""COMPUTED_VALUE"""),"C#")</f>
        <v>C#</v>
      </c>
      <c r="M2972" s="9" t="s">
        <v>31</v>
      </c>
    </row>
    <row r="2973" ht="15.75" customHeight="1">
      <c r="A2973" s="7"/>
      <c r="B2973" s="7" t="str">
        <f>IFERROR(__xludf.DUMMYFUNCTION("""COMPUTED_VALUE"""),"Bash/Shell/PowerShell;JavaScript;TypeScript")</f>
        <v>Bash/Shell/PowerShell;JavaScript;TypeScript</v>
      </c>
      <c r="C2973" s="9" t="str">
        <f>IFERROR(__xludf.DUMMYFUNCTION("""COMPUTED_VALUE"""),"TypeScript")</f>
        <v>TypeScript</v>
      </c>
      <c r="D2973" s="9" t="str">
        <f>IFERROR(__xludf.DUMMYFUNCTION("""COMPUTED_VALUE"""),"PHP")</f>
        <v>PHP</v>
      </c>
      <c r="E2973" s="9" t="str">
        <f>IFERROR(__xludf.DUMMYFUNCTION("""COMPUTED_VALUE"""),"SQL")</f>
        <v>SQL</v>
      </c>
      <c r="F2973" s="9" t="str">
        <f>IFERROR(__xludf.DUMMYFUNCTION("""COMPUTED_VALUE"""),"C")</f>
        <v>C</v>
      </c>
      <c r="G2973" s="9" t="str">
        <f>IFERROR(__xludf.DUMMYFUNCTION("""COMPUTED_VALUE"""),"Other(s):")</f>
        <v>Other(s):</v>
      </c>
      <c r="H2973" s="9" t="str">
        <f>IFERROR(__xludf.DUMMYFUNCTION("""COMPUTED_VALUE"""),"Python")</f>
        <v>Python</v>
      </c>
      <c r="I2973" s="9" t="str">
        <f>IFERROR(__xludf.DUMMYFUNCTION("""COMPUTED_VALUE"""),"Erlang")</f>
        <v>Erlang</v>
      </c>
      <c r="J2973" s="9" t="str">
        <f>IFERROR(__xludf.DUMMYFUNCTION("""COMPUTED_VALUE"""),"Java")</f>
        <v>Java</v>
      </c>
      <c r="K2973" s="9" t="str">
        <f>IFERROR(__xludf.DUMMYFUNCTION("""COMPUTED_VALUE"""),"HTML/CSS")</f>
        <v>HTML/CSS</v>
      </c>
      <c r="L2973" s="9" t="str">
        <f>IFERROR(__xludf.DUMMYFUNCTION("""COMPUTED_VALUE"""),"HTML/CSS")</f>
        <v>HTML/CSS</v>
      </c>
      <c r="M2973" s="9" t="s">
        <v>33</v>
      </c>
    </row>
    <row r="2974" ht="15.75" customHeight="1">
      <c r="A2974" s="7"/>
      <c r="B2974" s="7" t="str">
        <f>IFERROR(__xludf.DUMMYFUNCTION("""COMPUTED_VALUE"""),"Bash/Shell/PowerShell;C#;HTML/CSS;Java;JavaScript;PHP;Python;SQL;TypeScript")</f>
        <v>Bash/Shell/PowerShell;C#;HTML/CSS;Java;JavaScript;PHP;Python;SQL;TypeScript</v>
      </c>
      <c r="C2974" s="9" t="str">
        <f>IFERROR(__xludf.DUMMYFUNCTION("""COMPUTED_VALUE"""),"C#")</f>
        <v>C#</v>
      </c>
      <c r="D2974" s="9" t="str">
        <f>IFERROR(__xludf.DUMMYFUNCTION("""COMPUTED_VALUE"""),"Ruby")</f>
        <v>Ruby</v>
      </c>
      <c r="E2974" s="9" t="str">
        <f>IFERROR(__xludf.DUMMYFUNCTION("""COMPUTED_VALUE"""),"TypeScript")</f>
        <v>TypeScript</v>
      </c>
      <c r="F2974" s="9" t="str">
        <f>IFERROR(__xludf.DUMMYFUNCTION("""COMPUTED_VALUE"""),"C++")</f>
        <v>C++</v>
      </c>
      <c r="G2974" s="9" t="str">
        <f>IFERROR(__xludf.DUMMYFUNCTION("""COMPUTED_VALUE"""),"C#")</f>
        <v>C#</v>
      </c>
      <c r="H2974" s="9" t="str">
        <f>IFERROR(__xludf.DUMMYFUNCTION("""COMPUTED_VALUE"""),"TypeScript")</f>
        <v>TypeScript</v>
      </c>
      <c r="I2974" s="9" t="str">
        <f>IFERROR(__xludf.DUMMYFUNCTION("""COMPUTED_VALUE"""),"HTML/CSS")</f>
        <v>HTML/CSS</v>
      </c>
      <c r="J2974" s="9" t="str">
        <f>IFERROR(__xludf.DUMMYFUNCTION("""COMPUTED_VALUE"""),"JavaScript")</f>
        <v>JavaScript</v>
      </c>
      <c r="K2974" s="9" t="str">
        <f>IFERROR(__xludf.DUMMYFUNCTION("""COMPUTED_VALUE"""),"JavaScript")</f>
        <v>JavaScript</v>
      </c>
      <c r="L2974" s="9" t="str">
        <f>IFERROR(__xludf.DUMMYFUNCTION("""COMPUTED_VALUE"""),"JavaScript")</f>
        <v>JavaScript</v>
      </c>
      <c r="M2974" s="9" t="s">
        <v>26</v>
      </c>
    </row>
    <row r="2975" ht="15.75" customHeight="1">
      <c r="A2975" s="7"/>
      <c r="B2975" s="7" t="str">
        <f>IFERROR(__xludf.DUMMYFUNCTION("""COMPUTED_VALUE"""),"HTML/CSS;JavaScript;Kotlin;Python;Scala;SQL;TypeScript")</f>
        <v>HTML/CSS;JavaScript;Kotlin;Python;Scala;SQL;TypeScript</v>
      </c>
      <c r="C2975" s="9" t="str">
        <f>IFERROR(__xludf.DUMMYFUNCTION("""COMPUTED_VALUE"""),"JavaScript")</f>
        <v>JavaScript</v>
      </c>
      <c r="D2975" s="9" t="str">
        <f>IFERROR(__xludf.DUMMYFUNCTION("""COMPUTED_VALUE"""),"SQL")</f>
        <v>SQL</v>
      </c>
      <c r="E2975" s="9" t="str">
        <f>IFERROR(__xludf.DUMMYFUNCTION("""COMPUTED_VALUE"""),"Bash/Shell/PowerShell")</f>
        <v>Bash/Shell/PowerShell</v>
      </c>
      <c r="F2975" s="9" t="str">
        <f>IFERROR(__xludf.DUMMYFUNCTION("""COMPUTED_VALUE"""),"HTML/CSS")</f>
        <v>HTML/CSS</v>
      </c>
      <c r="G2975" s="9" t="str">
        <f>IFERROR(__xludf.DUMMYFUNCTION("""COMPUTED_VALUE"""),"HTML/CSS")</f>
        <v>HTML/CSS</v>
      </c>
      <c r="H2975" s="9" t="str">
        <f>IFERROR(__xludf.DUMMYFUNCTION("""COMPUTED_VALUE"""),"Bash/Shell/PowerShell")</f>
        <v>Bash/Shell/PowerShell</v>
      </c>
      <c r="I2975" s="9" t="str">
        <f>IFERROR(__xludf.DUMMYFUNCTION("""COMPUTED_VALUE"""),"JavaScript")</f>
        <v>JavaScript</v>
      </c>
      <c r="J2975" s="9" t="str">
        <f>IFERROR(__xludf.DUMMYFUNCTION("""COMPUTED_VALUE"""),"Assembly")</f>
        <v>Assembly</v>
      </c>
      <c r="K2975" s="9" t="str">
        <f>IFERROR(__xludf.DUMMYFUNCTION("""COMPUTED_VALUE"""),"Python")</f>
        <v>Python</v>
      </c>
      <c r="L2975" s="9" t="str">
        <f>IFERROR(__xludf.DUMMYFUNCTION("""COMPUTED_VALUE"""),"PHP")</f>
        <v>PHP</v>
      </c>
      <c r="M2975" s="9" t="s">
        <v>21</v>
      </c>
    </row>
    <row r="2976" ht="15.75" customHeight="1">
      <c r="A2976" s="7"/>
      <c r="B2976" s="7" t="str">
        <f>IFERROR(__xludf.DUMMYFUNCTION("""COMPUTED_VALUE"""),"HTML/CSS;JavaScript;TypeScript")</f>
        <v>HTML/CSS;JavaScript;TypeScript</v>
      </c>
      <c r="C2976" s="9" t="str">
        <f>IFERROR(__xludf.DUMMYFUNCTION("""COMPUTED_VALUE"""),"SQL")</f>
        <v>SQL</v>
      </c>
      <c r="D2976" s="9" t="str">
        <f>IFERROR(__xludf.DUMMYFUNCTION("""COMPUTED_VALUE"""),"TypeScript")</f>
        <v>TypeScript</v>
      </c>
      <c r="E2976" s="9" t="str">
        <f>IFERROR(__xludf.DUMMYFUNCTION("""COMPUTED_VALUE"""),"C#")</f>
        <v>C#</v>
      </c>
      <c r="F2976" s="9" t="str">
        <f>IFERROR(__xludf.DUMMYFUNCTION("""COMPUTED_VALUE"""),"Java")</f>
        <v>Java</v>
      </c>
      <c r="G2976" s="9" t="str">
        <f>IFERROR(__xludf.DUMMYFUNCTION("""COMPUTED_VALUE"""),"JavaScript")</f>
        <v>JavaScript</v>
      </c>
      <c r="H2976" s="9" t="str">
        <f>IFERROR(__xludf.DUMMYFUNCTION("""COMPUTED_VALUE"""),"C#")</f>
        <v>C#</v>
      </c>
      <c r="I2976" s="9" t="str">
        <f>IFERROR(__xludf.DUMMYFUNCTION("""COMPUTED_VALUE"""),"Python")</f>
        <v>Python</v>
      </c>
      <c r="J2976" s="9" t="str">
        <f>IFERROR(__xludf.DUMMYFUNCTION("""COMPUTED_VALUE"""),"C")</f>
        <v>C</v>
      </c>
      <c r="K2976" s="9" t="str">
        <f>IFERROR(__xludf.DUMMYFUNCTION("""COMPUTED_VALUE"""),"R")</f>
        <v>R</v>
      </c>
      <c r="L2976" s="9" t="str">
        <f>IFERROR(__xludf.DUMMYFUNCTION("""COMPUTED_VALUE"""),"Java")</f>
        <v>Java</v>
      </c>
      <c r="M2976" s="9" t="s">
        <v>27</v>
      </c>
    </row>
    <row r="2977" ht="15.75" customHeight="1">
      <c r="A2977" s="7"/>
      <c r="B2977" s="7" t="str">
        <f>IFERROR(__xludf.DUMMYFUNCTION("""COMPUTED_VALUE"""),"HTML/CSS;JavaScript;Python")</f>
        <v>HTML/CSS;JavaScript;Python</v>
      </c>
      <c r="C2977" s="9" t="str">
        <f>IFERROR(__xludf.DUMMYFUNCTION("""COMPUTED_VALUE"""),"Bash/Shell/PowerShell")</f>
        <v>Bash/Shell/PowerShell</v>
      </c>
      <c r="D2977" s="9" t="str">
        <f>IFERROR(__xludf.DUMMYFUNCTION("""COMPUTED_VALUE"""),"Other(s):")</f>
        <v>Other(s):</v>
      </c>
      <c r="E2977" s="9" t="str">
        <f>IFERROR(__xludf.DUMMYFUNCTION("""COMPUTED_VALUE"""),"HTML/CSS")</f>
        <v>HTML/CSS</v>
      </c>
      <c r="F2977" s="9" t="str">
        <f>IFERROR(__xludf.DUMMYFUNCTION("""COMPUTED_VALUE"""),"PHP")</f>
        <v>PHP</v>
      </c>
      <c r="G2977" s="9" t="str">
        <f>IFERROR(__xludf.DUMMYFUNCTION("""COMPUTED_VALUE"""),"SQL")</f>
        <v>SQL</v>
      </c>
      <c r="H2977" s="9" t="str">
        <f>IFERROR(__xludf.DUMMYFUNCTION("""COMPUTED_VALUE"""),"HTML/CSS")</f>
        <v>HTML/CSS</v>
      </c>
      <c r="I2977" s="9" t="str">
        <f>IFERROR(__xludf.DUMMYFUNCTION("""COMPUTED_VALUE"""),"Ruby")</f>
        <v>Ruby</v>
      </c>
      <c r="J2977" s="9" t="str">
        <f>IFERROR(__xludf.DUMMYFUNCTION("""COMPUTED_VALUE"""),"C++")</f>
        <v>C++</v>
      </c>
      <c r="K2977" s="9" t="str">
        <f>IFERROR(__xludf.DUMMYFUNCTION("""COMPUTED_VALUE"""),"TypeScript")</f>
        <v>TypeScript</v>
      </c>
      <c r="L2977" s="9" t="str">
        <f>IFERROR(__xludf.DUMMYFUNCTION("""COMPUTED_VALUE"""),"Kotlin")</f>
        <v>Kotlin</v>
      </c>
      <c r="M2977" s="9" t="s">
        <v>30</v>
      </c>
    </row>
    <row r="2978" ht="15.75" customHeight="1">
      <c r="A2978" s="7"/>
      <c r="B2978" s="7" t="str">
        <f>IFERROR(__xludf.DUMMYFUNCTION("""COMPUTED_VALUE"""),"C;C++;C#;HTML/CSS;JavaScript;PHP;SQL")</f>
        <v>C;C++;C#;HTML/CSS;JavaScript;PHP;SQL</v>
      </c>
      <c r="C2978" s="9" t="str">
        <f>IFERROR(__xludf.DUMMYFUNCTION("""COMPUTED_VALUE"""),"C")</f>
        <v>C</v>
      </c>
      <c r="D2978" s="9" t="str">
        <f>IFERROR(__xludf.DUMMYFUNCTION("""COMPUTED_VALUE"""),"Bash/Shell/PowerShell")</f>
        <v>Bash/Shell/PowerShell</v>
      </c>
      <c r="E2978" s="9" t="str">
        <f>IFERROR(__xludf.DUMMYFUNCTION("""COMPUTED_VALUE"""),"JavaScript")</f>
        <v>JavaScript</v>
      </c>
      <c r="F2978" s="9" t="str">
        <f>IFERROR(__xludf.DUMMYFUNCTION("""COMPUTED_VALUE"""),"Python")</f>
        <v>Python</v>
      </c>
      <c r="G2978" s="9" t="str">
        <f>IFERROR(__xludf.DUMMYFUNCTION("""COMPUTED_VALUE"""),"Other(s):")</f>
        <v>Other(s):</v>
      </c>
      <c r="H2978" s="9" t="str">
        <f>IFERROR(__xludf.DUMMYFUNCTION("""COMPUTED_VALUE"""),"JavaScript")</f>
        <v>JavaScript</v>
      </c>
      <c r="I2978" s="9" t="str">
        <f>IFERROR(__xludf.DUMMYFUNCTION("""COMPUTED_VALUE"""),"Rust")</f>
        <v>Rust</v>
      </c>
      <c r="J2978" s="9" t="str">
        <f>IFERROR(__xludf.DUMMYFUNCTION("""COMPUTED_VALUE"""),"Java")</f>
        <v>Java</v>
      </c>
      <c r="K2978" s="9" t="str">
        <f>IFERROR(__xludf.DUMMYFUNCTION("""COMPUTED_VALUE"""),"HTML/CSS")</f>
        <v>HTML/CSS</v>
      </c>
      <c r="L2978" s="9" t="str">
        <f>IFERROR(__xludf.DUMMYFUNCTION("""COMPUTED_VALUE"""),"Bash/Shell/PowerShell")</f>
        <v>Bash/Shell/PowerShell</v>
      </c>
      <c r="M2978" s="9" t="s">
        <v>25</v>
      </c>
    </row>
    <row r="2979" ht="15.75" customHeight="1">
      <c r="A2979" s="7"/>
      <c r="B2979" s="7" t="str">
        <f>IFERROR(__xludf.DUMMYFUNCTION("""COMPUTED_VALUE"""),"Assembly;C;C++;C#;HTML/CSS;JavaScript;Python;TypeScript")</f>
        <v>Assembly;C;C++;C#;HTML/CSS;JavaScript;Python;TypeScript</v>
      </c>
      <c r="C2979" s="9" t="str">
        <f>IFERROR(__xludf.DUMMYFUNCTION("""COMPUTED_VALUE"""),"C++")</f>
        <v>C++</v>
      </c>
      <c r="D2979" s="9" t="str">
        <f>IFERROR(__xludf.DUMMYFUNCTION("""COMPUTED_VALUE"""),"Go")</f>
        <v>Go</v>
      </c>
      <c r="E2979" s="9" t="str">
        <f>IFERROR(__xludf.DUMMYFUNCTION("""COMPUTED_VALUE"""),"PHP")</f>
        <v>PHP</v>
      </c>
      <c r="F2979" s="9" t="str">
        <f>IFERROR(__xludf.DUMMYFUNCTION("""COMPUTED_VALUE"""),"SQL")</f>
        <v>SQL</v>
      </c>
      <c r="G2979" s="9" t="str">
        <f>IFERROR(__xludf.DUMMYFUNCTION("""COMPUTED_VALUE"""),"Python")</f>
        <v>Python</v>
      </c>
      <c r="H2979" s="9" t="str">
        <f>IFERROR(__xludf.DUMMYFUNCTION("""COMPUTED_VALUE"""),"SQL")</f>
        <v>SQL</v>
      </c>
      <c r="I2979" s="9" t="str">
        <f>IFERROR(__xludf.DUMMYFUNCTION("""COMPUTED_VALUE"""),"Bash/Shell/PowerShell")</f>
        <v>Bash/Shell/PowerShell</v>
      </c>
      <c r="J2979" s="9" t="str">
        <f>IFERROR(__xludf.DUMMYFUNCTION("""COMPUTED_VALUE"""),"Other(s):")</f>
        <v>Other(s):</v>
      </c>
      <c r="K2979" s="9" t="str">
        <f>IFERROR(__xludf.DUMMYFUNCTION("""COMPUTED_VALUE"""),"Java")</f>
        <v>Java</v>
      </c>
      <c r="L2979" s="9" t="str">
        <f>IFERROR(__xludf.DUMMYFUNCTION("""COMPUTED_VALUE"""),"C")</f>
        <v>C</v>
      </c>
      <c r="M2979" s="9" t="s">
        <v>23</v>
      </c>
    </row>
    <row r="2980" ht="15.75" customHeight="1">
      <c r="A2980" s="7"/>
      <c r="B2980" s="7" t="str">
        <f>IFERROR(__xludf.DUMMYFUNCTION("""COMPUTED_VALUE"""),"Assembly;C;C++;C#;HTML/CSS;Java;JavaScript;VBA")</f>
        <v>Assembly;C;C++;C#;HTML/CSS;Java;JavaScript;VBA</v>
      </c>
      <c r="C2980" s="9" t="str">
        <f>IFERROR(__xludf.DUMMYFUNCTION("""COMPUTED_VALUE"""),"Erlang")</f>
        <v>Erlang</v>
      </c>
      <c r="D2980" s="9" t="str">
        <f>IFERROR(__xludf.DUMMYFUNCTION("""COMPUTED_VALUE"""),"Java")</f>
        <v>Java</v>
      </c>
      <c r="E2980" s="9" t="str">
        <f>IFERROR(__xludf.DUMMYFUNCTION("""COMPUTED_VALUE"""),"Ruby")</f>
        <v>Ruby</v>
      </c>
      <c r="F2980" s="9" t="str">
        <f>IFERROR(__xludf.DUMMYFUNCTION("""COMPUTED_VALUE"""),"VBA")</f>
        <v>VBA</v>
      </c>
      <c r="G2980" s="9" t="str">
        <f>IFERROR(__xludf.DUMMYFUNCTION("""COMPUTED_VALUE"""),"SQL")</f>
        <v>SQL</v>
      </c>
      <c r="H2980" s="9" t="str">
        <f>IFERROR(__xludf.DUMMYFUNCTION("""COMPUTED_VALUE"""),"C")</f>
        <v>C</v>
      </c>
      <c r="I2980" s="9" t="str">
        <f>IFERROR(__xludf.DUMMYFUNCTION("""COMPUTED_VALUE"""),"HTML/CSS")</f>
        <v>HTML/CSS</v>
      </c>
      <c r="J2980" s="9" t="str">
        <f>IFERROR(__xludf.DUMMYFUNCTION("""COMPUTED_VALUE"""),"Bash/Shell/PowerShell")</f>
        <v>Bash/Shell/PowerShell</v>
      </c>
      <c r="K2980" s="9" t="str">
        <f>IFERROR(__xludf.DUMMYFUNCTION("""COMPUTED_VALUE"""),"JavaScript")</f>
        <v>JavaScript</v>
      </c>
      <c r="L2980" s="9" t="str">
        <f>IFERROR(__xludf.DUMMYFUNCTION("""COMPUTED_VALUE"""),"C++")</f>
        <v>C++</v>
      </c>
      <c r="M2980" s="9" t="s">
        <v>43</v>
      </c>
    </row>
    <row r="2981" ht="15.75" customHeight="1">
      <c r="A2981" s="7"/>
      <c r="B2981" s="7" t="str">
        <f>IFERROR(__xludf.DUMMYFUNCTION("""COMPUTED_VALUE"""),"Dart;HTML/CSS;JavaScript;PHP")</f>
        <v>Dart;HTML/CSS;JavaScript;PHP</v>
      </c>
      <c r="C2981" s="9" t="str">
        <f>IFERROR(__xludf.DUMMYFUNCTION("""COMPUTED_VALUE"""),"Go")</f>
        <v>Go</v>
      </c>
      <c r="D2981" s="9" t="str">
        <f>IFERROR(__xludf.DUMMYFUNCTION("""COMPUTED_VALUE"""),"Kotlin")</f>
        <v>Kotlin</v>
      </c>
      <c r="E2981" s="9" t="str">
        <f>IFERROR(__xludf.DUMMYFUNCTION("""COMPUTED_VALUE"""),"SQL")</f>
        <v>SQL</v>
      </c>
      <c r="F2981" s="9" t="str">
        <f>IFERROR(__xludf.DUMMYFUNCTION("""COMPUTED_VALUE"""),"Bash/Shell/PowerShell")</f>
        <v>Bash/Shell/PowerShell</v>
      </c>
      <c r="G2981" s="9" t="str">
        <f>IFERROR(__xludf.DUMMYFUNCTION("""COMPUTED_VALUE"""),"VBA")</f>
        <v>VBA</v>
      </c>
      <c r="H2981" s="9" t="str">
        <f>IFERROR(__xludf.DUMMYFUNCTION("""COMPUTED_VALUE"""),"Java")</f>
        <v>Java</v>
      </c>
      <c r="I2981" s="9" t="str">
        <f>IFERROR(__xludf.DUMMYFUNCTION("""COMPUTED_VALUE"""),"Java")</f>
        <v>Java</v>
      </c>
      <c r="J2981" s="9" t="str">
        <f>IFERROR(__xludf.DUMMYFUNCTION("""COMPUTED_VALUE"""),"Java")</f>
        <v>Java</v>
      </c>
      <c r="K2981" s="9" t="str">
        <f>IFERROR(__xludf.DUMMYFUNCTION("""COMPUTED_VALUE"""),"C")</f>
        <v>C</v>
      </c>
      <c r="L2981" s="9" t="str">
        <f>IFERROR(__xludf.DUMMYFUNCTION("""COMPUTED_VALUE"""),"HTML/CSS")</f>
        <v>HTML/CSS</v>
      </c>
      <c r="M2981" s="9" t="s">
        <v>36</v>
      </c>
    </row>
    <row r="2982" ht="15.75" customHeight="1">
      <c r="A2982" s="7"/>
      <c r="B2982" s="7" t="str">
        <f>IFERROR(__xludf.DUMMYFUNCTION("""COMPUTED_VALUE"""),"JavaScript;PHP;SQL;TypeScript")</f>
        <v>JavaScript;PHP;SQL;TypeScript</v>
      </c>
      <c r="C2982" s="9" t="str">
        <f>IFERROR(__xludf.DUMMYFUNCTION("""COMPUTED_VALUE"""),"HTML/CSS")</f>
        <v>HTML/CSS</v>
      </c>
      <c r="D2982" s="9" t="str">
        <f>IFERROR(__xludf.DUMMYFUNCTION("""COMPUTED_VALUE"""),"SQL")</f>
        <v>SQL</v>
      </c>
      <c r="E2982" s="9" t="str">
        <f>IFERROR(__xludf.DUMMYFUNCTION("""COMPUTED_VALUE"""),"Bash/Shell/PowerShell")</f>
        <v>Bash/Shell/PowerShell</v>
      </c>
      <c r="F2982" s="9" t="str">
        <f>IFERROR(__xludf.DUMMYFUNCTION("""COMPUTED_VALUE"""),"C++")</f>
        <v>C++</v>
      </c>
      <c r="G2982" s="9" t="str">
        <f>IFERROR(__xludf.DUMMYFUNCTION("""COMPUTED_VALUE"""),"Java")</f>
        <v>Java</v>
      </c>
      <c r="H2982" s="9" t="str">
        <f>IFERROR(__xludf.DUMMYFUNCTION("""COMPUTED_VALUE"""),"Other(s):")</f>
        <v>Other(s):</v>
      </c>
      <c r="I2982" s="9" t="str">
        <f>IFERROR(__xludf.DUMMYFUNCTION("""COMPUTED_VALUE"""),"Bash/Shell/PowerShell")</f>
        <v>Bash/Shell/PowerShell</v>
      </c>
      <c r="J2982" s="9" t="str">
        <f>IFERROR(__xludf.DUMMYFUNCTION("""COMPUTED_VALUE"""),"JavaScript")</f>
        <v>JavaScript</v>
      </c>
      <c r="K2982" s="9" t="str">
        <f>IFERROR(__xludf.DUMMYFUNCTION("""COMPUTED_VALUE"""),"HTML/CSS")</f>
        <v>HTML/CSS</v>
      </c>
      <c r="L2982" s="9" t="str">
        <f>IFERROR(__xludf.DUMMYFUNCTION("""COMPUTED_VALUE"""),"JavaScript")</f>
        <v>JavaScript</v>
      </c>
      <c r="M2982" s="9" t="s">
        <v>24</v>
      </c>
    </row>
    <row r="2983" ht="15.75" customHeight="1">
      <c r="A2983" s="7"/>
      <c r="B2983" s="7" t="str">
        <f>IFERROR(__xludf.DUMMYFUNCTION("""COMPUTED_VALUE"""),"Bash/Shell/PowerShell;C;C++;C#;HTML/CSS;JavaScript;SQL;TypeScript")</f>
        <v>Bash/Shell/PowerShell;C;C++;C#;HTML/CSS;JavaScript;SQL;TypeScript</v>
      </c>
      <c r="C2983" s="9" t="str">
        <f>IFERROR(__xludf.DUMMYFUNCTION("""COMPUTED_VALUE"""),"Java")</f>
        <v>Java</v>
      </c>
      <c r="D2983" s="9" t="str">
        <f>IFERROR(__xludf.DUMMYFUNCTION("""COMPUTED_VALUE"""),"Java")</f>
        <v>Java</v>
      </c>
      <c r="E2983" s="9" t="str">
        <f>IFERROR(__xludf.DUMMYFUNCTION("""COMPUTED_VALUE"""),"C#")</f>
        <v>C#</v>
      </c>
      <c r="F2983" s="9" t="str">
        <f>IFERROR(__xludf.DUMMYFUNCTION("""COMPUTED_VALUE"""),"Python")</f>
        <v>Python</v>
      </c>
      <c r="G2983" s="9" t="str">
        <f>IFERROR(__xludf.DUMMYFUNCTION("""COMPUTED_VALUE"""),"Kotlin")</f>
        <v>Kotlin</v>
      </c>
      <c r="H2983" s="9" t="str">
        <f>IFERROR(__xludf.DUMMYFUNCTION("""COMPUTED_VALUE"""),"Bash/Shell/PowerShell")</f>
        <v>Bash/Shell/PowerShell</v>
      </c>
      <c r="I2983" s="9" t="str">
        <f>IFERROR(__xludf.DUMMYFUNCTION("""COMPUTED_VALUE"""),"HTML/CSS")</f>
        <v>HTML/CSS</v>
      </c>
      <c r="J2983" s="9" t="str">
        <f>IFERROR(__xludf.DUMMYFUNCTION("""COMPUTED_VALUE"""),"Other(s):")</f>
        <v>Other(s):</v>
      </c>
      <c r="K2983" s="9" t="str">
        <f>IFERROR(__xludf.DUMMYFUNCTION("""COMPUTED_VALUE"""),"Java")</f>
        <v>Java</v>
      </c>
      <c r="L2983" s="9" t="str">
        <f>IFERROR(__xludf.DUMMYFUNCTION("""COMPUTED_VALUE"""),"Python")</f>
        <v>Python</v>
      </c>
      <c r="M2983" s="9" t="s">
        <v>20</v>
      </c>
    </row>
    <row r="2984" ht="15.75" customHeight="1">
      <c r="A2984" s="7"/>
      <c r="B2984" s="7" t="str">
        <f>IFERROR(__xludf.DUMMYFUNCTION("""COMPUTED_VALUE"""),"HTML/CSS;JavaScript;PHP")</f>
        <v>HTML/CSS;JavaScript;PHP</v>
      </c>
      <c r="C2984" s="9" t="str">
        <f>IFERROR(__xludf.DUMMYFUNCTION("""COMPUTED_VALUE"""),"Python")</f>
        <v>Python</v>
      </c>
      <c r="D2984" s="9" t="str">
        <f>IFERROR(__xludf.DUMMYFUNCTION("""COMPUTED_VALUE"""),"JavaScript")</f>
        <v>JavaScript</v>
      </c>
      <c r="E2984" s="9" t="str">
        <f>IFERROR(__xludf.DUMMYFUNCTION("""COMPUTED_VALUE"""),"Go")</f>
        <v>Go</v>
      </c>
      <c r="F2984" s="9" t="str">
        <f>IFERROR(__xludf.DUMMYFUNCTION("""COMPUTED_VALUE"""),"Rust")</f>
        <v>Rust</v>
      </c>
      <c r="G2984" s="9" t="str">
        <f>IFERROR(__xludf.DUMMYFUNCTION("""COMPUTED_VALUE"""),"C#")</f>
        <v>C#</v>
      </c>
      <c r="H2984" s="9" t="str">
        <f>IFERROR(__xludf.DUMMYFUNCTION("""COMPUTED_VALUE"""),"C#")</f>
        <v>C#</v>
      </c>
      <c r="I2984" s="9" t="str">
        <f>IFERROR(__xludf.DUMMYFUNCTION("""COMPUTED_VALUE"""),"JavaScript")</f>
        <v>JavaScript</v>
      </c>
      <c r="J2984" s="9" t="str">
        <f>IFERROR(__xludf.DUMMYFUNCTION("""COMPUTED_VALUE"""),"C++")</f>
        <v>C++</v>
      </c>
      <c r="K2984" s="9" t="str">
        <f>IFERROR(__xludf.DUMMYFUNCTION("""COMPUTED_VALUE"""),"JavaScript")</f>
        <v>JavaScript</v>
      </c>
      <c r="L2984" s="9" t="str">
        <f>IFERROR(__xludf.DUMMYFUNCTION("""COMPUTED_VALUE"""),"VBA")</f>
        <v>VBA</v>
      </c>
      <c r="M2984" s="9" t="s">
        <v>22</v>
      </c>
    </row>
    <row r="2985" ht="15.75" customHeight="1">
      <c r="A2985" s="7"/>
      <c r="B2985" s="7" t="str">
        <f>IFERROR(__xludf.DUMMYFUNCTION("""COMPUTED_VALUE"""),"C;C++;HTML/CSS;Java;PHP;Python;SQL")</f>
        <v>C;C++;HTML/CSS;Java;PHP;Python;SQL</v>
      </c>
      <c r="C2985" s="9" t="str">
        <f>IFERROR(__xludf.DUMMYFUNCTION("""COMPUTED_VALUE"""),"SQL")</f>
        <v>SQL</v>
      </c>
      <c r="D2985" s="9" t="str">
        <f>IFERROR(__xludf.DUMMYFUNCTION("""COMPUTED_VALUE"""),"TypeScript")</f>
        <v>TypeScript</v>
      </c>
      <c r="E2985" s="9" t="str">
        <f>IFERROR(__xludf.DUMMYFUNCTION("""COMPUTED_VALUE"""),"HTML/CSS")</f>
        <v>HTML/CSS</v>
      </c>
      <c r="F2985" s="9" t="str">
        <f>IFERROR(__xludf.DUMMYFUNCTION("""COMPUTED_VALUE"""),"HTML/CSS")</f>
        <v>HTML/CSS</v>
      </c>
      <c r="G2985" s="9" t="str">
        <f>IFERROR(__xludf.DUMMYFUNCTION("""COMPUTED_VALUE"""),"HTML/CSS")</f>
        <v>HTML/CSS</v>
      </c>
      <c r="H2985" s="9" t="str">
        <f>IFERROR(__xludf.DUMMYFUNCTION("""COMPUTED_VALUE"""),"HTML/CSS")</f>
        <v>HTML/CSS</v>
      </c>
      <c r="I2985" s="9" t="str">
        <f>IFERROR(__xludf.DUMMYFUNCTION("""COMPUTED_VALUE"""),"SQL")</f>
        <v>SQL</v>
      </c>
      <c r="J2985" s="9" t="str">
        <f>IFERROR(__xludf.DUMMYFUNCTION("""COMPUTED_VALUE"""),"C#")</f>
        <v>C#</v>
      </c>
      <c r="K2985" s="9" t="str">
        <f>IFERROR(__xludf.DUMMYFUNCTION("""COMPUTED_VALUE"""),"PHP")</f>
        <v>PHP</v>
      </c>
      <c r="L2985" s="9" t="str">
        <f>IFERROR(__xludf.DUMMYFUNCTION("""COMPUTED_VALUE"""),"C")</f>
        <v>C</v>
      </c>
      <c r="M2985" s="9" t="s">
        <v>27</v>
      </c>
    </row>
    <row r="2986" ht="15.75" customHeight="1">
      <c r="A2986" s="7"/>
      <c r="B2986" s="7" t="str">
        <f>IFERROR(__xludf.DUMMYFUNCTION("""COMPUTED_VALUE"""),"Java")</f>
        <v>Java</v>
      </c>
      <c r="C2986" s="9" t="str">
        <f>IFERROR(__xludf.DUMMYFUNCTION("""COMPUTED_VALUE"""),"HTML/CSS")</f>
        <v>HTML/CSS</v>
      </c>
      <c r="D2986" s="9" t="str">
        <f>IFERROR(__xludf.DUMMYFUNCTION("""COMPUTED_VALUE"""),"C#")</f>
        <v>C#</v>
      </c>
      <c r="E2986" s="9" t="str">
        <f>IFERROR(__xludf.DUMMYFUNCTION("""COMPUTED_VALUE"""),"JavaScript")</f>
        <v>JavaScript</v>
      </c>
      <c r="F2986" s="9" t="str">
        <f>IFERROR(__xludf.DUMMYFUNCTION("""COMPUTED_VALUE"""),"JavaScript")</f>
        <v>JavaScript</v>
      </c>
      <c r="G2986" s="9" t="str">
        <f>IFERROR(__xludf.DUMMYFUNCTION("""COMPUTED_VALUE"""),"JavaScript")</f>
        <v>JavaScript</v>
      </c>
      <c r="H2986" s="9" t="str">
        <f>IFERROR(__xludf.DUMMYFUNCTION("""COMPUTED_VALUE"""),"JavaScript")</f>
        <v>JavaScript</v>
      </c>
      <c r="I2986" s="9" t="str">
        <f>IFERROR(__xludf.DUMMYFUNCTION("""COMPUTED_VALUE"""),"Bash/Shell/PowerShell")</f>
        <v>Bash/Shell/PowerShell</v>
      </c>
      <c r="J2986" s="9" t="str">
        <f>IFERROR(__xludf.DUMMYFUNCTION("""COMPUTED_VALUE"""),"Ruby")</f>
        <v>Ruby</v>
      </c>
      <c r="K2986" s="9" t="str">
        <f>IFERROR(__xludf.DUMMYFUNCTION("""COMPUTED_VALUE"""),"Python")</f>
        <v>Python</v>
      </c>
      <c r="L2986" s="9" t="str">
        <f>IFERROR(__xludf.DUMMYFUNCTION("""COMPUTED_VALUE"""),"C++")</f>
        <v>C++</v>
      </c>
      <c r="M2986" s="9" t="s">
        <v>24</v>
      </c>
    </row>
    <row r="2987" ht="15.75" customHeight="1">
      <c r="A2987" s="7"/>
      <c r="B2987" s="7" t="str">
        <f>IFERROR(__xludf.DUMMYFUNCTION("""COMPUTED_VALUE"""),"HTML/CSS;JavaScript;Python")</f>
        <v>HTML/CSS;JavaScript;Python</v>
      </c>
      <c r="C2987" s="9" t="str">
        <f>IFERROR(__xludf.DUMMYFUNCTION("""COMPUTED_VALUE"""),"JavaScript")</f>
        <v>JavaScript</v>
      </c>
      <c r="D2987" s="9" t="str">
        <f>IFERROR(__xludf.DUMMYFUNCTION("""COMPUTED_VALUE"""),"Java")</f>
        <v>Java</v>
      </c>
      <c r="E2987" s="9" t="str">
        <f>IFERROR(__xludf.DUMMYFUNCTION("""COMPUTED_VALUE"""),"Python")</f>
        <v>Python</v>
      </c>
      <c r="F2987" s="9" t="str">
        <f>IFERROR(__xludf.DUMMYFUNCTION("""COMPUTED_VALUE"""),"Python")</f>
        <v>Python</v>
      </c>
      <c r="G2987" s="9" t="str">
        <f>IFERROR(__xludf.DUMMYFUNCTION("""COMPUTED_VALUE"""),"TypeScript")</f>
        <v>TypeScript</v>
      </c>
      <c r="H2987" s="9" t="str">
        <f>IFERROR(__xludf.DUMMYFUNCTION("""COMPUTED_VALUE"""),"SQL")</f>
        <v>SQL</v>
      </c>
      <c r="I2987" s="9" t="str">
        <f>IFERROR(__xludf.DUMMYFUNCTION("""COMPUTED_VALUE"""),"C++")</f>
        <v>C++</v>
      </c>
      <c r="J2987" s="9" t="str">
        <f>IFERROR(__xludf.DUMMYFUNCTION("""COMPUTED_VALUE"""),"SQL")</f>
        <v>SQL</v>
      </c>
      <c r="K2987" s="9" t="str">
        <f>IFERROR(__xludf.DUMMYFUNCTION("""COMPUTED_VALUE"""),"SQL")</f>
        <v>SQL</v>
      </c>
      <c r="L2987" s="9" t="str">
        <f>IFERROR(__xludf.DUMMYFUNCTION("""COMPUTED_VALUE"""),"Java")</f>
        <v>Java</v>
      </c>
      <c r="M2987" s="9" t="s">
        <v>21</v>
      </c>
    </row>
    <row r="2988" ht="15.75" customHeight="1">
      <c r="A2988" s="7"/>
      <c r="B2988" s="7" t="str">
        <f>IFERROR(__xludf.DUMMYFUNCTION("""COMPUTED_VALUE"""),"C#;Ruby;Swift")</f>
        <v>C#;Ruby;Swift</v>
      </c>
      <c r="C2988" s="9" t="str">
        <f>IFERROR(__xludf.DUMMYFUNCTION("""COMPUTED_VALUE"""),"Python")</f>
        <v>Python</v>
      </c>
      <c r="D2988" s="9" t="str">
        <f>IFERROR(__xludf.DUMMYFUNCTION("""COMPUTED_VALUE"""),"Assembly")</f>
        <v>Assembly</v>
      </c>
      <c r="E2988" s="9" t="str">
        <f>IFERROR(__xludf.DUMMYFUNCTION("""COMPUTED_VALUE"""),"HTML/CSS")</f>
        <v>HTML/CSS</v>
      </c>
      <c r="F2988" s="9" t="str">
        <f>IFERROR(__xludf.DUMMYFUNCTION("""COMPUTED_VALUE"""),"JavaScript")</f>
        <v>JavaScript</v>
      </c>
      <c r="G2988" s="9" t="str">
        <f>IFERROR(__xludf.DUMMYFUNCTION("""COMPUTED_VALUE"""),"HTML/CSS")</f>
        <v>HTML/CSS</v>
      </c>
      <c r="H2988" s="9" t="str">
        <f>IFERROR(__xludf.DUMMYFUNCTION("""COMPUTED_VALUE"""),"TypeScript")</f>
        <v>TypeScript</v>
      </c>
      <c r="I2988" s="9" t="str">
        <f>IFERROR(__xludf.DUMMYFUNCTION("""COMPUTED_VALUE"""),"C#")</f>
        <v>C#</v>
      </c>
      <c r="J2988" s="9" t="str">
        <f>IFERROR(__xludf.DUMMYFUNCTION("""COMPUTED_VALUE"""),"Bash/Shell/PowerShell")</f>
        <v>Bash/Shell/PowerShell</v>
      </c>
      <c r="K2988" s="9" t="str">
        <f>IFERROR(__xludf.DUMMYFUNCTION("""COMPUTED_VALUE"""),"VBA")</f>
        <v>VBA</v>
      </c>
      <c r="L2988" s="9" t="str">
        <f>IFERROR(__xludf.DUMMYFUNCTION("""COMPUTED_VALUE"""),"JavaScript")</f>
        <v>JavaScript</v>
      </c>
      <c r="M2988" s="9" t="s">
        <v>22</v>
      </c>
    </row>
    <row r="2989" ht="15.75" customHeight="1">
      <c r="A2989" s="7"/>
      <c r="B2989" s="7" t="str">
        <f>IFERROR(__xludf.DUMMYFUNCTION("""COMPUTED_VALUE"""),"Go;Java;Python;Other(s):")</f>
        <v>Go;Java;Python;Other(s):</v>
      </c>
      <c r="C2989" s="9" t="str">
        <f>IFERROR(__xludf.DUMMYFUNCTION("""COMPUTED_VALUE"""),"Bash/Shell/PowerShell")</f>
        <v>Bash/Shell/PowerShell</v>
      </c>
      <c r="D2989" s="9" t="str">
        <f>IFERROR(__xludf.DUMMYFUNCTION("""COMPUTED_VALUE"""),"C++")</f>
        <v>C++</v>
      </c>
      <c r="E2989" s="9" t="str">
        <f>IFERROR(__xludf.DUMMYFUNCTION("""COMPUTED_VALUE"""),"JavaScript")</f>
        <v>JavaScript</v>
      </c>
      <c r="F2989" s="9" t="str">
        <f>IFERROR(__xludf.DUMMYFUNCTION("""COMPUTED_VALUE"""),"C")</f>
        <v>C</v>
      </c>
      <c r="G2989" s="9" t="str">
        <f>IFERROR(__xludf.DUMMYFUNCTION("""COMPUTED_VALUE"""),"Java")</f>
        <v>Java</v>
      </c>
      <c r="H2989" s="9" t="str">
        <f>IFERROR(__xludf.DUMMYFUNCTION("""COMPUTED_VALUE"""),"Java")</f>
        <v>Java</v>
      </c>
      <c r="I2989" s="9" t="str">
        <f>IFERROR(__xludf.DUMMYFUNCTION("""COMPUTED_VALUE"""),"HTML/CSS")</f>
        <v>HTML/CSS</v>
      </c>
      <c r="J2989" s="9" t="str">
        <f>IFERROR(__xludf.DUMMYFUNCTION("""COMPUTED_VALUE"""),"C#")</f>
        <v>C#</v>
      </c>
      <c r="K2989" s="9" t="str">
        <f>IFERROR(__xludf.DUMMYFUNCTION("""COMPUTED_VALUE"""),"HTML/CSS")</f>
        <v>HTML/CSS</v>
      </c>
      <c r="L2989" s="9" t="str">
        <f>IFERROR(__xludf.DUMMYFUNCTION("""COMPUTED_VALUE"""),"Swift")</f>
        <v>Swift</v>
      </c>
      <c r="M2989" s="9" t="s">
        <v>30</v>
      </c>
    </row>
    <row r="2990" ht="15.75" customHeight="1">
      <c r="A2990" s="7"/>
      <c r="B2990" s="7" t="str">
        <f>IFERROR(__xludf.DUMMYFUNCTION("""COMPUTED_VALUE"""),"C;C++;HTML/CSS;JavaScript;PHP;Other(s):")</f>
        <v>C;C++;HTML/CSS;JavaScript;PHP;Other(s):</v>
      </c>
      <c r="C2990" s="9" t="str">
        <f>IFERROR(__xludf.DUMMYFUNCTION("""COMPUTED_VALUE"""),"C")</f>
        <v>C</v>
      </c>
      <c r="D2990" s="9" t="str">
        <f>IFERROR(__xludf.DUMMYFUNCTION("""COMPUTED_VALUE"""),"HTML/CSS")</f>
        <v>HTML/CSS</v>
      </c>
      <c r="E2990" s="9" t="str">
        <f>IFERROR(__xludf.DUMMYFUNCTION("""COMPUTED_VALUE"""),"PHP")</f>
        <v>PHP</v>
      </c>
      <c r="F2990" s="9" t="str">
        <f>IFERROR(__xludf.DUMMYFUNCTION("""COMPUTED_VALUE"""),"Go")</f>
        <v>Go</v>
      </c>
      <c r="G2990" s="9" t="str">
        <f>IFERROR(__xludf.DUMMYFUNCTION("""COMPUTED_VALUE"""),"JavaScript")</f>
        <v>JavaScript</v>
      </c>
      <c r="H2990" s="9" t="str">
        <f>IFERROR(__xludf.DUMMYFUNCTION("""COMPUTED_VALUE"""),"JavaScript")</f>
        <v>JavaScript</v>
      </c>
      <c r="I2990" s="9" t="str">
        <f>IFERROR(__xludf.DUMMYFUNCTION("""COMPUTED_VALUE"""),"JavaScript")</f>
        <v>JavaScript</v>
      </c>
      <c r="J2990" s="9" t="str">
        <f>IFERROR(__xludf.DUMMYFUNCTION("""COMPUTED_VALUE"""),"HTML/CSS")</f>
        <v>HTML/CSS</v>
      </c>
      <c r="K2990" s="9" t="str">
        <f>IFERROR(__xludf.DUMMYFUNCTION("""COMPUTED_VALUE"""),"JavaScript")</f>
        <v>JavaScript</v>
      </c>
      <c r="L2990" s="9" t="str">
        <f>IFERROR(__xludf.DUMMYFUNCTION("""COMPUTED_VALUE"""),"C#")</f>
        <v>C#</v>
      </c>
      <c r="M2990" s="9" t="s">
        <v>25</v>
      </c>
    </row>
    <row r="2991" ht="15.75" customHeight="1">
      <c r="A2991" s="7"/>
      <c r="B2991" s="7" t="str">
        <f>IFERROR(__xludf.DUMMYFUNCTION("""COMPUTED_VALUE"""),"C++;HTML/CSS;JavaScript;Kotlin;TypeScript;Other(s):")</f>
        <v>C++;HTML/CSS;JavaScript;Kotlin;TypeScript;Other(s):</v>
      </c>
      <c r="C2991" s="9" t="str">
        <f>IFERROR(__xludf.DUMMYFUNCTION("""COMPUTED_VALUE"""),"C++")</f>
        <v>C++</v>
      </c>
      <c r="D2991" s="9" t="str">
        <f>IFERROR(__xludf.DUMMYFUNCTION("""COMPUTED_VALUE"""),"JavaScript")</f>
        <v>JavaScript</v>
      </c>
      <c r="E2991" s="9" t="str">
        <f>IFERROR(__xludf.DUMMYFUNCTION("""COMPUTED_VALUE"""),"Ruby")</f>
        <v>Ruby</v>
      </c>
      <c r="F2991" s="9" t="str">
        <f>IFERROR(__xludf.DUMMYFUNCTION("""COMPUTED_VALUE"""),"Java")</f>
        <v>Java</v>
      </c>
      <c r="G2991" s="9" t="str">
        <f>IFERROR(__xludf.DUMMYFUNCTION("""COMPUTED_VALUE"""),"Python")</f>
        <v>Python</v>
      </c>
      <c r="H2991" s="9" t="str">
        <f>IFERROR(__xludf.DUMMYFUNCTION("""COMPUTED_VALUE"""),"Bash/Shell/PowerShell")</f>
        <v>Bash/Shell/PowerShell</v>
      </c>
      <c r="I2991" s="9" t="str">
        <f>IFERROR(__xludf.DUMMYFUNCTION("""COMPUTED_VALUE"""),"SQL")</f>
        <v>SQL</v>
      </c>
      <c r="J2991" s="9" t="str">
        <f>IFERROR(__xludf.DUMMYFUNCTION("""COMPUTED_VALUE"""),"JavaScript")</f>
        <v>JavaScript</v>
      </c>
      <c r="K2991" s="9" t="str">
        <f>IFERROR(__xludf.DUMMYFUNCTION("""COMPUTED_VALUE"""),"PHP")</f>
        <v>PHP</v>
      </c>
      <c r="L2991" s="9" t="str">
        <f>IFERROR(__xludf.DUMMYFUNCTION("""COMPUTED_VALUE"""),"HTML/CSS")</f>
        <v>HTML/CSS</v>
      </c>
      <c r="M2991" s="9" t="s">
        <v>23</v>
      </c>
    </row>
    <row r="2992" ht="15.75" customHeight="1">
      <c r="A2992" s="7"/>
      <c r="B2992" s="7" t="str">
        <f>IFERROR(__xludf.DUMMYFUNCTION("""COMPUTED_VALUE"""),"Bash/Shell/PowerShell;HTML/CSS;JavaScript;Python;SQL")</f>
        <v>Bash/Shell/PowerShell;HTML/CSS;JavaScript;Python;SQL</v>
      </c>
      <c r="C2992" s="9" t="str">
        <f>IFERROR(__xludf.DUMMYFUNCTION("""COMPUTED_VALUE"""),"Go")</f>
        <v>Go</v>
      </c>
      <c r="D2992" s="9" t="str">
        <f>IFERROR(__xludf.DUMMYFUNCTION("""COMPUTED_VALUE"""),"PHP")</f>
        <v>PHP</v>
      </c>
      <c r="E2992" s="9" t="str">
        <f>IFERROR(__xludf.DUMMYFUNCTION("""COMPUTED_VALUE"""),"SQL")</f>
        <v>SQL</v>
      </c>
      <c r="F2992" s="9" t="str">
        <f>IFERROR(__xludf.DUMMYFUNCTION("""COMPUTED_VALUE"""),"JavaScript")</f>
        <v>JavaScript</v>
      </c>
      <c r="G2992" s="9" t="str">
        <f>IFERROR(__xludf.DUMMYFUNCTION("""COMPUTED_VALUE"""),"SQL")</f>
        <v>SQL</v>
      </c>
      <c r="H2992" s="9" t="str">
        <f>IFERROR(__xludf.DUMMYFUNCTION("""COMPUTED_VALUE"""),"C#")</f>
        <v>C#</v>
      </c>
      <c r="I2992" s="9" t="str">
        <f>IFERROR(__xludf.DUMMYFUNCTION("""COMPUTED_VALUE"""),"Other(s):")</f>
        <v>Other(s):</v>
      </c>
      <c r="J2992" s="9" t="str">
        <f>IFERROR(__xludf.DUMMYFUNCTION("""COMPUTED_VALUE"""),"SQL")</f>
        <v>SQL</v>
      </c>
      <c r="K2992" s="9" t="str">
        <f>IFERROR(__xludf.DUMMYFUNCTION("""COMPUTED_VALUE"""),"Bash/Shell/PowerShell")</f>
        <v>Bash/Shell/PowerShell</v>
      </c>
      <c r="L2992" s="9" t="str">
        <f>IFERROR(__xludf.DUMMYFUNCTION("""COMPUTED_VALUE"""),"Java")</f>
        <v>Java</v>
      </c>
      <c r="M2992" s="9" t="s">
        <v>36</v>
      </c>
    </row>
    <row r="2993" ht="15.75" customHeight="1">
      <c r="A2993" s="7"/>
      <c r="B2993" s="7" t="str">
        <f>IFERROR(__xludf.DUMMYFUNCTION("""COMPUTED_VALUE"""),"Bash/Shell/PowerShell;C;C++;C#;HTML/CSS;Java;JavaScript;PHP;Python;SQL;VBA")</f>
        <v>Bash/Shell/PowerShell;C;C++;C#;HTML/CSS;Java;JavaScript;PHP;Python;SQL;VBA</v>
      </c>
      <c r="C2993" s="9" t="str">
        <f>IFERROR(__xludf.DUMMYFUNCTION("""COMPUTED_VALUE"""),"HTML/CSS")</f>
        <v>HTML/CSS</v>
      </c>
      <c r="D2993" s="9" t="str">
        <f>IFERROR(__xludf.DUMMYFUNCTION("""COMPUTED_VALUE"""),"Python")</f>
        <v>Python</v>
      </c>
      <c r="E2993" s="9" t="str">
        <f>IFERROR(__xludf.DUMMYFUNCTION("""COMPUTED_VALUE"""),"HTML/CSS")</f>
        <v>HTML/CSS</v>
      </c>
      <c r="F2993" s="9" t="str">
        <f>IFERROR(__xludf.DUMMYFUNCTION("""COMPUTED_VALUE"""),"Python")</f>
        <v>Python</v>
      </c>
      <c r="G2993" s="9" t="str">
        <f>IFERROR(__xludf.DUMMYFUNCTION("""COMPUTED_VALUE"""),"Assembly")</f>
        <v>Assembly</v>
      </c>
      <c r="H2993" s="9" t="str">
        <f>IFERROR(__xludf.DUMMYFUNCTION("""COMPUTED_VALUE"""),"Go")</f>
        <v>Go</v>
      </c>
      <c r="I2993" s="9" t="str">
        <f>IFERROR(__xludf.DUMMYFUNCTION("""COMPUTED_VALUE"""),"HTML/CSS")</f>
        <v>HTML/CSS</v>
      </c>
      <c r="J2993" s="9" t="str">
        <f>IFERROR(__xludf.DUMMYFUNCTION("""COMPUTED_VALUE"""),"VBA")</f>
        <v>VBA</v>
      </c>
      <c r="K2993" s="9" t="str">
        <f>IFERROR(__xludf.DUMMYFUNCTION("""COMPUTED_VALUE"""),"C")</f>
        <v>C</v>
      </c>
      <c r="L2993" s="9" t="str">
        <f>IFERROR(__xludf.DUMMYFUNCTION("""COMPUTED_VALUE"""),"JavaScript")</f>
        <v>JavaScript</v>
      </c>
      <c r="M2993" s="9" t="s">
        <v>24</v>
      </c>
    </row>
    <row r="2994" ht="15.75" customHeight="1">
      <c r="A2994" s="7"/>
      <c r="B2994" s="7" t="str">
        <f>IFERROR(__xludf.DUMMYFUNCTION("""COMPUTED_VALUE"""),"Bash/Shell/PowerShell;C;HTML/CSS;Java;JavaScript;SQL")</f>
        <v>Bash/Shell/PowerShell;C;HTML/CSS;Java;JavaScript;SQL</v>
      </c>
      <c r="C2994" s="9" t="str">
        <f>IFERROR(__xludf.DUMMYFUNCTION("""COMPUTED_VALUE"""),"Java")</f>
        <v>Java</v>
      </c>
      <c r="D2994" s="9" t="str">
        <f>IFERROR(__xludf.DUMMYFUNCTION("""COMPUTED_VALUE"""),"SQL")</f>
        <v>SQL</v>
      </c>
      <c r="E2994" s="9" t="str">
        <f>IFERROR(__xludf.DUMMYFUNCTION("""COMPUTED_VALUE"""),"JavaScript")</f>
        <v>JavaScript</v>
      </c>
      <c r="F2994" s="9" t="str">
        <f>IFERROR(__xludf.DUMMYFUNCTION("""COMPUTED_VALUE"""),"TypeScript")</f>
        <v>TypeScript</v>
      </c>
      <c r="G2994" s="9" t="str">
        <f>IFERROR(__xludf.DUMMYFUNCTION("""COMPUTED_VALUE"""),"C")</f>
        <v>C</v>
      </c>
      <c r="H2994" s="9" t="str">
        <f>IFERROR(__xludf.DUMMYFUNCTION("""COMPUTED_VALUE"""),"HTML/CSS")</f>
        <v>HTML/CSS</v>
      </c>
      <c r="I2994" s="9" t="str">
        <f>IFERROR(__xludf.DUMMYFUNCTION("""COMPUTED_VALUE"""),"Java")</f>
        <v>Java</v>
      </c>
      <c r="J2994" s="9" t="str">
        <f>IFERROR(__xludf.DUMMYFUNCTION("""COMPUTED_VALUE"""),"Bash/Shell/PowerShell")</f>
        <v>Bash/Shell/PowerShell</v>
      </c>
      <c r="K2994" s="9" t="str">
        <f>IFERROR(__xludf.DUMMYFUNCTION("""COMPUTED_VALUE"""),"C#")</f>
        <v>C#</v>
      </c>
      <c r="L2994" s="9" t="str">
        <f>IFERROR(__xludf.DUMMYFUNCTION("""COMPUTED_VALUE"""),"Kotlin")</f>
        <v>Kotlin</v>
      </c>
      <c r="M2994" s="9" t="s">
        <v>20</v>
      </c>
    </row>
    <row r="2995" ht="15.75" customHeight="1">
      <c r="A2995" s="7"/>
      <c r="B2995" s="7" t="str">
        <f>IFERROR(__xludf.DUMMYFUNCTION("""COMPUTED_VALUE"""),"HTML/CSS;PHP;SQL")</f>
        <v>HTML/CSS;PHP;SQL</v>
      </c>
      <c r="C2995" s="9" t="str">
        <f>IFERROR(__xludf.DUMMYFUNCTION("""COMPUTED_VALUE"""),"JavaScript")</f>
        <v>JavaScript</v>
      </c>
      <c r="D2995" s="9" t="str">
        <f>IFERROR(__xludf.DUMMYFUNCTION("""COMPUTED_VALUE"""),"Bash/Shell/PowerShell")</f>
        <v>Bash/Shell/PowerShell</v>
      </c>
      <c r="E2995" s="9" t="str">
        <f>IFERROR(__xludf.DUMMYFUNCTION("""COMPUTED_VALUE"""),"Python")</f>
        <v>Python</v>
      </c>
      <c r="F2995" s="9" t="str">
        <f>IFERROR(__xludf.DUMMYFUNCTION("""COMPUTED_VALUE"""),"Bash/Shell/PowerShell")</f>
        <v>Bash/Shell/PowerShell</v>
      </c>
      <c r="G2995" s="9" t="str">
        <f>IFERROR(__xludf.DUMMYFUNCTION("""COMPUTED_VALUE"""),"C++")</f>
        <v>C++</v>
      </c>
      <c r="H2995" s="9" t="str">
        <f>IFERROR(__xludf.DUMMYFUNCTION("""COMPUTED_VALUE"""),"Java")</f>
        <v>Java</v>
      </c>
      <c r="I2995" s="9" t="str">
        <f>IFERROR(__xludf.DUMMYFUNCTION("""COMPUTED_VALUE"""),"JavaScript")</f>
        <v>JavaScript</v>
      </c>
      <c r="J2995" s="9" t="str">
        <f>IFERROR(__xludf.DUMMYFUNCTION("""COMPUTED_VALUE"""),"C#")</f>
        <v>C#</v>
      </c>
      <c r="K2995" s="9" t="str">
        <f>IFERROR(__xludf.DUMMYFUNCTION("""COMPUTED_VALUE"""),"Elixir")</f>
        <v>Elixir</v>
      </c>
      <c r="L2995" s="9" t="str">
        <f>IFERROR(__xludf.DUMMYFUNCTION("""COMPUTED_VALUE"""),"Python")</f>
        <v>Python</v>
      </c>
      <c r="M2995" s="9" t="s">
        <v>21</v>
      </c>
    </row>
    <row r="2996" ht="15.75" customHeight="1">
      <c r="A2996" s="7"/>
      <c r="B2996" s="7" t="str">
        <f>IFERROR(__xludf.DUMMYFUNCTION("""COMPUTED_VALUE"""),"HTML/CSS;Java;JavaScript;PHP;Python;SQL")</f>
        <v>HTML/CSS;Java;JavaScript;PHP;Python;SQL</v>
      </c>
      <c r="C2996" s="9" t="str">
        <f>IFERROR(__xludf.DUMMYFUNCTION("""COMPUTED_VALUE"""),"PHP")</f>
        <v>PHP</v>
      </c>
      <c r="D2996" s="9" t="str">
        <f>IFERROR(__xludf.DUMMYFUNCTION("""COMPUTED_VALUE"""),"C++")</f>
        <v>C++</v>
      </c>
      <c r="E2996" s="9" t="str">
        <f>IFERROR(__xludf.DUMMYFUNCTION("""COMPUTED_VALUE"""),"Ruby")</f>
        <v>Ruby</v>
      </c>
      <c r="F2996" s="9" t="str">
        <f>IFERROR(__xludf.DUMMYFUNCTION("""COMPUTED_VALUE"""),"C")</f>
        <v>C</v>
      </c>
      <c r="G2996" s="9" t="str">
        <f>IFERROR(__xludf.DUMMYFUNCTION("""COMPUTED_VALUE"""),"C#")</f>
        <v>C#</v>
      </c>
      <c r="H2996" s="9" t="str">
        <f>IFERROR(__xludf.DUMMYFUNCTION("""COMPUTED_VALUE"""),"JavaScript")</f>
        <v>JavaScript</v>
      </c>
      <c r="I2996" s="9" t="str">
        <f>IFERROR(__xludf.DUMMYFUNCTION("""COMPUTED_VALUE"""),"SQL")</f>
        <v>SQL</v>
      </c>
      <c r="J2996" s="9" t="str">
        <f>IFERROR(__xludf.DUMMYFUNCTION("""COMPUTED_VALUE"""),"SQL")</f>
        <v>SQL</v>
      </c>
      <c r="K2996" s="9" t="str">
        <f>IFERROR(__xludf.DUMMYFUNCTION("""COMPUTED_VALUE"""),"JavaScript")</f>
        <v>JavaScript</v>
      </c>
      <c r="L2996" s="9" t="str">
        <f>IFERROR(__xludf.DUMMYFUNCTION("""COMPUTED_VALUE"""),"SQL")</f>
        <v>SQL</v>
      </c>
      <c r="M2996" s="9" t="s">
        <v>37</v>
      </c>
    </row>
    <row r="2997" ht="15.75" customHeight="1">
      <c r="A2997" s="7"/>
      <c r="B2997" s="7" t="str">
        <f>IFERROR(__xludf.DUMMYFUNCTION("""COMPUTED_VALUE"""),"C;C++;C#;HTML/CSS;JavaScript;SQL")</f>
        <v>C;C++;C#;HTML/CSS;JavaScript;SQL</v>
      </c>
      <c r="C2997" s="9" t="str">
        <f>IFERROR(__xludf.DUMMYFUNCTION("""COMPUTED_VALUE"""),"Python")</f>
        <v>Python</v>
      </c>
      <c r="D2997" s="9" t="str">
        <f>IFERROR(__xludf.DUMMYFUNCTION("""COMPUTED_VALUE"""),"C#")</f>
        <v>C#</v>
      </c>
      <c r="E2997" s="9" t="str">
        <f>IFERROR(__xludf.DUMMYFUNCTION("""COMPUTED_VALUE"""),"JavaScript")</f>
        <v>JavaScript</v>
      </c>
      <c r="F2997" s="9" t="str">
        <f>IFERROR(__xludf.DUMMYFUNCTION("""COMPUTED_VALUE"""),"C++")</f>
        <v>C++</v>
      </c>
      <c r="G2997" s="9" t="str">
        <f>IFERROR(__xludf.DUMMYFUNCTION("""COMPUTED_VALUE"""),"HTML/CSS")</f>
        <v>HTML/CSS</v>
      </c>
      <c r="H2997" s="9" t="str">
        <f>IFERROR(__xludf.DUMMYFUNCTION("""COMPUTED_VALUE"""),"TypeScript")</f>
        <v>TypeScript</v>
      </c>
      <c r="I2997" s="9" t="str">
        <f>IFERROR(__xludf.DUMMYFUNCTION("""COMPUTED_VALUE"""),"TypeScript")</f>
        <v>TypeScript</v>
      </c>
      <c r="J2997" s="9" t="str">
        <f>IFERROR(__xludf.DUMMYFUNCTION("""COMPUTED_VALUE"""),"C++")</f>
        <v>C++</v>
      </c>
      <c r="K2997" s="9" t="str">
        <f>IFERROR(__xludf.DUMMYFUNCTION("""COMPUTED_VALUE"""),"SQL")</f>
        <v>SQL</v>
      </c>
      <c r="L2997" s="9" t="str">
        <f>IFERROR(__xludf.DUMMYFUNCTION("""COMPUTED_VALUE"""),"C#")</f>
        <v>C#</v>
      </c>
      <c r="M2997" s="9" t="s">
        <v>22</v>
      </c>
    </row>
    <row r="2998" ht="15.75" customHeight="1">
      <c r="A2998" s="7"/>
      <c r="B2998" s="7" t="str">
        <f>IFERROR(__xludf.DUMMYFUNCTION("""COMPUTED_VALUE"""),"Bash/Shell/PowerShell;C++;C#;Go;Java;Kotlin;Python;SQL")</f>
        <v>Bash/Shell/PowerShell;C++;C#;Go;Java;Kotlin;Python;SQL</v>
      </c>
      <c r="C2998" s="9" t="str">
        <f>IFERROR(__xludf.DUMMYFUNCTION("""COMPUTED_VALUE"""),"Rust")</f>
        <v>Rust</v>
      </c>
      <c r="D2998" s="9" t="str">
        <f>IFERROR(__xludf.DUMMYFUNCTION("""COMPUTED_VALUE"""),"HTML/CSS")</f>
        <v>HTML/CSS</v>
      </c>
      <c r="E2998" s="9" t="str">
        <f>IFERROR(__xludf.DUMMYFUNCTION("""COMPUTED_VALUE"""),"TypeScript")</f>
        <v>TypeScript</v>
      </c>
      <c r="F2998" s="9" t="str">
        <f>IFERROR(__xludf.DUMMYFUNCTION("""COMPUTED_VALUE"""),"Python")</f>
        <v>Python</v>
      </c>
      <c r="G2998" s="9" t="str">
        <f>IFERROR(__xludf.DUMMYFUNCTION("""COMPUTED_VALUE"""),"Java")</f>
        <v>Java</v>
      </c>
      <c r="H2998" s="9" t="str">
        <f>IFERROR(__xludf.DUMMYFUNCTION("""COMPUTED_VALUE"""),"JavaScript")</f>
        <v>JavaScript</v>
      </c>
      <c r="I2998" s="9" t="str">
        <f>IFERROR(__xludf.DUMMYFUNCTION("""COMPUTED_VALUE"""),"Assembly")</f>
        <v>Assembly</v>
      </c>
      <c r="J2998" s="9" t="str">
        <f>IFERROR(__xludf.DUMMYFUNCTION("""COMPUTED_VALUE"""),"Python")</f>
        <v>Python</v>
      </c>
      <c r="K2998" s="9" t="str">
        <f>IFERROR(__xludf.DUMMYFUNCTION("""COMPUTED_VALUE"""),"TypeScript")</f>
        <v>TypeScript</v>
      </c>
      <c r="L2998" s="9" t="str">
        <f>IFERROR(__xludf.DUMMYFUNCTION("""COMPUTED_VALUE"""),"HTML/CSS")</f>
        <v>HTML/CSS</v>
      </c>
      <c r="M2998" s="9" t="s">
        <v>32</v>
      </c>
    </row>
    <row r="2999" ht="15.75" customHeight="1">
      <c r="A2999" s="7"/>
      <c r="B2999" s="7" t="str">
        <f>IFERROR(__xludf.DUMMYFUNCTION("""COMPUTED_VALUE"""),"Bash/Shell/PowerShell;HTML/CSS;Java;JavaScript;PHP;SQL")</f>
        <v>Bash/Shell/PowerShell;HTML/CSS;Java;JavaScript;PHP;SQL</v>
      </c>
      <c r="C2999" s="9" t="str">
        <f>IFERROR(__xludf.DUMMYFUNCTION("""COMPUTED_VALUE"""),"SQL")</f>
        <v>SQL</v>
      </c>
      <c r="D2999" s="9" t="str">
        <f>IFERROR(__xludf.DUMMYFUNCTION("""COMPUTED_VALUE"""),"JavaScript")</f>
        <v>JavaScript</v>
      </c>
      <c r="E2999" s="9" t="str">
        <f>IFERROR(__xludf.DUMMYFUNCTION("""COMPUTED_VALUE"""),"Bash/Shell/PowerShell")</f>
        <v>Bash/Shell/PowerShell</v>
      </c>
      <c r="F2999" s="9" t="str">
        <f>IFERROR(__xludf.DUMMYFUNCTION("""COMPUTED_VALUE"""),"VBA")</f>
        <v>VBA</v>
      </c>
      <c r="G2999" s="9" t="str">
        <f>IFERROR(__xludf.DUMMYFUNCTION("""COMPUTED_VALUE"""),"TypeScript")</f>
        <v>TypeScript</v>
      </c>
      <c r="H2999" s="9" t="str">
        <f>IFERROR(__xludf.DUMMYFUNCTION("""COMPUTED_VALUE"""),"Python")</f>
        <v>Python</v>
      </c>
      <c r="I2999" s="9" t="str">
        <f>IFERROR(__xludf.DUMMYFUNCTION("""COMPUTED_VALUE"""),"Bash/Shell/PowerShell")</f>
        <v>Bash/Shell/PowerShell</v>
      </c>
      <c r="J2999" s="9" t="str">
        <f>IFERROR(__xludf.DUMMYFUNCTION("""COMPUTED_VALUE"""),"Other(s):")</f>
        <v>Other(s):</v>
      </c>
      <c r="K2999" s="9" t="str">
        <f>IFERROR(__xludf.DUMMYFUNCTION("""COMPUTED_VALUE"""),"Bash/Shell/PowerShell")</f>
        <v>Bash/Shell/PowerShell</v>
      </c>
      <c r="L2999" s="9" t="str">
        <f>IFERROR(__xludf.DUMMYFUNCTION("""COMPUTED_VALUE"""),"JavaScript")</f>
        <v>JavaScript</v>
      </c>
      <c r="M2999" s="9" t="s">
        <v>27</v>
      </c>
    </row>
    <row r="3000" ht="15.75" customHeight="1">
      <c r="A3000" s="7"/>
      <c r="B3000" s="7" t="str">
        <f>IFERROR(__xludf.DUMMYFUNCTION("""COMPUTED_VALUE"""),"Bash/Shell/PowerShell;HTML/CSS;JavaScript;Ruby")</f>
        <v>Bash/Shell/PowerShell;HTML/CSS;JavaScript;Ruby</v>
      </c>
      <c r="C3000" s="9" t="str">
        <f>IFERROR(__xludf.DUMMYFUNCTION("""COMPUTED_VALUE"""),"TypeScript")</f>
        <v>TypeScript</v>
      </c>
      <c r="D3000" s="9" t="str">
        <f>IFERROR(__xludf.DUMMYFUNCTION("""COMPUTED_VALUE"""),"Python")</f>
        <v>Python</v>
      </c>
      <c r="E3000" s="9" t="str">
        <f>IFERROR(__xludf.DUMMYFUNCTION("""COMPUTED_VALUE"""),"HTML/CSS")</f>
        <v>HTML/CSS</v>
      </c>
      <c r="F3000" s="9" t="str">
        <f>IFERROR(__xludf.DUMMYFUNCTION("""COMPUTED_VALUE"""),"Other(s):")</f>
        <v>Other(s):</v>
      </c>
      <c r="G3000" s="9" t="str">
        <f>IFERROR(__xludf.DUMMYFUNCTION("""COMPUTED_VALUE"""),"Bash/Shell/PowerShell")</f>
        <v>Bash/Shell/PowerShell</v>
      </c>
      <c r="H3000" s="9" t="str">
        <f>IFERROR(__xludf.DUMMYFUNCTION("""COMPUTED_VALUE"""),"Rust")</f>
        <v>Rust</v>
      </c>
      <c r="I3000" s="9" t="str">
        <f>IFERROR(__xludf.DUMMYFUNCTION("""COMPUTED_VALUE"""),"C")</f>
        <v>C</v>
      </c>
      <c r="J3000" s="9" t="str">
        <f>IFERROR(__xludf.DUMMYFUNCTION("""COMPUTED_VALUE"""),"C")</f>
        <v>C</v>
      </c>
      <c r="K3000" s="9" t="str">
        <f>IFERROR(__xludf.DUMMYFUNCTION("""COMPUTED_VALUE"""),"Go")</f>
        <v>Go</v>
      </c>
      <c r="L3000" s="9" t="str">
        <f>IFERROR(__xludf.DUMMYFUNCTION("""COMPUTED_VALUE"""),"SQL")</f>
        <v>SQL</v>
      </c>
      <c r="M3000" s="9" t="s">
        <v>33</v>
      </c>
    </row>
    <row r="3001" ht="15.75" customHeight="1">
      <c r="A3001" s="7"/>
      <c r="B3001" s="7" t="str">
        <f>IFERROR(__xludf.DUMMYFUNCTION("""COMPUTED_VALUE"""),"HTML/CSS;Java;JavaScript;Objective-C;SQL;Swift")</f>
        <v>HTML/CSS;Java;JavaScript;Objective-C;SQL;Swift</v>
      </c>
      <c r="C3001" s="9" t="str">
        <f>IFERROR(__xludf.DUMMYFUNCTION("""COMPUTED_VALUE"""),"Other(s):")</f>
        <v>Other(s):</v>
      </c>
      <c r="D3001" s="9" t="str">
        <f>IFERROR(__xludf.DUMMYFUNCTION("""COMPUTED_VALUE"""),"SQL")</f>
        <v>SQL</v>
      </c>
      <c r="E3001" s="9" t="str">
        <f>IFERROR(__xludf.DUMMYFUNCTION("""COMPUTED_VALUE"""),"JavaScript")</f>
        <v>JavaScript</v>
      </c>
      <c r="F3001" s="9" t="str">
        <f>IFERROR(__xludf.DUMMYFUNCTION("""COMPUTED_VALUE"""),"Bash/Shell/PowerShell")</f>
        <v>Bash/Shell/PowerShell</v>
      </c>
      <c r="G3001" s="9" t="str">
        <f>IFERROR(__xludf.DUMMYFUNCTION("""COMPUTED_VALUE"""),"C#")</f>
        <v>C#</v>
      </c>
      <c r="H3001" s="9" t="str">
        <f>IFERROR(__xludf.DUMMYFUNCTION("""COMPUTED_VALUE"""),"TypeScript")</f>
        <v>TypeScript</v>
      </c>
      <c r="I3001" s="9" t="str">
        <f>IFERROR(__xludf.DUMMYFUNCTION("""COMPUTED_VALUE"""),"C#")</f>
        <v>C#</v>
      </c>
      <c r="J3001" s="9" t="str">
        <f>IFERROR(__xludf.DUMMYFUNCTION("""COMPUTED_VALUE"""),"SQL")</f>
        <v>SQL</v>
      </c>
      <c r="K3001" s="9" t="str">
        <f>IFERROR(__xludf.DUMMYFUNCTION("""COMPUTED_VALUE"""),"HTML/CSS")</f>
        <v>HTML/CSS</v>
      </c>
      <c r="L3001" s="9" t="str">
        <f>IFERROR(__xludf.DUMMYFUNCTION("""COMPUTED_VALUE"""),"HTML/CSS")</f>
        <v>HTML/CSS</v>
      </c>
      <c r="M3001" s="9" t="s">
        <v>35</v>
      </c>
    </row>
    <row r="3002" ht="15.75" customHeight="1">
      <c r="A3002" s="7"/>
      <c r="B3002" s="7" t="str">
        <f>IFERROR(__xludf.DUMMYFUNCTION("""COMPUTED_VALUE"""),"Java;Python")</f>
        <v>Java;Python</v>
      </c>
      <c r="C3002" s="9" t="str">
        <f>IFERROR(__xludf.DUMMYFUNCTION("""COMPUTED_VALUE"""),"Bash/Shell/PowerShell")</f>
        <v>Bash/Shell/PowerShell</v>
      </c>
      <c r="D3002" s="9" t="str">
        <f>IFERROR(__xludf.DUMMYFUNCTION("""COMPUTED_VALUE"""),"Bash/Shell/PowerShell")</f>
        <v>Bash/Shell/PowerShell</v>
      </c>
      <c r="E3002" s="9" t="str">
        <f>IFERROR(__xludf.DUMMYFUNCTION("""COMPUTED_VALUE"""),"PHP")</f>
        <v>PHP</v>
      </c>
      <c r="F3002" s="9" t="str">
        <f>IFERROR(__xludf.DUMMYFUNCTION("""COMPUTED_VALUE"""),"C#")</f>
        <v>C#</v>
      </c>
      <c r="G3002" s="9" t="str">
        <f>IFERROR(__xludf.DUMMYFUNCTION("""COMPUTED_VALUE"""),"HTML/CSS")</f>
        <v>HTML/CSS</v>
      </c>
      <c r="H3002" s="9" t="str">
        <f>IFERROR(__xludf.DUMMYFUNCTION("""COMPUTED_VALUE"""),"Bash/Shell/PowerShell")</f>
        <v>Bash/Shell/PowerShell</v>
      </c>
      <c r="I3002" s="9" t="str">
        <f>IFERROR(__xludf.DUMMYFUNCTION("""COMPUTED_VALUE"""),"Dart")</f>
        <v>Dart</v>
      </c>
      <c r="J3002" s="9" t="str">
        <f>IFERROR(__xludf.DUMMYFUNCTION("""COMPUTED_VALUE"""),"VBA")</f>
        <v>VBA</v>
      </c>
      <c r="K3002" s="9" t="str">
        <f>IFERROR(__xludf.DUMMYFUNCTION("""COMPUTED_VALUE"""),"Java")</f>
        <v>Java</v>
      </c>
      <c r="L3002" s="9" t="str">
        <f>IFERROR(__xludf.DUMMYFUNCTION("""COMPUTED_VALUE"""),"Java")</f>
        <v>Java</v>
      </c>
      <c r="M3002" s="9" t="s">
        <v>30</v>
      </c>
    </row>
    <row r="3003" ht="15.75" customHeight="1">
      <c r="A3003" s="7"/>
      <c r="B3003" s="7" t="str">
        <f>IFERROR(__xludf.DUMMYFUNCTION("""COMPUTED_VALUE"""),"Java;PHP;Python;SQL")</f>
        <v>Java;PHP;Python;SQL</v>
      </c>
      <c r="C3003" s="9" t="str">
        <f>IFERROR(__xludf.DUMMYFUNCTION("""COMPUTED_VALUE"""),"HTML/CSS")</f>
        <v>HTML/CSS</v>
      </c>
      <c r="D3003" s="9" t="str">
        <f>IFERROR(__xludf.DUMMYFUNCTION("""COMPUTED_VALUE"""),"C")</f>
        <v>C</v>
      </c>
      <c r="E3003" s="9" t="str">
        <f>IFERROR(__xludf.DUMMYFUNCTION("""COMPUTED_VALUE"""),"SQL")</f>
        <v>SQL</v>
      </c>
      <c r="F3003" s="9" t="str">
        <f>IFERROR(__xludf.DUMMYFUNCTION("""COMPUTED_VALUE"""),"HTML/CSS")</f>
        <v>HTML/CSS</v>
      </c>
      <c r="G3003" s="9" t="str">
        <f>IFERROR(__xludf.DUMMYFUNCTION("""COMPUTED_VALUE"""),"Python")</f>
        <v>Python</v>
      </c>
      <c r="H3003" s="9" t="str">
        <f>IFERROR(__xludf.DUMMYFUNCTION("""COMPUTED_VALUE"""),"HTML/CSS")</f>
        <v>HTML/CSS</v>
      </c>
      <c r="I3003" s="9" t="str">
        <f>IFERROR(__xludf.DUMMYFUNCTION("""COMPUTED_VALUE"""),"Elixir")</f>
        <v>Elixir</v>
      </c>
      <c r="J3003" s="9" t="str">
        <f>IFERROR(__xludf.DUMMYFUNCTION("""COMPUTED_VALUE"""),"HTML/CSS")</f>
        <v>HTML/CSS</v>
      </c>
      <c r="K3003" s="9" t="str">
        <f>IFERROR(__xludf.DUMMYFUNCTION("""COMPUTED_VALUE"""),"JavaScript")</f>
        <v>JavaScript</v>
      </c>
      <c r="L3003" s="9" t="str">
        <f>IFERROR(__xludf.DUMMYFUNCTION("""COMPUTED_VALUE"""),"JavaScript")</f>
        <v>JavaScript</v>
      </c>
      <c r="M3003" s="9" t="s">
        <v>24</v>
      </c>
    </row>
    <row r="3004" ht="15.75" customHeight="1">
      <c r="A3004" s="7"/>
      <c r="B3004" s="7" t="str">
        <f>IFERROR(__xludf.DUMMYFUNCTION("""COMPUTED_VALUE"""),"C#;HTML/CSS;JavaScript;Python;VBA;Other(s):")</f>
        <v>C#;HTML/CSS;JavaScript;Python;VBA;Other(s):</v>
      </c>
      <c r="C3004" s="9" t="str">
        <f>IFERROR(__xludf.DUMMYFUNCTION("""COMPUTED_VALUE"""),"JavaScript")</f>
        <v>JavaScript</v>
      </c>
      <c r="D3004" s="9" t="str">
        <f>IFERROR(__xludf.DUMMYFUNCTION("""COMPUTED_VALUE"""),"Go")</f>
        <v>Go</v>
      </c>
      <c r="E3004" s="9" t="str">
        <f>IFERROR(__xludf.DUMMYFUNCTION("""COMPUTED_VALUE"""),"Java")</f>
        <v>Java</v>
      </c>
      <c r="F3004" s="9" t="str">
        <f>IFERROR(__xludf.DUMMYFUNCTION("""COMPUTED_VALUE"""),"Java")</f>
        <v>Java</v>
      </c>
      <c r="G3004" s="9" t="str">
        <f>IFERROR(__xludf.DUMMYFUNCTION("""COMPUTED_VALUE"""),"R")</f>
        <v>R</v>
      </c>
      <c r="H3004" s="9" t="str">
        <f>IFERROR(__xludf.DUMMYFUNCTION("""COMPUTED_VALUE"""),"JavaScript")</f>
        <v>JavaScript</v>
      </c>
      <c r="I3004" s="9" t="str">
        <f>IFERROR(__xludf.DUMMYFUNCTION("""COMPUTED_VALUE"""),"Go")</f>
        <v>Go</v>
      </c>
      <c r="J3004" s="9" t="str">
        <f>IFERROR(__xludf.DUMMYFUNCTION("""COMPUTED_VALUE"""),"JavaScript")</f>
        <v>JavaScript</v>
      </c>
      <c r="K3004" s="9" t="str">
        <f>IFERROR(__xludf.DUMMYFUNCTION("""COMPUTED_VALUE"""),"PHP")</f>
        <v>PHP</v>
      </c>
      <c r="L3004" s="9" t="str">
        <f>IFERROR(__xludf.DUMMYFUNCTION("""COMPUTED_VALUE"""),"SQL")</f>
        <v>SQL</v>
      </c>
      <c r="M3004" s="9" t="s">
        <v>21</v>
      </c>
    </row>
    <row r="3005" ht="15.75" customHeight="1">
      <c r="A3005" s="7"/>
      <c r="B3005" s="7" t="str">
        <f>IFERROR(__xludf.DUMMYFUNCTION("""COMPUTED_VALUE"""),"Bash/Shell/PowerShell;C;C++;C#;JavaScript;PHP;SQL")</f>
        <v>Bash/Shell/PowerShell;C;C++;C#;JavaScript;PHP;SQL</v>
      </c>
      <c r="C3005" s="9" t="str">
        <f>IFERROR(__xludf.DUMMYFUNCTION("""COMPUTED_VALUE"""),"PHP")</f>
        <v>PHP</v>
      </c>
      <c r="D3005" s="9" t="str">
        <f>IFERROR(__xludf.DUMMYFUNCTION("""COMPUTED_VALUE"""),"HTML/CSS")</f>
        <v>HTML/CSS</v>
      </c>
      <c r="E3005" s="9" t="str">
        <f>IFERROR(__xludf.DUMMYFUNCTION("""COMPUTED_VALUE"""),"TypeScript")</f>
        <v>TypeScript</v>
      </c>
      <c r="F3005" s="9" t="str">
        <f>IFERROR(__xludf.DUMMYFUNCTION("""COMPUTED_VALUE"""),"JavaScript")</f>
        <v>JavaScript</v>
      </c>
      <c r="G3005" s="9" t="str">
        <f>IFERROR(__xludf.DUMMYFUNCTION("""COMPUTED_VALUE"""),"SQL")</f>
        <v>SQL</v>
      </c>
      <c r="H3005" s="9" t="str">
        <f>IFERROR(__xludf.DUMMYFUNCTION("""COMPUTED_VALUE"""),"PHP")</f>
        <v>PHP</v>
      </c>
      <c r="I3005" s="9" t="str">
        <f>IFERROR(__xludf.DUMMYFUNCTION("""COMPUTED_VALUE"""),"HTML/CSS")</f>
        <v>HTML/CSS</v>
      </c>
      <c r="J3005" s="9" t="str">
        <f>IFERROR(__xludf.DUMMYFUNCTION("""COMPUTED_VALUE"""),"Python")</f>
        <v>Python</v>
      </c>
      <c r="K3005" s="9" t="str">
        <f>IFERROR(__xludf.DUMMYFUNCTION("""COMPUTED_VALUE"""),"Python")</f>
        <v>Python</v>
      </c>
      <c r="L3005" s="9" t="str">
        <f>IFERROR(__xludf.DUMMYFUNCTION("""COMPUTED_VALUE"""),"TypeScript")</f>
        <v>TypeScript</v>
      </c>
      <c r="M3005" s="9" t="s">
        <v>37</v>
      </c>
    </row>
    <row r="3006" ht="15.75" customHeight="1">
      <c r="A3006" s="7"/>
      <c r="B3006" s="7" t="str">
        <f>IFERROR(__xludf.DUMMYFUNCTION("""COMPUTED_VALUE"""),"HTML/CSS;JavaScript;TypeScript;Other(s):")</f>
        <v>HTML/CSS;JavaScript;TypeScript;Other(s):</v>
      </c>
      <c r="C3006" s="9" t="str">
        <f>IFERROR(__xludf.DUMMYFUNCTION("""COMPUTED_VALUE"""),"SQL")</f>
        <v>SQL</v>
      </c>
      <c r="D3006" s="9" t="str">
        <f>IFERROR(__xludf.DUMMYFUNCTION("""COMPUTED_VALUE"""),"Java")</f>
        <v>Java</v>
      </c>
      <c r="E3006" s="9" t="str">
        <f>IFERROR(__xludf.DUMMYFUNCTION("""COMPUTED_VALUE"""),"HTML/CSS")</f>
        <v>HTML/CSS</v>
      </c>
      <c r="F3006" s="9" t="str">
        <f>IFERROR(__xludf.DUMMYFUNCTION("""COMPUTED_VALUE"""),"SQL")</f>
        <v>SQL</v>
      </c>
      <c r="G3006" s="9" t="str">
        <f>IFERROR(__xludf.DUMMYFUNCTION("""COMPUTED_VALUE"""),"C#")</f>
        <v>C#</v>
      </c>
      <c r="H3006" s="9" t="str">
        <f>IFERROR(__xludf.DUMMYFUNCTION("""COMPUTED_VALUE"""),"SQL")</f>
        <v>SQL</v>
      </c>
      <c r="I3006" s="9" t="str">
        <f>IFERROR(__xludf.DUMMYFUNCTION("""COMPUTED_VALUE"""),"Java")</f>
        <v>Java</v>
      </c>
      <c r="J3006" s="9" t="str">
        <f>IFERROR(__xludf.DUMMYFUNCTION("""COMPUTED_VALUE"""),"HTML/CSS")</f>
        <v>HTML/CSS</v>
      </c>
      <c r="K3006" s="9" t="str">
        <f>IFERROR(__xludf.DUMMYFUNCTION("""COMPUTED_VALUE"""),"R")</f>
        <v>R</v>
      </c>
      <c r="L3006" s="9" t="str">
        <f>IFERROR(__xludf.DUMMYFUNCTION("""COMPUTED_VALUE"""),"Go")</f>
        <v>Go</v>
      </c>
      <c r="M3006" s="9" t="s">
        <v>27</v>
      </c>
    </row>
    <row r="3007" ht="15.75" customHeight="1">
      <c r="A3007" s="7"/>
      <c r="B3007" s="7" t="str">
        <f>IFERROR(__xludf.DUMMYFUNCTION("""COMPUTED_VALUE"""),"Assembly;Bash/Shell/PowerShell;C;HTML/CSS;JavaScript;PHP;Python;SQL")</f>
        <v>Assembly;Bash/Shell/PowerShell;C;HTML/CSS;JavaScript;PHP;Python;SQL</v>
      </c>
      <c r="C3007" s="9" t="str">
        <f>IFERROR(__xludf.DUMMYFUNCTION("""COMPUTED_VALUE"""),"Python")</f>
        <v>Python</v>
      </c>
      <c r="D3007" s="9" t="str">
        <f>IFERROR(__xludf.DUMMYFUNCTION("""COMPUTED_VALUE"""),"JavaScript")</f>
        <v>JavaScript</v>
      </c>
      <c r="E3007" s="9" t="str">
        <f>IFERROR(__xludf.DUMMYFUNCTION("""COMPUTED_VALUE"""),"JavaScript")</f>
        <v>JavaScript</v>
      </c>
      <c r="F3007" s="9" t="str">
        <f>IFERROR(__xludf.DUMMYFUNCTION("""COMPUTED_VALUE"""),"Go")</f>
        <v>Go</v>
      </c>
      <c r="G3007" s="9" t="str">
        <f>IFERROR(__xludf.DUMMYFUNCTION("""COMPUTED_VALUE"""),"Other(s):")</f>
        <v>Other(s):</v>
      </c>
      <c r="H3007" s="9" t="str">
        <f>IFERROR(__xludf.DUMMYFUNCTION("""COMPUTED_VALUE"""),"Swift")</f>
        <v>Swift</v>
      </c>
      <c r="I3007" s="9" t="str">
        <f>IFERROR(__xludf.DUMMYFUNCTION("""COMPUTED_VALUE"""),"JavaScript")</f>
        <v>JavaScript</v>
      </c>
      <c r="J3007" s="9" t="str">
        <f>IFERROR(__xludf.DUMMYFUNCTION("""COMPUTED_VALUE"""),"JavaScript")</f>
        <v>JavaScript</v>
      </c>
      <c r="K3007" s="9" t="str">
        <f>IFERROR(__xludf.DUMMYFUNCTION("""COMPUTED_VALUE"""),"Other(s):")</f>
        <v>Other(s):</v>
      </c>
      <c r="L3007" s="9" t="str">
        <f>IFERROR(__xludf.DUMMYFUNCTION("""COMPUTED_VALUE"""),"Java")</f>
        <v>Java</v>
      </c>
      <c r="M3007" s="9" t="s">
        <v>22</v>
      </c>
    </row>
    <row r="3008" ht="15.75" customHeight="1">
      <c r="A3008" s="7"/>
      <c r="B3008" s="7" t="str">
        <f>IFERROR(__xludf.DUMMYFUNCTION("""COMPUTED_VALUE"""),"Bash/Shell/PowerShell;Clojure;HTML/CSS;Java;JavaScript")</f>
        <v>Bash/Shell/PowerShell;Clojure;HTML/CSS;Java;JavaScript</v>
      </c>
      <c r="C3008" s="9" t="str">
        <f>IFERROR(__xludf.DUMMYFUNCTION("""COMPUTED_VALUE"""),"Other(s):")</f>
        <v>Other(s):</v>
      </c>
      <c r="D3008" s="9" t="str">
        <f>IFERROR(__xludf.DUMMYFUNCTION("""COMPUTED_VALUE"""),"TypeScript")</f>
        <v>TypeScript</v>
      </c>
      <c r="E3008" s="9" t="str">
        <f>IFERROR(__xludf.DUMMYFUNCTION("""COMPUTED_VALUE"""),"HTML/CSS")</f>
        <v>HTML/CSS</v>
      </c>
      <c r="F3008" s="9" t="str">
        <f>IFERROR(__xludf.DUMMYFUNCTION("""COMPUTED_VALUE"""),"Java")</f>
        <v>Java</v>
      </c>
      <c r="G3008" s="9" t="str">
        <f>IFERROR(__xludf.DUMMYFUNCTION("""COMPUTED_VALUE"""),"Bash/Shell/PowerShell")</f>
        <v>Bash/Shell/PowerShell</v>
      </c>
      <c r="H3008" s="9" t="str">
        <f>IFERROR(__xludf.DUMMYFUNCTION("""COMPUTED_VALUE"""),"Bash/Shell/PowerShell")</f>
        <v>Bash/Shell/PowerShell</v>
      </c>
      <c r="I3008" s="9" t="str">
        <f>IFERROR(__xludf.DUMMYFUNCTION("""COMPUTED_VALUE"""),"Python")</f>
        <v>Python</v>
      </c>
      <c r="J3008" s="9" t="str">
        <f>IFERROR(__xludf.DUMMYFUNCTION("""COMPUTED_VALUE"""),"PHP")</f>
        <v>PHP</v>
      </c>
      <c r="K3008" s="9" t="str">
        <f>IFERROR(__xludf.DUMMYFUNCTION("""COMPUTED_VALUE"""),"C#")</f>
        <v>C#</v>
      </c>
      <c r="L3008" s="9" t="str">
        <f>IFERROR(__xludf.DUMMYFUNCTION("""COMPUTED_VALUE"""),"Python")</f>
        <v>Python</v>
      </c>
      <c r="M3008" s="9" t="s">
        <v>35</v>
      </c>
    </row>
    <row r="3009" ht="15.75" customHeight="1">
      <c r="A3009" s="7"/>
      <c r="B3009" s="7" t="str">
        <f>IFERROR(__xludf.DUMMYFUNCTION("""COMPUTED_VALUE"""),"C++;HTML/CSS;JavaScript;SQL")</f>
        <v>C++;HTML/CSS;JavaScript;SQL</v>
      </c>
      <c r="C3009" s="9" t="str">
        <f>IFERROR(__xludf.DUMMYFUNCTION("""COMPUTED_VALUE"""),"Assembly")</f>
        <v>Assembly</v>
      </c>
      <c r="D3009" s="9" t="str">
        <f>IFERROR(__xludf.DUMMYFUNCTION("""COMPUTED_VALUE"""),"HTML/CSS")</f>
        <v>HTML/CSS</v>
      </c>
      <c r="E3009" s="9" t="str">
        <f>IFERROR(__xludf.DUMMYFUNCTION("""COMPUTED_VALUE"""),"JavaScript")</f>
        <v>JavaScript</v>
      </c>
      <c r="F3009" s="9" t="str">
        <f>IFERROR(__xludf.DUMMYFUNCTION("""COMPUTED_VALUE"""),"JavaScript")</f>
        <v>JavaScript</v>
      </c>
      <c r="G3009" s="9" t="str">
        <f>IFERROR(__xludf.DUMMYFUNCTION("""COMPUTED_VALUE"""),"C#")</f>
        <v>C#</v>
      </c>
      <c r="H3009" s="9" t="str">
        <f>IFERROR(__xludf.DUMMYFUNCTION("""COMPUTED_VALUE"""),"C++")</f>
        <v>C++</v>
      </c>
      <c r="I3009" s="9" t="str">
        <f>IFERROR(__xludf.DUMMYFUNCTION("""COMPUTED_VALUE"""),"Rust")</f>
        <v>Rust</v>
      </c>
      <c r="J3009" s="9" t="str">
        <f>IFERROR(__xludf.DUMMYFUNCTION("""COMPUTED_VALUE"""),"SQL")</f>
        <v>SQL</v>
      </c>
      <c r="K3009" s="9" t="str">
        <f>IFERROR(__xludf.DUMMYFUNCTION("""COMPUTED_VALUE"""),"HTML/CSS")</f>
        <v>HTML/CSS</v>
      </c>
      <c r="L3009" s="9" t="str">
        <f>IFERROR(__xludf.DUMMYFUNCTION("""COMPUTED_VALUE"""),"SQL")</f>
        <v>SQL</v>
      </c>
      <c r="M3009" s="9" t="s">
        <v>38</v>
      </c>
    </row>
    <row r="3010" ht="15.75" customHeight="1">
      <c r="A3010" s="7"/>
      <c r="B3010" s="7" t="str">
        <f>IFERROR(__xludf.DUMMYFUNCTION("""COMPUTED_VALUE"""),"C#;HTML/CSS;Java;JavaScript;PHP;SQL;VBA")</f>
        <v>C#;HTML/CSS;Java;JavaScript;PHP;SQL;VBA</v>
      </c>
      <c r="C3010" s="9" t="str">
        <f>IFERROR(__xludf.DUMMYFUNCTION("""COMPUTED_VALUE"""),"Bash/Shell/PowerShell")</f>
        <v>Bash/Shell/PowerShell</v>
      </c>
      <c r="D3010" s="9" t="str">
        <f>IFERROR(__xludf.DUMMYFUNCTION("""COMPUTED_VALUE"""),"JavaScript")</f>
        <v>JavaScript</v>
      </c>
      <c r="E3010" s="9" t="str">
        <f>IFERROR(__xludf.DUMMYFUNCTION("""COMPUTED_VALUE"""),"TypeScript")</f>
        <v>TypeScript</v>
      </c>
      <c r="F3010" s="9" t="str">
        <f>IFERROR(__xludf.DUMMYFUNCTION("""COMPUTED_VALUE"""),"Python")</f>
        <v>Python</v>
      </c>
      <c r="G3010" s="9" t="str">
        <f>IFERROR(__xludf.DUMMYFUNCTION("""COMPUTED_VALUE"""),"HTML/CSS")</f>
        <v>HTML/CSS</v>
      </c>
      <c r="H3010" s="9" t="str">
        <f>IFERROR(__xludf.DUMMYFUNCTION("""COMPUTED_VALUE"""),"C#")</f>
        <v>C#</v>
      </c>
      <c r="I3010" s="9" t="str">
        <f>IFERROR(__xludf.DUMMYFUNCTION("""COMPUTED_VALUE"""),"Bash/Shell/PowerShell")</f>
        <v>Bash/Shell/PowerShell</v>
      </c>
      <c r="J3010" s="9" t="str">
        <f>IFERROR(__xludf.DUMMYFUNCTION("""COMPUTED_VALUE"""),"C")</f>
        <v>C</v>
      </c>
      <c r="K3010" s="9" t="str">
        <f>IFERROR(__xludf.DUMMYFUNCTION("""COMPUTED_VALUE"""),"Java")</f>
        <v>Java</v>
      </c>
      <c r="L3010" s="9" t="str">
        <f>IFERROR(__xludf.DUMMYFUNCTION("""COMPUTED_VALUE"""),"Bash/Shell/PowerShell")</f>
        <v>Bash/Shell/PowerShell</v>
      </c>
      <c r="M3010" s="9" t="s">
        <v>30</v>
      </c>
    </row>
    <row r="3011" ht="15.75" customHeight="1">
      <c r="A3011" s="7"/>
      <c r="B3011" s="7" t="str">
        <f>IFERROR(__xludf.DUMMYFUNCTION("""COMPUTED_VALUE"""),"C;C++;C#;HTML/CSS;Java;JavaScript;SQL;WebAssembly")</f>
        <v>C;C++;C#;HTML/CSS;Java;JavaScript;SQL;WebAssembly</v>
      </c>
      <c r="C3011" s="9" t="str">
        <f>IFERROR(__xludf.DUMMYFUNCTION("""COMPUTED_VALUE"""),"C")</f>
        <v>C</v>
      </c>
      <c r="D3011" s="9" t="str">
        <f>IFERROR(__xludf.DUMMYFUNCTION("""COMPUTED_VALUE"""),"TypeScript")</f>
        <v>TypeScript</v>
      </c>
      <c r="E3011" s="9" t="str">
        <f>IFERROR(__xludf.DUMMYFUNCTION("""COMPUTED_VALUE"""),"Bash/Shell/PowerShell")</f>
        <v>Bash/Shell/PowerShell</v>
      </c>
      <c r="F3011" s="9" t="str">
        <f>IFERROR(__xludf.DUMMYFUNCTION("""COMPUTED_VALUE"""),"Scala")</f>
        <v>Scala</v>
      </c>
      <c r="G3011" s="9" t="str">
        <f>IFERROR(__xludf.DUMMYFUNCTION("""COMPUTED_VALUE"""),"Java")</f>
        <v>Java</v>
      </c>
      <c r="H3011" s="9" t="str">
        <f>IFERROR(__xludf.DUMMYFUNCTION("""COMPUTED_VALUE"""),"HTML/CSS")</f>
        <v>HTML/CSS</v>
      </c>
      <c r="I3011" s="9" t="str">
        <f>IFERROR(__xludf.DUMMYFUNCTION("""COMPUTED_VALUE"""),"HTML/CSS")</f>
        <v>HTML/CSS</v>
      </c>
      <c r="J3011" s="9" t="str">
        <f>IFERROR(__xludf.DUMMYFUNCTION("""COMPUTED_VALUE"""),"C++")</f>
        <v>C++</v>
      </c>
      <c r="K3011" s="9" t="str">
        <f>IFERROR(__xludf.DUMMYFUNCTION("""COMPUTED_VALUE"""),"JavaScript")</f>
        <v>JavaScript</v>
      </c>
      <c r="L3011" s="9" t="str">
        <f>IFERROR(__xludf.DUMMYFUNCTION("""COMPUTED_VALUE"""),"C#")</f>
        <v>C#</v>
      </c>
      <c r="M3011" s="9" t="s">
        <v>25</v>
      </c>
    </row>
    <row r="3012" ht="15.75" customHeight="1">
      <c r="A3012" s="7"/>
      <c r="B3012" s="7" t="str">
        <f>IFERROR(__xludf.DUMMYFUNCTION("""COMPUTED_VALUE"""),"Bash/Shell/PowerShell;HTML/CSS;JavaScript;PHP;Python;SQL;Swift")</f>
        <v>Bash/Shell/PowerShell;HTML/CSS;JavaScript;PHP;Python;SQL;Swift</v>
      </c>
      <c r="C3012" s="9" t="str">
        <f>IFERROR(__xludf.DUMMYFUNCTION("""COMPUTED_VALUE"""),"C++")</f>
        <v>C++</v>
      </c>
      <c r="D3012" s="9" t="str">
        <f>IFERROR(__xludf.DUMMYFUNCTION("""COMPUTED_VALUE"""),"C#")</f>
        <v>C#</v>
      </c>
      <c r="E3012" s="9" t="str">
        <f>IFERROR(__xludf.DUMMYFUNCTION("""COMPUTED_VALUE"""),"C#")</f>
        <v>C#</v>
      </c>
      <c r="F3012" s="9" t="str">
        <f>IFERROR(__xludf.DUMMYFUNCTION("""COMPUTED_VALUE"""),"SQL")</f>
        <v>SQL</v>
      </c>
      <c r="G3012" s="9" t="str">
        <f>IFERROR(__xludf.DUMMYFUNCTION("""COMPUTED_VALUE"""),"JavaScript")</f>
        <v>JavaScript</v>
      </c>
      <c r="H3012" s="9" t="str">
        <f>IFERROR(__xludf.DUMMYFUNCTION("""COMPUTED_VALUE"""),"JavaScript")</f>
        <v>JavaScript</v>
      </c>
      <c r="I3012" s="9" t="str">
        <f>IFERROR(__xludf.DUMMYFUNCTION("""COMPUTED_VALUE"""),"JavaScript")</f>
        <v>JavaScript</v>
      </c>
      <c r="J3012" s="9" t="str">
        <f>IFERROR(__xludf.DUMMYFUNCTION("""COMPUTED_VALUE"""),"C#")</f>
        <v>C#</v>
      </c>
      <c r="K3012" s="9" t="str">
        <f>IFERROR(__xludf.DUMMYFUNCTION("""COMPUTED_VALUE"""),"PHP")</f>
        <v>PHP</v>
      </c>
      <c r="L3012" s="9" t="str">
        <f>IFERROR(__xludf.DUMMYFUNCTION("""COMPUTED_VALUE"""),"HTML/CSS")</f>
        <v>HTML/CSS</v>
      </c>
      <c r="M3012" s="9" t="s">
        <v>23</v>
      </c>
    </row>
    <row r="3013" ht="15.75" customHeight="1">
      <c r="A3013" s="7"/>
      <c r="B3013" s="7" t="str">
        <f>IFERROR(__xludf.DUMMYFUNCTION("""COMPUTED_VALUE"""),"C#;HTML/CSS;JavaScript;SQL;TypeScript")</f>
        <v>C#;HTML/CSS;JavaScript;SQL;TypeScript</v>
      </c>
      <c r="C3013" s="9" t="str">
        <f>IFERROR(__xludf.DUMMYFUNCTION("""COMPUTED_VALUE"""),"C#")</f>
        <v>C#</v>
      </c>
      <c r="D3013" s="9" t="str">
        <f>IFERROR(__xludf.DUMMYFUNCTION("""COMPUTED_VALUE"""),"HTML/CSS")</f>
        <v>HTML/CSS</v>
      </c>
      <c r="E3013" s="9" t="str">
        <f>IFERROR(__xludf.DUMMYFUNCTION("""COMPUTED_VALUE"""),"Other(s):")</f>
        <v>Other(s):</v>
      </c>
      <c r="F3013" s="9" t="str">
        <f>IFERROR(__xludf.DUMMYFUNCTION("""COMPUTED_VALUE"""),"TypeScript")</f>
        <v>TypeScript</v>
      </c>
      <c r="G3013" s="9" t="str">
        <f>IFERROR(__xludf.DUMMYFUNCTION("""COMPUTED_VALUE"""),"Kotlin")</f>
        <v>Kotlin</v>
      </c>
      <c r="H3013" s="9" t="str">
        <f>IFERROR(__xludf.DUMMYFUNCTION("""COMPUTED_VALUE"""),"TypeScript")</f>
        <v>TypeScript</v>
      </c>
      <c r="I3013" s="9" t="str">
        <f>IFERROR(__xludf.DUMMYFUNCTION("""COMPUTED_VALUE"""),"TypeScript")</f>
        <v>TypeScript</v>
      </c>
      <c r="J3013" s="9" t="str">
        <f>IFERROR(__xludf.DUMMYFUNCTION("""COMPUTED_VALUE"""),"HTML/CSS")</f>
        <v>HTML/CSS</v>
      </c>
      <c r="K3013" s="9" t="str">
        <f>IFERROR(__xludf.DUMMYFUNCTION("""COMPUTED_VALUE"""),"SQL")</f>
        <v>SQL</v>
      </c>
      <c r="L3013" s="9" t="str">
        <f>IFERROR(__xludf.DUMMYFUNCTION("""COMPUTED_VALUE"""),"JavaScript")</f>
        <v>JavaScript</v>
      </c>
      <c r="M3013" s="9" t="s">
        <v>26</v>
      </c>
    </row>
    <row r="3014" ht="15.75" customHeight="1">
      <c r="A3014" s="7"/>
      <c r="B3014" s="7" t="str">
        <f>IFERROR(__xludf.DUMMYFUNCTION("""COMPUTED_VALUE"""),"Bash/Shell/PowerShell;HTML/CSS;Java;JavaScript;Kotlin")</f>
        <v>Bash/Shell/PowerShell;HTML/CSS;Java;JavaScript;Kotlin</v>
      </c>
      <c r="C3014" s="9" t="str">
        <f>IFERROR(__xludf.DUMMYFUNCTION("""COMPUTED_VALUE"""),"F#")</f>
        <v>F#</v>
      </c>
      <c r="D3014" s="9" t="str">
        <f>IFERROR(__xludf.DUMMYFUNCTION("""COMPUTED_VALUE"""),"JavaScript")</f>
        <v>JavaScript</v>
      </c>
      <c r="E3014" s="9" t="str">
        <f>IFERROR(__xludf.DUMMYFUNCTION("""COMPUTED_VALUE"""),"C")</f>
        <v>C</v>
      </c>
      <c r="F3014" s="9" t="str">
        <f>IFERROR(__xludf.DUMMYFUNCTION("""COMPUTED_VALUE"""),"Bash/Shell/PowerShell")</f>
        <v>Bash/Shell/PowerShell</v>
      </c>
      <c r="G3014" s="9" t="str">
        <f>IFERROR(__xludf.DUMMYFUNCTION("""COMPUTED_VALUE"""),"PHP")</f>
        <v>PHP</v>
      </c>
      <c r="H3014" s="9" t="str">
        <f>IFERROR(__xludf.DUMMYFUNCTION("""COMPUTED_VALUE"""),"HTML/CSS")</f>
        <v>HTML/CSS</v>
      </c>
      <c r="I3014" s="9" t="str">
        <f>IFERROR(__xludf.DUMMYFUNCTION("""COMPUTED_VALUE"""),"HTML/CSS")</f>
        <v>HTML/CSS</v>
      </c>
      <c r="J3014" s="9" t="str">
        <f>IFERROR(__xludf.DUMMYFUNCTION("""COMPUTED_VALUE"""),"Java")</f>
        <v>Java</v>
      </c>
      <c r="K3014" s="9" t="str">
        <f>IFERROR(__xludf.DUMMYFUNCTION("""COMPUTED_VALUE"""),"Go")</f>
        <v>Go</v>
      </c>
      <c r="L3014" s="9" t="str">
        <f>IFERROR(__xludf.DUMMYFUNCTION("""COMPUTED_VALUE"""),"Python")</f>
        <v>Python</v>
      </c>
      <c r="M3014" s="9" t="s">
        <v>45</v>
      </c>
    </row>
    <row r="3015" ht="15.75" customHeight="1">
      <c r="A3015" s="7"/>
      <c r="B3015" s="7" t="str">
        <f>IFERROR(__xludf.DUMMYFUNCTION("""COMPUTED_VALUE"""),"C#;HTML/CSS;JavaScript;SQL")</f>
        <v>C#;HTML/CSS;JavaScript;SQL</v>
      </c>
      <c r="C3015" s="9" t="str">
        <f>IFERROR(__xludf.DUMMYFUNCTION("""COMPUTED_VALUE"""),"HTML/CSS")</f>
        <v>HTML/CSS</v>
      </c>
      <c r="D3015" s="9" t="str">
        <f>IFERROR(__xludf.DUMMYFUNCTION("""COMPUTED_VALUE"""),"Other(s):")</f>
        <v>Other(s):</v>
      </c>
      <c r="E3015" s="9" t="str">
        <f>IFERROR(__xludf.DUMMYFUNCTION("""COMPUTED_VALUE"""),"C++")</f>
        <v>C++</v>
      </c>
      <c r="F3015" s="9" t="str">
        <f>IFERROR(__xludf.DUMMYFUNCTION("""COMPUTED_VALUE"""),"HTML/CSS")</f>
        <v>HTML/CSS</v>
      </c>
      <c r="G3015" s="9" t="str">
        <f>IFERROR(__xludf.DUMMYFUNCTION("""COMPUTED_VALUE"""),"Python")</f>
        <v>Python</v>
      </c>
      <c r="H3015" s="9" t="str">
        <f>IFERROR(__xludf.DUMMYFUNCTION("""COMPUTED_VALUE"""),"Java")</f>
        <v>Java</v>
      </c>
      <c r="I3015" s="9" t="str">
        <f>IFERROR(__xludf.DUMMYFUNCTION("""COMPUTED_VALUE"""),"Java")</f>
        <v>Java</v>
      </c>
      <c r="J3015" s="9" t="str">
        <f>IFERROR(__xludf.DUMMYFUNCTION("""COMPUTED_VALUE"""),"JavaScript")</f>
        <v>JavaScript</v>
      </c>
      <c r="K3015" s="9" t="str">
        <f>IFERROR(__xludf.DUMMYFUNCTION("""COMPUTED_VALUE"""),"HTML/CSS")</f>
        <v>HTML/CSS</v>
      </c>
      <c r="L3015" s="9" t="str">
        <f>IFERROR(__xludf.DUMMYFUNCTION("""COMPUTED_VALUE"""),"R")</f>
        <v>R</v>
      </c>
      <c r="M3015" s="9" t="s">
        <v>24</v>
      </c>
    </row>
    <row r="3016" ht="15.75" customHeight="1">
      <c r="A3016" s="7"/>
      <c r="B3016" s="7" t="str">
        <f>IFERROR(__xludf.DUMMYFUNCTION("""COMPUTED_VALUE"""),"C;C++;C#;Java;JavaScript")</f>
        <v>C;C++;C#;Java;JavaScript</v>
      </c>
      <c r="C3016" s="9" t="str">
        <f>IFERROR(__xludf.DUMMYFUNCTION("""COMPUTED_VALUE"""),"JavaScript")</f>
        <v>JavaScript</v>
      </c>
      <c r="D3016" s="9" t="str">
        <f>IFERROR(__xludf.DUMMYFUNCTION("""COMPUTED_VALUE"""),"HTML/CSS")</f>
        <v>HTML/CSS</v>
      </c>
      <c r="E3016" s="9" t="str">
        <f>IFERROR(__xludf.DUMMYFUNCTION("""COMPUTED_VALUE"""),"Python")</f>
        <v>Python</v>
      </c>
      <c r="F3016" s="9" t="str">
        <f>IFERROR(__xludf.DUMMYFUNCTION("""COMPUTED_VALUE"""),"Java")</f>
        <v>Java</v>
      </c>
      <c r="G3016" s="9" t="str">
        <f>IFERROR(__xludf.DUMMYFUNCTION("""COMPUTED_VALUE"""),"SQL")</f>
        <v>SQL</v>
      </c>
      <c r="H3016" s="9" t="str">
        <f>IFERROR(__xludf.DUMMYFUNCTION("""COMPUTED_VALUE"""),"JavaScript")</f>
        <v>JavaScript</v>
      </c>
      <c r="I3016" s="9" t="str">
        <f>IFERROR(__xludf.DUMMYFUNCTION("""COMPUTED_VALUE"""),"JavaScript")</f>
        <v>JavaScript</v>
      </c>
      <c r="J3016" s="9" t="str">
        <f>IFERROR(__xludf.DUMMYFUNCTION("""COMPUTED_VALUE"""),"PHP")</f>
        <v>PHP</v>
      </c>
      <c r="K3016" s="9" t="str">
        <f>IFERROR(__xludf.DUMMYFUNCTION("""COMPUTED_VALUE"""),"Java")</f>
        <v>Java</v>
      </c>
      <c r="L3016" s="9" t="str">
        <f>IFERROR(__xludf.DUMMYFUNCTION("""COMPUTED_VALUE"""),"SQL")</f>
        <v>SQL</v>
      </c>
      <c r="M3016" s="9" t="s">
        <v>21</v>
      </c>
    </row>
    <row r="3017" ht="15.75" customHeight="1">
      <c r="A3017" s="7"/>
      <c r="B3017" s="7" t="str">
        <f>IFERROR(__xludf.DUMMYFUNCTION("""COMPUTED_VALUE"""),"Bash/Shell/PowerShell;C#;HTML/CSS;JavaScript;Python")</f>
        <v>Bash/Shell/PowerShell;C#;HTML/CSS;JavaScript;Python</v>
      </c>
      <c r="C3017" s="9" t="str">
        <f>IFERROR(__xludf.DUMMYFUNCTION("""COMPUTED_VALUE"""),"Python")</f>
        <v>Python</v>
      </c>
      <c r="D3017" s="9" t="str">
        <f>IFERROR(__xludf.DUMMYFUNCTION("""COMPUTED_VALUE"""),"JavaScript")</f>
        <v>JavaScript</v>
      </c>
      <c r="E3017" s="9" t="str">
        <f>IFERROR(__xludf.DUMMYFUNCTION("""COMPUTED_VALUE"""),"Other(s):")</f>
        <v>Other(s):</v>
      </c>
      <c r="F3017" s="9" t="str">
        <f>IFERROR(__xludf.DUMMYFUNCTION("""COMPUTED_VALUE"""),"JavaScript")</f>
        <v>JavaScript</v>
      </c>
      <c r="G3017" s="9" t="str">
        <f>IFERROR(__xludf.DUMMYFUNCTION("""COMPUTED_VALUE"""),"Swift")</f>
        <v>Swift</v>
      </c>
      <c r="H3017" s="9" t="str">
        <f>IFERROR(__xludf.DUMMYFUNCTION("""COMPUTED_VALUE"""),"Python")</f>
        <v>Python</v>
      </c>
      <c r="I3017" s="9" t="str">
        <f>IFERROR(__xludf.DUMMYFUNCTION("""COMPUTED_VALUE"""),"PHP")</f>
        <v>PHP</v>
      </c>
      <c r="J3017" s="9" t="str">
        <f>IFERROR(__xludf.DUMMYFUNCTION("""COMPUTED_VALUE"""),"Python")</f>
        <v>Python</v>
      </c>
      <c r="K3017" s="9" t="str">
        <f>IFERROR(__xludf.DUMMYFUNCTION("""COMPUTED_VALUE"""),"JavaScript")</f>
        <v>JavaScript</v>
      </c>
      <c r="L3017" s="9" t="str">
        <f>IFERROR(__xludf.DUMMYFUNCTION("""COMPUTED_VALUE"""),"Python")</f>
        <v>Python</v>
      </c>
      <c r="M3017" s="9" t="s">
        <v>22</v>
      </c>
    </row>
    <row r="3018" ht="15.75" customHeight="1">
      <c r="A3018" s="7"/>
      <c r="B3018" s="7" t="str">
        <f>IFERROR(__xludf.DUMMYFUNCTION("""COMPUTED_VALUE"""),"Bash/Shell/PowerShell;Java;Kotlin;Python")</f>
        <v>Bash/Shell/PowerShell;Java;Kotlin;Python</v>
      </c>
      <c r="C3018" s="9" t="str">
        <f>IFERROR(__xludf.DUMMYFUNCTION("""COMPUTED_VALUE"""),"TypeScript")</f>
        <v>TypeScript</v>
      </c>
      <c r="D3018" s="9" t="str">
        <f>IFERROR(__xludf.DUMMYFUNCTION("""COMPUTED_VALUE"""),"Python")</f>
        <v>Python</v>
      </c>
      <c r="E3018" s="9" t="str">
        <f>IFERROR(__xludf.DUMMYFUNCTION("""COMPUTED_VALUE"""),"Bash/Shell/PowerShell")</f>
        <v>Bash/Shell/PowerShell</v>
      </c>
      <c r="F3018" s="9" t="str">
        <f>IFERROR(__xludf.DUMMYFUNCTION("""COMPUTED_VALUE"""),"Kotlin")</f>
        <v>Kotlin</v>
      </c>
      <c r="G3018" s="9" t="str">
        <f>IFERROR(__xludf.DUMMYFUNCTION("""COMPUTED_VALUE"""),"Java")</f>
        <v>Java</v>
      </c>
      <c r="H3018" s="9" t="str">
        <f>IFERROR(__xludf.DUMMYFUNCTION("""COMPUTED_VALUE"""),"Bash/Shell/PowerShell")</f>
        <v>Bash/Shell/PowerShell</v>
      </c>
      <c r="I3018" s="9" t="str">
        <f>IFERROR(__xludf.DUMMYFUNCTION("""COMPUTED_VALUE"""),"SQL")</f>
        <v>SQL</v>
      </c>
      <c r="J3018" s="9" t="str">
        <f>IFERROR(__xludf.DUMMYFUNCTION("""COMPUTED_VALUE"""),"SQL")</f>
        <v>SQL</v>
      </c>
      <c r="K3018" s="9" t="str">
        <f>IFERROR(__xludf.DUMMYFUNCTION("""COMPUTED_VALUE"""),"PHP")</f>
        <v>PHP</v>
      </c>
      <c r="L3018" s="9" t="str">
        <f>IFERROR(__xludf.DUMMYFUNCTION("""COMPUTED_VALUE"""),"Other(s):")</f>
        <v>Other(s):</v>
      </c>
      <c r="M3018" s="9" t="s">
        <v>33</v>
      </c>
    </row>
    <row r="3019" ht="15.75" customHeight="1">
      <c r="A3019" s="7"/>
      <c r="B3019" s="7" t="str">
        <f>IFERROR(__xludf.DUMMYFUNCTION("""COMPUTED_VALUE"""),"Bash/Shell/PowerShell;HTML/CSS;JavaScript;Ruby")</f>
        <v>Bash/Shell/PowerShell;HTML/CSS;JavaScript;Ruby</v>
      </c>
      <c r="C3019" s="9" t="str">
        <f>IFERROR(__xludf.DUMMYFUNCTION("""COMPUTED_VALUE"""),"Bash/Shell/PowerShell")</f>
        <v>Bash/Shell/PowerShell</v>
      </c>
      <c r="D3019" s="9" t="str">
        <f>IFERROR(__xludf.DUMMYFUNCTION("""COMPUTED_VALUE"""),"Bash/Shell/PowerShell")</f>
        <v>Bash/Shell/PowerShell</v>
      </c>
      <c r="E3019" s="9" t="str">
        <f>IFERROR(__xludf.DUMMYFUNCTION("""COMPUTED_VALUE"""),"C#")</f>
        <v>C#</v>
      </c>
      <c r="F3019" s="9" t="str">
        <f>IFERROR(__xludf.DUMMYFUNCTION("""COMPUTED_VALUE"""),"Scala")</f>
        <v>Scala</v>
      </c>
      <c r="G3019" s="9" t="str">
        <f>IFERROR(__xludf.DUMMYFUNCTION("""COMPUTED_VALUE"""),"JavaScript")</f>
        <v>JavaScript</v>
      </c>
      <c r="H3019" s="9" t="str">
        <f>IFERROR(__xludf.DUMMYFUNCTION("""COMPUTED_VALUE"""),"Java")</f>
        <v>Java</v>
      </c>
      <c r="I3019" s="9" t="str">
        <f>IFERROR(__xludf.DUMMYFUNCTION("""COMPUTED_VALUE"""),"HTML/CSS")</f>
        <v>HTML/CSS</v>
      </c>
      <c r="J3019" s="9" t="str">
        <f>IFERROR(__xludf.DUMMYFUNCTION("""COMPUTED_VALUE"""),"Bash/Shell/PowerShell")</f>
        <v>Bash/Shell/PowerShell</v>
      </c>
      <c r="K3019" s="9" t="str">
        <f>IFERROR(__xludf.DUMMYFUNCTION("""COMPUTED_VALUE"""),"Python")</f>
        <v>Python</v>
      </c>
      <c r="L3019" s="9" t="str">
        <f>IFERROR(__xludf.DUMMYFUNCTION("""COMPUTED_VALUE"""),"Assembly")</f>
        <v>Assembly</v>
      </c>
      <c r="M3019" s="9" t="s">
        <v>30</v>
      </c>
    </row>
    <row r="3020" ht="15.75" customHeight="1">
      <c r="A3020" s="7"/>
      <c r="B3020" s="7" t="str">
        <f>IFERROR(__xludf.DUMMYFUNCTION("""COMPUTED_VALUE"""),"Assembly;Bash/Shell/PowerShell;C;C++;Java;SQL")</f>
        <v>Assembly;Bash/Shell/PowerShell;C;C++;Java;SQL</v>
      </c>
      <c r="C3020" s="9" t="str">
        <f>IFERROR(__xludf.DUMMYFUNCTION("""COMPUTED_VALUE"""),"C")</f>
        <v>C</v>
      </c>
      <c r="D3020" s="9" t="str">
        <f>IFERROR(__xludf.DUMMYFUNCTION("""COMPUTED_VALUE"""),"Clojure")</f>
        <v>Clojure</v>
      </c>
      <c r="E3020" s="9" t="str">
        <f>IFERROR(__xludf.DUMMYFUNCTION("""COMPUTED_VALUE"""),"F#")</f>
        <v>F#</v>
      </c>
      <c r="F3020" s="9" t="str">
        <f>IFERROR(__xludf.DUMMYFUNCTION("""COMPUTED_VALUE"""),"SQL")</f>
        <v>SQL</v>
      </c>
      <c r="G3020" s="9" t="str">
        <f>IFERROR(__xludf.DUMMYFUNCTION("""COMPUTED_VALUE"""),"PHP")</f>
        <v>PHP</v>
      </c>
      <c r="H3020" s="9" t="str">
        <f>IFERROR(__xludf.DUMMYFUNCTION("""COMPUTED_VALUE"""),"JavaScript")</f>
        <v>JavaScript</v>
      </c>
      <c r="I3020" s="9" t="str">
        <f>IFERROR(__xludf.DUMMYFUNCTION("""COMPUTED_VALUE"""),"JavaScript")</f>
        <v>JavaScript</v>
      </c>
      <c r="J3020" s="9" t="str">
        <f>IFERROR(__xludf.DUMMYFUNCTION("""COMPUTED_VALUE"""),"Go")</f>
        <v>Go</v>
      </c>
      <c r="K3020" s="9" t="str">
        <f>IFERROR(__xludf.DUMMYFUNCTION("""COMPUTED_VALUE"""),"SQL")</f>
        <v>SQL</v>
      </c>
      <c r="L3020" s="9" t="str">
        <f>IFERROR(__xludf.DUMMYFUNCTION("""COMPUTED_VALUE"""),"Bash/Shell/PowerShell")</f>
        <v>Bash/Shell/PowerShell</v>
      </c>
      <c r="M3020" s="9" t="s">
        <v>25</v>
      </c>
    </row>
    <row r="3021" ht="15.75" customHeight="1">
      <c r="A3021" s="7"/>
      <c r="B3021" s="7" t="str">
        <f>IFERROR(__xludf.DUMMYFUNCTION("""COMPUTED_VALUE"""),"Bash/Shell/PowerShell;Go;HTML/CSS;JavaScript;SQL")</f>
        <v>Bash/Shell/PowerShell;Go;HTML/CSS;JavaScript;SQL</v>
      </c>
      <c r="C3021" s="9" t="str">
        <f>IFERROR(__xludf.DUMMYFUNCTION("""COMPUTED_VALUE"""),"C++")</f>
        <v>C++</v>
      </c>
      <c r="D3021" s="9" t="str">
        <f>IFERROR(__xludf.DUMMYFUNCTION("""COMPUTED_VALUE"""),"Java")</f>
        <v>Java</v>
      </c>
      <c r="E3021" s="9" t="str">
        <f>IFERROR(__xludf.DUMMYFUNCTION("""COMPUTED_VALUE"""),"Go")</f>
        <v>Go</v>
      </c>
      <c r="F3021" s="9" t="str">
        <f>IFERROR(__xludf.DUMMYFUNCTION("""COMPUTED_VALUE"""),"TypeScript")</f>
        <v>TypeScript</v>
      </c>
      <c r="G3021" s="9" t="str">
        <f>IFERROR(__xludf.DUMMYFUNCTION("""COMPUTED_VALUE"""),"R")</f>
        <v>R</v>
      </c>
      <c r="H3021" s="9" t="str">
        <f>IFERROR(__xludf.DUMMYFUNCTION("""COMPUTED_VALUE"""),"SQL")</f>
        <v>SQL</v>
      </c>
      <c r="I3021" s="9" t="str">
        <f>IFERROR(__xludf.DUMMYFUNCTION("""COMPUTED_VALUE"""),"PHP")</f>
        <v>PHP</v>
      </c>
      <c r="J3021" s="9" t="str">
        <f>IFERROR(__xludf.DUMMYFUNCTION("""COMPUTED_VALUE"""),"Java")</f>
        <v>Java</v>
      </c>
      <c r="K3021" s="9" t="str">
        <f>IFERROR(__xludf.DUMMYFUNCTION("""COMPUTED_VALUE"""),"C")</f>
        <v>C</v>
      </c>
      <c r="L3021" s="9" t="str">
        <f>IFERROR(__xludf.DUMMYFUNCTION("""COMPUTED_VALUE"""),"C")</f>
        <v>C</v>
      </c>
      <c r="M3021" s="9" t="s">
        <v>23</v>
      </c>
    </row>
    <row r="3022" ht="15.75" customHeight="1">
      <c r="A3022" s="7"/>
      <c r="B3022" s="7" t="str">
        <f>IFERROR(__xludf.DUMMYFUNCTION("""COMPUTED_VALUE"""),"C#;JavaScript;Kotlin;TypeScript")</f>
        <v>C#;JavaScript;Kotlin;TypeScript</v>
      </c>
      <c r="C3022" s="9" t="str">
        <f>IFERROR(__xludf.DUMMYFUNCTION("""COMPUTED_VALUE"""),"C#")</f>
        <v>C#</v>
      </c>
      <c r="D3022" s="9" t="str">
        <f>IFERROR(__xludf.DUMMYFUNCTION("""COMPUTED_VALUE"""),"Kotlin")</f>
        <v>Kotlin</v>
      </c>
      <c r="E3022" s="9" t="str">
        <f>IFERROR(__xludf.DUMMYFUNCTION("""COMPUTED_VALUE"""),"Bash/Shell/PowerShell")</f>
        <v>Bash/Shell/PowerShell</v>
      </c>
      <c r="F3022" s="9" t="str">
        <f>IFERROR(__xludf.DUMMYFUNCTION("""COMPUTED_VALUE"""),"Other(s):")</f>
        <v>Other(s):</v>
      </c>
      <c r="G3022" s="9" t="str">
        <f>IFERROR(__xludf.DUMMYFUNCTION("""COMPUTED_VALUE"""),"SQL")</f>
        <v>SQL</v>
      </c>
      <c r="H3022" s="9" t="str">
        <f>IFERROR(__xludf.DUMMYFUNCTION("""COMPUTED_VALUE"""),"HTML/CSS")</f>
        <v>HTML/CSS</v>
      </c>
      <c r="I3022" s="9" t="str">
        <f>IFERROR(__xludf.DUMMYFUNCTION("""COMPUTED_VALUE"""),"SQL")</f>
        <v>SQL</v>
      </c>
      <c r="J3022" s="9" t="str">
        <f>IFERROR(__xludf.DUMMYFUNCTION("""COMPUTED_VALUE"""),"Python")</f>
        <v>Python</v>
      </c>
      <c r="K3022" s="9" t="str">
        <f>IFERROR(__xludf.DUMMYFUNCTION("""COMPUTED_VALUE"""),"C++")</f>
        <v>C++</v>
      </c>
      <c r="L3022" s="9" t="str">
        <f>IFERROR(__xludf.DUMMYFUNCTION("""COMPUTED_VALUE"""),"C++")</f>
        <v>C++</v>
      </c>
      <c r="M3022" s="9" t="s">
        <v>26</v>
      </c>
    </row>
    <row r="3023" ht="15.75" customHeight="1">
      <c r="A3023" s="7"/>
      <c r="B3023" s="7" t="str">
        <f>IFERROR(__xludf.DUMMYFUNCTION("""COMPUTED_VALUE"""),"C++;C#;HTML/CSS;JavaScript;SQL;TypeScript")</f>
        <v>C++;C#;HTML/CSS;JavaScript;SQL;TypeScript</v>
      </c>
      <c r="C3023" s="9" t="str">
        <f>IFERROR(__xludf.DUMMYFUNCTION("""COMPUTED_VALUE"""),"HTML/CSS")</f>
        <v>HTML/CSS</v>
      </c>
      <c r="D3023" s="9" t="str">
        <f>IFERROR(__xludf.DUMMYFUNCTION("""COMPUTED_VALUE"""),"Scala")</f>
        <v>Scala</v>
      </c>
      <c r="E3023" s="9" t="str">
        <f>IFERROR(__xludf.DUMMYFUNCTION("""COMPUTED_VALUE"""),"HTML/CSS")</f>
        <v>HTML/CSS</v>
      </c>
      <c r="F3023" s="9" t="str">
        <f>IFERROR(__xludf.DUMMYFUNCTION("""COMPUTED_VALUE"""),"Bash/Shell/PowerShell")</f>
        <v>Bash/Shell/PowerShell</v>
      </c>
      <c r="G3023" s="9" t="str">
        <f>IFERROR(__xludf.DUMMYFUNCTION("""COMPUTED_VALUE"""),"Bash/Shell/PowerShell")</f>
        <v>Bash/Shell/PowerShell</v>
      </c>
      <c r="H3023" s="9" t="str">
        <f>IFERROR(__xludf.DUMMYFUNCTION("""COMPUTED_VALUE"""),"JavaScript")</f>
        <v>JavaScript</v>
      </c>
      <c r="I3023" s="9" t="str">
        <f>IFERROR(__xludf.DUMMYFUNCTION("""COMPUTED_VALUE"""),"Bash/Shell/PowerShell")</f>
        <v>Bash/Shell/PowerShell</v>
      </c>
      <c r="J3023" s="9" t="str">
        <f>IFERROR(__xludf.DUMMYFUNCTION("""COMPUTED_VALUE"""),"Other(s):")</f>
        <v>Other(s):</v>
      </c>
      <c r="K3023" s="9" t="str">
        <f>IFERROR(__xludf.DUMMYFUNCTION("""COMPUTED_VALUE"""),"Java")</f>
        <v>Java</v>
      </c>
      <c r="L3023" s="9" t="str">
        <f>IFERROR(__xludf.DUMMYFUNCTION("""COMPUTED_VALUE"""),"Python")</f>
        <v>Python</v>
      </c>
      <c r="M3023" s="9" t="s">
        <v>24</v>
      </c>
    </row>
    <row r="3024" ht="15.75" customHeight="1">
      <c r="A3024" s="7"/>
      <c r="B3024" s="7" t="str">
        <f>IFERROR(__xludf.DUMMYFUNCTION("""COMPUTED_VALUE"""),"Bash/Shell/PowerShell;C;HTML/CSS;Java;Python")</f>
        <v>Bash/Shell/PowerShell;C;HTML/CSS;Java;Python</v>
      </c>
      <c r="C3024" s="9" t="str">
        <f>IFERROR(__xludf.DUMMYFUNCTION("""COMPUTED_VALUE"""),"Java")</f>
        <v>Java</v>
      </c>
      <c r="D3024" s="9" t="str">
        <f>IFERROR(__xludf.DUMMYFUNCTION("""COMPUTED_VALUE"""),"SQL")</f>
        <v>SQL</v>
      </c>
      <c r="E3024" s="9" t="str">
        <f>IFERROR(__xludf.DUMMYFUNCTION("""COMPUTED_VALUE"""),"Java")</f>
        <v>Java</v>
      </c>
      <c r="F3024" s="9" t="str">
        <f>IFERROR(__xludf.DUMMYFUNCTION("""COMPUTED_VALUE"""),"C")</f>
        <v>C</v>
      </c>
      <c r="G3024" s="9" t="str">
        <f>IFERROR(__xludf.DUMMYFUNCTION("""COMPUTED_VALUE"""),"C")</f>
        <v>C</v>
      </c>
      <c r="H3024" s="9" t="str">
        <f>IFERROR(__xludf.DUMMYFUNCTION("""COMPUTED_VALUE"""),"PHP")</f>
        <v>PHP</v>
      </c>
      <c r="I3024" s="9" t="str">
        <f>IFERROR(__xludf.DUMMYFUNCTION("""COMPUTED_VALUE"""),"C#")</f>
        <v>C#</v>
      </c>
      <c r="J3024" s="9" t="str">
        <f>IFERROR(__xludf.DUMMYFUNCTION("""COMPUTED_VALUE"""),"Bash/Shell/PowerShell")</f>
        <v>Bash/Shell/PowerShell</v>
      </c>
      <c r="K3024" s="9" t="str">
        <f>IFERROR(__xludf.DUMMYFUNCTION("""COMPUTED_VALUE"""),"Python")</f>
        <v>Python</v>
      </c>
      <c r="L3024" s="9" t="str">
        <f>IFERROR(__xludf.DUMMYFUNCTION("""COMPUTED_VALUE"""),"Swift")</f>
        <v>Swift</v>
      </c>
      <c r="M3024" s="9" t="s">
        <v>20</v>
      </c>
    </row>
    <row r="3025" ht="15.75" customHeight="1">
      <c r="A3025" s="7"/>
      <c r="B3025" s="7" t="str">
        <f>IFERROR(__xludf.DUMMYFUNCTION("""COMPUTED_VALUE"""),"Bash/Shell/PowerShell;C;Clojure;Elixir;HTML/CSS;Java;JavaScript;Python;R;Rust;Other(s):")</f>
        <v>Bash/Shell/PowerShell;C;Clojure;Elixir;HTML/CSS;Java;JavaScript;Python;R;Rust;Other(s):</v>
      </c>
      <c r="C3025" s="9" t="str">
        <f>IFERROR(__xludf.DUMMYFUNCTION("""COMPUTED_VALUE"""),"Python")</f>
        <v>Python</v>
      </c>
      <c r="D3025" s="9" t="str">
        <f>IFERROR(__xludf.DUMMYFUNCTION("""COMPUTED_VALUE"""),"Java")</f>
        <v>Java</v>
      </c>
      <c r="E3025" s="9" t="str">
        <f>IFERROR(__xludf.DUMMYFUNCTION("""COMPUTED_VALUE"""),"JavaScript")</f>
        <v>JavaScript</v>
      </c>
      <c r="F3025" s="9" t="str">
        <f>IFERROR(__xludf.DUMMYFUNCTION("""COMPUTED_VALUE"""),"Python")</f>
        <v>Python</v>
      </c>
      <c r="G3025" s="9" t="str">
        <f>IFERROR(__xludf.DUMMYFUNCTION("""COMPUTED_VALUE"""),"C++")</f>
        <v>C++</v>
      </c>
      <c r="H3025" s="9" t="str">
        <f>IFERROR(__xludf.DUMMYFUNCTION("""COMPUTED_VALUE"""),"Python")</f>
        <v>Python</v>
      </c>
      <c r="I3025" s="9" t="str">
        <f>IFERROR(__xludf.DUMMYFUNCTION("""COMPUTED_VALUE"""),"HTML/CSS")</f>
        <v>HTML/CSS</v>
      </c>
      <c r="J3025" s="9" t="str">
        <f>IFERROR(__xludf.DUMMYFUNCTION("""COMPUTED_VALUE"""),"C++")</f>
        <v>C++</v>
      </c>
      <c r="K3025" s="9" t="str">
        <f>IFERROR(__xludf.DUMMYFUNCTION("""COMPUTED_VALUE"""),"SQL")</f>
        <v>SQL</v>
      </c>
      <c r="L3025" s="9" t="str">
        <f>IFERROR(__xludf.DUMMYFUNCTION("""COMPUTED_VALUE"""),"HTML/CSS")</f>
        <v>HTML/CSS</v>
      </c>
      <c r="M3025" s="9" t="s">
        <v>22</v>
      </c>
    </row>
    <row r="3026" ht="15.75" customHeight="1">
      <c r="A3026" s="7"/>
      <c r="B3026" s="7" t="str">
        <f>IFERROR(__xludf.DUMMYFUNCTION("""COMPUTED_VALUE"""),"Clojure;Java")</f>
        <v>Clojure;Java</v>
      </c>
      <c r="C3026" s="9" t="str">
        <f>IFERROR(__xludf.DUMMYFUNCTION("""COMPUTED_VALUE"""),"SQL")</f>
        <v>SQL</v>
      </c>
      <c r="D3026" s="9" t="str">
        <f>IFERROR(__xludf.DUMMYFUNCTION("""COMPUTED_VALUE"""),"Bash/Shell/PowerShell")</f>
        <v>Bash/Shell/PowerShell</v>
      </c>
      <c r="E3026" s="9" t="str">
        <f>IFERROR(__xludf.DUMMYFUNCTION("""COMPUTED_VALUE"""),"TypeScript")</f>
        <v>TypeScript</v>
      </c>
      <c r="F3026" s="9" t="str">
        <f>IFERROR(__xludf.DUMMYFUNCTION("""COMPUTED_VALUE"""),"SQL")</f>
        <v>SQL</v>
      </c>
      <c r="G3026" s="9" t="str">
        <f>IFERROR(__xludf.DUMMYFUNCTION("""COMPUTED_VALUE"""),"C#")</f>
        <v>C#</v>
      </c>
      <c r="H3026" s="9" t="str">
        <f>IFERROR(__xludf.DUMMYFUNCTION("""COMPUTED_VALUE"""),"SQL")</f>
        <v>SQL</v>
      </c>
      <c r="I3026" s="9" t="str">
        <f>IFERROR(__xludf.DUMMYFUNCTION("""COMPUTED_VALUE"""),"JavaScript")</f>
        <v>JavaScript</v>
      </c>
      <c r="J3026" s="9" t="str">
        <f>IFERROR(__xludf.DUMMYFUNCTION("""COMPUTED_VALUE"""),"C#")</f>
        <v>C#</v>
      </c>
      <c r="K3026" s="9" t="str">
        <f>IFERROR(__xludf.DUMMYFUNCTION("""COMPUTED_VALUE"""),"Bash/Shell/PowerShell")</f>
        <v>Bash/Shell/PowerShell</v>
      </c>
      <c r="L3026" s="9" t="str">
        <f>IFERROR(__xludf.DUMMYFUNCTION("""COMPUTED_VALUE"""),"JavaScript")</f>
        <v>JavaScript</v>
      </c>
      <c r="M3026" s="9" t="s">
        <v>27</v>
      </c>
    </row>
    <row r="3027" ht="15.75" customHeight="1">
      <c r="A3027" s="7"/>
      <c r="B3027" s="7" t="str">
        <f>IFERROR(__xludf.DUMMYFUNCTION("""COMPUTED_VALUE"""),"C;HTML/CSS;Java;JavaScript;Python")</f>
        <v>C;HTML/CSS;Java;JavaScript;Python</v>
      </c>
      <c r="C3027" s="9" t="str">
        <f>IFERROR(__xludf.DUMMYFUNCTION("""COMPUTED_VALUE"""),"TypeScript")</f>
        <v>TypeScript</v>
      </c>
      <c r="D3027" s="9" t="str">
        <f>IFERROR(__xludf.DUMMYFUNCTION("""COMPUTED_VALUE"""),"C#")</f>
        <v>C#</v>
      </c>
      <c r="E3027" s="9" t="str">
        <f>IFERROR(__xludf.DUMMYFUNCTION("""COMPUTED_VALUE"""),"HTML/CSS")</f>
        <v>HTML/CSS</v>
      </c>
      <c r="F3027" s="9" t="str">
        <f>IFERROR(__xludf.DUMMYFUNCTION("""COMPUTED_VALUE"""),"Java")</f>
        <v>Java</v>
      </c>
      <c r="G3027" s="9" t="str">
        <f>IFERROR(__xludf.DUMMYFUNCTION("""COMPUTED_VALUE"""),"Go")</f>
        <v>Go</v>
      </c>
      <c r="H3027" s="9" t="str">
        <f>IFERROR(__xludf.DUMMYFUNCTION("""COMPUTED_VALUE"""),"TypeScript")</f>
        <v>TypeScript</v>
      </c>
      <c r="I3027" s="9" t="str">
        <f>IFERROR(__xludf.DUMMYFUNCTION("""COMPUTED_VALUE"""),"Ruby")</f>
        <v>Ruby</v>
      </c>
      <c r="J3027" s="9" t="str">
        <f>IFERROR(__xludf.DUMMYFUNCTION("""COMPUTED_VALUE"""),"Dart")</f>
        <v>Dart</v>
      </c>
      <c r="K3027" s="9" t="str">
        <f>IFERROR(__xludf.DUMMYFUNCTION("""COMPUTED_VALUE"""),"C")</f>
        <v>C</v>
      </c>
      <c r="L3027" s="9" t="str">
        <f>IFERROR(__xludf.DUMMYFUNCTION("""COMPUTED_VALUE"""),"PHP")</f>
        <v>PHP</v>
      </c>
      <c r="M3027" s="9" t="s">
        <v>33</v>
      </c>
    </row>
    <row r="3028" ht="15.75" customHeight="1">
      <c r="A3028" s="7"/>
      <c r="B3028" s="7" t="str">
        <f>IFERROR(__xludf.DUMMYFUNCTION("""COMPUTED_VALUE"""),"Bash/Shell/PowerShell;C#;HTML/CSS;Java;JavaScript;SQL;VBA")</f>
        <v>Bash/Shell/PowerShell;C#;HTML/CSS;Java;JavaScript;SQL;VBA</v>
      </c>
      <c r="C3028" s="9" t="str">
        <f>IFERROR(__xludf.DUMMYFUNCTION("""COMPUTED_VALUE"""),"C#")</f>
        <v>C#</v>
      </c>
      <c r="D3028" s="9" t="str">
        <f>IFERROR(__xludf.DUMMYFUNCTION("""COMPUTED_VALUE"""),"HTML/CSS")</f>
        <v>HTML/CSS</v>
      </c>
      <c r="E3028" s="9" t="str">
        <f>IFERROR(__xludf.DUMMYFUNCTION("""COMPUTED_VALUE"""),"Java")</f>
        <v>Java</v>
      </c>
      <c r="F3028" s="9" t="str">
        <f>IFERROR(__xludf.DUMMYFUNCTION("""COMPUTED_VALUE"""),"Kotlin")</f>
        <v>Kotlin</v>
      </c>
      <c r="G3028" s="9" t="str">
        <f>IFERROR(__xludf.DUMMYFUNCTION("""COMPUTED_VALUE"""),"HTML/CSS")</f>
        <v>HTML/CSS</v>
      </c>
      <c r="H3028" s="9" t="str">
        <f>IFERROR(__xludf.DUMMYFUNCTION("""COMPUTED_VALUE"""),"C#")</f>
        <v>C#</v>
      </c>
      <c r="I3028" s="9" t="str">
        <f>IFERROR(__xludf.DUMMYFUNCTION("""COMPUTED_VALUE"""),"SQL")</f>
        <v>SQL</v>
      </c>
      <c r="J3028" s="9" t="str">
        <f>IFERROR(__xludf.DUMMYFUNCTION("""COMPUTED_VALUE"""),"F#")</f>
        <v>F#</v>
      </c>
      <c r="K3028" s="9" t="str">
        <f>IFERROR(__xludf.DUMMYFUNCTION("""COMPUTED_VALUE"""),"C++")</f>
        <v>C++</v>
      </c>
      <c r="L3028" s="9" t="str">
        <f>IFERROR(__xludf.DUMMYFUNCTION("""COMPUTED_VALUE"""),"C")</f>
        <v>C</v>
      </c>
      <c r="M3028" s="9" t="s">
        <v>26</v>
      </c>
    </row>
    <row r="3029" ht="15.75" customHeight="1">
      <c r="A3029" s="7"/>
      <c r="B3029" s="7" t="str">
        <f>IFERROR(__xludf.DUMMYFUNCTION("""COMPUTED_VALUE"""),"Elixir;Objective-C;Swift")</f>
        <v>Elixir;Objective-C;Swift</v>
      </c>
      <c r="C3029" s="9" t="str">
        <f>IFERROR(__xludf.DUMMYFUNCTION("""COMPUTED_VALUE"""),"HTML/CSS")</f>
        <v>HTML/CSS</v>
      </c>
      <c r="D3029" s="9" t="str">
        <f>IFERROR(__xludf.DUMMYFUNCTION("""COMPUTED_VALUE"""),"JavaScript")</f>
        <v>JavaScript</v>
      </c>
      <c r="E3029" s="9" t="str">
        <f>IFERROR(__xludf.DUMMYFUNCTION("""COMPUTED_VALUE"""),"Kotlin")</f>
        <v>Kotlin</v>
      </c>
      <c r="F3029" s="9" t="str">
        <f>IFERROR(__xludf.DUMMYFUNCTION("""COMPUTED_VALUE"""),"Python")</f>
        <v>Python</v>
      </c>
      <c r="G3029" s="9" t="str">
        <f>IFERROR(__xludf.DUMMYFUNCTION("""COMPUTED_VALUE"""),"Java")</f>
        <v>Java</v>
      </c>
      <c r="H3029" s="9" t="str">
        <f>IFERROR(__xludf.DUMMYFUNCTION("""COMPUTED_VALUE"""),"HTML/CSS")</f>
        <v>HTML/CSS</v>
      </c>
      <c r="I3029" s="9" t="str">
        <f>IFERROR(__xludf.DUMMYFUNCTION("""COMPUTED_VALUE"""),"TypeScript")</f>
        <v>TypeScript</v>
      </c>
      <c r="J3029" s="9" t="str">
        <f>IFERROR(__xludf.DUMMYFUNCTION("""COMPUTED_VALUE"""),"Go")</f>
        <v>Go</v>
      </c>
      <c r="K3029" s="9" t="str">
        <f>IFERROR(__xludf.DUMMYFUNCTION("""COMPUTED_VALUE"""),"HTML/CSS")</f>
        <v>HTML/CSS</v>
      </c>
      <c r="L3029" s="9" t="str">
        <f>IFERROR(__xludf.DUMMYFUNCTION("""COMPUTED_VALUE"""),"Java")</f>
        <v>Java</v>
      </c>
      <c r="M3029" s="9" t="s">
        <v>24</v>
      </c>
    </row>
    <row r="3030" ht="15.75" customHeight="1">
      <c r="A3030" s="7"/>
      <c r="B3030" s="7" t="str">
        <f>IFERROR(__xludf.DUMMYFUNCTION("""COMPUTED_VALUE"""),"PHP;SQL;Other(s):")</f>
        <v>PHP;SQL;Other(s):</v>
      </c>
      <c r="C3030" s="9" t="str">
        <f>IFERROR(__xludf.DUMMYFUNCTION("""COMPUTED_VALUE"""),"JavaScript")</f>
        <v>JavaScript</v>
      </c>
      <c r="D3030" s="9" t="str">
        <f>IFERROR(__xludf.DUMMYFUNCTION("""COMPUTED_VALUE"""),"SQL")</f>
        <v>SQL</v>
      </c>
      <c r="E3030" s="9" t="str">
        <f>IFERROR(__xludf.DUMMYFUNCTION("""COMPUTED_VALUE"""),"SQL")</f>
        <v>SQL</v>
      </c>
      <c r="F3030" s="9" t="str">
        <f>IFERROR(__xludf.DUMMYFUNCTION("""COMPUTED_VALUE"""),"Bash/Shell/PowerShell")</f>
        <v>Bash/Shell/PowerShell</v>
      </c>
      <c r="G3030" s="9" t="str">
        <f>IFERROR(__xludf.DUMMYFUNCTION("""COMPUTED_VALUE"""),"JavaScript")</f>
        <v>JavaScript</v>
      </c>
      <c r="H3030" s="9" t="str">
        <f>IFERROR(__xludf.DUMMYFUNCTION("""COMPUTED_VALUE"""),"JavaScript")</f>
        <v>JavaScript</v>
      </c>
      <c r="I3030" s="9" t="str">
        <f>IFERROR(__xludf.DUMMYFUNCTION("""COMPUTED_VALUE"""),"Bash/Shell/PowerShell")</f>
        <v>Bash/Shell/PowerShell</v>
      </c>
      <c r="J3030" s="9" t="str">
        <f>IFERROR(__xludf.DUMMYFUNCTION("""COMPUTED_VALUE"""),"HTML/CSS")</f>
        <v>HTML/CSS</v>
      </c>
      <c r="K3030" s="9" t="str">
        <f>IFERROR(__xludf.DUMMYFUNCTION("""COMPUTED_VALUE"""),"Java")</f>
        <v>Java</v>
      </c>
      <c r="L3030" s="9" t="str">
        <f>IFERROR(__xludf.DUMMYFUNCTION("""COMPUTED_VALUE"""),"PHP")</f>
        <v>PHP</v>
      </c>
      <c r="M3030" s="9" t="s">
        <v>21</v>
      </c>
    </row>
    <row r="3031" ht="15.75" customHeight="1">
      <c r="A3031" s="7"/>
      <c r="B3031" s="7" t="str">
        <f>IFERROR(__xludf.DUMMYFUNCTION("""COMPUTED_VALUE"""),"Assembly;Bash/Shell/PowerShell;C++;C#;F#;HTML/CSS;JavaScript;SQL;TypeScript;WebAssembly")</f>
        <v>Assembly;Bash/Shell/PowerShell;C++;C#;F#;HTML/CSS;JavaScript;SQL;TypeScript;WebAssembly</v>
      </c>
      <c r="C3031" s="9" t="str">
        <f>IFERROR(__xludf.DUMMYFUNCTION("""COMPUTED_VALUE"""),"Python")</f>
        <v>Python</v>
      </c>
      <c r="D3031" s="9" t="str">
        <f>IFERROR(__xludf.DUMMYFUNCTION("""COMPUTED_VALUE"""),"TypeScript")</f>
        <v>TypeScript</v>
      </c>
      <c r="E3031" s="9" t="str">
        <f>IFERROR(__xludf.DUMMYFUNCTION("""COMPUTED_VALUE"""),"VBA")</f>
        <v>VBA</v>
      </c>
      <c r="F3031" s="9" t="str">
        <f>IFERROR(__xludf.DUMMYFUNCTION("""COMPUTED_VALUE"""),"Go")</f>
        <v>Go</v>
      </c>
      <c r="G3031" s="9" t="str">
        <f>IFERROR(__xludf.DUMMYFUNCTION("""COMPUTED_VALUE"""),"R")</f>
        <v>R</v>
      </c>
      <c r="H3031" s="9" t="str">
        <f>IFERROR(__xludf.DUMMYFUNCTION("""COMPUTED_VALUE"""),"SQL")</f>
        <v>SQL</v>
      </c>
      <c r="I3031" s="9" t="str">
        <f>IFERROR(__xludf.DUMMYFUNCTION("""COMPUTED_VALUE"""),"Java")</f>
        <v>Java</v>
      </c>
      <c r="J3031" s="9" t="str">
        <f>IFERROR(__xludf.DUMMYFUNCTION("""COMPUTED_VALUE"""),"Java")</f>
        <v>Java</v>
      </c>
      <c r="K3031" s="9" t="str">
        <f>IFERROR(__xludf.DUMMYFUNCTION("""COMPUTED_VALUE"""),"JavaScript")</f>
        <v>JavaScript</v>
      </c>
      <c r="L3031" s="9" t="str">
        <f>IFERROR(__xludf.DUMMYFUNCTION("""COMPUTED_VALUE"""),"Python")</f>
        <v>Python</v>
      </c>
      <c r="M3031" s="9" t="s">
        <v>22</v>
      </c>
    </row>
    <row r="3032" ht="15.75" customHeight="1">
      <c r="A3032" s="7"/>
      <c r="B3032" s="7" t="str">
        <f>IFERROR(__xludf.DUMMYFUNCTION("""COMPUTED_VALUE"""),"JavaScript;Python")</f>
        <v>JavaScript;Python</v>
      </c>
      <c r="C3032" s="9" t="str">
        <f>IFERROR(__xludf.DUMMYFUNCTION("""COMPUTED_VALUE"""),"SQL")</f>
        <v>SQL</v>
      </c>
      <c r="D3032" s="9" t="str">
        <f>IFERROR(__xludf.DUMMYFUNCTION("""COMPUTED_VALUE"""),"Assembly")</f>
        <v>Assembly</v>
      </c>
      <c r="E3032" s="9" t="str">
        <f>IFERROR(__xludf.DUMMYFUNCTION("""COMPUTED_VALUE"""),"Bash/Shell/PowerShell")</f>
        <v>Bash/Shell/PowerShell</v>
      </c>
      <c r="F3032" s="9" t="str">
        <f>IFERROR(__xludf.DUMMYFUNCTION("""COMPUTED_VALUE"""),"Python")</f>
        <v>Python</v>
      </c>
      <c r="G3032" s="9" t="str">
        <f>IFERROR(__xludf.DUMMYFUNCTION("""COMPUTED_VALUE"""),"SQL")</f>
        <v>SQL</v>
      </c>
      <c r="H3032" s="9" t="str">
        <f>IFERROR(__xludf.DUMMYFUNCTION("""COMPUTED_VALUE"""),"Bash/Shell/PowerShell")</f>
        <v>Bash/Shell/PowerShell</v>
      </c>
      <c r="I3032" s="9" t="str">
        <f>IFERROR(__xludf.DUMMYFUNCTION("""COMPUTED_VALUE"""),"Scala")</f>
        <v>Scala</v>
      </c>
      <c r="J3032" s="9" t="str">
        <f>IFERROR(__xludf.DUMMYFUNCTION("""COMPUTED_VALUE"""),"JavaScript")</f>
        <v>JavaScript</v>
      </c>
      <c r="K3032" s="9" t="str">
        <f>IFERROR(__xludf.DUMMYFUNCTION("""COMPUTED_VALUE"""),"SQL")</f>
        <v>SQL</v>
      </c>
      <c r="L3032" s="9" t="str">
        <f>IFERROR(__xludf.DUMMYFUNCTION("""COMPUTED_VALUE"""),"SQL")</f>
        <v>SQL</v>
      </c>
      <c r="M3032" s="9" t="s">
        <v>27</v>
      </c>
    </row>
    <row r="3033" ht="15.75" customHeight="1">
      <c r="A3033" s="7"/>
      <c r="B3033" s="7" t="str">
        <f>IFERROR(__xludf.DUMMYFUNCTION("""COMPUTED_VALUE"""),"Elixir;HTML/CSS;JavaScript;Ruby;SQL")</f>
        <v>Elixir;HTML/CSS;JavaScript;Ruby;SQL</v>
      </c>
      <c r="C3033" s="9" t="str">
        <f>IFERROR(__xludf.DUMMYFUNCTION("""COMPUTED_VALUE"""),"TypeScript")</f>
        <v>TypeScript</v>
      </c>
      <c r="D3033" s="9" t="str">
        <f>IFERROR(__xludf.DUMMYFUNCTION("""COMPUTED_VALUE"""),"HTML/CSS")</f>
        <v>HTML/CSS</v>
      </c>
      <c r="E3033" s="9" t="str">
        <f>IFERROR(__xludf.DUMMYFUNCTION("""COMPUTED_VALUE"""),"Python")</f>
        <v>Python</v>
      </c>
      <c r="F3033" s="9" t="str">
        <f>IFERROR(__xludf.DUMMYFUNCTION("""COMPUTED_VALUE"""),"Bash/Shell/PowerShell")</f>
        <v>Bash/Shell/PowerShell</v>
      </c>
      <c r="G3033" s="9" t="str">
        <f>IFERROR(__xludf.DUMMYFUNCTION("""COMPUTED_VALUE"""),"TypeScript")</f>
        <v>TypeScript</v>
      </c>
      <c r="H3033" s="9" t="str">
        <f>IFERROR(__xludf.DUMMYFUNCTION("""COMPUTED_VALUE"""),"JavaScript")</f>
        <v>JavaScript</v>
      </c>
      <c r="I3033" s="9" t="str">
        <f>IFERROR(__xludf.DUMMYFUNCTION("""COMPUTED_VALUE"""),"HTML/CSS")</f>
        <v>HTML/CSS</v>
      </c>
      <c r="J3033" s="9" t="str">
        <f>IFERROR(__xludf.DUMMYFUNCTION("""COMPUTED_VALUE"""),"Rust")</f>
        <v>Rust</v>
      </c>
      <c r="K3033" s="9" t="str">
        <f>IFERROR(__xludf.DUMMYFUNCTION("""COMPUTED_VALUE"""),"Bash/Shell/PowerShell")</f>
        <v>Bash/Shell/PowerShell</v>
      </c>
      <c r="L3033" s="9" t="str">
        <f>IFERROR(__xludf.DUMMYFUNCTION("""COMPUTED_VALUE"""),"C")</f>
        <v>C</v>
      </c>
      <c r="M3033" s="9" t="s">
        <v>33</v>
      </c>
    </row>
    <row r="3034" ht="15.75" customHeight="1">
      <c r="A3034" s="7"/>
      <c r="B3034" s="7" t="str">
        <f>IFERROR(__xludf.DUMMYFUNCTION("""COMPUTED_VALUE"""),"C;C++")</f>
        <v>C;C++</v>
      </c>
      <c r="C3034" s="9" t="str">
        <f>IFERROR(__xludf.DUMMYFUNCTION("""COMPUTED_VALUE"""),"VBA")</f>
        <v>VBA</v>
      </c>
      <c r="D3034" s="9" t="str">
        <f>IFERROR(__xludf.DUMMYFUNCTION("""COMPUTED_VALUE"""),"JavaScript")</f>
        <v>JavaScript</v>
      </c>
      <c r="E3034" s="9" t="str">
        <f>IFERROR(__xludf.DUMMYFUNCTION("""COMPUTED_VALUE"""),"R")</f>
        <v>R</v>
      </c>
      <c r="F3034" s="9" t="str">
        <f>IFERROR(__xludf.DUMMYFUNCTION("""COMPUTED_VALUE"""),"C#")</f>
        <v>C#</v>
      </c>
      <c r="G3034" s="9" t="str">
        <f>IFERROR(__xludf.DUMMYFUNCTION("""COMPUTED_VALUE"""),"WebAssembly")</f>
        <v>WebAssembly</v>
      </c>
      <c r="H3034" s="9" t="str">
        <f>IFERROR(__xludf.DUMMYFUNCTION("""COMPUTED_VALUE"""),"C#")</f>
        <v>C#</v>
      </c>
      <c r="I3034" s="9" t="str">
        <f>IFERROR(__xludf.DUMMYFUNCTION("""COMPUTED_VALUE"""),"PHP")</f>
        <v>PHP</v>
      </c>
      <c r="J3034" s="9" t="str">
        <f>IFERROR(__xludf.DUMMYFUNCTION("""COMPUTED_VALUE"""),"SQL")</f>
        <v>SQL</v>
      </c>
      <c r="K3034" s="9" t="str">
        <f>IFERROR(__xludf.DUMMYFUNCTION("""COMPUTED_VALUE"""),"HTML/CSS")</f>
        <v>HTML/CSS</v>
      </c>
      <c r="L3034" s="9" t="str">
        <f>IFERROR(__xludf.DUMMYFUNCTION("""COMPUTED_VALUE"""),"C++")</f>
        <v>C++</v>
      </c>
      <c r="M3034" s="9" t="s">
        <v>28</v>
      </c>
    </row>
    <row r="3035" ht="15.75" customHeight="1">
      <c r="A3035" s="7"/>
      <c r="B3035" s="7" t="str">
        <f>IFERROR(__xludf.DUMMYFUNCTION("""COMPUTED_VALUE"""),"C++;Python")</f>
        <v>C++;Python</v>
      </c>
      <c r="C3035" s="9" t="str">
        <f>IFERROR(__xludf.DUMMYFUNCTION("""COMPUTED_VALUE"""),"Ruby")</f>
        <v>Ruby</v>
      </c>
      <c r="D3035" s="9" t="str">
        <f>IFERROR(__xludf.DUMMYFUNCTION("""COMPUTED_VALUE"""),"Python")</f>
        <v>Python</v>
      </c>
      <c r="E3035" s="9" t="str">
        <f>IFERROR(__xludf.DUMMYFUNCTION("""COMPUTED_VALUE"""),"SQL")</f>
        <v>SQL</v>
      </c>
      <c r="F3035" s="9" t="str">
        <f>IFERROR(__xludf.DUMMYFUNCTION("""COMPUTED_VALUE"""),"JavaScript")</f>
        <v>JavaScript</v>
      </c>
      <c r="G3035" s="9" t="str">
        <f>IFERROR(__xludf.DUMMYFUNCTION("""COMPUTED_VALUE"""),"C")</f>
        <v>C</v>
      </c>
      <c r="H3035" s="9" t="str">
        <f>IFERROR(__xludf.DUMMYFUNCTION("""COMPUTED_VALUE"""),"Java")</f>
        <v>Java</v>
      </c>
      <c r="I3035" s="9" t="str">
        <f>IFERROR(__xludf.DUMMYFUNCTION("""COMPUTED_VALUE"""),"Python")</f>
        <v>Python</v>
      </c>
      <c r="J3035" s="9" t="str">
        <f>IFERROR(__xludf.DUMMYFUNCTION("""COMPUTED_VALUE"""),"TypeScript")</f>
        <v>TypeScript</v>
      </c>
      <c r="K3035" s="9" t="str">
        <f>IFERROR(__xludf.DUMMYFUNCTION("""COMPUTED_VALUE"""),"JavaScript")</f>
        <v>JavaScript</v>
      </c>
      <c r="L3035" s="9" t="str">
        <f>IFERROR(__xludf.DUMMYFUNCTION("""COMPUTED_VALUE"""),"C#")</f>
        <v>C#</v>
      </c>
      <c r="M3035" s="9" t="s">
        <v>31</v>
      </c>
    </row>
    <row r="3036" ht="15.75" customHeight="1">
      <c r="A3036" s="7"/>
      <c r="B3036" s="7" t="str">
        <f>IFERROR(__xludf.DUMMYFUNCTION("""COMPUTED_VALUE"""),"Python;SQL")</f>
        <v>Python;SQL</v>
      </c>
      <c r="C3036" s="9" t="str">
        <f>IFERROR(__xludf.DUMMYFUNCTION("""COMPUTED_VALUE"""),"SQL")</f>
        <v>SQL</v>
      </c>
      <c r="D3036" s="9" t="str">
        <f>IFERROR(__xludf.DUMMYFUNCTION("""COMPUTED_VALUE"""),"SQL")</f>
        <v>SQL</v>
      </c>
      <c r="E3036" s="9" t="str">
        <f>IFERROR(__xludf.DUMMYFUNCTION("""COMPUTED_VALUE"""),"VBA")</f>
        <v>VBA</v>
      </c>
      <c r="F3036" s="9" t="str">
        <f>IFERROR(__xludf.DUMMYFUNCTION("""COMPUTED_VALUE"""),"C++")</f>
        <v>C++</v>
      </c>
      <c r="G3036" s="9" t="str">
        <f>IFERROR(__xludf.DUMMYFUNCTION("""COMPUTED_VALUE"""),"C++")</f>
        <v>C++</v>
      </c>
      <c r="H3036" s="9" t="str">
        <f>IFERROR(__xludf.DUMMYFUNCTION("""COMPUTED_VALUE"""),"Python")</f>
        <v>Python</v>
      </c>
      <c r="I3036" s="9" t="str">
        <f>IFERROR(__xludf.DUMMYFUNCTION("""COMPUTED_VALUE"""),"SQL")</f>
        <v>SQL</v>
      </c>
      <c r="J3036" s="9" t="str">
        <f>IFERROR(__xludf.DUMMYFUNCTION("""COMPUTED_VALUE"""),"VBA")</f>
        <v>VBA</v>
      </c>
      <c r="K3036" s="9" t="str">
        <f>IFERROR(__xludf.DUMMYFUNCTION("""COMPUTED_VALUE"""),"Ruby")</f>
        <v>Ruby</v>
      </c>
      <c r="L3036" s="9" t="str">
        <f>IFERROR(__xludf.DUMMYFUNCTION("""COMPUTED_VALUE"""),"Java")</f>
        <v>Java</v>
      </c>
      <c r="M3036" s="9" t="s">
        <v>27</v>
      </c>
    </row>
    <row r="3037" ht="15.75" customHeight="1">
      <c r="A3037" s="7"/>
      <c r="B3037" s="7" t="str">
        <f>IFERROR(__xludf.DUMMYFUNCTION("""COMPUTED_VALUE"""),"C#;HTML/CSS;Java;JavaScript;Kotlin;Objective-C;SQL;Swift")</f>
        <v>C#;HTML/CSS;Java;JavaScript;Kotlin;Objective-C;SQL;Swift</v>
      </c>
      <c r="C3037" s="9" t="str">
        <f>IFERROR(__xludf.DUMMYFUNCTION("""COMPUTED_VALUE"""),"Bash/Shell/PowerShell")</f>
        <v>Bash/Shell/PowerShell</v>
      </c>
      <c r="D3037" s="9" t="str">
        <f>IFERROR(__xludf.DUMMYFUNCTION("""COMPUTED_VALUE"""),"TypeScript")</f>
        <v>TypeScript</v>
      </c>
      <c r="E3037" s="9" t="str">
        <f>IFERROR(__xludf.DUMMYFUNCTION("""COMPUTED_VALUE"""),"Bash/Shell/PowerShell")</f>
        <v>Bash/Shell/PowerShell</v>
      </c>
      <c r="F3037" s="9" t="str">
        <f>IFERROR(__xludf.DUMMYFUNCTION("""COMPUTED_VALUE"""),"C#")</f>
        <v>C#</v>
      </c>
      <c r="G3037" s="9" t="str">
        <f>IFERROR(__xludf.DUMMYFUNCTION("""COMPUTED_VALUE"""),"Java")</f>
        <v>Java</v>
      </c>
      <c r="H3037" s="9" t="str">
        <f>IFERROR(__xludf.DUMMYFUNCTION("""COMPUTED_VALUE"""),"Bash/Shell/PowerShell")</f>
        <v>Bash/Shell/PowerShell</v>
      </c>
      <c r="I3037" s="9" t="str">
        <f>IFERROR(__xludf.DUMMYFUNCTION("""COMPUTED_VALUE"""),"Bash/Shell/PowerShell")</f>
        <v>Bash/Shell/PowerShell</v>
      </c>
      <c r="J3037" s="9" t="str">
        <f>IFERROR(__xludf.DUMMYFUNCTION("""COMPUTED_VALUE"""),"WebAssembly")</f>
        <v>WebAssembly</v>
      </c>
      <c r="K3037" s="9" t="str">
        <f>IFERROR(__xludf.DUMMYFUNCTION("""COMPUTED_VALUE"""),"Java")</f>
        <v>Java</v>
      </c>
      <c r="L3037" s="9" t="str">
        <f>IFERROR(__xludf.DUMMYFUNCTION("""COMPUTED_VALUE"""),"Bash/Shell/PowerShell")</f>
        <v>Bash/Shell/PowerShell</v>
      </c>
      <c r="M3037" s="9" t="s">
        <v>30</v>
      </c>
    </row>
    <row r="3038" ht="15.75" customHeight="1">
      <c r="A3038" s="7"/>
      <c r="B3038" s="7" t="str">
        <f>IFERROR(__xludf.DUMMYFUNCTION("""COMPUTED_VALUE"""),"Go;Ruby;Scala")</f>
        <v>Go;Ruby;Scala</v>
      </c>
      <c r="C3038" s="9" t="str">
        <f>IFERROR(__xludf.DUMMYFUNCTION("""COMPUTED_VALUE"""),"C#")</f>
        <v>C#</v>
      </c>
      <c r="D3038" s="9" t="str">
        <f>IFERROR(__xludf.DUMMYFUNCTION("""COMPUTED_VALUE"""),"Bash/Shell/PowerShell")</f>
        <v>Bash/Shell/PowerShell</v>
      </c>
      <c r="E3038" s="9" t="str">
        <f>IFERROR(__xludf.DUMMYFUNCTION("""COMPUTED_VALUE"""),"C#")</f>
        <v>C#</v>
      </c>
      <c r="F3038" s="9" t="str">
        <f>IFERROR(__xludf.DUMMYFUNCTION("""COMPUTED_VALUE"""),"HTML/CSS")</f>
        <v>HTML/CSS</v>
      </c>
      <c r="G3038" s="9" t="str">
        <f>IFERROR(__xludf.DUMMYFUNCTION("""COMPUTED_VALUE"""),"HTML/CSS")</f>
        <v>HTML/CSS</v>
      </c>
      <c r="H3038" s="9" t="str">
        <f>IFERROR(__xludf.DUMMYFUNCTION("""COMPUTED_VALUE"""),"HTML/CSS")</f>
        <v>HTML/CSS</v>
      </c>
      <c r="I3038" s="9" t="str">
        <f>IFERROR(__xludf.DUMMYFUNCTION("""COMPUTED_VALUE"""),"C#")</f>
        <v>C#</v>
      </c>
      <c r="J3038" s="9" t="str">
        <f>IFERROR(__xludf.DUMMYFUNCTION("""COMPUTED_VALUE"""),"HTML/CSS")</f>
        <v>HTML/CSS</v>
      </c>
      <c r="K3038" s="9" t="str">
        <f>IFERROR(__xludf.DUMMYFUNCTION("""COMPUTED_VALUE"""),"Python")</f>
        <v>Python</v>
      </c>
      <c r="L3038" s="9" t="str">
        <f>IFERROR(__xludf.DUMMYFUNCTION("""COMPUTED_VALUE"""),"HTML/CSS")</f>
        <v>HTML/CSS</v>
      </c>
      <c r="M3038" s="9" t="s">
        <v>26</v>
      </c>
    </row>
    <row r="3039" ht="15.75" customHeight="1">
      <c r="A3039" s="7"/>
      <c r="B3039" s="7" t="str">
        <f>IFERROR(__xludf.DUMMYFUNCTION("""COMPUTED_VALUE"""),"JavaScript")</f>
        <v>JavaScript</v>
      </c>
      <c r="C3039" s="9" t="str">
        <f>IFERROR(__xludf.DUMMYFUNCTION("""COMPUTED_VALUE"""),"HTML/CSS")</f>
        <v>HTML/CSS</v>
      </c>
      <c r="D3039" s="9" t="str">
        <f>IFERROR(__xludf.DUMMYFUNCTION("""COMPUTED_VALUE"""),"C++")</f>
        <v>C++</v>
      </c>
      <c r="E3039" s="9" t="str">
        <f>IFERROR(__xludf.DUMMYFUNCTION("""COMPUTED_VALUE"""),"Elixir")</f>
        <v>Elixir</v>
      </c>
      <c r="F3039" s="9" t="str">
        <f>IFERROR(__xludf.DUMMYFUNCTION("""COMPUTED_VALUE"""),"JavaScript")</f>
        <v>JavaScript</v>
      </c>
      <c r="G3039" s="9" t="str">
        <f>IFERROR(__xludf.DUMMYFUNCTION("""COMPUTED_VALUE"""),"Java")</f>
        <v>Java</v>
      </c>
      <c r="H3039" s="9" t="str">
        <f>IFERROR(__xludf.DUMMYFUNCTION("""COMPUTED_VALUE"""),"Java")</f>
        <v>Java</v>
      </c>
      <c r="I3039" s="9" t="str">
        <f>IFERROR(__xludf.DUMMYFUNCTION("""COMPUTED_VALUE"""),"JavaScript")</f>
        <v>JavaScript</v>
      </c>
      <c r="J3039" s="9" t="str">
        <f>IFERROR(__xludf.DUMMYFUNCTION("""COMPUTED_VALUE"""),"Java")</f>
        <v>Java</v>
      </c>
      <c r="K3039" s="9" t="str">
        <f>IFERROR(__xludf.DUMMYFUNCTION("""COMPUTED_VALUE"""),"Bash/Shell/PowerShell")</f>
        <v>Bash/Shell/PowerShell</v>
      </c>
      <c r="L3039" s="9" t="str">
        <f>IFERROR(__xludf.DUMMYFUNCTION("""COMPUTED_VALUE"""),"JavaScript")</f>
        <v>JavaScript</v>
      </c>
      <c r="M3039" s="9" t="s">
        <v>24</v>
      </c>
    </row>
    <row r="3040" ht="15.75" customHeight="1">
      <c r="A3040" s="7"/>
      <c r="B3040" s="7" t="str">
        <f>IFERROR(__xludf.DUMMYFUNCTION("""COMPUTED_VALUE"""),"C#;Java;JavaScript;Python;Scala;SQL")</f>
        <v>C#;Java;JavaScript;Python;Scala;SQL</v>
      </c>
      <c r="C3040" s="9" t="str">
        <f>IFERROR(__xludf.DUMMYFUNCTION("""COMPUTED_VALUE"""),"Java")</f>
        <v>Java</v>
      </c>
      <c r="D3040" s="9" t="str">
        <f>IFERROR(__xludf.DUMMYFUNCTION("""COMPUTED_VALUE"""),"Bash/Shell/PowerShell")</f>
        <v>Bash/Shell/PowerShell</v>
      </c>
      <c r="E3040" s="9" t="str">
        <f>IFERROR(__xludf.DUMMYFUNCTION("""COMPUTED_VALUE"""),"Erlang")</f>
        <v>Erlang</v>
      </c>
      <c r="F3040" s="9" t="str">
        <f>IFERROR(__xludf.DUMMYFUNCTION("""COMPUTED_VALUE"""),"C#")</f>
        <v>C#</v>
      </c>
      <c r="G3040" s="9" t="str">
        <f>IFERROR(__xludf.DUMMYFUNCTION("""COMPUTED_VALUE"""),"Python")</f>
        <v>Python</v>
      </c>
      <c r="H3040" s="9" t="str">
        <f>IFERROR(__xludf.DUMMYFUNCTION("""COMPUTED_VALUE"""),"JavaScript")</f>
        <v>JavaScript</v>
      </c>
      <c r="I3040" s="9" t="str">
        <f>IFERROR(__xludf.DUMMYFUNCTION("""COMPUTED_VALUE"""),"Python")</f>
        <v>Python</v>
      </c>
      <c r="J3040" s="9" t="str">
        <f>IFERROR(__xludf.DUMMYFUNCTION("""COMPUTED_VALUE"""),"JavaScript")</f>
        <v>JavaScript</v>
      </c>
      <c r="K3040" s="9" t="str">
        <f>IFERROR(__xludf.DUMMYFUNCTION("""COMPUTED_VALUE"""),"Clojure")</f>
        <v>Clojure</v>
      </c>
      <c r="L3040" s="9" t="str">
        <f>IFERROR(__xludf.DUMMYFUNCTION("""COMPUTED_VALUE"""),"PHP")</f>
        <v>PHP</v>
      </c>
      <c r="M3040" s="9" t="s">
        <v>20</v>
      </c>
    </row>
    <row r="3041" ht="15.75" customHeight="1">
      <c r="A3041" s="7"/>
      <c r="B3041" s="7" t="str">
        <f>IFERROR(__xludf.DUMMYFUNCTION("""COMPUTED_VALUE"""),"C++;Python;Other(s):")</f>
        <v>C++;Python;Other(s):</v>
      </c>
      <c r="C3041" s="9" t="str">
        <f>IFERROR(__xludf.DUMMYFUNCTION("""COMPUTED_VALUE"""),"JavaScript")</f>
        <v>JavaScript</v>
      </c>
      <c r="D3041" s="9" t="str">
        <f>IFERROR(__xludf.DUMMYFUNCTION("""COMPUTED_VALUE"""),"C")</f>
        <v>C</v>
      </c>
      <c r="E3041" s="9" t="str">
        <f>IFERROR(__xludf.DUMMYFUNCTION("""COMPUTED_VALUE"""),"Bash/Shell/PowerShell")</f>
        <v>Bash/Shell/PowerShell</v>
      </c>
      <c r="F3041" s="9" t="str">
        <f>IFERROR(__xludf.DUMMYFUNCTION("""COMPUTED_VALUE"""),"HTML/CSS")</f>
        <v>HTML/CSS</v>
      </c>
      <c r="G3041" s="9" t="str">
        <f>IFERROR(__xludf.DUMMYFUNCTION("""COMPUTED_VALUE"""),"SQL")</f>
        <v>SQL</v>
      </c>
      <c r="H3041" s="9" t="str">
        <f>IFERROR(__xludf.DUMMYFUNCTION("""COMPUTED_VALUE"""),"Python")</f>
        <v>Python</v>
      </c>
      <c r="I3041" s="9" t="str">
        <f>IFERROR(__xludf.DUMMYFUNCTION("""COMPUTED_VALUE"""),"HTML/CSS")</f>
        <v>HTML/CSS</v>
      </c>
      <c r="J3041" s="9" t="str">
        <f>IFERROR(__xludf.DUMMYFUNCTION("""COMPUTED_VALUE"""),"SQL")</f>
        <v>SQL</v>
      </c>
      <c r="K3041" s="9" t="str">
        <f>IFERROR(__xludf.DUMMYFUNCTION("""COMPUTED_VALUE"""),"Go")</f>
        <v>Go</v>
      </c>
      <c r="L3041" s="9" t="str">
        <f>IFERROR(__xludf.DUMMYFUNCTION("""COMPUTED_VALUE"""),"SQL")</f>
        <v>SQL</v>
      </c>
      <c r="M3041" s="9" t="s">
        <v>21</v>
      </c>
    </row>
    <row r="3042" ht="15.75" customHeight="1">
      <c r="A3042" s="7"/>
      <c r="B3042" s="7" t="str">
        <f>IFERROR(__xludf.DUMMYFUNCTION("""COMPUTED_VALUE"""),"Python;R;SQL")</f>
        <v>Python;R;SQL</v>
      </c>
      <c r="C3042" s="9" t="str">
        <f>IFERROR(__xludf.DUMMYFUNCTION("""COMPUTED_VALUE"""),"SQL")</f>
        <v>SQL</v>
      </c>
      <c r="D3042" s="9" t="str">
        <f>IFERROR(__xludf.DUMMYFUNCTION("""COMPUTED_VALUE"""),"C++")</f>
        <v>C++</v>
      </c>
      <c r="E3042" s="9" t="str">
        <f>IFERROR(__xludf.DUMMYFUNCTION("""COMPUTED_VALUE"""),"Dart")</f>
        <v>Dart</v>
      </c>
      <c r="F3042" s="9" t="str">
        <f>IFERROR(__xludf.DUMMYFUNCTION("""COMPUTED_VALUE"""),"Java")</f>
        <v>Java</v>
      </c>
      <c r="G3042" s="9" t="str">
        <f>IFERROR(__xludf.DUMMYFUNCTION("""COMPUTED_VALUE"""),"Bash/Shell/PowerShell")</f>
        <v>Bash/Shell/PowerShell</v>
      </c>
      <c r="H3042" s="9" t="str">
        <f>IFERROR(__xludf.DUMMYFUNCTION("""COMPUTED_VALUE"""),"TypeScript")</f>
        <v>TypeScript</v>
      </c>
      <c r="I3042" s="9" t="str">
        <f>IFERROR(__xludf.DUMMYFUNCTION("""COMPUTED_VALUE"""),"Java")</f>
        <v>Java</v>
      </c>
      <c r="J3042" s="9" t="str">
        <f>IFERROR(__xludf.DUMMYFUNCTION("""COMPUTED_VALUE"""),"Bash/Shell/PowerShell")</f>
        <v>Bash/Shell/PowerShell</v>
      </c>
      <c r="K3042" s="9" t="str">
        <f>IFERROR(__xludf.DUMMYFUNCTION("""COMPUTED_VALUE"""),"HTML/CSS")</f>
        <v>HTML/CSS</v>
      </c>
      <c r="L3042" s="9" t="str">
        <f>IFERROR(__xludf.DUMMYFUNCTION("""COMPUTED_VALUE"""),"Bash/Shell/PowerShell")</f>
        <v>Bash/Shell/PowerShell</v>
      </c>
      <c r="M3042" s="9" t="s">
        <v>27</v>
      </c>
    </row>
    <row r="3043" ht="15.75" customHeight="1">
      <c r="A3043" s="7"/>
      <c r="B3043" s="7" t="str">
        <f>IFERROR(__xludf.DUMMYFUNCTION("""COMPUTED_VALUE"""),"Bash/Shell/PowerShell;C;C++;HTML/CSS;Java;JavaScript;PHP;Python")</f>
        <v>Bash/Shell/PowerShell;C;C++;HTML/CSS;Java;JavaScript;PHP;Python</v>
      </c>
      <c r="C3043" s="9" t="str">
        <f>IFERROR(__xludf.DUMMYFUNCTION("""COMPUTED_VALUE"""),"C")</f>
        <v>C</v>
      </c>
      <c r="D3043" s="9" t="str">
        <f>IFERROR(__xludf.DUMMYFUNCTION("""COMPUTED_VALUE"""),"Java")</f>
        <v>Java</v>
      </c>
      <c r="E3043" s="9" t="str">
        <f>IFERROR(__xludf.DUMMYFUNCTION("""COMPUTED_VALUE"""),"HTML/CSS")</f>
        <v>HTML/CSS</v>
      </c>
      <c r="F3043" s="9" t="str">
        <f>IFERROR(__xludf.DUMMYFUNCTION("""COMPUTED_VALUE"""),"JavaScript")</f>
        <v>JavaScript</v>
      </c>
      <c r="G3043" s="9" t="str">
        <f>IFERROR(__xludf.DUMMYFUNCTION("""COMPUTED_VALUE"""),"C")</f>
        <v>C</v>
      </c>
      <c r="H3043" s="9" t="str">
        <f>IFERROR(__xludf.DUMMYFUNCTION("""COMPUTED_VALUE"""),"Other(s):")</f>
        <v>Other(s):</v>
      </c>
      <c r="I3043" s="9" t="str">
        <f>IFERROR(__xludf.DUMMYFUNCTION("""COMPUTED_VALUE"""),"JavaScript")</f>
        <v>JavaScript</v>
      </c>
      <c r="J3043" s="9" t="str">
        <f>IFERROR(__xludf.DUMMYFUNCTION("""COMPUTED_VALUE"""),"HTML/CSS")</f>
        <v>HTML/CSS</v>
      </c>
      <c r="K3043" s="9" t="str">
        <f>IFERROR(__xludf.DUMMYFUNCTION("""COMPUTED_VALUE"""),"JavaScript")</f>
        <v>JavaScript</v>
      </c>
      <c r="L3043" s="9" t="str">
        <f>IFERROR(__xludf.DUMMYFUNCTION("""COMPUTED_VALUE"""),"Go")</f>
        <v>Go</v>
      </c>
      <c r="M3043" s="9" t="s">
        <v>25</v>
      </c>
    </row>
    <row r="3044" ht="15.75" customHeight="1">
      <c r="A3044" s="7"/>
      <c r="B3044" s="7" t="str">
        <f>IFERROR(__xludf.DUMMYFUNCTION("""COMPUTED_VALUE"""),"C#;HTML/CSS;JavaScript;SQL")</f>
        <v>C#;HTML/CSS;JavaScript;SQL</v>
      </c>
      <c r="C3044" s="9" t="str">
        <f>IFERROR(__xludf.DUMMYFUNCTION("""COMPUTED_VALUE"""),"C++")</f>
        <v>C++</v>
      </c>
      <c r="D3044" s="9" t="str">
        <f>IFERROR(__xludf.DUMMYFUNCTION("""COMPUTED_VALUE"""),"JavaScript")</f>
        <v>JavaScript</v>
      </c>
      <c r="E3044" s="9" t="str">
        <f>IFERROR(__xludf.DUMMYFUNCTION("""COMPUTED_VALUE"""),"Java")</f>
        <v>Java</v>
      </c>
      <c r="F3044" s="9" t="str">
        <f>IFERROR(__xludf.DUMMYFUNCTION("""COMPUTED_VALUE"""),"PHP")</f>
        <v>PHP</v>
      </c>
      <c r="G3044" s="9" t="str">
        <f>IFERROR(__xludf.DUMMYFUNCTION("""COMPUTED_VALUE"""),"C++")</f>
        <v>C++</v>
      </c>
      <c r="H3044" s="9" t="str">
        <f>IFERROR(__xludf.DUMMYFUNCTION("""COMPUTED_VALUE"""),"C#")</f>
        <v>C#</v>
      </c>
      <c r="I3044" s="9" t="str">
        <f>IFERROR(__xludf.DUMMYFUNCTION("""COMPUTED_VALUE"""),"SQL")</f>
        <v>SQL</v>
      </c>
      <c r="J3044" s="9" t="str">
        <f>IFERROR(__xludf.DUMMYFUNCTION("""COMPUTED_VALUE"""),"Java")</f>
        <v>Java</v>
      </c>
      <c r="K3044" s="9" t="str">
        <f>IFERROR(__xludf.DUMMYFUNCTION("""COMPUTED_VALUE"""),"Ruby")</f>
        <v>Ruby</v>
      </c>
      <c r="L3044" s="9" t="str">
        <f>IFERROR(__xludf.DUMMYFUNCTION("""COMPUTED_VALUE"""),"HTML/CSS")</f>
        <v>HTML/CSS</v>
      </c>
      <c r="M3044" s="9" t="s">
        <v>23</v>
      </c>
    </row>
    <row r="3045" ht="15.75" customHeight="1">
      <c r="A3045" s="7"/>
      <c r="B3045" s="7" t="str">
        <f>IFERROR(__xludf.DUMMYFUNCTION("""COMPUTED_VALUE"""),"C++;C#;JavaScript")</f>
        <v>C++;C#;JavaScript</v>
      </c>
      <c r="C3045" s="9" t="str">
        <f>IFERROR(__xludf.DUMMYFUNCTION("""COMPUTED_VALUE"""),"C#")</f>
        <v>C#</v>
      </c>
      <c r="D3045" s="9" t="str">
        <f>IFERROR(__xludf.DUMMYFUNCTION("""COMPUTED_VALUE"""),"Python")</f>
        <v>Python</v>
      </c>
      <c r="E3045" s="9" t="str">
        <f>IFERROR(__xludf.DUMMYFUNCTION("""COMPUTED_VALUE"""),"JavaScript")</f>
        <v>JavaScript</v>
      </c>
      <c r="F3045" s="9" t="str">
        <f>IFERROR(__xludf.DUMMYFUNCTION("""COMPUTED_VALUE"""),"SQL")</f>
        <v>SQL</v>
      </c>
      <c r="G3045" s="9" t="str">
        <f>IFERROR(__xludf.DUMMYFUNCTION("""COMPUTED_VALUE"""),"HTML/CSS")</f>
        <v>HTML/CSS</v>
      </c>
      <c r="H3045" s="9" t="str">
        <f>IFERROR(__xludf.DUMMYFUNCTION("""COMPUTED_VALUE"""),"HTML/CSS")</f>
        <v>HTML/CSS</v>
      </c>
      <c r="I3045" s="9" t="str">
        <f>IFERROR(__xludf.DUMMYFUNCTION("""COMPUTED_VALUE"""),"Java")</f>
        <v>Java</v>
      </c>
      <c r="J3045" s="9" t="str">
        <f>IFERROR(__xludf.DUMMYFUNCTION("""COMPUTED_VALUE"""),"Python")</f>
        <v>Python</v>
      </c>
      <c r="K3045" s="9" t="str">
        <f>IFERROR(__xludf.DUMMYFUNCTION("""COMPUTED_VALUE"""),"Other(s):")</f>
        <v>Other(s):</v>
      </c>
      <c r="L3045" s="9" t="str">
        <f>IFERROR(__xludf.DUMMYFUNCTION("""COMPUTED_VALUE"""),"JavaScript")</f>
        <v>JavaScript</v>
      </c>
      <c r="M3045" s="9" t="s">
        <v>26</v>
      </c>
    </row>
    <row r="3046" ht="15.75" customHeight="1">
      <c r="A3046" s="7"/>
      <c r="B3046" s="7" t="str">
        <f>IFERROR(__xludf.DUMMYFUNCTION("""COMPUTED_VALUE"""),"Bash/Shell/PowerShell;C#;HTML/CSS;Java;JavaScript;PHP;Python;SQL")</f>
        <v>Bash/Shell/PowerShell;C#;HTML/CSS;Java;JavaScript;PHP;Python;SQL</v>
      </c>
      <c r="C3046" s="9" t="str">
        <f>IFERROR(__xludf.DUMMYFUNCTION("""COMPUTED_VALUE"""),"Java")</f>
        <v>Java</v>
      </c>
      <c r="D3046" s="9" t="str">
        <f>IFERROR(__xludf.DUMMYFUNCTION("""COMPUTED_VALUE"""),"Scala")</f>
        <v>Scala</v>
      </c>
      <c r="E3046" s="9" t="str">
        <f>IFERROR(__xludf.DUMMYFUNCTION("""COMPUTED_VALUE"""),"Python")</f>
        <v>Python</v>
      </c>
      <c r="F3046" s="9" t="str">
        <f>IFERROR(__xludf.DUMMYFUNCTION("""COMPUTED_VALUE"""),"TypeScript")</f>
        <v>TypeScript</v>
      </c>
      <c r="G3046" s="9" t="str">
        <f>IFERROR(__xludf.DUMMYFUNCTION("""COMPUTED_VALUE"""),"Java")</f>
        <v>Java</v>
      </c>
      <c r="H3046" s="9" t="str">
        <f>IFERROR(__xludf.DUMMYFUNCTION("""COMPUTED_VALUE"""),"JavaScript")</f>
        <v>JavaScript</v>
      </c>
      <c r="I3046" s="9" t="str">
        <f>IFERROR(__xludf.DUMMYFUNCTION("""COMPUTED_VALUE"""),"C")</f>
        <v>C</v>
      </c>
      <c r="J3046" s="9" t="str">
        <f>IFERROR(__xludf.DUMMYFUNCTION("""COMPUTED_VALUE"""),"Ruby")</f>
        <v>Ruby</v>
      </c>
      <c r="K3046" s="9" t="str">
        <f>IFERROR(__xludf.DUMMYFUNCTION("""COMPUTED_VALUE"""),"Bash/Shell/PowerShell")</f>
        <v>Bash/Shell/PowerShell</v>
      </c>
      <c r="L3046" s="9" t="str">
        <f>IFERROR(__xludf.DUMMYFUNCTION("""COMPUTED_VALUE"""),"PHP")</f>
        <v>PHP</v>
      </c>
      <c r="M3046" s="9" t="s">
        <v>20</v>
      </c>
    </row>
    <row r="3047" ht="15.75" customHeight="1">
      <c r="A3047" s="7"/>
      <c r="B3047" s="7" t="str">
        <f>IFERROR(__xludf.DUMMYFUNCTION("""COMPUTED_VALUE"""),"Bash/Shell/PowerShell;JavaScript;PHP;Python;SQL")</f>
        <v>Bash/Shell/PowerShell;JavaScript;PHP;Python;SQL</v>
      </c>
      <c r="C3047" s="9" t="str">
        <f>IFERROR(__xludf.DUMMYFUNCTION("""COMPUTED_VALUE"""),"PHP")</f>
        <v>PHP</v>
      </c>
      <c r="D3047" s="9" t="str">
        <f>IFERROR(__xludf.DUMMYFUNCTION("""COMPUTED_VALUE"""),"HTML/CSS")</f>
        <v>HTML/CSS</v>
      </c>
      <c r="E3047" s="9" t="str">
        <f>IFERROR(__xludf.DUMMYFUNCTION("""COMPUTED_VALUE"""),"SQL")</f>
        <v>SQL</v>
      </c>
      <c r="F3047" s="9" t="str">
        <f>IFERROR(__xludf.DUMMYFUNCTION("""COMPUTED_VALUE"""),"HTML/CSS")</f>
        <v>HTML/CSS</v>
      </c>
      <c r="G3047" s="9" t="str">
        <f>IFERROR(__xludf.DUMMYFUNCTION("""COMPUTED_VALUE"""),"JavaScript")</f>
        <v>JavaScript</v>
      </c>
      <c r="H3047" s="9" t="str">
        <f>IFERROR(__xludf.DUMMYFUNCTION("""COMPUTED_VALUE"""),"Bash/Shell/PowerShell")</f>
        <v>Bash/Shell/PowerShell</v>
      </c>
      <c r="I3047" s="9" t="str">
        <f>IFERROR(__xludf.DUMMYFUNCTION("""COMPUTED_VALUE"""),"C++")</f>
        <v>C++</v>
      </c>
      <c r="J3047" s="9" t="str">
        <f>IFERROR(__xludf.DUMMYFUNCTION("""COMPUTED_VALUE"""),"SQL")</f>
        <v>SQL</v>
      </c>
      <c r="K3047" s="9" t="str">
        <f>IFERROR(__xludf.DUMMYFUNCTION("""COMPUTED_VALUE"""),"C++")</f>
        <v>C++</v>
      </c>
      <c r="L3047" s="9" t="str">
        <f>IFERROR(__xludf.DUMMYFUNCTION("""COMPUTED_VALUE"""),"SQL")</f>
        <v>SQL</v>
      </c>
      <c r="M3047" s="9" t="s">
        <v>37</v>
      </c>
    </row>
    <row r="3048" ht="15.75" customHeight="1">
      <c r="A3048" s="7"/>
      <c r="B3048" s="7" t="str">
        <f>IFERROR(__xludf.DUMMYFUNCTION("""COMPUTED_VALUE"""),"C++;HTML/CSS;JavaScript;PHP;Python;SQL;TypeScript")</f>
        <v>C++;HTML/CSS;JavaScript;PHP;Python;SQL;TypeScript</v>
      </c>
      <c r="C3048" s="9" t="str">
        <f>IFERROR(__xludf.DUMMYFUNCTION("""COMPUTED_VALUE"""),"SQL")</f>
        <v>SQL</v>
      </c>
      <c r="D3048" s="9" t="str">
        <f>IFERROR(__xludf.DUMMYFUNCTION("""COMPUTED_VALUE"""),"Python")</f>
        <v>Python</v>
      </c>
      <c r="E3048" s="9" t="str">
        <f>IFERROR(__xludf.DUMMYFUNCTION("""COMPUTED_VALUE"""),"TypeScript")</f>
        <v>TypeScript</v>
      </c>
      <c r="F3048" s="9" t="str">
        <f>IFERROR(__xludf.DUMMYFUNCTION("""COMPUTED_VALUE"""),"Java")</f>
        <v>Java</v>
      </c>
      <c r="G3048" s="9" t="str">
        <f>IFERROR(__xludf.DUMMYFUNCTION("""COMPUTED_VALUE"""),"PHP")</f>
        <v>PHP</v>
      </c>
      <c r="H3048" s="9" t="str">
        <f>IFERROR(__xludf.DUMMYFUNCTION("""COMPUTED_VALUE"""),"Java")</f>
        <v>Java</v>
      </c>
      <c r="I3048" s="9" t="str">
        <f>IFERROR(__xludf.DUMMYFUNCTION("""COMPUTED_VALUE"""),"C#")</f>
        <v>C#</v>
      </c>
      <c r="J3048" s="9" t="str">
        <f>IFERROR(__xludf.DUMMYFUNCTION("""COMPUTED_VALUE"""),"Assembly")</f>
        <v>Assembly</v>
      </c>
      <c r="K3048" s="9" t="str">
        <f>IFERROR(__xludf.DUMMYFUNCTION("""COMPUTED_VALUE"""),"HTML/CSS")</f>
        <v>HTML/CSS</v>
      </c>
      <c r="L3048" s="9" t="str">
        <f>IFERROR(__xludf.DUMMYFUNCTION("""COMPUTED_VALUE"""),"C#")</f>
        <v>C#</v>
      </c>
      <c r="M3048" s="9" t="s">
        <v>27</v>
      </c>
    </row>
    <row r="3049" ht="15.75" customHeight="1">
      <c r="A3049" s="7"/>
      <c r="B3049" s="7" t="str">
        <f>IFERROR(__xludf.DUMMYFUNCTION("""COMPUTED_VALUE"""),"HTML/CSS;JavaScript;PHP")</f>
        <v>HTML/CSS;JavaScript;PHP</v>
      </c>
      <c r="C3049" s="9" t="str">
        <f>IFERROR(__xludf.DUMMYFUNCTION("""COMPUTED_VALUE"""),"Assembly")</f>
        <v>Assembly</v>
      </c>
      <c r="D3049" s="9" t="str">
        <f>IFERROR(__xludf.DUMMYFUNCTION("""COMPUTED_VALUE"""),"R")</f>
        <v>R</v>
      </c>
      <c r="E3049" s="9" t="str">
        <f>IFERROR(__xludf.DUMMYFUNCTION("""COMPUTED_VALUE"""),"HTML/CSS")</f>
        <v>HTML/CSS</v>
      </c>
      <c r="F3049" s="9" t="str">
        <f>IFERROR(__xludf.DUMMYFUNCTION("""COMPUTED_VALUE"""),"JavaScript")</f>
        <v>JavaScript</v>
      </c>
      <c r="G3049" s="9" t="str">
        <f>IFERROR(__xludf.DUMMYFUNCTION("""COMPUTED_VALUE"""),"Python")</f>
        <v>Python</v>
      </c>
      <c r="H3049" s="9" t="str">
        <f>IFERROR(__xludf.DUMMYFUNCTION("""COMPUTED_VALUE"""),"Other(s):")</f>
        <v>Other(s):</v>
      </c>
      <c r="I3049" s="9" t="str">
        <f>IFERROR(__xludf.DUMMYFUNCTION("""COMPUTED_VALUE"""),"HTML/CSS")</f>
        <v>HTML/CSS</v>
      </c>
      <c r="J3049" s="9" t="str">
        <f>IFERROR(__xludf.DUMMYFUNCTION("""COMPUTED_VALUE"""),"Bash/Shell/PowerShell")</f>
        <v>Bash/Shell/PowerShell</v>
      </c>
      <c r="K3049" s="9" t="str">
        <f>IFERROR(__xludf.DUMMYFUNCTION("""COMPUTED_VALUE"""),"PHP")</f>
        <v>PHP</v>
      </c>
      <c r="L3049" s="9" t="str">
        <f>IFERROR(__xludf.DUMMYFUNCTION("""COMPUTED_VALUE"""),"HTML/CSS")</f>
        <v>HTML/CSS</v>
      </c>
      <c r="M3049" s="9" t="s">
        <v>38</v>
      </c>
    </row>
    <row r="3050" ht="15.75" customHeight="1">
      <c r="A3050" s="7"/>
      <c r="B3050" s="7" t="str">
        <f>IFERROR(__xludf.DUMMYFUNCTION("""COMPUTED_VALUE"""),"HTML/CSS;JavaScript;PHP;SQL")</f>
        <v>HTML/CSS;JavaScript;PHP;SQL</v>
      </c>
      <c r="C3050" s="9" t="str">
        <f>IFERROR(__xludf.DUMMYFUNCTION("""COMPUTED_VALUE"""),"Bash/Shell/PowerShell")</f>
        <v>Bash/Shell/PowerShell</v>
      </c>
      <c r="D3050" s="9" t="str">
        <f>IFERROR(__xludf.DUMMYFUNCTION("""COMPUTED_VALUE"""),"Bash/Shell/PowerShell")</f>
        <v>Bash/Shell/PowerShell</v>
      </c>
      <c r="E3050" s="9" t="str">
        <f>IFERROR(__xludf.DUMMYFUNCTION("""COMPUTED_VALUE"""),"JavaScript")</f>
        <v>JavaScript</v>
      </c>
      <c r="F3050" s="9" t="str">
        <f>IFERROR(__xludf.DUMMYFUNCTION("""COMPUTED_VALUE"""),"Kotlin")</f>
        <v>Kotlin</v>
      </c>
      <c r="G3050" s="9" t="str">
        <f>IFERROR(__xludf.DUMMYFUNCTION("""COMPUTED_VALUE"""),"SQL")</f>
        <v>SQL</v>
      </c>
      <c r="H3050" s="9" t="str">
        <f>IFERROR(__xludf.DUMMYFUNCTION("""COMPUTED_VALUE"""),"Bash/Shell/PowerShell")</f>
        <v>Bash/Shell/PowerShell</v>
      </c>
      <c r="I3050" s="9" t="str">
        <f>IFERROR(__xludf.DUMMYFUNCTION("""COMPUTED_VALUE"""),"Java")</f>
        <v>Java</v>
      </c>
      <c r="J3050" s="9" t="str">
        <f>IFERROR(__xludf.DUMMYFUNCTION("""COMPUTED_VALUE"""),"C")</f>
        <v>C</v>
      </c>
      <c r="K3050" s="9" t="str">
        <f>IFERROR(__xludf.DUMMYFUNCTION("""COMPUTED_VALUE"""),"Python")</f>
        <v>Python</v>
      </c>
      <c r="L3050" s="9" t="str">
        <f>IFERROR(__xludf.DUMMYFUNCTION("""COMPUTED_VALUE"""),"Java")</f>
        <v>Java</v>
      </c>
      <c r="M3050" s="9" t="s">
        <v>30</v>
      </c>
    </row>
    <row r="3051" ht="15.75" customHeight="1">
      <c r="A3051" s="7"/>
      <c r="B3051" s="7" t="str">
        <f>IFERROR(__xludf.DUMMYFUNCTION("""COMPUTED_VALUE"""),"Bash/Shell/PowerShell;C++;C#;F#;HTML/CSS;SQL;TypeScript")</f>
        <v>Bash/Shell/PowerShell;C++;C#;F#;HTML/CSS;SQL;TypeScript</v>
      </c>
      <c r="C3051" s="9" t="str">
        <f>IFERROR(__xludf.DUMMYFUNCTION("""COMPUTED_VALUE"""),"C")</f>
        <v>C</v>
      </c>
      <c r="D3051" s="9" t="str">
        <f>IFERROR(__xludf.DUMMYFUNCTION("""COMPUTED_VALUE"""),"C")</f>
        <v>C</v>
      </c>
      <c r="E3051" s="9" t="str">
        <f>IFERROR(__xludf.DUMMYFUNCTION("""COMPUTED_VALUE"""),"SQL")</f>
        <v>SQL</v>
      </c>
      <c r="F3051" s="9" t="str">
        <f>IFERROR(__xludf.DUMMYFUNCTION("""COMPUTED_VALUE"""),"Objective-C")</f>
        <v>Objective-C</v>
      </c>
      <c r="G3051" s="9" t="str">
        <f>IFERROR(__xludf.DUMMYFUNCTION("""COMPUTED_VALUE"""),"C#")</f>
        <v>C#</v>
      </c>
      <c r="H3051" s="9" t="str">
        <f>IFERROR(__xludf.DUMMYFUNCTION("""COMPUTED_VALUE"""),"Dart")</f>
        <v>Dart</v>
      </c>
      <c r="I3051" s="9" t="str">
        <f>IFERROR(__xludf.DUMMYFUNCTION("""COMPUTED_VALUE"""),"PHP")</f>
        <v>PHP</v>
      </c>
      <c r="J3051" s="9" t="str">
        <f>IFERROR(__xludf.DUMMYFUNCTION("""COMPUTED_VALUE"""),"C++")</f>
        <v>C++</v>
      </c>
      <c r="K3051" s="9" t="str">
        <f>IFERROR(__xludf.DUMMYFUNCTION("""COMPUTED_VALUE"""),"TypeScript")</f>
        <v>TypeScript</v>
      </c>
      <c r="L3051" s="9" t="str">
        <f>IFERROR(__xludf.DUMMYFUNCTION("""COMPUTED_VALUE"""),"JavaScript")</f>
        <v>JavaScript</v>
      </c>
      <c r="M3051" s="9" t="s">
        <v>25</v>
      </c>
    </row>
    <row r="3052" ht="15.75" customHeight="1">
      <c r="A3052" s="7"/>
      <c r="B3052" s="7" t="str">
        <f>IFERROR(__xludf.DUMMYFUNCTION("""COMPUTED_VALUE"""),"C#;HTML/CSS;JavaScript;SQL;TypeScript")</f>
        <v>C#;HTML/CSS;JavaScript;SQL;TypeScript</v>
      </c>
      <c r="C3052" s="9" t="str">
        <f>IFERROR(__xludf.DUMMYFUNCTION("""COMPUTED_VALUE"""),"C++")</f>
        <v>C++</v>
      </c>
      <c r="D3052" s="9" t="str">
        <f>IFERROR(__xludf.DUMMYFUNCTION("""COMPUTED_VALUE"""),"C++")</f>
        <v>C++</v>
      </c>
      <c r="E3052" s="9" t="str">
        <f>IFERROR(__xludf.DUMMYFUNCTION("""COMPUTED_VALUE"""),"TypeScript")</f>
        <v>TypeScript</v>
      </c>
      <c r="F3052" s="9" t="str">
        <f>IFERROR(__xludf.DUMMYFUNCTION("""COMPUTED_VALUE"""),"PHP")</f>
        <v>PHP</v>
      </c>
      <c r="G3052" s="9" t="str">
        <f>IFERROR(__xludf.DUMMYFUNCTION("""COMPUTED_VALUE"""),"HTML/CSS")</f>
        <v>HTML/CSS</v>
      </c>
      <c r="H3052" s="9" t="str">
        <f>IFERROR(__xludf.DUMMYFUNCTION("""COMPUTED_VALUE"""),"Go")</f>
        <v>Go</v>
      </c>
      <c r="I3052" s="9" t="str">
        <f>IFERROR(__xludf.DUMMYFUNCTION("""COMPUTED_VALUE"""),"SQL")</f>
        <v>SQL</v>
      </c>
      <c r="J3052" s="9" t="str">
        <f>IFERROR(__xludf.DUMMYFUNCTION("""COMPUTED_VALUE"""),"C#")</f>
        <v>C#</v>
      </c>
      <c r="K3052" s="9" t="str">
        <f>IFERROR(__xludf.DUMMYFUNCTION("""COMPUTED_VALUE"""),"Bash/Shell/PowerShell")</f>
        <v>Bash/Shell/PowerShell</v>
      </c>
      <c r="L3052" s="9" t="str">
        <f>IFERROR(__xludf.DUMMYFUNCTION("""COMPUTED_VALUE"""),"Python")</f>
        <v>Python</v>
      </c>
      <c r="M3052" s="9" t="s">
        <v>23</v>
      </c>
    </row>
    <row r="3053" ht="15.75" customHeight="1">
      <c r="A3053" s="7"/>
      <c r="B3053" s="7" t="str">
        <f>IFERROR(__xludf.DUMMYFUNCTION("""COMPUTED_VALUE"""),"Bash/Shell/PowerShell;C#;JavaScript;PHP;SQL;VBA")</f>
        <v>Bash/Shell/PowerShell;C#;JavaScript;PHP;SQL;VBA</v>
      </c>
      <c r="C3053" s="9" t="str">
        <f>IFERROR(__xludf.DUMMYFUNCTION("""COMPUTED_VALUE"""),"C#")</f>
        <v>C#</v>
      </c>
      <c r="D3053" s="9" t="str">
        <f>IFERROR(__xludf.DUMMYFUNCTION("""COMPUTED_VALUE"""),"C#")</f>
        <v>C#</v>
      </c>
      <c r="E3053" s="9" t="str">
        <f>IFERROR(__xludf.DUMMYFUNCTION("""COMPUTED_VALUE"""),"HTML/CSS")</f>
        <v>HTML/CSS</v>
      </c>
      <c r="F3053" s="9" t="str">
        <f>IFERROR(__xludf.DUMMYFUNCTION("""COMPUTED_VALUE"""),"Python")</f>
        <v>Python</v>
      </c>
      <c r="G3053" s="9" t="str">
        <f>IFERROR(__xludf.DUMMYFUNCTION("""COMPUTED_VALUE"""),"JavaScript")</f>
        <v>JavaScript</v>
      </c>
      <c r="H3053" s="9" t="str">
        <f>IFERROR(__xludf.DUMMYFUNCTION("""COMPUTED_VALUE"""),"Java")</f>
        <v>Java</v>
      </c>
      <c r="I3053" s="9" t="str">
        <f>IFERROR(__xludf.DUMMYFUNCTION("""COMPUTED_VALUE"""),"C#")</f>
        <v>C#</v>
      </c>
      <c r="J3053" s="9" t="str">
        <f>IFERROR(__xludf.DUMMYFUNCTION("""COMPUTED_VALUE"""),"HTML/CSS")</f>
        <v>HTML/CSS</v>
      </c>
      <c r="K3053" s="9" t="str">
        <f>IFERROR(__xludf.DUMMYFUNCTION("""COMPUTED_VALUE"""),"HTML/CSS")</f>
        <v>HTML/CSS</v>
      </c>
      <c r="L3053" s="9" t="str">
        <f>IFERROR(__xludf.DUMMYFUNCTION("""COMPUTED_VALUE"""),"SQL")</f>
        <v>SQL</v>
      </c>
      <c r="M3053" s="9" t="s">
        <v>26</v>
      </c>
    </row>
    <row r="3054" ht="15.75" customHeight="1">
      <c r="A3054" s="7"/>
      <c r="B3054" s="7" t="str">
        <f>IFERROR(__xludf.DUMMYFUNCTION("""COMPUTED_VALUE"""),"C;C++;C#;Java;Python;R")</f>
        <v>C;C++;C#;Java;Python;R</v>
      </c>
      <c r="C3054" s="9" t="str">
        <f>IFERROR(__xludf.DUMMYFUNCTION("""COMPUTED_VALUE"""),"HTML/CSS")</f>
        <v>HTML/CSS</v>
      </c>
      <c r="D3054" s="9" t="str">
        <f>IFERROR(__xludf.DUMMYFUNCTION("""COMPUTED_VALUE"""),"Go")</f>
        <v>Go</v>
      </c>
      <c r="E3054" s="9" t="str">
        <f>IFERROR(__xludf.DUMMYFUNCTION("""COMPUTED_VALUE"""),"JavaScript")</f>
        <v>JavaScript</v>
      </c>
      <c r="F3054" s="9" t="str">
        <f>IFERROR(__xludf.DUMMYFUNCTION("""COMPUTED_VALUE"""),"Ruby")</f>
        <v>Ruby</v>
      </c>
      <c r="G3054" s="9" t="str">
        <f>IFERROR(__xludf.DUMMYFUNCTION("""COMPUTED_VALUE"""),"SQL")</f>
        <v>SQL</v>
      </c>
      <c r="H3054" s="9" t="str">
        <f>IFERROR(__xludf.DUMMYFUNCTION("""COMPUTED_VALUE"""),"Kotlin")</f>
        <v>Kotlin</v>
      </c>
      <c r="I3054" s="9" t="str">
        <f>IFERROR(__xludf.DUMMYFUNCTION("""COMPUTED_VALUE"""),"Bash/Shell/PowerShell")</f>
        <v>Bash/Shell/PowerShell</v>
      </c>
      <c r="J3054" s="9" t="str">
        <f>IFERROR(__xludf.DUMMYFUNCTION("""COMPUTED_VALUE"""),"Java")</f>
        <v>Java</v>
      </c>
      <c r="K3054" s="9" t="str">
        <f>IFERROR(__xludf.DUMMYFUNCTION("""COMPUTED_VALUE"""),"Java")</f>
        <v>Java</v>
      </c>
      <c r="L3054" s="9" t="str">
        <f>IFERROR(__xludf.DUMMYFUNCTION("""COMPUTED_VALUE"""),"C")</f>
        <v>C</v>
      </c>
      <c r="M3054" s="9" t="s">
        <v>24</v>
      </c>
    </row>
    <row r="3055" ht="15.75" customHeight="1">
      <c r="A3055" s="7"/>
      <c r="B3055" s="7" t="str">
        <f>IFERROR(__xludf.DUMMYFUNCTION("""COMPUTED_VALUE"""),"Clojure;Erlang;Python;Other(s):")</f>
        <v>Clojure;Erlang;Python;Other(s):</v>
      </c>
      <c r="C3055" s="9" t="str">
        <f>IFERROR(__xludf.DUMMYFUNCTION("""COMPUTED_VALUE"""),"Java")</f>
        <v>Java</v>
      </c>
      <c r="D3055" s="9" t="str">
        <f>IFERROR(__xludf.DUMMYFUNCTION("""COMPUTED_VALUE"""),"HTML/CSS")</f>
        <v>HTML/CSS</v>
      </c>
      <c r="E3055" s="9" t="str">
        <f>IFERROR(__xludf.DUMMYFUNCTION("""COMPUTED_VALUE"""),"PHP")</f>
        <v>PHP</v>
      </c>
      <c r="F3055" s="9" t="str">
        <f>IFERROR(__xludf.DUMMYFUNCTION("""COMPUTED_VALUE"""),"SQL")</f>
        <v>SQL</v>
      </c>
      <c r="G3055" s="9" t="str">
        <f>IFERROR(__xludf.DUMMYFUNCTION("""COMPUTED_VALUE"""),"TypeScript")</f>
        <v>TypeScript</v>
      </c>
      <c r="H3055" s="9" t="str">
        <f>IFERROR(__xludf.DUMMYFUNCTION("""COMPUTED_VALUE"""),"Python")</f>
        <v>Python</v>
      </c>
      <c r="I3055" s="9" t="str">
        <f>IFERROR(__xludf.DUMMYFUNCTION("""COMPUTED_VALUE"""),"HTML/CSS")</f>
        <v>HTML/CSS</v>
      </c>
      <c r="J3055" s="9" t="str">
        <f>IFERROR(__xludf.DUMMYFUNCTION("""COMPUTED_VALUE"""),"JavaScript")</f>
        <v>JavaScript</v>
      </c>
      <c r="K3055" s="9" t="str">
        <f>IFERROR(__xludf.DUMMYFUNCTION("""COMPUTED_VALUE"""),"JavaScript")</f>
        <v>JavaScript</v>
      </c>
      <c r="L3055" s="9" t="str">
        <f>IFERROR(__xludf.DUMMYFUNCTION("""COMPUTED_VALUE"""),"C++")</f>
        <v>C++</v>
      </c>
      <c r="M3055" s="9" t="s">
        <v>20</v>
      </c>
    </row>
    <row r="3056" ht="15.75" customHeight="1">
      <c r="A3056" s="7"/>
      <c r="B3056" s="7" t="str">
        <f>IFERROR(__xludf.DUMMYFUNCTION("""COMPUTED_VALUE"""),"Java;Python;SQL")</f>
        <v>Java;Python;SQL</v>
      </c>
      <c r="C3056" s="9" t="str">
        <f>IFERROR(__xludf.DUMMYFUNCTION("""COMPUTED_VALUE"""),"JavaScript")</f>
        <v>JavaScript</v>
      </c>
      <c r="D3056" s="9" t="str">
        <f>IFERROR(__xludf.DUMMYFUNCTION("""COMPUTED_VALUE"""),"JavaScript")</f>
        <v>JavaScript</v>
      </c>
      <c r="E3056" s="9" t="str">
        <f>IFERROR(__xludf.DUMMYFUNCTION("""COMPUTED_VALUE"""),"C++")</f>
        <v>C++</v>
      </c>
      <c r="F3056" s="9" t="str">
        <f>IFERROR(__xludf.DUMMYFUNCTION("""COMPUTED_VALUE"""),"Swift")</f>
        <v>Swift</v>
      </c>
      <c r="G3056" s="9" t="str">
        <f>IFERROR(__xludf.DUMMYFUNCTION("""COMPUTED_VALUE"""),"HTML/CSS")</f>
        <v>HTML/CSS</v>
      </c>
      <c r="H3056" s="9" t="str">
        <f>IFERROR(__xludf.DUMMYFUNCTION("""COMPUTED_VALUE"""),"Scala")</f>
        <v>Scala</v>
      </c>
      <c r="I3056" s="9" t="str">
        <f>IFERROR(__xludf.DUMMYFUNCTION("""COMPUTED_VALUE"""),"Java")</f>
        <v>Java</v>
      </c>
      <c r="J3056" s="9" t="str">
        <f>IFERROR(__xludf.DUMMYFUNCTION("""COMPUTED_VALUE"""),"Python")</f>
        <v>Python</v>
      </c>
      <c r="K3056" s="9" t="str">
        <f>IFERROR(__xludf.DUMMYFUNCTION("""COMPUTED_VALUE"""),"SQL")</f>
        <v>SQL</v>
      </c>
      <c r="L3056" s="9" t="str">
        <f>IFERROR(__xludf.DUMMYFUNCTION("""COMPUTED_VALUE"""),"Dart")</f>
        <v>Dart</v>
      </c>
      <c r="M3056" s="9" t="s">
        <v>21</v>
      </c>
    </row>
    <row r="3057" ht="15.75" customHeight="1">
      <c r="A3057" s="7"/>
      <c r="B3057" s="7" t="str">
        <f>IFERROR(__xludf.DUMMYFUNCTION("""COMPUTED_VALUE"""),"Assembly;C;C#;HTML/CSS;JavaScript;SQL")</f>
        <v>Assembly;C;C#;HTML/CSS;JavaScript;SQL</v>
      </c>
      <c r="C3057" s="9" t="str">
        <f>IFERROR(__xludf.DUMMYFUNCTION("""COMPUTED_VALUE"""),"PHP")</f>
        <v>PHP</v>
      </c>
      <c r="D3057" s="9" t="str">
        <f>IFERROR(__xludf.DUMMYFUNCTION("""COMPUTED_VALUE"""),"PHP")</f>
        <v>PHP</v>
      </c>
      <c r="E3057" s="9" t="str">
        <f>IFERROR(__xludf.DUMMYFUNCTION("""COMPUTED_VALUE"""),"HTML/CSS")</f>
        <v>HTML/CSS</v>
      </c>
      <c r="F3057" s="9" t="str">
        <f>IFERROR(__xludf.DUMMYFUNCTION("""COMPUTED_VALUE"""),"C#")</f>
        <v>C#</v>
      </c>
      <c r="G3057" s="9" t="str">
        <f>IFERROR(__xludf.DUMMYFUNCTION("""COMPUTED_VALUE"""),"JavaScript")</f>
        <v>JavaScript</v>
      </c>
      <c r="H3057" s="9" t="str">
        <f>IFERROR(__xludf.DUMMYFUNCTION("""COMPUTED_VALUE"""),"C")</f>
        <v>C</v>
      </c>
      <c r="I3057" s="9" t="str">
        <f>IFERROR(__xludf.DUMMYFUNCTION("""COMPUTED_VALUE"""),"JavaScript")</f>
        <v>JavaScript</v>
      </c>
      <c r="J3057" s="9" t="str">
        <f>IFERROR(__xludf.DUMMYFUNCTION("""COMPUTED_VALUE"""),"Bash/Shell/PowerShell")</f>
        <v>Bash/Shell/PowerShell</v>
      </c>
      <c r="K3057" s="9" t="str">
        <f>IFERROR(__xludf.DUMMYFUNCTION("""COMPUTED_VALUE"""),"C")</f>
        <v>C</v>
      </c>
      <c r="L3057" s="9" t="str">
        <f>IFERROR(__xludf.DUMMYFUNCTION("""COMPUTED_VALUE"""),"HTML/CSS")</f>
        <v>HTML/CSS</v>
      </c>
      <c r="M3057" s="9" t="s">
        <v>37</v>
      </c>
    </row>
    <row r="3058" ht="15.75" customHeight="1">
      <c r="A3058" s="7"/>
      <c r="B3058" s="7" t="str">
        <f>IFERROR(__xludf.DUMMYFUNCTION("""COMPUTED_VALUE"""),"Bash/Shell/PowerShell;C;C#;Go;JavaScript;Python;Ruby")</f>
        <v>Bash/Shell/PowerShell;C;C#;Go;JavaScript;Python;Ruby</v>
      </c>
      <c r="C3058" s="9" t="str">
        <f>IFERROR(__xludf.DUMMYFUNCTION("""COMPUTED_VALUE"""),"SQL")</f>
        <v>SQL</v>
      </c>
      <c r="D3058" s="9" t="str">
        <f>IFERROR(__xludf.DUMMYFUNCTION("""COMPUTED_VALUE"""),"Python")</f>
        <v>Python</v>
      </c>
      <c r="E3058" s="9" t="str">
        <f>IFERROR(__xludf.DUMMYFUNCTION("""COMPUTED_VALUE"""),"Java")</f>
        <v>Java</v>
      </c>
      <c r="F3058" s="9" t="str">
        <f>IFERROR(__xludf.DUMMYFUNCTION("""COMPUTED_VALUE"""),"JavaScript")</f>
        <v>JavaScript</v>
      </c>
      <c r="G3058" s="9" t="str">
        <f>IFERROR(__xludf.DUMMYFUNCTION("""COMPUTED_VALUE"""),"Bash/Shell/PowerShell")</f>
        <v>Bash/Shell/PowerShell</v>
      </c>
      <c r="H3058" s="9" t="str">
        <f>IFERROR(__xludf.DUMMYFUNCTION("""COMPUTED_VALUE"""),"HTML/CSS")</f>
        <v>HTML/CSS</v>
      </c>
      <c r="I3058" s="9" t="str">
        <f>IFERROR(__xludf.DUMMYFUNCTION("""COMPUTED_VALUE"""),"Python")</f>
        <v>Python</v>
      </c>
      <c r="J3058" s="9" t="str">
        <f>IFERROR(__xludf.DUMMYFUNCTION("""COMPUTED_VALUE"""),"C++")</f>
        <v>C++</v>
      </c>
      <c r="K3058" s="9" t="str">
        <f>IFERROR(__xludf.DUMMYFUNCTION("""COMPUTED_VALUE"""),"Java")</f>
        <v>Java</v>
      </c>
      <c r="L3058" s="9" t="str">
        <f>IFERROR(__xludf.DUMMYFUNCTION("""COMPUTED_VALUE"""),"Java")</f>
        <v>Java</v>
      </c>
      <c r="M3058" s="9" t="s">
        <v>27</v>
      </c>
    </row>
    <row r="3059" ht="15.75" customHeight="1">
      <c r="A3059" s="7"/>
      <c r="B3059" s="7" t="str">
        <f>IFERROR(__xludf.DUMMYFUNCTION("""COMPUTED_VALUE"""),"C;HTML/CSS;Java;JavaScript;Python;TypeScript")</f>
        <v>C;HTML/CSS;Java;JavaScript;Python;TypeScript</v>
      </c>
      <c r="C3059" s="9" t="str">
        <f>IFERROR(__xludf.DUMMYFUNCTION("""COMPUTED_VALUE"""),"HTML/CSS")</f>
        <v>HTML/CSS</v>
      </c>
      <c r="D3059" s="9" t="str">
        <f>IFERROR(__xludf.DUMMYFUNCTION("""COMPUTED_VALUE"""),"Rust")</f>
        <v>Rust</v>
      </c>
      <c r="E3059" s="9" t="str">
        <f>IFERROR(__xludf.DUMMYFUNCTION("""COMPUTED_VALUE"""),"Python")</f>
        <v>Python</v>
      </c>
      <c r="F3059" s="9" t="str">
        <f>IFERROR(__xludf.DUMMYFUNCTION("""COMPUTED_VALUE"""),"TypeScript")</f>
        <v>TypeScript</v>
      </c>
      <c r="G3059" s="9" t="str">
        <f>IFERROR(__xludf.DUMMYFUNCTION("""COMPUTED_VALUE"""),"C")</f>
        <v>C</v>
      </c>
      <c r="H3059" s="9" t="str">
        <f>IFERROR(__xludf.DUMMYFUNCTION("""COMPUTED_VALUE"""),"Java")</f>
        <v>Java</v>
      </c>
      <c r="I3059" s="9" t="str">
        <f>IFERROR(__xludf.DUMMYFUNCTION("""COMPUTED_VALUE"""),"Java")</f>
        <v>Java</v>
      </c>
      <c r="J3059" s="9" t="str">
        <f>IFERROR(__xludf.DUMMYFUNCTION("""COMPUTED_VALUE"""),"C#")</f>
        <v>C#</v>
      </c>
      <c r="K3059" s="9" t="str">
        <f>IFERROR(__xludf.DUMMYFUNCTION("""COMPUTED_VALUE"""),"Python")</f>
        <v>Python</v>
      </c>
      <c r="L3059" s="9" t="str">
        <f>IFERROR(__xludf.DUMMYFUNCTION("""COMPUTED_VALUE"""),"JavaScript")</f>
        <v>JavaScript</v>
      </c>
      <c r="M3059" s="9" t="s">
        <v>24</v>
      </c>
    </row>
    <row r="3060" ht="15.75" customHeight="1">
      <c r="A3060" s="7"/>
      <c r="B3060" s="7" t="str">
        <f>IFERROR(__xludf.DUMMYFUNCTION("""COMPUTED_VALUE"""),"C;C++;Java;Kotlin;Objective-C;Python;Swift")</f>
        <v>C;C++;Java;Kotlin;Objective-C;Python;Swift</v>
      </c>
      <c r="C3060" s="9" t="str">
        <f>IFERROR(__xludf.DUMMYFUNCTION("""COMPUTED_VALUE"""),"Java")</f>
        <v>Java</v>
      </c>
      <c r="D3060" s="9" t="str">
        <f>IFERROR(__xludf.DUMMYFUNCTION("""COMPUTED_VALUE"""),"SQL")</f>
        <v>SQL</v>
      </c>
      <c r="E3060" s="9" t="str">
        <f>IFERROR(__xludf.DUMMYFUNCTION("""COMPUTED_VALUE"""),"Bash/Shell/PowerShell")</f>
        <v>Bash/Shell/PowerShell</v>
      </c>
      <c r="F3060" s="9" t="str">
        <f>IFERROR(__xludf.DUMMYFUNCTION("""COMPUTED_VALUE"""),"Assembly")</f>
        <v>Assembly</v>
      </c>
      <c r="G3060" s="9" t="str">
        <f>IFERROR(__xludf.DUMMYFUNCTION("""COMPUTED_VALUE"""),"Python")</f>
        <v>Python</v>
      </c>
      <c r="H3060" s="9" t="str">
        <f>IFERROR(__xludf.DUMMYFUNCTION("""COMPUTED_VALUE"""),"PHP")</f>
        <v>PHP</v>
      </c>
      <c r="I3060" s="9" t="str">
        <f>IFERROR(__xludf.DUMMYFUNCTION("""COMPUTED_VALUE"""),"Python")</f>
        <v>Python</v>
      </c>
      <c r="J3060" s="9" t="str">
        <f>IFERROR(__xludf.DUMMYFUNCTION("""COMPUTED_VALUE"""),"HTML/CSS")</f>
        <v>HTML/CSS</v>
      </c>
      <c r="K3060" s="9" t="str">
        <f>IFERROR(__xludf.DUMMYFUNCTION("""COMPUTED_VALUE"""),"TypeScript")</f>
        <v>TypeScript</v>
      </c>
      <c r="L3060" s="9" t="str">
        <f>IFERROR(__xludf.DUMMYFUNCTION("""COMPUTED_VALUE"""),"Kotlin")</f>
        <v>Kotlin</v>
      </c>
      <c r="M3060" s="9" t="s">
        <v>20</v>
      </c>
    </row>
    <row r="3061" ht="15.75" customHeight="1">
      <c r="A3061" s="7"/>
      <c r="B3061" s="7" t="str">
        <f>IFERROR(__xludf.DUMMYFUNCTION("""COMPUTED_VALUE"""),"Objective-C;Swift")</f>
        <v>Objective-C;Swift</v>
      </c>
      <c r="C3061" s="9" t="str">
        <f>IFERROR(__xludf.DUMMYFUNCTION("""COMPUTED_VALUE"""),"JavaScript")</f>
        <v>JavaScript</v>
      </c>
      <c r="D3061" s="9" t="str">
        <f>IFERROR(__xludf.DUMMYFUNCTION("""COMPUTED_VALUE"""),"TypeScript")</f>
        <v>TypeScript</v>
      </c>
      <c r="E3061" s="9" t="str">
        <f>IFERROR(__xludf.DUMMYFUNCTION("""COMPUTED_VALUE"""),"HTML/CSS")</f>
        <v>HTML/CSS</v>
      </c>
      <c r="F3061" s="9" t="str">
        <f>IFERROR(__xludf.DUMMYFUNCTION("""COMPUTED_VALUE"""),"Bash/Shell/PowerShell")</f>
        <v>Bash/Shell/PowerShell</v>
      </c>
      <c r="G3061" s="9" t="str">
        <f>IFERROR(__xludf.DUMMYFUNCTION("""COMPUTED_VALUE"""),"Bash/Shell/PowerShell")</f>
        <v>Bash/Shell/PowerShell</v>
      </c>
      <c r="H3061" s="9" t="str">
        <f>IFERROR(__xludf.DUMMYFUNCTION("""COMPUTED_VALUE"""),"WebAssembly")</f>
        <v>WebAssembly</v>
      </c>
      <c r="I3061" s="9" t="str">
        <f>IFERROR(__xludf.DUMMYFUNCTION("""COMPUTED_VALUE"""),"Python")</f>
        <v>Python</v>
      </c>
      <c r="J3061" s="9" t="str">
        <f>IFERROR(__xludf.DUMMYFUNCTION("""COMPUTED_VALUE"""),"Java")</f>
        <v>Java</v>
      </c>
      <c r="K3061" s="9" t="str">
        <f>IFERROR(__xludf.DUMMYFUNCTION("""COMPUTED_VALUE"""),"C#")</f>
        <v>C#</v>
      </c>
      <c r="L3061" s="9" t="str">
        <f>IFERROR(__xludf.DUMMYFUNCTION("""COMPUTED_VALUE"""),"Objective-C")</f>
        <v>Objective-C</v>
      </c>
      <c r="M3061" s="9" t="s">
        <v>21</v>
      </c>
    </row>
    <row r="3062" ht="15.75" customHeight="1">
      <c r="A3062" s="7"/>
      <c r="B3062" s="7" t="str">
        <f>IFERROR(__xludf.DUMMYFUNCTION("""COMPUTED_VALUE"""),"Bash/Shell/PowerShell;C;HTML/CSS;Java;JavaScript;Python;SQL")</f>
        <v>Bash/Shell/PowerShell;C;HTML/CSS;Java;JavaScript;Python;SQL</v>
      </c>
      <c r="C3062" s="9" t="str">
        <f>IFERROR(__xludf.DUMMYFUNCTION("""COMPUTED_VALUE"""),"SQL")</f>
        <v>SQL</v>
      </c>
      <c r="D3062" s="9" t="str">
        <f>IFERROR(__xludf.DUMMYFUNCTION("""COMPUTED_VALUE"""),"Objective-C")</f>
        <v>Objective-C</v>
      </c>
      <c r="E3062" s="9" t="str">
        <f>IFERROR(__xludf.DUMMYFUNCTION("""COMPUTED_VALUE"""),"JavaScript")</f>
        <v>JavaScript</v>
      </c>
      <c r="F3062" s="9" t="str">
        <f>IFERROR(__xludf.DUMMYFUNCTION("""COMPUTED_VALUE"""),"C++")</f>
        <v>C++</v>
      </c>
      <c r="G3062" s="9" t="str">
        <f>IFERROR(__xludf.DUMMYFUNCTION("""COMPUTED_VALUE"""),"JavaScript")</f>
        <v>JavaScript</v>
      </c>
      <c r="H3062" s="9" t="str">
        <f>IFERROR(__xludf.DUMMYFUNCTION("""COMPUTED_VALUE"""),"Assembly")</f>
        <v>Assembly</v>
      </c>
      <c r="I3062" s="9" t="str">
        <f>IFERROR(__xludf.DUMMYFUNCTION("""COMPUTED_VALUE"""),"VBA")</f>
        <v>VBA</v>
      </c>
      <c r="J3062" s="9" t="str">
        <f>IFERROR(__xludf.DUMMYFUNCTION("""COMPUTED_VALUE"""),"JavaScript")</f>
        <v>JavaScript</v>
      </c>
      <c r="K3062" s="9" t="str">
        <f>IFERROR(__xludf.DUMMYFUNCTION("""COMPUTED_VALUE"""),"HTML/CSS")</f>
        <v>HTML/CSS</v>
      </c>
      <c r="L3062" s="9" t="str">
        <f>IFERROR(__xludf.DUMMYFUNCTION("""COMPUTED_VALUE"""),"PHP")</f>
        <v>PHP</v>
      </c>
      <c r="M3062" s="9" t="s">
        <v>27</v>
      </c>
    </row>
    <row r="3063" ht="15.75" customHeight="1">
      <c r="A3063" s="7"/>
      <c r="B3063" s="7" t="str">
        <f>IFERROR(__xludf.DUMMYFUNCTION("""COMPUTED_VALUE"""),"C#;HTML/CSS;Java;JavaScript;Scala;SQL")</f>
        <v>C#;HTML/CSS;Java;JavaScript;Scala;SQL</v>
      </c>
      <c r="C3063" s="9" t="str">
        <f>IFERROR(__xludf.DUMMYFUNCTION("""COMPUTED_VALUE"""),"TypeScript")</f>
        <v>TypeScript</v>
      </c>
      <c r="D3063" s="9" t="str">
        <f>IFERROR(__xludf.DUMMYFUNCTION("""COMPUTED_VALUE"""),"Swift")</f>
        <v>Swift</v>
      </c>
      <c r="E3063" s="9" t="str">
        <f>IFERROR(__xludf.DUMMYFUNCTION("""COMPUTED_VALUE"""),"Ruby")</f>
        <v>Ruby</v>
      </c>
      <c r="F3063" s="9" t="str">
        <f>IFERROR(__xludf.DUMMYFUNCTION("""COMPUTED_VALUE"""),"C#")</f>
        <v>C#</v>
      </c>
      <c r="G3063" s="9" t="str">
        <f>IFERROR(__xludf.DUMMYFUNCTION("""COMPUTED_VALUE"""),"Python")</f>
        <v>Python</v>
      </c>
      <c r="H3063" s="9" t="str">
        <f>IFERROR(__xludf.DUMMYFUNCTION("""COMPUTED_VALUE"""),"Bash/Shell/PowerShell")</f>
        <v>Bash/Shell/PowerShell</v>
      </c>
      <c r="I3063" s="9" t="str">
        <f>IFERROR(__xludf.DUMMYFUNCTION("""COMPUTED_VALUE"""),"C++")</f>
        <v>C++</v>
      </c>
      <c r="J3063" s="9" t="str">
        <f>IFERROR(__xludf.DUMMYFUNCTION("""COMPUTED_VALUE"""),"Python")</f>
        <v>Python</v>
      </c>
      <c r="K3063" s="9" t="str">
        <f>IFERROR(__xludf.DUMMYFUNCTION("""COMPUTED_VALUE"""),"JavaScript")</f>
        <v>JavaScript</v>
      </c>
      <c r="L3063" s="9" t="str">
        <f>IFERROR(__xludf.DUMMYFUNCTION("""COMPUTED_VALUE"""),"Python")</f>
        <v>Python</v>
      </c>
      <c r="M3063" s="9" t="s">
        <v>33</v>
      </c>
    </row>
    <row r="3064" ht="15.75" customHeight="1">
      <c r="A3064" s="7"/>
      <c r="B3064" s="7" t="str">
        <f>IFERROR(__xludf.DUMMYFUNCTION("""COMPUTED_VALUE"""),"Bash/Shell/PowerShell;C;C++;Go;HTML/CSS;Java;JavaScript;Python;SQL")</f>
        <v>Bash/Shell/PowerShell;C;C++;Go;HTML/CSS;Java;JavaScript;Python;SQL</v>
      </c>
      <c r="C3064" s="9" t="str">
        <f>IFERROR(__xludf.DUMMYFUNCTION("""COMPUTED_VALUE"""),"WebAssembly")</f>
        <v>WebAssembly</v>
      </c>
      <c r="D3064" s="9" t="str">
        <f>IFERROR(__xludf.DUMMYFUNCTION("""COMPUTED_VALUE"""),"C#")</f>
        <v>C#</v>
      </c>
      <c r="E3064" s="9" t="str">
        <f>IFERROR(__xludf.DUMMYFUNCTION("""COMPUTED_VALUE"""),"SQL")</f>
        <v>SQL</v>
      </c>
      <c r="F3064" s="9" t="str">
        <f>IFERROR(__xludf.DUMMYFUNCTION("""COMPUTED_VALUE"""),"HTML/CSS")</f>
        <v>HTML/CSS</v>
      </c>
      <c r="G3064" s="9" t="str">
        <f>IFERROR(__xludf.DUMMYFUNCTION("""COMPUTED_VALUE"""),"SQL")</f>
        <v>SQL</v>
      </c>
      <c r="H3064" s="9" t="str">
        <f>IFERROR(__xludf.DUMMYFUNCTION("""COMPUTED_VALUE"""),"C")</f>
        <v>C</v>
      </c>
      <c r="I3064" s="9" t="str">
        <f>IFERROR(__xludf.DUMMYFUNCTION("""COMPUTED_VALUE"""),"C#")</f>
        <v>C#</v>
      </c>
      <c r="J3064" s="9" t="str">
        <f>IFERROR(__xludf.DUMMYFUNCTION("""COMPUTED_VALUE"""),"TypeScript")</f>
        <v>TypeScript</v>
      </c>
      <c r="K3064" s="9" t="str">
        <f>IFERROR(__xludf.DUMMYFUNCTION("""COMPUTED_VALUE"""),"SQL")</f>
        <v>SQL</v>
      </c>
      <c r="L3064" s="9" t="str">
        <f>IFERROR(__xludf.DUMMYFUNCTION("""COMPUTED_VALUE"""),"Swift")</f>
        <v>Swift</v>
      </c>
      <c r="M3064" s="9" t="s">
        <v>34</v>
      </c>
    </row>
    <row r="3065" ht="15.75" customHeight="1">
      <c r="A3065" s="7"/>
      <c r="B3065" s="7" t="str">
        <f>IFERROR(__xludf.DUMMYFUNCTION("""COMPUTED_VALUE"""),"Assembly;Bash/Shell/PowerShell;C;C++;C#;HTML/CSS;Java;JavaScript;Python")</f>
        <v>Assembly;Bash/Shell/PowerShell;C;C++;C#;HTML/CSS;Java;JavaScript;Python</v>
      </c>
      <c r="C3065" s="9" t="str">
        <f>IFERROR(__xludf.DUMMYFUNCTION("""COMPUTED_VALUE"""),"Bash/Shell/PowerShell")</f>
        <v>Bash/Shell/PowerShell</v>
      </c>
      <c r="D3065" s="9" t="str">
        <f>IFERROR(__xludf.DUMMYFUNCTION("""COMPUTED_VALUE"""),"HTML/CSS")</f>
        <v>HTML/CSS</v>
      </c>
      <c r="E3065" s="9" t="str">
        <f>IFERROR(__xludf.DUMMYFUNCTION("""COMPUTED_VALUE"""),"Bash/Shell/PowerShell")</f>
        <v>Bash/Shell/PowerShell</v>
      </c>
      <c r="F3065" s="9" t="str">
        <f>IFERROR(__xludf.DUMMYFUNCTION("""COMPUTED_VALUE"""),"Python")</f>
        <v>Python</v>
      </c>
      <c r="G3065" s="9" t="str">
        <f>IFERROR(__xludf.DUMMYFUNCTION("""COMPUTED_VALUE"""),"Bash/Shell/PowerShell")</f>
        <v>Bash/Shell/PowerShell</v>
      </c>
      <c r="H3065" s="9" t="str">
        <f>IFERROR(__xludf.DUMMYFUNCTION("""COMPUTED_VALUE"""),"Go")</f>
        <v>Go</v>
      </c>
      <c r="I3065" s="9" t="str">
        <f>IFERROR(__xludf.DUMMYFUNCTION("""COMPUTED_VALUE"""),"HTML/CSS")</f>
        <v>HTML/CSS</v>
      </c>
      <c r="J3065" s="9" t="str">
        <f>IFERROR(__xludf.DUMMYFUNCTION("""COMPUTED_VALUE"""),"C#")</f>
        <v>C#</v>
      </c>
      <c r="K3065" s="9" t="str">
        <f>IFERROR(__xludf.DUMMYFUNCTION("""COMPUTED_VALUE"""),"C#")</f>
        <v>C#</v>
      </c>
      <c r="L3065" s="9" t="str">
        <f>IFERROR(__xludf.DUMMYFUNCTION("""COMPUTED_VALUE"""),"HTML/CSS")</f>
        <v>HTML/CSS</v>
      </c>
      <c r="M3065" s="9" t="s">
        <v>30</v>
      </c>
    </row>
    <row r="3066" ht="15.75" customHeight="1">
      <c r="A3066" s="7"/>
      <c r="B3066" s="7" t="str">
        <f>IFERROR(__xludf.DUMMYFUNCTION("""COMPUTED_VALUE"""),"Bash/Shell/PowerShell;HTML/CSS;JavaScript;PHP;Python;SQL")</f>
        <v>Bash/Shell/PowerShell;HTML/CSS;JavaScript;PHP;Python;SQL</v>
      </c>
      <c r="C3066" s="9" t="str">
        <f>IFERROR(__xludf.DUMMYFUNCTION("""COMPUTED_VALUE"""),"SQL")</f>
        <v>SQL</v>
      </c>
      <c r="D3066" s="9" t="str">
        <f>IFERROR(__xludf.DUMMYFUNCTION("""COMPUTED_VALUE"""),"JavaScript")</f>
        <v>JavaScript</v>
      </c>
      <c r="E3066" s="9" t="str">
        <f>IFERROR(__xludf.DUMMYFUNCTION("""COMPUTED_VALUE"""),"Ruby")</f>
        <v>Ruby</v>
      </c>
      <c r="F3066" s="9" t="str">
        <f>IFERROR(__xludf.DUMMYFUNCTION("""COMPUTED_VALUE"""),"SQL")</f>
        <v>SQL</v>
      </c>
      <c r="G3066" s="9" t="str">
        <f>IFERROR(__xludf.DUMMYFUNCTION("""COMPUTED_VALUE"""),"Python")</f>
        <v>Python</v>
      </c>
      <c r="H3066" s="9" t="str">
        <f>IFERROR(__xludf.DUMMYFUNCTION("""COMPUTED_VALUE"""),"HTML/CSS")</f>
        <v>HTML/CSS</v>
      </c>
      <c r="I3066" s="9" t="str">
        <f>IFERROR(__xludf.DUMMYFUNCTION("""COMPUTED_VALUE"""),"JavaScript")</f>
        <v>JavaScript</v>
      </c>
      <c r="J3066" s="9" t="str">
        <f>IFERROR(__xludf.DUMMYFUNCTION("""COMPUTED_VALUE"""),"Assembly")</f>
        <v>Assembly</v>
      </c>
      <c r="K3066" s="9" t="str">
        <f>IFERROR(__xludf.DUMMYFUNCTION("""COMPUTED_VALUE"""),"JavaScript")</f>
        <v>JavaScript</v>
      </c>
      <c r="L3066" s="9" t="str">
        <f>IFERROR(__xludf.DUMMYFUNCTION("""COMPUTED_VALUE"""),"JavaScript")</f>
        <v>JavaScript</v>
      </c>
      <c r="M3066" s="9" t="s">
        <v>27</v>
      </c>
    </row>
    <row r="3067" ht="15.75" customHeight="1">
      <c r="A3067" s="7"/>
      <c r="B3067" s="7" t="str">
        <f>IFERROR(__xludf.DUMMYFUNCTION("""COMPUTED_VALUE"""),"C#;HTML/CSS;Java;JavaScript;PHP;SQL")</f>
        <v>C#;HTML/CSS;Java;JavaScript;PHP;SQL</v>
      </c>
      <c r="C3067" s="9" t="str">
        <f>IFERROR(__xludf.DUMMYFUNCTION("""COMPUTED_VALUE"""),"Other(s):")</f>
        <v>Other(s):</v>
      </c>
      <c r="D3067" s="9" t="str">
        <f>IFERROR(__xludf.DUMMYFUNCTION("""COMPUTED_VALUE"""),"Python")</f>
        <v>Python</v>
      </c>
      <c r="E3067" s="9" t="str">
        <f>IFERROR(__xludf.DUMMYFUNCTION("""COMPUTED_VALUE"""),"SQL")</f>
        <v>SQL</v>
      </c>
      <c r="F3067" s="9" t="str">
        <f>IFERROR(__xludf.DUMMYFUNCTION("""COMPUTED_VALUE"""),"TypeScript")</f>
        <v>TypeScript</v>
      </c>
      <c r="G3067" s="9" t="str">
        <f>IFERROR(__xludf.DUMMYFUNCTION("""COMPUTED_VALUE"""),"R")</f>
        <v>R</v>
      </c>
      <c r="H3067" s="9" t="str">
        <f>IFERROR(__xludf.DUMMYFUNCTION("""COMPUTED_VALUE"""),"Java")</f>
        <v>Java</v>
      </c>
      <c r="I3067" s="9" t="str">
        <f>IFERROR(__xludf.DUMMYFUNCTION("""COMPUTED_VALUE"""),"SQL")</f>
        <v>SQL</v>
      </c>
      <c r="J3067" s="9" t="str">
        <f>IFERROR(__xludf.DUMMYFUNCTION("""COMPUTED_VALUE"""),"Bash/Shell/PowerShell")</f>
        <v>Bash/Shell/PowerShell</v>
      </c>
      <c r="K3067" s="9" t="str">
        <f>IFERROR(__xludf.DUMMYFUNCTION("""COMPUTED_VALUE"""),"PHP")</f>
        <v>PHP</v>
      </c>
      <c r="L3067" s="9" t="str">
        <f>IFERROR(__xludf.DUMMYFUNCTION("""COMPUTED_VALUE"""),"PHP")</f>
        <v>PHP</v>
      </c>
      <c r="M3067" s="9" t="s">
        <v>35</v>
      </c>
    </row>
    <row r="3068" ht="15.75" customHeight="1">
      <c r="A3068" s="7"/>
      <c r="B3068" s="7" t="str">
        <f>IFERROR(__xludf.DUMMYFUNCTION("""COMPUTED_VALUE"""),"C#")</f>
        <v>C#</v>
      </c>
      <c r="C3068" s="9" t="str">
        <f>IFERROR(__xludf.DUMMYFUNCTION("""COMPUTED_VALUE"""),"Java")</f>
        <v>Java</v>
      </c>
      <c r="D3068" s="9" t="str">
        <f>IFERROR(__xludf.DUMMYFUNCTION("""COMPUTED_VALUE"""),"Bash/Shell/PowerShell")</f>
        <v>Bash/Shell/PowerShell</v>
      </c>
      <c r="E3068" s="9" t="str">
        <f>IFERROR(__xludf.DUMMYFUNCTION("""COMPUTED_VALUE"""),"Go")</f>
        <v>Go</v>
      </c>
      <c r="F3068" s="9" t="str">
        <f>IFERROR(__xludf.DUMMYFUNCTION("""COMPUTED_VALUE"""),"HTML/CSS")</f>
        <v>HTML/CSS</v>
      </c>
      <c r="G3068" s="9" t="str">
        <f>IFERROR(__xludf.DUMMYFUNCTION("""COMPUTED_VALUE"""),"Other(s):")</f>
        <v>Other(s):</v>
      </c>
      <c r="H3068" s="9" t="str">
        <f>IFERROR(__xludf.DUMMYFUNCTION("""COMPUTED_VALUE"""),"JavaScript")</f>
        <v>JavaScript</v>
      </c>
      <c r="I3068" s="9" t="str">
        <f>IFERROR(__xludf.DUMMYFUNCTION("""COMPUTED_VALUE"""),"TypeScript")</f>
        <v>TypeScript</v>
      </c>
      <c r="J3068" s="9" t="str">
        <f>IFERROR(__xludf.DUMMYFUNCTION("""COMPUTED_VALUE"""),"C")</f>
        <v>C</v>
      </c>
      <c r="K3068" s="9" t="str">
        <f>IFERROR(__xludf.DUMMYFUNCTION("""COMPUTED_VALUE"""),"SQL")</f>
        <v>SQL</v>
      </c>
      <c r="L3068" s="9" t="str">
        <f>IFERROR(__xludf.DUMMYFUNCTION("""COMPUTED_VALUE"""),"HTML/CSS")</f>
        <v>HTML/CSS</v>
      </c>
      <c r="M3068" s="9" t="s">
        <v>20</v>
      </c>
    </row>
    <row r="3069" ht="15.75" customHeight="1">
      <c r="A3069" s="7"/>
      <c r="B3069" s="7" t="str">
        <f>IFERROR(__xludf.DUMMYFUNCTION("""COMPUTED_VALUE"""),"C++;C#;HTML/CSS;Java;JavaScript;PHP;Python;Ruby;SQL")</f>
        <v>C++;C#;HTML/CSS;Java;JavaScript;PHP;Python;Ruby;SQL</v>
      </c>
      <c r="C3069" s="9" t="str">
        <f>IFERROR(__xludf.DUMMYFUNCTION("""COMPUTED_VALUE"""),"Objective-C")</f>
        <v>Objective-C</v>
      </c>
      <c r="D3069" s="9" t="str">
        <f>IFERROR(__xludf.DUMMYFUNCTION("""COMPUTED_VALUE"""),"C++")</f>
        <v>C++</v>
      </c>
      <c r="E3069" s="9" t="str">
        <f>IFERROR(__xludf.DUMMYFUNCTION("""COMPUTED_VALUE"""),"HTML/CSS")</f>
        <v>HTML/CSS</v>
      </c>
      <c r="F3069" s="9" t="str">
        <f>IFERROR(__xludf.DUMMYFUNCTION("""COMPUTED_VALUE"""),"JavaScript")</f>
        <v>JavaScript</v>
      </c>
      <c r="G3069" s="9" t="str">
        <f>IFERROR(__xludf.DUMMYFUNCTION("""COMPUTED_VALUE"""),"C#")</f>
        <v>C#</v>
      </c>
      <c r="H3069" s="9" t="str">
        <f>IFERROR(__xludf.DUMMYFUNCTION("""COMPUTED_VALUE"""),"Kotlin")</f>
        <v>Kotlin</v>
      </c>
      <c r="I3069" s="9" t="str">
        <f>IFERROR(__xludf.DUMMYFUNCTION("""COMPUTED_VALUE"""),"Bash/Shell/PowerShell")</f>
        <v>Bash/Shell/PowerShell</v>
      </c>
      <c r="J3069" s="9" t="str">
        <f>IFERROR(__xludf.DUMMYFUNCTION("""COMPUTED_VALUE"""),"C++")</f>
        <v>C++</v>
      </c>
      <c r="K3069" s="9" t="str">
        <f>IFERROR(__xludf.DUMMYFUNCTION("""COMPUTED_VALUE"""),"Go")</f>
        <v>Go</v>
      </c>
      <c r="L3069" s="9" t="str">
        <f>IFERROR(__xludf.DUMMYFUNCTION("""COMPUTED_VALUE"""),"JavaScript")</f>
        <v>JavaScript</v>
      </c>
      <c r="M3069" s="9" t="s">
        <v>41</v>
      </c>
    </row>
    <row r="3070" ht="15.75" customHeight="1">
      <c r="A3070" s="7"/>
      <c r="B3070" s="7" t="str">
        <f>IFERROR(__xludf.DUMMYFUNCTION("""COMPUTED_VALUE"""),"JavaScript")</f>
        <v>JavaScript</v>
      </c>
      <c r="C3070" s="9" t="str">
        <f>IFERROR(__xludf.DUMMYFUNCTION("""COMPUTED_VALUE"""),"SQL")</f>
        <v>SQL</v>
      </c>
      <c r="D3070" s="9" t="str">
        <f>IFERROR(__xludf.DUMMYFUNCTION("""COMPUTED_VALUE"""),"C#")</f>
        <v>C#</v>
      </c>
      <c r="E3070" s="9" t="str">
        <f>IFERROR(__xludf.DUMMYFUNCTION("""COMPUTED_VALUE"""),"JavaScript")</f>
        <v>JavaScript</v>
      </c>
      <c r="F3070" s="9" t="str">
        <f>IFERROR(__xludf.DUMMYFUNCTION("""COMPUTED_VALUE"""),"Ruby")</f>
        <v>Ruby</v>
      </c>
      <c r="G3070" s="9" t="str">
        <f>IFERROR(__xludf.DUMMYFUNCTION("""COMPUTED_VALUE"""),"HTML/CSS")</f>
        <v>HTML/CSS</v>
      </c>
      <c r="H3070" s="9" t="str">
        <f>IFERROR(__xludf.DUMMYFUNCTION("""COMPUTED_VALUE"""),"Objective-C")</f>
        <v>Objective-C</v>
      </c>
      <c r="I3070" s="9" t="str">
        <f>IFERROR(__xludf.DUMMYFUNCTION("""COMPUTED_VALUE"""),"HTML/CSS")</f>
        <v>HTML/CSS</v>
      </c>
      <c r="J3070" s="9" t="str">
        <f>IFERROR(__xludf.DUMMYFUNCTION("""COMPUTED_VALUE"""),"HTML/CSS")</f>
        <v>HTML/CSS</v>
      </c>
      <c r="K3070" s="9" t="str">
        <f>IFERROR(__xludf.DUMMYFUNCTION("""COMPUTED_VALUE"""),"JavaScript")</f>
        <v>JavaScript</v>
      </c>
      <c r="L3070" s="9" t="str">
        <f>IFERROR(__xludf.DUMMYFUNCTION("""COMPUTED_VALUE"""),"PHP")</f>
        <v>PHP</v>
      </c>
      <c r="M3070" s="9" t="s">
        <v>27</v>
      </c>
    </row>
    <row r="3071" ht="15.75" customHeight="1">
      <c r="A3071" s="7"/>
      <c r="B3071" s="7" t="str">
        <f>IFERROR(__xludf.DUMMYFUNCTION("""COMPUTED_VALUE"""),"Python")</f>
        <v>Python</v>
      </c>
      <c r="C3071" s="9" t="str">
        <f>IFERROR(__xludf.DUMMYFUNCTION("""COMPUTED_VALUE"""),"Swift")</f>
        <v>Swift</v>
      </c>
      <c r="D3071" s="9" t="str">
        <f>IFERROR(__xludf.DUMMYFUNCTION("""COMPUTED_VALUE"""),"HTML/CSS")</f>
        <v>HTML/CSS</v>
      </c>
      <c r="E3071" s="9" t="str">
        <f>IFERROR(__xludf.DUMMYFUNCTION("""COMPUTED_VALUE"""),"Python")</f>
        <v>Python</v>
      </c>
      <c r="F3071" s="9" t="str">
        <f>IFERROR(__xludf.DUMMYFUNCTION("""COMPUTED_VALUE"""),"Assembly")</f>
        <v>Assembly</v>
      </c>
      <c r="G3071" s="9" t="str">
        <f>IFERROR(__xludf.DUMMYFUNCTION("""COMPUTED_VALUE"""),"Bash/Shell/PowerShell")</f>
        <v>Bash/Shell/PowerShell</v>
      </c>
      <c r="H3071" s="9" t="str">
        <f>IFERROR(__xludf.DUMMYFUNCTION("""COMPUTED_VALUE"""),"PHP")</f>
        <v>PHP</v>
      </c>
      <c r="I3071" s="9" t="str">
        <f>IFERROR(__xludf.DUMMYFUNCTION("""COMPUTED_VALUE"""),"JavaScript")</f>
        <v>JavaScript</v>
      </c>
      <c r="J3071" s="9" t="str">
        <f>IFERROR(__xludf.DUMMYFUNCTION("""COMPUTED_VALUE"""),"JavaScript")</f>
        <v>JavaScript</v>
      </c>
      <c r="K3071" s="9" t="str">
        <f>IFERROR(__xludf.DUMMYFUNCTION("""COMPUTED_VALUE"""),"HTML/CSS")</f>
        <v>HTML/CSS</v>
      </c>
      <c r="L3071" s="9" t="str">
        <f>IFERROR(__xludf.DUMMYFUNCTION("""COMPUTED_VALUE"""),"Python")</f>
        <v>Python</v>
      </c>
      <c r="M3071" s="9" t="s">
        <v>40</v>
      </c>
    </row>
    <row r="3072" ht="15.75" customHeight="1">
      <c r="A3072" s="7"/>
      <c r="B3072" s="7" t="str">
        <f>IFERROR(__xludf.DUMMYFUNCTION("""COMPUTED_VALUE"""),"C;C++;HTML/CSS;JavaScript;SQL;Swift")</f>
        <v>C;C++;HTML/CSS;JavaScript;SQL;Swift</v>
      </c>
      <c r="C3072" s="9" t="str">
        <f>IFERROR(__xludf.DUMMYFUNCTION("""COMPUTED_VALUE"""),"Objective-C")</f>
        <v>Objective-C</v>
      </c>
      <c r="D3072" s="9" t="str">
        <f>IFERROR(__xludf.DUMMYFUNCTION("""COMPUTED_VALUE"""),"Java")</f>
        <v>Java</v>
      </c>
      <c r="E3072" s="9" t="str">
        <f>IFERROR(__xludf.DUMMYFUNCTION("""COMPUTED_VALUE"""),"Ruby")</f>
        <v>Ruby</v>
      </c>
      <c r="F3072" s="9" t="str">
        <f>IFERROR(__xludf.DUMMYFUNCTION("""COMPUTED_VALUE"""),"Bash/Shell/PowerShell")</f>
        <v>Bash/Shell/PowerShell</v>
      </c>
      <c r="G3072" s="9" t="str">
        <f>IFERROR(__xludf.DUMMYFUNCTION("""COMPUTED_VALUE"""),"C")</f>
        <v>C</v>
      </c>
      <c r="H3072" s="9" t="str">
        <f>IFERROR(__xludf.DUMMYFUNCTION("""COMPUTED_VALUE"""),"Python")</f>
        <v>Python</v>
      </c>
      <c r="I3072" s="9" t="str">
        <f>IFERROR(__xludf.DUMMYFUNCTION("""COMPUTED_VALUE"""),"PHP")</f>
        <v>PHP</v>
      </c>
      <c r="J3072" s="9" t="str">
        <f>IFERROR(__xludf.DUMMYFUNCTION("""COMPUTED_VALUE"""),"Python")</f>
        <v>Python</v>
      </c>
      <c r="K3072" s="9" t="str">
        <f>IFERROR(__xludf.DUMMYFUNCTION("""COMPUTED_VALUE"""),"Java")</f>
        <v>Java</v>
      </c>
      <c r="L3072" s="9" t="str">
        <f>IFERROR(__xludf.DUMMYFUNCTION("""COMPUTED_VALUE"""),"C#")</f>
        <v>C#</v>
      </c>
      <c r="M3072" s="9" t="s">
        <v>41</v>
      </c>
    </row>
    <row r="3073" ht="15.75" customHeight="1">
      <c r="A3073" s="7"/>
      <c r="B3073" s="7" t="str">
        <f>IFERROR(__xludf.DUMMYFUNCTION("""COMPUTED_VALUE"""),"C++")</f>
        <v>C++</v>
      </c>
      <c r="C3073" s="9" t="str">
        <f>IFERROR(__xludf.DUMMYFUNCTION("""COMPUTED_VALUE"""),"Swift")</f>
        <v>Swift</v>
      </c>
      <c r="D3073" s="9" t="str">
        <f>IFERROR(__xludf.DUMMYFUNCTION("""COMPUTED_VALUE"""),"JavaScript")</f>
        <v>JavaScript</v>
      </c>
      <c r="E3073" s="9" t="str">
        <f>IFERROR(__xludf.DUMMYFUNCTION("""COMPUTED_VALUE"""),"SQL")</f>
        <v>SQL</v>
      </c>
      <c r="F3073" s="9" t="str">
        <f>IFERROR(__xludf.DUMMYFUNCTION("""COMPUTED_VALUE"""),"C#")</f>
        <v>C#</v>
      </c>
      <c r="G3073" s="9" t="str">
        <f>IFERROR(__xludf.DUMMYFUNCTION("""COMPUTED_VALUE"""),"C++")</f>
        <v>C++</v>
      </c>
      <c r="H3073" s="9" t="str">
        <f>IFERROR(__xludf.DUMMYFUNCTION("""COMPUTED_VALUE"""),"SQL")</f>
        <v>SQL</v>
      </c>
      <c r="I3073" s="9" t="str">
        <f>IFERROR(__xludf.DUMMYFUNCTION("""COMPUTED_VALUE"""),"Ruby")</f>
        <v>Ruby</v>
      </c>
      <c r="J3073" s="9" t="str">
        <f>IFERROR(__xludf.DUMMYFUNCTION("""COMPUTED_VALUE"""),"HTML/CSS")</f>
        <v>HTML/CSS</v>
      </c>
      <c r="K3073" s="9" t="str">
        <f>IFERROR(__xludf.DUMMYFUNCTION("""COMPUTED_VALUE"""),"JavaScript")</f>
        <v>JavaScript</v>
      </c>
      <c r="L3073" s="9" t="str">
        <f>IFERROR(__xludf.DUMMYFUNCTION("""COMPUTED_VALUE"""),"HTML/CSS")</f>
        <v>HTML/CSS</v>
      </c>
      <c r="M3073" s="9" t="s">
        <v>40</v>
      </c>
    </row>
    <row r="3074" ht="15.75" customHeight="1">
      <c r="A3074" s="7"/>
      <c r="B3074" s="7" t="str">
        <f>IFERROR(__xludf.DUMMYFUNCTION("""COMPUTED_VALUE"""),"Bash/Shell/PowerShell;C#;HTML/CSS;Java;JavaScript;Ruby")</f>
        <v>Bash/Shell/PowerShell;C#;HTML/CSS;Java;JavaScript;Ruby</v>
      </c>
      <c r="C3074" s="9" t="str">
        <f>IFERROR(__xludf.DUMMYFUNCTION("""COMPUTED_VALUE"""),"C++")</f>
        <v>C++</v>
      </c>
      <c r="D3074" s="9" t="str">
        <f>IFERROR(__xludf.DUMMYFUNCTION("""COMPUTED_VALUE"""),"Python")</f>
        <v>Python</v>
      </c>
      <c r="E3074" s="9" t="str">
        <f>IFERROR(__xludf.DUMMYFUNCTION("""COMPUTED_VALUE"""),"C#")</f>
        <v>C#</v>
      </c>
      <c r="F3074" s="9" t="str">
        <f>IFERROR(__xludf.DUMMYFUNCTION("""COMPUTED_VALUE"""),"HTML/CSS")</f>
        <v>HTML/CSS</v>
      </c>
      <c r="G3074" s="9" t="str">
        <f>IFERROR(__xludf.DUMMYFUNCTION("""COMPUTED_VALUE"""),"C#")</f>
        <v>C#</v>
      </c>
      <c r="H3074" s="9" t="str">
        <f>IFERROR(__xludf.DUMMYFUNCTION("""COMPUTED_VALUE"""),"Swift")</f>
        <v>Swift</v>
      </c>
      <c r="I3074" s="9" t="str">
        <f>IFERROR(__xludf.DUMMYFUNCTION("""COMPUTED_VALUE"""),"SQL")</f>
        <v>SQL</v>
      </c>
      <c r="J3074" s="9" t="str">
        <f>IFERROR(__xludf.DUMMYFUNCTION("""COMPUTED_VALUE"""),"Java")</f>
        <v>Java</v>
      </c>
      <c r="K3074" s="9" t="str">
        <f>IFERROR(__xludf.DUMMYFUNCTION("""COMPUTED_VALUE"""),"PHP")</f>
        <v>PHP</v>
      </c>
      <c r="L3074" s="9" t="str">
        <f>IFERROR(__xludf.DUMMYFUNCTION("""COMPUTED_VALUE"""),"JavaScript")</f>
        <v>JavaScript</v>
      </c>
      <c r="M3074" s="9" t="s">
        <v>23</v>
      </c>
    </row>
    <row r="3075" ht="15.75" customHeight="1">
      <c r="A3075" s="7"/>
      <c r="B3075" s="7" t="str">
        <f>IFERROR(__xludf.DUMMYFUNCTION("""COMPUTED_VALUE"""),"Bash/Shell/PowerShell;Clojure;HTML/CSS;Java;JavaScript;Python;Ruby;SQL")</f>
        <v>Bash/Shell/PowerShell;Clojure;HTML/CSS;Java;JavaScript;Python;Ruby;SQL</v>
      </c>
      <c r="C3075" s="9" t="str">
        <f>IFERROR(__xludf.DUMMYFUNCTION("""COMPUTED_VALUE"""),"HTML/CSS")</f>
        <v>HTML/CSS</v>
      </c>
      <c r="D3075" s="9" t="str">
        <f>IFERROR(__xludf.DUMMYFUNCTION("""COMPUTED_VALUE"""),"Ruby")</f>
        <v>Ruby</v>
      </c>
      <c r="E3075" s="9" t="str">
        <f>IFERROR(__xludf.DUMMYFUNCTION("""COMPUTED_VALUE"""),"F#")</f>
        <v>F#</v>
      </c>
      <c r="F3075" s="9" t="str">
        <f>IFERROR(__xludf.DUMMYFUNCTION("""COMPUTED_VALUE"""),"Java")</f>
        <v>Java</v>
      </c>
      <c r="G3075" s="9" t="str">
        <f>IFERROR(__xludf.DUMMYFUNCTION("""COMPUTED_VALUE"""),"F#")</f>
        <v>F#</v>
      </c>
      <c r="H3075" s="9" t="str">
        <f>IFERROR(__xludf.DUMMYFUNCTION("""COMPUTED_VALUE"""),"C#")</f>
        <v>C#</v>
      </c>
      <c r="I3075" s="9" t="str">
        <f>IFERROR(__xludf.DUMMYFUNCTION("""COMPUTED_VALUE"""),"Assembly")</f>
        <v>Assembly</v>
      </c>
      <c r="J3075" s="9" t="str">
        <f>IFERROR(__xludf.DUMMYFUNCTION("""COMPUTED_VALUE"""),"JavaScript")</f>
        <v>JavaScript</v>
      </c>
      <c r="K3075" s="9" t="str">
        <f>IFERROR(__xludf.DUMMYFUNCTION("""COMPUTED_VALUE"""),"Scala")</f>
        <v>Scala</v>
      </c>
      <c r="L3075" s="9" t="str">
        <f>IFERROR(__xludf.DUMMYFUNCTION("""COMPUTED_VALUE"""),"SQL")</f>
        <v>SQL</v>
      </c>
      <c r="M3075" s="9" t="s">
        <v>24</v>
      </c>
    </row>
    <row r="3076" ht="15.75" customHeight="1">
      <c r="A3076" s="7"/>
      <c r="B3076" s="7" t="str">
        <f>IFERROR(__xludf.DUMMYFUNCTION("""COMPUTED_VALUE"""),"C;C#;HTML/CSS;Python;R;SQL;WebAssembly")</f>
        <v>C;C#;HTML/CSS;Python;R;SQL;WebAssembly</v>
      </c>
      <c r="C3076" s="9" t="str">
        <f>IFERROR(__xludf.DUMMYFUNCTION("""COMPUTED_VALUE"""),"JavaScript")</f>
        <v>JavaScript</v>
      </c>
      <c r="D3076" s="9" t="str">
        <f>IFERROR(__xludf.DUMMYFUNCTION("""COMPUTED_VALUE"""),"SQL")</f>
        <v>SQL</v>
      </c>
      <c r="E3076" s="9" t="str">
        <f>IFERROR(__xludf.DUMMYFUNCTION("""COMPUTED_VALUE"""),"Java")</f>
        <v>Java</v>
      </c>
      <c r="F3076" s="9" t="str">
        <f>IFERROR(__xludf.DUMMYFUNCTION("""COMPUTED_VALUE"""),"JavaScript")</f>
        <v>JavaScript</v>
      </c>
      <c r="G3076" s="9" t="str">
        <f>IFERROR(__xludf.DUMMYFUNCTION("""COMPUTED_VALUE"""),"HTML/CSS")</f>
        <v>HTML/CSS</v>
      </c>
      <c r="H3076" s="9" t="str">
        <f>IFERROR(__xludf.DUMMYFUNCTION("""COMPUTED_VALUE"""),"JavaScript")</f>
        <v>JavaScript</v>
      </c>
      <c r="I3076" s="9" t="str">
        <f>IFERROR(__xludf.DUMMYFUNCTION("""COMPUTED_VALUE"""),"Bash/Shell/PowerShell")</f>
        <v>Bash/Shell/PowerShell</v>
      </c>
      <c r="J3076" s="9" t="str">
        <f>IFERROR(__xludf.DUMMYFUNCTION("""COMPUTED_VALUE"""),"Python")</f>
        <v>Python</v>
      </c>
      <c r="K3076" s="9" t="str">
        <f>IFERROR(__xludf.DUMMYFUNCTION("""COMPUTED_VALUE"""),"SQL")</f>
        <v>SQL</v>
      </c>
      <c r="L3076" s="9" t="str">
        <f>IFERROR(__xludf.DUMMYFUNCTION("""COMPUTED_VALUE"""),"HTML/CSS")</f>
        <v>HTML/CSS</v>
      </c>
      <c r="M3076" s="9" t="s">
        <v>21</v>
      </c>
    </row>
    <row r="3077" ht="15.75" customHeight="1">
      <c r="A3077" s="7"/>
      <c r="B3077" s="7" t="str">
        <f>IFERROR(__xludf.DUMMYFUNCTION("""COMPUTED_VALUE"""),"C;C++;JavaScript;Objective-C;Swift;TypeScript")</f>
        <v>C;C++;JavaScript;Objective-C;Swift;TypeScript</v>
      </c>
      <c r="C3077" s="9" t="str">
        <f>IFERROR(__xludf.DUMMYFUNCTION("""COMPUTED_VALUE"""),"PHP")</f>
        <v>PHP</v>
      </c>
      <c r="D3077" s="9" t="str">
        <f>IFERROR(__xludf.DUMMYFUNCTION("""COMPUTED_VALUE"""),"TypeScript")</f>
        <v>TypeScript</v>
      </c>
      <c r="E3077" s="9" t="str">
        <f>IFERROR(__xludf.DUMMYFUNCTION("""COMPUTED_VALUE"""),"SQL")</f>
        <v>SQL</v>
      </c>
      <c r="F3077" s="9" t="str">
        <f>IFERROR(__xludf.DUMMYFUNCTION("""COMPUTED_VALUE"""),"SQL")</f>
        <v>SQL</v>
      </c>
      <c r="G3077" s="9" t="str">
        <f>IFERROR(__xludf.DUMMYFUNCTION("""COMPUTED_VALUE"""),"Java")</f>
        <v>Java</v>
      </c>
      <c r="H3077" s="9" t="str">
        <f>IFERROR(__xludf.DUMMYFUNCTION("""COMPUTED_VALUE"""),"Python")</f>
        <v>Python</v>
      </c>
      <c r="I3077" s="9" t="str">
        <f>IFERROR(__xludf.DUMMYFUNCTION("""COMPUTED_VALUE"""),"C#")</f>
        <v>C#</v>
      </c>
      <c r="J3077" s="9" t="str">
        <f>IFERROR(__xludf.DUMMYFUNCTION("""COMPUTED_VALUE"""),"Ruby")</f>
        <v>Ruby</v>
      </c>
      <c r="K3077" s="9" t="str">
        <f>IFERROR(__xludf.DUMMYFUNCTION("""COMPUTED_VALUE"""),"HTML/CSS")</f>
        <v>HTML/CSS</v>
      </c>
      <c r="L3077" s="9" t="str">
        <f>IFERROR(__xludf.DUMMYFUNCTION("""COMPUTED_VALUE"""),"JavaScript")</f>
        <v>JavaScript</v>
      </c>
      <c r="M3077" s="9" t="s">
        <v>37</v>
      </c>
    </row>
    <row r="3078" ht="15.75" customHeight="1">
      <c r="A3078" s="7"/>
      <c r="B3078" s="7" t="str">
        <f>IFERROR(__xludf.DUMMYFUNCTION("""COMPUTED_VALUE"""),"Bash/Shell/PowerShell;C;C++;HTML/CSS;Java;JavaScript;PHP;Python;SQL;VBA")</f>
        <v>Bash/Shell/PowerShell;C;C++;HTML/CSS;Java;JavaScript;PHP;Python;SQL;VBA</v>
      </c>
      <c r="C3078" s="9" t="str">
        <f>IFERROR(__xludf.DUMMYFUNCTION("""COMPUTED_VALUE"""),"Python")</f>
        <v>Python</v>
      </c>
      <c r="D3078" s="9" t="str">
        <f>IFERROR(__xludf.DUMMYFUNCTION("""COMPUTED_VALUE"""),"VBA")</f>
        <v>VBA</v>
      </c>
      <c r="E3078" s="9" t="str">
        <f>IFERROR(__xludf.DUMMYFUNCTION("""COMPUTED_VALUE"""),"Bash/Shell/PowerShell")</f>
        <v>Bash/Shell/PowerShell</v>
      </c>
      <c r="F3078" s="9" t="str">
        <f>IFERROR(__xludf.DUMMYFUNCTION("""COMPUTED_VALUE"""),"HTML/CSS")</f>
        <v>HTML/CSS</v>
      </c>
      <c r="G3078" s="9" t="str">
        <f>IFERROR(__xludf.DUMMYFUNCTION("""COMPUTED_VALUE"""),"JavaScript")</f>
        <v>JavaScript</v>
      </c>
      <c r="H3078" s="9" t="str">
        <f>IFERROR(__xludf.DUMMYFUNCTION("""COMPUTED_VALUE"""),"SQL")</f>
        <v>SQL</v>
      </c>
      <c r="I3078" s="9" t="str">
        <f>IFERROR(__xludf.DUMMYFUNCTION("""COMPUTED_VALUE"""),"Go")</f>
        <v>Go</v>
      </c>
      <c r="J3078" s="9" t="str">
        <f>IFERROR(__xludf.DUMMYFUNCTION("""COMPUTED_VALUE"""),"SQL")</f>
        <v>SQL</v>
      </c>
      <c r="K3078" s="9" t="str">
        <f>IFERROR(__xludf.DUMMYFUNCTION("""COMPUTED_VALUE"""),"JavaScript")</f>
        <v>JavaScript</v>
      </c>
      <c r="L3078" s="9" t="str">
        <f>IFERROR(__xludf.DUMMYFUNCTION("""COMPUTED_VALUE"""),"SQL")</f>
        <v>SQL</v>
      </c>
      <c r="M3078" s="9" t="s">
        <v>22</v>
      </c>
    </row>
    <row r="3079" ht="15.75" customHeight="1">
      <c r="A3079" s="7"/>
      <c r="B3079" s="7" t="str">
        <f>IFERROR(__xludf.DUMMYFUNCTION("""COMPUTED_VALUE"""),"Elixir;Erlang;Go;Python;Rust")</f>
        <v>Elixir;Erlang;Go;Python;Rust</v>
      </c>
      <c r="C3079" s="9" t="str">
        <f>IFERROR(__xludf.DUMMYFUNCTION("""COMPUTED_VALUE"""),"Bash/Shell/PowerShell")</f>
        <v>Bash/Shell/PowerShell</v>
      </c>
      <c r="D3079" s="9" t="str">
        <f>IFERROR(__xludf.DUMMYFUNCTION("""COMPUTED_VALUE"""),"C#")</f>
        <v>C#</v>
      </c>
      <c r="E3079" s="9" t="str">
        <f>IFERROR(__xludf.DUMMYFUNCTION("""COMPUTED_VALUE"""),"HTML/CSS")</f>
        <v>HTML/CSS</v>
      </c>
      <c r="F3079" s="9" t="str">
        <f>IFERROR(__xludf.DUMMYFUNCTION("""COMPUTED_VALUE"""),"Java")</f>
        <v>Java</v>
      </c>
      <c r="G3079" s="9" t="str">
        <f>IFERROR(__xludf.DUMMYFUNCTION("""COMPUTED_VALUE"""),"Kotlin")</f>
        <v>Kotlin</v>
      </c>
      <c r="H3079" s="9" t="str">
        <f>IFERROR(__xludf.DUMMYFUNCTION("""COMPUTED_VALUE"""),"TypeScript")</f>
        <v>TypeScript</v>
      </c>
      <c r="I3079" s="9" t="str">
        <f>IFERROR(__xludf.DUMMYFUNCTION("""COMPUTED_VALUE"""),"HTML/CSS")</f>
        <v>HTML/CSS</v>
      </c>
      <c r="J3079" s="9" t="str">
        <f>IFERROR(__xludf.DUMMYFUNCTION("""COMPUTED_VALUE"""),"Bash/Shell/PowerShell")</f>
        <v>Bash/Shell/PowerShell</v>
      </c>
      <c r="K3079" s="9" t="str">
        <f>IFERROR(__xludf.DUMMYFUNCTION("""COMPUTED_VALUE"""),"PHP")</f>
        <v>PHP</v>
      </c>
      <c r="L3079" s="9" t="str">
        <f>IFERROR(__xludf.DUMMYFUNCTION("""COMPUTED_VALUE"""),"TypeScript")</f>
        <v>TypeScript</v>
      </c>
      <c r="M3079" s="9" t="s">
        <v>30</v>
      </c>
    </row>
    <row r="3080" ht="15.75" customHeight="1">
      <c r="A3080" s="7"/>
      <c r="B3080" s="7" t="str">
        <f>IFERROR(__xludf.DUMMYFUNCTION("""COMPUTED_VALUE"""),"C#")</f>
        <v>C#</v>
      </c>
      <c r="C3080" s="9" t="str">
        <f>IFERROR(__xludf.DUMMYFUNCTION("""COMPUTED_VALUE"""),"HTML/CSS")</f>
        <v>HTML/CSS</v>
      </c>
      <c r="D3080" s="9" t="str">
        <f>IFERROR(__xludf.DUMMYFUNCTION("""COMPUTED_VALUE"""),"Java")</f>
        <v>Java</v>
      </c>
      <c r="E3080" s="9" t="str">
        <f>IFERROR(__xludf.DUMMYFUNCTION("""COMPUTED_VALUE"""),"JavaScript")</f>
        <v>JavaScript</v>
      </c>
      <c r="F3080" s="9" t="str">
        <f>IFERROR(__xludf.DUMMYFUNCTION("""COMPUTED_VALUE"""),"JavaScript")</f>
        <v>JavaScript</v>
      </c>
      <c r="G3080" s="9" t="str">
        <f>IFERROR(__xludf.DUMMYFUNCTION("""COMPUTED_VALUE"""),"PHP")</f>
        <v>PHP</v>
      </c>
      <c r="H3080" s="9" t="str">
        <f>IFERROR(__xludf.DUMMYFUNCTION("""COMPUTED_VALUE"""),"C++")</f>
        <v>C++</v>
      </c>
      <c r="I3080" s="9" t="str">
        <f>IFERROR(__xludf.DUMMYFUNCTION("""COMPUTED_VALUE"""),"Java")</f>
        <v>Java</v>
      </c>
      <c r="J3080" s="9" t="str">
        <f>IFERROR(__xludf.DUMMYFUNCTION("""COMPUTED_VALUE"""),"C#")</f>
        <v>C#</v>
      </c>
      <c r="K3080" s="9" t="str">
        <f>IFERROR(__xludf.DUMMYFUNCTION("""COMPUTED_VALUE"""),"HTML/CSS")</f>
        <v>HTML/CSS</v>
      </c>
      <c r="L3080" s="9" t="str">
        <f>IFERROR(__xludf.DUMMYFUNCTION("""COMPUTED_VALUE"""),"SQL")</f>
        <v>SQL</v>
      </c>
      <c r="M3080" s="9" t="s">
        <v>24</v>
      </c>
    </row>
    <row r="3081" ht="15.75" customHeight="1">
      <c r="A3081" s="7"/>
      <c r="B3081" s="7" t="str">
        <f>IFERROR(__xludf.DUMMYFUNCTION("""COMPUTED_VALUE"""),"HTML/CSS;JavaScript;Python")</f>
        <v>HTML/CSS;JavaScript;Python</v>
      </c>
      <c r="C3081" s="9" t="str">
        <f>IFERROR(__xludf.DUMMYFUNCTION("""COMPUTED_VALUE"""),"JavaScript")</f>
        <v>JavaScript</v>
      </c>
      <c r="D3081" s="9" t="str">
        <f>IFERROR(__xludf.DUMMYFUNCTION("""COMPUTED_VALUE"""),"JavaScript")</f>
        <v>JavaScript</v>
      </c>
      <c r="E3081" s="9" t="str">
        <f>IFERROR(__xludf.DUMMYFUNCTION("""COMPUTED_VALUE"""),"PHP")</f>
        <v>PHP</v>
      </c>
      <c r="F3081" s="9" t="str">
        <f>IFERROR(__xludf.DUMMYFUNCTION("""COMPUTED_VALUE"""),"PHP")</f>
        <v>PHP</v>
      </c>
      <c r="G3081" s="9" t="str">
        <f>IFERROR(__xludf.DUMMYFUNCTION("""COMPUTED_VALUE"""),"Python")</f>
        <v>Python</v>
      </c>
      <c r="H3081" s="9" t="str">
        <f>IFERROR(__xludf.DUMMYFUNCTION("""COMPUTED_VALUE"""),"Java")</f>
        <v>Java</v>
      </c>
      <c r="I3081" s="9" t="str">
        <f>IFERROR(__xludf.DUMMYFUNCTION("""COMPUTED_VALUE"""),"JavaScript")</f>
        <v>JavaScript</v>
      </c>
      <c r="J3081" s="9" t="str">
        <f>IFERROR(__xludf.DUMMYFUNCTION("""COMPUTED_VALUE"""),"HTML/CSS")</f>
        <v>HTML/CSS</v>
      </c>
      <c r="K3081" s="9" t="str">
        <f>IFERROR(__xludf.DUMMYFUNCTION("""COMPUTED_VALUE"""),"JavaScript")</f>
        <v>JavaScript</v>
      </c>
      <c r="L3081" s="9" t="str">
        <f>IFERROR(__xludf.DUMMYFUNCTION("""COMPUTED_VALUE"""),"C++")</f>
        <v>C++</v>
      </c>
      <c r="M3081" s="9" t="s">
        <v>21</v>
      </c>
    </row>
    <row r="3082" ht="15.75" customHeight="1">
      <c r="A3082" s="7"/>
      <c r="B3082" s="7" t="str">
        <f>IFERROR(__xludf.DUMMYFUNCTION("""COMPUTED_VALUE"""),"C#;HTML/CSS;Java;JavaScript")</f>
        <v>C#;HTML/CSS;Java;JavaScript</v>
      </c>
      <c r="C3082" s="9" t="str">
        <f>IFERROR(__xludf.DUMMYFUNCTION("""COMPUTED_VALUE"""),"Ruby")</f>
        <v>Ruby</v>
      </c>
      <c r="D3082" s="9" t="str">
        <f>IFERROR(__xludf.DUMMYFUNCTION("""COMPUTED_VALUE"""),"PHP")</f>
        <v>PHP</v>
      </c>
      <c r="E3082" s="9" t="str">
        <f>IFERROR(__xludf.DUMMYFUNCTION("""COMPUTED_VALUE"""),"Python")</f>
        <v>Python</v>
      </c>
      <c r="F3082" s="9" t="str">
        <f>IFERROR(__xludf.DUMMYFUNCTION("""COMPUTED_VALUE"""),"SQL")</f>
        <v>SQL</v>
      </c>
      <c r="G3082" s="9" t="str">
        <f>IFERROR(__xludf.DUMMYFUNCTION("""COMPUTED_VALUE"""),"SQL")</f>
        <v>SQL</v>
      </c>
      <c r="H3082" s="9" t="str">
        <f>IFERROR(__xludf.DUMMYFUNCTION("""COMPUTED_VALUE"""),"Python")</f>
        <v>Python</v>
      </c>
      <c r="I3082" s="9" t="str">
        <f>IFERROR(__xludf.DUMMYFUNCTION("""COMPUTED_VALUE"""),"Kotlin")</f>
        <v>Kotlin</v>
      </c>
      <c r="J3082" s="9" t="str">
        <f>IFERROR(__xludf.DUMMYFUNCTION("""COMPUTED_VALUE"""),"Java")</f>
        <v>Java</v>
      </c>
      <c r="K3082" s="9" t="str">
        <f>IFERROR(__xludf.DUMMYFUNCTION("""COMPUTED_VALUE"""),"Ruby")</f>
        <v>Ruby</v>
      </c>
      <c r="L3082" s="9" t="str">
        <f>IFERROR(__xludf.DUMMYFUNCTION("""COMPUTED_VALUE"""),"Java")</f>
        <v>Java</v>
      </c>
      <c r="M3082" s="9" t="s">
        <v>31</v>
      </c>
    </row>
    <row r="3083" ht="15.75" customHeight="1">
      <c r="A3083" s="7"/>
      <c r="B3083" s="7" t="str">
        <f>IFERROR(__xludf.DUMMYFUNCTION("""COMPUTED_VALUE"""),"Java;SQL")</f>
        <v>Java;SQL</v>
      </c>
      <c r="C3083" s="9" t="str">
        <f>IFERROR(__xludf.DUMMYFUNCTION("""COMPUTED_VALUE"""),"TypeScript")</f>
        <v>TypeScript</v>
      </c>
      <c r="D3083" s="9" t="str">
        <f>IFERROR(__xludf.DUMMYFUNCTION("""COMPUTED_VALUE"""),"SQL")</f>
        <v>SQL</v>
      </c>
      <c r="E3083" s="9" t="str">
        <f>IFERROR(__xludf.DUMMYFUNCTION("""COMPUTED_VALUE"""),"Scala")</f>
        <v>Scala</v>
      </c>
      <c r="F3083" s="9" t="str">
        <f>IFERROR(__xludf.DUMMYFUNCTION("""COMPUTED_VALUE"""),"HTML/CSS")</f>
        <v>HTML/CSS</v>
      </c>
      <c r="G3083" s="9" t="str">
        <f>IFERROR(__xludf.DUMMYFUNCTION("""COMPUTED_VALUE"""),"TypeScript")</f>
        <v>TypeScript</v>
      </c>
      <c r="H3083" s="9" t="str">
        <f>IFERROR(__xludf.DUMMYFUNCTION("""COMPUTED_VALUE"""),"Java")</f>
        <v>Java</v>
      </c>
      <c r="I3083" s="9" t="str">
        <f>IFERROR(__xludf.DUMMYFUNCTION("""COMPUTED_VALUE"""),"PHP")</f>
        <v>PHP</v>
      </c>
      <c r="J3083" s="9" t="str">
        <f>IFERROR(__xludf.DUMMYFUNCTION("""COMPUTED_VALUE"""),"JavaScript")</f>
        <v>JavaScript</v>
      </c>
      <c r="K3083" s="9" t="str">
        <f>IFERROR(__xludf.DUMMYFUNCTION("""COMPUTED_VALUE"""),"Bash/Shell/PowerShell")</f>
        <v>Bash/Shell/PowerShell</v>
      </c>
      <c r="L3083" s="9" t="str">
        <f>IFERROR(__xludf.DUMMYFUNCTION("""COMPUTED_VALUE"""),"Python")</f>
        <v>Python</v>
      </c>
      <c r="M3083" s="9" t="s">
        <v>33</v>
      </c>
    </row>
    <row r="3084" ht="15.75" customHeight="1">
      <c r="A3084" s="7"/>
      <c r="B3084" s="7" t="str">
        <f>IFERROR(__xludf.DUMMYFUNCTION("""COMPUTED_VALUE"""),"Dart;Java;Kotlin;Objective-C;Python;Swift")</f>
        <v>Dart;Java;Kotlin;Objective-C;Python;Swift</v>
      </c>
      <c r="C3084" s="9" t="str">
        <f>IFERROR(__xludf.DUMMYFUNCTION("""COMPUTED_VALUE"""),"HTML/CSS")</f>
        <v>HTML/CSS</v>
      </c>
      <c r="D3084" s="9" t="str">
        <f>IFERROR(__xludf.DUMMYFUNCTION("""COMPUTED_VALUE"""),"C#")</f>
        <v>C#</v>
      </c>
      <c r="E3084" s="9" t="str">
        <f>IFERROR(__xludf.DUMMYFUNCTION("""COMPUTED_VALUE"""),"Bash/Shell/PowerShell")</f>
        <v>Bash/Shell/PowerShell</v>
      </c>
      <c r="F3084" s="9" t="str">
        <f>IFERROR(__xludf.DUMMYFUNCTION("""COMPUTED_VALUE"""),"JavaScript")</f>
        <v>JavaScript</v>
      </c>
      <c r="G3084" s="9" t="str">
        <f>IFERROR(__xludf.DUMMYFUNCTION("""COMPUTED_VALUE"""),"Bash/Shell/PowerShell")</f>
        <v>Bash/Shell/PowerShell</v>
      </c>
      <c r="H3084" s="9" t="str">
        <f>IFERROR(__xludf.DUMMYFUNCTION("""COMPUTED_VALUE"""),"JavaScript")</f>
        <v>JavaScript</v>
      </c>
      <c r="I3084" s="9" t="str">
        <f>IFERROR(__xludf.DUMMYFUNCTION("""COMPUTED_VALUE"""),"Python")</f>
        <v>Python</v>
      </c>
      <c r="J3084" s="9" t="str">
        <f>IFERROR(__xludf.DUMMYFUNCTION("""COMPUTED_VALUE"""),"Python")</f>
        <v>Python</v>
      </c>
      <c r="K3084" s="9" t="str">
        <f>IFERROR(__xludf.DUMMYFUNCTION("""COMPUTED_VALUE"""),"C++")</f>
        <v>C++</v>
      </c>
      <c r="L3084" s="9" t="str">
        <f>IFERROR(__xludf.DUMMYFUNCTION("""COMPUTED_VALUE"""),"Assembly")</f>
        <v>Assembly</v>
      </c>
      <c r="M3084" s="9" t="s">
        <v>24</v>
      </c>
    </row>
    <row r="3085" ht="15.75" customHeight="1">
      <c r="A3085" s="7"/>
      <c r="B3085" s="7" t="str">
        <f>IFERROR(__xludf.DUMMYFUNCTION("""COMPUTED_VALUE"""),"JavaScript;PHP")</f>
        <v>JavaScript;PHP</v>
      </c>
      <c r="C3085" s="9" t="str">
        <f>IFERROR(__xludf.DUMMYFUNCTION("""COMPUTED_VALUE"""),"Java")</f>
        <v>Java</v>
      </c>
      <c r="D3085" s="9" t="str">
        <f>IFERROR(__xludf.DUMMYFUNCTION("""COMPUTED_VALUE"""),"SQL")</f>
        <v>SQL</v>
      </c>
      <c r="E3085" s="9" t="str">
        <f>IFERROR(__xludf.DUMMYFUNCTION("""COMPUTED_VALUE"""),"C")</f>
        <v>C</v>
      </c>
      <c r="F3085" s="9" t="str">
        <f>IFERROR(__xludf.DUMMYFUNCTION("""COMPUTED_VALUE"""),"Python")</f>
        <v>Python</v>
      </c>
      <c r="G3085" s="9" t="str">
        <f>IFERROR(__xludf.DUMMYFUNCTION("""COMPUTED_VALUE"""),"C#")</f>
        <v>C#</v>
      </c>
      <c r="H3085" s="9" t="str">
        <f>IFERROR(__xludf.DUMMYFUNCTION("""COMPUTED_VALUE"""),"Python")</f>
        <v>Python</v>
      </c>
      <c r="I3085" s="9" t="str">
        <f>IFERROR(__xludf.DUMMYFUNCTION("""COMPUTED_VALUE"""),"SQL")</f>
        <v>SQL</v>
      </c>
      <c r="J3085" s="9" t="str">
        <f>IFERROR(__xludf.DUMMYFUNCTION("""COMPUTED_VALUE"""),"SQL")</f>
        <v>SQL</v>
      </c>
      <c r="K3085" s="9" t="str">
        <f>IFERROR(__xludf.DUMMYFUNCTION("""COMPUTED_VALUE"""),"Java")</f>
        <v>Java</v>
      </c>
      <c r="L3085" s="9" t="str">
        <f>IFERROR(__xludf.DUMMYFUNCTION("""COMPUTED_VALUE"""),"Bash/Shell/PowerShell")</f>
        <v>Bash/Shell/PowerShell</v>
      </c>
      <c r="M3085" s="9" t="s">
        <v>20</v>
      </c>
    </row>
    <row r="3086" ht="15.75" customHeight="1">
      <c r="A3086" s="7"/>
      <c r="B3086" s="7" t="str">
        <f>IFERROR(__xludf.DUMMYFUNCTION("""COMPUTED_VALUE"""),"HTML/CSS;JavaScript")</f>
        <v>HTML/CSS;JavaScript</v>
      </c>
      <c r="C3086" s="9" t="str">
        <f>IFERROR(__xludf.DUMMYFUNCTION("""COMPUTED_VALUE"""),"JavaScript")</f>
        <v>JavaScript</v>
      </c>
      <c r="D3086" s="9" t="str">
        <f>IFERROR(__xludf.DUMMYFUNCTION("""COMPUTED_VALUE"""),"C#")</f>
        <v>C#</v>
      </c>
      <c r="E3086" s="9" t="str">
        <f>IFERROR(__xludf.DUMMYFUNCTION("""COMPUTED_VALUE"""),"C++")</f>
        <v>C++</v>
      </c>
      <c r="F3086" s="9" t="str">
        <f>IFERROR(__xludf.DUMMYFUNCTION("""COMPUTED_VALUE"""),"SQL")</f>
        <v>SQL</v>
      </c>
      <c r="G3086" s="9" t="str">
        <f>IFERROR(__xludf.DUMMYFUNCTION("""COMPUTED_VALUE"""),"HTML/CSS")</f>
        <v>HTML/CSS</v>
      </c>
      <c r="H3086" s="9" t="str">
        <f>IFERROR(__xludf.DUMMYFUNCTION("""COMPUTED_VALUE"""),"C++")</f>
        <v>C++</v>
      </c>
      <c r="I3086" s="9" t="str">
        <f>IFERROR(__xludf.DUMMYFUNCTION("""COMPUTED_VALUE"""),"Bash/Shell/PowerShell")</f>
        <v>Bash/Shell/PowerShell</v>
      </c>
      <c r="J3086" s="9" t="str">
        <f>IFERROR(__xludf.DUMMYFUNCTION("""COMPUTED_VALUE"""),"TypeScript")</f>
        <v>TypeScript</v>
      </c>
      <c r="K3086" s="9" t="str">
        <f>IFERROR(__xludf.DUMMYFUNCTION("""COMPUTED_VALUE"""),"Python")</f>
        <v>Python</v>
      </c>
      <c r="L3086" s="9" t="str">
        <f>IFERROR(__xludf.DUMMYFUNCTION("""COMPUTED_VALUE"""),"C")</f>
        <v>C</v>
      </c>
      <c r="M3086" s="9" t="s">
        <v>21</v>
      </c>
    </row>
    <row r="3087" ht="15.75" customHeight="1">
      <c r="A3087" s="7"/>
      <c r="B3087" s="7" t="str">
        <f>IFERROR(__xludf.DUMMYFUNCTION("""COMPUTED_VALUE"""),"Bash/Shell/PowerShell;Go;HTML/CSS;JavaScript;Python;Rust;SQL")</f>
        <v>Bash/Shell/PowerShell;Go;HTML/CSS;JavaScript;Python;Rust;SQL</v>
      </c>
      <c r="C3087" s="9" t="str">
        <f>IFERROR(__xludf.DUMMYFUNCTION("""COMPUTED_VALUE"""),"SQL")</f>
        <v>SQL</v>
      </c>
      <c r="D3087" s="9" t="str">
        <f>IFERROR(__xludf.DUMMYFUNCTION("""COMPUTED_VALUE"""),"HTML/CSS")</f>
        <v>HTML/CSS</v>
      </c>
      <c r="E3087" s="9" t="str">
        <f>IFERROR(__xludf.DUMMYFUNCTION("""COMPUTED_VALUE"""),"HTML/CSS")</f>
        <v>HTML/CSS</v>
      </c>
      <c r="F3087" s="9" t="str">
        <f>IFERROR(__xludf.DUMMYFUNCTION("""COMPUTED_VALUE"""),"TypeScript")</f>
        <v>TypeScript</v>
      </c>
      <c r="G3087" s="9" t="str">
        <f>IFERROR(__xludf.DUMMYFUNCTION("""COMPUTED_VALUE"""),"JavaScript")</f>
        <v>JavaScript</v>
      </c>
      <c r="H3087" s="9" t="str">
        <f>IFERROR(__xludf.DUMMYFUNCTION("""COMPUTED_VALUE"""),"Java")</f>
        <v>Java</v>
      </c>
      <c r="I3087" s="9" t="str">
        <f>IFERROR(__xludf.DUMMYFUNCTION("""COMPUTED_VALUE"""),"C#")</f>
        <v>C#</v>
      </c>
      <c r="J3087" s="9" t="str">
        <f>IFERROR(__xludf.DUMMYFUNCTION("""COMPUTED_VALUE"""),"HTML/CSS")</f>
        <v>HTML/CSS</v>
      </c>
      <c r="K3087" s="9" t="str">
        <f>IFERROR(__xludf.DUMMYFUNCTION("""COMPUTED_VALUE"""),"R")</f>
        <v>R</v>
      </c>
      <c r="L3087" s="9" t="str">
        <f>IFERROR(__xludf.DUMMYFUNCTION("""COMPUTED_VALUE"""),"C++")</f>
        <v>C++</v>
      </c>
      <c r="M3087" s="9" t="s">
        <v>27</v>
      </c>
    </row>
    <row r="3088" ht="15.75" customHeight="1">
      <c r="A3088" s="7"/>
      <c r="B3088" s="7" t="str">
        <f>IFERROR(__xludf.DUMMYFUNCTION("""COMPUTED_VALUE"""),"Python;R;SQL")</f>
        <v>Python;R;SQL</v>
      </c>
      <c r="C3088" s="9" t="str">
        <f>IFERROR(__xludf.DUMMYFUNCTION("""COMPUTED_VALUE"""),"Assembly")</f>
        <v>Assembly</v>
      </c>
      <c r="D3088" s="9" t="str">
        <f>IFERROR(__xludf.DUMMYFUNCTION("""COMPUTED_VALUE"""),"Java")</f>
        <v>Java</v>
      </c>
      <c r="E3088" s="9" t="str">
        <f>IFERROR(__xludf.DUMMYFUNCTION("""COMPUTED_VALUE"""),"Java")</f>
        <v>Java</v>
      </c>
      <c r="F3088" s="9" t="str">
        <f>IFERROR(__xludf.DUMMYFUNCTION("""COMPUTED_VALUE"""),"Bash/Shell/PowerShell")</f>
        <v>Bash/Shell/PowerShell</v>
      </c>
      <c r="G3088" s="9" t="str">
        <f>IFERROR(__xludf.DUMMYFUNCTION("""COMPUTED_VALUE"""),"SQL")</f>
        <v>SQL</v>
      </c>
      <c r="H3088" s="9" t="str">
        <f>IFERROR(__xludf.DUMMYFUNCTION("""COMPUTED_VALUE"""),"Other(s):")</f>
        <v>Other(s):</v>
      </c>
      <c r="I3088" s="9" t="str">
        <f>IFERROR(__xludf.DUMMYFUNCTION("""COMPUTED_VALUE"""),"HTML/CSS")</f>
        <v>HTML/CSS</v>
      </c>
      <c r="J3088" s="9" t="str">
        <f>IFERROR(__xludf.DUMMYFUNCTION("""COMPUTED_VALUE"""),"JavaScript")</f>
        <v>JavaScript</v>
      </c>
      <c r="K3088" s="9" t="str">
        <f>IFERROR(__xludf.DUMMYFUNCTION("""COMPUTED_VALUE"""),"SQL")</f>
        <v>SQL</v>
      </c>
      <c r="L3088" s="9" t="str">
        <f>IFERROR(__xludf.DUMMYFUNCTION("""COMPUTED_VALUE"""),"Go")</f>
        <v>Go</v>
      </c>
      <c r="M3088" s="9" t="s">
        <v>38</v>
      </c>
    </row>
    <row r="3089" ht="15.75" customHeight="1">
      <c r="A3089" s="7"/>
      <c r="B3089" s="7" t="str">
        <f>IFERROR(__xludf.DUMMYFUNCTION("""COMPUTED_VALUE"""),"Bash/Shell/PowerShell;HTML/CSS;JavaScript;PHP;Python;SQL")</f>
        <v>Bash/Shell/PowerShell;HTML/CSS;JavaScript;PHP;Python;SQL</v>
      </c>
      <c r="C3089" s="9" t="str">
        <f>IFERROR(__xludf.DUMMYFUNCTION("""COMPUTED_VALUE"""),"Bash/Shell/PowerShell")</f>
        <v>Bash/Shell/PowerShell</v>
      </c>
      <c r="D3089" s="9" t="str">
        <f>IFERROR(__xludf.DUMMYFUNCTION("""COMPUTED_VALUE"""),"JavaScript")</f>
        <v>JavaScript</v>
      </c>
      <c r="E3089" s="9" t="str">
        <f>IFERROR(__xludf.DUMMYFUNCTION("""COMPUTED_VALUE"""),"JavaScript")</f>
        <v>JavaScript</v>
      </c>
      <c r="F3089" s="9" t="str">
        <f>IFERROR(__xludf.DUMMYFUNCTION("""COMPUTED_VALUE"""),"C#")</f>
        <v>C#</v>
      </c>
      <c r="G3089" s="9" t="str">
        <f>IFERROR(__xludf.DUMMYFUNCTION("""COMPUTED_VALUE"""),"TypeScript")</f>
        <v>TypeScript</v>
      </c>
      <c r="H3089" s="9" t="str">
        <f>IFERROR(__xludf.DUMMYFUNCTION("""COMPUTED_VALUE"""),"R")</f>
        <v>R</v>
      </c>
      <c r="I3089" s="9" t="str">
        <f>IFERROR(__xludf.DUMMYFUNCTION("""COMPUTED_VALUE"""),"JavaScript")</f>
        <v>JavaScript</v>
      </c>
      <c r="J3089" s="9" t="str">
        <f>IFERROR(__xludf.DUMMYFUNCTION("""COMPUTED_VALUE"""),"HTML/CSS")</f>
        <v>HTML/CSS</v>
      </c>
      <c r="K3089" s="9" t="str">
        <f>IFERROR(__xludf.DUMMYFUNCTION("""COMPUTED_VALUE"""),"C#")</f>
        <v>C#</v>
      </c>
      <c r="L3089" s="9" t="str">
        <f>IFERROR(__xludf.DUMMYFUNCTION("""COMPUTED_VALUE"""),"Java")</f>
        <v>Java</v>
      </c>
      <c r="M3089" s="9" t="s">
        <v>30</v>
      </c>
    </row>
    <row r="3090" ht="15.75" customHeight="1">
      <c r="A3090" s="7"/>
      <c r="B3090" s="7" t="str">
        <f>IFERROR(__xludf.DUMMYFUNCTION("""COMPUTED_VALUE"""),"Bash/Shell/PowerShell;C++;HTML/CSS;Java;JavaScript;PHP;SQL")</f>
        <v>Bash/Shell/PowerShell;C++;HTML/CSS;Java;JavaScript;PHP;SQL</v>
      </c>
      <c r="C3090" s="9" t="str">
        <f>IFERROR(__xludf.DUMMYFUNCTION("""COMPUTED_VALUE"""),"C++")</f>
        <v>C++</v>
      </c>
      <c r="D3090" s="9" t="str">
        <f>IFERROR(__xludf.DUMMYFUNCTION("""COMPUTED_VALUE"""),"TypeScript")</f>
        <v>TypeScript</v>
      </c>
      <c r="E3090" s="9" t="str">
        <f>IFERROR(__xludf.DUMMYFUNCTION("""COMPUTED_VALUE"""),"Python")</f>
        <v>Python</v>
      </c>
      <c r="F3090" s="9" t="str">
        <f>IFERROR(__xludf.DUMMYFUNCTION("""COMPUTED_VALUE"""),"HTML/CSS")</f>
        <v>HTML/CSS</v>
      </c>
      <c r="G3090" s="9" t="str">
        <f>IFERROR(__xludf.DUMMYFUNCTION("""COMPUTED_VALUE"""),"HTML/CSS")</f>
        <v>HTML/CSS</v>
      </c>
      <c r="H3090" s="9" t="str">
        <f>IFERROR(__xludf.DUMMYFUNCTION("""COMPUTED_VALUE"""),"SQL")</f>
        <v>SQL</v>
      </c>
      <c r="I3090" s="9" t="str">
        <f>IFERROR(__xludf.DUMMYFUNCTION("""COMPUTED_VALUE"""),"Python")</f>
        <v>Python</v>
      </c>
      <c r="J3090" s="9" t="str">
        <f>IFERROR(__xludf.DUMMYFUNCTION("""COMPUTED_VALUE"""),"JavaScript")</f>
        <v>JavaScript</v>
      </c>
      <c r="K3090" s="9" t="str">
        <f>IFERROR(__xludf.DUMMYFUNCTION("""COMPUTED_VALUE"""),"HTML/CSS")</f>
        <v>HTML/CSS</v>
      </c>
      <c r="L3090" s="9" t="str">
        <f>IFERROR(__xludf.DUMMYFUNCTION("""COMPUTED_VALUE"""),"Python")</f>
        <v>Python</v>
      </c>
      <c r="M3090" s="9" t="s">
        <v>23</v>
      </c>
    </row>
    <row r="3091" ht="15.75" customHeight="1">
      <c r="A3091" s="7"/>
      <c r="B3091" s="7" t="str">
        <f>IFERROR(__xludf.DUMMYFUNCTION("""COMPUTED_VALUE"""),"HTML/CSS;Java;JavaScript;SQL")</f>
        <v>HTML/CSS;Java;JavaScript;SQL</v>
      </c>
      <c r="C3091" s="9" t="str">
        <f>IFERROR(__xludf.DUMMYFUNCTION("""COMPUTED_VALUE"""),"C#")</f>
        <v>C#</v>
      </c>
      <c r="D3091" s="9" t="str">
        <f>IFERROR(__xludf.DUMMYFUNCTION("""COMPUTED_VALUE"""),"WebAssembly")</f>
        <v>WebAssembly</v>
      </c>
      <c r="E3091" s="9" t="str">
        <f>IFERROR(__xludf.DUMMYFUNCTION("""COMPUTED_VALUE"""),"SQL")</f>
        <v>SQL</v>
      </c>
      <c r="F3091" s="9" t="str">
        <f>IFERROR(__xludf.DUMMYFUNCTION("""COMPUTED_VALUE"""),"JavaScript")</f>
        <v>JavaScript</v>
      </c>
      <c r="G3091" s="9" t="str">
        <f>IFERROR(__xludf.DUMMYFUNCTION("""COMPUTED_VALUE"""),"JavaScript")</f>
        <v>JavaScript</v>
      </c>
      <c r="H3091" s="9" t="str">
        <f>IFERROR(__xludf.DUMMYFUNCTION("""COMPUTED_VALUE"""),"Java")</f>
        <v>Java</v>
      </c>
      <c r="I3091" s="9" t="str">
        <f>IFERROR(__xludf.DUMMYFUNCTION("""COMPUTED_VALUE"""),"SQL")</f>
        <v>SQL</v>
      </c>
      <c r="J3091" s="9" t="str">
        <f>IFERROR(__xludf.DUMMYFUNCTION("""COMPUTED_VALUE"""),"Python")</f>
        <v>Python</v>
      </c>
      <c r="K3091" s="9" t="str">
        <f>IFERROR(__xludf.DUMMYFUNCTION("""COMPUTED_VALUE"""),"JavaScript")</f>
        <v>JavaScript</v>
      </c>
      <c r="L3091" s="9" t="str">
        <f>IFERROR(__xludf.DUMMYFUNCTION("""COMPUTED_VALUE"""),"Assembly")</f>
        <v>Assembly</v>
      </c>
      <c r="M3091" s="9" t="s">
        <v>26</v>
      </c>
    </row>
    <row r="3092" ht="15.75" customHeight="1">
      <c r="A3092" s="7"/>
      <c r="B3092" s="7" t="str">
        <f>IFERROR(__xludf.DUMMYFUNCTION("""COMPUTED_VALUE"""),"Bash/Shell/PowerShell;C;PHP")</f>
        <v>Bash/Shell/PowerShell;C;PHP</v>
      </c>
      <c r="C3092" s="9" t="str">
        <f>IFERROR(__xludf.DUMMYFUNCTION("""COMPUTED_VALUE"""),"Go")</f>
        <v>Go</v>
      </c>
      <c r="D3092" s="9" t="str">
        <f>IFERROR(__xludf.DUMMYFUNCTION("""COMPUTED_VALUE"""),"Other(s):")</f>
        <v>Other(s):</v>
      </c>
      <c r="E3092" s="9" t="str">
        <f>IFERROR(__xludf.DUMMYFUNCTION("""COMPUTED_VALUE"""),"Bash/Shell/PowerShell")</f>
        <v>Bash/Shell/PowerShell</v>
      </c>
      <c r="F3092" s="9" t="str">
        <f>IFERROR(__xludf.DUMMYFUNCTION("""COMPUTED_VALUE"""),"SQL")</f>
        <v>SQL</v>
      </c>
      <c r="G3092" s="9" t="str">
        <f>IFERROR(__xludf.DUMMYFUNCTION("""COMPUTED_VALUE"""),"Python")</f>
        <v>Python</v>
      </c>
      <c r="H3092" s="9" t="str">
        <f>IFERROR(__xludf.DUMMYFUNCTION("""COMPUTED_VALUE"""),"JavaScript")</f>
        <v>JavaScript</v>
      </c>
      <c r="I3092" s="9" t="str">
        <f>IFERROR(__xludf.DUMMYFUNCTION("""COMPUTED_VALUE"""),"TypeScript")</f>
        <v>TypeScript</v>
      </c>
      <c r="J3092" s="9" t="str">
        <f>IFERROR(__xludf.DUMMYFUNCTION("""COMPUTED_VALUE"""),"SQL")</f>
        <v>SQL</v>
      </c>
      <c r="K3092" s="9" t="str">
        <f>IFERROR(__xludf.DUMMYFUNCTION("""COMPUTED_VALUE"""),"SQL")</f>
        <v>SQL</v>
      </c>
      <c r="L3092" s="9" t="str">
        <f>IFERROR(__xludf.DUMMYFUNCTION("""COMPUTED_VALUE"""),"Bash/Shell/PowerShell")</f>
        <v>Bash/Shell/PowerShell</v>
      </c>
      <c r="M3092" s="9" t="s">
        <v>36</v>
      </c>
    </row>
    <row r="3093" ht="15.75" customHeight="1">
      <c r="A3093" s="7"/>
      <c r="B3093" s="7" t="str">
        <f>IFERROR(__xludf.DUMMYFUNCTION("""COMPUTED_VALUE"""),"Bash/Shell/PowerShell;C;C++;Java;Python;Scala")</f>
        <v>Bash/Shell/PowerShell;C;C++;Java;Python;Scala</v>
      </c>
      <c r="C3093" s="9" t="str">
        <f>IFERROR(__xludf.DUMMYFUNCTION("""COMPUTED_VALUE"""),"HTML/CSS")</f>
        <v>HTML/CSS</v>
      </c>
      <c r="D3093" s="9" t="str">
        <f>IFERROR(__xludf.DUMMYFUNCTION("""COMPUTED_VALUE"""),"Bash/Shell/PowerShell")</f>
        <v>Bash/Shell/PowerShell</v>
      </c>
      <c r="E3093" s="9" t="str">
        <f>IFERROR(__xludf.DUMMYFUNCTION("""COMPUTED_VALUE"""),"Go")</f>
        <v>Go</v>
      </c>
      <c r="F3093" s="9" t="str">
        <f>IFERROR(__xludf.DUMMYFUNCTION("""COMPUTED_VALUE"""),"Java")</f>
        <v>Java</v>
      </c>
      <c r="G3093" s="9" t="str">
        <f>IFERROR(__xludf.DUMMYFUNCTION("""COMPUTED_VALUE"""),"TypeScript")</f>
        <v>TypeScript</v>
      </c>
      <c r="H3093" s="9" t="str">
        <f>IFERROR(__xludf.DUMMYFUNCTION("""COMPUTED_VALUE"""),"Python")</f>
        <v>Python</v>
      </c>
      <c r="I3093" s="9" t="str">
        <f>IFERROR(__xludf.DUMMYFUNCTION("""COMPUTED_VALUE"""),"HTML/CSS")</f>
        <v>HTML/CSS</v>
      </c>
      <c r="J3093" s="9" t="str">
        <f>IFERROR(__xludf.DUMMYFUNCTION("""COMPUTED_VALUE"""),"C")</f>
        <v>C</v>
      </c>
      <c r="K3093" s="9" t="str">
        <f>IFERROR(__xludf.DUMMYFUNCTION("""COMPUTED_VALUE"""),"Dart")</f>
        <v>Dart</v>
      </c>
      <c r="L3093" s="9" t="str">
        <f>IFERROR(__xludf.DUMMYFUNCTION("""COMPUTED_VALUE"""),"C")</f>
        <v>C</v>
      </c>
      <c r="M3093" s="9" t="s">
        <v>24</v>
      </c>
    </row>
    <row r="3094" ht="15.75" customHeight="1">
      <c r="A3094" s="7"/>
      <c r="B3094" s="7" t="str">
        <f>IFERROR(__xludf.DUMMYFUNCTION("""COMPUTED_VALUE"""),"HTML/CSS;Java;JavaScript")</f>
        <v>HTML/CSS;Java;JavaScript</v>
      </c>
      <c r="C3094" s="9" t="str">
        <f>IFERROR(__xludf.DUMMYFUNCTION("""COMPUTED_VALUE"""),"JavaScript")</f>
        <v>JavaScript</v>
      </c>
      <c r="D3094" s="9" t="str">
        <f>IFERROR(__xludf.DUMMYFUNCTION("""COMPUTED_VALUE"""),"HTML/CSS")</f>
        <v>HTML/CSS</v>
      </c>
      <c r="E3094" s="9" t="str">
        <f>IFERROR(__xludf.DUMMYFUNCTION("""COMPUTED_VALUE"""),"HTML/CSS")</f>
        <v>HTML/CSS</v>
      </c>
      <c r="F3094" s="9" t="str">
        <f>IFERROR(__xludf.DUMMYFUNCTION("""COMPUTED_VALUE"""),"Kotlin")</f>
        <v>Kotlin</v>
      </c>
      <c r="G3094" s="9" t="str">
        <f>IFERROR(__xludf.DUMMYFUNCTION("""COMPUTED_VALUE"""),"Bash/Shell/PowerShell")</f>
        <v>Bash/Shell/PowerShell</v>
      </c>
      <c r="H3094" s="9" t="str">
        <f>IFERROR(__xludf.DUMMYFUNCTION("""COMPUTED_VALUE"""),"Rust")</f>
        <v>Rust</v>
      </c>
      <c r="I3094" s="9" t="str">
        <f>IFERROR(__xludf.DUMMYFUNCTION("""COMPUTED_VALUE"""),"JavaScript")</f>
        <v>JavaScript</v>
      </c>
      <c r="J3094" s="9" t="str">
        <f>IFERROR(__xludf.DUMMYFUNCTION("""COMPUTED_VALUE"""),"C++")</f>
        <v>C++</v>
      </c>
      <c r="K3094" s="9" t="str">
        <f>IFERROR(__xludf.DUMMYFUNCTION("""COMPUTED_VALUE"""),"JavaScript")</f>
        <v>JavaScript</v>
      </c>
      <c r="L3094" s="9" t="str">
        <f>IFERROR(__xludf.DUMMYFUNCTION("""COMPUTED_VALUE"""),"JavaScript")</f>
        <v>JavaScript</v>
      </c>
      <c r="M3094" s="9" t="s">
        <v>21</v>
      </c>
    </row>
    <row r="3095" ht="15.75" customHeight="1">
      <c r="A3095" s="7"/>
      <c r="B3095" s="7" t="str">
        <f>IFERROR(__xludf.DUMMYFUNCTION("""COMPUTED_VALUE"""),"HTML/CSS;Java;JavaScript;PHP;Swift")</f>
        <v>HTML/CSS;Java;JavaScript;PHP;Swift</v>
      </c>
      <c r="C3095" s="9" t="str">
        <f>IFERROR(__xludf.DUMMYFUNCTION("""COMPUTED_VALUE"""),"Objective-C")</f>
        <v>Objective-C</v>
      </c>
      <c r="D3095" s="9" t="str">
        <f>IFERROR(__xludf.DUMMYFUNCTION("""COMPUTED_VALUE"""),"Java")</f>
        <v>Java</v>
      </c>
      <c r="E3095" s="9" t="str">
        <f>IFERROR(__xludf.DUMMYFUNCTION("""COMPUTED_VALUE"""),"JavaScript")</f>
        <v>JavaScript</v>
      </c>
      <c r="F3095" s="9" t="str">
        <f>IFERROR(__xludf.DUMMYFUNCTION("""COMPUTED_VALUE"""),"Python")</f>
        <v>Python</v>
      </c>
      <c r="G3095" s="9" t="str">
        <f>IFERROR(__xludf.DUMMYFUNCTION("""COMPUTED_VALUE"""),"C")</f>
        <v>C</v>
      </c>
      <c r="H3095" s="9" t="str">
        <f>IFERROR(__xludf.DUMMYFUNCTION("""COMPUTED_VALUE"""),"SQL")</f>
        <v>SQL</v>
      </c>
      <c r="I3095" s="9" t="str">
        <f>IFERROR(__xludf.DUMMYFUNCTION("""COMPUTED_VALUE"""),"PHP")</f>
        <v>PHP</v>
      </c>
      <c r="J3095" s="9" t="str">
        <f>IFERROR(__xludf.DUMMYFUNCTION("""COMPUTED_VALUE"""),"C#")</f>
        <v>C#</v>
      </c>
      <c r="K3095" s="9" t="str">
        <f>IFERROR(__xludf.DUMMYFUNCTION("""COMPUTED_VALUE"""),"TypeScript")</f>
        <v>TypeScript</v>
      </c>
      <c r="L3095" s="9" t="str">
        <f>IFERROR(__xludf.DUMMYFUNCTION("""COMPUTED_VALUE"""),"Python")</f>
        <v>Python</v>
      </c>
      <c r="M3095" s="9" t="s">
        <v>41</v>
      </c>
    </row>
    <row r="3096" ht="15.75" customHeight="1">
      <c r="A3096" s="7"/>
      <c r="B3096" s="7" t="str">
        <f>IFERROR(__xludf.DUMMYFUNCTION("""COMPUTED_VALUE"""),"HTML/CSS;Java;JavaScript;Python")</f>
        <v>HTML/CSS;Java;JavaScript;Python</v>
      </c>
      <c r="C3096" s="9" t="str">
        <f>IFERROR(__xludf.DUMMYFUNCTION("""COMPUTED_VALUE"""),"PHP")</f>
        <v>PHP</v>
      </c>
      <c r="D3096" s="9" t="str">
        <f>IFERROR(__xludf.DUMMYFUNCTION("""COMPUTED_VALUE"""),"JavaScript")</f>
        <v>JavaScript</v>
      </c>
      <c r="E3096" s="9" t="str">
        <f>IFERROR(__xludf.DUMMYFUNCTION("""COMPUTED_VALUE"""),"Python")</f>
        <v>Python</v>
      </c>
      <c r="F3096" s="9" t="str">
        <f>IFERROR(__xludf.DUMMYFUNCTION("""COMPUTED_VALUE"""),"Ruby")</f>
        <v>Ruby</v>
      </c>
      <c r="G3096" s="9" t="str">
        <f>IFERROR(__xludf.DUMMYFUNCTION("""COMPUTED_VALUE"""),"C++")</f>
        <v>C++</v>
      </c>
      <c r="H3096" s="9" t="str">
        <f>IFERROR(__xludf.DUMMYFUNCTION("""COMPUTED_VALUE"""),"JavaScript")</f>
        <v>JavaScript</v>
      </c>
      <c r="I3096" s="9" t="str">
        <f>IFERROR(__xludf.DUMMYFUNCTION("""COMPUTED_VALUE"""),"SQL")</f>
        <v>SQL</v>
      </c>
      <c r="J3096" s="9" t="str">
        <f>IFERROR(__xludf.DUMMYFUNCTION("""COMPUTED_VALUE"""),"HTML/CSS")</f>
        <v>HTML/CSS</v>
      </c>
      <c r="K3096" s="9" t="str">
        <f>IFERROR(__xludf.DUMMYFUNCTION("""COMPUTED_VALUE"""),"Bash/Shell/PowerShell")</f>
        <v>Bash/Shell/PowerShell</v>
      </c>
      <c r="L3096" s="9" t="str">
        <f>IFERROR(__xludf.DUMMYFUNCTION("""COMPUTED_VALUE"""),"Python")</f>
        <v>Python</v>
      </c>
      <c r="M3096" s="9" t="s">
        <v>37</v>
      </c>
    </row>
    <row r="3097" ht="15.75" customHeight="1">
      <c r="A3097" s="7"/>
      <c r="B3097" s="7" t="str">
        <f>IFERROR(__xludf.DUMMYFUNCTION("""COMPUTED_VALUE"""),"Python;SQL")</f>
        <v>Python;SQL</v>
      </c>
      <c r="C3097" s="9" t="str">
        <f>IFERROR(__xludf.DUMMYFUNCTION("""COMPUTED_VALUE"""),"Python")</f>
        <v>Python</v>
      </c>
      <c r="D3097" s="9" t="str">
        <f>IFERROR(__xludf.DUMMYFUNCTION("""COMPUTED_VALUE"""),"Python")</f>
        <v>Python</v>
      </c>
      <c r="E3097" s="9" t="str">
        <f>IFERROR(__xludf.DUMMYFUNCTION("""COMPUTED_VALUE"""),"SQL")</f>
        <v>SQL</v>
      </c>
      <c r="F3097" s="9" t="str">
        <f>IFERROR(__xludf.DUMMYFUNCTION("""COMPUTED_VALUE"""),"Assembly")</f>
        <v>Assembly</v>
      </c>
      <c r="G3097" s="9" t="str">
        <f>IFERROR(__xludf.DUMMYFUNCTION("""COMPUTED_VALUE"""),"Java")</f>
        <v>Java</v>
      </c>
      <c r="H3097" s="9" t="str">
        <f>IFERROR(__xludf.DUMMYFUNCTION("""COMPUTED_VALUE"""),"TypeScript")</f>
        <v>TypeScript</v>
      </c>
      <c r="I3097" s="9" t="str">
        <f>IFERROR(__xludf.DUMMYFUNCTION("""COMPUTED_VALUE"""),"Assembly")</f>
        <v>Assembly</v>
      </c>
      <c r="J3097" s="9" t="str">
        <f>IFERROR(__xludf.DUMMYFUNCTION("""COMPUTED_VALUE"""),"JavaScript")</f>
        <v>JavaScript</v>
      </c>
      <c r="K3097" s="9" t="str">
        <f>IFERROR(__xludf.DUMMYFUNCTION("""COMPUTED_VALUE"""),"C++")</f>
        <v>C++</v>
      </c>
      <c r="L3097" s="9" t="str">
        <f>IFERROR(__xludf.DUMMYFUNCTION("""COMPUTED_VALUE"""),"C#")</f>
        <v>C#</v>
      </c>
      <c r="M3097" s="9" t="s">
        <v>22</v>
      </c>
    </row>
    <row r="3098" ht="15.75" customHeight="1">
      <c r="A3098" s="7"/>
      <c r="B3098" s="7" t="str">
        <f>IFERROR(__xludf.DUMMYFUNCTION("""COMPUTED_VALUE"""),"C;C++;HTML/CSS;Java;JavaScript;PHP;Python;Ruby;SQL")</f>
        <v>C;C++;HTML/CSS;Java;JavaScript;PHP;Python;Ruby;SQL</v>
      </c>
      <c r="C3098" s="9" t="str">
        <f>IFERROR(__xludf.DUMMYFUNCTION("""COMPUTED_VALUE"""),"Ruby")</f>
        <v>Ruby</v>
      </c>
      <c r="D3098" s="9" t="str">
        <f>IFERROR(__xludf.DUMMYFUNCTION("""COMPUTED_VALUE"""),"SQL")</f>
        <v>SQL</v>
      </c>
      <c r="E3098" s="9" t="str">
        <f>IFERROR(__xludf.DUMMYFUNCTION("""COMPUTED_VALUE"""),"C")</f>
        <v>C</v>
      </c>
      <c r="F3098" s="9" t="str">
        <f>IFERROR(__xludf.DUMMYFUNCTION("""COMPUTED_VALUE"""),"Bash/Shell/PowerShell")</f>
        <v>Bash/Shell/PowerShell</v>
      </c>
      <c r="G3098" s="9" t="str">
        <f>IFERROR(__xludf.DUMMYFUNCTION("""COMPUTED_VALUE"""),"Kotlin")</f>
        <v>Kotlin</v>
      </c>
      <c r="H3098" s="9" t="str">
        <f>IFERROR(__xludf.DUMMYFUNCTION("""COMPUTED_VALUE"""),"C")</f>
        <v>C</v>
      </c>
      <c r="I3098" s="9" t="str">
        <f>IFERROR(__xludf.DUMMYFUNCTION("""COMPUTED_VALUE"""),"C")</f>
        <v>C</v>
      </c>
      <c r="J3098" s="9" t="str">
        <f>IFERROR(__xludf.DUMMYFUNCTION("""COMPUTED_VALUE"""),"PHP")</f>
        <v>PHP</v>
      </c>
      <c r="K3098" s="9" t="str">
        <f>IFERROR(__xludf.DUMMYFUNCTION("""COMPUTED_VALUE"""),"HTML/CSS")</f>
        <v>HTML/CSS</v>
      </c>
      <c r="L3098" s="9" t="str">
        <f>IFERROR(__xludf.DUMMYFUNCTION("""COMPUTED_VALUE"""),"HTML/CSS")</f>
        <v>HTML/CSS</v>
      </c>
      <c r="M3098" s="9" t="s">
        <v>31</v>
      </c>
    </row>
    <row r="3099" ht="15.75" customHeight="1">
      <c r="A3099" s="7"/>
      <c r="B3099" s="7" t="str">
        <f>IFERROR(__xludf.DUMMYFUNCTION("""COMPUTED_VALUE"""),"Bash/Shell/PowerShell;C#;HTML/CSS;JavaScript;Python;SQL;TypeScript")</f>
        <v>Bash/Shell/PowerShell;C#;HTML/CSS;JavaScript;Python;SQL;TypeScript</v>
      </c>
      <c r="C3099" s="9" t="str">
        <f>IFERROR(__xludf.DUMMYFUNCTION("""COMPUTED_VALUE"""),"SQL")</f>
        <v>SQL</v>
      </c>
      <c r="D3099" s="9" t="str">
        <f>IFERROR(__xludf.DUMMYFUNCTION("""COMPUTED_VALUE"""),"Bash/Shell/PowerShell")</f>
        <v>Bash/Shell/PowerShell</v>
      </c>
      <c r="E3099" s="9" t="str">
        <f>IFERROR(__xludf.DUMMYFUNCTION("""COMPUTED_VALUE"""),"C#")</f>
        <v>C#</v>
      </c>
      <c r="F3099" s="9" t="str">
        <f>IFERROR(__xludf.DUMMYFUNCTION("""COMPUTED_VALUE"""),"C#")</f>
        <v>C#</v>
      </c>
      <c r="G3099" s="9" t="str">
        <f>IFERROR(__xludf.DUMMYFUNCTION("""COMPUTED_VALUE"""),"Bash/Shell/PowerShell")</f>
        <v>Bash/Shell/PowerShell</v>
      </c>
      <c r="H3099" s="9" t="str">
        <f>IFERROR(__xludf.DUMMYFUNCTION("""COMPUTED_VALUE"""),"C++")</f>
        <v>C++</v>
      </c>
      <c r="I3099" s="9" t="str">
        <f>IFERROR(__xludf.DUMMYFUNCTION("""COMPUTED_VALUE"""),"C++")</f>
        <v>C++</v>
      </c>
      <c r="J3099" s="9" t="str">
        <f>IFERROR(__xludf.DUMMYFUNCTION("""COMPUTED_VALUE"""),"R")</f>
        <v>R</v>
      </c>
      <c r="K3099" s="9" t="str">
        <f>IFERROR(__xludf.DUMMYFUNCTION("""COMPUTED_VALUE"""),"JavaScript")</f>
        <v>JavaScript</v>
      </c>
      <c r="L3099" s="9" t="str">
        <f>IFERROR(__xludf.DUMMYFUNCTION("""COMPUTED_VALUE"""),"JavaScript")</f>
        <v>JavaScript</v>
      </c>
      <c r="M3099" s="9" t="s">
        <v>27</v>
      </c>
    </row>
    <row r="3100" ht="15.75" customHeight="1">
      <c r="A3100" s="7"/>
      <c r="B3100" s="7" t="str">
        <f>IFERROR(__xludf.DUMMYFUNCTION("""COMPUTED_VALUE"""),"HTML/CSS;JavaScript;Ruby")</f>
        <v>HTML/CSS;JavaScript;Ruby</v>
      </c>
      <c r="C3100" s="9" t="str">
        <f>IFERROR(__xludf.DUMMYFUNCTION("""COMPUTED_VALUE"""),"Swift")</f>
        <v>Swift</v>
      </c>
      <c r="D3100" s="9" t="str">
        <f>IFERROR(__xludf.DUMMYFUNCTION("""COMPUTED_VALUE"""),"C++")</f>
        <v>C++</v>
      </c>
      <c r="E3100" s="9" t="str">
        <f>IFERROR(__xludf.DUMMYFUNCTION("""COMPUTED_VALUE"""),"Go")</f>
        <v>Go</v>
      </c>
      <c r="F3100" s="9" t="str">
        <f>IFERROR(__xludf.DUMMYFUNCTION("""COMPUTED_VALUE"""),"HTML/CSS")</f>
        <v>HTML/CSS</v>
      </c>
      <c r="G3100" s="9" t="str">
        <f>IFERROR(__xludf.DUMMYFUNCTION("""COMPUTED_VALUE"""),"Go")</f>
        <v>Go</v>
      </c>
      <c r="H3100" s="9" t="str">
        <f>IFERROR(__xludf.DUMMYFUNCTION("""COMPUTED_VALUE"""),"Java")</f>
        <v>Java</v>
      </c>
      <c r="I3100" s="9" t="str">
        <f>IFERROR(__xludf.DUMMYFUNCTION("""COMPUTED_VALUE"""),"C#")</f>
        <v>C#</v>
      </c>
      <c r="J3100" s="9" t="str">
        <f>IFERROR(__xludf.DUMMYFUNCTION("""COMPUTED_VALUE"""),"SQL")</f>
        <v>SQL</v>
      </c>
      <c r="K3100" s="9" t="str">
        <f>IFERROR(__xludf.DUMMYFUNCTION("""COMPUTED_VALUE"""),"Ruby")</f>
        <v>Ruby</v>
      </c>
      <c r="L3100" s="9" t="str">
        <f>IFERROR(__xludf.DUMMYFUNCTION("""COMPUTED_VALUE"""),"SQL")</f>
        <v>SQL</v>
      </c>
      <c r="M3100" s="9" t="s">
        <v>40</v>
      </c>
    </row>
    <row r="3101" ht="15.75" customHeight="1">
      <c r="A3101" s="7"/>
      <c r="B3101" s="7" t="str">
        <f>IFERROR(__xludf.DUMMYFUNCTION("""COMPUTED_VALUE"""),"Bash/Shell/PowerShell;C++;Python;Other(s):")</f>
        <v>Bash/Shell/PowerShell;C++;Python;Other(s):</v>
      </c>
      <c r="C3101" s="9" t="str">
        <f>IFERROR(__xludf.DUMMYFUNCTION("""COMPUTED_VALUE"""),"Bash/Shell/PowerShell")</f>
        <v>Bash/Shell/PowerShell</v>
      </c>
      <c r="D3101" s="9" t="str">
        <f>IFERROR(__xludf.DUMMYFUNCTION("""COMPUTED_VALUE"""),"C#")</f>
        <v>C#</v>
      </c>
      <c r="E3101" s="9" t="str">
        <f>IFERROR(__xludf.DUMMYFUNCTION("""COMPUTED_VALUE"""),"HTML/CSS")</f>
        <v>HTML/CSS</v>
      </c>
      <c r="F3101" s="9" t="str">
        <f>IFERROR(__xludf.DUMMYFUNCTION("""COMPUTED_VALUE"""),"JavaScript")</f>
        <v>JavaScript</v>
      </c>
      <c r="G3101" s="9" t="str">
        <f>IFERROR(__xludf.DUMMYFUNCTION("""COMPUTED_VALUE"""),"HTML/CSS")</f>
        <v>HTML/CSS</v>
      </c>
      <c r="H3101" s="9" t="str">
        <f>IFERROR(__xludf.DUMMYFUNCTION("""COMPUTED_VALUE"""),"Python")</f>
        <v>Python</v>
      </c>
      <c r="I3101" s="9" t="str">
        <f>IFERROR(__xludf.DUMMYFUNCTION("""COMPUTED_VALUE"""),"Java")</f>
        <v>Java</v>
      </c>
      <c r="J3101" s="9" t="str">
        <f>IFERROR(__xludf.DUMMYFUNCTION("""COMPUTED_VALUE"""),"Go")</f>
        <v>Go</v>
      </c>
      <c r="K3101" s="9" t="str">
        <f>IFERROR(__xludf.DUMMYFUNCTION("""COMPUTED_VALUE"""),"SQL")</f>
        <v>SQL</v>
      </c>
      <c r="L3101" s="9" t="str">
        <f>IFERROR(__xludf.DUMMYFUNCTION("""COMPUTED_VALUE"""),"TypeScript")</f>
        <v>TypeScript</v>
      </c>
      <c r="M3101" s="9" t="s">
        <v>30</v>
      </c>
    </row>
    <row r="3102" ht="15.75" customHeight="1">
      <c r="A3102" s="7"/>
      <c r="B3102" s="7" t="str">
        <f>IFERROR(__xludf.DUMMYFUNCTION("""COMPUTED_VALUE"""),"C#;SQL;VBA;Other(s):")</f>
        <v>C#;SQL;VBA;Other(s):</v>
      </c>
      <c r="C3102" s="9" t="str">
        <f>IFERROR(__xludf.DUMMYFUNCTION("""COMPUTED_VALUE"""),"JavaScript")</f>
        <v>JavaScript</v>
      </c>
      <c r="D3102" s="9" t="str">
        <f>IFERROR(__xludf.DUMMYFUNCTION("""COMPUTED_VALUE"""),"JavaScript")</f>
        <v>JavaScript</v>
      </c>
      <c r="E3102" s="9" t="str">
        <f>IFERROR(__xludf.DUMMYFUNCTION("""COMPUTED_VALUE"""),"JavaScript")</f>
        <v>JavaScript</v>
      </c>
      <c r="F3102" s="9" t="str">
        <f>IFERROR(__xludf.DUMMYFUNCTION("""COMPUTED_VALUE"""),"PHP")</f>
        <v>PHP</v>
      </c>
      <c r="G3102" s="9" t="str">
        <f>IFERROR(__xludf.DUMMYFUNCTION("""COMPUTED_VALUE"""),"JavaScript")</f>
        <v>JavaScript</v>
      </c>
      <c r="H3102" s="9" t="str">
        <f>IFERROR(__xludf.DUMMYFUNCTION("""COMPUTED_VALUE"""),"Bash/Shell/PowerShell")</f>
        <v>Bash/Shell/PowerShell</v>
      </c>
      <c r="I3102" s="9" t="str">
        <f>IFERROR(__xludf.DUMMYFUNCTION("""COMPUTED_VALUE"""),"Python")</f>
        <v>Python</v>
      </c>
      <c r="J3102" s="9" t="str">
        <f>IFERROR(__xludf.DUMMYFUNCTION("""COMPUTED_VALUE"""),"Bash/Shell/PowerShell")</f>
        <v>Bash/Shell/PowerShell</v>
      </c>
      <c r="K3102" s="9" t="str">
        <f>IFERROR(__xludf.DUMMYFUNCTION("""COMPUTED_VALUE"""),"TypeScript")</f>
        <v>TypeScript</v>
      </c>
      <c r="L3102" s="9" t="str">
        <f>IFERROR(__xludf.DUMMYFUNCTION("""COMPUTED_VALUE"""),"Java")</f>
        <v>Java</v>
      </c>
      <c r="M3102" s="9" t="s">
        <v>21</v>
      </c>
    </row>
    <row r="3103" ht="15.75" customHeight="1">
      <c r="A3103" s="7"/>
      <c r="B3103" s="7" t="str">
        <f>IFERROR(__xludf.DUMMYFUNCTION("""COMPUTED_VALUE"""),"C;C++;HTML/CSS;Java")</f>
        <v>C;C++;HTML/CSS;Java</v>
      </c>
      <c r="C3103" s="9" t="str">
        <f>IFERROR(__xludf.DUMMYFUNCTION("""COMPUTED_VALUE"""),"SQL")</f>
        <v>SQL</v>
      </c>
      <c r="D3103" s="9" t="str">
        <f>IFERROR(__xludf.DUMMYFUNCTION("""COMPUTED_VALUE"""),"Objective-C")</f>
        <v>Objective-C</v>
      </c>
      <c r="E3103" s="9" t="str">
        <f>IFERROR(__xludf.DUMMYFUNCTION("""COMPUTED_VALUE"""),"PHP")</f>
        <v>PHP</v>
      </c>
      <c r="F3103" s="9" t="str">
        <f>IFERROR(__xludf.DUMMYFUNCTION("""COMPUTED_VALUE"""),"Python")</f>
        <v>Python</v>
      </c>
      <c r="G3103" s="9" t="str">
        <f>IFERROR(__xludf.DUMMYFUNCTION("""COMPUTED_VALUE"""),"PHP")</f>
        <v>PHP</v>
      </c>
      <c r="H3103" s="9" t="str">
        <f>IFERROR(__xludf.DUMMYFUNCTION("""COMPUTED_VALUE"""),"Go")</f>
        <v>Go</v>
      </c>
      <c r="I3103" s="9" t="str">
        <f>IFERROR(__xludf.DUMMYFUNCTION("""COMPUTED_VALUE"""),"SQL")</f>
        <v>SQL</v>
      </c>
      <c r="J3103" s="9" t="str">
        <f>IFERROR(__xludf.DUMMYFUNCTION("""COMPUTED_VALUE"""),"C++")</f>
        <v>C++</v>
      </c>
      <c r="K3103" s="9" t="str">
        <f>IFERROR(__xludf.DUMMYFUNCTION("""COMPUTED_VALUE"""),"Assembly")</f>
        <v>Assembly</v>
      </c>
      <c r="L3103" s="9" t="str">
        <f>IFERROR(__xludf.DUMMYFUNCTION("""COMPUTED_VALUE"""),"Objective-C")</f>
        <v>Objective-C</v>
      </c>
      <c r="M3103" s="9" t="s">
        <v>27</v>
      </c>
    </row>
    <row r="3104" ht="15.75" customHeight="1">
      <c r="A3104" s="7"/>
      <c r="B3104" s="7" t="str">
        <f>IFERROR(__xludf.DUMMYFUNCTION("""COMPUTED_VALUE"""),"C;C++;HTML/CSS;JavaScript;Other(s):")</f>
        <v>C;C++;HTML/CSS;JavaScript;Other(s):</v>
      </c>
      <c r="C3104" s="9" t="str">
        <f>IFERROR(__xludf.DUMMYFUNCTION("""COMPUTED_VALUE"""),"TypeScript")</f>
        <v>TypeScript</v>
      </c>
      <c r="D3104" s="9" t="str">
        <f>IFERROR(__xludf.DUMMYFUNCTION("""COMPUTED_VALUE"""),"Python")</f>
        <v>Python</v>
      </c>
      <c r="E3104" s="9" t="str">
        <f>IFERROR(__xludf.DUMMYFUNCTION("""COMPUTED_VALUE"""),"Python")</f>
        <v>Python</v>
      </c>
      <c r="F3104" s="9" t="str">
        <f>IFERROR(__xludf.DUMMYFUNCTION("""COMPUTED_VALUE"""),"SQL")</f>
        <v>SQL</v>
      </c>
      <c r="G3104" s="9" t="str">
        <f>IFERROR(__xludf.DUMMYFUNCTION("""COMPUTED_VALUE"""),"Ruby")</f>
        <v>Ruby</v>
      </c>
      <c r="H3104" s="9" t="str">
        <f>IFERROR(__xludf.DUMMYFUNCTION("""COMPUTED_VALUE"""),"HTML/CSS")</f>
        <v>HTML/CSS</v>
      </c>
      <c r="I3104" s="9" t="str">
        <f>IFERROR(__xludf.DUMMYFUNCTION("""COMPUTED_VALUE"""),"HTML/CSS")</f>
        <v>HTML/CSS</v>
      </c>
      <c r="J3104" s="9" t="str">
        <f>IFERROR(__xludf.DUMMYFUNCTION("""COMPUTED_VALUE"""),"Bash/Shell/PowerShell")</f>
        <v>Bash/Shell/PowerShell</v>
      </c>
      <c r="K3104" s="9" t="str">
        <f>IFERROR(__xludf.DUMMYFUNCTION("""COMPUTED_VALUE"""),"Bash/Shell/PowerShell")</f>
        <v>Bash/Shell/PowerShell</v>
      </c>
      <c r="L3104" s="9" t="str">
        <f>IFERROR(__xludf.DUMMYFUNCTION("""COMPUTED_VALUE"""),"Swift")</f>
        <v>Swift</v>
      </c>
      <c r="M3104" s="9" t="s">
        <v>33</v>
      </c>
    </row>
    <row r="3105" ht="15.75" customHeight="1">
      <c r="A3105" s="7"/>
      <c r="B3105" s="7" t="str">
        <f>IFERROR(__xludf.DUMMYFUNCTION("""COMPUTED_VALUE"""),"Bash/Shell/PowerShell;C#;HTML/CSS;JavaScript;SQL")</f>
        <v>Bash/Shell/PowerShell;C#;HTML/CSS;JavaScript;SQL</v>
      </c>
      <c r="C3105" s="9" t="str">
        <f>IFERROR(__xludf.DUMMYFUNCTION("""COMPUTED_VALUE"""),"Assembly")</f>
        <v>Assembly</v>
      </c>
      <c r="D3105" s="9" t="str">
        <f>IFERROR(__xludf.DUMMYFUNCTION("""COMPUTED_VALUE"""),"Swift")</f>
        <v>Swift</v>
      </c>
      <c r="E3105" s="9" t="str">
        <f>IFERROR(__xludf.DUMMYFUNCTION("""COMPUTED_VALUE"""),"SQL")</f>
        <v>SQL</v>
      </c>
      <c r="F3105" s="9" t="str">
        <f>IFERROR(__xludf.DUMMYFUNCTION("""COMPUTED_VALUE"""),"Bash/Shell/PowerShell")</f>
        <v>Bash/Shell/PowerShell</v>
      </c>
      <c r="G3105" s="9" t="str">
        <f>IFERROR(__xludf.DUMMYFUNCTION("""COMPUTED_VALUE"""),"SQL")</f>
        <v>SQL</v>
      </c>
      <c r="H3105" s="9" t="str">
        <f>IFERROR(__xludf.DUMMYFUNCTION("""COMPUTED_VALUE"""),"Java")</f>
        <v>Java</v>
      </c>
      <c r="I3105" s="9" t="str">
        <f>IFERROR(__xludf.DUMMYFUNCTION("""COMPUTED_VALUE"""),"JavaScript")</f>
        <v>JavaScript</v>
      </c>
      <c r="J3105" s="9" t="str">
        <f>IFERROR(__xludf.DUMMYFUNCTION("""COMPUTED_VALUE"""),"C")</f>
        <v>C</v>
      </c>
      <c r="K3105" s="9" t="str">
        <f>IFERROR(__xludf.DUMMYFUNCTION("""COMPUTED_VALUE"""),"C")</f>
        <v>C</v>
      </c>
      <c r="L3105" s="9" t="str">
        <f>IFERROR(__xludf.DUMMYFUNCTION("""COMPUTED_VALUE"""),"Bash/Shell/PowerShell")</f>
        <v>Bash/Shell/PowerShell</v>
      </c>
      <c r="M3105" s="9" t="s">
        <v>38</v>
      </c>
    </row>
    <row r="3106" ht="15.75" customHeight="1">
      <c r="A3106" s="7"/>
      <c r="B3106" s="7" t="str">
        <f>IFERROR(__xludf.DUMMYFUNCTION("""COMPUTED_VALUE"""),"Java;JavaScript")</f>
        <v>Java;JavaScript</v>
      </c>
      <c r="C3106" s="9" t="str">
        <f>IFERROR(__xludf.DUMMYFUNCTION("""COMPUTED_VALUE"""),"Bash/Shell/PowerShell")</f>
        <v>Bash/Shell/PowerShell</v>
      </c>
      <c r="D3106" s="9" t="str">
        <f>IFERROR(__xludf.DUMMYFUNCTION("""COMPUTED_VALUE"""),"Assembly")</f>
        <v>Assembly</v>
      </c>
      <c r="E3106" s="9" t="str">
        <f>IFERROR(__xludf.DUMMYFUNCTION("""COMPUTED_VALUE"""),"HTML/CSS")</f>
        <v>HTML/CSS</v>
      </c>
      <c r="F3106" s="9" t="str">
        <f>IFERROR(__xludf.DUMMYFUNCTION("""COMPUTED_VALUE"""),"C")</f>
        <v>C</v>
      </c>
      <c r="G3106" s="9" t="str">
        <f>IFERROR(__xludf.DUMMYFUNCTION("""COMPUTED_VALUE"""),"Assembly")</f>
        <v>Assembly</v>
      </c>
      <c r="H3106" s="9" t="str">
        <f>IFERROR(__xludf.DUMMYFUNCTION("""COMPUTED_VALUE"""),"Python")</f>
        <v>Python</v>
      </c>
      <c r="I3106" s="9" t="str">
        <f>IFERROR(__xludf.DUMMYFUNCTION("""COMPUTED_VALUE"""),"PHP")</f>
        <v>PHP</v>
      </c>
      <c r="J3106" s="9" t="str">
        <f>IFERROR(__xludf.DUMMYFUNCTION("""COMPUTED_VALUE"""),"C++")</f>
        <v>C++</v>
      </c>
      <c r="K3106" s="9" t="str">
        <f>IFERROR(__xludf.DUMMYFUNCTION("""COMPUTED_VALUE"""),"HTML/CSS")</f>
        <v>HTML/CSS</v>
      </c>
      <c r="L3106" s="9" t="str">
        <f>IFERROR(__xludf.DUMMYFUNCTION("""COMPUTED_VALUE"""),"C")</f>
        <v>C</v>
      </c>
      <c r="M3106" s="9" t="s">
        <v>30</v>
      </c>
    </row>
    <row r="3107" ht="15.75" customHeight="1">
      <c r="A3107" s="7"/>
      <c r="B3107" s="7" t="str">
        <f>IFERROR(__xludf.DUMMYFUNCTION("""COMPUTED_VALUE"""),"Bash/Shell/PowerShell;C;HTML/CSS;Java;JavaScript;PHP;Python;TypeScript")</f>
        <v>Bash/Shell/PowerShell;C;HTML/CSS;Java;JavaScript;PHP;Python;TypeScript</v>
      </c>
      <c r="C3107" s="9" t="str">
        <f>IFERROR(__xludf.DUMMYFUNCTION("""COMPUTED_VALUE"""),"C")</f>
        <v>C</v>
      </c>
      <c r="D3107" s="9" t="str">
        <f>IFERROR(__xludf.DUMMYFUNCTION("""COMPUTED_VALUE"""),"Bash/Shell/PowerShell")</f>
        <v>Bash/Shell/PowerShell</v>
      </c>
      <c r="E3107" s="9" t="str">
        <f>IFERROR(__xludf.DUMMYFUNCTION("""COMPUTED_VALUE"""),"JavaScript")</f>
        <v>JavaScript</v>
      </c>
      <c r="F3107" s="9" t="str">
        <f>IFERROR(__xludf.DUMMYFUNCTION("""COMPUTED_VALUE"""),"C++")</f>
        <v>C++</v>
      </c>
      <c r="G3107" s="9" t="str">
        <f>IFERROR(__xludf.DUMMYFUNCTION("""COMPUTED_VALUE"""),"Bash/Shell/PowerShell")</f>
        <v>Bash/Shell/PowerShell</v>
      </c>
      <c r="H3107" s="9" t="str">
        <f>IFERROR(__xludf.DUMMYFUNCTION("""COMPUTED_VALUE"""),"Bash/Shell/PowerShell")</f>
        <v>Bash/Shell/PowerShell</v>
      </c>
      <c r="I3107" s="9" t="str">
        <f>IFERROR(__xludf.DUMMYFUNCTION("""COMPUTED_VALUE"""),"SQL")</f>
        <v>SQL</v>
      </c>
      <c r="J3107" s="9" t="str">
        <f>IFERROR(__xludf.DUMMYFUNCTION("""COMPUTED_VALUE"""),"C#")</f>
        <v>C#</v>
      </c>
      <c r="K3107" s="9" t="str">
        <f>IFERROR(__xludf.DUMMYFUNCTION("""COMPUTED_VALUE"""),"Java")</f>
        <v>Java</v>
      </c>
      <c r="L3107" s="9" t="str">
        <f>IFERROR(__xludf.DUMMYFUNCTION("""COMPUTED_VALUE"""),"C++")</f>
        <v>C++</v>
      </c>
      <c r="M3107" s="9" t="s">
        <v>25</v>
      </c>
    </row>
    <row r="3108" ht="15.75" customHeight="1">
      <c r="A3108" s="7"/>
      <c r="B3108" s="7" t="str">
        <f>IFERROR(__xludf.DUMMYFUNCTION("""COMPUTED_VALUE"""),"HTML/CSS;JavaScript;Python")</f>
        <v>HTML/CSS;JavaScript;Python</v>
      </c>
      <c r="C3108" s="9" t="str">
        <f>IFERROR(__xludf.DUMMYFUNCTION("""COMPUTED_VALUE"""),"C++")</f>
        <v>C++</v>
      </c>
      <c r="D3108" s="9" t="str">
        <f>IFERROR(__xludf.DUMMYFUNCTION("""COMPUTED_VALUE"""),"C")</f>
        <v>C</v>
      </c>
      <c r="E3108" s="9" t="str">
        <f>IFERROR(__xludf.DUMMYFUNCTION("""COMPUTED_VALUE"""),"Python")</f>
        <v>Python</v>
      </c>
      <c r="F3108" s="9" t="str">
        <f>IFERROR(__xludf.DUMMYFUNCTION("""COMPUTED_VALUE"""),"C#")</f>
        <v>C#</v>
      </c>
      <c r="G3108" s="9" t="str">
        <f>IFERROR(__xludf.DUMMYFUNCTION("""COMPUTED_VALUE"""),"C")</f>
        <v>C</v>
      </c>
      <c r="H3108" s="9" t="str">
        <f>IFERROR(__xludf.DUMMYFUNCTION("""COMPUTED_VALUE"""),"HTML/CSS")</f>
        <v>HTML/CSS</v>
      </c>
      <c r="I3108" s="9" t="str">
        <f>IFERROR(__xludf.DUMMYFUNCTION("""COMPUTED_VALUE"""),"TypeScript")</f>
        <v>TypeScript</v>
      </c>
      <c r="J3108" s="9" t="str">
        <f>IFERROR(__xludf.DUMMYFUNCTION("""COMPUTED_VALUE"""),"JavaScript")</f>
        <v>JavaScript</v>
      </c>
      <c r="K3108" s="9" t="str">
        <f>IFERROR(__xludf.DUMMYFUNCTION("""COMPUTED_VALUE"""),"PHP")</f>
        <v>PHP</v>
      </c>
      <c r="L3108" s="9" t="str">
        <f>IFERROR(__xludf.DUMMYFUNCTION("""COMPUTED_VALUE"""),"Java")</f>
        <v>Java</v>
      </c>
      <c r="M3108" s="9" t="s">
        <v>23</v>
      </c>
    </row>
    <row r="3109" ht="15.75" customHeight="1">
      <c r="A3109" s="7"/>
      <c r="B3109" s="7" t="str">
        <f>IFERROR(__xludf.DUMMYFUNCTION("""COMPUTED_VALUE"""),"Other(s):")</f>
        <v>Other(s):</v>
      </c>
      <c r="C3109" s="9" t="str">
        <f>IFERROR(__xludf.DUMMYFUNCTION("""COMPUTED_VALUE"""),"C#")</f>
        <v>C#</v>
      </c>
      <c r="D3109" s="9" t="str">
        <f>IFERROR(__xludf.DUMMYFUNCTION("""COMPUTED_VALUE"""),"Python")</f>
        <v>Python</v>
      </c>
      <c r="E3109" s="9" t="str">
        <f>IFERROR(__xludf.DUMMYFUNCTION("""COMPUTED_VALUE"""),"SQL")</f>
        <v>SQL</v>
      </c>
      <c r="F3109" s="9" t="str">
        <f>IFERROR(__xludf.DUMMYFUNCTION("""COMPUTED_VALUE"""),"Go")</f>
        <v>Go</v>
      </c>
      <c r="G3109" s="9" t="str">
        <f>IFERROR(__xludf.DUMMYFUNCTION("""COMPUTED_VALUE"""),"C++")</f>
        <v>C++</v>
      </c>
      <c r="H3109" s="9" t="str">
        <f>IFERROR(__xludf.DUMMYFUNCTION("""COMPUTED_VALUE"""),"JavaScript")</f>
        <v>JavaScript</v>
      </c>
      <c r="I3109" s="9" t="str">
        <f>IFERROR(__xludf.DUMMYFUNCTION("""COMPUTED_VALUE"""),"Bash/Shell/PowerShell")</f>
        <v>Bash/Shell/PowerShell</v>
      </c>
      <c r="J3109" s="9" t="str">
        <f>IFERROR(__xludf.DUMMYFUNCTION("""COMPUTED_VALUE"""),"SQL")</f>
        <v>SQL</v>
      </c>
      <c r="K3109" s="9" t="str">
        <f>IFERROR(__xludf.DUMMYFUNCTION("""COMPUTED_VALUE"""),"Python")</f>
        <v>Python</v>
      </c>
      <c r="L3109" s="9" t="str">
        <f>IFERROR(__xludf.DUMMYFUNCTION("""COMPUTED_VALUE"""),"Python")</f>
        <v>Python</v>
      </c>
      <c r="M3109" s="9" t="s">
        <v>26</v>
      </c>
    </row>
    <row r="3110" ht="15.75" customHeight="1">
      <c r="A3110" s="7"/>
      <c r="B3110" s="7" t="str">
        <f>IFERROR(__xludf.DUMMYFUNCTION("""COMPUTED_VALUE"""),"Bash/Shell/PowerShell;C#;HTML/CSS;JavaScript")</f>
        <v>Bash/Shell/PowerShell;C#;HTML/CSS;JavaScript</v>
      </c>
      <c r="C3110" s="9" t="str">
        <f>IFERROR(__xludf.DUMMYFUNCTION("""COMPUTED_VALUE"""),"HTML/CSS")</f>
        <v>HTML/CSS</v>
      </c>
      <c r="D3110" s="9" t="str">
        <f>IFERROR(__xludf.DUMMYFUNCTION("""COMPUTED_VALUE"""),"Bash/Shell/PowerShell")</f>
        <v>Bash/Shell/PowerShell</v>
      </c>
      <c r="E3110" s="9" t="str">
        <f>IFERROR(__xludf.DUMMYFUNCTION("""COMPUTED_VALUE"""),"Bash/Shell/PowerShell")</f>
        <v>Bash/Shell/PowerShell</v>
      </c>
      <c r="F3110" s="9" t="str">
        <f>IFERROR(__xludf.DUMMYFUNCTION("""COMPUTED_VALUE"""),"HTML/CSS")</f>
        <v>HTML/CSS</v>
      </c>
      <c r="G3110" s="9" t="str">
        <f>IFERROR(__xludf.DUMMYFUNCTION("""COMPUTED_VALUE"""),"C#")</f>
        <v>C#</v>
      </c>
      <c r="H3110" s="9" t="str">
        <f>IFERROR(__xludf.DUMMYFUNCTION("""COMPUTED_VALUE"""),"Python")</f>
        <v>Python</v>
      </c>
      <c r="I3110" s="9" t="str">
        <f>IFERROR(__xludf.DUMMYFUNCTION("""COMPUTED_VALUE"""),"C#")</f>
        <v>C#</v>
      </c>
      <c r="J3110" s="9" t="str">
        <f>IFERROR(__xludf.DUMMYFUNCTION("""COMPUTED_VALUE"""),"HTML/CSS")</f>
        <v>HTML/CSS</v>
      </c>
      <c r="K3110" s="9" t="str">
        <f>IFERROR(__xludf.DUMMYFUNCTION("""COMPUTED_VALUE"""),"Ruby")</f>
        <v>Ruby</v>
      </c>
      <c r="L3110" s="9" t="str">
        <f>IFERROR(__xludf.DUMMYFUNCTION("""COMPUTED_VALUE"""),"Other(s):")</f>
        <v>Other(s):</v>
      </c>
      <c r="M3110" s="9" t="s">
        <v>24</v>
      </c>
    </row>
    <row r="3111" ht="15.75" customHeight="1">
      <c r="A3111" s="7"/>
      <c r="B3111" s="7" t="str">
        <f>IFERROR(__xludf.DUMMYFUNCTION("""COMPUTED_VALUE"""),"Assembly;Bash/Shell/PowerShell;C;C++;C#;HTML/CSS;JavaScript;SQL;TypeScript")</f>
        <v>Assembly;Bash/Shell/PowerShell;C;C++;C#;HTML/CSS;JavaScript;SQL;TypeScript</v>
      </c>
      <c r="C3111" s="9" t="str">
        <f>IFERROR(__xludf.DUMMYFUNCTION("""COMPUTED_VALUE"""),"Java")</f>
        <v>Java</v>
      </c>
      <c r="D3111" s="9" t="str">
        <f>IFERROR(__xludf.DUMMYFUNCTION("""COMPUTED_VALUE"""),"HTML/CSS")</f>
        <v>HTML/CSS</v>
      </c>
      <c r="E3111" s="9" t="str">
        <f>IFERROR(__xludf.DUMMYFUNCTION("""COMPUTED_VALUE"""),"C#")</f>
        <v>C#</v>
      </c>
      <c r="F3111" s="9" t="str">
        <f>IFERROR(__xludf.DUMMYFUNCTION("""COMPUTED_VALUE"""),"JavaScript")</f>
        <v>JavaScript</v>
      </c>
      <c r="G3111" s="9" t="str">
        <f>IFERROR(__xludf.DUMMYFUNCTION("""COMPUTED_VALUE"""),"Java")</f>
        <v>Java</v>
      </c>
      <c r="H3111" s="9" t="str">
        <f>IFERROR(__xludf.DUMMYFUNCTION("""COMPUTED_VALUE"""),"R")</f>
        <v>R</v>
      </c>
      <c r="I3111" s="9" t="str">
        <f>IFERROR(__xludf.DUMMYFUNCTION("""COMPUTED_VALUE"""),"HTML/CSS")</f>
        <v>HTML/CSS</v>
      </c>
      <c r="J3111" s="9" t="str">
        <f>IFERROR(__xludf.DUMMYFUNCTION("""COMPUTED_VALUE"""),"PHP")</f>
        <v>PHP</v>
      </c>
      <c r="K3111" s="9" t="str">
        <f>IFERROR(__xludf.DUMMYFUNCTION("""COMPUTED_VALUE"""),"Scala")</f>
        <v>Scala</v>
      </c>
      <c r="L3111" s="9" t="str">
        <f>IFERROR(__xludf.DUMMYFUNCTION("""COMPUTED_VALUE"""),"Bash/Shell/PowerShell")</f>
        <v>Bash/Shell/PowerShell</v>
      </c>
      <c r="M3111" s="9" t="s">
        <v>20</v>
      </c>
    </row>
    <row r="3112" ht="15.75" customHeight="1">
      <c r="A3112" s="7"/>
      <c r="B3112" s="7" t="str">
        <f>IFERROR(__xludf.DUMMYFUNCTION("""COMPUTED_VALUE"""),"Bash/Shell/PowerShell;C++;C#;SQL")</f>
        <v>Bash/Shell/PowerShell;C++;C#;SQL</v>
      </c>
      <c r="C3112" s="9" t="str">
        <f>IFERROR(__xludf.DUMMYFUNCTION("""COMPUTED_VALUE"""),"Objective-C")</f>
        <v>Objective-C</v>
      </c>
      <c r="D3112" s="9" t="str">
        <f>IFERROR(__xludf.DUMMYFUNCTION("""COMPUTED_VALUE"""),"Java")</f>
        <v>Java</v>
      </c>
      <c r="E3112" s="9" t="str">
        <f>IFERROR(__xludf.DUMMYFUNCTION("""COMPUTED_VALUE"""),"Java")</f>
        <v>Java</v>
      </c>
      <c r="F3112" s="9" t="str">
        <f>IFERROR(__xludf.DUMMYFUNCTION("""COMPUTED_VALUE"""),"SQL")</f>
        <v>SQL</v>
      </c>
      <c r="G3112" s="9" t="str">
        <f>IFERROR(__xludf.DUMMYFUNCTION("""COMPUTED_VALUE"""),"JavaScript")</f>
        <v>JavaScript</v>
      </c>
      <c r="H3112" s="9" t="str">
        <f>IFERROR(__xludf.DUMMYFUNCTION("""COMPUTED_VALUE"""),"Ruby")</f>
        <v>Ruby</v>
      </c>
      <c r="I3112" s="9" t="str">
        <f>IFERROR(__xludf.DUMMYFUNCTION("""COMPUTED_VALUE"""),"JavaScript")</f>
        <v>JavaScript</v>
      </c>
      <c r="J3112" s="9" t="str">
        <f>IFERROR(__xludf.DUMMYFUNCTION("""COMPUTED_VALUE"""),"Python")</f>
        <v>Python</v>
      </c>
      <c r="K3112" s="9" t="str">
        <f>IFERROR(__xludf.DUMMYFUNCTION("""COMPUTED_VALUE"""),"SQL")</f>
        <v>SQL</v>
      </c>
      <c r="L3112" s="9" t="str">
        <f>IFERROR(__xludf.DUMMYFUNCTION("""COMPUTED_VALUE"""),"C#")</f>
        <v>C#</v>
      </c>
      <c r="M3112" s="9" t="s">
        <v>41</v>
      </c>
    </row>
    <row r="3113" ht="15.75" customHeight="1">
      <c r="A3113" s="7"/>
      <c r="B3113" s="7" t="str">
        <f>IFERROR(__xludf.DUMMYFUNCTION("""COMPUTED_VALUE"""),"Bash/Shell/PowerShell;C#;HTML/CSS;JavaScript;Python;SQL")</f>
        <v>Bash/Shell/PowerShell;C#;HTML/CSS;JavaScript;Python;SQL</v>
      </c>
      <c r="C3113" s="9" t="str">
        <f>IFERROR(__xludf.DUMMYFUNCTION("""COMPUTED_VALUE"""),"SQL")</f>
        <v>SQL</v>
      </c>
      <c r="D3113" s="9" t="str">
        <f>IFERROR(__xludf.DUMMYFUNCTION("""COMPUTED_VALUE"""),"JavaScript")</f>
        <v>JavaScript</v>
      </c>
      <c r="E3113" s="9" t="str">
        <f>IFERROR(__xludf.DUMMYFUNCTION("""COMPUTED_VALUE"""),"JavaScript")</f>
        <v>JavaScript</v>
      </c>
      <c r="F3113" s="9" t="str">
        <f>IFERROR(__xludf.DUMMYFUNCTION("""COMPUTED_VALUE"""),"Other(s):")</f>
        <v>Other(s):</v>
      </c>
      <c r="G3113" s="9" t="str">
        <f>IFERROR(__xludf.DUMMYFUNCTION("""COMPUTED_VALUE"""),"PHP")</f>
        <v>PHP</v>
      </c>
      <c r="H3113" s="9" t="str">
        <f>IFERROR(__xludf.DUMMYFUNCTION("""COMPUTED_VALUE"""),"SQL")</f>
        <v>SQL</v>
      </c>
      <c r="I3113" s="9" t="str">
        <f>IFERROR(__xludf.DUMMYFUNCTION("""COMPUTED_VALUE"""),"SQL")</f>
        <v>SQL</v>
      </c>
      <c r="J3113" s="9" t="str">
        <f>IFERROR(__xludf.DUMMYFUNCTION("""COMPUTED_VALUE"""),"SQL")</f>
        <v>SQL</v>
      </c>
      <c r="K3113" s="9" t="str">
        <f>IFERROR(__xludf.DUMMYFUNCTION("""COMPUTED_VALUE"""),"Bash/Shell/PowerShell")</f>
        <v>Bash/Shell/PowerShell</v>
      </c>
      <c r="L3113" s="9" t="str">
        <f>IFERROR(__xludf.DUMMYFUNCTION("""COMPUTED_VALUE"""),"HTML/CSS")</f>
        <v>HTML/CSS</v>
      </c>
      <c r="M3113" s="9" t="s">
        <v>27</v>
      </c>
    </row>
    <row r="3114" ht="15.75" customHeight="1">
      <c r="A3114" s="7"/>
      <c r="B3114" s="7" t="str">
        <f>IFERROR(__xludf.DUMMYFUNCTION("""COMPUTED_VALUE"""),"Bash/Shell/PowerShell;C#;HTML/CSS;JavaScript;TypeScript")</f>
        <v>Bash/Shell/PowerShell;C#;HTML/CSS;JavaScript;TypeScript</v>
      </c>
      <c r="C3114" s="9" t="str">
        <f>IFERROR(__xludf.DUMMYFUNCTION("""COMPUTED_VALUE"""),"C#")</f>
        <v>C#</v>
      </c>
      <c r="D3114" s="9" t="str">
        <f>IFERROR(__xludf.DUMMYFUNCTION("""COMPUTED_VALUE"""),"Kotlin")</f>
        <v>Kotlin</v>
      </c>
      <c r="E3114" s="9" t="str">
        <f>IFERROR(__xludf.DUMMYFUNCTION("""COMPUTED_VALUE"""),"SQL")</f>
        <v>SQL</v>
      </c>
      <c r="F3114" s="9" t="str">
        <f>IFERROR(__xludf.DUMMYFUNCTION("""COMPUTED_VALUE"""),"C#")</f>
        <v>C#</v>
      </c>
      <c r="G3114" s="9" t="str">
        <f>IFERROR(__xludf.DUMMYFUNCTION("""COMPUTED_VALUE"""),"SQL")</f>
        <v>SQL</v>
      </c>
      <c r="H3114" s="9" t="str">
        <f>IFERROR(__xludf.DUMMYFUNCTION("""COMPUTED_VALUE"""),"VBA")</f>
        <v>VBA</v>
      </c>
      <c r="I3114" s="9" t="str">
        <f>IFERROR(__xludf.DUMMYFUNCTION("""COMPUTED_VALUE"""),"Bash/Shell/PowerShell")</f>
        <v>Bash/Shell/PowerShell</v>
      </c>
      <c r="J3114" s="9" t="str">
        <f>IFERROR(__xludf.DUMMYFUNCTION("""COMPUTED_VALUE"""),"C#")</f>
        <v>C#</v>
      </c>
      <c r="K3114" s="9" t="str">
        <f>IFERROR(__xludf.DUMMYFUNCTION("""COMPUTED_VALUE"""),"HTML/CSS")</f>
        <v>HTML/CSS</v>
      </c>
      <c r="L3114" s="9" t="str">
        <f>IFERROR(__xludf.DUMMYFUNCTION("""COMPUTED_VALUE"""),"Java")</f>
        <v>Java</v>
      </c>
      <c r="M3114" s="9" t="s">
        <v>26</v>
      </c>
    </row>
    <row r="3115" ht="15.75" customHeight="1">
      <c r="A3115" s="7"/>
      <c r="B3115" s="7" t="str">
        <f>IFERROR(__xludf.DUMMYFUNCTION("""COMPUTED_VALUE"""),"HTML/CSS;JavaScript;PHP;TypeScript")</f>
        <v>HTML/CSS;JavaScript;PHP;TypeScript</v>
      </c>
      <c r="C3115" s="9" t="str">
        <f>IFERROR(__xludf.DUMMYFUNCTION("""COMPUTED_VALUE"""),"HTML/CSS")</f>
        <v>HTML/CSS</v>
      </c>
      <c r="D3115" s="9" t="str">
        <f>IFERROR(__xludf.DUMMYFUNCTION("""COMPUTED_VALUE"""),"Python")</f>
        <v>Python</v>
      </c>
      <c r="E3115" s="9" t="str">
        <f>IFERROR(__xludf.DUMMYFUNCTION("""COMPUTED_VALUE"""),"C#")</f>
        <v>C#</v>
      </c>
      <c r="F3115" s="9" t="str">
        <f>IFERROR(__xludf.DUMMYFUNCTION("""COMPUTED_VALUE"""),"Java")</f>
        <v>Java</v>
      </c>
      <c r="G3115" s="9" t="str">
        <f>IFERROR(__xludf.DUMMYFUNCTION("""COMPUTED_VALUE"""),"VBA")</f>
        <v>VBA</v>
      </c>
      <c r="H3115" s="9" t="str">
        <f>IFERROR(__xludf.DUMMYFUNCTION("""COMPUTED_VALUE"""),"Clojure")</f>
        <v>Clojure</v>
      </c>
      <c r="I3115" s="9" t="str">
        <f>IFERROR(__xludf.DUMMYFUNCTION("""COMPUTED_VALUE"""),"C#")</f>
        <v>C#</v>
      </c>
      <c r="J3115" s="9" t="str">
        <f>IFERROR(__xludf.DUMMYFUNCTION("""COMPUTED_VALUE"""),"F#")</f>
        <v>F#</v>
      </c>
      <c r="K3115" s="9" t="str">
        <f>IFERROR(__xludf.DUMMYFUNCTION("""COMPUTED_VALUE"""),"JavaScript")</f>
        <v>JavaScript</v>
      </c>
      <c r="L3115" s="9" t="str">
        <f>IFERROR(__xludf.DUMMYFUNCTION("""COMPUTED_VALUE"""),"JavaScript")</f>
        <v>JavaScript</v>
      </c>
      <c r="M3115" s="9" t="s">
        <v>24</v>
      </c>
    </row>
    <row r="3116" ht="15.75" customHeight="1">
      <c r="A3116" s="7"/>
      <c r="B3116" s="7" t="str">
        <f>IFERROR(__xludf.DUMMYFUNCTION("""COMPUTED_VALUE"""),"C#;F#;HTML/CSS;JavaScript")</f>
        <v>C#;F#;HTML/CSS;JavaScript</v>
      </c>
      <c r="C3116" s="9" t="str">
        <f>IFERROR(__xludf.DUMMYFUNCTION("""COMPUTED_VALUE"""),"JavaScript")</f>
        <v>JavaScript</v>
      </c>
      <c r="D3116" s="9" t="str">
        <f>IFERROR(__xludf.DUMMYFUNCTION("""COMPUTED_VALUE"""),"SQL")</f>
        <v>SQL</v>
      </c>
      <c r="E3116" s="9" t="str">
        <f>IFERROR(__xludf.DUMMYFUNCTION("""COMPUTED_VALUE"""),"HTML/CSS")</f>
        <v>HTML/CSS</v>
      </c>
      <c r="F3116" s="9" t="str">
        <f>IFERROR(__xludf.DUMMYFUNCTION("""COMPUTED_VALUE"""),"Python")</f>
        <v>Python</v>
      </c>
      <c r="G3116" s="9" t="str">
        <f>IFERROR(__xludf.DUMMYFUNCTION("""COMPUTED_VALUE"""),"JavaScript")</f>
        <v>JavaScript</v>
      </c>
      <c r="H3116" s="9" t="str">
        <f>IFERROR(__xludf.DUMMYFUNCTION("""COMPUTED_VALUE"""),"HTML/CSS")</f>
        <v>HTML/CSS</v>
      </c>
      <c r="I3116" s="9" t="str">
        <f>IFERROR(__xludf.DUMMYFUNCTION("""COMPUTED_VALUE"""),"Go")</f>
        <v>Go</v>
      </c>
      <c r="J3116" s="9" t="str">
        <f>IFERROR(__xludf.DUMMYFUNCTION("""COMPUTED_VALUE"""),"Go")</f>
        <v>Go</v>
      </c>
      <c r="K3116" s="9" t="str">
        <f>IFERROR(__xludf.DUMMYFUNCTION("""COMPUTED_VALUE"""),"Python")</f>
        <v>Python</v>
      </c>
      <c r="L3116" s="9" t="str">
        <f>IFERROR(__xludf.DUMMYFUNCTION("""COMPUTED_VALUE"""),"SQL")</f>
        <v>SQL</v>
      </c>
      <c r="M3116" s="9" t="s">
        <v>21</v>
      </c>
    </row>
    <row r="3117" ht="15.75" customHeight="1">
      <c r="A3117" s="7"/>
      <c r="B3117" s="7" t="str">
        <f>IFERROR(__xludf.DUMMYFUNCTION("""COMPUTED_VALUE"""),"C;C++;HTML/CSS;Java;JavaScript;SQL")</f>
        <v>C;C++;HTML/CSS;Java;JavaScript;SQL</v>
      </c>
      <c r="C3117" s="9" t="str">
        <f>IFERROR(__xludf.DUMMYFUNCTION("""COMPUTED_VALUE"""),"SQL")</f>
        <v>SQL</v>
      </c>
      <c r="D3117" s="9" t="str">
        <f>IFERROR(__xludf.DUMMYFUNCTION("""COMPUTED_VALUE"""),"Bash/Shell/PowerShell")</f>
        <v>Bash/Shell/PowerShell</v>
      </c>
      <c r="E3117" s="9" t="str">
        <f>IFERROR(__xludf.DUMMYFUNCTION("""COMPUTED_VALUE"""),"JavaScript")</f>
        <v>JavaScript</v>
      </c>
      <c r="F3117" s="9" t="str">
        <f>IFERROR(__xludf.DUMMYFUNCTION("""COMPUTED_VALUE"""),"Other(s):")</f>
        <v>Other(s):</v>
      </c>
      <c r="G3117" s="9" t="str">
        <f>IFERROR(__xludf.DUMMYFUNCTION("""COMPUTED_VALUE"""),"Python")</f>
        <v>Python</v>
      </c>
      <c r="H3117" s="9" t="str">
        <f>IFERROR(__xludf.DUMMYFUNCTION("""COMPUTED_VALUE"""),"Java")</f>
        <v>Java</v>
      </c>
      <c r="I3117" s="9" t="str">
        <f>IFERROR(__xludf.DUMMYFUNCTION("""COMPUTED_VALUE"""),"HTML/CSS")</f>
        <v>HTML/CSS</v>
      </c>
      <c r="J3117" s="9" t="str">
        <f>IFERROR(__xludf.DUMMYFUNCTION("""COMPUTED_VALUE"""),"HTML/CSS")</f>
        <v>HTML/CSS</v>
      </c>
      <c r="K3117" s="9" t="str">
        <f>IFERROR(__xludf.DUMMYFUNCTION("""COMPUTED_VALUE"""),"SQL")</f>
        <v>SQL</v>
      </c>
      <c r="L3117" s="9" t="str">
        <f>IFERROR(__xludf.DUMMYFUNCTION("""COMPUTED_VALUE"""),"Other(s):")</f>
        <v>Other(s):</v>
      </c>
      <c r="M3117" s="9" t="s">
        <v>27</v>
      </c>
    </row>
    <row r="3118" ht="15.75" customHeight="1">
      <c r="A3118" s="7"/>
      <c r="B3118" s="7" t="str">
        <f>IFERROR(__xludf.DUMMYFUNCTION("""COMPUTED_VALUE"""),"C++;C#;SQL")</f>
        <v>C++;C#;SQL</v>
      </c>
      <c r="C3118" s="9" t="str">
        <f>IFERROR(__xludf.DUMMYFUNCTION("""COMPUTED_VALUE"""),"TypeScript")</f>
        <v>TypeScript</v>
      </c>
      <c r="D3118" s="9" t="str">
        <f>IFERROR(__xludf.DUMMYFUNCTION("""COMPUTED_VALUE"""),"Python")</f>
        <v>Python</v>
      </c>
      <c r="E3118" s="9" t="str">
        <f>IFERROR(__xludf.DUMMYFUNCTION("""COMPUTED_VALUE"""),"SQL")</f>
        <v>SQL</v>
      </c>
      <c r="F3118" s="9" t="str">
        <f>IFERROR(__xludf.DUMMYFUNCTION("""COMPUTED_VALUE"""),"C#")</f>
        <v>C#</v>
      </c>
      <c r="G3118" s="9" t="str">
        <f>IFERROR(__xludf.DUMMYFUNCTION("""COMPUTED_VALUE"""),"SQL")</f>
        <v>SQL</v>
      </c>
      <c r="H3118" s="9" t="str">
        <f>IFERROR(__xludf.DUMMYFUNCTION("""COMPUTED_VALUE"""),"JavaScript")</f>
        <v>JavaScript</v>
      </c>
      <c r="I3118" s="9" t="str">
        <f>IFERROR(__xludf.DUMMYFUNCTION("""COMPUTED_VALUE"""),"Java")</f>
        <v>Java</v>
      </c>
      <c r="J3118" s="9" t="str">
        <f>IFERROR(__xludf.DUMMYFUNCTION("""COMPUTED_VALUE"""),"JavaScript")</f>
        <v>JavaScript</v>
      </c>
      <c r="K3118" s="9" t="str">
        <f>IFERROR(__xludf.DUMMYFUNCTION("""COMPUTED_VALUE"""),"TypeScript")</f>
        <v>TypeScript</v>
      </c>
      <c r="L3118" s="9" t="str">
        <f>IFERROR(__xludf.DUMMYFUNCTION("""COMPUTED_VALUE"""),"C#")</f>
        <v>C#</v>
      </c>
      <c r="M3118" s="9" t="s">
        <v>33</v>
      </c>
    </row>
    <row r="3119" ht="15.75" customHeight="1">
      <c r="A3119" s="7"/>
      <c r="B3119" s="7" t="str">
        <f>IFERROR(__xludf.DUMMYFUNCTION("""COMPUTED_VALUE"""),"Bash/Shell/PowerShell;C;C++;HTML/CSS;Java")</f>
        <v>Bash/Shell/PowerShell;C;C++;HTML/CSS;Java</v>
      </c>
      <c r="C3119" s="9" t="str">
        <f>IFERROR(__xludf.DUMMYFUNCTION("""COMPUTED_VALUE"""),"Bash/Shell/PowerShell")</f>
        <v>Bash/Shell/PowerShell</v>
      </c>
      <c r="D3119" s="9" t="str">
        <f>IFERROR(__xludf.DUMMYFUNCTION("""COMPUTED_VALUE"""),"Ruby")</f>
        <v>Ruby</v>
      </c>
      <c r="E3119" s="9" t="str">
        <f>IFERROR(__xludf.DUMMYFUNCTION("""COMPUTED_VALUE"""),"Other(s):")</f>
        <v>Other(s):</v>
      </c>
      <c r="F3119" s="9" t="str">
        <f>IFERROR(__xludf.DUMMYFUNCTION("""COMPUTED_VALUE"""),"Java")</f>
        <v>Java</v>
      </c>
      <c r="G3119" s="9" t="str">
        <f>IFERROR(__xludf.DUMMYFUNCTION("""COMPUTED_VALUE"""),"C#")</f>
        <v>C#</v>
      </c>
      <c r="H3119" s="9" t="str">
        <f>IFERROR(__xludf.DUMMYFUNCTION("""COMPUTED_VALUE"""),"Kotlin")</f>
        <v>Kotlin</v>
      </c>
      <c r="I3119" s="9" t="str">
        <f>IFERROR(__xludf.DUMMYFUNCTION("""COMPUTED_VALUE"""),"JavaScript")</f>
        <v>JavaScript</v>
      </c>
      <c r="J3119" s="9" t="str">
        <f>IFERROR(__xludf.DUMMYFUNCTION("""COMPUTED_VALUE"""),"Python")</f>
        <v>Python</v>
      </c>
      <c r="K3119" s="9" t="str">
        <f>IFERROR(__xludf.DUMMYFUNCTION("""COMPUTED_VALUE"""),"HTML/CSS")</f>
        <v>HTML/CSS</v>
      </c>
      <c r="L3119" s="9" t="str">
        <f>IFERROR(__xludf.DUMMYFUNCTION("""COMPUTED_VALUE"""),"HTML/CSS")</f>
        <v>HTML/CSS</v>
      </c>
      <c r="M3119" s="9" t="s">
        <v>30</v>
      </c>
    </row>
    <row r="3120" ht="15.75" customHeight="1">
      <c r="A3120" s="7"/>
      <c r="B3120" s="7" t="str">
        <f>IFERROR(__xludf.DUMMYFUNCTION("""COMPUTED_VALUE"""),"Java;Python")</f>
        <v>Java;Python</v>
      </c>
      <c r="C3120" s="9" t="str">
        <f>IFERROR(__xludf.DUMMYFUNCTION("""COMPUTED_VALUE"""),"Go")</f>
        <v>Go</v>
      </c>
      <c r="D3120" s="9" t="str">
        <f>IFERROR(__xludf.DUMMYFUNCTION("""COMPUTED_VALUE"""),"SQL")</f>
        <v>SQL</v>
      </c>
      <c r="E3120" s="9" t="str">
        <f>IFERROR(__xludf.DUMMYFUNCTION("""COMPUTED_VALUE"""),"Bash/Shell/PowerShell")</f>
        <v>Bash/Shell/PowerShell</v>
      </c>
      <c r="F3120" s="9" t="str">
        <f>IFERROR(__xludf.DUMMYFUNCTION("""COMPUTED_VALUE"""),"Scala")</f>
        <v>Scala</v>
      </c>
      <c r="G3120" s="9" t="str">
        <f>IFERROR(__xludf.DUMMYFUNCTION("""COMPUTED_VALUE"""),"Dart")</f>
        <v>Dart</v>
      </c>
      <c r="H3120" s="9" t="str">
        <f>IFERROR(__xludf.DUMMYFUNCTION("""COMPUTED_VALUE"""),"Python")</f>
        <v>Python</v>
      </c>
      <c r="I3120" s="9" t="str">
        <f>IFERROR(__xludf.DUMMYFUNCTION("""COMPUTED_VALUE"""),"Python")</f>
        <v>Python</v>
      </c>
      <c r="J3120" s="9" t="str">
        <f>IFERROR(__xludf.DUMMYFUNCTION("""COMPUTED_VALUE"""),"Rust")</f>
        <v>Rust</v>
      </c>
      <c r="K3120" s="9" t="str">
        <f>IFERROR(__xludf.DUMMYFUNCTION("""COMPUTED_VALUE"""),"JavaScript")</f>
        <v>JavaScript</v>
      </c>
      <c r="L3120" s="9" t="str">
        <f>IFERROR(__xludf.DUMMYFUNCTION("""COMPUTED_VALUE"""),"JavaScript")</f>
        <v>JavaScript</v>
      </c>
      <c r="M3120" s="9" t="s">
        <v>36</v>
      </c>
    </row>
    <row r="3121" ht="15.75" customHeight="1">
      <c r="A3121" s="7"/>
      <c r="B3121" s="7" t="str">
        <f>IFERROR(__xludf.DUMMYFUNCTION("""COMPUTED_VALUE"""),"C;C++;HTML/CSS;JavaScript;SQL")</f>
        <v>C;C++;HTML/CSS;JavaScript;SQL</v>
      </c>
      <c r="C3121" s="9" t="str">
        <f>IFERROR(__xludf.DUMMYFUNCTION("""COMPUTED_VALUE"""),"HTML/CSS")</f>
        <v>HTML/CSS</v>
      </c>
      <c r="D3121" s="9" t="str">
        <f>IFERROR(__xludf.DUMMYFUNCTION("""COMPUTED_VALUE"""),"Assembly")</f>
        <v>Assembly</v>
      </c>
      <c r="E3121" s="9" t="str">
        <f>IFERROR(__xludf.DUMMYFUNCTION("""COMPUTED_VALUE"""),"C")</f>
        <v>C</v>
      </c>
      <c r="F3121" s="9" t="str">
        <f>IFERROR(__xludf.DUMMYFUNCTION("""COMPUTED_VALUE"""),"TypeScript")</f>
        <v>TypeScript</v>
      </c>
      <c r="G3121" s="9" t="str">
        <f>IFERROR(__xludf.DUMMYFUNCTION("""COMPUTED_VALUE"""),"HTML/CSS")</f>
        <v>HTML/CSS</v>
      </c>
      <c r="H3121" s="9" t="str">
        <f>IFERROR(__xludf.DUMMYFUNCTION("""COMPUTED_VALUE"""),"SQL")</f>
        <v>SQL</v>
      </c>
      <c r="I3121" s="9" t="str">
        <f>IFERROR(__xludf.DUMMYFUNCTION("""COMPUTED_VALUE"""),"SQL")</f>
        <v>SQL</v>
      </c>
      <c r="J3121" s="9" t="str">
        <f>IFERROR(__xludf.DUMMYFUNCTION("""COMPUTED_VALUE"""),"SQL")</f>
        <v>SQL</v>
      </c>
      <c r="K3121" s="9" t="str">
        <f>IFERROR(__xludf.DUMMYFUNCTION("""COMPUTED_VALUE"""),"Bash/Shell/PowerShell")</f>
        <v>Bash/Shell/PowerShell</v>
      </c>
      <c r="L3121" s="9" t="str">
        <f>IFERROR(__xludf.DUMMYFUNCTION("""COMPUTED_VALUE"""),"PHP")</f>
        <v>PHP</v>
      </c>
      <c r="M3121" s="9" t="s">
        <v>24</v>
      </c>
    </row>
    <row r="3122" ht="15.75" customHeight="1">
      <c r="A3122" s="7"/>
      <c r="B3122" s="7" t="str">
        <f>IFERROR(__xludf.DUMMYFUNCTION("""COMPUTED_VALUE"""),"C;HTML/CSS;JavaScript;PHP;Python;SQL")</f>
        <v>C;HTML/CSS;JavaScript;PHP;Python;SQL</v>
      </c>
      <c r="C3122" s="9" t="str">
        <f>IFERROR(__xludf.DUMMYFUNCTION("""COMPUTED_VALUE"""),"JavaScript")</f>
        <v>JavaScript</v>
      </c>
      <c r="D3122" s="9" t="str">
        <f>IFERROR(__xludf.DUMMYFUNCTION("""COMPUTED_VALUE"""),"C++")</f>
        <v>C++</v>
      </c>
      <c r="E3122" s="9" t="str">
        <f>IFERROR(__xludf.DUMMYFUNCTION("""COMPUTED_VALUE"""),"C++")</f>
        <v>C++</v>
      </c>
      <c r="F3122" s="9" t="str">
        <f>IFERROR(__xludf.DUMMYFUNCTION("""COMPUTED_VALUE"""),"HTML/CSS")</f>
        <v>HTML/CSS</v>
      </c>
      <c r="G3122" s="9" t="str">
        <f>IFERROR(__xludf.DUMMYFUNCTION("""COMPUTED_VALUE"""),"Java")</f>
        <v>Java</v>
      </c>
      <c r="H3122" s="9" t="str">
        <f>IFERROR(__xludf.DUMMYFUNCTION("""COMPUTED_VALUE"""),"Bash/Shell/PowerShell")</f>
        <v>Bash/Shell/PowerShell</v>
      </c>
      <c r="I3122" s="9" t="str">
        <f>IFERROR(__xludf.DUMMYFUNCTION("""COMPUTED_VALUE"""),"TypeScript")</f>
        <v>TypeScript</v>
      </c>
      <c r="J3122" s="9" t="str">
        <f>IFERROR(__xludf.DUMMYFUNCTION("""COMPUTED_VALUE"""),"TypeScript")</f>
        <v>TypeScript</v>
      </c>
      <c r="K3122" s="9" t="str">
        <f>IFERROR(__xludf.DUMMYFUNCTION("""COMPUTED_VALUE"""),"C")</f>
        <v>C</v>
      </c>
      <c r="L3122" s="9" t="str">
        <f>IFERROR(__xludf.DUMMYFUNCTION("""COMPUTED_VALUE"""),"SQL")</f>
        <v>SQL</v>
      </c>
      <c r="M3122" s="9" t="s">
        <v>21</v>
      </c>
    </row>
    <row r="3123" ht="15.75" customHeight="1">
      <c r="A3123" s="7"/>
      <c r="B3123" s="7" t="str">
        <f>IFERROR(__xludf.DUMMYFUNCTION("""COMPUTED_VALUE"""),"Java")</f>
        <v>Java</v>
      </c>
      <c r="C3123" s="9" t="str">
        <f>IFERROR(__xludf.DUMMYFUNCTION("""COMPUTED_VALUE"""),"Python")</f>
        <v>Python</v>
      </c>
      <c r="D3123" s="9" t="str">
        <f>IFERROR(__xludf.DUMMYFUNCTION("""COMPUTED_VALUE"""),"C#")</f>
        <v>C#</v>
      </c>
      <c r="E3123" s="9" t="str">
        <f>IFERROR(__xludf.DUMMYFUNCTION("""COMPUTED_VALUE"""),"HTML/CSS")</f>
        <v>HTML/CSS</v>
      </c>
      <c r="F3123" s="9" t="str">
        <f>IFERROR(__xludf.DUMMYFUNCTION("""COMPUTED_VALUE"""),"Java")</f>
        <v>Java</v>
      </c>
      <c r="G3123" s="9" t="str">
        <f>IFERROR(__xludf.DUMMYFUNCTION("""COMPUTED_VALUE"""),"JavaScript")</f>
        <v>JavaScript</v>
      </c>
      <c r="H3123" s="9" t="str">
        <f>IFERROR(__xludf.DUMMYFUNCTION("""COMPUTED_VALUE"""),"HTML/CSS")</f>
        <v>HTML/CSS</v>
      </c>
      <c r="I3123" s="9" t="str">
        <f>IFERROR(__xludf.DUMMYFUNCTION("""COMPUTED_VALUE"""),"HTML/CSS")</f>
        <v>HTML/CSS</v>
      </c>
      <c r="J3123" s="9" t="str">
        <f>IFERROR(__xludf.DUMMYFUNCTION("""COMPUTED_VALUE"""),"WebAssembly")</f>
        <v>WebAssembly</v>
      </c>
      <c r="K3123" s="9" t="str">
        <f>IFERROR(__xludf.DUMMYFUNCTION("""COMPUTED_VALUE"""),"C++")</f>
        <v>C++</v>
      </c>
      <c r="L3123" s="9" t="str">
        <f>IFERROR(__xludf.DUMMYFUNCTION("""COMPUTED_VALUE"""),"TypeScript")</f>
        <v>TypeScript</v>
      </c>
      <c r="M3123" s="9" t="s">
        <v>22</v>
      </c>
    </row>
    <row r="3124" ht="15.75" customHeight="1">
      <c r="A3124" s="7"/>
      <c r="B3124" s="7" t="str">
        <f>IFERROR(__xludf.DUMMYFUNCTION("""COMPUTED_VALUE"""),"C;C++;HTML/CSS;JavaScript")</f>
        <v>C;C++;HTML/CSS;JavaScript</v>
      </c>
      <c r="C3124" s="9" t="str">
        <f>IFERROR(__xludf.DUMMYFUNCTION("""COMPUTED_VALUE"""),"SQL")</f>
        <v>SQL</v>
      </c>
      <c r="D3124" s="9" t="str">
        <f>IFERROR(__xludf.DUMMYFUNCTION("""COMPUTED_VALUE"""),"Java")</f>
        <v>Java</v>
      </c>
      <c r="E3124" s="9" t="str">
        <f>IFERROR(__xludf.DUMMYFUNCTION("""COMPUTED_VALUE"""),"JavaScript")</f>
        <v>JavaScript</v>
      </c>
      <c r="F3124" s="9" t="str">
        <f>IFERROR(__xludf.DUMMYFUNCTION("""COMPUTED_VALUE"""),"JavaScript")</f>
        <v>JavaScript</v>
      </c>
      <c r="G3124" s="9" t="str">
        <f>IFERROR(__xludf.DUMMYFUNCTION("""COMPUTED_VALUE"""),"Python")</f>
        <v>Python</v>
      </c>
      <c r="H3124" s="9" t="str">
        <f>IFERROR(__xludf.DUMMYFUNCTION("""COMPUTED_VALUE"""),"JavaScript")</f>
        <v>JavaScript</v>
      </c>
      <c r="I3124" s="9" t="str">
        <f>IFERROR(__xludf.DUMMYFUNCTION("""COMPUTED_VALUE"""),"Java")</f>
        <v>Java</v>
      </c>
      <c r="J3124" s="9" t="str">
        <f>IFERROR(__xludf.DUMMYFUNCTION("""COMPUTED_VALUE"""),"Other(s):")</f>
        <v>Other(s):</v>
      </c>
      <c r="K3124" s="9" t="str">
        <f>IFERROR(__xludf.DUMMYFUNCTION("""COMPUTED_VALUE"""),"C#")</f>
        <v>C#</v>
      </c>
      <c r="L3124" s="9" t="str">
        <f>IFERROR(__xludf.DUMMYFUNCTION("""COMPUTED_VALUE"""),"Java")</f>
        <v>Java</v>
      </c>
      <c r="M3124" s="9" t="s">
        <v>27</v>
      </c>
    </row>
    <row r="3125" ht="15.75" customHeight="1">
      <c r="A3125" s="7"/>
      <c r="B3125" s="7" t="str">
        <f>IFERROR(__xludf.DUMMYFUNCTION("""COMPUTED_VALUE"""),"Bash/Shell/PowerShell;Other(s):")</f>
        <v>Bash/Shell/PowerShell;Other(s):</v>
      </c>
      <c r="C3125" s="9" t="str">
        <f>IFERROR(__xludf.DUMMYFUNCTION("""COMPUTED_VALUE"""),"C#")</f>
        <v>C#</v>
      </c>
      <c r="D3125" s="9" t="str">
        <f>IFERROR(__xludf.DUMMYFUNCTION("""COMPUTED_VALUE"""),"JavaScript")</f>
        <v>JavaScript</v>
      </c>
      <c r="E3125" s="9" t="str">
        <f>IFERROR(__xludf.DUMMYFUNCTION("""COMPUTED_VALUE"""),"Python")</f>
        <v>Python</v>
      </c>
      <c r="F3125" s="9" t="str">
        <f>IFERROR(__xludf.DUMMYFUNCTION("""COMPUTED_VALUE"""),"TypeScript")</f>
        <v>TypeScript</v>
      </c>
      <c r="G3125" s="9" t="str">
        <f>IFERROR(__xludf.DUMMYFUNCTION("""COMPUTED_VALUE"""),"SQL")</f>
        <v>SQL</v>
      </c>
      <c r="H3125" s="9" t="str">
        <f>IFERROR(__xludf.DUMMYFUNCTION("""COMPUTED_VALUE"""),"Python")</f>
        <v>Python</v>
      </c>
      <c r="I3125" s="9" t="str">
        <f>IFERROR(__xludf.DUMMYFUNCTION("""COMPUTED_VALUE"""),"JavaScript")</f>
        <v>JavaScript</v>
      </c>
      <c r="J3125" s="9" t="str">
        <f>IFERROR(__xludf.DUMMYFUNCTION("""COMPUTED_VALUE"""),"C")</f>
        <v>C</v>
      </c>
      <c r="K3125" s="9" t="str">
        <f>IFERROR(__xludf.DUMMYFUNCTION("""COMPUTED_VALUE"""),"Elixir")</f>
        <v>Elixir</v>
      </c>
      <c r="L3125" s="9" t="str">
        <f>IFERROR(__xludf.DUMMYFUNCTION("""COMPUTED_VALUE"""),"JavaScript")</f>
        <v>JavaScript</v>
      </c>
      <c r="M3125" s="9" t="s">
        <v>26</v>
      </c>
    </row>
    <row r="3126" ht="15.75" customHeight="1">
      <c r="A3126" s="7"/>
      <c r="B3126" s="7" t="str">
        <f>IFERROR(__xludf.DUMMYFUNCTION("""COMPUTED_VALUE"""),"JavaScript;PHP;SQL")</f>
        <v>JavaScript;PHP;SQL</v>
      </c>
      <c r="C3126" s="9" t="str">
        <f>IFERROR(__xludf.DUMMYFUNCTION("""COMPUTED_VALUE"""),"HTML/CSS")</f>
        <v>HTML/CSS</v>
      </c>
      <c r="D3126" s="9" t="str">
        <f>IFERROR(__xludf.DUMMYFUNCTION("""COMPUTED_VALUE"""),"Python")</f>
        <v>Python</v>
      </c>
      <c r="E3126" s="9" t="str">
        <f>IFERROR(__xludf.DUMMYFUNCTION("""COMPUTED_VALUE"""),"Rust")</f>
        <v>Rust</v>
      </c>
      <c r="F3126" s="9" t="str">
        <f>IFERROR(__xludf.DUMMYFUNCTION("""COMPUTED_VALUE"""),"C#")</f>
        <v>C#</v>
      </c>
      <c r="G3126" s="9" t="str">
        <f>IFERROR(__xludf.DUMMYFUNCTION("""COMPUTED_VALUE"""),"Swift")</f>
        <v>Swift</v>
      </c>
      <c r="H3126" s="9" t="str">
        <f>IFERROR(__xludf.DUMMYFUNCTION("""COMPUTED_VALUE"""),"Ruby")</f>
        <v>Ruby</v>
      </c>
      <c r="I3126" s="9" t="str">
        <f>IFERROR(__xludf.DUMMYFUNCTION("""COMPUTED_VALUE"""),"Python")</f>
        <v>Python</v>
      </c>
      <c r="J3126" s="9" t="str">
        <f>IFERROR(__xludf.DUMMYFUNCTION("""COMPUTED_VALUE"""),"C++")</f>
        <v>C++</v>
      </c>
      <c r="K3126" s="9" t="str">
        <f>IFERROR(__xludf.DUMMYFUNCTION("""COMPUTED_VALUE"""),"Erlang")</f>
        <v>Erlang</v>
      </c>
      <c r="L3126" s="9" t="str">
        <f>IFERROR(__xludf.DUMMYFUNCTION("""COMPUTED_VALUE"""),"SQL")</f>
        <v>SQL</v>
      </c>
      <c r="M3126" s="9" t="s">
        <v>24</v>
      </c>
    </row>
    <row r="3127" ht="15.75" customHeight="1">
      <c r="A3127" s="7"/>
      <c r="B3127" s="7" t="str">
        <f>IFERROR(__xludf.DUMMYFUNCTION("""COMPUTED_VALUE"""),"HTML/CSS;Java;JavaScript;SQL")</f>
        <v>HTML/CSS;Java;JavaScript;SQL</v>
      </c>
      <c r="C3127" s="9" t="str">
        <f>IFERROR(__xludf.DUMMYFUNCTION("""COMPUTED_VALUE"""),"JavaScript")</f>
        <v>JavaScript</v>
      </c>
      <c r="D3127" s="9" t="str">
        <f>IFERROR(__xludf.DUMMYFUNCTION("""COMPUTED_VALUE"""),"VBA")</f>
        <v>VBA</v>
      </c>
      <c r="E3127" s="9" t="str">
        <f>IFERROR(__xludf.DUMMYFUNCTION("""COMPUTED_VALUE"""),"SQL")</f>
        <v>SQL</v>
      </c>
      <c r="F3127" s="9" t="str">
        <f>IFERROR(__xludf.DUMMYFUNCTION("""COMPUTED_VALUE"""),"Java")</f>
        <v>Java</v>
      </c>
      <c r="G3127" s="9" t="str">
        <f>IFERROR(__xludf.DUMMYFUNCTION("""COMPUTED_VALUE"""),"C")</f>
        <v>C</v>
      </c>
      <c r="H3127" s="9" t="str">
        <f>IFERROR(__xludf.DUMMYFUNCTION("""COMPUTED_VALUE"""),"SQL")</f>
        <v>SQL</v>
      </c>
      <c r="I3127" s="9" t="str">
        <f>IFERROR(__xludf.DUMMYFUNCTION("""COMPUTED_VALUE"""),"SQL")</f>
        <v>SQL</v>
      </c>
      <c r="J3127" s="9" t="str">
        <f>IFERROR(__xludf.DUMMYFUNCTION("""COMPUTED_VALUE"""),"HTML/CSS")</f>
        <v>HTML/CSS</v>
      </c>
      <c r="K3127" s="9" t="str">
        <f>IFERROR(__xludf.DUMMYFUNCTION("""COMPUTED_VALUE"""),"Go")</f>
        <v>Go</v>
      </c>
      <c r="L3127" s="9" t="str">
        <f>IFERROR(__xludf.DUMMYFUNCTION("""COMPUTED_VALUE"""),"HTML/CSS")</f>
        <v>HTML/CSS</v>
      </c>
      <c r="M3127" s="9" t="s">
        <v>21</v>
      </c>
    </row>
    <row r="3128" ht="15.75" customHeight="1">
      <c r="A3128" s="7"/>
      <c r="B3128" s="7" t="str">
        <f>IFERROR(__xludf.DUMMYFUNCTION("""COMPUTED_VALUE"""),"HTML/CSS;JavaScript;TypeScript")</f>
        <v>HTML/CSS;JavaScript;TypeScript</v>
      </c>
      <c r="C3128" s="9" t="str">
        <f>IFERROR(__xludf.DUMMYFUNCTION("""COMPUTED_VALUE"""),"SQL")</f>
        <v>SQL</v>
      </c>
      <c r="D3128" s="9" t="str">
        <f>IFERROR(__xludf.DUMMYFUNCTION("""COMPUTED_VALUE"""),"HTML/CSS")</f>
        <v>HTML/CSS</v>
      </c>
      <c r="E3128" s="9" t="str">
        <f>IFERROR(__xludf.DUMMYFUNCTION("""COMPUTED_VALUE"""),"C#")</f>
        <v>C#</v>
      </c>
      <c r="F3128" s="9" t="str">
        <f>IFERROR(__xludf.DUMMYFUNCTION("""COMPUTED_VALUE"""),"JavaScript")</f>
        <v>JavaScript</v>
      </c>
      <c r="G3128" s="9" t="str">
        <f>IFERROR(__xludf.DUMMYFUNCTION("""COMPUTED_VALUE"""),"Java")</f>
        <v>Java</v>
      </c>
      <c r="H3128" s="9" t="str">
        <f>IFERROR(__xludf.DUMMYFUNCTION("""COMPUTED_VALUE"""),"Java")</f>
        <v>Java</v>
      </c>
      <c r="I3128" s="9" t="str">
        <f>IFERROR(__xludf.DUMMYFUNCTION("""COMPUTED_VALUE"""),"Bash/Shell/PowerShell")</f>
        <v>Bash/Shell/PowerShell</v>
      </c>
      <c r="J3128" s="9" t="str">
        <f>IFERROR(__xludf.DUMMYFUNCTION("""COMPUTED_VALUE"""),"Python")</f>
        <v>Python</v>
      </c>
      <c r="K3128" s="9" t="str">
        <f>IFERROR(__xludf.DUMMYFUNCTION("""COMPUTED_VALUE"""),"HTML/CSS")</f>
        <v>HTML/CSS</v>
      </c>
      <c r="L3128" s="9" t="str">
        <f>IFERROR(__xludf.DUMMYFUNCTION("""COMPUTED_VALUE"""),"JavaScript")</f>
        <v>JavaScript</v>
      </c>
      <c r="M3128" s="9" t="s">
        <v>27</v>
      </c>
    </row>
    <row r="3129" ht="15.75" customHeight="1">
      <c r="A3129" s="7"/>
      <c r="B3129" s="7" t="str">
        <f>IFERROR(__xludf.DUMMYFUNCTION("""COMPUTED_VALUE"""),"Bash/Shell/PowerShell;C;C++;HTML/CSS;JavaScript;PHP;Python;SQL;Other(s):")</f>
        <v>Bash/Shell/PowerShell;C;C++;HTML/CSS;JavaScript;PHP;Python;SQL;Other(s):</v>
      </c>
      <c r="C3129" s="9" t="str">
        <f>IFERROR(__xludf.DUMMYFUNCTION("""COMPUTED_VALUE"""),"C")</f>
        <v>C</v>
      </c>
      <c r="D3129" s="9" t="str">
        <f>IFERROR(__xludf.DUMMYFUNCTION("""COMPUTED_VALUE"""),"Java")</f>
        <v>Java</v>
      </c>
      <c r="E3129" s="9" t="str">
        <f>IFERROR(__xludf.DUMMYFUNCTION("""COMPUTED_VALUE"""),"JavaScript")</f>
        <v>JavaScript</v>
      </c>
      <c r="F3129" s="9" t="str">
        <f>IFERROR(__xludf.DUMMYFUNCTION("""COMPUTED_VALUE"""),"Kotlin")</f>
        <v>Kotlin</v>
      </c>
      <c r="G3129" s="9" t="str">
        <f>IFERROR(__xludf.DUMMYFUNCTION("""COMPUTED_VALUE"""),"C#")</f>
        <v>C#</v>
      </c>
      <c r="H3129" s="9" t="str">
        <f>IFERROR(__xludf.DUMMYFUNCTION("""COMPUTED_VALUE"""),"Kotlin")</f>
        <v>Kotlin</v>
      </c>
      <c r="I3129" s="9" t="str">
        <f>IFERROR(__xludf.DUMMYFUNCTION("""COMPUTED_VALUE"""),"HTML/CSS")</f>
        <v>HTML/CSS</v>
      </c>
      <c r="J3129" s="9" t="str">
        <f>IFERROR(__xludf.DUMMYFUNCTION("""COMPUTED_VALUE"""),"VBA")</f>
        <v>VBA</v>
      </c>
      <c r="K3129" s="9" t="str">
        <f>IFERROR(__xludf.DUMMYFUNCTION("""COMPUTED_VALUE"""),"PHP")</f>
        <v>PHP</v>
      </c>
      <c r="L3129" s="9" t="str">
        <f>IFERROR(__xludf.DUMMYFUNCTION("""COMPUTED_VALUE"""),"TypeScript")</f>
        <v>TypeScript</v>
      </c>
      <c r="M3129" s="9" t="s">
        <v>25</v>
      </c>
    </row>
    <row r="3130" ht="15.75" customHeight="1">
      <c r="A3130" s="7"/>
      <c r="B3130" s="7" t="str">
        <f>IFERROR(__xludf.DUMMYFUNCTION("""COMPUTED_VALUE"""),"C#;HTML/CSS;JavaScript;TypeScript")</f>
        <v>C#;HTML/CSS;JavaScript;TypeScript</v>
      </c>
      <c r="C3130" s="9" t="str">
        <f>IFERROR(__xludf.DUMMYFUNCTION("""COMPUTED_VALUE"""),"C++")</f>
        <v>C++</v>
      </c>
      <c r="D3130" s="9" t="str">
        <f>IFERROR(__xludf.DUMMYFUNCTION("""COMPUTED_VALUE"""),"JavaScript")</f>
        <v>JavaScript</v>
      </c>
      <c r="E3130" s="9" t="str">
        <f>IFERROR(__xludf.DUMMYFUNCTION("""COMPUTED_VALUE"""),"TypeScript")</f>
        <v>TypeScript</v>
      </c>
      <c r="F3130" s="9" t="str">
        <f>IFERROR(__xludf.DUMMYFUNCTION("""COMPUTED_VALUE"""),"PHP")</f>
        <v>PHP</v>
      </c>
      <c r="G3130" s="9" t="str">
        <f>IFERROR(__xludf.DUMMYFUNCTION("""COMPUTED_VALUE"""),"HTML/CSS")</f>
        <v>HTML/CSS</v>
      </c>
      <c r="H3130" s="9" t="str">
        <f>IFERROR(__xludf.DUMMYFUNCTION("""COMPUTED_VALUE"""),"HTML/CSS")</f>
        <v>HTML/CSS</v>
      </c>
      <c r="I3130" s="9" t="str">
        <f>IFERROR(__xludf.DUMMYFUNCTION("""COMPUTED_VALUE"""),"JavaScript")</f>
        <v>JavaScript</v>
      </c>
      <c r="J3130" s="9" t="str">
        <f>IFERROR(__xludf.DUMMYFUNCTION("""COMPUTED_VALUE"""),"C")</f>
        <v>C</v>
      </c>
      <c r="K3130" s="9" t="str">
        <f>IFERROR(__xludf.DUMMYFUNCTION("""COMPUTED_VALUE"""),"Python")</f>
        <v>Python</v>
      </c>
      <c r="L3130" s="9" t="str">
        <f>IFERROR(__xludf.DUMMYFUNCTION("""COMPUTED_VALUE"""),"C")</f>
        <v>C</v>
      </c>
      <c r="M3130" s="9" t="s">
        <v>23</v>
      </c>
    </row>
    <row r="3131" ht="15.75" customHeight="1">
      <c r="A3131" s="7"/>
      <c r="B3131" s="7" t="str">
        <f>IFERROR(__xludf.DUMMYFUNCTION("""COMPUTED_VALUE"""),"Bash/Shell/PowerShell;C#;HTML/CSS;JavaScript;SQL")</f>
        <v>Bash/Shell/PowerShell;C#;HTML/CSS;JavaScript;SQL</v>
      </c>
      <c r="C3131" s="9" t="str">
        <f>IFERROR(__xludf.DUMMYFUNCTION("""COMPUTED_VALUE"""),"Python")</f>
        <v>Python</v>
      </c>
      <c r="D3131" s="9" t="str">
        <f>IFERROR(__xludf.DUMMYFUNCTION("""COMPUTED_VALUE"""),"PHP")</f>
        <v>PHP</v>
      </c>
      <c r="E3131" s="9" t="str">
        <f>IFERROR(__xludf.DUMMYFUNCTION("""COMPUTED_VALUE"""),"HTML/CSS")</f>
        <v>HTML/CSS</v>
      </c>
      <c r="F3131" s="9" t="str">
        <f>IFERROR(__xludf.DUMMYFUNCTION("""COMPUTED_VALUE"""),"Python")</f>
        <v>Python</v>
      </c>
      <c r="G3131" s="9" t="str">
        <f>IFERROR(__xludf.DUMMYFUNCTION("""COMPUTED_VALUE"""),"JavaScript")</f>
        <v>JavaScript</v>
      </c>
      <c r="H3131" s="9" t="str">
        <f>IFERROR(__xludf.DUMMYFUNCTION("""COMPUTED_VALUE"""),"SQL")</f>
        <v>SQL</v>
      </c>
      <c r="I3131" s="9" t="str">
        <f>IFERROR(__xludf.DUMMYFUNCTION("""COMPUTED_VALUE"""),"SQL")</f>
        <v>SQL</v>
      </c>
      <c r="J3131" s="9" t="str">
        <f>IFERROR(__xludf.DUMMYFUNCTION("""COMPUTED_VALUE"""),"C++")</f>
        <v>C++</v>
      </c>
      <c r="K3131" s="9" t="str">
        <f>IFERROR(__xludf.DUMMYFUNCTION("""COMPUTED_VALUE"""),"Ruby")</f>
        <v>Ruby</v>
      </c>
      <c r="L3131" s="9" t="str">
        <f>IFERROR(__xludf.DUMMYFUNCTION("""COMPUTED_VALUE"""),"C++")</f>
        <v>C++</v>
      </c>
      <c r="M3131" s="9" t="s">
        <v>22</v>
      </c>
    </row>
    <row r="3132" ht="15.75" customHeight="1">
      <c r="A3132" s="7"/>
      <c r="B3132" s="7" t="str">
        <f>IFERROR(__xludf.DUMMYFUNCTION("""COMPUTED_VALUE"""),"C;C#;HTML/CSS;Java;JavaScript;PHP;VBA")</f>
        <v>C;C#;HTML/CSS;Java;JavaScript;PHP;VBA</v>
      </c>
      <c r="C3132" s="9" t="str">
        <f>IFERROR(__xludf.DUMMYFUNCTION("""COMPUTED_VALUE"""),"Rust")</f>
        <v>Rust</v>
      </c>
      <c r="D3132" s="9" t="str">
        <f>IFERROR(__xludf.DUMMYFUNCTION("""COMPUTED_VALUE"""),"SQL")</f>
        <v>SQL</v>
      </c>
      <c r="E3132" s="9" t="str">
        <f>IFERROR(__xludf.DUMMYFUNCTION("""COMPUTED_VALUE"""),"SQL")</f>
        <v>SQL</v>
      </c>
      <c r="F3132" s="9" t="str">
        <f>IFERROR(__xludf.DUMMYFUNCTION("""COMPUTED_VALUE"""),"SQL")</f>
        <v>SQL</v>
      </c>
      <c r="G3132" s="9" t="str">
        <f>IFERROR(__xludf.DUMMYFUNCTION("""COMPUTED_VALUE"""),"TypeScript")</f>
        <v>TypeScript</v>
      </c>
      <c r="H3132" s="9" t="str">
        <f>IFERROR(__xludf.DUMMYFUNCTION("""COMPUTED_VALUE"""),"Bash/Shell/PowerShell")</f>
        <v>Bash/Shell/PowerShell</v>
      </c>
      <c r="I3132" s="9" t="str">
        <f>IFERROR(__xludf.DUMMYFUNCTION("""COMPUTED_VALUE"""),"Swift")</f>
        <v>Swift</v>
      </c>
      <c r="J3132" s="9" t="str">
        <f>IFERROR(__xludf.DUMMYFUNCTION("""COMPUTED_VALUE"""),"C#")</f>
        <v>C#</v>
      </c>
      <c r="K3132" s="9" t="str">
        <f>IFERROR(__xludf.DUMMYFUNCTION("""COMPUTED_VALUE"""),"SQL")</f>
        <v>SQL</v>
      </c>
      <c r="L3132" s="9" t="str">
        <f>IFERROR(__xludf.DUMMYFUNCTION("""COMPUTED_VALUE"""),"HTML/CSS")</f>
        <v>HTML/CSS</v>
      </c>
      <c r="M3132" s="9" t="s">
        <v>32</v>
      </c>
    </row>
    <row r="3133" ht="15.75" customHeight="1">
      <c r="A3133" s="7"/>
      <c r="B3133" s="7" t="str">
        <f>IFERROR(__xludf.DUMMYFUNCTION("""COMPUTED_VALUE"""),"Bash/Shell/PowerShell;C#;Go;HTML/CSS;Java;JavaScript;Python;SQL;TypeScript")</f>
        <v>Bash/Shell/PowerShell;C#;Go;HTML/CSS;Java;JavaScript;Python;SQL;TypeScript</v>
      </c>
      <c r="C3133" s="9" t="str">
        <f>IFERROR(__xludf.DUMMYFUNCTION("""COMPUTED_VALUE"""),"C")</f>
        <v>C</v>
      </c>
      <c r="D3133" s="9" t="str">
        <f>IFERROR(__xludf.DUMMYFUNCTION("""COMPUTED_VALUE"""),"TypeScript")</f>
        <v>TypeScript</v>
      </c>
      <c r="E3133" s="9" t="str">
        <f>IFERROR(__xludf.DUMMYFUNCTION("""COMPUTED_VALUE"""),"C#")</f>
        <v>C#</v>
      </c>
      <c r="F3133" s="9" t="str">
        <f>IFERROR(__xludf.DUMMYFUNCTION("""COMPUTED_VALUE"""),"C")</f>
        <v>C</v>
      </c>
      <c r="G3133" s="9" t="str">
        <f>IFERROR(__xludf.DUMMYFUNCTION("""COMPUTED_VALUE"""),"Bash/Shell/PowerShell")</f>
        <v>Bash/Shell/PowerShell</v>
      </c>
      <c r="H3133" s="9" t="str">
        <f>IFERROR(__xludf.DUMMYFUNCTION("""COMPUTED_VALUE"""),"Go")</f>
        <v>Go</v>
      </c>
      <c r="I3133" s="9" t="str">
        <f>IFERROR(__xludf.DUMMYFUNCTION("""COMPUTED_VALUE"""),"C#")</f>
        <v>C#</v>
      </c>
      <c r="J3133" s="9" t="str">
        <f>IFERROR(__xludf.DUMMYFUNCTION("""COMPUTED_VALUE"""),"HTML/CSS")</f>
        <v>HTML/CSS</v>
      </c>
      <c r="K3133" s="9" t="str">
        <f>IFERROR(__xludf.DUMMYFUNCTION("""COMPUTED_VALUE"""),"HTML/CSS")</f>
        <v>HTML/CSS</v>
      </c>
      <c r="L3133" s="9" t="str">
        <f>IFERROR(__xludf.DUMMYFUNCTION("""COMPUTED_VALUE"""),"JavaScript")</f>
        <v>JavaScript</v>
      </c>
      <c r="M3133" s="9" t="s">
        <v>25</v>
      </c>
    </row>
    <row r="3134" ht="15.75" customHeight="1">
      <c r="A3134" s="7"/>
      <c r="B3134" s="7" t="str">
        <f>IFERROR(__xludf.DUMMYFUNCTION("""COMPUTED_VALUE"""),"Bash/Shell/PowerShell;HTML/CSS;Scala;SQL")</f>
        <v>Bash/Shell/PowerShell;HTML/CSS;Scala;SQL</v>
      </c>
      <c r="C3134" s="9" t="str">
        <f>IFERROR(__xludf.DUMMYFUNCTION("""COMPUTED_VALUE"""),"C++")</f>
        <v>C++</v>
      </c>
      <c r="D3134" s="9" t="str">
        <f>IFERROR(__xludf.DUMMYFUNCTION("""COMPUTED_VALUE"""),"Other(s):")</f>
        <v>Other(s):</v>
      </c>
      <c r="E3134" s="9" t="str">
        <f>IFERROR(__xludf.DUMMYFUNCTION("""COMPUTED_VALUE"""),"HTML/CSS")</f>
        <v>HTML/CSS</v>
      </c>
      <c r="F3134" s="9" t="str">
        <f>IFERROR(__xludf.DUMMYFUNCTION("""COMPUTED_VALUE"""),"C#")</f>
        <v>C#</v>
      </c>
      <c r="G3134" s="9" t="str">
        <f>IFERROR(__xludf.DUMMYFUNCTION("""COMPUTED_VALUE"""),"C#")</f>
        <v>C#</v>
      </c>
      <c r="H3134" s="9" t="str">
        <f>IFERROR(__xludf.DUMMYFUNCTION("""COMPUTED_VALUE"""),"HTML/CSS")</f>
        <v>HTML/CSS</v>
      </c>
      <c r="I3134" s="9" t="str">
        <f>IFERROR(__xludf.DUMMYFUNCTION("""COMPUTED_VALUE"""),"SQL")</f>
        <v>SQL</v>
      </c>
      <c r="J3134" s="9" t="str">
        <f>IFERROR(__xludf.DUMMYFUNCTION("""COMPUTED_VALUE"""),"Java")</f>
        <v>Java</v>
      </c>
      <c r="K3134" s="9" t="str">
        <f>IFERROR(__xludf.DUMMYFUNCTION("""COMPUTED_VALUE"""),"Python")</f>
        <v>Python</v>
      </c>
      <c r="L3134" s="9" t="str">
        <f>IFERROR(__xludf.DUMMYFUNCTION("""COMPUTED_VALUE"""),"PHP")</f>
        <v>PHP</v>
      </c>
      <c r="M3134" s="9" t="s">
        <v>23</v>
      </c>
    </row>
    <row r="3135" ht="15.75" customHeight="1">
      <c r="A3135" s="7"/>
      <c r="B3135" s="7" t="str">
        <f>IFERROR(__xludf.DUMMYFUNCTION("""COMPUTED_VALUE"""),"HTML/CSS;Java;JavaScript;TypeScript")</f>
        <v>HTML/CSS;Java;JavaScript;TypeScript</v>
      </c>
      <c r="C3135" s="9" t="str">
        <f>IFERROR(__xludf.DUMMYFUNCTION("""COMPUTED_VALUE"""),"C#")</f>
        <v>C#</v>
      </c>
      <c r="D3135" s="9" t="str">
        <f>IFERROR(__xludf.DUMMYFUNCTION("""COMPUTED_VALUE"""),"Bash/Shell/PowerShell")</f>
        <v>Bash/Shell/PowerShell</v>
      </c>
      <c r="E3135" s="9" t="str">
        <f>IFERROR(__xludf.DUMMYFUNCTION("""COMPUTED_VALUE"""),"Java")</f>
        <v>Java</v>
      </c>
      <c r="F3135" s="9" t="str">
        <f>IFERROR(__xludf.DUMMYFUNCTION("""COMPUTED_VALUE"""),"JavaScript")</f>
        <v>JavaScript</v>
      </c>
      <c r="G3135" s="9" t="str">
        <f>IFERROR(__xludf.DUMMYFUNCTION("""COMPUTED_VALUE"""),"SQL")</f>
        <v>SQL</v>
      </c>
      <c r="H3135" s="9" t="str">
        <f>IFERROR(__xludf.DUMMYFUNCTION("""COMPUTED_VALUE"""),"JavaScript")</f>
        <v>JavaScript</v>
      </c>
      <c r="I3135" s="9" t="str">
        <f>IFERROR(__xludf.DUMMYFUNCTION("""COMPUTED_VALUE"""),"C#")</f>
        <v>C#</v>
      </c>
      <c r="J3135" s="9" t="str">
        <f>IFERROR(__xludf.DUMMYFUNCTION("""COMPUTED_VALUE"""),"JavaScript")</f>
        <v>JavaScript</v>
      </c>
      <c r="K3135" s="9" t="str">
        <f>IFERROR(__xludf.DUMMYFUNCTION("""COMPUTED_VALUE"""),"Java")</f>
        <v>Java</v>
      </c>
      <c r="L3135" s="9" t="str">
        <f>IFERROR(__xludf.DUMMYFUNCTION("""COMPUTED_VALUE"""),"Python")</f>
        <v>Python</v>
      </c>
      <c r="M3135" s="9" t="s">
        <v>26</v>
      </c>
    </row>
    <row r="3136" ht="15.75" customHeight="1">
      <c r="A3136" s="7"/>
      <c r="B3136" s="7" t="str">
        <f>IFERROR(__xludf.DUMMYFUNCTION("""COMPUTED_VALUE"""),"HTML/CSS;JavaScript;Python;TypeScript")</f>
        <v>HTML/CSS;JavaScript;Python;TypeScript</v>
      </c>
      <c r="C3136" s="9" t="str">
        <f>IFERROR(__xludf.DUMMYFUNCTION("""COMPUTED_VALUE"""),"HTML/CSS")</f>
        <v>HTML/CSS</v>
      </c>
      <c r="D3136" s="9" t="str">
        <f>IFERROR(__xludf.DUMMYFUNCTION("""COMPUTED_VALUE"""),"Java")</f>
        <v>Java</v>
      </c>
      <c r="E3136" s="9" t="str">
        <f>IFERROR(__xludf.DUMMYFUNCTION("""COMPUTED_VALUE"""),"JavaScript")</f>
        <v>JavaScript</v>
      </c>
      <c r="F3136" s="9" t="str">
        <f>IFERROR(__xludf.DUMMYFUNCTION("""COMPUTED_VALUE"""),"Assembly")</f>
        <v>Assembly</v>
      </c>
      <c r="G3136" s="9" t="str">
        <f>IFERROR(__xludf.DUMMYFUNCTION("""COMPUTED_VALUE"""),"Bash/Shell/PowerShell")</f>
        <v>Bash/Shell/PowerShell</v>
      </c>
      <c r="H3136" s="9" t="str">
        <f>IFERROR(__xludf.DUMMYFUNCTION("""COMPUTED_VALUE"""),"Rust")</f>
        <v>Rust</v>
      </c>
      <c r="I3136" s="9" t="str">
        <f>IFERROR(__xludf.DUMMYFUNCTION("""COMPUTED_VALUE"""),"HTML/CSS")</f>
        <v>HTML/CSS</v>
      </c>
      <c r="J3136" s="9" t="str">
        <f>IFERROR(__xludf.DUMMYFUNCTION("""COMPUTED_VALUE"""),"PHP")</f>
        <v>PHP</v>
      </c>
      <c r="K3136" s="9" t="str">
        <f>IFERROR(__xludf.DUMMYFUNCTION("""COMPUTED_VALUE"""),"C++")</f>
        <v>C++</v>
      </c>
      <c r="L3136" s="9" t="str">
        <f>IFERROR(__xludf.DUMMYFUNCTION("""COMPUTED_VALUE"""),"TypeScript")</f>
        <v>TypeScript</v>
      </c>
      <c r="M3136" s="9" t="s">
        <v>24</v>
      </c>
    </row>
    <row r="3137" ht="15.75" customHeight="1">
      <c r="A3137" s="7"/>
      <c r="B3137" s="7" t="str">
        <f>IFERROR(__xludf.DUMMYFUNCTION("""COMPUTED_VALUE"""),"Bash/Shell/PowerShell;C;C++;HTML/CSS;Java;JavaScript;Python;SQL;Other(s):")</f>
        <v>Bash/Shell/PowerShell;C;C++;HTML/CSS;Java;JavaScript;Python;SQL;Other(s):</v>
      </c>
      <c r="C3137" s="9" t="str">
        <f>IFERROR(__xludf.DUMMYFUNCTION("""COMPUTED_VALUE"""),"Java")</f>
        <v>Java</v>
      </c>
      <c r="D3137" s="9" t="str">
        <f>IFERROR(__xludf.DUMMYFUNCTION("""COMPUTED_VALUE"""),"JavaScript")</f>
        <v>JavaScript</v>
      </c>
      <c r="E3137" s="9" t="str">
        <f>IFERROR(__xludf.DUMMYFUNCTION("""COMPUTED_VALUE"""),"PHP")</f>
        <v>PHP</v>
      </c>
      <c r="F3137" s="9" t="str">
        <f>IFERROR(__xludf.DUMMYFUNCTION("""COMPUTED_VALUE"""),"C")</f>
        <v>C</v>
      </c>
      <c r="G3137" s="9" t="str">
        <f>IFERROR(__xludf.DUMMYFUNCTION("""COMPUTED_VALUE"""),"C#")</f>
        <v>C#</v>
      </c>
      <c r="H3137" s="9" t="str">
        <f>IFERROR(__xludf.DUMMYFUNCTION("""COMPUTED_VALUE"""),"TypeScript")</f>
        <v>TypeScript</v>
      </c>
      <c r="I3137" s="9" t="str">
        <f>IFERROR(__xludf.DUMMYFUNCTION("""COMPUTED_VALUE"""),"JavaScript")</f>
        <v>JavaScript</v>
      </c>
      <c r="J3137" s="9" t="str">
        <f>IFERROR(__xludf.DUMMYFUNCTION("""COMPUTED_VALUE"""),"Python")</f>
        <v>Python</v>
      </c>
      <c r="K3137" s="9" t="str">
        <f>IFERROR(__xludf.DUMMYFUNCTION("""COMPUTED_VALUE"""),"C#")</f>
        <v>C#</v>
      </c>
      <c r="L3137" s="9" t="str">
        <f>IFERROR(__xludf.DUMMYFUNCTION("""COMPUTED_VALUE"""),"HTML/CSS")</f>
        <v>HTML/CSS</v>
      </c>
      <c r="M3137" s="9" t="s">
        <v>20</v>
      </c>
    </row>
    <row r="3138" ht="15.75" customHeight="1">
      <c r="A3138" s="7"/>
      <c r="B3138" s="7" t="str">
        <f>IFERROR(__xludf.DUMMYFUNCTION("""COMPUTED_VALUE"""),"Bash/Shell/PowerShell;Python;Scala;SQL")</f>
        <v>Bash/Shell/PowerShell;Python;Scala;SQL</v>
      </c>
      <c r="C3138" s="9" t="str">
        <f>IFERROR(__xludf.DUMMYFUNCTION("""COMPUTED_VALUE"""),"JavaScript")</f>
        <v>JavaScript</v>
      </c>
      <c r="D3138" s="9" t="str">
        <f>IFERROR(__xludf.DUMMYFUNCTION("""COMPUTED_VALUE"""),"Python")</f>
        <v>Python</v>
      </c>
      <c r="E3138" s="9" t="str">
        <f>IFERROR(__xludf.DUMMYFUNCTION("""COMPUTED_VALUE"""),"SQL")</f>
        <v>SQL</v>
      </c>
      <c r="F3138" s="9" t="str">
        <f>IFERROR(__xludf.DUMMYFUNCTION("""COMPUTED_VALUE"""),"Python")</f>
        <v>Python</v>
      </c>
      <c r="G3138" s="9" t="str">
        <f>IFERROR(__xludf.DUMMYFUNCTION("""COMPUTED_VALUE"""),"Dart")</f>
        <v>Dart</v>
      </c>
      <c r="H3138" s="9" t="str">
        <f>IFERROR(__xludf.DUMMYFUNCTION("""COMPUTED_VALUE"""),"HTML/CSS")</f>
        <v>HTML/CSS</v>
      </c>
      <c r="I3138" s="9" t="str">
        <f>IFERROR(__xludf.DUMMYFUNCTION("""COMPUTED_VALUE"""),"SQL")</f>
        <v>SQL</v>
      </c>
      <c r="J3138" s="9" t="str">
        <f>IFERROR(__xludf.DUMMYFUNCTION("""COMPUTED_VALUE"""),"SQL")</f>
        <v>SQL</v>
      </c>
      <c r="K3138" s="9" t="str">
        <f>IFERROR(__xludf.DUMMYFUNCTION("""COMPUTED_VALUE"""),"HTML/CSS")</f>
        <v>HTML/CSS</v>
      </c>
      <c r="L3138" s="9" t="str">
        <f>IFERROR(__xludf.DUMMYFUNCTION("""COMPUTED_VALUE"""),"PHP")</f>
        <v>PHP</v>
      </c>
      <c r="M3138" s="9" t="s">
        <v>21</v>
      </c>
    </row>
    <row r="3139" ht="15.75" customHeight="1">
      <c r="A3139" s="7"/>
      <c r="B3139" s="7" t="str">
        <f>IFERROR(__xludf.DUMMYFUNCTION("""COMPUTED_VALUE"""),"Bash/Shell/PowerShell;C;C++;C#;Go;HTML/CSS;JavaScript;Python;SQL")</f>
        <v>Bash/Shell/PowerShell;C;C++;C#;Go;HTML/CSS;JavaScript;Python;SQL</v>
      </c>
      <c r="C3139" s="9" t="str">
        <f>IFERROR(__xludf.DUMMYFUNCTION("""COMPUTED_VALUE"""),"Objective-C")</f>
        <v>Objective-C</v>
      </c>
      <c r="D3139" s="9" t="str">
        <f>IFERROR(__xludf.DUMMYFUNCTION("""COMPUTED_VALUE"""),"Scala")</f>
        <v>Scala</v>
      </c>
      <c r="E3139" s="9" t="str">
        <f>IFERROR(__xludf.DUMMYFUNCTION("""COMPUTED_VALUE"""),"VBA")</f>
        <v>VBA</v>
      </c>
      <c r="F3139" s="9" t="str">
        <f>IFERROR(__xludf.DUMMYFUNCTION("""COMPUTED_VALUE"""),"C#")</f>
        <v>C#</v>
      </c>
      <c r="G3139" s="9" t="str">
        <f>IFERROR(__xludf.DUMMYFUNCTION("""COMPUTED_VALUE"""),"HTML/CSS")</f>
        <v>HTML/CSS</v>
      </c>
      <c r="H3139" s="9" t="str">
        <f>IFERROR(__xludf.DUMMYFUNCTION("""COMPUTED_VALUE"""),"JavaScript")</f>
        <v>JavaScript</v>
      </c>
      <c r="I3139" s="9" t="str">
        <f>IFERROR(__xludf.DUMMYFUNCTION("""COMPUTED_VALUE"""),"C#")</f>
        <v>C#</v>
      </c>
      <c r="J3139" s="9" t="str">
        <f>IFERROR(__xludf.DUMMYFUNCTION("""COMPUTED_VALUE"""),"Bash/Shell/PowerShell")</f>
        <v>Bash/Shell/PowerShell</v>
      </c>
      <c r="K3139" s="9" t="str">
        <f>IFERROR(__xludf.DUMMYFUNCTION("""COMPUTED_VALUE"""),"SQL")</f>
        <v>SQL</v>
      </c>
      <c r="L3139" s="9" t="str">
        <f>IFERROR(__xludf.DUMMYFUNCTION("""COMPUTED_VALUE"""),"SQL")</f>
        <v>SQL</v>
      </c>
      <c r="M3139" s="9" t="s">
        <v>41</v>
      </c>
    </row>
    <row r="3140" ht="15.75" customHeight="1">
      <c r="A3140" s="7"/>
      <c r="B3140" s="7" t="str">
        <f>IFERROR(__xludf.DUMMYFUNCTION("""COMPUTED_VALUE"""),"Bash/Shell/PowerShell;HTML/CSS;JavaScript;PHP;SQL;TypeScript")</f>
        <v>Bash/Shell/PowerShell;HTML/CSS;JavaScript;PHP;SQL;TypeScript</v>
      </c>
      <c r="C3140" s="9" t="str">
        <f>IFERROR(__xludf.DUMMYFUNCTION("""COMPUTED_VALUE"""),"Scala")</f>
        <v>Scala</v>
      </c>
      <c r="D3140" s="9" t="str">
        <f>IFERROR(__xludf.DUMMYFUNCTION("""COMPUTED_VALUE"""),"Assembly")</f>
        <v>Assembly</v>
      </c>
      <c r="E3140" s="9" t="str">
        <f>IFERROR(__xludf.DUMMYFUNCTION("""COMPUTED_VALUE"""),"C#")</f>
        <v>C#</v>
      </c>
      <c r="F3140" s="9" t="str">
        <f>IFERROR(__xludf.DUMMYFUNCTION("""COMPUTED_VALUE"""),"HTML/CSS")</f>
        <v>HTML/CSS</v>
      </c>
      <c r="G3140" s="9" t="str">
        <f>IFERROR(__xludf.DUMMYFUNCTION("""COMPUTED_VALUE"""),"JavaScript")</f>
        <v>JavaScript</v>
      </c>
      <c r="H3140" s="9" t="str">
        <f>IFERROR(__xludf.DUMMYFUNCTION("""COMPUTED_VALUE"""),"TypeScript")</f>
        <v>TypeScript</v>
      </c>
      <c r="I3140" s="9" t="str">
        <f>IFERROR(__xludf.DUMMYFUNCTION("""COMPUTED_VALUE"""),"HTML/CSS")</f>
        <v>HTML/CSS</v>
      </c>
      <c r="J3140" s="9" t="str">
        <f>IFERROR(__xludf.DUMMYFUNCTION("""COMPUTED_VALUE"""),"C#")</f>
        <v>C#</v>
      </c>
      <c r="K3140" s="9" t="str">
        <f>IFERROR(__xludf.DUMMYFUNCTION("""COMPUTED_VALUE"""),"Assembly")</f>
        <v>Assembly</v>
      </c>
      <c r="L3140" s="9" t="str">
        <f>IFERROR(__xludf.DUMMYFUNCTION("""COMPUTED_VALUE"""),"C#")</f>
        <v>C#</v>
      </c>
      <c r="M3140" s="9" t="s">
        <v>46</v>
      </c>
    </row>
    <row r="3141" ht="15.75" customHeight="1">
      <c r="A3141" s="7"/>
      <c r="B3141" s="7" t="str">
        <f>IFERROR(__xludf.DUMMYFUNCTION("""COMPUTED_VALUE"""),"C;C++;Go;Java;JavaScript;Python;R;SQL")</f>
        <v>C;C++;Go;Java;JavaScript;Python;R;SQL</v>
      </c>
      <c r="C3141" s="9" t="str">
        <f>IFERROR(__xludf.DUMMYFUNCTION("""COMPUTED_VALUE"""),"SQL")</f>
        <v>SQL</v>
      </c>
      <c r="D3141" s="9" t="str">
        <f>IFERROR(__xludf.DUMMYFUNCTION("""COMPUTED_VALUE"""),"Java")</f>
        <v>Java</v>
      </c>
      <c r="E3141" s="9" t="str">
        <f>IFERROR(__xludf.DUMMYFUNCTION("""COMPUTED_VALUE"""),"JavaScript")</f>
        <v>JavaScript</v>
      </c>
      <c r="F3141" s="9" t="str">
        <f>IFERROR(__xludf.DUMMYFUNCTION("""COMPUTED_VALUE"""),"JavaScript")</f>
        <v>JavaScript</v>
      </c>
      <c r="G3141" s="9" t="str">
        <f>IFERROR(__xludf.DUMMYFUNCTION("""COMPUTED_VALUE"""),"Python")</f>
        <v>Python</v>
      </c>
      <c r="H3141" s="9" t="str">
        <f>IFERROR(__xludf.DUMMYFUNCTION("""COMPUTED_VALUE"""),"Bash/Shell/PowerShell")</f>
        <v>Bash/Shell/PowerShell</v>
      </c>
      <c r="I3141" s="9" t="str">
        <f>IFERROR(__xludf.DUMMYFUNCTION("""COMPUTED_VALUE"""),"JavaScript")</f>
        <v>JavaScript</v>
      </c>
      <c r="J3141" s="9" t="str">
        <f>IFERROR(__xludf.DUMMYFUNCTION("""COMPUTED_VALUE"""),"HTML/CSS")</f>
        <v>HTML/CSS</v>
      </c>
      <c r="K3141" s="9" t="str">
        <f>IFERROR(__xludf.DUMMYFUNCTION("""COMPUTED_VALUE"""),"Bash/Shell/PowerShell")</f>
        <v>Bash/Shell/PowerShell</v>
      </c>
      <c r="L3141" s="9" t="str">
        <f>IFERROR(__xludf.DUMMYFUNCTION("""COMPUTED_VALUE"""),"Java")</f>
        <v>Java</v>
      </c>
      <c r="M3141" s="9" t="s">
        <v>27</v>
      </c>
    </row>
    <row r="3142" ht="15.75" customHeight="1">
      <c r="A3142" s="7"/>
      <c r="B3142" s="7" t="str">
        <f>IFERROR(__xludf.DUMMYFUNCTION("""COMPUTED_VALUE"""),"Other(s):")</f>
        <v>Other(s):</v>
      </c>
      <c r="C3142" s="9" t="str">
        <f>IFERROR(__xludf.DUMMYFUNCTION("""COMPUTED_VALUE"""),"Swift")</f>
        <v>Swift</v>
      </c>
      <c r="D3142" s="9" t="str">
        <f>IFERROR(__xludf.DUMMYFUNCTION("""COMPUTED_VALUE"""),"Scala")</f>
        <v>Scala</v>
      </c>
      <c r="E3142" s="9" t="str">
        <f>IFERROR(__xludf.DUMMYFUNCTION("""COMPUTED_VALUE"""),"TypeScript")</f>
        <v>TypeScript</v>
      </c>
      <c r="F3142" s="9" t="str">
        <f>IFERROR(__xludf.DUMMYFUNCTION("""COMPUTED_VALUE"""),"PHP")</f>
        <v>PHP</v>
      </c>
      <c r="G3142" s="9" t="str">
        <f>IFERROR(__xludf.DUMMYFUNCTION("""COMPUTED_VALUE"""),"Ruby")</f>
        <v>Ruby</v>
      </c>
      <c r="H3142" s="9" t="str">
        <f>IFERROR(__xludf.DUMMYFUNCTION("""COMPUTED_VALUE"""),"HTML/CSS")</f>
        <v>HTML/CSS</v>
      </c>
      <c r="I3142" s="9" t="str">
        <f>IFERROR(__xludf.DUMMYFUNCTION("""COMPUTED_VALUE"""),"Python")</f>
        <v>Python</v>
      </c>
      <c r="J3142" s="9" t="str">
        <f>IFERROR(__xludf.DUMMYFUNCTION("""COMPUTED_VALUE"""),"JavaScript")</f>
        <v>JavaScript</v>
      </c>
      <c r="K3142" s="9" t="str">
        <f>IFERROR(__xludf.DUMMYFUNCTION("""COMPUTED_VALUE"""),"C")</f>
        <v>C</v>
      </c>
      <c r="L3142" s="9" t="str">
        <f>IFERROR(__xludf.DUMMYFUNCTION("""COMPUTED_VALUE"""),"JavaScript")</f>
        <v>JavaScript</v>
      </c>
      <c r="M3142" s="9" t="s">
        <v>40</v>
      </c>
    </row>
    <row r="3143" ht="15.75" customHeight="1">
      <c r="A3143" s="7"/>
      <c r="B3143" s="7" t="str">
        <f>IFERROR(__xludf.DUMMYFUNCTION("""COMPUTED_VALUE"""),"Bash/Shell/PowerShell;C;C++;HTML/CSS;Java;JavaScript;Python;Rust")</f>
        <v>Bash/Shell/PowerShell;C;C++;HTML/CSS;Java;JavaScript;Python;Rust</v>
      </c>
      <c r="C3143" s="9" t="str">
        <f>IFERROR(__xludf.DUMMYFUNCTION("""COMPUTED_VALUE"""),"TypeScript")</f>
        <v>TypeScript</v>
      </c>
      <c r="D3143" s="9" t="str">
        <f>IFERROR(__xludf.DUMMYFUNCTION("""COMPUTED_VALUE"""),"SQL")</f>
        <v>SQL</v>
      </c>
      <c r="E3143" s="9" t="str">
        <f>IFERROR(__xludf.DUMMYFUNCTION("""COMPUTED_VALUE"""),"C#")</f>
        <v>C#</v>
      </c>
      <c r="F3143" s="9" t="str">
        <f>IFERROR(__xludf.DUMMYFUNCTION("""COMPUTED_VALUE"""),"SQL")</f>
        <v>SQL</v>
      </c>
      <c r="G3143" s="9" t="str">
        <f>IFERROR(__xludf.DUMMYFUNCTION("""COMPUTED_VALUE"""),"SQL")</f>
        <v>SQL</v>
      </c>
      <c r="H3143" s="9" t="str">
        <f>IFERROR(__xludf.DUMMYFUNCTION("""COMPUTED_VALUE"""),"JavaScript")</f>
        <v>JavaScript</v>
      </c>
      <c r="I3143" s="9" t="str">
        <f>IFERROR(__xludf.DUMMYFUNCTION("""COMPUTED_VALUE"""),"SQL")</f>
        <v>SQL</v>
      </c>
      <c r="J3143" s="9" t="str">
        <f>IFERROR(__xludf.DUMMYFUNCTION("""COMPUTED_VALUE"""),"PHP")</f>
        <v>PHP</v>
      </c>
      <c r="K3143" s="9" t="str">
        <f>IFERROR(__xludf.DUMMYFUNCTION("""COMPUTED_VALUE"""),"C++")</f>
        <v>C++</v>
      </c>
      <c r="L3143" s="9" t="str">
        <f>IFERROR(__xludf.DUMMYFUNCTION("""COMPUTED_VALUE"""),"Python")</f>
        <v>Python</v>
      </c>
      <c r="M3143" s="9" t="s">
        <v>33</v>
      </c>
    </row>
    <row r="3144" ht="15.75" customHeight="1">
      <c r="A3144" s="7"/>
      <c r="B3144" s="7" t="str">
        <f>IFERROR(__xludf.DUMMYFUNCTION("""COMPUTED_VALUE"""),"HTML/CSS;Java;JavaScript;TypeScript")</f>
        <v>HTML/CSS;Java;JavaScript;TypeScript</v>
      </c>
      <c r="C3144" s="9" t="str">
        <f>IFERROR(__xludf.DUMMYFUNCTION("""COMPUTED_VALUE"""),"Bash/Shell/PowerShell")</f>
        <v>Bash/Shell/PowerShell</v>
      </c>
      <c r="D3144" s="9" t="str">
        <f>IFERROR(__xludf.DUMMYFUNCTION("""COMPUTED_VALUE"""),"HTML/CSS")</f>
        <v>HTML/CSS</v>
      </c>
      <c r="E3144" s="9" t="str">
        <f>IFERROR(__xludf.DUMMYFUNCTION("""COMPUTED_VALUE"""),"HTML/CSS")</f>
        <v>HTML/CSS</v>
      </c>
      <c r="F3144" s="9" t="str">
        <f>IFERROR(__xludf.DUMMYFUNCTION("""COMPUTED_VALUE"""),"TypeScript")</f>
        <v>TypeScript</v>
      </c>
      <c r="G3144" s="9" t="str">
        <f>IFERROR(__xludf.DUMMYFUNCTION("""COMPUTED_VALUE"""),"Bash/Shell/PowerShell")</f>
        <v>Bash/Shell/PowerShell</v>
      </c>
      <c r="H3144" s="9" t="str">
        <f>IFERROR(__xludf.DUMMYFUNCTION("""COMPUTED_VALUE"""),"PHP")</f>
        <v>PHP</v>
      </c>
      <c r="I3144" s="9" t="str">
        <f>IFERROR(__xludf.DUMMYFUNCTION("""COMPUTED_VALUE"""),"TypeScript")</f>
        <v>TypeScript</v>
      </c>
      <c r="J3144" s="9" t="str">
        <f>IFERROR(__xludf.DUMMYFUNCTION("""COMPUTED_VALUE"""),"C")</f>
        <v>C</v>
      </c>
      <c r="K3144" s="9" t="str">
        <f>IFERROR(__xludf.DUMMYFUNCTION("""COMPUTED_VALUE"""),"Java")</f>
        <v>Java</v>
      </c>
      <c r="L3144" s="9" t="str">
        <f>IFERROR(__xludf.DUMMYFUNCTION("""COMPUTED_VALUE"""),"R")</f>
        <v>R</v>
      </c>
      <c r="M3144" s="9" t="s">
        <v>30</v>
      </c>
    </row>
    <row r="3145" ht="15.75" customHeight="1">
      <c r="A3145" s="7"/>
      <c r="B3145" s="7" t="str">
        <f>IFERROR(__xludf.DUMMYFUNCTION("""COMPUTED_VALUE"""),"Bash/Shell/PowerShell;HTML/CSS;JavaScript;PHP")</f>
        <v>Bash/Shell/PowerShell;HTML/CSS;JavaScript;PHP</v>
      </c>
      <c r="C3145" s="9" t="str">
        <f>IFERROR(__xludf.DUMMYFUNCTION("""COMPUTED_VALUE"""),"JavaScript")</f>
        <v>JavaScript</v>
      </c>
      <c r="D3145" s="9" t="str">
        <f>IFERROR(__xludf.DUMMYFUNCTION("""COMPUTED_VALUE"""),"JavaScript")</f>
        <v>JavaScript</v>
      </c>
      <c r="E3145" s="9" t="str">
        <f>IFERROR(__xludf.DUMMYFUNCTION("""COMPUTED_VALUE"""),"JavaScript")</f>
        <v>JavaScript</v>
      </c>
      <c r="F3145" s="9" t="str">
        <f>IFERROR(__xludf.DUMMYFUNCTION("""COMPUTED_VALUE"""),"Other(s):")</f>
        <v>Other(s):</v>
      </c>
      <c r="G3145" s="9" t="str">
        <f>IFERROR(__xludf.DUMMYFUNCTION("""COMPUTED_VALUE"""),"HTML/CSS")</f>
        <v>HTML/CSS</v>
      </c>
      <c r="H3145" s="9" t="str">
        <f>IFERROR(__xludf.DUMMYFUNCTION("""COMPUTED_VALUE"""),"Python")</f>
        <v>Python</v>
      </c>
      <c r="I3145" s="9" t="str">
        <f>IFERROR(__xludf.DUMMYFUNCTION("""COMPUTED_VALUE"""),"Bash/Shell/PowerShell")</f>
        <v>Bash/Shell/PowerShell</v>
      </c>
      <c r="J3145" s="9" t="str">
        <f>IFERROR(__xludf.DUMMYFUNCTION("""COMPUTED_VALUE"""),"Bash/Shell/PowerShell")</f>
        <v>Bash/Shell/PowerShell</v>
      </c>
      <c r="K3145" s="9" t="str">
        <f>IFERROR(__xludf.DUMMYFUNCTION("""COMPUTED_VALUE"""),"PHP")</f>
        <v>PHP</v>
      </c>
      <c r="L3145" s="9" t="str">
        <f>IFERROR(__xludf.DUMMYFUNCTION("""COMPUTED_VALUE"""),"SQL")</f>
        <v>SQL</v>
      </c>
      <c r="M3145" s="9" t="s">
        <v>21</v>
      </c>
    </row>
    <row r="3146" ht="15.75" customHeight="1">
      <c r="A3146" s="7"/>
      <c r="B3146" s="7" t="str">
        <f>IFERROR(__xludf.DUMMYFUNCTION("""COMPUTED_VALUE"""),"Bash/Shell/PowerShell;C++;HTML/CSS;JavaScript;PHP;Python;Swift")</f>
        <v>Bash/Shell/PowerShell;C++;HTML/CSS;JavaScript;PHP;Python;Swift</v>
      </c>
      <c r="C3146" s="9" t="str">
        <f>IFERROR(__xludf.DUMMYFUNCTION("""COMPUTED_VALUE"""),"Python")</f>
        <v>Python</v>
      </c>
      <c r="D3146" s="9" t="str">
        <f>IFERROR(__xludf.DUMMYFUNCTION("""COMPUTED_VALUE"""),"PHP")</f>
        <v>PHP</v>
      </c>
      <c r="E3146" s="9" t="str">
        <f>IFERROR(__xludf.DUMMYFUNCTION("""COMPUTED_VALUE"""),"TypeScript")</f>
        <v>TypeScript</v>
      </c>
      <c r="F3146" s="9" t="str">
        <f>IFERROR(__xludf.DUMMYFUNCTION("""COMPUTED_VALUE"""),"C#")</f>
        <v>C#</v>
      </c>
      <c r="G3146" s="9" t="str">
        <f>IFERROR(__xludf.DUMMYFUNCTION("""COMPUTED_VALUE"""),"Java")</f>
        <v>Java</v>
      </c>
      <c r="H3146" s="9" t="str">
        <f>IFERROR(__xludf.DUMMYFUNCTION("""COMPUTED_VALUE"""),"R")</f>
        <v>R</v>
      </c>
      <c r="I3146" s="9" t="str">
        <f>IFERROR(__xludf.DUMMYFUNCTION("""COMPUTED_VALUE"""),"C")</f>
        <v>C</v>
      </c>
      <c r="J3146" s="9" t="str">
        <f>IFERROR(__xludf.DUMMYFUNCTION("""COMPUTED_VALUE"""),"HTML/CSS")</f>
        <v>HTML/CSS</v>
      </c>
      <c r="K3146" s="9" t="str">
        <f>IFERROR(__xludf.DUMMYFUNCTION("""COMPUTED_VALUE"""),"SQL")</f>
        <v>SQL</v>
      </c>
      <c r="L3146" s="9" t="str">
        <f>IFERROR(__xludf.DUMMYFUNCTION("""COMPUTED_VALUE"""),"HTML/CSS")</f>
        <v>HTML/CSS</v>
      </c>
      <c r="M3146" s="9" t="s">
        <v>22</v>
      </c>
    </row>
    <row r="3147" ht="15.75" customHeight="1">
      <c r="A3147" s="7"/>
      <c r="B3147" s="7" t="str">
        <f>IFERROR(__xludf.DUMMYFUNCTION("""COMPUTED_VALUE"""),"C++;Python;Other(s):")</f>
        <v>C++;Python;Other(s):</v>
      </c>
      <c r="C3147" s="9" t="str">
        <f>IFERROR(__xludf.DUMMYFUNCTION("""COMPUTED_VALUE"""),"Bash/Shell/PowerShell")</f>
        <v>Bash/Shell/PowerShell</v>
      </c>
      <c r="D3147" s="9" t="str">
        <f>IFERROR(__xludf.DUMMYFUNCTION("""COMPUTED_VALUE"""),"SQL")</f>
        <v>SQL</v>
      </c>
      <c r="E3147" s="9" t="str">
        <f>IFERROR(__xludf.DUMMYFUNCTION("""COMPUTED_VALUE"""),"Go")</f>
        <v>Go</v>
      </c>
      <c r="F3147" s="9" t="str">
        <f>IFERROR(__xludf.DUMMYFUNCTION("""COMPUTED_VALUE"""),"HTML/CSS")</f>
        <v>HTML/CSS</v>
      </c>
      <c r="G3147" s="9" t="str">
        <f>IFERROR(__xludf.DUMMYFUNCTION("""COMPUTED_VALUE"""),"JavaScript")</f>
        <v>JavaScript</v>
      </c>
      <c r="H3147" s="9" t="str">
        <f>IFERROR(__xludf.DUMMYFUNCTION("""COMPUTED_VALUE"""),"SQL")</f>
        <v>SQL</v>
      </c>
      <c r="I3147" s="9" t="str">
        <f>IFERROR(__xludf.DUMMYFUNCTION("""COMPUTED_VALUE"""),"HTML/CSS")</f>
        <v>HTML/CSS</v>
      </c>
      <c r="J3147" s="9" t="str">
        <f>IFERROR(__xludf.DUMMYFUNCTION("""COMPUTED_VALUE"""),"JavaScript")</f>
        <v>JavaScript</v>
      </c>
      <c r="K3147" s="9" t="str">
        <f>IFERROR(__xludf.DUMMYFUNCTION("""COMPUTED_VALUE"""),"TypeScript")</f>
        <v>TypeScript</v>
      </c>
      <c r="L3147" s="9" t="str">
        <f>IFERROR(__xludf.DUMMYFUNCTION("""COMPUTED_VALUE"""),"Java")</f>
        <v>Java</v>
      </c>
      <c r="M3147" s="9" t="s">
        <v>30</v>
      </c>
    </row>
    <row r="3148" ht="15.75" customHeight="1">
      <c r="A3148" s="7"/>
      <c r="B3148" s="7" t="str">
        <f>IFERROR(__xludf.DUMMYFUNCTION("""COMPUTED_VALUE"""),"Assembly;Bash/Shell/PowerShell;C;PHP;Python;SQL")</f>
        <v>Assembly;Bash/Shell/PowerShell;C;PHP;Python;SQL</v>
      </c>
      <c r="C3148" s="9" t="str">
        <f>IFERROR(__xludf.DUMMYFUNCTION("""COMPUTED_VALUE"""),"C")</f>
        <v>C</v>
      </c>
      <c r="D3148" s="9" t="str">
        <f>IFERROR(__xludf.DUMMYFUNCTION("""COMPUTED_VALUE"""),"HTML/CSS")</f>
        <v>HTML/CSS</v>
      </c>
      <c r="E3148" s="9" t="str">
        <f>IFERROR(__xludf.DUMMYFUNCTION("""COMPUTED_VALUE"""),"HTML/CSS")</f>
        <v>HTML/CSS</v>
      </c>
      <c r="F3148" s="9" t="str">
        <f>IFERROR(__xludf.DUMMYFUNCTION("""COMPUTED_VALUE"""),"JavaScript")</f>
        <v>JavaScript</v>
      </c>
      <c r="G3148" s="9" t="str">
        <f>IFERROR(__xludf.DUMMYFUNCTION("""COMPUTED_VALUE"""),"Python")</f>
        <v>Python</v>
      </c>
      <c r="H3148" s="9" t="str">
        <f>IFERROR(__xludf.DUMMYFUNCTION("""COMPUTED_VALUE"""),"Bash/Shell/PowerShell")</f>
        <v>Bash/Shell/PowerShell</v>
      </c>
      <c r="I3148" s="9" t="str">
        <f>IFERROR(__xludf.DUMMYFUNCTION("""COMPUTED_VALUE"""),"Java")</f>
        <v>Java</v>
      </c>
      <c r="J3148" s="9" t="str">
        <f>IFERROR(__xludf.DUMMYFUNCTION("""COMPUTED_VALUE"""),"PHP")</f>
        <v>PHP</v>
      </c>
      <c r="K3148" s="9" t="str">
        <f>IFERROR(__xludf.DUMMYFUNCTION("""COMPUTED_VALUE"""),"VBA")</f>
        <v>VBA</v>
      </c>
      <c r="L3148" s="9" t="str">
        <f>IFERROR(__xludf.DUMMYFUNCTION("""COMPUTED_VALUE"""),"JavaScript")</f>
        <v>JavaScript</v>
      </c>
      <c r="M3148" s="9" t="s">
        <v>25</v>
      </c>
    </row>
    <row r="3149" ht="15.75" customHeight="1">
      <c r="A3149" s="7"/>
      <c r="B3149" s="7" t="str">
        <f>IFERROR(__xludf.DUMMYFUNCTION("""COMPUTED_VALUE"""),"C#;Python")</f>
        <v>C#;Python</v>
      </c>
      <c r="C3149" s="9" t="str">
        <f>IFERROR(__xludf.DUMMYFUNCTION("""COMPUTED_VALUE"""),"C++")</f>
        <v>C++</v>
      </c>
      <c r="D3149" s="9" t="str">
        <f>IFERROR(__xludf.DUMMYFUNCTION("""COMPUTED_VALUE"""),"Java")</f>
        <v>Java</v>
      </c>
      <c r="E3149" s="9" t="str">
        <f>IFERROR(__xludf.DUMMYFUNCTION("""COMPUTED_VALUE"""),"JavaScript")</f>
        <v>JavaScript</v>
      </c>
      <c r="F3149" s="9" t="str">
        <f>IFERROR(__xludf.DUMMYFUNCTION("""COMPUTED_VALUE"""),"PHP")</f>
        <v>PHP</v>
      </c>
      <c r="G3149" s="9" t="str">
        <f>IFERROR(__xludf.DUMMYFUNCTION("""COMPUTED_VALUE"""),"SQL")</f>
        <v>SQL</v>
      </c>
      <c r="H3149" s="9" t="str">
        <f>IFERROR(__xludf.DUMMYFUNCTION("""COMPUTED_VALUE"""),"C#")</f>
        <v>C#</v>
      </c>
      <c r="I3149" s="9" t="str">
        <f>IFERROR(__xludf.DUMMYFUNCTION("""COMPUTED_VALUE"""),"JavaScript")</f>
        <v>JavaScript</v>
      </c>
      <c r="J3149" s="9" t="str">
        <f>IFERROR(__xludf.DUMMYFUNCTION("""COMPUTED_VALUE"""),"SQL")</f>
        <v>SQL</v>
      </c>
      <c r="K3149" s="9" t="str">
        <f>IFERROR(__xludf.DUMMYFUNCTION("""COMPUTED_VALUE"""),"C")</f>
        <v>C</v>
      </c>
      <c r="L3149" s="9" t="str">
        <f>IFERROR(__xludf.DUMMYFUNCTION("""COMPUTED_VALUE"""),"Python")</f>
        <v>Python</v>
      </c>
      <c r="M3149" s="9" t="s">
        <v>23</v>
      </c>
    </row>
    <row r="3150" ht="15.75" customHeight="1">
      <c r="A3150" s="7"/>
      <c r="B3150" s="7" t="str">
        <f>IFERROR(__xludf.DUMMYFUNCTION("""COMPUTED_VALUE"""),"Bash/Shell/PowerShell;Java;Python")</f>
        <v>Bash/Shell/PowerShell;Java;Python</v>
      </c>
      <c r="C3150" s="9" t="str">
        <f>IFERROR(__xludf.DUMMYFUNCTION("""COMPUTED_VALUE"""),"Go")</f>
        <v>Go</v>
      </c>
      <c r="D3150" s="9" t="str">
        <f>IFERROR(__xludf.DUMMYFUNCTION("""COMPUTED_VALUE"""),"JavaScript")</f>
        <v>JavaScript</v>
      </c>
      <c r="E3150" s="9" t="str">
        <f>IFERROR(__xludf.DUMMYFUNCTION("""COMPUTED_VALUE"""),"TypeScript")</f>
        <v>TypeScript</v>
      </c>
      <c r="F3150" s="9" t="str">
        <f>IFERROR(__xludf.DUMMYFUNCTION("""COMPUTED_VALUE"""),"SQL")</f>
        <v>SQL</v>
      </c>
      <c r="G3150" s="9" t="str">
        <f>IFERROR(__xludf.DUMMYFUNCTION("""COMPUTED_VALUE"""),"Swift")</f>
        <v>Swift</v>
      </c>
      <c r="H3150" s="9" t="str">
        <f>IFERROR(__xludf.DUMMYFUNCTION("""COMPUTED_VALUE"""),"F#")</f>
        <v>F#</v>
      </c>
      <c r="I3150" s="9" t="str">
        <f>IFERROR(__xludf.DUMMYFUNCTION("""COMPUTED_VALUE"""),"Python")</f>
        <v>Python</v>
      </c>
      <c r="J3150" s="9" t="str">
        <f>IFERROR(__xludf.DUMMYFUNCTION("""COMPUTED_VALUE"""),"Bash/Shell/PowerShell")</f>
        <v>Bash/Shell/PowerShell</v>
      </c>
      <c r="K3150" s="9" t="str">
        <f>IFERROR(__xludf.DUMMYFUNCTION("""COMPUTED_VALUE"""),"C#")</f>
        <v>C#</v>
      </c>
      <c r="L3150" s="9" t="str">
        <f>IFERROR(__xludf.DUMMYFUNCTION("""COMPUTED_VALUE"""),"SQL")</f>
        <v>SQL</v>
      </c>
      <c r="M3150" s="9" t="s">
        <v>36</v>
      </c>
    </row>
    <row r="3151" ht="15.75" customHeight="1">
      <c r="A3151" s="7"/>
      <c r="B3151" s="7" t="str">
        <f>IFERROR(__xludf.DUMMYFUNCTION("""COMPUTED_VALUE"""),"Python")</f>
        <v>Python</v>
      </c>
      <c r="C3151" s="9" t="str">
        <f>IFERROR(__xludf.DUMMYFUNCTION("""COMPUTED_VALUE"""),"Java")</f>
        <v>Java</v>
      </c>
      <c r="D3151" s="9" t="str">
        <f>IFERROR(__xludf.DUMMYFUNCTION("""COMPUTED_VALUE"""),"Bash/Shell/PowerShell")</f>
        <v>Bash/Shell/PowerShell</v>
      </c>
      <c r="E3151" s="9" t="str">
        <f>IFERROR(__xludf.DUMMYFUNCTION("""COMPUTED_VALUE"""),"C#")</f>
        <v>C#</v>
      </c>
      <c r="F3151" s="9" t="str">
        <f>IFERROR(__xludf.DUMMYFUNCTION("""COMPUTED_VALUE"""),"Bash/Shell/PowerShell")</f>
        <v>Bash/Shell/PowerShell</v>
      </c>
      <c r="G3151" s="9" t="str">
        <f>IFERROR(__xludf.DUMMYFUNCTION("""COMPUTED_VALUE"""),"TypeScript")</f>
        <v>TypeScript</v>
      </c>
      <c r="H3151" s="9" t="str">
        <f>IFERROR(__xludf.DUMMYFUNCTION("""COMPUTED_VALUE"""),"HTML/CSS")</f>
        <v>HTML/CSS</v>
      </c>
      <c r="I3151" s="9" t="str">
        <f>IFERROR(__xludf.DUMMYFUNCTION("""COMPUTED_VALUE"""),"C#")</f>
        <v>C#</v>
      </c>
      <c r="J3151" s="9" t="str">
        <f>IFERROR(__xludf.DUMMYFUNCTION("""COMPUTED_VALUE"""),"HTML/CSS")</f>
        <v>HTML/CSS</v>
      </c>
      <c r="K3151" s="9" t="str">
        <f>IFERROR(__xludf.DUMMYFUNCTION("""COMPUTED_VALUE"""),"HTML/CSS")</f>
        <v>HTML/CSS</v>
      </c>
      <c r="L3151" s="9" t="str">
        <f>IFERROR(__xludf.DUMMYFUNCTION("""COMPUTED_VALUE"""),"Elixir")</f>
        <v>Elixir</v>
      </c>
      <c r="M3151" s="9" t="s">
        <v>20</v>
      </c>
    </row>
    <row r="3152" ht="15.75" customHeight="1">
      <c r="A3152" s="7"/>
      <c r="B3152" s="7" t="str">
        <f>IFERROR(__xludf.DUMMYFUNCTION("""COMPUTED_VALUE"""),"Bash/Shell/PowerShell;C++;HTML/CSS;Java;JavaScript;PHP;Python;R;SQL")</f>
        <v>Bash/Shell/PowerShell;C++;HTML/CSS;Java;JavaScript;PHP;Python;R;SQL</v>
      </c>
      <c r="C3152" s="9" t="str">
        <f>IFERROR(__xludf.DUMMYFUNCTION("""COMPUTED_VALUE"""),"C++")</f>
        <v>C++</v>
      </c>
      <c r="D3152" s="9" t="str">
        <f>IFERROR(__xludf.DUMMYFUNCTION("""COMPUTED_VALUE"""),"C")</f>
        <v>C</v>
      </c>
      <c r="E3152" s="9" t="str">
        <f>IFERROR(__xludf.DUMMYFUNCTION("""COMPUTED_VALUE"""),"F#")</f>
        <v>F#</v>
      </c>
      <c r="F3152" s="9" t="str">
        <f>IFERROR(__xludf.DUMMYFUNCTION("""COMPUTED_VALUE"""),"HTML/CSS")</f>
        <v>HTML/CSS</v>
      </c>
      <c r="G3152" s="9" t="str">
        <f>IFERROR(__xludf.DUMMYFUNCTION("""COMPUTED_VALUE"""),"Bash/Shell/PowerShell")</f>
        <v>Bash/Shell/PowerShell</v>
      </c>
      <c r="H3152" s="9" t="str">
        <f>IFERROR(__xludf.DUMMYFUNCTION("""COMPUTED_VALUE"""),"JavaScript")</f>
        <v>JavaScript</v>
      </c>
      <c r="I3152" s="9" t="str">
        <f>IFERROR(__xludf.DUMMYFUNCTION("""COMPUTED_VALUE"""),"HTML/CSS")</f>
        <v>HTML/CSS</v>
      </c>
      <c r="J3152" s="9" t="str">
        <f>IFERROR(__xludf.DUMMYFUNCTION("""COMPUTED_VALUE"""),"Java")</f>
        <v>Java</v>
      </c>
      <c r="K3152" s="9" t="str">
        <f>IFERROR(__xludf.DUMMYFUNCTION("""COMPUTED_VALUE"""),"Java")</f>
        <v>Java</v>
      </c>
      <c r="L3152" s="9" t="str">
        <f>IFERROR(__xludf.DUMMYFUNCTION("""COMPUTED_VALUE"""),"JavaScript")</f>
        <v>JavaScript</v>
      </c>
      <c r="M3152" s="9" t="s">
        <v>23</v>
      </c>
    </row>
    <row r="3153" ht="15.75" customHeight="1">
      <c r="A3153" s="7"/>
      <c r="B3153" s="7" t="str">
        <f>IFERROR(__xludf.DUMMYFUNCTION("""COMPUTED_VALUE"""),"Bash/Shell/PowerShell;C++;Python;Other(s):")</f>
        <v>Bash/Shell/PowerShell;C++;Python;Other(s):</v>
      </c>
      <c r="C3153" s="9" t="str">
        <f>IFERROR(__xludf.DUMMYFUNCTION("""COMPUTED_VALUE"""),"C#")</f>
        <v>C#</v>
      </c>
      <c r="D3153" s="9" t="str">
        <f>IFERROR(__xludf.DUMMYFUNCTION("""COMPUTED_VALUE"""),"Clojure")</f>
        <v>Clojure</v>
      </c>
      <c r="E3153" s="9" t="str">
        <f>IFERROR(__xludf.DUMMYFUNCTION("""COMPUTED_VALUE"""),"SQL")</f>
        <v>SQL</v>
      </c>
      <c r="F3153" s="9" t="str">
        <f>IFERROR(__xludf.DUMMYFUNCTION("""COMPUTED_VALUE"""),"Java")</f>
        <v>Java</v>
      </c>
      <c r="G3153" s="9" t="str">
        <f>IFERROR(__xludf.DUMMYFUNCTION("""COMPUTED_VALUE"""),"HTML/CSS")</f>
        <v>HTML/CSS</v>
      </c>
      <c r="H3153" s="9" t="str">
        <f>IFERROR(__xludf.DUMMYFUNCTION("""COMPUTED_VALUE"""),"Python")</f>
        <v>Python</v>
      </c>
      <c r="I3153" s="9" t="str">
        <f>IFERROR(__xludf.DUMMYFUNCTION("""COMPUTED_VALUE"""),"SQL")</f>
        <v>SQL</v>
      </c>
      <c r="J3153" s="9" t="str">
        <f>IFERROR(__xludf.DUMMYFUNCTION("""COMPUTED_VALUE"""),"JavaScript")</f>
        <v>JavaScript</v>
      </c>
      <c r="K3153" s="9" t="str">
        <f>IFERROR(__xludf.DUMMYFUNCTION("""COMPUTED_VALUE"""),"JavaScript")</f>
        <v>JavaScript</v>
      </c>
      <c r="L3153" s="9" t="str">
        <f>IFERROR(__xludf.DUMMYFUNCTION("""COMPUTED_VALUE"""),"Ruby")</f>
        <v>Ruby</v>
      </c>
      <c r="M3153" s="9" t="s">
        <v>26</v>
      </c>
    </row>
    <row r="3154" ht="15.75" customHeight="1">
      <c r="A3154" s="7"/>
      <c r="B3154" s="7" t="str">
        <f>IFERROR(__xludf.DUMMYFUNCTION("""COMPUTED_VALUE"""),"C#;HTML/CSS;Java;JavaScript;PHP;SQL")</f>
        <v>C#;HTML/CSS;Java;JavaScript;PHP;SQL</v>
      </c>
      <c r="C3154" s="9" t="str">
        <f>IFERROR(__xludf.DUMMYFUNCTION("""COMPUTED_VALUE"""),"HTML/CSS")</f>
        <v>HTML/CSS</v>
      </c>
      <c r="D3154" s="9" t="str">
        <f>IFERROR(__xludf.DUMMYFUNCTION("""COMPUTED_VALUE"""),"HTML/CSS")</f>
        <v>HTML/CSS</v>
      </c>
      <c r="E3154" s="9" t="str">
        <f>IFERROR(__xludf.DUMMYFUNCTION("""COMPUTED_VALUE"""),"Elixir")</f>
        <v>Elixir</v>
      </c>
      <c r="F3154" s="9" t="str">
        <f>IFERROR(__xludf.DUMMYFUNCTION("""COMPUTED_VALUE"""),"JavaScript")</f>
        <v>JavaScript</v>
      </c>
      <c r="G3154" s="9" t="str">
        <f>IFERROR(__xludf.DUMMYFUNCTION("""COMPUTED_VALUE"""),"PHP")</f>
        <v>PHP</v>
      </c>
      <c r="H3154" s="9" t="str">
        <f>IFERROR(__xludf.DUMMYFUNCTION("""COMPUTED_VALUE"""),"SQL")</f>
        <v>SQL</v>
      </c>
      <c r="I3154" s="9" t="str">
        <f>IFERROR(__xludf.DUMMYFUNCTION("""COMPUTED_VALUE"""),"TypeScript")</f>
        <v>TypeScript</v>
      </c>
      <c r="J3154" s="9" t="str">
        <f>IFERROR(__xludf.DUMMYFUNCTION("""COMPUTED_VALUE"""),"Python")</f>
        <v>Python</v>
      </c>
      <c r="K3154" s="9" t="str">
        <f>IFERROR(__xludf.DUMMYFUNCTION("""COMPUTED_VALUE"""),"PHP")</f>
        <v>PHP</v>
      </c>
      <c r="L3154" s="9" t="str">
        <f>IFERROR(__xludf.DUMMYFUNCTION("""COMPUTED_VALUE"""),"SQL")</f>
        <v>SQL</v>
      </c>
      <c r="M3154" s="9" t="s">
        <v>24</v>
      </c>
    </row>
    <row r="3155" ht="15.75" customHeight="1">
      <c r="A3155" s="7"/>
      <c r="B3155" s="7" t="str">
        <f>IFERROR(__xludf.DUMMYFUNCTION("""COMPUTED_VALUE"""),"C#;HTML/CSS;SQL")</f>
        <v>C#;HTML/CSS;SQL</v>
      </c>
      <c r="C3155" s="9" t="str">
        <f>IFERROR(__xludf.DUMMYFUNCTION("""COMPUTED_VALUE"""),"Java")</f>
        <v>Java</v>
      </c>
      <c r="D3155" s="9" t="str">
        <f>IFERROR(__xludf.DUMMYFUNCTION("""COMPUTED_VALUE"""),"Java")</f>
        <v>Java</v>
      </c>
      <c r="E3155" s="9" t="str">
        <f>IFERROR(__xludf.DUMMYFUNCTION("""COMPUTED_VALUE"""),"HTML/CSS")</f>
        <v>HTML/CSS</v>
      </c>
      <c r="F3155" s="9" t="str">
        <f>IFERROR(__xludf.DUMMYFUNCTION("""COMPUTED_VALUE"""),"Python")</f>
        <v>Python</v>
      </c>
      <c r="G3155" s="9" t="str">
        <f>IFERROR(__xludf.DUMMYFUNCTION("""COMPUTED_VALUE"""),"Ruby")</f>
        <v>Ruby</v>
      </c>
      <c r="H3155" s="9" t="str">
        <f>IFERROR(__xludf.DUMMYFUNCTION("""COMPUTED_VALUE"""),"TypeScript")</f>
        <v>TypeScript</v>
      </c>
      <c r="I3155" s="9" t="str">
        <f>IFERROR(__xludf.DUMMYFUNCTION("""COMPUTED_VALUE"""),"Bash/Shell/PowerShell")</f>
        <v>Bash/Shell/PowerShell</v>
      </c>
      <c r="J3155" s="9" t="str">
        <f>IFERROR(__xludf.DUMMYFUNCTION("""COMPUTED_VALUE"""),"TypeScript")</f>
        <v>TypeScript</v>
      </c>
      <c r="K3155" s="9" t="str">
        <f>IFERROR(__xludf.DUMMYFUNCTION("""COMPUTED_VALUE"""),"SQL")</f>
        <v>SQL</v>
      </c>
      <c r="L3155" s="9" t="str">
        <f>IFERROR(__xludf.DUMMYFUNCTION("""COMPUTED_VALUE"""),"Bash/Shell/PowerShell")</f>
        <v>Bash/Shell/PowerShell</v>
      </c>
      <c r="M3155" s="9" t="s">
        <v>20</v>
      </c>
    </row>
    <row r="3156" ht="15.75" customHeight="1">
      <c r="A3156" s="7"/>
      <c r="B3156" s="7" t="str">
        <f>IFERROR(__xludf.DUMMYFUNCTION("""COMPUTED_VALUE"""),"Bash/Shell/PowerShell;C;Go;Java;Python")</f>
        <v>Bash/Shell/PowerShell;C;Go;Java;Python</v>
      </c>
      <c r="C3156" s="9" t="str">
        <f>IFERROR(__xludf.DUMMYFUNCTION("""COMPUTED_VALUE"""),"JavaScript")</f>
        <v>JavaScript</v>
      </c>
      <c r="D3156" s="9" t="str">
        <f>IFERROR(__xludf.DUMMYFUNCTION("""COMPUTED_VALUE"""),"JavaScript")</f>
        <v>JavaScript</v>
      </c>
      <c r="E3156" s="9" t="str">
        <f>IFERROR(__xludf.DUMMYFUNCTION("""COMPUTED_VALUE"""),"JavaScript")</f>
        <v>JavaScript</v>
      </c>
      <c r="F3156" s="9" t="str">
        <f>IFERROR(__xludf.DUMMYFUNCTION("""COMPUTED_VALUE"""),"SQL")</f>
        <v>SQL</v>
      </c>
      <c r="G3156" s="9" t="str">
        <f>IFERROR(__xludf.DUMMYFUNCTION("""COMPUTED_VALUE"""),"SQL")</f>
        <v>SQL</v>
      </c>
      <c r="H3156" s="9" t="str">
        <f>IFERROR(__xludf.DUMMYFUNCTION("""COMPUTED_VALUE"""),"Bash/Shell/PowerShell")</f>
        <v>Bash/Shell/PowerShell</v>
      </c>
      <c r="I3156" s="9" t="str">
        <f>IFERROR(__xludf.DUMMYFUNCTION("""COMPUTED_VALUE"""),"Go")</f>
        <v>Go</v>
      </c>
      <c r="J3156" s="9" t="str">
        <f>IFERROR(__xludf.DUMMYFUNCTION("""COMPUTED_VALUE"""),"C++")</f>
        <v>C++</v>
      </c>
      <c r="K3156" s="9" t="str">
        <f>IFERROR(__xludf.DUMMYFUNCTION("""COMPUTED_VALUE"""),"C")</f>
        <v>C</v>
      </c>
      <c r="L3156" s="9" t="str">
        <f>IFERROR(__xludf.DUMMYFUNCTION("""COMPUTED_VALUE"""),"C++")</f>
        <v>C++</v>
      </c>
      <c r="M3156" s="9" t="s">
        <v>21</v>
      </c>
    </row>
    <row r="3157" ht="15.75" customHeight="1">
      <c r="A3157" s="7"/>
      <c r="B3157" s="7" t="str">
        <f>IFERROR(__xludf.DUMMYFUNCTION("""COMPUTED_VALUE"""),"HTML/CSS;Java;JavaScript;Python;R;Scala;SQL")</f>
        <v>HTML/CSS;Java;JavaScript;Python;R;Scala;SQL</v>
      </c>
      <c r="C3157" s="9" t="str">
        <f>IFERROR(__xludf.DUMMYFUNCTION("""COMPUTED_VALUE"""),"SQL")</f>
        <v>SQL</v>
      </c>
      <c r="D3157" s="9" t="str">
        <f>IFERROR(__xludf.DUMMYFUNCTION("""COMPUTED_VALUE"""),"Kotlin")</f>
        <v>Kotlin</v>
      </c>
      <c r="E3157" s="9" t="str">
        <f>IFERROR(__xludf.DUMMYFUNCTION("""COMPUTED_VALUE"""),"Ruby")</f>
        <v>Ruby</v>
      </c>
      <c r="F3157" s="9" t="str">
        <f>IFERROR(__xludf.DUMMYFUNCTION("""COMPUTED_VALUE"""),"Bash/Shell/PowerShell")</f>
        <v>Bash/Shell/PowerShell</v>
      </c>
      <c r="G3157" s="9" t="str">
        <f>IFERROR(__xludf.DUMMYFUNCTION("""COMPUTED_VALUE"""),"VBA")</f>
        <v>VBA</v>
      </c>
      <c r="H3157" s="9" t="str">
        <f>IFERROR(__xludf.DUMMYFUNCTION("""COMPUTED_VALUE"""),"HTML/CSS")</f>
        <v>HTML/CSS</v>
      </c>
      <c r="I3157" s="9" t="str">
        <f>IFERROR(__xludf.DUMMYFUNCTION("""COMPUTED_VALUE"""),"Java")</f>
        <v>Java</v>
      </c>
      <c r="J3157" s="9" t="str">
        <f>IFERROR(__xludf.DUMMYFUNCTION("""COMPUTED_VALUE"""),"C#")</f>
        <v>C#</v>
      </c>
      <c r="K3157" s="9" t="str">
        <f>IFERROR(__xludf.DUMMYFUNCTION("""COMPUTED_VALUE"""),"C++")</f>
        <v>C++</v>
      </c>
      <c r="L3157" s="9" t="str">
        <f>IFERROR(__xludf.DUMMYFUNCTION("""COMPUTED_VALUE"""),"C#")</f>
        <v>C#</v>
      </c>
      <c r="M3157" s="9" t="s">
        <v>27</v>
      </c>
    </row>
    <row r="3158" ht="15.75" customHeight="1">
      <c r="A3158" s="7"/>
      <c r="B3158" s="7" t="str">
        <f>IFERROR(__xludf.DUMMYFUNCTION("""COMPUTED_VALUE"""),"Java;JavaScript;PHP;Python;SQL")</f>
        <v>Java;JavaScript;PHP;Python;SQL</v>
      </c>
      <c r="C3158" s="9" t="str">
        <f>IFERROR(__xludf.DUMMYFUNCTION("""COMPUTED_VALUE"""),"Bash/Shell/PowerShell")</f>
        <v>Bash/Shell/PowerShell</v>
      </c>
      <c r="D3158" s="9" t="str">
        <f>IFERROR(__xludf.DUMMYFUNCTION("""COMPUTED_VALUE"""),"Python")</f>
        <v>Python</v>
      </c>
      <c r="E3158" s="9" t="str">
        <f>IFERROR(__xludf.DUMMYFUNCTION("""COMPUTED_VALUE"""),"HTML/CSS")</f>
        <v>HTML/CSS</v>
      </c>
      <c r="F3158" s="9" t="str">
        <f>IFERROR(__xludf.DUMMYFUNCTION("""COMPUTED_VALUE"""),"HTML/CSS")</f>
        <v>HTML/CSS</v>
      </c>
      <c r="G3158" s="9" t="str">
        <f>IFERROR(__xludf.DUMMYFUNCTION("""COMPUTED_VALUE"""),"Bash/Shell/PowerShell")</f>
        <v>Bash/Shell/PowerShell</v>
      </c>
      <c r="H3158" s="9" t="str">
        <f>IFERROR(__xludf.DUMMYFUNCTION("""COMPUTED_VALUE"""),"Java")</f>
        <v>Java</v>
      </c>
      <c r="I3158" s="9" t="str">
        <f>IFERROR(__xludf.DUMMYFUNCTION("""COMPUTED_VALUE"""),"Python")</f>
        <v>Python</v>
      </c>
      <c r="J3158" s="9" t="str">
        <f>IFERROR(__xludf.DUMMYFUNCTION("""COMPUTED_VALUE"""),"F#")</f>
        <v>F#</v>
      </c>
      <c r="K3158" s="9" t="str">
        <f>IFERROR(__xludf.DUMMYFUNCTION("""COMPUTED_VALUE"""),"C#")</f>
        <v>C#</v>
      </c>
      <c r="L3158" s="9" t="str">
        <f>IFERROR(__xludf.DUMMYFUNCTION("""COMPUTED_VALUE"""),"F#")</f>
        <v>F#</v>
      </c>
      <c r="M3158" s="9" t="s">
        <v>30</v>
      </c>
    </row>
    <row r="3159" ht="15.75" customHeight="1">
      <c r="A3159" s="7"/>
      <c r="B3159" s="7" t="str">
        <f>IFERROR(__xludf.DUMMYFUNCTION("""COMPUTED_VALUE"""),"Bash/Shell/PowerShell;HTML/CSS;Java;JavaScript;PHP;SQL")</f>
        <v>Bash/Shell/PowerShell;HTML/CSS;Java;JavaScript;PHP;SQL</v>
      </c>
      <c r="C3159" s="9" t="str">
        <f>IFERROR(__xludf.DUMMYFUNCTION("""COMPUTED_VALUE"""),"C#")</f>
        <v>C#</v>
      </c>
      <c r="D3159" s="9" t="str">
        <f>IFERROR(__xludf.DUMMYFUNCTION("""COMPUTED_VALUE"""),"Rust")</f>
        <v>Rust</v>
      </c>
      <c r="E3159" s="9" t="str">
        <f>IFERROR(__xludf.DUMMYFUNCTION("""COMPUTED_VALUE"""),"JavaScript")</f>
        <v>JavaScript</v>
      </c>
      <c r="F3159" s="9" t="str">
        <f>IFERROR(__xludf.DUMMYFUNCTION("""COMPUTED_VALUE"""),"Java")</f>
        <v>Java</v>
      </c>
      <c r="G3159" s="9" t="str">
        <f>IFERROR(__xludf.DUMMYFUNCTION("""COMPUTED_VALUE"""),"HTML/CSS")</f>
        <v>HTML/CSS</v>
      </c>
      <c r="H3159" s="9" t="str">
        <f>IFERROR(__xludf.DUMMYFUNCTION("""COMPUTED_VALUE"""),"JavaScript")</f>
        <v>JavaScript</v>
      </c>
      <c r="I3159" s="9" t="str">
        <f>IFERROR(__xludf.DUMMYFUNCTION("""COMPUTED_VALUE"""),"C")</f>
        <v>C</v>
      </c>
      <c r="J3159" s="9" t="str">
        <f>IFERROR(__xludf.DUMMYFUNCTION("""COMPUTED_VALUE"""),"HTML/CSS")</f>
        <v>HTML/CSS</v>
      </c>
      <c r="K3159" s="9" t="str">
        <f>IFERROR(__xludf.DUMMYFUNCTION("""COMPUTED_VALUE"""),"HTML/CSS")</f>
        <v>HTML/CSS</v>
      </c>
      <c r="L3159" s="9" t="str">
        <f>IFERROR(__xludf.DUMMYFUNCTION("""COMPUTED_VALUE"""),"HTML/CSS")</f>
        <v>HTML/CSS</v>
      </c>
      <c r="M3159" s="9" t="s">
        <v>26</v>
      </c>
    </row>
    <row r="3160" ht="15.75" customHeight="1">
      <c r="A3160" s="7"/>
      <c r="B3160" s="7" t="str">
        <f>IFERROR(__xludf.DUMMYFUNCTION("""COMPUTED_VALUE"""),"C++;Java;JavaScript;Other(s):")</f>
        <v>C++;Java;JavaScript;Other(s):</v>
      </c>
      <c r="C3160" s="9" t="str">
        <f>IFERROR(__xludf.DUMMYFUNCTION("""COMPUTED_VALUE"""),"HTML/CSS")</f>
        <v>HTML/CSS</v>
      </c>
      <c r="D3160" s="9" t="str">
        <f>IFERROR(__xludf.DUMMYFUNCTION("""COMPUTED_VALUE"""),"Swift")</f>
        <v>Swift</v>
      </c>
      <c r="E3160" s="9" t="str">
        <f>IFERROR(__xludf.DUMMYFUNCTION("""COMPUTED_VALUE"""),"PHP")</f>
        <v>PHP</v>
      </c>
      <c r="F3160" s="9" t="str">
        <f>IFERROR(__xludf.DUMMYFUNCTION("""COMPUTED_VALUE"""),"JavaScript")</f>
        <v>JavaScript</v>
      </c>
      <c r="G3160" s="9" t="str">
        <f>IFERROR(__xludf.DUMMYFUNCTION("""COMPUTED_VALUE"""),"Java")</f>
        <v>Java</v>
      </c>
      <c r="H3160" s="9" t="str">
        <f>IFERROR(__xludf.DUMMYFUNCTION("""COMPUTED_VALUE"""),"Python")</f>
        <v>Python</v>
      </c>
      <c r="I3160" s="9" t="str">
        <f>IFERROR(__xludf.DUMMYFUNCTION("""COMPUTED_VALUE"""),"C++")</f>
        <v>C++</v>
      </c>
      <c r="J3160" s="9" t="str">
        <f>IFERROR(__xludf.DUMMYFUNCTION("""COMPUTED_VALUE"""),"JavaScript")</f>
        <v>JavaScript</v>
      </c>
      <c r="K3160" s="9" t="str">
        <f>IFERROR(__xludf.DUMMYFUNCTION("""COMPUTED_VALUE"""),"Java")</f>
        <v>Java</v>
      </c>
      <c r="L3160" s="9" t="str">
        <f>IFERROR(__xludf.DUMMYFUNCTION("""COMPUTED_VALUE"""),"JavaScript")</f>
        <v>JavaScript</v>
      </c>
      <c r="M3160" s="9" t="s">
        <v>24</v>
      </c>
    </row>
    <row r="3161" ht="15.75" customHeight="1">
      <c r="A3161" s="7"/>
      <c r="B3161" s="7" t="str">
        <f>IFERROR(__xludf.DUMMYFUNCTION("""COMPUTED_VALUE"""),"Bash/Shell/PowerShell;C;Go;HTML/CSS;PHP;Python;Ruby;SQL")</f>
        <v>Bash/Shell/PowerShell;C;Go;HTML/CSS;PHP;Python;Ruby;SQL</v>
      </c>
      <c r="C3161" s="9" t="str">
        <f>IFERROR(__xludf.DUMMYFUNCTION("""COMPUTED_VALUE"""),"JavaScript")</f>
        <v>JavaScript</v>
      </c>
      <c r="D3161" s="9" t="str">
        <f>IFERROR(__xludf.DUMMYFUNCTION("""COMPUTED_VALUE"""),"C#")</f>
        <v>C#</v>
      </c>
      <c r="E3161" s="9" t="str">
        <f>IFERROR(__xludf.DUMMYFUNCTION("""COMPUTED_VALUE"""),"SQL")</f>
        <v>SQL</v>
      </c>
      <c r="F3161" s="9" t="str">
        <f>IFERROR(__xludf.DUMMYFUNCTION("""COMPUTED_VALUE"""),"PHP")</f>
        <v>PHP</v>
      </c>
      <c r="G3161" s="9" t="str">
        <f>IFERROR(__xludf.DUMMYFUNCTION("""COMPUTED_VALUE"""),"JavaScript")</f>
        <v>JavaScript</v>
      </c>
      <c r="H3161" s="9" t="str">
        <f>IFERROR(__xludf.DUMMYFUNCTION("""COMPUTED_VALUE"""),"SQL")</f>
        <v>SQL</v>
      </c>
      <c r="I3161" s="9" t="str">
        <f>IFERROR(__xludf.DUMMYFUNCTION("""COMPUTED_VALUE"""),"Clojure")</f>
        <v>Clojure</v>
      </c>
      <c r="J3161" s="9" t="str">
        <f>IFERROR(__xludf.DUMMYFUNCTION("""COMPUTED_VALUE"""),"SQL")</f>
        <v>SQL</v>
      </c>
      <c r="K3161" s="9" t="str">
        <f>IFERROR(__xludf.DUMMYFUNCTION("""COMPUTED_VALUE"""),"JavaScript")</f>
        <v>JavaScript</v>
      </c>
      <c r="L3161" s="9" t="str">
        <f>IFERROR(__xludf.DUMMYFUNCTION("""COMPUTED_VALUE"""),"PHP")</f>
        <v>PHP</v>
      </c>
      <c r="M3161" s="9" t="s">
        <v>21</v>
      </c>
    </row>
    <row r="3162" ht="15.75" customHeight="1">
      <c r="A3162" s="7"/>
      <c r="B3162" s="7" t="str">
        <f>IFERROR(__xludf.DUMMYFUNCTION("""COMPUTED_VALUE"""),"Java;Kotlin;SQL")</f>
        <v>Java;Kotlin;SQL</v>
      </c>
      <c r="C3162" s="9" t="str">
        <f>IFERROR(__xludf.DUMMYFUNCTION("""COMPUTED_VALUE"""),"Rust")</f>
        <v>Rust</v>
      </c>
      <c r="D3162" s="9" t="str">
        <f>IFERROR(__xludf.DUMMYFUNCTION("""COMPUTED_VALUE"""),"Assembly")</f>
        <v>Assembly</v>
      </c>
      <c r="E3162" s="9" t="str">
        <f>IFERROR(__xludf.DUMMYFUNCTION("""COMPUTED_VALUE"""),"TypeScript")</f>
        <v>TypeScript</v>
      </c>
      <c r="F3162" s="9" t="str">
        <f>IFERROR(__xludf.DUMMYFUNCTION("""COMPUTED_VALUE"""),"SQL")</f>
        <v>SQL</v>
      </c>
      <c r="G3162" s="9" t="str">
        <f>IFERROR(__xludf.DUMMYFUNCTION("""COMPUTED_VALUE"""),"PHP")</f>
        <v>PHP</v>
      </c>
      <c r="H3162" s="9" t="str">
        <f>IFERROR(__xludf.DUMMYFUNCTION("""COMPUTED_VALUE"""),"HTML/CSS")</f>
        <v>HTML/CSS</v>
      </c>
      <c r="I3162" s="9" t="str">
        <f>IFERROR(__xludf.DUMMYFUNCTION("""COMPUTED_VALUE"""),"HTML/CSS")</f>
        <v>HTML/CSS</v>
      </c>
      <c r="J3162" s="9" t="str">
        <f>IFERROR(__xludf.DUMMYFUNCTION("""COMPUTED_VALUE"""),"HTML/CSS")</f>
        <v>HTML/CSS</v>
      </c>
      <c r="K3162" s="9" t="str">
        <f>IFERROR(__xludf.DUMMYFUNCTION("""COMPUTED_VALUE"""),"HTML/CSS")</f>
        <v>HTML/CSS</v>
      </c>
      <c r="L3162" s="9" t="str">
        <f>IFERROR(__xludf.DUMMYFUNCTION("""COMPUTED_VALUE"""),"Python")</f>
        <v>Python</v>
      </c>
      <c r="M3162" s="9" t="s">
        <v>32</v>
      </c>
    </row>
    <row r="3163" ht="15.75" customHeight="1">
      <c r="A3163" s="7"/>
      <c r="B3163" s="7" t="str">
        <f>IFERROR(__xludf.DUMMYFUNCTION("""COMPUTED_VALUE"""),"Java;Kotlin;Python;SQL")</f>
        <v>Java;Kotlin;Python;SQL</v>
      </c>
      <c r="C3163" s="9" t="str">
        <f>IFERROR(__xludf.DUMMYFUNCTION("""COMPUTED_VALUE"""),"HTML/CSS")</f>
        <v>HTML/CSS</v>
      </c>
      <c r="D3163" s="9" t="str">
        <f>IFERROR(__xludf.DUMMYFUNCTION("""COMPUTED_VALUE"""),"C")</f>
        <v>C</v>
      </c>
      <c r="E3163" s="9" t="str">
        <f>IFERROR(__xludf.DUMMYFUNCTION("""COMPUTED_VALUE"""),"C++")</f>
        <v>C++</v>
      </c>
      <c r="F3163" s="9" t="str">
        <f>IFERROR(__xludf.DUMMYFUNCTION("""COMPUTED_VALUE"""),"Bash/Shell/PowerShell")</f>
        <v>Bash/Shell/PowerShell</v>
      </c>
      <c r="G3163" s="9" t="str">
        <f>IFERROR(__xludf.DUMMYFUNCTION("""COMPUTED_VALUE"""),"SQL")</f>
        <v>SQL</v>
      </c>
      <c r="H3163" s="9" t="str">
        <f>IFERROR(__xludf.DUMMYFUNCTION("""COMPUTED_VALUE"""),"JavaScript")</f>
        <v>JavaScript</v>
      </c>
      <c r="I3163" s="9" t="str">
        <f>IFERROR(__xludf.DUMMYFUNCTION("""COMPUTED_VALUE"""),"Java")</f>
        <v>Java</v>
      </c>
      <c r="J3163" s="9" t="str">
        <f>IFERROR(__xludf.DUMMYFUNCTION("""COMPUTED_VALUE"""),"JavaScript")</f>
        <v>JavaScript</v>
      </c>
      <c r="K3163" s="9" t="str">
        <f>IFERROR(__xludf.DUMMYFUNCTION("""COMPUTED_VALUE"""),"JavaScript")</f>
        <v>JavaScript</v>
      </c>
      <c r="L3163" s="9" t="str">
        <f>IFERROR(__xludf.DUMMYFUNCTION("""COMPUTED_VALUE"""),"SQL")</f>
        <v>SQL</v>
      </c>
      <c r="M3163" s="9" t="s">
        <v>24</v>
      </c>
    </row>
    <row r="3164" ht="15.75" customHeight="1">
      <c r="A3164" s="7"/>
      <c r="B3164" s="7" t="str">
        <f>IFERROR(__xludf.DUMMYFUNCTION("""COMPUTED_VALUE"""),"C#;HTML/CSS;Java;JavaScript;SQL;TypeScript")</f>
        <v>C#;HTML/CSS;Java;JavaScript;SQL;TypeScript</v>
      </c>
      <c r="C3164" s="9" t="str">
        <f>IFERROR(__xludf.DUMMYFUNCTION("""COMPUTED_VALUE"""),"JavaScript")</f>
        <v>JavaScript</v>
      </c>
      <c r="D3164" s="9" t="str">
        <f>IFERROR(__xludf.DUMMYFUNCTION("""COMPUTED_VALUE"""),"C++")</f>
        <v>C++</v>
      </c>
      <c r="E3164" s="9" t="str">
        <f>IFERROR(__xludf.DUMMYFUNCTION("""COMPUTED_VALUE"""),"C#")</f>
        <v>C#</v>
      </c>
      <c r="F3164" s="9" t="str">
        <f>IFERROR(__xludf.DUMMYFUNCTION("""COMPUTED_VALUE"""),"C#")</f>
        <v>C#</v>
      </c>
      <c r="G3164" s="9" t="str">
        <f>IFERROR(__xludf.DUMMYFUNCTION("""COMPUTED_VALUE"""),"TypeScript")</f>
        <v>TypeScript</v>
      </c>
      <c r="H3164" s="9" t="str">
        <f>IFERROR(__xludf.DUMMYFUNCTION("""COMPUTED_VALUE"""),"Ruby")</f>
        <v>Ruby</v>
      </c>
      <c r="I3164" s="9" t="str">
        <f>IFERROR(__xludf.DUMMYFUNCTION("""COMPUTED_VALUE"""),"JavaScript")</f>
        <v>JavaScript</v>
      </c>
      <c r="J3164" s="9" t="str">
        <f>IFERROR(__xludf.DUMMYFUNCTION("""COMPUTED_VALUE"""),"Kotlin")</f>
        <v>Kotlin</v>
      </c>
      <c r="K3164" s="9" t="str">
        <f>IFERROR(__xludf.DUMMYFUNCTION("""COMPUTED_VALUE"""),"PHP")</f>
        <v>PHP</v>
      </c>
      <c r="L3164" s="9" t="str">
        <f>IFERROR(__xludf.DUMMYFUNCTION("""COMPUTED_VALUE"""),"Bash/Shell/PowerShell")</f>
        <v>Bash/Shell/PowerShell</v>
      </c>
      <c r="M3164" s="9" t="s">
        <v>21</v>
      </c>
    </row>
    <row r="3165" ht="15.75" customHeight="1">
      <c r="A3165" s="7"/>
      <c r="B3165" s="7" t="str">
        <f>IFERROR(__xludf.DUMMYFUNCTION("""COMPUTED_VALUE"""),"Bash/Shell/PowerShell;C#;HTML/CSS;JavaScript;SQL")</f>
        <v>Bash/Shell/PowerShell;C#;HTML/CSS;JavaScript;SQL</v>
      </c>
      <c r="C3165" s="9" t="str">
        <f>IFERROR(__xludf.DUMMYFUNCTION("""COMPUTED_VALUE"""),"Kotlin")</f>
        <v>Kotlin</v>
      </c>
      <c r="D3165" s="9" t="str">
        <f>IFERROR(__xludf.DUMMYFUNCTION("""COMPUTED_VALUE"""),"C#")</f>
        <v>C#</v>
      </c>
      <c r="E3165" s="9" t="str">
        <f>IFERROR(__xludf.DUMMYFUNCTION("""COMPUTED_VALUE"""),"HTML/CSS")</f>
        <v>HTML/CSS</v>
      </c>
      <c r="F3165" s="9" t="str">
        <f>IFERROR(__xludf.DUMMYFUNCTION("""COMPUTED_VALUE"""),"HTML/CSS")</f>
        <v>HTML/CSS</v>
      </c>
      <c r="G3165" s="9" t="str">
        <f>IFERROR(__xludf.DUMMYFUNCTION("""COMPUTED_VALUE"""),"Bash/Shell/PowerShell")</f>
        <v>Bash/Shell/PowerShell</v>
      </c>
      <c r="H3165" s="9" t="str">
        <f>IFERROR(__xludf.DUMMYFUNCTION("""COMPUTED_VALUE"""),"SQL")</f>
        <v>SQL</v>
      </c>
      <c r="I3165" s="9" t="str">
        <f>IFERROR(__xludf.DUMMYFUNCTION("""COMPUTED_VALUE"""),"Kotlin")</f>
        <v>Kotlin</v>
      </c>
      <c r="J3165" s="9" t="str">
        <f>IFERROR(__xludf.DUMMYFUNCTION("""COMPUTED_VALUE"""),"JavaScript")</f>
        <v>JavaScript</v>
      </c>
      <c r="K3165" s="9" t="str">
        <f>IFERROR(__xludf.DUMMYFUNCTION("""COMPUTED_VALUE"""),"Python")</f>
        <v>Python</v>
      </c>
      <c r="L3165" s="9" t="str">
        <f>IFERROR(__xludf.DUMMYFUNCTION("""COMPUTED_VALUE"""),"Python")</f>
        <v>Python</v>
      </c>
      <c r="M3165" s="9" t="s">
        <v>39</v>
      </c>
    </row>
    <row r="3166" ht="15.75" customHeight="1">
      <c r="A3166" s="7"/>
      <c r="B3166" s="7" t="str">
        <f>IFERROR(__xludf.DUMMYFUNCTION("""COMPUTED_VALUE"""),"Bash/Shell/PowerShell;C++;C#;HTML/CSS;Java;JavaScript;Swift")</f>
        <v>Bash/Shell/PowerShell;C++;C#;HTML/CSS;Java;JavaScript;Swift</v>
      </c>
      <c r="C3166" s="9" t="str">
        <f>IFERROR(__xludf.DUMMYFUNCTION("""COMPUTED_VALUE"""),"SQL")</f>
        <v>SQL</v>
      </c>
      <c r="D3166" s="9" t="str">
        <f>IFERROR(__xludf.DUMMYFUNCTION("""COMPUTED_VALUE"""),"Python")</f>
        <v>Python</v>
      </c>
      <c r="E3166" s="9" t="str">
        <f>IFERROR(__xludf.DUMMYFUNCTION("""COMPUTED_VALUE"""),"Java")</f>
        <v>Java</v>
      </c>
      <c r="F3166" s="9" t="str">
        <f>IFERROR(__xludf.DUMMYFUNCTION("""COMPUTED_VALUE"""),"JavaScript")</f>
        <v>JavaScript</v>
      </c>
      <c r="G3166" s="9" t="str">
        <f>IFERROR(__xludf.DUMMYFUNCTION("""COMPUTED_VALUE"""),"C")</f>
        <v>C</v>
      </c>
      <c r="H3166" s="9" t="str">
        <f>IFERROR(__xludf.DUMMYFUNCTION("""COMPUTED_VALUE"""),"Bash/Shell/PowerShell")</f>
        <v>Bash/Shell/PowerShell</v>
      </c>
      <c r="I3166" s="9" t="str">
        <f>IFERROR(__xludf.DUMMYFUNCTION("""COMPUTED_VALUE"""),"PHP")</f>
        <v>PHP</v>
      </c>
      <c r="J3166" s="9" t="str">
        <f>IFERROR(__xludf.DUMMYFUNCTION("""COMPUTED_VALUE"""),"Java")</f>
        <v>Java</v>
      </c>
      <c r="K3166" s="9" t="str">
        <f>IFERROR(__xludf.DUMMYFUNCTION("""COMPUTED_VALUE"""),"SQL")</f>
        <v>SQL</v>
      </c>
      <c r="L3166" s="9" t="str">
        <f>IFERROR(__xludf.DUMMYFUNCTION("""COMPUTED_VALUE"""),"Rust")</f>
        <v>Rust</v>
      </c>
      <c r="M3166" s="9" t="s">
        <v>27</v>
      </c>
    </row>
    <row r="3167" ht="15.75" customHeight="1">
      <c r="A3167" s="7"/>
      <c r="B3167" s="7" t="str">
        <f>IFERROR(__xludf.DUMMYFUNCTION("""COMPUTED_VALUE"""),"Bash/Shell/PowerShell;C#;HTML/CSS;JavaScript;SQL;TypeScript")</f>
        <v>Bash/Shell/PowerShell;C#;HTML/CSS;JavaScript;SQL;TypeScript</v>
      </c>
      <c r="C3167" s="9" t="str">
        <f>IFERROR(__xludf.DUMMYFUNCTION("""COMPUTED_VALUE"""),"Swift")</f>
        <v>Swift</v>
      </c>
      <c r="D3167" s="9" t="str">
        <f>IFERROR(__xludf.DUMMYFUNCTION("""COMPUTED_VALUE"""),"Ruby")</f>
        <v>Ruby</v>
      </c>
      <c r="E3167" s="9" t="str">
        <f>IFERROR(__xludf.DUMMYFUNCTION("""COMPUTED_VALUE"""),"JavaScript")</f>
        <v>JavaScript</v>
      </c>
      <c r="F3167" s="9" t="str">
        <f>IFERROR(__xludf.DUMMYFUNCTION("""COMPUTED_VALUE"""),"SQL")</f>
        <v>SQL</v>
      </c>
      <c r="G3167" s="9" t="str">
        <f>IFERROR(__xludf.DUMMYFUNCTION("""COMPUTED_VALUE"""),"C#")</f>
        <v>C#</v>
      </c>
      <c r="H3167" s="9" t="str">
        <f>IFERROR(__xludf.DUMMYFUNCTION("""COMPUTED_VALUE"""),"C#")</f>
        <v>C#</v>
      </c>
      <c r="I3167" s="9" t="str">
        <f>IFERROR(__xludf.DUMMYFUNCTION("""COMPUTED_VALUE"""),"Python")</f>
        <v>Python</v>
      </c>
      <c r="J3167" s="9" t="str">
        <f>IFERROR(__xludf.DUMMYFUNCTION("""COMPUTED_VALUE"""),"Python")</f>
        <v>Python</v>
      </c>
      <c r="K3167" s="9" t="str">
        <f>IFERROR(__xludf.DUMMYFUNCTION("""COMPUTED_VALUE"""),"Go")</f>
        <v>Go</v>
      </c>
      <c r="L3167" s="9" t="str">
        <f>IFERROR(__xludf.DUMMYFUNCTION("""COMPUTED_VALUE"""),"SQL")</f>
        <v>SQL</v>
      </c>
      <c r="M3167" s="9" t="s">
        <v>40</v>
      </c>
    </row>
    <row r="3168" ht="15.75" customHeight="1">
      <c r="A3168" s="7"/>
      <c r="B3168" s="7" t="str">
        <f>IFERROR(__xludf.DUMMYFUNCTION("""COMPUTED_VALUE"""),"C;SQL")</f>
        <v>C;SQL</v>
      </c>
      <c r="C3168" s="9" t="str">
        <f>IFERROR(__xludf.DUMMYFUNCTION("""COMPUTED_VALUE"""),"HTML/CSS")</f>
        <v>HTML/CSS</v>
      </c>
      <c r="D3168" s="9" t="str">
        <f>IFERROR(__xludf.DUMMYFUNCTION("""COMPUTED_VALUE"""),"C++")</f>
        <v>C++</v>
      </c>
      <c r="E3168" s="9" t="str">
        <f>IFERROR(__xludf.DUMMYFUNCTION("""COMPUTED_VALUE"""),"SQL")</f>
        <v>SQL</v>
      </c>
      <c r="F3168" s="9" t="str">
        <f>IFERROR(__xludf.DUMMYFUNCTION("""COMPUTED_VALUE"""),"VBA")</f>
        <v>VBA</v>
      </c>
      <c r="G3168" s="9" t="str">
        <f>IFERROR(__xludf.DUMMYFUNCTION("""COMPUTED_VALUE"""),"HTML/CSS")</f>
        <v>HTML/CSS</v>
      </c>
      <c r="H3168" s="9" t="str">
        <f>IFERROR(__xludf.DUMMYFUNCTION("""COMPUTED_VALUE"""),"HTML/CSS")</f>
        <v>HTML/CSS</v>
      </c>
      <c r="I3168" s="9" t="str">
        <f>IFERROR(__xludf.DUMMYFUNCTION("""COMPUTED_VALUE"""),"R")</f>
        <v>R</v>
      </c>
      <c r="J3168" s="9" t="str">
        <f>IFERROR(__xludf.DUMMYFUNCTION("""COMPUTED_VALUE"""),"SQL")</f>
        <v>SQL</v>
      </c>
      <c r="K3168" s="9" t="str">
        <f>IFERROR(__xludf.DUMMYFUNCTION("""COMPUTED_VALUE"""),"HTML/CSS")</f>
        <v>HTML/CSS</v>
      </c>
      <c r="L3168" s="9" t="str">
        <f>IFERROR(__xludf.DUMMYFUNCTION("""COMPUTED_VALUE"""),"HTML/CSS")</f>
        <v>HTML/CSS</v>
      </c>
      <c r="M3168" s="9" t="s">
        <v>24</v>
      </c>
    </row>
    <row r="3169" ht="15.75" customHeight="1">
      <c r="A3169" s="7"/>
      <c r="B3169" s="7" t="str">
        <f>IFERROR(__xludf.DUMMYFUNCTION("""COMPUTED_VALUE"""),"Bash/Shell/PowerShell;Java")</f>
        <v>Bash/Shell/PowerShell;Java</v>
      </c>
      <c r="C3169" s="9" t="str">
        <f>IFERROR(__xludf.DUMMYFUNCTION("""COMPUTED_VALUE"""),"JavaScript")</f>
        <v>JavaScript</v>
      </c>
      <c r="D3169" s="9" t="str">
        <f>IFERROR(__xludf.DUMMYFUNCTION("""COMPUTED_VALUE"""),"C#")</f>
        <v>C#</v>
      </c>
      <c r="E3169" s="9" t="str">
        <f>IFERROR(__xludf.DUMMYFUNCTION("""COMPUTED_VALUE"""),"Other(s):")</f>
        <v>Other(s):</v>
      </c>
      <c r="F3169" s="9" t="str">
        <f>IFERROR(__xludf.DUMMYFUNCTION("""COMPUTED_VALUE"""),"C#")</f>
        <v>C#</v>
      </c>
      <c r="G3169" s="9" t="str">
        <f>IFERROR(__xludf.DUMMYFUNCTION("""COMPUTED_VALUE"""),"JavaScript")</f>
        <v>JavaScript</v>
      </c>
      <c r="H3169" s="9" t="str">
        <f>IFERROR(__xludf.DUMMYFUNCTION("""COMPUTED_VALUE"""),"JavaScript")</f>
        <v>JavaScript</v>
      </c>
      <c r="I3169" s="9" t="str">
        <f>IFERROR(__xludf.DUMMYFUNCTION("""COMPUTED_VALUE"""),"Ruby")</f>
        <v>Ruby</v>
      </c>
      <c r="J3169" s="9" t="str">
        <f>IFERROR(__xludf.DUMMYFUNCTION("""COMPUTED_VALUE"""),"Bash/Shell/PowerShell")</f>
        <v>Bash/Shell/PowerShell</v>
      </c>
      <c r="K3169" s="9" t="str">
        <f>IFERROR(__xludf.DUMMYFUNCTION("""COMPUTED_VALUE"""),"Java")</f>
        <v>Java</v>
      </c>
      <c r="L3169" s="9" t="str">
        <f>IFERROR(__xludf.DUMMYFUNCTION("""COMPUTED_VALUE"""),"JavaScript")</f>
        <v>JavaScript</v>
      </c>
      <c r="M3169" s="9" t="s">
        <v>21</v>
      </c>
    </row>
    <row r="3170" ht="15.75" customHeight="1">
      <c r="A3170" s="7"/>
      <c r="B3170" s="7" t="str">
        <f>IFERROR(__xludf.DUMMYFUNCTION("""COMPUTED_VALUE"""),"HTML/CSS;JavaScript")</f>
        <v>HTML/CSS;JavaScript</v>
      </c>
      <c r="C3170" s="9" t="str">
        <f>IFERROR(__xludf.DUMMYFUNCTION("""COMPUTED_VALUE"""),"SQL")</f>
        <v>SQL</v>
      </c>
      <c r="D3170" s="9" t="str">
        <f>IFERROR(__xludf.DUMMYFUNCTION("""COMPUTED_VALUE"""),"Java")</f>
        <v>Java</v>
      </c>
      <c r="E3170" s="9" t="str">
        <f>IFERROR(__xludf.DUMMYFUNCTION("""COMPUTED_VALUE"""),"Bash/Shell/PowerShell")</f>
        <v>Bash/Shell/PowerShell</v>
      </c>
      <c r="F3170" s="9" t="str">
        <f>IFERROR(__xludf.DUMMYFUNCTION("""COMPUTED_VALUE"""),"SQL")</f>
        <v>SQL</v>
      </c>
      <c r="G3170" s="9" t="str">
        <f>IFERROR(__xludf.DUMMYFUNCTION("""COMPUTED_VALUE"""),"Python")</f>
        <v>Python</v>
      </c>
      <c r="H3170" s="9" t="str">
        <f>IFERROR(__xludf.DUMMYFUNCTION("""COMPUTED_VALUE"""),"PHP")</f>
        <v>PHP</v>
      </c>
      <c r="I3170" s="9" t="str">
        <f>IFERROR(__xludf.DUMMYFUNCTION("""COMPUTED_VALUE"""),"SQL")</f>
        <v>SQL</v>
      </c>
      <c r="J3170" s="9" t="str">
        <f>IFERROR(__xludf.DUMMYFUNCTION("""COMPUTED_VALUE"""),"HTML/CSS")</f>
        <v>HTML/CSS</v>
      </c>
      <c r="K3170" s="9" t="str">
        <f>IFERROR(__xludf.DUMMYFUNCTION("""COMPUTED_VALUE"""),"JavaScript")</f>
        <v>JavaScript</v>
      </c>
      <c r="L3170" s="9" t="str">
        <f>IFERROR(__xludf.DUMMYFUNCTION("""COMPUTED_VALUE"""),"PHP")</f>
        <v>PHP</v>
      </c>
      <c r="M3170" s="9" t="s">
        <v>27</v>
      </c>
    </row>
    <row r="3171" ht="15.75" customHeight="1">
      <c r="A3171" s="7"/>
      <c r="B3171" s="7" t="str">
        <f>IFERROR(__xludf.DUMMYFUNCTION("""COMPUTED_VALUE"""),"Bash/Shell/PowerShell;HTML/CSS;JavaScript;PHP;SQL")</f>
        <v>Bash/Shell/PowerShell;HTML/CSS;JavaScript;PHP;SQL</v>
      </c>
      <c r="C3171" s="9" t="str">
        <f>IFERROR(__xludf.DUMMYFUNCTION("""COMPUTED_VALUE"""),"C#")</f>
        <v>C#</v>
      </c>
      <c r="D3171" s="9" t="str">
        <f>IFERROR(__xludf.DUMMYFUNCTION("""COMPUTED_VALUE"""),"Rust")</f>
        <v>Rust</v>
      </c>
      <c r="E3171" s="9" t="str">
        <f>IFERROR(__xludf.DUMMYFUNCTION("""COMPUTED_VALUE"""),"HTML/CSS")</f>
        <v>HTML/CSS</v>
      </c>
      <c r="F3171" s="9" t="str">
        <f>IFERROR(__xludf.DUMMYFUNCTION("""COMPUTED_VALUE"""),"TypeScript")</f>
        <v>TypeScript</v>
      </c>
      <c r="G3171" s="9" t="str">
        <f>IFERROR(__xludf.DUMMYFUNCTION("""COMPUTED_VALUE"""),"SQL")</f>
        <v>SQL</v>
      </c>
      <c r="H3171" s="9" t="str">
        <f>IFERROR(__xludf.DUMMYFUNCTION("""COMPUTED_VALUE"""),"SQL")</f>
        <v>SQL</v>
      </c>
      <c r="I3171" s="9" t="str">
        <f>IFERROR(__xludf.DUMMYFUNCTION("""COMPUTED_VALUE"""),"TypeScript")</f>
        <v>TypeScript</v>
      </c>
      <c r="J3171" s="9" t="str">
        <f>IFERROR(__xludf.DUMMYFUNCTION("""COMPUTED_VALUE"""),"JavaScript")</f>
        <v>JavaScript</v>
      </c>
      <c r="K3171" s="9" t="str">
        <f>IFERROR(__xludf.DUMMYFUNCTION("""COMPUTED_VALUE"""),"Python")</f>
        <v>Python</v>
      </c>
      <c r="L3171" s="9" t="str">
        <f>IFERROR(__xludf.DUMMYFUNCTION("""COMPUTED_VALUE"""),"TypeScript")</f>
        <v>TypeScript</v>
      </c>
      <c r="M3171" s="9" t="s">
        <v>26</v>
      </c>
    </row>
    <row r="3172" ht="15.75" customHeight="1">
      <c r="A3172" s="7"/>
      <c r="B3172" s="7" t="str">
        <f>IFERROR(__xludf.DUMMYFUNCTION("""COMPUTED_VALUE"""),"Bash/Shell/PowerShell;JavaScript;Other(s):")</f>
        <v>Bash/Shell/PowerShell;JavaScript;Other(s):</v>
      </c>
      <c r="C3172" s="9" t="str">
        <f>IFERROR(__xludf.DUMMYFUNCTION("""COMPUTED_VALUE"""),"HTML/CSS")</f>
        <v>HTML/CSS</v>
      </c>
      <c r="D3172" s="9" t="str">
        <f>IFERROR(__xludf.DUMMYFUNCTION("""COMPUTED_VALUE"""),"HTML/CSS")</f>
        <v>HTML/CSS</v>
      </c>
      <c r="E3172" s="9" t="str">
        <f>IFERROR(__xludf.DUMMYFUNCTION("""COMPUTED_VALUE"""),"SQL")</f>
        <v>SQL</v>
      </c>
      <c r="F3172" s="9" t="str">
        <f>IFERROR(__xludf.DUMMYFUNCTION("""COMPUTED_VALUE"""),"Assembly")</f>
        <v>Assembly</v>
      </c>
      <c r="G3172" s="9" t="str">
        <f>IFERROR(__xludf.DUMMYFUNCTION("""COMPUTED_VALUE"""),"TypeScript")</f>
        <v>TypeScript</v>
      </c>
      <c r="H3172" s="9" t="str">
        <f>IFERROR(__xludf.DUMMYFUNCTION("""COMPUTED_VALUE"""),"TypeScript")</f>
        <v>TypeScript</v>
      </c>
      <c r="I3172" s="9" t="str">
        <f>IFERROR(__xludf.DUMMYFUNCTION("""COMPUTED_VALUE"""),"C#")</f>
        <v>C#</v>
      </c>
      <c r="J3172" s="9" t="str">
        <f>IFERROR(__xludf.DUMMYFUNCTION("""COMPUTED_VALUE"""),"PHP")</f>
        <v>PHP</v>
      </c>
      <c r="K3172" s="9" t="str">
        <f>IFERROR(__xludf.DUMMYFUNCTION("""COMPUTED_VALUE"""),"C#")</f>
        <v>C#</v>
      </c>
      <c r="L3172" s="9" t="str">
        <f>IFERROR(__xludf.DUMMYFUNCTION("""COMPUTED_VALUE"""),"Java")</f>
        <v>Java</v>
      </c>
      <c r="M3172" s="9" t="s">
        <v>24</v>
      </c>
    </row>
    <row r="3173" ht="15.75" customHeight="1">
      <c r="A3173" s="7"/>
      <c r="B3173" s="7" t="str">
        <f>IFERROR(__xludf.DUMMYFUNCTION("""COMPUTED_VALUE"""),"C;C++;C#;Python")</f>
        <v>C;C++;C#;Python</v>
      </c>
      <c r="C3173" s="9" t="str">
        <f>IFERROR(__xludf.DUMMYFUNCTION("""COMPUTED_VALUE"""),"Java")</f>
        <v>Java</v>
      </c>
      <c r="D3173" s="9" t="str">
        <f>IFERROR(__xludf.DUMMYFUNCTION("""COMPUTED_VALUE"""),"JavaScript")</f>
        <v>JavaScript</v>
      </c>
      <c r="E3173" s="9" t="str">
        <f>IFERROR(__xludf.DUMMYFUNCTION("""COMPUTED_VALUE"""),"VBA")</f>
        <v>VBA</v>
      </c>
      <c r="F3173" s="9" t="str">
        <f>IFERROR(__xludf.DUMMYFUNCTION("""COMPUTED_VALUE"""),"Bash/Shell/PowerShell")</f>
        <v>Bash/Shell/PowerShell</v>
      </c>
      <c r="G3173" s="9" t="str">
        <f>IFERROR(__xludf.DUMMYFUNCTION("""COMPUTED_VALUE"""),"VBA")</f>
        <v>VBA</v>
      </c>
      <c r="H3173" s="9" t="str">
        <f>IFERROR(__xludf.DUMMYFUNCTION("""COMPUTED_VALUE"""),"C")</f>
        <v>C</v>
      </c>
      <c r="I3173" s="9" t="str">
        <f>IFERROR(__xludf.DUMMYFUNCTION("""COMPUTED_VALUE"""),"HTML/CSS")</f>
        <v>HTML/CSS</v>
      </c>
      <c r="J3173" s="9" t="str">
        <f>IFERROR(__xludf.DUMMYFUNCTION("""COMPUTED_VALUE"""),"SQL")</f>
        <v>SQL</v>
      </c>
      <c r="K3173" s="9" t="str">
        <f>IFERROR(__xludf.DUMMYFUNCTION("""COMPUTED_VALUE"""),"HTML/CSS")</f>
        <v>HTML/CSS</v>
      </c>
      <c r="L3173" s="9" t="str">
        <f>IFERROR(__xludf.DUMMYFUNCTION("""COMPUTED_VALUE"""),"PHP")</f>
        <v>PHP</v>
      </c>
      <c r="M3173" s="9" t="s">
        <v>20</v>
      </c>
    </row>
    <row r="3174" ht="15.75" customHeight="1">
      <c r="A3174" s="7"/>
      <c r="B3174" s="7" t="str">
        <f>IFERROR(__xludf.DUMMYFUNCTION("""COMPUTED_VALUE"""),"Bash/Shell/PowerShell;C;C++;C#;F#;HTML/CSS;JavaScript;SQL;TypeScript")</f>
        <v>Bash/Shell/PowerShell;C;C++;C#;F#;HTML/CSS;JavaScript;SQL;TypeScript</v>
      </c>
      <c r="C3174" s="9" t="str">
        <f>IFERROR(__xludf.DUMMYFUNCTION("""COMPUTED_VALUE"""),"JavaScript")</f>
        <v>JavaScript</v>
      </c>
      <c r="D3174" s="9" t="str">
        <f>IFERROR(__xludf.DUMMYFUNCTION("""COMPUTED_VALUE"""),"Python")</f>
        <v>Python</v>
      </c>
      <c r="E3174" s="9" t="str">
        <f>IFERROR(__xludf.DUMMYFUNCTION("""COMPUTED_VALUE"""),"C#")</f>
        <v>C#</v>
      </c>
      <c r="F3174" s="9" t="str">
        <f>IFERROR(__xludf.DUMMYFUNCTION("""COMPUTED_VALUE"""),"C")</f>
        <v>C</v>
      </c>
      <c r="G3174" s="9" t="str">
        <f>IFERROR(__xludf.DUMMYFUNCTION("""COMPUTED_VALUE"""),"Other(s):")</f>
        <v>Other(s):</v>
      </c>
      <c r="H3174" s="9" t="str">
        <f>IFERROR(__xludf.DUMMYFUNCTION("""COMPUTED_VALUE"""),"C++")</f>
        <v>C++</v>
      </c>
      <c r="I3174" s="9" t="str">
        <f>IFERROR(__xludf.DUMMYFUNCTION("""COMPUTED_VALUE"""),"JavaScript")</f>
        <v>JavaScript</v>
      </c>
      <c r="J3174" s="9" t="str">
        <f>IFERROR(__xludf.DUMMYFUNCTION("""COMPUTED_VALUE"""),"HTML/CSS")</f>
        <v>HTML/CSS</v>
      </c>
      <c r="K3174" s="9" t="str">
        <f>IFERROR(__xludf.DUMMYFUNCTION("""COMPUTED_VALUE"""),"JavaScript")</f>
        <v>JavaScript</v>
      </c>
      <c r="L3174" s="9" t="str">
        <f>IFERROR(__xludf.DUMMYFUNCTION("""COMPUTED_VALUE"""),"SQL")</f>
        <v>SQL</v>
      </c>
      <c r="M3174" s="9" t="s">
        <v>21</v>
      </c>
    </row>
    <row r="3175" ht="15.75" customHeight="1">
      <c r="A3175" s="7"/>
      <c r="B3175" s="7" t="str">
        <f>IFERROR(__xludf.DUMMYFUNCTION("""COMPUTED_VALUE"""),"C#;HTML/CSS;JavaScript;SQL;TypeScript")</f>
        <v>C#;HTML/CSS;JavaScript;SQL;TypeScript</v>
      </c>
      <c r="C3175" s="9" t="str">
        <f>IFERROR(__xludf.DUMMYFUNCTION("""COMPUTED_VALUE"""),"Kotlin")</f>
        <v>Kotlin</v>
      </c>
      <c r="D3175" s="9" t="str">
        <f>IFERROR(__xludf.DUMMYFUNCTION("""COMPUTED_VALUE"""),"Other(s):")</f>
        <v>Other(s):</v>
      </c>
      <c r="E3175" s="9" t="str">
        <f>IFERROR(__xludf.DUMMYFUNCTION("""COMPUTED_VALUE"""),"HTML/CSS")</f>
        <v>HTML/CSS</v>
      </c>
      <c r="F3175" s="9" t="str">
        <f>IFERROR(__xludf.DUMMYFUNCTION("""COMPUTED_VALUE"""),"C++")</f>
        <v>C++</v>
      </c>
      <c r="G3175" s="9" t="str">
        <f>IFERROR(__xludf.DUMMYFUNCTION("""COMPUTED_VALUE"""),"Bash/Shell/PowerShell")</f>
        <v>Bash/Shell/PowerShell</v>
      </c>
      <c r="H3175" s="9" t="str">
        <f>IFERROR(__xludf.DUMMYFUNCTION("""COMPUTED_VALUE"""),"Java")</f>
        <v>Java</v>
      </c>
      <c r="I3175" s="9" t="str">
        <f>IFERROR(__xludf.DUMMYFUNCTION("""COMPUTED_VALUE"""),"TypeScript")</f>
        <v>TypeScript</v>
      </c>
      <c r="J3175" s="9" t="str">
        <f>IFERROR(__xludf.DUMMYFUNCTION("""COMPUTED_VALUE"""),"JavaScript")</f>
        <v>JavaScript</v>
      </c>
      <c r="K3175" s="9" t="str">
        <f>IFERROR(__xludf.DUMMYFUNCTION("""COMPUTED_VALUE"""),"SQL")</f>
        <v>SQL</v>
      </c>
      <c r="L3175" s="9" t="str">
        <f>IFERROR(__xludf.DUMMYFUNCTION("""COMPUTED_VALUE"""),"C")</f>
        <v>C</v>
      </c>
      <c r="M3175" s="9" t="s">
        <v>39</v>
      </c>
    </row>
    <row r="3176" ht="15.75" customHeight="1">
      <c r="A3176" s="7"/>
      <c r="B3176" s="7" t="str">
        <f>IFERROR(__xludf.DUMMYFUNCTION("""COMPUTED_VALUE"""),"HTML/CSS;Java;JavaScript;TypeScript")</f>
        <v>HTML/CSS;Java;JavaScript;TypeScript</v>
      </c>
      <c r="C3176" s="9" t="str">
        <f>IFERROR(__xludf.DUMMYFUNCTION("""COMPUTED_VALUE"""),"PHP")</f>
        <v>PHP</v>
      </c>
      <c r="D3176" s="9" t="str">
        <f>IFERROR(__xludf.DUMMYFUNCTION("""COMPUTED_VALUE"""),"C++")</f>
        <v>C++</v>
      </c>
      <c r="E3176" s="9" t="str">
        <f>IFERROR(__xludf.DUMMYFUNCTION("""COMPUTED_VALUE"""),"JavaScript")</f>
        <v>JavaScript</v>
      </c>
      <c r="F3176" s="9" t="str">
        <f>IFERROR(__xludf.DUMMYFUNCTION("""COMPUTED_VALUE"""),"JavaScript")</f>
        <v>JavaScript</v>
      </c>
      <c r="G3176" s="9" t="str">
        <f>IFERROR(__xludf.DUMMYFUNCTION("""COMPUTED_VALUE"""),"HTML/CSS")</f>
        <v>HTML/CSS</v>
      </c>
      <c r="H3176" s="9" t="str">
        <f>IFERROR(__xludf.DUMMYFUNCTION("""COMPUTED_VALUE"""),"Python")</f>
        <v>Python</v>
      </c>
      <c r="I3176" s="9" t="str">
        <f>IFERROR(__xludf.DUMMYFUNCTION("""COMPUTED_VALUE"""),"Assembly")</f>
        <v>Assembly</v>
      </c>
      <c r="J3176" s="9" t="str">
        <f>IFERROR(__xludf.DUMMYFUNCTION("""COMPUTED_VALUE"""),"PHP")</f>
        <v>PHP</v>
      </c>
      <c r="K3176" s="9" t="str">
        <f>IFERROR(__xludf.DUMMYFUNCTION("""COMPUTED_VALUE"""),"C++")</f>
        <v>C++</v>
      </c>
      <c r="L3176" s="9" t="str">
        <f>IFERROR(__xludf.DUMMYFUNCTION("""COMPUTED_VALUE"""),"C#")</f>
        <v>C#</v>
      </c>
      <c r="M3176" s="9" t="s">
        <v>37</v>
      </c>
    </row>
    <row r="3177" ht="15.75" customHeight="1">
      <c r="A3177" s="7"/>
      <c r="B3177" s="7" t="str">
        <f>IFERROR(__xludf.DUMMYFUNCTION("""COMPUTED_VALUE"""),"HTML/CSS;Java;JavaScript;SQL")</f>
        <v>HTML/CSS;Java;JavaScript;SQL</v>
      </c>
      <c r="C3177" s="9" t="str">
        <f>IFERROR(__xludf.DUMMYFUNCTION("""COMPUTED_VALUE"""),"SQL")</f>
        <v>SQL</v>
      </c>
      <c r="D3177" s="9" t="str">
        <f>IFERROR(__xludf.DUMMYFUNCTION("""COMPUTED_VALUE"""),"C#")</f>
        <v>C#</v>
      </c>
      <c r="E3177" s="9" t="str">
        <f>IFERROR(__xludf.DUMMYFUNCTION("""COMPUTED_VALUE"""),"PHP")</f>
        <v>PHP</v>
      </c>
      <c r="F3177" s="9" t="str">
        <f>IFERROR(__xludf.DUMMYFUNCTION("""COMPUTED_VALUE"""),"Python")</f>
        <v>Python</v>
      </c>
      <c r="G3177" s="9" t="str">
        <f>IFERROR(__xludf.DUMMYFUNCTION("""COMPUTED_VALUE"""),"JavaScript")</f>
        <v>JavaScript</v>
      </c>
      <c r="H3177" s="9" t="str">
        <f>IFERROR(__xludf.DUMMYFUNCTION("""COMPUTED_VALUE"""),"HTML/CSS")</f>
        <v>HTML/CSS</v>
      </c>
      <c r="I3177" s="9" t="str">
        <f>IFERROR(__xludf.DUMMYFUNCTION("""COMPUTED_VALUE"""),"Bash/Shell/PowerShell")</f>
        <v>Bash/Shell/PowerShell</v>
      </c>
      <c r="J3177" s="9" t="str">
        <f>IFERROR(__xludf.DUMMYFUNCTION("""COMPUTED_VALUE"""),"SQL")</f>
        <v>SQL</v>
      </c>
      <c r="K3177" s="9" t="str">
        <f>IFERROR(__xludf.DUMMYFUNCTION("""COMPUTED_VALUE"""),"C#")</f>
        <v>C#</v>
      </c>
      <c r="L3177" s="9" t="str">
        <f>IFERROR(__xludf.DUMMYFUNCTION("""COMPUTED_VALUE"""),"HTML/CSS")</f>
        <v>HTML/CSS</v>
      </c>
      <c r="M3177" s="9" t="s">
        <v>27</v>
      </c>
    </row>
    <row r="3178" ht="15.75" customHeight="1">
      <c r="A3178" s="7"/>
      <c r="B3178" s="7" t="str">
        <f>IFERROR(__xludf.DUMMYFUNCTION("""COMPUTED_VALUE"""),"C#;HTML/CSS;JavaScript;TypeScript")</f>
        <v>C#;HTML/CSS;JavaScript;TypeScript</v>
      </c>
      <c r="C3178" s="9" t="str">
        <f>IFERROR(__xludf.DUMMYFUNCTION("""COMPUTED_VALUE"""),"Swift")</f>
        <v>Swift</v>
      </c>
      <c r="D3178" s="9" t="str">
        <f>IFERROR(__xludf.DUMMYFUNCTION("""COMPUTED_VALUE"""),"HTML/CSS")</f>
        <v>HTML/CSS</v>
      </c>
      <c r="E3178" s="9" t="str">
        <f>IFERROR(__xludf.DUMMYFUNCTION("""COMPUTED_VALUE"""),"Ruby")</f>
        <v>Ruby</v>
      </c>
      <c r="F3178" s="9" t="str">
        <f>IFERROR(__xludf.DUMMYFUNCTION("""COMPUTED_VALUE"""),"Bash/Shell/PowerShell")</f>
        <v>Bash/Shell/PowerShell</v>
      </c>
      <c r="G3178" s="9" t="str">
        <f>IFERROR(__xludf.DUMMYFUNCTION("""COMPUTED_VALUE"""),"Python")</f>
        <v>Python</v>
      </c>
      <c r="H3178" s="9" t="str">
        <f>IFERROR(__xludf.DUMMYFUNCTION("""COMPUTED_VALUE"""),"JavaScript")</f>
        <v>JavaScript</v>
      </c>
      <c r="I3178" s="9" t="str">
        <f>IFERROR(__xludf.DUMMYFUNCTION("""COMPUTED_VALUE"""),"C")</f>
        <v>C</v>
      </c>
      <c r="J3178" s="9" t="str">
        <f>IFERROR(__xludf.DUMMYFUNCTION("""COMPUTED_VALUE"""),"HTML/CSS")</f>
        <v>HTML/CSS</v>
      </c>
      <c r="K3178" s="9" t="str">
        <f>IFERROR(__xludf.DUMMYFUNCTION("""COMPUTED_VALUE"""),"HTML/CSS")</f>
        <v>HTML/CSS</v>
      </c>
      <c r="L3178" s="9" t="str">
        <f>IFERROR(__xludf.DUMMYFUNCTION("""COMPUTED_VALUE"""),"Java")</f>
        <v>Java</v>
      </c>
      <c r="M3178" s="9" t="s">
        <v>40</v>
      </c>
    </row>
    <row r="3179" ht="15.75" customHeight="1">
      <c r="A3179" s="7"/>
      <c r="B3179" s="7" t="str">
        <f>IFERROR(__xludf.DUMMYFUNCTION("""COMPUTED_VALUE"""),"HTML/CSS;Java;SQL")</f>
        <v>HTML/CSS;Java;SQL</v>
      </c>
      <c r="C3179" s="9" t="str">
        <f>IFERROR(__xludf.DUMMYFUNCTION("""COMPUTED_VALUE"""),"Bash/Shell/PowerShell")</f>
        <v>Bash/Shell/PowerShell</v>
      </c>
      <c r="D3179" s="9" t="str">
        <f>IFERROR(__xludf.DUMMYFUNCTION("""COMPUTED_VALUE"""),"JavaScript")</f>
        <v>JavaScript</v>
      </c>
      <c r="E3179" s="9" t="str">
        <f>IFERROR(__xludf.DUMMYFUNCTION("""COMPUTED_VALUE"""),"SQL")</f>
        <v>SQL</v>
      </c>
      <c r="F3179" s="9" t="str">
        <f>IFERROR(__xludf.DUMMYFUNCTION("""COMPUTED_VALUE"""),"HTML/CSS")</f>
        <v>HTML/CSS</v>
      </c>
      <c r="G3179" s="9" t="str">
        <f>IFERROR(__xludf.DUMMYFUNCTION("""COMPUTED_VALUE"""),"SQL")</f>
        <v>SQL</v>
      </c>
      <c r="H3179" s="9" t="str">
        <f>IFERROR(__xludf.DUMMYFUNCTION("""COMPUTED_VALUE"""),"PHP")</f>
        <v>PHP</v>
      </c>
      <c r="I3179" s="9" t="str">
        <f>IFERROR(__xludf.DUMMYFUNCTION("""COMPUTED_VALUE"""),"C++")</f>
        <v>C++</v>
      </c>
      <c r="J3179" s="9" t="str">
        <f>IFERROR(__xludf.DUMMYFUNCTION("""COMPUTED_VALUE"""),"Java")</f>
        <v>Java</v>
      </c>
      <c r="K3179" s="9" t="str">
        <f>IFERROR(__xludf.DUMMYFUNCTION("""COMPUTED_VALUE"""),"Java")</f>
        <v>Java</v>
      </c>
      <c r="L3179" s="9" t="str">
        <f>IFERROR(__xludf.DUMMYFUNCTION("""COMPUTED_VALUE"""),"JavaScript")</f>
        <v>JavaScript</v>
      </c>
      <c r="M3179" s="9" t="s">
        <v>30</v>
      </c>
    </row>
    <row r="3180" ht="15.75" customHeight="1">
      <c r="A3180" s="7"/>
      <c r="B3180" s="7" t="str">
        <f>IFERROR(__xludf.DUMMYFUNCTION("""COMPUTED_VALUE"""),"HTML/CSS;JavaScript;PHP;Python;SQL;VBA")</f>
        <v>HTML/CSS;JavaScript;PHP;Python;SQL;VBA</v>
      </c>
      <c r="C3180" s="9" t="str">
        <f>IFERROR(__xludf.DUMMYFUNCTION("""COMPUTED_VALUE"""),"C++")</f>
        <v>C++</v>
      </c>
      <c r="D3180" s="9" t="str">
        <f>IFERROR(__xludf.DUMMYFUNCTION("""COMPUTED_VALUE"""),"PHP")</f>
        <v>PHP</v>
      </c>
      <c r="E3180" s="9" t="str">
        <f>IFERROR(__xludf.DUMMYFUNCTION("""COMPUTED_VALUE"""),"Bash/Shell/PowerShell")</f>
        <v>Bash/Shell/PowerShell</v>
      </c>
      <c r="F3180" s="9" t="str">
        <f>IFERROR(__xludf.DUMMYFUNCTION("""COMPUTED_VALUE"""),"JavaScript")</f>
        <v>JavaScript</v>
      </c>
      <c r="G3180" s="9" t="str">
        <f>IFERROR(__xludf.DUMMYFUNCTION("""COMPUTED_VALUE"""),"Bash/Shell/PowerShell")</f>
        <v>Bash/Shell/PowerShell</v>
      </c>
      <c r="H3180" s="9" t="str">
        <f>IFERROR(__xludf.DUMMYFUNCTION("""COMPUTED_VALUE"""),"TypeScript")</f>
        <v>TypeScript</v>
      </c>
      <c r="I3180" s="9" t="str">
        <f>IFERROR(__xludf.DUMMYFUNCTION("""COMPUTED_VALUE"""),"C#")</f>
        <v>C#</v>
      </c>
      <c r="J3180" s="9" t="str">
        <f>IFERROR(__xludf.DUMMYFUNCTION("""COMPUTED_VALUE"""),"JavaScript")</f>
        <v>JavaScript</v>
      </c>
      <c r="K3180" s="9" t="str">
        <f>IFERROR(__xludf.DUMMYFUNCTION("""COMPUTED_VALUE"""),"Python")</f>
        <v>Python</v>
      </c>
      <c r="L3180" s="9" t="str">
        <f>IFERROR(__xludf.DUMMYFUNCTION("""COMPUTED_VALUE"""),"SQL")</f>
        <v>SQL</v>
      </c>
      <c r="M3180" s="9" t="s">
        <v>23</v>
      </c>
    </row>
    <row r="3181" ht="15.75" customHeight="1">
      <c r="A3181" s="7"/>
      <c r="B3181" s="7" t="str">
        <f>IFERROR(__xludf.DUMMYFUNCTION("""COMPUTED_VALUE"""),"HTML/CSS;JavaScript;PHP;SQL;TypeScript")</f>
        <v>HTML/CSS;JavaScript;PHP;SQL;TypeScript</v>
      </c>
      <c r="C3181" s="9" t="str">
        <f>IFERROR(__xludf.DUMMYFUNCTION("""COMPUTED_VALUE"""),"HTML/CSS")</f>
        <v>HTML/CSS</v>
      </c>
      <c r="D3181" s="9" t="str">
        <f>IFERROR(__xludf.DUMMYFUNCTION("""COMPUTED_VALUE"""),"Python")</f>
        <v>Python</v>
      </c>
      <c r="E3181" s="9" t="str">
        <f>IFERROR(__xludf.DUMMYFUNCTION("""COMPUTED_VALUE"""),"C#")</f>
        <v>C#</v>
      </c>
      <c r="F3181" s="9" t="str">
        <f>IFERROR(__xludf.DUMMYFUNCTION("""COMPUTED_VALUE"""),"PHP")</f>
        <v>PHP</v>
      </c>
      <c r="G3181" s="9" t="str">
        <f>IFERROR(__xludf.DUMMYFUNCTION("""COMPUTED_VALUE"""),"HTML/CSS")</f>
        <v>HTML/CSS</v>
      </c>
      <c r="H3181" s="9" t="str">
        <f>IFERROR(__xludf.DUMMYFUNCTION("""COMPUTED_VALUE"""),"Assembly")</f>
        <v>Assembly</v>
      </c>
      <c r="I3181" s="9" t="str">
        <f>IFERROR(__xludf.DUMMYFUNCTION("""COMPUTED_VALUE"""),"HTML/CSS")</f>
        <v>HTML/CSS</v>
      </c>
      <c r="J3181" s="9" t="str">
        <f>IFERROR(__xludf.DUMMYFUNCTION("""COMPUTED_VALUE"""),"PHP")</f>
        <v>PHP</v>
      </c>
      <c r="K3181" s="9" t="str">
        <f>IFERROR(__xludf.DUMMYFUNCTION("""COMPUTED_VALUE"""),"SQL")</f>
        <v>SQL</v>
      </c>
      <c r="L3181" s="9" t="str">
        <f>IFERROR(__xludf.DUMMYFUNCTION("""COMPUTED_VALUE"""),"C")</f>
        <v>C</v>
      </c>
      <c r="M3181" s="9" t="s">
        <v>24</v>
      </c>
    </row>
    <row r="3182" ht="15.75" customHeight="1">
      <c r="A3182" s="7"/>
      <c r="B3182" s="7" t="str">
        <f>IFERROR(__xludf.DUMMYFUNCTION("""COMPUTED_VALUE"""),"Bash/Shell/PowerShell;C;C++;Dart;HTML/CSS;JavaScript;Objective-C;PHP;Python;R;SQL")</f>
        <v>Bash/Shell/PowerShell;C;C++;Dart;HTML/CSS;JavaScript;Objective-C;PHP;Python;R;SQL</v>
      </c>
      <c r="C3182" s="9" t="str">
        <f>IFERROR(__xludf.DUMMYFUNCTION("""COMPUTED_VALUE"""),"JavaScript")</f>
        <v>JavaScript</v>
      </c>
      <c r="D3182" s="9" t="str">
        <f>IFERROR(__xludf.DUMMYFUNCTION("""COMPUTED_VALUE"""),"R")</f>
        <v>R</v>
      </c>
      <c r="E3182" s="9" t="str">
        <f>IFERROR(__xludf.DUMMYFUNCTION("""COMPUTED_VALUE"""),"HTML/CSS")</f>
        <v>HTML/CSS</v>
      </c>
      <c r="F3182" s="9" t="str">
        <f>IFERROR(__xludf.DUMMYFUNCTION("""COMPUTED_VALUE"""),"SQL")</f>
        <v>SQL</v>
      </c>
      <c r="G3182" s="9" t="str">
        <f>IFERROR(__xludf.DUMMYFUNCTION("""COMPUTED_VALUE"""),"Java")</f>
        <v>Java</v>
      </c>
      <c r="H3182" s="9" t="str">
        <f>IFERROR(__xludf.DUMMYFUNCTION("""COMPUTED_VALUE"""),"Bash/Shell/PowerShell")</f>
        <v>Bash/Shell/PowerShell</v>
      </c>
      <c r="I3182" s="9" t="str">
        <f>IFERROR(__xludf.DUMMYFUNCTION("""COMPUTED_VALUE"""),"Java")</f>
        <v>Java</v>
      </c>
      <c r="J3182" s="9" t="str">
        <f>IFERROR(__xludf.DUMMYFUNCTION("""COMPUTED_VALUE"""),"Bash/Shell/PowerShell")</f>
        <v>Bash/Shell/PowerShell</v>
      </c>
      <c r="K3182" s="9" t="str">
        <f>IFERROR(__xludf.DUMMYFUNCTION("""COMPUTED_VALUE"""),"VBA")</f>
        <v>VBA</v>
      </c>
      <c r="L3182" s="9" t="str">
        <f>IFERROR(__xludf.DUMMYFUNCTION("""COMPUTED_VALUE"""),"C++")</f>
        <v>C++</v>
      </c>
      <c r="M3182" s="9" t="s">
        <v>21</v>
      </c>
    </row>
    <row r="3183" ht="15.75" customHeight="1">
      <c r="A3183" s="7"/>
      <c r="B3183" s="7" t="str">
        <f>IFERROR(__xludf.DUMMYFUNCTION("""COMPUTED_VALUE"""),"Elixir;HTML/CSS;JavaScript;Ruby;Other(s):")</f>
        <v>Elixir;HTML/CSS;JavaScript;Ruby;Other(s):</v>
      </c>
      <c r="C3183" s="9" t="str">
        <f>IFERROR(__xludf.DUMMYFUNCTION("""COMPUTED_VALUE"""),"TypeScript")</f>
        <v>TypeScript</v>
      </c>
      <c r="D3183" s="9" t="str">
        <f>IFERROR(__xludf.DUMMYFUNCTION("""COMPUTED_VALUE"""),"SQL")</f>
        <v>SQL</v>
      </c>
      <c r="E3183" s="9" t="str">
        <f>IFERROR(__xludf.DUMMYFUNCTION("""COMPUTED_VALUE"""),"Java")</f>
        <v>Java</v>
      </c>
      <c r="F3183" s="9" t="str">
        <f>IFERROR(__xludf.DUMMYFUNCTION("""COMPUTED_VALUE"""),"Python")</f>
        <v>Python</v>
      </c>
      <c r="G3183" s="9" t="str">
        <f>IFERROR(__xludf.DUMMYFUNCTION("""COMPUTED_VALUE"""),"JavaScript")</f>
        <v>JavaScript</v>
      </c>
      <c r="H3183" s="9" t="str">
        <f>IFERROR(__xludf.DUMMYFUNCTION("""COMPUTED_VALUE"""),"C")</f>
        <v>C</v>
      </c>
      <c r="I3183" s="9" t="str">
        <f>IFERROR(__xludf.DUMMYFUNCTION("""COMPUTED_VALUE"""),"JavaScript")</f>
        <v>JavaScript</v>
      </c>
      <c r="J3183" s="9" t="str">
        <f>IFERROR(__xludf.DUMMYFUNCTION("""COMPUTED_VALUE"""),"C++")</f>
        <v>C++</v>
      </c>
      <c r="K3183" s="9" t="str">
        <f>IFERROR(__xludf.DUMMYFUNCTION("""COMPUTED_VALUE"""),"C#")</f>
        <v>C#</v>
      </c>
      <c r="L3183" s="9" t="str">
        <f>IFERROR(__xludf.DUMMYFUNCTION("""COMPUTED_VALUE"""),"HTML/CSS")</f>
        <v>HTML/CSS</v>
      </c>
      <c r="M3183" s="9" t="s">
        <v>33</v>
      </c>
    </row>
    <row r="3184" ht="15.75" customHeight="1">
      <c r="A3184" s="7"/>
      <c r="B3184" s="7" t="str">
        <f>IFERROR(__xludf.DUMMYFUNCTION("""COMPUTED_VALUE"""),"Bash/Shell/PowerShell;C#;HTML/CSS;Java;JavaScript;PHP;Python;SQL")</f>
        <v>Bash/Shell/PowerShell;C#;HTML/CSS;Java;JavaScript;PHP;Python;SQL</v>
      </c>
      <c r="C3184" s="9" t="str">
        <f>IFERROR(__xludf.DUMMYFUNCTION("""COMPUTED_VALUE"""),"Bash/Shell/PowerShell")</f>
        <v>Bash/Shell/PowerShell</v>
      </c>
      <c r="D3184" s="9" t="str">
        <f>IFERROR(__xludf.DUMMYFUNCTION("""COMPUTED_VALUE"""),"Bash/Shell/PowerShell")</f>
        <v>Bash/Shell/PowerShell</v>
      </c>
      <c r="E3184" s="9" t="str">
        <f>IFERROR(__xludf.DUMMYFUNCTION("""COMPUTED_VALUE"""),"Python")</f>
        <v>Python</v>
      </c>
      <c r="F3184" s="9" t="str">
        <f>IFERROR(__xludf.DUMMYFUNCTION("""COMPUTED_VALUE"""),"Rust")</f>
        <v>Rust</v>
      </c>
      <c r="G3184" s="9" t="str">
        <f>IFERROR(__xludf.DUMMYFUNCTION("""COMPUTED_VALUE"""),"SQL")</f>
        <v>SQL</v>
      </c>
      <c r="H3184" s="9" t="str">
        <f>IFERROR(__xludf.DUMMYFUNCTION("""COMPUTED_VALUE"""),"HTML/CSS")</f>
        <v>HTML/CSS</v>
      </c>
      <c r="I3184" s="9" t="str">
        <f>IFERROR(__xludf.DUMMYFUNCTION("""COMPUTED_VALUE"""),"Objective-C")</f>
        <v>Objective-C</v>
      </c>
      <c r="J3184" s="9" t="str">
        <f>IFERROR(__xludf.DUMMYFUNCTION("""COMPUTED_VALUE"""),"Java")</f>
        <v>Java</v>
      </c>
      <c r="K3184" s="9" t="str">
        <f>IFERROR(__xludf.DUMMYFUNCTION("""COMPUTED_VALUE"""),"HTML/CSS")</f>
        <v>HTML/CSS</v>
      </c>
      <c r="L3184" s="9" t="str">
        <f>IFERROR(__xludf.DUMMYFUNCTION("""COMPUTED_VALUE"""),"Java")</f>
        <v>Java</v>
      </c>
      <c r="M3184" s="9" t="s">
        <v>30</v>
      </c>
    </row>
    <row r="3185" ht="15.75" customHeight="1">
      <c r="A3185" s="7"/>
      <c r="B3185" s="7" t="str">
        <f>IFERROR(__xludf.DUMMYFUNCTION("""COMPUTED_VALUE"""),"Bash/Shell/PowerShell;C#;Java;Python;R;Scala;SQL")</f>
        <v>Bash/Shell/PowerShell;C#;Java;Python;R;Scala;SQL</v>
      </c>
      <c r="C3185" s="9" t="str">
        <f>IFERROR(__xludf.DUMMYFUNCTION("""COMPUTED_VALUE"""),"HTML/CSS")</f>
        <v>HTML/CSS</v>
      </c>
      <c r="D3185" s="9" t="str">
        <f>IFERROR(__xludf.DUMMYFUNCTION("""COMPUTED_VALUE"""),"C++")</f>
        <v>C++</v>
      </c>
      <c r="E3185" s="9" t="str">
        <f>IFERROR(__xludf.DUMMYFUNCTION("""COMPUTED_VALUE"""),"SQL")</f>
        <v>SQL</v>
      </c>
      <c r="F3185" s="9" t="str">
        <f>IFERROR(__xludf.DUMMYFUNCTION("""COMPUTED_VALUE"""),"SQL")</f>
        <v>SQL</v>
      </c>
      <c r="G3185" s="9" t="str">
        <f>IFERROR(__xludf.DUMMYFUNCTION("""COMPUTED_VALUE"""),"Bash/Shell/PowerShell")</f>
        <v>Bash/Shell/PowerShell</v>
      </c>
      <c r="H3185" s="9" t="str">
        <f>IFERROR(__xludf.DUMMYFUNCTION("""COMPUTED_VALUE"""),"Java")</f>
        <v>Java</v>
      </c>
      <c r="I3185" s="9" t="str">
        <f>IFERROR(__xludf.DUMMYFUNCTION("""COMPUTED_VALUE"""),"PHP")</f>
        <v>PHP</v>
      </c>
      <c r="J3185" s="9" t="str">
        <f>IFERROR(__xludf.DUMMYFUNCTION("""COMPUTED_VALUE"""),"Python")</f>
        <v>Python</v>
      </c>
      <c r="K3185" s="9" t="str">
        <f>IFERROR(__xludf.DUMMYFUNCTION("""COMPUTED_VALUE"""),"Java")</f>
        <v>Java</v>
      </c>
      <c r="L3185" s="9" t="str">
        <f>IFERROR(__xludf.DUMMYFUNCTION("""COMPUTED_VALUE"""),"JavaScript")</f>
        <v>JavaScript</v>
      </c>
      <c r="M3185" s="9" t="s">
        <v>24</v>
      </c>
    </row>
    <row r="3186" ht="15.75" customHeight="1">
      <c r="A3186" s="7"/>
      <c r="B3186" s="7" t="str">
        <f>IFERROR(__xludf.DUMMYFUNCTION("""COMPUTED_VALUE"""),"C;C++;HTML/CSS;Objective-C;Other(s):")</f>
        <v>C;C++;HTML/CSS;Objective-C;Other(s):</v>
      </c>
      <c r="C3186" s="9" t="str">
        <f>IFERROR(__xludf.DUMMYFUNCTION("""COMPUTED_VALUE"""),"Java")</f>
        <v>Java</v>
      </c>
      <c r="D3186" s="9" t="str">
        <f>IFERROR(__xludf.DUMMYFUNCTION("""COMPUTED_VALUE"""),"C#")</f>
        <v>C#</v>
      </c>
      <c r="E3186" s="9" t="str">
        <f>IFERROR(__xludf.DUMMYFUNCTION("""COMPUTED_VALUE"""),"C#")</f>
        <v>C#</v>
      </c>
      <c r="F3186" s="9" t="str">
        <f>IFERROR(__xludf.DUMMYFUNCTION("""COMPUTED_VALUE"""),"Bash/Shell/PowerShell")</f>
        <v>Bash/Shell/PowerShell</v>
      </c>
      <c r="G3186" s="9" t="str">
        <f>IFERROR(__xludf.DUMMYFUNCTION("""COMPUTED_VALUE"""),"C")</f>
        <v>C</v>
      </c>
      <c r="H3186" s="9" t="str">
        <f>IFERROR(__xludf.DUMMYFUNCTION("""COMPUTED_VALUE"""),"JavaScript")</f>
        <v>JavaScript</v>
      </c>
      <c r="I3186" s="9" t="str">
        <f>IFERROR(__xludf.DUMMYFUNCTION("""COMPUTED_VALUE"""),"Python")</f>
        <v>Python</v>
      </c>
      <c r="J3186" s="9" t="str">
        <f>IFERROR(__xludf.DUMMYFUNCTION("""COMPUTED_VALUE"""),"C#")</f>
        <v>C#</v>
      </c>
      <c r="K3186" s="9" t="str">
        <f>IFERROR(__xludf.DUMMYFUNCTION("""COMPUTED_VALUE"""),"JavaScript")</f>
        <v>JavaScript</v>
      </c>
      <c r="L3186" s="9" t="str">
        <f>IFERROR(__xludf.DUMMYFUNCTION("""COMPUTED_VALUE"""),"PHP")</f>
        <v>PHP</v>
      </c>
      <c r="M3186" s="9" t="s">
        <v>20</v>
      </c>
    </row>
    <row r="3187" ht="15.75" customHeight="1">
      <c r="A3187" s="7"/>
      <c r="B3187" s="7" t="str">
        <f>IFERROR(__xludf.DUMMYFUNCTION("""COMPUTED_VALUE"""),"HTML/CSS;JavaScript;PHP;SQL;TypeScript")</f>
        <v>HTML/CSS;JavaScript;PHP;SQL;TypeScript</v>
      </c>
      <c r="C3187" s="9" t="str">
        <f>IFERROR(__xludf.DUMMYFUNCTION("""COMPUTED_VALUE"""),"JavaScript")</f>
        <v>JavaScript</v>
      </c>
      <c r="D3187" s="9" t="str">
        <f>IFERROR(__xludf.DUMMYFUNCTION("""COMPUTED_VALUE"""),"Java")</f>
        <v>Java</v>
      </c>
      <c r="E3187" s="9" t="str">
        <f>IFERROR(__xludf.DUMMYFUNCTION("""COMPUTED_VALUE"""),"PHP")</f>
        <v>PHP</v>
      </c>
      <c r="F3187" s="9" t="str">
        <f>IFERROR(__xludf.DUMMYFUNCTION("""COMPUTED_VALUE"""),"Java")</f>
        <v>Java</v>
      </c>
      <c r="G3187" s="9" t="str">
        <f>IFERROR(__xludf.DUMMYFUNCTION("""COMPUTED_VALUE"""),"C++")</f>
        <v>C++</v>
      </c>
      <c r="H3187" s="9" t="str">
        <f>IFERROR(__xludf.DUMMYFUNCTION("""COMPUTED_VALUE"""),"Python")</f>
        <v>Python</v>
      </c>
      <c r="I3187" s="9" t="str">
        <f>IFERROR(__xludf.DUMMYFUNCTION("""COMPUTED_VALUE"""),"Ruby")</f>
        <v>Ruby</v>
      </c>
      <c r="J3187" s="9" t="str">
        <f>IFERROR(__xludf.DUMMYFUNCTION("""COMPUTED_VALUE"""),"HTML/CSS")</f>
        <v>HTML/CSS</v>
      </c>
      <c r="K3187" s="9" t="str">
        <f>IFERROR(__xludf.DUMMYFUNCTION("""COMPUTED_VALUE"""),"SQL")</f>
        <v>SQL</v>
      </c>
      <c r="L3187" s="9" t="str">
        <f>IFERROR(__xludf.DUMMYFUNCTION("""COMPUTED_VALUE"""),"SQL")</f>
        <v>SQL</v>
      </c>
      <c r="M3187" s="9" t="s">
        <v>21</v>
      </c>
    </row>
    <row r="3188" ht="15.75" customHeight="1">
      <c r="A3188" s="7"/>
      <c r="B3188" s="7" t="str">
        <f>IFERROR(__xludf.DUMMYFUNCTION("""COMPUTED_VALUE"""),"Java;JavaScript;SQL")</f>
        <v>Java;JavaScript;SQL</v>
      </c>
      <c r="C3188" s="9" t="str">
        <f>IFERROR(__xludf.DUMMYFUNCTION("""COMPUTED_VALUE"""),"PHP")</f>
        <v>PHP</v>
      </c>
      <c r="D3188" s="9" t="str">
        <f>IFERROR(__xludf.DUMMYFUNCTION("""COMPUTED_VALUE"""),"JavaScript")</f>
        <v>JavaScript</v>
      </c>
      <c r="E3188" s="9" t="str">
        <f>IFERROR(__xludf.DUMMYFUNCTION("""COMPUTED_VALUE"""),"SQL")</f>
        <v>SQL</v>
      </c>
      <c r="F3188" s="9" t="str">
        <f>IFERROR(__xludf.DUMMYFUNCTION("""COMPUTED_VALUE"""),"Python")</f>
        <v>Python</v>
      </c>
      <c r="G3188" s="9" t="str">
        <f>IFERROR(__xludf.DUMMYFUNCTION("""COMPUTED_VALUE"""),"C#")</f>
        <v>C#</v>
      </c>
      <c r="H3188" s="9" t="str">
        <f>IFERROR(__xludf.DUMMYFUNCTION("""COMPUTED_VALUE"""),"R")</f>
        <v>R</v>
      </c>
      <c r="I3188" s="9" t="str">
        <f>IFERROR(__xludf.DUMMYFUNCTION("""COMPUTED_VALUE"""),"SQL")</f>
        <v>SQL</v>
      </c>
      <c r="J3188" s="9" t="str">
        <f>IFERROR(__xludf.DUMMYFUNCTION("""COMPUTED_VALUE"""),"JavaScript")</f>
        <v>JavaScript</v>
      </c>
      <c r="K3188" s="9" t="str">
        <f>IFERROR(__xludf.DUMMYFUNCTION("""COMPUTED_VALUE"""),"C#")</f>
        <v>C#</v>
      </c>
      <c r="L3188" s="9" t="str">
        <f>IFERROR(__xludf.DUMMYFUNCTION("""COMPUTED_VALUE"""),"C")</f>
        <v>C</v>
      </c>
      <c r="M3188" s="9" t="s">
        <v>37</v>
      </c>
    </row>
    <row r="3189" ht="15.75" customHeight="1">
      <c r="A3189" s="7"/>
      <c r="B3189" s="7" t="str">
        <f>IFERROR(__xludf.DUMMYFUNCTION("""COMPUTED_VALUE"""),"C;Java;Objective-C;Swift")</f>
        <v>C;Java;Objective-C;Swift</v>
      </c>
      <c r="C3189" s="9" t="str">
        <f>IFERROR(__xludf.DUMMYFUNCTION("""COMPUTED_VALUE"""),"Ruby")</f>
        <v>Ruby</v>
      </c>
      <c r="D3189" s="9" t="str">
        <f>IFERROR(__xludf.DUMMYFUNCTION("""COMPUTED_VALUE"""),"PHP")</f>
        <v>PHP</v>
      </c>
      <c r="E3189" s="9" t="str">
        <f>IFERROR(__xludf.DUMMYFUNCTION("""COMPUTED_VALUE"""),"Assembly")</f>
        <v>Assembly</v>
      </c>
      <c r="F3189" s="9" t="str">
        <f>IFERROR(__xludf.DUMMYFUNCTION("""COMPUTED_VALUE"""),"Scala")</f>
        <v>Scala</v>
      </c>
      <c r="G3189" s="9" t="str">
        <f>IFERROR(__xludf.DUMMYFUNCTION("""COMPUTED_VALUE"""),"Go")</f>
        <v>Go</v>
      </c>
      <c r="H3189" s="9" t="str">
        <f>IFERROR(__xludf.DUMMYFUNCTION("""COMPUTED_VALUE"""),"SQL")</f>
        <v>SQL</v>
      </c>
      <c r="I3189" s="9" t="str">
        <f>IFERROR(__xludf.DUMMYFUNCTION("""COMPUTED_VALUE"""),"Swift")</f>
        <v>Swift</v>
      </c>
      <c r="J3189" s="9" t="str">
        <f>IFERROR(__xludf.DUMMYFUNCTION("""COMPUTED_VALUE"""),"PHP")</f>
        <v>PHP</v>
      </c>
      <c r="K3189" s="9" t="str">
        <f>IFERROR(__xludf.DUMMYFUNCTION("""COMPUTED_VALUE"""),"Elixir")</f>
        <v>Elixir</v>
      </c>
      <c r="L3189" s="9" t="str">
        <f>IFERROR(__xludf.DUMMYFUNCTION("""COMPUTED_VALUE"""),"C++")</f>
        <v>C++</v>
      </c>
      <c r="M3189" s="9" t="s">
        <v>31</v>
      </c>
    </row>
    <row r="3190" ht="15.75" customHeight="1">
      <c r="A3190" s="7"/>
      <c r="B3190" s="7" t="str">
        <f>IFERROR(__xludf.DUMMYFUNCTION("""COMPUTED_VALUE"""),"HTML/CSS;JavaScript;Python;R")</f>
        <v>HTML/CSS;JavaScript;Python;R</v>
      </c>
      <c r="C3190" s="9" t="str">
        <f>IFERROR(__xludf.DUMMYFUNCTION("""COMPUTED_VALUE"""),"SQL")</f>
        <v>SQL</v>
      </c>
      <c r="D3190" s="9" t="str">
        <f>IFERROR(__xludf.DUMMYFUNCTION("""COMPUTED_VALUE"""),"Python")</f>
        <v>Python</v>
      </c>
      <c r="E3190" s="9" t="str">
        <f>IFERROR(__xludf.DUMMYFUNCTION("""COMPUTED_VALUE"""),"C")</f>
        <v>C</v>
      </c>
      <c r="F3190" s="9" t="str">
        <f>IFERROR(__xludf.DUMMYFUNCTION("""COMPUTED_VALUE"""),"SQL")</f>
        <v>SQL</v>
      </c>
      <c r="G3190" s="9" t="str">
        <f>IFERROR(__xludf.DUMMYFUNCTION("""COMPUTED_VALUE"""),"HTML/CSS")</f>
        <v>HTML/CSS</v>
      </c>
      <c r="H3190" s="9" t="str">
        <f>IFERROR(__xludf.DUMMYFUNCTION("""COMPUTED_VALUE"""),"Bash/Shell/PowerShell")</f>
        <v>Bash/Shell/PowerShell</v>
      </c>
      <c r="I3190" s="9" t="str">
        <f>IFERROR(__xludf.DUMMYFUNCTION("""COMPUTED_VALUE"""),"VBA")</f>
        <v>VBA</v>
      </c>
      <c r="J3190" s="9" t="str">
        <f>IFERROR(__xludf.DUMMYFUNCTION("""COMPUTED_VALUE"""),"Bash/Shell/PowerShell")</f>
        <v>Bash/Shell/PowerShell</v>
      </c>
      <c r="K3190" s="9" t="str">
        <f>IFERROR(__xludf.DUMMYFUNCTION("""COMPUTED_VALUE"""),"Erlang")</f>
        <v>Erlang</v>
      </c>
      <c r="L3190" s="9" t="str">
        <f>IFERROR(__xludf.DUMMYFUNCTION("""COMPUTED_VALUE"""),"C#")</f>
        <v>C#</v>
      </c>
      <c r="M3190" s="9" t="s">
        <v>27</v>
      </c>
    </row>
    <row r="3191" ht="15.75" customHeight="1">
      <c r="A3191" s="7"/>
      <c r="B3191" s="7" t="str">
        <f>IFERROR(__xludf.DUMMYFUNCTION("""COMPUTED_VALUE"""),"HTML/CSS;JavaScript")</f>
        <v>HTML/CSS;JavaScript</v>
      </c>
      <c r="C3191" s="9" t="str">
        <f>IFERROR(__xludf.DUMMYFUNCTION("""COMPUTED_VALUE"""),"C++")</f>
        <v>C++</v>
      </c>
      <c r="D3191" s="9" t="str">
        <f>IFERROR(__xludf.DUMMYFUNCTION("""COMPUTED_VALUE"""),"TypeScript")</f>
        <v>TypeScript</v>
      </c>
      <c r="E3191" s="9" t="str">
        <f>IFERROR(__xludf.DUMMYFUNCTION("""COMPUTED_VALUE"""),"C++")</f>
        <v>C++</v>
      </c>
      <c r="F3191" s="9" t="str">
        <f>IFERROR(__xludf.DUMMYFUNCTION("""COMPUTED_VALUE"""),"Bash/Shell/PowerShell")</f>
        <v>Bash/Shell/PowerShell</v>
      </c>
      <c r="G3191" s="9" t="str">
        <f>IFERROR(__xludf.DUMMYFUNCTION("""COMPUTED_VALUE"""),"Java")</f>
        <v>Java</v>
      </c>
      <c r="H3191" s="9" t="str">
        <f>IFERROR(__xludf.DUMMYFUNCTION("""COMPUTED_VALUE"""),"C#")</f>
        <v>C#</v>
      </c>
      <c r="I3191" s="9" t="str">
        <f>IFERROR(__xludf.DUMMYFUNCTION("""COMPUTED_VALUE"""),"Bash/Shell/PowerShell")</f>
        <v>Bash/Shell/PowerShell</v>
      </c>
      <c r="J3191" s="9" t="str">
        <f>IFERROR(__xludf.DUMMYFUNCTION("""COMPUTED_VALUE"""),"Python")</f>
        <v>Python</v>
      </c>
      <c r="K3191" s="9" t="str">
        <f>IFERROR(__xludf.DUMMYFUNCTION("""COMPUTED_VALUE"""),"Go")</f>
        <v>Go</v>
      </c>
      <c r="L3191" s="9" t="str">
        <f>IFERROR(__xludf.DUMMYFUNCTION("""COMPUTED_VALUE"""),"C")</f>
        <v>C</v>
      </c>
      <c r="M3191" s="9" t="s">
        <v>23</v>
      </c>
    </row>
    <row r="3192" ht="15.75" customHeight="1">
      <c r="A3192" s="7"/>
      <c r="B3192" s="7" t="str">
        <f>IFERROR(__xludf.DUMMYFUNCTION("""COMPUTED_VALUE"""),"Java;Python")</f>
        <v>Java;Python</v>
      </c>
      <c r="C3192" s="9" t="str">
        <f>IFERROR(__xludf.DUMMYFUNCTION("""COMPUTED_VALUE"""),"C#")</f>
        <v>C#</v>
      </c>
      <c r="D3192" s="9" t="str">
        <f>IFERROR(__xludf.DUMMYFUNCTION("""COMPUTED_VALUE"""),"Bash/Shell/PowerShell")</f>
        <v>Bash/Shell/PowerShell</v>
      </c>
      <c r="E3192" s="9" t="str">
        <f>IFERROR(__xludf.DUMMYFUNCTION("""COMPUTED_VALUE"""),"C#")</f>
        <v>C#</v>
      </c>
      <c r="F3192" s="9" t="str">
        <f>IFERROR(__xludf.DUMMYFUNCTION("""COMPUTED_VALUE"""),"Dart")</f>
        <v>Dart</v>
      </c>
      <c r="G3192" s="9" t="str">
        <f>IFERROR(__xludf.DUMMYFUNCTION("""COMPUTED_VALUE"""),"JavaScript")</f>
        <v>JavaScript</v>
      </c>
      <c r="H3192" s="9" t="str">
        <f>IFERROR(__xludf.DUMMYFUNCTION("""COMPUTED_VALUE"""),"SQL")</f>
        <v>SQL</v>
      </c>
      <c r="I3192" s="9" t="str">
        <f>IFERROR(__xludf.DUMMYFUNCTION("""COMPUTED_VALUE"""),"HTML/CSS")</f>
        <v>HTML/CSS</v>
      </c>
      <c r="J3192" s="9" t="str">
        <f>IFERROR(__xludf.DUMMYFUNCTION("""COMPUTED_VALUE"""),"R")</f>
        <v>R</v>
      </c>
      <c r="K3192" s="9" t="str">
        <f>IFERROR(__xludf.DUMMYFUNCTION("""COMPUTED_VALUE"""),"Java")</f>
        <v>Java</v>
      </c>
      <c r="L3192" s="9" t="str">
        <f>IFERROR(__xludf.DUMMYFUNCTION("""COMPUTED_VALUE"""),"Go")</f>
        <v>Go</v>
      </c>
      <c r="M3192" s="9" t="s">
        <v>26</v>
      </c>
    </row>
    <row r="3193" ht="15.75" customHeight="1">
      <c r="A3193" s="7"/>
      <c r="B3193" s="7" t="str">
        <f>IFERROR(__xludf.DUMMYFUNCTION("""COMPUTED_VALUE"""),"Bash/Shell/PowerShell;C++;HTML/CSS;Java;JavaScript;PHP;SQL;VBA")</f>
        <v>Bash/Shell/PowerShell;C++;HTML/CSS;Java;JavaScript;PHP;SQL;VBA</v>
      </c>
      <c r="C3193" s="9" t="str">
        <f>IFERROR(__xludf.DUMMYFUNCTION("""COMPUTED_VALUE"""),"HTML/CSS")</f>
        <v>HTML/CSS</v>
      </c>
      <c r="D3193" s="9" t="str">
        <f>IFERROR(__xludf.DUMMYFUNCTION("""COMPUTED_VALUE"""),"Python")</f>
        <v>Python</v>
      </c>
      <c r="E3193" s="9" t="str">
        <f>IFERROR(__xludf.DUMMYFUNCTION("""COMPUTED_VALUE"""),"HTML/CSS")</f>
        <v>HTML/CSS</v>
      </c>
      <c r="F3193" s="9" t="str">
        <f>IFERROR(__xludf.DUMMYFUNCTION("""COMPUTED_VALUE"""),"Go")</f>
        <v>Go</v>
      </c>
      <c r="G3193" s="9" t="str">
        <f>IFERROR(__xludf.DUMMYFUNCTION("""COMPUTED_VALUE"""),"PHP")</f>
        <v>PHP</v>
      </c>
      <c r="H3193" s="9" t="str">
        <f>IFERROR(__xludf.DUMMYFUNCTION("""COMPUTED_VALUE"""),"HTML/CSS")</f>
        <v>HTML/CSS</v>
      </c>
      <c r="I3193" s="9" t="str">
        <f>IFERROR(__xludf.DUMMYFUNCTION("""COMPUTED_VALUE"""),"JavaScript")</f>
        <v>JavaScript</v>
      </c>
      <c r="J3193" s="9" t="str">
        <f>IFERROR(__xludf.DUMMYFUNCTION("""COMPUTED_VALUE"""),"SQL")</f>
        <v>SQL</v>
      </c>
      <c r="K3193" s="9" t="str">
        <f>IFERROR(__xludf.DUMMYFUNCTION("""COMPUTED_VALUE"""),"Kotlin")</f>
        <v>Kotlin</v>
      </c>
      <c r="L3193" s="9" t="str">
        <f>IFERROR(__xludf.DUMMYFUNCTION("""COMPUTED_VALUE"""),"HTML/CSS")</f>
        <v>HTML/CSS</v>
      </c>
      <c r="M3193" s="9" t="s">
        <v>24</v>
      </c>
    </row>
    <row r="3194" ht="15.75" customHeight="1">
      <c r="A3194" s="7"/>
      <c r="B3194" s="7" t="str">
        <f>IFERROR(__xludf.DUMMYFUNCTION("""COMPUTED_VALUE"""),"Bash/Shell/PowerShell;Java;JavaScript;PHP;SQL")</f>
        <v>Bash/Shell/PowerShell;Java;JavaScript;PHP;SQL</v>
      </c>
      <c r="C3194" s="9" t="str">
        <f>IFERROR(__xludf.DUMMYFUNCTION("""COMPUTED_VALUE"""),"SQL")</f>
        <v>SQL</v>
      </c>
      <c r="D3194" s="9" t="str">
        <f>IFERROR(__xludf.DUMMYFUNCTION("""COMPUTED_VALUE"""),"SQL")</f>
        <v>SQL</v>
      </c>
      <c r="E3194" s="9" t="str">
        <f>IFERROR(__xludf.DUMMYFUNCTION("""COMPUTED_VALUE"""),"Java")</f>
        <v>Java</v>
      </c>
      <c r="F3194" s="9" t="str">
        <f>IFERROR(__xludf.DUMMYFUNCTION("""COMPUTED_VALUE"""),"Kotlin")</f>
        <v>Kotlin</v>
      </c>
      <c r="G3194" s="9" t="str">
        <f>IFERROR(__xludf.DUMMYFUNCTION("""COMPUTED_VALUE"""),"Python")</f>
        <v>Python</v>
      </c>
      <c r="H3194" s="9" t="str">
        <f>IFERROR(__xludf.DUMMYFUNCTION("""COMPUTED_VALUE"""),"JavaScript")</f>
        <v>JavaScript</v>
      </c>
      <c r="I3194" s="9" t="str">
        <f>IFERROR(__xludf.DUMMYFUNCTION("""COMPUTED_VALUE"""),"PHP")</f>
        <v>PHP</v>
      </c>
      <c r="J3194" s="9" t="str">
        <f>IFERROR(__xludf.DUMMYFUNCTION("""COMPUTED_VALUE"""),"Assembly")</f>
        <v>Assembly</v>
      </c>
      <c r="K3194" s="9" t="str">
        <f>IFERROR(__xludf.DUMMYFUNCTION("""COMPUTED_VALUE"""),"Ruby")</f>
        <v>Ruby</v>
      </c>
      <c r="L3194" s="9" t="str">
        <f>IFERROR(__xludf.DUMMYFUNCTION("""COMPUTED_VALUE"""),"JavaScript")</f>
        <v>JavaScript</v>
      </c>
      <c r="M3194" s="9" t="s">
        <v>27</v>
      </c>
    </row>
    <row r="3195" ht="15.75" customHeight="1">
      <c r="A3195" s="7"/>
      <c r="B3195" s="7" t="str">
        <f>IFERROR(__xludf.DUMMYFUNCTION("""COMPUTED_VALUE"""),"Bash/Shell/PowerShell;C++;C#;HTML/CSS;Java;JavaScript;Objective-C;Python;SQL;Swift")</f>
        <v>Bash/Shell/PowerShell;C++;C#;HTML/CSS;Java;JavaScript;Objective-C;Python;SQL;Swift</v>
      </c>
      <c r="C3195" s="9" t="str">
        <f>IFERROR(__xludf.DUMMYFUNCTION("""COMPUTED_VALUE"""),"JavaScript")</f>
        <v>JavaScript</v>
      </c>
      <c r="D3195" s="9" t="str">
        <f>IFERROR(__xludf.DUMMYFUNCTION("""COMPUTED_VALUE"""),"Bash/Shell/PowerShell")</f>
        <v>Bash/Shell/PowerShell</v>
      </c>
      <c r="E3195" s="9" t="str">
        <f>IFERROR(__xludf.DUMMYFUNCTION("""COMPUTED_VALUE"""),"JavaScript")</f>
        <v>JavaScript</v>
      </c>
      <c r="F3195" s="9" t="str">
        <f>IFERROR(__xludf.DUMMYFUNCTION("""COMPUTED_VALUE"""),"PHP")</f>
        <v>PHP</v>
      </c>
      <c r="G3195" s="9" t="str">
        <f>IFERROR(__xludf.DUMMYFUNCTION("""COMPUTED_VALUE"""),"TypeScript")</f>
        <v>TypeScript</v>
      </c>
      <c r="H3195" s="9" t="str">
        <f>IFERROR(__xludf.DUMMYFUNCTION("""COMPUTED_VALUE"""),"PHP")</f>
        <v>PHP</v>
      </c>
      <c r="I3195" s="9" t="str">
        <f>IFERROR(__xludf.DUMMYFUNCTION("""COMPUTED_VALUE"""),"SQL")</f>
        <v>SQL</v>
      </c>
      <c r="J3195" s="9" t="str">
        <f>IFERROR(__xludf.DUMMYFUNCTION("""COMPUTED_VALUE"""),"Bash/Shell/PowerShell")</f>
        <v>Bash/Shell/PowerShell</v>
      </c>
      <c r="K3195" s="9" t="str">
        <f>IFERROR(__xludf.DUMMYFUNCTION("""COMPUTED_VALUE"""),"SQL")</f>
        <v>SQL</v>
      </c>
      <c r="L3195" s="9" t="str">
        <f>IFERROR(__xludf.DUMMYFUNCTION("""COMPUTED_VALUE"""),"PHP")</f>
        <v>PHP</v>
      </c>
      <c r="M3195" s="9" t="s">
        <v>21</v>
      </c>
    </row>
    <row r="3196" ht="15.75" customHeight="1">
      <c r="A3196" s="7"/>
      <c r="B3196" s="7" t="str">
        <f>IFERROR(__xludf.DUMMYFUNCTION("""COMPUTED_VALUE"""),"Python;SQL;Other(s):")</f>
        <v>Python;SQL;Other(s):</v>
      </c>
      <c r="C3196" s="9" t="str">
        <f>IFERROR(__xludf.DUMMYFUNCTION("""COMPUTED_VALUE"""),"PHP")</f>
        <v>PHP</v>
      </c>
      <c r="D3196" s="9" t="str">
        <f>IFERROR(__xludf.DUMMYFUNCTION("""COMPUTED_VALUE"""),"Elixir")</f>
        <v>Elixir</v>
      </c>
      <c r="E3196" s="9" t="str">
        <f>IFERROR(__xludf.DUMMYFUNCTION("""COMPUTED_VALUE"""),"PHP")</f>
        <v>PHP</v>
      </c>
      <c r="F3196" s="9" t="str">
        <f>IFERROR(__xludf.DUMMYFUNCTION("""COMPUTED_VALUE"""),"Python")</f>
        <v>Python</v>
      </c>
      <c r="G3196" s="9" t="str">
        <f>IFERROR(__xludf.DUMMYFUNCTION("""COMPUTED_VALUE"""),"Python")</f>
        <v>Python</v>
      </c>
      <c r="H3196" s="9" t="str">
        <f>IFERROR(__xludf.DUMMYFUNCTION("""COMPUTED_VALUE"""),"SQL")</f>
        <v>SQL</v>
      </c>
      <c r="I3196" s="9" t="str">
        <f>IFERROR(__xludf.DUMMYFUNCTION("""COMPUTED_VALUE"""),"Go")</f>
        <v>Go</v>
      </c>
      <c r="J3196" s="9" t="str">
        <f>IFERROR(__xludf.DUMMYFUNCTION("""COMPUTED_VALUE"""),"C")</f>
        <v>C</v>
      </c>
      <c r="K3196" s="9" t="str">
        <f>IFERROR(__xludf.DUMMYFUNCTION("""COMPUTED_VALUE"""),"Bash/Shell/PowerShell")</f>
        <v>Bash/Shell/PowerShell</v>
      </c>
      <c r="L3196" s="9" t="str">
        <f>IFERROR(__xludf.DUMMYFUNCTION("""COMPUTED_VALUE"""),"Python")</f>
        <v>Python</v>
      </c>
      <c r="M3196" s="9" t="s">
        <v>37</v>
      </c>
    </row>
    <row r="3197" ht="15.75" customHeight="1">
      <c r="A3197" s="7"/>
      <c r="B3197" s="7" t="str">
        <f>IFERROR(__xludf.DUMMYFUNCTION("""COMPUTED_VALUE"""),"Assembly;Bash/Shell/PowerShell;C;C++;HTML/CSS;Java;JavaScript;PHP;Python;SQL")</f>
        <v>Assembly;Bash/Shell/PowerShell;C;C++;HTML/CSS;Java;JavaScript;PHP;Python;SQL</v>
      </c>
      <c r="C3197" s="9" t="str">
        <f>IFERROR(__xludf.DUMMYFUNCTION("""COMPUTED_VALUE"""),"Python")</f>
        <v>Python</v>
      </c>
      <c r="D3197" s="9" t="str">
        <f>IFERROR(__xludf.DUMMYFUNCTION("""COMPUTED_VALUE"""),"HTML/CSS")</f>
        <v>HTML/CSS</v>
      </c>
      <c r="E3197" s="9" t="str">
        <f>IFERROR(__xludf.DUMMYFUNCTION("""COMPUTED_VALUE"""),"SQL")</f>
        <v>SQL</v>
      </c>
      <c r="F3197" s="9" t="str">
        <f>IFERROR(__xludf.DUMMYFUNCTION("""COMPUTED_VALUE"""),"SQL")</f>
        <v>SQL</v>
      </c>
      <c r="G3197" s="9" t="str">
        <f>IFERROR(__xludf.DUMMYFUNCTION("""COMPUTED_VALUE"""),"R")</f>
        <v>R</v>
      </c>
      <c r="H3197" s="9" t="str">
        <f>IFERROR(__xludf.DUMMYFUNCTION("""COMPUTED_VALUE"""),"Bash/Shell/PowerShell")</f>
        <v>Bash/Shell/PowerShell</v>
      </c>
      <c r="I3197" s="9" t="str">
        <f>IFERROR(__xludf.DUMMYFUNCTION("""COMPUTED_VALUE"""),"HTML/CSS")</f>
        <v>HTML/CSS</v>
      </c>
      <c r="J3197" s="9" t="str">
        <f>IFERROR(__xludf.DUMMYFUNCTION("""COMPUTED_VALUE"""),"C++")</f>
        <v>C++</v>
      </c>
      <c r="K3197" s="9" t="str">
        <f>IFERROR(__xludf.DUMMYFUNCTION("""COMPUTED_VALUE"""),"C#")</f>
        <v>C#</v>
      </c>
      <c r="L3197" s="9" t="str">
        <f>IFERROR(__xludf.DUMMYFUNCTION("""COMPUTED_VALUE"""),"R")</f>
        <v>R</v>
      </c>
      <c r="M3197" s="9" t="s">
        <v>22</v>
      </c>
    </row>
    <row r="3198" ht="15.75" customHeight="1">
      <c r="A3198" s="7"/>
      <c r="B3198" s="7" t="str">
        <f>IFERROR(__xludf.DUMMYFUNCTION("""COMPUTED_VALUE"""),"HTML/CSS;Java;JavaScript")</f>
        <v>HTML/CSS;Java;JavaScript</v>
      </c>
      <c r="C3198" s="9" t="str">
        <f>IFERROR(__xludf.DUMMYFUNCTION("""COMPUTED_VALUE"""),"SQL")</f>
        <v>SQL</v>
      </c>
      <c r="D3198" s="9" t="str">
        <f>IFERROR(__xludf.DUMMYFUNCTION("""COMPUTED_VALUE"""),"JavaScript")</f>
        <v>JavaScript</v>
      </c>
      <c r="E3198" s="9" t="str">
        <f>IFERROR(__xludf.DUMMYFUNCTION("""COMPUTED_VALUE"""),"VBA")</f>
        <v>VBA</v>
      </c>
      <c r="F3198" s="9" t="str">
        <f>IFERROR(__xludf.DUMMYFUNCTION("""COMPUTED_VALUE"""),"C#")</f>
        <v>C#</v>
      </c>
      <c r="G3198" s="9" t="str">
        <f>IFERROR(__xludf.DUMMYFUNCTION("""COMPUTED_VALUE"""),"Swift")</f>
        <v>Swift</v>
      </c>
      <c r="H3198" s="9" t="str">
        <f>IFERROR(__xludf.DUMMYFUNCTION("""COMPUTED_VALUE"""),"C")</f>
        <v>C</v>
      </c>
      <c r="I3198" s="9" t="str">
        <f>IFERROR(__xludf.DUMMYFUNCTION("""COMPUTED_VALUE"""),"JavaScript")</f>
        <v>JavaScript</v>
      </c>
      <c r="J3198" s="9" t="str">
        <f>IFERROR(__xludf.DUMMYFUNCTION("""COMPUTED_VALUE"""),"HTML/CSS")</f>
        <v>HTML/CSS</v>
      </c>
      <c r="K3198" s="9" t="str">
        <f>IFERROR(__xludf.DUMMYFUNCTION("""COMPUTED_VALUE"""),"HTML/CSS")</f>
        <v>HTML/CSS</v>
      </c>
      <c r="L3198" s="9" t="str">
        <f>IFERROR(__xludf.DUMMYFUNCTION("""COMPUTED_VALUE"""),"SQL")</f>
        <v>SQL</v>
      </c>
      <c r="M3198" s="9" t="s">
        <v>27</v>
      </c>
    </row>
    <row r="3199" ht="15.75" customHeight="1">
      <c r="A3199" s="7"/>
      <c r="B3199" s="7" t="str">
        <f>IFERROR(__xludf.DUMMYFUNCTION("""COMPUTED_VALUE"""),"Bash/Shell/PowerShell;C#;Go;HTML/CSS;JavaScript;SQL;TypeScript")</f>
        <v>Bash/Shell/PowerShell;C#;Go;HTML/CSS;JavaScript;SQL;TypeScript</v>
      </c>
      <c r="C3199" s="9" t="str">
        <f>IFERROR(__xludf.DUMMYFUNCTION("""COMPUTED_VALUE"""),"VBA")</f>
        <v>VBA</v>
      </c>
      <c r="D3199" s="9" t="str">
        <f>IFERROR(__xludf.DUMMYFUNCTION("""COMPUTED_VALUE"""),"Python")</f>
        <v>Python</v>
      </c>
      <c r="E3199" s="9" t="str">
        <f>IFERROR(__xludf.DUMMYFUNCTION("""COMPUTED_VALUE"""),"HTML/CSS")</f>
        <v>HTML/CSS</v>
      </c>
      <c r="F3199" s="9" t="str">
        <f>IFERROR(__xludf.DUMMYFUNCTION("""COMPUTED_VALUE"""),"HTML/CSS")</f>
        <v>HTML/CSS</v>
      </c>
      <c r="G3199" s="9" t="str">
        <f>IFERROR(__xludf.DUMMYFUNCTION("""COMPUTED_VALUE"""),"Other(s):")</f>
        <v>Other(s):</v>
      </c>
      <c r="H3199" s="9" t="str">
        <f>IFERROR(__xludf.DUMMYFUNCTION("""COMPUTED_VALUE"""),"C++")</f>
        <v>C++</v>
      </c>
      <c r="I3199" s="9" t="str">
        <f>IFERROR(__xludf.DUMMYFUNCTION("""COMPUTED_VALUE"""),"Python")</f>
        <v>Python</v>
      </c>
      <c r="J3199" s="9" t="str">
        <f>IFERROR(__xludf.DUMMYFUNCTION("""COMPUTED_VALUE"""),"Java")</f>
        <v>Java</v>
      </c>
      <c r="K3199" s="9" t="str">
        <f>IFERROR(__xludf.DUMMYFUNCTION("""COMPUTED_VALUE"""),"JavaScript")</f>
        <v>JavaScript</v>
      </c>
      <c r="L3199" s="9" t="str">
        <f>IFERROR(__xludf.DUMMYFUNCTION("""COMPUTED_VALUE"""),"JavaScript")</f>
        <v>JavaScript</v>
      </c>
      <c r="M3199" s="9" t="s">
        <v>28</v>
      </c>
    </row>
    <row r="3200" ht="15.75" customHeight="1">
      <c r="A3200" s="7"/>
      <c r="B3200" s="7" t="str">
        <f>IFERROR(__xludf.DUMMYFUNCTION("""COMPUTED_VALUE"""),"Bash/Shell/PowerShell;C;Python")</f>
        <v>Bash/Shell/PowerShell;C;Python</v>
      </c>
      <c r="C3200" s="9" t="str">
        <f>IFERROR(__xludf.DUMMYFUNCTION("""COMPUTED_VALUE"""),"Assembly")</f>
        <v>Assembly</v>
      </c>
      <c r="D3200" s="9" t="str">
        <f>IFERROR(__xludf.DUMMYFUNCTION("""COMPUTED_VALUE"""),"Ruby")</f>
        <v>Ruby</v>
      </c>
      <c r="E3200" s="9" t="str">
        <f>IFERROR(__xludf.DUMMYFUNCTION("""COMPUTED_VALUE"""),"JavaScript")</f>
        <v>JavaScript</v>
      </c>
      <c r="F3200" s="9" t="str">
        <f>IFERROR(__xludf.DUMMYFUNCTION("""COMPUTED_VALUE"""),"JavaScript")</f>
        <v>JavaScript</v>
      </c>
      <c r="G3200" s="9" t="str">
        <f>IFERROR(__xludf.DUMMYFUNCTION("""COMPUTED_VALUE"""),"Bash/Shell/PowerShell")</f>
        <v>Bash/Shell/PowerShell</v>
      </c>
      <c r="H3200" s="9" t="str">
        <f>IFERROR(__xludf.DUMMYFUNCTION("""COMPUTED_VALUE"""),"C#")</f>
        <v>C#</v>
      </c>
      <c r="I3200" s="9" t="str">
        <f>IFERROR(__xludf.DUMMYFUNCTION("""COMPUTED_VALUE"""),"TypeScript")</f>
        <v>TypeScript</v>
      </c>
      <c r="J3200" s="9" t="str">
        <f>IFERROR(__xludf.DUMMYFUNCTION("""COMPUTED_VALUE"""),"JavaScript")</f>
        <v>JavaScript</v>
      </c>
      <c r="K3200" s="9" t="str">
        <f>IFERROR(__xludf.DUMMYFUNCTION("""COMPUTED_VALUE"""),"SQL")</f>
        <v>SQL</v>
      </c>
      <c r="L3200" s="9" t="str">
        <f>IFERROR(__xludf.DUMMYFUNCTION("""COMPUTED_VALUE"""),"PHP")</f>
        <v>PHP</v>
      </c>
      <c r="M3200" s="9" t="s">
        <v>38</v>
      </c>
    </row>
    <row r="3201" ht="15.75" customHeight="1">
      <c r="A3201" s="7"/>
      <c r="B3201" s="7" t="str">
        <f>IFERROR(__xludf.DUMMYFUNCTION("""COMPUTED_VALUE"""),"C#;HTML/CSS;Java;JavaScript;SQL")</f>
        <v>C#;HTML/CSS;Java;JavaScript;SQL</v>
      </c>
      <c r="C3201" s="9" t="str">
        <f>IFERROR(__xludf.DUMMYFUNCTION("""COMPUTED_VALUE"""),"Bash/Shell/PowerShell")</f>
        <v>Bash/Shell/PowerShell</v>
      </c>
      <c r="D3201" s="9" t="str">
        <f>IFERROR(__xludf.DUMMYFUNCTION("""COMPUTED_VALUE"""),"SQL")</f>
        <v>SQL</v>
      </c>
      <c r="E3201" s="9" t="str">
        <f>IFERROR(__xludf.DUMMYFUNCTION("""COMPUTED_VALUE"""),"HTML/CSS")</f>
        <v>HTML/CSS</v>
      </c>
      <c r="F3201" s="9" t="str">
        <f>IFERROR(__xludf.DUMMYFUNCTION("""COMPUTED_VALUE"""),"TypeScript")</f>
        <v>TypeScript</v>
      </c>
      <c r="G3201" s="9" t="str">
        <f>IFERROR(__xludf.DUMMYFUNCTION("""COMPUTED_VALUE"""),"C")</f>
        <v>C</v>
      </c>
      <c r="H3201" s="9" t="str">
        <f>IFERROR(__xludf.DUMMYFUNCTION("""COMPUTED_VALUE"""),"HTML/CSS")</f>
        <v>HTML/CSS</v>
      </c>
      <c r="I3201" s="9" t="str">
        <f>IFERROR(__xludf.DUMMYFUNCTION("""COMPUTED_VALUE"""),"HTML/CSS")</f>
        <v>HTML/CSS</v>
      </c>
      <c r="J3201" s="9" t="str">
        <f>IFERROR(__xludf.DUMMYFUNCTION("""COMPUTED_VALUE"""),"PHP")</f>
        <v>PHP</v>
      </c>
      <c r="K3201" s="9" t="str">
        <f>IFERROR(__xludf.DUMMYFUNCTION("""COMPUTED_VALUE"""),"TypeScript")</f>
        <v>TypeScript</v>
      </c>
      <c r="L3201" s="9" t="str">
        <f>IFERROR(__xludf.DUMMYFUNCTION("""COMPUTED_VALUE"""),"Kotlin")</f>
        <v>Kotlin</v>
      </c>
      <c r="M3201" s="9" t="s">
        <v>30</v>
      </c>
    </row>
    <row r="3202" ht="15.75" customHeight="1">
      <c r="A3202" s="7"/>
      <c r="B3202" s="7" t="str">
        <f>IFERROR(__xludf.DUMMYFUNCTION("""COMPUTED_VALUE"""),"HTML/CSS;Java;JavaScript;Kotlin;Objective-C;PHP;Python;SQL;Swift;TypeScript")</f>
        <v>HTML/CSS;Java;JavaScript;Kotlin;Objective-C;PHP;Python;SQL;Swift;TypeScript</v>
      </c>
      <c r="C3202" s="9" t="str">
        <f>IFERROR(__xludf.DUMMYFUNCTION("""COMPUTED_VALUE"""),"C")</f>
        <v>C</v>
      </c>
      <c r="D3202" s="9" t="str">
        <f>IFERROR(__xludf.DUMMYFUNCTION("""COMPUTED_VALUE"""),"HTML/CSS")</f>
        <v>HTML/CSS</v>
      </c>
      <c r="E3202" s="9" t="str">
        <f>IFERROR(__xludf.DUMMYFUNCTION("""COMPUTED_VALUE"""),"JavaScript")</f>
        <v>JavaScript</v>
      </c>
      <c r="F3202" s="9" t="str">
        <f>IFERROR(__xludf.DUMMYFUNCTION("""COMPUTED_VALUE"""),"Bash/Shell/PowerShell")</f>
        <v>Bash/Shell/PowerShell</v>
      </c>
      <c r="G3202" s="9" t="str">
        <f>IFERROR(__xludf.DUMMYFUNCTION("""COMPUTED_VALUE"""),"C#")</f>
        <v>C#</v>
      </c>
      <c r="H3202" s="9" t="str">
        <f>IFERROR(__xludf.DUMMYFUNCTION("""COMPUTED_VALUE"""),"JavaScript")</f>
        <v>JavaScript</v>
      </c>
      <c r="I3202" s="9" t="str">
        <f>IFERROR(__xludf.DUMMYFUNCTION("""COMPUTED_VALUE"""),"Java")</f>
        <v>Java</v>
      </c>
      <c r="J3202" s="9" t="str">
        <f>IFERROR(__xludf.DUMMYFUNCTION("""COMPUTED_VALUE"""),"R")</f>
        <v>R</v>
      </c>
      <c r="K3202" s="9" t="str">
        <f>IFERROR(__xludf.DUMMYFUNCTION("""COMPUTED_VALUE"""),"Bash/Shell/PowerShell")</f>
        <v>Bash/Shell/PowerShell</v>
      </c>
      <c r="L3202" s="9" t="str">
        <f>IFERROR(__xludf.DUMMYFUNCTION("""COMPUTED_VALUE"""),"Bash/Shell/PowerShell")</f>
        <v>Bash/Shell/PowerShell</v>
      </c>
      <c r="M3202" s="9" t="s">
        <v>25</v>
      </c>
    </row>
    <row r="3203" ht="15.75" customHeight="1">
      <c r="A3203" s="7"/>
      <c r="B3203" s="7" t="str">
        <f>IFERROR(__xludf.DUMMYFUNCTION("""COMPUTED_VALUE"""),"Bash/Shell/PowerShell;Go;Java;Python;Ruby;SQL")</f>
        <v>Bash/Shell/PowerShell;Go;Java;Python;Ruby;SQL</v>
      </c>
      <c r="C3203" s="9" t="str">
        <f>IFERROR(__xludf.DUMMYFUNCTION("""COMPUTED_VALUE"""),"C++")</f>
        <v>C++</v>
      </c>
      <c r="D3203" s="9" t="str">
        <f>IFERROR(__xludf.DUMMYFUNCTION("""COMPUTED_VALUE"""),"JavaScript")</f>
        <v>JavaScript</v>
      </c>
      <c r="E3203" s="9" t="str">
        <f>IFERROR(__xludf.DUMMYFUNCTION("""COMPUTED_VALUE"""),"Bash/Shell/PowerShell")</f>
        <v>Bash/Shell/PowerShell</v>
      </c>
      <c r="F3203" s="9" t="str">
        <f>IFERROR(__xludf.DUMMYFUNCTION("""COMPUTED_VALUE"""),"C++")</f>
        <v>C++</v>
      </c>
      <c r="G3203" s="9" t="str">
        <f>IFERROR(__xludf.DUMMYFUNCTION("""COMPUTED_VALUE"""),"HTML/CSS")</f>
        <v>HTML/CSS</v>
      </c>
      <c r="H3203" s="9" t="str">
        <f>IFERROR(__xludf.DUMMYFUNCTION("""COMPUTED_VALUE"""),"PHP")</f>
        <v>PHP</v>
      </c>
      <c r="I3203" s="9" t="str">
        <f>IFERROR(__xludf.DUMMYFUNCTION("""COMPUTED_VALUE"""),"JavaScript")</f>
        <v>JavaScript</v>
      </c>
      <c r="J3203" s="9" t="str">
        <f>IFERROR(__xludf.DUMMYFUNCTION("""COMPUTED_VALUE"""),"Scala")</f>
        <v>Scala</v>
      </c>
      <c r="K3203" s="9" t="str">
        <f>IFERROR(__xludf.DUMMYFUNCTION("""COMPUTED_VALUE"""),"HTML/CSS")</f>
        <v>HTML/CSS</v>
      </c>
      <c r="L3203" s="9" t="str">
        <f>IFERROR(__xludf.DUMMYFUNCTION("""COMPUTED_VALUE"""),"C")</f>
        <v>C</v>
      </c>
      <c r="M3203" s="9" t="s">
        <v>23</v>
      </c>
    </row>
    <row r="3204" ht="15.75" customHeight="1">
      <c r="A3204" s="7"/>
      <c r="B3204" s="7" t="str">
        <f>IFERROR(__xludf.DUMMYFUNCTION("""COMPUTED_VALUE"""),"Bash/Shell/PowerShell;HTML/CSS;Java;JavaScript;PHP;SQL;Other(s):")</f>
        <v>Bash/Shell/PowerShell;HTML/CSS;Java;JavaScript;PHP;SQL;Other(s):</v>
      </c>
      <c r="C3204" s="9" t="str">
        <f>IFERROR(__xludf.DUMMYFUNCTION("""COMPUTED_VALUE"""),"C#")</f>
        <v>C#</v>
      </c>
      <c r="D3204" s="9" t="str">
        <f>IFERROR(__xludf.DUMMYFUNCTION("""COMPUTED_VALUE"""),"Kotlin")</f>
        <v>Kotlin</v>
      </c>
      <c r="E3204" s="9" t="str">
        <f>IFERROR(__xludf.DUMMYFUNCTION("""COMPUTED_VALUE"""),"C#")</f>
        <v>C#</v>
      </c>
      <c r="F3204" s="9" t="str">
        <f>IFERROR(__xludf.DUMMYFUNCTION("""COMPUTED_VALUE"""),"HTML/CSS")</f>
        <v>HTML/CSS</v>
      </c>
      <c r="G3204" s="9" t="str">
        <f>IFERROR(__xludf.DUMMYFUNCTION("""COMPUTED_VALUE"""),"Java")</f>
        <v>Java</v>
      </c>
      <c r="H3204" s="9" t="str">
        <f>IFERROR(__xludf.DUMMYFUNCTION("""COMPUTED_VALUE"""),"Python")</f>
        <v>Python</v>
      </c>
      <c r="I3204" s="9" t="str">
        <f>IFERROR(__xludf.DUMMYFUNCTION("""COMPUTED_VALUE"""),"TypeScript")</f>
        <v>TypeScript</v>
      </c>
      <c r="J3204" s="9" t="str">
        <f>IFERROR(__xludf.DUMMYFUNCTION("""COMPUTED_VALUE"""),"SQL")</f>
        <v>SQL</v>
      </c>
      <c r="K3204" s="9" t="str">
        <f>IFERROR(__xludf.DUMMYFUNCTION("""COMPUTED_VALUE"""),"Java")</f>
        <v>Java</v>
      </c>
      <c r="L3204" s="9" t="str">
        <f>IFERROR(__xludf.DUMMYFUNCTION("""COMPUTED_VALUE"""),"C++")</f>
        <v>C++</v>
      </c>
      <c r="M3204" s="9" t="s">
        <v>26</v>
      </c>
    </row>
    <row r="3205" ht="15.75" customHeight="1">
      <c r="A3205" s="7"/>
      <c r="B3205" s="7" t="str">
        <f>IFERROR(__xludf.DUMMYFUNCTION("""COMPUTED_VALUE"""),"HTML/CSS;Java;JavaScript")</f>
        <v>HTML/CSS;Java;JavaScript</v>
      </c>
      <c r="C3205" s="9" t="str">
        <f>IFERROR(__xludf.DUMMYFUNCTION("""COMPUTED_VALUE"""),"HTML/CSS")</f>
        <v>HTML/CSS</v>
      </c>
      <c r="D3205" s="9" t="str">
        <f>IFERROR(__xludf.DUMMYFUNCTION("""COMPUTED_VALUE"""),"PHP")</f>
        <v>PHP</v>
      </c>
      <c r="E3205" s="9" t="str">
        <f>IFERROR(__xludf.DUMMYFUNCTION("""COMPUTED_VALUE"""),"HTML/CSS")</f>
        <v>HTML/CSS</v>
      </c>
      <c r="F3205" s="9" t="str">
        <f>IFERROR(__xludf.DUMMYFUNCTION("""COMPUTED_VALUE"""),"Java")</f>
        <v>Java</v>
      </c>
      <c r="G3205" s="9" t="str">
        <f>IFERROR(__xludf.DUMMYFUNCTION("""COMPUTED_VALUE"""),"JavaScript")</f>
        <v>JavaScript</v>
      </c>
      <c r="H3205" s="9" t="str">
        <f>IFERROR(__xludf.DUMMYFUNCTION("""COMPUTED_VALUE"""),"SQL")</f>
        <v>SQL</v>
      </c>
      <c r="I3205" s="9" t="str">
        <f>IFERROR(__xludf.DUMMYFUNCTION("""COMPUTED_VALUE"""),"HTML/CSS")</f>
        <v>HTML/CSS</v>
      </c>
      <c r="J3205" s="9" t="str">
        <f>IFERROR(__xludf.DUMMYFUNCTION("""COMPUTED_VALUE"""),"Java")</f>
        <v>Java</v>
      </c>
      <c r="K3205" s="9" t="str">
        <f>IFERROR(__xludf.DUMMYFUNCTION("""COMPUTED_VALUE"""),"JavaScript")</f>
        <v>JavaScript</v>
      </c>
      <c r="L3205" s="9" t="str">
        <f>IFERROR(__xludf.DUMMYFUNCTION("""COMPUTED_VALUE"""),"C#")</f>
        <v>C#</v>
      </c>
      <c r="M3205" s="9" t="s">
        <v>24</v>
      </c>
    </row>
    <row r="3206" ht="15.75" customHeight="1">
      <c r="A3206" s="7"/>
      <c r="B3206" s="7" t="str">
        <f>IFERROR(__xludf.DUMMYFUNCTION("""COMPUTED_VALUE"""),"C#;Dart;SQL;Other(s):")</f>
        <v>C#;Dart;SQL;Other(s):</v>
      </c>
      <c r="C3206" s="9" t="str">
        <f>IFERROR(__xludf.DUMMYFUNCTION("""COMPUTED_VALUE"""),"Rust")</f>
        <v>Rust</v>
      </c>
      <c r="D3206" s="9" t="str">
        <f>IFERROR(__xludf.DUMMYFUNCTION("""COMPUTED_VALUE"""),"Ruby")</f>
        <v>Ruby</v>
      </c>
      <c r="E3206" s="9" t="str">
        <f>IFERROR(__xludf.DUMMYFUNCTION("""COMPUTED_VALUE"""),"JavaScript")</f>
        <v>JavaScript</v>
      </c>
      <c r="F3206" s="9" t="str">
        <f>IFERROR(__xludf.DUMMYFUNCTION("""COMPUTED_VALUE"""),"JavaScript")</f>
        <v>JavaScript</v>
      </c>
      <c r="G3206" s="9" t="str">
        <f>IFERROR(__xludf.DUMMYFUNCTION("""COMPUTED_VALUE"""),"PHP")</f>
        <v>PHP</v>
      </c>
      <c r="H3206" s="9" t="str">
        <f>IFERROR(__xludf.DUMMYFUNCTION("""COMPUTED_VALUE"""),"JavaScript")</f>
        <v>JavaScript</v>
      </c>
      <c r="I3206" s="9" t="str">
        <f>IFERROR(__xludf.DUMMYFUNCTION("""COMPUTED_VALUE"""),"JavaScript")</f>
        <v>JavaScript</v>
      </c>
      <c r="J3206" s="9" t="str">
        <f>IFERROR(__xludf.DUMMYFUNCTION("""COMPUTED_VALUE"""),"JavaScript")</f>
        <v>JavaScript</v>
      </c>
      <c r="K3206" s="9" t="str">
        <f>IFERROR(__xludf.DUMMYFUNCTION("""COMPUTED_VALUE"""),"Ruby")</f>
        <v>Ruby</v>
      </c>
      <c r="L3206" s="9" t="str">
        <f>IFERROR(__xludf.DUMMYFUNCTION("""COMPUTED_VALUE"""),"HTML/CSS")</f>
        <v>HTML/CSS</v>
      </c>
      <c r="M3206" s="9" t="s">
        <v>32</v>
      </c>
    </row>
    <row r="3207" ht="15.75" customHeight="1">
      <c r="A3207" s="7"/>
      <c r="B3207" s="7" t="str">
        <f>IFERROR(__xludf.DUMMYFUNCTION("""COMPUTED_VALUE"""),"Bash/Shell/PowerShell;HTML/CSS;Java;JavaScript;Python;SQL")</f>
        <v>Bash/Shell/PowerShell;HTML/CSS;Java;JavaScript;Python;SQL</v>
      </c>
      <c r="C3207" s="9" t="str">
        <f>IFERROR(__xludf.DUMMYFUNCTION("""COMPUTED_VALUE"""),"SQL")</f>
        <v>SQL</v>
      </c>
      <c r="D3207" s="9" t="str">
        <f>IFERROR(__xludf.DUMMYFUNCTION("""COMPUTED_VALUE"""),"SQL")</f>
        <v>SQL</v>
      </c>
      <c r="E3207" s="9" t="str">
        <f>IFERROR(__xludf.DUMMYFUNCTION("""COMPUTED_VALUE"""),"C")</f>
        <v>C</v>
      </c>
      <c r="F3207" s="9" t="str">
        <f>IFERROR(__xludf.DUMMYFUNCTION("""COMPUTED_VALUE"""),"PHP")</f>
        <v>PHP</v>
      </c>
      <c r="G3207" s="9" t="str">
        <f>IFERROR(__xludf.DUMMYFUNCTION("""COMPUTED_VALUE"""),"Python")</f>
        <v>Python</v>
      </c>
      <c r="H3207" s="9" t="str">
        <f>IFERROR(__xludf.DUMMYFUNCTION("""COMPUTED_VALUE"""),"Python")</f>
        <v>Python</v>
      </c>
      <c r="I3207" s="9" t="str">
        <f>IFERROR(__xludf.DUMMYFUNCTION("""COMPUTED_VALUE"""),"TypeScript")</f>
        <v>TypeScript</v>
      </c>
      <c r="J3207" s="9" t="str">
        <f>IFERROR(__xludf.DUMMYFUNCTION("""COMPUTED_VALUE"""),"PHP")</f>
        <v>PHP</v>
      </c>
      <c r="K3207" s="9" t="str">
        <f>IFERROR(__xludf.DUMMYFUNCTION("""COMPUTED_VALUE"""),"C++")</f>
        <v>C++</v>
      </c>
      <c r="L3207" s="9" t="str">
        <f>IFERROR(__xludf.DUMMYFUNCTION("""COMPUTED_VALUE"""),"JavaScript")</f>
        <v>JavaScript</v>
      </c>
      <c r="M3207" s="9" t="s">
        <v>27</v>
      </c>
    </row>
    <row r="3208" ht="15.75" customHeight="1">
      <c r="A3208" s="7"/>
      <c r="B3208" s="7" t="str">
        <f>IFERROR(__xludf.DUMMYFUNCTION("""COMPUTED_VALUE"""),"C;Java;JavaScript;Python;TypeScript;Other(s):")</f>
        <v>C;Java;JavaScript;Python;TypeScript;Other(s):</v>
      </c>
      <c r="C3208" s="9" t="str">
        <f>IFERROR(__xludf.DUMMYFUNCTION("""COMPUTED_VALUE"""),"TypeScript")</f>
        <v>TypeScript</v>
      </c>
      <c r="D3208" s="9" t="str">
        <f>IFERROR(__xludf.DUMMYFUNCTION("""COMPUTED_VALUE"""),"HTML/CSS")</f>
        <v>HTML/CSS</v>
      </c>
      <c r="E3208" s="9" t="str">
        <f>IFERROR(__xludf.DUMMYFUNCTION("""COMPUTED_VALUE"""),"C++")</f>
        <v>C++</v>
      </c>
      <c r="F3208" s="9" t="str">
        <f>IFERROR(__xludf.DUMMYFUNCTION("""COMPUTED_VALUE"""),"Python")</f>
        <v>Python</v>
      </c>
      <c r="G3208" s="9" t="str">
        <f>IFERROR(__xludf.DUMMYFUNCTION("""COMPUTED_VALUE"""),"R")</f>
        <v>R</v>
      </c>
      <c r="H3208" s="9" t="str">
        <f>IFERROR(__xludf.DUMMYFUNCTION("""COMPUTED_VALUE"""),"R")</f>
        <v>R</v>
      </c>
      <c r="I3208" s="9" t="str">
        <f>IFERROR(__xludf.DUMMYFUNCTION("""COMPUTED_VALUE"""),"C#")</f>
        <v>C#</v>
      </c>
      <c r="J3208" s="9" t="str">
        <f>IFERROR(__xludf.DUMMYFUNCTION("""COMPUTED_VALUE"""),"Python")</f>
        <v>Python</v>
      </c>
      <c r="K3208" s="9" t="str">
        <f>IFERROR(__xludf.DUMMYFUNCTION("""COMPUTED_VALUE"""),"HTML/CSS")</f>
        <v>HTML/CSS</v>
      </c>
      <c r="L3208" s="9" t="str">
        <f>IFERROR(__xludf.DUMMYFUNCTION("""COMPUTED_VALUE"""),"Objective-C")</f>
        <v>Objective-C</v>
      </c>
      <c r="M3208" s="9" t="s">
        <v>33</v>
      </c>
    </row>
    <row r="3209" ht="15.75" customHeight="1">
      <c r="A3209" s="7"/>
      <c r="B3209" s="7" t="str">
        <f>IFERROR(__xludf.DUMMYFUNCTION("""COMPUTED_VALUE"""),"C#;HTML/CSS;JavaScript;Python;SQL;Other(s):")</f>
        <v>C#;HTML/CSS;JavaScript;Python;SQL;Other(s):</v>
      </c>
      <c r="C3209" s="9" t="str">
        <f>IFERROR(__xludf.DUMMYFUNCTION("""COMPUTED_VALUE"""),"C#")</f>
        <v>C#</v>
      </c>
      <c r="D3209" s="9" t="str">
        <f>IFERROR(__xludf.DUMMYFUNCTION("""COMPUTED_VALUE"""),"Java")</f>
        <v>Java</v>
      </c>
      <c r="E3209" s="9" t="str">
        <f>IFERROR(__xludf.DUMMYFUNCTION("""COMPUTED_VALUE"""),"HTML/CSS")</f>
        <v>HTML/CSS</v>
      </c>
      <c r="F3209" s="9" t="str">
        <f>IFERROR(__xludf.DUMMYFUNCTION("""COMPUTED_VALUE"""),"SQL")</f>
        <v>SQL</v>
      </c>
      <c r="G3209" s="9" t="str">
        <f>IFERROR(__xludf.DUMMYFUNCTION("""COMPUTED_VALUE"""),"SQL")</f>
        <v>SQL</v>
      </c>
      <c r="H3209" s="9" t="str">
        <f>IFERROR(__xludf.DUMMYFUNCTION("""COMPUTED_VALUE"""),"C#")</f>
        <v>C#</v>
      </c>
      <c r="I3209" s="9" t="str">
        <f>IFERROR(__xludf.DUMMYFUNCTION("""COMPUTED_VALUE"""),"HTML/CSS")</f>
        <v>HTML/CSS</v>
      </c>
      <c r="J3209" s="9" t="str">
        <f>IFERROR(__xludf.DUMMYFUNCTION("""COMPUTED_VALUE"""),"SQL")</f>
        <v>SQL</v>
      </c>
      <c r="K3209" s="9" t="str">
        <f>IFERROR(__xludf.DUMMYFUNCTION("""COMPUTED_VALUE"""),"JavaScript")</f>
        <v>JavaScript</v>
      </c>
      <c r="L3209" s="9" t="str">
        <f>IFERROR(__xludf.DUMMYFUNCTION("""COMPUTED_VALUE"""),"PHP")</f>
        <v>PHP</v>
      </c>
      <c r="M3209" s="9" t="s">
        <v>26</v>
      </c>
    </row>
    <row r="3210" ht="15.75" customHeight="1">
      <c r="A3210" s="7"/>
      <c r="B3210" s="7" t="str">
        <f>IFERROR(__xludf.DUMMYFUNCTION("""COMPUTED_VALUE"""),"C;Go;HTML/CSS;JavaScript;Ruby;SQL")</f>
        <v>C;Go;HTML/CSS;JavaScript;Ruby;SQL</v>
      </c>
      <c r="C3210" s="9" t="str">
        <f>IFERROR(__xludf.DUMMYFUNCTION("""COMPUTED_VALUE"""),"HTML/CSS")</f>
        <v>HTML/CSS</v>
      </c>
      <c r="D3210" s="9" t="str">
        <f>IFERROR(__xludf.DUMMYFUNCTION("""COMPUTED_VALUE"""),"JavaScript")</f>
        <v>JavaScript</v>
      </c>
      <c r="E3210" s="9" t="str">
        <f>IFERROR(__xludf.DUMMYFUNCTION("""COMPUTED_VALUE"""),"Java")</f>
        <v>Java</v>
      </c>
      <c r="F3210" s="9" t="str">
        <f>IFERROR(__xludf.DUMMYFUNCTION("""COMPUTED_VALUE"""),"Other(s):")</f>
        <v>Other(s):</v>
      </c>
      <c r="G3210" s="9" t="str">
        <f>IFERROR(__xludf.DUMMYFUNCTION("""COMPUTED_VALUE"""),"VBA")</f>
        <v>VBA</v>
      </c>
      <c r="H3210" s="9" t="str">
        <f>IFERROR(__xludf.DUMMYFUNCTION("""COMPUTED_VALUE"""),"HTML/CSS")</f>
        <v>HTML/CSS</v>
      </c>
      <c r="I3210" s="9" t="str">
        <f>IFERROR(__xludf.DUMMYFUNCTION("""COMPUTED_VALUE"""),"Bash/Shell/PowerShell")</f>
        <v>Bash/Shell/PowerShell</v>
      </c>
      <c r="J3210" s="9" t="str">
        <f>IFERROR(__xludf.DUMMYFUNCTION("""COMPUTED_VALUE"""),"Bash/Shell/PowerShell")</f>
        <v>Bash/Shell/PowerShell</v>
      </c>
      <c r="K3210" s="9" t="str">
        <f>IFERROR(__xludf.DUMMYFUNCTION("""COMPUTED_VALUE"""),"Python")</f>
        <v>Python</v>
      </c>
      <c r="L3210" s="9" t="str">
        <f>IFERROR(__xludf.DUMMYFUNCTION("""COMPUTED_VALUE"""),"Python")</f>
        <v>Python</v>
      </c>
      <c r="M3210" s="9" t="s">
        <v>24</v>
      </c>
    </row>
    <row r="3211" ht="15.75" customHeight="1">
      <c r="A3211" s="7"/>
      <c r="B3211" s="7" t="str">
        <f>IFERROR(__xludf.DUMMYFUNCTION("""COMPUTED_VALUE"""),"Python;R")</f>
        <v>Python;R</v>
      </c>
      <c r="C3211" s="9" t="str">
        <f>IFERROR(__xludf.DUMMYFUNCTION("""COMPUTED_VALUE"""),"JavaScript")</f>
        <v>JavaScript</v>
      </c>
      <c r="D3211" s="9" t="str">
        <f>IFERROR(__xludf.DUMMYFUNCTION("""COMPUTED_VALUE"""),"Python")</f>
        <v>Python</v>
      </c>
      <c r="E3211" s="9" t="str">
        <f>IFERROR(__xludf.DUMMYFUNCTION("""COMPUTED_VALUE"""),"JavaScript")</f>
        <v>JavaScript</v>
      </c>
      <c r="F3211" s="9" t="str">
        <f>IFERROR(__xludf.DUMMYFUNCTION("""COMPUTED_VALUE"""),"Bash/Shell/PowerShell")</f>
        <v>Bash/Shell/PowerShell</v>
      </c>
      <c r="G3211" s="9" t="str">
        <f>IFERROR(__xludf.DUMMYFUNCTION("""COMPUTED_VALUE"""),"C")</f>
        <v>C</v>
      </c>
      <c r="H3211" s="9" t="str">
        <f>IFERROR(__xludf.DUMMYFUNCTION("""COMPUTED_VALUE"""),"JavaScript")</f>
        <v>JavaScript</v>
      </c>
      <c r="I3211" s="9" t="str">
        <f>IFERROR(__xludf.DUMMYFUNCTION("""COMPUTED_VALUE"""),"C#")</f>
        <v>C#</v>
      </c>
      <c r="J3211" s="9" t="str">
        <f>IFERROR(__xludf.DUMMYFUNCTION("""COMPUTED_VALUE"""),"C")</f>
        <v>C</v>
      </c>
      <c r="K3211" s="9" t="str">
        <f>IFERROR(__xludf.DUMMYFUNCTION("""COMPUTED_VALUE"""),"Bash/Shell/PowerShell")</f>
        <v>Bash/Shell/PowerShell</v>
      </c>
      <c r="L3211" s="9" t="str">
        <f>IFERROR(__xludf.DUMMYFUNCTION("""COMPUTED_VALUE"""),"Other(s):")</f>
        <v>Other(s):</v>
      </c>
      <c r="M3211" s="9" t="s">
        <v>21</v>
      </c>
    </row>
    <row r="3212" ht="15.75" customHeight="1">
      <c r="A3212" s="7"/>
      <c r="B3212" s="7" t="str">
        <f>IFERROR(__xludf.DUMMYFUNCTION("""COMPUTED_VALUE"""),"Bash/Shell/PowerShell;HTML/CSS;JavaScript;PHP;SQL")</f>
        <v>Bash/Shell/PowerShell;HTML/CSS;JavaScript;PHP;SQL</v>
      </c>
      <c r="C3212" s="9" t="str">
        <f>IFERROR(__xludf.DUMMYFUNCTION("""COMPUTED_VALUE"""),"SQL")</f>
        <v>SQL</v>
      </c>
      <c r="D3212" s="9" t="str">
        <f>IFERROR(__xludf.DUMMYFUNCTION("""COMPUTED_VALUE"""),"Ruby")</f>
        <v>Ruby</v>
      </c>
      <c r="E3212" s="9" t="str">
        <f>IFERROR(__xludf.DUMMYFUNCTION("""COMPUTED_VALUE"""),"PHP")</f>
        <v>PHP</v>
      </c>
      <c r="F3212" s="9" t="str">
        <f>IFERROR(__xludf.DUMMYFUNCTION("""COMPUTED_VALUE"""),"HTML/CSS")</f>
        <v>HTML/CSS</v>
      </c>
      <c r="G3212" s="9" t="str">
        <f>IFERROR(__xludf.DUMMYFUNCTION("""COMPUTED_VALUE"""),"C++")</f>
        <v>C++</v>
      </c>
      <c r="H3212" s="9" t="str">
        <f>IFERROR(__xludf.DUMMYFUNCTION("""COMPUTED_VALUE"""),"PHP")</f>
        <v>PHP</v>
      </c>
      <c r="I3212" s="9" t="str">
        <f>IFERROR(__xludf.DUMMYFUNCTION("""COMPUTED_VALUE"""),"Go")</f>
        <v>Go</v>
      </c>
      <c r="J3212" s="9" t="str">
        <f>IFERROR(__xludf.DUMMYFUNCTION("""COMPUTED_VALUE"""),"HTML/CSS")</f>
        <v>HTML/CSS</v>
      </c>
      <c r="K3212" s="9" t="str">
        <f>IFERROR(__xludf.DUMMYFUNCTION("""COMPUTED_VALUE"""),"C++")</f>
        <v>C++</v>
      </c>
      <c r="L3212" s="9" t="str">
        <f>IFERROR(__xludf.DUMMYFUNCTION("""COMPUTED_VALUE"""),"C++")</f>
        <v>C++</v>
      </c>
      <c r="M3212" s="9" t="s">
        <v>27</v>
      </c>
    </row>
    <row r="3213" ht="15.75" customHeight="1">
      <c r="A3213" s="7"/>
      <c r="B3213" s="7" t="str">
        <f>IFERROR(__xludf.DUMMYFUNCTION("""COMPUTED_VALUE"""),"C#;HTML/CSS;JavaScript;SQL;Other(s):")</f>
        <v>C#;HTML/CSS;JavaScript;SQL;Other(s):</v>
      </c>
      <c r="C3213" s="9" t="str">
        <f>IFERROR(__xludf.DUMMYFUNCTION("""COMPUTED_VALUE"""),"VBA")</f>
        <v>VBA</v>
      </c>
      <c r="D3213" s="9" t="str">
        <f>IFERROR(__xludf.DUMMYFUNCTION("""COMPUTED_VALUE"""),"Scala")</f>
        <v>Scala</v>
      </c>
      <c r="E3213" s="9" t="str">
        <f>IFERROR(__xludf.DUMMYFUNCTION("""COMPUTED_VALUE"""),"SQL")</f>
        <v>SQL</v>
      </c>
      <c r="F3213" s="9" t="str">
        <f>IFERROR(__xludf.DUMMYFUNCTION("""COMPUTED_VALUE"""),"Java")</f>
        <v>Java</v>
      </c>
      <c r="G3213" s="9" t="str">
        <f>IFERROR(__xludf.DUMMYFUNCTION("""COMPUTED_VALUE"""),"C#")</f>
        <v>C#</v>
      </c>
      <c r="H3213" s="9" t="str">
        <f>IFERROR(__xludf.DUMMYFUNCTION("""COMPUTED_VALUE"""),"Python")</f>
        <v>Python</v>
      </c>
      <c r="I3213" s="9" t="str">
        <f>IFERROR(__xludf.DUMMYFUNCTION("""COMPUTED_VALUE"""),"HTML/CSS")</f>
        <v>HTML/CSS</v>
      </c>
      <c r="J3213" s="9" t="str">
        <f>IFERROR(__xludf.DUMMYFUNCTION("""COMPUTED_VALUE"""),"Java")</f>
        <v>Java</v>
      </c>
      <c r="K3213" s="9" t="str">
        <f>IFERROR(__xludf.DUMMYFUNCTION("""COMPUTED_VALUE"""),"Java")</f>
        <v>Java</v>
      </c>
      <c r="L3213" s="9" t="str">
        <f>IFERROR(__xludf.DUMMYFUNCTION("""COMPUTED_VALUE"""),"Clojure")</f>
        <v>Clojure</v>
      </c>
      <c r="M3213" s="9" t="s">
        <v>28</v>
      </c>
    </row>
    <row r="3214" ht="15.75" customHeight="1">
      <c r="A3214" s="7"/>
      <c r="B3214" s="7" t="str">
        <f>IFERROR(__xludf.DUMMYFUNCTION("""COMPUTED_VALUE"""),"HTML/CSS;Java;JavaScript;PHP;SQL;TypeScript")</f>
        <v>HTML/CSS;Java;JavaScript;PHP;SQL;TypeScript</v>
      </c>
      <c r="C3214" s="9" t="str">
        <f>IFERROR(__xludf.DUMMYFUNCTION("""COMPUTED_VALUE"""),"Java")</f>
        <v>Java</v>
      </c>
      <c r="D3214" s="9" t="str">
        <f>IFERROR(__xludf.DUMMYFUNCTION("""COMPUTED_VALUE"""),"SQL")</f>
        <v>SQL</v>
      </c>
      <c r="E3214" s="9" t="str">
        <f>IFERROR(__xludf.DUMMYFUNCTION("""COMPUTED_VALUE"""),"Bash/Shell/PowerShell")</f>
        <v>Bash/Shell/PowerShell</v>
      </c>
      <c r="F3214" s="9" t="str">
        <f>IFERROR(__xludf.DUMMYFUNCTION("""COMPUTED_VALUE"""),"JavaScript")</f>
        <v>JavaScript</v>
      </c>
      <c r="G3214" s="9" t="str">
        <f>IFERROR(__xludf.DUMMYFUNCTION("""COMPUTED_VALUE"""),"Python")</f>
        <v>Python</v>
      </c>
      <c r="H3214" s="9" t="str">
        <f>IFERROR(__xludf.DUMMYFUNCTION("""COMPUTED_VALUE"""),"SQL")</f>
        <v>SQL</v>
      </c>
      <c r="I3214" s="9" t="str">
        <f>IFERROR(__xludf.DUMMYFUNCTION("""COMPUTED_VALUE"""),"Java")</f>
        <v>Java</v>
      </c>
      <c r="J3214" s="9" t="str">
        <f>IFERROR(__xludf.DUMMYFUNCTION("""COMPUTED_VALUE"""),"Python")</f>
        <v>Python</v>
      </c>
      <c r="K3214" s="9" t="str">
        <f>IFERROR(__xludf.DUMMYFUNCTION("""COMPUTED_VALUE"""),"JavaScript")</f>
        <v>JavaScript</v>
      </c>
      <c r="L3214" s="9" t="str">
        <f>IFERROR(__xludf.DUMMYFUNCTION("""COMPUTED_VALUE"""),"Dart")</f>
        <v>Dart</v>
      </c>
      <c r="M3214" s="9" t="s">
        <v>20</v>
      </c>
    </row>
    <row r="3215" ht="15.75" customHeight="1">
      <c r="A3215" s="7"/>
      <c r="B3215" s="7" t="str">
        <f>IFERROR(__xludf.DUMMYFUNCTION("""COMPUTED_VALUE"""),"JavaScript;PHP")</f>
        <v>JavaScript;PHP</v>
      </c>
      <c r="C3215" s="9" t="str">
        <f>IFERROR(__xludf.DUMMYFUNCTION("""COMPUTED_VALUE"""),"JavaScript")</f>
        <v>JavaScript</v>
      </c>
      <c r="D3215" s="9" t="str">
        <f>IFERROR(__xludf.DUMMYFUNCTION("""COMPUTED_VALUE"""),"C")</f>
        <v>C</v>
      </c>
      <c r="E3215" s="9" t="str">
        <f>IFERROR(__xludf.DUMMYFUNCTION("""COMPUTED_VALUE"""),"C")</f>
        <v>C</v>
      </c>
      <c r="F3215" s="9" t="str">
        <f>IFERROR(__xludf.DUMMYFUNCTION("""COMPUTED_VALUE"""),"Python")</f>
        <v>Python</v>
      </c>
      <c r="G3215" s="9" t="str">
        <f>IFERROR(__xludf.DUMMYFUNCTION("""COMPUTED_VALUE"""),"R")</f>
        <v>R</v>
      </c>
      <c r="H3215" s="9" t="str">
        <f>IFERROR(__xludf.DUMMYFUNCTION("""COMPUTED_VALUE"""),"Assembly")</f>
        <v>Assembly</v>
      </c>
      <c r="I3215" s="9" t="str">
        <f>IFERROR(__xludf.DUMMYFUNCTION("""COMPUTED_VALUE"""),"JavaScript")</f>
        <v>JavaScript</v>
      </c>
      <c r="J3215" s="9" t="str">
        <f>IFERROR(__xludf.DUMMYFUNCTION("""COMPUTED_VALUE"""),"SQL")</f>
        <v>SQL</v>
      </c>
      <c r="K3215" s="9" t="str">
        <f>IFERROR(__xludf.DUMMYFUNCTION("""COMPUTED_VALUE"""),"Objective-C")</f>
        <v>Objective-C</v>
      </c>
      <c r="L3215" s="9" t="str">
        <f>IFERROR(__xludf.DUMMYFUNCTION("""COMPUTED_VALUE"""),"Go")</f>
        <v>Go</v>
      </c>
      <c r="M3215" s="9" t="s">
        <v>21</v>
      </c>
    </row>
    <row r="3216" ht="15.75" customHeight="1">
      <c r="A3216" s="7"/>
      <c r="B3216" s="7" t="str">
        <f>IFERROR(__xludf.DUMMYFUNCTION("""COMPUTED_VALUE"""),"Assembly;Bash/Shell/PowerShell;C;C++")</f>
        <v>Assembly;Bash/Shell/PowerShell;C;C++</v>
      </c>
      <c r="C3216" s="9" t="str">
        <f>IFERROR(__xludf.DUMMYFUNCTION("""COMPUTED_VALUE"""),"Python")</f>
        <v>Python</v>
      </c>
      <c r="D3216" s="9" t="str">
        <f>IFERROR(__xludf.DUMMYFUNCTION("""COMPUTED_VALUE"""),"HTML/CSS")</f>
        <v>HTML/CSS</v>
      </c>
      <c r="E3216" s="9" t="str">
        <f>IFERROR(__xludf.DUMMYFUNCTION("""COMPUTED_VALUE"""),"C++")</f>
        <v>C++</v>
      </c>
      <c r="F3216" s="9" t="str">
        <f>IFERROR(__xludf.DUMMYFUNCTION("""COMPUTED_VALUE"""),"C")</f>
        <v>C</v>
      </c>
      <c r="G3216" s="9" t="str">
        <f>IFERROR(__xludf.DUMMYFUNCTION("""COMPUTED_VALUE"""),"SQL")</f>
        <v>SQL</v>
      </c>
      <c r="H3216" s="9" t="str">
        <f>IFERROR(__xludf.DUMMYFUNCTION("""COMPUTED_VALUE"""),"C")</f>
        <v>C</v>
      </c>
      <c r="I3216" s="9" t="str">
        <f>IFERROR(__xludf.DUMMYFUNCTION("""COMPUTED_VALUE"""),"PHP")</f>
        <v>PHP</v>
      </c>
      <c r="J3216" s="9" t="str">
        <f>IFERROR(__xludf.DUMMYFUNCTION("""COMPUTED_VALUE"""),"HTML/CSS")</f>
        <v>HTML/CSS</v>
      </c>
      <c r="K3216" s="9" t="str">
        <f>IFERROR(__xludf.DUMMYFUNCTION("""COMPUTED_VALUE"""),"PHP")</f>
        <v>PHP</v>
      </c>
      <c r="L3216" s="9" t="str">
        <f>IFERROR(__xludf.DUMMYFUNCTION("""COMPUTED_VALUE"""),"HTML/CSS")</f>
        <v>HTML/CSS</v>
      </c>
      <c r="M3216" s="9" t="s">
        <v>22</v>
      </c>
    </row>
    <row r="3217" ht="15.75" customHeight="1">
      <c r="A3217" s="7"/>
      <c r="B3217" s="7" t="str">
        <f>IFERROR(__xludf.DUMMYFUNCTION("""COMPUTED_VALUE"""),"C#;Go;Python;SQL;TypeScript")</f>
        <v>C#;Go;Python;SQL;TypeScript</v>
      </c>
      <c r="C3217" s="9" t="str">
        <f>IFERROR(__xludf.DUMMYFUNCTION("""COMPUTED_VALUE"""),"SQL")</f>
        <v>SQL</v>
      </c>
      <c r="D3217" s="9" t="str">
        <f>IFERROR(__xludf.DUMMYFUNCTION("""COMPUTED_VALUE"""),"JavaScript")</f>
        <v>JavaScript</v>
      </c>
      <c r="E3217" s="9" t="str">
        <f>IFERROR(__xludf.DUMMYFUNCTION("""COMPUTED_VALUE"""),"C#")</f>
        <v>C#</v>
      </c>
      <c r="F3217" s="9" t="str">
        <f>IFERROR(__xludf.DUMMYFUNCTION("""COMPUTED_VALUE"""),"R")</f>
        <v>R</v>
      </c>
      <c r="G3217" s="9" t="str">
        <f>IFERROR(__xludf.DUMMYFUNCTION("""COMPUTED_VALUE"""),"Other(s):")</f>
        <v>Other(s):</v>
      </c>
      <c r="H3217" s="9" t="str">
        <f>IFERROR(__xludf.DUMMYFUNCTION("""COMPUTED_VALUE"""),"C++")</f>
        <v>C++</v>
      </c>
      <c r="I3217" s="9" t="str">
        <f>IFERROR(__xludf.DUMMYFUNCTION("""COMPUTED_VALUE"""),"Python")</f>
        <v>Python</v>
      </c>
      <c r="J3217" s="9" t="str">
        <f>IFERROR(__xludf.DUMMYFUNCTION("""COMPUTED_VALUE"""),"JavaScript")</f>
        <v>JavaScript</v>
      </c>
      <c r="K3217" s="9" t="str">
        <f>IFERROR(__xludf.DUMMYFUNCTION("""COMPUTED_VALUE"""),"SQL")</f>
        <v>SQL</v>
      </c>
      <c r="L3217" s="9" t="str">
        <f>IFERROR(__xludf.DUMMYFUNCTION("""COMPUTED_VALUE"""),"JavaScript")</f>
        <v>JavaScript</v>
      </c>
      <c r="M3217" s="9" t="s">
        <v>27</v>
      </c>
    </row>
    <row r="3218" ht="15.75" customHeight="1">
      <c r="A3218" s="7"/>
      <c r="B3218" s="7" t="str">
        <f>IFERROR(__xludf.DUMMYFUNCTION("""COMPUTED_VALUE"""),"Assembly;C#;HTML/CSS;JavaScript;SQL;TypeScript")</f>
        <v>Assembly;C#;HTML/CSS;JavaScript;SQL;TypeScript</v>
      </c>
      <c r="C3218" s="9" t="str">
        <f>IFERROR(__xludf.DUMMYFUNCTION("""COMPUTED_VALUE"""),"Bash/Shell/PowerShell")</f>
        <v>Bash/Shell/PowerShell</v>
      </c>
      <c r="D3218" s="9" t="str">
        <f>IFERROR(__xludf.DUMMYFUNCTION("""COMPUTED_VALUE"""),"TypeScript")</f>
        <v>TypeScript</v>
      </c>
      <c r="E3218" s="9" t="str">
        <f>IFERROR(__xludf.DUMMYFUNCTION("""COMPUTED_VALUE"""),"Java")</f>
        <v>Java</v>
      </c>
      <c r="F3218" s="9" t="str">
        <f>IFERROR(__xludf.DUMMYFUNCTION("""COMPUTED_VALUE"""),"Bash/Shell/PowerShell")</f>
        <v>Bash/Shell/PowerShell</v>
      </c>
      <c r="G3218" s="9" t="str">
        <f>IFERROR(__xludf.DUMMYFUNCTION("""COMPUTED_VALUE"""),"C++")</f>
        <v>C++</v>
      </c>
      <c r="H3218" s="9" t="str">
        <f>IFERROR(__xludf.DUMMYFUNCTION("""COMPUTED_VALUE"""),"C#")</f>
        <v>C#</v>
      </c>
      <c r="I3218" s="9" t="str">
        <f>IFERROR(__xludf.DUMMYFUNCTION("""COMPUTED_VALUE"""),"Ruby")</f>
        <v>Ruby</v>
      </c>
      <c r="J3218" s="9" t="str">
        <f>IFERROR(__xludf.DUMMYFUNCTION("""COMPUTED_VALUE"""),"PHP")</f>
        <v>PHP</v>
      </c>
      <c r="K3218" s="9" t="str">
        <f>IFERROR(__xludf.DUMMYFUNCTION("""COMPUTED_VALUE"""),"TypeScript")</f>
        <v>TypeScript</v>
      </c>
      <c r="L3218" s="9" t="str">
        <f>IFERROR(__xludf.DUMMYFUNCTION("""COMPUTED_VALUE"""),"Ruby")</f>
        <v>Ruby</v>
      </c>
      <c r="M3218" s="9" t="s">
        <v>30</v>
      </c>
    </row>
    <row r="3219" ht="15.75" customHeight="1">
      <c r="A3219" s="7"/>
      <c r="B3219" s="7" t="str">
        <f>IFERROR(__xludf.DUMMYFUNCTION("""COMPUTED_VALUE"""),"Bash/Shell/PowerShell;HTML/CSS;Java;Python;SQL")</f>
        <v>Bash/Shell/PowerShell;HTML/CSS;Java;Python;SQL</v>
      </c>
      <c r="C3219" s="9" t="str">
        <f>IFERROR(__xludf.DUMMYFUNCTION("""COMPUTED_VALUE"""),"C++")</f>
        <v>C++</v>
      </c>
      <c r="D3219" s="9" t="str">
        <f>IFERROR(__xludf.DUMMYFUNCTION("""COMPUTED_VALUE"""),"C#")</f>
        <v>C#</v>
      </c>
      <c r="E3219" s="9" t="str">
        <f>IFERROR(__xludf.DUMMYFUNCTION("""COMPUTED_VALUE"""),"Objective-C")</f>
        <v>Objective-C</v>
      </c>
      <c r="F3219" s="9" t="str">
        <f>IFERROR(__xludf.DUMMYFUNCTION("""COMPUTED_VALUE"""),"HTML/CSS")</f>
        <v>HTML/CSS</v>
      </c>
      <c r="G3219" s="9" t="str">
        <f>IFERROR(__xludf.DUMMYFUNCTION("""COMPUTED_VALUE"""),"C#")</f>
        <v>C#</v>
      </c>
      <c r="H3219" s="9" t="str">
        <f>IFERROR(__xludf.DUMMYFUNCTION("""COMPUTED_VALUE"""),"HTML/CSS")</f>
        <v>HTML/CSS</v>
      </c>
      <c r="I3219" s="9" t="str">
        <f>IFERROR(__xludf.DUMMYFUNCTION("""COMPUTED_VALUE"""),"Scala")</f>
        <v>Scala</v>
      </c>
      <c r="J3219" s="9" t="str">
        <f>IFERROR(__xludf.DUMMYFUNCTION("""COMPUTED_VALUE"""),"TypeScript")</f>
        <v>TypeScript</v>
      </c>
      <c r="K3219" s="9" t="str">
        <f>IFERROR(__xludf.DUMMYFUNCTION("""COMPUTED_VALUE"""),"Bash/Shell/PowerShell")</f>
        <v>Bash/Shell/PowerShell</v>
      </c>
      <c r="L3219" s="9" t="str">
        <f>IFERROR(__xludf.DUMMYFUNCTION("""COMPUTED_VALUE"""),"Swift")</f>
        <v>Swift</v>
      </c>
      <c r="M3219" s="9" t="s">
        <v>23</v>
      </c>
    </row>
    <row r="3220" ht="15.75" customHeight="1">
      <c r="A3220" s="7"/>
      <c r="B3220" s="7" t="str">
        <f>IFERROR(__xludf.DUMMYFUNCTION("""COMPUTED_VALUE"""),"Bash/Shell/PowerShell;C;HTML/CSS;JavaScript;Python")</f>
        <v>Bash/Shell/PowerShell;C;HTML/CSS;JavaScript;Python</v>
      </c>
      <c r="C3220" s="9" t="str">
        <f>IFERROR(__xludf.DUMMYFUNCTION("""COMPUTED_VALUE"""),"JavaScript")</f>
        <v>JavaScript</v>
      </c>
      <c r="D3220" s="9" t="str">
        <f>IFERROR(__xludf.DUMMYFUNCTION("""COMPUTED_VALUE"""),"HTML/CSS")</f>
        <v>HTML/CSS</v>
      </c>
      <c r="E3220" s="9" t="str">
        <f>IFERROR(__xludf.DUMMYFUNCTION("""COMPUTED_VALUE"""),"Ruby")</f>
        <v>Ruby</v>
      </c>
      <c r="F3220" s="9" t="str">
        <f>IFERROR(__xludf.DUMMYFUNCTION("""COMPUTED_VALUE"""),"Java")</f>
        <v>Java</v>
      </c>
      <c r="G3220" s="9" t="str">
        <f>IFERROR(__xludf.DUMMYFUNCTION("""COMPUTED_VALUE"""),"HTML/CSS")</f>
        <v>HTML/CSS</v>
      </c>
      <c r="H3220" s="9" t="str">
        <f>IFERROR(__xludf.DUMMYFUNCTION("""COMPUTED_VALUE"""),"JavaScript")</f>
        <v>JavaScript</v>
      </c>
      <c r="I3220" s="9" t="str">
        <f>IFERROR(__xludf.DUMMYFUNCTION("""COMPUTED_VALUE"""),"TypeScript")</f>
        <v>TypeScript</v>
      </c>
      <c r="J3220" s="9" t="str">
        <f>IFERROR(__xludf.DUMMYFUNCTION("""COMPUTED_VALUE"""),"HTML/CSS")</f>
        <v>HTML/CSS</v>
      </c>
      <c r="K3220" s="9" t="str">
        <f>IFERROR(__xludf.DUMMYFUNCTION("""COMPUTED_VALUE"""),"C")</f>
        <v>C</v>
      </c>
      <c r="L3220" s="9" t="str">
        <f>IFERROR(__xludf.DUMMYFUNCTION("""COMPUTED_VALUE"""),"TypeScript")</f>
        <v>TypeScript</v>
      </c>
      <c r="M3220" s="9" t="s">
        <v>21</v>
      </c>
    </row>
    <row r="3221" ht="15.75" customHeight="1">
      <c r="A3221" s="7"/>
      <c r="B3221" s="7" t="str">
        <f>IFERROR(__xludf.DUMMYFUNCTION("""COMPUTED_VALUE"""),"Assembly;C++;HTML/CSS;Java;JavaScript;Python")</f>
        <v>Assembly;C++;HTML/CSS;Java;JavaScript;Python</v>
      </c>
      <c r="C3221" s="9" t="str">
        <f>IFERROR(__xludf.DUMMYFUNCTION("""COMPUTED_VALUE"""),"Python")</f>
        <v>Python</v>
      </c>
      <c r="D3221" s="9" t="str">
        <f>IFERROR(__xludf.DUMMYFUNCTION("""COMPUTED_VALUE"""),"Java")</f>
        <v>Java</v>
      </c>
      <c r="E3221" s="9" t="str">
        <f>IFERROR(__xludf.DUMMYFUNCTION("""COMPUTED_VALUE"""),"Swift")</f>
        <v>Swift</v>
      </c>
      <c r="F3221" s="9" t="str">
        <f>IFERROR(__xludf.DUMMYFUNCTION("""COMPUTED_VALUE"""),"Kotlin")</f>
        <v>Kotlin</v>
      </c>
      <c r="G3221" s="9" t="str">
        <f>IFERROR(__xludf.DUMMYFUNCTION("""COMPUTED_VALUE"""),"Java")</f>
        <v>Java</v>
      </c>
      <c r="H3221" s="9" t="str">
        <f>IFERROR(__xludf.DUMMYFUNCTION("""COMPUTED_VALUE"""),"PHP")</f>
        <v>PHP</v>
      </c>
      <c r="I3221" s="9" t="str">
        <f>IFERROR(__xludf.DUMMYFUNCTION("""COMPUTED_VALUE"""),"C#")</f>
        <v>C#</v>
      </c>
      <c r="J3221" s="9" t="str">
        <f>IFERROR(__xludf.DUMMYFUNCTION("""COMPUTED_VALUE"""),"Java")</f>
        <v>Java</v>
      </c>
      <c r="K3221" s="9" t="str">
        <f>IFERROR(__xludf.DUMMYFUNCTION("""COMPUTED_VALUE"""),"C++")</f>
        <v>C++</v>
      </c>
      <c r="L3221" s="9" t="str">
        <f>IFERROR(__xludf.DUMMYFUNCTION("""COMPUTED_VALUE"""),"Swift")</f>
        <v>Swift</v>
      </c>
      <c r="M3221" s="9" t="s">
        <v>22</v>
      </c>
    </row>
    <row r="3222" ht="15.75" customHeight="1">
      <c r="A3222" s="7"/>
      <c r="B3222" s="7" t="str">
        <f>IFERROR(__xludf.DUMMYFUNCTION("""COMPUTED_VALUE"""),"C")</f>
        <v>C</v>
      </c>
      <c r="C3222" s="9" t="str">
        <f>IFERROR(__xludf.DUMMYFUNCTION("""COMPUTED_VALUE"""),"Python")</f>
        <v>Python</v>
      </c>
      <c r="D3222" s="9" t="str">
        <f>IFERROR(__xludf.DUMMYFUNCTION("""COMPUTED_VALUE"""),"JavaScript")</f>
        <v>JavaScript</v>
      </c>
      <c r="E3222" s="9" t="str">
        <f>IFERROR(__xludf.DUMMYFUNCTION("""COMPUTED_VALUE"""),"Bash/Shell/PowerShell")</f>
        <v>Bash/Shell/PowerShell</v>
      </c>
      <c r="F3222" s="9" t="str">
        <f>IFERROR(__xludf.DUMMYFUNCTION("""COMPUTED_VALUE"""),"Python")</f>
        <v>Python</v>
      </c>
      <c r="G3222" s="9" t="str">
        <f>IFERROR(__xludf.DUMMYFUNCTION("""COMPUTED_VALUE"""),"JavaScript")</f>
        <v>JavaScript</v>
      </c>
      <c r="H3222" s="9" t="str">
        <f>IFERROR(__xludf.DUMMYFUNCTION("""COMPUTED_VALUE"""),"Python")</f>
        <v>Python</v>
      </c>
      <c r="I3222" s="9" t="str">
        <f>IFERROR(__xludf.DUMMYFUNCTION("""COMPUTED_VALUE"""),"HTML/CSS")</f>
        <v>HTML/CSS</v>
      </c>
      <c r="J3222" s="9" t="str">
        <f>IFERROR(__xludf.DUMMYFUNCTION("""COMPUTED_VALUE"""),"JavaScript")</f>
        <v>JavaScript</v>
      </c>
      <c r="K3222" s="9" t="str">
        <f>IFERROR(__xludf.DUMMYFUNCTION("""COMPUTED_VALUE"""),"Java")</f>
        <v>Java</v>
      </c>
      <c r="L3222" s="9" t="str">
        <f>IFERROR(__xludf.DUMMYFUNCTION("""COMPUTED_VALUE"""),"HTML/CSS")</f>
        <v>HTML/CSS</v>
      </c>
      <c r="M3222" s="9" t="s">
        <v>22</v>
      </c>
    </row>
    <row r="3223" ht="15.75" customHeight="1">
      <c r="A3223" s="7"/>
      <c r="B3223" s="7" t="str">
        <f>IFERROR(__xludf.DUMMYFUNCTION("""COMPUTED_VALUE"""),"Bash/Shell/PowerShell;C++;HTML/CSS;JavaScript;PHP;Python;SQL")</f>
        <v>Bash/Shell/PowerShell;C++;HTML/CSS;JavaScript;PHP;Python;SQL</v>
      </c>
      <c r="C3223" s="9" t="str">
        <f>IFERROR(__xludf.DUMMYFUNCTION("""COMPUTED_VALUE"""),"HTML/CSS")</f>
        <v>HTML/CSS</v>
      </c>
      <c r="D3223" s="9" t="str">
        <f>IFERROR(__xludf.DUMMYFUNCTION("""COMPUTED_VALUE"""),"Bash/Shell/PowerShell")</f>
        <v>Bash/Shell/PowerShell</v>
      </c>
      <c r="E3223" s="9" t="str">
        <f>IFERROR(__xludf.DUMMYFUNCTION("""COMPUTED_VALUE"""),"HTML/CSS")</f>
        <v>HTML/CSS</v>
      </c>
      <c r="F3223" s="9" t="str">
        <f>IFERROR(__xludf.DUMMYFUNCTION("""COMPUTED_VALUE"""),"VBA")</f>
        <v>VBA</v>
      </c>
      <c r="G3223" s="9" t="str">
        <f>IFERROR(__xludf.DUMMYFUNCTION("""COMPUTED_VALUE"""),"SQL")</f>
        <v>SQL</v>
      </c>
      <c r="H3223" s="9" t="str">
        <f>IFERROR(__xludf.DUMMYFUNCTION("""COMPUTED_VALUE"""),"SQL")</f>
        <v>SQL</v>
      </c>
      <c r="I3223" s="9" t="str">
        <f>IFERROR(__xludf.DUMMYFUNCTION("""COMPUTED_VALUE"""),"JavaScript")</f>
        <v>JavaScript</v>
      </c>
      <c r="J3223" s="9" t="str">
        <f>IFERROR(__xludf.DUMMYFUNCTION("""COMPUTED_VALUE"""),"Python")</f>
        <v>Python</v>
      </c>
      <c r="K3223" s="9" t="str">
        <f>IFERROR(__xludf.DUMMYFUNCTION("""COMPUTED_VALUE"""),"PHP")</f>
        <v>PHP</v>
      </c>
      <c r="L3223" s="9" t="str">
        <f>IFERROR(__xludf.DUMMYFUNCTION("""COMPUTED_VALUE"""),"Ruby")</f>
        <v>Ruby</v>
      </c>
      <c r="M3223" s="9" t="s">
        <v>24</v>
      </c>
    </row>
    <row r="3224" ht="15.75" customHeight="1">
      <c r="A3224" s="7"/>
      <c r="B3224" s="7" t="str">
        <f>IFERROR(__xludf.DUMMYFUNCTION("""COMPUTED_VALUE"""),"Java;JavaScript;PHP")</f>
        <v>Java;JavaScript;PHP</v>
      </c>
      <c r="C3224" s="9" t="str">
        <f>IFERROR(__xludf.DUMMYFUNCTION("""COMPUTED_VALUE"""),"Java")</f>
        <v>Java</v>
      </c>
      <c r="D3224" s="9" t="str">
        <f>IFERROR(__xludf.DUMMYFUNCTION("""COMPUTED_VALUE"""),"HTML/CSS")</f>
        <v>HTML/CSS</v>
      </c>
      <c r="E3224" s="9" t="str">
        <f>IFERROR(__xludf.DUMMYFUNCTION("""COMPUTED_VALUE"""),"JavaScript")</f>
        <v>JavaScript</v>
      </c>
      <c r="F3224" s="9" t="str">
        <f>IFERROR(__xludf.DUMMYFUNCTION("""COMPUTED_VALUE"""),"Java")</f>
        <v>Java</v>
      </c>
      <c r="G3224" s="9" t="str">
        <f>IFERROR(__xludf.DUMMYFUNCTION("""COMPUTED_VALUE"""),"Bash/Shell/PowerShell")</f>
        <v>Bash/Shell/PowerShell</v>
      </c>
      <c r="H3224" s="9" t="str">
        <f>IFERROR(__xludf.DUMMYFUNCTION("""COMPUTED_VALUE"""),"VBA")</f>
        <v>VBA</v>
      </c>
      <c r="I3224" s="9" t="str">
        <f>IFERROR(__xludf.DUMMYFUNCTION("""COMPUTED_VALUE"""),"PHP")</f>
        <v>PHP</v>
      </c>
      <c r="J3224" s="9" t="str">
        <f>IFERROR(__xludf.DUMMYFUNCTION("""COMPUTED_VALUE"""),"Ruby")</f>
        <v>Ruby</v>
      </c>
      <c r="K3224" s="9" t="str">
        <f>IFERROR(__xludf.DUMMYFUNCTION("""COMPUTED_VALUE"""),"Python")</f>
        <v>Python</v>
      </c>
      <c r="L3224" s="9" t="str">
        <f>IFERROR(__xludf.DUMMYFUNCTION("""COMPUTED_VALUE"""),"C#")</f>
        <v>C#</v>
      </c>
      <c r="M3224" s="9" t="s">
        <v>20</v>
      </c>
    </row>
    <row r="3225" ht="15.75" customHeight="1">
      <c r="A3225" s="7"/>
      <c r="B3225" s="7" t="str">
        <f>IFERROR(__xludf.DUMMYFUNCTION("""COMPUTED_VALUE"""),"Bash/Shell/PowerShell;HTML/CSS;JavaScript;PHP;SQL")</f>
        <v>Bash/Shell/PowerShell;HTML/CSS;JavaScript;PHP;SQL</v>
      </c>
      <c r="C3225" s="9" t="str">
        <f>IFERROR(__xludf.DUMMYFUNCTION("""COMPUTED_VALUE"""),"C#")</f>
        <v>C#</v>
      </c>
      <c r="D3225" s="9" t="str">
        <f>IFERROR(__xludf.DUMMYFUNCTION("""COMPUTED_VALUE"""),"Java")</f>
        <v>Java</v>
      </c>
      <c r="E3225" s="9" t="str">
        <f>IFERROR(__xludf.DUMMYFUNCTION("""COMPUTED_VALUE"""),"PHP")</f>
        <v>PHP</v>
      </c>
      <c r="F3225" s="9" t="str">
        <f>IFERROR(__xludf.DUMMYFUNCTION("""COMPUTED_VALUE"""),"Python")</f>
        <v>Python</v>
      </c>
      <c r="G3225" s="9" t="str">
        <f>IFERROR(__xludf.DUMMYFUNCTION("""COMPUTED_VALUE"""),"JavaScript")</f>
        <v>JavaScript</v>
      </c>
      <c r="H3225" s="9" t="str">
        <f>IFERROR(__xludf.DUMMYFUNCTION("""COMPUTED_VALUE"""),"Other(s):")</f>
        <v>Other(s):</v>
      </c>
      <c r="I3225" s="9" t="str">
        <f>IFERROR(__xludf.DUMMYFUNCTION("""COMPUTED_VALUE"""),"SQL")</f>
        <v>SQL</v>
      </c>
      <c r="J3225" s="9" t="str">
        <f>IFERROR(__xludf.DUMMYFUNCTION("""COMPUTED_VALUE"""),"SQL")</f>
        <v>SQL</v>
      </c>
      <c r="K3225" s="9" t="str">
        <f>IFERROR(__xludf.DUMMYFUNCTION("""COMPUTED_VALUE"""),"Rust")</f>
        <v>Rust</v>
      </c>
      <c r="L3225" s="9" t="str">
        <f>IFERROR(__xludf.DUMMYFUNCTION("""COMPUTED_VALUE"""),"Java")</f>
        <v>Java</v>
      </c>
      <c r="M3225" s="9" t="s">
        <v>26</v>
      </c>
    </row>
    <row r="3226" ht="15.75" customHeight="1">
      <c r="A3226" s="7"/>
      <c r="B3226" s="7" t="str">
        <f>IFERROR(__xludf.DUMMYFUNCTION("""COMPUTED_VALUE"""),"Dart;Java;Kotlin;PHP;Python")</f>
        <v>Dart;Java;Kotlin;PHP;Python</v>
      </c>
      <c r="C3226" s="9" t="str">
        <f>IFERROR(__xludf.DUMMYFUNCTION("""COMPUTED_VALUE"""),"HTML/CSS")</f>
        <v>HTML/CSS</v>
      </c>
      <c r="D3226" s="9" t="str">
        <f>IFERROR(__xludf.DUMMYFUNCTION("""COMPUTED_VALUE"""),"JavaScript")</f>
        <v>JavaScript</v>
      </c>
      <c r="E3226" s="9" t="str">
        <f>IFERROR(__xludf.DUMMYFUNCTION("""COMPUTED_VALUE"""),"Python")</f>
        <v>Python</v>
      </c>
      <c r="F3226" s="9" t="str">
        <f>IFERROR(__xludf.DUMMYFUNCTION("""COMPUTED_VALUE"""),"SQL")</f>
        <v>SQL</v>
      </c>
      <c r="G3226" s="9" t="str">
        <f>IFERROR(__xludf.DUMMYFUNCTION("""COMPUTED_VALUE"""),"C#")</f>
        <v>C#</v>
      </c>
      <c r="H3226" s="9" t="str">
        <f>IFERROR(__xludf.DUMMYFUNCTION("""COMPUTED_VALUE"""),"Bash/Shell/PowerShell")</f>
        <v>Bash/Shell/PowerShell</v>
      </c>
      <c r="I3226" s="9" t="str">
        <f>IFERROR(__xludf.DUMMYFUNCTION("""COMPUTED_VALUE"""),"HTML/CSS")</f>
        <v>HTML/CSS</v>
      </c>
      <c r="J3226" s="9" t="str">
        <f>IFERROR(__xludf.DUMMYFUNCTION("""COMPUTED_VALUE"""),"Other(s):")</f>
        <v>Other(s):</v>
      </c>
      <c r="K3226" s="9" t="str">
        <f>IFERROR(__xludf.DUMMYFUNCTION("""COMPUTED_VALUE"""),"SQL")</f>
        <v>SQL</v>
      </c>
      <c r="L3226" s="9" t="str">
        <f>IFERROR(__xludf.DUMMYFUNCTION("""COMPUTED_VALUE"""),"SQL")</f>
        <v>SQL</v>
      </c>
      <c r="M3226" s="9" t="s">
        <v>24</v>
      </c>
    </row>
    <row r="3227" ht="15.75" customHeight="1">
      <c r="A3227" s="7"/>
      <c r="B3227" s="7" t="str">
        <f>IFERROR(__xludf.DUMMYFUNCTION("""COMPUTED_VALUE"""),"C#;SQL")</f>
        <v>C#;SQL</v>
      </c>
      <c r="C3227" s="9" t="str">
        <f>IFERROR(__xludf.DUMMYFUNCTION("""COMPUTED_VALUE"""),"JavaScript")</f>
        <v>JavaScript</v>
      </c>
      <c r="D3227" s="9" t="str">
        <f>IFERROR(__xludf.DUMMYFUNCTION("""COMPUTED_VALUE"""),"PHP")</f>
        <v>PHP</v>
      </c>
      <c r="E3227" s="9" t="str">
        <f>IFERROR(__xludf.DUMMYFUNCTION("""COMPUTED_VALUE"""),"Rust")</f>
        <v>Rust</v>
      </c>
      <c r="F3227" s="9" t="str">
        <f>IFERROR(__xludf.DUMMYFUNCTION("""COMPUTED_VALUE"""),"C#")</f>
        <v>C#</v>
      </c>
      <c r="G3227" s="9" t="str">
        <f>IFERROR(__xludf.DUMMYFUNCTION("""COMPUTED_VALUE"""),"HTML/CSS")</f>
        <v>HTML/CSS</v>
      </c>
      <c r="H3227" s="9" t="str">
        <f>IFERROR(__xludf.DUMMYFUNCTION("""COMPUTED_VALUE"""),"HTML/CSS")</f>
        <v>HTML/CSS</v>
      </c>
      <c r="I3227" s="9" t="str">
        <f>IFERROR(__xludf.DUMMYFUNCTION("""COMPUTED_VALUE"""),"Java")</f>
        <v>Java</v>
      </c>
      <c r="J3227" s="9" t="str">
        <f>IFERROR(__xludf.DUMMYFUNCTION("""COMPUTED_VALUE"""),"Bash/Shell/PowerShell")</f>
        <v>Bash/Shell/PowerShell</v>
      </c>
      <c r="K3227" s="9" t="str">
        <f>IFERROR(__xludf.DUMMYFUNCTION("""COMPUTED_VALUE"""),"HTML/CSS")</f>
        <v>HTML/CSS</v>
      </c>
      <c r="L3227" s="9" t="str">
        <f>IFERROR(__xludf.DUMMYFUNCTION("""COMPUTED_VALUE"""),"Bash/Shell/PowerShell")</f>
        <v>Bash/Shell/PowerShell</v>
      </c>
      <c r="M3227" s="9" t="s">
        <v>21</v>
      </c>
    </row>
    <row r="3228" ht="15.75" customHeight="1">
      <c r="A3228" s="7"/>
      <c r="B3228" s="7" t="str">
        <f>IFERROR(__xludf.DUMMYFUNCTION("""COMPUTED_VALUE"""),"C++;C#;HTML/CSS;Java;JavaScript;Python")</f>
        <v>C++;C#;HTML/CSS;Java;JavaScript;Python</v>
      </c>
      <c r="C3228" s="9" t="str">
        <f>IFERROR(__xludf.DUMMYFUNCTION("""COMPUTED_VALUE"""),"Kotlin")</f>
        <v>Kotlin</v>
      </c>
      <c r="D3228" s="9" t="str">
        <f>IFERROR(__xludf.DUMMYFUNCTION("""COMPUTED_VALUE"""),"Python")</f>
        <v>Python</v>
      </c>
      <c r="E3228" s="9" t="str">
        <f>IFERROR(__xludf.DUMMYFUNCTION("""COMPUTED_VALUE"""),"SQL")</f>
        <v>SQL</v>
      </c>
      <c r="F3228" s="9" t="str">
        <f>IFERROR(__xludf.DUMMYFUNCTION("""COMPUTED_VALUE"""),"Dart")</f>
        <v>Dart</v>
      </c>
      <c r="G3228" s="9" t="str">
        <f>IFERROR(__xludf.DUMMYFUNCTION("""COMPUTED_VALUE"""),"JavaScript")</f>
        <v>JavaScript</v>
      </c>
      <c r="H3228" s="9" t="str">
        <f>IFERROR(__xludf.DUMMYFUNCTION("""COMPUTED_VALUE"""),"JavaScript")</f>
        <v>JavaScript</v>
      </c>
      <c r="I3228" s="9" t="str">
        <f>IFERROR(__xludf.DUMMYFUNCTION("""COMPUTED_VALUE"""),"JavaScript")</f>
        <v>JavaScript</v>
      </c>
      <c r="J3228" s="9" t="str">
        <f>IFERROR(__xludf.DUMMYFUNCTION("""COMPUTED_VALUE"""),"HTML/CSS")</f>
        <v>HTML/CSS</v>
      </c>
      <c r="K3228" s="9" t="str">
        <f>IFERROR(__xludf.DUMMYFUNCTION("""COMPUTED_VALUE"""),"JavaScript")</f>
        <v>JavaScript</v>
      </c>
      <c r="L3228" s="9" t="str">
        <f>IFERROR(__xludf.DUMMYFUNCTION("""COMPUTED_VALUE"""),"HTML/CSS")</f>
        <v>HTML/CSS</v>
      </c>
      <c r="M3228" s="9" t="s">
        <v>39</v>
      </c>
    </row>
    <row r="3229" ht="15.75" customHeight="1">
      <c r="A3229" s="7"/>
      <c r="B3229" s="7" t="str">
        <f>IFERROR(__xludf.DUMMYFUNCTION("""COMPUTED_VALUE"""),"HTML/CSS;JavaScript;Python;Ruby;SQL;TypeScript")</f>
        <v>HTML/CSS;JavaScript;Python;Ruby;SQL;TypeScript</v>
      </c>
      <c r="C3229" s="9" t="str">
        <f>IFERROR(__xludf.DUMMYFUNCTION("""COMPUTED_VALUE"""),"Objective-C")</f>
        <v>Objective-C</v>
      </c>
      <c r="D3229" s="9" t="str">
        <f>IFERROR(__xludf.DUMMYFUNCTION("""COMPUTED_VALUE"""),"Ruby")</f>
        <v>Ruby</v>
      </c>
      <c r="E3229" s="9" t="str">
        <f>IFERROR(__xludf.DUMMYFUNCTION("""COMPUTED_VALUE"""),"TypeScript")</f>
        <v>TypeScript</v>
      </c>
      <c r="F3229" s="9" t="str">
        <f>IFERROR(__xludf.DUMMYFUNCTION("""COMPUTED_VALUE"""),"F#")</f>
        <v>F#</v>
      </c>
      <c r="G3229" s="9" t="str">
        <f>IFERROR(__xludf.DUMMYFUNCTION("""COMPUTED_VALUE"""),"Objective-C")</f>
        <v>Objective-C</v>
      </c>
      <c r="H3229" s="9" t="str">
        <f>IFERROR(__xludf.DUMMYFUNCTION("""COMPUTED_VALUE"""),"PHP")</f>
        <v>PHP</v>
      </c>
      <c r="I3229" s="9" t="str">
        <f>IFERROR(__xludf.DUMMYFUNCTION("""COMPUTED_VALUE"""),"SQL")</f>
        <v>SQL</v>
      </c>
      <c r="J3229" s="9" t="str">
        <f>IFERROR(__xludf.DUMMYFUNCTION("""COMPUTED_VALUE"""),"Java")</f>
        <v>Java</v>
      </c>
      <c r="K3229" s="9" t="str">
        <f>IFERROR(__xludf.DUMMYFUNCTION("""COMPUTED_VALUE"""),"PHP")</f>
        <v>PHP</v>
      </c>
      <c r="L3229" s="9" t="str">
        <f>IFERROR(__xludf.DUMMYFUNCTION("""COMPUTED_VALUE"""),"Java")</f>
        <v>Java</v>
      </c>
      <c r="M3229" s="9" t="s">
        <v>41</v>
      </c>
    </row>
    <row r="3230" ht="15.75" customHeight="1">
      <c r="A3230" s="7"/>
      <c r="B3230" s="7" t="str">
        <f>IFERROR(__xludf.DUMMYFUNCTION("""COMPUTED_VALUE"""),"Bash/Shell/PowerShell;HTML/CSS;Python;R;SQL")</f>
        <v>Bash/Shell/PowerShell;HTML/CSS;Python;R;SQL</v>
      </c>
      <c r="C3230" s="9" t="str">
        <f>IFERROR(__xludf.DUMMYFUNCTION("""COMPUTED_VALUE"""),"PHP")</f>
        <v>PHP</v>
      </c>
      <c r="D3230" s="9" t="str">
        <f>IFERROR(__xludf.DUMMYFUNCTION("""COMPUTED_VALUE"""),"SQL")</f>
        <v>SQL</v>
      </c>
      <c r="E3230" s="9" t="str">
        <f>IFERROR(__xludf.DUMMYFUNCTION("""COMPUTED_VALUE"""),"C#")</f>
        <v>C#</v>
      </c>
      <c r="F3230" s="9" t="str">
        <f>IFERROR(__xludf.DUMMYFUNCTION("""COMPUTED_VALUE"""),"HTML/CSS")</f>
        <v>HTML/CSS</v>
      </c>
      <c r="G3230" s="9" t="str">
        <f>IFERROR(__xludf.DUMMYFUNCTION("""COMPUTED_VALUE"""),"SQL")</f>
        <v>SQL</v>
      </c>
      <c r="H3230" s="9" t="str">
        <f>IFERROR(__xludf.DUMMYFUNCTION("""COMPUTED_VALUE"""),"SQL")</f>
        <v>SQL</v>
      </c>
      <c r="I3230" s="9" t="str">
        <f>IFERROR(__xludf.DUMMYFUNCTION("""COMPUTED_VALUE"""),"HTML/CSS")</f>
        <v>HTML/CSS</v>
      </c>
      <c r="J3230" s="9" t="str">
        <f>IFERROR(__xludf.DUMMYFUNCTION("""COMPUTED_VALUE"""),"JavaScript")</f>
        <v>JavaScript</v>
      </c>
      <c r="K3230" s="9" t="str">
        <f>IFERROR(__xludf.DUMMYFUNCTION("""COMPUTED_VALUE"""),"SQL")</f>
        <v>SQL</v>
      </c>
      <c r="L3230" s="9" t="str">
        <f>IFERROR(__xludf.DUMMYFUNCTION("""COMPUTED_VALUE"""),"JavaScript")</f>
        <v>JavaScript</v>
      </c>
      <c r="M3230" s="9" t="s">
        <v>37</v>
      </c>
    </row>
    <row r="3231" ht="15.75" customHeight="1">
      <c r="A3231" s="7"/>
      <c r="B3231" s="7" t="str">
        <f>IFERROR(__xludf.DUMMYFUNCTION("""COMPUTED_VALUE"""),"HTML/CSS;Java;JavaScript;PHP;Python")</f>
        <v>HTML/CSS;Java;JavaScript;PHP;Python</v>
      </c>
      <c r="C3231" s="9" t="str">
        <f>IFERROR(__xludf.DUMMYFUNCTION("""COMPUTED_VALUE"""),"SQL")</f>
        <v>SQL</v>
      </c>
      <c r="D3231" s="9" t="str">
        <f>IFERROR(__xludf.DUMMYFUNCTION("""COMPUTED_VALUE"""),"TypeScript")</f>
        <v>TypeScript</v>
      </c>
      <c r="E3231" s="9" t="str">
        <f>IFERROR(__xludf.DUMMYFUNCTION("""COMPUTED_VALUE"""),"Java")</f>
        <v>Java</v>
      </c>
      <c r="F3231" s="9" t="str">
        <f>IFERROR(__xludf.DUMMYFUNCTION("""COMPUTED_VALUE"""),"Java")</f>
        <v>Java</v>
      </c>
      <c r="G3231" s="9" t="str">
        <f>IFERROR(__xludf.DUMMYFUNCTION("""COMPUTED_VALUE"""),"TypeScript")</f>
        <v>TypeScript</v>
      </c>
      <c r="H3231" s="9" t="str">
        <f>IFERROR(__xludf.DUMMYFUNCTION("""COMPUTED_VALUE"""),"C")</f>
        <v>C</v>
      </c>
      <c r="I3231" s="9" t="str">
        <f>IFERROR(__xludf.DUMMYFUNCTION("""COMPUTED_VALUE"""),"Java")</f>
        <v>Java</v>
      </c>
      <c r="J3231" s="9" t="str">
        <f>IFERROR(__xludf.DUMMYFUNCTION("""COMPUTED_VALUE"""),"Scala")</f>
        <v>Scala</v>
      </c>
      <c r="K3231" s="9" t="str">
        <f>IFERROR(__xludf.DUMMYFUNCTION("""COMPUTED_VALUE"""),"Assembly")</f>
        <v>Assembly</v>
      </c>
      <c r="L3231" s="9" t="str">
        <f>IFERROR(__xludf.DUMMYFUNCTION("""COMPUTED_VALUE"""),"TypeScript")</f>
        <v>TypeScript</v>
      </c>
      <c r="M3231" s="9" t="s">
        <v>27</v>
      </c>
    </row>
    <row r="3232" ht="15.75" customHeight="1">
      <c r="A3232" s="7"/>
      <c r="B3232" s="7" t="str">
        <f>IFERROR(__xludf.DUMMYFUNCTION("""COMPUTED_VALUE"""),"Assembly;C;C++;JavaScript;Python")</f>
        <v>Assembly;C;C++;JavaScript;Python</v>
      </c>
      <c r="C3232" s="9" t="str">
        <f>IFERROR(__xludf.DUMMYFUNCTION("""COMPUTED_VALUE"""),"Swift")</f>
        <v>Swift</v>
      </c>
      <c r="D3232" s="9" t="str">
        <f>IFERROR(__xludf.DUMMYFUNCTION("""COMPUTED_VALUE"""),"Bash/Shell/PowerShell")</f>
        <v>Bash/Shell/PowerShell</v>
      </c>
      <c r="E3232" s="9" t="str">
        <f>IFERROR(__xludf.DUMMYFUNCTION("""COMPUTED_VALUE"""),"JavaScript")</f>
        <v>JavaScript</v>
      </c>
      <c r="F3232" s="9" t="str">
        <f>IFERROR(__xludf.DUMMYFUNCTION("""COMPUTED_VALUE"""),"JavaScript")</f>
        <v>JavaScript</v>
      </c>
      <c r="G3232" s="9" t="str">
        <f>IFERROR(__xludf.DUMMYFUNCTION("""COMPUTED_VALUE"""),"HTML/CSS")</f>
        <v>HTML/CSS</v>
      </c>
      <c r="H3232" s="9" t="str">
        <f>IFERROR(__xludf.DUMMYFUNCTION("""COMPUTED_VALUE"""),"HTML/CSS")</f>
        <v>HTML/CSS</v>
      </c>
      <c r="I3232" s="9" t="str">
        <f>IFERROR(__xludf.DUMMYFUNCTION("""COMPUTED_VALUE"""),"JavaScript")</f>
        <v>JavaScript</v>
      </c>
      <c r="J3232" s="9" t="str">
        <f>IFERROR(__xludf.DUMMYFUNCTION("""COMPUTED_VALUE"""),"SQL")</f>
        <v>SQL</v>
      </c>
      <c r="K3232" s="9" t="str">
        <f>IFERROR(__xludf.DUMMYFUNCTION("""COMPUTED_VALUE"""),"C#")</f>
        <v>C#</v>
      </c>
      <c r="L3232" s="9" t="str">
        <f>IFERROR(__xludf.DUMMYFUNCTION("""COMPUTED_VALUE"""),"Bash/Shell/PowerShell")</f>
        <v>Bash/Shell/PowerShell</v>
      </c>
      <c r="M3232" s="9" t="s">
        <v>40</v>
      </c>
    </row>
    <row r="3233" ht="15.75" customHeight="1">
      <c r="A3233" s="7"/>
      <c r="B3233" s="7" t="str">
        <f>IFERROR(__xludf.DUMMYFUNCTION("""COMPUTED_VALUE"""),"Bash/Shell/PowerShell;C;C++;C#;HTML/CSS;Java;JavaScript;PHP;SQL;TypeScript")</f>
        <v>Bash/Shell/PowerShell;C;C++;C#;HTML/CSS;Java;JavaScript;PHP;SQL;TypeScript</v>
      </c>
      <c r="C3233" s="9" t="str">
        <f>IFERROR(__xludf.DUMMYFUNCTION("""COMPUTED_VALUE"""),"Clojure")</f>
        <v>Clojure</v>
      </c>
      <c r="D3233" s="9" t="str">
        <f>IFERROR(__xludf.DUMMYFUNCTION("""COMPUTED_VALUE"""),"C")</f>
        <v>C</v>
      </c>
      <c r="E3233" s="9" t="str">
        <f>IFERROR(__xludf.DUMMYFUNCTION("""COMPUTED_VALUE"""),"TypeScript")</f>
        <v>TypeScript</v>
      </c>
      <c r="F3233" s="9" t="str">
        <f>IFERROR(__xludf.DUMMYFUNCTION("""COMPUTED_VALUE"""),"Python")</f>
        <v>Python</v>
      </c>
      <c r="G3233" s="9" t="str">
        <f>IFERROR(__xludf.DUMMYFUNCTION("""COMPUTED_VALUE"""),"PHP")</f>
        <v>PHP</v>
      </c>
      <c r="H3233" s="9" t="str">
        <f>IFERROR(__xludf.DUMMYFUNCTION("""COMPUTED_VALUE"""),"Java")</f>
        <v>Java</v>
      </c>
      <c r="I3233" s="9" t="str">
        <f>IFERROR(__xludf.DUMMYFUNCTION("""COMPUTED_VALUE"""),"C")</f>
        <v>C</v>
      </c>
      <c r="J3233" s="9" t="str">
        <f>IFERROR(__xludf.DUMMYFUNCTION("""COMPUTED_VALUE"""),"Other(s):")</f>
        <v>Other(s):</v>
      </c>
      <c r="K3233" s="9" t="str">
        <f>IFERROR(__xludf.DUMMYFUNCTION("""COMPUTED_VALUE"""),"HTML/CSS")</f>
        <v>HTML/CSS</v>
      </c>
      <c r="L3233" s="9" t="str">
        <f>IFERROR(__xludf.DUMMYFUNCTION("""COMPUTED_VALUE"""),"C")</f>
        <v>C</v>
      </c>
      <c r="M3233" s="9" t="s">
        <v>44</v>
      </c>
    </row>
    <row r="3234" ht="15.75" customHeight="1">
      <c r="A3234" s="7"/>
      <c r="B3234" s="7" t="str">
        <f>IFERROR(__xludf.DUMMYFUNCTION("""COMPUTED_VALUE"""),"C++;HTML/CSS;Python")</f>
        <v>C++;HTML/CSS;Python</v>
      </c>
      <c r="C3234" s="9" t="str">
        <f>IFERROR(__xludf.DUMMYFUNCTION("""COMPUTED_VALUE"""),"HTML/CSS")</f>
        <v>HTML/CSS</v>
      </c>
      <c r="D3234" s="9" t="str">
        <f>IFERROR(__xludf.DUMMYFUNCTION("""COMPUTED_VALUE"""),"HTML/CSS")</f>
        <v>HTML/CSS</v>
      </c>
      <c r="E3234" s="9" t="str">
        <f>IFERROR(__xludf.DUMMYFUNCTION("""COMPUTED_VALUE"""),"Java")</f>
        <v>Java</v>
      </c>
      <c r="F3234" s="9" t="str">
        <f>IFERROR(__xludf.DUMMYFUNCTION("""COMPUTED_VALUE"""),"SQL")</f>
        <v>SQL</v>
      </c>
      <c r="G3234" s="9" t="str">
        <f>IFERROR(__xludf.DUMMYFUNCTION("""COMPUTED_VALUE"""),"SQL")</f>
        <v>SQL</v>
      </c>
      <c r="H3234" s="9" t="str">
        <f>IFERROR(__xludf.DUMMYFUNCTION("""COMPUTED_VALUE"""),"JavaScript")</f>
        <v>JavaScript</v>
      </c>
      <c r="I3234" s="9" t="str">
        <f>IFERROR(__xludf.DUMMYFUNCTION("""COMPUTED_VALUE"""),"HTML/CSS")</f>
        <v>HTML/CSS</v>
      </c>
      <c r="J3234" s="9" t="str">
        <f>IFERROR(__xludf.DUMMYFUNCTION("""COMPUTED_VALUE"""),"JavaScript")</f>
        <v>JavaScript</v>
      </c>
      <c r="K3234" s="9" t="str">
        <f>IFERROR(__xludf.DUMMYFUNCTION("""COMPUTED_VALUE"""),"Java")</f>
        <v>Java</v>
      </c>
      <c r="L3234" s="9" t="str">
        <f>IFERROR(__xludf.DUMMYFUNCTION("""COMPUTED_VALUE"""),"C++")</f>
        <v>C++</v>
      </c>
      <c r="M3234" s="9" t="s">
        <v>24</v>
      </c>
    </row>
    <row r="3235" ht="15.75" customHeight="1">
      <c r="A3235" s="7"/>
      <c r="B3235" s="7" t="str">
        <f>IFERROR(__xludf.DUMMYFUNCTION("""COMPUTED_VALUE"""),"Bash/Shell/PowerShell;C++;C#;F#;HTML/CSS;Python;SQL;TypeScript;Other(s):")</f>
        <v>Bash/Shell/PowerShell;C++;C#;F#;HTML/CSS;Python;SQL;TypeScript;Other(s):</v>
      </c>
      <c r="C3235" s="9" t="str">
        <f>IFERROR(__xludf.DUMMYFUNCTION("""COMPUTED_VALUE"""),"Java")</f>
        <v>Java</v>
      </c>
      <c r="D3235" s="9" t="str">
        <f>IFERROR(__xludf.DUMMYFUNCTION("""COMPUTED_VALUE"""),"JavaScript")</f>
        <v>JavaScript</v>
      </c>
      <c r="E3235" s="9" t="str">
        <f>IFERROR(__xludf.DUMMYFUNCTION("""COMPUTED_VALUE"""),"JavaScript")</f>
        <v>JavaScript</v>
      </c>
      <c r="F3235" s="9" t="str">
        <f>IFERROR(__xludf.DUMMYFUNCTION("""COMPUTED_VALUE"""),"Bash/Shell/PowerShell")</f>
        <v>Bash/Shell/PowerShell</v>
      </c>
      <c r="G3235" s="9" t="str">
        <f>IFERROR(__xludf.DUMMYFUNCTION("""COMPUTED_VALUE"""),"C#")</f>
        <v>C#</v>
      </c>
      <c r="H3235" s="9" t="str">
        <f>IFERROR(__xludf.DUMMYFUNCTION("""COMPUTED_VALUE"""),"PHP")</f>
        <v>PHP</v>
      </c>
      <c r="I3235" s="9" t="str">
        <f>IFERROR(__xludf.DUMMYFUNCTION("""COMPUTED_VALUE"""),"PHP")</f>
        <v>PHP</v>
      </c>
      <c r="J3235" s="9" t="str">
        <f>IFERROR(__xludf.DUMMYFUNCTION("""COMPUTED_VALUE"""),"Objective-C")</f>
        <v>Objective-C</v>
      </c>
      <c r="K3235" s="9" t="str">
        <f>IFERROR(__xludf.DUMMYFUNCTION("""COMPUTED_VALUE"""),"JavaScript")</f>
        <v>JavaScript</v>
      </c>
      <c r="L3235" s="9" t="str">
        <f>IFERROR(__xludf.DUMMYFUNCTION("""COMPUTED_VALUE"""),"Go")</f>
        <v>Go</v>
      </c>
      <c r="M3235" s="9" t="s">
        <v>20</v>
      </c>
    </row>
    <row r="3236" ht="15.75" customHeight="1">
      <c r="A3236" s="7"/>
      <c r="B3236" s="7" t="str">
        <f>IFERROR(__xludf.DUMMYFUNCTION("""COMPUTED_VALUE"""),"Clojure;HTML/CSS")</f>
        <v>Clojure;HTML/CSS</v>
      </c>
      <c r="C3236" s="9" t="str">
        <f>IFERROR(__xludf.DUMMYFUNCTION("""COMPUTED_VALUE"""),"JavaScript")</f>
        <v>JavaScript</v>
      </c>
      <c r="D3236" s="9" t="str">
        <f>IFERROR(__xludf.DUMMYFUNCTION("""COMPUTED_VALUE"""),"Python")</f>
        <v>Python</v>
      </c>
      <c r="E3236" s="9" t="str">
        <f>IFERROR(__xludf.DUMMYFUNCTION("""COMPUTED_VALUE"""),"Bash/Shell/PowerShell")</f>
        <v>Bash/Shell/PowerShell</v>
      </c>
      <c r="F3236" s="9" t="str">
        <f>IFERROR(__xludf.DUMMYFUNCTION("""COMPUTED_VALUE"""),"C")</f>
        <v>C</v>
      </c>
      <c r="G3236" s="9" t="str">
        <f>IFERROR(__xludf.DUMMYFUNCTION("""COMPUTED_VALUE"""),"HTML/CSS")</f>
        <v>HTML/CSS</v>
      </c>
      <c r="H3236" s="9" t="str">
        <f>IFERROR(__xludf.DUMMYFUNCTION("""COMPUTED_VALUE"""),"Python")</f>
        <v>Python</v>
      </c>
      <c r="I3236" s="9" t="str">
        <f>IFERROR(__xludf.DUMMYFUNCTION("""COMPUTED_VALUE"""),"Python")</f>
        <v>Python</v>
      </c>
      <c r="J3236" s="9" t="str">
        <f>IFERROR(__xludf.DUMMYFUNCTION("""COMPUTED_VALUE"""),"PHP")</f>
        <v>PHP</v>
      </c>
      <c r="K3236" s="9" t="str">
        <f>IFERROR(__xludf.DUMMYFUNCTION("""COMPUTED_VALUE"""),"PHP")</f>
        <v>PHP</v>
      </c>
      <c r="L3236" s="9" t="str">
        <f>IFERROR(__xludf.DUMMYFUNCTION("""COMPUTED_VALUE"""),"HTML/CSS")</f>
        <v>HTML/CSS</v>
      </c>
      <c r="M3236" s="9" t="s">
        <v>21</v>
      </c>
    </row>
    <row r="3237" ht="15.75" customHeight="1">
      <c r="A3237" s="7"/>
      <c r="B3237" s="7" t="str">
        <f>IFERROR(__xludf.DUMMYFUNCTION("""COMPUTED_VALUE"""),"C++")</f>
        <v>C++</v>
      </c>
      <c r="C3237" s="9" t="str">
        <f>IFERROR(__xludf.DUMMYFUNCTION("""COMPUTED_VALUE"""),"Assembly")</f>
        <v>Assembly</v>
      </c>
      <c r="D3237" s="9" t="str">
        <f>IFERROR(__xludf.DUMMYFUNCTION("""COMPUTED_VALUE"""),"Rust")</f>
        <v>Rust</v>
      </c>
      <c r="E3237" s="9" t="str">
        <f>IFERROR(__xludf.DUMMYFUNCTION("""COMPUTED_VALUE"""),"C#")</f>
        <v>C#</v>
      </c>
      <c r="F3237" s="9" t="str">
        <f>IFERROR(__xludf.DUMMYFUNCTION("""COMPUTED_VALUE"""),"C++")</f>
        <v>C++</v>
      </c>
      <c r="G3237" s="9" t="str">
        <f>IFERROR(__xludf.DUMMYFUNCTION("""COMPUTED_VALUE"""),"JavaScript")</f>
        <v>JavaScript</v>
      </c>
      <c r="H3237" s="9" t="str">
        <f>IFERROR(__xludf.DUMMYFUNCTION("""COMPUTED_VALUE"""),"SQL")</f>
        <v>SQL</v>
      </c>
      <c r="I3237" s="9" t="str">
        <f>IFERROR(__xludf.DUMMYFUNCTION("""COMPUTED_VALUE"""),"HTML/CSS")</f>
        <v>HTML/CSS</v>
      </c>
      <c r="J3237" s="9" t="str">
        <f>IFERROR(__xludf.DUMMYFUNCTION("""COMPUTED_VALUE"""),"Python")</f>
        <v>Python</v>
      </c>
      <c r="K3237" s="9" t="str">
        <f>IFERROR(__xludf.DUMMYFUNCTION("""COMPUTED_VALUE"""),"SQL")</f>
        <v>SQL</v>
      </c>
      <c r="L3237" s="9" t="str">
        <f>IFERROR(__xludf.DUMMYFUNCTION("""COMPUTED_VALUE"""),"JavaScript")</f>
        <v>JavaScript</v>
      </c>
      <c r="M3237" s="9" t="s">
        <v>38</v>
      </c>
    </row>
    <row r="3238" ht="15.75" customHeight="1">
      <c r="A3238" s="7"/>
      <c r="B3238" s="7" t="str">
        <f>IFERROR(__xludf.DUMMYFUNCTION("""COMPUTED_VALUE"""),"Assembly;C;C++;HTML/CSS;Java;JavaScript;PHP;Python;R;SQL")</f>
        <v>Assembly;C;C++;HTML/CSS;Java;JavaScript;PHP;Python;R;SQL</v>
      </c>
      <c r="C3238" s="9" t="str">
        <f>IFERROR(__xludf.DUMMYFUNCTION("""COMPUTED_VALUE"""),"C++")</f>
        <v>C++</v>
      </c>
      <c r="D3238" s="9" t="str">
        <f>IFERROR(__xludf.DUMMYFUNCTION("""COMPUTED_VALUE"""),"C")</f>
        <v>C</v>
      </c>
      <c r="E3238" s="9" t="str">
        <f>IFERROR(__xludf.DUMMYFUNCTION("""COMPUTED_VALUE"""),"JavaScript")</f>
        <v>JavaScript</v>
      </c>
      <c r="F3238" s="9" t="str">
        <f>IFERROR(__xludf.DUMMYFUNCTION("""COMPUTED_VALUE"""),"HTML/CSS")</f>
        <v>HTML/CSS</v>
      </c>
      <c r="G3238" s="9" t="str">
        <f>IFERROR(__xludf.DUMMYFUNCTION("""COMPUTED_VALUE"""),"SQL")</f>
        <v>SQL</v>
      </c>
      <c r="H3238" s="9" t="str">
        <f>IFERROR(__xludf.DUMMYFUNCTION("""COMPUTED_VALUE"""),"Bash/Shell/PowerShell")</f>
        <v>Bash/Shell/PowerShell</v>
      </c>
      <c r="I3238" s="9" t="str">
        <f>IFERROR(__xludf.DUMMYFUNCTION("""COMPUTED_VALUE"""),"Java")</f>
        <v>Java</v>
      </c>
      <c r="J3238" s="9" t="str">
        <f>IFERROR(__xludf.DUMMYFUNCTION("""COMPUTED_VALUE"""),"SQL")</f>
        <v>SQL</v>
      </c>
      <c r="K3238" s="9" t="str">
        <f>IFERROR(__xludf.DUMMYFUNCTION("""COMPUTED_VALUE"""),"TypeScript")</f>
        <v>TypeScript</v>
      </c>
      <c r="L3238" s="9" t="str">
        <f>IFERROR(__xludf.DUMMYFUNCTION("""COMPUTED_VALUE"""),"TypeScript")</f>
        <v>TypeScript</v>
      </c>
      <c r="M3238" s="9" t="s">
        <v>23</v>
      </c>
    </row>
    <row r="3239" ht="15.75" customHeight="1">
      <c r="A3239" s="7"/>
      <c r="B3239" s="7" t="str">
        <f>IFERROR(__xludf.DUMMYFUNCTION("""COMPUTED_VALUE"""),"HTML/CSS;JavaScript;TypeScript")</f>
        <v>HTML/CSS;JavaScript;TypeScript</v>
      </c>
      <c r="C3239" s="9" t="str">
        <f>IFERROR(__xludf.DUMMYFUNCTION("""COMPUTED_VALUE"""),"C#")</f>
        <v>C#</v>
      </c>
      <c r="D3239" s="9" t="str">
        <f>IFERROR(__xludf.DUMMYFUNCTION("""COMPUTED_VALUE"""),"C++")</f>
        <v>C++</v>
      </c>
      <c r="E3239" s="9" t="str">
        <f>IFERROR(__xludf.DUMMYFUNCTION("""COMPUTED_VALUE"""),"SQL")</f>
        <v>SQL</v>
      </c>
      <c r="F3239" s="9" t="str">
        <f>IFERROR(__xludf.DUMMYFUNCTION("""COMPUTED_VALUE"""),"Java")</f>
        <v>Java</v>
      </c>
      <c r="G3239" s="9" t="str">
        <f>IFERROR(__xludf.DUMMYFUNCTION("""COMPUTED_VALUE"""),"Bash/Shell/PowerShell")</f>
        <v>Bash/Shell/PowerShell</v>
      </c>
      <c r="H3239" s="9" t="str">
        <f>IFERROR(__xludf.DUMMYFUNCTION("""COMPUTED_VALUE"""),"Go")</f>
        <v>Go</v>
      </c>
      <c r="I3239" s="9" t="str">
        <f>IFERROR(__xludf.DUMMYFUNCTION("""COMPUTED_VALUE"""),"JavaScript")</f>
        <v>JavaScript</v>
      </c>
      <c r="J3239" s="9" t="str">
        <f>IFERROR(__xludf.DUMMYFUNCTION("""COMPUTED_VALUE"""),"Swift")</f>
        <v>Swift</v>
      </c>
      <c r="K3239" s="9" t="str">
        <f>IFERROR(__xludf.DUMMYFUNCTION("""COMPUTED_VALUE"""),"C#")</f>
        <v>C#</v>
      </c>
      <c r="L3239" s="9" t="str">
        <f>IFERROR(__xludf.DUMMYFUNCTION("""COMPUTED_VALUE"""),"Other(s):")</f>
        <v>Other(s):</v>
      </c>
      <c r="M3239" s="9" t="s">
        <v>26</v>
      </c>
    </row>
    <row r="3240" ht="15.75" customHeight="1">
      <c r="A3240" s="7"/>
      <c r="B3240" s="7" t="str">
        <f>IFERROR(__xludf.DUMMYFUNCTION("""COMPUTED_VALUE"""),"Bash/Shell/PowerShell;C#;HTML/CSS;JavaScript;Python")</f>
        <v>Bash/Shell/PowerShell;C#;HTML/CSS;JavaScript;Python</v>
      </c>
      <c r="C3240" s="9" t="str">
        <f>IFERROR(__xludf.DUMMYFUNCTION("""COMPUTED_VALUE"""),"Java")</f>
        <v>Java</v>
      </c>
      <c r="D3240" s="9" t="str">
        <f>IFERROR(__xludf.DUMMYFUNCTION("""COMPUTED_VALUE"""),"Go")</f>
        <v>Go</v>
      </c>
      <c r="E3240" s="9" t="str">
        <f>IFERROR(__xludf.DUMMYFUNCTION("""COMPUTED_VALUE"""),"TypeScript")</f>
        <v>TypeScript</v>
      </c>
      <c r="F3240" s="9" t="str">
        <f>IFERROR(__xludf.DUMMYFUNCTION("""COMPUTED_VALUE"""),"JavaScript")</f>
        <v>JavaScript</v>
      </c>
      <c r="G3240" s="9" t="str">
        <f>IFERROR(__xludf.DUMMYFUNCTION("""COMPUTED_VALUE"""),"HTML/CSS")</f>
        <v>HTML/CSS</v>
      </c>
      <c r="H3240" s="9" t="str">
        <f>IFERROR(__xludf.DUMMYFUNCTION("""COMPUTED_VALUE"""),"Assembly")</f>
        <v>Assembly</v>
      </c>
      <c r="I3240" s="9" t="str">
        <f>IFERROR(__xludf.DUMMYFUNCTION("""COMPUTED_VALUE"""),"Python")</f>
        <v>Python</v>
      </c>
      <c r="J3240" s="9" t="str">
        <f>IFERROR(__xludf.DUMMYFUNCTION("""COMPUTED_VALUE"""),"TypeScript")</f>
        <v>TypeScript</v>
      </c>
      <c r="K3240" s="9" t="str">
        <f>IFERROR(__xludf.DUMMYFUNCTION("""COMPUTED_VALUE"""),"JavaScript")</f>
        <v>JavaScript</v>
      </c>
      <c r="L3240" s="9" t="str">
        <f>IFERROR(__xludf.DUMMYFUNCTION("""COMPUTED_VALUE"""),"Java")</f>
        <v>Java</v>
      </c>
      <c r="M3240" s="9" t="s">
        <v>20</v>
      </c>
    </row>
    <row r="3241" ht="15.75" customHeight="1">
      <c r="A3241" s="7"/>
      <c r="B3241" s="7" t="str">
        <f>IFERROR(__xludf.DUMMYFUNCTION("""COMPUTED_VALUE"""),"HTML/CSS;JavaScript;TypeScript")</f>
        <v>HTML/CSS;JavaScript;TypeScript</v>
      </c>
      <c r="C3241" s="9" t="str">
        <f>IFERROR(__xludf.DUMMYFUNCTION("""COMPUTED_VALUE"""),"Scala")</f>
        <v>Scala</v>
      </c>
      <c r="D3241" s="9" t="str">
        <f>IFERROR(__xludf.DUMMYFUNCTION("""COMPUTED_VALUE"""),"HTML/CSS")</f>
        <v>HTML/CSS</v>
      </c>
      <c r="E3241" s="9" t="str">
        <f>IFERROR(__xludf.DUMMYFUNCTION("""COMPUTED_VALUE"""),"Bash/Shell/PowerShell")</f>
        <v>Bash/Shell/PowerShell</v>
      </c>
      <c r="F3241" s="9" t="str">
        <f>IFERROR(__xludf.DUMMYFUNCTION("""COMPUTED_VALUE"""),"PHP")</f>
        <v>PHP</v>
      </c>
      <c r="G3241" s="9" t="str">
        <f>IFERROR(__xludf.DUMMYFUNCTION("""COMPUTED_VALUE"""),"Java")</f>
        <v>Java</v>
      </c>
      <c r="H3241" s="9" t="str">
        <f>IFERROR(__xludf.DUMMYFUNCTION("""COMPUTED_VALUE"""),"C")</f>
        <v>C</v>
      </c>
      <c r="I3241" s="9" t="str">
        <f>IFERROR(__xludf.DUMMYFUNCTION("""COMPUTED_VALUE"""),"HTML/CSS")</f>
        <v>HTML/CSS</v>
      </c>
      <c r="J3241" s="9" t="str">
        <f>IFERROR(__xludf.DUMMYFUNCTION("""COMPUTED_VALUE"""),"Bash/Shell/PowerShell")</f>
        <v>Bash/Shell/PowerShell</v>
      </c>
      <c r="K3241" s="9" t="str">
        <f>IFERROR(__xludf.DUMMYFUNCTION("""COMPUTED_VALUE"""),"SQL")</f>
        <v>SQL</v>
      </c>
      <c r="L3241" s="9" t="str">
        <f>IFERROR(__xludf.DUMMYFUNCTION("""COMPUTED_VALUE"""),"JavaScript")</f>
        <v>JavaScript</v>
      </c>
      <c r="M3241" s="9" t="s">
        <v>46</v>
      </c>
    </row>
    <row r="3242" ht="15.75" customHeight="1">
      <c r="A3242" s="7"/>
      <c r="B3242" s="7" t="str">
        <f>IFERROR(__xludf.DUMMYFUNCTION("""COMPUTED_VALUE"""),"Java;JavaScript;TypeScript")</f>
        <v>Java;JavaScript;TypeScript</v>
      </c>
      <c r="C3242" s="9" t="str">
        <f>IFERROR(__xludf.DUMMYFUNCTION("""COMPUTED_VALUE"""),"Other(s):")</f>
        <v>Other(s):</v>
      </c>
      <c r="D3242" s="9" t="str">
        <f>IFERROR(__xludf.DUMMYFUNCTION("""COMPUTED_VALUE"""),"Java")</f>
        <v>Java</v>
      </c>
      <c r="E3242" s="9" t="str">
        <f>IFERROR(__xludf.DUMMYFUNCTION("""COMPUTED_VALUE"""),"C#")</f>
        <v>C#</v>
      </c>
      <c r="F3242" s="9" t="str">
        <f>IFERROR(__xludf.DUMMYFUNCTION("""COMPUTED_VALUE"""),"Python")</f>
        <v>Python</v>
      </c>
      <c r="G3242" s="9" t="str">
        <f>IFERROR(__xludf.DUMMYFUNCTION("""COMPUTED_VALUE"""),"JavaScript")</f>
        <v>JavaScript</v>
      </c>
      <c r="H3242" s="9" t="str">
        <f>IFERROR(__xludf.DUMMYFUNCTION("""COMPUTED_VALUE"""),"HTML/CSS")</f>
        <v>HTML/CSS</v>
      </c>
      <c r="I3242" s="9" t="str">
        <f>IFERROR(__xludf.DUMMYFUNCTION("""COMPUTED_VALUE"""),"JavaScript")</f>
        <v>JavaScript</v>
      </c>
      <c r="J3242" s="9" t="str">
        <f>IFERROR(__xludf.DUMMYFUNCTION("""COMPUTED_VALUE"""),"Go")</f>
        <v>Go</v>
      </c>
      <c r="K3242" s="9" t="str">
        <f>IFERROR(__xludf.DUMMYFUNCTION("""COMPUTED_VALUE"""),"Clojure")</f>
        <v>Clojure</v>
      </c>
      <c r="L3242" s="9" t="str">
        <f>IFERROR(__xludf.DUMMYFUNCTION("""COMPUTED_VALUE"""),"SQL")</f>
        <v>SQL</v>
      </c>
      <c r="M3242" s="9" t="s">
        <v>35</v>
      </c>
    </row>
    <row r="3243" ht="15.75" customHeight="1">
      <c r="A3243" s="7"/>
      <c r="B3243" s="7" t="str">
        <f>IFERROR(__xludf.DUMMYFUNCTION("""COMPUTED_VALUE"""),"Java;JavaScript;TypeScript")</f>
        <v>Java;JavaScript;TypeScript</v>
      </c>
      <c r="C3243" s="9" t="str">
        <f>IFERROR(__xludf.DUMMYFUNCTION("""COMPUTED_VALUE"""),"C++")</f>
        <v>C++</v>
      </c>
      <c r="D3243" s="9" t="str">
        <f>IFERROR(__xludf.DUMMYFUNCTION("""COMPUTED_VALUE"""),"JavaScript")</f>
        <v>JavaScript</v>
      </c>
      <c r="E3243" s="9" t="str">
        <f>IFERROR(__xludf.DUMMYFUNCTION("""COMPUTED_VALUE"""),"SQL")</f>
        <v>SQL</v>
      </c>
      <c r="F3243" s="9" t="str">
        <f>IFERROR(__xludf.DUMMYFUNCTION("""COMPUTED_VALUE"""),"R")</f>
        <v>R</v>
      </c>
      <c r="G3243" s="9" t="str">
        <f>IFERROR(__xludf.DUMMYFUNCTION("""COMPUTED_VALUE"""),"PHP")</f>
        <v>PHP</v>
      </c>
      <c r="H3243" s="9" t="str">
        <f>IFERROR(__xludf.DUMMYFUNCTION("""COMPUTED_VALUE"""),"JavaScript")</f>
        <v>JavaScript</v>
      </c>
      <c r="I3243" s="9" t="str">
        <f>IFERROR(__xludf.DUMMYFUNCTION("""COMPUTED_VALUE"""),"Objective-C")</f>
        <v>Objective-C</v>
      </c>
      <c r="J3243" s="9" t="str">
        <f>IFERROR(__xludf.DUMMYFUNCTION("""COMPUTED_VALUE"""),"Java")</f>
        <v>Java</v>
      </c>
      <c r="K3243" s="9" t="str">
        <f>IFERROR(__xludf.DUMMYFUNCTION("""COMPUTED_VALUE"""),"Go")</f>
        <v>Go</v>
      </c>
      <c r="L3243" s="9" t="str">
        <f>IFERROR(__xludf.DUMMYFUNCTION("""COMPUTED_VALUE"""),"Swift")</f>
        <v>Swift</v>
      </c>
      <c r="M3243" s="9" t="s">
        <v>23</v>
      </c>
    </row>
    <row r="3244" ht="15.75" customHeight="1">
      <c r="A3244" s="7"/>
      <c r="B3244" s="7" t="str">
        <f>IFERROR(__xludf.DUMMYFUNCTION("""COMPUTED_VALUE"""),"Python")</f>
        <v>Python</v>
      </c>
      <c r="C3244" s="9" t="str">
        <f>IFERROR(__xludf.DUMMYFUNCTION("""COMPUTED_VALUE"""),"Python")</f>
        <v>Python</v>
      </c>
      <c r="D3244" s="9" t="str">
        <f>IFERROR(__xludf.DUMMYFUNCTION("""COMPUTED_VALUE"""),"Objective-C")</f>
        <v>Objective-C</v>
      </c>
      <c r="E3244" s="9" t="str">
        <f>IFERROR(__xludf.DUMMYFUNCTION("""COMPUTED_VALUE"""),"Bash/Shell/PowerShell")</f>
        <v>Bash/Shell/PowerShell</v>
      </c>
      <c r="F3244" s="9" t="str">
        <f>IFERROR(__xludf.DUMMYFUNCTION("""COMPUTED_VALUE"""),"SQL")</f>
        <v>SQL</v>
      </c>
      <c r="G3244" s="9" t="str">
        <f>IFERROR(__xludf.DUMMYFUNCTION("""COMPUTED_VALUE"""),"SQL")</f>
        <v>SQL</v>
      </c>
      <c r="H3244" s="9" t="str">
        <f>IFERROR(__xludf.DUMMYFUNCTION("""COMPUTED_VALUE"""),"PHP")</f>
        <v>PHP</v>
      </c>
      <c r="I3244" s="9" t="str">
        <f>IFERROR(__xludf.DUMMYFUNCTION("""COMPUTED_VALUE"""),"PHP")</f>
        <v>PHP</v>
      </c>
      <c r="J3244" s="9" t="str">
        <f>IFERROR(__xludf.DUMMYFUNCTION("""COMPUTED_VALUE"""),"Python")</f>
        <v>Python</v>
      </c>
      <c r="K3244" s="9" t="str">
        <f>IFERROR(__xludf.DUMMYFUNCTION("""COMPUTED_VALUE"""),"SQL")</f>
        <v>SQL</v>
      </c>
      <c r="L3244" s="9" t="str">
        <f>IFERROR(__xludf.DUMMYFUNCTION("""COMPUTED_VALUE"""),"C")</f>
        <v>C</v>
      </c>
      <c r="M3244" s="9" t="s">
        <v>22</v>
      </c>
    </row>
    <row r="3245" ht="15.75" customHeight="1">
      <c r="A3245" s="7"/>
      <c r="B3245" s="7" t="str">
        <f>IFERROR(__xludf.DUMMYFUNCTION("""COMPUTED_VALUE"""),"Bash/Shell/PowerShell;Python")</f>
        <v>Bash/Shell/PowerShell;Python</v>
      </c>
      <c r="C3245" s="9" t="str">
        <f>IFERROR(__xludf.DUMMYFUNCTION("""COMPUTED_VALUE"""),"R")</f>
        <v>R</v>
      </c>
      <c r="D3245" s="9" t="str">
        <f>IFERROR(__xludf.DUMMYFUNCTION("""COMPUTED_VALUE"""),"Python")</f>
        <v>Python</v>
      </c>
      <c r="E3245" s="9" t="str">
        <f>IFERROR(__xludf.DUMMYFUNCTION("""COMPUTED_VALUE"""),"HTML/CSS")</f>
        <v>HTML/CSS</v>
      </c>
      <c r="F3245" s="9" t="str">
        <f>IFERROR(__xludf.DUMMYFUNCTION("""COMPUTED_VALUE"""),"VBA")</f>
        <v>VBA</v>
      </c>
      <c r="G3245" s="9" t="str">
        <f>IFERROR(__xludf.DUMMYFUNCTION("""COMPUTED_VALUE"""),"TypeScript")</f>
        <v>TypeScript</v>
      </c>
      <c r="H3245" s="9" t="str">
        <f>IFERROR(__xludf.DUMMYFUNCTION("""COMPUTED_VALUE"""),"C#")</f>
        <v>C#</v>
      </c>
      <c r="I3245" s="9" t="str">
        <f>IFERROR(__xludf.DUMMYFUNCTION("""COMPUTED_VALUE"""),"SQL")</f>
        <v>SQL</v>
      </c>
      <c r="J3245" s="9" t="str">
        <f>IFERROR(__xludf.DUMMYFUNCTION("""COMPUTED_VALUE"""),"Rust")</f>
        <v>Rust</v>
      </c>
      <c r="K3245" s="9" t="str">
        <f>IFERROR(__xludf.DUMMYFUNCTION("""COMPUTED_VALUE"""),"C++")</f>
        <v>C++</v>
      </c>
      <c r="L3245" s="9" t="str">
        <f>IFERROR(__xludf.DUMMYFUNCTION("""COMPUTED_VALUE"""),"HTML/CSS")</f>
        <v>HTML/CSS</v>
      </c>
      <c r="M3245" s="9" t="s">
        <v>29</v>
      </c>
    </row>
    <row r="3246" ht="15.75" customHeight="1">
      <c r="A3246" s="7"/>
      <c r="B3246" s="7" t="str">
        <f>IFERROR(__xludf.DUMMYFUNCTION("""COMPUTED_VALUE"""),"Assembly;Bash/Shell/PowerShell;C;C++;HTML/CSS;JavaScript;Ruby;Rust")</f>
        <v>Assembly;Bash/Shell/PowerShell;C;C++;HTML/CSS;JavaScript;Ruby;Rust</v>
      </c>
      <c r="C3246" s="9" t="str">
        <f>IFERROR(__xludf.DUMMYFUNCTION("""COMPUTED_VALUE"""),"Other(s):")</f>
        <v>Other(s):</v>
      </c>
      <c r="D3246" s="9" t="str">
        <f>IFERROR(__xludf.DUMMYFUNCTION("""COMPUTED_VALUE"""),"Swift")</f>
        <v>Swift</v>
      </c>
      <c r="E3246" s="9" t="str">
        <f>IFERROR(__xludf.DUMMYFUNCTION("""COMPUTED_VALUE"""),"JavaScript")</f>
        <v>JavaScript</v>
      </c>
      <c r="F3246" s="9" t="str">
        <f>IFERROR(__xludf.DUMMYFUNCTION("""COMPUTED_VALUE"""),"Bash/Shell/PowerShell")</f>
        <v>Bash/Shell/PowerShell</v>
      </c>
      <c r="G3246" s="9" t="str">
        <f>IFERROR(__xludf.DUMMYFUNCTION("""COMPUTED_VALUE"""),"Assembly")</f>
        <v>Assembly</v>
      </c>
      <c r="H3246" s="9" t="str">
        <f>IFERROR(__xludf.DUMMYFUNCTION("""COMPUTED_VALUE"""),"HTML/CSS")</f>
        <v>HTML/CSS</v>
      </c>
      <c r="I3246" s="9" t="str">
        <f>IFERROR(__xludf.DUMMYFUNCTION("""COMPUTED_VALUE"""),"Swift")</f>
        <v>Swift</v>
      </c>
      <c r="J3246" s="9" t="str">
        <f>IFERROR(__xludf.DUMMYFUNCTION("""COMPUTED_VALUE"""),"Bash/Shell/PowerShell")</f>
        <v>Bash/Shell/PowerShell</v>
      </c>
      <c r="K3246" s="9" t="str">
        <f>IFERROR(__xludf.DUMMYFUNCTION("""COMPUTED_VALUE"""),"C#")</f>
        <v>C#</v>
      </c>
      <c r="L3246" s="9" t="str">
        <f>IFERROR(__xludf.DUMMYFUNCTION("""COMPUTED_VALUE"""),"JavaScript")</f>
        <v>JavaScript</v>
      </c>
      <c r="M3246" s="9" t="s">
        <v>35</v>
      </c>
    </row>
    <row r="3247" ht="15.75" customHeight="1">
      <c r="A3247" s="7"/>
      <c r="B3247" s="7" t="str">
        <f>IFERROR(__xludf.DUMMYFUNCTION("""COMPUTED_VALUE"""),"Go;HTML/CSS;JavaScript;SQL")</f>
        <v>Go;HTML/CSS;JavaScript;SQL</v>
      </c>
      <c r="C3247" s="9" t="str">
        <f>IFERROR(__xludf.DUMMYFUNCTION("""COMPUTED_VALUE"""),"Bash/Shell/PowerShell")</f>
        <v>Bash/Shell/PowerShell</v>
      </c>
      <c r="D3247" s="9" t="str">
        <f>IFERROR(__xludf.DUMMYFUNCTION("""COMPUTED_VALUE"""),"Bash/Shell/PowerShell")</f>
        <v>Bash/Shell/PowerShell</v>
      </c>
      <c r="E3247" s="9" t="str">
        <f>IFERROR(__xludf.DUMMYFUNCTION("""COMPUTED_VALUE"""),"Python")</f>
        <v>Python</v>
      </c>
      <c r="F3247" s="9" t="str">
        <f>IFERROR(__xludf.DUMMYFUNCTION("""COMPUTED_VALUE"""),"C")</f>
        <v>C</v>
      </c>
      <c r="G3247" s="9" t="str">
        <f>IFERROR(__xludf.DUMMYFUNCTION("""COMPUTED_VALUE"""),"C")</f>
        <v>C</v>
      </c>
      <c r="H3247" s="9" t="str">
        <f>IFERROR(__xludf.DUMMYFUNCTION("""COMPUTED_VALUE"""),"JavaScript")</f>
        <v>JavaScript</v>
      </c>
      <c r="I3247" s="9" t="str">
        <f>IFERROR(__xludf.DUMMYFUNCTION("""COMPUTED_VALUE"""),"TypeScript")</f>
        <v>TypeScript</v>
      </c>
      <c r="J3247" s="9" t="str">
        <f>IFERROR(__xludf.DUMMYFUNCTION("""COMPUTED_VALUE"""),"Go")</f>
        <v>Go</v>
      </c>
      <c r="K3247" s="9" t="str">
        <f>IFERROR(__xludf.DUMMYFUNCTION("""COMPUTED_VALUE"""),"HTML/CSS")</f>
        <v>HTML/CSS</v>
      </c>
      <c r="L3247" s="9" t="str">
        <f>IFERROR(__xludf.DUMMYFUNCTION("""COMPUTED_VALUE"""),"PHP")</f>
        <v>PHP</v>
      </c>
      <c r="M3247" s="9" t="s">
        <v>30</v>
      </c>
    </row>
    <row r="3248" ht="15.75" customHeight="1">
      <c r="A3248" s="7"/>
      <c r="B3248" s="7" t="str">
        <f>IFERROR(__xludf.DUMMYFUNCTION("""COMPUTED_VALUE"""),"SQL;Other(s):")</f>
        <v>SQL;Other(s):</v>
      </c>
      <c r="C3248" s="9" t="str">
        <f>IFERROR(__xludf.DUMMYFUNCTION("""COMPUTED_VALUE"""),"HTML/CSS")</f>
        <v>HTML/CSS</v>
      </c>
      <c r="D3248" s="9" t="str">
        <f>IFERROR(__xludf.DUMMYFUNCTION("""COMPUTED_VALUE"""),"C++")</f>
        <v>C++</v>
      </c>
      <c r="E3248" s="9" t="str">
        <f>IFERROR(__xludf.DUMMYFUNCTION("""COMPUTED_VALUE"""),"Rust")</f>
        <v>Rust</v>
      </c>
      <c r="F3248" s="9" t="str">
        <f>IFERROR(__xludf.DUMMYFUNCTION("""COMPUTED_VALUE"""),"HTML/CSS")</f>
        <v>HTML/CSS</v>
      </c>
      <c r="G3248" s="9" t="str">
        <f>IFERROR(__xludf.DUMMYFUNCTION("""COMPUTED_VALUE"""),"C#")</f>
        <v>C#</v>
      </c>
      <c r="H3248" s="9" t="str">
        <f>IFERROR(__xludf.DUMMYFUNCTION("""COMPUTED_VALUE"""),"SQL")</f>
        <v>SQL</v>
      </c>
      <c r="I3248" s="9" t="str">
        <f>IFERROR(__xludf.DUMMYFUNCTION("""COMPUTED_VALUE"""),"C")</f>
        <v>C</v>
      </c>
      <c r="J3248" s="9" t="str">
        <f>IFERROR(__xludf.DUMMYFUNCTION("""COMPUTED_VALUE"""),"HTML/CSS")</f>
        <v>HTML/CSS</v>
      </c>
      <c r="K3248" s="9" t="str">
        <f>IFERROR(__xludf.DUMMYFUNCTION("""COMPUTED_VALUE"""),"Java")</f>
        <v>Java</v>
      </c>
      <c r="L3248" s="9" t="str">
        <f>IFERROR(__xludf.DUMMYFUNCTION("""COMPUTED_VALUE"""),"SQL")</f>
        <v>SQL</v>
      </c>
      <c r="M3248" s="9" t="s">
        <v>24</v>
      </c>
    </row>
    <row r="3249" ht="15.75" customHeight="1">
      <c r="A3249" s="7"/>
      <c r="B3249" s="7" t="str">
        <f>IFERROR(__xludf.DUMMYFUNCTION("""COMPUTED_VALUE"""),"Bash/Shell/PowerShell;C#;HTML/CSS;JavaScript;SQL;TypeScript")</f>
        <v>Bash/Shell/PowerShell;C#;HTML/CSS;JavaScript;SQL;TypeScript</v>
      </c>
      <c r="C3249" s="9" t="str">
        <f>IFERROR(__xludf.DUMMYFUNCTION("""COMPUTED_VALUE"""),"Java")</f>
        <v>Java</v>
      </c>
      <c r="D3249" s="9" t="str">
        <f>IFERROR(__xludf.DUMMYFUNCTION("""COMPUTED_VALUE"""),"C#")</f>
        <v>C#</v>
      </c>
      <c r="E3249" s="9" t="str">
        <f>IFERROR(__xludf.DUMMYFUNCTION("""COMPUTED_VALUE"""),"Bash/Shell/PowerShell")</f>
        <v>Bash/Shell/PowerShell</v>
      </c>
      <c r="F3249" s="9" t="str">
        <f>IFERROR(__xludf.DUMMYFUNCTION("""COMPUTED_VALUE"""),"JavaScript")</f>
        <v>JavaScript</v>
      </c>
      <c r="G3249" s="9" t="str">
        <f>IFERROR(__xludf.DUMMYFUNCTION("""COMPUTED_VALUE"""),"JavaScript")</f>
        <v>JavaScript</v>
      </c>
      <c r="H3249" s="9" t="str">
        <f>IFERROR(__xludf.DUMMYFUNCTION("""COMPUTED_VALUE"""),"TypeScript")</f>
        <v>TypeScript</v>
      </c>
      <c r="I3249" s="9" t="str">
        <f>IFERROR(__xludf.DUMMYFUNCTION("""COMPUTED_VALUE"""),"Python")</f>
        <v>Python</v>
      </c>
      <c r="J3249" s="9" t="str">
        <f>IFERROR(__xludf.DUMMYFUNCTION("""COMPUTED_VALUE"""),"JavaScript")</f>
        <v>JavaScript</v>
      </c>
      <c r="K3249" s="9" t="str">
        <f>IFERROR(__xludf.DUMMYFUNCTION("""COMPUTED_VALUE"""),"JavaScript")</f>
        <v>JavaScript</v>
      </c>
      <c r="L3249" s="9" t="str">
        <f>IFERROR(__xludf.DUMMYFUNCTION("""COMPUTED_VALUE"""),"C++")</f>
        <v>C++</v>
      </c>
      <c r="M3249" s="9" t="s">
        <v>20</v>
      </c>
    </row>
    <row r="3250" ht="15.75" customHeight="1">
      <c r="A3250" s="7"/>
      <c r="B3250" s="7" t="str">
        <f>IFERROR(__xludf.DUMMYFUNCTION("""COMPUTED_VALUE"""),"Bash/Shell/PowerShell;C;C++;Go;HTML/CSS;Java;JavaScript;Kotlin;Python;SQL;Swift;TypeScript;WebAssembly;Other(s):")</f>
        <v>Bash/Shell/PowerShell;C;C++;Go;HTML/CSS;Java;JavaScript;Kotlin;Python;SQL;Swift;TypeScript;WebAssembly;Other(s):</v>
      </c>
      <c r="C3250" s="9" t="str">
        <f>IFERROR(__xludf.DUMMYFUNCTION("""COMPUTED_VALUE"""),"JavaScript")</f>
        <v>JavaScript</v>
      </c>
      <c r="D3250" s="9" t="str">
        <f>IFERROR(__xludf.DUMMYFUNCTION("""COMPUTED_VALUE"""),"HTML/CSS")</f>
        <v>HTML/CSS</v>
      </c>
      <c r="E3250" s="9" t="str">
        <f>IFERROR(__xludf.DUMMYFUNCTION("""COMPUTED_VALUE"""),"Java")</f>
        <v>Java</v>
      </c>
      <c r="F3250" s="9" t="str">
        <f>IFERROR(__xludf.DUMMYFUNCTION("""COMPUTED_VALUE"""),"Python")</f>
        <v>Python</v>
      </c>
      <c r="G3250" s="9" t="str">
        <f>IFERROR(__xludf.DUMMYFUNCTION("""COMPUTED_VALUE"""),"C#")</f>
        <v>C#</v>
      </c>
      <c r="H3250" s="9" t="str">
        <f>IFERROR(__xludf.DUMMYFUNCTION("""COMPUTED_VALUE"""),"Go")</f>
        <v>Go</v>
      </c>
      <c r="I3250" s="9" t="str">
        <f>IFERROR(__xludf.DUMMYFUNCTION("""COMPUTED_VALUE"""),"VBA")</f>
        <v>VBA</v>
      </c>
      <c r="J3250" s="9" t="str">
        <f>IFERROR(__xludf.DUMMYFUNCTION("""COMPUTED_VALUE"""),"Ruby")</f>
        <v>Ruby</v>
      </c>
      <c r="K3250" s="9" t="str">
        <f>IFERROR(__xludf.DUMMYFUNCTION("""COMPUTED_VALUE"""),"Objective-C")</f>
        <v>Objective-C</v>
      </c>
      <c r="L3250" s="9" t="str">
        <f>IFERROR(__xludf.DUMMYFUNCTION("""COMPUTED_VALUE"""),"HTML/CSS")</f>
        <v>HTML/CSS</v>
      </c>
      <c r="M3250" s="9" t="s">
        <v>21</v>
      </c>
    </row>
    <row r="3251" ht="15.75" customHeight="1">
      <c r="A3251" s="7"/>
      <c r="B3251" s="7" t="str">
        <f>IFERROR(__xludf.DUMMYFUNCTION("""COMPUTED_VALUE"""),"C#;SQL;VBA")</f>
        <v>C#;SQL;VBA</v>
      </c>
      <c r="C3251" s="9" t="str">
        <f>IFERROR(__xludf.DUMMYFUNCTION("""COMPUTED_VALUE"""),"SQL")</f>
        <v>SQL</v>
      </c>
      <c r="D3251" s="9" t="str">
        <f>IFERROR(__xludf.DUMMYFUNCTION("""COMPUTED_VALUE"""),"JavaScript")</f>
        <v>JavaScript</v>
      </c>
      <c r="E3251" s="9" t="str">
        <f>IFERROR(__xludf.DUMMYFUNCTION("""COMPUTED_VALUE"""),"SQL")</f>
        <v>SQL</v>
      </c>
      <c r="F3251" s="9" t="str">
        <f>IFERROR(__xludf.DUMMYFUNCTION("""COMPUTED_VALUE"""),"Rust")</f>
        <v>Rust</v>
      </c>
      <c r="G3251" s="9" t="str">
        <f>IFERROR(__xludf.DUMMYFUNCTION("""COMPUTED_VALUE"""),"Python")</f>
        <v>Python</v>
      </c>
      <c r="H3251" s="9" t="str">
        <f>IFERROR(__xludf.DUMMYFUNCTION("""COMPUTED_VALUE"""),"HTML/CSS")</f>
        <v>HTML/CSS</v>
      </c>
      <c r="I3251" s="9" t="str">
        <f>IFERROR(__xludf.DUMMYFUNCTION("""COMPUTED_VALUE"""),"Bash/Shell/PowerShell")</f>
        <v>Bash/Shell/PowerShell</v>
      </c>
      <c r="J3251" s="9" t="str">
        <f>IFERROR(__xludf.DUMMYFUNCTION("""COMPUTED_VALUE"""),"SQL")</f>
        <v>SQL</v>
      </c>
      <c r="K3251" s="9" t="str">
        <f>IFERROR(__xludf.DUMMYFUNCTION("""COMPUTED_VALUE"""),"Python")</f>
        <v>Python</v>
      </c>
      <c r="L3251" s="9" t="str">
        <f>IFERROR(__xludf.DUMMYFUNCTION("""COMPUTED_VALUE"""),"Java")</f>
        <v>Java</v>
      </c>
      <c r="M3251" s="9" t="s">
        <v>27</v>
      </c>
    </row>
    <row r="3252" ht="15.75" customHeight="1">
      <c r="A3252" s="7"/>
      <c r="B3252" s="7" t="str">
        <f>IFERROR(__xludf.DUMMYFUNCTION("""COMPUTED_VALUE"""),"Assembly;C;C++;HTML/CSS;Java;JavaScript;PHP;SQL")</f>
        <v>Assembly;C;C++;HTML/CSS;Java;JavaScript;PHP;SQL</v>
      </c>
      <c r="C3252" s="9" t="str">
        <f>IFERROR(__xludf.DUMMYFUNCTION("""COMPUTED_VALUE"""),"C++")</f>
        <v>C++</v>
      </c>
      <c r="D3252" s="9" t="str">
        <f>IFERROR(__xludf.DUMMYFUNCTION("""COMPUTED_VALUE"""),"PHP")</f>
        <v>PHP</v>
      </c>
      <c r="E3252" s="9" t="str">
        <f>IFERROR(__xludf.DUMMYFUNCTION("""COMPUTED_VALUE"""),"TypeScript")</f>
        <v>TypeScript</v>
      </c>
      <c r="F3252" s="9" t="str">
        <f>IFERROR(__xludf.DUMMYFUNCTION("""COMPUTED_VALUE"""),"Swift")</f>
        <v>Swift</v>
      </c>
      <c r="G3252" s="9" t="str">
        <f>IFERROR(__xludf.DUMMYFUNCTION("""COMPUTED_VALUE"""),"SQL")</f>
        <v>SQL</v>
      </c>
      <c r="H3252" s="9" t="str">
        <f>IFERROR(__xludf.DUMMYFUNCTION("""COMPUTED_VALUE"""),"JavaScript")</f>
        <v>JavaScript</v>
      </c>
      <c r="I3252" s="9" t="str">
        <f>IFERROR(__xludf.DUMMYFUNCTION("""COMPUTED_VALUE"""),"C#")</f>
        <v>C#</v>
      </c>
      <c r="J3252" s="9" t="str">
        <f>IFERROR(__xludf.DUMMYFUNCTION("""COMPUTED_VALUE"""),"C++")</f>
        <v>C++</v>
      </c>
      <c r="K3252" s="9" t="str">
        <f>IFERROR(__xludf.DUMMYFUNCTION("""COMPUTED_VALUE"""),"SQL")</f>
        <v>SQL</v>
      </c>
      <c r="L3252" s="9" t="str">
        <f>IFERROR(__xludf.DUMMYFUNCTION("""COMPUTED_VALUE"""),"JavaScript")</f>
        <v>JavaScript</v>
      </c>
      <c r="M3252" s="9" t="s">
        <v>23</v>
      </c>
    </row>
    <row r="3253" ht="15.75" customHeight="1">
      <c r="A3253" s="7"/>
      <c r="B3253" s="7" t="str">
        <f>IFERROR(__xludf.DUMMYFUNCTION("""COMPUTED_VALUE"""),"C#;TypeScript")</f>
        <v>C#;TypeScript</v>
      </c>
      <c r="C3253" s="9" t="str">
        <f>IFERROR(__xludf.DUMMYFUNCTION("""COMPUTED_VALUE"""),"HTML/CSS")</f>
        <v>HTML/CSS</v>
      </c>
      <c r="D3253" s="9" t="str">
        <f>IFERROR(__xludf.DUMMYFUNCTION("""COMPUTED_VALUE"""),"Python")</f>
        <v>Python</v>
      </c>
      <c r="E3253" s="9" t="str">
        <f>IFERROR(__xludf.DUMMYFUNCTION("""COMPUTED_VALUE"""),"Bash/Shell/PowerShell")</f>
        <v>Bash/Shell/PowerShell</v>
      </c>
      <c r="F3253" s="9" t="str">
        <f>IFERROR(__xludf.DUMMYFUNCTION("""COMPUTED_VALUE"""),"TypeScript")</f>
        <v>TypeScript</v>
      </c>
      <c r="G3253" s="9" t="str">
        <f>IFERROR(__xludf.DUMMYFUNCTION("""COMPUTED_VALUE"""),"Java")</f>
        <v>Java</v>
      </c>
      <c r="H3253" s="9" t="str">
        <f>IFERROR(__xludf.DUMMYFUNCTION("""COMPUTED_VALUE"""),"Ruby")</f>
        <v>Ruby</v>
      </c>
      <c r="I3253" s="9" t="str">
        <f>IFERROR(__xludf.DUMMYFUNCTION("""COMPUTED_VALUE"""),"HTML/CSS")</f>
        <v>HTML/CSS</v>
      </c>
      <c r="J3253" s="9" t="str">
        <f>IFERROR(__xludf.DUMMYFUNCTION("""COMPUTED_VALUE"""),"HTML/CSS")</f>
        <v>HTML/CSS</v>
      </c>
      <c r="K3253" s="9" t="str">
        <f>IFERROR(__xludf.DUMMYFUNCTION("""COMPUTED_VALUE"""),"HTML/CSS")</f>
        <v>HTML/CSS</v>
      </c>
      <c r="L3253" s="9" t="str">
        <f>IFERROR(__xludf.DUMMYFUNCTION("""COMPUTED_VALUE"""),"Objective-C")</f>
        <v>Objective-C</v>
      </c>
      <c r="M3253" s="9" t="s">
        <v>24</v>
      </c>
    </row>
    <row r="3254" ht="15.75" customHeight="1">
      <c r="A3254" s="7"/>
      <c r="B3254" s="7" t="str">
        <f>IFERROR(__xludf.DUMMYFUNCTION("""COMPUTED_VALUE"""),"C#;HTML/CSS;JavaScript;SQL;VBA")</f>
        <v>C#;HTML/CSS;JavaScript;SQL;VBA</v>
      </c>
      <c r="C3254" s="9" t="str">
        <f>IFERROR(__xludf.DUMMYFUNCTION("""COMPUTED_VALUE"""),"Java")</f>
        <v>Java</v>
      </c>
      <c r="D3254" s="9" t="str">
        <f>IFERROR(__xludf.DUMMYFUNCTION("""COMPUTED_VALUE"""),"Swift")</f>
        <v>Swift</v>
      </c>
      <c r="E3254" s="9" t="str">
        <f>IFERROR(__xludf.DUMMYFUNCTION("""COMPUTED_VALUE"""),"Python")</f>
        <v>Python</v>
      </c>
      <c r="F3254" s="9" t="str">
        <f>IFERROR(__xludf.DUMMYFUNCTION("""COMPUTED_VALUE"""),"C")</f>
        <v>C</v>
      </c>
      <c r="G3254" s="9" t="str">
        <f>IFERROR(__xludf.DUMMYFUNCTION("""COMPUTED_VALUE"""),"JavaScript")</f>
        <v>JavaScript</v>
      </c>
      <c r="H3254" s="9" t="str">
        <f>IFERROR(__xludf.DUMMYFUNCTION("""COMPUTED_VALUE"""),"SQL")</f>
        <v>SQL</v>
      </c>
      <c r="I3254" s="9" t="str">
        <f>IFERROR(__xludf.DUMMYFUNCTION("""COMPUTED_VALUE"""),"JavaScript")</f>
        <v>JavaScript</v>
      </c>
      <c r="J3254" s="9" t="str">
        <f>IFERROR(__xludf.DUMMYFUNCTION("""COMPUTED_VALUE"""),"Java")</f>
        <v>Java</v>
      </c>
      <c r="K3254" s="9" t="str">
        <f>IFERROR(__xludf.DUMMYFUNCTION("""COMPUTED_VALUE"""),"JavaScript")</f>
        <v>JavaScript</v>
      </c>
      <c r="L3254" s="9" t="str">
        <f>IFERROR(__xludf.DUMMYFUNCTION("""COMPUTED_VALUE"""),"Swift")</f>
        <v>Swift</v>
      </c>
      <c r="M3254" s="9" t="s">
        <v>20</v>
      </c>
    </row>
    <row r="3255" ht="15.75" customHeight="1">
      <c r="A3255" s="7"/>
      <c r="B3255" s="7" t="str">
        <f>IFERROR(__xludf.DUMMYFUNCTION("""COMPUTED_VALUE"""),"Bash/Shell/PowerShell;HTML/CSS;Java;JavaScript;SQL")</f>
        <v>Bash/Shell/PowerShell;HTML/CSS;Java;JavaScript;SQL</v>
      </c>
      <c r="C3255" s="9" t="str">
        <f>IFERROR(__xludf.DUMMYFUNCTION("""COMPUTED_VALUE"""),"JavaScript")</f>
        <v>JavaScript</v>
      </c>
      <c r="D3255" s="9" t="str">
        <f>IFERROR(__xludf.DUMMYFUNCTION("""COMPUTED_VALUE"""),"Elixir")</f>
        <v>Elixir</v>
      </c>
      <c r="E3255" s="9" t="str">
        <f>IFERROR(__xludf.DUMMYFUNCTION("""COMPUTED_VALUE"""),"SQL")</f>
        <v>SQL</v>
      </c>
      <c r="F3255" s="9" t="str">
        <f>IFERROR(__xludf.DUMMYFUNCTION("""COMPUTED_VALUE"""),"C++")</f>
        <v>C++</v>
      </c>
      <c r="G3255" s="9" t="str">
        <f>IFERROR(__xludf.DUMMYFUNCTION("""COMPUTED_VALUE"""),"Kotlin")</f>
        <v>Kotlin</v>
      </c>
      <c r="H3255" s="9" t="str">
        <f>IFERROR(__xludf.DUMMYFUNCTION("""COMPUTED_VALUE"""),"Bash/Shell/PowerShell")</f>
        <v>Bash/Shell/PowerShell</v>
      </c>
      <c r="I3255" s="9" t="str">
        <f>IFERROR(__xludf.DUMMYFUNCTION("""COMPUTED_VALUE"""),"Python")</f>
        <v>Python</v>
      </c>
      <c r="J3255" s="9" t="str">
        <f>IFERROR(__xludf.DUMMYFUNCTION("""COMPUTED_VALUE"""),"JavaScript")</f>
        <v>JavaScript</v>
      </c>
      <c r="K3255" s="9" t="str">
        <f>IFERROR(__xludf.DUMMYFUNCTION("""COMPUTED_VALUE"""),"PHP")</f>
        <v>PHP</v>
      </c>
      <c r="L3255" s="9" t="str">
        <f>IFERROR(__xludf.DUMMYFUNCTION("""COMPUTED_VALUE"""),"C++")</f>
        <v>C++</v>
      </c>
      <c r="M3255" s="9" t="s">
        <v>21</v>
      </c>
    </row>
    <row r="3256" ht="15.75" customHeight="1">
      <c r="A3256" s="7"/>
      <c r="B3256" s="7" t="str">
        <f>IFERROR(__xludf.DUMMYFUNCTION("""COMPUTED_VALUE"""),"Assembly;Bash/Shell/PowerShell;C;C++;C#;HTML/CSS;Java;JavaScript;Python;Rust;Scala;SQL;TypeScript")</f>
        <v>Assembly;Bash/Shell/PowerShell;C;C++;C#;HTML/CSS;Java;JavaScript;Python;Rust;Scala;SQL;TypeScript</v>
      </c>
      <c r="C3256" s="9" t="str">
        <f>IFERROR(__xludf.DUMMYFUNCTION("""COMPUTED_VALUE"""),"TypeScript")</f>
        <v>TypeScript</v>
      </c>
      <c r="D3256" s="9" t="str">
        <f>IFERROR(__xludf.DUMMYFUNCTION("""COMPUTED_VALUE"""),"HTML/CSS")</f>
        <v>HTML/CSS</v>
      </c>
      <c r="E3256" s="9" t="str">
        <f>IFERROR(__xludf.DUMMYFUNCTION("""COMPUTED_VALUE"""),"Other(s):")</f>
        <v>Other(s):</v>
      </c>
      <c r="F3256" s="9" t="str">
        <f>IFERROR(__xludf.DUMMYFUNCTION("""COMPUTED_VALUE"""),"C#")</f>
        <v>C#</v>
      </c>
      <c r="G3256" s="9" t="str">
        <f>IFERROR(__xludf.DUMMYFUNCTION("""COMPUTED_VALUE"""),"HTML/CSS")</f>
        <v>HTML/CSS</v>
      </c>
      <c r="H3256" s="9" t="str">
        <f>IFERROR(__xludf.DUMMYFUNCTION("""COMPUTED_VALUE"""),"C#")</f>
        <v>C#</v>
      </c>
      <c r="I3256" s="9" t="str">
        <f>IFERROR(__xludf.DUMMYFUNCTION("""COMPUTED_VALUE"""),"SQL")</f>
        <v>SQL</v>
      </c>
      <c r="J3256" s="9" t="str">
        <f>IFERROR(__xludf.DUMMYFUNCTION("""COMPUTED_VALUE"""),"TypeScript")</f>
        <v>TypeScript</v>
      </c>
      <c r="K3256" s="9" t="str">
        <f>IFERROR(__xludf.DUMMYFUNCTION("""COMPUTED_VALUE"""),"VBA")</f>
        <v>VBA</v>
      </c>
      <c r="L3256" s="9" t="str">
        <f>IFERROR(__xludf.DUMMYFUNCTION("""COMPUTED_VALUE"""),"Java")</f>
        <v>Java</v>
      </c>
      <c r="M3256" s="9" t="s">
        <v>33</v>
      </c>
    </row>
    <row r="3257" ht="15.75" customHeight="1">
      <c r="A3257" s="7"/>
      <c r="B3257" s="7" t="str">
        <f>IFERROR(__xludf.DUMMYFUNCTION("""COMPUTED_VALUE"""),"Bash/Shell/PowerShell;HTML/CSS;JavaScript;Python")</f>
        <v>Bash/Shell/PowerShell;HTML/CSS;JavaScript;Python</v>
      </c>
      <c r="C3257" s="9" t="str">
        <f>IFERROR(__xludf.DUMMYFUNCTION("""COMPUTED_VALUE"""),"Python")</f>
        <v>Python</v>
      </c>
      <c r="D3257" s="9" t="str">
        <f>IFERROR(__xludf.DUMMYFUNCTION("""COMPUTED_VALUE"""),"JavaScript")</f>
        <v>JavaScript</v>
      </c>
      <c r="E3257" s="9" t="str">
        <f>IFERROR(__xludf.DUMMYFUNCTION("""COMPUTED_VALUE"""),"Java")</f>
        <v>Java</v>
      </c>
      <c r="F3257" s="9" t="str">
        <f>IFERROR(__xludf.DUMMYFUNCTION("""COMPUTED_VALUE"""),"SQL")</f>
        <v>SQL</v>
      </c>
      <c r="G3257" s="9" t="str">
        <f>IFERROR(__xludf.DUMMYFUNCTION("""COMPUTED_VALUE"""),"JavaScript")</f>
        <v>JavaScript</v>
      </c>
      <c r="H3257" s="9" t="str">
        <f>IFERROR(__xludf.DUMMYFUNCTION("""COMPUTED_VALUE"""),"HTML/CSS")</f>
        <v>HTML/CSS</v>
      </c>
      <c r="I3257" s="9" t="str">
        <f>IFERROR(__xludf.DUMMYFUNCTION("""COMPUTED_VALUE"""),"Assembly")</f>
        <v>Assembly</v>
      </c>
      <c r="J3257" s="9" t="str">
        <f>IFERROR(__xludf.DUMMYFUNCTION("""COMPUTED_VALUE"""),"Java")</f>
        <v>Java</v>
      </c>
      <c r="K3257" s="9" t="str">
        <f>IFERROR(__xludf.DUMMYFUNCTION("""COMPUTED_VALUE"""),"HTML/CSS")</f>
        <v>HTML/CSS</v>
      </c>
      <c r="L3257" s="9" t="str">
        <f>IFERROR(__xludf.DUMMYFUNCTION("""COMPUTED_VALUE"""),"Python")</f>
        <v>Python</v>
      </c>
      <c r="M3257" s="9" t="s">
        <v>22</v>
      </c>
    </row>
    <row r="3258" ht="15.75" customHeight="1">
      <c r="A3258" s="7"/>
      <c r="B3258" s="7" t="str">
        <f>IFERROR(__xludf.DUMMYFUNCTION("""COMPUTED_VALUE"""),"Assembly;C;HTML/CSS;Java;JavaScript;PHP;SQL")</f>
        <v>Assembly;C;HTML/CSS;Java;JavaScript;PHP;SQL</v>
      </c>
      <c r="C3258" s="9" t="str">
        <f>IFERROR(__xludf.DUMMYFUNCTION("""COMPUTED_VALUE"""),"HTML/CSS")</f>
        <v>HTML/CSS</v>
      </c>
      <c r="D3258" s="9" t="str">
        <f>IFERROR(__xludf.DUMMYFUNCTION("""COMPUTED_VALUE"""),"Python")</f>
        <v>Python</v>
      </c>
      <c r="E3258" s="9" t="str">
        <f>IFERROR(__xludf.DUMMYFUNCTION("""COMPUTED_VALUE"""),"Bash/Shell/PowerShell")</f>
        <v>Bash/Shell/PowerShell</v>
      </c>
      <c r="F3258" s="9" t="str">
        <f>IFERROR(__xludf.DUMMYFUNCTION("""COMPUTED_VALUE"""),"VBA")</f>
        <v>VBA</v>
      </c>
      <c r="G3258" s="9" t="str">
        <f>IFERROR(__xludf.DUMMYFUNCTION("""COMPUTED_VALUE"""),"Ruby")</f>
        <v>Ruby</v>
      </c>
      <c r="H3258" s="9" t="str">
        <f>IFERROR(__xludf.DUMMYFUNCTION("""COMPUTED_VALUE"""),"JavaScript")</f>
        <v>JavaScript</v>
      </c>
      <c r="I3258" s="9" t="str">
        <f>IFERROR(__xludf.DUMMYFUNCTION("""COMPUTED_VALUE"""),"Bash/Shell/PowerShell")</f>
        <v>Bash/Shell/PowerShell</v>
      </c>
      <c r="J3258" s="9" t="str">
        <f>IFERROR(__xludf.DUMMYFUNCTION("""COMPUTED_VALUE"""),"Kotlin")</f>
        <v>Kotlin</v>
      </c>
      <c r="K3258" s="9" t="str">
        <f>IFERROR(__xludf.DUMMYFUNCTION("""COMPUTED_VALUE"""),"JavaScript")</f>
        <v>JavaScript</v>
      </c>
      <c r="L3258" s="9" t="str">
        <f>IFERROR(__xludf.DUMMYFUNCTION("""COMPUTED_VALUE"""),"JavaScript")</f>
        <v>JavaScript</v>
      </c>
      <c r="M3258" s="9" t="s">
        <v>24</v>
      </c>
    </row>
    <row r="3259" ht="15.75" customHeight="1">
      <c r="A3259" s="7"/>
      <c r="B3259" s="7" t="str">
        <f>IFERROR(__xludf.DUMMYFUNCTION("""COMPUTED_VALUE"""),"Bash/Shell/PowerShell;Go;JavaScript;SQL")</f>
        <v>Bash/Shell/PowerShell;Go;JavaScript;SQL</v>
      </c>
      <c r="C3259" s="9" t="str">
        <f>IFERROR(__xludf.DUMMYFUNCTION("""COMPUTED_VALUE"""),"Java")</f>
        <v>Java</v>
      </c>
      <c r="D3259" s="9" t="str">
        <f>IFERROR(__xludf.DUMMYFUNCTION("""COMPUTED_VALUE"""),"SQL")</f>
        <v>SQL</v>
      </c>
      <c r="E3259" s="9" t="str">
        <f>IFERROR(__xludf.DUMMYFUNCTION("""COMPUTED_VALUE"""),"HTML/CSS")</f>
        <v>HTML/CSS</v>
      </c>
      <c r="F3259" s="9" t="str">
        <f>IFERROR(__xludf.DUMMYFUNCTION("""COMPUTED_VALUE"""),"Bash/Shell/PowerShell")</f>
        <v>Bash/Shell/PowerShell</v>
      </c>
      <c r="G3259" s="9" t="str">
        <f>IFERROR(__xludf.DUMMYFUNCTION("""COMPUTED_VALUE"""),"TypeScript")</f>
        <v>TypeScript</v>
      </c>
      <c r="H3259" s="9" t="str">
        <f>IFERROR(__xludf.DUMMYFUNCTION("""COMPUTED_VALUE"""),"PHP")</f>
        <v>PHP</v>
      </c>
      <c r="I3259" s="9" t="str">
        <f>IFERROR(__xludf.DUMMYFUNCTION("""COMPUTED_VALUE"""),"C++")</f>
        <v>C++</v>
      </c>
      <c r="J3259" s="9" t="str">
        <f>IFERROR(__xludf.DUMMYFUNCTION("""COMPUTED_VALUE"""),"Python")</f>
        <v>Python</v>
      </c>
      <c r="K3259" s="9" t="str">
        <f>IFERROR(__xludf.DUMMYFUNCTION("""COMPUTED_VALUE"""),"SQL")</f>
        <v>SQL</v>
      </c>
      <c r="L3259" s="9" t="str">
        <f>IFERROR(__xludf.DUMMYFUNCTION("""COMPUTED_VALUE"""),"TypeScript")</f>
        <v>TypeScript</v>
      </c>
      <c r="M3259" s="9" t="s">
        <v>20</v>
      </c>
    </row>
    <row r="3260" ht="15.75" customHeight="1">
      <c r="A3260" s="7"/>
      <c r="B3260" s="7" t="str">
        <f>IFERROR(__xludf.DUMMYFUNCTION("""COMPUTED_VALUE"""),"C;HTML/CSS;JavaScript;Python;Rust")</f>
        <v>C;HTML/CSS;JavaScript;Python;Rust</v>
      </c>
      <c r="C3260" s="9" t="str">
        <f>IFERROR(__xludf.DUMMYFUNCTION("""COMPUTED_VALUE"""),"JavaScript")</f>
        <v>JavaScript</v>
      </c>
      <c r="D3260" s="9" t="str">
        <f>IFERROR(__xludf.DUMMYFUNCTION("""COMPUTED_VALUE"""),"Swift")</f>
        <v>Swift</v>
      </c>
      <c r="E3260" s="9" t="str">
        <f>IFERROR(__xludf.DUMMYFUNCTION("""COMPUTED_VALUE"""),"Java")</f>
        <v>Java</v>
      </c>
      <c r="F3260" s="9" t="str">
        <f>IFERROR(__xludf.DUMMYFUNCTION("""COMPUTED_VALUE"""),"Go")</f>
        <v>Go</v>
      </c>
      <c r="G3260" s="9" t="str">
        <f>IFERROR(__xludf.DUMMYFUNCTION("""COMPUTED_VALUE"""),"HTML/CSS")</f>
        <v>HTML/CSS</v>
      </c>
      <c r="H3260" s="9" t="str">
        <f>IFERROR(__xludf.DUMMYFUNCTION("""COMPUTED_VALUE"""),"SQL")</f>
        <v>SQL</v>
      </c>
      <c r="I3260" s="9" t="str">
        <f>IFERROR(__xludf.DUMMYFUNCTION("""COMPUTED_VALUE"""),"C#")</f>
        <v>C#</v>
      </c>
      <c r="J3260" s="9" t="str">
        <f>IFERROR(__xludf.DUMMYFUNCTION("""COMPUTED_VALUE"""),"Clojure")</f>
        <v>Clojure</v>
      </c>
      <c r="K3260" s="9" t="str">
        <f>IFERROR(__xludf.DUMMYFUNCTION("""COMPUTED_VALUE"""),"TypeScript")</f>
        <v>TypeScript</v>
      </c>
      <c r="L3260" s="9" t="str">
        <f>IFERROR(__xludf.DUMMYFUNCTION("""COMPUTED_VALUE"""),"Bash/Shell/PowerShell")</f>
        <v>Bash/Shell/PowerShell</v>
      </c>
      <c r="M3260" s="9" t="s">
        <v>21</v>
      </c>
    </row>
    <row r="3261" ht="15.75" customHeight="1">
      <c r="A3261" s="7"/>
      <c r="B3261" s="7" t="str">
        <f>IFERROR(__xludf.DUMMYFUNCTION("""COMPUTED_VALUE"""),"C++;HTML/CSS;Java;SQL")</f>
        <v>C++;HTML/CSS;Java;SQL</v>
      </c>
      <c r="C3261" s="9" t="str">
        <f>IFERROR(__xludf.DUMMYFUNCTION("""COMPUTED_VALUE"""),"Python")</f>
        <v>Python</v>
      </c>
      <c r="D3261" s="9" t="str">
        <f>IFERROR(__xludf.DUMMYFUNCTION("""COMPUTED_VALUE"""),"Java")</f>
        <v>Java</v>
      </c>
      <c r="E3261" s="9" t="str">
        <f>IFERROR(__xludf.DUMMYFUNCTION("""COMPUTED_VALUE"""),"JavaScript")</f>
        <v>JavaScript</v>
      </c>
      <c r="F3261" s="9" t="str">
        <f>IFERROR(__xludf.DUMMYFUNCTION("""COMPUTED_VALUE"""),"HTML/CSS")</f>
        <v>HTML/CSS</v>
      </c>
      <c r="G3261" s="9" t="str">
        <f>IFERROR(__xludf.DUMMYFUNCTION("""COMPUTED_VALUE"""),"Java")</f>
        <v>Java</v>
      </c>
      <c r="H3261" s="9" t="str">
        <f>IFERROR(__xludf.DUMMYFUNCTION("""COMPUTED_VALUE"""),"VBA")</f>
        <v>VBA</v>
      </c>
      <c r="I3261" s="9" t="str">
        <f>IFERROR(__xludf.DUMMYFUNCTION("""COMPUTED_VALUE"""),"Go")</f>
        <v>Go</v>
      </c>
      <c r="J3261" s="9" t="str">
        <f>IFERROR(__xludf.DUMMYFUNCTION("""COMPUTED_VALUE"""),"HTML/CSS")</f>
        <v>HTML/CSS</v>
      </c>
      <c r="K3261" s="9" t="str">
        <f>IFERROR(__xludf.DUMMYFUNCTION("""COMPUTED_VALUE"""),"Bash/Shell/PowerShell")</f>
        <v>Bash/Shell/PowerShell</v>
      </c>
      <c r="L3261" s="9" t="str">
        <f>IFERROR(__xludf.DUMMYFUNCTION("""COMPUTED_VALUE"""),"HTML/CSS")</f>
        <v>HTML/CSS</v>
      </c>
      <c r="M3261" s="9" t="s">
        <v>22</v>
      </c>
    </row>
    <row r="3262" ht="15.75" customHeight="1">
      <c r="A3262" s="7"/>
      <c r="B3262" s="7" t="str">
        <f>IFERROR(__xludf.DUMMYFUNCTION("""COMPUTED_VALUE"""),"C++;C#")</f>
        <v>C++;C#</v>
      </c>
      <c r="C3262" s="9" t="str">
        <f>IFERROR(__xludf.DUMMYFUNCTION("""COMPUTED_VALUE"""),"SQL")</f>
        <v>SQL</v>
      </c>
      <c r="D3262" s="9" t="str">
        <f>IFERROR(__xludf.DUMMYFUNCTION("""COMPUTED_VALUE"""),"JavaScript")</f>
        <v>JavaScript</v>
      </c>
      <c r="E3262" s="9" t="str">
        <f>IFERROR(__xludf.DUMMYFUNCTION("""COMPUTED_VALUE"""),"Python")</f>
        <v>Python</v>
      </c>
      <c r="F3262" s="9" t="str">
        <f>IFERROR(__xludf.DUMMYFUNCTION("""COMPUTED_VALUE"""),"Java")</f>
        <v>Java</v>
      </c>
      <c r="G3262" s="9" t="str">
        <f>IFERROR(__xludf.DUMMYFUNCTION("""COMPUTED_VALUE"""),"JavaScript")</f>
        <v>JavaScript</v>
      </c>
      <c r="H3262" s="9" t="str">
        <f>IFERROR(__xludf.DUMMYFUNCTION("""COMPUTED_VALUE"""),"C#")</f>
        <v>C#</v>
      </c>
      <c r="I3262" s="9" t="str">
        <f>IFERROR(__xludf.DUMMYFUNCTION("""COMPUTED_VALUE"""),"HTML/CSS")</f>
        <v>HTML/CSS</v>
      </c>
      <c r="J3262" s="9" t="str">
        <f>IFERROR(__xludf.DUMMYFUNCTION("""COMPUTED_VALUE"""),"Assembly")</f>
        <v>Assembly</v>
      </c>
      <c r="K3262" s="9" t="str">
        <f>IFERROR(__xludf.DUMMYFUNCTION("""COMPUTED_VALUE"""),"Go")</f>
        <v>Go</v>
      </c>
      <c r="L3262" s="9" t="str">
        <f>IFERROR(__xludf.DUMMYFUNCTION("""COMPUTED_VALUE"""),"Python")</f>
        <v>Python</v>
      </c>
      <c r="M3262" s="9" t="s">
        <v>27</v>
      </c>
    </row>
    <row r="3263" ht="15.75" customHeight="1">
      <c r="A3263" s="7"/>
      <c r="B3263" s="7" t="str">
        <f>IFERROR(__xludf.DUMMYFUNCTION("""COMPUTED_VALUE"""),"HTML/CSS;Java;JavaScript;Python;TypeScript")</f>
        <v>HTML/CSS;Java;JavaScript;Python;TypeScript</v>
      </c>
      <c r="C3263" s="9" t="str">
        <f>IFERROR(__xludf.DUMMYFUNCTION("""COMPUTED_VALUE"""),"TypeScript")</f>
        <v>TypeScript</v>
      </c>
      <c r="D3263" s="9" t="str">
        <f>IFERROR(__xludf.DUMMYFUNCTION("""COMPUTED_VALUE"""),"C#")</f>
        <v>C#</v>
      </c>
      <c r="E3263" s="9" t="str">
        <f>IFERROR(__xludf.DUMMYFUNCTION("""COMPUTED_VALUE"""),"C#")</f>
        <v>C#</v>
      </c>
      <c r="F3263" s="9" t="str">
        <f>IFERROR(__xludf.DUMMYFUNCTION("""COMPUTED_VALUE"""),"JavaScript")</f>
        <v>JavaScript</v>
      </c>
      <c r="G3263" s="9" t="str">
        <f>IFERROR(__xludf.DUMMYFUNCTION("""COMPUTED_VALUE"""),"SQL")</f>
        <v>SQL</v>
      </c>
      <c r="H3263" s="9" t="str">
        <f>IFERROR(__xludf.DUMMYFUNCTION("""COMPUTED_VALUE"""),"Go")</f>
        <v>Go</v>
      </c>
      <c r="I3263" s="9" t="str">
        <f>IFERROR(__xludf.DUMMYFUNCTION("""COMPUTED_VALUE"""),"Java")</f>
        <v>Java</v>
      </c>
      <c r="J3263" s="9" t="str">
        <f>IFERROR(__xludf.DUMMYFUNCTION("""COMPUTED_VALUE"""),"Bash/Shell/PowerShell")</f>
        <v>Bash/Shell/PowerShell</v>
      </c>
      <c r="K3263" s="9" t="str">
        <f>IFERROR(__xludf.DUMMYFUNCTION("""COMPUTED_VALUE"""),"Python")</f>
        <v>Python</v>
      </c>
      <c r="L3263" s="9" t="str">
        <f>IFERROR(__xludf.DUMMYFUNCTION("""COMPUTED_VALUE"""),"SQL")</f>
        <v>SQL</v>
      </c>
      <c r="M3263" s="9" t="s">
        <v>33</v>
      </c>
    </row>
    <row r="3264" ht="15.75" customHeight="1">
      <c r="A3264" s="7"/>
      <c r="B3264" s="7" t="str">
        <f>IFERROR(__xludf.DUMMYFUNCTION("""COMPUTED_VALUE"""),"HTML/CSS;JavaScript;SQL")</f>
        <v>HTML/CSS;JavaScript;SQL</v>
      </c>
      <c r="C3264" s="9" t="str">
        <f>IFERROR(__xludf.DUMMYFUNCTION("""COMPUTED_VALUE"""),"Bash/Shell/PowerShell")</f>
        <v>Bash/Shell/PowerShell</v>
      </c>
      <c r="D3264" s="9" t="str">
        <f>IFERROR(__xludf.DUMMYFUNCTION("""COMPUTED_VALUE"""),"HTML/CSS")</f>
        <v>HTML/CSS</v>
      </c>
      <c r="E3264" s="9" t="str">
        <f>IFERROR(__xludf.DUMMYFUNCTION("""COMPUTED_VALUE"""),"HTML/CSS")</f>
        <v>HTML/CSS</v>
      </c>
      <c r="F3264" s="9" t="str">
        <f>IFERROR(__xludf.DUMMYFUNCTION("""COMPUTED_VALUE"""),"Python")</f>
        <v>Python</v>
      </c>
      <c r="G3264" s="9" t="str">
        <f>IFERROR(__xludf.DUMMYFUNCTION("""COMPUTED_VALUE"""),"Other(s):")</f>
        <v>Other(s):</v>
      </c>
      <c r="H3264" s="9" t="str">
        <f>IFERROR(__xludf.DUMMYFUNCTION("""COMPUTED_VALUE"""),"HTML/CSS")</f>
        <v>HTML/CSS</v>
      </c>
      <c r="I3264" s="9" t="str">
        <f>IFERROR(__xludf.DUMMYFUNCTION("""COMPUTED_VALUE"""),"JavaScript")</f>
        <v>JavaScript</v>
      </c>
      <c r="J3264" s="9" t="str">
        <f>IFERROR(__xludf.DUMMYFUNCTION("""COMPUTED_VALUE"""),"C")</f>
        <v>C</v>
      </c>
      <c r="K3264" s="9" t="str">
        <f>IFERROR(__xludf.DUMMYFUNCTION("""COMPUTED_VALUE"""),"SQL")</f>
        <v>SQL</v>
      </c>
      <c r="L3264" s="9" t="str">
        <f>IFERROR(__xludf.DUMMYFUNCTION("""COMPUTED_VALUE"""),"Bash/Shell/PowerShell")</f>
        <v>Bash/Shell/PowerShell</v>
      </c>
      <c r="M3264" s="9" t="s">
        <v>30</v>
      </c>
    </row>
    <row r="3265" ht="15.75" customHeight="1">
      <c r="A3265" s="7"/>
      <c r="B3265" s="7" t="str">
        <f>IFERROR(__xludf.DUMMYFUNCTION("""COMPUTED_VALUE"""),"Bash/Shell/PowerShell;Java;SQL;Other(s):")</f>
        <v>Bash/Shell/PowerShell;Java;SQL;Other(s):</v>
      </c>
      <c r="C3265" s="9" t="str">
        <f>IFERROR(__xludf.DUMMYFUNCTION("""COMPUTED_VALUE"""),"HTML/CSS")</f>
        <v>HTML/CSS</v>
      </c>
      <c r="D3265" s="9" t="str">
        <f>IFERROR(__xludf.DUMMYFUNCTION("""COMPUTED_VALUE"""),"JavaScript")</f>
        <v>JavaScript</v>
      </c>
      <c r="E3265" s="9" t="str">
        <f>IFERROR(__xludf.DUMMYFUNCTION("""COMPUTED_VALUE"""),"Java")</f>
        <v>Java</v>
      </c>
      <c r="F3265" s="9" t="str">
        <f>IFERROR(__xludf.DUMMYFUNCTION("""COMPUTED_VALUE"""),"Ruby")</f>
        <v>Ruby</v>
      </c>
      <c r="G3265" s="9" t="str">
        <f>IFERROR(__xludf.DUMMYFUNCTION("""COMPUTED_VALUE"""),"C++")</f>
        <v>C++</v>
      </c>
      <c r="H3265" s="9" t="str">
        <f>IFERROR(__xludf.DUMMYFUNCTION("""COMPUTED_VALUE"""),"Java")</f>
        <v>Java</v>
      </c>
      <c r="I3265" s="9" t="str">
        <f>IFERROR(__xludf.DUMMYFUNCTION("""COMPUTED_VALUE"""),"Objective-C")</f>
        <v>Objective-C</v>
      </c>
      <c r="J3265" s="9" t="str">
        <f>IFERROR(__xludf.DUMMYFUNCTION("""COMPUTED_VALUE"""),"C++")</f>
        <v>C++</v>
      </c>
      <c r="K3265" s="9" t="str">
        <f>IFERROR(__xludf.DUMMYFUNCTION("""COMPUTED_VALUE"""),"Bash/Shell/PowerShell")</f>
        <v>Bash/Shell/PowerShell</v>
      </c>
      <c r="L3265" s="9" t="str">
        <f>IFERROR(__xludf.DUMMYFUNCTION("""COMPUTED_VALUE"""),"C")</f>
        <v>C</v>
      </c>
      <c r="M3265" s="9" t="s">
        <v>24</v>
      </c>
    </row>
    <row r="3266" ht="15.75" customHeight="1">
      <c r="A3266" s="7"/>
      <c r="B3266" s="7" t="str">
        <f>IFERROR(__xludf.DUMMYFUNCTION("""COMPUTED_VALUE"""),"HTML/CSS;JavaScript;PHP;R;SQL;TypeScript;VBA")</f>
        <v>HTML/CSS;JavaScript;PHP;R;SQL;TypeScript;VBA</v>
      </c>
      <c r="C3266" s="9" t="str">
        <f>IFERROR(__xludf.DUMMYFUNCTION("""COMPUTED_VALUE"""),"JavaScript")</f>
        <v>JavaScript</v>
      </c>
      <c r="D3266" s="9" t="str">
        <f>IFERROR(__xludf.DUMMYFUNCTION("""COMPUTED_VALUE"""),"PHP")</f>
        <v>PHP</v>
      </c>
      <c r="E3266" s="9" t="str">
        <f>IFERROR(__xludf.DUMMYFUNCTION("""COMPUTED_VALUE"""),"JavaScript")</f>
        <v>JavaScript</v>
      </c>
      <c r="F3266" s="9" t="str">
        <f>IFERROR(__xludf.DUMMYFUNCTION("""COMPUTED_VALUE"""),"Bash/Shell/PowerShell")</f>
        <v>Bash/Shell/PowerShell</v>
      </c>
      <c r="G3266" s="9" t="str">
        <f>IFERROR(__xludf.DUMMYFUNCTION("""COMPUTED_VALUE"""),"C#")</f>
        <v>C#</v>
      </c>
      <c r="H3266" s="9" t="str">
        <f>IFERROR(__xludf.DUMMYFUNCTION("""COMPUTED_VALUE"""),"JavaScript")</f>
        <v>JavaScript</v>
      </c>
      <c r="I3266" s="9" t="str">
        <f>IFERROR(__xludf.DUMMYFUNCTION("""COMPUTED_VALUE"""),"Ruby")</f>
        <v>Ruby</v>
      </c>
      <c r="J3266" s="9" t="str">
        <f>IFERROR(__xludf.DUMMYFUNCTION("""COMPUTED_VALUE"""),"Java")</f>
        <v>Java</v>
      </c>
      <c r="K3266" s="9" t="str">
        <f>IFERROR(__xludf.DUMMYFUNCTION("""COMPUTED_VALUE"""),"C")</f>
        <v>C</v>
      </c>
      <c r="L3266" s="9" t="str">
        <f>IFERROR(__xludf.DUMMYFUNCTION("""COMPUTED_VALUE"""),"C++")</f>
        <v>C++</v>
      </c>
      <c r="M3266" s="9" t="s">
        <v>21</v>
      </c>
    </row>
    <row r="3267" ht="15.75" customHeight="1">
      <c r="A3267" s="7"/>
      <c r="B3267" s="7" t="str">
        <f>IFERROR(__xludf.DUMMYFUNCTION("""COMPUTED_VALUE"""),"Java;JavaScript;PHP")</f>
        <v>Java;JavaScript;PHP</v>
      </c>
      <c r="C3267" s="9" t="str">
        <f>IFERROR(__xludf.DUMMYFUNCTION("""COMPUTED_VALUE"""),"PHP")</f>
        <v>PHP</v>
      </c>
      <c r="D3267" s="9" t="str">
        <f>IFERROR(__xludf.DUMMYFUNCTION("""COMPUTED_VALUE"""),"SQL")</f>
        <v>SQL</v>
      </c>
      <c r="E3267" s="9" t="str">
        <f>IFERROR(__xludf.DUMMYFUNCTION("""COMPUTED_VALUE"""),"PHP")</f>
        <v>PHP</v>
      </c>
      <c r="F3267" s="9" t="str">
        <f>IFERROR(__xludf.DUMMYFUNCTION("""COMPUTED_VALUE"""),"C++")</f>
        <v>C++</v>
      </c>
      <c r="G3267" s="9" t="str">
        <f>IFERROR(__xludf.DUMMYFUNCTION("""COMPUTED_VALUE"""),"HTML/CSS")</f>
        <v>HTML/CSS</v>
      </c>
      <c r="H3267" s="9" t="str">
        <f>IFERROR(__xludf.DUMMYFUNCTION("""COMPUTED_VALUE"""),"PHP")</f>
        <v>PHP</v>
      </c>
      <c r="I3267" s="9" t="str">
        <f>IFERROR(__xludf.DUMMYFUNCTION("""COMPUTED_VALUE"""),"TypeScript")</f>
        <v>TypeScript</v>
      </c>
      <c r="J3267" s="9" t="str">
        <f>IFERROR(__xludf.DUMMYFUNCTION("""COMPUTED_VALUE"""),"Objective-C")</f>
        <v>Objective-C</v>
      </c>
      <c r="K3267" s="9" t="str">
        <f>IFERROR(__xludf.DUMMYFUNCTION("""COMPUTED_VALUE"""),"C#")</f>
        <v>C#</v>
      </c>
      <c r="L3267" s="9" t="str">
        <f>IFERROR(__xludf.DUMMYFUNCTION("""COMPUTED_VALUE"""),"Bash/Shell/PowerShell")</f>
        <v>Bash/Shell/PowerShell</v>
      </c>
      <c r="M3267" s="9" t="s">
        <v>37</v>
      </c>
    </row>
    <row r="3268" ht="15.75" customHeight="1">
      <c r="A3268" s="7"/>
      <c r="B3268" s="7" t="str">
        <f>IFERROR(__xludf.DUMMYFUNCTION("""COMPUTED_VALUE"""),"Bash/Shell/PowerShell;HTML/CSS;Java;JavaScript;Python")</f>
        <v>Bash/Shell/PowerShell;HTML/CSS;Java;JavaScript;Python</v>
      </c>
      <c r="C3268" s="9" t="str">
        <f>IFERROR(__xludf.DUMMYFUNCTION("""COMPUTED_VALUE"""),"Python")</f>
        <v>Python</v>
      </c>
      <c r="D3268" s="9" t="str">
        <f>IFERROR(__xludf.DUMMYFUNCTION("""COMPUTED_VALUE"""),"Bash/Shell/PowerShell")</f>
        <v>Bash/Shell/PowerShell</v>
      </c>
      <c r="E3268" s="9" t="str">
        <f>IFERROR(__xludf.DUMMYFUNCTION("""COMPUTED_VALUE"""),"SQL")</f>
        <v>SQL</v>
      </c>
      <c r="F3268" s="9" t="str">
        <f>IFERROR(__xludf.DUMMYFUNCTION("""COMPUTED_VALUE"""),"C#")</f>
        <v>C#</v>
      </c>
      <c r="G3268" s="9" t="str">
        <f>IFERROR(__xludf.DUMMYFUNCTION("""COMPUTED_VALUE"""),"Java")</f>
        <v>Java</v>
      </c>
      <c r="H3268" s="9" t="str">
        <f>IFERROR(__xludf.DUMMYFUNCTION("""COMPUTED_VALUE"""),"SQL")</f>
        <v>SQL</v>
      </c>
      <c r="I3268" s="9" t="str">
        <f>IFERROR(__xludf.DUMMYFUNCTION("""COMPUTED_VALUE"""),"JavaScript")</f>
        <v>JavaScript</v>
      </c>
      <c r="J3268" s="9" t="str">
        <f>IFERROR(__xludf.DUMMYFUNCTION("""COMPUTED_VALUE"""),"SQL")</f>
        <v>SQL</v>
      </c>
      <c r="K3268" s="9" t="str">
        <f>IFERROR(__xludf.DUMMYFUNCTION("""COMPUTED_VALUE"""),"HTML/CSS")</f>
        <v>HTML/CSS</v>
      </c>
      <c r="L3268" s="9" t="str">
        <f>IFERROR(__xludf.DUMMYFUNCTION("""COMPUTED_VALUE"""),"Java")</f>
        <v>Java</v>
      </c>
      <c r="M3268" s="9" t="s">
        <v>22</v>
      </c>
    </row>
    <row r="3269" ht="15.75" customHeight="1">
      <c r="A3269" s="7"/>
      <c r="B3269" s="7" t="str">
        <f>IFERROR(__xludf.DUMMYFUNCTION("""COMPUTED_VALUE"""),"Assembly;Bash/Shell/PowerShell;C;C++;Go;Python")</f>
        <v>Assembly;Bash/Shell/PowerShell;C;C++;Go;Python</v>
      </c>
      <c r="C3269" s="9" t="str">
        <f>IFERROR(__xludf.DUMMYFUNCTION("""COMPUTED_VALUE"""),"SQL")</f>
        <v>SQL</v>
      </c>
      <c r="D3269" s="9" t="str">
        <f>IFERROR(__xludf.DUMMYFUNCTION("""COMPUTED_VALUE"""),"HTML/CSS")</f>
        <v>HTML/CSS</v>
      </c>
      <c r="E3269" s="9" t="str">
        <f>IFERROR(__xludf.DUMMYFUNCTION("""COMPUTED_VALUE"""),"TypeScript")</f>
        <v>TypeScript</v>
      </c>
      <c r="F3269" s="9" t="str">
        <f>IFERROR(__xludf.DUMMYFUNCTION("""COMPUTED_VALUE"""),"Go")</f>
        <v>Go</v>
      </c>
      <c r="G3269" s="9" t="str">
        <f>IFERROR(__xludf.DUMMYFUNCTION("""COMPUTED_VALUE"""),"JavaScript")</f>
        <v>JavaScript</v>
      </c>
      <c r="H3269" s="9" t="str">
        <f>IFERROR(__xludf.DUMMYFUNCTION("""COMPUTED_VALUE"""),"TypeScript")</f>
        <v>TypeScript</v>
      </c>
      <c r="I3269" s="9" t="str">
        <f>IFERROR(__xludf.DUMMYFUNCTION("""COMPUTED_VALUE"""),"PHP")</f>
        <v>PHP</v>
      </c>
      <c r="J3269" s="9" t="str">
        <f>IFERROR(__xludf.DUMMYFUNCTION("""COMPUTED_VALUE"""),"Swift")</f>
        <v>Swift</v>
      </c>
      <c r="K3269" s="9" t="str">
        <f>IFERROR(__xludf.DUMMYFUNCTION("""COMPUTED_VALUE"""),"JavaScript")</f>
        <v>JavaScript</v>
      </c>
      <c r="L3269" s="9" t="str">
        <f>IFERROR(__xludf.DUMMYFUNCTION("""COMPUTED_VALUE"""),"Python")</f>
        <v>Python</v>
      </c>
      <c r="M3269" s="9" t="s">
        <v>27</v>
      </c>
    </row>
    <row r="3270" ht="15.75" customHeight="1">
      <c r="A3270" s="7"/>
      <c r="B3270" s="7" t="str">
        <f>IFERROR(__xludf.DUMMYFUNCTION("""COMPUTED_VALUE"""),"HTML/CSS;JavaScript;PHP;Swift")</f>
        <v>HTML/CSS;JavaScript;PHP;Swift</v>
      </c>
      <c r="C3270" s="9" t="str">
        <f>IFERROR(__xludf.DUMMYFUNCTION("""COMPUTED_VALUE"""),"Python")</f>
        <v>Python</v>
      </c>
      <c r="D3270" s="9" t="str">
        <f>IFERROR(__xludf.DUMMYFUNCTION("""COMPUTED_VALUE"""),"JavaScript")</f>
        <v>JavaScript</v>
      </c>
      <c r="E3270" s="9" t="str">
        <f>IFERROR(__xludf.DUMMYFUNCTION("""COMPUTED_VALUE"""),"C#")</f>
        <v>C#</v>
      </c>
      <c r="F3270" s="9" t="str">
        <f>IFERROR(__xludf.DUMMYFUNCTION("""COMPUTED_VALUE"""),"JavaScript")</f>
        <v>JavaScript</v>
      </c>
      <c r="G3270" s="9" t="str">
        <f>IFERROR(__xludf.DUMMYFUNCTION("""COMPUTED_VALUE"""),"SQL")</f>
        <v>SQL</v>
      </c>
      <c r="H3270" s="9" t="str">
        <f>IFERROR(__xludf.DUMMYFUNCTION("""COMPUTED_VALUE"""),"C++")</f>
        <v>C++</v>
      </c>
      <c r="I3270" s="9" t="str">
        <f>IFERROR(__xludf.DUMMYFUNCTION("""COMPUTED_VALUE"""),"SQL")</f>
        <v>SQL</v>
      </c>
      <c r="J3270" s="9" t="str">
        <f>IFERROR(__xludf.DUMMYFUNCTION("""COMPUTED_VALUE"""),"HTML/CSS")</f>
        <v>HTML/CSS</v>
      </c>
      <c r="K3270" s="9" t="str">
        <f>IFERROR(__xludf.DUMMYFUNCTION("""COMPUTED_VALUE"""),"Python")</f>
        <v>Python</v>
      </c>
      <c r="L3270" s="9" t="str">
        <f>IFERROR(__xludf.DUMMYFUNCTION("""COMPUTED_VALUE"""),"SQL")</f>
        <v>SQL</v>
      </c>
      <c r="M3270" s="9" t="s">
        <v>22</v>
      </c>
    </row>
    <row r="3271" ht="15.75" customHeight="1">
      <c r="A3271" s="7"/>
      <c r="B3271" s="7" t="str">
        <f>IFERROR(__xludf.DUMMYFUNCTION("""COMPUTED_VALUE"""),"C#;HTML/CSS;JavaScript")</f>
        <v>C#;HTML/CSS;JavaScript</v>
      </c>
      <c r="C3271" s="9" t="str">
        <f>IFERROR(__xludf.DUMMYFUNCTION("""COMPUTED_VALUE"""),"SQL")</f>
        <v>SQL</v>
      </c>
      <c r="D3271" s="9" t="str">
        <f>IFERROR(__xludf.DUMMYFUNCTION("""COMPUTED_VALUE"""),"PHP")</f>
        <v>PHP</v>
      </c>
      <c r="E3271" s="9" t="str">
        <f>IFERROR(__xludf.DUMMYFUNCTION("""COMPUTED_VALUE"""),"HTML/CSS")</f>
        <v>HTML/CSS</v>
      </c>
      <c r="F3271" s="9" t="str">
        <f>IFERROR(__xludf.DUMMYFUNCTION("""COMPUTED_VALUE"""),"PHP")</f>
        <v>PHP</v>
      </c>
      <c r="G3271" s="9" t="str">
        <f>IFERROR(__xludf.DUMMYFUNCTION("""COMPUTED_VALUE"""),"TypeScript")</f>
        <v>TypeScript</v>
      </c>
      <c r="H3271" s="9" t="str">
        <f>IFERROR(__xludf.DUMMYFUNCTION("""COMPUTED_VALUE"""),"JavaScript")</f>
        <v>JavaScript</v>
      </c>
      <c r="I3271" s="9" t="str">
        <f>IFERROR(__xludf.DUMMYFUNCTION("""COMPUTED_VALUE"""),"C")</f>
        <v>C</v>
      </c>
      <c r="J3271" s="9" t="str">
        <f>IFERROR(__xludf.DUMMYFUNCTION("""COMPUTED_VALUE"""),"JavaScript")</f>
        <v>JavaScript</v>
      </c>
      <c r="K3271" s="9" t="str">
        <f>IFERROR(__xludf.DUMMYFUNCTION("""COMPUTED_VALUE"""),"SQL")</f>
        <v>SQL</v>
      </c>
      <c r="L3271" s="9" t="str">
        <f>IFERROR(__xludf.DUMMYFUNCTION("""COMPUTED_VALUE"""),"HTML/CSS")</f>
        <v>HTML/CSS</v>
      </c>
      <c r="M3271" s="9" t="s">
        <v>27</v>
      </c>
    </row>
    <row r="3272" ht="15.75" customHeight="1">
      <c r="A3272" s="7"/>
      <c r="B3272" s="7" t="str">
        <f>IFERROR(__xludf.DUMMYFUNCTION("""COMPUTED_VALUE"""),"Bash/Shell/PowerShell;C;HTML/CSS;Java;JavaScript;PHP;Python;R;SQL;TypeScript")</f>
        <v>Bash/Shell/PowerShell;C;HTML/CSS;Java;JavaScript;PHP;Python;R;SQL;TypeScript</v>
      </c>
      <c r="C3272" s="9" t="str">
        <f>IFERROR(__xludf.DUMMYFUNCTION("""COMPUTED_VALUE"""),"VBA")</f>
        <v>VBA</v>
      </c>
      <c r="D3272" s="9" t="str">
        <f>IFERROR(__xludf.DUMMYFUNCTION("""COMPUTED_VALUE"""),"SQL")</f>
        <v>SQL</v>
      </c>
      <c r="E3272" s="9" t="str">
        <f>IFERROR(__xludf.DUMMYFUNCTION("""COMPUTED_VALUE"""),"JavaScript")</f>
        <v>JavaScript</v>
      </c>
      <c r="F3272" s="9" t="str">
        <f>IFERROR(__xludf.DUMMYFUNCTION("""COMPUTED_VALUE"""),"SQL")</f>
        <v>SQL</v>
      </c>
      <c r="G3272" s="9" t="str">
        <f>IFERROR(__xludf.DUMMYFUNCTION("""COMPUTED_VALUE"""),"VBA")</f>
        <v>VBA</v>
      </c>
      <c r="H3272" s="9" t="str">
        <f>IFERROR(__xludf.DUMMYFUNCTION("""COMPUTED_VALUE"""),"Objective-C")</f>
        <v>Objective-C</v>
      </c>
      <c r="I3272" s="9" t="str">
        <f>IFERROR(__xludf.DUMMYFUNCTION("""COMPUTED_VALUE"""),"C++")</f>
        <v>C++</v>
      </c>
      <c r="J3272" s="9" t="str">
        <f>IFERROR(__xludf.DUMMYFUNCTION("""COMPUTED_VALUE"""),"PHP")</f>
        <v>PHP</v>
      </c>
      <c r="K3272" s="9" t="str">
        <f>IFERROR(__xludf.DUMMYFUNCTION("""COMPUTED_VALUE"""),"Bash/Shell/PowerShell")</f>
        <v>Bash/Shell/PowerShell</v>
      </c>
      <c r="L3272" s="9" t="str">
        <f>IFERROR(__xludf.DUMMYFUNCTION("""COMPUTED_VALUE"""),"TypeScript")</f>
        <v>TypeScript</v>
      </c>
      <c r="M3272" s="9" t="s">
        <v>28</v>
      </c>
    </row>
    <row r="3273" ht="15.75" customHeight="1">
      <c r="A3273" s="7"/>
      <c r="B3273" s="7" t="str">
        <f>IFERROR(__xludf.DUMMYFUNCTION("""COMPUTED_VALUE"""),"Elixir;JavaScript;Ruby;SQL")</f>
        <v>Elixir;JavaScript;Ruby;SQL</v>
      </c>
      <c r="C3273" s="9" t="str">
        <f>IFERROR(__xludf.DUMMYFUNCTION("""COMPUTED_VALUE"""),"HTML/CSS")</f>
        <v>HTML/CSS</v>
      </c>
      <c r="D3273" s="9" t="str">
        <f>IFERROR(__xludf.DUMMYFUNCTION("""COMPUTED_VALUE"""),"TypeScript")</f>
        <v>TypeScript</v>
      </c>
      <c r="E3273" s="9" t="str">
        <f>IFERROR(__xludf.DUMMYFUNCTION("""COMPUTED_VALUE"""),"TypeScript")</f>
        <v>TypeScript</v>
      </c>
      <c r="F3273" s="9" t="str">
        <f>IFERROR(__xludf.DUMMYFUNCTION("""COMPUTED_VALUE"""),"TypeScript")</f>
        <v>TypeScript</v>
      </c>
      <c r="G3273" s="9" t="str">
        <f>IFERROR(__xludf.DUMMYFUNCTION("""COMPUTED_VALUE"""),"Bash/Shell/PowerShell")</f>
        <v>Bash/Shell/PowerShell</v>
      </c>
      <c r="H3273" s="9" t="str">
        <f>IFERROR(__xludf.DUMMYFUNCTION("""COMPUTED_VALUE"""),"Swift")</f>
        <v>Swift</v>
      </c>
      <c r="I3273" s="9" t="str">
        <f>IFERROR(__xludf.DUMMYFUNCTION("""COMPUTED_VALUE"""),"C#")</f>
        <v>C#</v>
      </c>
      <c r="J3273" s="9" t="str">
        <f>IFERROR(__xludf.DUMMYFUNCTION("""COMPUTED_VALUE"""),"C++")</f>
        <v>C++</v>
      </c>
      <c r="K3273" s="9" t="str">
        <f>IFERROR(__xludf.DUMMYFUNCTION("""COMPUTED_VALUE"""),"Python")</f>
        <v>Python</v>
      </c>
      <c r="L3273" s="9" t="str">
        <f>IFERROR(__xludf.DUMMYFUNCTION("""COMPUTED_VALUE"""),"HTML/CSS")</f>
        <v>HTML/CSS</v>
      </c>
      <c r="M3273" s="9" t="s">
        <v>24</v>
      </c>
    </row>
    <row r="3274" ht="15.75" customHeight="1">
      <c r="A3274" s="7"/>
      <c r="B3274" s="7" t="str">
        <f>IFERROR(__xludf.DUMMYFUNCTION("""COMPUTED_VALUE"""),"C#;Java;SQL")</f>
        <v>C#;Java;SQL</v>
      </c>
      <c r="C3274" s="9" t="str">
        <f>IFERROR(__xludf.DUMMYFUNCTION("""COMPUTED_VALUE"""),"JavaScript")</f>
        <v>JavaScript</v>
      </c>
      <c r="D3274" s="9" t="str">
        <f>IFERROR(__xludf.DUMMYFUNCTION("""COMPUTED_VALUE"""),"Assembly")</f>
        <v>Assembly</v>
      </c>
      <c r="E3274" s="9" t="str">
        <f>IFERROR(__xludf.DUMMYFUNCTION("""COMPUTED_VALUE"""),"C")</f>
        <v>C</v>
      </c>
      <c r="F3274" s="9" t="str">
        <f>IFERROR(__xludf.DUMMYFUNCTION("""COMPUTED_VALUE"""),"HTML/CSS")</f>
        <v>HTML/CSS</v>
      </c>
      <c r="G3274" s="9" t="str">
        <f>IFERROR(__xludf.DUMMYFUNCTION("""COMPUTED_VALUE"""),"HTML/CSS")</f>
        <v>HTML/CSS</v>
      </c>
      <c r="H3274" s="9" t="str">
        <f>IFERROR(__xludf.DUMMYFUNCTION("""COMPUTED_VALUE"""),"HTML/CSS")</f>
        <v>HTML/CSS</v>
      </c>
      <c r="I3274" s="9" t="str">
        <f>IFERROR(__xludf.DUMMYFUNCTION("""COMPUTED_VALUE"""),"HTML/CSS")</f>
        <v>HTML/CSS</v>
      </c>
      <c r="J3274" s="9" t="str">
        <f>IFERROR(__xludf.DUMMYFUNCTION("""COMPUTED_VALUE"""),"C#")</f>
        <v>C#</v>
      </c>
      <c r="K3274" s="9" t="str">
        <f>IFERROR(__xludf.DUMMYFUNCTION("""COMPUTED_VALUE"""),"Other(s):")</f>
        <v>Other(s):</v>
      </c>
      <c r="L3274" s="9" t="str">
        <f>IFERROR(__xludf.DUMMYFUNCTION("""COMPUTED_VALUE"""),"JavaScript")</f>
        <v>JavaScript</v>
      </c>
      <c r="M3274" s="9" t="s">
        <v>21</v>
      </c>
    </row>
    <row r="3275" ht="15.75" customHeight="1">
      <c r="A3275" s="7"/>
      <c r="B3275" s="7" t="str">
        <f>IFERROR(__xludf.DUMMYFUNCTION("""COMPUTED_VALUE"""),"Bash/Shell/PowerShell;Go;JavaScript;Python;TypeScript")</f>
        <v>Bash/Shell/PowerShell;Go;JavaScript;Python;TypeScript</v>
      </c>
      <c r="C3275" s="9" t="str">
        <f>IFERROR(__xludf.DUMMYFUNCTION("""COMPUTED_VALUE"""),"Python")</f>
        <v>Python</v>
      </c>
      <c r="D3275" s="9" t="str">
        <f>IFERROR(__xludf.DUMMYFUNCTION("""COMPUTED_VALUE"""),"Bash/Shell/PowerShell")</f>
        <v>Bash/Shell/PowerShell</v>
      </c>
      <c r="E3275" s="9" t="str">
        <f>IFERROR(__xludf.DUMMYFUNCTION("""COMPUTED_VALUE"""),"C++")</f>
        <v>C++</v>
      </c>
      <c r="F3275" s="9" t="str">
        <f>IFERROR(__xludf.DUMMYFUNCTION("""COMPUTED_VALUE"""),"JavaScript")</f>
        <v>JavaScript</v>
      </c>
      <c r="G3275" s="9" t="str">
        <f>IFERROR(__xludf.DUMMYFUNCTION("""COMPUTED_VALUE"""),"Java")</f>
        <v>Java</v>
      </c>
      <c r="H3275" s="9" t="str">
        <f>IFERROR(__xludf.DUMMYFUNCTION("""COMPUTED_VALUE"""),"JavaScript")</f>
        <v>JavaScript</v>
      </c>
      <c r="I3275" s="9" t="str">
        <f>IFERROR(__xludf.DUMMYFUNCTION("""COMPUTED_VALUE"""),"JavaScript")</f>
        <v>JavaScript</v>
      </c>
      <c r="J3275" s="9" t="str">
        <f>IFERROR(__xludf.DUMMYFUNCTION("""COMPUTED_VALUE"""),"HTML/CSS")</f>
        <v>HTML/CSS</v>
      </c>
      <c r="K3275" s="9" t="str">
        <f>IFERROR(__xludf.DUMMYFUNCTION("""COMPUTED_VALUE"""),"HTML/CSS")</f>
        <v>HTML/CSS</v>
      </c>
      <c r="L3275" s="9" t="str">
        <f>IFERROR(__xludf.DUMMYFUNCTION("""COMPUTED_VALUE"""),"Ruby")</f>
        <v>Ruby</v>
      </c>
      <c r="M3275" s="9" t="s">
        <v>22</v>
      </c>
    </row>
    <row r="3276" ht="15.75" customHeight="1">
      <c r="A3276" s="7"/>
      <c r="B3276" s="7" t="str">
        <f>IFERROR(__xludf.DUMMYFUNCTION("""COMPUTED_VALUE"""),"Java;Kotlin;SQL")</f>
        <v>Java;Kotlin;SQL</v>
      </c>
      <c r="C3276" s="9" t="str">
        <f>IFERROR(__xludf.DUMMYFUNCTION("""COMPUTED_VALUE"""),"SQL")</f>
        <v>SQL</v>
      </c>
      <c r="D3276" s="9" t="str">
        <f>IFERROR(__xludf.DUMMYFUNCTION("""COMPUTED_VALUE"""),"C")</f>
        <v>C</v>
      </c>
      <c r="E3276" s="9" t="str">
        <f>IFERROR(__xludf.DUMMYFUNCTION("""COMPUTED_VALUE"""),"HTML/CSS")</f>
        <v>HTML/CSS</v>
      </c>
      <c r="F3276" s="9" t="str">
        <f>IFERROR(__xludf.DUMMYFUNCTION("""COMPUTED_VALUE"""),"SQL")</f>
        <v>SQL</v>
      </c>
      <c r="G3276" s="9" t="str">
        <f>IFERROR(__xludf.DUMMYFUNCTION("""COMPUTED_VALUE"""),"JavaScript")</f>
        <v>JavaScript</v>
      </c>
      <c r="H3276" s="9" t="str">
        <f>IFERROR(__xludf.DUMMYFUNCTION("""COMPUTED_VALUE"""),"C#")</f>
        <v>C#</v>
      </c>
      <c r="I3276" s="9" t="str">
        <f>IFERROR(__xludf.DUMMYFUNCTION("""COMPUTED_VALUE"""),"Python")</f>
        <v>Python</v>
      </c>
      <c r="J3276" s="9" t="str">
        <f>IFERROR(__xludf.DUMMYFUNCTION("""COMPUTED_VALUE"""),"Java")</f>
        <v>Java</v>
      </c>
      <c r="K3276" s="9" t="str">
        <f>IFERROR(__xludf.DUMMYFUNCTION("""COMPUTED_VALUE"""),"JavaScript")</f>
        <v>JavaScript</v>
      </c>
      <c r="L3276" s="9" t="str">
        <f>IFERROR(__xludf.DUMMYFUNCTION("""COMPUTED_VALUE"""),"Bash/Shell/PowerShell")</f>
        <v>Bash/Shell/PowerShell</v>
      </c>
      <c r="M3276" s="9" t="s">
        <v>27</v>
      </c>
    </row>
    <row r="3277" ht="15.75" customHeight="1">
      <c r="A3277" s="7"/>
      <c r="B3277" s="7" t="str">
        <f>IFERROR(__xludf.DUMMYFUNCTION("""COMPUTED_VALUE"""),"Bash/Shell/PowerShell;HTML/CSS;Python;SQL;Other(s):")</f>
        <v>Bash/Shell/PowerShell;HTML/CSS;Python;SQL;Other(s):</v>
      </c>
      <c r="C3277" s="9" t="str">
        <f>IFERROR(__xludf.DUMMYFUNCTION("""COMPUTED_VALUE"""),"HTML/CSS")</f>
        <v>HTML/CSS</v>
      </c>
      <c r="D3277" s="9" t="str">
        <f>IFERROR(__xludf.DUMMYFUNCTION("""COMPUTED_VALUE"""),"C++")</f>
        <v>C++</v>
      </c>
      <c r="E3277" s="9" t="str">
        <f>IFERROR(__xludf.DUMMYFUNCTION("""COMPUTED_VALUE"""),"Java")</f>
        <v>Java</v>
      </c>
      <c r="F3277" s="9" t="str">
        <f>IFERROR(__xludf.DUMMYFUNCTION("""COMPUTED_VALUE"""),"C++")</f>
        <v>C++</v>
      </c>
      <c r="G3277" s="9" t="str">
        <f>IFERROR(__xludf.DUMMYFUNCTION("""COMPUTED_VALUE"""),"Python")</f>
        <v>Python</v>
      </c>
      <c r="H3277" s="9" t="str">
        <f>IFERROR(__xludf.DUMMYFUNCTION("""COMPUTED_VALUE"""),"F#")</f>
        <v>F#</v>
      </c>
      <c r="I3277" s="9" t="str">
        <f>IFERROR(__xludf.DUMMYFUNCTION("""COMPUTED_VALUE"""),"SQL")</f>
        <v>SQL</v>
      </c>
      <c r="J3277" s="9" t="str">
        <f>IFERROR(__xludf.DUMMYFUNCTION("""COMPUTED_VALUE"""),"JavaScript")</f>
        <v>JavaScript</v>
      </c>
      <c r="K3277" s="9" t="str">
        <f>IFERROR(__xludf.DUMMYFUNCTION("""COMPUTED_VALUE"""),"Ruby")</f>
        <v>Ruby</v>
      </c>
      <c r="L3277" s="9" t="str">
        <f>IFERROR(__xludf.DUMMYFUNCTION("""COMPUTED_VALUE"""),"C")</f>
        <v>C</v>
      </c>
      <c r="M3277" s="9" t="s">
        <v>24</v>
      </c>
    </row>
    <row r="3278" ht="15.75" customHeight="1">
      <c r="A3278" s="7"/>
      <c r="B3278" s="7" t="str">
        <f>IFERROR(__xludf.DUMMYFUNCTION("""COMPUTED_VALUE"""),"Bash/Shell/PowerShell;C++;HTML/CSS;JavaScript;Python;R;VBA;Other(s):")</f>
        <v>Bash/Shell/PowerShell;C++;HTML/CSS;JavaScript;Python;R;VBA;Other(s):</v>
      </c>
      <c r="C3278" s="9" t="str">
        <f>IFERROR(__xludf.DUMMYFUNCTION("""COMPUTED_VALUE"""),"Java")</f>
        <v>Java</v>
      </c>
      <c r="D3278" s="9" t="str">
        <f>IFERROR(__xludf.DUMMYFUNCTION("""COMPUTED_VALUE"""),"HTML/CSS")</f>
        <v>HTML/CSS</v>
      </c>
      <c r="E3278" s="9" t="str">
        <f>IFERROR(__xludf.DUMMYFUNCTION("""COMPUTED_VALUE"""),"JavaScript")</f>
        <v>JavaScript</v>
      </c>
      <c r="F3278" s="9" t="str">
        <f>IFERROR(__xludf.DUMMYFUNCTION("""COMPUTED_VALUE"""),"Go")</f>
        <v>Go</v>
      </c>
      <c r="G3278" s="9" t="str">
        <f>IFERROR(__xludf.DUMMYFUNCTION("""COMPUTED_VALUE"""),"R")</f>
        <v>R</v>
      </c>
      <c r="H3278" s="9" t="str">
        <f>IFERROR(__xludf.DUMMYFUNCTION("""COMPUTED_VALUE"""),"HTML/CSS")</f>
        <v>HTML/CSS</v>
      </c>
      <c r="I3278" s="9" t="str">
        <f>IFERROR(__xludf.DUMMYFUNCTION("""COMPUTED_VALUE"""),"TypeScript")</f>
        <v>TypeScript</v>
      </c>
      <c r="J3278" s="9" t="str">
        <f>IFERROR(__xludf.DUMMYFUNCTION("""COMPUTED_VALUE"""),"Python")</f>
        <v>Python</v>
      </c>
      <c r="K3278" s="9" t="str">
        <f>IFERROR(__xludf.DUMMYFUNCTION("""COMPUTED_VALUE"""),"TypeScript")</f>
        <v>TypeScript</v>
      </c>
      <c r="L3278" s="9" t="str">
        <f>IFERROR(__xludf.DUMMYFUNCTION("""COMPUTED_VALUE"""),"C++")</f>
        <v>C++</v>
      </c>
      <c r="M3278" s="9" t="s">
        <v>20</v>
      </c>
    </row>
    <row r="3279" ht="15.75" customHeight="1">
      <c r="A3279" s="7"/>
      <c r="B3279" s="7" t="str">
        <f>IFERROR(__xludf.DUMMYFUNCTION("""COMPUTED_VALUE"""),"Bash/Shell/PowerShell;HTML/CSS;Java;JavaScript;PHP;Python;SQL")</f>
        <v>Bash/Shell/PowerShell;HTML/CSS;Java;JavaScript;PHP;Python;SQL</v>
      </c>
      <c r="C3279" s="9" t="str">
        <f>IFERROR(__xludf.DUMMYFUNCTION("""COMPUTED_VALUE"""),"JavaScript")</f>
        <v>JavaScript</v>
      </c>
      <c r="D3279" s="9" t="str">
        <f>IFERROR(__xludf.DUMMYFUNCTION("""COMPUTED_VALUE"""),"Java")</f>
        <v>Java</v>
      </c>
      <c r="E3279" s="9" t="str">
        <f>IFERROR(__xludf.DUMMYFUNCTION("""COMPUTED_VALUE"""),"Objective-C")</f>
        <v>Objective-C</v>
      </c>
      <c r="F3279" s="9" t="str">
        <f>IFERROR(__xludf.DUMMYFUNCTION("""COMPUTED_VALUE"""),"Java")</f>
        <v>Java</v>
      </c>
      <c r="G3279" s="9" t="str">
        <f>IFERROR(__xludf.DUMMYFUNCTION("""COMPUTED_VALUE"""),"Scala")</f>
        <v>Scala</v>
      </c>
      <c r="H3279" s="9" t="str">
        <f>IFERROR(__xludf.DUMMYFUNCTION("""COMPUTED_VALUE"""),"Objective-C")</f>
        <v>Objective-C</v>
      </c>
      <c r="I3279" s="9" t="str">
        <f>IFERROR(__xludf.DUMMYFUNCTION("""COMPUTED_VALUE"""),"C")</f>
        <v>C</v>
      </c>
      <c r="J3279" s="9" t="str">
        <f>IFERROR(__xludf.DUMMYFUNCTION("""COMPUTED_VALUE"""),"Swift")</f>
        <v>Swift</v>
      </c>
      <c r="K3279" s="9" t="str">
        <f>IFERROR(__xludf.DUMMYFUNCTION("""COMPUTED_VALUE"""),"Bash/Shell/PowerShell")</f>
        <v>Bash/Shell/PowerShell</v>
      </c>
      <c r="L3279" s="9" t="str">
        <f>IFERROR(__xludf.DUMMYFUNCTION("""COMPUTED_VALUE"""),"Java")</f>
        <v>Java</v>
      </c>
      <c r="M3279" s="9" t="s">
        <v>21</v>
      </c>
    </row>
    <row r="3280" ht="15.75" customHeight="1">
      <c r="A3280" s="7"/>
      <c r="B3280" s="7" t="str">
        <f>IFERROR(__xludf.DUMMYFUNCTION("""COMPUTED_VALUE"""),"Java")</f>
        <v>Java</v>
      </c>
      <c r="C3280" s="9" t="str">
        <f>IFERROR(__xludf.DUMMYFUNCTION("""COMPUTED_VALUE"""),"PHP")</f>
        <v>PHP</v>
      </c>
      <c r="D3280" s="9" t="str">
        <f>IFERROR(__xludf.DUMMYFUNCTION("""COMPUTED_VALUE"""),"JavaScript")</f>
        <v>JavaScript</v>
      </c>
      <c r="E3280" s="9" t="str">
        <f>IFERROR(__xludf.DUMMYFUNCTION("""COMPUTED_VALUE"""),"Swift")</f>
        <v>Swift</v>
      </c>
      <c r="F3280" s="9" t="str">
        <f>IFERROR(__xludf.DUMMYFUNCTION("""COMPUTED_VALUE"""),"Python")</f>
        <v>Python</v>
      </c>
      <c r="G3280" s="9" t="str">
        <f>IFERROR(__xludf.DUMMYFUNCTION("""COMPUTED_VALUE"""),"SQL")</f>
        <v>SQL</v>
      </c>
      <c r="H3280" s="9" t="str">
        <f>IFERROR(__xludf.DUMMYFUNCTION("""COMPUTED_VALUE"""),"TypeScript")</f>
        <v>TypeScript</v>
      </c>
      <c r="I3280" s="9" t="str">
        <f>IFERROR(__xludf.DUMMYFUNCTION("""COMPUTED_VALUE"""),"C++")</f>
        <v>C++</v>
      </c>
      <c r="J3280" s="9" t="str">
        <f>IFERROR(__xludf.DUMMYFUNCTION("""COMPUTED_VALUE"""),"Bash/Shell/PowerShell")</f>
        <v>Bash/Shell/PowerShell</v>
      </c>
      <c r="K3280" s="9" t="str">
        <f>IFERROR(__xludf.DUMMYFUNCTION("""COMPUTED_VALUE"""),"C")</f>
        <v>C</v>
      </c>
      <c r="L3280" s="9" t="str">
        <f>IFERROR(__xludf.DUMMYFUNCTION("""COMPUTED_VALUE"""),"Ruby")</f>
        <v>Ruby</v>
      </c>
      <c r="M3280" s="9" t="s">
        <v>37</v>
      </c>
    </row>
    <row r="3281" ht="15.75" customHeight="1">
      <c r="A3281" s="7"/>
      <c r="B3281" s="7" t="str">
        <f>IFERROR(__xludf.DUMMYFUNCTION("""COMPUTED_VALUE"""),"Bash/Shell/PowerShell;HTML/CSS;JavaScript;Python;SQL")</f>
        <v>Bash/Shell/PowerShell;HTML/CSS;JavaScript;Python;SQL</v>
      </c>
      <c r="C3281" s="9" t="str">
        <f>IFERROR(__xludf.DUMMYFUNCTION("""COMPUTED_VALUE"""),"Ruby")</f>
        <v>Ruby</v>
      </c>
      <c r="D3281" s="9" t="str">
        <f>IFERROR(__xludf.DUMMYFUNCTION("""COMPUTED_VALUE"""),"PHP")</f>
        <v>PHP</v>
      </c>
      <c r="E3281" s="9" t="str">
        <f>IFERROR(__xludf.DUMMYFUNCTION("""COMPUTED_VALUE"""),"Bash/Shell/PowerShell")</f>
        <v>Bash/Shell/PowerShell</v>
      </c>
      <c r="F3281" s="9" t="str">
        <f>IFERROR(__xludf.DUMMYFUNCTION("""COMPUTED_VALUE"""),"Scala")</f>
        <v>Scala</v>
      </c>
      <c r="G3281" s="9" t="str">
        <f>IFERROR(__xludf.DUMMYFUNCTION("""COMPUTED_VALUE"""),"C#")</f>
        <v>C#</v>
      </c>
      <c r="H3281" s="9" t="str">
        <f>IFERROR(__xludf.DUMMYFUNCTION("""COMPUTED_VALUE"""),"Bash/Shell/PowerShell")</f>
        <v>Bash/Shell/PowerShell</v>
      </c>
      <c r="I3281" s="9" t="str">
        <f>IFERROR(__xludf.DUMMYFUNCTION("""COMPUTED_VALUE"""),"HTML/CSS")</f>
        <v>HTML/CSS</v>
      </c>
      <c r="J3281" s="9" t="str">
        <f>IFERROR(__xludf.DUMMYFUNCTION("""COMPUTED_VALUE"""),"C")</f>
        <v>C</v>
      </c>
      <c r="K3281" s="9" t="str">
        <f>IFERROR(__xludf.DUMMYFUNCTION("""COMPUTED_VALUE"""),"C#")</f>
        <v>C#</v>
      </c>
      <c r="L3281" s="9" t="str">
        <f>IFERROR(__xludf.DUMMYFUNCTION("""COMPUTED_VALUE"""),"Scala")</f>
        <v>Scala</v>
      </c>
      <c r="M3281" s="9" t="s">
        <v>31</v>
      </c>
    </row>
    <row r="3282" ht="15.75" customHeight="1">
      <c r="A3282" s="7"/>
      <c r="B3282" s="7" t="str">
        <f>IFERROR(__xludf.DUMMYFUNCTION("""COMPUTED_VALUE"""),"C#;HTML/CSS;JavaScript")</f>
        <v>C#;HTML/CSS;JavaScript</v>
      </c>
      <c r="C3282" s="9" t="str">
        <f>IFERROR(__xludf.DUMMYFUNCTION("""COMPUTED_VALUE"""),"SQL")</f>
        <v>SQL</v>
      </c>
      <c r="D3282" s="9" t="str">
        <f>IFERROR(__xludf.DUMMYFUNCTION("""COMPUTED_VALUE"""),"Python")</f>
        <v>Python</v>
      </c>
      <c r="E3282" s="9" t="str">
        <f>IFERROR(__xludf.DUMMYFUNCTION("""COMPUTED_VALUE"""),"C")</f>
        <v>C</v>
      </c>
      <c r="F3282" s="9" t="str">
        <f>IFERROR(__xludf.DUMMYFUNCTION("""COMPUTED_VALUE"""),"SQL")</f>
        <v>SQL</v>
      </c>
      <c r="G3282" s="9" t="str">
        <f>IFERROR(__xludf.DUMMYFUNCTION("""COMPUTED_VALUE"""),"HTML/CSS")</f>
        <v>HTML/CSS</v>
      </c>
      <c r="H3282" s="9" t="str">
        <f>IFERROR(__xludf.DUMMYFUNCTION("""COMPUTED_VALUE"""),"C++")</f>
        <v>C++</v>
      </c>
      <c r="I3282" s="9" t="str">
        <f>IFERROR(__xludf.DUMMYFUNCTION("""COMPUTED_VALUE"""),"Java")</f>
        <v>Java</v>
      </c>
      <c r="J3282" s="9" t="str">
        <f>IFERROR(__xludf.DUMMYFUNCTION("""COMPUTED_VALUE"""),"C++")</f>
        <v>C++</v>
      </c>
      <c r="K3282" s="9" t="str">
        <f>IFERROR(__xludf.DUMMYFUNCTION("""COMPUTED_VALUE"""),"HTML/CSS")</f>
        <v>HTML/CSS</v>
      </c>
      <c r="L3282" s="9" t="str">
        <f>IFERROR(__xludf.DUMMYFUNCTION("""COMPUTED_VALUE"""),"SQL")</f>
        <v>SQL</v>
      </c>
      <c r="M3282" s="9" t="s">
        <v>27</v>
      </c>
    </row>
    <row r="3283" ht="15.75" customHeight="1">
      <c r="A3283" s="7"/>
      <c r="B3283" s="7" t="str">
        <f>IFERROR(__xludf.DUMMYFUNCTION("""COMPUTED_VALUE"""),"C++;C#;Python")</f>
        <v>C++;C#;Python</v>
      </c>
      <c r="C3283" s="9" t="str">
        <f>IFERROR(__xludf.DUMMYFUNCTION("""COMPUTED_VALUE"""),"Bash/Shell/PowerShell")</f>
        <v>Bash/Shell/PowerShell</v>
      </c>
      <c r="D3283" s="9" t="str">
        <f>IFERROR(__xludf.DUMMYFUNCTION("""COMPUTED_VALUE"""),"SQL")</f>
        <v>SQL</v>
      </c>
      <c r="E3283" s="9" t="str">
        <f>IFERROR(__xludf.DUMMYFUNCTION("""COMPUTED_VALUE"""),"C++")</f>
        <v>C++</v>
      </c>
      <c r="F3283" s="9" t="str">
        <f>IFERROR(__xludf.DUMMYFUNCTION("""COMPUTED_VALUE"""),"Swift")</f>
        <v>Swift</v>
      </c>
      <c r="G3283" s="9" t="str">
        <f>IFERROR(__xludf.DUMMYFUNCTION("""COMPUTED_VALUE"""),"JavaScript")</f>
        <v>JavaScript</v>
      </c>
      <c r="H3283" s="9" t="str">
        <f>IFERROR(__xludf.DUMMYFUNCTION("""COMPUTED_VALUE"""),"Python")</f>
        <v>Python</v>
      </c>
      <c r="I3283" s="9" t="str">
        <f>IFERROR(__xludf.DUMMYFUNCTION("""COMPUTED_VALUE"""),"JavaScript")</f>
        <v>JavaScript</v>
      </c>
      <c r="J3283" s="9" t="str">
        <f>IFERROR(__xludf.DUMMYFUNCTION("""COMPUTED_VALUE"""),"C#")</f>
        <v>C#</v>
      </c>
      <c r="K3283" s="9" t="str">
        <f>IFERROR(__xludf.DUMMYFUNCTION("""COMPUTED_VALUE"""),"JavaScript")</f>
        <v>JavaScript</v>
      </c>
      <c r="L3283" s="9" t="str">
        <f>IFERROR(__xludf.DUMMYFUNCTION("""COMPUTED_VALUE"""),"C#")</f>
        <v>C#</v>
      </c>
      <c r="M3283" s="9" t="s">
        <v>30</v>
      </c>
    </row>
    <row r="3284" ht="15.75" customHeight="1">
      <c r="A3284" s="7"/>
      <c r="B3284" s="7" t="str">
        <f>IFERROR(__xludf.DUMMYFUNCTION("""COMPUTED_VALUE"""),"Bash/Shell/PowerShell;Java;JavaScript;Python;Rust;SQL")</f>
        <v>Bash/Shell/PowerShell;Java;JavaScript;Python;Rust;SQL</v>
      </c>
      <c r="C3284" s="9" t="str">
        <f>IFERROR(__xludf.DUMMYFUNCTION("""COMPUTED_VALUE"""),"HTML/CSS")</f>
        <v>HTML/CSS</v>
      </c>
      <c r="D3284" s="9" t="str">
        <f>IFERROR(__xludf.DUMMYFUNCTION("""COMPUTED_VALUE"""),"TypeScript")</f>
        <v>TypeScript</v>
      </c>
      <c r="E3284" s="9" t="str">
        <f>IFERROR(__xludf.DUMMYFUNCTION("""COMPUTED_VALUE"""),"HTML/CSS")</f>
        <v>HTML/CSS</v>
      </c>
      <c r="F3284" s="9" t="str">
        <f>IFERROR(__xludf.DUMMYFUNCTION("""COMPUTED_VALUE"""),"Other(s):")</f>
        <v>Other(s):</v>
      </c>
      <c r="G3284" s="9" t="str">
        <f>IFERROR(__xludf.DUMMYFUNCTION("""COMPUTED_VALUE"""),"PHP")</f>
        <v>PHP</v>
      </c>
      <c r="H3284" s="9" t="str">
        <f>IFERROR(__xludf.DUMMYFUNCTION("""COMPUTED_VALUE"""),"Bash/Shell/PowerShell")</f>
        <v>Bash/Shell/PowerShell</v>
      </c>
      <c r="I3284" s="9" t="str">
        <f>IFERROR(__xludf.DUMMYFUNCTION("""COMPUTED_VALUE"""),"Python")</f>
        <v>Python</v>
      </c>
      <c r="J3284" s="9" t="str">
        <f>IFERROR(__xludf.DUMMYFUNCTION("""COMPUTED_VALUE"""),"Go")</f>
        <v>Go</v>
      </c>
      <c r="K3284" s="9" t="str">
        <f>IFERROR(__xludf.DUMMYFUNCTION("""COMPUTED_VALUE"""),"Python")</f>
        <v>Python</v>
      </c>
      <c r="L3284" s="9" t="str">
        <f>IFERROR(__xludf.DUMMYFUNCTION("""COMPUTED_VALUE"""),"HTML/CSS")</f>
        <v>HTML/CSS</v>
      </c>
      <c r="M3284" s="9" t="s">
        <v>24</v>
      </c>
    </row>
    <row r="3285" ht="15.75" customHeight="1">
      <c r="A3285" s="7"/>
      <c r="B3285" s="7" t="str">
        <f>IFERROR(__xludf.DUMMYFUNCTION("""COMPUTED_VALUE"""),"C#;HTML/CSS;SQL")</f>
        <v>C#;HTML/CSS;SQL</v>
      </c>
      <c r="C3285" s="9" t="str">
        <f>IFERROR(__xludf.DUMMYFUNCTION("""COMPUTED_VALUE"""),"JavaScript")</f>
        <v>JavaScript</v>
      </c>
      <c r="D3285" s="9" t="str">
        <f>IFERROR(__xludf.DUMMYFUNCTION("""COMPUTED_VALUE"""),"Bash/Shell/PowerShell")</f>
        <v>Bash/Shell/PowerShell</v>
      </c>
      <c r="E3285" s="9" t="str">
        <f>IFERROR(__xludf.DUMMYFUNCTION("""COMPUTED_VALUE"""),"Java")</f>
        <v>Java</v>
      </c>
      <c r="F3285" s="9" t="str">
        <f>IFERROR(__xludf.DUMMYFUNCTION("""COMPUTED_VALUE"""),"Assembly")</f>
        <v>Assembly</v>
      </c>
      <c r="G3285" s="9" t="str">
        <f>IFERROR(__xludf.DUMMYFUNCTION("""COMPUTED_VALUE"""),"SQL")</f>
        <v>SQL</v>
      </c>
      <c r="H3285" s="9" t="str">
        <f>IFERROR(__xludf.DUMMYFUNCTION("""COMPUTED_VALUE"""),"C#")</f>
        <v>C#</v>
      </c>
      <c r="I3285" s="9" t="str">
        <f>IFERROR(__xludf.DUMMYFUNCTION("""COMPUTED_VALUE"""),"SQL")</f>
        <v>SQL</v>
      </c>
      <c r="J3285" s="9" t="str">
        <f>IFERROR(__xludf.DUMMYFUNCTION("""COMPUTED_VALUE"""),"HTML/CSS")</f>
        <v>HTML/CSS</v>
      </c>
      <c r="K3285" s="9" t="str">
        <f>IFERROR(__xludf.DUMMYFUNCTION("""COMPUTED_VALUE"""),"C#")</f>
        <v>C#</v>
      </c>
      <c r="L3285" s="9" t="str">
        <f>IFERROR(__xludf.DUMMYFUNCTION("""COMPUTED_VALUE"""),"Java")</f>
        <v>Java</v>
      </c>
      <c r="M3285" s="9" t="s">
        <v>21</v>
      </c>
    </row>
    <row r="3286" ht="15.75" customHeight="1">
      <c r="A3286" s="7"/>
      <c r="B3286" s="7" t="str">
        <f>IFERROR(__xludf.DUMMYFUNCTION("""COMPUTED_VALUE"""),"Bash/Shell/PowerShell;C++;C#;Go;HTML/CSS;Java;JavaScript;PHP;SQL;VBA")</f>
        <v>Bash/Shell/PowerShell;C++;C#;Go;HTML/CSS;Java;JavaScript;PHP;SQL;VBA</v>
      </c>
      <c r="C3286" s="9" t="str">
        <f>IFERROR(__xludf.DUMMYFUNCTION("""COMPUTED_VALUE"""),"Python")</f>
        <v>Python</v>
      </c>
      <c r="D3286" s="9" t="str">
        <f>IFERROR(__xludf.DUMMYFUNCTION("""COMPUTED_VALUE"""),"C#")</f>
        <v>C#</v>
      </c>
      <c r="E3286" s="9" t="str">
        <f>IFERROR(__xludf.DUMMYFUNCTION("""COMPUTED_VALUE"""),"Python")</f>
        <v>Python</v>
      </c>
      <c r="F3286" s="9" t="str">
        <f>IFERROR(__xludf.DUMMYFUNCTION("""COMPUTED_VALUE"""),"Bash/Shell/PowerShell")</f>
        <v>Bash/Shell/PowerShell</v>
      </c>
      <c r="G3286" s="9" t="str">
        <f>IFERROR(__xludf.DUMMYFUNCTION("""COMPUTED_VALUE"""),"Other(s):")</f>
        <v>Other(s):</v>
      </c>
      <c r="H3286" s="9" t="str">
        <f>IFERROR(__xludf.DUMMYFUNCTION("""COMPUTED_VALUE"""),"HTML/CSS")</f>
        <v>HTML/CSS</v>
      </c>
      <c r="I3286" s="9" t="str">
        <f>IFERROR(__xludf.DUMMYFUNCTION("""COMPUTED_VALUE"""),"HTML/CSS")</f>
        <v>HTML/CSS</v>
      </c>
      <c r="J3286" s="9" t="str">
        <f>IFERROR(__xludf.DUMMYFUNCTION("""COMPUTED_VALUE"""),"JavaScript")</f>
        <v>JavaScript</v>
      </c>
      <c r="K3286" s="9" t="str">
        <f>IFERROR(__xludf.DUMMYFUNCTION("""COMPUTED_VALUE"""),"HTML/CSS")</f>
        <v>HTML/CSS</v>
      </c>
      <c r="L3286" s="9" t="str">
        <f>IFERROR(__xludf.DUMMYFUNCTION("""COMPUTED_VALUE"""),"JavaScript")</f>
        <v>JavaScript</v>
      </c>
      <c r="M3286" s="9" t="s">
        <v>22</v>
      </c>
    </row>
    <row r="3287" ht="15.75" customHeight="1">
      <c r="A3287" s="7"/>
      <c r="B3287" s="7" t="str">
        <f>IFERROR(__xludf.DUMMYFUNCTION("""COMPUTED_VALUE"""),"Dart;HTML/CSS;JavaScript;PHP;SQL;Other(s):")</f>
        <v>Dart;HTML/CSS;JavaScript;PHP;SQL;Other(s):</v>
      </c>
      <c r="C3287" s="9" t="str">
        <f>IFERROR(__xludf.DUMMYFUNCTION("""COMPUTED_VALUE"""),"SQL")</f>
        <v>SQL</v>
      </c>
      <c r="D3287" s="9" t="str">
        <f>IFERROR(__xludf.DUMMYFUNCTION("""COMPUTED_VALUE"""),"Python")</f>
        <v>Python</v>
      </c>
      <c r="E3287" s="9" t="str">
        <f>IFERROR(__xludf.DUMMYFUNCTION("""COMPUTED_VALUE"""),"HTML/CSS")</f>
        <v>HTML/CSS</v>
      </c>
      <c r="F3287" s="9" t="str">
        <f>IFERROR(__xludf.DUMMYFUNCTION("""COMPUTED_VALUE"""),"C")</f>
        <v>C</v>
      </c>
      <c r="G3287" s="9" t="str">
        <f>IFERROR(__xludf.DUMMYFUNCTION("""COMPUTED_VALUE"""),"Bash/Shell/PowerShell")</f>
        <v>Bash/Shell/PowerShell</v>
      </c>
      <c r="H3287" s="9" t="str">
        <f>IFERROR(__xludf.DUMMYFUNCTION("""COMPUTED_VALUE"""),"JavaScript")</f>
        <v>JavaScript</v>
      </c>
      <c r="I3287" s="9" t="str">
        <f>IFERROR(__xludf.DUMMYFUNCTION("""COMPUTED_VALUE"""),"JavaScript")</f>
        <v>JavaScript</v>
      </c>
      <c r="J3287" s="9" t="str">
        <f>IFERROR(__xludf.DUMMYFUNCTION("""COMPUTED_VALUE"""),"Python")</f>
        <v>Python</v>
      </c>
      <c r="K3287" s="9" t="str">
        <f>IFERROR(__xludf.DUMMYFUNCTION("""COMPUTED_VALUE"""),"JavaScript")</f>
        <v>JavaScript</v>
      </c>
      <c r="L3287" s="9" t="str">
        <f>IFERROR(__xludf.DUMMYFUNCTION("""COMPUTED_VALUE"""),"SQL")</f>
        <v>SQL</v>
      </c>
      <c r="M3287" s="9" t="s">
        <v>27</v>
      </c>
    </row>
    <row r="3288" ht="15.75" customHeight="1">
      <c r="A3288" s="7"/>
      <c r="B3288" s="7" t="str">
        <f>IFERROR(__xludf.DUMMYFUNCTION("""COMPUTED_VALUE"""),"HTML/CSS;Java;JavaScript;PHP;SQL;TypeScript")</f>
        <v>HTML/CSS;Java;JavaScript;PHP;SQL;TypeScript</v>
      </c>
      <c r="C3288" s="9" t="str">
        <f>IFERROR(__xludf.DUMMYFUNCTION("""COMPUTED_VALUE"""),"HTML/CSS")</f>
        <v>HTML/CSS</v>
      </c>
      <c r="D3288" s="9" t="str">
        <f>IFERROR(__xludf.DUMMYFUNCTION("""COMPUTED_VALUE"""),"SQL")</f>
        <v>SQL</v>
      </c>
      <c r="E3288" s="9" t="str">
        <f>IFERROR(__xludf.DUMMYFUNCTION("""COMPUTED_VALUE"""),"JavaScript")</f>
        <v>JavaScript</v>
      </c>
      <c r="F3288" s="9" t="str">
        <f>IFERROR(__xludf.DUMMYFUNCTION("""COMPUTED_VALUE"""),"C++")</f>
        <v>C++</v>
      </c>
      <c r="G3288" s="9" t="str">
        <f>IFERROR(__xludf.DUMMYFUNCTION("""COMPUTED_VALUE"""),"Python")</f>
        <v>Python</v>
      </c>
      <c r="H3288" s="9" t="str">
        <f>IFERROR(__xludf.DUMMYFUNCTION("""COMPUTED_VALUE"""),"SQL")</f>
        <v>SQL</v>
      </c>
      <c r="I3288" s="9" t="str">
        <f>IFERROR(__xludf.DUMMYFUNCTION("""COMPUTED_VALUE"""),"PHP")</f>
        <v>PHP</v>
      </c>
      <c r="J3288" s="9" t="str">
        <f>IFERROR(__xludf.DUMMYFUNCTION("""COMPUTED_VALUE"""),"Ruby")</f>
        <v>Ruby</v>
      </c>
      <c r="K3288" s="9" t="str">
        <f>IFERROR(__xludf.DUMMYFUNCTION("""COMPUTED_VALUE"""),"SQL")</f>
        <v>SQL</v>
      </c>
      <c r="L3288" s="9" t="str">
        <f>IFERROR(__xludf.DUMMYFUNCTION("""COMPUTED_VALUE"""),"Bash/Shell/PowerShell")</f>
        <v>Bash/Shell/PowerShell</v>
      </c>
      <c r="M3288" s="9" t="s">
        <v>24</v>
      </c>
    </row>
    <row r="3289" ht="15.75" customHeight="1">
      <c r="A3289" s="7"/>
      <c r="B3289" s="7" t="str">
        <f>IFERROR(__xludf.DUMMYFUNCTION("""COMPUTED_VALUE"""),"HTML/CSS;JavaScript;PHP;TypeScript")</f>
        <v>HTML/CSS;JavaScript;PHP;TypeScript</v>
      </c>
      <c r="C3289" s="9" t="str">
        <f>IFERROR(__xludf.DUMMYFUNCTION("""COMPUTED_VALUE"""),"JavaScript")</f>
        <v>JavaScript</v>
      </c>
      <c r="D3289" s="9" t="str">
        <f>IFERROR(__xludf.DUMMYFUNCTION("""COMPUTED_VALUE"""),"Java")</f>
        <v>Java</v>
      </c>
      <c r="E3289" s="9" t="str">
        <f>IFERROR(__xludf.DUMMYFUNCTION("""COMPUTED_VALUE"""),"HTML/CSS")</f>
        <v>HTML/CSS</v>
      </c>
      <c r="F3289" s="9" t="str">
        <f>IFERROR(__xludf.DUMMYFUNCTION("""COMPUTED_VALUE"""),"HTML/CSS")</f>
        <v>HTML/CSS</v>
      </c>
      <c r="G3289" s="9" t="str">
        <f>IFERROR(__xludf.DUMMYFUNCTION("""COMPUTED_VALUE"""),"R")</f>
        <v>R</v>
      </c>
      <c r="H3289" s="9" t="str">
        <f>IFERROR(__xludf.DUMMYFUNCTION("""COMPUTED_VALUE"""),"Java")</f>
        <v>Java</v>
      </c>
      <c r="I3289" s="9" t="str">
        <f>IFERROR(__xludf.DUMMYFUNCTION("""COMPUTED_VALUE"""),"Python")</f>
        <v>Python</v>
      </c>
      <c r="J3289" s="9" t="str">
        <f>IFERROR(__xludf.DUMMYFUNCTION("""COMPUTED_VALUE"""),"Scala")</f>
        <v>Scala</v>
      </c>
      <c r="K3289" s="9" t="str">
        <f>IFERROR(__xludf.DUMMYFUNCTION("""COMPUTED_VALUE"""),"TypeScript")</f>
        <v>TypeScript</v>
      </c>
      <c r="L3289" s="9" t="str">
        <f>IFERROR(__xludf.DUMMYFUNCTION("""COMPUTED_VALUE"""),"HTML/CSS")</f>
        <v>HTML/CSS</v>
      </c>
      <c r="M3289" s="9" t="s">
        <v>21</v>
      </c>
    </row>
    <row r="3290" ht="15.75" customHeight="1">
      <c r="A3290" s="7"/>
      <c r="B3290" s="7" t="str">
        <f>IFERROR(__xludf.DUMMYFUNCTION("""COMPUTED_VALUE"""),"Bash/Shell/PowerShell;C;C++;Java;Python")</f>
        <v>Bash/Shell/PowerShell;C;C++;Java;Python</v>
      </c>
      <c r="C3290" s="9" t="str">
        <f>IFERROR(__xludf.DUMMYFUNCTION("""COMPUTED_VALUE"""),"Bash/Shell/PowerShell")</f>
        <v>Bash/Shell/PowerShell</v>
      </c>
      <c r="D3290" s="9" t="str">
        <f>IFERROR(__xludf.DUMMYFUNCTION("""COMPUTED_VALUE"""),"JavaScript")</f>
        <v>JavaScript</v>
      </c>
      <c r="E3290" s="9" t="str">
        <f>IFERROR(__xludf.DUMMYFUNCTION("""COMPUTED_VALUE"""),"JavaScript")</f>
        <v>JavaScript</v>
      </c>
      <c r="F3290" s="9" t="str">
        <f>IFERROR(__xludf.DUMMYFUNCTION("""COMPUTED_VALUE"""),"Java")</f>
        <v>Java</v>
      </c>
      <c r="G3290" s="9" t="str">
        <f>IFERROR(__xludf.DUMMYFUNCTION("""COMPUTED_VALUE"""),"Bash/Shell/PowerShell")</f>
        <v>Bash/Shell/PowerShell</v>
      </c>
      <c r="H3290" s="9" t="str">
        <f>IFERROR(__xludf.DUMMYFUNCTION("""COMPUTED_VALUE"""),"Kotlin")</f>
        <v>Kotlin</v>
      </c>
      <c r="I3290" s="9" t="str">
        <f>IFERROR(__xludf.DUMMYFUNCTION("""COMPUTED_VALUE"""),"SQL")</f>
        <v>SQL</v>
      </c>
      <c r="J3290" s="9" t="str">
        <f>IFERROR(__xludf.DUMMYFUNCTION("""COMPUTED_VALUE"""),"SQL")</f>
        <v>SQL</v>
      </c>
      <c r="K3290" s="9" t="str">
        <f>IFERROR(__xludf.DUMMYFUNCTION("""COMPUTED_VALUE"""),"HTML/CSS")</f>
        <v>HTML/CSS</v>
      </c>
      <c r="L3290" s="9" t="str">
        <f>IFERROR(__xludf.DUMMYFUNCTION("""COMPUTED_VALUE"""),"JavaScript")</f>
        <v>JavaScript</v>
      </c>
      <c r="M3290" s="9" t="s">
        <v>30</v>
      </c>
    </row>
    <row r="3291" ht="15.75" customHeight="1">
      <c r="A3291" s="7"/>
      <c r="B3291" s="7" t="str">
        <f>IFERROR(__xludf.DUMMYFUNCTION("""COMPUTED_VALUE"""),"Bash/Shell/PowerShell;Java;Python")</f>
        <v>Bash/Shell/PowerShell;Java;Python</v>
      </c>
      <c r="C3291" s="9" t="str">
        <f>IFERROR(__xludf.DUMMYFUNCTION("""COMPUTED_VALUE"""),"HTML/CSS")</f>
        <v>HTML/CSS</v>
      </c>
      <c r="D3291" s="9" t="str">
        <f>IFERROR(__xludf.DUMMYFUNCTION("""COMPUTED_VALUE"""),"SQL")</f>
        <v>SQL</v>
      </c>
      <c r="E3291" s="9" t="str">
        <f>IFERROR(__xludf.DUMMYFUNCTION("""COMPUTED_VALUE"""),"PHP")</f>
        <v>PHP</v>
      </c>
      <c r="F3291" s="9" t="str">
        <f>IFERROR(__xludf.DUMMYFUNCTION("""COMPUTED_VALUE"""),"JavaScript")</f>
        <v>JavaScript</v>
      </c>
      <c r="G3291" s="9" t="str">
        <f>IFERROR(__xludf.DUMMYFUNCTION("""COMPUTED_VALUE"""),"Go")</f>
        <v>Go</v>
      </c>
      <c r="H3291" s="9" t="str">
        <f>IFERROR(__xludf.DUMMYFUNCTION("""COMPUTED_VALUE"""),"HTML/CSS")</f>
        <v>HTML/CSS</v>
      </c>
      <c r="I3291" s="9" t="str">
        <f>IFERROR(__xludf.DUMMYFUNCTION("""COMPUTED_VALUE"""),"VBA")</f>
        <v>VBA</v>
      </c>
      <c r="J3291" s="9" t="str">
        <f>IFERROR(__xludf.DUMMYFUNCTION("""COMPUTED_VALUE"""),"TypeScript")</f>
        <v>TypeScript</v>
      </c>
      <c r="K3291" s="9" t="str">
        <f>IFERROR(__xludf.DUMMYFUNCTION("""COMPUTED_VALUE"""),"JavaScript")</f>
        <v>JavaScript</v>
      </c>
      <c r="L3291" s="9" t="str">
        <f>IFERROR(__xludf.DUMMYFUNCTION("""COMPUTED_VALUE"""),"Python")</f>
        <v>Python</v>
      </c>
      <c r="M3291" s="9" t="s">
        <v>24</v>
      </c>
    </row>
    <row r="3292" ht="15.75" customHeight="1">
      <c r="A3292" s="7"/>
      <c r="B3292" s="7" t="str">
        <f>IFERROR(__xludf.DUMMYFUNCTION("""COMPUTED_VALUE"""),"C#;HTML/CSS;JavaScript;PHP;Python;SQL;TypeScript;VBA")</f>
        <v>C#;HTML/CSS;JavaScript;PHP;Python;SQL;TypeScript;VBA</v>
      </c>
      <c r="C3292" s="9" t="str">
        <f>IFERROR(__xludf.DUMMYFUNCTION("""COMPUTED_VALUE"""),"JavaScript")</f>
        <v>JavaScript</v>
      </c>
      <c r="D3292" s="9" t="str">
        <f>IFERROR(__xludf.DUMMYFUNCTION("""COMPUTED_VALUE"""),"Other(s):")</f>
        <v>Other(s):</v>
      </c>
      <c r="E3292" s="9" t="str">
        <f>IFERROR(__xludf.DUMMYFUNCTION("""COMPUTED_VALUE"""),"SQL")</f>
        <v>SQL</v>
      </c>
      <c r="F3292" s="9" t="str">
        <f>IFERROR(__xludf.DUMMYFUNCTION("""COMPUTED_VALUE"""),"PHP")</f>
        <v>PHP</v>
      </c>
      <c r="G3292" s="9" t="str">
        <f>IFERROR(__xludf.DUMMYFUNCTION("""COMPUTED_VALUE"""),"HTML/CSS")</f>
        <v>HTML/CSS</v>
      </c>
      <c r="H3292" s="9" t="str">
        <f>IFERROR(__xludf.DUMMYFUNCTION("""COMPUTED_VALUE"""),"JavaScript")</f>
        <v>JavaScript</v>
      </c>
      <c r="I3292" s="9" t="str">
        <f>IFERROR(__xludf.DUMMYFUNCTION("""COMPUTED_VALUE"""),"Bash/Shell/PowerShell")</f>
        <v>Bash/Shell/PowerShell</v>
      </c>
      <c r="J3292" s="9" t="str">
        <f>IFERROR(__xludf.DUMMYFUNCTION("""COMPUTED_VALUE"""),"HTML/CSS")</f>
        <v>HTML/CSS</v>
      </c>
      <c r="K3292" s="9" t="str">
        <f>IFERROR(__xludf.DUMMYFUNCTION("""COMPUTED_VALUE"""),"PHP")</f>
        <v>PHP</v>
      </c>
      <c r="L3292" s="9" t="str">
        <f>IFERROR(__xludf.DUMMYFUNCTION("""COMPUTED_VALUE"""),"SQL")</f>
        <v>SQL</v>
      </c>
      <c r="M3292" s="9" t="s">
        <v>21</v>
      </c>
    </row>
    <row r="3293" ht="15.75" customHeight="1">
      <c r="A3293" s="7"/>
      <c r="B3293" s="7" t="str">
        <f>IFERROR(__xludf.DUMMYFUNCTION("""COMPUTED_VALUE"""),"HTML/CSS;JavaScript;Other(s):")</f>
        <v>HTML/CSS;JavaScript;Other(s):</v>
      </c>
      <c r="C3293" s="9" t="str">
        <f>IFERROR(__xludf.DUMMYFUNCTION("""COMPUTED_VALUE"""),"Python")</f>
        <v>Python</v>
      </c>
      <c r="D3293" s="9" t="str">
        <f>IFERROR(__xludf.DUMMYFUNCTION("""COMPUTED_VALUE"""),"HTML/CSS")</f>
        <v>HTML/CSS</v>
      </c>
      <c r="E3293" s="9" t="str">
        <f>IFERROR(__xludf.DUMMYFUNCTION("""COMPUTED_VALUE"""),"Assembly")</f>
        <v>Assembly</v>
      </c>
      <c r="F3293" s="9" t="str">
        <f>IFERROR(__xludf.DUMMYFUNCTION("""COMPUTED_VALUE"""),"Python")</f>
        <v>Python</v>
      </c>
      <c r="G3293" s="9" t="str">
        <f>IFERROR(__xludf.DUMMYFUNCTION("""COMPUTED_VALUE"""),"Java")</f>
        <v>Java</v>
      </c>
      <c r="H3293" s="9" t="str">
        <f>IFERROR(__xludf.DUMMYFUNCTION("""COMPUTED_VALUE"""),"SQL")</f>
        <v>SQL</v>
      </c>
      <c r="I3293" s="9" t="str">
        <f>IFERROR(__xludf.DUMMYFUNCTION("""COMPUTED_VALUE"""),"Go")</f>
        <v>Go</v>
      </c>
      <c r="J3293" s="9" t="str">
        <f>IFERROR(__xludf.DUMMYFUNCTION("""COMPUTED_VALUE"""),"JavaScript")</f>
        <v>JavaScript</v>
      </c>
      <c r="K3293" s="9" t="str">
        <f>IFERROR(__xludf.DUMMYFUNCTION("""COMPUTED_VALUE"""),"SQL")</f>
        <v>SQL</v>
      </c>
      <c r="L3293" s="9" t="str">
        <f>IFERROR(__xludf.DUMMYFUNCTION("""COMPUTED_VALUE"""),"TypeScript")</f>
        <v>TypeScript</v>
      </c>
      <c r="M3293" s="9" t="s">
        <v>22</v>
      </c>
    </row>
    <row r="3294" ht="15.75" customHeight="1">
      <c r="A3294" s="7"/>
      <c r="B3294" s="7" t="str">
        <f>IFERROR(__xludf.DUMMYFUNCTION("""COMPUTED_VALUE"""),"C#;HTML/CSS;JavaScript;TypeScript;VBA;Other(s):")</f>
        <v>C#;HTML/CSS;JavaScript;TypeScript;VBA;Other(s):</v>
      </c>
      <c r="C3294" s="9" t="str">
        <f>IFERROR(__xludf.DUMMYFUNCTION("""COMPUTED_VALUE"""),"SQL")</f>
        <v>SQL</v>
      </c>
      <c r="D3294" s="9" t="str">
        <f>IFERROR(__xludf.DUMMYFUNCTION("""COMPUTED_VALUE"""),"JavaScript")</f>
        <v>JavaScript</v>
      </c>
      <c r="E3294" s="9" t="str">
        <f>IFERROR(__xludf.DUMMYFUNCTION("""COMPUTED_VALUE"""),"Bash/Shell/PowerShell")</f>
        <v>Bash/Shell/PowerShell</v>
      </c>
      <c r="F3294" s="9" t="str">
        <f>IFERROR(__xludf.DUMMYFUNCTION("""COMPUTED_VALUE"""),"SQL")</f>
        <v>SQL</v>
      </c>
      <c r="G3294" s="9" t="str">
        <f>IFERROR(__xludf.DUMMYFUNCTION("""COMPUTED_VALUE"""),"JavaScript")</f>
        <v>JavaScript</v>
      </c>
      <c r="H3294" s="9" t="str">
        <f>IFERROR(__xludf.DUMMYFUNCTION("""COMPUTED_VALUE"""),"TypeScript")</f>
        <v>TypeScript</v>
      </c>
      <c r="I3294" s="9" t="str">
        <f>IFERROR(__xludf.DUMMYFUNCTION("""COMPUTED_VALUE"""),"HTML/CSS")</f>
        <v>HTML/CSS</v>
      </c>
      <c r="J3294" s="9" t="str">
        <f>IFERROR(__xludf.DUMMYFUNCTION("""COMPUTED_VALUE"""),"PHP")</f>
        <v>PHP</v>
      </c>
      <c r="K3294" s="9" t="str">
        <f>IFERROR(__xludf.DUMMYFUNCTION("""COMPUTED_VALUE"""),"TypeScript")</f>
        <v>TypeScript</v>
      </c>
      <c r="L3294" s="9" t="str">
        <f>IFERROR(__xludf.DUMMYFUNCTION("""COMPUTED_VALUE"""),"Bash/Shell/PowerShell")</f>
        <v>Bash/Shell/PowerShell</v>
      </c>
      <c r="M3294" s="9" t="s">
        <v>27</v>
      </c>
    </row>
    <row r="3295" ht="15.75" customHeight="1">
      <c r="A3295" s="7"/>
      <c r="B3295" s="7" t="str">
        <f>IFERROR(__xludf.DUMMYFUNCTION("""COMPUTED_VALUE"""),"HTML/CSS;Java")</f>
        <v>HTML/CSS;Java</v>
      </c>
      <c r="C3295" s="9" t="str">
        <f>IFERROR(__xludf.DUMMYFUNCTION("""COMPUTED_VALUE"""),"Bash/Shell/PowerShell")</f>
        <v>Bash/Shell/PowerShell</v>
      </c>
      <c r="D3295" s="9" t="str">
        <f>IFERROR(__xludf.DUMMYFUNCTION("""COMPUTED_VALUE"""),"TypeScript")</f>
        <v>TypeScript</v>
      </c>
      <c r="E3295" s="9" t="str">
        <f>IFERROR(__xludf.DUMMYFUNCTION("""COMPUTED_VALUE"""),"C")</f>
        <v>C</v>
      </c>
      <c r="F3295" s="9" t="str">
        <f>IFERROR(__xludf.DUMMYFUNCTION("""COMPUTED_VALUE"""),"Swift")</f>
        <v>Swift</v>
      </c>
      <c r="G3295" s="9" t="str">
        <f>IFERROR(__xludf.DUMMYFUNCTION("""COMPUTED_VALUE"""),"SQL")</f>
        <v>SQL</v>
      </c>
      <c r="H3295" s="9" t="str">
        <f>IFERROR(__xludf.DUMMYFUNCTION("""COMPUTED_VALUE"""),"C++")</f>
        <v>C++</v>
      </c>
      <c r="I3295" s="9" t="str">
        <f>IFERROR(__xludf.DUMMYFUNCTION("""COMPUTED_VALUE"""),"JavaScript")</f>
        <v>JavaScript</v>
      </c>
      <c r="J3295" s="9" t="str">
        <f>IFERROR(__xludf.DUMMYFUNCTION("""COMPUTED_VALUE"""),"VBA")</f>
        <v>VBA</v>
      </c>
      <c r="K3295" s="9" t="str">
        <f>IFERROR(__xludf.DUMMYFUNCTION("""COMPUTED_VALUE"""),"Bash/Shell/PowerShell")</f>
        <v>Bash/Shell/PowerShell</v>
      </c>
      <c r="L3295" s="9" t="str">
        <f>IFERROR(__xludf.DUMMYFUNCTION("""COMPUTED_VALUE"""),"Java")</f>
        <v>Java</v>
      </c>
      <c r="M3295" s="9" t="s">
        <v>30</v>
      </c>
    </row>
    <row r="3296" ht="15.75" customHeight="1">
      <c r="A3296" s="7"/>
      <c r="B3296" s="7" t="str">
        <f>IFERROR(__xludf.DUMMYFUNCTION("""COMPUTED_VALUE"""),"Ruby")</f>
        <v>Ruby</v>
      </c>
      <c r="C3296" s="9" t="str">
        <f>IFERROR(__xludf.DUMMYFUNCTION("""COMPUTED_VALUE"""),"C")</f>
        <v>C</v>
      </c>
      <c r="D3296" s="9" t="str">
        <f>IFERROR(__xludf.DUMMYFUNCTION("""COMPUTED_VALUE"""),"HTML/CSS")</f>
        <v>HTML/CSS</v>
      </c>
      <c r="E3296" s="9" t="str">
        <f>IFERROR(__xludf.DUMMYFUNCTION("""COMPUTED_VALUE"""),"C++")</f>
        <v>C++</v>
      </c>
      <c r="F3296" s="9" t="str">
        <f>IFERROR(__xludf.DUMMYFUNCTION("""COMPUTED_VALUE"""),"Bash/Shell/PowerShell")</f>
        <v>Bash/Shell/PowerShell</v>
      </c>
      <c r="G3296" s="9" t="str">
        <f>IFERROR(__xludf.DUMMYFUNCTION("""COMPUTED_VALUE"""),"Bash/Shell/PowerShell")</f>
        <v>Bash/Shell/PowerShell</v>
      </c>
      <c r="H3296" s="9" t="str">
        <f>IFERROR(__xludf.DUMMYFUNCTION("""COMPUTED_VALUE"""),"HTML/CSS")</f>
        <v>HTML/CSS</v>
      </c>
      <c r="I3296" s="9" t="str">
        <f>IFERROR(__xludf.DUMMYFUNCTION("""COMPUTED_VALUE"""),"Python")</f>
        <v>Python</v>
      </c>
      <c r="J3296" s="9" t="str">
        <f>IFERROR(__xludf.DUMMYFUNCTION("""COMPUTED_VALUE"""),"Bash/Shell/PowerShell")</f>
        <v>Bash/Shell/PowerShell</v>
      </c>
      <c r="K3296" s="9" t="str">
        <f>IFERROR(__xludf.DUMMYFUNCTION("""COMPUTED_VALUE"""),"HTML/CSS")</f>
        <v>HTML/CSS</v>
      </c>
      <c r="L3296" s="9" t="str">
        <f>IFERROR(__xludf.DUMMYFUNCTION("""COMPUTED_VALUE"""),"R")</f>
        <v>R</v>
      </c>
      <c r="M3296" s="9" t="s">
        <v>25</v>
      </c>
    </row>
    <row r="3297" ht="15.75" customHeight="1">
      <c r="A3297" s="7"/>
      <c r="B3297" s="7" t="str">
        <f>IFERROR(__xludf.DUMMYFUNCTION("""COMPUTED_VALUE"""),"HTML/CSS;JavaScript;Scala")</f>
        <v>HTML/CSS;JavaScript;Scala</v>
      </c>
      <c r="C3297" s="9" t="str">
        <f>IFERROR(__xludf.DUMMYFUNCTION("""COMPUTED_VALUE"""),"Python")</f>
        <v>Python</v>
      </c>
      <c r="D3297" s="9" t="str">
        <f>IFERROR(__xludf.DUMMYFUNCTION("""COMPUTED_VALUE"""),"Java")</f>
        <v>Java</v>
      </c>
      <c r="E3297" s="9" t="str">
        <f>IFERROR(__xludf.DUMMYFUNCTION("""COMPUTED_VALUE"""),"C#")</f>
        <v>C#</v>
      </c>
      <c r="F3297" s="9" t="str">
        <f>IFERROR(__xludf.DUMMYFUNCTION("""COMPUTED_VALUE"""),"C#")</f>
        <v>C#</v>
      </c>
      <c r="G3297" s="9" t="str">
        <f>IFERROR(__xludf.DUMMYFUNCTION("""COMPUTED_VALUE"""),"C++")</f>
        <v>C++</v>
      </c>
      <c r="H3297" s="9" t="str">
        <f>IFERROR(__xludf.DUMMYFUNCTION("""COMPUTED_VALUE"""),"Java")</f>
        <v>Java</v>
      </c>
      <c r="I3297" s="9" t="str">
        <f>IFERROR(__xludf.DUMMYFUNCTION("""COMPUTED_VALUE"""),"Ruby")</f>
        <v>Ruby</v>
      </c>
      <c r="J3297" s="9" t="str">
        <f>IFERROR(__xludf.DUMMYFUNCTION("""COMPUTED_VALUE"""),"C")</f>
        <v>C</v>
      </c>
      <c r="K3297" s="9" t="str">
        <f>IFERROR(__xludf.DUMMYFUNCTION("""COMPUTED_VALUE"""),"JavaScript")</f>
        <v>JavaScript</v>
      </c>
      <c r="L3297" s="9" t="str">
        <f>IFERROR(__xludf.DUMMYFUNCTION("""COMPUTED_VALUE"""),"Dart")</f>
        <v>Dart</v>
      </c>
      <c r="M3297" s="9" t="s">
        <v>22</v>
      </c>
    </row>
    <row r="3298" ht="15.75" customHeight="1">
      <c r="A3298" s="7"/>
      <c r="B3298" s="7" t="str">
        <f>IFERROR(__xludf.DUMMYFUNCTION("""COMPUTED_VALUE"""),"C++;HTML/CSS;Java;JavaScript;Python;SQL")</f>
        <v>C++;HTML/CSS;Java;JavaScript;Python;SQL</v>
      </c>
      <c r="C3298" s="9" t="str">
        <f>IFERROR(__xludf.DUMMYFUNCTION("""COMPUTED_VALUE"""),"Rust")</f>
        <v>Rust</v>
      </c>
      <c r="D3298" s="9" t="str">
        <f>IFERROR(__xludf.DUMMYFUNCTION("""COMPUTED_VALUE"""),"JavaScript")</f>
        <v>JavaScript</v>
      </c>
      <c r="E3298" s="9" t="str">
        <f>IFERROR(__xludf.DUMMYFUNCTION("""COMPUTED_VALUE"""),"HTML/CSS")</f>
        <v>HTML/CSS</v>
      </c>
      <c r="F3298" s="9" t="str">
        <f>IFERROR(__xludf.DUMMYFUNCTION("""COMPUTED_VALUE"""),"HTML/CSS")</f>
        <v>HTML/CSS</v>
      </c>
      <c r="G3298" s="9" t="str">
        <f>IFERROR(__xludf.DUMMYFUNCTION("""COMPUTED_VALUE"""),"C#")</f>
        <v>C#</v>
      </c>
      <c r="H3298" s="9" t="str">
        <f>IFERROR(__xludf.DUMMYFUNCTION("""COMPUTED_VALUE"""),"JavaScript")</f>
        <v>JavaScript</v>
      </c>
      <c r="I3298" s="9" t="str">
        <f>IFERROR(__xludf.DUMMYFUNCTION("""COMPUTED_VALUE"""),"SQL")</f>
        <v>SQL</v>
      </c>
      <c r="J3298" s="9" t="str">
        <f>IFERROR(__xludf.DUMMYFUNCTION("""COMPUTED_VALUE"""),"C++")</f>
        <v>C++</v>
      </c>
      <c r="K3298" s="9" t="str">
        <f>IFERROR(__xludf.DUMMYFUNCTION("""COMPUTED_VALUE"""),"PHP")</f>
        <v>PHP</v>
      </c>
      <c r="L3298" s="9" t="str">
        <f>IFERROR(__xludf.DUMMYFUNCTION("""COMPUTED_VALUE"""),"HTML/CSS")</f>
        <v>HTML/CSS</v>
      </c>
      <c r="M3298" s="9" t="s">
        <v>32</v>
      </c>
    </row>
    <row r="3299" ht="15.75" customHeight="1">
      <c r="A3299" s="7"/>
      <c r="B3299" s="7" t="str">
        <f>IFERROR(__xludf.DUMMYFUNCTION("""COMPUTED_VALUE"""),"C++;C#;Python")</f>
        <v>C++;C#;Python</v>
      </c>
      <c r="C3299" s="9" t="str">
        <f>IFERROR(__xludf.DUMMYFUNCTION("""COMPUTED_VALUE"""),"SQL")</f>
        <v>SQL</v>
      </c>
      <c r="D3299" s="9" t="str">
        <f>IFERROR(__xludf.DUMMYFUNCTION("""COMPUTED_VALUE"""),"PHP")</f>
        <v>PHP</v>
      </c>
      <c r="E3299" s="9" t="str">
        <f>IFERROR(__xludf.DUMMYFUNCTION("""COMPUTED_VALUE"""),"Java")</f>
        <v>Java</v>
      </c>
      <c r="F3299" s="9" t="str">
        <f>IFERROR(__xludf.DUMMYFUNCTION("""COMPUTED_VALUE"""),"Java")</f>
        <v>Java</v>
      </c>
      <c r="G3299" s="9" t="str">
        <f>IFERROR(__xludf.DUMMYFUNCTION("""COMPUTED_VALUE"""),"HTML/CSS")</f>
        <v>HTML/CSS</v>
      </c>
      <c r="H3299" s="9" t="str">
        <f>IFERROR(__xludf.DUMMYFUNCTION("""COMPUTED_VALUE"""),"PHP")</f>
        <v>PHP</v>
      </c>
      <c r="I3299" s="9" t="str">
        <f>IFERROR(__xludf.DUMMYFUNCTION("""COMPUTED_VALUE"""),"HTML/CSS")</f>
        <v>HTML/CSS</v>
      </c>
      <c r="J3299" s="9" t="str">
        <f>IFERROR(__xludf.DUMMYFUNCTION("""COMPUTED_VALUE"""),"Dart")</f>
        <v>Dart</v>
      </c>
      <c r="K3299" s="9" t="str">
        <f>IFERROR(__xludf.DUMMYFUNCTION("""COMPUTED_VALUE"""),"SQL")</f>
        <v>SQL</v>
      </c>
      <c r="L3299" s="9" t="str">
        <f>IFERROR(__xludf.DUMMYFUNCTION("""COMPUTED_VALUE"""),"Java")</f>
        <v>Java</v>
      </c>
      <c r="M3299" s="9" t="s">
        <v>27</v>
      </c>
    </row>
    <row r="3300" ht="15.75" customHeight="1">
      <c r="A3300" s="7"/>
      <c r="B3300" s="7" t="str">
        <f>IFERROR(__xludf.DUMMYFUNCTION("""COMPUTED_VALUE"""),"C")</f>
        <v>C</v>
      </c>
      <c r="C3300" s="9" t="str">
        <f>IFERROR(__xludf.DUMMYFUNCTION("""COMPUTED_VALUE"""),"C#")</f>
        <v>C#</v>
      </c>
      <c r="D3300" s="9" t="str">
        <f>IFERROR(__xludf.DUMMYFUNCTION("""COMPUTED_VALUE"""),"Python")</f>
        <v>Python</v>
      </c>
      <c r="E3300" s="9" t="str">
        <f>IFERROR(__xludf.DUMMYFUNCTION("""COMPUTED_VALUE"""),"JavaScript")</f>
        <v>JavaScript</v>
      </c>
      <c r="F3300" s="9" t="str">
        <f>IFERROR(__xludf.DUMMYFUNCTION("""COMPUTED_VALUE"""),"JavaScript")</f>
        <v>JavaScript</v>
      </c>
      <c r="G3300" s="9" t="str">
        <f>IFERROR(__xludf.DUMMYFUNCTION("""COMPUTED_VALUE"""),"Java")</f>
        <v>Java</v>
      </c>
      <c r="H3300" s="9" t="str">
        <f>IFERROR(__xludf.DUMMYFUNCTION("""COMPUTED_VALUE"""),"Python")</f>
        <v>Python</v>
      </c>
      <c r="I3300" s="9" t="str">
        <f>IFERROR(__xludf.DUMMYFUNCTION("""COMPUTED_VALUE"""),"JavaScript")</f>
        <v>JavaScript</v>
      </c>
      <c r="J3300" s="9" t="str">
        <f>IFERROR(__xludf.DUMMYFUNCTION("""COMPUTED_VALUE"""),"Go")</f>
        <v>Go</v>
      </c>
      <c r="K3300" s="9" t="str">
        <f>IFERROR(__xludf.DUMMYFUNCTION("""COMPUTED_VALUE"""),"Bash/Shell/PowerShell")</f>
        <v>Bash/Shell/PowerShell</v>
      </c>
      <c r="L3300" s="9" t="str">
        <f>IFERROR(__xludf.DUMMYFUNCTION("""COMPUTED_VALUE"""),"JavaScript")</f>
        <v>JavaScript</v>
      </c>
      <c r="M3300" s="9" t="s">
        <v>26</v>
      </c>
    </row>
    <row r="3301" ht="15.75" customHeight="1">
      <c r="A3301" s="7"/>
      <c r="B3301" s="7" t="str">
        <f>IFERROR(__xludf.DUMMYFUNCTION("""COMPUTED_VALUE"""),"Bash/Shell/PowerShell;HTML/CSS;Java;JavaScript;PHP;Python;SQL;TypeScript")</f>
        <v>Bash/Shell/PowerShell;HTML/CSS;Java;JavaScript;PHP;Python;SQL;TypeScript</v>
      </c>
      <c r="C3301" s="9" t="str">
        <f>IFERROR(__xludf.DUMMYFUNCTION("""COMPUTED_VALUE"""),"HTML/CSS")</f>
        <v>HTML/CSS</v>
      </c>
      <c r="D3301" s="9" t="str">
        <f>IFERROR(__xludf.DUMMYFUNCTION("""COMPUTED_VALUE"""),"C")</f>
        <v>C</v>
      </c>
      <c r="E3301" s="9" t="str">
        <f>IFERROR(__xludf.DUMMYFUNCTION("""COMPUTED_VALUE"""),"Kotlin")</f>
        <v>Kotlin</v>
      </c>
      <c r="F3301" s="9" t="str">
        <f>IFERROR(__xludf.DUMMYFUNCTION("""COMPUTED_VALUE"""),"PHP")</f>
        <v>PHP</v>
      </c>
      <c r="G3301" s="9" t="str">
        <f>IFERROR(__xludf.DUMMYFUNCTION("""COMPUTED_VALUE"""),"JavaScript")</f>
        <v>JavaScript</v>
      </c>
      <c r="H3301" s="9" t="str">
        <f>IFERROR(__xludf.DUMMYFUNCTION("""COMPUTED_VALUE"""),"R")</f>
        <v>R</v>
      </c>
      <c r="I3301" s="9" t="str">
        <f>IFERROR(__xludf.DUMMYFUNCTION("""COMPUTED_VALUE"""),"PHP")</f>
        <v>PHP</v>
      </c>
      <c r="J3301" s="9" t="str">
        <f>IFERROR(__xludf.DUMMYFUNCTION("""COMPUTED_VALUE"""),"HTML/CSS")</f>
        <v>HTML/CSS</v>
      </c>
      <c r="K3301" s="9" t="str">
        <f>IFERROR(__xludf.DUMMYFUNCTION("""COMPUTED_VALUE"""),"C")</f>
        <v>C</v>
      </c>
      <c r="L3301" s="9" t="str">
        <f>IFERROR(__xludf.DUMMYFUNCTION("""COMPUTED_VALUE"""),"Kotlin")</f>
        <v>Kotlin</v>
      </c>
      <c r="M3301" s="9" t="s">
        <v>24</v>
      </c>
    </row>
    <row r="3302" ht="15.75" customHeight="1">
      <c r="A3302" s="7"/>
      <c r="B3302" s="7" t="str">
        <f>IFERROR(__xludf.DUMMYFUNCTION("""COMPUTED_VALUE"""),"Bash/Shell/PowerShell;C;C++;Go;HTML/CSS;Python;SQL;WebAssembly")</f>
        <v>Bash/Shell/PowerShell;C;C++;Go;HTML/CSS;Python;SQL;WebAssembly</v>
      </c>
      <c r="C3302" s="9" t="str">
        <f>IFERROR(__xludf.DUMMYFUNCTION("""COMPUTED_VALUE"""),"JavaScript")</f>
        <v>JavaScript</v>
      </c>
      <c r="D3302" s="9" t="str">
        <f>IFERROR(__xludf.DUMMYFUNCTION("""COMPUTED_VALUE"""),"Go")</f>
        <v>Go</v>
      </c>
      <c r="E3302" s="9" t="str">
        <f>IFERROR(__xludf.DUMMYFUNCTION("""COMPUTED_VALUE"""),"Python")</f>
        <v>Python</v>
      </c>
      <c r="F3302" s="9" t="str">
        <f>IFERROR(__xludf.DUMMYFUNCTION("""COMPUTED_VALUE"""),"Python")</f>
        <v>Python</v>
      </c>
      <c r="G3302" s="9" t="str">
        <f>IFERROR(__xludf.DUMMYFUNCTION("""COMPUTED_VALUE"""),"Swift")</f>
        <v>Swift</v>
      </c>
      <c r="H3302" s="9" t="str">
        <f>IFERROR(__xludf.DUMMYFUNCTION("""COMPUTED_VALUE"""),"SQL")</f>
        <v>SQL</v>
      </c>
      <c r="I3302" s="9" t="str">
        <f>IFERROR(__xludf.DUMMYFUNCTION("""COMPUTED_VALUE"""),"C#")</f>
        <v>C#</v>
      </c>
      <c r="J3302" s="9" t="str">
        <f>IFERROR(__xludf.DUMMYFUNCTION("""COMPUTED_VALUE"""),"Java")</f>
        <v>Java</v>
      </c>
      <c r="K3302" s="9" t="str">
        <f>IFERROR(__xludf.DUMMYFUNCTION("""COMPUTED_VALUE"""),"Python")</f>
        <v>Python</v>
      </c>
      <c r="L3302" s="9" t="str">
        <f>IFERROR(__xludf.DUMMYFUNCTION("""COMPUTED_VALUE"""),"Objective-C")</f>
        <v>Objective-C</v>
      </c>
      <c r="M3302" s="9" t="s">
        <v>21</v>
      </c>
    </row>
    <row r="3303" ht="15.75" customHeight="1">
      <c r="A3303" s="7"/>
      <c r="B3303" s="7" t="str">
        <f>IFERROR(__xludf.DUMMYFUNCTION("""COMPUTED_VALUE"""),"C++;HTML/CSS;Java;JavaScript;Kotlin;Swift;TypeScript")</f>
        <v>C++;HTML/CSS;Java;JavaScript;Kotlin;Swift;TypeScript</v>
      </c>
      <c r="C3303" s="9" t="str">
        <f>IFERROR(__xludf.DUMMYFUNCTION("""COMPUTED_VALUE"""),"SQL")</f>
        <v>SQL</v>
      </c>
      <c r="D3303" s="9" t="str">
        <f>IFERROR(__xludf.DUMMYFUNCTION("""COMPUTED_VALUE"""),"Java")</f>
        <v>Java</v>
      </c>
      <c r="E3303" s="9" t="str">
        <f>IFERROR(__xludf.DUMMYFUNCTION("""COMPUTED_VALUE"""),"SQL")</f>
        <v>SQL</v>
      </c>
      <c r="F3303" s="9" t="str">
        <f>IFERROR(__xludf.DUMMYFUNCTION("""COMPUTED_VALUE"""),"SQL")</f>
        <v>SQL</v>
      </c>
      <c r="G3303" s="9" t="str">
        <f>IFERROR(__xludf.DUMMYFUNCTION("""COMPUTED_VALUE"""),"TypeScript")</f>
        <v>TypeScript</v>
      </c>
      <c r="H3303" s="9" t="str">
        <f>IFERROR(__xludf.DUMMYFUNCTION("""COMPUTED_VALUE"""),"C#")</f>
        <v>C#</v>
      </c>
      <c r="I3303" s="9" t="str">
        <f>IFERROR(__xludf.DUMMYFUNCTION("""COMPUTED_VALUE"""),"HTML/CSS")</f>
        <v>HTML/CSS</v>
      </c>
      <c r="J3303" s="9" t="str">
        <f>IFERROR(__xludf.DUMMYFUNCTION("""COMPUTED_VALUE"""),"JavaScript")</f>
        <v>JavaScript</v>
      </c>
      <c r="K3303" s="9" t="str">
        <f>IFERROR(__xludf.DUMMYFUNCTION("""COMPUTED_VALUE"""),"C#")</f>
        <v>C#</v>
      </c>
      <c r="L3303" s="9" t="str">
        <f>IFERROR(__xludf.DUMMYFUNCTION("""COMPUTED_VALUE"""),"PHP")</f>
        <v>PHP</v>
      </c>
      <c r="M3303" s="9" t="s">
        <v>27</v>
      </c>
    </row>
    <row r="3304" ht="15.75" customHeight="1">
      <c r="A3304" s="7"/>
      <c r="B3304" s="7" t="str">
        <f>IFERROR(__xludf.DUMMYFUNCTION("""COMPUTED_VALUE"""),"Java;JavaScript;Python;Ruby")</f>
        <v>Java;JavaScript;Python;Ruby</v>
      </c>
      <c r="C3304" s="9" t="str">
        <f>IFERROR(__xludf.DUMMYFUNCTION("""COMPUTED_VALUE"""),"Swift")</f>
        <v>Swift</v>
      </c>
      <c r="D3304" s="9" t="str">
        <f>IFERROR(__xludf.DUMMYFUNCTION("""COMPUTED_VALUE"""),"JavaScript")</f>
        <v>JavaScript</v>
      </c>
      <c r="E3304" s="9" t="str">
        <f>IFERROR(__xludf.DUMMYFUNCTION("""COMPUTED_VALUE"""),"Assembly")</f>
        <v>Assembly</v>
      </c>
      <c r="F3304" s="9" t="str">
        <f>IFERROR(__xludf.DUMMYFUNCTION("""COMPUTED_VALUE"""),"Java")</f>
        <v>Java</v>
      </c>
      <c r="G3304" s="9" t="str">
        <f>IFERROR(__xludf.DUMMYFUNCTION("""COMPUTED_VALUE"""),"C")</f>
        <v>C</v>
      </c>
      <c r="H3304" s="9" t="str">
        <f>IFERROR(__xludf.DUMMYFUNCTION("""COMPUTED_VALUE"""),"HTML/CSS")</f>
        <v>HTML/CSS</v>
      </c>
      <c r="I3304" s="9" t="str">
        <f>IFERROR(__xludf.DUMMYFUNCTION("""COMPUTED_VALUE"""),"Java")</f>
        <v>Java</v>
      </c>
      <c r="J3304" s="9" t="str">
        <f>IFERROR(__xludf.DUMMYFUNCTION("""COMPUTED_VALUE"""),"Kotlin")</f>
        <v>Kotlin</v>
      </c>
      <c r="K3304" s="9" t="str">
        <f>IFERROR(__xludf.DUMMYFUNCTION("""COMPUTED_VALUE"""),"HTML/CSS")</f>
        <v>HTML/CSS</v>
      </c>
      <c r="L3304" s="9" t="str">
        <f>IFERROR(__xludf.DUMMYFUNCTION("""COMPUTED_VALUE"""),"Python")</f>
        <v>Python</v>
      </c>
      <c r="M3304" s="9" t="s">
        <v>40</v>
      </c>
    </row>
    <row r="3305" ht="15.75" customHeight="1">
      <c r="A3305" s="7"/>
      <c r="B3305" s="7" t="str">
        <f>IFERROR(__xludf.DUMMYFUNCTION("""COMPUTED_VALUE"""),"Assembly;Bash/Shell/PowerShell;C;C++;C#;Go;HTML/CSS;Java;JavaScript;Objective-C;PHP;Python;Scala;SQL;Swift;TypeScript;VBA")</f>
        <v>Assembly;Bash/Shell/PowerShell;C;C++;C#;Go;HTML/CSS;Java;JavaScript;Objective-C;PHP;Python;Scala;SQL;Swift;TypeScript;VBA</v>
      </c>
      <c r="C3305" s="9" t="str">
        <f>IFERROR(__xludf.DUMMYFUNCTION("""COMPUTED_VALUE"""),"Bash/Shell/PowerShell")</f>
        <v>Bash/Shell/PowerShell</v>
      </c>
      <c r="D3305" s="9" t="str">
        <f>IFERROR(__xludf.DUMMYFUNCTION("""COMPUTED_VALUE"""),"Python")</f>
        <v>Python</v>
      </c>
      <c r="E3305" s="9" t="str">
        <f>IFERROR(__xludf.DUMMYFUNCTION("""COMPUTED_VALUE"""),"Bash/Shell/PowerShell")</f>
        <v>Bash/Shell/PowerShell</v>
      </c>
      <c r="F3305" s="9" t="str">
        <f>IFERROR(__xludf.DUMMYFUNCTION("""COMPUTED_VALUE"""),"C")</f>
        <v>C</v>
      </c>
      <c r="G3305" s="9" t="str">
        <f>IFERROR(__xludf.DUMMYFUNCTION("""COMPUTED_VALUE"""),"HTML/CSS")</f>
        <v>HTML/CSS</v>
      </c>
      <c r="H3305" s="9" t="str">
        <f>IFERROR(__xludf.DUMMYFUNCTION("""COMPUTED_VALUE"""),"JavaScript")</f>
        <v>JavaScript</v>
      </c>
      <c r="I3305" s="9" t="str">
        <f>IFERROR(__xludf.DUMMYFUNCTION("""COMPUTED_VALUE"""),"JavaScript")</f>
        <v>JavaScript</v>
      </c>
      <c r="J3305" s="9" t="str">
        <f>IFERROR(__xludf.DUMMYFUNCTION("""COMPUTED_VALUE"""),"Objective-C")</f>
        <v>Objective-C</v>
      </c>
      <c r="K3305" s="9" t="str">
        <f>IFERROR(__xludf.DUMMYFUNCTION("""COMPUTED_VALUE"""),"Java")</f>
        <v>Java</v>
      </c>
      <c r="L3305" s="9" t="str">
        <f>IFERROR(__xludf.DUMMYFUNCTION("""COMPUTED_VALUE"""),"SQL")</f>
        <v>SQL</v>
      </c>
      <c r="M3305" s="9" t="s">
        <v>30</v>
      </c>
    </row>
    <row r="3306" ht="15.75" customHeight="1">
      <c r="A3306" s="7"/>
      <c r="B3306" s="7" t="str">
        <f>IFERROR(__xludf.DUMMYFUNCTION("""COMPUTED_VALUE"""),"C#;HTML/CSS;JavaScript;SQL")</f>
        <v>C#;HTML/CSS;JavaScript;SQL</v>
      </c>
      <c r="C3306" s="9" t="str">
        <f>IFERROR(__xludf.DUMMYFUNCTION("""COMPUTED_VALUE"""),"HTML/CSS")</f>
        <v>HTML/CSS</v>
      </c>
      <c r="D3306" s="9" t="str">
        <f>IFERROR(__xludf.DUMMYFUNCTION("""COMPUTED_VALUE"""),"SQL")</f>
        <v>SQL</v>
      </c>
      <c r="E3306" s="9" t="str">
        <f>IFERROR(__xludf.DUMMYFUNCTION("""COMPUTED_VALUE"""),"C")</f>
        <v>C</v>
      </c>
      <c r="F3306" s="9" t="str">
        <f>IFERROR(__xludf.DUMMYFUNCTION("""COMPUTED_VALUE"""),"Go")</f>
        <v>Go</v>
      </c>
      <c r="G3306" s="9" t="str">
        <f>IFERROR(__xludf.DUMMYFUNCTION("""COMPUTED_VALUE"""),"Java")</f>
        <v>Java</v>
      </c>
      <c r="H3306" s="9" t="str">
        <f>IFERROR(__xludf.DUMMYFUNCTION("""COMPUTED_VALUE"""),"SQL")</f>
        <v>SQL</v>
      </c>
      <c r="I3306" s="9" t="str">
        <f>IFERROR(__xludf.DUMMYFUNCTION("""COMPUTED_VALUE"""),"PHP")</f>
        <v>PHP</v>
      </c>
      <c r="J3306" s="9" t="str">
        <f>IFERROR(__xludf.DUMMYFUNCTION("""COMPUTED_VALUE"""),"Python")</f>
        <v>Python</v>
      </c>
      <c r="K3306" s="9" t="str">
        <f>IFERROR(__xludf.DUMMYFUNCTION("""COMPUTED_VALUE"""),"SQL")</f>
        <v>SQL</v>
      </c>
      <c r="L3306" s="9" t="str">
        <f>IFERROR(__xludf.DUMMYFUNCTION("""COMPUTED_VALUE"""),"Swift")</f>
        <v>Swift</v>
      </c>
      <c r="M3306" s="9" t="s">
        <v>24</v>
      </c>
    </row>
    <row r="3307" ht="15.75" customHeight="1">
      <c r="A3307" s="7"/>
      <c r="B3307" s="7" t="str">
        <f>IFERROR(__xludf.DUMMYFUNCTION("""COMPUTED_VALUE"""),"Assembly;C")</f>
        <v>Assembly;C</v>
      </c>
      <c r="C3307" s="9" t="str">
        <f>IFERROR(__xludf.DUMMYFUNCTION("""COMPUTED_VALUE"""),"Java")</f>
        <v>Java</v>
      </c>
      <c r="D3307" s="9" t="str">
        <f>IFERROR(__xludf.DUMMYFUNCTION("""COMPUTED_VALUE"""),"Bash/Shell/PowerShell")</f>
        <v>Bash/Shell/PowerShell</v>
      </c>
      <c r="E3307" s="9" t="str">
        <f>IFERROR(__xludf.DUMMYFUNCTION("""COMPUTED_VALUE"""),"HTML/CSS")</f>
        <v>HTML/CSS</v>
      </c>
      <c r="F3307" s="9" t="str">
        <f>IFERROR(__xludf.DUMMYFUNCTION("""COMPUTED_VALUE"""),"JavaScript")</f>
        <v>JavaScript</v>
      </c>
      <c r="G3307" s="9" t="str">
        <f>IFERROR(__xludf.DUMMYFUNCTION("""COMPUTED_VALUE"""),"Python")</f>
        <v>Python</v>
      </c>
      <c r="H3307" s="9" t="str">
        <f>IFERROR(__xludf.DUMMYFUNCTION("""COMPUTED_VALUE"""),"HTML/CSS")</f>
        <v>HTML/CSS</v>
      </c>
      <c r="I3307" s="9" t="str">
        <f>IFERROR(__xludf.DUMMYFUNCTION("""COMPUTED_VALUE"""),"Python")</f>
        <v>Python</v>
      </c>
      <c r="J3307" s="9" t="str">
        <f>IFERROR(__xludf.DUMMYFUNCTION("""COMPUTED_VALUE"""),"SQL")</f>
        <v>SQL</v>
      </c>
      <c r="K3307" s="9" t="str">
        <f>IFERROR(__xludf.DUMMYFUNCTION("""COMPUTED_VALUE"""),"Other(s):")</f>
        <v>Other(s):</v>
      </c>
      <c r="L3307" s="9" t="str">
        <f>IFERROR(__xludf.DUMMYFUNCTION("""COMPUTED_VALUE"""),"C#")</f>
        <v>C#</v>
      </c>
      <c r="M3307" s="9" t="s">
        <v>20</v>
      </c>
    </row>
    <row r="3308" ht="15.75" customHeight="1">
      <c r="A3308" s="7"/>
      <c r="B3308" s="7" t="str">
        <f>IFERROR(__xludf.DUMMYFUNCTION("""COMPUTED_VALUE"""),"Bash/Shell/PowerShell;Go;Ruby;Rust;SQL;Other(s):")</f>
        <v>Bash/Shell/PowerShell;Go;Ruby;Rust;SQL;Other(s):</v>
      </c>
      <c r="C3308" s="9" t="str">
        <f>IFERROR(__xludf.DUMMYFUNCTION("""COMPUTED_VALUE"""),"JavaScript")</f>
        <v>JavaScript</v>
      </c>
      <c r="D3308" s="9" t="str">
        <f>IFERROR(__xludf.DUMMYFUNCTION("""COMPUTED_VALUE"""),"C#")</f>
        <v>C#</v>
      </c>
      <c r="E3308" s="9" t="str">
        <f>IFERROR(__xludf.DUMMYFUNCTION("""COMPUTED_VALUE"""),"JavaScript")</f>
        <v>JavaScript</v>
      </c>
      <c r="F3308" s="9" t="str">
        <f>IFERROR(__xludf.DUMMYFUNCTION("""COMPUTED_VALUE"""),"Python")</f>
        <v>Python</v>
      </c>
      <c r="G3308" s="9" t="str">
        <f>IFERROR(__xludf.DUMMYFUNCTION("""COMPUTED_VALUE"""),"SQL")</f>
        <v>SQL</v>
      </c>
      <c r="H3308" s="9" t="str">
        <f>IFERROR(__xludf.DUMMYFUNCTION("""COMPUTED_VALUE"""),"JavaScript")</f>
        <v>JavaScript</v>
      </c>
      <c r="I3308" s="9" t="str">
        <f>IFERROR(__xludf.DUMMYFUNCTION("""COMPUTED_VALUE"""),"SQL")</f>
        <v>SQL</v>
      </c>
      <c r="J3308" s="9" t="str">
        <f>IFERROR(__xludf.DUMMYFUNCTION("""COMPUTED_VALUE"""),"Swift")</f>
        <v>Swift</v>
      </c>
      <c r="K3308" s="9" t="str">
        <f>IFERROR(__xludf.DUMMYFUNCTION("""COMPUTED_VALUE"""),"Bash/Shell/PowerShell")</f>
        <v>Bash/Shell/PowerShell</v>
      </c>
      <c r="L3308" s="9" t="str">
        <f>IFERROR(__xludf.DUMMYFUNCTION("""COMPUTED_VALUE"""),"HTML/CSS")</f>
        <v>HTML/CSS</v>
      </c>
      <c r="M3308" s="9" t="s">
        <v>21</v>
      </c>
    </row>
    <row r="3309" ht="15.75" customHeight="1">
      <c r="A3309" s="7"/>
      <c r="B3309" s="7" t="str">
        <f>IFERROR(__xludf.DUMMYFUNCTION("""COMPUTED_VALUE"""),"C;C++;HTML/CSS;Java;JavaScript;PHP;Python;SQL")</f>
        <v>C;C++;HTML/CSS;Java;JavaScript;PHP;Python;SQL</v>
      </c>
      <c r="C3309" s="9" t="str">
        <f>IFERROR(__xludf.DUMMYFUNCTION("""COMPUTED_VALUE"""),"Kotlin")</f>
        <v>Kotlin</v>
      </c>
      <c r="D3309" s="9" t="str">
        <f>IFERROR(__xludf.DUMMYFUNCTION("""COMPUTED_VALUE"""),"HTML/CSS")</f>
        <v>HTML/CSS</v>
      </c>
      <c r="E3309" s="9" t="str">
        <f>IFERROR(__xludf.DUMMYFUNCTION("""COMPUTED_VALUE"""),"PHP")</f>
        <v>PHP</v>
      </c>
      <c r="F3309" s="9" t="str">
        <f>IFERROR(__xludf.DUMMYFUNCTION("""COMPUTED_VALUE"""),"Scala")</f>
        <v>Scala</v>
      </c>
      <c r="G3309" s="9" t="str">
        <f>IFERROR(__xludf.DUMMYFUNCTION("""COMPUTED_VALUE"""),"C")</f>
        <v>C</v>
      </c>
      <c r="H3309" s="9" t="str">
        <f>IFERROR(__xludf.DUMMYFUNCTION("""COMPUTED_VALUE"""),"PHP")</f>
        <v>PHP</v>
      </c>
      <c r="I3309" s="9" t="str">
        <f>IFERROR(__xludf.DUMMYFUNCTION("""COMPUTED_VALUE"""),"Swift")</f>
        <v>Swift</v>
      </c>
      <c r="J3309" s="9" t="str">
        <f>IFERROR(__xludf.DUMMYFUNCTION("""COMPUTED_VALUE"""),"C#")</f>
        <v>C#</v>
      </c>
      <c r="K3309" s="9" t="str">
        <f>IFERROR(__xludf.DUMMYFUNCTION("""COMPUTED_VALUE"""),"HTML/CSS")</f>
        <v>HTML/CSS</v>
      </c>
      <c r="L3309" s="9" t="str">
        <f>IFERROR(__xludf.DUMMYFUNCTION("""COMPUTED_VALUE"""),"JavaScript")</f>
        <v>JavaScript</v>
      </c>
      <c r="M3309" s="9" t="s">
        <v>39</v>
      </c>
    </row>
    <row r="3310" ht="15.75" customHeight="1">
      <c r="A3310" s="7"/>
      <c r="B3310" s="7" t="str">
        <f>IFERROR(__xludf.DUMMYFUNCTION("""COMPUTED_VALUE"""),"Bash/Shell/PowerShell;HTML/CSS;Java;JavaScript;Kotlin;TypeScript")</f>
        <v>Bash/Shell/PowerShell;HTML/CSS;Java;JavaScript;Kotlin;TypeScript</v>
      </c>
      <c r="C3310" s="9" t="str">
        <f>IFERROR(__xludf.DUMMYFUNCTION("""COMPUTED_VALUE"""),"PHP")</f>
        <v>PHP</v>
      </c>
      <c r="D3310" s="9" t="str">
        <f>IFERROR(__xludf.DUMMYFUNCTION("""COMPUTED_VALUE"""),"JavaScript")</f>
        <v>JavaScript</v>
      </c>
      <c r="E3310" s="9" t="str">
        <f>IFERROR(__xludf.DUMMYFUNCTION("""COMPUTED_VALUE"""),"Python")</f>
        <v>Python</v>
      </c>
      <c r="F3310" s="9" t="str">
        <f>IFERROR(__xludf.DUMMYFUNCTION("""COMPUTED_VALUE"""),"Other(s):")</f>
        <v>Other(s):</v>
      </c>
      <c r="G3310" s="9" t="str">
        <f>IFERROR(__xludf.DUMMYFUNCTION("""COMPUTED_VALUE"""),"C++")</f>
        <v>C++</v>
      </c>
      <c r="H3310" s="9" t="str">
        <f>IFERROR(__xludf.DUMMYFUNCTION("""COMPUTED_VALUE"""),"Bash/Shell/PowerShell")</f>
        <v>Bash/Shell/PowerShell</v>
      </c>
      <c r="I3310" s="9" t="str">
        <f>IFERROR(__xludf.DUMMYFUNCTION("""COMPUTED_VALUE"""),"HTML/CSS")</f>
        <v>HTML/CSS</v>
      </c>
      <c r="J3310" s="9" t="str">
        <f>IFERROR(__xludf.DUMMYFUNCTION("""COMPUTED_VALUE"""),"HTML/CSS")</f>
        <v>HTML/CSS</v>
      </c>
      <c r="K3310" s="9" t="str">
        <f>IFERROR(__xludf.DUMMYFUNCTION("""COMPUTED_VALUE"""),"Java")</f>
        <v>Java</v>
      </c>
      <c r="L3310" s="9" t="str">
        <f>IFERROR(__xludf.DUMMYFUNCTION("""COMPUTED_VALUE"""),"C#")</f>
        <v>C#</v>
      </c>
      <c r="M3310" s="9" t="s">
        <v>37</v>
      </c>
    </row>
    <row r="3311" ht="15.75" customHeight="1">
      <c r="A3311" s="7"/>
      <c r="B3311" s="7" t="str">
        <f>IFERROR(__xludf.DUMMYFUNCTION("""COMPUTED_VALUE"""),"Bash/Shell/PowerShell;C;C#;Dart;Go;HTML/CSS;JavaScript;PHP;Python;Ruby;SQL;TypeScript;VBA;WebAssembly")</f>
        <v>Bash/Shell/PowerShell;C;C#;Dart;Go;HTML/CSS;JavaScript;PHP;Python;Ruby;SQL;TypeScript;VBA;WebAssembly</v>
      </c>
      <c r="C3311" s="9" t="str">
        <f>IFERROR(__xludf.DUMMYFUNCTION("""COMPUTED_VALUE"""),"Python")</f>
        <v>Python</v>
      </c>
      <c r="D3311" s="9" t="str">
        <f>IFERROR(__xludf.DUMMYFUNCTION("""COMPUTED_VALUE"""),"SQL")</f>
        <v>SQL</v>
      </c>
      <c r="E3311" s="9" t="str">
        <f>IFERROR(__xludf.DUMMYFUNCTION("""COMPUTED_VALUE"""),"SQL")</f>
        <v>SQL</v>
      </c>
      <c r="F3311" s="9" t="str">
        <f>IFERROR(__xludf.DUMMYFUNCTION("""COMPUTED_VALUE"""),"HTML/CSS")</f>
        <v>HTML/CSS</v>
      </c>
      <c r="G3311" s="9" t="str">
        <f>IFERROR(__xludf.DUMMYFUNCTION("""COMPUTED_VALUE"""),"C#")</f>
        <v>C#</v>
      </c>
      <c r="H3311" s="9" t="str">
        <f>IFERROR(__xludf.DUMMYFUNCTION("""COMPUTED_VALUE"""),"HTML/CSS")</f>
        <v>HTML/CSS</v>
      </c>
      <c r="I3311" s="9" t="str">
        <f>IFERROR(__xludf.DUMMYFUNCTION("""COMPUTED_VALUE"""),"JavaScript")</f>
        <v>JavaScript</v>
      </c>
      <c r="J3311" s="9" t="str">
        <f>IFERROR(__xludf.DUMMYFUNCTION("""COMPUTED_VALUE"""),"JavaScript")</f>
        <v>JavaScript</v>
      </c>
      <c r="K3311" s="9" t="str">
        <f>IFERROR(__xludf.DUMMYFUNCTION("""COMPUTED_VALUE"""),"JavaScript")</f>
        <v>JavaScript</v>
      </c>
      <c r="L3311" s="9" t="str">
        <f>IFERROR(__xludf.DUMMYFUNCTION("""COMPUTED_VALUE"""),"Python")</f>
        <v>Python</v>
      </c>
      <c r="M3311" s="9" t="s">
        <v>22</v>
      </c>
    </row>
    <row r="3312" ht="15.75" customHeight="1">
      <c r="A3312" s="7"/>
      <c r="B3312" s="7" t="str">
        <f>IFERROR(__xludf.DUMMYFUNCTION("""COMPUTED_VALUE"""),"C;Go;JavaScript;Kotlin;Python;Rust;SQL;Swift;TypeScript;WebAssembly")</f>
        <v>C;Go;JavaScript;Kotlin;Python;Rust;SQL;Swift;TypeScript;WebAssembly</v>
      </c>
      <c r="C3312" s="9" t="str">
        <f>IFERROR(__xludf.DUMMYFUNCTION("""COMPUTED_VALUE"""),"C")</f>
        <v>C</v>
      </c>
      <c r="D3312" s="9" t="str">
        <f>IFERROR(__xludf.DUMMYFUNCTION("""COMPUTED_VALUE"""),"Bash/Shell/PowerShell")</f>
        <v>Bash/Shell/PowerShell</v>
      </c>
      <c r="E3312" s="9" t="str">
        <f>IFERROR(__xludf.DUMMYFUNCTION("""COMPUTED_VALUE"""),"Other(s):")</f>
        <v>Other(s):</v>
      </c>
      <c r="F3312" s="9" t="str">
        <f>IFERROR(__xludf.DUMMYFUNCTION("""COMPUTED_VALUE"""),"JavaScript")</f>
        <v>JavaScript</v>
      </c>
      <c r="G3312" s="9" t="str">
        <f>IFERROR(__xludf.DUMMYFUNCTION("""COMPUTED_VALUE"""),"JavaScript")</f>
        <v>JavaScript</v>
      </c>
      <c r="H3312" s="9" t="str">
        <f>IFERROR(__xludf.DUMMYFUNCTION("""COMPUTED_VALUE"""),"Java")</f>
        <v>Java</v>
      </c>
      <c r="I3312" s="9" t="str">
        <f>IFERROR(__xludf.DUMMYFUNCTION("""COMPUTED_VALUE"""),"PHP")</f>
        <v>PHP</v>
      </c>
      <c r="J3312" s="9" t="str">
        <f>IFERROR(__xludf.DUMMYFUNCTION("""COMPUTED_VALUE"""),"Python")</f>
        <v>Python</v>
      </c>
      <c r="K3312" s="9" t="str">
        <f>IFERROR(__xludf.DUMMYFUNCTION("""COMPUTED_VALUE"""),"PHP")</f>
        <v>PHP</v>
      </c>
      <c r="L3312" s="9" t="str">
        <f>IFERROR(__xludf.DUMMYFUNCTION("""COMPUTED_VALUE"""),"C#")</f>
        <v>C#</v>
      </c>
      <c r="M3312" s="9" t="s">
        <v>25</v>
      </c>
    </row>
    <row r="3313" ht="15.75" customHeight="1">
      <c r="A3313" s="7"/>
      <c r="B3313" s="7" t="str">
        <f>IFERROR(__xludf.DUMMYFUNCTION("""COMPUTED_VALUE"""),"Clojure;Go;HTML/CSS;Java;JavaScript;Kotlin;PHP;TypeScript")</f>
        <v>Clojure;Go;HTML/CSS;Java;JavaScript;Kotlin;PHP;TypeScript</v>
      </c>
      <c r="C3313" s="9" t="str">
        <f>IFERROR(__xludf.DUMMYFUNCTION("""COMPUTED_VALUE"""),"C++")</f>
        <v>C++</v>
      </c>
      <c r="D3313" s="9" t="str">
        <f>IFERROR(__xludf.DUMMYFUNCTION("""COMPUTED_VALUE"""),"Java")</f>
        <v>Java</v>
      </c>
      <c r="E3313" s="9" t="str">
        <f>IFERROR(__xludf.DUMMYFUNCTION("""COMPUTED_VALUE"""),"Bash/Shell/PowerShell")</f>
        <v>Bash/Shell/PowerShell</v>
      </c>
      <c r="F3313" s="9" t="str">
        <f>IFERROR(__xludf.DUMMYFUNCTION("""COMPUTED_VALUE"""),"PHP")</f>
        <v>PHP</v>
      </c>
      <c r="G3313" s="9" t="str">
        <f>IFERROR(__xludf.DUMMYFUNCTION("""COMPUTED_VALUE"""),"Python")</f>
        <v>Python</v>
      </c>
      <c r="H3313" s="9" t="str">
        <f>IFERROR(__xludf.DUMMYFUNCTION("""COMPUTED_VALUE"""),"JavaScript")</f>
        <v>JavaScript</v>
      </c>
      <c r="I3313" s="9" t="str">
        <f>IFERROR(__xludf.DUMMYFUNCTION("""COMPUTED_VALUE"""),"Python")</f>
        <v>Python</v>
      </c>
      <c r="J3313" s="9" t="str">
        <f>IFERROR(__xludf.DUMMYFUNCTION("""COMPUTED_VALUE"""),"R")</f>
        <v>R</v>
      </c>
      <c r="K3313" s="9" t="str">
        <f>IFERROR(__xludf.DUMMYFUNCTION("""COMPUTED_VALUE"""),"Python")</f>
        <v>Python</v>
      </c>
      <c r="L3313" s="9" t="str">
        <f>IFERROR(__xludf.DUMMYFUNCTION("""COMPUTED_VALUE"""),"HTML/CSS")</f>
        <v>HTML/CSS</v>
      </c>
      <c r="M3313" s="9" t="s">
        <v>23</v>
      </c>
    </row>
    <row r="3314" ht="15.75" customHeight="1">
      <c r="A3314" s="7"/>
      <c r="B3314" s="7" t="str">
        <f>IFERROR(__xludf.DUMMYFUNCTION("""COMPUTED_VALUE"""),"Assembly;Bash/Shell/PowerShell;C;C++;HTML/CSS;Python")</f>
        <v>Assembly;Bash/Shell/PowerShell;C;C++;HTML/CSS;Python</v>
      </c>
      <c r="C3314" s="9" t="str">
        <f>IFERROR(__xludf.DUMMYFUNCTION("""COMPUTED_VALUE"""),"HTML/CSS")</f>
        <v>HTML/CSS</v>
      </c>
      <c r="D3314" s="9" t="str">
        <f>IFERROR(__xludf.DUMMYFUNCTION("""COMPUTED_VALUE"""),"Python")</f>
        <v>Python</v>
      </c>
      <c r="E3314" s="9" t="str">
        <f>IFERROR(__xludf.DUMMYFUNCTION("""COMPUTED_VALUE"""),"Go")</f>
        <v>Go</v>
      </c>
      <c r="F3314" s="9" t="str">
        <f>IFERROR(__xludf.DUMMYFUNCTION("""COMPUTED_VALUE"""),"SQL")</f>
        <v>SQL</v>
      </c>
      <c r="G3314" s="9" t="str">
        <f>IFERROR(__xludf.DUMMYFUNCTION("""COMPUTED_VALUE"""),"TypeScript")</f>
        <v>TypeScript</v>
      </c>
      <c r="H3314" s="9" t="str">
        <f>IFERROR(__xludf.DUMMYFUNCTION("""COMPUTED_VALUE"""),"Scala")</f>
        <v>Scala</v>
      </c>
      <c r="I3314" s="9" t="str">
        <f>IFERROR(__xludf.DUMMYFUNCTION("""COMPUTED_VALUE"""),"TypeScript")</f>
        <v>TypeScript</v>
      </c>
      <c r="J3314" s="9" t="str">
        <f>IFERROR(__xludf.DUMMYFUNCTION("""COMPUTED_VALUE"""),"SQL")</f>
        <v>SQL</v>
      </c>
      <c r="K3314" s="9" t="str">
        <f>IFERROR(__xludf.DUMMYFUNCTION("""COMPUTED_VALUE"""),"SQL")</f>
        <v>SQL</v>
      </c>
      <c r="L3314" s="9" t="str">
        <f>IFERROR(__xludf.DUMMYFUNCTION("""COMPUTED_VALUE"""),"JavaScript")</f>
        <v>JavaScript</v>
      </c>
      <c r="M3314" s="9" t="s">
        <v>24</v>
      </c>
    </row>
    <row r="3315" ht="15.75" customHeight="1">
      <c r="A3315" s="7"/>
      <c r="B3315" s="7" t="str">
        <f>IFERROR(__xludf.DUMMYFUNCTION("""COMPUTED_VALUE"""),"C;C++;C#;HTML/CSS;Java;JavaScript;SQL;TypeScript")</f>
        <v>C;C++;C#;HTML/CSS;Java;JavaScript;SQL;TypeScript</v>
      </c>
      <c r="C3315" s="9" t="str">
        <f>IFERROR(__xludf.DUMMYFUNCTION("""COMPUTED_VALUE"""),"Java")</f>
        <v>Java</v>
      </c>
      <c r="D3315" s="9" t="str">
        <f>IFERROR(__xludf.DUMMYFUNCTION("""COMPUTED_VALUE"""),"C#")</f>
        <v>C#</v>
      </c>
      <c r="E3315" s="9" t="str">
        <f>IFERROR(__xludf.DUMMYFUNCTION("""COMPUTED_VALUE"""),"HTML/CSS")</f>
        <v>HTML/CSS</v>
      </c>
      <c r="F3315" s="9" t="str">
        <f>IFERROR(__xludf.DUMMYFUNCTION("""COMPUTED_VALUE"""),"Bash/Shell/PowerShell")</f>
        <v>Bash/Shell/PowerShell</v>
      </c>
      <c r="G3315" s="9" t="str">
        <f>IFERROR(__xludf.DUMMYFUNCTION("""COMPUTED_VALUE"""),"WebAssembly")</f>
        <v>WebAssembly</v>
      </c>
      <c r="H3315" s="9" t="str">
        <f>IFERROR(__xludf.DUMMYFUNCTION("""COMPUTED_VALUE"""),"SQL")</f>
        <v>SQL</v>
      </c>
      <c r="I3315" s="9" t="str">
        <f>IFERROR(__xludf.DUMMYFUNCTION("""COMPUTED_VALUE"""),"Dart")</f>
        <v>Dart</v>
      </c>
      <c r="J3315" s="9" t="str">
        <f>IFERROR(__xludf.DUMMYFUNCTION("""COMPUTED_VALUE"""),"Bash/Shell/PowerShell")</f>
        <v>Bash/Shell/PowerShell</v>
      </c>
      <c r="K3315" s="9" t="str">
        <f>IFERROR(__xludf.DUMMYFUNCTION("""COMPUTED_VALUE"""),"Bash/Shell/PowerShell")</f>
        <v>Bash/Shell/PowerShell</v>
      </c>
      <c r="L3315" s="9" t="str">
        <f>IFERROR(__xludf.DUMMYFUNCTION("""COMPUTED_VALUE"""),"Python")</f>
        <v>Python</v>
      </c>
      <c r="M3315" s="9" t="s">
        <v>20</v>
      </c>
    </row>
    <row r="3316" ht="15.75" customHeight="1">
      <c r="A3316" s="7"/>
      <c r="B3316" s="7" t="str">
        <f>IFERROR(__xludf.DUMMYFUNCTION("""COMPUTED_VALUE"""),"Bash/Shell/PowerShell;HTML/CSS;JavaScript;PHP;Python;SQL")</f>
        <v>Bash/Shell/PowerShell;HTML/CSS;JavaScript;PHP;Python;SQL</v>
      </c>
      <c r="C3316" s="9" t="str">
        <f>IFERROR(__xludf.DUMMYFUNCTION("""COMPUTED_VALUE"""),"JavaScript")</f>
        <v>JavaScript</v>
      </c>
      <c r="D3316" s="9" t="str">
        <f>IFERROR(__xludf.DUMMYFUNCTION("""COMPUTED_VALUE"""),"HTML/CSS")</f>
        <v>HTML/CSS</v>
      </c>
      <c r="E3316" s="9" t="str">
        <f>IFERROR(__xludf.DUMMYFUNCTION("""COMPUTED_VALUE"""),"Java")</f>
        <v>Java</v>
      </c>
      <c r="F3316" s="9" t="str">
        <f>IFERROR(__xludf.DUMMYFUNCTION("""COMPUTED_VALUE"""),"C")</f>
        <v>C</v>
      </c>
      <c r="G3316" s="9" t="str">
        <f>IFERROR(__xludf.DUMMYFUNCTION("""COMPUTED_VALUE"""),"C")</f>
        <v>C</v>
      </c>
      <c r="H3316" s="9" t="str">
        <f>IFERROR(__xludf.DUMMYFUNCTION("""COMPUTED_VALUE"""),"JavaScript")</f>
        <v>JavaScript</v>
      </c>
      <c r="I3316" s="9" t="str">
        <f>IFERROR(__xludf.DUMMYFUNCTION("""COMPUTED_VALUE"""),"Java")</f>
        <v>Java</v>
      </c>
      <c r="J3316" s="9" t="str">
        <f>IFERROR(__xludf.DUMMYFUNCTION("""COMPUTED_VALUE"""),"HTML/CSS")</f>
        <v>HTML/CSS</v>
      </c>
      <c r="K3316" s="9" t="str">
        <f>IFERROR(__xludf.DUMMYFUNCTION("""COMPUTED_VALUE"""),"C++")</f>
        <v>C++</v>
      </c>
      <c r="L3316" s="9" t="str">
        <f>IFERROR(__xludf.DUMMYFUNCTION("""COMPUTED_VALUE"""),"SQL")</f>
        <v>SQL</v>
      </c>
      <c r="M3316" s="9" t="s">
        <v>21</v>
      </c>
    </row>
    <row r="3317" ht="15.75" customHeight="1">
      <c r="A3317" s="7"/>
      <c r="B3317" s="7" t="str">
        <f>IFERROR(__xludf.DUMMYFUNCTION("""COMPUTED_VALUE"""),"Bash/Shell/PowerShell;Go;HTML/CSS;JavaScript;Python;Scala;SQL")</f>
        <v>Bash/Shell/PowerShell;Go;HTML/CSS;JavaScript;Python;Scala;SQL</v>
      </c>
      <c r="C3317" s="9" t="str">
        <f>IFERROR(__xludf.DUMMYFUNCTION("""COMPUTED_VALUE"""),"PHP")</f>
        <v>PHP</v>
      </c>
      <c r="D3317" s="9" t="str">
        <f>IFERROR(__xludf.DUMMYFUNCTION("""COMPUTED_VALUE"""),"JavaScript")</f>
        <v>JavaScript</v>
      </c>
      <c r="E3317" s="9" t="str">
        <f>IFERROR(__xludf.DUMMYFUNCTION("""COMPUTED_VALUE"""),"JavaScript")</f>
        <v>JavaScript</v>
      </c>
      <c r="F3317" s="9" t="str">
        <f>IFERROR(__xludf.DUMMYFUNCTION("""COMPUTED_VALUE"""),"C++")</f>
        <v>C++</v>
      </c>
      <c r="G3317" s="9" t="str">
        <f>IFERROR(__xludf.DUMMYFUNCTION("""COMPUTED_VALUE"""),"C#")</f>
        <v>C#</v>
      </c>
      <c r="H3317" s="9" t="str">
        <f>IFERROR(__xludf.DUMMYFUNCTION("""COMPUTED_VALUE"""),"Bash/Shell/PowerShell")</f>
        <v>Bash/Shell/PowerShell</v>
      </c>
      <c r="I3317" s="9" t="str">
        <f>IFERROR(__xludf.DUMMYFUNCTION("""COMPUTED_VALUE"""),"SQL")</f>
        <v>SQL</v>
      </c>
      <c r="J3317" s="9" t="str">
        <f>IFERROR(__xludf.DUMMYFUNCTION("""COMPUTED_VALUE"""),"JavaScript")</f>
        <v>JavaScript</v>
      </c>
      <c r="K3317" s="9" t="str">
        <f>IFERROR(__xludf.DUMMYFUNCTION("""COMPUTED_VALUE"""),"HTML/CSS")</f>
        <v>HTML/CSS</v>
      </c>
      <c r="L3317" s="9" t="str">
        <f>IFERROR(__xludf.DUMMYFUNCTION("""COMPUTED_VALUE"""),"Bash/Shell/PowerShell")</f>
        <v>Bash/Shell/PowerShell</v>
      </c>
      <c r="M3317" s="9" t="s">
        <v>37</v>
      </c>
    </row>
    <row r="3318" ht="15.75" customHeight="1">
      <c r="A3318" s="7"/>
      <c r="B3318" s="7" t="str">
        <f>IFERROR(__xludf.DUMMYFUNCTION("""COMPUTED_VALUE"""),"Bash/Shell/PowerShell;C;C++;HTML/CSS;Java;JavaScript;PHP;SQL")</f>
        <v>Bash/Shell/PowerShell;C;C++;HTML/CSS;Java;JavaScript;PHP;SQL</v>
      </c>
      <c r="C3318" s="9" t="str">
        <f>IFERROR(__xludf.DUMMYFUNCTION("""COMPUTED_VALUE"""),"SQL")</f>
        <v>SQL</v>
      </c>
      <c r="D3318" s="9" t="str">
        <f>IFERROR(__xludf.DUMMYFUNCTION("""COMPUTED_VALUE"""),"Python")</f>
        <v>Python</v>
      </c>
      <c r="E3318" s="9" t="str">
        <f>IFERROR(__xludf.DUMMYFUNCTION("""COMPUTED_VALUE"""),"Python")</f>
        <v>Python</v>
      </c>
      <c r="F3318" s="9" t="str">
        <f>IFERROR(__xludf.DUMMYFUNCTION("""COMPUTED_VALUE"""),"HTML/CSS")</f>
        <v>HTML/CSS</v>
      </c>
      <c r="G3318" s="9" t="str">
        <f>IFERROR(__xludf.DUMMYFUNCTION("""COMPUTED_VALUE"""),"Bash/Shell/PowerShell")</f>
        <v>Bash/Shell/PowerShell</v>
      </c>
      <c r="H3318" s="9" t="str">
        <f>IFERROR(__xludf.DUMMYFUNCTION("""COMPUTED_VALUE"""),"C++")</f>
        <v>C++</v>
      </c>
      <c r="I3318" s="9" t="str">
        <f>IFERROR(__xludf.DUMMYFUNCTION("""COMPUTED_VALUE"""),"Bash/Shell/PowerShell")</f>
        <v>Bash/Shell/PowerShell</v>
      </c>
      <c r="J3318" s="9" t="str">
        <f>IFERROR(__xludf.DUMMYFUNCTION("""COMPUTED_VALUE"""),"PHP")</f>
        <v>PHP</v>
      </c>
      <c r="K3318" s="9" t="str">
        <f>IFERROR(__xludf.DUMMYFUNCTION("""COMPUTED_VALUE"""),"Java")</f>
        <v>Java</v>
      </c>
      <c r="L3318" s="9" t="str">
        <f>IFERROR(__xludf.DUMMYFUNCTION("""COMPUTED_VALUE"""),"Go")</f>
        <v>Go</v>
      </c>
      <c r="M3318" s="9" t="s">
        <v>27</v>
      </c>
    </row>
    <row r="3319" ht="15.75" customHeight="1">
      <c r="A3319" s="7"/>
      <c r="B3319" s="7" t="str">
        <f>IFERROR(__xludf.DUMMYFUNCTION("""COMPUTED_VALUE"""),"HTML/CSS;Java;JavaScript;Python;R;Scala;SQL")</f>
        <v>HTML/CSS;Java;JavaScript;Python;R;Scala;SQL</v>
      </c>
      <c r="C3319" s="9" t="str">
        <f>IFERROR(__xludf.DUMMYFUNCTION("""COMPUTED_VALUE"""),"C")</f>
        <v>C</v>
      </c>
      <c r="D3319" s="9" t="str">
        <f>IFERROR(__xludf.DUMMYFUNCTION("""COMPUTED_VALUE"""),"SQL")</f>
        <v>SQL</v>
      </c>
      <c r="E3319" s="9" t="str">
        <f>IFERROR(__xludf.DUMMYFUNCTION("""COMPUTED_VALUE"""),"SQL")</f>
        <v>SQL</v>
      </c>
      <c r="F3319" s="9" t="str">
        <f>IFERROR(__xludf.DUMMYFUNCTION("""COMPUTED_VALUE"""),"Java")</f>
        <v>Java</v>
      </c>
      <c r="G3319" s="9" t="str">
        <f>IFERROR(__xludf.DUMMYFUNCTION("""COMPUTED_VALUE"""),"C#")</f>
        <v>C#</v>
      </c>
      <c r="H3319" s="9" t="str">
        <f>IFERROR(__xludf.DUMMYFUNCTION("""COMPUTED_VALUE"""),"Python")</f>
        <v>Python</v>
      </c>
      <c r="I3319" s="9" t="str">
        <f>IFERROR(__xludf.DUMMYFUNCTION("""COMPUTED_VALUE"""),"C#")</f>
        <v>C#</v>
      </c>
      <c r="J3319" s="9" t="str">
        <f>IFERROR(__xludf.DUMMYFUNCTION("""COMPUTED_VALUE"""),"Python")</f>
        <v>Python</v>
      </c>
      <c r="K3319" s="9" t="str">
        <f>IFERROR(__xludf.DUMMYFUNCTION("""COMPUTED_VALUE"""),"JavaScript")</f>
        <v>JavaScript</v>
      </c>
      <c r="L3319" s="9" t="str">
        <f>IFERROR(__xludf.DUMMYFUNCTION("""COMPUTED_VALUE"""),"HTML/CSS")</f>
        <v>HTML/CSS</v>
      </c>
      <c r="M3319" s="9" t="s">
        <v>25</v>
      </c>
    </row>
    <row r="3320" ht="15.75" customHeight="1">
      <c r="A3320" s="7"/>
      <c r="B3320" s="7" t="str">
        <f>IFERROR(__xludf.DUMMYFUNCTION("""COMPUTED_VALUE"""),"C#;Java")</f>
        <v>C#;Java</v>
      </c>
      <c r="C3320" s="9" t="str">
        <f>IFERROR(__xludf.DUMMYFUNCTION("""COMPUTED_VALUE"""),"C++")</f>
        <v>C++</v>
      </c>
      <c r="D3320" s="9" t="str">
        <f>IFERROR(__xludf.DUMMYFUNCTION("""COMPUTED_VALUE"""),"TypeScript")</f>
        <v>TypeScript</v>
      </c>
      <c r="E3320" s="9" t="str">
        <f>IFERROR(__xludf.DUMMYFUNCTION("""COMPUTED_VALUE"""),"VBA")</f>
        <v>VBA</v>
      </c>
      <c r="F3320" s="9" t="str">
        <f>IFERROR(__xludf.DUMMYFUNCTION("""COMPUTED_VALUE"""),"JavaScript")</f>
        <v>JavaScript</v>
      </c>
      <c r="G3320" s="9" t="str">
        <f>IFERROR(__xludf.DUMMYFUNCTION("""COMPUTED_VALUE"""),"HTML/CSS")</f>
        <v>HTML/CSS</v>
      </c>
      <c r="H3320" s="9" t="str">
        <f>IFERROR(__xludf.DUMMYFUNCTION("""COMPUTED_VALUE"""),"R")</f>
        <v>R</v>
      </c>
      <c r="I3320" s="9" t="str">
        <f>IFERROR(__xludf.DUMMYFUNCTION("""COMPUTED_VALUE"""),"HTML/CSS")</f>
        <v>HTML/CSS</v>
      </c>
      <c r="J3320" s="9" t="str">
        <f>IFERROR(__xludf.DUMMYFUNCTION("""COMPUTED_VALUE"""),"SQL")</f>
        <v>SQL</v>
      </c>
      <c r="K3320" s="9" t="str">
        <f>IFERROR(__xludf.DUMMYFUNCTION("""COMPUTED_VALUE"""),"PHP")</f>
        <v>PHP</v>
      </c>
      <c r="L3320" s="9" t="str">
        <f>IFERROR(__xludf.DUMMYFUNCTION("""COMPUTED_VALUE"""),"JavaScript")</f>
        <v>JavaScript</v>
      </c>
      <c r="M3320" s="9" t="s">
        <v>23</v>
      </c>
    </row>
    <row r="3321" ht="15.75" customHeight="1">
      <c r="A3321" s="7"/>
      <c r="B3321" s="7" t="str">
        <f>IFERROR(__xludf.DUMMYFUNCTION("""COMPUTED_VALUE"""),"Bash/Shell/PowerShell;Go;HTML/CSS;Java;JavaScript;Objective-C;PHP;Python;R;SQL;TypeScript")</f>
        <v>Bash/Shell/PowerShell;Go;HTML/CSS;Java;JavaScript;Objective-C;PHP;Python;R;SQL;TypeScript</v>
      </c>
      <c r="C3321" s="9" t="str">
        <f>IFERROR(__xludf.DUMMYFUNCTION("""COMPUTED_VALUE"""),"C#")</f>
        <v>C#</v>
      </c>
      <c r="D3321" s="9" t="str">
        <f>IFERROR(__xludf.DUMMYFUNCTION("""COMPUTED_VALUE"""),"Bash/Shell/PowerShell")</f>
        <v>Bash/Shell/PowerShell</v>
      </c>
      <c r="E3321" s="9" t="str">
        <f>IFERROR(__xludf.DUMMYFUNCTION("""COMPUTED_VALUE"""),"Bash/Shell/PowerShell")</f>
        <v>Bash/Shell/PowerShell</v>
      </c>
      <c r="F3321" s="9" t="str">
        <f>IFERROR(__xludf.DUMMYFUNCTION("""COMPUTED_VALUE"""),"Python")</f>
        <v>Python</v>
      </c>
      <c r="G3321" s="9" t="str">
        <f>IFERROR(__xludf.DUMMYFUNCTION("""COMPUTED_VALUE"""),"JavaScript")</f>
        <v>JavaScript</v>
      </c>
      <c r="H3321" s="9" t="str">
        <f>IFERROR(__xludf.DUMMYFUNCTION("""COMPUTED_VALUE"""),"HTML/CSS")</f>
        <v>HTML/CSS</v>
      </c>
      <c r="I3321" s="9" t="str">
        <f>IFERROR(__xludf.DUMMYFUNCTION("""COMPUTED_VALUE"""),"Java")</f>
        <v>Java</v>
      </c>
      <c r="J3321" s="9" t="str">
        <f>IFERROR(__xludf.DUMMYFUNCTION("""COMPUTED_VALUE"""),"TypeScript")</f>
        <v>TypeScript</v>
      </c>
      <c r="K3321" s="9" t="str">
        <f>IFERROR(__xludf.DUMMYFUNCTION("""COMPUTED_VALUE"""),"SQL")</f>
        <v>SQL</v>
      </c>
      <c r="L3321" s="9" t="str">
        <f>IFERROR(__xludf.DUMMYFUNCTION("""COMPUTED_VALUE"""),"Python")</f>
        <v>Python</v>
      </c>
      <c r="M3321" s="9" t="s">
        <v>26</v>
      </c>
    </row>
    <row r="3322" ht="15.75" customHeight="1">
      <c r="A3322" s="7"/>
      <c r="B3322" s="7" t="str">
        <f>IFERROR(__xludf.DUMMYFUNCTION("""COMPUTED_VALUE"""),"Java")</f>
        <v>Java</v>
      </c>
      <c r="C3322" s="9" t="str">
        <f>IFERROR(__xludf.DUMMYFUNCTION("""COMPUTED_VALUE"""),"HTML/CSS")</f>
        <v>HTML/CSS</v>
      </c>
      <c r="D3322" s="9" t="str">
        <f>IFERROR(__xludf.DUMMYFUNCTION("""COMPUTED_VALUE"""),"Go")</f>
        <v>Go</v>
      </c>
      <c r="E3322" s="9" t="str">
        <f>IFERROR(__xludf.DUMMYFUNCTION("""COMPUTED_VALUE"""),"C")</f>
        <v>C</v>
      </c>
      <c r="F3322" s="9" t="str">
        <f>IFERROR(__xludf.DUMMYFUNCTION("""COMPUTED_VALUE"""),"HTML/CSS")</f>
        <v>HTML/CSS</v>
      </c>
      <c r="G3322" s="9" t="str">
        <f>IFERROR(__xludf.DUMMYFUNCTION("""COMPUTED_VALUE"""),"PHP")</f>
        <v>PHP</v>
      </c>
      <c r="H3322" s="9" t="str">
        <f>IFERROR(__xludf.DUMMYFUNCTION("""COMPUTED_VALUE"""),"JavaScript")</f>
        <v>JavaScript</v>
      </c>
      <c r="I3322" s="9" t="str">
        <f>IFERROR(__xludf.DUMMYFUNCTION("""COMPUTED_VALUE"""),"JavaScript")</f>
        <v>JavaScript</v>
      </c>
      <c r="J3322" s="9" t="str">
        <f>IFERROR(__xludf.DUMMYFUNCTION("""COMPUTED_VALUE"""),"HTML/CSS")</f>
        <v>HTML/CSS</v>
      </c>
      <c r="K3322" s="9" t="str">
        <f>IFERROR(__xludf.DUMMYFUNCTION("""COMPUTED_VALUE"""),"Other(s):")</f>
        <v>Other(s):</v>
      </c>
      <c r="L3322" s="9" t="str">
        <f>IFERROR(__xludf.DUMMYFUNCTION("""COMPUTED_VALUE"""),"R")</f>
        <v>R</v>
      </c>
      <c r="M3322" s="9" t="s">
        <v>24</v>
      </c>
    </row>
    <row r="3323" ht="15.75" customHeight="1">
      <c r="A3323" s="7"/>
      <c r="B3323" s="7" t="str">
        <f>IFERROR(__xludf.DUMMYFUNCTION("""COMPUTED_VALUE"""),"Bash/Shell/PowerShell;HTML/CSS;JavaScript;TypeScript")</f>
        <v>Bash/Shell/PowerShell;HTML/CSS;JavaScript;TypeScript</v>
      </c>
      <c r="C3323" s="9" t="str">
        <f>IFERROR(__xludf.DUMMYFUNCTION("""COMPUTED_VALUE"""),"JavaScript")</f>
        <v>JavaScript</v>
      </c>
      <c r="D3323" s="9" t="str">
        <f>IFERROR(__xludf.DUMMYFUNCTION("""COMPUTED_VALUE"""),"HTML/CSS")</f>
        <v>HTML/CSS</v>
      </c>
      <c r="E3323" s="9" t="str">
        <f>IFERROR(__xludf.DUMMYFUNCTION("""COMPUTED_VALUE"""),"HTML/CSS")</f>
        <v>HTML/CSS</v>
      </c>
      <c r="F3323" s="9" t="str">
        <f>IFERROR(__xludf.DUMMYFUNCTION("""COMPUTED_VALUE"""),"JavaScript")</f>
        <v>JavaScript</v>
      </c>
      <c r="G3323" s="9" t="str">
        <f>IFERROR(__xludf.DUMMYFUNCTION("""COMPUTED_VALUE"""),"SQL")</f>
        <v>SQL</v>
      </c>
      <c r="H3323" s="9" t="str">
        <f>IFERROR(__xludf.DUMMYFUNCTION("""COMPUTED_VALUE"""),"Python")</f>
        <v>Python</v>
      </c>
      <c r="I3323" s="9" t="str">
        <f>IFERROR(__xludf.DUMMYFUNCTION("""COMPUTED_VALUE"""),"PHP")</f>
        <v>PHP</v>
      </c>
      <c r="J3323" s="9" t="str">
        <f>IFERROR(__xludf.DUMMYFUNCTION("""COMPUTED_VALUE"""),"JavaScript")</f>
        <v>JavaScript</v>
      </c>
      <c r="K3323" s="9" t="str">
        <f>IFERROR(__xludf.DUMMYFUNCTION("""COMPUTED_VALUE"""),"HTML/CSS")</f>
        <v>HTML/CSS</v>
      </c>
      <c r="L3323" s="9" t="str">
        <f>IFERROR(__xludf.DUMMYFUNCTION("""COMPUTED_VALUE"""),"SQL")</f>
        <v>SQL</v>
      </c>
      <c r="M3323" s="9" t="s">
        <v>21</v>
      </c>
    </row>
    <row r="3324" ht="15.75" customHeight="1">
      <c r="A3324" s="7"/>
      <c r="B3324" s="7" t="str">
        <f>IFERROR(__xludf.DUMMYFUNCTION("""COMPUTED_VALUE"""),"JavaScript;Swift")</f>
        <v>JavaScript;Swift</v>
      </c>
      <c r="C3324" s="9" t="str">
        <f>IFERROR(__xludf.DUMMYFUNCTION("""COMPUTED_VALUE"""),"PHP")</f>
        <v>PHP</v>
      </c>
      <c r="D3324" s="9" t="str">
        <f>IFERROR(__xludf.DUMMYFUNCTION("""COMPUTED_VALUE"""),"JavaScript")</f>
        <v>JavaScript</v>
      </c>
      <c r="E3324" s="9" t="str">
        <f>IFERROR(__xludf.DUMMYFUNCTION("""COMPUTED_VALUE"""),"JavaScript")</f>
        <v>JavaScript</v>
      </c>
      <c r="F3324" s="9" t="str">
        <f>IFERROR(__xludf.DUMMYFUNCTION("""COMPUTED_VALUE"""),"Python")</f>
        <v>Python</v>
      </c>
      <c r="G3324" s="9" t="str">
        <f>IFERROR(__xludf.DUMMYFUNCTION("""COMPUTED_VALUE"""),"HTML/CSS")</f>
        <v>HTML/CSS</v>
      </c>
      <c r="H3324" s="9" t="str">
        <f>IFERROR(__xludf.DUMMYFUNCTION("""COMPUTED_VALUE"""),"TypeScript")</f>
        <v>TypeScript</v>
      </c>
      <c r="I3324" s="9" t="str">
        <f>IFERROR(__xludf.DUMMYFUNCTION("""COMPUTED_VALUE"""),"Python")</f>
        <v>Python</v>
      </c>
      <c r="J3324" s="9" t="str">
        <f>IFERROR(__xludf.DUMMYFUNCTION("""COMPUTED_VALUE"""),"PHP")</f>
        <v>PHP</v>
      </c>
      <c r="K3324" s="9" t="str">
        <f>IFERROR(__xludf.DUMMYFUNCTION("""COMPUTED_VALUE"""),"JavaScript")</f>
        <v>JavaScript</v>
      </c>
      <c r="L3324" s="9" t="str">
        <f>IFERROR(__xludf.DUMMYFUNCTION("""COMPUTED_VALUE"""),"C")</f>
        <v>C</v>
      </c>
      <c r="M3324" s="9" t="s">
        <v>37</v>
      </c>
    </row>
    <row r="3325" ht="15.75" customHeight="1">
      <c r="A3325" s="7"/>
      <c r="B3325" s="7" t="str">
        <f>IFERROR(__xludf.DUMMYFUNCTION("""COMPUTED_VALUE"""),"Java;SQL")</f>
        <v>Java;SQL</v>
      </c>
      <c r="C3325" s="9" t="str">
        <f>IFERROR(__xludf.DUMMYFUNCTION("""COMPUTED_VALUE"""),"SQL")</f>
        <v>SQL</v>
      </c>
      <c r="D3325" s="9" t="str">
        <f>IFERROR(__xludf.DUMMYFUNCTION("""COMPUTED_VALUE"""),"Python")</f>
        <v>Python</v>
      </c>
      <c r="E3325" s="9" t="str">
        <f>IFERROR(__xludf.DUMMYFUNCTION("""COMPUTED_VALUE"""),"Ruby")</f>
        <v>Ruby</v>
      </c>
      <c r="F3325" s="9" t="str">
        <f>IFERROR(__xludf.DUMMYFUNCTION("""COMPUTED_VALUE"""),"SQL")</f>
        <v>SQL</v>
      </c>
      <c r="G3325" s="9" t="str">
        <f>IFERROR(__xludf.DUMMYFUNCTION("""COMPUTED_VALUE"""),"Java")</f>
        <v>Java</v>
      </c>
      <c r="H3325" s="9" t="str">
        <f>IFERROR(__xludf.DUMMYFUNCTION("""COMPUTED_VALUE"""),"Assembly")</f>
        <v>Assembly</v>
      </c>
      <c r="I3325" s="9" t="str">
        <f>IFERROR(__xludf.DUMMYFUNCTION("""COMPUTED_VALUE"""),"SQL")</f>
        <v>SQL</v>
      </c>
      <c r="J3325" s="9" t="str">
        <f>IFERROR(__xludf.DUMMYFUNCTION("""COMPUTED_VALUE"""),"SQL")</f>
        <v>SQL</v>
      </c>
      <c r="K3325" s="9" t="str">
        <f>IFERROR(__xludf.DUMMYFUNCTION("""COMPUTED_VALUE"""),"TypeScript")</f>
        <v>TypeScript</v>
      </c>
      <c r="L3325" s="9" t="str">
        <f>IFERROR(__xludf.DUMMYFUNCTION("""COMPUTED_VALUE"""),"C++")</f>
        <v>C++</v>
      </c>
      <c r="M3325" s="9" t="s">
        <v>27</v>
      </c>
    </row>
    <row r="3326" ht="15.75" customHeight="1">
      <c r="A3326" s="7"/>
      <c r="B3326" s="7" t="str">
        <f>IFERROR(__xludf.DUMMYFUNCTION("""COMPUTED_VALUE"""),"Bash/Shell/PowerShell;HTML/CSS;Java;JavaScript;Python;SQL")</f>
        <v>Bash/Shell/PowerShell;HTML/CSS;Java;JavaScript;Python;SQL</v>
      </c>
      <c r="C3326" s="9" t="str">
        <f>IFERROR(__xludf.DUMMYFUNCTION("""COMPUTED_VALUE"""),"C#")</f>
        <v>C#</v>
      </c>
      <c r="D3326" s="9" t="str">
        <f>IFERROR(__xludf.DUMMYFUNCTION("""COMPUTED_VALUE"""),"R")</f>
        <v>R</v>
      </c>
      <c r="E3326" s="9" t="str">
        <f>IFERROR(__xludf.DUMMYFUNCTION("""COMPUTED_VALUE"""),"TypeScript")</f>
        <v>TypeScript</v>
      </c>
      <c r="F3326" s="9" t="str">
        <f>IFERROR(__xludf.DUMMYFUNCTION("""COMPUTED_VALUE"""),"Assembly")</f>
        <v>Assembly</v>
      </c>
      <c r="G3326" s="9" t="str">
        <f>IFERROR(__xludf.DUMMYFUNCTION("""COMPUTED_VALUE"""),"JavaScript")</f>
        <v>JavaScript</v>
      </c>
      <c r="H3326" s="9" t="str">
        <f>IFERROR(__xludf.DUMMYFUNCTION("""COMPUTED_VALUE"""),"Bash/Shell/PowerShell")</f>
        <v>Bash/Shell/PowerShell</v>
      </c>
      <c r="I3326" s="9" t="str">
        <f>IFERROR(__xludf.DUMMYFUNCTION("""COMPUTED_VALUE"""),"Go")</f>
        <v>Go</v>
      </c>
      <c r="J3326" s="9" t="str">
        <f>IFERROR(__xludf.DUMMYFUNCTION("""COMPUTED_VALUE"""),"Bash/Shell/PowerShell")</f>
        <v>Bash/Shell/PowerShell</v>
      </c>
      <c r="K3326" s="9" t="str">
        <f>IFERROR(__xludf.DUMMYFUNCTION("""COMPUTED_VALUE"""),"Assembly")</f>
        <v>Assembly</v>
      </c>
      <c r="L3326" s="9" t="str">
        <f>IFERROR(__xludf.DUMMYFUNCTION("""COMPUTED_VALUE"""),"PHP")</f>
        <v>PHP</v>
      </c>
      <c r="M3326" s="9" t="s">
        <v>26</v>
      </c>
    </row>
    <row r="3327" ht="15.75" customHeight="1">
      <c r="A3327" s="7"/>
      <c r="B3327" s="7" t="str">
        <f>IFERROR(__xludf.DUMMYFUNCTION("""COMPUTED_VALUE"""),"Bash/Shell/PowerShell;Go;JavaScript;Python;Ruby;Scala;SQL;TypeScript")</f>
        <v>Bash/Shell/PowerShell;Go;JavaScript;Python;Ruby;Scala;SQL;TypeScript</v>
      </c>
      <c r="C3327" s="9" t="str">
        <f>IFERROR(__xludf.DUMMYFUNCTION("""COMPUTED_VALUE"""),"HTML/CSS")</f>
        <v>HTML/CSS</v>
      </c>
      <c r="D3327" s="9" t="str">
        <f>IFERROR(__xludf.DUMMYFUNCTION("""COMPUTED_VALUE"""),"Ruby")</f>
        <v>Ruby</v>
      </c>
      <c r="E3327" s="9" t="str">
        <f>IFERROR(__xludf.DUMMYFUNCTION("""COMPUTED_VALUE"""),"Assembly")</f>
        <v>Assembly</v>
      </c>
      <c r="F3327" s="9" t="str">
        <f>IFERROR(__xludf.DUMMYFUNCTION("""COMPUTED_VALUE"""),"C")</f>
        <v>C</v>
      </c>
      <c r="G3327" s="9" t="str">
        <f>IFERROR(__xludf.DUMMYFUNCTION("""COMPUTED_VALUE"""),"PHP")</f>
        <v>PHP</v>
      </c>
      <c r="H3327" s="9" t="str">
        <f>IFERROR(__xludf.DUMMYFUNCTION("""COMPUTED_VALUE"""),"Erlang")</f>
        <v>Erlang</v>
      </c>
      <c r="I3327" s="9" t="str">
        <f>IFERROR(__xludf.DUMMYFUNCTION("""COMPUTED_VALUE"""),"Kotlin")</f>
        <v>Kotlin</v>
      </c>
      <c r="J3327" s="9" t="str">
        <f>IFERROR(__xludf.DUMMYFUNCTION("""COMPUTED_VALUE"""),"Java")</f>
        <v>Java</v>
      </c>
      <c r="K3327" s="9" t="str">
        <f>IFERROR(__xludf.DUMMYFUNCTION("""COMPUTED_VALUE"""),"Bash/Shell/PowerShell")</f>
        <v>Bash/Shell/PowerShell</v>
      </c>
      <c r="L3327" s="9" t="str">
        <f>IFERROR(__xludf.DUMMYFUNCTION("""COMPUTED_VALUE"""),"SQL")</f>
        <v>SQL</v>
      </c>
      <c r="M3327" s="9" t="s">
        <v>24</v>
      </c>
    </row>
    <row r="3328" ht="15.75" customHeight="1">
      <c r="A3328" s="7"/>
      <c r="B3328" s="7" t="str">
        <f>IFERROR(__xludf.DUMMYFUNCTION("""COMPUTED_VALUE"""),"C++;C#;VBA")</f>
        <v>C++;C#;VBA</v>
      </c>
      <c r="C3328" s="9" t="str">
        <f>IFERROR(__xludf.DUMMYFUNCTION("""COMPUTED_VALUE"""),"JavaScript")</f>
        <v>JavaScript</v>
      </c>
      <c r="D3328" s="9" t="str">
        <f>IFERROR(__xludf.DUMMYFUNCTION("""COMPUTED_VALUE"""),"SQL")</f>
        <v>SQL</v>
      </c>
      <c r="E3328" s="9" t="str">
        <f>IFERROR(__xludf.DUMMYFUNCTION("""COMPUTED_VALUE"""),"Bash/Shell/PowerShell")</f>
        <v>Bash/Shell/PowerShell</v>
      </c>
      <c r="F3328" s="9" t="str">
        <f>IFERROR(__xludf.DUMMYFUNCTION("""COMPUTED_VALUE"""),"C++")</f>
        <v>C++</v>
      </c>
      <c r="G3328" s="9" t="str">
        <f>IFERROR(__xludf.DUMMYFUNCTION("""COMPUTED_VALUE"""),"SQL")</f>
        <v>SQL</v>
      </c>
      <c r="H3328" s="9" t="str">
        <f>IFERROR(__xludf.DUMMYFUNCTION("""COMPUTED_VALUE"""),"Java")</f>
        <v>Java</v>
      </c>
      <c r="I3328" s="9" t="str">
        <f>IFERROR(__xludf.DUMMYFUNCTION("""COMPUTED_VALUE"""),"Python")</f>
        <v>Python</v>
      </c>
      <c r="J3328" s="9" t="str">
        <f>IFERROR(__xludf.DUMMYFUNCTION("""COMPUTED_VALUE"""),"JavaScript")</f>
        <v>JavaScript</v>
      </c>
      <c r="K3328" s="9" t="str">
        <f>IFERROR(__xludf.DUMMYFUNCTION("""COMPUTED_VALUE"""),"C")</f>
        <v>C</v>
      </c>
      <c r="L3328" s="9" t="str">
        <f>IFERROR(__xludf.DUMMYFUNCTION("""COMPUTED_VALUE"""),"C")</f>
        <v>C</v>
      </c>
      <c r="M3328" s="9" t="s">
        <v>21</v>
      </c>
    </row>
    <row r="3329" ht="15.75" customHeight="1">
      <c r="A3329" s="7"/>
      <c r="B3329" s="7" t="str">
        <f>IFERROR(__xludf.DUMMYFUNCTION("""COMPUTED_VALUE"""),"Bash/Shell/PowerShell;C#;HTML/CSS;JavaScript")</f>
        <v>Bash/Shell/PowerShell;C#;HTML/CSS;JavaScript</v>
      </c>
      <c r="C3329" s="9" t="str">
        <f>IFERROR(__xludf.DUMMYFUNCTION("""COMPUTED_VALUE"""),"Python")</f>
        <v>Python</v>
      </c>
      <c r="D3329" s="9" t="str">
        <f>IFERROR(__xludf.DUMMYFUNCTION("""COMPUTED_VALUE"""),"Bash/Shell/PowerShell")</f>
        <v>Bash/Shell/PowerShell</v>
      </c>
      <c r="E3329" s="9" t="str">
        <f>IFERROR(__xludf.DUMMYFUNCTION("""COMPUTED_VALUE"""),"C")</f>
        <v>C</v>
      </c>
      <c r="F3329" s="9" t="str">
        <f>IFERROR(__xludf.DUMMYFUNCTION("""COMPUTED_VALUE"""),"Java")</f>
        <v>Java</v>
      </c>
      <c r="G3329" s="9" t="str">
        <f>IFERROR(__xludf.DUMMYFUNCTION("""COMPUTED_VALUE"""),"Other(s):")</f>
        <v>Other(s):</v>
      </c>
      <c r="H3329" s="9" t="str">
        <f>IFERROR(__xludf.DUMMYFUNCTION("""COMPUTED_VALUE"""),"Bash/Shell/PowerShell")</f>
        <v>Bash/Shell/PowerShell</v>
      </c>
      <c r="I3329" s="9" t="str">
        <f>IFERROR(__xludf.DUMMYFUNCTION("""COMPUTED_VALUE"""),"Ruby")</f>
        <v>Ruby</v>
      </c>
      <c r="J3329" s="9" t="str">
        <f>IFERROR(__xludf.DUMMYFUNCTION("""COMPUTED_VALUE"""),"PHP")</f>
        <v>PHP</v>
      </c>
      <c r="K3329" s="9" t="str">
        <f>IFERROR(__xludf.DUMMYFUNCTION("""COMPUTED_VALUE"""),"Go")</f>
        <v>Go</v>
      </c>
      <c r="L3329" s="9" t="str">
        <f>IFERROR(__xludf.DUMMYFUNCTION("""COMPUTED_VALUE"""),"HTML/CSS")</f>
        <v>HTML/CSS</v>
      </c>
      <c r="M3329" s="9" t="s">
        <v>22</v>
      </c>
    </row>
    <row r="3330" ht="15.75" customHeight="1">
      <c r="A3330" s="7"/>
      <c r="B3330" s="7" t="str">
        <f>IFERROR(__xludf.DUMMYFUNCTION("""COMPUTED_VALUE"""),"HTML/CSS;Java;JavaScript;PHP;Python;SQL;TypeScript")</f>
        <v>HTML/CSS;Java;JavaScript;PHP;Python;SQL;TypeScript</v>
      </c>
      <c r="C3330" s="9" t="str">
        <f>IFERROR(__xludf.DUMMYFUNCTION("""COMPUTED_VALUE"""),"C#")</f>
        <v>C#</v>
      </c>
      <c r="D3330" s="9" t="str">
        <f>IFERROR(__xludf.DUMMYFUNCTION("""COMPUTED_VALUE"""),"HTML/CSS")</f>
        <v>HTML/CSS</v>
      </c>
      <c r="E3330" s="9" t="str">
        <f>IFERROR(__xludf.DUMMYFUNCTION("""COMPUTED_VALUE"""),"HTML/CSS")</f>
        <v>HTML/CSS</v>
      </c>
      <c r="F3330" s="9" t="str">
        <f>IFERROR(__xludf.DUMMYFUNCTION("""COMPUTED_VALUE"""),"SQL")</f>
        <v>SQL</v>
      </c>
      <c r="G3330" s="9" t="str">
        <f>IFERROR(__xludf.DUMMYFUNCTION("""COMPUTED_VALUE"""),"C++")</f>
        <v>C++</v>
      </c>
      <c r="H3330" s="9" t="str">
        <f>IFERROR(__xludf.DUMMYFUNCTION("""COMPUTED_VALUE"""),"HTML/CSS")</f>
        <v>HTML/CSS</v>
      </c>
      <c r="I3330" s="9" t="str">
        <f>IFERROR(__xludf.DUMMYFUNCTION("""COMPUTED_VALUE"""),"C++")</f>
        <v>C++</v>
      </c>
      <c r="J3330" s="9" t="str">
        <f>IFERROR(__xludf.DUMMYFUNCTION("""COMPUTED_VALUE"""),"Python")</f>
        <v>Python</v>
      </c>
      <c r="K3330" s="9" t="str">
        <f>IFERROR(__xludf.DUMMYFUNCTION("""COMPUTED_VALUE"""),"Python")</f>
        <v>Python</v>
      </c>
      <c r="L3330" s="9" t="str">
        <f>IFERROR(__xludf.DUMMYFUNCTION("""COMPUTED_VALUE"""),"Java")</f>
        <v>Java</v>
      </c>
      <c r="M3330" s="9" t="s">
        <v>26</v>
      </c>
    </row>
    <row r="3331" ht="15.75" customHeight="1">
      <c r="A3331" s="7"/>
      <c r="B3331" s="7" t="str">
        <f>IFERROR(__xludf.DUMMYFUNCTION("""COMPUTED_VALUE"""),"C++;HTML/CSS;Python")</f>
        <v>C++;HTML/CSS;Python</v>
      </c>
      <c r="C3331" s="9" t="str">
        <f>IFERROR(__xludf.DUMMYFUNCTION("""COMPUTED_VALUE"""),"HTML/CSS")</f>
        <v>HTML/CSS</v>
      </c>
      <c r="D3331" s="9" t="str">
        <f>IFERROR(__xludf.DUMMYFUNCTION("""COMPUTED_VALUE"""),"Java")</f>
        <v>Java</v>
      </c>
      <c r="E3331" s="9" t="str">
        <f>IFERROR(__xludf.DUMMYFUNCTION("""COMPUTED_VALUE"""),"Java")</f>
        <v>Java</v>
      </c>
      <c r="F3331" s="9" t="str">
        <f>IFERROR(__xludf.DUMMYFUNCTION("""COMPUTED_VALUE"""),"VBA")</f>
        <v>VBA</v>
      </c>
      <c r="G3331" s="9" t="str">
        <f>IFERROR(__xludf.DUMMYFUNCTION("""COMPUTED_VALUE"""),"C#")</f>
        <v>C#</v>
      </c>
      <c r="H3331" s="9" t="str">
        <f>IFERROR(__xludf.DUMMYFUNCTION("""COMPUTED_VALUE"""),"Java")</f>
        <v>Java</v>
      </c>
      <c r="I3331" s="9" t="str">
        <f>IFERROR(__xludf.DUMMYFUNCTION("""COMPUTED_VALUE"""),"C#")</f>
        <v>C#</v>
      </c>
      <c r="J3331" s="9" t="str">
        <f>IFERROR(__xludf.DUMMYFUNCTION("""COMPUTED_VALUE"""),"R")</f>
        <v>R</v>
      </c>
      <c r="K3331" s="9" t="str">
        <f>IFERROR(__xludf.DUMMYFUNCTION("""COMPUTED_VALUE"""),"Java")</f>
        <v>Java</v>
      </c>
      <c r="L3331" s="9" t="str">
        <f>IFERROR(__xludf.DUMMYFUNCTION("""COMPUTED_VALUE"""),"JavaScript")</f>
        <v>JavaScript</v>
      </c>
      <c r="M3331" s="9" t="s">
        <v>24</v>
      </c>
    </row>
    <row r="3332" ht="15.75" customHeight="1">
      <c r="A3332" s="7"/>
      <c r="B3332" s="7" t="str">
        <f>IFERROR(__xludf.DUMMYFUNCTION("""COMPUTED_VALUE"""),"Clojure;HTML/CSS;Java;JavaScript;Python")</f>
        <v>Clojure;HTML/CSS;Java;JavaScript;Python</v>
      </c>
      <c r="C3332" s="9" t="str">
        <f>IFERROR(__xludf.DUMMYFUNCTION("""COMPUTED_VALUE"""),"Java")</f>
        <v>Java</v>
      </c>
      <c r="D3332" s="9" t="str">
        <f>IFERROR(__xludf.DUMMYFUNCTION("""COMPUTED_VALUE"""),"JavaScript")</f>
        <v>JavaScript</v>
      </c>
      <c r="E3332" s="9" t="str">
        <f>IFERROR(__xludf.DUMMYFUNCTION("""COMPUTED_VALUE"""),"JavaScript")</f>
        <v>JavaScript</v>
      </c>
      <c r="F3332" s="9" t="str">
        <f>IFERROR(__xludf.DUMMYFUNCTION("""COMPUTED_VALUE"""),"HTML/CSS")</f>
        <v>HTML/CSS</v>
      </c>
      <c r="G3332" s="9" t="str">
        <f>IFERROR(__xludf.DUMMYFUNCTION("""COMPUTED_VALUE"""),"Python")</f>
        <v>Python</v>
      </c>
      <c r="H3332" s="9" t="str">
        <f>IFERROR(__xludf.DUMMYFUNCTION("""COMPUTED_VALUE"""),"JavaScript")</f>
        <v>JavaScript</v>
      </c>
      <c r="I3332" s="9" t="str">
        <f>IFERROR(__xludf.DUMMYFUNCTION("""COMPUTED_VALUE"""),"Elixir")</f>
        <v>Elixir</v>
      </c>
      <c r="J3332" s="9" t="str">
        <f>IFERROR(__xludf.DUMMYFUNCTION("""COMPUTED_VALUE"""),"SQL")</f>
        <v>SQL</v>
      </c>
      <c r="K3332" s="9" t="str">
        <f>IFERROR(__xludf.DUMMYFUNCTION("""COMPUTED_VALUE"""),"JavaScript")</f>
        <v>JavaScript</v>
      </c>
      <c r="L3332" s="9" t="str">
        <f>IFERROR(__xludf.DUMMYFUNCTION("""COMPUTED_VALUE"""),"PHP")</f>
        <v>PHP</v>
      </c>
      <c r="M3332" s="9" t="s">
        <v>20</v>
      </c>
    </row>
    <row r="3333" ht="15.75" customHeight="1">
      <c r="A3333" s="7"/>
      <c r="B3333" s="7" t="str">
        <f>IFERROR(__xludf.DUMMYFUNCTION("""COMPUTED_VALUE"""),"Bash/Shell/PowerShell;C++;JavaScript;PHP;Python")</f>
        <v>Bash/Shell/PowerShell;C++;JavaScript;PHP;Python</v>
      </c>
      <c r="C3333" s="9" t="str">
        <f>IFERROR(__xludf.DUMMYFUNCTION("""COMPUTED_VALUE"""),"JavaScript")</f>
        <v>JavaScript</v>
      </c>
      <c r="D3333" s="9" t="str">
        <f>IFERROR(__xludf.DUMMYFUNCTION("""COMPUTED_VALUE"""),"Python")</f>
        <v>Python</v>
      </c>
      <c r="E3333" s="9" t="str">
        <f>IFERROR(__xludf.DUMMYFUNCTION("""COMPUTED_VALUE"""),"PHP")</f>
        <v>PHP</v>
      </c>
      <c r="F3333" s="9" t="str">
        <f>IFERROR(__xludf.DUMMYFUNCTION("""COMPUTED_VALUE"""),"Java")</f>
        <v>Java</v>
      </c>
      <c r="G3333" s="9" t="str">
        <f>IFERROR(__xludf.DUMMYFUNCTION("""COMPUTED_VALUE"""),"C#")</f>
        <v>C#</v>
      </c>
      <c r="H3333" s="9" t="str">
        <f>IFERROR(__xludf.DUMMYFUNCTION("""COMPUTED_VALUE"""),"SQL")</f>
        <v>SQL</v>
      </c>
      <c r="I3333" s="9" t="str">
        <f>IFERROR(__xludf.DUMMYFUNCTION("""COMPUTED_VALUE"""),"Go")</f>
        <v>Go</v>
      </c>
      <c r="J3333" s="9" t="str">
        <f>IFERROR(__xludf.DUMMYFUNCTION("""COMPUTED_VALUE"""),"TypeScript")</f>
        <v>TypeScript</v>
      </c>
      <c r="K3333" s="9" t="str">
        <f>IFERROR(__xludf.DUMMYFUNCTION("""COMPUTED_VALUE"""),"SQL")</f>
        <v>SQL</v>
      </c>
      <c r="L3333" s="9" t="str">
        <f>IFERROR(__xludf.DUMMYFUNCTION("""COMPUTED_VALUE"""),"SQL")</f>
        <v>SQL</v>
      </c>
      <c r="M3333" s="9" t="s">
        <v>21</v>
      </c>
    </row>
    <row r="3334" ht="15.75" customHeight="1">
      <c r="A3334" s="7"/>
      <c r="B3334" s="7" t="str">
        <f>IFERROR(__xludf.DUMMYFUNCTION("""COMPUTED_VALUE"""),"Bash/Shell/PowerShell;HTML/CSS;Java;JavaScript;Kotlin;Objective-C;SQL;Swift")</f>
        <v>Bash/Shell/PowerShell;HTML/CSS;Java;JavaScript;Kotlin;Objective-C;SQL;Swift</v>
      </c>
      <c r="C3334" s="9" t="str">
        <f>IFERROR(__xludf.DUMMYFUNCTION("""COMPUTED_VALUE"""),"SQL")</f>
        <v>SQL</v>
      </c>
      <c r="D3334" s="9" t="str">
        <f>IFERROR(__xludf.DUMMYFUNCTION("""COMPUTED_VALUE"""),"SQL")</f>
        <v>SQL</v>
      </c>
      <c r="E3334" s="9" t="str">
        <f>IFERROR(__xludf.DUMMYFUNCTION("""COMPUTED_VALUE"""),"SQL")</f>
        <v>SQL</v>
      </c>
      <c r="F3334" s="9" t="str">
        <f>IFERROR(__xludf.DUMMYFUNCTION("""COMPUTED_VALUE"""),"JavaScript")</f>
        <v>JavaScript</v>
      </c>
      <c r="G3334" s="9" t="str">
        <f>IFERROR(__xludf.DUMMYFUNCTION("""COMPUTED_VALUE"""),"HTML/CSS")</f>
        <v>HTML/CSS</v>
      </c>
      <c r="H3334" s="9" t="str">
        <f>IFERROR(__xludf.DUMMYFUNCTION("""COMPUTED_VALUE"""),"HTML/CSS")</f>
        <v>HTML/CSS</v>
      </c>
      <c r="I3334" s="9" t="str">
        <f>IFERROR(__xludf.DUMMYFUNCTION("""COMPUTED_VALUE"""),"HTML/CSS")</f>
        <v>HTML/CSS</v>
      </c>
      <c r="J3334" s="9" t="str">
        <f>IFERROR(__xludf.DUMMYFUNCTION("""COMPUTED_VALUE"""),"Java")</f>
        <v>Java</v>
      </c>
      <c r="K3334" s="9" t="str">
        <f>IFERROR(__xludf.DUMMYFUNCTION("""COMPUTED_VALUE"""),"Java")</f>
        <v>Java</v>
      </c>
      <c r="L3334" s="9" t="str">
        <f>IFERROR(__xludf.DUMMYFUNCTION("""COMPUTED_VALUE"""),"Bash/Shell/PowerShell")</f>
        <v>Bash/Shell/PowerShell</v>
      </c>
      <c r="M3334" s="9" t="s">
        <v>27</v>
      </c>
    </row>
    <row r="3335" ht="15.75" customHeight="1">
      <c r="A3335" s="7"/>
      <c r="B3335" s="7" t="str">
        <f>IFERROR(__xludf.DUMMYFUNCTION("""COMPUTED_VALUE"""),"C;C++;HTML/CSS;JavaScript;Python;R;Ruby;SQL;Swift")</f>
        <v>C;C++;HTML/CSS;JavaScript;Python;R;Ruby;SQL;Swift</v>
      </c>
      <c r="C3335" s="9" t="str">
        <f>IFERROR(__xludf.DUMMYFUNCTION("""COMPUTED_VALUE"""),"VBA")</f>
        <v>VBA</v>
      </c>
      <c r="D3335" s="9" t="str">
        <f>IFERROR(__xludf.DUMMYFUNCTION("""COMPUTED_VALUE"""),"TypeScript")</f>
        <v>TypeScript</v>
      </c>
      <c r="E3335" s="9" t="str">
        <f>IFERROR(__xludf.DUMMYFUNCTION("""COMPUTED_VALUE"""),"Erlang")</f>
        <v>Erlang</v>
      </c>
      <c r="F3335" s="9" t="str">
        <f>IFERROR(__xludf.DUMMYFUNCTION("""COMPUTED_VALUE"""),"Objective-C")</f>
        <v>Objective-C</v>
      </c>
      <c r="G3335" s="9" t="str">
        <f>IFERROR(__xludf.DUMMYFUNCTION("""COMPUTED_VALUE"""),"JavaScript")</f>
        <v>JavaScript</v>
      </c>
      <c r="H3335" s="9" t="str">
        <f>IFERROR(__xludf.DUMMYFUNCTION("""COMPUTED_VALUE"""),"JavaScript")</f>
        <v>JavaScript</v>
      </c>
      <c r="I3335" s="9" t="str">
        <f>IFERROR(__xludf.DUMMYFUNCTION("""COMPUTED_VALUE"""),"Java")</f>
        <v>Java</v>
      </c>
      <c r="J3335" s="9" t="str">
        <f>IFERROR(__xludf.DUMMYFUNCTION("""COMPUTED_VALUE"""),"Python")</f>
        <v>Python</v>
      </c>
      <c r="K3335" s="9" t="str">
        <f>IFERROR(__xludf.DUMMYFUNCTION("""COMPUTED_VALUE"""),"JavaScript")</f>
        <v>JavaScript</v>
      </c>
      <c r="L3335" s="9" t="str">
        <f>IFERROR(__xludf.DUMMYFUNCTION("""COMPUTED_VALUE"""),"Elixir")</f>
        <v>Elixir</v>
      </c>
      <c r="M3335" s="9" t="s">
        <v>28</v>
      </c>
    </row>
    <row r="3336" ht="15.75" customHeight="1">
      <c r="A3336" s="7"/>
      <c r="B3336" s="7" t="str">
        <f>IFERROR(__xludf.DUMMYFUNCTION("""COMPUTED_VALUE"""),"Assembly;Bash/Shell/PowerShell;C;C++;Python;Other(s):")</f>
        <v>Assembly;Bash/Shell/PowerShell;C;C++;Python;Other(s):</v>
      </c>
      <c r="C3336" s="9" t="str">
        <f>IFERROR(__xludf.DUMMYFUNCTION("""COMPUTED_VALUE"""),"Other(s):")</f>
        <v>Other(s):</v>
      </c>
      <c r="D3336" s="9" t="str">
        <f>IFERROR(__xludf.DUMMYFUNCTION("""COMPUTED_VALUE"""),"C")</f>
        <v>C</v>
      </c>
      <c r="E3336" s="9" t="str">
        <f>IFERROR(__xludf.DUMMYFUNCTION("""COMPUTED_VALUE"""),"Go")</f>
        <v>Go</v>
      </c>
      <c r="F3336" s="9" t="str">
        <f>IFERROR(__xludf.DUMMYFUNCTION("""COMPUTED_VALUE"""),"SQL")</f>
        <v>SQL</v>
      </c>
      <c r="G3336" s="9" t="str">
        <f>IFERROR(__xludf.DUMMYFUNCTION("""COMPUTED_VALUE"""),"Python")</f>
        <v>Python</v>
      </c>
      <c r="H3336" s="9" t="str">
        <f>IFERROR(__xludf.DUMMYFUNCTION("""COMPUTED_VALUE"""),"PHP")</f>
        <v>PHP</v>
      </c>
      <c r="I3336" s="9" t="str">
        <f>IFERROR(__xludf.DUMMYFUNCTION("""COMPUTED_VALUE"""),"JavaScript")</f>
        <v>JavaScript</v>
      </c>
      <c r="J3336" s="9" t="str">
        <f>IFERROR(__xludf.DUMMYFUNCTION("""COMPUTED_VALUE"""),"C#")</f>
        <v>C#</v>
      </c>
      <c r="K3336" s="9" t="str">
        <f>IFERROR(__xludf.DUMMYFUNCTION("""COMPUTED_VALUE"""),"Python")</f>
        <v>Python</v>
      </c>
      <c r="L3336" s="9" t="str">
        <f>IFERROR(__xludf.DUMMYFUNCTION("""COMPUTED_VALUE"""),"HTML/CSS")</f>
        <v>HTML/CSS</v>
      </c>
      <c r="M3336" s="9" t="s">
        <v>35</v>
      </c>
    </row>
    <row r="3337" ht="15.75" customHeight="1">
      <c r="A3337" s="7"/>
      <c r="B3337" s="7" t="str">
        <f>IFERROR(__xludf.DUMMYFUNCTION("""COMPUTED_VALUE"""),"Java;JavaScript;TypeScript")</f>
        <v>Java;JavaScript;TypeScript</v>
      </c>
      <c r="C3337" s="9" t="str">
        <f>IFERROR(__xludf.DUMMYFUNCTION("""COMPUTED_VALUE"""),"Bash/Shell/PowerShell")</f>
        <v>Bash/Shell/PowerShell</v>
      </c>
      <c r="D3337" s="9" t="str">
        <f>IFERROR(__xludf.DUMMYFUNCTION("""COMPUTED_VALUE"""),"C++")</f>
        <v>C++</v>
      </c>
      <c r="E3337" s="9" t="str">
        <f>IFERROR(__xludf.DUMMYFUNCTION("""COMPUTED_VALUE"""),"HTML/CSS")</f>
        <v>HTML/CSS</v>
      </c>
      <c r="F3337" s="9" t="str">
        <f>IFERROR(__xludf.DUMMYFUNCTION("""COMPUTED_VALUE"""),"Swift")</f>
        <v>Swift</v>
      </c>
      <c r="G3337" s="9" t="str">
        <f>IFERROR(__xludf.DUMMYFUNCTION("""COMPUTED_VALUE"""),"SQL")</f>
        <v>SQL</v>
      </c>
      <c r="H3337" s="9" t="str">
        <f>IFERROR(__xludf.DUMMYFUNCTION("""COMPUTED_VALUE"""),"Bash/Shell/PowerShell")</f>
        <v>Bash/Shell/PowerShell</v>
      </c>
      <c r="I3337" s="9" t="str">
        <f>IFERROR(__xludf.DUMMYFUNCTION("""COMPUTED_VALUE"""),"Kotlin")</f>
        <v>Kotlin</v>
      </c>
      <c r="J3337" s="9" t="str">
        <f>IFERROR(__xludf.DUMMYFUNCTION("""COMPUTED_VALUE"""),"Bash/Shell/PowerShell")</f>
        <v>Bash/Shell/PowerShell</v>
      </c>
      <c r="K3337" s="9" t="str">
        <f>IFERROR(__xludf.DUMMYFUNCTION("""COMPUTED_VALUE"""),"Ruby")</f>
        <v>Ruby</v>
      </c>
      <c r="L3337" s="9" t="str">
        <f>IFERROR(__xludf.DUMMYFUNCTION("""COMPUTED_VALUE"""),"JavaScript")</f>
        <v>JavaScript</v>
      </c>
      <c r="M3337" s="9" t="s">
        <v>30</v>
      </c>
    </row>
    <row r="3338" ht="15.75" customHeight="1">
      <c r="A3338" s="7"/>
      <c r="B3338" s="7" t="str">
        <f>IFERROR(__xludf.DUMMYFUNCTION("""COMPUTED_VALUE"""),"Java;PHP")</f>
        <v>Java;PHP</v>
      </c>
      <c r="C3338" s="9" t="str">
        <f>IFERROR(__xludf.DUMMYFUNCTION("""COMPUTED_VALUE"""),"Objective-C")</f>
        <v>Objective-C</v>
      </c>
      <c r="D3338" s="9" t="str">
        <f>IFERROR(__xludf.DUMMYFUNCTION("""COMPUTED_VALUE"""),"HTML/CSS")</f>
        <v>HTML/CSS</v>
      </c>
      <c r="E3338" s="9" t="str">
        <f>IFERROR(__xludf.DUMMYFUNCTION("""COMPUTED_VALUE"""),"Java")</f>
        <v>Java</v>
      </c>
      <c r="F3338" s="9" t="str">
        <f>IFERROR(__xludf.DUMMYFUNCTION("""COMPUTED_VALUE"""),"TypeScript")</f>
        <v>TypeScript</v>
      </c>
      <c r="G3338" s="9" t="str">
        <f>IFERROR(__xludf.DUMMYFUNCTION("""COMPUTED_VALUE"""),"Bash/Shell/PowerShell")</f>
        <v>Bash/Shell/PowerShell</v>
      </c>
      <c r="H3338" s="9" t="str">
        <f>IFERROR(__xludf.DUMMYFUNCTION("""COMPUTED_VALUE"""),"C#")</f>
        <v>C#</v>
      </c>
      <c r="I3338" s="9" t="str">
        <f>IFERROR(__xludf.DUMMYFUNCTION("""COMPUTED_VALUE"""),"PHP")</f>
        <v>PHP</v>
      </c>
      <c r="J3338" s="9" t="str">
        <f>IFERROR(__xludf.DUMMYFUNCTION("""COMPUTED_VALUE"""),"HTML/CSS")</f>
        <v>HTML/CSS</v>
      </c>
      <c r="K3338" s="9" t="str">
        <f>IFERROR(__xludf.DUMMYFUNCTION("""COMPUTED_VALUE"""),"SQL")</f>
        <v>SQL</v>
      </c>
      <c r="L3338" s="9" t="str">
        <f>IFERROR(__xludf.DUMMYFUNCTION("""COMPUTED_VALUE"""),"C#")</f>
        <v>C#</v>
      </c>
      <c r="M3338" s="9" t="s">
        <v>41</v>
      </c>
    </row>
    <row r="3339" ht="15.75" customHeight="1">
      <c r="A3339" s="7"/>
      <c r="B3339" s="7" t="str">
        <f>IFERROR(__xludf.DUMMYFUNCTION("""COMPUTED_VALUE"""),"Bash/Shell/PowerShell;C#;HTML/CSS;JavaScript;Python;R;SQL")</f>
        <v>Bash/Shell/PowerShell;C#;HTML/CSS;JavaScript;Python;R;SQL</v>
      </c>
      <c r="C3339" s="9" t="str">
        <f>IFERROR(__xludf.DUMMYFUNCTION("""COMPUTED_VALUE"""),"Ruby")</f>
        <v>Ruby</v>
      </c>
      <c r="D3339" s="9" t="str">
        <f>IFERROR(__xludf.DUMMYFUNCTION("""COMPUTED_VALUE"""),"Java")</f>
        <v>Java</v>
      </c>
      <c r="E3339" s="9" t="str">
        <f>IFERROR(__xludf.DUMMYFUNCTION("""COMPUTED_VALUE"""),"JavaScript")</f>
        <v>JavaScript</v>
      </c>
      <c r="F3339" s="9" t="str">
        <f>IFERROR(__xludf.DUMMYFUNCTION("""COMPUTED_VALUE"""),"C++")</f>
        <v>C++</v>
      </c>
      <c r="G3339" s="9" t="str">
        <f>IFERROR(__xludf.DUMMYFUNCTION("""COMPUTED_VALUE"""),"C")</f>
        <v>C</v>
      </c>
      <c r="H3339" s="9" t="str">
        <f>IFERROR(__xludf.DUMMYFUNCTION("""COMPUTED_VALUE"""),"Java")</f>
        <v>Java</v>
      </c>
      <c r="I3339" s="9" t="str">
        <f>IFERROR(__xludf.DUMMYFUNCTION("""COMPUTED_VALUE"""),"Python")</f>
        <v>Python</v>
      </c>
      <c r="J3339" s="9" t="str">
        <f>IFERROR(__xludf.DUMMYFUNCTION("""COMPUTED_VALUE"""),"JavaScript")</f>
        <v>JavaScript</v>
      </c>
      <c r="K3339" s="9" t="str">
        <f>IFERROR(__xludf.DUMMYFUNCTION("""COMPUTED_VALUE"""),"Bash/Shell/PowerShell")</f>
        <v>Bash/Shell/PowerShell</v>
      </c>
      <c r="L3339" s="9" t="str">
        <f>IFERROR(__xludf.DUMMYFUNCTION("""COMPUTED_VALUE"""),"C#")</f>
        <v>C#</v>
      </c>
      <c r="M3339" s="9" t="s">
        <v>31</v>
      </c>
    </row>
    <row r="3340" ht="15.75" customHeight="1">
      <c r="A3340" s="7"/>
      <c r="B3340" s="7" t="str">
        <f>IFERROR(__xludf.DUMMYFUNCTION("""COMPUTED_VALUE"""),"C;Go;Python;SQL")</f>
        <v>C;Go;Python;SQL</v>
      </c>
      <c r="C3340" s="9" t="str">
        <f>IFERROR(__xludf.DUMMYFUNCTION("""COMPUTED_VALUE"""),"Swift")</f>
        <v>Swift</v>
      </c>
      <c r="D3340" s="9" t="str">
        <f>IFERROR(__xludf.DUMMYFUNCTION("""COMPUTED_VALUE"""),"JavaScript")</f>
        <v>JavaScript</v>
      </c>
      <c r="E3340" s="9" t="str">
        <f>IFERROR(__xludf.DUMMYFUNCTION("""COMPUTED_VALUE"""),"Python")</f>
        <v>Python</v>
      </c>
      <c r="F3340" s="9" t="str">
        <f>IFERROR(__xludf.DUMMYFUNCTION("""COMPUTED_VALUE"""),"C#")</f>
        <v>C#</v>
      </c>
      <c r="G3340" s="9" t="str">
        <f>IFERROR(__xludf.DUMMYFUNCTION("""COMPUTED_VALUE"""),"C++")</f>
        <v>C++</v>
      </c>
      <c r="H3340" s="9" t="str">
        <f>IFERROR(__xludf.DUMMYFUNCTION("""COMPUTED_VALUE"""),"Python")</f>
        <v>Python</v>
      </c>
      <c r="I3340" s="9" t="str">
        <f>IFERROR(__xludf.DUMMYFUNCTION("""COMPUTED_VALUE"""),"R")</f>
        <v>R</v>
      </c>
      <c r="J3340" s="9" t="str">
        <f>IFERROR(__xludf.DUMMYFUNCTION("""COMPUTED_VALUE"""),"Python")</f>
        <v>Python</v>
      </c>
      <c r="K3340" s="9" t="str">
        <f>IFERROR(__xludf.DUMMYFUNCTION("""COMPUTED_VALUE"""),"Go")</f>
        <v>Go</v>
      </c>
      <c r="L3340" s="9" t="str">
        <f>IFERROR(__xludf.DUMMYFUNCTION("""COMPUTED_VALUE"""),"JavaScript")</f>
        <v>JavaScript</v>
      </c>
      <c r="M3340" s="9" t="s">
        <v>40</v>
      </c>
    </row>
    <row r="3341" ht="15.75" customHeight="1">
      <c r="A3341" s="7"/>
      <c r="B3341" s="7" t="str">
        <f>IFERROR(__xludf.DUMMYFUNCTION("""COMPUTED_VALUE"""),"Assembly;HTML/CSS;JavaScript;PHP;SQL;Swift")</f>
        <v>Assembly;HTML/CSS;JavaScript;PHP;SQL;Swift</v>
      </c>
      <c r="C3341" s="9" t="str">
        <f>IFERROR(__xludf.DUMMYFUNCTION("""COMPUTED_VALUE"""),"Other(s):")</f>
        <v>Other(s):</v>
      </c>
      <c r="D3341" s="9" t="str">
        <f>IFERROR(__xludf.DUMMYFUNCTION("""COMPUTED_VALUE"""),"Kotlin")</f>
        <v>Kotlin</v>
      </c>
      <c r="E3341" s="9" t="str">
        <f>IFERROR(__xludf.DUMMYFUNCTION("""COMPUTED_VALUE"""),"SQL")</f>
        <v>SQL</v>
      </c>
      <c r="F3341" s="9" t="str">
        <f>IFERROR(__xludf.DUMMYFUNCTION("""COMPUTED_VALUE"""),"Dart")</f>
        <v>Dart</v>
      </c>
      <c r="G3341" s="9" t="str">
        <f>IFERROR(__xludf.DUMMYFUNCTION("""COMPUTED_VALUE"""),"C#")</f>
        <v>C#</v>
      </c>
      <c r="H3341" s="9" t="str">
        <f>IFERROR(__xludf.DUMMYFUNCTION("""COMPUTED_VALUE"""),"Bash/Shell/PowerShell")</f>
        <v>Bash/Shell/PowerShell</v>
      </c>
      <c r="I3341" s="9" t="str">
        <f>IFERROR(__xludf.DUMMYFUNCTION("""COMPUTED_VALUE"""),"SQL")</f>
        <v>SQL</v>
      </c>
      <c r="J3341" s="9" t="str">
        <f>IFERROR(__xludf.DUMMYFUNCTION("""COMPUTED_VALUE"""),"SQL")</f>
        <v>SQL</v>
      </c>
      <c r="K3341" s="9" t="str">
        <f>IFERROR(__xludf.DUMMYFUNCTION("""COMPUTED_VALUE"""),"Other(s):")</f>
        <v>Other(s):</v>
      </c>
      <c r="L3341" s="9" t="str">
        <f>IFERROR(__xludf.DUMMYFUNCTION("""COMPUTED_VALUE"""),"Python")</f>
        <v>Python</v>
      </c>
      <c r="M3341" s="9" t="s">
        <v>35</v>
      </c>
    </row>
    <row r="3342" ht="15.75" customHeight="1">
      <c r="A3342" s="7"/>
      <c r="B3342" s="7" t="str">
        <f>IFERROR(__xludf.DUMMYFUNCTION("""COMPUTED_VALUE"""),"C#;Java;Other(s):")</f>
        <v>C#;Java;Other(s):</v>
      </c>
      <c r="C3342" s="9" t="str">
        <f>IFERROR(__xludf.DUMMYFUNCTION("""COMPUTED_VALUE"""),"Java")</f>
        <v>Java</v>
      </c>
      <c r="D3342" s="9" t="str">
        <f>IFERROR(__xludf.DUMMYFUNCTION("""COMPUTED_VALUE"""),"Python")</f>
        <v>Python</v>
      </c>
      <c r="E3342" s="9" t="str">
        <f>IFERROR(__xludf.DUMMYFUNCTION("""COMPUTED_VALUE"""),"TypeScript")</f>
        <v>TypeScript</v>
      </c>
      <c r="F3342" s="9" t="str">
        <f>IFERROR(__xludf.DUMMYFUNCTION("""COMPUTED_VALUE"""),"Go")</f>
        <v>Go</v>
      </c>
      <c r="G3342" s="9" t="str">
        <f>IFERROR(__xludf.DUMMYFUNCTION("""COMPUTED_VALUE"""),"Python")</f>
        <v>Python</v>
      </c>
      <c r="H3342" s="9" t="str">
        <f>IFERROR(__xludf.DUMMYFUNCTION("""COMPUTED_VALUE"""),"HTML/CSS")</f>
        <v>HTML/CSS</v>
      </c>
      <c r="I3342" s="9" t="str">
        <f>IFERROR(__xludf.DUMMYFUNCTION("""COMPUTED_VALUE"""),"TypeScript")</f>
        <v>TypeScript</v>
      </c>
      <c r="J3342" s="9" t="str">
        <f>IFERROR(__xludf.DUMMYFUNCTION("""COMPUTED_VALUE"""),"Bash/Shell/PowerShell")</f>
        <v>Bash/Shell/PowerShell</v>
      </c>
      <c r="K3342" s="9" t="str">
        <f>IFERROR(__xludf.DUMMYFUNCTION("""COMPUTED_VALUE"""),"Assembly")</f>
        <v>Assembly</v>
      </c>
      <c r="L3342" s="9" t="str">
        <f>IFERROR(__xludf.DUMMYFUNCTION("""COMPUTED_VALUE"""),"SQL")</f>
        <v>SQL</v>
      </c>
      <c r="M3342" s="9" t="s">
        <v>20</v>
      </c>
    </row>
    <row r="3343" ht="15.75" customHeight="1">
      <c r="A3343" s="7"/>
      <c r="B3343" s="7" t="str">
        <f>IFERROR(__xludf.DUMMYFUNCTION("""COMPUTED_VALUE"""),"Bash/Shell/PowerShell;Objective-C;Swift")</f>
        <v>Bash/Shell/PowerShell;Objective-C;Swift</v>
      </c>
      <c r="C3343" s="9" t="str">
        <f>IFERROR(__xludf.DUMMYFUNCTION("""COMPUTED_VALUE"""),"JavaScript")</f>
        <v>JavaScript</v>
      </c>
      <c r="D3343" s="9" t="str">
        <f>IFERROR(__xludf.DUMMYFUNCTION("""COMPUTED_VALUE"""),"SQL")</f>
        <v>SQL</v>
      </c>
      <c r="E3343" s="9" t="str">
        <f>IFERROR(__xludf.DUMMYFUNCTION("""COMPUTED_VALUE"""),"HTML/CSS")</f>
        <v>HTML/CSS</v>
      </c>
      <c r="F3343" s="9" t="str">
        <f>IFERROR(__xludf.DUMMYFUNCTION("""COMPUTED_VALUE"""),"HTML/CSS")</f>
        <v>HTML/CSS</v>
      </c>
      <c r="G3343" s="9" t="str">
        <f>IFERROR(__xludf.DUMMYFUNCTION("""COMPUTED_VALUE"""),"HTML/CSS")</f>
        <v>HTML/CSS</v>
      </c>
      <c r="H3343" s="9" t="str">
        <f>IFERROR(__xludf.DUMMYFUNCTION("""COMPUTED_VALUE"""),"Java")</f>
        <v>Java</v>
      </c>
      <c r="I3343" s="9" t="str">
        <f>IFERROR(__xludf.DUMMYFUNCTION("""COMPUTED_VALUE"""),"Java")</f>
        <v>Java</v>
      </c>
      <c r="J3343" s="9" t="str">
        <f>IFERROR(__xludf.DUMMYFUNCTION("""COMPUTED_VALUE"""),"HTML/CSS")</f>
        <v>HTML/CSS</v>
      </c>
      <c r="K3343" s="9" t="str">
        <f>IFERROR(__xludf.DUMMYFUNCTION("""COMPUTED_VALUE"""),"Bash/Shell/PowerShell")</f>
        <v>Bash/Shell/PowerShell</v>
      </c>
      <c r="L3343" s="9" t="str">
        <f>IFERROR(__xludf.DUMMYFUNCTION("""COMPUTED_VALUE"""),"Bash/Shell/PowerShell")</f>
        <v>Bash/Shell/PowerShell</v>
      </c>
      <c r="M3343" s="9" t="s">
        <v>21</v>
      </c>
    </row>
    <row r="3344" ht="15.75" customHeight="1">
      <c r="A3344" s="7"/>
      <c r="B3344" s="7" t="str">
        <f>IFERROR(__xludf.DUMMYFUNCTION("""COMPUTED_VALUE"""),"Java;JavaScript;Python")</f>
        <v>Java;JavaScript;Python</v>
      </c>
      <c r="C3344" s="9" t="str">
        <f>IFERROR(__xludf.DUMMYFUNCTION("""COMPUTED_VALUE"""),"Scala")</f>
        <v>Scala</v>
      </c>
      <c r="D3344" s="9" t="str">
        <f>IFERROR(__xludf.DUMMYFUNCTION("""COMPUTED_VALUE"""),"Swift")</f>
        <v>Swift</v>
      </c>
      <c r="E3344" s="9" t="str">
        <f>IFERROR(__xludf.DUMMYFUNCTION("""COMPUTED_VALUE"""),"JavaScript")</f>
        <v>JavaScript</v>
      </c>
      <c r="F3344" s="9" t="str">
        <f>IFERROR(__xludf.DUMMYFUNCTION("""COMPUTED_VALUE"""),"Java")</f>
        <v>Java</v>
      </c>
      <c r="G3344" s="9" t="str">
        <f>IFERROR(__xludf.DUMMYFUNCTION("""COMPUTED_VALUE"""),"JavaScript")</f>
        <v>JavaScript</v>
      </c>
      <c r="H3344" s="9" t="str">
        <f>IFERROR(__xludf.DUMMYFUNCTION("""COMPUTED_VALUE"""),"JavaScript")</f>
        <v>JavaScript</v>
      </c>
      <c r="I3344" s="9" t="str">
        <f>IFERROR(__xludf.DUMMYFUNCTION("""COMPUTED_VALUE"""),"SQL")</f>
        <v>SQL</v>
      </c>
      <c r="J3344" s="9" t="str">
        <f>IFERROR(__xludf.DUMMYFUNCTION("""COMPUTED_VALUE"""),"Java")</f>
        <v>Java</v>
      </c>
      <c r="K3344" s="9" t="str">
        <f>IFERROR(__xludf.DUMMYFUNCTION("""COMPUTED_VALUE"""),"C")</f>
        <v>C</v>
      </c>
      <c r="L3344" s="9" t="str">
        <f>IFERROR(__xludf.DUMMYFUNCTION("""COMPUTED_VALUE"""),"C#")</f>
        <v>C#</v>
      </c>
      <c r="M3344" s="9" t="s">
        <v>46</v>
      </c>
    </row>
    <row r="3345" ht="15.75" customHeight="1">
      <c r="A3345" s="7"/>
      <c r="B3345" s="7" t="str">
        <f>IFERROR(__xludf.DUMMYFUNCTION("""COMPUTED_VALUE"""),"Bash/Shell/PowerShell;C;C++;C#;HTML/CSS;Java;JavaScript;PHP;Python;SQL")</f>
        <v>Bash/Shell/PowerShell;C;C++;C#;HTML/CSS;Java;JavaScript;PHP;Python;SQL</v>
      </c>
      <c r="C3345" s="9" t="str">
        <f>IFERROR(__xludf.DUMMYFUNCTION("""COMPUTED_VALUE"""),"SQL")</f>
        <v>SQL</v>
      </c>
      <c r="D3345" s="9" t="str">
        <f>IFERROR(__xludf.DUMMYFUNCTION("""COMPUTED_VALUE"""),"C#")</f>
        <v>C#</v>
      </c>
      <c r="E3345" s="9" t="str">
        <f>IFERROR(__xludf.DUMMYFUNCTION("""COMPUTED_VALUE"""),"PHP")</f>
        <v>PHP</v>
      </c>
      <c r="F3345" s="9" t="str">
        <f>IFERROR(__xludf.DUMMYFUNCTION("""COMPUTED_VALUE"""),"JavaScript")</f>
        <v>JavaScript</v>
      </c>
      <c r="G3345" s="9" t="str">
        <f>IFERROR(__xludf.DUMMYFUNCTION("""COMPUTED_VALUE"""),"PHP")</f>
        <v>PHP</v>
      </c>
      <c r="H3345" s="9" t="str">
        <f>IFERROR(__xludf.DUMMYFUNCTION("""COMPUTED_VALUE"""),"Kotlin")</f>
        <v>Kotlin</v>
      </c>
      <c r="I3345" s="9" t="str">
        <f>IFERROR(__xludf.DUMMYFUNCTION("""COMPUTED_VALUE"""),"Bash/Shell/PowerShell")</f>
        <v>Bash/Shell/PowerShell</v>
      </c>
      <c r="J3345" s="9" t="str">
        <f>IFERROR(__xludf.DUMMYFUNCTION("""COMPUTED_VALUE"""),"JavaScript")</f>
        <v>JavaScript</v>
      </c>
      <c r="K3345" s="9" t="str">
        <f>IFERROR(__xludf.DUMMYFUNCTION("""COMPUTED_VALUE"""),"C++")</f>
        <v>C++</v>
      </c>
      <c r="L3345" s="9" t="str">
        <f>IFERROR(__xludf.DUMMYFUNCTION("""COMPUTED_VALUE"""),"Dart")</f>
        <v>Dart</v>
      </c>
      <c r="M3345" s="9" t="s">
        <v>27</v>
      </c>
    </row>
    <row r="3346" ht="15.75" customHeight="1">
      <c r="A3346" s="7"/>
      <c r="B3346" s="7" t="str">
        <f>IFERROR(__xludf.DUMMYFUNCTION("""COMPUTED_VALUE"""),"C++;Go;JavaScript;SQL")</f>
        <v>C++;Go;JavaScript;SQL</v>
      </c>
      <c r="C3346" s="9" t="str">
        <f>IFERROR(__xludf.DUMMYFUNCTION("""COMPUTED_VALUE"""),"C#")</f>
        <v>C#</v>
      </c>
      <c r="D3346" s="9" t="str">
        <f>IFERROR(__xludf.DUMMYFUNCTION("""COMPUTED_VALUE"""),"HTML/CSS")</f>
        <v>HTML/CSS</v>
      </c>
      <c r="E3346" s="9" t="str">
        <f>IFERROR(__xludf.DUMMYFUNCTION("""COMPUTED_VALUE"""),"Ruby")</f>
        <v>Ruby</v>
      </c>
      <c r="F3346" s="9" t="str">
        <f>IFERROR(__xludf.DUMMYFUNCTION("""COMPUTED_VALUE"""),"PHP")</f>
        <v>PHP</v>
      </c>
      <c r="G3346" s="9" t="str">
        <f>IFERROR(__xludf.DUMMYFUNCTION("""COMPUTED_VALUE"""),"SQL")</f>
        <v>SQL</v>
      </c>
      <c r="H3346" s="9" t="str">
        <f>IFERROR(__xludf.DUMMYFUNCTION("""COMPUTED_VALUE"""),"PHP")</f>
        <v>PHP</v>
      </c>
      <c r="I3346" s="9" t="str">
        <f>IFERROR(__xludf.DUMMYFUNCTION("""COMPUTED_VALUE"""),"C#")</f>
        <v>C#</v>
      </c>
      <c r="J3346" s="9" t="str">
        <f>IFERROR(__xludf.DUMMYFUNCTION("""COMPUTED_VALUE"""),"Kotlin")</f>
        <v>Kotlin</v>
      </c>
      <c r="K3346" s="9" t="str">
        <f>IFERROR(__xludf.DUMMYFUNCTION("""COMPUTED_VALUE"""),"HTML/CSS")</f>
        <v>HTML/CSS</v>
      </c>
      <c r="L3346" s="9" t="str">
        <f>IFERROR(__xludf.DUMMYFUNCTION("""COMPUTED_VALUE"""),"HTML/CSS")</f>
        <v>HTML/CSS</v>
      </c>
      <c r="M3346" s="9" t="s">
        <v>26</v>
      </c>
    </row>
    <row r="3347" ht="15.75" customHeight="1">
      <c r="A3347" s="7"/>
      <c r="B3347" s="7" t="str">
        <f>IFERROR(__xludf.DUMMYFUNCTION("""COMPUTED_VALUE"""),"C;HTML/CSS;Java;PHP")</f>
        <v>C;HTML/CSS;Java;PHP</v>
      </c>
      <c r="C3347" s="9" t="str">
        <f>IFERROR(__xludf.DUMMYFUNCTION("""COMPUTED_VALUE"""),"HTML/CSS")</f>
        <v>HTML/CSS</v>
      </c>
      <c r="D3347" s="9" t="str">
        <f>IFERROR(__xludf.DUMMYFUNCTION("""COMPUTED_VALUE"""),"Java")</f>
        <v>Java</v>
      </c>
      <c r="E3347" s="9" t="str">
        <f>IFERROR(__xludf.DUMMYFUNCTION("""COMPUTED_VALUE"""),"SQL")</f>
        <v>SQL</v>
      </c>
      <c r="F3347" s="9" t="str">
        <f>IFERROR(__xludf.DUMMYFUNCTION("""COMPUTED_VALUE"""),"Python")</f>
        <v>Python</v>
      </c>
      <c r="G3347" s="9" t="str">
        <f>IFERROR(__xludf.DUMMYFUNCTION("""COMPUTED_VALUE"""),"C#")</f>
        <v>C#</v>
      </c>
      <c r="H3347" s="9" t="str">
        <f>IFERROR(__xludf.DUMMYFUNCTION("""COMPUTED_VALUE"""),"SQL")</f>
        <v>SQL</v>
      </c>
      <c r="I3347" s="9" t="str">
        <f>IFERROR(__xludf.DUMMYFUNCTION("""COMPUTED_VALUE"""),"SQL")</f>
        <v>SQL</v>
      </c>
      <c r="J3347" s="9" t="str">
        <f>IFERROR(__xludf.DUMMYFUNCTION("""COMPUTED_VALUE"""),"Bash/Shell/PowerShell")</f>
        <v>Bash/Shell/PowerShell</v>
      </c>
      <c r="K3347" s="9" t="str">
        <f>IFERROR(__xludf.DUMMYFUNCTION("""COMPUTED_VALUE"""),"Java")</f>
        <v>Java</v>
      </c>
      <c r="L3347" s="9" t="str">
        <f>IFERROR(__xludf.DUMMYFUNCTION("""COMPUTED_VALUE"""),"Java")</f>
        <v>Java</v>
      </c>
      <c r="M3347" s="9" t="s">
        <v>24</v>
      </c>
    </row>
    <row r="3348" ht="15.75" customHeight="1">
      <c r="A3348" s="7"/>
      <c r="B3348" s="7" t="str">
        <f>IFERROR(__xludf.DUMMYFUNCTION("""COMPUTED_VALUE"""),"C;C++;C#;Go;HTML/CSS;Java;JavaScript;PHP;Python;Ruby;SQL;TypeScript")</f>
        <v>C;C++;C#;Go;HTML/CSS;Java;JavaScript;PHP;Python;Ruby;SQL;TypeScript</v>
      </c>
      <c r="C3348" s="9" t="str">
        <f>IFERROR(__xludf.DUMMYFUNCTION("""COMPUTED_VALUE"""),"Python")</f>
        <v>Python</v>
      </c>
      <c r="D3348" s="9" t="str">
        <f>IFERROR(__xludf.DUMMYFUNCTION("""COMPUTED_VALUE"""),"JavaScript")</f>
        <v>JavaScript</v>
      </c>
      <c r="E3348" s="9" t="str">
        <f>IFERROR(__xludf.DUMMYFUNCTION("""COMPUTED_VALUE"""),"Bash/Shell/PowerShell")</f>
        <v>Bash/Shell/PowerShell</v>
      </c>
      <c r="F3348" s="9" t="str">
        <f>IFERROR(__xludf.DUMMYFUNCTION("""COMPUTED_VALUE"""),"Ruby")</f>
        <v>Ruby</v>
      </c>
      <c r="G3348" s="9" t="str">
        <f>IFERROR(__xludf.DUMMYFUNCTION("""COMPUTED_VALUE"""),"HTML/CSS")</f>
        <v>HTML/CSS</v>
      </c>
      <c r="H3348" s="9" t="str">
        <f>IFERROR(__xludf.DUMMYFUNCTION("""COMPUTED_VALUE"""),"TypeScript")</f>
        <v>TypeScript</v>
      </c>
      <c r="I3348" s="9" t="str">
        <f>IFERROR(__xludf.DUMMYFUNCTION("""COMPUTED_VALUE"""),"Bash/Shell/PowerShell")</f>
        <v>Bash/Shell/PowerShell</v>
      </c>
      <c r="J3348" s="9" t="str">
        <f>IFERROR(__xludf.DUMMYFUNCTION("""COMPUTED_VALUE"""),"HTML/CSS")</f>
        <v>HTML/CSS</v>
      </c>
      <c r="K3348" s="9" t="str">
        <f>IFERROR(__xludf.DUMMYFUNCTION("""COMPUTED_VALUE"""),"JavaScript")</f>
        <v>JavaScript</v>
      </c>
      <c r="L3348" s="9" t="str">
        <f>IFERROR(__xludf.DUMMYFUNCTION("""COMPUTED_VALUE"""),"HTML/CSS")</f>
        <v>HTML/CSS</v>
      </c>
      <c r="M3348" s="9" t="s">
        <v>22</v>
      </c>
    </row>
    <row r="3349" ht="15.75" customHeight="1">
      <c r="A3349" s="7"/>
      <c r="B3349" s="7" t="str">
        <f>IFERROR(__xludf.DUMMYFUNCTION("""COMPUTED_VALUE"""),"C++;HTML/CSS;JavaScript")</f>
        <v>C++;HTML/CSS;JavaScript</v>
      </c>
      <c r="C3349" s="9" t="str">
        <f>IFERROR(__xludf.DUMMYFUNCTION("""COMPUTED_VALUE"""),"SQL")</f>
        <v>SQL</v>
      </c>
      <c r="D3349" s="9" t="str">
        <f>IFERROR(__xludf.DUMMYFUNCTION("""COMPUTED_VALUE"""),"PHP")</f>
        <v>PHP</v>
      </c>
      <c r="E3349" s="9" t="str">
        <f>IFERROR(__xludf.DUMMYFUNCTION("""COMPUTED_VALUE"""),"C")</f>
        <v>C</v>
      </c>
      <c r="F3349" s="9" t="str">
        <f>IFERROR(__xludf.DUMMYFUNCTION("""COMPUTED_VALUE"""),"SQL")</f>
        <v>SQL</v>
      </c>
      <c r="G3349" s="9" t="str">
        <f>IFERROR(__xludf.DUMMYFUNCTION("""COMPUTED_VALUE"""),"JavaScript")</f>
        <v>JavaScript</v>
      </c>
      <c r="H3349" s="9" t="str">
        <f>IFERROR(__xludf.DUMMYFUNCTION("""COMPUTED_VALUE"""),"Bash/Shell/PowerShell")</f>
        <v>Bash/Shell/PowerShell</v>
      </c>
      <c r="I3349" s="9" t="str">
        <f>IFERROR(__xludf.DUMMYFUNCTION("""COMPUTED_VALUE"""),"C#")</f>
        <v>C#</v>
      </c>
      <c r="J3349" s="9" t="str">
        <f>IFERROR(__xludf.DUMMYFUNCTION("""COMPUTED_VALUE"""),"JavaScript")</f>
        <v>JavaScript</v>
      </c>
      <c r="K3349" s="9" t="str">
        <f>IFERROR(__xludf.DUMMYFUNCTION("""COMPUTED_VALUE"""),"PHP")</f>
        <v>PHP</v>
      </c>
      <c r="L3349" s="9" t="str">
        <f>IFERROR(__xludf.DUMMYFUNCTION("""COMPUTED_VALUE"""),"JavaScript")</f>
        <v>JavaScript</v>
      </c>
      <c r="M3349" s="9" t="s">
        <v>27</v>
      </c>
    </row>
    <row r="3350" ht="15.75" customHeight="1">
      <c r="A3350" s="7"/>
      <c r="B3350" s="7" t="str">
        <f>IFERROR(__xludf.DUMMYFUNCTION("""COMPUTED_VALUE"""),"Bash/Shell/PowerShell;HTML/CSS;JavaScript;SQL")</f>
        <v>Bash/Shell/PowerShell;HTML/CSS;JavaScript;SQL</v>
      </c>
      <c r="C3350" s="9" t="str">
        <f>IFERROR(__xludf.DUMMYFUNCTION("""COMPUTED_VALUE"""),"C#")</f>
        <v>C#</v>
      </c>
      <c r="D3350" s="9" t="str">
        <f>IFERROR(__xludf.DUMMYFUNCTION("""COMPUTED_VALUE"""),"Python")</f>
        <v>Python</v>
      </c>
      <c r="E3350" s="9" t="str">
        <f>IFERROR(__xludf.DUMMYFUNCTION("""COMPUTED_VALUE"""),"C++")</f>
        <v>C++</v>
      </c>
      <c r="F3350" s="9" t="str">
        <f>IFERROR(__xludf.DUMMYFUNCTION("""COMPUTED_VALUE"""),"VBA")</f>
        <v>VBA</v>
      </c>
      <c r="G3350" s="9" t="str">
        <f>IFERROR(__xludf.DUMMYFUNCTION("""COMPUTED_VALUE"""),"Objective-C")</f>
        <v>Objective-C</v>
      </c>
      <c r="H3350" s="9" t="str">
        <f>IFERROR(__xludf.DUMMYFUNCTION("""COMPUTED_VALUE"""),"C")</f>
        <v>C</v>
      </c>
      <c r="I3350" s="9" t="str">
        <f>IFERROR(__xludf.DUMMYFUNCTION("""COMPUTED_VALUE"""),"Go")</f>
        <v>Go</v>
      </c>
      <c r="J3350" s="9" t="str">
        <f>IFERROR(__xludf.DUMMYFUNCTION("""COMPUTED_VALUE"""),"Python")</f>
        <v>Python</v>
      </c>
      <c r="K3350" s="9" t="str">
        <f>IFERROR(__xludf.DUMMYFUNCTION("""COMPUTED_VALUE"""),"SQL")</f>
        <v>SQL</v>
      </c>
      <c r="L3350" s="9" t="str">
        <f>IFERROR(__xludf.DUMMYFUNCTION("""COMPUTED_VALUE"""),"Bash/Shell/PowerShell")</f>
        <v>Bash/Shell/PowerShell</v>
      </c>
      <c r="M3350" s="9" t="s">
        <v>26</v>
      </c>
    </row>
    <row r="3351" ht="15.75" customHeight="1">
      <c r="A3351" s="7"/>
      <c r="B3351" s="7" t="str">
        <f>IFERROR(__xludf.DUMMYFUNCTION("""COMPUTED_VALUE"""),"Bash/Shell/PowerShell;C;Python")</f>
        <v>Bash/Shell/PowerShell;C;Python</v>
      </c>
      <c r="C3351" s="9" t="str">
        <f>IFERROR(__xludf.DUMMYFUNCTION("""COMPUTED_VALUE"""),"HTML/CSS")</f>
        <v>HTML/CSS</v>
      </c>
      <c r="D3351" s="9" t="str">
        <f>IFERROR(__xludf.DUMMYFUNCTION("""COMPUTED_VALUE"""),"Ruby")</f>
        <v>Ruby</v>
      </c>
      <c r="E3351" s="9" t="str">
        <f>IFERROR(__xludf.DUMMYFUNCTION("""COMPUTED_VALUE"""),"HTML/CSS")</f>
        <v>HTML/CSS</v>
      </c>
      <c r="F3351" s="9" t="str">
        <f>IFERROR(__xludf.DUMMYFUNCTION("""COMPUTED_VALUE"""),"HTML/CSS")</f>
        <v>HTML/CSS</v>
      </c>
      <c r="G3351" s="9" t="str">
        <f>IFERROR(__xludf.DUMMYFUNCTION("""COMPUTED_VALUE"""),"Swift")</f>
        <v>Swift</v>
      </c>
      <c r="H3351" s="9" t="str">
        <f>IFERROR(__xludf.DUMMYFUNCTION("""COMPUTED_VALUE"""),"C++")</f>
        <v>C++</v>
      </c>
      <c r="I3351" s="9" t="str">
        <f>IFERROR(__xludf.DUMMYFUNCTION("""COMPUTED_VALUE"""),"Java")</f>
        <v>Java</v>
      </c>
      <c r="J3351" s="9" t="str">
        <f>IFERROR(__xludf.DUMMYFUNCTION("""COMPUTED_VALUE"""),"SQL")</f>
        <v>SQL</v>
      </c>
      <c r="K3351" s="9" t="str">
        <f>IFERROR(__xludf.DUMMYFUNCTION("""COMPUTED_VALUE"""),"Swift")</f>
        <v>Swift</v>
      </c>
      <c r="L3351" s="9" t="str">
        <f>IFERROR(__xludf.DUMMYFUNCTION("""COMPUTED_VALUE"""),"Python")</f>
        <v>Python</v>
      </c>
      <c r="M3351" s="9" t="s">
        <v>24</v>
      </c>
    </row>
    <row r="3352" ht="15.75" customHeight="1">
      <c r="A3352" s="7"/>
      <c r="B3352" s="7" t="str">
        <f>IFERROR(__xludf.DUMMYFUNCTION("""COMPUTED_VALUE"""),"C++;HTML/CSS;Java;JavaScript;Ruby;SQL")</f>
        <v>C++;HTML/CSS;Java;JavaScript;Ruby;SQL</v>
      </c>
      <c r="C3352" s="9" t="str">
        <f>IFERROR(__xludf.DUMMYFUNCTION("""COMPUTED_VALUE"""),"JavaScript")</f>
        <v>JavaScript</v>
      </c>
      <c r="D3352" s="9" t="str">
        <f>IFERROR(__xludf.DUMMYFUNCTION("""COMPUTED_VALUE"""),"Scala")</f>
        <v>Scala</v>
      </c>
      <c r="E3352" s="9" t="str">
        <f>IFERROR(__xludf.DUMMYFUNCTION("""COMPUTED_VALUE"""),"Python")</f>
        <v>Python</v>
      </c>
      <c r="F3352" s="9" t="str">
        <f>IFERROR(__xludf.DUMMYFUNCTION("""COMPUTED_VALUE"""),"Java")</f>
        <v>Java</v>
      </c>
      <c r="G3352" s="9" t="str">
        <f>IFERROR(__xludf.DUMMYFUNCTION("""COMPUTED_VALUE"""),"C#")</f>
        <v>C#</v>
      </c>
      <c r="H3352" s="9" t="str">
        <f>IFERROR(__xludf.DUMMYFUNCTION("""COMPUTED_VALUE"""),"C#")</f>
        <v>C#</v>
      </c>
      <c r="I3352" s="9" t="str">
        <f>IFERROR(__xludf.DUMMYFUNCTION("""COMPUTED_VALUE"""),"JavaScript")</f>
        <v>JavaScript</v>
      </c>
      <c r="J3352" s="9" t="str">
        <f>IFERROR(__xludf.DUMMYFUNCTION("""COMPUTED_VALUE"""),"TypeScript")</f>
        <v>TypeScript</v>
      </c>
      <c r="K3352" s="9" t="str">
        <f>IFERROR(__xludf.DUMMYFUNCTION("""COMPUTED_VALUE"""),"Other(s):")</f>
        <v>Other(s):</v>
      </c>
      <c r="L3352" s="9" t="str">
        <f>IFERROR(__xludf.DUMMYFUNCTION("""COMPUTED_VALUE"""),"C++")</f>
        <v>C++</v>
      </c>
      <c r="M3352" s="9" t="s">
        <v>21</v>
      </c>
    </row>
    <row r="3353" ht="15.75" customHeight="1">
      <c r="A3353" s="7"/>
      <c r="B3353" s="7" t="str">
        <f>IFERROR(__xludf.DUMMYFUNCTION("""COMPUTED_VALUE"""),"Go;JavaScript;PHP;Python;SQL")</f>
        <v>Go;JavaScript;PHP;Python;SQL</v>
      </c>
      <c r="C3353" s="9" t="str">
        <f>IFERROR(__xludf.DUMMYFUNCTION("""COMPUTED_VALUE"""),"SQL")</f>
        <v>SQL</v>
      </c>
      <c r="D3353" s="9" t="str">
        <f>IFERROR(__xludf.DUMMYFUNCTION("""COMPUTED_VALUE"""),"SQL")</f>
        <v>SQL</v>
      </c>
      <c r="E3353" s="9" t="str">
        <f>IFERROR(__xludf.DUMMYFUNCTION("""COMPUTED_VALUE"""),"R")</f>
        <v>R</v>
      </c>
      <c r="F3353" s="9" t="str">
        <f>IFERROR(__xludf.DUMMYFUNCTION("""COMPUTED_VALUE"""),"JavaScript")</f>
        <v>JavaScript</v>
      </c>
      <c r="G3353" s="9" t="str">
        <f>IFERROR(__xludf.DUMMYFUNCTION("""COMPUTED_VALUE"""),"HTML/CSS")</f>
        <v>HTML/CSS</v>
      </c>
      <c r="H3353" s="9" t="str">
        <f>IFERROR(__xludf.DUMMYFUNCTION("""COMPUTED_VALUE"""),"Python")</f>
        <v>Python</v>
      </c>
      <c r="I3353" s="9" t="str">
        <f>IFERROR(__xludf.DUMMYFUNCTION("""COMPUTED_VALUE"""),"Python")</f>
        <v>Python</v>
      </c>
      <c r="J3353" s="9" t="str">
        <f>IFERROR(__xludf.DUMMYFUNCTION("""COMPUTED_VALUE"""),"HTML/CSS")</f>
        <v>HTML/CSS</v>
      </c>
      <c r="K3353" s="9" t="str">
        <f>IFERROR(__xludf.DUMMYFUNCTION("""COMPUTED_VALUE"""),"C++")</f>
        <v>C++</v>
      </c>
      <c r="L3353" s="9" t="str">
        <f>IFERROR(__xludf.DUMMYFUNCTION("""COMPUTED_VALUE"""),"HTML/CSS")</f>
        <v>HTML/CSS</v>
      </c>
      <c r="M3353" s="9" t="s">
        <v>27</v>
      </c>
    </row>
    <row r="3354" ht="15.75" customHeight="1">
      <c r="A3354" s="7"/>
      <c r="B3354" s="7" t="str">
        <f>IFERROR(__xludf.DUMMYFUNCTION("""COMPUTED_VALUE"""),"HTML/CSS;JavaScript;PHP")</f>
        <v>HTML/CSS;JavaScript;PHP</v>
      </c>
      <c r="C3354" s="9" t="str">
        <f>IFERROR(__xludf.DUMMYFUNCTION("""COMPUTED_VALUE"""),"Bash/Shell/PowerShell")</f>
        <v>Bash/Shell/PowerShell</v>
      </c>
      <c r="D3354" s="9" t="str">
        <f>IFERROR(__xludf.DUMMYFUNCTION("""COMPUTED_VALUE"""),"TypeScript")</f>
        <v>TypeScript</v>
      </c>
      <c r="E3354" s="9" t="str">
        <f>IFERROR(__xludf.DUMMYFUNCTION("""COMPUTED_VALUE"""),"Rust")</f>
        <v>Rust</v>
      </c>
      <c r="F3354" s="9" t="str">
        <f>IFERROR(__xludf.DUMMYFUNCTION("""COMPUTED_VALUE"""),"PHP")</f>
        <v>PHP</v>
      </c>
      <c r="G3354" s="9" t="str">
        <f>IFERROR(__xludf.DUMMYFUNCTION("""COMPUTED_VALUE"""),"JavaScript")</f>
        <v>JavaScript</v>
      </c>
      <c r="H3354" s="9" t="str">
        <f>IFERROR(__xludf.DUMMYFUNCTION("""COMPUTED_VALUE"""),"Assembly")</f>
        <v>Assembly</v>
      </c>
      <c r="I3354" s="9" t="str">
        <f>IFERROR(__xludf.DUMMYFUNCTION("""COMPUTED_VALUE"""),"SQL")</f>
        <v>SQL</v>
      </c>
      <c r="J3354" s="9" t="str">
        <f>IFERROR(__xludf.DUMMYFUNCTION("""COMPUTED_VALUE"""),"Java")</f>
        <v>Java</v>
      </c>
      <c r="K3354" s="9" t="str">
        <f>IFERROR(__xludf.DUMMYFUNCTION("""COMPUTED_VALUE"""),"HTML/CSS")</f>
        <v>HTML/CSS</v>
      </c>
      <c r="L3354" s="9" t="str">
        <f>IFERROR(__xludf.DUMMYFUNCTION("""COMPUTED_VALUE"""),"Java")</f>
        <v>Java</v>
      </c>
      <c r="M3354" s="9" t="s">
        <v>30</v>
      </c>
    </row>
    <row r="3355" ht="15.75" customHeight="1">
      <c r="A3355" s="7"/>
      <c r="B3355" s="7" t="str">
        <f>IFERROR(__xludf.DUMMYFUNCTION("""COMPUTED_VALUE"""),"Python;SQL")</f>
        <v>Python;SQL</v>
      </c>
      <c r="C3355" s="9" t="str">
        <f>IFERROR(__xludf.DUMMYFUNCTION("""COMPUTED_VALUE"""),"C")</f>
        <v>C</v>
      </c>
      <c r="D3355" s="9" t="str">
        <f>IFERROR(__xludf.DUMMYFUNCTION("""COMPUTED_VALUE"""),"R")</f>
        <v>R</v>
      </c>
      <c r="E3355" s="9" t="str">
        <f>IFERROR(__xludf.DUMMYFUNCTION("""COMPUTED_VALUE"""),"Other(s):")</f>
        <v>Other(s):</v>
      </c>
      <c r="F3355" s="9" t="str">
        <f>IFERROR(__xludf.DUMMYFUNCTION("""COMPUTED_VALUE"""),"SQL")</f>
        <v>SQL</v>
      </c>
      <c r="G3355" s="9" t="str">
        <f>IFERROR(__xludf.DUMMYFUNCTION("""COMPUTED_VALUE"""),"Python")</f>
        <v>Python</v>
      </c>
      <c r="H3355" s="9" t="str">
        <f>IFERROR(__xludf.DUMMYFUNCTION("""COMPUTED_VALUE"""),"C")</f>
        <v>C</v>
      </c>
      <c r="I3355" s="9" t="str">
        <f>IFERROR(__xludf.DUMMYFUNCTION("""COMPUTED_VALUE"""),"TypeScript")</f>
        <v>TypeScript</v>
      </c>
      <c r="J3355" s="9" t="str">
        <f>IFERROR(__xludf.DUMMYFUNCTION("""COMPUTED_VALUE"""),"JavaScript")</f>
        <v>JavaScript</v>
      </c>
      <c r="K3355" s="9" t="str">
        <f>IFERROR(__xludf.DUMMYFUNCTION("""COMPUTED_VALUE"""),"JavaScript")</f>
        <v>JavaScript</v>
      </c>
      <c r="L3355" s="9" t="str">
        <f>IFERROR(__xludf.DUMMYFUNCTION("""COMPUTED_VALUE"""),"JavaScript")</f>
        <v>JavaScript</v>
      </c>
      <c r="M3355" s="9" t="s">
        <v>25</v>
      </c>
    </row>
    <row r="3356" ht="15.75" customHeight="1">
      <c r="A3356" s="7"/>
      <c r="B3356" s="7" t="str">
        <f>IFERROR(__xludf.DUMMYFUNCTION("""COMPUTED_VALUE"""),"C;C++;C#;HTML/CSS;Java;JavaScript;Objective-C;PHP;Python;SQL")</f>
        <v>C;C++;C#;HTML/CSS;Java;JavaScript;Objective-C;PHP;Python;SQL</v>
      </c>
      <c r="C3356" s="9" t="str">
        <f>IFERROR(__xludf.DUMMYFUNCTION("""COMPUTED_VALUE"""),"C++")</f>
        <v>C++</v>
      </c>
      <c r="D3356" s="9" t="str">
        <f>IFERROR(__xludf.DUMMYFUNCTION("""COMPUTED_VALUE"""),"Dart")</f>
        <v>Dart</v>
      </c>
      <c r="E3356" s="9" t="str">
        <f>IFERROR(__xludf.DUMMYFUNCTION("""COMPUTED_VALUE"""),"Go")</f>
        <v>Go</v>
      </c>
      <c r="F3356" s="9" t="str">
        <f>IFERROR(__xludf.DUMMYFUNCTION("""COMPUTED_VALUE"""),"Assembly")</f>
        <v>Assembly</v>
      </c>
      <c r="G3356" s="9" t="str">
        <f>IFERROR(__xludf.DUMMYFUNCTION("""COMPUTED_VALUE"""),"SQL")</f>
        <v>SQL</v>
      </c>
      <c r="H3356" s="9" t="str">
        <f>IFERROR(__xludf.DUMMYFUNCTION("""COMPUTED_VALUE"""),"C++")</f>
        <v>C++</v>
      </c>
      <c r="I3356" s="9" t="str">
        <f>IFERROR(__xludf.DUMMYFUNCTION("""COMPUTED_VALUE"""),"C#")</f>
        <v>C#</v>
      </c>
      <c r="J3356" s="9" t="str">
        <f>IFERROR(__xludf.DUMMYFUNCTION("""COMPUTED_VALUE"""),"Python")</f>
        <v>Python</v>
      </c>
      <c r="K3356" s="9" t="str">
        <f>IFERROR(__xludf.DUMMYFUNCTION("""COMPUTED_VALUE"""),"Objective-C")</f>
        <v>Objective-C</v>
      </c>
      <c r="L3356" s="9" t="str">
        <f>IFERROR(__xludf.DUMMYFUNCTION("""COMPUTED_VALUE"""),"PHP")</f>
        <v>PHP</v>
      </c>
      <c r="M3356" s="9" t="s">
        <v>23</v>
      </c>
    </row>
    <row r="3357" ht="15.75" customHeight="1">
      <c r="A3357" s="7"/>
      <c r="B3357" s="7" t="str">
        <f>IFERROR(__xludf.DUMMYFUNCTION("""COMPUTED_VALUE"""),"C#;JavaScript")</f>
        <v>C#;JavaScript</v>
      </c>
      <c r="C3357" s="9" t="str">
        <f>IFERROR(__xludf.DUMMYFUNCTION("""COMPUTED_VALUE"""),"C#")</f>
        <v>C#</v>
      </c>
      <c r="D3357" s="9" t="str">
        <f>IFERROR(__xludf.DUMMYFUNCTION("""COMPUTED_VALUE"""),"Java")</f>
        <v>Java</v>
      </c>
      <c r="E3357" s="9" t="str">
        <f>IFERROR(__xludf.DUMMYFUNCTION("""COMPUTED_VALUE"""),"Python")</f>
        <v>Python</v>
      </c>
      <c r="F3357" s="9" t="str">
        <f>IFERROR(__xludf.DUMMYFUNCTION("""COMPUTED_VALUE"""),"C")</f>
        <v>C</v>
      </c>
      <c r="G3357" s="9" t="str">
        <f>IFERROR(__xludf.DUMMYFUNCTION("""COMPUTED_VALUE"""),"TypeScript")</f>
        <v>TypeScript</v>
      </c>
      <c r="H3357" s="9" t="str">
        <f>IFERROR(__xludf.DUMMYFUNCTION("""COMPUTED_VALUE"""),"Java")</f>
        <v>Java</v>
      </c>
      <c r="I3357" s="9" t="str">
        <f>IFERROR(__xludf.DUMMYFUNCTION("""COMPUTED_VALUE"""),"JavaScript")</f>
        <v>JavaScript</v>
      </c>
      <c r="J3357" s="9" t="str">
        <f>IFERROR(__xludf.DUMMYFUNCTION("""COMPUTED_VALUE"""),"SQL")</f>
        <v>SQL</v>
      </c>
      <c r="K3357" s="9" t="str">
        <f>IFERROR(__xludf.DUMMYFUNCTION("""COMPUTED_VALUE"""),"SQL")</f>
        <v>SQL</v>
      </c>
      <c r="L3357" s="9" t="str">
        <f>IFERROR(__xludf.DUMMYFUNCTION("""COMPUTED_VALUE"""),"Python")</f>
        <v>Python</v>
      </c>
      <c r="M3357" s="9" t="s">
        <v>26</v>
      </c>
    </row>
    <row r="3358" ht="15.75" customHeight="1">
      <c r="A3358" s="7"/>
      <c r="B3358" s="7" t="str">
        <f>IFERROR(__xludf.DUMMYFUNCTION("""COMPUTED_VALUE"""),"C;C#")</f>
        <v>C;C#</v>
      </c>
      <c r="C3358" s="9" t="str">
        <f>IFERROR(__xludf.DUMMYFUNCTION("""COMPUTED_VALUE"""),"F#")</f>
        <v>F#</v>
      </c>
      <c r="D3358" s="9" t="str">
        <f>IFERROR(__xludf.DUMMYFUNCTION("""COMPUTED_VALUE"""),"JavaScript")</f>
        <v>JavaScript</v>
      </c>
      <c r="E3358" s="9" t="str">
        <f>IFERROR(__xludf.DUMMYFUNCTION("""COMPUTED_VALUE"""),"Bash/Shell/PowerShell")</f>
        <v>Bash/Shell/PowerShell</v>
      </c>
      <c r="F3358" s="9" t="str">
        <f>IFERROR(__xludf.DUMMYFUNCTION("""COMPUTED_VALUE"""),"C++")</f>
        <v>C++</v>
      </c>
      <c r="G3358" s="9" t="str">
        <f>IFERROR(__xludf.DUMMYFUNCTION("""COMPUTED_VALUE"""),"HTML/CSS")</f>
        <v>HTML/CSS</v>
      </c>
      <c r="H3358" s="9" t="str">
        <f>IFERROR(__xludf.DUMMYFUNCTION("""COMPUTED_VALUE"""),"PHP")</f>
        <v>PHP</v>
      </c>
      <c r="I3358" s="9" t="str">
        <f>IFERROR(__xludf.DUMMYFUNCTION("""COMPUTED_VALUE"""),"SQL")</f>
        <v>SQL</v>
      </c>
      <c r="J3358" s="9" t="str">
        <f>IFERROR(__xludf.DUMMYFUNCTION("""COMPUTED_VALUE"""),"Bash/Shell/PowerShell")</f>
        <v>Bash/Shell/PowerShell</v>
      </c>
      <c r="K3358" s="9" t="str">
        <f>IFERROR(__xludf.DUMMYFUNCTION("""COMPUTED_VALUE"""),"Swift")</f>
        <v>Swift</v>
      </c>
      <c r="L3358" s="9" t="str">
        <f>IFERROR(__xludf.DUMMYFUNCTION("""COMPUTED_VALUE"""),"SQL")</f>
        <v>SQL</v>
      </c>
      <c r="M3358" s="9" t="s">
        <v>45</v>
      </c>
    </row>
    <row r="3359" ht="15.75" customHeight="1">
      <c r="A3359" s="7"/>
      <c r="B3359" s="7" t="str">
        <f>IFERROR(__xludf.DUMMYFUNCTION("""COMPUTED_VALUE"""),"C#;HTML/CSS;JavaScript;TypeScript")</f>
        <v>C#;HTML/CSS;JavaScript;TypeScript</v>
      </c>
      <c r="C3359" s="9" t="str">
        <f>IFERROR(__xludf.DUMMYFUNCTION("""COMPUTED_VALUE"""),"HTML/CSS")</f>
        <v>HTML/CSS</v>
      </c>
      <c r="D3359" s="9" t="str">
        <f>IFERROR(__xludf.DUMMYFUNCTION("""COMPUTED_VALUE"""),"Kotlin")</f>
        <v>Kotlin</v>
      </c>
      <c r="E3359" s="9" t="str">
        <f>IFERROR(__xludf.DUMMYFUNCTION("""COMPUTED_VALUE"""),"C#")</f>
        <v>C#</v>
      </c>
      <c r="F3359" s="9" t="str">
        <f>IFERROR(__xludf.DUMMYFUNCTION("""COMPUTED_VALUE"""),"C#")</f>
        <v>C#</v>
      </c>
      <c r="G3359" s="9" t="str">
        <f>IFERROR(__xludf.DUMMYFUNCTION("""COMPUTED_VALUE"""),"Java")</f>
        <v>Java</v>
      </c>
      <c r="H3359" s="9" t="str">
        <f>IFERROR(__xludf.DUMMYFUNCTION("""COMPUTED_VALUE"""),"Python")</f>
        <v>Python</v>
      </c>
      <c r="I3359" s="9" t="str">
        <f>IFERROR(__xludf.DUMMYFUNCTION("""COMPUTED_VALUE"""),"TypeScript")</f>
        <v>TypeScript</v>
      </c>
      <c r="J3359" s="9" t="str">
        <f>IFERROR(__xludf.DUMMYFUNCTION("""COMPUTED_VALUE"""),"Go")</f>
        <v>Go</v>
      </c>
      <c r="K3359" s="9" t="str">
        <f>IFERROR(__xludf.DUMMYFUNCTION("""COMPUTED_VALUE"""),"HTML/CSS")</f>
        <v>HTML/CSS</v>
      </c>
      <c r="L3359" s="9" t="str">
        <f>IFERROR(__xludf.DUMMYFUNCTION("""COMPUTED_VALUE"""),"C")</f>
        <v>C</v>
      </c>
      <c r="M3359" s="9" t="s">
        <v>24</v>
      </c>
    </row>
    <row r="3360" ht="15.75" customHeight="1">
      <c r="A3360" s="7"/>
      <c r="B3360" s="7" t="str">
        <f>IFERROR(__xludf.DUMMYFUNCTION("""COMPUTED_VALUE"""),"C#;F#;HTML/CSS;JavaScript;Python;SQL;TypeScript;Other(s):")</f>
        <v>C#;F#;HTML/CSS;JavaScript;Python;SQL;TypeScript;Other(s):</v>
      </c>
      <c r="C3360" s="9" t="str">
        <f>IFERROR(__xludf.DUMMYFUNCTION("""COMPUTED_VALUE"""),"Java")</f>
        <v>Java</v>
      </c>
      <c r="D3360" s="9" t="str">
        <f>IFERROR(__xludf.DUMMYFUNCTION("""COMPUTED_VALUE"""),"TypeScript")</f>
        <v>TypeScript</v>
      </c>
      <c r="E3360" s="9" t="str">
        <f>IFERROR(__xludf.DUMMYFUNCTION("""COMPUTED_VALUE"""),"SQL")</f>
        <v>SQL</v>
      </c>
      <c r="F3360" s="9" t="str">
        <f>IFERROR(__xludf.DUMMYFUNCTION("""COMPUTED_VALUE"""),"HTML/CSS")</f>
        <v>HTML/CSS</v>
      </c>
      <c r="G3360" s="9" t="str">
        <f>IFERROR(__xludf.DUMMYFUNCTION("""COMPUTED_VALUE"""),"JavaScript")</f>
        <v>JavaScript</v>
      </c>
      <c r="H3360" s="9" t="str">
        <f>IFERROR(__xludf.DUMMYFUNCTION("""COMPUTED_VALUE"""),"SQL")</f>
        <v>SQL</v>
      </c>
      <c r="I3360" s="9" t="str">
        <f>IFERROR(__xludf.DUMMYFUNCTION("""COMPUTED_VALUE"""),"Bash/Shell/PowerShell")</f>
        <v>Bash/Shell/PowerShell</v>
      </c>
      <c r="J3360" s="9" t="str">
        <f>IFERROR(__xludf.DUMMYFUNCTION("""COMPUTED_VALUE"""),"HTML/CSS")</f>
        <v>HTML/CSS</v>
      </c>
      <c r="K3360" s="9" t="str">
        <f>IFERROR(__xludf.DUMMYFUNCTION("""COMPUTED_VALUE"""),"Java")</f>
        <v>Java</v>
      </c>
      <c r="L3360" s="9" t="str">
        <f>IFERROR(__xludf.DUMMYFUNCTION("""COMPUTED_VALUE"""),"C++")</f>
        <v>C++</v>
      </c>
      <c r="M3360" s="9" t="s">
        <v>20</v>
      </c>
    </row>
    <row r="3361" ht="15.75" customHeight="1">
      <c r="A3361" s="7"/>
      <c r="B3361" s="7" t="str">
        <f>IFERROR(__xludf.DUMMYFUNCTION("""COMPUTED_VALUE"""),"Assembly;Bash/Shell/PowerShell;C;C++;Elixir;Erlang;HTML/CSS;Python;SQL;Other(s):")</f>
        <v>Assembly;Bash/Shell/PowerShell;C;C++;Elixir;Erlang;HTML/CSS;Python;SQL;Other(s):</v>
      </c>
      <c r="C3361" s="9" t="str">
        <f>IFERROR(__xludf.DUMMYFUNCTION("""COMPUTED_VALUE"""),"JavaScript")</f>
        <v>JavaScript</v>
      </c>
      <c r="D3361" s="9" t="str">
        <f>IFERROR(__xludf.DUMMYFUNCTION("""COMPUTED_VALUE"""),"Bash/Shell/PowerShell")</f>
        <v>Bash/Shell/PowerShell</v>
      </c>
      <c r="E3361" s="9" t="str">
        <f>IFERROR(__xludf.DUMMYFUNCTION("""COMPUTED_VALUE"""),"Python")</f>
        <v>Python</v>
      </c>
      <c r="F3361" s="9" t="str">
        <f>IFERROR(__xludf.DUMMYFUNCTION("""COMPUTED_VALUE"""),"Java")</f>
        <v>Java</v>
      </c>
      <c r="G3361" s="9" t="str">
        <f>IFERROR(__xludf.DUMMYFUNCTION("""COMPUTED_VALUE"""),"Python")</f>
        <v>Python</v>
      </c>
      <c r="H3361" s="9" t="str">
        <f>IFERROR(__xludf.DUMMYFUNCTION("""COMPUTED_VALUE"""),"VBA")</f>
        <v>VBA</v>
      </c>
      <c r="I3361" s="9" t="str">
        <f>IFERROR(__xludf.DUMMYFUNCTION("""COMPUTED_VALUE"""),"Java")</f>
        <v>Java</v>
      </c>
      <c r="J3361" s="9" t="str">
        <f>IFERROR(__xludf.DUMMYFUNCTION("""COMPUTED_VALUE"""),"JavaScript")</f>
        <v>JavaScript</v>
      </c>
      <c r="K3361" s="9" t="str">
        <f>IFERROR(__xludf.DUMMYFUNCTION("""COMPUTED_VALUE"""),"JavaScript")</f>
        <v>JavaScript</v>
      </c>
      <c r="L3361" s="9" t="str">
        <f>IFERROR(__xludf.DUMMYFUNCTION("""COMPUTED_VALUE"""),"C#")</f>
        <v>C#</v>
      </c>
      <c r="M3361" s="9" t="s">
        <v>21</v>
      </c>
    </row>
    <row r="3362" ht="15.75" customHeight="1">
      <c r="A3362" s="7"/>
      <c r="B3362" s="7" t="str">
        <f>IFERROR(__xludf.DUMMYFUNCTION("""COMPUTED_VALUE"""),"Bash/Shell/PowerShell;HTML/CSS;JavaScript")</f>
        <v>Bash/Shell/PowerShell;HTML/CSS;JavaScript</v>
      </c>
      <c r="C3362" s="9" t="str">
        <f>IFERROR(__xludf.DUMMYFUNCTION("""COMPUTED_VALUE"""),"Python")</f>
        <v>Python</v>
      </c>
      <c r="D3362" s="9" t="str">
        <f>IFERROR(__xludf.DUMMYFUNCTION("""COMPUTED_VALUE"""),"C++")</f>
        <v>C++</v>
      </c>
      <c r="E3362" s="9" t="str">
        <f>IFERROR(__xludf.DUMMYFUNCTION("""COMPUTED_VALUE"""),"HTML/CSS")</f>
        <v>HTML/CSS</v>
      </c>
      <c r="F3362" s="9" t="str">
        <f>IFERROR(__xludf.DUMMYFUNCTION("""COMPUTED_VALUE"""),"JavaScript")</f>
        <v>JavaScript</v>
      </c>
      <c r="G3362" s="9" t="str">
        <f>IFERROR(__xludf.DUMMYFUNCTION("""COMPUTED_VALUE"""),"C#")</f>
        <v>C#</v>
      </c>
      <c r="H3362" s="9" t="str">
        <f>IFERROR(__xludf.DUMMYFUNCTION("""COMPUTED_VALUE"""),"HTML/CSS")</f>
        <v>HTML/CSS</v>
      </c>
      <c r="I3362" s="9" t="str">
        <f>IFERROR(__xludf.DUMMYFUNCTION("""COMPUTED_VALUE"""),"SQL")</f>
        <v>SQL</v>
      </c>
      <c r="J3362" s="9" t="str">
        <f>IFERROR(__xludf.DUMMYFUNCTION("""COMPUTED_VALUE"""),"Python")</f>
        <v>Python</v>
      </c>
      <c r="K3362" s="9" t="str">
        <f>IFERROR(__xludf.DUMMYFUNCTION("""COMPUTED_VALUE"""),"Python")</f>
        <v>Python</v>
      </c>
      <c r="L3362" s="9" t="str">
        <f>IFERROR(__xludf.DUMMYFUNCTION("""COMPUTED_VALUE"""),"HTML/CSS")</f>
        <v>HTML/CSS</v>
      </c>
      <c r="M3362" s="9" t="s">
        <v>22</v>
      </c>
    </row>
    <row r="3363" ht="15.75" customHeight="1">
      <c r="A3363" s="7"/>
      <c r="B3363" s="7" t="str">
        <f>IFERROR(__xludf.DUMMYFUNCTION("""COMPUTED_VALUE"""),"C;C++;HTML/CSS;JavaScript;PHP;SQL")</f>
        <v>C;C++;HTML/CSS;JavaScript;PHP;SQL</v>
      </c>
      <c r="C3363" s="9" t="str">
        <f>IFERROR(__xludf.DUMMYFUNCTION("""COMPUTED_VALUE"""),"R")</f>
        <v>R</v>
      </c>
      <c r="D3363" s="9" t="str">
        <f>IFERROR(__xludf.DUMMYFUNCTION("""COMPUTED_VALUE"""),"Rust")</f>
        <v>Rust</v>
      </c>
      <c r="E3363" s="9" t="str">
        <f>IFERROR(__xludf.DUMMYFUNCTION("""COMPUTED_VALUE"""),"JavaScript")</f>
        <v>JavaScript</v>
      </c>
      <c r="F3363" s="9" t="str">
        <f>IFERROR(__xludf.DUMMYFUNCTION("""COMPUTED_VALUE"""),"SQL")</f>
        <v>SQL</v>
      </c>
      <c r="G3363" s="9" t="str">
        <f>IFERROR(__xludf.DUMMYFUNCTION("""COMPUTED_VALUE"""),"Java")</f>
        <v>Java</v>
      </c>
      <c r="H3363" s="9" t="str">
        <f>IFERROR(__xludf.DUMMYFUNCTION("""COMPUTED_VALUE"""),"Java")</f>
        <v>Java</v>
      </c>
      <c r="I3363" s="9" t="str">
        <f>IFERROR(__xludf.DUMMYFUNCTION("""COMPUTED_VALUE"""),"C#")</f>
        <v>C#</v>
      </c>
      <c r="J3363" s="9" t="str">
        <f>IFERROR(__xludf.DUMMYFUNCTION("""COMPUTED_VALUE"""),"SQL")</f>
        <v>SQL</v>
      </c>
      <c r="K3363" s="9" t="str">
        <f>IFERROR(__xludf.DUMMYFUNCTION("""COMPUTED_VALUE"""),"R")</f>
        <v>R</v>
      </c>
      <c r="L3363" s="9" t="str">
        <f>IFERROR(__xludf.DUMMYFUNCTION("""COMPUTED_VALUE"""),"Java")</f>
        <v>Java</v>
      </c>
      <c r="M3363" s="9" t="s">
        <v>29</v>
      </c>
    </row>
    <row r="3364" ht="15.75" customHeight="1">
      <c r="A3364" s="7"/>
      <c r="B3364" s="7" t="str">
        <f>IFERROR(__xludf.DUMMYFUNCTION("""COMPUTED_VALUE"""),"Bash/Shell/PowerShell;HTML/CSS;JavaScript;Python;SQL")</f>
        <v>Bash/Shell/PowerShell;HTML/CSS;JavaScript;Python;SQL</v>
      </c>
      <c r="C3364" s="9" t="str">
        <f>IFERROR(__xludf.DUMMYFUNCTION("""COMPUTED_VALUE"""),"Ruby")</f>
        <v>Ruby</v>
      </c>
      <c r="D3364" s="9" t="str">
        <f>IFERROR(__xludf.DUMMYFUNCTION("""COMPUTED_VALUE"""),"TypeScript")</f>
        <v>TypeScript</v>
      </c>
      <c r="E3364" s="9" t="str">
        <f>IFERROR(__xludf.DUMMYFUNCTION("""COMPUTED_VALUE"""),"Ruby")</f>
        <v>Ruby</v>
      </c>
      <c r="F3364" s="9" t="str">
        <f>IFERROR(__xludf.DUMMYFUNCTION("""COMPUTED_VALUE"""),"Bash/Shell/PowerShell")</f>
        <v>Bash/Shell/PowerShell</v>
      </c>
      <c r="G3364" s="9" t="str">
        <f>IFERROR(__xludf.DUMMYFUNCTION("""COMPUTED_VALUE"""),"SQL")</f>
        <v>SQL</v>
      </c>
      <c r="H3364" s="9" t="str">
        <f>IFERROR(__xludf.DUMMYFUNCTION("""COMPUTED_VALUE"""),"JavaScript")</f>
        <v>JavaScript</v>
      </c>
      <c r="I3364" s="9" t="str">
        <f>IFERROR(__xludf.DUMMYFUNCTION("""COMPUTED_VALUE"""),"HTML/CSS")</f>
        <v>HTML/CSS</v>
      </c>
      <c r="J3364" s="9" t="str">
        <f>IFERROR(__xludf.DUMMYFUNCTION("""COMPUTED_VALUE"""),"C")</f>
        <v>C</v>
      </c>
      <c r="K3364" s="9" t="str">
        <f>IFERROR(__xludf.DUMMYFUNCTION("""COMPUTED_VALUE"""),"Rust")</f>
        <v>Rust</v>
      </c>
      <c r="L3364" s="9" t="str">
        <f>IFERROR(__xludf.DUMMYFUNCTION("""COMPUTED_VALUE"""),"C")</f>
        <v>C</v>
      </c>
      <c r="M3364" s="9" t="s">
        <v>31</v>
      </c>
    </row>
    <row r="3365" ht="15.75" customHeight="1">
      <c r="A3365" s="7"/>
      <c r="B3365" s="7" t="str">
        <f>IFERROR(__xludf.DUMMYFUNCTION("""COMPUTED_VALUE"""),"Bash/Shell/PowerShell;C;C++;Other(s):")</f>
        <v>Bash/Shell/PowerShell;C;C++;Other(s):</v>
      </c>
      <c r="C3365" s="9" t="str">
        <f>IFERROR(__xludf.DUMMYFUNCTION("""COMPUTED_VALUE"""),"Scala")</f>
        <v>Scala</v>
      </c>
      <c r="D3365" s="9" t="str">
        <f>IFERROR(__xludf.DUMMYFUNCTION("""COMPUTED_VALUE"""),"C++")</f>
        <v>C++</v>
      </c>
      <c r="E3365" s="9" t="str">
        <f>IFERROR(__xludf.DUMMYFUNCTION("""COMPUTED_VALUE"""),"SQL")</f>
        <v>SQL</v>
      </c>
      <c r="F3365" s="9" t="str">
        <f>IFERROR(__xludf.DUMMYFUNCTION("""COMPUTED_VALUE"""),"Java")</f>
        <v>Java</v>
      </c>
      <c r="G3365" s="9" t="str">
        <f>IFERROR(__xludf.DUMMYFUNCTION("""COMPUTED_VALUE"""),"VBA")</f>
        <v>VBA</v>
      </c>
      <c r="H3365" s="9" t="str">
        <f>IFERROR(__xludf.DUMMYFUNCTION("""COMPUTED_VALUE"""),"Swift")</f>
        <v>Swift</v>
      </c>
      <c r="I3365" s="9" t="str">
        <f>IFERROR(__xludf.DUMMYFUNCTION("""COMPUTED_VALUE"""),"TypeScript")</f>
        <v>TypeScript</v>
      </c>
      <c r="J3365" s="9" t="str">
        <f>IFERROR(__xludf.DUMMYFUNCTION("""COMPUTED_VALUE"""),"C++")</f>
        <v>C++</v>
      </c>
      <c r="K3365" s="9" t="str">
        <f>IFERROR(__xludf.DUMMYFUNCTION("""COMPUTED_VALUE"""),"SQL")</f>
        <v>SQL</v>
      </c>
      <c r="L3365" s="9" t="str">
        <f>IFERROR(__xludf.DUMMYFUNCTION("""COMPUTED_VALUE"""),"JavaScript")</f>
        <v>JavaScript</v>
      </c>
      <c r="M3365" s="9" t="s">
        <v>46</v>
      </c>
    </row>
    <row r="3366" ht="15.75" customHeight="1">
      <c r="A3366" s="7"/>
      <c r="B3366" s="7" t="str">
        <f>IFERROR(__xludf.DUMMYFUNCTION("""COMPUTED_VALUE"""),"Bash/Shell/PowerShell;C#;Java;JavaScript;SQL")</f>
        <v>Bash/Shell/PowerShell;C#;Java;JavaScript;SQL</v>
      </c>
      <c r="C3366" s="9" t="str">
        <f>IFERROR(__xludf.DUMMYFUNCTION("""COMPUTED_VALUE"""),"SQL")</f>
        <v>SQL</v>
      </c>
      <c r="D3366" s="9" t="str">
        <f>IFERROR(__xludf.DUMMYFUNCTION("""COMPUTED_VALUE"""),"C#")</f>
        <v>C#</v>
      </c>
      <c r="E3366" s="9" t="str">
        <f>IFERROR(__xludf.DUMMYFUNCTION("""COMPUTED_VALUE"""),"TypeScript")</f>
        <v>TypeScript</v>
      </c>
      <c r="F3366" s="9" t="str">
        <f>IFERROR(__xludf.DUMMYFUNCTION("""COMPUTED_VALUE"""),"JavaScript")</f>
        <v>JavaScript</v>
      </c>
      <c r="G3366" s="9" t="str">
        <f>IFERROR(__xludf.DUMMYFUNCTION("""COMPUTED_VALUE"""),"HTML/CSS")</f>
        <v>HTML/CSS</v>
      </c>
      <c r="H3366" s="9" t="str">
        <f>IFERROR(__xludf.DUMMYFUNCTION("""COMPUTED_VALUE"""),"Bash/Shell/PowerShell")</f>
        <v>Bash/Shell/PowerShell</v>
      </c>
      <c r="I3366" s="9" t="str">
        <f>IFERROR(__xludf.DUMMYFUNCTION("""COMPUTED_VALUE"""),"HTML/CSS")</f>
        <v>HTML/CSS</v>
      </c>
      <c r="J3366" s="9" t="str">
        <f>IFERROR(__xludf.DUMMYFUNCTION("""COMPUTED_VALUE"""),"C#")</f>
        <v>C#</v>
      </c>
      <c r="K3366" s="9" t="str">
        <f>IFERROR(__xludf.DUMMYFUNCTION("""COMPUTED_VALUE"""),"Bash/Shell/PowerShell")</f>
        <v>Bash/Shell/PowerShell</v>
      </c>
      <c r="L3366" s="9" t="str">
        <f>IFERROR(__xludf.DUMMYFUNCTION("""COMPUTED_VALUE"""),"Objective-C")</f>
        <v>Objective-C</v>
      </c>
      <c r="M3366" s="9" t="s">
        <v>27</v>
      </c>
    </row>
    <row r="3367" ht="15.75" customHeight="1">
      <c r="A3367" s="7"/>
      <c r="B3367" s="7" t="str">
        <f>IFERROR(__xludf.DUMMYFUNCTION("""COMPUTED_VALUE"""),"Bash/Shell/PowerShell;C#;HTML/CSS;JavaScript;Python;Scala;SQL;VBA")</f>
        <v>Bash/Shell/PowerShell;C#;HTML/CSS;JavaScript;Python;Scala;SQL;VBA</v>
      </c>
      <c r="C3367" s="9" t="str">
        <f>IFERROR(__xludf.DUMMYFUNCTION("""COMPUTED_VALUE"""),"HTML/CSS")</f>
        <v>HTML/CSS</v>
      </c>
      <c r="D3367" s="9" t="str">
        <f>IFERROR(__xludf.DUMMYFUNCTION("""COMPUTED_VALUE"""),"HTML/CSS")</f>
        <v>HTML/CSS</v>
      </c>
      <c r="E3367" s="9" t="str">
        <f>IFERROR(__xludf.DUMMYFUNCTION("""COMPUTED_VALUE"""),"HTML/CSS")</f>
        <v>HTML/CSS</v>
      </c>
      <c r="F3367" s="9" t="str">
        <f>IFERROR(__xludf.DUMMYFUNCTION("""COMPUTED_VALUE"""),"SQL")</f>
        <v>SQL</v>
      </c>
      <c r="G3367" s="9" t="str">
        <f>IFERROR(__xludf.DUMMYFUNCTION("""COMPUTED_VALUE"""),"JavaScript")</f>
        <v>JavaScript</v>
      </c>
      <c r="H3367" s="9" t="str">
        <f>IFERROR(__xludf.DUMMYFUNCTION("""COMPUTED_VALUE"""),"C")</f>
        <v>C</v>
      </c>
      <c r="I3367" s="9" t="str">
        <f>IFERROR(__xludf.DUMMYFUNCTION("""COMPUTED_VALUE"""),"JavaScript")</f>
        <v>JavaScript</v>
      </c>
      <c r="J3367" s="9" t="str">
        <f>IFERROR(__xludf.DUMMYFUNCTION("""COMPUTED_VALUE"""),"HTML/CSS")</f>
        <v>HTML/CSS</v>
      </c>
      <c r="K3367" s="9" t="str">
        <f>IFERROR(__xludf.DUMMYFUNCTION("""COMPUTED_VALUE"""),"C#")</f>
        <v>C#</v>
      </c>
      <c r="L3367" s="9" t="str">
        <f>IFERROR(__xludf.DUMMYFUNCTION("""COMPUTED_VALUE"""),"HTML/CSS")</f>
        <v>HTML/CSS</v>
      </c>
      <c r="M3367" s="9" t="s">
        <v>24</v>
      </c>
    </row>
    <row r="3368" ht="15.75" customHeight="1">
      <c r="A3368" s="7"/>
      <c r="B3368" s="7" t="str">
        <f>IFERROR(__xludf.DUMMYFUNCTION("""COMPUTED_VALUE"""),"Bash/Shell/PowerShell;Go;HTML/CSS;JavaScript;PHP;Python;SQL;TypeScript")</f>
        <v>Bash/Shell/PowerShell;Go;HTML/CSS;JavaScript;PHP;Python;SQL;TypeScript</v>
      </c>
      <c r="C3368" s="9" t="str">
        <f>IFERROR(__xludf.DUMMYFUNCTION("""COMPUTED_VALUE"""),"Objective-C")</f>
        <v>Objective-C</v>
      </c>
      <c r="D3368" s="9" t="str">
        <f>IFERROR(__xludf.DUMMYFUNCTION("""COMPUTED_VALUE"""),"Java")</f>
        <v>Java</v>
      </c>
      <c r="E3368" s="9" t="str">
        <f>IFERROR(__xludf.DUMMYFUNCTION("""COMPUTED_VALUE"""),"JavaScript")</f>
        <v>JavaScript</v>
      </c>
      <c r="F3368" s="9" t="str">
        <f>IFERROR(__xludf.DUMMYFUNCTION("""COMPUTED_VALUE"""),"C++")</f>
        <v>C++</v>
      </c>
      <c r="G3368" s="9" t="str">
        <f>IFERROR(__xludf.DUMMYFUNCTION("""COMPUTED_VALUE"""),"C++")</f>
        <v>C++</v>
      </c>
      <c r="H3368" s="9" t="str">
        <f>IFERROR(__xludf.DUMMYFUNCTION("""COMPUTED_VALUE"""),"HTML/CSS")</f>
        <v>HTML/CSS</v>
      </c>
      <c r="I3368" s="9" t="str">
        <f>IFERROR(__xludf.DUMMYFUNCTION("""COMPUTED_VALUE"""),"SQL")</f>
        <v>SQL</v>
      </c>
      <c r="J3368" s="9" t="str">
        <f>IFERROR(__xludf.DUMMYFUNCTION("""COMPUTED_VALUE"""),"Java")</f>
        <v>Java</v>
      </c>
      <c r="K3368" s="9" t="str">
        <f>IFERROR(__xludf.DUMMYFUNCTION("""COMPUTED_VALUE"""),"HTML/CSS")</f>
        <v>HTML/CSS</v>
      </c>
      <c r="L3368" s="9" t="str">
        <f>IFERROR(__xludf.DUMMYFUNCTION("""COMPUTED_VALUE"""),"JavaScript")</f>
        <v>JavaScript</v>
      </c>
      <c r="M3368" s="9" t="s">
        <v>41</v>
      </c>
    </row>
    <row r="3369" ht="15.75" customHeight="1">
      <c r="A3369" s="7"/>
      <c r="B3369" s="7" t="str">
        <f>IFERROR(__xludf.DUMMYFUNCTION("""COMPUTED_VALUE"""),"Elixir;Ruby")</f>
        <v>Elixir;Ruby</v>
      </c>
      <c r="C3369" s="9" t="str">
        <f>IFERROR(__xludf.DUMMYFUNCTION("""COMPUTED_VALUE"""),"Swift")</f>
        <v>Swift</v>
      </c>
      <c r="D3369" s="9" t="str">
        <f>IFERROR(__xludf.DUMMYFUNCTION("""COMPUTED_VALUE"""),"JavaScript")</f>
        <v>JavaScript</v>
      </c>
      <c r="E3369" s="9" t="str">
        <f>IFERROR(__xludf.DUMMYFUNCTION("""COMPUTED_VALUE"""),"PHP")</f>
        <v>PHP</v>
      </c>
      <c r="F3369" s="9" t="str">
        <f>IFERROR(__xludf.DUMMYFUNCTION("""COMPUTED_VALUE"""),"C#")</f>
        <v>C#</v>
      </c>
      <c r="G3369" s="9" t="str">
        <f>IFERROR(__xludf.DUMMYFUNCTION("""COMPUTED_VALUE"""),"Java")</f>
        <v>Java</v>
      </c>
      <c r="H3369" s="9" t="str">
        <f>IFERROR(__xludf.DUMMYFUNCTION("""COMPUTED_VALUE"""),"Java")</f>
        <v>Java</v>
      </c>
      <c r="I3369" s="9" t="str">
        <f>IFERROR(__xludf.DUMMYFUNCTION("""COMPUTED_VALUE"""),"Other(s):")</f>
        <v>Other(s):</v>
      </c>
      <c r="J3369" s="9" t="str">
        <f>IFERROR(__xludf.DUMMYFUNCTION("""COMPUTED_VALUE"""),"JavaScript")</f>
        <v>JavaScript</v>
      </c>
      <c r="K3369" s="9" t="str">
        <f>IFERROR(__xludf.DUMMYFUNCTION("""COMPUTED_VALUE"""),"Java")</f>
        <v>Java</v>
      </c>
      <c r="L3369" s="9" t="str">
        <f>IFERROR(__xludf.DUMMYFUNCTION("""COMPUTED_VALUE"""),"PHP")</f>
        <v>PHP</v>
      </c>
      <c r="M3369" s="9" t="s">
        <v>40</v>
      </c>
    </row>
    <row r="3370" ht="15.75" customHeight="1">
      <c r="A3370" s="7"/>
      <c r="B3370" s="7" t="str">
        <f>IFERROR(__xludf.DUMMYFUNCTION("""COMPUTED_VALUE"""),"Assembly;Bash/Shell/PowerShell;C;C++;Python")</f>
        <v>Assembly;Bash/Shell/PowerShell;C;C++;Python</v>
      </c>
      <c r="C3370" s="9" t="str">
        <f>IFERROR(__xludf.DUMMYFUNCTION("""COMPUTED_VALUE"""),"HTML/CSS")</f>
        <v>HTML/CSS</v>
      </c>
      <c r="D3370" s="9" t="str">
        <f>IFERROR(__xludf.DUMMYFUNCTION("""COMPUTED_VALUE"""),"PHP")</f>
        <v>PHP</v>
      </c>
      <c r="E3370" s="9" t="str">
        <f>IFERROR(__xludf.DUMMYFUNCTION("""COMPUTED_VALUE"""),"SQL")</f>
        <v>SQL</v>
      </c>
      <c r="F3370" s="9" t="str">
        <f>IFERROR(__xludf.DUMMYFUNCTION("""COMPUTED_VALUE"""),"HTML/CSS")</f>
        <v>HTML/CSS</v>
      </c>
      <c r="G3370" s="9" t="str">
        <f>IFERROR(__xludf.DUMMYFUNCTION("""COMPUTED_VALUE"""),"Python")</f>
        <v>Python</v>
      </c>
      <c r="H3370" s="9" t="str">
        <f>IFERROR(__xludf.DUMMYFUNCTION("""COMPUTED_VALUE"""),"JavaScript")</f>
        <v>JavaScript</v>
      </c>
      <c r="I3370" s="9" t="str">
        <f>IFERROR(__xludf.DUMMYFUNCTION("""COMPUTED_VALUE"""),"C")</f>
        <v>C</v>
      </c>
      <c r="J3370" s="9" t="str">
        <f>IFERROR(__xludf.DUMMYFUNCTION("""COMPUTED_VALUE"""),"SQL")</f>
        <v>SQL</v>
      </c>
      <c r="K3370" s="9" t="str">
        <f>IFERROR(__xludf.DUMMYFUNCTION("""COMPUTED_VALUE"""),"JavaScript")</f>
        <v>JavaScript</v>
      </c>
      <c r="L3370" s="9" t="str">
        <f>IFERROR(__xludf.DUMMYFUNCTION("""COMPUTED_VALUE"""),"SQL")</f>
        <v>SQL</v>
      </c>
      <c r="M3370" s="9" t="s">
        <v>24</v>
      </c>
    </row>
    <row r="3371" ht="15.75" customHeight="1">
      <c r="A3371" s="7"/>
      <c r="B3371" s="7" t="str">
        <f>IFERROR(__xludf.DUMMYFUNCTION("""COMPUTED_VALUE"""),"C++;HTML/CSS;JavaScript;Python;WebAssembly")</f>
        <v>C++;HTML/CSS;JavaScript;Python;WebAssembly</v>
      </c>
      <c r="C3371" s="9" t="str">
        <f>IFERROR(__xludf.DUMMYFUNCTION("""COMPUTED_VALUE"""),"JavaScript")</f>
        <v>JavaScript</v>
      </c>
      <c r="D3371" s="9" t="str">
        <f>IFERROR(__xludf.DUMMYFUNCTION("""COMPUTED_VALUE"""),"SQL")</f>
        <v>SQL</v>
      </c>
      <c r="E3371" s="9" t="str">
        <f>IFERROR(__xludf.DUMMYFUNCTION("""COMPUTED_VALUE"""),"JavaScript")</f>
        <v>JavaScript</v>
      </c>
      <c r="F3371" s="9" t="str">
        <f>IFERROR(__xludf.DUMMYFUNCTION("""COMPUTED_VALUE"""),"JavaScript")</f>
        <v>JavaScript</v>
      </c>
      <c r="G3371" s="9" t="str">
        <f>IFERROR(__xludf.DUMMYFUNCTION("""COMPUTED_VALUE"""),"C")</f>
        <v>C</v>
      </c>
      <c r="H3371" s="9" t="str">
        <f>IFERROR(__xludf.DUMMYFUNCTION("""COMPUTED_VALUE"""),"Python")</f>
        <v>Python</v>
      </c>
      <c r="I3371" s="9" t="str">
        <f>IFERROR(__xludf.DUMMYFUNCTION("""COMPUTED_VALUE"""),"Clojure")</f>
        <v>Clojure</v>
      </c>
      <c r="J3371" s="9" t="str">
        <f>IFERROR(__xludf.DUMMYFUNCTION("""COMPUTED_VALUE"""),"Bash/Shell/PowerShell")</f>
        <v>Bash/Shell/PowerShell</v>
      </c>
      <c r="K3371" s="9" t="str">
        <f>IFERROR(__xludf.DUMMYFUNCTION("""COMPUTED_VALUE"""),"Kotlin")</f>
        <v>Kotlin</v>
      </c>
      <c r="L3371" s="9" t="str">
        <f>IFERROR(__xludf.DUMMYFUNCTION("""COMPUTED_VALUE"""),"C")</f>
        <v>C</v>
      </c>
      <c r="M3371" s="9" t="s">
        <v>21</v>
      </c>
    </row>
    <row r="3372" ht="15.75" customHeight="1">
      <c r="A3372" s="7"/>
      <c r="B3372" s="7" t="str">
        <f>IFERROR(__xludf.DUMMYFUNCTION("""COMPUTED_VALUE"""),"C;C#;Python")</f>
        <v>C;C#;Python</v>
      </c>
      <c r="C3372" s="9" t="str">
        <f>IFERROR(__xludf.DUMMYFUNCTION("""COMPUTED_VALUE"""),"PHP")</f>
        <v>PHP</v>
      </c>
      <c r="D3372" s="9" t="str">
        <f>IFERROR(__xludf.DUMMYFUNCTION("""COMPUTED_VALUE"""),"HTML/CSS")</f>
        <v>HTML/CSS</v>
      </c>
      <c r="E3372" s="9" t="str">
        <f>IFERROR(__xludf.DUMMYFUNCTION("""COMPUTED_VALUE"""),"Assembly")</f>
        <v>Assembly</v>
      </c>
      <c r="F3372" s="9" t="str">
        <f>IFERROR(__xludf.DUMMYFUNCTION("""COMPUTED_VALUE"""),"Python")</f>
        <v>Python</v>
      </c>
      <c r="G3372" s="9" t="str">
        <f>IFERROR(__xludf.DUMMYFUNCTION("""COMPUTED_VALUE"""),"HTML/CSS")</f>
        <v>HTML/CSS</v>
      </c>
      <c r="H3372" s="9" t="str">
        <f>IFERROR(__xludf.DUMMYFUNCTION("""COMPUTED_VALUE"""),"HTML/CSS")</f>
        <v>HTML/CSS</v>
      </c>
      <c r="I3372" s="9" t="str">
        <f>IFERROR(__xludf.DUMMYFUNCTION("""COMPUTED_VALUE"""),"HTML/CSS")</f>
        <v>HTML/CSS</v>
      </c>
      <c r="J3372" s="9" t="str">
        <f>IFERROR(__xludf.DUMMYFUNCTION("""COMPUTED_VALUE"""),"HTML/CSS")</f>
        <v>HTML/CSS</v>
      </c>
      <c r="K3372" s="9" t="str">
        <f>IFERROR(__xludf.DUMMYFUNCTION("""COMPUTED_VALUE"""),"PHP")</f>
        <v>PHP</v>
      </c>
      <c r="L3372" s="9" t="str">
        <f>IFERROR(__xludf.DUMMYFUNCTION("""COMPUTED_VALUE"""),"C++")</f>
        <v>C++</v>
      </c>
      <c r="M3372" s="9" t="s">
        <v>37</v>
      </c>
    </row>
    <row r="3373" ht="15.75" customHeight="1">
      <c r="A3373" s="7"/>
      <c r="B3373" s="7" t="str">
        <f>IFERROR(__xludf.DUMMYFUNCTION("""COMPUTED_VALUE"""),"Bash/Shell/PowerShell;HTML/CSS;JavaScript;Rust")</f>
        <v>Bash/Shell/PowerShell;HTML/CSS;JavaScript;Rust</v>
      </c>
      <c r="C3373" s="9" t="str">
        <f>IFERROR(__xludf.DUMMYFUNCTION("""COMPUTED_VALUE"""),"Python")</f>
        <v>Python</v>
      </c>
      <c r="D3373" s="9" t="str">
        <f>IFERROR(__xludf.DUMMYFUNCTION("""COMPUTED_VALUE"""),"JavaScript")</f>
        <v>JavaScript</v>
      </c>
      <c r="E3373" s="9" t="str">
        <f>IFERROR(__xludf.DUMMYFUNCTION("""COMPUTED_VALUE"""),"Python")</f>
        <v>Python</v>
      </c>
      <c r="F3373" s="9" t="str">
        <f>IFERROR(__xludf.DUMMYFUNCTION("""COMPUTED_VALUE"""),"TypeScript")</f>
        <v>TypeScript</v>
      </c>
      <c r="G3373" s="9" t="str">
        <f>IFERROR(__xludf.DUMMYFUNCTION("""COMPUTED_VALUE"""),"Java")</f>
        <v>Java</v>
      </c>
      <c r="H3373" s="9" t="str">
        <f>IFERROR(__xludf.DUMMYFUNCTION("""COMPUTED_VALUE"""),"Java")</f>
        <v>Java</v>
      </c>
      <c r="I3373" s="9" t="str">
        <f>IFERROR(__xludf.DUMMYFUNCTION("""COMPUTED_VALUE"""),"PHP")</f>
        <v>PHP</v>
      </c>
      <c r="J3373" s="9" t="str">
        <f>IFERROR(__xludf.DUMMYFUNCTION("""COMPUTED_VALUE"""),"JavaScript")</f>
        <v>JavaScript</v>
      </c>
      <c r="K3373" s="9" t="str">
        <f>IFERROR(__xludf.DUMMYFUNCTION("""COMPUTED_VALUE"""),"Python")</f>
        <v>Python</v>
      </c>
      <c r="L3373" s="9" t="str">
        <f>IFERROR(__xludf.DUMMYFUNCTION("""COMPUTED_VALUE"""),"HTML/CSS")</f>
        <v>HTML/CSS</v>
      </c>
      <c r="M3373" s="9" t="s">
        <v>22</v>
      </c>
    </row>
    <row r="3374" ht="15.75" customHeight="1">
      <c r="A3374" s="7"/>
      <c r="B3374" s="7" t="str">
        <f>IFERROR(__xludf.DUMMYFUNCTION("""COMPUTED_VALUE"""),"Java;SQL")</f>
        <v>Java;SQL</v>
      </c>
      <c r="C3374" s="9" t="str">
        <f>IFERROR(__xludf.DUMMYFUNCTION("""COMPUTED_VALUE"""),"SQL")</f>
        <v>SQL</v>
      </c>
      <c r="D3374" s="9" t="str">
        <f>IFERROR(__xludf.DUMMYFUNCTION("""COMPUTED_VALUE"""),"Ruby")</f>
        <v>Ruby</v>
      </c>
      <c r="E3374" s="9" t="str">
        <f>IFERROR(__xludf.DUMMYFUNCTION("""COMPUTED_VALUE"""),"Python")</f>
        <v>Python</v>
      </c>
      <c r="F3374" s="9" t="str">
        <f>IFERROR(__xludf.DUMMYFUNCTION("""COMPUTED_VALUE"""),"HTML/CSS")</f>
        <v>HTML/CSS</v>
      </c>
      <c r="G3374" s="9" t="str">
        <f>IFERROR(__xludf.DUMMYFUNCTION("""COMPUTED_VALUE"""),"JavaScript")</f>
        <v>JavaScript</v>
      </c>
      <c r="H3374" s="9" t="str">
        <f>IFERROR(__xludf.DUMMYFUNCTION("""COMPUTED_VALUE"""),"JavaScript")</f>
        <v>JavaScript</v>
      </c>
      <c r="I3374" s="9" t="str">
        <f>IFERROR(__xludf.DUMMYFUNCTION("""COMPUTED_VALUE"""),"Python")</f>
        <v>Python</v>
      </c>
      <c r="J3374" s="9" t="str">
        <f>IFERROR(__xludf.DUMMYFUNCTION("""COMPUTED_VALUE"""),"Ruby")</f>
        <v>Ruby</v>
      </c>
      <c r="K3374" s="9" t="str">
        <f>IFERROR(__xludf.DUMMYFUNCTION("""COMPUTED_VALUE"""),"Ruby")</f>
        <v>Ruby</v>
      </c>
      <c r="L3374" s="9" t="str">
        <f>IFERROR(__xludf.DUMMYFUNCTION("""COMPUTED_VALUE"""),"Java")</f>
        <v>Java</v>
      </c>
      <c r="M3374" s="9" t="s">
        <v>27</v>
      </c>
    </row>
    <row r="3375" ht="15.75" customHeight="1">
      <c r="A3375" s="7"/>
      <c r="B3375" s="7" t="str">
        <f>IFERROR(__xludf.DUMMYFUNCTION("""COMPUTED_VALUE"""),"C#;HTML/CSS;Python;Other(s):")</f>
        <v>C#;HTML/CSS;Python;Other(s):</v>
      </c>
      <c r="C3375" s="9" t="str">
        <f>IFERROR(__xludf.DUMMYFUNCTION("""COMPUTED_VALUE"""),"C#")</f>
        <v>C#</v>
      </c>
      <c r="D3375" s="9" t="str">
        <f>IFERROR(__xludf.DUMMYFUNCTION("""COMPUTED_VALUE"""),"HTML/CSS")</f>
        <v>HTML/CSS</v>
      </c>
      <c r="E3375" s="9" t="str">
        <f>IFERROR(__xludf.DUMMYFUNCTION("""COMPUTED_VALUE"""),"Go")</f>
        <v>Go</v>
      </c>
      <c r="F3375" s="9" t="str">
        <f>IFERROR(__xludf.DUMMYFUNCTION("""COMPUTED_VALUE"""),"JavaScript")</f>
        <v>JavaScript</v>
      </c>
      <c r="G3375" s="9" t="str">
        <f>IFERROR(__xludf.DUMMYFUNCTION("""COMPUTED_VALUE"""),"Python")</f>
        <v>Python</v>
      </c>
      <c r="H3375" s="9" t="str">
        <f>IFERROR(__xludf.DUMMYFUNCTION("""COMPUTED_VALUE"""),"SQL")</f>
        <v>SQL</v>
      </c>
      <c r="I3375" s="9" t="str">
        <f>IFERROR(__xludf.DUMMYFUNCTION("""COMPUTED_VALUE"""),"SQL")</f>
        <v>SQL</v>
      </c>
      <c r="J3375" s="9" t="str">
        <f>IFERROR(__xludf.DUMMYFUNCTION("""COMPUTED_VALUE"""),"Assembly")</f>
        <v>Assembly</v>
      </c>
      <c r="K3375" s="9" t="str">
        <f>IFERROR(__xludf.DUMMYFUNCTION("""COMPUTED_VALUE"""),"SQL")</f>
        <v>SQL</v>
      </c>
      <c r="L3375" s="9" t="str">
        <f>IFERROR(__xludf.DUMMYFUNCTION("""COMPUTED_VALUE"""),"JavaScript")</f>
        <v>JavaScript</v>
      </c>
      <c r="M3375" s="9" t="s">
        <v>26</v>
      </c>
    </row>
    <row r="3376" ht="15.75" customHeight="1">
      <c r="A3376" s="7"/>
      <c r="B3376" s="7" t="str">
        <f>IFERROR(__xludf.DUMMYFUNCTION("""COMPUTED_VALUE"""),"C#;SQL;TypeScript")</f>
        <v>C#;SQL;TypeScript</v>
      </c>
      <c r="C3376" s="9" t="str">
        <f>IFERROR(__xludf.DUMMYFUNCTION("""COMPUTED_VALUE"""),"HTML/CSS")</f>
        <v>HTML/CSS</v>
      </c>
      <c r="D3376" s="9" t="str">
        <f>IFERROR(__xludf.DUMMYFUNCTION("""COMPUTED_VALUE"""),"JavaScript")</f>
        <v>JavaScript</v>
      </c>
      <c r="E3376" s="9" t="str">
        <f>IFERROR(__xludf.DUMMYFUNCTION("""COMPUTED_VALUE"""),"JavaScript")</f>
        <v>JavaScript</v>
      </c>
      <c r="F3376" s="9" t="str">
        <f>IFERROR(__xludf.DUMMYFUNCTION("""COMPUTED_VALUE"""),"Python")</f>
        <v>Python</v>
      </c>
      <c r="G3376" s="9" t="str">
        <f>IFERROR(__xludf.DUMMYFUNCTION("""COMPUTED_VALUE"""),"SQL")</f>
        <v>SQL</v>
      </c>
      <c r="H3376" s="9" t="str">
        <f>IFERROR(__xludf.DUMMYFUNCTION("""COMPUTED_VALUE"""),"Other(s):")</f>
        <v>Other(s):</v>
      </c>
      <c r="I3376" s="9" t="str">
        <f>IFERROR(__xludf.DUMMYFUNCTION("""COMPUTED_VALUE"""),"Assembly")</f>
        <v>Assembly</v>
      </c>
      <c r="J3376" s="9" t="str">
        <f>IFERROR(__xludf.DUMMYFUNCTION("""COMPUTED_VALUE"""),"C")</f>
        <v>C</v>
      </c>
      <c r="K3376" s="9" t="str">
        <f>IFERROR(__xludf.DUMMYFUNCTION("""COMPUTED_VALUE"""),"C#")</f>
        <v>C#</v>
      </c>
      <c r="L3376" s="9" t="str">
        <f>IFERROR(__xludf.DUMMYFUNCTION("""COMPUTED_VALUE"""),"Kotlin")</f>
        <v>Kotlin</v>
      </c>
      <c r="M3376" s="9" t="s">
        <v>24</v>
      </c>
    </row>
    <row r="3377" ht="15.75" customHeight="1">
      <c r="A3377" s="7"/>
      <c r="B3377" s="7" t="str">
        <f>IFERROR(__xludf.DUMMYFUNCTION("""COMPUTED_VALUE"""),"Python")</f>
        <v>Python</v>
      </c>
      <c r="C3377" s="9" t="str">
        <f>IFERROR(__xludf.DUMMYFUNCTION("""COMPUTED_VALUE"""),"JavaScript")</f>
        <v>JavaScript</v>
      </c>
      <c r="D3377" s="9" t="str">
        <f>IFERROR(__xludf.DUMMYFUNCTION("""COMPUTED_VALUE"""),"PHP")</f>
        <v>PHP</v>
      </c>
      <c r="E3377" s="9" t="str">
        <f>IFERROR(__xludf.DUMMYFUNCTION("""COMPUTED_VALUE"""),"Objective-C")</f>
        <v>Objective-C</v>
      </c>
      <c r="F3377" s="9" t="str">
        <f>IFERROR(__xludf.DUMMYFUNCTION("""COMPUTED_VALUE"""),"SQL")</f>
        <v>SQL</v>
      </c>
      <c r="G3377" s="9" t="str">
        <f>IFERROR(__xludf.DUMMYFUNCTION("""COMPUTED_VALUE"""),"C")</f>
        <v>C</v>
      </c>
      <c r="H3377" s="9" t="str">
        <f>IFERROR(__xludf.DUMMYFUNCTION("""COMPUTED_VALUE"""),"C++")</f>
        <v>C++</v>
      </c>
      <c r="I3377" s="9" t="str">
        <f>IFERROR(__xludf.DUMMYFUNCTION("""COMPUTED_VALUE"""),"Bash/Shell/PowerShell")</f>
        <v>Bash/Shell/PowerShell</v>
      </c>
      <c r="J3377" s="9" t="str">
        <f>IFERROR(__xludf.DUMMYFUNCTION("""COMPUTED_VALUE"""),"C++")</f>
        <v>C++</v>
      </c>
      <c r="K3377" s="9" t="str">
        <f>IFERROR(__xludf.DUMMYFUNCTION("""COMPUTED_VALUE"""),"HTML/CSS")</f>
        <v>HTML/CSS</v>
      </c>
      <c r="L3377" s="9" t="str">
        <f>IFERROR(__xludf.DUMMYFUNCTION("""COMPUTED_VALUE"""),"PHP")</f>
        <v>PHP</v>
      </c>
      <c r="M3377" s="9" t="s">
        <v>21</v>
      </c>
    </row>
    <row r="3378" ht="15.75" customHeight="1">
      <c r="A3378" s="7"/>
      <c r="B3378" s="7" t="str">
        <f>IFERROR(__xludf.DUMMYFUNCTION("""COMPUTED_VALUE"""),"Bash/Shell/PowerShell;C#;HTML/CSS;Java;JavaScript;PHP;Python;Ruby;SQL;TypeScript")</f>
        <v>Bash/Shell/PowerShell;C#;HTML/CSS;Java;JavaScript;PHP;Python;Ruby;SQL;TypeScript</v>
      </c>
      <c r="C3378" s="9" t="str">
        <f>IFERROR(__xludf.DUMMYFUNCTION("""COMPUTED_VALUE"""),"TypeScript")</f>
        <v>TypeScript</v>
      </c>
      <c r="D3378" s="9" t="str">
        <f>IFERROR(__xludf.DUMMYFUNCTION("""COMPUTED_VALUE"""),"Python")</f>
        <v>Python</v>
      </c>
      <c r="E3378" s="9" t="str">
        <f>IFERROR(__xludf.DUMMYFUNCTION("""COMPUTED_VALUE"""),"PHP")</f>
        <v>PHP</v>
      </c>
      <c r="F3378" s="9" t="str">
        <f>IFERROR(__xludf.DUMMYFUNCTION("""COMPUTED_VALUE"""),"VBA")</f>
        <v>VBA</v>
      </c>
      <c r="G3378" s="9" t="str">
        <f>IFERROR(__xludf.DUMMYFUNCTION("""COMPUTED_VALUE"""),"C++")</f>
        <v>C++</v>
      </c>
      <c r="H3378" s="9" t="str">
        <f>IFERROR(__xludf.DUMMYFUNCTION("""COMPUTED_VALUE"""),"Python")</f>
        <v>Python</v>
      </c>
      <c r="I3378" s="9" t="str">
        <f>IFERROR(__xludf.DUMMYFUNCTION("""COMPUTED_VALUE"""),"C")</f>
        <v>C</v>
      </c>
      <c r="J3378" s="9" t="str">
        <f>IFERROR(__xludf.DUMMYFUNCTION("""COMPUTED_VALUE"""),"HTML/CSS")</f>
        <v>HTML/CSS</v>
      </c>
      <c r="K3378" s="9" t="str">
        <f>IFERROR(__xludf.DUMMYFUNCTION("""COMPUTED_VALUE"""),"Java")</f>
        <v>Java</v>
      </c>
      <c r="L3378" s="9" t="str">
        <f>IFERROR(__xludf.DUMMYFUNCTION("""COMPUTED_VALUE"""),"Python")</f>
        <v>Python</v>
      </c>
      <c r="M3378" s="9" t="s">
        <v>33</v>
      </c>
    </row>
    <row r="3379" ht="15.75" customHeight="1">
      <c r="A3379" s="7"/>
      <c r="B3379" s="7" t="str">
        <f>IFERROR(__xludf.DUMMYFUNCTION("""COMPUTED_VALUE"""),"HTML/CSS;Java;PHP")</f>
        <v>HTML/CSS;Java;PHP</v>
      </c>
      <c r="C3379" s="9" t="str">
        <f>IFERROR(__xludf.DUMMYFUNCTION("""COMPUTED_VALUE"""),"C#")</f>
        <v>C#</v>
      </c>
      <c r="D3379" s="9" t="str">
        <f>IFERROR(__xludf.DUMMYFUNCTION("""COMPUTED_VALUE"""),"HTML/CSS")</f>
        <v>HTML/CSS</v>
      </c>
      <c r="E3379" s="9" t="str">
        <f>IFERROR(__xludf.DUMMYFUNCTION("""COMPUTED_VALUE"""),"Ruby")</f>
        <v>Ruby</v>
      </c>
      <c r="F3379" s="9" t="str">
        <f>IFERROR(__xludf.DUMMYFUNCTION("""COMPUTED_VALUE"""),"Go")</f>
        <v>Go</v>
      </c>
      <c r="G3379" s="9" t="str">
        <f>IFERROR(__xludf.DUMMYFUNCTION("""COMPUTED_VALUE"""),"C#")</f>
        <v>C#</v>
      </c>
      <c r="H3379" s="9" t="str">
        <f>IFERROR(__xludf.DUMMYFUNCTION("""COMPUTED_VALUE"""),"C")</f>
        <v>C</v>
      </c>
      <c r="I3379" s="9" t="str">
        <f>IFERROR(__xludf.DUMMYFUNCTION("""COMPUTED_VALUE"""),"C++")</f>
        <v>C++</v>
      </c>
      <c r="J3379" s="9" t="str">
        <f>IFERROR(__xludf.DUMMYFUNCTION("""COMPUTED_VALUE"""),"Python")</f>
        <v>Python</v>
      </c>
      <c r="K3379" s="9" t="str">
        <f>IFERROR(__xludf.DUMMYFUNCTION("""COMPUTED_VALUE"""),"JavaScript")</f>
        <v>JavaScript</v>
      </c>
      <c r="L3379" s="9" t="str">
        <f>IFERROR(__xludf.DUMMYFUNCTION("""COMPUTED_VALUE"""),"SQL")</f>
        <v>SQL</v>
      </c>
      <c r="M3379" s="9" t="s">
        <v>26</v>
      </c>
    </row>
    <row r="3380" ht="15.75" customHeight="1">
      <c r="A3380" s="7"/>
      <c r="B3380" s="7" t="str">
        <f>IFERROR(__xludf.DUMMYFUNCTION("""COMPUTED_VALUE"""),"Bash/Shell/PowerShell;C;C#;HTML/CSS;Python;VBA")</f>
        <v>Bash/Shell/PowerShell;C;C#;HTML/CSS;Python;VBA</v>
      </c>
      <c r="C3380" s="9" t="str">
        <f>IFERROR(__xludf.DUMMYFUNCTION("""COMPUTED_VALUE"""),"HTML/CSS")</f>
        <v>HTML/CSS</v>
      </c>
      <c r="D3380" s="9" t="str">
        <f>IFERROR(__xludf.DUMMYFUNCTION("""COMPUTED_VALUE"""),"JavaScript")</f>
        <v>JavaScript</v>
      </c>
      <c r="E3380" s="9" t="str">
        <f>IFERROR(__xludf.DUMMYFUNCTION("""COMPUTED_VALUE"""),"SQL")</f>
        <v>SQL</v>
      </c>
      <c r="F3380" s="9" t="str">
        <f>IFERROR(__xludf.DUMMYFUNCTION("""COMPUTED_VALUE"""),"Java")</f>
        <v>Java</v>
      </c>
      <c r="G3380" s="9" t="str">
        <f>IFERROR(__xludf.DUMMYFUNCTION("""COMPUTED_VALUE"""),"HTML/CSS")</f>
        <v>HTML/CSS</v>
      </c>
      <c r="H3380" s="9" t="str">
        <f>IFERROR(__xludf.DUMMYFUNCTION("""COMPUTED_VALUE"""),"HTML/CSS")</f>
        <v>HTML/CSS</v>
      </c>
      <c r="I3380" s="9" t="str">
        <f>IFERROR(__xludf.DUMMYFUNCTION("""COMPUTED_VALUE"""),"HTML/CSS")</f>
        <v>HTML/CSS</v>
      </c>
      <c r="J3380" s="9" t="str">
        <f>IFERROR(__xludf.DUMMYFUNCTION("""COMPUTED_VALUE"""),"Rust")</f>
        <v>Rust</v>
      </c>
      <c r="K3380" s="9" t="str">
        <f>IFERROR(__xludf.DUMMYFUNCTION("""COMPUTED_VALUE"""),"SQL")</f>
        <v>SQL</v>
      </c>
      <c r="L3380" s="9" t="str">
        <f>IFERROR(__xludf.DUMMYFUNCTION("""COMPUTED_VALUE"""),"C#")</f>
        <v>C#</v>
      </c>
      <c r="M3380" s="9" t="s">
        <v>24</v>
      </c>
    </row>
    <row r="3381" ht="15.75" customHeight="1">
      <c r="A3381" s="7"/>
      <c r="B3381" s="7" t="str">
        <f>IFERROR(__xludf.DUMMYFUNCTION("""COMPUTED_VALUE"""),"HTML/CSS;JavaScript;Python;SQL")</f>
        <v>HTML/CSS;JavaScript;Python;SQL</v>
      </c>
      <c r="C3381" s="9" t="str">
        <f>IFERROR(__xludf.DUMMYFUNCTION("""COMPUTED_VALUE"""),"Java")</f>
        <v>Java</v>
      </c>
      <c r="D3381" s="9" t="str">
        <f>IFERROR(__xludf.DUMMYFUNCTION("""COMPUTED_VALUE"""),"PHP")</f>
        <v>PHP</v>
      </c>
      <c r="E3381" s="9" t="str">
        <f>IFERROR(__xludf.DUMMYFUNCTION("""COMPUTED_VALUE"""),"Swift")</f>
        <v>Swift</v>
      </c>
      <c r="F3381" s="9" t="str">
        <f>IFERROR(__xludf.DUMMYFUNCTION("""COMPUTED_VALUE"""),"Bash/Shell/PowerShell")</f>
        <v>Bash/Shell/PowerShell</v>
      </c>
      <c r="G3381" s="9" t="str">
        <f>IFERROR(__xludf.DUMMYFUNCTION("""COMPUTED_VALUE"""),"Java")</f>
        <v>Java</v>
      </c>
      <c r="H3381" s="9" t="str">
        <f>IFERROR(__xludf.DUMMYFUNCTION("""COMPUTED_VALUE"""),"HTML/CSS")</f>
        <v>HTML/CSS</v>
      </c>
      <c r="I3381" s="9" t="str">
        <f>IFERROR(__xludf.DUMMYFUNCTION("""COMPUTED_VALUE"""),"Java")</f>
        <v>Java</v>
      </c>
      <c r="J3381" s="9" t="str">
        <f>IFERROR(__xludf.DUMMYFUNCTION("""COMPUTED_VALUE"""),"SQL")</f>
        <v>SQL</v>
      </c>
      <c r="K3381" s="9" t="str">
        <f>IFERROR(__xludf.DUMMYFUNCTION("""COMPUTED_VALUE"""),"TypeScript")</f>
        <v>TypeScript</v>
      </c>
      <c r="L3381" s="9" t="str">
        <f>IFERROR(__xludf.DUMMYFUNCTION("""COMPUTED_VALUE"""),"Java")</f>
        <v>Java</v>
      </c>
      <c r="M3381" s="9" t="s">
        <v>20</v>
      </c>
    </row>
    <row r="3382" ht="15.75" customHeight="1">
      <c r="A3382" s="7"/>
      <c r="B3382" s="7" t="str">
        <f>IFERROR(__xludf.DUMMYFUNCTION("""COMPUTED_VALUE"""),"C;HTML/CSS;Python;Other(s):")</f>
        <v>C;HTML/CSS;Python;Other(s):</v>
      </c>
      <c r="C3382" s="9" t="str">
        <f>IFERROR(__xludf.DUMMYFUNCTION("""COMPUTED_VALUE"""),"SQL")</f>
        <v>SQL</v>
      </c>
      <c r="D3382" s="9" t="str">
        <f>IFERROR(__xludf.DUMMYFUNCTION("""COMPUTED_VALUE"""),"Python")</f>
        <v>Python</v>
      </c>
      <c r="E3382" s="9" t="str">
        <f>IFERROR(__xludf.DUMMYFUNCTION("""COMPUTED_VALUE"""),"Bash/Shell/PowerShell")</f>
        <v>Bash/Shell/PowerShell</v>
      </c>
      <c r="F3382" s="9" t="str">
        <f>IFERROR(__xludf.DUMMYFUNCTION("""COMPUTED_VALUE"""),"C#")</f>
        <v>C#</v>
      </c>
      <c r="G3382" s="9" t="str">
        <f>IFERROR(__xludf.DUMMYFUNCTION("""COMPUTED_VALUE"""),"JavaScript")</f>
        <v>JavaScript</v>
      </c>
      <c r="H3382" s="9" t="str">
        <f>IFERROR(__xludf.DUMMYFUNCTION("""COMPUTED_VALUE"""),"Java")</f>
        <v>Java</v>
      </c>
      <c r="I3382" s="9" t="str">
        <f>IFERROR(__xludf.DUMMYFUNCTION("""COMPUTED_VALUE"""),"JavaScript")</f>
        <v>JavaScript</v>
      </c>
      <c r="J3382" s="9" t="str">
        <f>IFERROR(__xludf.DUMMYFUNCTION("""COMPUTED_VALUE"""),"Bash/Shell/PowerShell")</f>
        <v>Bash/Shell/PowerShell</v>
      </c>
      <c r="K3382" s="9" t="str">
        <f>IFERROR(__xludf.DUMMYFUNCTION("""COMPUTED_VALUE"""),"Bash/Shell/PowerShell")</f>
        <v>Bash/Shell/PowerShell</v>
      </c>
      <c r="L3382" s="9" t="str">
        <f>IFERROR(__xludf.DUMMYFUNCTION("""COMPUTED_VALUE"""),"Ruby")</f>
        <v>Ruby</v>
      </c>
      <c r="M3382" s="9" t="s">
        <v>27</v>
      </c>
    </row>
    <row r="3383" ht="15.75" customHeight="1">
      <c r="A3383" s="7"/>
      <c r="B3383" s="7" t="str">
        <f>IFERROR(__xludf.DUMMYFUNCTION("""COMPUTED_VALUE"""),"Bash/Shell/PowerShell;HTML/CSS;JavaScript;Python;R;SQL;TypeScript")</f>
        <v>Bash/Shell/PowerShell;HTML/CSS;JavaScript;Python;R;SQL;TypeScript</v>
      </c>
      <c r="C3383" s="9" t="str">
        <f>IFERROR(__xludf.DUMMYFUNCTION("""COMPUTED_VALUE"""),"C#")</f>
        <v>C#</v>
      </c>
      <c r="D3383" s="9" t="str">
        <f>IFERROR(__xludf.DUMMYFUNCTION("""COMPUTED_VALUE"""),"Elixir")</f>
        <v>Elixir</v>
      </c>
      <c r="E3383" s="9" t="str">
        <f>IFERROR(__xludf.DUMMYFUNCTION("""COMPUTED_VALUE"""),"Java")</f>
        <v>Java</v>
      </c>
      <c r="F3383" s="9" t="str">
        <f>IFERROR(__xludf.DUMMYFUNCTION("""COMPUTED_VALUE"""),"Java")</f>
        <v>Java</v>
      </c>
      <c r="G3383" s="9" t="str">
        <f>IFERROR(__xludf.DUMMYFUNCTION("""COMPUTED_VALUE"""),"PHP")</f>
        <v>PHP</v>
      </c>
      <c r="H3383" s="9" t="str">
        <f>IFERROR(__xludf.DUMMYFUNCTION("""COMPUTED_VALUE"""),"Bash/Shell/PowerShell")</f>
        <v>Bash/Shell/PowerShell</v>
      </c>
      <c r="I3383" s="9" t="str">
        <f>IFERROR(__xludf.DUMMYFUNCTION("""COMPUTED_VALUE"""),"Objective-C")</f>
        <v>Objective-C</v>
      </c>
      <c r="J3383" s="9" t="str">
        <f>IFERROR(__xludf.DUMMYFUNCTION("""COMPUTED_VALUE"""),"C")</f>
        <v>C</v>
      </c>
      <c r="K3383" s="9" t="str">
        <f>IFERROR(__xludf.DUMMYFUNCTION("""COMPUTED_VALUE"""),"HTML/CSS")</f>
        <v>HTML/CSS</v>
      </c>
      <c r="L3383" s="9" t="str">
        <f>IFERROR(__xludf.DUMMYFUNCTION("""COMPUTED_VALUE"""),"Bash/Shell/PowerShell")</f>
        <v>Bash/Shell/PowerShell</v>
      </c>
      <c r="M3383" s="9" t="s">
        <v>26</v>
      </c>
    </row>
    <row r="3384" ht="15.75" customHeight="1">
      <c r="A3384" s="7"/>
      <c r="B3384" s="7" t="str">
        <f>IFERROR(__xludf.DUMMYFUNCTION("""COMPUTED_VALUE"""),"HTML/CSS;PHP;Python")</f>
        <v>HTML/CSS;PHP;Python</v>
      </c>
      <c r="C3384" s="9" t="str">
        <f>IFERROR(__xludf.DUMMYFUNCTION("""COMPUTED_VALUE"""),"SQL")</f>
        <v>SQL</v>
      </c>
      <c r="D3384" s="9" t="str">
        <f>IFERROR(__xludf.DUMMYFUNCTION("""COMPUTED_VALUE"""),"HTML/CSS")</f>
        <v>HTML/CSS</v>
      </c>
      <c r="E3384" s="9" t="str">
        <f>IFERROR(__xludf.DUMMYFUNCTION("""COMPUTED_VALUE"""),"SQL")</f>
        <v>SQL</v>
      </c>
      <c r="F3384" s="9" t="str">
        <f>IFERROR(__xludf.DUMMYFUNCTION("""COMPUTED_VALUE"""),"Ruby")</f>
        <v>Ruby</v>
      </c>
      <c r="G3384" s="9" t="str">
        <f>IFERROR(__xludf.DUMMYFUNCTION("""COMPUTED_VALUE"""),"SQL")</f>
        <v>SQL</v>
      </c>
      <c r="H3384" s="9" t="str">
        <f>IFERROR(__xludf.DUMMYFUNCTION("""COMPUTED_VALUE"""),"C++")</f>
        <v>C++</v>
      </c>
      <c r="I3384" s="9" t="str">
        <f>IFERROR(__xludf.DUMMYFUNCTION("""COMPUTED_VALUE"""),"PHP")</f>
        <v>PHP</v>
      </c>
      <c r="J3384" s="9" t="str">
        <f>IFERROR(__xludf.DUMMYFUNCTION("""COMPUTED_VALUE"""),"C++")</f>
        <v>C++</v>
      </c>
      <c r="K3384" s="9" t="str">
        <f>IFERROR(__xludf.DUMMYFUNCTION("""COMPUTED_VALUE"""),"Java")</f>
        <v>Java</v>
      </c>
      <c r="L3384" s="9" t="str">
        <f>IFERROR(__xludf.DUMMYFUNCTION("""COMPUTED_VALUE"""),"HTML/CSS")</f>
        <v>HTML/CSS</v>
      </c>
      <c r="M3384" s="9" t="s">
        <v>27</v>
      </c>
    </row>
    <row r="3385" ht="15.75" customHeight="1">
      <c r="A3385" s="7"/>
      <c r="B3385" s="7" t="str">
        <f>IFERROR(__xludf.DUMMYFUNCTION("""COMPUTED_VALUE"""),"Bash/Shell/PowerShell;HTML/CSS;Java;JavaScript;SQL;TypeScript")</f>
        <v>Bash/Shell/PowerShell;HTML/CSS;Java;JavaScript;SQL;TypeScript</v>
      </c>
      <c r="C3385" s="9" t="str">
        <f>IFERROR(__xludf.DUMMYFUNCTION("""COMPUTED_VALUE"""),"C")</f>
        <v>C</v>
      </c>
      <c r="D3385" s="9" t="str">
        <f>IFERROR(__xludf.DUMMYFUNCTION("""COMPUTED_VALUE"""),"JavaScript")</f>
        <v>JavaScript</v>
      </c>
      <c r="E3385" s="9" t="str">
        <f>IFERROR(__xludf.DUMMYFUNCTION("""COMPUTED_VALUE"""),"Bash/Shell/PowerShell")</f>
        <v>Bash/Shell/PowerShell</v>
      </c>
      <c r="F3385" s="9" t="str">
        <f>IFERROR(__xludf.DUMMYFUNCTION("""COMPUTED_VALUE"""),"Other(s):")</f>
        <v>Other(s):</v>
      </c>
      <c r="G3385" s="9" t="str">
        <f>IFERROR(__xludf.DUMMYFUNCTION("""COMPUTED_VALUE"""),"VBA")</f>
        <v>VBA</v>
      </c>
      <c r="H3385" s="9" t="str">
        <f>IFERROR(__xludf.DUMMYFUNCTION("""COMPUTED_VALUE"""),"C#")</f>
        <v>C#</v>
      </c>
      <c r="I3385" s="9" t="str">
        <f>IFERROR(__xludf.DUMMYFUNCTION("""COMPUTED_VALUE"""),"Python")</f>
        <v>Python</v>
      </c>
      <c r="J3385" s="9" t="str">
        <f>IFERROR(__xludf.DUMMYFUNCTION("""COMPUTED_VALUE"""),"HTML/CSS")</f>
        <v>HTML/CSS</v>
      </c>
      <c r="K3385" s="9" t="str">
        <f>IFERROR(__xludf.DUMMYFUNCTION("""COMPUTED_VALUE"""),"JavaScript")</f>
        <v>JavaScript</v>
      </c>
      <c r="L3385" s="9" t="str">
        <f>IFERROR(__xludf.DUMMYFUNCTION("""COMPUTED_VALUE"""),"Java")</f>
        <v>Java</v>
      </c>
      <c r="M3385" s="9" t="s">
        <v>25</v>
      </c>
    </row>
    <row r="3386" ht="15.75" customHeight="1">
      <c r="A3386" s="7"/>
      <c r="B3386" s="7" t="str">
        <f>IFERROR(__xludf.DUMMYFUNCTION("""COMPUTED_VALUE"""),"Java;JavaScript;SQL")</f>
        <v>Java;JavaScript;SQL</v>
      </c>
      <c r="C3386" s="9" t="str">
        <f>IFERROR(__xludf.DUMMYFUNCTION("""COMPUTED_VALUE"""),"C++")</f>
        <v>C++</v>
      </c>
      <c r="D3386" s="9" t="str">
        <f>IFERROR(__xludf.DUMMYFUNCTION("""COMPUTED_VALUE"""),"PHP")</f>
        <v>PHP</v>
      </c>
      <c r="E3386" s="9" t="str">
        <f>IFERROR(__xludf.DUMMYFUNCTION("""COMPUTED_VALUE"""),"C")</f>
        <v>C</v>
      </c>
      <c r="F3386" s="9" t="str">
        <f>IFERROR(__xludf.DUMMYFUNCTION("""COMPUTED_VALUE"""),"Bash/Shell/PowerShell")</f>
        <v>Bash/Shell/PowerShell</v>
      </c>
      <c r="G3386" s="9" t="str">
        <f>IFERROR(__xludf.DUMMYFUNCTION("""COMPUTED_VALUE"""),"Bash/Shell/PowerShell")</f>
        <v>Bash/Shell/PowerShell</v>
      </c>
      <c r="H3386" s="9" t="str">
        <f>IFERROR(__xludf.DUMMYFUNCTION("""COMPUTED_VALUE"""),"Bash/Shell/PowerShell")</f>
        <v>Bash/Shell/PowerShell</v>
      </c>
      <c r="I3386" s="9" t="str">
        <f>IFERROR(__xludf.DUMMYFUNCTION("""COMPUTED_VALUE"""),"SQL")</f>
        <v>SQL</v>
      </c>
      <c r="J3386" s="9" t="str">
        <f>IFERROR(__xludf.DUMMYFUNCTION("""COMPUTED_VALUE"""),"Java")</f>
        <v>Java</v>
      </c>
      <c r="K3386" s="9" t="str">
        <f>IFERROR(__xludf.DUMMYFUNCTION("""COMPUTED_VALUE"""),"Python")</f>
        <v>Python</v>
      </c>
      <c r="L3386" s="9" t="str">
        <f>IFERROR(__xludf.DUMMYFUNCTION("""COMPUTED_VALUE"""),"JavaScript")</f>
        <v>JavaScript</v>
      </c>
      <c r="M3386" s="9" t="s">
        <v>23</v>
      </c>
    </row>
    <row r="3387" ht="15.75" customHeight="1">
      <c r="A3387" s="7"/>
      <c r="B3387" s="7" t="str">
        <f>IFERROR(__xludf.DUMMYFUNCTION("""COMPUTED_VALUE"""),"Bash/Shell/PowerShell;JavaScript;R")</f>
        <v>Bash/Shell/PowerShell;JavaScript;R</v>
      </c>
      <c r="C3387" s="9" t="str">
        <f>IFERROR(__xludf.DUMMYFUNCTION("""COMPUTED_VALUE"""),"Java")</f>
        <v>Java</v>
      </c>
      <c r="D3387" s="9" t="str">
        <f>IFERROR(__xludf.DUMMYFUNCTION("""COMPUTED_VALUE"""),"Python")</f>
        <v>Python</v>
      </c>
      <c r="E3387" s="9" t="str">
        <f>IFERROR(__xludf.DUMMYFUNCTION("""COMPUTED_VALUE"""),"C++")</f>
        <v>C++</v>
      </c>
      <c r="F3387" s="9" t="str">
        <f>IFERROR(__xludf.DUMMYFUNCTION("""COMPUTED_VALUE"""),"C")</f>
        <v>C</v>
      </c>
      <c r="G3387" s="9" t="str">
        <f>IFERROR(__xludf.DUMMYFUNCTION("""COMPUTED_VALUE"""),"C")</f>
        <v>C</v>
      </c>
      <c r="H3387" s="9" t="str">
        <f>IFERROR(__xludf.DUMMYFUNCTION("""COMPUTED_VALUE"""),"Python")</f>
        <v>Python</v>
      </c>
      <c r="I3387" s="9" t="str">
        <f>IFERROR(__xludf.DUMMYFUNCTION("""COMPUTED_VALUE"""),"Swift")</f>
        <v>Swift</v>
      </c>
      <c r="J3387" s="9" t="str">
        <f>IFERROR(__xludf.DUMMYFUNCTION("""COMPUTED_VALUE"""),"JavaScript")</f>
        <v>JavaScript</v>
      </c>
      <c r="K3387" s="9" t="str">
        <f>IFERROR(__xludf.DUMMYFUNCTION("""COMPUTED_VALUE"""),"R")</f>
        <v>R</v>
      </c>
      <c r="L3387" s="9" t="str">
        <f>IFERROR(__xludf.DUMMYFUNCTION("""COMPUTED_VALUE"""),"Kotlin")</f>
        <v>Kotlin</v>
      </c>
      <c r="M3387" s="9" t="s">
        <v>20</v>
      </c>
    </row>
    <row r="3388" ht="15.75" customHeight="1">
      <c r="A3388" s="7"/>
      <c r="B3388" s="7" t="str">
        <f>IFERROR(__xludf.DUMMYFUNCTION("""COMPUTED_VALUE"""),"C#;HTML/CSS;Java;JavaScript;Ruby;SQL")</f>
        <v>C#;HTML/CSS;Java;JavaScript;Ruby;SQL</v>
      </c>
      <c r="C3388" s="9" t="str">
        <f>IFERROR(__xludf.DUMMYFUNCTION("""COMPUTED_VALUE"""),"Python")</f>
        <v>Python</v>
      </c>
      <c r="D3388" s="9" t="str">
        <f>IFERROR(__xludf.DUMMYFUNCTION("""COMPUTED_VALUE"""),"Bash/Shell/PowerShell")</f>
        <v>Bash/Shell/PowerShell</v>
      </c>
      <c r="E3388" s="9" t="str">
        <f>IFERROR(__xludf.DUMMYFUNCTION("""COMPUTED_VALUE"""),"Go")</f>
        <v>Go</v>
      </c>
      <c r="F3388" s="9" t="str">
        <f>IFERROR(__xludf.DUMMYFUNCTION("""COMPUTED_VALUE"""),"C++")</f>
        <v>C++</v>
      </c>
      <c r="G3388" s="9" t="str">
        <f>IFERROR(__xludf.DUMMYFUNCTION("""COMPUTED_VALUE"""),"C++")</f>
        <v>C++</v>
      </c>
      <c r="H3388" s="9" t="str">
        <f>IFERROR(__xludf.DUMMYFUNCTION("""COMPUTED_VALUE"""),"Ruby")</f>
        <v>Ruby</v>
      </c>
      <c r="I3388" s="9" t="str">
        <f>IFERROR(__xludf.DUMMYFUNCTION("""COMPUTED_VALUE"""),"Java")</f>
        <v>Java</v>
      </c>
      <c r="J3388" s="9" t="str">
        <f>IFERROR(__xludf.DUMMYFUNCTION("""COMPUTED_VALUE"""),"Objective-C")</f>
        <v>Objective-C</v>
      </c>
      <c r="K3388" s="9" t="str">
        <f>IFERROR(__xludf.DUMMYFUNCTION("""COMPUTED_VALUE"""),"SQL")</f>
        <v>SQL</v>
      </c>
      <c r="L3388" s="9" t="str">
        <f>IFERROR(__xludf.DUMMYFUNCTION("""COMPUTED_VALUE"""),"Scala")</f>
        <v>Scala</v>
      </c>
      <c r="M3388" s="9" t="s">
        <v>22</v>
      </c>
    </row>
    <row r="3389" ht="15.75" customHeight="1">
      <c r="A3389" s="7"/>
      <c r="B3389" s="7" t="str">
        <f>IFERROR(__xludf.DUMMYFUNCTION("""COMPUTED_VALUE"""),"Bash/Shell/PowerShell;HTML/CSS;Python;R;SQL")</f>
        <v>Bash/Shell/PowerShell;HTML/CSS;Python;R;SQL</v>
      </c>
      <c r="C3389" s="9" t="str">
        <f>IFERROR(__xludf.DUMMYFUNCTION("""COMPUTED_VALUE"""),"SQL")</f>
        <v>SQL</v>
      </c>
      <c r="D3389" s="9" t="str">
        <f>IFERROR(__xludf.DUMMYFUNCTION("""COMPUTED_VALUE"""),"C")</f>
        <v>C</v>
      </c>
      <c r="E3389" s="9" t="str">
        <f>IFERROR(__xludf.DUMMYFUNCTION("""COMPUTED_VALUE"""),"C#")</f>
        <v>C#</v>
      </c>
      <c r="F3389" s="9" t="str">
        <f>IFERROR(__xludf.DUMMYFUNCTION("""COMPUTED_VALUE"""),"Java")</f>
        <v>Java</v>
      </c>
      <c r="G3389" s="9" t="str">
        <f>IFERROR(__xludf.DUMMYFUNCTION("""COMPUTED_VALUE"""),"C#")</f>
        <v>C#</v>
      </c>
      <c r="H3389" s="9" t="str">
        <f>IFERROR(__xludf.DUMMYFUNCTION("""COMPUTED_VALUE"""),"SQL")</f>
        <v>SQL</v>
      </c>
      <c r="I3389" s="9" t="str">
        <f>IFERROR(__xludf.DUMMYFUNCTION("""COMPUTED_VALUE"""),"Python")</f>
        <v>Python</v>
      </c>
      <c r="J3389" s="9" t="str">
        <f>IFERROR(__xludf.DUMMYFUNCTION("""COMPUTED_VALUE"""),"SQL")</f>
        <v>SQL</v>
      </c>
      <c r="K3389" s="9" t="str">
        <f>IFERROR(__xludf.DUMMYFUNCTION("""COMPUTED_VALUE"""),"Bash/Shell/PowerShell")</f>
        <v>Bash/Shell/PowerShell</v>
      </c>
      <c r="L3389" s="9" t="str">
        <f>IFERROR(__xludf.DUMMYFUNCTION("""COMPUTED_VALUE"""),"Bash/Shell/PowerShell")</f>
        <v>Bash/Shell/PowerShell</v>
      </c>
      <c r="M3389" s="9" t="s">
        <v>27</v>
      </c>
    </row>
    <row r="3390" ht="15.75" customHeight="1">
      <c r="A3390" s="7"/>
      <c r="B3390" s="7" t="str">
        <f>IFERROR(__xludf.DUMMYFUNCTION("""COMPUTED_VALUE"""),"Bash/Shell/PowerShell;HTML/CSS;Java;JavaScript;Python")</f>
        <v>Bash/Shell/PowerShell;HTML/CSS;Java;JavaScript;Python</v>
      </c>
      <c r="C3390" s="9" t="str">
        <f>IFERROR(__xludf.DUMMYFUNCTION("""COMPUTED_VALUE"""),"Other(s):")</f>
        <v>Other(s):</v>
      </c>
      <c r="D3390" s="9" t="str">
        <f>IFERROR(__xludf.DUMMYFUNCTION("""COMPUTED_VALUE"""),"HTML/CSS")</f>
        <v>HTML/CSS</v>
      </c>
      <c r="E3390" s="9" t="str">
        <f>IFERROR(__xludf.DUMMYFUNCTION("""COMPUTED_VALUE"""),"HTML/CSS")</f>
        <v>HTML/CSS</v>
      </c>
      <c r="F3390" s="9" t="str">
        <f>IFERROR(__xludf.DUMMYFUNCTION("""COMPUTED_VALUE"""),"R")</f>
        <v>R</v>
      </c>
      <c r="G3390" s="9" t="str">
        <f>IFERROR(__xludf.DUMMYFUNCTION("""COMPUTED_VALUE"""),"HTML/CSS")</f>
        <v>HTML/CSS</v>
      </c>
      <c r="H3390" s="9" t="str">
        <f>IFERROR(__xludf.DUMMYFUNCTION("""COMPUTED_VALUE"""),"C#")</f>
        <v>C#</v>
      </c>
      <c r="I3390" s="9" t="str">
        <f>IFERROR(__xludf.DUMMYFUNCTION("""COMPUTED_VALUE"""),"Bash/Shell/PowerShell")</f>
        <v>Bash/Shell/PowerShell</v>
      </c>
      <c r="J3390" s="9" t="str">
        <f>IFERROR(__xludf.DUMMYFUNCTION("""COMPUTED_VALUE"""),"Swift")</f>
        <v>Swift</v>
      </c>
      <c r="K3390" s="9" t="str">
        <f>IFERROR(__xludf.DUMMYFUNCTION("""COMPUTED_VALUE"""),"C++")</f>
        <v>C++</v>
      </c>
      <c r="L3390" s="9" t="str">
        <f>IFERROR(__xludf.DUMMYFUNCTION("""COMPUTED_VALUE"""),"C#")</f>
        <v>C#</v>
      </c>
      <c r="M3390" s="9" t="s">
        <v>35</v>
      </c>
    </row>
    <row r="3391" ht="15.75" customHeight="1">
      <c r="A3391" s="7"/>
      <c r="B3391" s="7" t="str">
        <f>IFERROR(__xludf.DUMMYFUNCTION("""COMPUTED_VALUE"""),"C#;HTML/CSS;JavaScript;SQL")</f>
        <v>C#;HTML/CSS;JavaScript;SQL</v>
      </c>
      <c r="C3391" s="9" t="str">
        <f>IFERROR(__xludf.DUMMYFUNCTION("""COMPUTED_VALUE"""),"HTML/CSS")</f>
        <v>HTML/CSS</v>
      </c>
      <c r="D3391" s="9" t="str">
        <f>IFERROR(__xludf.DUMMYFUNCTION("""COMPUTED_VALUE"""),"Java")</f>
        <v>Java</v>
      </c>
      <c r="E3391" s="9" t="str">
        <f>IFERROR(__xludf.DUMMYFUNCTION("""COMPUTED_VALUE"""),"JavaScript")</f>
        <v>JavaScript</v>
      </c>
      <c r="F3391" s="9" t="str">
        <f>IFERROR(__xludf.DUMMYFUNCTION("""COMPUTED_VALUE"""),"HTML/CSS")</f>
        <v>HTML/CSS</v>
      </c>
      <c r="G3391" s="9" t="str">
        <f>IFERROR(__xludf.DUMMYFUNCTION("""COMPUTED_VALUE"""),"Java")</f>
        <v>Java</v>
      </c>
      <c r="H3391" s="9" t="str">
        <f>IFERROR(__xludf.DUMMYFUNCTION("""COMPUTED_VALUE"""),"HTML/CSS")</f>
        <v>HTML/CSS</v>
      </c>
      <c r="I3391" s="9" t="str">
        <f>IFERROR(__xludf.DUMMYFUNCTION("""COMPUTED_VALUE"""),"Java")</f>
        <v>Java</v>
      </c>
      <c r="J3391" s="9" t="str">
        <f>IFERROR(__xludf.DUMMYFUNCTION("""COMPUTED_VALUE"""),"SQL")</f>
        <v>SQL</v>
      </c>
      <c r="K3391" s="9" t="str">
        <f>IFERROR(__xludf.DUMMYFUNCTION("""COMPUTED_VALUE"""),"Go")</f>
        <v>Go</v>
      </c>
      <c r="L3391" s="9" t="str">
        <f>IFERROR(__xludf.DUMMYFUNCTION("""COMPUTED_VALUE"""),"Java")</f>
        <v>Java</v>
      </c>
      <c r="M3391" s="9" t="s">
        <v>24</v>
      </c>
    </row>
    <row r="3392" ht="15.75" customHeight="1">
      <c r="A3392" s="7"/>
      <c r="B3392" s="7" t="str">
        <f>IFERROR(__xludf.DUMMYFUNCTION("""COMPUTED_VALUE"""),"C++;JavaScript;Python;SQL;Other(s):")</f>
        <v>C++;JavaScript;Python;SQL;Other(s):</v>
      </c>
      <c r="C3392" s="9" t="str">
        <f>IFERROR(__xludf.DUMMYFUNCTION("""COMPUTED_VALUE"""),"JavaScript")</f>
        <v>JavaScript</v>
      </c>
      <c r="D3392" s="9" t="str">
        <f>IFERROR(__xludf.DUMMYFUNCTION("""COMPUTED_VALUE"""),"JavaScript")</f>
        <v>JavaScript</v>
      </c>
      <c r="E3392" s="9" t="str">
        <f>IFERROR(__xludf.DUMMYFUNCTION("""COMPUTED_VALUE"""),"Assembly")</f>
        <v>Assembly</v>
      </c>
      <c r="F3392" s="9" t="str">
        <f>IFERROR(__xludf.DUMMYFUNCTION("""COMPUTED_VALUE"""),"Java")</f>
        <v>Java</v>
      </c>
      <c r="G3392" s="9" t="str">
        <f>IFERROR(__xludf.DUMMYFUNCTION("""COMPUTED_VALUE"""),"JavaScript")</f>
        <v>JavaScript</v>
      </c>
      <c r="H3392" s="9" t="str">
        <f>IFERROR(__xludf.DUMMYFUNCTION("""COMPUTED_VALUE"""),"JavaScript")</f>
        <v>JavaScript</v>
      </c>
      <c r="I3392" s="9" t="str">
        <f>IFERROR(__xludf.DUMMYFUNCTION("""COMPUTED_VALUE"""),"SQL")</f>
        <v>SQL</v>
      </c>
      <c r="J3392" s="9" t="str">
        <f>IFERROR(__xludf.DUMMYFUNCTION("""COMPUTED_VALUE"""),"C#")</f>
        <v>C#</v>
      </c>
      <c r="K3392" s="9" t="str">
        <f>IFERROR(__xludf.DUMMYFUNCTION("""COMPUTED_VALUE"""),"JavaScript")</f>
        <v>JavaScript</v>
      </c>
      <c r="L3392" s="9" t="str">
        <f>IFERROR(__xludf.DUMMYFUNCTION("""COMPUTED_VALUE"""),"Objective-C")</f>
        <v>Objective-C</v>
      </c>
      <c r="M3392" s="9" t="s">
        <v>21</v>
      </c>
    </row>
    <row r="3393" ht="15.75" customHeight="1">
      <c r="A3393" s="7"/>
      <c r="B3393" s="7" t="str">
        <f>IFERROR(__xludf.DUMMYFUNCTION("""COMPUTED_VALUE"""),"Other(s):")</f>
        <v>Other(s):</v>
      </c>
      <c r="C3393" s="9" t="str">
        <f>IFERROR(__xludf.DUMMYFUNCTION("""COMPUTED_VALUE"""),"PHP")</f>
        <v>PHP</v>
      </c>
      <c r="D3393" s="9" t="str">
        <f>IFERROR(__xludf.DUMMYFUNCTION("""COMPUTED_VALUE"""),"PHP")</f>
        <v>PHP</v>
      </c>
      <c r="E3393" s="9" t="str">
        <f>IFERROR(__xludf.DUMMYFUNCTION("""COMPUTED_VALUE"""),"C++")</f>
        <v>C++</v>
      </c>
      <c r="F3393" s="9" t="str">
        <f>IFERROR(__xludf.DUMMYFUNCTION("""COMPUTED_VALUE"""),"JavaScript")</f>
        <v>JavaScript</v>
      </c>
      <c r="G3393" s="9" t="str">
        <f>IFERROR(__xludf.DUMMYFUNCTION("""COMPUTED_VALUE"""),"Objective-C")</f>
        <v>Objective-C</v>
      </c>
      <c r="H3393" s="9" t="str">
        <f>IFERROR(__xludf.DUMMYFUNCTION("""COMPUTED_VALUE"""),"SQL")</f>
        <v>SQL</v>
      </c>
      <c r="I3393" s="9" t="str">
        <f>IFERROR(__xludf.DUMMYFUNCTION("""COMPUTED_VALUE"""),"Other(s):")</f>
        <v>Other(s):</v>
      </c>
      <c r="J3393" s="9" t="str">
        <f>IFERROR(__xludf.DUMMYFUNCTION("""COMPUTED_VALUE"""),"HTML/CSS")</f>
        <v>HTML/CSS</v>
      </c>
      <c r="K3393" s="9" t="str">
        <f>IFERROR(__xludf.DUMMYFUNCTION("""COMPUTED_VALUE"""),"Python")</f>
        <v>Python</v>
      </c>
      <c r="L3393" s="9" t="str">
        <f>IFERROR(__xludf.DUMMYFUNCTION("""COMPUTED_VALUE"""),"HTML/CSS")</f>
        <v>HTML/CSS</v>
      </c>
      <c r="M3393" s="9" t="s">
        <v>37</v>
      </c>
    </row>
    <row r="3394" ht="15.75" customHeight="1">
      <c r="A3394" s="7"/>
      <c r="B3394" s="7" t="str">
        <f>IFERROR(__xludf.DUMMYFUNCTION("""COMPUTED_VALUE"""),"Go;HTML/CSS;Java;JavaScript;SQL")</f>
        <v>Go;HTML/CSS;Java;JavaScript;SQL</v>
      </c>
      <c r="C3394" s="9" t="str">
        <f>IFERROR(__xludf.DUMMYFUNCTION("""COMPUTED_VALUE"""),"Python")</f>
        <v>Python</v>
      </c>
      <c r="D3394" s="9" t="str">
        <f>IFERROR(__xludf.DUMMYFUNCTION("""COMPUTED_VALUE"""),"Python")</f>
        <v>Python</v>
      </c>
      <c r="E3394" s="9" t="str">
        <f>IFERROR(__xludf.DUMMYFUNCTION("""COMPUTED_VALUE"""),"HTML/CSS")</f>
        <v>HTML/CSS</v>
      </c>
      <c r="F3394" s="9" t="str">
        <f>IFERROR(__xludf.DUMMYFUNCTION("""COMPUTED_VALUE"""),"PHP")</f>
        <v>PHP</v>
      </c>
      <c r="G3394" s="9" t="str">
        <f>IFERROR(__xludf.DUMMYFUNCTION("""COMPUTED_VALUE"""),"PHP")</f>
        <v>PHP</v>
      </c>
      <c r="H3394" s="9" t="str">
        <f>IFERROR(__xludf.DUMMYFUNCTION("""COMPUTED_VALUE"""),"TypeScript")</f>
        <v>TypeScript</v>
      </c>
      <c r="I3394" s="9" t="str">
        <f>IFERROR(__xludf.DUMMYFUNCTION("""COMPUTED_VALUE"""),"HTML/CSS")</f>
        <v>HTML/CSS</v>
      </c>
      <c r="J3394" s="9" t="str">
        <f>IFERROR(__xludf.DUMMYFUNCTION("""COMPUTED_VALUE"""),"JavaScript")</f>
        <v>JavaScript</v>
      </c>
      <c r="K3394" s="9" t="str">
        <f>IFERROR(__xludf.DUMMYFUNCTION("""COMPUTED_VALUE"""),"HTML/CSS")</f>
        <v>HTML/CSS</v>
      </c>
      <c r="L3394" s="9" t="str">
        <f>IFERROR(__xludf.DUMMYFUNCTION("""COMPUTED_VALUE"""),"JavaScript")</f>
        <v>JavaScript</v>
      </c>
      <c r="M3394" s="9" t="s">
        <v>22</v>
      </c>
    </row>
    <row r="3395" ht="15.75" customHeight="1">
      <c r="A3395" s="7"/>
      <c r="B3395" s="7" t="str">
        <f>IFERROR(__xludf.DUMMYFUNCTION("""COMPUTED_VALUE"""),"Bash/Shell/PowerShell;Go;HTML/CSS;Java;JavaScript;Rust;VBA")</f>
        <v>Bash/Shell/PowerShell;Go;HTML/CSS;Java;JavaScript;Rust;VBA</v>
      </c>
      <c r="C3395" s="9" t="str">
        <f>IFERROR(__xludf.DUMMYFUNCTION("""COMPUTED_VALUE"""),"SQL")</f>
        <v>SQL</v>
      </c>
      <c r="D3395" s="9" t="str">
        <f>IFERROR(__xludf.DUMMYFUNCTION("""COMPUTED_VALUE"""),"SQL")</f>
        <v>SQL</v>
      </c>
      <c r="E3395" s="9" t="str">
        <f>IFERROR(__xludf.DUMMYFUNCTION("""COMPUTED_VALUE"""),"Java")</f>
        <v>Java</v>
      </c>
      <c r="F3395" s="9" t="str">
        <f>IFERROR(__xludf.DUMMYFUNCTION("""COMPUTED_VALUE"""),"Ruby")</f>
        <v>Ruby</v>
      </c>
      <c r="G3395" s="9" t="str">
        <f>IFERROR(__xludf.DUMMYFUNCTION("""COMPUTED_VALUE"""),"Python")</f>
        <v>Python</v>
      </c>
      <c r="H3395" s="9" t="str">
        <f>IFERROR(__xludf.DUMMYFUNCTION("""COMPUTED_VALUE"""),"C++")</f>
        <v>C++</v>
      </c>
      <c r="I3395" s="9" t="str">
        <f>IFERROR(__xludf.DUMMYFUNCTION("""COMPUTED_VALUE"""),"JavaScript")</f>
        <v>JavaScript</v>
      </c>
      <c r="J3395" s="9" t="str">
        <f>IFERROR(__xludf.DUMMYFUNCTION("""COMPUTED_VALUE"""),"TypeScript")</f>
        <v>TypeScript</v>
      </c>
      <c r="K3395" s="9" t="str">
        <f>IFERROR(__xludf.DUMMYFUNCTION("""COMPUTED_VALUE"""),"SQL")</f>
        <v>SQL</v>
      </c>
      <c r="L3395" s="9" t="str">
        <f>IFERROR(__xludf.DUMMYFUNCTION("""COMPUTED_VALUE"""),"C")</f>
        <v>C</v>
      </c>
      <c r="M3395" s="9" t="s">
        <v>27</v>
      </c>
    </row>
    <row r="3396" ht="15.75" customHeight="1">
      <c r="A3396" s="7"/>
      <c r="B3396" s="7" t="str">
        <f>IFERROR(__xludf.DUMMYFUNCTION("""COMPUTED_VALUE"""),"HTML/CSS;JavaScript;Objective-C;SQL;TypeScript")</f>
        <v>HTML/CSS;JavaScript;Objective-C;SQL;TypeScript</v>
      </c>
      <c r="C3396" s="9" t="str">
        <f>IFERROR(__xludf.DUMMYFUNCTION("""COMPUTED_VALUE"""),"C++")</f>
        <v>C++</v>
      </c>
      <c r="D3396" s="9" t="str">
        <f>IFERROR(__xludf.DUMMYFUNCTION("""COMPUTED_VALUE"""),"JavaScript")</f>
        <v>JavaScript</v>
      </c>
      <c r="E3396" s="9" t="str">
        <f>IFERROR(__xludf.DUMMYFUNCTION("""COMPUTED_VALUE"""),"JavaScript")</f>
        <v>JavaScript</v>
      </c>
      <c r="F3396" s="9" t="str">
        <f>IFERROR(__xludf.DUMMYFUNCTION("""COMPUTED_VALUE"""),"Bash/Shell/PowerShell")</f>
        <v>Bash/Shell/PowerShell</v>
      </c>
      <c r="G3396" s="9" t="str">
        <f>IFERROR(__xludf.DUMMYFUNCTION("""COMPUTED_VALUE"""),"Ruby")</f>
        <v>Ruby</v>
      </c>
      <c r="H3396" s="9" t="str">
        <f>IFERROR(__xludf.DUMMYFUNCTION("""COMPUTED_VALUE"""),"C#")</f>
        <v>C#</v>
      </c>
      <c r="I3396" s="9" t="str">
        <f>IFERROR(__xludf.DUMMYFUNCTION("""COMPUTED_VALUE"""),"PHP")</f>
        <v>PHP</v>
      </c>
      <c r="J3396" s="9" t="str">
        <f>IFERROR(__xludf.DUMMYFUNCTION("""COMPUTED_VALUE"""),"C")</f>
        <v>C</v>
      </c>
      <c r="K3396" s="9" t="str">
        <f>IFERROR(__xludf.DUMMYFUNCTION("""COMPUTED_VALUE"""),"VBA")</f>
        <v>VBA</v>
      </c>
      <c r="L3396" s="9" t="str">
        <f>IFERROR(__xludf.DUMMYFUNCTION("""COMPUTED_VALUE"""),"C++")</f>
        <v>C++</v>
      </c>
      <c r="M3396" s="9" t="s">
        <v>23</v>
      </c>
    </row>
    <row r="3397" ht="15.75" customHeight="1">
      <c r="A3397" s="7"/>
      <c r="B3397" s="7" t="str">
        <f>IFERROR(__xludf.DUMMYFUNCTION("""COMPUTED_VALUE"""),"C;HTML/CSS;Java;JavaScript")</f>
        <v>C;HTML/CSS;Java;JavaScript</v>
      </c>
      <c r="C3397" s="9" t="str">
        <f>IFERROR(__xludf.DUMMYFUNCTION("""COMPUTED_VALUE"""),"C#")</f>
        <v>C#</v>
      </c>
      <c r="D3397" s="9" t="str">
        <f>IFERROR(__xludf.DUMMYFUNCTION("""COMPUTED_VALUE"""),"Python")</f>
        <v>Python</v>
      </c>
      <c r="E3397" s="9" t="str">
        <f>IFERROR(__xludf.DUMMYFUNCTION("""COMPUTED_VALUE"""),"SQL")</f>
        <v>SQL</v>
      </c>
      <c r="F3397" s="9" t="str">
        <f>IFERROR(__xludf.DUMMYFUNCTION("""COMPUTED_VALUE"""),"C#")</f>
        <v>C#</v>
      </c>
      <c r="G3397" s="9" t="str">
        <f>IFERROR(__xludf.DUMMYFUNCTION("""COMPUTED_VALUE"""),"SQL")</f>
        <v>SQL</v>
      </c>
      <c r="H3397" s="9" t="str">
        <f>IFERROR(__xludf.DUMMYFUNCTION("""COMPUTED_VALUE"""),"JavaScript")</f>
        <v>JavaScript</v>
      </c>
      <c r="I3397" s="9" t="str">
        <f>IFERROR(__xludf.DUMMYFUNCTION("""COMPUTED_VALUE"""),"SQL")</f>
        <v>SQL</v>
      </c>
      <c r="J3397" s="9" t="str">
        <f>IFERROR(__xludf.DUMMYFUNCTION("""COMPUTED_VALUE"""),"HTML/CSS")</f>
        <v>HTML/CSS</v>
      </c>
      <c r="K3397" s="9" t="str">
        <f>IFERROR(__xludf.DUMMYFUNCTION("""COMPUTED_VALUE"""),"Other(s):")</f>
        <v>Other(s):</v>
      </c>
      <c r="L3397" s="9" t="str">
        <f>IFERROR(__xludf.DUMMYFUNCTION("""COMPUTED_VALUE"""),"C#")</f>
        <v>C#</v>
      </c>
      <c r="M3397" s="9" t="s">
        <v>26</v>
      </c>
    </row>
    <row r="3398" ht="15.75" customHeight="1">
      <c r="A3398" s="7"/>
      <c r="B3398" s="7" t="str">
        <f>IFERROR(__xludf.DUMMYFUNCTION("""COMPUTED_VALUE"""),"Bash/Shell/PowerShell;C#;HTML/CSS;Java;JavaScript;PHP;Ruby")</f>
        <v>Bash/Shell/PowerShell;C#;HTML/CSS;Java;JavaScript;PHP;Ruby</v>
      </c>
      <c r="C3398" s="9" t="str">
        <f>IFERROR(__xludf.DUMMYFUNCTION("""COMPUTED_VALUE"""),"HTML/CSS")</f>
        <v>HTML/CSS</v>
      </c>
      <c r="D3398" s="9" t="str">
        <f>IFERROR(__xludf.DUMMYFUNCTION("""COMPUTED_VALUE"""),"Go")</f>
        <v>Go</v>
      </c>
      <c r="E3398" s="9" t="str">
        <f>IFERROR(__xludf.DUMMYFUNCTION("""COMPUTED_VALUE"""),"Swift")</f>
        <v>Swift</v>
      </c>
      <c r="F3398" s="9" t="str">
        <f>IFERROR(__xludf.DUMMYFUNCTION("""COMPUTED_VALUE"""),"Clojure")</f>
        <v>Clojure</v>
      </c>
      <c r="G3398" s="9" t="str">
        <f>IFERROR(__xludf.DUMMYFUNCTION("""COMPUTED_VALUE"""),"TypeScript")</f>
        <v>TypeScript</v>
      </c>
      <c r="H3398" s="9" t="str">
        <f>IFERROR(__xludf.DUMMYFUNCTION("""COMPUTED_VALUE"""),"Python")</f>
        <v>Python</v>
      </c>
      <c r="I3398" s="9" t="str">
        <f>IFERROR(__xludf.DUMMYFUNCTION("""COMPUTED_VALUE"""),"Swift")</f>
        <v>Swift</v>
      </c>
      <c r="J3398" s="9" t="str">
        <f>IFERROR(__xludf.DUMMYFUNCTION("""COMPUTED_VALUE"""),"Java")</f>
        <v>Java</v>
      </c>
      <c r="K3398" s="9" t="str">
        <f>IFERROR(__xludf.DUMMYFUNCTION("""COMPUTED_VALUE"""),"C")</f>
        <v>C</v>
      </c>
      <c r="L3398" s="9" t="str">
        <f>IFERROR(__xludf.DUMMYFUNCTION("""COMPUTED_VALUE"""),"HTML/CSS")</f>
        <v>HTML/CSS</v>
      </c>
      <c r="M3398" s="9" t="s">
        <v>24</v>
      </c>
    </row>
    <row r="3399" ht="15.75" customHeight="1">
      <c r="A3399" s="7"/>
      <c r="B3399" s="7" t="str">
        <f>IFERROR(__xludf.DUMMYFUNCTION("""COMPUTED_VALUE"""),"Bash/Shell/PowerShell;C;Ruby;SQL")</f>
        <v>Bash/Shell/PowerShell;C;Ruby;SQL</v>
      </c>
      <c r="C3399" s="9" t="str">
        <f>IFERROR(__xludf.DUMMYFUNCTION("""COMPUTED_VALUE"""),"Java")</f>
        <v>Java</v>
      </c>
      <c r="D3399" s="9" t="str">
        <f>IFERROR(__xludf.DUMMYFUNCTION("""COMPUTED_VALUE"""),"HTML/CSS")</f>
        <v>HTML/CSS</v>
      </c>
      <c r="E3399" s="9" t="str">
        <f>IFERROR(__xludf.DUMMYFUNCTION("""COMPUTED_VALUE"""),"TypeScript")</f>
        <v>TypeScript</v>
      </c>
      <c r="F3399" s="9" t="str">
        <f>IFERROR(__xludf.DUMMYFUNCTION("""COMPUTED_VALUE"""),"HTML/CSS")</f>
        <v>HTML/CSS</v>
      </c>
      <c r="G3399" s="9" t="str">
        <f>IFERROR(__xludf.DUMMYFUNCTION("""COMPUTED_VALUE"""),"Other(s):")</f>
        <v>Other(s):</v>
      </c>
      <c r="H3399" s="9" t="str">
        <f>IFERROR(__xludf.DUMMYFUNCTION("""COMPUTED_VALUE"""),"SQL")</f>
        <v>SQL</v>
      </c>
      <c r="I3399" s="9" t="str">
        <f>IFERROR(__xludf.DUMMYFUNCTION("""COMPUTED_VALUE"""),"Assembly")</f>
        <v>Assembly</v>
      </c>
      <c r="J3399" s="9" t="str">
        <f>IFERROR(__xludf.DUMMYFUNCTION("""COMPUTED_VALUE"""),"JavaScript")</f>
        <v>JavaScript</v>
      </c>
      <c r="K3399" s="9" t="str">
        <f>IFERROR(__xludf.DUMMYFUNCTION("""COMPUTED_VALUE"""),"C++")</f>
        <v>C++</v>
      </c>
      <c r="L3399" s="9" t="str">
        <f>IFERROR(__xludf.DUMMYFUNCTION("""COMPUTED_VALUE"""),"Java")</f>
        <v>Java</v>
      </c>
      <c r="M3399" s="9" t="s">
        <v>20</v>
      </c>
    </row>
    <row r="3400" ht="15.75" customHeight="1">
      <c r="A3400" s="7"/>
      <c r="B3400" s="7" t="str">
        <f>IFERROR(__xludf.DUMMYFUNCTION("""COMPUTED_VALUE"""),"C++;HTML/CSS;JavaScript")</f>
        <v>C++;HTML/CSS;JavaScript</v>
      </c>
      <c r="C3400" s="9" t="str">
        <f>IFERROR(__xludf.DUMMYFUNCTION("""COMPUTED_VALUE"""),"JavaScript")</f>
        <v>JavaScript</v>
      </c>
      <c r="D3400" s="9" t="str">
        <f>IFERROR(__xludf.DUMMYFUNCTION("""COMPUTED_VALUE"""),"Java")</f>
        <v>Java</v>
      </c>
      <c r="E3400" s="9" t="str">
        <f>IFERROR(__xludf.DUMMYFUNCTION("""COMPUTED_VALUE"""),"VBA")</f>
        <v>VBA</v>
      </c>
      <c r="F3400" s="9" t="str">
        <f>IFERROR(__xludf.DUMMYFUNCTION("""COMPUTED_VALUE"""),"PHP")</f>
        <v>PHP</v>
      </c>
      <c r="G3400" s="9" t="str">
        <f>IFERROR(__xludf.DUMMYFUNCTION("""COMPUTED_VALUE"""),"Bash/Shell/PowerShell")</f>
        <v>Bash/Shell/PowerShell</v>
      </c>
      <c r="H3400" s="9" t="str">
        <f>IFERROR(__xludf.DUMMYFUNCTION("""COMPUTED_VALUE"""),"HTML/CSS")</f>
        <v>HTML/CSS</v>
      </c>
      <c r="I3400" s="9" t="str">
        <f>IFERROR(__xludf.DUMMYFUNCTION("""COMPUTED_VALUE"""),"C")</f>
        <v>C</v>
      </c>
      <c r="J3400" s="9" t="str">
        <f>IFERROR(__xludf.DUMMYFUNCTION("""COMPUTED_VALUE"""),"Python")</f>
        <v>Python</v>
      </c>
      <c r="K3400" s="9" t="str">
        <f>IFERROR(__xludf.DUMMYFUNCTION("""COMPUTED_VALUE"""),"C#")</f>
        <v>C#</v>
      </c>
      <c r="L3400" s="9" t="str">
        <f>IFERROR(__xludf.DUMMYFUNCTION("""COMPUTED_VALUE"""),"JavaScript")</f>
        <v>JavaScript</v>
      </c>
      <c r="M3400" s="9" t="s">
        <v>21</v>
      </c>
    </row>
    <row r="3401" ht="15.75" customHeight="1">
      <c r="A3401" s="7"/>
      <c r="B3401" s="7" t="str">
        <f>IFERROR(__xludf.DUMMYFUNCTION("""COMPUTED_VALUE"""),"Bash/Shell/PowerShell;HTML/CSS;Java;JavaScript;Python;Rust;SQL;TypeScript;Other(s):")</f>
        <v>Bash/Shell/PowerShell;HTML/CSS;Java;JavaScript;Python;Rust;SQL;TypeScript;Other(s):</v>
      </c>
      <c r="C3401" s="9" t="str">
        <f>IFERROR(__xludf.DUMMYFUNCTION("""COMPUTED_VALUE"""),"Other(s):")</f>
        <v>Other(s):</v>
      </c>
      <c r="D3401" s="9" t="str">
        <f>IFERROR(__xludf.DUMMYFUNCTION("""COMPUTED_VALUE"""),"JavaScript")</f>
        <v>JavaScript</v>
      </c>
      <c r="E3401" s="9" t="str">
        <f>IFERROR(__xludf.DUMMYFUNCTION("""COMPUTED_VALUE"""),"Bash/Shell/PowerShell")</f>
        <v>Bash/Shell/PowerShell</v>
      </c>
      <c r="F3401" s="9" t="str">
        <f>IFERROR(__xludf.DUMMYFUNCTION("""COMPUTED_VALUE"""),"Python")</f>
        <v>Python</v>
      </c>
      <c r="G3401" s="9" t="str">
        <f>IFERROR(__xludf.DUMMYFUNCTION("""COMPUTED_VALUE"""),"HTML/CSS")</f>
        <v>HTML/CSS</v>
      </c>
      <c r="H3401" s="9" t="str">
        <f>IFERROR(__xludf.DUMMYFUNCTION("""COMPUTED_VALUE"""),"JavaScript")</f>
        <v>JavaScript</v>
      </c>
      <c r="I3401" s="9" t="str">
        <f>IFERROR(__xludf.DUMMYFUNCTION("""COMPUTED_VALUE"""),"C++")</f>
        <v>C++</v>
      </c>
      <c r="J3401" s="9" t="str">
        <f>IFERROR(__xludf.DUMMYFUNCTION("""COMPUTED_VALUE"""),"HTML/CSS")</f>
        <v>HTML/CSS</v>
      </c>
      <c r="K3401" s="9" t="str">
        <f>IFERROR(__xludf.DUMMYFUNCTION("""COMPUTED_VALUE"""),"HTML/CSS")</f>
        <v>HTML/CSS</v>
      </c>
      <c r="L3401" s="9" t="str">
        <f>IFERROR(__xludf.DUMMYFUNCTION("""COMPUTED_VALUE"""),"PHP")</f>
        <v>PHP</v>
      </c>
      <c r="M3401" s="9" t="s">
        <v>35</v>
      </c>
    </row>
    <row r="3402" ht="15.75" customHeight="1">
      <c r="A3402" s="7"/>
      <c r="B3402" s="7" t="str">
        <f>IFERROR(__xludf.DUMMYFUNCTION("""COMPUTED_VALUE"""),"C;C++;Rust;Other(s):")</f>
        <v>C;C++;Rust;Other(s):</v>
      </c>
      <c r="C3402" s="9" t="str">
        <f>IFERROR(__xludf.DUMMYFUNCTION("""COMPUTED_VALUE"""),"Assembly")</f>
        <v>Assembly</v>
      </c>
      <c r="D3402" s="9" t="str">
        <f>IFERROR(__xludf.DUMMYFUNCTION("""COMPUTED_VALUE"""),"Python")</f>
        <v>Python</v>
      </c>
      <c r="E3402" s="9" t="str">
        <f>IFERROR(__xludf.DUMMYFUNCTION("""COMPUTED_VALUE"""),"HTML/CSS")</f>
        <v>HTML/CSS</v>
      </c>
      <c r="F3402" s="9" t="str">
        <f>IFERROR(__xludf.DUMMYFUNCTION("""COMPUTED_VALUE"""),"SQL")</f>
        <v>SQL</v>
      </c>
      <c r="G3402" s="9" t="str">
        <f>IFERROR(__xludf.DUMMYFUNCTION("""COMPUTED_VALUE"""),"Java")</f>
        <v>Java</v>
      </c>
      <c r="H3402" s="9" t="str">
        <f>IFERROR(__xludf.DUMMYFUNCTION("""COMPUTED_VALUE"""),"PHP")</f>
        <v>PHP</v>
      </c>
      <c r="I3402" s="9" t="str">
        <f>IFERROR(__xludf.DUMMYFUNCTION("""COMPUTED_VALUE"""),"HTML/CSS")</f>
        <v>HTML/CSS</v>
      </c>
      <c r="J3402" s="9" t="str">
        <f>IFERROR(__xludf.DUMMYFUNCTION("""COMPUTED_VALUE"""),"JavaScript")</f>
        <v>JavaScript</v>
      </c>
      <c r="K3402" s="9" t="str">
        <f>IFERROR(__xludf.DUMMYFUNCTION("""COMPUTED_VALUE"""),"Java")</f>
        <v>Java</v>
      </c>
      <c r="L3402" s="9" t="str">
        <f>IFERROR(__xludf.DUMMYFUNCTION("""COMPUTED_VALUE"""),"Python")</f>
        <v>Python</v>
      </c>
      <c r="M3402" s="9" t="s">
        <v>38</v>
      </c>
    </row>
    <row r="3403" ht="15.75" customHeight="1">
      <c r="A3403" s="7"/>
      <c r="B3403" s="7" t="str">
        <f>IFERROR(__xludf.DUMMYFUNCTION("""COMPUTED_VALUE"""),"Bash/Shell/PowerShell;C#;HTML/CSS;Java;JavaScript;PHP;SQL")</f>
        <v>Bash/Shell/PowerShell;C#;HTML/CSS;Java;JavaScript;PHP;SQL</v>
      </c>
      <c r="C3403" s="9" t="str">
        <f>IFERROR(__xludf.DUMMYFUNCTION("""COMPUTED_VALUE"""),"HTML/CSS")</f>
        <v>HTML/CSS</v>
      </c>
      <c r="D3403" s="9" t="str">
        <f>IFERROR(__xludf.DUMMYFUNCTION("""COMPUTED_VALUE"""),"C#")</f>
        <v>C#</v>
      </c>
      <c r="E3403" s="9" t="str">
        <f>IFERROR(__xludf.DUMMYFUNCTION("""COMPUTED_VALUE"""),"JavaScript")</f>
        <v>JavaScript</v>
      </c>
      <c r="F3403" s="9" t="str">
        <f>IFERROR(__xludf.DUMMYFUNCTION("""COMPUTED_VALUE"""),"TypeScript")</f>
        <v>TypeScript</v>
      </c>
      <c r="G3403" s="9" t="str">
        <f>IFERROR(__xludf.DUMMYFUNCTION("""COMPUTED_VALUE"""),"JavaScript")</f>
        <v>JavaScript</v>
      </c>
      <c r="H3403" s="9" t="str">
        <f>IFERROR(__xludf.DUMMYFUNCTION("""COMPUTED_VALUE"""),"SQL")</f>
        <v>SQL</v>
      </c>
      <c r="I3403" s="9" t="str">
        <f>IFERROR(__xludf.DUMMYFUNCTION("""COMPUTED_VALUE"""),"Java")</f>
        <v>Java</v>
      </c>
      <c r="J3403" s="9" t="str">
        <f>IFERROR(__xludf.DUMMYFUNCTION("""COMPUTED_VALUE"""),"HTML/CSS")</f>
        <v>HTML/CSS</v>
      </c>
      <c r="K3403" s="9" t="str">
        <f>IFERROR(__xludf.DUMMYFUNCTION("""COMPUTED_VALUE"""),"SQL")</f>
        <v>SQL</v>
      </c>
      <c r="L3403" s="9" t="str">
        <f>IFERROR(__xludf.DUMMYFUNCTION("""COMPUTED_VALUE"""),"R")</f>
        <v>R</v>
      </c>
      <c r="M3403" s="9" t="s">
        <v>24</v>
      </c>
    </row>
    <row r="3404" ht="15.75" customHeight="1">
      <c r="A3404" s="7"/>
      <c r="B3404" s="7" t="str">
        <f>IFERROR(__xludf.DUMMYFUNCTION("""COMPUTED_VALUE"""),"Bash/Shell/PowerShell;HTML/CSS;JavaScript;SQL")</f>
        <v>Bash/Shell/PowerShell;HTML/CSS;JavaScript;SQL</v>
      </c>
      <c r="C3404" s="9" t="str">
        <f>IFERROR(__xludf.DUMMYFUNCTION("""COMPUTED_VALUE"""),"JavaScript")</f>
        <v>JavaScript</v>
      </c>
      <c r="D3404" s="9" t="str">
        <f>IFERROR(__xludf.DUMMYFUNCTION("""COMPUTED_VALUE"""),"HTML/CSS")</f>
        <v>HTML/CSS</v>
      </c>
      <c r="E3404" s="9" t="str">
        <f>IFERROR(__xludf.DUMMYFUNCTION("""COMPUTED_VALUE"""),"Python")</f>
        <v>Python</v>
      </c>
      <c r="F3404" s="9" t="str">
        <f>IFERROR(__xludf.DUMMYFUNCTION("""COMPUTED_VALUE"""),"VBA")</f>
        <v>VBA</v>
      </c>
      <c r="G3404" s="9" t="str">
        <f>IFERROR(__xludf.DUMMYFUNCTION("""COMPUTED_VALUE"""),"SQL")</f>
        <v>SQL</v>
      </c>
      <c r="H3404" s="9" t="str">
        <f>IFERROR(__xludf.DUMMYFUNCTION("""COMPUTED_VALUE"""),"Assembly")</f>
        <v>Assembly</v>
      </c>
      <c r="I3404" s="9" t="str">
        <f>IFERROR(__xludf.DUMMYFUNCTION("""COMPUTED_VALUE"""),"JavaScript")</f>
        <v>JavaScript</v>
      </c>
      <c r="J3404" s="9" t="str">
        <f>IFERROR(__xludf.DUMMYFUNCTION("""COMPUTED_VALUE"""),"JavaScript")</f>
        <v>JavaScript</v>
      </c>
      <c r="K3404" s="9" t="str">
        <f>IFERROR(__xludf.DUMMYFUNCTION("""COMPUTED_VALUE"""),"HTML/CSS")</f>
        <v>HTML/CSS</v>
      </c>
      <c r="L3404" s="9" t="str">
        <f>IFERROR(__xludf.DUMMYFUNCTION("""COMPUTED_VALUE"""),"SQL")</f>
        <v>SQL</v>
      </c>
      <c r="M3404" s="9" t="s">
        <v>21</v>
      </c>
    </row>
    <row r="3405" ht="15.75" customHeight="1">
      <c r="A3405" s="7"/>
      <c r="B3405" s="7" t="str">
        <f>IFERROR(__xludf.DUMMYFUNCTION("""COMPUTED_VALUE"""),"C#")</f>
        <v>C#</v>
      </c>
      <c r="C3405" s="9" t="str">
        <f>IFERROR(__xludf.DUMMYFUNCTION("""COMPUTED_VALUE"""),"PHP")</f>
        <v>PHP</v>
      </c>
      <c r="D3405" s="9" t="str">
        <f>IFERROR(__xludf.DUMMYFUNCTION("""COMPUTED_VALUE"""),"JavaScript")</f>
        <v>JavaScript</v>
      </c>
      <c r="E3405" s="9" t="str">
        <f>IFERROR(__xludf.DUMMYFUNCTION("""COMPUTED_VALUE"""),"TypeScript")</f>
        <v>TypeScript</v>
      </c>
      <c r="F3405" s="9" t="str">
        <f>IFERROR(__xludf.DUMMYFUNCTION("""COMPUTED_VALUE"""),"Bash/Shell/PowerShell")</f>
        <v>Bash/Shell/PowerShell</v>
      </c>
      <c r="G3405" s="9" t="str">
        <f>IFERROR(__xludf.DUMMYFUNCTION("""COMPUTED_VALUE"""),"TypeScript")</f>
        <v>TypeScript</v>
      </c>
      <c r="H3405" s="9" t="str">
        <f>IFERROR(__xludf.DUMMYFUNCTION("""COMPUTED_VALUE"""),"C")</f>
        <v>C</v>
      </c>
      <c r="I3405" s="9" t="str">
        <f>IFERROR(__xludf.DUMMYFUNCTION("""COMPUTED_VALUE"""),"PHP")</f>
        <v>PHP</v>
      </c>
      <c r="J3405" s="9" t="str">
        <f>IFERROR(__xludf.DUMMYFUNCTION("""COMPUTED_VALUE"""),"PHP")</f>
        <v>PHP</v>
      </c>
      <c r="K3405" s="9" t="str">
        <f>IFERROR(__xludf.DUMMYFUNCTION("""COMPUTED_VALUE"""),"Java")</f>
        <v>Java</v>
      </c>
      <c r="L3405" s="9" t="str">
        <f>IFERROR(__xludf.DUMMYFUNCTION("""COMPUTED_VALUE"""),"C")</f>
        <v>C</v>
      </c>
      <c r="M3405" s="9" t="s">
        <v>37</v>
      </c>
    </row>
    <row r="3406" ht="15.75" customHeight="1">
      <c r="A3406" s="7"/>
      <c r="B3406" s="7" t="str">
        <f>IFERROR(__xludf.DUMMYFUNCTION("""COMPUTED_VALUE"""),"C;C++;HTML/CSS;Java;JavaScript;PHP;SQL")</f>
        <v>C;C++;HTML/CSS;Java;JavaScript;PHP;SQL</v>
      </c>
      <c r="C3406" s="9" t="str">
        <f>IFERROR(__xludf.DUMMYFUNCTION("""COMPUTED_VALUE"""),"SQL")</f>
        <v>SQL</v>
      </c>
      <c r="D3406" s="9" t="str">
        <f>IFERROR(__xludf.DUMMYFUNCTION("""COMPUTED_VALUE"""),"TypeScript")</f>
        <v>TypeScript</v>
      </c>
      <c r="E3406" s="9" t="str">
        <f>IFERROR(__xludf.DUMMYFUNCTION("""COMPUTED_VALUE"""),"HTML/CSS")</f>
        <v>HTML/CSS</v>
      </c>
      <c r="F3406" s="9" t="str">
        <f>IFERROR(__xludf.DUMMYFUNCTION("""COMPUTED_VALUE"""),"C++")</f>
        <v>C++</v>
      </c>
      <c r="G3406" s="9" t="str">
        <f>IFERROR(__xludf.DUMMYFUNCTION("""COMPUTED_VALUE"""),"Bash/Shell/PowerShell")</f>
        <v>Bash/Shell/PowerShell</v>
      </c>
      <c r="H3406" s="9" t="str">
        <f>IFERROR(__xludf.DUMMYFUNCTION("""COMPUTED_VALUE"""),"C++")</f>
        <v>C++</v>
      </c>
      <c r="I3406" s="9" t="str">
        <f>IFERROR(__xludf.DUMMYFUNCTION("""COMPUTED_VALUE"""),"Python")</f>
        <v>Python</v>
      </c>
      <c r="J3406" s="9" t="str">
        <f>IFERROR(__xludf.DUMMYFUNCTION("""COMPUTED_VALUE"""),"Other(s):")</f>
        <v>Other(s):</v>
      </c>
      <c r="K3406" s="9" t="str">
        <f>IFERROR(__xludf.DUMMYFUNCTION("""COMPUTED_VALUE"""),"JavaScript")</f>
        <v>JavaScript</v>
      </c>
      <c r="L3406" s="9" t="str">
        <f>IFERROR(__xludf.DUMMYFUNCTION("""COMPUTED_VALUE"""),"C++")</f>
        <v>C++</v>
      </c>
      <c r="M3406" s="9" t="s">
        <v>27</v>
      </c>
    </row>
    <row r="3407" ht="15.75" customHeight="1">
      <c r="A3407" s="7"/>
      <c r="B3407" s="7" t="str">
        <f>IFERROR(__xludf.DUMMYFUNCTION("""COMPUTED_VALUE"""),"Java;JavaScript;SQL;Swift")</f>
        <v>Java;JavaScript;SQL;Swift</v>
      </c>
      <c r="C3407" s="9" t="str">
        <f>IFERROR(__xludf.DUMMYFUNCTION("""COMPUTED_VALUE"""),"HTML/CSS")</f>
        <v>HTML/CSS</v>
      </c>
      <c r="D3407" s="9" t="str">
        <f>IFERROR(__xludf.DUMMYFUNCTION("""COMPUTED_VALUE"""),"Bash/Shell/PowerShell")</f>
        <v>Bash/Shell/PowerShell</v>
      </c>
      <c r="E3407" s="9" t="str">
        <f>IFERROR(__xludf.DUMMYFUNCTION("""COMPUTED_VALUE"""),"JavaScript")</f>
        <v>JavaScript</v>
      </c>
      <c r="F3407" s="9" t="str">
        <f>IFERROR(__xludf.DUMMYFUNCTION("""COMPUTED_VALUE"""),"Go")</f>
        <v>Go</v>
      </c>
      <c r="G3407" s="9" t="str">
        <f>IFERROR(__xludf.DUMMYFUNCTION("""COMPUTED_VALUE"""),"C++")</f>
        <v>C++</v>
      </c>
      <c r="H3407" s="9" t="str">
        <f>IFERROR(__xludf.DUMMYFUNCTION("""COMPUTED_VALUE"""),"HTML/CSS")</f>
        <v>HTML/CSS</v>
      </c>
      <c r="I3407" s="9" t="str">
        <f>IFERROR(__xludf.DUMMYFUNCTION("""COMPUTED_VALUE"""),"Ruby")</f>
        <v>Ruby</v>
      </c>
      <c r="J3407" s="9" t="str">
        <f>IFERROR(__xludf.DUMMYFUNCTION("""COMPUTED_VALUE"""),"Bash/Shell/PowerShell")</f>
        <v>Bash/Shell/PowerShell</v>
      </c>
      <c r="K3407" s="9" t="str">
        <f>IFERROR(__xludf.DUMMYFUNCTION("""COMPUTED_VALUE"""),"Python")</f>
        <v>Python</v>
      </c>
      <c r="L3407" s="9" t="str">
        <f>IFERROR(__xludf.DUMMYFUNCTION("""COMPUTED_VALUE"""),"Java")</f>
        <v>Java</v>
      </c>
      <c r="M3407" s="9" t="s">
        <v>24</v>
      </c>
    </row>
    <row r="3408" ht="15.75" customHeight="1">
      <c r="A3408" s="7"/>
      <c r="B3408" s="7" t="str">
        <f>IFERROR(__xludf.DUMMYFUNCTION("""COMPUTED_VALUE"""),"Bash/Shell/PowerShell;Java;Python;Other(s):")</f>
        <v>Bash/Shell/PowerShell;Java;Python;Other(s):</v>
      </c>
      <c r="C3408" s="9" t="str">
        <f>IFERROR(__xludf.DUMMYFUNCTION("""COMPUTED_VALUE"""),"Java")</f>
        <v>Java</v>
      </c>
      <c r="D3408" s="9" t="str">
        <f>IFERROR(__xludf.DUMMYFUNCTION("""COMPUTED_VALUE"""),"C")</f>
        <v>C</v>
      </c>
      <c r="E3408" s="9" t="str">
        <f>IFERROR(__xludf.DUMMYFUNCTION("""COMPUTED_VALUE"""),"Python")</f>
        <v>Python</v>
      </c>
      <c r="F3408" s="9" t="str">
        <f>IFERROR(__xludf.DUMMYFUNCTION("""COMPUTED_VALUE"""),"HTML/CSS")</f>
        <v>HTML/CSS</v>
      </c>
      <c r="G3408" s="9" t="str">
        <f>IFERROR(__xludf.DUMMYFUNCTION("""COMPUTED_VALUE"""),"C#")</f>
        <v>C#</v>
      </c>
      <c r="H3408" s="9" t="str">
        <f>IFERROR(__xludf.DUMMYFUNCTION("""COMPUTED_VALUE"""),"Java")</f>
        <v>Java</v>
      </c>
      <c r="I3408" s="9" t="str">
        <f>IFERROR(__xludf.DUMMYFUNCTION("""COMPUTED_VALUE"""),"SQL")</f>
        <v>SQL</v>
      </c>
      <c r="J3408" s="9" t="str">
        <f>IFERROR(__xludf.DUMMYFUNCTION("""COMPUTED_VALUE"""),"Java")</f>
        <v>Java</v>
      </c>
      <c r="K3408" s="9" t="str">
        <f>IFERROR(__xludf.DUMMYFUNCTION("""COMPUTED_VALUE"""),"SQL")</f>
        <v>SQL</v>
      </c>
      <c r="L3408" s="9" t="str">
        <f>IFERROR(__xludf.DUMMYFUNCTION("""COMPUTED_VALUE"""),"JavaScript")</f>
        <v>JavaScript</v>
      </c>
      <c r="M3408" s="9" t="s">
        <v>20</v>
      </c>
    </row>
    <row r="3409" ht="15.75" customHeight="1">
      <c r="A3409" s="7"/>
      <c r="B3409" s="7" t="str">
        <f>IFERROR(__xludf.DUMMYFUNCTION("""COMPUTED_VALUE"""),"C++;Other(s):")</f>
        <v>C++;Other(s):</v>
      </c>
      <c r="C3409" s="9" t="str">
        <f>IFERROR(__xludf.DUMMYFUNCTION("""COMPUTED_VALUE"""),"JavaScript")</f>
        <v>JavaScript</v>
      </c>
      <c r="D3409" s="9" t="str">
        <f>IFERROR(__xludf.DUMMYFUNCTION("""COMPUTED_VALUE"""),"Python")</f>
        <v>Python</v>
      </c>
      <c r="E3409" s="9" t="str">
        <f>IFERROR(__xludf.DUMMYFUNCTION("""COMPUTED_VALUE"""),"Ruby")</f>
        <v>Ruby</v>
      </c>
      <c r="F3409" s="9" t="str">
        <f>IFERROR(__xludf.DUMMYFUNCTION("""COMPUTED_VALUE"""),"JavaScript")</f>
        <v>JavaScript</v>
      </c>
      <c r="G3409" s="9" t="str">
        <f>IFERROR(__xludf.DUMMYFUNCTION("""COMPUTED_VALUE"""),"HTML/CSS")</f>
        <v>HTML/CSS</v>
      </c>
      <c r="H3409" s="9" t="str">
        <f>IFERROR(__xludf.DUMMYFUNCTION("""COMPUTED_VALUE"""),"JavaScript")</f>
        <v>JavaScript</v>
      </c>
      <c r="I3409" s="9" t="str">
        <f>IFERROR(__xludf.DUMMYFUNCTION("""COMPUTED_VALUE"""),"C")</f>
        <v>C</v>
      </c>
      <c r="J3409" s="9" t="str">
        <f>IFERROR(__xludf.DUMMYFUNCTION("""COMPUTED_VALUE"""),"JavaScript")</f>
        <v>JavaScript</v>
      </c>
      <c r="K3409" s="9" t="str">
        <f>IFERROR(__xludf.DUMMYFUNCTION("""COMPUTED_VALUE"""),"Other(s):")</f>
        <v>Other(s):</v>
      </c>
      <c r="L3409" s="9" t="str">
        <f>IFERROR(__xludf.DUMMYFUNCTION("""COMPUTED_VALUE"""),"Kotlin")</f>
        <v>Kotlin</v>
      </c>
      <c r="M3409" s="9" t="s">
        <v>21</v>
      </c>
    </row>
    <row r="3410" ht="15.75" customHeight="1">
      <c r="A3410" s="7"/>
      <c r="B3410" s="7" t="str">
        <f>IFERROR(__xludf.DUMMYFUNCTION("""COMPUTED_VALUE"""),"Bash/Shell/PowerShell;C#;HTML/CSS;Java;JavaScript;SQL;VBA")</f>
        <v>Bash/Shell/PowerShell;C#;HTML/CSS;Java;JavaScript;SQL;VBA</v>
      </c>
      <c r="C3410" s="9" t="str">
        <f>IFERROR(__xludf.DUMMYFUNCTION("""COMPUTED_VALUE"""),"SQL")</f>
        <v>SQL</v>
      </c>
      <c r="D3410" s="9" t="str">
        <f>IFERROR(__xludf.DUMMYFUNCTION("""COMPUTED_VALUE"""),"Assembly")</f>
        <v>Assembly</v>
      </c>
      <c r="E3410" s="9" t="str">
        <f>IFERROR(__xludf.DUMMYFUNCTION("""COMPUTED_VALUE"""),"SQL")</f>
        <v>SQL</v>
      </c>
      <c r="F3410" s="9" t="str">
        <f>IFERROR(__xludf.DUMMYFUNCTION("""COMPUTED_VALUE"""),"Python")</f>
        <v>Python</v>
      </c>
      <c r="G3410" s="9" t="str">
        <f>IFERROR(__xludf.DUMMYFUNCTION("""COMPUTED_VALUE"""),"Java")</f>
        <v>Java</v>
      </c>
      <c r="H3410" s="9" t="str">
        <f>IFERROR(__xludf.DUMMYFUNCTION("""COMPUTED_VALUE"""),"Python")</f>
        <v>Python</v>
      </c>
      <c r="I3410" s="9" t="str">
        <f>IFERROR(__xludf.DUMMYFUNCTION("""COMPUTED_VALUE"""),"C++")</f>
        <v>C++</v>
      </c>
      <c r="J3410" s="9" t="str">
        <f>IFERROR(__xludf.DUMMYFUNCTION("""COMPUTED_VALUE"""),"Other(s):")</f>
        <v>Other(s):</v>
      </c>
      <c r="K3410" s="9" t="str">
        <f>IFERROR(__xludf.DUMMYFUNCTION("""COMPUTED_VALUE"""),"C++")</f>
        <v>C++</v>
      </c>
      <c r="L3410" s="9" t="str">
        <f>IFERROR(__xludf.DUMMYFUNCTION("""COMPUTED_VALUE"""),"HTML/CSS")</f>
        <v>HTML/CSS</v>
      </c>
      <c r="M3410" s="9" t="s">
        <v>27</v>
      </c>
    </row>
    <row r="3411" ht="15.75" customHeight="1">
      <c r="A3411" s="7"/>
      <c r="B3411" s="7" t="str">
        <f>IFERROR(__xludf.DUMMYFUNCTION("""COMPUTED_VALUE"""),"Bash/Shell/PowerShell;C++;HTML/CSS;JavaScript;Objective-C;PHP;Python;SQL")</f>
        <v>Bash/Shell/PowerShell;C++;HTML/CSS;JavaScript;Objective-C;PHP;Python;SQL</v>
      </c>
      <c r="C3411" s="9" t="str">
        <f>IFERROR(__xludf.DUMMYFUNCTION("""COMPUTED_VALUE"""),"Bash/Shell/PowerShell")</f>
        <v>Bash/Shell/PowerShell</v>
      </c>
      <c r="D3411" s="9" t="str">
        <f>IFERROR(__xludf.DUMMYFUNCTION("""COMPUTED_VALUE"""),"Bash/Shell/PowerShell")</f>
        <v>Bash/Shell/PowerShell</v>
      </c>
      <c r="E3411" s="9" t="str">
        <f>IFERROR(__xludf.DUMMYFUNCTION("""COMPUTED_VALUE"""),"VBA")</f>
        <v>VBA</v>
      </c>
      <c r="F3411" s="9" t="str">
        <f>IFERROR(__xludf.DUMMYFUNCTION("""COMPUTED_VALUE"""),"SQL")</f>
        <v>SQL</v>
      </c>
      <c r="G3411" s="9" t="str">
        <f>IFERROR(__xludf.DUMMYFUNCTION("""COMPUTED_VALUE"""),"JavaScript")</f>
        <v>JavaScript</v>
      </c>
      <c r="H3411" s="9" t="str">
        <f>IFERROR(__xludf.DUMMYFUNCTION("""COMPUTED_VALUE"""),"SQL")</f>
        <v>SQL</v>
      </c>
      <c r="I3411" s="9" t="str">
        <f>IFERROR(__xludf.DUMMYFUNCTION("""COMPUTED_VALUE"""),"C#")</f>
        <v>C#</v>
      </c>
      <c r="J3411" s="9" t="str">
        <f>IFERROR(__xludf.DUMMYFUNCTION("""COMPUTED_VALUE"""),"C#")</f>
        <v>C#</v>
      </c>
      <c r="K3411" s="9" t="str">
        <f>IFERROR(__xludf.DUMMYFUNCTION("""COMPUTED_VALUE"""),"HTML/CSS")</f>
        <v>HTML/CSS</v>
      </c>
      <c r="L3411" s="9" t="str">
        <f>IFERROR(__xludf.DUMMYFUNCTION("""COMPUTED_VALUE"""),"JavaScript")</f>
        <v>JavaScript</v>
      </c>
      <c r="M3411" s="9" t="s">
        <v>30</v>
      </c>
    </row>
    <row r="3412" ht="15.75" customHeight="1">
      <c r="A3412" s="7"/>
      <c r="B3412" s="7" t="str">
        <f>IFERROR(__xludf.DUMMYFUNCTION("""COMPUTED_VALUE"""),"C++;HTML/CSS;JavaScript;PHP;SQL")</f>
        <v>C++;HTML/CSS;JavaScript;PHP;SQL</v>
      </c>
      <c r="C3412" s="9" t="str">
        <f>IFERROR(__xludf.DUMMYFUNCTION("""COMPUTED_VALUE"""),"HTML/CSS")</f>
        <v>HTML/CSS</v>
      </c>
      <c r="D3412" s="9" t="str">
        <f>IFERROR(__xludf.DUMMYFUNCTION("""COMPUTED_VALUE"""),"C")</f>
        <v>C</v>
      </c>
      <c r="E3412" s="9" t="str">
        <f>IFERROR(__xludf.DUMMYFUNCTION("""COMPUTED_VALUE"""),"HTML/CSS")</f>
        <v>HTML/CSS</v>
      </c>
      <c r="F3412" s="9" t="str">
        <f>IFERROR(__xludf.DUMMYFUNCTION("""COMPUTED_VALUE"""),"Java")</f>
        <v>Java</v>
      </c>
      <c r="G3412" s="9" t="str">
        <f>IFERROR(__xludf.DUMMYFUNCTION("""COMPUTED_VALUE"""),"PHP")</f>
        <v>PHP</v>
      </c>
      <c r="H3412" s="9" t="str">
        <f>IFERROR(__xludf.DUMMYFUNCTION("""COMPUTED_VALUE"""),"Dart")</f>
        <v>Dart</v>
      </c>
      <c r="I3412" s="9" t="str">
        <f>IFERROR(__xludf.DUMMYFUNCTION("""COMPUTED_VALUE"""),"HTML/CSS")</f>
        <v>HTML/CSS</v>
      </c>
      <c r="J3412" s="9" t="str">
        <f>IFERROR(__xludf.DUMMYFUNCTION("""COMPUTED_VALUE"""),"HTML/CSS")</f>
        <v>HTML/CSS</v>
      </c>
      <c r="K3412" s="9" t="str">
        <f>IFERROR(__xludf.DUMMYFUNCTION("""COMPUTED_VALUE"""),"JavaScript")</f>
        <v>JavaScript</v>
      </c>
      <c r="L3412" s="9" t="str">
        <f>IFERROR(__xludf.DUMMYFUNCTION("""COMPUTED_VALUE"""),"PHP")</f>
        <v>PHP</v>
      </c>
      <c r="M3412" s="9" t="s">
        <v>24</v>
      </c>
    </row>
    <row r="3413" ht="15.75" customHeight="1">
      <c r="A3413" s="7"/>
      <c r="B3413" s="7" t="str">
        <f>IFERROR(__xludf.DUMMYFUNCTION("""COMPUTED_VALUE"""),"Bash/Shell/PowerShell;C#;Other(s):")</f>
        <v>Bash/Shell/PowerShell;C#;Other(s):</v>
      </c>
      <c r="C3413" s="9" t="str">
        <f>IFERROR(__xludf.DUMMYFUNCTION("""COMPUTED_VALUE"""),"JavaScript")</f>
        <v>JavaScript</v>
      </c>
      <c r="D3413" s="9" t="str">
        <f>IFERROR(__xludf.DUMMYFUNCTION("""COMPUTED_VALUE"""),"C++")</f>
        <v>C++</v>
      </c>
      <c r="E3413" s="9" t="str">
        <f>IFERROR(__xludf.DUMMYFUNCTION("""COMPUTED_VALUE"""),"JavaScript")</f>
        <v>JavaScript</v>
      </c>
      <c r="F3413" s="9" t="str">
        <f>IFERROR(__xludf.DUMMYFUNCTION("""COMPUTED_VALUE"""),"Scala")</f>
        <v>Scala</v>
      </c>
      <c r="G3413" s="9" t="str">
        <f>IFERROR(__xludf.DUMMYFUNCTION("""COMPUTED_VALUE"""),"Python")</f>
        <v>Python</v>
      </c>
      <c r="H3413" s="9" t="str">
        <f>IFERROR(__xludf.DUMMYFUNCTION("""COMPUTED_VALUE"""),"Kotlin")</f>
        <v>Kotlin</v>
      </c>
      <c r="I3413" s="9" t="str">
        <f>IFERROR(__xludf.DUMMYFUNCTION("""COMPUTED_VALUE"""),"JavaScript")</f>
        <v>JavaScript</v>
      </c>
      <c r="J3413" s="9" t="str">
        <f>IFERROR(__xludf.DUMMYFUNCTION("""COMPUTED_VALUE"""),"Swift")</f>
        <v>Swift</v>
      </c>
      <c r="K3413" s="9" t="str">
        <f>IFERROR(__xludf.DUMMYFUNCTION("""COMPUTED_VALUE"""),"Python")</f>
        <v>Python</v>
      </c>
      <c r="L3413" s="9" t="str">
        <f>IFERROR(__xludf.DUMMYFUNCTION("""COMPUTED_VALUE"""),"HTML/CSS")</f>
        <v>HTML/CSS</v>
      </c>
      <c r="M3413" s="9" t="s">
        <v>21</v>
      </c>
    </row>
    <row r="3414" ht="15.75" customHeight="1">
      <c r="A3414" s="7"/>
      <c r="B3414" s="7" t="str">
        <f>IFERROR(__xludf.DUMMYFUNCTION("""COMPUTED_VALUE"""),"HTML/CSS;JavaScript;PHP;SQL")</f>
        <v>HTML/CSS;JavaScript;PHP;SQL</v>
      </c>
      <c r="C3414" s="9" t="str">
        <f>IFERROR(__xludf.DUMMYFUNCTION("""COMPUTED_VALUE"""),"PHP")</f>
        <v>PHP</v>
      </c>
      <c r="D3414" s="9" t="str">
        <f>IFERROR(__xludf.DUMMYFUNCTION("""COMPUTED_VALUE"""),"HTML/CSS")</f>
        <v>HTML/CSS</v>
      </c>
      <c r="E3414" s="9" t="str">
        <f>IFERROR(__xludf.DUMMYFUNCTION("""COMPUTED_VALUE"""),"PHP")</f>
        <v>PHP</v>
      </c>
      <c r="F3414" s="9" t="str">
        <f>IFERROR(__xludf.DUMMYFUNCTION("""COMPUTED_VALUE"""),"HTML/CSS")</f>
        <v>HTML/CSS</v>
      </c>
      <c r="G3414" s="9" t="str">
        <f>IFERROR(__xludf.DUMMYFUNCTION("""COMPUTED_VALUE"""),"TypeScript")</f>
        <v>TypeScript</v>
      </c>
      <c r="H3414" s="9" t="str">
        <f>IFERROR(__xludf.DUMMYFUNCTION("""COMPUTED_VALUE"""),"Java")</f>
        <v>Java</v>
      </c>
      <c r="I3414" s="9" t="str">
        <f>IFERROR(__xludf.DUMMYFUNCTION("""COMPUTED_VALUE"""),"Python")</f>
        <v>Python</v>
      </c>
      <c r="J3414" s="9" t="str">
        <f>IFERROR(__xludf.DUMMYFUNCTION("""COMPUTED_VALUE"""),"Bash/Shell/PowerShell")</f>
        <v>Bash/Shell/PowerShell</v>
      </c>
      <c r="K3414" s="9" t="str">
        <f>IFERROR(__xludf.DUMMYFUNCTION("""COMPUTED_VALUE"""),"Ruby")</f>
        <v>Ruby</v>
      </c>
      <c r="L3414" s="9" t="str">
        <f>IFERROR(__xludf.DUMMYFUNCTION("""COMPUTED_VALUE"""),"Java")</f>
        <v>Java</v>
      </c>
      <c r="M3414" s="9" t="s">
        <v>37</v>
      </c>
    </row>
    <row r="3415" ht="15.75" customHeight="1">
      <c r="A3415" s="7"/>
      <c r="B3415" s="7" t="str">
        <f>IFERROR(__xludf.DUMMYFUNCTION("""COMPUTED_VALUE"""),"Java;JavaScript;Python")</f>
        <v>Java;JavaScript;Python</v>
      </c>
      <c r="C3415" s="9" t="str">
        <f>IFERROR(__xludf.DUMMYFUNCTION("""COMPUTED_VALUE"""),"Python")</f>
        <v>Python</v>
      </c>
      <c r="D3415" s="9" t="str">
        <f>IFERROR(__xludf.DUMMYFUNCTION("""COMPUTED_VALUE"""),"Java")</f>
        <v>Java</v>
      </c>
      <c r="E3415" s="9" t="str">
        <f>IFERROR(__xludf.DUMMYFUNCTION("""COMPUTED_VALUE"""),"Java")</f>
        <v>Java</v>
      </c>
      <c r="F3415" s="9" t="str">
        <f>IFERROR(__xludf.DUMMYFUNCTION("""COMPUTED_VALUE"""),"JavaScript")</f>
        <v>JavaScript</v>
      </c>
      <c r="G3415" s="9" t="str">
        <f>IFERROR(__xludf.DUMMYFUNCTION("""COMPUTED_VALUE"""),"C#")</f>
        <v>C#</v>
      </c>
      <c r="H3415" s="9" t="str">
        <f>IFERROR(__xludf.DUMMYFUNCTION("""COMPUTED_VALUE"""),"SQL")</f>
        <v>SQL</v>
      </c>
      <c r="I3415" s="9" t="str">
        <f>IFERROR(__xludf.DUMMYFUNCTION("""COMPUTED_VALUE"""),"C#")</f>
        <v>C#</v>
      </c>
      <c r="J3415" s="9" t="str">
        <f>IFERROR(__xludf.DUMMYFUNCTION("""COMPUTED_VALUE"""),"HTML/CSS")</f>
        <v>HTML/CSS</v>
      </c>
      <c r="K3415" s="9" t="str">
        <f>IFERROR(__xludf.DUMMYFUNCTION("""COMPUTED_VALUE"""),"C++")</f>
        <v>C++</v>
      </c>
      <c r="L3415" s="9" t="str">
        <f>IFERROR(__xludf.DUMMYFUNCTION("""COMPUTED_VALUE"""),"JavaScript")</f>
        <v>JavaScript</v>
      </c>
      <c r="M3415" s="9" t="s">
        <v>22</v>
      </c>
    </row>
    <row r="3416" ht="15.75" customHeight="1">
      <c r="A3416" s="7"/>
      <c r="B3416" s="7" t="str">
        <f>IFERROR(__xludf.DUMMYFUNCTION("""COMPUTED_VALUE"""),"C#;HTML/CSS;JavaScript;SQL")</f>
        <v>C#;HTML/CSS;JavaScript;SQL</v>
      </c>
      <c r="C3416" s="9" t="str">
        <f>IFERROR(__xludf.DUMMYFUNCTION("""COMPUTED_VALUE"""),"SQL")</f>
        <v>SQL</v>
      </c>
      <c r="D3416" s="9" t="str">
        <f>IFERROR(__xludf.DUMMYFUNCTION("""COMPUTED_VALUE"""),"JavaScript")</f>
        <v>JavaScript</v>
      </c>
      <c r="E3416" s="9" t="str">
        <f>IFERROR(__xludf.DUMMYFUNCTION("""COMPUTED_VALUE"""),"C")</f>
        <v>C</v>
      </c>
      <c r="F3416" s="9" t="str">
        <f>IFERROR(__xludf.DUMMYFUNCTION("""COMPUTED_VALUE"""),"PHP")</f>
        <v>PHP</v>
      </c>
      <c r="G3416" s="9" t="str">
        <f>IFERROR(__xludf.DUMMYFUNCTION("""COMPUTED_VALUE"""),"C")</f>
        <v>C</v>
      </c>
      <c r="H3416" s="9" t="str">
        <f>IFERROR(__xludf.DUMMYFUNCTION("""COMPUTED_VALUE"""),"HTML/CSS")</f>
        <v>HTML/CSS</v>
      </c>
      <c r="I3416" s="9" t="str">
        <f>IFERROR(__xludf.DUMMYFUNCTION("""COMPUTED_VALUE"""),"HTML/CSS")</f>
        <v>HTML/CSS</v>
      </c>
      <c r="J3416" s="9" t="str">
        <f>IFERROR(__xludf.DUMMYFUNCTION("""COMPUTED_VALUE"""),"JavaScript")</f>
        <v>JavaScript</v>
      </c>
      <c r="K3416" s="9" t="str">
        <f>IFERROR(__xludf.DUMMYFUNCTION("""COMPUTED_VALUE"""),"HTML/CSS")</f>
        <v>HTML/CSS</v>
      </c>
      <c r="L3416" s="9" t="str">
        <f>IFERROR(__xludf.DUMMYFUNCTION("""COMPUTED_VALUE"""),"C#")</f>
        <v>C#</v>
      </c>
      <c r="M3416" s="9" t="s">
        <v>27</v>
      </c>
    </row>
    <row r="3417" ht="15.75" customHeight="1">
      <c r="A3417" s="7"/>
      <c r="B3417" s="7" t="str">
        <f>IFERROR(__xludf.DUMMYFUNCTION("""COMPUTED_VALUE"""),"C++;C#;Java;SQL;VBA")</f>
        <v>C++;C#;Java;SQL;VBA</v>
      </c>
      <c r="C3417" s="9" t="str">
        <f>IFERROR(__xludf.DUMMYFUNCTION("""COMPUTED_VALUE"""),"C#")</f>
        <v>C#</v>
      </c>
      <c r="D3417" s="9" t="str">
        <f>IFERROR(__xludf.DUMMYFUNCTION("""COMPUTED_VALUE"""),"PHP")</f>
        <v>PHP</v>
      </c>
      <c r="E3417" s="9" t="str">
        <f>IFERROR(__xludf.DUMMYFUNCTION("""COMPUTED_VALUE"""),"HTML/CSS")</f>
        <v>HTML/CSS</v>
      </c>
      <c r="F3417" s="9" t="str">
        <f>IFERROR(__xludf.DUMMYFUNCTION("""COMPUTED_VALUE"""),"SQL")</f>
        <v>SQL</v>
      </c>
      <c r="G3417" s="9" t="str">
        <f>IFERROR(__xludf.DUMMYFUNCTION("""COMPUTED_VALUE"""),"HTML/CSS")</f>
        <v>HTML/CSS</v>
      </c>
      <c r="H3417" s="9" t="str">
        <f>IFERROR(__xludf.DUMMYFUNCTION("""COMPUTED_VALUE"""),"JavaScript")</f>
        <v>JavaScript</v>
      </c>
      <c r="I3417" s="9" t="str">
        <f>IFERROR(__xludf.DUMMYFUNCTION("""COMPUTED_VALUE"""),"JavaScript")</f>
        <v>JavaScript</v>
      </c>
      <c r="J3417" s="9" t="str">
        <f>IFERROR(__xludf.DUMMYFUNCTION("""COMPUTED_VALUE"""),"Python")</f>
        <v>Python</v>
      </c>
      <c r="K3417" s="9" t="str">
        <f>IFERROR(__xludf.DUMMYFUNCTION("""COMPUTED_VALUE"""),"Java")</f>
        <v>Java</v>
      </c>
      <c r="L3417" s="9" t="str">
        <f>IFERROR(__xludf.DUMMYFUNCTION("""COMPUTED_VALUE"""),"HTML/CSS")</f>
        <v>HTML/CSS</v>
      </c>
      <c r="M3417" s="9" t="s">
        <v>26</v>
      </c>
    </row>
    <row r="3418" ht="15.75" customHeight="1">
      <c r="A3418" s="7"/>
      <c r="B3418" s="7" t="str">
        <f>IFERROR(__xludf.DUMMYFUNCTION("""COMPUTED_VALUE"""),"C#;HTML/CSS;JavaScript;SQL;TypeScript")</f>
        <v>C#;HTML/CSS;JavaScript;SQL;TypeScript</v>
      </c>
      <c r="C3418" s="9" t="str">
        <f>IFERROR(__xludf.DUMMYFUNCTION("""COMPUTED_VALUE"""),"Go")</f>
        <v>Go</v>
      </c>
      <c r="D3418" s="9" t="str">
        <f>IFERROR(__xludf.DUMMYFUNCTION("""COMPUTED_VALUE"""),"Python")</f>
        <v>Python</v>
      </c>
      <c r="E3418" s="9" t="str">
        <f>IFERROR(__xludf.DUMMYFUNCTION("""COMPUTED_VALUE"""),"Java")</f>
        <v>Java</v>
      </c>
      <c r="F3418" s="9" t="str">
        <f>IFERROR(__xludf.DUMMYFUNCTION("""COMPUTED_VALUE"""),"Bash/Shell/PowerShell")</f>
        <v>Bash/Shell/PowerShell</v>
      </c>
      <c r="G3418" s="9" t="str">
        <f>IFERROR(__xludf.DUMMYFUNCTION("""COMPUTED_VALUE"""),"JavaScript")</f>
        <v>JavaScript</v>
      </c>
      <c r="H3418" s="9" t="str">
        <f>IFERROR(__xludf.DUMMYFUNCTION("""COMPUTED_VALUE"""),"PHP")</f>
        <v>PHP</v>
      </c>
      <c r="I3418" s="9" t="str">
        <f>IFERROR(__xludf.DUMMYFUNCTION("""COMPUTED_VALUE"""),"SQL")</f>
        <v>SQL</v>
      </c>
      <c r="J3418" s="9" t="str">
        <f>IFERROR(__xludf.DUMMYFUNCTION("""COMPUTED_VALUE"""),"Ruby")</f>
        <v>Ruby</v>
      </c>
      <c r="K3418" s="9" t="str">
        <f>IFERROR(__xludf.DUMMYFUNCTION("""COMPUTED_VALUE"""),"JavaScript")</f>
        <v>JavaScript</v>
      </c>
      <c r="L3418" s="9" t="str">
        <f>IFERROR(__xludf.DUMMYFUNCTION("""COMPUTED_VALUE"""),"JavaScript")</f>
        <v>JavaScript</v>
      </c>
      <c r="M3418" s="9" t="s">
        <v>36</v>
      </c>
    </row>
    <row r="3419" ht="15.75" customHeight="1">
      <c r="A3419" s="7"/>
      <c r="B3419" s="7" t="str">
        <f>IFERROR(__xludf.DUMMYFUNCTION("""COMPUTED_VALUE"""),"Bash/Shell/PowerShell;C#;HTML/CSS;JavaScript")</f>
        <v>Bash/Shell/PowerShell;C#;HTML/CSS;JavaScript</v>
      </c>
      <c r="C3419" s="9" t="str">
        <f>IFERROR(__xludf.DUMMYFUNCTION("""COMPUTED_VALUE"""),"HTML/CSS")</f>
        <v>HTML/CSS</v>
      </c>
      <c r="D3419" s="9" t="str">
        <f>IFERROR(__xludf.DUMMYFUNCTION("""COMPUTED_VALUE"""),"SQL")</f>
        <v>SQL</v>
      </c>
      <c r="E3419" s="9" t="str">
        <f>IFERROR(__xludf.DUMMYFUNCTION("""COMPUTED_VALUE"""),"JavaScript")</f>
        <v>JavaScript</v>
      </c>
      <c r="F3419" s="9" t="str">
        <f>IFERROR(__xludf.DUMMYFUNCTION("""COMPUTED_VALUE"""),"C#")</f>
        <v>C#</v>
      </c>
      <c r="G3419" s="9" t="str">
        <f>IFERROR(__xludf.DUMMYFUNCTION("""COMPUTED_VALUE"""),"HTML/CSS")</f>
        <v>HTML/CSS</v>
      </c>
      <c r="H3419" s="9" t="str">
        <f>IFERROR(__xludf.DUMMYFUNCTION("""COMPUTED_VALUE"""),"SQL")</f>
        <v>SQL</v>
      </c>
      <c r="I3419" s="9" t="str">
        <f>IFERROR(__xludf.DUMMYFUNCTION("""COMPUTED_VALUE"""),"TypeScript")</f>
        <v>TypeScript</v>
      </c>
      <c r="J3419" s="9" t="str">
        <f>IFERROR(__xludf.DUMMYFUNCTION("""COMPUTED_VALUE"""),"HTML/CSS")</f>
        <v>HTML/CSS</v>
      </c>
      <c r="K3419" s="9" t="str">
        <f>IFERROR(__xludf.DUMMYFUNCTION("""COMPUTED_VALUE"""),"C#")</f>
        <v>C#</v>
      </c>
      <c r="L3419" s="9" t="str">
        <f>IFERROR(__xludf.DUMMYFUNCTION("""COMPUTED_VALUE"""),"PHP")</f>
        <v>PHP</v>
      </c>
      <c r="M3419" s="9" t="s">
        <v>24</v>
      </c>
    </row>
    <row r="3420" ht="15.75" customHeight="1">
      <c r="A3420" s="7"/>
      <c r="B3420" s="7" t="str">
        <f>IFERROR(__xludf.DUMMYFUNCTION("""COMPUTED_VALUE"""),"Bash/Shell/PowerShell;C;C++;Java;JavaScript;PHP;Python;SQL")</f>
        <v>Bash/Shell/PowerShell;C;C++;Java;JavaScript;PHP;Python;SQL</v>
      </c>
      <c r="C3420" s="9" t="str">
        <f>IFERROR(__xludf.DUMMYFUNCTION("""COMPUTED_VALUE"""),"Java")</f>
        <v>Java</v>
      </c>
      <c r="D3420" s="9" t="str">
        <f>IFERROR(__xludf.DUMMYFUNCTION("""COMPUTED_VALUE"""),"Bash/Shell/PowerShell")</f>
        <v>Bash/Shell/PowerShell</v>
      </c>
      <c r="E3420" s="9" t="str">
        <f>IFERROR(__xludf.DUMMYFUNCTION("""COMPUTED_VALUE"""),"PHP")</f>
        <v>PHP</v>
      </c>
      <c r="F3420" s="9" t="str">
        <f>IFERROR(__xludf.DUMMYFUNCTION("""COMPUTED_VALUE"""),"HTML/CSS")</f>
        <v>HTML/CSS</v>
      </c>
      <c r="G3420" s="9" t="str">
        <f>IFERROR(__xludf.DUMMYFUNCTION("""COMPUTED_VALUE"""),"JavaScript")</f>
        <v>JavaScript</v>
      </c>
      <c r="H3420" s="9" t="str">
        <f>IFERROR(__xludf.DUMMYFUNCTION("""COMPUTED_VALUE"""),"HTML/CSS")</f>
        <v>HTML/CSS</v>
      </c>
      <c r="I3420" s="9" t="str">
        <f>IFERROR(__xludf.DUMMYFUNCTION("""COMPUTED_VALUE"""),"HTML/CSS")</f>
        <v>HTML/CSS</v>
      </c>
      <c r="J3420" s="9" t="str">
        <f>IFERROR(__xludf.DUMMYFUNCTION("""COMPUTED_VALUE"""),"Bash/Shell/PowerShell")</f>
        <v>Bash/Shell/PowerShell</v>
      </c>
      <c r="K3420" s="9" t="str">
        <f>IFERROR(__xludf.DUMMYFUNCTION("""COMPUTED_VALUE"""),"HTML/CSS")</f>
        <v>HTML/CSS</v>
      </c>
      <c r="L3420" s="9" t="str">
        <f>IFERROR(__xludf.DUMMYFUNCTION("""COMPUTED_VALUE"""),"Other(s):")</f>
        <v>Other(s):</v>
      </c>
      <c r="M3420" s="9" t="s">
        <v>20</v>
      </c>
    </row>
    <row r="3421" ht="15.75" customHeight="1">
      <c r="A3421" s="7"/>
      <c r="B3421" s="7" t="str">
        <f>IFERROR(__xludf.DUMMYFUNCTION("""COMPUTED_VALUE"""),"Objective-C;SQL;Swift")</f>
        <v>Objective-C;SQL;Swift</v>
      </c>
      <c r="C3421" s="9" t="str">
        <f>IFERROR(__xludf.DUMMYFUNCTION("""COMPUTED_VALUE"""),"JavaScript")</f>
        <v>JavaScript</v>
      </c>
      <c r="D3421" s="9" t="str">
        <f>IFERROR(__xludf.DUMMYFUNCTION("""COMPUTED_VALUE"""),"C#")</f>
        <v>C#</v>
      </c>
      <c r="E3421" s="9" t="str">
        <f>IFERROR(__xludf.DUMMYFUNCTION("""COMPUTED_VALUE"""),"Python")</f>
        <v>Python</v>
      </c>
      <c r="F3421" s="9" t="str">
        <f>IFERROR(__xludf.DUMMYFUNCTION("""COMPUTED_VALUE"""),"JavaScript")</f>
        <v>JavaScript</v>
      </c>
      <c r="G3421" s="9" t="str">
        <f>IFERROR(__xludf.DUMMYFUNCTION("""COMPUTED_VALUE"""),"PHP")</f>
        <v>PHP</v>
      </c>
      <c r="H3421" s="9" t="str">
        <f>IFERROR(__xludf.DUMMYFUNCTION("""COMPUTED_VALUE"""),"JavaScript")</f>
        <v>JavaScript</v>
      </c>
      <c r="I3421" s="9" t="str">
        <f>IFERROR(__xludf.DUMMYFUNCTION("""COMPUTED_VALUE"""),"JavaScript")</f>
        <v>JavaScript</v>
      </c>
      <c r="J3421" s="9" t="str">
        <f>IFERROR(__xludf.DUMMYFUNCTION("""COMPUTED_VALUE"""),"C#")</f>
        <v>C#</v>
      </c>
      <c r="K3421" s="9" t="str">
        <f>IFERROR(__xludf.DUMMYFUNCTION("""COMPUTED_VALUE"""),"JavaScript")</f>
        <v>JavaScript</v>
      </c>
      <c r="L3421" s="9" t="str">
        <f>IFERROR(__xludf.DUMMYFUNCTION("""COMPUTED_VALUE"""),"Bash/Shell/PowerShell")</f>
        <v>Bash/Shell/PowerShell</v>
      </c>
      <c r="M3421" s="9" t="s">
        <v>21</v>
      </c>
    </row>
    <row r="3422" ht="15.75" customHeight="1">
      <c r="A3422" s="7"/>
      <c r="B3422" s="7" t="str">
        <f>IFERROR(__xludf.DUMMYFUNCTION("""COMPUTED_VALUE"""),"C#;HTML/CSS;Java;JavaScript;PHP;SQL;Other(s):")</f>
        <v>C#;HTML/CSS;Java;JavaScript;PHP;SQL;Other(s):</v>
      </c>
      <c r="C3422" s="9" t="str">
        <f>IFERROR(__xludf.DUMMYFUNCTION("""COMPUTED_VALUE"""),"PHP")</f>
        <v>PHP</v>
      </c>
      <c r="D3422" s="9" t="str">
        <f>IFERROR(__xludf.DUMMYFUNCTION("""COMPUTED_VALUE"""),"JavaScript")</f>
        <v>JavaScript</v>
      </c>
      <c r="E3422" s="9" t="str">
        <f>IFERROR(__xludf.DUMMYFUNCTION("""COMPUTED_VALUE"""),"SQL")</f>
        <v>SQL</v>
      </c>
      <c r="F3422" s="9" t="str">
        <f>IFERROR(__xludf.DUMMYFUNCTION("""COMPUTED_VALUE"""),"SQL")</f>
        <v>SQL</v>
      </c>
      <c r="G3422" s="9" t="str">
        <f>IFERROR(__xludf.DUMMYFUNCTION("""COMPUTED_VALUE"""),"Ruby")</f>
        <v>Ruby</v>
      </c>
      <c r="H3422" s="9" t="str">
        <f>IFERROR(__xludf.DUMMYFUNCTION("""COMPUTED_VALUE"""),"Python")</f>
        <v>Python</v>
      </c>
      <c r="I3422" s="9" t="str">
        <f>IFERROR(__xludf.DUMMYFUNCTION("""COMPUTED_VALUE"""),"PHP")</f>
        <v>PHP</v>
      </c>
      <c r="J3422" s="9" t="str">
        <f>IFERROR(__xludf.DUMMYFUNCTION("""COMPUTED_VALUE"""),"HTML/CSS")</f>
        <v>HTML/CSS</v>
      </c>
      <c r="K3422" s="9" t="str">
        <f>IFERROR(__xludf.DUMMYFUNCTION("""COMPUTED_VALUE"""),"TypeScript")</f>
        <v>TypeScript</v>
      </c>
      <c r="L3422" s="9" t="str">
        <f>IFERROR(__xludf.DUMMYFUNCTION("""COMPUTED_VALUE"""),"HTML/CSS")</f>
        <v>HTML/CSS</v>
      </c>
      <c r="M3422" s="9" t="s">
        <v>37</v>
      </c>
    </row>
    <row r="3423" ht="15.75" customHeight="1">
      <c r="A3423" s="7"/>
      <c r="B3423" s="7" t="str">
        <f>IFERROR(__xludf.DUMMYFUNCTION("""COMPUTED_VALUE"""),"Assembly;C;C++;C#;Java;PHP;Ruby;SQL")</f>
        <v>Assembly;C;C++;C#;Java;PHP;Ruby;SQL</v>
      </c>
      <c r="C3423" s="9" t="str">
        <f>IFERROR(__xludf.DUMMYFUNCTION("""COMPUTED_VALUE"""),"Python")</f>
        <v>Python</v>
      </c>
      <c r="D3423" s="9" t="str">
        <f>IFERROR(__xludf.DUMMYFUNCTION("""COMPUTED_VALUE"""),"SQL")</f>
        <v>SQL</v>
      </c>
      <c r="E3423" s="9" t="str">
        <f>IFERROR(__xludf.DUMMYFUNCTION("""COMPUTED_VALUE"""),"C++")</f>
        <v>C++</v>
      </c>
      <c r="F3423" s="9" t="str">
        <f>IFERROR(__xludf.DUMMYFUNCTION("""COMPUTED_VALUE"""),"HTML/CSS")</f>
        <v>HTML/CSS</v>
      </c>
      <c r="G3423" s="9" t="str">
        <f>IFERROR(__xludf.DUMMYFUNCTION("""COMPUTED_VALUE"""),"SQL")</f>
        <v>SQL</v>
      </c>
      <c r="H3423" s="9" t="str">
        <f>IFERROR(__xludf.DUMMYFUNCTION("""COMPUTED_VALUE"""),"TypeScript")</f>
        <v>TypeScript</v>
      </c>
      <c r="I3423" s="9" t="str">
        <f>IFERROR(__xludf.DUMMYFUNCTION("""COMPUTED_VALUE"""),"SQL")</f>
        <v>SQL</v>
      </c>
      <c r="J3423" s="9" t="str">
        <f>IFERROR(__xludf.DUMMYFUNCTION("""COMPUTED_VALUE"""),"Java")</f>
        <v>Java</v>
      </c>
      <c r="K3423" s="9" t="str">
        <f>IFERROR(__xludf.DUMMYFUNCTION("""COMPUTED_VALUE"""),"C#")</f>
        <v>C#</v>
      </c>
      <c r="L3423" s="9" t="str">
        <f>IFERROR(__xludf.DUMMYFUNCTION("""COMPUTED_VALUE"""),"Java")</f>
        <v>Java</v>
      </c>
      <c r="M3423" s="9" t="s">
        <v>22</v>
      </c>
    </row>
    <row r="3424" ht="15.75" customHeight="1">
      <c r="A3424" s="7"/>
      <c r="B3424" s="7" t="str">
        <f>IFERROR(__xludf.DUMMYFUNCTION("""COMPUTED_VALUE"""),"HTML/CSS;JavaScript;PHP;SQL")</f>
        <v>HTML/CSS;JavaScript;PHP;SQL</v>
      </c>
      <c r="C3424" s="9" t="str">
        <f>IFERROR(__xludf.DUMMYFUNCTION("""COMPUTED_VALUE"""),"SQL")</f>
        <v>SQL</v>
      </c>
      <c r="D3424" s="9" t="str">
        <f>IFERROR(__xludf.DUMMYFUNCTION("""COMPUTED_VALUE"""),"TypeScript")</f>
        <v>TypeScript</v>
      </c>
      <c r="E3424" s="9" t="str">
        <f>IFERROR(__xludf.DUMMYFUNCTION("""COMPUTED_VALUE"""),"Objective-C")</f>
        <v>Objective-C</v>
      </c>
      <c r="F3424" s="9" t="str">
        <f>IFERROR(__xludf.DUMMYFUNCTION("""COMPUTED_VALUE"""),"JavaScript")</f>
        <v>JavaScript</v>
      </c>
      <c r="G3424" s="9" t="str">
        <f>IFERROR(__xludf.DUMMYFUNCTION("""COMPUTED_VALUE"""),"C#")</f>
        <v>C#</v>
      </c>
      <c r="H3424" s="9" t="str">
        <f>IFERROR(__xludf.DUMMYFUNCTION("""COMPUTED_VALUE"""),"C")</f>
        <v>C</v>
      </c>
      <c r="I3424" s="9" t="str">
        <f>IFERROR(__xludf.DUMMYFUNCTION("""COMPUTED_VALUE"""),"JavaScript")</f>
        <v>JavaScript</v>
      </c>
      <c r="J3424" s="9" t="str">
        <f>IFERROR(__xludf.DUMMYFUNCTION("""COMPUTED_VALUE"""),"JavaScript")</f>
        <v>JavaScript</v>
      </c>
      <c r="K3424" s="9" t="str">
        <f>IFERROR(__xludf.DUMMYFUNCTION("""COMPUTED_VALUE"""),"JavaScript")</f>
        <v>JavaScript</v>
      </c>
      <c r="L3424" s="9" t="str">
        <f>IFERROR(__xludf.DUMMYFUNCTION("""COMPUTED_VALUE"""),"JavaScript")</f>
        <v>JavaScript</v>
      </c>
      <c r="M3424" s="9" t="s">
        <v>27</v>
      </c>
    </row>
    <row r="3425" ht="15.75" customHeight="1">
      <c r="A3425" s="7"/>
      <c r="B3425" s="7" t="str">
        <f>IFERROR(__xludf.DUMMYFUNCTION("""COMPUTED_VALUE"""),"HTML/CSS;JavaScript;Python;SQL")</f>
        <v>HTML/CSS;JavaScript;Python;SQL</v>
      </c>
      <c r="C3425" s="9" t="str">
        <f>IFERROR(__xludf.DUMMYFUNCTION("""COMPUTED_VALUE"""),"VBA")</f>
        <v>VBA</v>
      </c>
      <c r="D3425" s="9" t="str">
        <f>IFERROR(__xludf.DUMMYFUNCTION("""COMPUTED_VALUE"""),"Bash/Shell/PowerShell")</f>
        <v>Bash/Shell/PowerShell</v>
      </c>
      <c r="E3425" s="9" t="str">
        <f>IFERROR(__xludf.DUMMYFUNCTION("""COMPUTED_VALUE"""),"Swift")</f>
        <v>Swift</v>
      </c>
      <c r="F3425" s="9" t="str">
        <f>IFERROR(__xludf.DUMMYFUNCTION("""COMPUTED_VALUE"""),"Python")</f>
        <v>Python</v>
      </c>
      <c r="G3425" s="9" t="str">
        <f>IFERROR(__xludf.DUMMYFUNCTION("""COMPUTED_VALUE"""),"HTML/CSS")</f>
        <v>HTML/CSS</v>
      </c>
      <c r="H3425" s="9" t="str">
        <f>IFERROR(__xludf.DUMMYFUNCTION("""COMPUTED_VALUE"""),"C++")</f>
        <v>C++</v>
      </c>
      <c r="I3425" s="9" t="str">
        <f>IFERROR(__xludf.DUMMYFUNCTION("""COMPUTED_VALUE"""),"HTML/CSS")</f>
        <v>HTML/CSS</v>
      </c>
      <c r="J3425" s="9" t="str">
        <f>IFERROR(__xludf.DUMMYFUNCTION("""COMPUTED_VALUE"""),"Kotlin")</f>
        <v>Kotlin</v>
      </c>
      <c r="K3425" s="9" t="str">
        <f>IFERROR(__xludf.DUMMYFUNCTION("""COMPUTED_VALUE"""),"SQL")</f>
        <v>SQL</v>
      </c>
      <c r="L3425" s="9" t="str">
        <f>IFERROR(__xludf.DUMMYFUNCTION("""COMPUTED_VALUE"""),"Python")</f>
        <v>Python</v>
      </c>
      <c r="M3425" s="9" t="s">
        <v>28</v>
      </c>
    </row>
    <row r="3426" ht="15.75" customHeight="1">
      <c r="A3426" s="7"/>
      <c r="B3426" s="7" t="str">
        <f>IFERROR(__xludf.DUMMYFUNCTION("""COMPUTED_VALUE"""),"Bash/Shell/PowerShell;C#;SQL;VBA")</f>
        <v>Bash/Shell/PowerShell;C#;SQL;VBA</v>
      </c>
      <c r="C3426" s="9" t="str">
        <f>IFERROR(__xludf.DUMMYFUNCTION("""COMPUTED_VALUE"""),"C#")</f>
        <v>C#</v>
      </c>
      <c r="D3426" s="9" t="str">
        <f>IFERROR(__xludf.DUMMYFUNCTION("""COMPUTED_VALUE"""),"C#")</f>
        <v>C#</v>
      </c>
      <c r="E3426" s="9" t="str">
        <f>IFERROR(__xludf.DUMMYFUNCTION("""COMPUTED_VALUE"""),"Python")</f>
        <v>Python</v>
      </c>
      <c r="F3426" s="9" t="str">
        <f>IFERROR(__xludf.DUMMYFUNCTION("""COMPUTED_VALUE"""),"Ruby")</f>
        <v>Ruby</v>
      </c>
      <c r="G3426" s="9" t="str">
        <f>IFERROR(__xludf.DUMMYFUNCTION("""COMPUTED_VALUE"""),"JavaScript")</f>
        <v>JavaScript</v>
      </c>
      <c r="H3426" s="9" t="str">
        <f>IFERROR(__xludf.DUMMYFUNCTION("""COMPUTED_VALUE"""),"C#")</f>
        <v>C#</v>
      </c>
      <c r="I3426" s="9" t="str">
        <f>IFERROR(__xludf.DUMMYFUNCTION("""COMPUTED_VALUE"""),"JavaScript")</f>
        <v>JavaScript</v>
      </c>
      <c r="J3426" s="9" t="str">
        <f>IFERROR(__xludf.DUMMYFUNCTION("""COMPUTED_VALUE"""),"PHP")</f>
        <v>PHP</v>
      </c>
      <c r="K3426" s="9" t="str">
        <f>IFERROR(__xludf.DUMMYFUNCTION("""COMPUTED_VALUE"""),"Bash/Shell/PowerShell")</f>
        <v>Bash/Shell/PowerShell</v>
      </c>
      <c r="L3426" s="9" t="str">
        <f>IFERROR(__xludf.DUMMYFUNCTION("""COMPUTED_VALUE"""),"R")</f>
        <v>R</v>
      </c>
      <c r="M3426" s="9" t="s">
        <v>26</v>
      </c>
    </row>
    <row r="3427" ht="15.75" customHeight="1">
      <c r="A3427" s="7"/>
      <c r="B3427" s="7" t="str">
        <f>IFERROR(__xludf.DUMMYFUNCTION("""COMPUTED_VALUE"""),"C#")</f>
        <v>C#</v>
      </c>
      <c r="C3427" s="9" t="str">
        <f>IFERROR(__xludf.DUMMYFUNCTION("""COMPUTED_VALUE"""),"HTML/CSS")</f>
        <v>HTML/CSS</v>
      </c>
      <c r="D3427" s="9" t="str">
        <f>IFERROR(__xludf.DUMMYFUNCTION("""COMPUTED_VALUE"""),"JavaScript")</f>
        <v>JavaScript</v>
      </c>
      <c r="E3427" s="9" t="str">
        <f>IFERROR(__xludf.DUMMYFUNCTION("""COMPUTED_VALUE"""),"Bash/Shell/PowerShell")</f>
        <v>Bash/Shell/PowerShell</v>
      </c>
      <c r="F3427" s="9" t="str">
        <f>IFERROR(__xludf.DUMMYFUNCTION("""COMPUTED_VALUE"""),"SQL")</f>
        <v>SQL</v>
      </c>
      <c r="G3427" s="9" t="str">
        <f>IFERROR(__xludf.DUMMYFUNCTION("""COMPUTED_VALUE"""),"SQL")</f>
        <v>SQL</v>
      </c>
      <c r="H3427" s="9" t="str">
        <f>IFERROR(__xludf.DUMMYFUNCTION("""COMPUTED_VALUE"""),"HTML/CSS")</f>
        <v>HTML/CSS</v>
      </c>
      <c r="I3427" s="9" t="str">
        <f>IFERROR(__xludf.DUMMYFUNCTION("""COMPUTED_VALUE"""),"PHP")</f>
        <v>PHP</v>
      </c>
      <c r="J3427" s="9" t="str">
        <f>IFERROR(__xludf.DUMMYFUNCTION("""COMPUTED_VALUE"""),"SQL")</f>
        <v>SQL</v>
      </c>
      <c r="K3427" s="9" t="str">
        <f>IFERROR(__xludf.DUMMYFUNCTION("""COMPUTED_VALUE"""),"HTML/CSS")</f>
        <v>HTML/CSS</v>
      </c>
      <c r="L3427" s="9" t="str">
        <f>IFERROR(__xludf.DUMMYFUNCTION("""COMPUTED_VALUE"""),"Scala")</f>
        <v>Scala</v>
      </c>
      <c r="M3427" s="9" t="s">
        <v>24</v>
      </c>
    </row>
    <row r="3428" ht="15.75" customHeight="1">
      <c r="A3428" s="7"/>
      <c r="B3428" s="7" t="str">
        <f>IFERROR(__xludf.DUMMYFUNCTION("""COMPUTED_VALUE"""),"Python")</f>
        <v>Python</v>
      </c>
      <c r="C3428" s="9" t="str">
        <f>IFERROR(__xludf.DUMMYFUNCTION("""COMPUTED_VALUE"""),"JavaScript")</f>
        <v>JavaScript</v>
      </c>
      <c r="D3428" s="9" t="str">
        <f>IFERROR(__xludf.DUMMYFUNCTION("""COMPUTED_VALUE"""),"R")</f>
        <v>R</v>
      </c>
      <c r="E3428" s="9" t="str">
        <f>IFERROR(__xludf.DUMMYFUNCTION("""COMPUTED_VALUE"""),"C")</f>
        <v>C</v>
      </c>
      <c r="F3428" s="9" t="str">
        <f>IFERROR(__xludf.DUMMYFUNCTION("""COMPUTED_VALUE"""),"HTML/CSS")</f>
        <v>HTML/CSS</v>
      </c>
      <c r="G3428" s="9" t="str">
        <f>IFERROR(__xludf.DUMMYFUNCTION("""COMPUTED_VALUE"""),"TypeScript")</f>
        <v>TypeScript</v>
      </c>
      <c r="H3428" s="9" t="str">
        <f>IFERROR(__xludf.DUMMYFUNCTION("""COMPUTED_VALUE"""),"Java")</f>
        <v>Java</v>
      </c>
      <c r="I3428" s="9" t="str">
        <f>IFERROR(__xludf.DUMMYFUNCTION("""COMPUTED_VALUE"""),"JavaScript")</f>
        <v>JavaScript</v>
      </c>
      <c r="J3428" s="9" t="str">
        <f>IFERROR(__xludf.DUMMYFUNCTION("""COMPUTED_VALUE"""),"Other(s):")</f>
        <v>Other(s):</v>
      </c>
      <c r="K3428" s="9" t="str">
        <f>IFERROR(__xludf.DUMMYFUNCTION("""COMPUTED_VALUE"""),"Java")</f>
        <v>Java</v>
      </c>
      <c r="L3428" s="9" t="str">
        <f>IFERROR(__xludf.DUMMYFUNCTION("""COMPUTED_VALUE"""),"SQL")</f>
        <v>SQL</v>
      </c>
      <c r="M3428" s="9" t="s">
        <v>21</v>
      </c>
    </row>
    <row r="3429" ht="15.75" customHeight="1">
      <c r="A3429" s="7"/>
      <c r="B3429" s="7" t="str">
        <f>IFERROR(__xludf.DUMMYFUNCTION("""COMPUTED_VALUE"""),"Bash/Shell/PowerShell;C#;HTML/CSS;JavaScript;SQL;TypeScript")</f>
        <v>Bash/Shell/PowerShell;C#;HTML/CSS;JavaScript;SQL;TypeScript</v>
      </c>
      <c r="C3429" s="9" t="str">
        <f>IFERROR(__xludf.DUMMYFUNCTION("""COMPUTED_VALUE"""),"TypeScript")</f>
        <v>TypeScript</v>
      </c>
      <c r="D3429" s="9" t="str">
        <f>IFERROR(__xludf.DUMMYFUNCTION("""COMPUTED_VALUE"""),"Assembly")</f>
        <v>Assembly</v>
      </c>
      <c r="E3429" s="9" t="str">
        <f>IFERROR(__xludf.DUMMYFUNCTION("""COMPUTED_VALUE"""),"C++")</f>
        <v>C++</v>
      </c>
      <c r="F3429" s="9" t="str">
        <f>IFERROR(__xludf.DUMMYFUNCTION("""COMPUTED_VALUE"""),"JavaScript")</f>
        <v>JavaScript</v>
      </c>
      <c r="G3429" s="9" t="str">
        <f>IFERROR(__xludf.DUMMYFUNCTION("""COMPUTED_VALUE"""),"C#")</f>
        <v>C#</v>
      </c>
      <c r="H3429" s="9" t="str">
        <f>IFERROR(__xludf.DUMMYFUNCTION("""COMPUTED_VALUE"""),"JavaScript")</f>
        <v>JavaScript</v>
      </c>
      <c r="I3429" s="9" t="str">
        <f>IFERROR(__xludf.DUMMYFUNCTION("""COMPUTED_VALUE"""),"Python")</f>
        <v>Python</v>
      </c>
      <c r="J3429" s="9" t="str">
        <f>IFERROR(__xludf.DUMMYFUNCTION("""COMPUTED_VALUE"""),"Bash/Shell/PowerShell")</f>
        <v>Bash/Shell/PowerShell</v>
      </c>
      <c r="K3429" s="9" t="str">
        <f>IFERROR(__xludf.DUMMYFUNCTION("""COMPUTED_VALUE"""),"JavaScript")</f>
        <v>JavaScript</v>
      </c>
      <c r="L3429" s="9" t="str">
        <f>IFERROR(__xludf.DUMMYFUNCTION("""COMPUTED_VALUE"""),"TypeScript")</f>
        <v>TypeScript</v>
      </c>
      <c r="M3429" s="9" t="s">
        <v>33</v>
      </c>
    </row>
    <row r="3430" ht="15.75" customHeight="1">
      <c r="A3430" s="7"/>
      <c r="B3430" s="7" t="str">
        <f>IFERROR(__xludf.DUMMYFUNCTION("""COMPUTED_VALUE"""),"C;C++;HTML/CSS;Java;JavaScript;PHP;SQL")</f>
        <v>C;C++;HTML/CSS;Java;JavaScript;PHP;SQL</v>
      </c>
      <c r="C3430" s="9" t="str">
        <f>IFERROR(__xludf.DUMMYFUNCTION("""COMPUTED_VALUE"""),"C#")</f>
        <v>C#</v>
      </c>
      <c r="D3430" s="9" t="str">
        <f>IFERROR(__xludf.DUMMYFUNCTION("""COMPUTED_VALUE"""),"C#")</f>
        <v>C#</v>
      </c>
      <c r="E3430" s="9" t="str">
        <f>IFERROR(__xludf.DUMMYFUNCTION("""COMPUTED_VALUE"""),"Dart")</f>
        <v>Dart</v>
      </c>
      <c r="F3430" s="9" t="str">
        <f>IFERROR(__xludf.DUMMYFUNCTION("""COMPUTED_VALUE"""),"Python")</f>
        <v>Python</v>
      </c>
      <c r="G3430" s="9" t="str">
        <f>IFERROR(__xludf.DUMMYFUNCTION("""COMPUTED_VALUE"""),"HTML/CSS")</f>
        <v>HTML/CSS</v>
      </c>
      <c r="H3430" s="9" t="str">
        <f>IFERROR(__xludf.DUMMYFUNCTION("""COMPUTED_VALUE"""),"Python")</f>
        <v>Python</v>
      </c>
      <c r="I3430" s="9" t="str">
        <f>IFERROR(__xludf.DUMMYFUNCTION("""COMPUTED_VALUE"""),"Other(s):")</f>
        <v>Other(s):</v>
      </c>
      <c r="J3430" s="9" t="str">
        <f>IFERROR(__xludf.DUMMYFUNCTION("""COMPUTED_VALUE"""),"HTML/CSS")</f>
        <v>HTML/CSS</v>
      </c>
      <c r="K3430" s="9" t="str">
        <f>IFERROR(__xludf.DUMMYFUNCTION("""COMPUTED_VALUE"""),"Kotlin")</f>
        <v>Kotlin</v>
      </c>
      <c r="L3430" s="9" t="str">
        <f>IFERROR(__xludf.DUMMYFUNCTION("""COMPUTED_VALUE"""),"HTML/CSS")</f>
        <v>HTML/CSS</v>
      </c>
      <c r="M3430" s="9" t="s">
        <v>26</v>
      </c>
    </row>
    <row r="3431" ht="15.75" customHeight="1">
      <c r="A3431" s="7"/>
      <c r="B3431" s="7" t="str">
        <f>IFERROR(__xludf.DUMMYFUNCTION("""COMPUTED_VALUE"""),"C#;HTML/CSS;Java;JavaScript;Kotlin;SQL")</f>
        <v>C#;HTML/CSS;Java;JavaScript;Kotlin;SQL</v>
      </c>
      <c r="C3431" s="9" t="str">
        <f>IFERROR(__xludf.DUMMYFUNCTION("""COMPUTED_VALUE"""),"SQL")</f>
        <v>SQL</v>
      </c>
      <c r="D3431" s="9" t="str">
        <f>IFERROR(__xludf.DUMMYFUNCTION("""COMPUTED_VALUE"""),"HTML/CSS")</f>
        <v>HTML/CSS</v>
      </c>
      <c r="E3431" s="9" t="str">
        <f>IFERROR(__xludf.DUMMYFUNCTION("""COMPUTED_VALUE"""),"Go")</f>
        <v>Go</v>
      </c>
      <c r="F3431" s="9" t="str">
        <f>IFERROR(__xludf.DUMMYFUNCTION("""COMPUTED_VALUE"""),"HTML/CSS")</f>
        <v>HTML/CSS</v>
      </c>
      <c r="G3431" s="9" t="str">
        <f>IFERROR(__xludf.DUMMYFUNCTION("""COMPUTED_VALUE"""),"TypeScript")</f>
        <v>TypeScript</v>
      </c>
      <c r="H3431" s="9" t="str">
        <f>IFERROR(__xludf.DUMMYFUNCTION("""COMPUTED_VALUE"""),"SQL")</f>
        <v>SQL</v>
      </c>
      <c r="I3431" s="9" t="str">
        <f>IFERROR(__xludf.DUMMYFUNCTION("""COMPUTED_VALUE"""),"Assembly")</f>
        <v>Assembly</v>
      </c>
      <c r="J3431" s="9" t="str">
        <f>IFERROR(__xludf.DUMMYFUNCTION("""COMPUTED_VALUE"""),"JavaScript")</f>
        <v>JavaScript</v>
      </c>
      <c r="K3431" s="9" t="str">
        <f>IFERROR(__xludf.DUMMYFUNCTION("""COMPUTED_VALUE"""),"PHP")</f>
        <v>PHP</v>
      </c>
      <c r="L3431" s="9" t="str">
        <f>IFERROR(__xludf.DUMMYFUNCTION("""COMPUTED_VALUE"""),"Java")</f>
        <v>Java</v>
      </c>
      <c r="M3431" s="9" t="s">
        <v>27</v>
      </c>
    </row>
    <row r="3432" ht="15.75" customHeight="1">
      <c r="A3432" s="7"/>
      <c r="B3432" s="7" t="str">
        <f>IFERROR(__xludf.DUMMYFUNCTION("""COMPUTED_VALUE"""),"Bash/Shell/PowerShell;HTML/CSS;JavaScript;PHP;Python;SQL;Other(s):")</f>
        <v>Bash/Shell/PowerShell;HTML/CSS;JavaScript;PHP;Python;SQL;Other(s):</v>
      </c>
      <c r="C3432" s="9" t="str">
        <f>IFERROR(__xludf.DUMMYFUNCTION("""COMPUTED_VALUE"""),"Bash/Shell/PowerShell")</f>
        <v>Bash/Shell/PowerShell</v>
      </c>
      <c r="D3432" s="9" t="str">
        <f>IFERROR(__xludf.DUMMYFUNCTION("""COMPUTED_VALUE"""),"Java")</f>
        <v>Java</v>
      </c>
      <c r="E3432" s="9" t="str">
        <f>IFERROR(__xludf.DUMMYFUNCTION("""COMPUTED_VALUE"""),"HTML/CSS")</f>
        <v>HTML/CSS</v>
      </c>
      <c r="F3432" s="9" t="str">
        <f>IFERROR(__xludf.DUMMYFUNCTION("""COMPUTED_VALUE"""),"Java")</f>
        <v>Java</v>
      </c>
      <c r="G3432" s="9" t="str">
        <f>IFERROR(__xludf.DUMMYFUNCTION("""COMPUTED_VALUE"""),"C++")</f>
        <v>C++</v>
      </c>
      <c r="H3432" s="9" t="str">
        <f>IFERROR(__xludf.DUMMYFUNCTION("""COMPUTED_VALUE"""),"VBA")</f>
        <v>VBA</v>
      </c>
      <c r="I3432" s="9" t="str">
        <f>IFERROR(__xludf.DUMMYFUNCTION("""COMPUTED_VALUE"""),"C")</f>
        <v>C</v>
      </c>
      <c r="J3432" s="9" t="str">
        <f>IFERROR(__xludf.DUMMYFUNCTION("""COMPUTED_VALUE"""),"Ruby")</f>
        <v>Ruby</v>
      </c>
      <c r="K3432" s="9" t="str">
        <f>IFERROR(__xludf.DUMMYFUNCTION("""COMPUTED_VALUE"""),"Python")</f>
        <v>Python</v>
      </c>
      <c r="L3432" s="9" t="str">
        <f>IFERROR(__xludf.DUMMYFUNCTION("""COMPUTED_VALUE"""),"HTML/CSS")</f>
        <v>HTML/CSS</v>
      </c>
      <c r="M3432" s="9" t="s">
        <v>30</v>
      </c>
    </row>
    <row r="3433" ht="15.75" customHeight="1">
      <c r="A3433" s="7"/>
      <c r="B3433" s="7" t="str">
        <f>IFERROR(__xludf.DUMMYFUNCTION("""COMPUTED_VALUE"""),"HTML/CSS;JavaScript;TypeScript")</f>
        <v>HTML/CSS;JavaScript;TypeScript</v>
      </c>
      <c r="C3433" s="9" t="str">
        <f>IFERROR(__xludf.DUMMYFUNCTION("""COMPUTED_VALUE"""),"HTML/CSS")</f>
        <v>HTML/CSS</v>
      </c>
      <c r="D3433" s="9" t="str">
        <f>IFERROR(__xludf.DUMMYFUNCTION("""COMPUTED_VALUE"""),"JavaScript")</f>
        <v>JavaScript</v>
      </c>
      <c r="E3433" s="9" t="str">
        <f>IFERROR(__xludf.DUMMYFUNCTION("""COMPUTED_VALUE"""),"Java")</f>
        <v>Java</v>
      </c>
      <c r="F3433" s="9" t="str">
        <f>IFERROR(__xludf.DUMMYFUNCTION("""COMPUTED_VALUE"""),"JavaScript")</f>
        <v>JavaScript</v>
      </c>
      <c r="G3433" s="9" t="str">
        <f>IFERROR(__xludf.DUMMYFUNCTION("""COMPUTED_VALUE"""),"C#")</f>
        <v>C#</v>
      </c>
      <c r="H3433" s="9" t="str">
        <f>IFERROR(__xludf.DUMMYFUNCTION("""COMPUTED_VALUE"""),"C")</f>
        <v>C</v>
      </c>
      <c r="I3433" s="9" t="str">
        <f>IFERROR(__xludf.DUMMYFUNCTION("""COMPUTED_VALUE"""),"C++")</f>
        <v>C++</v>
      </c>
      <c r="J3433" s="9" t="str">
        <f>IFERROR(__xludf.DUMMYFUNCTION("""COMPUTED_VALUE"""),"SQL")</f>
        <v>SQL</v>
      </c>
      <c r="K3433" s="9" t="str">
        <f>IFERROR(__xludf.DUMMYFUNCTION("""COMPUTED_VALUE"""),"Ruby")</f>
        <v>Ruby</v>
      </c>
      <c r="L3433" s="9" t="str">
        <f>IFERROR(__xludf.DUMMYFUNCTION("""COMPUTED_VALUE"""),"JavaScript")</f>
        <v>JavaScript</v>
      </c>
      <c r="M3433" s="9" t="s">
        <v>24</v>
      </c>
    </row>
    <row r="3434" ht="15.75" customHeight="1">
      <c r="A3434" s="7"/>
      <c r="B3434" s="7" t="str">
        <f>IFERROR(__xludf.DUMMYFUNCTION("""COMPUTED_VALUE"""),"C++;Java;JavaScript;SQL")</f>
        <v>C++;Java;JavaScript;SQL</v>
      </c>
      <c r="C3434" s="9" t="str">
        <f>IFERROR(__xludf.DUMMYFUNCTION("""COMPUTED_VALUE"""),"JavaScript")</f>
        <v>JavaScript</v>
      </c>
      <c r="D3434" s="9" t="str">
        <f>IFERROR(__xludf.DUMMYFUNCTION("""COMPUTED_VALUE"""),"PHP")</f>
        <v>PHP</v>
      </c>
      <c r="E3434" s="9" t="str">
        <f>IFERROR(__xludf.DUMMYFUNCTION("""COMPUTED_VALUE"""),"JavaScript")</f>
        <v>JavaScript</v>
      </c>
      <c r="F3434" s="9" t="str">
        <f>IFERROR(__xludf.DUMMYFUNCTION("""COMPUTED_VALUE"""),"PHP")</f>
        <v>PHP</v>
      </c>
      <c r="G3434" s="9" t="str">
        <f>IFERROR(__xludf.DUMMYFUNCTION("""COMPUTED_VALUE"""),"C#")</f>
        <v>C#</v>
      </c>
      <c r="H3434" s="9" t="str">
        <f>IFERROR(__xludf.DUMMYFUNCTION("""COMPUTED_VALUE"""),"C++")</f>
        <v>C++</v>
      </c>
      <c r="I3434" s="9" t="str">
        <f>IFERROR(__xludf.DUMMYFUNCTION("""COMPUTED_VALUE"""),"Dart")</f>
        <v>Dart</v>
      </c>
      <c r="J3434" s="9" t="str">
        <f>IFERROR(__xludf.DUMMYFUNCTION("""COMPUTED_VALUE"""),"C++")</f>
        <v>C++</v>
      </c>
      <c r="K3434" s="9" t="str">
        <f>IFERROR(__xludf.DUMMYFUNCTION("""COMPUTED_VALUE"""),"SQL")</f>
        <v>SQL</v>
      </c>
      <c r="L3434" s="9" t="str">
        <f>IFERROR(__xludf.DUMMYFUNCTION("""COMPUTED_VALUE"""),"PHP")</f>
        <v>PHP</v>
      </c>
      <c r="M3434" s="9" t="s">
        <v>21</v>
      </c>
    </row>
    <row r="3435" ht="15.75" customHeight="1">
      <c r="A3435" s="7"/>
      <c r="B3435" s="7" t="str">
        <f>IFERROR(__xludf.DUMMYFUNCTION("""COMPUTED_VALUE"""),"C#;HTML/CSS;JavaScript;SQL")</f>
        <v>C#;HTML/CSS;JavaScript;SQL</v>
      </c>
      <c r="C3435" s="9" t="str">
        <f>IFERROR(__xludf.DUMMYFUNCTION("""COMPUTED_VALUE"""),"Python")</f>
        <v>Python</v>
      </c>
      <c r="D3435" s="9" t="str">
        <f>IFERROR(__xludf.DUMMYFUNCTION("""COMPUTED_VALUE"""),"TypeScript")</f>
        <v>TypeScript</v>
      </c>
      <c r="E3435" s="9" t="str">
        <f>IFERROR(__xludf.DUMMYFUNCTION("""COMPUTED_VALUE"""),"Kotlin")</f>
        <v>Kotlin</v>
      </c>
      <c r="F3435" s="9" t="str">
        <f>IFERROR(__xludf.DUMMYFUNCTION("""COMPUTED_VALUE"""),"Python")</f>
        <v>Python</v>
      </c>
      <c r="G3435" s="9" t="str">
        <f>IFERROR(__xludf.DUMMYFUNCTION("""COMPUTED_VALUE"""),"HTML/CSS")</f>
        <v>HTML/CSS</v>
      </c>
      <c r="H3435" s="9" t="str">
        <f>IFERROR(__xludf.DUMMYFUNCTION("""COMPUTED_VALUE"""),"C#")</f>
        <v>C#</v>
      </c>
      <c r="I3435" s="9" t="str">
        <f>IFERROR(__xludf.DUMMYFUNCTION("""COMPUTED_VALUE"""),"Java")</f>
        <v>Java</v>
      </c>
      <c r="J3435" s="9" t="str">
        <f>IFERROR(__xludf.DUMMYFUNCTION("""COMPUTED_VALUE"""),"Python")</f>
        <v>Python</v>
      </c>
      <c r="K3435" s="9" t="str">
        <f>IFERROR(__xludf.DUMMYFUNCTION("""COMPUTED_VALUE"""),"Other(s):")</f>
        <v>Other(s):</v>
      </c>
      <c r="L3435" s="9" t="str">
        <f>IFERROR(__xludf.DUMMYFUNCTION("""COMPUTED_VALUE"""),"HTML/CSS")</f>
        <v>HTML/CSS</v>
      </c>
      <c r="M3435" s="9" t="s">
        <v>22</v>
      </c>
    </row>
    <row r="3436" ht="15.75" customHeight="1">
      <c r="A3436" s="7"/>
      <c r="B3436" s="7" t="str">
        <f>IFERROR(__xludf.DUMMYFUNCTION("""COMPUTED_VALUE"""),"Bash/Shell/PowerShell;HTML/CSS;Java;Python")</f>
        <v>Bash/Shell/PowerShell;HTML/CSS;Java;Python</v>
      </c>
      <c r="C3436" s="9" t="str">
        <f>IFERROR(__xludf.DUMMYFUNCTION("""COMPUTED_VALUE"""),"HTML/CSS")</f>
        <v>HTML/CSS</v>
      </c>
      <c r="D3436" s="9" t="str">
        <f>IFERROR(__xludf.DUMMYFUNCTION("""COMPUTED_VALUE"""),"HTML/CSS")</f>
        <v>HTML/CSS</v>
      </c>
      <c r="E3436" s="9" t="str">
        <f>IFERROR(__xludf.DUMMYFUNCTION("""COMPUTED_VALUE"""),"Python")</f>
        <v>Python</v>
      </c>
      <c r="F3436" s="9" t="str">
        <f>IFERROR(__xludf.DUMMYFUNCTION("""COMPUTED_VALUE"""),"SQL")</f>
        <v>SQL</v>
      </c>
      <c r="G3436" s="9" t="str">
        <f>IFERROR(__xludf.DUMMYFUNCTION("""COMPUTED_VALUE"""),"JavaScript")</f>
        <v>JavaScript</v>
      </c>
      <c r="H3436" s="9" t="str">
        <f>IFERROR(__xludf.DUMMYFUNCTION("""COMPUTED_VALUE"""),"Dart")</f>
        <v>Dart</v>
      </c>
      <c r="I3436" s="9" t="str">
        <f>IFERROR(__xludf.DUMMYFUNCTION("""COMPUTED_VALUE"""),"JavaScript")</f>
        <v>JavaScript</v>
      </c>
      <c r="J3436" s="9" t="str">
        <f>IFERROR(__xludf.DUMMYFUNCTION("""COMPUTED_VALUE"""),"Bash/Shell/PowerShell")</f>
        <v>Bash/Shell/PowerShell</v>
      </c>
      <c r="K3436" s="9" t="str">
        <f>IFERROR(__xludf.DUMMYFUNCTION("""COMPUTED_VALUE"""),"Bash/Shell/PowerShell")</f>
        <v>Bash/Shell/PowerShell</v>
      </c>
      <c r="L3436" s="9" t="str">
        <f>IFERROR(__xludf.DUMMYFUNCTION("""COMPUTED_VALUE"""),"Java")</f>
        <v>Java</v>
      </c>
      <c r="M3436" s="9" t="s">
        <v>24</v>
      </c>
    </row>
    <row r="3437" ht="15.75" customHeight="1">
      <c r="A3437" s="7"/>
      <c r="B3437" s="7" t="str">
        <f>IFERROR(__xludf.DUMMYFUNCTION("""COMPUTED_VALUE"""),"HTML/CSS;JavaScript;PHP;SQL")</f>
        <v>HTML/CSS;JavaScript;PHP;SQL</v>
      </c>
      <c r="C3437" s="9" t="str">
        <f>IFERROR(__xludf.DUMMYFUNCTION("""COMPUTED_VALUE"""),"Java")</f>
        <v>Java</v>
      </c>
      <c r="D3437" s="9" t="str">
        <f>IFERROR(__xludf.DUMMYFUNCTION("""COMPUTED_VALUE"""),"JavaScript")</f>
        <v>JavaScript</v>
      </c>
      <c r="E3437" s="9" t="str">
        <f>IFERROR(__xludf.DUMMYFUNCTION("""COMPUTED_VALUE"""),"Ruby")</f>
        <v>Ruby</v>
      </c>
      <c r="F3437" s="9" t="str">
        <f>IFERROR(__xludf.DUMMYFUNCTION("""COMPUTED_VALUE"""),"C++")</f>
        <v>C++</v>
      </c>
      <c r="G3437" s="9" t="str">
        <f>IFERROR(__xludf.DUMMYFUNCTION("""COMPUTED_VALUE"""),"SQL")</f>
        <v>SQL</v>
      </c>
      <c r="H3437" s="9" t="str">
        <f>IFERROR(__xludf.DUMMYFUNCTION("""COMPUTED_VALUE"""),"Go")</f>
        <v>Go</v>
      </c>
      <c r="I3437" s="9" t="str">
        <f>IFERROR(__xludf.DUMMYFUNCTION("""COMPUTED_VALUE"""),"Kotlin")</f>
        <v>Kotlin</v>
      </c>
      <c r="J3437" s="9" t="str">
        <f>IFERROR(__xludf.DUMMYFUNCTION("""COMPUTED_VALUE"""),"C#")</f>
        <v>C#</v>
      </c>
      <c r="K3437" s="9" t="str">
        <f>IFERROR(__xludf.DUMMYFUNCTION("""COMPUTED_VALUE"""),"C")</f>
        <v>C</v>
      </c>
      <c r="L3437" s="9" t="str">
        <f>IFERROR(__xludf.DUMMYFUNCTION("""COMPUTED_VALUE"""),"JavaScript")</f>
        <v>JavaScript</v>
      </c>
      <c r="M3437" s="9" t="s">
        <v>20</v>
      </c>
    </row>
    <row r="3438" ht="15.75" customHeight="1">
      <c r="A3438" s="7"/>
      <c r="B3438" s="7" t="str">
        <f>IFERROR(__xludf.DUMMYFUNCTION("""COMPUTED_VALUE"""),"HTML/CSS;JavaScript;Ruby;SQL")</f>
        <v>HTML/CSS;JavaScript;Ruby;SQL</v>
      </c>
      <c r="C3438" s="9" t="str">
        <f>IFERROR(__xludf.DUMMYFUNCTION("""COMPUTED_VALUE"""),"JavaScript")</f>
        <v>JavaScript</v>
      </c>
      <c r="D3438" s="9" t="str">
        <f>IFERROR(__xludf.DUMMYFUNCTION("""COMPUTED_VALUE"""),"Java")</f>
        <v>Java</v>
      </c>
      <c r="E3438" s="9" t="str">
        <f>IFERROR(__xludf.DUMMYFUNCTION("""COMPUTED_VALUE"""),"Rust")</f>
        <v>Rust</v>
      </c>
      <c r="F3438" s="9" t="str">
        <f>IFERROR(__xludf.DUMMYFUNCTION("""COMPUTED_VALUE"""),"C#")</f>
        <v>C#</v>
      </c>
      <c r="G3438" s="9" t="str">
        <f>IFERROR(__xludf.DUMMYFUNCTION("""COMPUTED_VALUE"""),"Assembly")</f>
        <v>Assembly</v>
      </c>
      <c r="H3438" s="9" t="str">
        <f>IFERROR(__xludf.DUMMYFUNCTION("""COMPUTED_VALUE"""),"HTML/CSS")</f>
        <v>HTML/CSS</v>
      </c>
      <c r="I3438" s="9" t="str">
        <f>IFERROR(__xludf.DUMMYFUNCTION("""COMPUTED_VALUE"""),"Swift")</f>
        <v>Swift</v>
      </c>
      <c r="J3438" s="9" t="str">
        <f>IFERROR(__xludf.DUMMYFUNCTION("""COMPUTED_VALUE"""),"Clojure")</f>
        <v>Clojure</v>
      </c>
      <c r="K3438" s="9" t="str">
        <f>IFERROR(__xludf.DUMMYFUNCTION("""COMPUTED_VALUE"""),"C++")</f>
        <v>C++</v>
      </c>
      <c r="L3438" s="9" t="str">
        <f>IFERROR(__xludf.DUMMYFUNCTION("""COMPUTED_VALUE"""),"Assembly")</f>
        <v>Assembly</v>
      </c>
      <c r="M3438" s="9" t="s">
        <v>21</v>
      </c>
    </row>
    <row r="3439" ht="15.75" customHeight="1">
      <c r="A3439" s="7"/>
      <c r="B3439" s="7" t="str">
        <f>IFERROR(__xludf.DUMMYFUNCTION("""COMPUTED_VALUE"""),"Bash/Shell/PowerShell;C++;C#;Go;HTML/CSS;JavaScript;PHP;Python;TypeScript")</f>
        <v>Bash/Shell/PowerShell;C++;C#;Go;HTML/CSS;JavaScript;PHP;Python;TypeScript</v>
      </c>
      <c r="C3439" s="9" t="str">
        <f>IFERROR(__xludf.DUMMYFUNCTION("""COMPUTED_VALUE"""),"Python")</f>
        <v>Python</v>
      </c>
      <c r="D3439" s="9" t="str">
        <f>IFERROR(__xludf.DUMMYFUNCTION("""COMPUTED_VALUE"""),"SQL")</f>
        <v>SQL</v>
      </c>
      <c r="E3439" s="9" t="str">
        <f>IFERROR(__xludf.DUMMYFUNCTION("""COMPUTED_VALUE"""),"Scala")</f>
        <v>Scala</v>
      </c>
      <c r="F3439" s="9" t="str">
        <f>IFERROR(__xludf.DUMMYFUNCTION("""COMPUTED_VALUE"""),"Go")</f>
        <v>Go</v>
      </c>
      <c r="G3439" s="9" t="str">
        <f>IFERROR(__xludf.DUMMYFUNCTION("""COMPUTED_VALUE"""),"Bash/Shell/PowerShell")</f>
        <v>Bash/Shell/PowerShell</v>
      </c>
      <c r="H3439" s="9" t="str">
        <f>IFERROR(__xludf.DUMMYFUNCTION("""COMPUTED_VALUE"""),"Java")</f>
        <v>Java</v>
      </c>
      <c r="I3439" s="9" t="str">
        <f>IFERROR(__xludf.DUMMYFUNCTION("""COMPUTED_VALUE"""),"HTML/CSS")</f>
        <v>HTML/CSS</v>
      </c>
      <c r="J3439" s="9" t="str">
        <f>IFERROR(__xludf.DUMMYFUNCTION("""COMPUTED_VALUE"""),"Java")</f>
        <v>Java</v>
      </c>
      <c r="K3439" s="9" t="str">
        <f>IFERROR(__xludf.DUMMYFUNCTION("""COMPUTED_VALUE"""),"C#")</f>
        <v>C#</v>
      </c>
      <c r="L3439" s="9" t="str">
        <f>IFERROR(__xludf.DUMMYFUNCTION("""COMPUTED_VALUE"""),"Bash/Shell/PowerShell")</f>
        <v>Bash/Shell/PowerShell</v>
      </c>
      <c r="M3439" s="9" t="s">
        <v>22</v>
      </c>
    </row>
    <row r="3440" ht="15.75" customHeight="1">
      <c r="A3440" s="7"/>
      <c r="B3440" s="7" t="str">
        <f>IFERROR(__xludf.DUMMYFUNCTION("""COMPUTED_VALUE"""),"Bash/Shell/PowerShell;C;C++;C#;HTML/CSS;Java;JavaScript;Python;TypeScript")</f>
        <v>Bash/Shell/PowerShell;C;C++;C#;HTML/CSS;Java;JavaScript;Python;TypeScript</v>
      </c>
      <c r="C3440" s="9" t="str">
        <f>IFERROR(__xludf.DUMMYFUNCTION("""COMPUTED_VALUE"""),"Bash/Shell/PowerShell")</f>
        <v>Bash/Shell/PowerShell</v>
      </c>
      <c r="D3440" s="9" t="str">
        <f>IFERROR(__xludf.DUMMYFUNCTION("""COMPUTED_VALUE"""),"Bash/Shell/PowerShell")</f>
        <v>Bash/Shell/PowerShell</v>
      </c>
      <c r="E3440" s="9" t="str">
        <f>IFERROR(__xludf.DUMMYFUNCTION("""COMPUTED_VALUE"""),"SQL")</f>
        <v>SQL</v>
      </c>
      <c r="F3440" s="9" t="str">
        <f>IFERROR(__xludf.DUMMYFUNCTION("""COMPUTED_VALUE"""),"Kotlin")</f>
        <v>Kotlin</v>
      </c>
      <c r="G3440" s="9" t="str">
        <f>IFERROR(__xludf.DUMMYFUNCTION("""COMPUTED_VALUE"""),"C")</f>
        <v>C</v>
      </c>
      <c r="H3440" s="9" t="str">
        <f>IFERROR(__xludf.DUMMYFUNCTION("""COMPUTED_VALUE"""),"JavaScript")</f>
        <v>JavaScript</v>
      </c>
      <c r="I3440" s="9" t="str">
        <f>IFERROR(__xludf.DUMMYFUNCTION("""COMPUTED_VALUE"""),"JavaScript")</f>
        <v>JavaScript</v>
      </c>
      <c r="J3440" s="9" t="str">
        <f>IFERROR(__xludf.DUMMYFUNCTION("""COMPUTED_VALUE"""),"Python")</f>
        <v>Python</v>
      </c>
      <c r="K3440" s="9" t="str">
        <f>IFERROR(__xludf.DUMMYFUNCTION("""COMPUTED_VALUE"""),"Java")</f>
        <v>Java</v>
      </c>
      <c r="L3440" s="9" t="str">
        <f>IFERROR(__xludf.DUMMYFUNCTION("""COMPUTED_VALUE"""),"C")</f>
        <v>C</v>
      </c>
      <c r="M3440" s="9" t="s">
        <v>30</v>
      </c>
    </row>
    <row r="3441" ht="15.75" customHeight="1">
      <c r="A3441" s="7"/>
      <c r="B3441" s="7" t="str">
        <f>IFERROR(__xludf.DUMMYFUNCTION("""COMPUTED_VALUE"""),"Assembly;Bash/Shell/PowerShell;C;C++;HTML/CSS;JavaScript;Python")</f>
        <v>Assembly;Bash/Shell/PowerShell;C;C++;HTML/CSS;JavaScript;Python</v>
      </c>
      <c r="C3441" s="9" t="str">
        <f>IFERROR(__xludf.DUMMYFUNCTION("""COMPUTED_VALUE"""),"C")</f>
        <v>C</v>
      </c>
      <c r="D3441" s="9" t="str">
        <f>IFERROR(__xludf.DUMMYFUNCTION("""COMPUTED_VALUE"""),"C")</f>
        <v>C</v>
      </c>
      <c r="E3441" s="9" t="str">
        <f>IFERROR(__xludf.DUMMYFUNCTION("""COMPUTED_VALUE"""),"TypeScript")</f>
        <v>TypeScript</v>
      </c>
      <c r="F3441" s="9" t="str">
        <f>IFERROR(__xludf.DUMMYFUNCTION("""COMPUTED_VALUE"""),"Python")</f>
        <v>Python</v>
      </c>
      <c r="G3441" s="9" t="str">
        <f>IFERROR(__xludf.DUMMYFUNCTION("""COMPUTED_VALUE"""),"Python")</f>
        <v>Python</v>
      </c>
      <c r="H3441" s="9" t="str">
        <f>IFERROR(__xludf.DUMMYFUNCTION("""COMPUTED_VALUE"""),"Kotlin")</f>
        <v>Kotlin</v>
      </c>
      <c r="I3441" s="9" t="str">
        <f>IFERROR(__xludf.DUMMYFUNCTION("""COMPUTED_VALUE"""),"PHP")</f>
        <v>PHP</v>
      </c>
      <c r="J3441" s="9" t="str">
        <f>IFERROR(__xludf.DUMMYFUNCTION("""COMPUTED_VALUE"""),"Scala")</f>
        <v>Scala</v>
      </c>
      <c r="K3441" s="9" t="str">
        <f>IFERROR(__xludf.DUMMYFUNCTION("""COMPUTED_VALUE"""),"Python")</f>
        <v>Python</v>
      </c>
      <c r="L3441" s="9" t="str">
        <f>IFERROR(__xludf.DUMMYFUNCTION("""COMPUTED_VALUE"""),"C++")</f>
        <v>C++</v>
      </c>
      <c r="M3441" s="9" t="s">
        <v>25</v>
      </c>
    </row>
    <row r="3442" ht="15.75" customHeight="1">
      <c r="A3442" s="7"/>
      <c r="B3442" s="7" t="str">
        <f>IFERROR(__xludf.DUMMYFUNCTION("""COMPUTED_VALUE"""),"Bash/Shell/PowerShell;Python")</f>
        <v>Bash/Shell/PowerShell;Python</v>
      </c>
      <c r="C3442" s="9" t="str">
        <f>IFERROR(__xludf.DUMMYFUNCTION("""COMPUTED_VALUE"""),"C++")</f>
        <v>C++</v>
      </c>
      <c r="D3442" s="9" t="str">
        <f>IFERROR(__xludf.DUMMYFUNCTION("""COMPUTED_VALUE"""),"C++")</f>
        <v>C++</v>
      </c>
      <c r="E3442" s="9" t="str">
        <f>IFERROR(__xludf.DUMMYFUNCTION("""COMPUTED_VALUE"""),"Bash/Shell/PowerShell")</f>
        <v>Bash/Shell/PowerShell</v>
      </c>
      <c r="F3442" s="9" t="str">
        <f>IFERROR(__xludf.DUMMYFUNCTION("""COMPUTED_VALUE"""),"Ruby")</f>
        <v>Ruby</v>
      </c>
      <c r="G3442" s="9" t="str">
        <f>IFERROR(__xludf.DUMMYFUNCTION("""COMPUTED_VALUE"""),"Other(s):")</f>
        <v>Other(s):</v>
      </c>
      <c r="H3442" s="9" t="str">
        <f>IFERROR(__xludf.DUMMYFUNCTION("""COMPUTED_VALUE"""),"Objective-C")</f>
        <v>Objective-C</v>
      </c>
      <c r="I3442" s="9" t="str">
        <f>IFERROR(__xludf.DUMMYFUNCTION("""COMPUTED_VALUE"""),"SQL")</f>
        <v>SQL</v>
      </c>
      <c r="J3442" s="9" t="str">
        <f>IFERROR(__xludf.DUMMYFUNCTION("""COMPUTED_VALUE"""),"SQL")</f>
        <v>SQL</v>
      </c>
      <c r="K3442" s="9" t="str">
        <f>IFERROR(__xludf.DUMMYFUNCTION("""COMPUTED_VALUE"""),"R")</f>
        <v>R</v>
      </c>
      <c r="L3442" s="9" t="str">
        <f>IFERROR(__xludf.DUMMYFUNCTION("""COMPUTED_VALUE"""),"C#")</f>
        <v>C#</v>
      </c>
      <c r="M3442" s="9" t="s">
        <v>23</v>
      </c>
    </row>
    <row r="3443" ht="15.75" customHeight="1">
      <c r="A3443" s="7"/>
      <c r="B3443" s="7" t="str">
        <f>IFERROR(__xludf.DUMMYFUNCTION("""COMPUTED_VALUE"""),"C++;C#;Java;Objective-C")</f>
        <v>C++;C#;Java;Objective-C</v>
      </c>
      <c r="C3443" s="9" t="str">
        <f>IFERROR(__xludf.DUMMYFUNCTION("""COMPUTED_VALUE"""),"C#")</f>
        <v>C#</v>
      </c>
      <c r="D3443" s="9" t="str">
        <f>IFERROR(__xludf.DUMMYFUNCTION("""COMPUTED_VALUE"""),"C#")</f>
        <v>C#</v>
      </c>
      <c r="E3443" s="9" t="str">
        <f>IFERROR(__xludf.DUMMYFUNCTION("""COMPUTED_VALUE"""),"Dart")</f>
        <v>Dart</v>
      </c>
      <c r="F3443" s="9" t="str">
        <f>IFERROR(__xludf.DUMMYFUNCTION("""COMPUTED_VALUE"""),"SQL")</f>
        <v>SQL</v>
      </c>
      <c r="G3443" s="9" t="str">
        <f>IFERROR(__xludf.DUMMYFUNCTION("""COMPUTED_VALUE"""),"HTML/CSS")</f>
        <v>HTML/CSS</v>
      </c>
      <c r="H3443" s="9" t="str">
        <f>IFERROR(__xludf.DUMMYFUNCTION("""COMPUTED_VALUE"""),"PHP")</f>
        <v>PHP</v>
      </c>
      <c r="I3443" s="9" t="str">
        <f>IFERROR(__xludf.DUMMYFUNCTION("""COMPUTED_VALUE"""),"Python")</f>
        <v>Python</v>
      </c>
      <c r="J3443" s="9" t="str">
        <f>IFERROR(__xludf.DUMMYFUNCTION("""COMPUTED_VALUE"""),"Assembly")</f>
        <v>Assembly</v>
      </c>
      <c r="K3443" s="9" t="str">
        <f>IFERROR(__xludf.DUMMYFUNCTION("""COMPUTED_VALUE"""),"C++")</f>
        <v>C++</v>
      </c>
      <c r="L3443" s="9" t="str">
        <f>IFERROR(__xludf.DUMMYFUNCTION("""COMPUTED_VALUE"""),"HTML/CSS")</f>
        <v>HTML/CSS</v>
      </c>
      <c r="M3443" s="9" t="s">
        <v>26</v>
      </c>
    </row>
    <row r="3444" ht="15.75" customHeight="1">
      <c r="A3444" s="7"/>
      <c r="B3444" s="7" t="str">
        <f>IFERROR(__xludf.DUMMYFUNCTION("""COMPUTED_VALUE"""),"Bash/Shell/PowerShell;Java;JavaScript;Python;SQL")</f>
        <v>Bash/Shell/PowerShell;Java;JavaScript;Python;SQL</v>
      </c>
      <c r="C3444" s="9" t="str">
        <f>IFERROR(__xludf.DUMMYFUNCTION("""COMPUTED_VALUE"""),"HTML/CSS")</f>
        <v>HTML/CSS</v>
      </c>
      <c r="D3444" s="9" t="str">
        <f>IFERROR(__xludf.DUMMYFUNCTION("""COMPUTED_VALUE"""),"HTML/CSS")</f>
        <v>HTML/CSS</v>
      </c>
      <c r="E3444" s="9" t="str">
        <f>IFERROR(__xludf.DUMMYFUNCTION("""COMPUTED_VALUE"""),"HTML/CSS")</f>
        <v>HTML/CSS</v>
      </c>
      <c r="F3444" s="9" t="str">
        <f>IFERROR(__xludf.DUMMYFUNCTION("""COMPUTED_VALUE"""),"Bash/Shell/PowerShell")</f>
        <v>Bash/Shell/PowerShell</v>
      </c>
      <c r="G3444" s="9" t="str">
        <f>IFERROR(__xludf.DUMMYFUNCTION("""COMPUTED_VALUE"""),"Java")</f>
        <v>Java</v>
      </c>
      <c r="H3444" s="9" t="str">
        <f>IFERROR(__xludf.DUMMYFUNCTION("""COMPUTED_VALUE"""),"Python")</f>
        <v>Python</v>
      </c>
      <c r="I3444" s="9" t="str">
        <f>IFERROR(__xludf.DUMMYFUNCTION("""COMPUTED_VALUE"""),"C")</f>
        <v>C</v>
      </c>
      <c r="J3444" s="9" t="str">
        <f>IFERROR(__xludf.DUMMYFUNCTION("""COMPUTED_VALUE"""),"HTML/CSS")</f>
        <v>HTML/CSS</v>
      </c>
      <c r="K3444" s="9" t="str">
        <f>IFERROR(__xludf.DUMMYFUNCTION("""COMPUTED_VALUE"""),"HTML/CSS")</f>
        <v>HTML/CSS</v>
      </c>
      <c r="L3444" s="9" t="str">
        <f>IFERROR(__xludf.DUMMYFUNCTION("""COMPUTED_VALUE"""),"Java")</f>
        <v>Java</v>
      </c>
      <c r="M3444" s="9" t="s">
        <v>24</v>
      </c>
    </row>
    <row r="3445" ht="15.75" customHeight="1">
      <c r="A3445" s="7"/>
      <c r="B3445" s="7" t="str">
        <f>IFERROR(__xludf.DUMMYFUNCTION("""COMPUTED_VALUE"""),"Assembly;Bash/Shell/PowerShell;C++;HTML/CSS;Ruby;Rust")</f>
        <v>Assembly;Bash/Shell/PowerShell;C++;HTML/CSS;Ruby;Rust</v>
      </c>
      <c r="C3445" s="9" t="str">
        <f>IFERROR(__xludf.DUMMYFUNCTION("""COMPUTED_VALUE"""),"JavaScript")</f>
        <v>JavaScript</v>
      </c>
      <c r="D3445" s="9" t="str">
        <f>IFERROR(__xludf.DUMMYFUNCTION("""COMPUTED_VALUE"""),"Java")</f>
        <v>Java</v>
      </c>
      <c r="E3445" s="9" t="str">
        <f>IFERROR(__xludf.DUMMYFUNCTION("""COMPUTED_VALUE"""),"JavaScript")</f>
        <v>JavaScript</v>
      </c>
      <c r="F3445" s="9" t="str">
        <f>IFERROR(__xludf.DUMMYFUNCTION("""COMPUTED_VALUE"""),"HTML/CSS")</f>
        <v>HTML/CSS</v>
      </c>
      <c r="G3445" s="9" t="str">
        <f>IFERROR(__xludf.DUMMYFUNCTION("""COMPUTED_VALUE"""),"JavaScript")</f>
        <v>JavaScript</v>
      </c>
      <c r="H3445" s="9" t="str">
        <f>IFERROR(__xludf.DUMMYFUNCTION("""COMPUTED_VALUE"""),"SQL")</f>
        <v>SQL</v>
      </c>
      <c r="I3445" s="9" t="str">
        <f>IFERROR(__xludf.DUMMYFUNCTION("""COMPUTED_VALUE"""),"C#")</f>
        <v>C#</v>
      </c>
      <c r="J3445" s="9" t="str">
        <f>IFERROR(__xludf.DUMMYFUNCTION("""COMPUTED_VALUE"""),"Java")</f>
        <v>Java</v>
      </c>
      <c r="K3445" s="9" t="str">
        <f>IFERROR(__xludf.DUMMYFUNCTION("""COMPUTED_VALUE"""),"Java")</f>
        <v>Java</v>
      </c>
      <c r="L3445" s="9" t="str">
        <f>IFERROR(__xludf.DUMMYFUNCTION("""COMPUTED_VALUE"""),"JavaScript")</f>
        <v>JavaScript</v>
      </c>
      <c r="M3445" s="9" t="s">
        <v>21</v>
      </c>
    </row>
    <row r="3446" ht="15.75" customHeight="1">
      <c r="A3446" s="7"/>
      <c r="B3446" s="7" t="str">
        <f>IFERROR(__xludf.DUMMYFUNCTION("""COMPUTED_VALUE"""),"HTML/CSS;JavaScript;PHP")</f>
        <v>HTML/CSS;JavaScript;PHP</v>
      </c>
      <c r="C3446" s="9" t="str">
        <f>IFERROR(__xludf.DUMMYFUNCTION("""COMPUTED_VALUE"""),"SQL")</f>
        <v>SQL</v>
      </c>
      <c r="D3446" s="9" t="str">
        <f>IFERROR(__xludf.DUMMYFUNCTION("""COMPUTED_VALUE"""),"JavaScript")</f>
        <v>JavaScript</v>
      </c>
      <c r="E3446" s="9" t="str">
        <f>IFERROR(__xludf.DUMMYFUNCTION("""COMPUTED_VALUE"""),"Python")</f>
        <v>Python</v>
      </c>
      <c r="F3446" s="9" t="str">
        <f>IFERROR(__xludf.DUMMYFUNCTION("""COMPUTED_VALUE"""),"JavaScript")</f>
        <v>JavaScript</v>
      </c>
      <c r="G3446" s="9" t="str">
        <f>IFERROR(__xludf.DUMMYFUNCTION("""COMPUTED_VALUE"""),"SQL")</f>
        <v>SQL</v>
      </c>
      <c r="H3446" s="9" t="str">
        <f>IFERROR(__xludf.DUMMYFUNCTION("""COMPUTED_VALUE"""),"Swift")</f>
        <v>Swift</v>
      </c>
      <c r="I3446" s="9" t="str">
        <f>IFERROR(__xludf.DUMMYFUNCTION("""COMPUTED_VALUE"""),"HTML/CSS")</f>
        <v>HTML/CSS</v>
      </c>
      <c r="J3446" s="9" t="str">
        <f>IFERROR(__xludf.DUMMYFUNCTION("""COMPUTED_VALUE"""),"PHP")</f>
        <v>PHP</v>
      </c>
      <c r="K3446" s="9" t="str">
        <f>IFERROR(__xludf.DUMMYFUNCTION("""COMPUTED_VALUE"""),"JavaScript")</f>
        <v>JavaScript</v>
      </c>
      <c r="L3446" s="9" t="str">
        <f>IFERROR(__xludf.DUMMYFUNCTION("""COMPUTED_VALUE"""),"Python")</f>
        <v>Python</v>
      </c>
      <c r="M3446" s="9" t="s">
        <v>27</v>
      </c>
    </row>
    <row r="3447" ht="15.75" customHeight="1">
      <c r="A3447" s="7"/>
      <c r="B3447" s="7" t="str">
        <f>IFERROR(__xludf.DUMMYFUNCTION("""COMPUTED_VALUE"""),"Java;SQL")</f>
        <v>Java;SQL</v>
      </c>
      <c r="C3447" s="9" t="str">
        <f>IFERROR(__xludf.DUMMYFUNCTION("""COMPUTED_VALUE"""),"HTML/CSS")</f>
        <v>HTML/CSS</v>
      </c>
      <c r="D3447" s="9" t="str">
        <f>IFERROR(__xludf.DUMMYFUNCTION("""COMPUTED_VALUE"""),"Kotlin")</f>
        <v>Kotlin</v>
      </c>
      <c r="E3447" s="9" t="str">
        <f>IFERROR(__xludf.DUMMYFUNCTION("""COMPUTED_VALUE"""),"Rust")</f>
        <v>Rust</v>
      </c>
      <c r="F3447" s="9" t="str">
        <f>IFERROR(__xludf.DUMMYFUNCTION("""COMPUTED_VALUE"""),"PHP")</f>
        <v>PHP</v>
      </c>
      <c r="G3447" s="9" t="str">
        <f>IFERROR(__xludf.DUMMYFUNCTION("""COMPUTED_VALUE"""),"TypeScript")</f>
        <v>TypeScript</v>
      </c>
      <c r="H3447" s="9" t="str">
        <f>IFERROR(__xludf.DUMMYFUNCTION("""COMPUTED_VALUE"""),"VBA")</f>
        <v>VBA</v>
      </c>
      <c r="I3447" s="9" t="str">
        <f>IFERROR(__xludf.DUMMYFUNCTION("""COMPUTED_VALUE"""),"Java")</f>
        <v>Java</v>
      </c>
      <c r="J3447" s="9" t="str">
        <f>IFERROR(__xludf.DUMMYFUNCTION("""COMPUTED_VALUE"""),"SQL")</f>
        <v>SQL</v>
      </c>
      <c r="K3447" s="9" t="str">
        <f>IFERROR(__xludf.DUMMYFUNCTION("""COMPUTED_VALUE"""),"PHP")</f>
        <v>PHP</v>
      </c>
      <c r="L3447" s="9" t="str">
        <f>IFERROR(__xludf.DUMMYFUNCTION("""COMPUTED_VALUE"""),"SQL")</f>
        <v>SQL</v>
      </c>
      <c r="M3447" s="9" t="s">
        <v>24</v>
      </c>
    </row>
    <row r="3448" ht="15.75" customHeight="1">
      <c r="A3448" s="7"/>
      <c r="B3448" s="7" t="str">
        <f>IFERROR(__xludf.DUMMYFUNCTION("""COMPUTED_VALUE"""),"HTML/CSS;Java;JavaScript;VBA")</f>
        <v>HTML/CSS;Java;JavaScript;VBA</v>
      </c>
      <c r="C3448" s="9" t="str">
        <f>IFERROR(__xludf.DUMMYFUNCTION("""COMPUTED_VALUE"""),"JavaScript")</f>
        <v>JavaScript</v>
      </c>
      <c r="D3448" s="9" t="str">
        <f>IFERROR(__xludf.DUMMYFUNCTION("""COMPUTED_VALUE"""),"PHP")</f>
        <v>PHP</v>
      </c>
      <c r="E3448" s="9" t="str">
        <f>IFERROR(__xludf.DUMMYFUNCTION("""COMPUTED_VALUE"""),"TypeScript")</f>
        <v>TypeScript</v>
      </c>
      <c r="F3448" s="9" t="str">
        <f>IFERROR(__xludf.DUMMYFUNCTION("""COMPUTED_VALUE"""),"SQL")</f>
        <v>SQL</v>
      </c>
      <c r="G3448" s="9" t="str">
        <f>IFERROR(__xludf.DUMMYFUNCTION("""COMPUTED_VALUE"""),"Other(s):")</f>
        <v>Other(s):</v>
      </c>
      <c r="H3448" s="9" t="str">
        <f>IFERROR(__xludf.DUMMYFUNCTION("""COMPUTED_VALUE"""),"Bash/Shell/PowerShell")</f>
        <v>Bash/Shell/PowerShell</v>
      </c>
      <c r="I3448" s="9" t="str">
        <f>IFERROR(__xludf.DUMMYFUNCTION("""COMPUTED_VALUE"""),"Python")</f>
        <v>Python</v>
      </c>
      <c r="J3448" s="9" t="str">
        <f>IFERROR(__xludf.DUMMYFUNCTION("""COMPUTED_VALUE"""),"Bash/Shell/PowerShell")</f>
        <v>Bash/Shell/PowerShell</v>
      </c>
      <c r="K3448" s="9" t="str">
        <f>IFERROR(__xludf.DUMMYFUNCTION("""COMPUTED_VALUE"""),"TypeScript")</f>
        <v>TypeScript</v>
      </c>
      <c r="L3448" s="9" t="str">
        <f>IFERROR(__xludf.DUMMYFUNCTION("""COMPUTED_VALUE"""),"TypeScript")</f>
        <v>TypeScript</v>
      </c>
      <c r="M3448" s="9" t="s">
        <v>21</v>
      </c>
    </row>
    <row r="3449" ht="15.75" customHeight="1">
      <c r="A3449" s="7"/>
      <c r="B3449" s="7" t="str">
        <f>IFERROR(__xludf.DUMMYFUNCTION("""COMPUTED_VALUE"""),"Bash/Shell/PowerShell;HTML/CSS;Java;JavaScript;PHP;Python;SQL")</f>
        <v>Bash/Shell/PowerShell;HTML/CSS;Java;JavaScript;PHP;Python;SQL</v>
      </c>
      <c r="C3449" s="9" t="str">
        <f>IFERROR(__xludf.DUMMYFUNCTION("""COMPUTED_VALUE"""),"Python")</f>
        <v>Python</v>
      </c>
      <c r="D3449" s="9" t="str">
        <f>IFERROR(__xludf.DUMMYFUNCTION("""COMPUTED_VALUE"""),"Rust")</f>
        <v>Rust</v>
      </c>
      <c r="E3449" s="9" t="str">
        <f>IFERROR(__xludf.DUMMYFUNCTION("""COMPUTED_VALUE"""),"HTML/CSS")</f>
        <v>HTML/CSS</v>
      </c>
      <c r="F3449" s="9" t="str">
        <f>IFERROR(__xludf.DUMMYFUNCTION("""COMPUTED_VALUE"""),"TypeScript")</f>
        <v>TypeScript</v>
      </c>
      <c r="G3449" s="9" t="str">
        <f>IFERROR(__xludf.DUMMYFUNCTION("""COMPUTED_VALUE"""),"C")</f>
        <v>C</v>
      </c>
      <c r="H3449" s="9" t="str">
        <f>IFERROR(__xludf.DUMMYFUNCTION("""COMPUTED_VALUE"""),"C#")</f>
        <v>C#</v>
      </c>
      <c r="I3449" s="9" t="str">
        <f>IFERROR(__xludf.DUMMYFUNCTION("""COMPUTED_VALUE"""),"C++")</f>
        <v>C++</v>
      </c>
      <c r="J3449" s="9" t="str">
        <f>IFERROR(__xludf.DUMMYFUNCTION("""COMPUTED_VALUE"""),"C#")</f>
        <v>C#</v>
      </c>
      <c r="K3449" s="9" t="str">
        <f>IFERROR(__xludf.DUMMYFUNCTION("""COMPUTED_VALUE"""),"C#")</f>
        <v>C#</v>
      </c>
      <c r="L3449" s="9" t="str">
        <f>IFERROR(__xludf.DUMMYFUNCTION("""COMPUTED_VALUE"""),"Bash/Shell/PowerShell")</f>
        <v>Bash/Shell/PowerShell</v>
      </c>
      <c r="M3449" s="9" t="s">
        <v>22</v>
      </c>
    </row>
    <row r="3450" ht="15.75" customHeight="1">
      <c r="A3450" s="7"/>
      <c r="B3450" s="7" t="str">
        <f>IFERROR(__xludf.DUMMYFUNCTION("""COMPUTED_VALUE"""),"Assembly;C++;Python")</f>
        <v>Assembly;C++;Python</v>
      </c>
      <c r="C3450" s="9" t="str">
        <f>IFERROR(__xludf.DUMMYFUNCTION("""COMPUTED_VALUE"""),"SQL")</f>
        <v>SQL</v>
      </c>
      <c r="D3450" s="9" t="str">
        <f>IFERROR(__xludf.DUMMYFUNCTION("""COMPUTED_VALUE"""),"SQL")</f>
        <v>SQL</v>
      </c>
      <c r="E3450" s="9" t="str">
        <f>IFERROR(__xludf.DUMMYFUNCTION("""COMPUTED_VALUE"""),"Java")</f>
        <v>Java</v>
      </c>
      <c r="F3450" s="9" t="str">
        <f>IFERROR(__xludf.DUMMYFUNCTION("""COMPUTED_VALUE"""),"Assembly")</f>
        <v>Assembly</v>
      </c>
      <c r="G3450" s="9" t="str">
        <f>IFERROR(__xludf.DUMMYFUNCTION("""COMPUTED_VALUE"""),"C++")</f>
        <v>C++</v>
      </c>
      <c r="H3450" s="9" t="str">
        <f>IFERROR(__xludf.DUMMYFUNCTION("""COMPUTED_VALUE"""),"HTML/CSS")</f>
        <v>HTML/CSS</v>
      </c>
      <c r="I3450" s="9" t="str">
        <f>IFERROR(__xludf.DUMMYFUNCTION("""COMPUTED_VALUE"""),"C#")</f>
        <v>C#</v>
      </c>
      <c r="J3450" s="9" t="str">
        <f>IFERROR(__xludf.DUMMYFUNCTION("""COMPUTED_VALUE"""),"Java")</f>
        <v>Java</v>
      </c>
      <c r="K3450" s="9" t="str">
        <f>IFERROR(__xludf.DUMMYFUNCTION("""COMPUTED_VALUE"""),"HTML/CSS")</f>
        <v>HTML/CSS</v>
      </c>
      <c r="L3450" s="9" t="str">
        <f>IFERROR(__xludf.DUMMYFUNCTION("""COMPUTED_VALUE"""),"C")</f>
        <v>C</v>
      </c>
      <c r="M3450" s="9" t="s">
        <v>27</v>
      </c>
    </row>
    <row r="3451" ht="15.75" customHeight="1">
      <c r="A3451" s="7"/>
      <c r="B3451" s="7" t="str">
        <f>IFERROR(__xludf.DUMMYFUNCTION("""COMPUTED_VALUE"""),"HTML/CSS;JavaScript;Python")</f>
        <v>HTML/CSS;JavaScript;Python</v>
      </c>
      <c r="C3451" s="9" t="str">
        <f>IFERROR(__xludf.DUMMYFUNCTION("""COMPUTED_VALUE"""),"TypeScript")</f>
        <v>TypeScript</v>
      </c>
      <c r="D3451" s="9" t="str">
        <f>IFERROR(__xludf.DUMMYFUNCTION("""COMPUTED_VALUE"""),"TypeScript")</f>
        <v>TypeScript</v>
      </c>
      <c r="E3451" s="9" t="str">
        <f>IFERROR(__xludf.DUMMYFUNCTION("""COMPUTED_VALUE"""),"Python")</f>
        <v>Python</v>
      </c>
      <c r="F3451" s="9" t="str">
        <f>IFERROR(__xludf.DUMMYFUNCTION("""COMPUTED_VALUE"""),"Bash/Shell/PowerShell")</f>
        <v>Bash/Shell/PowerShell</v>
      </c>
      <c r="G3451" s="9" t="str">
        <f>IFERROR(__xludf.DUMMYFUNCTION("""COMPUTED_VALUE"""),"Java")</f>
        <v>Java</v>
      </c>
      <c r="H3451" s="9" t="str">
        <f>IFERROR(__xludf.DUMMYFUNCTION("""COMPUTED_VALUE"""),"Java")</f>
        <v>Java</v>
      </c>
      <c r="I3451" s="9" t="str">
        <f>IFERROR(__xludf.DUMMYFUNCTION("""COMPUTED_VALUE"""),"HTML/CSS")</f>
        <v>HTML/CSS</v>
      </c>
      <c r="J3451" s="9" t="str">
        <f>IFERROR(__xludf.DUMMYFUNCTION("""COMPUTED_VALUE"""),"JavaScript")</f>
        <v>JavaScript</v>
      </c>
      <c r="K3451" s="9" t="str">
        <f>IFERROR(__xludf.DUMMYFUNCTION("""COMPUTED_VALUE"""),"JavaScript")</f>
        <v>JavaScript</v>
      </c>
      <c r="L3451" s="9" t="str">
        <f>IFERROR(__xludf.DUMMYFUNCTION("""COMPUTED_VALUE"""),"C++")</f>
        <v>C++</v>
      </c>
      <c r="M3451" s="9" t="s">
        <v>33</v>
      </c>
    </row>
    <row r="3452" ht="15.75" customHeight="1">
      <c r="A3452" s="7"/>
      <c r="B3452" s="7" t="str">
        <f>IFERROR(__xludf.DUMMYFUNCTION("""COMPUTED_VALUE"""),"Bash/Shell/PowerShell;C;HTML/CSS;JavaScript;PHP")</f>
        <v>Bash/Shell/PowerShell;C;HTML/CSS;JavaScript;PHP</v>
      </c>
      <c r="C3452" s="9" t="str">
        <f>IFERROR(__xludf.DUMMYFUNCTION("""COMPUTED_VALUE"""),"Bash/Shell/PowerShell")</f>
        <v>Bash/Shell/PowerShell</v>
      </c>
      <c r="D3452" s="9" t="str">
        <f>IFERROR(__xludf.DUMMYFUNCTION("""COMPUTED_VALUE"""),"VBA")</f>
        <v>VBA</v>
      </c>
      <c r="E3452" s="9" t="str">
        <f>IFERROR(__xludf.DUMMYFUNCTION("""COMPUTED_VALUE"""),"SQL")</f>
        <v>SQL</v>
      </c>
      <c r="F3452" s="9" t="str">
        <f>IFERROR(__xludf.DUMMYFUNCTION("""COMPUTED_VALUE"""),"C")</f>
        <v>C</v>
      </c>
      <c r="G3452" s="9" t="str">
        <f>IFERROR(__xludf.DUMMYFUNCTION("""COMPUTED_VALUE"""),"PHP")</f>
        <v>PHP</v>
      </c>
      <c r="H3452" s="9" t="str">
        <f>IFERROR(__xludf.DUMMYFUNCTION("""COMPUTED_VALUE"""),"JavaScript")</f>
        <v>JavaScript</v>
      </c>
      <c r="I3452" s="9" t="str">
        <f>IFERROR(__xludf.DUMMYFUNCTION("""COMPUTED_VALUE"""),"Java")</f>
        <v>Java</v>
      </c>
      <c r="J3452" s="9" t="str">
        <f>IFERROR(__xludf.DUMMYFUNCTION("""COMPUTED_VALUE"""),"SQL")</f>
        <v>SQL</v>
      </c>
      <c r="K3452" s="9" t="str">
        <f>IFERROR(__xludf.DUMMYFUNCTION("""COMPUTED_VALUE"""),"SQL")</f>
        <v>SQL</v>
      </c>
      <c r="L3452" s="9" t="str">
        <f>IFERROR(__xludf.DUMMYFUNCTION("""COMPUTED_VALUE"""),"HTML/CSS")</f>
        <v>HTML/CSS</v>
      </c>
      <c r="M3452" s="9" t="s">
        <v>30</v>
      </c>
    </row>
    <row r="3453" ht="15.75" customHeight="1">
      <c r="A3453" s="7"/>
      <c r="B3453" s="7" t="str">
        <f>IFERROR(__xludf.DUMMYFUNCTION("""COMPUTED_VALUE"""),"HTML/CSS;JavaScript;PHP;Python")</f>
        <v>HTML/CSS;JavaScript;PHP;Python</v>
      </c>
      <c r="C3453" s="9" t="str">
        <f>IFERROR(__xludf.DUMMYFUNCTION("""COMPUTED_VALUE"""),"C")</f>
        <v>C</v>
      </c>
      <c r="D3453" s="9" t="str">
        <f>IFERROR(__xludf.DUMMYFUNCTION("""COMPUTED_VALUE"""),"Other(s):")</f>
        <v>Other(s):</v>
      </c>
      <c r="E3453" s="9" t="str">
        <f>IFERROR(__xludf.DUMMYFUNCTION("""COMPUTED_VALUE"""),"HTML/CSS")</f>
        <v>HTML/CSS</v>
      </c>
      <c r="F3453" s="9" t="str">
        <f>IFERROR(__xludf.DUMMYFUNCTION("""COMPUTED_VALUE"""),"C++")</f>
        <v>C++</v>
      </c>
      <c r="G3453" s="9" t="str">
        <f>IFERROR(__xludf.DUMMYFUNCTION("""COMPUTED_VALUE"""),"Python")</f>
        <v>Python</v>
      </c>
      <c r="H3453" s="9" t="str">
        <f>IFERROR(__xludf.DUMMYFUNCTION("""COMPUTED_VALUE"""),"PHP")</f>
        <v>PHP</v>
      </c>
      <c r="I3453" s="9" t="str">
        <f>IFERROR(__xludf.DUMMYFUNCTION("""COMPUTED_VALUE"""),"SQL")</f>
        <v>SQL</v>
      </c>
      <c r="J3453" s="9" t="str">
        <f>IFERROR(__xludf.DUMMYFUNCTION("""COMPUTED_VALUE"""),"Bash/Shell/PowerShell")</f>
        <v>Bash/Shell/PowerShell</v>
      </c>
      <c r="K3453" s="9" t="str">
        <f>IFERROR(__xludf.DUMMYFUNCTION("""COMPUTED_VALUE"""),"TypeScript")</f>
        <v>TypeScript</v>
      </c>
      <c r="L3453" s="9" t="str">
        <f>IFERROR(__xludf.DUMMYFUNCTION("""COMPUTED_VALUE"""),"Java")</f>
        <v>Java</v>
      </c>
      <c r="M3453" s="9" t="s">
        <v>25</v>
      </c>
    </row>
    <row r="3454" ht="15.75" customHeight="1">
      <c r="A3454" s="7"/>
      <c r="B3454" s="7" t="str">
        <f>IFERROR(__xludf.DUMMYFUNCTION("""COMPUTED_VALUE"""),"Go;HTML/CSS;JavaScript;Python;R;SQL;TypeScript;VBA")</f>
        <v>Go;HTML/CSS;JavaScript;Python;R;SQL;TypeScript;VBA</v>
      </c>
      <c r="C3454" s="9" t="str">
        <f>IFERROR(__xludf.DUMMYFUNCTION("""COMPUTED_VALUE"""),"C++")</f>
        <v>C++</v>
      </c>
      <c r="D3454" s="9" t="str">
        <f>IFERROR(__xludf.DUMMYFUNCTION("""COMPUTED_VALUE"""),"Assembly")</f>
        <v>Assembly</v>
      </c>
      <c r="E3454" s="9" t="str">
        <f>IFERROR(__xludf.DUMMYFUNCTION("""COMPUTED_VALUE"""),"JavaScript")</f>
        <v>JavaScript</v>
      </c>
      <c r="F3454" s="9" t="str">
        <f>IFERROR(__xludf.DUMMYFUNCTION("""COMPUTED_VALUE"""),"C#")</f>
        <v>C#</v>
      </c>
      <c r="G3454" s="9" t="str">
        <f>IFERROR(__xludf.DUMMYFUNCTION("""COMPUTED_VALUE"""),"SQL")</f>
        <v>SQL</v>
      </c>
      <c r="H3454" s="9" t="str">
        <f>IFERROR(__xludf.DUMMYFUNCTION("""COMPUTED_VALUE"""),"Python")</f>
        <v>Python</v>
      </c>
      <c r="I3454" s="9" t="str">
        <f>IFERROR(__xludf.DUMMYFUNCTION("""COMPUTED_VALUE"""),"TypeScript")</f>
        <v>TypeScript</v>
      </c>
      <c r="J3454" s="9" t="str">
        <f>IFERROR(__xludf.DUMMYFUNCTION("""COMPUTED_VALUE"""),"C#")</f>
        <v>C#</v>
      </c>
      <c r="K3454" s="9" t="str">
        <f>IFERROR(__xludf.DUMMYFUNCTION("""COMPUTED_VALUE"""),"Bash/Shell/PowerShell")</f>
        <v>Bash/Shell/PowerShell</v>
      </c>
      <c r="L3454" s="9" t="str">
        <f>IFERROR(__xludf.DUMMYFUNCTION("""COMPUTED_VALUE"""),"Python")</f>
        <v>Python</v>
      </c>
      <c r="M3454" s="9" t="s">
        <v>23</v>
      </c>
    </row>
    <row r="3455" ht="15.75" customHeight="1">
      <c r="A3455" s="7"/>
      <c r="B3455" s="7" t="str">
        <f>IFERROR(__xludf.DUMMYFUNCTION("""COMPUTED_VALUE"""),"Bash/Shell/PowerShell;Java;JavaScript;Python;SQL")</f>
        <v>Bash/Shell/PowerShell;Java;JavaScript;Python;SQL</v>
      </c>
      <c r="C3455" s="9" t="str">
        <f>IFERROR(__xludf.DUMMYFUNCTION("""COMPUTED_VALUE"""),"HTML/CSS")</f>
        <v>HTML/CSS</v>
      </c>
      <c r="D3455" s="9" t="str">
        <f>IFERROR(__xludf.DUMMYFUNCTION("""COMPUTED_VALUE"""),"HTML/CSS")</f>
        <v>HTML/CSS</v>
      </c>
      <c r="E3455" s="9" t="str">
        <f>IFERROR(__xludf.DUMMYFUNCTION("""COMPUTED_VALUE"""),"PHP")</f>
        <v>PHP</v>
      </c>
      <c r="F3455" s="9" t="str">
        <f>IFERROR(__xludf.DUMMYFUNCTION("""COMPUTED_VALUE"""),"HTML/CSS")</f>
        <v>HTML/CSS</v>
      </c>
      <c r="G3455" s="9" t="str">
        <f>IFERROR(__xludf.DUMMYFUNCTION("""COMPUTED_VALUE"""),"C#")</f>
        <v>C#</v>
      </c>
      <c r="H3455" s="9" t="str">
        <f>IFERROR(__xludf.DUMMYFUNCTION("""COMPUTED_VALUE"""),"SQL")</f>
        <v>SQL</v>
      </c>
      <c r="I3455" s="9" t="str">
        <f>IFERROR(__xludf.DUMMYFUNCTION("""COMPUTED_VALUE"""),"Assembly")</f>
        <v>Assembly</v>
      </c>
      <c r="J3455" s="9" t="str">
        <f>IFERROR(__xludf.DUMMYFUNCTION("""COMPUTED_VALUE"""),"Go")</f>
        <v>Go</v>
      </c>
      <c r="K3455" s="9" t="str">
        <f>IFERROR(__xludf.DUMMYFUNCTION("""COMPUTED_VALUE"""),"C")</f>
        <v>C</v>
      </c>
      <c r="L3455" s="9" t="str">
        <f>IFERROR(__xludf.DUMMYFUNCTION("""COMPUTED_VALUE"""),"Other(s):")</f>
        <v>Other(s):</v>
      </c>
      <c r="M3455" s="9" t="s">
        <v>24</v>
      </c>
    </row>
    <row r="3456" ht="15.75" customHeight="1">
      <c r="A3456" s="7"/>
      <c r="B3456" s="7" t="str">
        <f>IFERROR(__xludf.DUMMYFUNCTION("""COMPUTED_VALUE"""),"C#;HTML/CSS;JavaScript;TypeScript")</f>
        <v>C#;HTML/CSS;JavaScript;TypeScript</v>
      </c>
      <c r="C3456" s="9" t="str">
        <f>IFERROR(__xludf.DUMMYFUNCTION("""COMPUTED_VALUE"""),"Java")</f>
        <v>Java</v>
      </c>
      <c r="D3456" s="9" t="str">
        <f>IFERROR(__xludf.DUMMYFUNCTION("""COMPUTED_VALUE"""),"Java")</f>
        <v>Java</v>
      </c>
      <c r="E3456" s="9" t="str">
        <f>IFERROR(__xludf.DUMMYFUNCTION("""COMPUTED_VALUE"""),"Bash/Shell/PowerShell")</f>
        <v>Bash/Shell/PowerShell</v>
      </c>
      <c r="F3456" s="9" t="str">
        <f>IFERROR(__xludf.DUMMYFUNCTION("""COMPUTED_VALUE"""),"Java")</f>
        <v>Java</v>
      </c>
      <c r="G3456" s="9" t="str">
        <f>IFERROR(__xludf.DUMMYFUNCTION("""COMPUTED_VALUE"""),"HTML/CSS")</f>
        <v>HTML/CSS</v>
      </c>
      <c r="H3456" s="9" t="str">
        <f>IFERROR(__xludf.DUMMYFUNCTION("""COMPUTED_VALUE"""),"C++")</f>
        <v>C++</v>
      </c>
      <c r="I3456" s="9" t="str">
        <f>IFERROR(__xludf.DUMMYFUNCTION("""COMPUTED_VALUE"""),"Bash/Shell/PowerShell")</f>
        <v>Bash/Shell/PowerShell</v>
      </c>
      <c r="J3456" s="9" t="str">
        <f>IFERROR(__xludf.DUMMYFUNCTION("""COMPUTED_VALUE"""),"HTML/CSS")</f>
        <v>HTML/CSS</v>
      </c>
      <c r="K3456" s="9" t="str">
        <f>IFERROR(__xludf.DUMMYFUNCTION("""COMPUTED_VALUE"""),"C++")</f>
        <v>C++</v>
      </c>
      <c r="L3456" s="9" t="str">
        <f>IFERROR(__xludf.DUMMYFUNCTION("""COMPUTED_VALUE"""),"Bash/Shell/PowerShell")</f>
        <v>Bash/Shell/PowerShell</v>
      </c>
      <c r="M3456" s="9" t="s">
        <v>20</v>
      </c>
    </row>
    <row r="3457" ht="15.75" customHeight="1">
      <c r="A3457" s="7"/>
      <c r="B3457" s="7" t="str">
        <f>IFERROR(__xludf.DUMMYFUNCTION("""COMPUTED_VALUE"""),"Bash/Shell/PowerShell;JavaScript;TypeScript")</f>
        <v>Bash/Shell/PowerShell;JavaScript;TypeScript</v>
      </c>
      <c r="C3457" s="9" t="str">
        <f>IFERROR(__xludf.DUMMYFUNCTION("""COMPUTED_VALUE"""),"JavaScript")</f>
        <v>JavaScript</v>
      </c>
      <c r="D3457" s="9" t="str">
        <f>IFERROR(__xludf.DUMMYFUNCTION("""COMPUTED_VALUE"""),"JavaScript")</f>
        <v>JavaScript</v>
      </c>
      <c r="E3457" s="9" t="str">
        <f>IFERROR(__xludf.DUMMYFUNCTION("""COMPUTED_VALUE"""),"HTML/CSS")</f>
        <v>HTML/CSS</v>
      </c>
      <c r="F3457" s="9" t="str">
        <f>IFERROR(__xludf.DUMMYFUNCTION("""COMPUTED_VALUE"""),"JavaScript")</f>
        <v>JavaScript</v>
      </c>
      <c r="G3457" s="9" t="str">
        <f>IFERROR(__xludf.DUMMYFUNCTION("""COMPUTED_VALUE"""),"JavaScript")</f>
        <v>JavaScript</v>
      </c>
      <c r="H3457" s="9" t="str">
        <f>IFERROR(__xludf.DUMMYFUNCTION("""COMPUTED_VALUE"""),"C#")</f>
        <v>C#</v>
      </c>
      <c r="I3457" s="9" t="str">
        <f>IFERROR(__xludf.DUMMYFUNCTION("""COMPUTED_VALUE"""),"C")</f>
        <v>C</v>
      </c>
      <c r="J3457" s="9" t="str">
        <f>IFERROR(__xludf.DUMMYFUNCTION("""COMPUTED_VALUE"""),"Java")</f>
        <v>Java</v>
      </c>
      <c r="K3457" s="9" t="str">
        <f>IFERROR(__xludf.DUMMYFUNCTION("""COMPUTED_VALUE"""),"HTML/CSS")</f>
        <v>HTML/CSS</v>
      </c>
      <c r="L3457" s="9" t="str">
        <f>IFERROR(__xludf.DUMMYFUNCTION("""COMPUTED_VALUE"""),"Go")</f>
        <v>Go</v>
      </c>
      <c r="M3457" s="9" t="s">
        <v>21</v>
      </c>
    </row>
    <row r="3458" ht="15.75" customHeight="1">
      <c r="A3458" s="7"/>
      <c r="B3458" s="7" t="str">
        <f>IFERROR(__xludf.DUMMYFUNCTION("""COMPUTED_VALUE"""),"Bash/Shell/PowerShell;Java;JavaScript;R;SQL")</f>
        <v>Bash/Shell/PowerShell;Java;JavaScript;R;SQL</v>
      </c>
      <c r="C3458" s="9" t="str">
        <f>IFERROR(__xludf.DUMMYFUNCTION("""COMPUTED_VALUE"""),"Rust")</f>
        <v>Rust</v>
      </c>
      <c r="D3458" s="9" t="str">
        <f>IFERROR(__xludf.DUMMYFUNCTION("""COMPUTED_VALUE"""),"PHP")</f>
        <v>PHP</v>
      </c>
      <c r="E3458" s="9" t="str">
        <f>IFERROR(__xludf.DUMMYFUNCTION("""COMPUTED_VALUE"""),"Java")</f>
        <v>Java</v>
      </c>
      <c r="F3458" s="9" t="str">
        <f>IFERROR(__xludf.DUMMYFUNCTION("""COMPUTED_VALUE"""),"Python")</f>
        <v>Python</v>
      </c>
      <c r="G3458" s="9" t="str">
        <f>IFERROR(__xludf.DUMMYFUNCTION("""COMPUTED_VALUE"""),"SQL")</f>
        <v>SQL</v>
      </c>
      <c r="H3458" s="9" t="str">
        <f>IFERROR(__xludf.DUMMYFUNCTION("""COMPUTED_VALUE"""),"Go")</f>
        <v>Go</v>
      </c>
      <c r="I3458" s="9" t="str">
        <f>IFERROR(__xludf.DUMMYFUNCTION("""COMPUTED_VALUE"""),"C++")</f>
        <v>C++</v>
      </c>
      <c r="J3458" s="9" t="str">
        <f>IFERROR(__xludf.DUMMYFUNCTION("""COMPUTED_VALUE"""),"Kotlin")</f>
        <v>Kotlin</v>
      </c>
      <c r="K3458" s="9" t="str">
        <f>IFERROR(__xludf.DUMMYFUNCTION("""COMPUTED_VALUE"""),"Java")</f>
        <v>Java</v>
      </c>
      <c r="L3458" s="9" t="str">
        <f>IFERROR(__xludf.DUMMYFUNCTION("""COMPUTED_VALUE"""),"HTML/CSS")</f>
        <v>HTML/CSS</v>
      </c>
      <c r="M3458" s="9" t="s">
        <v>32</v>
      </c>
    </row>
    <row r="3459" ht="15.75" customHeight="1">
      <c r="A3459" s="7"/>
      <c r="B3459" s="7" t="str">
        <f>IFERROR(__xludf.DUMMYFUNCTION("""COMPUTED_VALUE"""),"R")</f>
        <v>R</v>
      </c>
      <c r="C3459" s="9" t="str">
        <f>IFERROR(__xludf.DUMMYFUNCTION("""COMPUTED_VALUE"""),"SQL")</f>
        <v>SQL</v>
      </c>
      <c r="D3459" s="9" t="str">
        <f>IFERROR(__xludf.DUMMYFUNCTION("""COMPUTED_VALUE"""),"Python")</f>
        <v>Python</v>
      </c>
      <c r="E3459" s="9" t="str">
        <f>IFERROR(__xludf.DUMMYFUNCTION("""COMPUTED_VALUE"""),"JavaScript")</f>
        <v>JavaScript</v>
      </c>
      <c r="F3459" s="9" t="str">
        <f>IFERROR(__xludf.DUMMYFUNCTION("""COMPUTED_VALUE"""),"Assembly")</f>
        <v>Assembly</v>
      </c>
      <c r="G3459" s="9" t="str">
        <f>IFERROR(__xludf.DUMMYFUNCTION("""COMPUTED_VALUE"""),"VBA")</f>
        <v>VBA</v>
      </c>
      <c r="H3459" s="9" t="str">
        <f>IFERROR(__xludf.DUMMYFUNCTION("""COMPUTED_VALUE"""),"HTML/CSS")</f>
        <v>HTML/CSS</v>
      </c>
      <c r="I3459" s="9" t="str">
        <f>IFERROR(__xludf.DUMMYFUNCTION("""COMPUTED_VALUE"""),"C#")</f>
        <v>C#</v>
      </c>
      <c r="J3459" s="9" t="str">
        <f>IFERROR(__xludf.DUMMYFUNCTION("""COMPUTED_VALUE"""),"Python")</f>
        <v>Python</v>
      </c>
      <c r="K3459" s="9" t="str">
        <f>IFERROR(__xludf.DUMMYFUNCTION("""COMPUTED_VALUE"""),"Kotlin")</f>
        <v>Kotlin</v>
      </c>
      <c r="L3459" s="9" t="str">
        <f>IFERROR(__xludf.DUMMYFUNCTION("""COMPUTED_VALUE"""),"JavaScript")</f>
        <v>JavaScript</v>
      </c>
      <c r="M3459" s="9" t="s">
        <v>27</v>
      </c>
    </row>
    <row r="3460" ht="15.75" customHeight="1">
      <c r="A3460" s="7"/>
      <c r="B3460" s="7" t="str">
        <f>IFERROR(__xludf.DUMMYFUNCTION("""COMPUTED_VALUE"""),"HTML/CSS;JavaScript;PHP")</f>
        <v>HTML/CSS;JavaScript;PHP</v>
      </c>
      <c r="C3460" s="9" t="str">
        <f>IFERROR(__xludf.DUMMYFUNCTION("""COMPUTED_VALUE"""),"C")</f>
        <v>C</v>
      </c>
      <c r="D3460" s="9" t="str">
        <f>IFERROR(__xludf.DUMMYFUNCTION("""COMPUTED_VALUE"""),"SQL")</f>
        <v>SQL</v>
      </c>
      <c r="E3460" s="9" t="str">
        <f>IFERROR(__xludf.DUMMYFUNCTION("""COMPUTED_VALUE"""),"PHP")</f>
        <v>PHP</v>
      </c>
      <c r="F3460" s="9" t="str">
        <f>IFERROR(__xludf.DUMMYFUNCTION("""COMPUTED_VALUE"""),"Bash/Shell/PowerShell")</f>
        <v>Bash/Shell/PowerShell</v>
      </c>
      <c r="G3460" s="9" t="str">
        <f>IFERROR(__xludf.DUMMYFUNCTION("""COMPUTED_VALUE"""),"C#")</f>
        <v>C#</v>
      </c>
      <c r="H3460" s="9" t="str">
        <f>IFERROR(__xludf.DUMMYFUNCTION("""COMPUTED_VALUE"""),"Java")</f>
        <v>Java</v>
      </c>
      <c r="I3460" s="9" t="str">
        <f>IFERROR(__xludf.DUMMYFUNCTION("""COMPUTED_VALUE"""),"HTML/CSS")</f>
        <v>HTML/CSS</v>
      </c>
      <c r="J3460" s="9" t="str">
        <f>IFERROR(__xludf.DUMMYFUNCTION("""COMPUTED_VALUE"""),"R")</f>
        <v>R</v>
      </c>
      <c r="K3460" s="9" t="str">
        <f>IFERROR(__xludf.DUMMYFUNCTION("""COMPUTED_VALUE"""),"Python")</f>
        <v>Python</v>
      </c>
      <c r="L3460" s="9" t="str">
        <f>IFERROR(__xludf.DUMMYFUNCTION("""COMPUTED_VALUE"""),"Python")</f>
        <v>Python</v>
      </c>
      <c r="M3460" s="9" t="s">
        <v>25</v>
      </c>
    </row>
    <row r="3461" ht="15.75" customHeight="1">
      <c r="A3461" s="7"/>
      <c r="B3461" s="7" t="str">
        <f>IFERROR(__xludf.DUMMYFUNCTION("""COMPUTED_VALUE"""),"Java;JavaScript;SQL")</f>
        <v>Java;JavaScript;SQL</v>
      </c>
      <c r="C3461" s="9" t="str">
        <f>IFERROR(__xludf.DUMMYFUNCTION("""COMPUTED_VALUE"""),"C++")</f>
        <v>C++</v>
      </c>
      <c r="D3461" s="9" t="str">
        <f>IFERROR(__xludf.DUMMYFUNCTION("""COMPUTED_VALUE"""),"C#")</f>
        <v>C#</v>
      </c>
      <c r="E3461" s="9" t="str">
        <f>IFERROR(__xludf.DUMMYFUNCTION("""COMPUTED_VALUE"""),"Python")</f>
        <v>Python</v>
      </c>
      <c r="F3461" s="9" t="str">
        <f>IFERROR(__xludf.DUMMYFUNCTION("""COMPUTED_VALUE"""),"C")</f>
        <v>C</v>
      </c>
      <c r="G3461" s="9" t="str">
        <f>IFERROR(__xludf.DUMMYFUNCTION("""COMPUTED_VALUE"""),"HTML/CSS")</f>
        <v>HTML/CSS</v>
      </c>
      <c r="H3461" s="9" t="str">
        <f>IFERROR(__xludf.DUMMYFUNCTION("""COMPUTED_VALUE"""),"JavaScript")</f>
        <v>JavaScript</v>
      </c>
      <c r="I3461" s="9" t="str">
        <f>IFERROR(__xludf.DUMMYFUNCTION("""COMPUTED_VALUE"""),"Java")</f>
        <v>Java</v>
      </c>
      <c r="J3461" s="9" t="str">
        <f>IFERROR(__xludf.DUMMYFUNCTION("""COMPUTED_VALUE"""),"SQL")</f>
        <v>SQL</v>
      </c>
      <c r="K3461" s="9" t="str">
        <f>IFERROR(__xludf.DUMMYFUNCTION("""COMPUTED_VALUE"""),"Other(s):")</f>
        <v>Other(s):</v>
      </c>
      <c r="L3461" s="9" t="str">
        <f>IFERROR(__xludf.DUMMYFUNCTION("""COMPUTED_VALUE"""),"SQL")</f>
        <v>SQL</v>
      </c>
      <c r="M3461" s="9" t="s">
        <v>23</v>
      </c>
    </row>
    <row r="3462" ht="15.75" customHeight="1">
      <c r="A3462" s="7"/>
      <c r="B3462" s="7" t="str">
        <f>IFERROR(__xludf.DUMMYFUNCTION("""COMPUTED_VALUE"""),"HTML/CSS;JavaScript;PHP")</f>
        <v>HTML/CSS;JavaScript;PHP</v>
      </c>
      <c r="C3462" s="9" t="str">
        <f>IFERROR(__xludf.DUMMYFUNCTION("""COMPUTED_VALUE"""),"HTML/CSS")</f>
        <v>HTML/CSS</v>
      </c>
      <c r="D3462" s="9" t="str">
        <f>IFERROR(__xludf.DUMMYFUNCTION("""COMPUTED_VALUE"""),"HTML/CSS")</f>
        <v>HTML/CSS</v>
      </c>
      <c r="E3462" s="9" t="str">
        <f>IFERROR(__xludf.DUMMYFUNCTION("""COMPUTED_VALUE"""),"SQL")</f>
        <v>SQL</v>
      </c>
      <c r="F3462" s="9" t="str">
        <f>IFERROR(__xludf.DUMMYFUNCTION("""COMPUTED_VALUE"""),"C++")</f>
        <v>C++</v>
      </c>
      <c r="G3462" s="9" t="str">
        <f>IFERROR(__xludf.DUMMYFUNCTION("""COMPUTED_VALUE"""),"Java")</f>
        <v>Java</v>
      </c>
      <c r="H3462" s="9" t="str">
        <f>IFERROR(__xludf.DUMMYFUNCTION("""COMPUTED_VALUE"""),"Objective-C")</f>
        <v>Objective-C</v>
      </c>
      <c r="I3462" s="9" t="str">
        <f>IFERROR(__xludf.DUMMYFUNCTION("""COMPUTED_VALUE"""),"JavaScript")</f>
        <v>JavaScript</v>
      </c>
      <c r="J3462" s="9" t="str">
        <f>IFERROR(__xludf.DUMMYFUNCTION("""COMPUTED_VALUE"""),"C")</f>
        <v>C</v>
      </c>
      <c r="K3462" s="9" t="str">
        <f>IFERROR(__xludf.DUMMYFUNCTION("""COMPUTED_VALUE"""),"Assembly")</f>
        <v>Assembly</v>
      </c>
      <c r="L3462" s="9" t="str">
        <f>IFERROR(__xludf.DUMMYFUNCTION("""COMPUTED_VALUE"""),"C#")</f>
        <v>C#</v>
      </c>
      <c r="M3462" s="9" t="s">
        <v>24</v>
      </c>
    </row>
    <row r="3463" ht="15.75" customHeight="1">
      <c r="A3463" s="7"/>
      <c r="B3463" s="7" t="str">
        <f>IFERROR(__xludf.DUMMYFUNCTION("""COMPUTED_VALUE"""),"Bash/Shell/PowerShell;HTML/CSS;JavaScript;Python")</f>
        <v>Bash/Shell/PowerShell;HTML/CSS;JavaScript;Python</v>
      </c>
      <c r="C3463" s="9" t="str">
        <f>IFERROR(__xludf.DUMMYFUNCTION("""COMPUTED_VALUE"""),"JavaScript")</f>
        <v>JavaScript</v>
      </c>
      <c r="D3463" s="9" t="str">
        <f>IFERROR(__xludf.DUMMYFUNCTION("""COMPUTED_VALUE"""),"JavaScript")</f>
        <v>JavaScript</v>
      </c>
      <c r="E3463" s="9" t="str">
        <f>IFERROR(__xludf.DUMMYFUNCTION("""COMPUTED_VALUE"""),"Bash/Shell/PowerShell")</f>
        <v>Bash/Shell/PowerShell</v>
      </c>
      <c r="F3463" s="9" t="str">
        <f>IFERROR(__xludf.DUMMYFUNCTION("""COMPUTED_VALUE"""),"C#")</f>
        <v>C#</v>
      </c>
      <c r="G3463" s="9" t="str">
        <f>IFERROR(__xludf.DUMMYFUNCTION("""COMPUTED_VALUE"""),"JavaScript")</f>
        <v>JavaScript</v>
      </c>
      <c r="H3463" s="9" t="str">
        <f>IFERROR(__xludf.DUMMYFUNCTION("""COMPUTED_VALUE"""),"PHP")</f>
        <v>PHP</v>
      </c>
      <c r="I3463" s="9" t="str">
        <f>IFERROR(__xludf.DUMMYFUNCTION("""COMPUTED_VALUE"""),"PHP")</f>
        <v>PHP</v>
      </c>
      <c r="J3463" s="9" t="str">
        <f>IFERROR(__xludf.DUMMYFUNCTION("""COMPUTED_VALUE"""),"HTML/CSS")</f>
        <v>HTML/CSS</v>
      </c>
      <c r="K3463" s="9" t="str">
        <f>IFERROR(__xludf.DUMMYFUNCTION("""COMPUTED_VALUE"""),"Bash/Shell/PowerShell")</f>
        <v>Bash/Shell/PowerShell</v>
      </c>
      <c r="L3463" s="9" t="str">
        <f>IFERROR(__xludf.DUMMYFUNCTION("""COMPUTED_VALUE"""),"HTML/CSS")</f>
        <v>HTML/CSS</v>
      </c>
      <c r="M3463" s="9" t="s">
        <v>21</v>
      </c>
    </row>
    <row r="3464" ht="15.75" customHeight="1">
      <c r="A3464" s="7"/>
      <c r="B3464" s="7" t="str">
        <f>IFERROR(__xludf.DUMMYFUNCTION("""COMPUTED_VALUE"""),"C;C++;HTML/CSS;Java;JavaScript;PHP;Python;R;SQL")</f>
        <v>C;C++;HTML/CSS;Java;JavaScript;PHP;Python;R;SQL</v>
      </c>
      <c r="C3464" s="9" t="str">
        <f>IFERROR(__xludf.DUMMYFUNCTION("""COMPUTED_VALUE"""),"PHP")</f>
        <v>PHP</v>
      </c>
      <c r="D3464" s="9" t="str">
        <f>IFERROR(__xludf.DUMMYFUNCTION("""COMPUTED_VALUE"""),"C")</f>
        <v>C</v>
      </c>
      <c r="E3464" s="9" t="str">
        <f>IFERROR(__xludf.DUMMYFUNCTION("""COMPUTED_VALUE"""),"C")</f>
        <v>C</v>
      </c>
      <c r="F3464" s="9" t="str">
        <f>IFERROR(__xludf.DUMMYFUNCTION("""COMPUTED_VALUE"""),"Python")</f>
        <v>Python</v>
      </c>
      <c r="G3464" s="9" t="str">
        <f>IFERROR(__xludf.DUMMYFUNCTION("""COMPUTED_VALUE"""),"Python")</f>
        <v>Python</v>
      </c>
      <c r="H3464" s="9" t="str">
        <f>IFERROR(__xludf.DUMMYFUNCTION("""COMPUTED_VALUE"""),"SQL")</f>
        <v>SQL</v>
      </c>
      <c r="I3464" s="9" t="str">
        <f>IFERROR(__xludf.DUMMYFUNCTION("""COMPUTED_VALUE"""),"SQL")</f>
        <v>SQL</v>
      </c>
      <c r="J3464" s="9" t="str">
        <f>IFERROR(__xludf.DUMMYFUNCTION("""COMPUTED_VALUE"""),"Java")</f>
        <v>Java</v>
      </c>
      <c r="K3464" s="9" t="str">
        <f>IFERROR(__xludf.DUMMYFUNCTION("""COMPUTED_VALUE"""),"C")</f>
        <v>C</v>
      </c>
      <c r="L3464" s="9" t="str">
        <f>IFERROR(__xludf.DUMMYFUNCTION("""COMPUTED_VALUE"""),"JavaScript")</f>
        <v>JavaScript</v>
      </c>
      <c r="M3464" s="9" t="s">
        <v>37</v>
      </c>
    </row>
    <row r="3465" ht="15.75" customHeight="1">
      <c r="A3465" s="7"/>
      <c r="B3465" s="7" t="str">
        <f>IFERROR(__xludf.DUMMYFUNCTION("""COMPUTED_VALUE"""),"Bash/Shell/PowerShell;HTML/CSS;Java;JavaScript;VBA")</f>
        <v>Bash/Shell/PowerShell;HTML/CSS;Java;JavaScript;VBA</v>
      </c>
      <c r="C3465" s="9" t="str">
        <f>IFERROR(__xludf.DUMMYFUNCTION("""COMPUTED_VALUE"""),"Python")</f>
        <v>Python</v>
      </c>
      <c r="D3465" s="9" t="str">
        <f>IFERROR(__xludf.DUMMYFUNCTION("""COMPUTED_VALUE"""),"C++")</f>
        <v>C++</v>
      </c>
      <c r="E3465" s="9" t="str">
        <f>IFERROR(__xludf.DUMMYFUNCTION("""COMPUTED_VALUE"""),"Java")</f>
        <v>Java</v>
      </c>
      <c r="F3465" s="9" t="str">
        <f>IFERROR(__xludf.DUMMYFUNCTION("""COMPUTED_VALUE"""),"Other(s):")</f>
        <v>Other(s):</v>
      </c>
      <c r="G3465" s="9" t="str">
        <f>IFERROR(__xludf.DUMMYFUNCTION("""COMPUTED_VALUE"""),"SQL")</f>
        <v>SQL</v>
      </c>
      <c r="H3465" s="9" t="str">
        <f>IFERROR(__xludf.DUMMYFUNCTION("""COMPUTED_VALUE"""),"TypeScript")</f>
        <v>TypeScript</v>
      </c>
      <c r="I3465" s="9" t="str">
        <f>IFERROR(__xludf.DUMMYFUNCTION("""COMPUTED_VALUE"""),"VBA")</f>
        <v>VBA</v>
      </c>
      <c r="J3465" s="9" t="str">
        <f>IFERROR(__xludf.DUMMYFUNCTION("""COMPUTED_VALUE"""),"JavaScript")</f>
        <v>JavaScript</v>
      </c>
      <c r="K3465" s="9" t="str">
        <f>IFERROR(__xludf.DUMMYFUNCTION("""COMPUTED_VALUE"""),"HTML/CSS")</f>
        <v>HTML/CSS</v>
      </c>
      <c r="L3465" s="9" t="str">
        <f>IFERROR(__xludf.DUMMYFUNCTION("""COMPUTED_VALUE"""),"PHP")</f>
        <v>PHP</v>
      </c>
      <c r="M3465" s="9" t="s">
        <v>22</v>
      </c>
    </row>
    <row r="3466" ht="15.75" customHeight="1">
      <c r="A3466" s="7"/>
      <c r="B3466" s="7" t="str">
        <f>IFERROR(__xludf.DUMMYFUNCTION("""COMPUTED_VALUE"""),"Bash/Shell/PowerShell;HTML/CSS;JavaScript;Python;SQL")</f>
        <v>Bash/Shell/PowerShell;HTML/CSS;JavaScript;Python;SQL</v>
      </c>
      <c r="C3466" s="9" t="str">
        <f>IFERROR(__xludf.DUMMYFUNCTION("""COMPUTED_VALUE"""),"SQL")</f>
        <v>SQL</v>
      </c>
      <c r="D3466" s="9" t="str">
        <f>IFERROR(__xludf.DUMMYFUNCTION("""COMPUTED_VALUE"""),"HTML/CSS")</f>
        <v>HTML/CSS</v>
      </c>
      <c r="E3466" s="9" t="str">
        <f>IFERROR(__xludf.DUMMYFUNCTION("""COMPUTED_VALUE"""),"Bash/Shell/PowerShell")</f>
        <v>Bash/Shell/PowerShell</v>
      </c>
      <c r="F3466" s="9" t="str">
        <f>IFERROR(__xludf.DUMMYFUNCTION("""COMPUTED_VALUE"""),"JavaScript")</f>
        <v>JavaScript</v>
      </c>
      <c r="G3466" s="9" t="str">
        <f>IFERROR(__xludf.DUMMYFUNCTION("""COMPUTED_VALUE"""),"TypeScript")</f>
        <v>TypeScript</v>
      </c>
      <c r="H3466" s="9" t="str">
        <f>IFERROR(__xludf.DUMMYFUNCTION("""COMPUTED_VALUE"""),"Java")</f>
        <v>Java</v>
      </c>
      <c r="I3466" s="9" t="str">
        <f>IFERROR(__xludf.DUMMYFUNCTION("""COMPUTED_VALUE"""),"JavaScript")</f>
        <v>JavaScript</v>
      </c>
      <c r="J3466" s="9" t="str">
        <f>IFERROR(__xludf.DUMMYFUNCTION("""COMPUTED_VALUE"""),"SQL")</f>
        <v>SQL</v>
      </c>
      <c r="K3466" s="9" t="str">
        <f>IFERROR(__xludf.DUMMYFUNCTION("""COMPUTED_VALUE"""),"Java")</f>
        <v>Java</v>
      </c>
      <c r="L3466" s="9" t="str">
        <f>IFERROR(__xludf.DUMMYFUNCTION("""COMPUTED_VALUE"""),"SQL")</f>
        <v>SQL</v>
      </c>
      <c r="M3466" s="9" t="s">
        <v>27</v>
      </c>
    </row>
    <row r="3467" ht="15.75" customHeight="1">
      <c r="A3467" s="7"/>
      <c r="B3467" s="7" t="str">
        <f>IFERROR(__xludf.DUMMYFUNCTION("""COMPUTED_VALUE"""),"Bash/Shell/PowerShell;HTML/CSS;JavaScript;PHP;Python")</f>
        <v>Bash/Shell/PowerShell;HTML/CSS;JavaScript;PHP;Python</v>
      </c>
      <c r="C3467" s="9" t="str">
        <f>IFERROR(__xludf.DUMMYFUNCTION("""COMPUTED_VALUE"""),"Bash/Shell/PowerShell")</f>
        <v>Bash/Shell/PowerShell</v>
      </c>
      <c r="D3467" s="9" t="str">
        <f>IFERROR(__xludf.DUMMYFUNCTION("""COMPUTED_VALUE"""),"JavaScript")</f>
        <v>JavaScript</v>
      </c>
      <c r="E3467" s="9" t="str">
        <f>IFERROR(__xludf.DUMMYFUNCTION("""COMPUTED_VALUE"""),"Dart")</f>
        <v>Dart</v>
      </c>
      <c r="F3467" s="9" t="str">
        <f>IFERROR(__xludf.DUMMYFUNCTION("""COMPUTED_VALUE"""),"Python")</f>
        <v>Python</v>
      </c>
      <c r="G3467" s="9" t="str">
        <f>IFERROR(__xludf.DUMMYFUNCTION("""COMPUTED_VALUE"""),"Assembly")</f>
        <v>Assembly</v>
      </c>
      <c r="H3467" s="9" t="str">
        <f>IFERROR(__xludf.DUMMYFUNCTION("""COMPUTED_VALUE"""),"Bash/Shell/PowerShell")</f>
        <v>Bash/Shell/PowerShell</v>
      </c>
      <c r="I3467" s="9" t="str">
        <f>IFERROR(__xludf.DUMMYFUNCTION("""COMPUTED_VALUE"""),"C#")</f>
        <v>C#</v>
      </c>
      <c r="J3467" s="9" t="str">
        <f>IFERROR(__xludf.DUMMYFUNCTION("""COMPUTED_VALUE"""),"HTML/CSS")</f>
        <v>HTML/CSS</v>
      </c>
      <c r="K3467" s="9" t="str">
        <f>IFERROR(__xludf.DUMMYFUNCTION("""COMPUTED_VALUE"""),"JavaScript")</f>
        <v>JavaScript</v>
      </c>
      <c r="L3467" s="9" t="str">
        <f>IFERROR(__xludf.DUMMYFUNCTION("""COMPUTED_VALUE"""),"TypeScript")</f>
        <v>TypeScript</v>
      </c>
      <c r="M3467" s="9" t="s">
        <v>30</v>
      </c>
    </row>
    <row r="3468" ht="15.75" customHeight="1">
      <c r="A3468" s="7"/>
      <c r="B3468" s="7" t="str">
        <f>IFERROR(__xludf.DUMMYFUNCTION("""COMPUTED_VALUE"""),"Elixir;HTML/CSS;JavaScript;SQL;TypeScript")</f>
        <v>Elixir;HTML/CSS;JavaScript;SQL;TypeScript</v>
      </c>
      <c r="C3468" s="9" t="str">
        <f>IFERROR(__xludf.DUMMYFUNCTION("""COMPUTED_VALUE"""),"C#")</f>
        <v>C#</v>
      </c>
      <c r="D3468" s="9" t="str">
        <f>IFERROR(__xludf.DUMMYFUNCTION("""COMPUTED_VALUE"""),"PHP")</f>
        <v>PHP</v>
      </c>
      <c r="E3468" s="9" t="str">
        <f>IFERROR(__xludf.DUMMYFUNCTION("""COMPUTED_VALUE"""),"Java")</f>
        <v>Java</v>
      </c>
      <c r="F3468" s="9" t="str">
        <f>IFERROR(__xludf.DUMMYFUNCTION("""COMPUTED_VALUE"""),"R")</f>
        <v>R</v>
      </c>
      <c r="G3468" s="9" t="str">
        <f>IFERROR(__xludf.DUMMYFUNCTION("""COMPUTED_VALUE"""),"C")</f>
        <v>C</v>
      </c>
      <c r="H3468" s="9" t="str">
        <f>IFERROR(__xludf.DUMMYFUNCTION("""COMPUTED_VALUE"""),"C++")</f>
        <v>C++</v>
      </c>
      <c r="I3468" s="9" t="str">
        <f>IFERROR(__xludf.DUMMYFUNCTION("""COMPUTED_VALUE"""),"F#")</f>
        <v>F#</v>
      </c>
      <c r="J3468" s="9" t="str">
        <f>IFERROR(__xludf.DUMMYFUNCTION("""COMPUTED_VALUE"""),"Python")</f>
        <v>Python</v>
      </c>
      <c r="K3468" s="9" t="str">
        <f>IFERROR(__xludf.DUMMYFUNCTION("""COMPUTED_VALUE"""),"PHP")</f>
        <v>PHP</v>
      </c>
      <c r="L3468" s="9" t="str">
        <f>IFERROR(__xludf.DUMMYFUNCTION("""COMPUTED_VALUE"""),"Bash/Shell/PowerShell")</f>
        <v>Bash/Shell/PowerShell</v>
      </c>
      <c r="M3468" s="9" t="s">
        <v>26</v>
      </c>
    </row>
    <row r="3469" ht="15.75" customHeight="1">
      <c r="A3469" s="7"/>
      <c r="B3469" s="7" t="str">
        <f>IFERROR(__xludf.DUMMYFUNCTION("""COMPUTED_VALUE"""),"Bash/Shell/PowerShell;Go;HTML/CSS;Java;JavaScript;Kotlin;Python;SQL")</f>
        <v>Bash/Shell/PowerShell;Go;HTML/CSS;Java;JavaScript;Kotlin;Python;SQL</v>
      </c>
      <c r="C3469" s="9" t="str">
        <f>IFERROR(__xludf.DUMMYFUNCTION("""COMPUTED_VALUE"""),"HTML/CSS")</f>
        <v>HTML/CSS</v>
      </c>
      <c r="D3469" s="9" t="str">
        <f>IFERROR(__xludf.DUMMYFUNCTION("""COMPUTED_VALUE"""),"SQL")</f>
        <v>SQL</v>
      </c>
      <c r="E3469" s="9" t="str">
        <f>IFERROR(__xludf.DUMMYFUNCTION("""COMPUTED_VALUE"""),"JavaScript")</f>
        <v>JavaScript</v>
      </c>
      <c r="F3469" s="9" t="str">
        <f>IFERROR(__xludf.DUMMYFUNCTION("""COMPUTED_VALUE"""),"Ruby")</f>
        <v>Ruby</v>
      </c>
      <c r="G3469" s="9" t="str">
        <f>IFERROR(__xludf.DUMMYFUNCTION("""COMPUTED_VALUE"""),"C++")</f>
        <v>C++</v>
      </c>
      <c r="H3469" s="9" t="str">
        <f>IFERROR(__xludf.DUMMYFUNCTION("""COMPUTED_VALUE"""),"Go")</f>
        <v>Go</v>
      </c>
      <c r="I3469" s="9" t="str">
        <f>IFERROR(__xludf.DUMMYFUNCTION("""COMPUTED_VALUE"""),"HTML/CSS")</f>
        <v>HTML/CSS</v>
      </c>
      <c r="J3469" s="9" t="str">
        <f>IFERROR(__xludf.DUMMYFUNCTION("""COMPUTED_VALUE"""),"SQL")</f>
        <v>SQL</v>
      </c>
      <c r="K3469" s="9" t="str">
        <f>IFERROR(__xludf.DUMMYFUNCTION("""COMPUTED_VALUE"""),"SQL")</f>
        <v>SQL</v>
      </c>
      <c r="L3469" s="9" t="str">
        <f>IFERROR(__xludf.DUMMYFUNCTION("""COMPUTED_VALUE"""),"Java")</f>
        <v>Java</v>
      </c>
      <c r="M3469" s="9" t="s">
        <v>24</v>
      </c>
    </row>
    <row r="3470" ht="15.75" customHeight="1">
      <c r="A3470" s="7"/>
      <c r="B3470" s="7" t="str">
        <f>IFERROR(__xludf.DUMMYFUNCTION("""COMPUTED_VALUE"""),"HTML/CSS;JavaScript;PHP")</f>
        <v>HTML/CSS;JavaScript;PHP</v>
      </c>
      <c r="C3470" s="9" t="str">
        <f>IFERROR(__xludf.DUMMYFUNCTION("""COMPUTED_VALUE"""),"JavaScript")</f>
        <v>JavaScript</v>
      </c>
      <c r="D3470" s="9" t="str">
        <f>IFERROR(__xludf.DUMMYFUNCTION("""COMPUTED_VALUE"""),"Bash/Shell/PowerShell")</f>
        <v>Bash/Shell/PowerShell</v>
      </c>
      <c r="E3470" s="9" t="str">
        <f>IFERROR(__xludf.DUMMYFUNCTION("""COMPUTED_VALUE"""),"Kotlin")</f>
        <v>Kotlin</v>
      </c>
      <c r="F3470" s="9" t="str">
        <f>IFERROR(__xludf.DUMMYFUNCTION("""COMPUTED_VALUE"""),"Bash/Shell/PowerShell")</f>
        <v>Bash/Shell/PowerShell</v>
      </c>
      <c r="G3470" s="9" t="str">
        <f>IFERROR(__xludf.DUMMYFUNCTION("""COMPUTED_VALUE"""),"HTML/CSS")</f>
        <v>HTML/CSS</v>
      </c>
      <c r="H3470" s="9" t="str">
        <f>IFERROR(__xludf.DUMMYFUNCTION("""COMPUTED_VALUE"""),"HTML/CSS")</f>
        <v>HTML/CSS</v>
      </c>
      <c r="I3470" s="9" t="str">
        <f>IFERROR(__xludf.DUMMYFUNCTION("""COMPUTED_VALUE"""),"Java")</f>
        <v>Java</v>
      </c>
      <c r="J3470" s="9" t="str">
        <f>IFERROR(__xludf.DUMMYFUNCTION("""COMPUTED_VALUE"""),"Bash/Shell/PowerShell")</f>
        <v>Bash/Shell/PowerShell</v>
      </c>
      <c r="K3470" s="9" t="str">
        <f>IFERROR(__xludf.DUMMYFUNCTION("""COMPUTED_VALUE"""),"HTML/CSS")</f>
        <v>HTML/CSS</v>
      </c>
      <c r="L3470" s="9" t="str">
        <f>IFERROR(__xludf.DUMMYFUNCTION("""COMPUTED_VALUE"""),"Python")</f>
        <v>Python</v>
      </c>
      <c r="M3470" s="9" t="s">
        <v>21</v>
      </c>
    </row>
    <row r="3471" ht="15.75" customHeight="1">
      <c r="A3471" s="7"/>
      <c r="B3471" s="7" t="str">
        <f>IFERROR(__xludf.DUMMYFUNCTION("""COMPUTED_VALUE"""),"HTML/CSS;JavaScript")</f>
        <v>HTML/CSS;JavaScript</v>
      </c>
      <c r="C3471" s="9" t="str">
        <f>IFERROR(__xludf.DUMMYFUNCTION("""COMPUTED_VALUE"""),"SQL")</f>
        <v>SQL</v>
      </c>
      <c r="D3471" s="9" t="str">
        <f>IFERROR(__xludf.DUMMYFUNCTION("""COMPUTED_VALUE"""),"HTML/CSS")</f>
        <v>HTML/CSS</v>
      </c>
      <c r="E3471" s="9" t="str">
        <f>IFERROR(__xludf.DUMMYFUNCTION("""COMPUTED_VALUE"""),"R")</f>
        <v>R</v>
      </c>
      <c r="F3471" s="9" t="str">
        <f>IFERROR(__xludf.DUMMYFUNCTION("""COMPUTED_VALUE"""),"Go")</f>
        <v>Go</v>
      </c>
      <c r="G3471" s="9" t="str">
        <f>IFERROR(__xludf.DUMMYFUNCTION("""COMPUTED_VALUE"""),"JavaScript")</f>
        <v>JavaScript</v>
      </c>
      <c r="H3471" s="9" t="str">
        <f>IFERROR(__xludf.DUMMYFUNCTION("""COMPUTED_VALUE"""),"JavaScript")</f>
        <v>JavaScript</v>
      </c>
      <c r="I3471" s="9" t="str">
        <f>IFERROR(__xludf.DUMMYFUNCTION("""COMPUTED_VALUE"""),"JavaScript")</f>
        <v>JavaScript</v>
      </c>
      <c r="J3471" s="9" t="str">
        <f>IFERROR(__xludf.DUMMYFUNCTION("""COMPUTED_VALUE"""),"Go")</f>
        <v>Go</v>
      </c>
      <c r="K3471" s="9" t="str">
        <f>IFERROR(__xludf.DUMMYFUNCTION("""COMPUTED_VALUE"""),"JavaScript")</f>
        <v>JavaScript</v>
      </c>
      <c r="L3471" s="9" t="str">
        <f>IFERROR(__xludf.DUMMYFUNCTION("""COMPUTED_VALUE"""),"Rust")</f>
        <v>Rust</v>
      </c>
      <c r="M3471" s="9" t="s">
        <v>27</v>
      </c>
    </row>
    <row r="3472" ht="15.75" customHeight="1">
      <c r="A3472" s="7"/>
      <c r="B3472" s="7" t="str">
        <f>IFERROR(__xludf.DUMMYFUNCTION("""COMPUTED_VALUE"""),"Java;Kotlin")</f>
        <v>Java;Kotlin</v>
      </c>
      <c r="C3472" s="9" t="str">
        <f>IFERROR(__xludf.DUMMYFUNCTION("""COMPUTED_VALUE"""),"Dart")</f>
        <v>Dart</v>
      </c>
      <c r="D3472" s="9" t="str">
        <f>IFERROR(__xludf.DUMMYFUNCTION("""COMPUTED_VALUE"""),"JavaScript")</f>
        <v>JavaScript</v>
      </c>
      <c r="E3472" s="9" t="str">
        <f>IFERROR(__xludf.DUMMYFUNCTION("""COMPUTED_VALUE"""),"SQL")</f>
        <v>SQL</v>
      </c>
      <c r="F3472" s="9" t="str">
        <f>IFERROR(__xludf.DUMMYFUNCTION("""COMPUTED_VALUE"""),"HTML/CSS")</f>
        <v>HTML/CSS</v>
      </c>
      <c r="G3472" s="9" t="str">
        <f>IFERROR(__xludf.DUMMYFUNCTION("""COMPUTED_VALUE"""),"Python")</f>
        <v>Python</v>
      </c>
      <c r="H3472" s="9" t="str">
        <f>IFERROR(__xludf.DUMMYFUNCTION("""COMPUTED_VALUE"""),"Python")</f>
        <v>Python</v>
      </c>
      <c r="I3472" s="9" t="str">
        <f>IFERROR(__xludf.DUMMYFUNCTION("""COMPUTED_VALUE"""),"Python")</f>
        <v>Python</v>
      </c>
      <c r="J3472" s="9" t="str">
        <f>IFERROR(__xludf.DUMMYFUNCTION("""COMPUTED_VALUE"""),"HTML/CSS")</f>
        <v>HTML/CSS</v>
      </c>
      <c r="K3472" s="9" t="str">
        <f>IFERROR(__xludf.DUMMYFUNCTION("""COMPUTED_VALUE"""),"PHP")</f>
        <v>PHP</v>
      </c>
      <c r="L3472" s="9" t="str">
        <f>IFERROR(__xludf.DUMMYFUNCTION("""COMPUTED_VALUE"""),"C#")</f>
        <v>C#</v>
      </c>
      <c r="M3472" s="9" t="s">
        <v>47</v>
      </c>
    </row>
    <row r="3473" ht="15.75" customHeight="1">
      <c r="A3473" s="7"/>
      <c r="B3473" s="7" t="str">
        <f>IFERROR(__xludf.DUMMYFUNCTION("""COMPUTED_VALUE"""),"Bash/Shell/PowerShell;HTML/CSS;Java;JavaScript;Kotlin;Objective-C;Python;Swift")</f>
        <v>Bash/Shell/PowerShell;HTML/CSS;Java;JavaScript;Kotlin;Objective-C;Python;Swift</v>
      </c>
      <c r="C3473" s="9" t="str">
        <f>IFERROR(__xludf.DUMMYFUNCTION("""COMPUTED_VALUE"""),"HTML/CSS")</f>
        <v>HTML/CSS</v>
      </c>
      <c r="D3473" s="9" t="str">
        <f>IFERROR(__xludf.DUMMYFUNCTION("""COMPUTED_VALUE"""),"Python")</f>
        <v>Python</v>
      </c>
      <c r="E3473" s="9" t="str">
        <f>IFERROR(__xludf.DUMMYFUNCTION("""COMPUTED_VALUE"""),"C")</f>
        <v>C</v>
      </c>
      <c r="F3473" s="9" t="str">
        <f>IFERROR(__xludf.DUMMYFUNCTION("""COMPUTED_VALUE"""),"JavaScript")</f>
        <v>JavaScript</v>
      </c>
      <c r="G3473" s="9" t="str">
        <f>IFERROR(__xludf.DUMMYFUNCTION("""COMPUTED_VALUE"""),"Rust")</f>
        <v>Rust</v>
      </c>
      <c r="H3473" s="9" t="str">
        <f>IFERROR(__xludf.DUMMYFUNCTION("""COMPUTED_VALUE"""),"TypeScript")</f>
        <v>TypeScript</v>
      </c>
      <c r="I3473" s="9" t="str">
        <f>IFERROR(__xludf.DUMMYFUNCTION("""COMPUTED_VALUE"""),"Other(s):")</f>
        <v>Other(s):</v>
      </c>
      <c r="J3473" s="9" t="str">
        <f>IFERROR(__xludf.DUMMYFUNCTION("""COMPUTED_VALUE"""),"JavaScript")</f>
        <v>JavaScript</v>
      </c>
      <c r="K3473" s="9" t="str">
        <f>IFERROR(__xludf.DUMMYFUNCTION("""COMPUTED_VALUE"""),"SQL")</f>
        <v>SQL</v>
      </c>
      <c r="L3473" s="9" t="str">
        <f>IFERROR(__xludf.DUMMYFUNCTION("""COMPUTED_VALUE"""),"Bash/Shell/PowerShell")</f>
        <v>Bash/Shell/PowerShell</v>
      </c>
      <c r="M3473" s="9" t="s">
        <v>24</v>
      </c>
    </row>
    <row r="3474" ht="15.75" customHeight="1">
      <c r="A3474" s="7"/>
      <c r="B3474" s="7" t="str">
        <f>IFERROR(__xludf.DUMMYFUNCTION("""COMPUTED_VALUE"""),"Bash/Shell/PowerShell;HTML/CSS;Java;JavaScript;PHP")</f>
        <v>Bash/Shell/PowerShell;HTML/CSS;Java;JavaScript;PHP</v>
      </c>
      <c r="C3474" s="9" t="str">
        <f>IFERROR(__xludf.DUMMYFUNCTION("""COMPUTED_VALUE"""),"Java")</f>
        <v>Java</v>
      </c>
      <c r="D3474" s="9" t="str">
        <f>IFERROR(__xludf.DUMMYFUNCTION("""COMPUTED_VALUE"""),"SQL")</f>
        <v>SQL</v>
      </c>
      <c r="E3474" s="9" t="str">
        <f>IFERROR(__xludf.DUMMYFUNCTION("""COMPUTED_VALUE"""),"C#")</f>
        <v>C#</v>
      </c>
      <c r="F3474" s="9" t="str">
        <f>IFERROR(__xludf.DUMMYFUNCTION("""COMPUTED_VALUE"""),"Python")</f>
        <v>Python</v>
      </c>
      <c r="G3474" s="9" t="str">
        <f>IFERROR(__xludf.DUMMYFUNCTION("""COMPUTED_VALUE"""),"TypeScript")</f>
        <v>TypeScript</v>
      </c>
      <c r="H3474" s="9" t="str">
        <f>IFERROR(__xludf.DUMMYFUNCTION("""COMPUTED_VALUE"""),"C++")</f>
        <v>C++</v>
      </c>
      <c r="I3474" s="9" t="str">
        <f>IFERROR(__xludf.DUMMYFUNCTION("""COMPUTED_VALUE"""),"C")</f>
        <v>C</v>
      </c>
      <c r="J3474" s="9" t="str">
        <f>IFERROR(__xludf.DUMMYFUNCTION("""COMPUTED_VALUE"""),"Assembly")</f>
        <v>Assembly</v>
      </c>
      <c r="K3474" s="9" t="str">
        <f>IFERROR(__xludf.DUMMYFUNCTION("""COMPUTED_VALUE"""),"HTML/CSS")</f>
        <v>HTML/CSS</v>
      </c>
      <c r="L3474" s="9" t="str">
        <f>IFERROR(__xludf.DUMMYFUNCTION("""COMPUTED_VALUE"""),"C")</f>
        <v>C</v>
      </c>
      <c r="M3474" s="9" t="s">
        <v>20</v>
      </c>
    </row>
    <row r="3475" ht="15.75" customHeight="1">
      <c r="A3475" s="7"/>
      <c r="B3475" s="7" t="str">
        <f>IFERROR(__xludf.DUMMYFUNCTION("""COMPUTED_VALUE"""),"Java;JavaScript")</f>
        <v>Java;JavaScript</v>
      </c>
      <c r="C3475" s="9" t="str">
        <f>IFERROR(__xludf.DUMMYFUNCTION("""COMPUTED_VALUE"""),"PHP")</f>
        <v>PHP</v>
      </c>
      <c r="D3475" s="9" t="str">
        <f>IFERROR(__xludf.DUMMYFUNCTION("""COMPUTED_VALUE"""),"Other(s):")</f>
        <v>Other(s):</v>
      </c>
      <c r="E3475" s="9" t="str">
        <f>IFERROR(__xludf.DUMMYFUNCTION("""COMPUTED_VALUE"""),"HTML/CSS")</f>
        <v>HTML/CSS</v>
      </c>
      <c r="F3475" s="9" t="str">
        <f>IFERROR(__xludf.DUMMYFUNCTION("""COMPUTED_VALUE"""),"TypeScript")</f>
        <v>TypeScript</v>
      </c>
      <c r="G3475" s="9" t="str">
        <f>IFERROR(__xludf.DUMMYFUNCTION("""COMPUTED_VALUE"""),"Go")</f>
        <v>Go</v>
      </c>
      <c r="H3475" s="9" t="str">
        <f>IFERROR(__xludf.DUMMYFUNCTION("""COMPUTED_VALUE"""),"HTML/CSS")</f>
        <v>HTML/CSS</v>
      </c>
      <c r="I3475" s="9" t="str">
        <f>IFERROR(__xludf.DUMMYFUNCTION("""COMPUTED_VALUE"""),"C++")</f>
        <v>C++</v>
      </c>
      <c r="J3475" s="9" t="str">
        <f>IFERROR(__xludf.DUMMYFUNCTION("""COMPUTED_VALUE"""),"Bash/Shell/PowerShell")</f>
        <v>Bash/Shell/PowerShell</v>
      </c>
      <c r="K3475" s="9" t="str">
        <f>IFERROR(__xludf.DUMMYFUNCTION("""COMPUTED_VALUE"""),"JavaScript")</f>
        <v>JavaScript</v>
      </c>
      <c r="L3475" s="9" t="str">
        <f>IFERROR(__xludf.DUMMYFUNCTION("""COMPUTED_VALUE"""),"HTML/CSS")</f>
        <v>HTML/CSS</v>
      </c>
      <c r="M3475" s="9" t="s">
        <v>37</v>
      </c>
    </row>
    <row r="3476" ht="15.75" customHeight="1">
      <c r="A3476" s="7"/>
      <c r="B3476" s="7" t="str">
        <f>IFERROR(__xludf.DUMMYFUNCTION("""COMPUTED_VALUE"""),"HTML/CSS;Java;JavaScript;SQL")</f>
        <v>HTML/CSS;Java;JavaScript;SQL</v>
      </c>
      <c r="C3476" s="9" t="str">
        <f>IFERROR(__xludf.DUMMYFUNCTION("""COMPUTED_VALUE"""),"SQL")</f>
        <v>SQL</v>
      </c>
      <c r="D3476" s="9" t="str">
        <f>IFERROR(__xludf.DUMMYFUNCTION("""COMPUTED_VALUE"""),"HTML/CSS")</f>
        <v>HTML/CSS</v>
      </c>
      <c r="E3476" s="9" t="str">
        <f>IFERROR(__xludf.DUMMYFUNCTION("""COMPUTED_VALUE"""),"Java")</f>
        <v>Java</v>
      </c>
      <c r="F3476" s="9" t="str">
        <f>IFERROR(__xludf.DUMMYFUNCTION("""COMPUTED_VALUE"""),"Bash/Shell/PowerShell")</f>
        <v>Bash/Shell/PowerShell</v>
      </c>
      <c r="G3476" s="9" t="str">
        <f>IFERROR(__xludf.DUMMYFUNCTION("""COMPUTED_VALUE"""),"HTML/CSS")</f>
        <v>HTML/CSS</v>
      </c>
      <c r="H3476" s="9" t="str">
        <f>IFERROR(__xludf.DUMMYFUNCTION("""COMPUTED_VALUE"""),"Java")</f>
        <v>Java</v>
      </c>
      <c r="I3476" s="9" t="str">
        <f>IFERROR(__xludf.DUMMYFUNCTION("""COMPUTED_VALUE"""),"HTML/CSS")</f>
        <v>HTML/CSS</v>
      </c>
      <c r="J3476" s="9" t="str">
        <f>IFERROR(__xludf.DUMMYFUNCTION("""COMPUTED_VALUE"""),"C")</f>
        <v>C</v>
      </c>
      <c r="K3476" s="9" t="str">
        <f>IFERROR(__xludf.DUMMYFUNCTION("""COMPUTED_VALUE"""),"PHP")</f>
        <v>PHP</v>
      </c>
      <c r="L3476" s="9" t="str">
        <f>IFERROR(__xludf.DUMMYFUNCTION("""COMPUTED_VALUE"""),"JavaScript")</f>
        <v>JavaScript</v>
      </c>
      <c r="M3476" s="9" t="s">
        <v>27</v>
      </c>
    </row>
    <row r="3477" ht="15.75" customHeight="1">
      <c r="A3477" s="7"/>
      <c r="B3477" s="7" t="str">
        <f>IFERROR(__xludf.DUMMYFUNCTION("""COMPUTED_VALUE"""),"Dart;Java;Kotlin")</f>
        <v>Dart;Java;Kotlin</v>
      </c>
      <c r="C3477" s="9" t="str">
        <f>IFERROR(__xludf.DUMMYFUNCTION("""COMPUTED_VALUE"""),"Go")</f>
        <v>Go</v>
      </c>
      <c r="D3477" s="9" t="str">
        <f>IFERROR(__xludf.DUMMYFUNCTION("""COMPUTED_VALUE"""),"Java")</f>
        <v>Java</v>
      </c>
      <c r="E3477" s="9" t="str">
        <f>IFERROR(__xludf.DUMMYFUNCTION("""COMPUTED_VALUE"""),"Python")</f>
        <v>Python</v>
      </c>
      <c r="F3477" s="9" t="str">
        <f>IFERROR(__xludf.DUMMYFUNCTION("""COMPUTED_VALUE"""),"C#")</f>
        <v>C#</v>
      </c>
      <c r="G3477" s="9" t="str">
        <f>IFERROR(__xludf.DUMMYFUNCTION("""COMPUTED_VALUE"""),"Java")</f>
        <v>Java</v>
      </c>
      <c r="H3477" s="9" t="str">
        <f>IFERROR(__xludf.DUMMYFUNCTION("""COMPUTED_VALUE"""),"JavaScript")</f>
        <v>JavaScript</v>
      </c>
      <c r="I3477" s="9" t="str">
        <f>IFERROR(__xludf.DUMMYFUNCTION("""COMPUTED_VALUE"""),"Java")</f>
        <v>Java</v>
      </c>
      <c r="J3477" s="9" t="str">
        <f>IFERROR(__xludf.DUMMYFUNCTION("""COMPUTED_VALUE"""),"C++")</f>
        <v>C++</v>
      </c>
      <c r="K3477" s="9" t="str">
        <f>IFERROR(__xludf.DUMMYFUNCTION("""COMPUTED_VALUE"""),"Bash/Shell/PowerShell")</f>
        <v>Bash/Shell/PowerShell</v>
      </c>
      <c r="L3477" s="9" t="str">
        <f>IFERROR(__xludf.DUMMYFUNCTION("""COMPUTED_VALUE"""),"PHP")</f>
        <v>PHP</v>
      </c>
      <c r="M3477" s="9" t="s">
        <v>36</v>
      </c>
    </row>
    <row r="3478" ht="15.75" customHeight="1">
      <c r="A3478" s="7"/>
      <c r="B3478" s="7" t="str">
        <f>IFERROR(__xludf.DUMMYFUNCTION("""COMPUTED_VALUE"""),"Bash/Shell/PowerShell;C++;HTML/CSS;Java;JavaScript;Objective-C;PHP;SQL;Swift;TypeScript")</f>
        <v>Bash/Shell/PowerShell;C++;HTML/CSS;Java;JavaScript;Objective-C;PHP;SQL;Swift;TypeScript</v>
      </c>
      <c r="C3478" s="9" t="str">
        <f>IFERROR(__xludf.DUMMYFUNCTION("""COMPUTED_VALUE"""),"JavaScript")</f>
        <v>JavaScript</v>
      </c>
      <c r="D3478" s="9" t="str">
        <f>IFERROR(__xludf.DUMMYFUNCTION("""COMPUTED_VALUE"""),"JavaScript")</f>
        <v>JavaScript</v>
      </c>
      <c r="E3478" s="9" t="str">
        <f>IFERROR(__xludf.DUMMYFUNCTION("""COMPUTED_VALUE"""),"SQL")</f>
        <v>SQL</v>
      </c>
      <c r="F3478" s="9" t="str">
        <f>IFERROR(__xludf.DUMMYFUNCTION("""COMPUTED_VALUE"""),"HTML/CSS")</f>
        <v>HTML/CSS</v>
      </c>
      <c r="G3478" s="9" t="str">
        <f>IFERROR(__xludf.DUMMYFUNCTION("""COMPUTED_VALUE"""),"JavaScript")</f>
        <v>JavaScript</v>
      </c>
      <c r="H3478" s="9" t="str">
        <f>IFERROR(__xludf.DUMMYFUNCTION("""COMPUTED_VALUE"""),"PHP")</f>
        <v>PHP</v>
      </c>
      <c r="I3478" s="9" t="str">
        <f>IFERROR(__xludf.DUMMYFUNCTION("""COMPUTED_VALUE"""),"JavaScript")</f>
        <v>JavaScript</v>
      </c>
      <c r="J3478" s="9" t="str">
        <f>IFERROR(__xludf.DUMMYFUNCTION("""COMPUTED_VALUE"""),"HTML/CSS")</f>
        <v>HTML/CSS</v>
      </c>
      <c r="K3478" s="9" t="str">
        <f>IFERROR(__xludf.DUMMYFUNCTION("""COMPUTED_VALUE"""),"C++")</f>
        <v>C++</v>
      </c>
      <c r="L3478" s="9" t="str">
        <f>IFERROR(__xludf.DUMMYFUNCTION("""COMPUTED_VALUE"""),"Python")</f>
        <v>Python</v>
      </c>
      <c r="M3478" s="9" t="s">
        <v>21</v>
      </c>
    </row>
    <row r="3479" ht="15.75" customHeight="1">
      <c r="A3479" s="7"/>
      <c r="B3479" s="7" t="str">
        <f>IFERROR(__xludf.DUMMYFUNCTION("""COMPUTED_VALUE"""),"Assembly;Bash/Shell/PowerShell;C;C++;C#;Java;Python;SQL")</f>
        <v>Assembly;Bash/Shell/PowerShell;C;C++;C#;Java;Python;SQL</v>
      </c>
      <c r="C3479" s="9" t="str">
        <f>IFERROR(__xludf.DUMMYFUNCTION("""COMPUTED_VALUE"""),"Java")</f>
        <v>Java</v>
      </c>
      <c r="D3479" s="9" t="str">
        <f>IFERROR(__xludf.DUMMYFUNCTION("""COMPUTED_VALUE"""),"Python")</f>
        <v>Python</v>
      </c>
      <c r="E3479" s="9" t="str">
        <f>IFERROR(__xludf.DUMMYFUNCTION("""COMPUTED_VALUE"""),"HTML/CSS")</f>
        <v>HTML/CSS</v>
      </c>
      <c r="F3479" s="9" t="str">
        <f>IFERROR(__xludf.DUMMYFUNCTION("""COMPUTED_VALUE"""),"Java")</f>
        <v>Java</v>
      </c>
      <c r="G3479" s="9" t="str">
        <f>IFERROR(__xludf.DUMMYFUNCTION("""COMPUTED_VALUE"""),"Kotlin")</f>
        <v>Kotlin</v>
      </c>
      <c r="H3479" s="9" t="str">
        <f>IFERROR(__xludf.DUMMYFUNCTION("""COMPUTED_VALUE"""),"SQL")</f>
        <v>SQL</v>
      </c>
      <c r="I3479" s="9" t="str">
        <f>IFERROR(__xludf.DUMMYFUNCTION("""COMPUTED_VALUE"""),"Python")</f>
        <v>Python</v>
      </c>
      <c r="J3479" s="9" t="str">
        <f>IFERROR(__xludf.DUMMYFUNCTION("""COMPUTED_VALUE"""),"JavaScript")</f>
        <v>JavaScript</v>
      </c>
      <c r="K3479" s="9" t="str">
        <f>IFERROR(__xludf.DUMMYFUNCTION("""COMPUTED_VALUE"""),"Go")</f>
        <v>Go</v>
      </c>
      <c r="L3479" s="9" t="str">
        <f>IFERROR(__xludf.DUMMYFUNCTION("""COMPUTED_VALUE"""),"SQL")</f>
        <v>SQL</v>
      </c>
      <c r="M3479" s="9" t="s">
        <v>20</v>
      </c>
    </row>
    <row r="3480" ht="15.75" customHeight="1">
      <c r="A3480" s="7"/>
      <c r="B3480" s="7" t="str">
        <f>IFERROR(__xludf.DUMMYFUNCTION("""COMPUTED_VALUE"""),"C++;Other(s):")</f>
        <v>C++;Other(s):</v>
      </c>
      <c r="C3480" s="9" t="str">
        <f>IFERROR(__xludf.DUMMYFUNCTION("""COMPUTED_VALUE"""),"Python")</f>
        <v>Python</v>
      </c>
      <c r="D3480" s="9" t="str">
        <f>IFERROR(__xludf.DUMMYFUNCTION("""COMPUTED_VALUE"""),"R")</f>
        <v>R</v>
      </c>
      <c r="E3480" s="9" t="str">
        <f>IFERROR(__xludf.DUMMYFUNCTION("""COMPUTED_VALUE"""),"JavaScript")</f>
        <v>JavaScript</v>
      </c>
      <c r="F3480" s="9" t="str">
        <f>IFERROR(__xludf.DUMMYFUNCTION("""COMPUTED_VALUE"""),"JavaScript")</f>
        <v>JavaScript</v>
      </c>
      <c r="G3480" s="9" t="str">
        <f>IFERROR(__xludf.DUMMYFUNCTION("""COMPUTED_VALUE"""),"Rust")</f>
        <v>Rust</v>
      </c>
      <c r="H3480" s="9" t="str">
        <f>IFERROR(__xludf.DUMMYFUNCTION("""COMPUTED_VALUE"""),"Bash/Shell/PowerShell")</f>
        <v>Bash/Shell/PowerShell</v>
      </c>
      <c r="I3480" s="9" t="str">
        <f>IFERROR(__xludf.DUMMYFUNCTION("""COMPUTED_VALUE"""),"SQL")</f>
        <v>SQL</v>
      </c>
      <c r="J3480" s="9" t="str">
        <f>IFERROR(__xludf.DUMMYFUNCTION("""COMPUTED_VALUE"""),"PHP")</f>
        <v>PHP</v>
      </c>
      <c r="K3480" s="9" t="str">
        <f>IFERROR(__xludf.DUMMYFUNCTION("""COMPUTED_VALUE"""),"HTML/CSS")</f>
        <v>HTML/CSS</v>
      </c>
      <c r="L3480" s="9" t="str">
        <f>IFERROR(__xludf.DUMMYFUNCTION("""COMPUTED_VALUE"""),"TypeScript")</f>
        <v>TypeScript</v>
      </c>
      <c r="M3480" s="9" t="s">
        <v>22</v>
      </c>
    </row>
    <row r="3481" ht="15.75" customHeight="1">
      <c r="A3481" s="7"/>
      <c r="B3481" s="7" t="str">
        <f>IFERROR(__xludf.DUMMYFUNCTION("""COMPUTED_VALUE"""),"Bash/Shell/PowerShell;C;C++;Python")</f>
        <v>Bash/Shell/PowerShell;C;C++;Python</v>
      </c>
      <c r="C3481" s="9" t="str">
        <f>IFERROR(__xludf.DUMMYFUNCTION("""COMPUTED_VALUE"""),"Scala")</f>
        <v>Scala</v>
      </c>
      <c r="D3481" s="9" t="str">
        <f>IFERROR(__xludf.DUMMYFUNCTION("""COMPUTED_VALUE"""),"HTML/CSS")</f>
        <v>HTML/CSS</v>
      </c>
      <c r="E3481" s="9" t="str">
        <f>IFERROR(__xludf.DUMMYFUNCTION("""COMPUTED_VALUE"""),"PHP")</f>
        <v>PHP</v>
      </c>
      <c r="F3481" s="9" t="str">
        <f>IFERROR(__xludf.DUMMYFUNCTION("""COMPUTED_VALUE"""),"Python")</f>
        <v>Python</v>
      </c>
      <c r="G3481" s="9" t="str">
        <f>IFERROR(__xludf.DUMMYFUNCTION("""COMPUTED_VALUE"""),"TypeScript")</f>
        <v>TypeScript</v>
      </c>
      <c r="H3481" s="9" t="str">
        <f>IFERROR(__xludf.DUMMYFUNCTION("""COMPUTED_VALUE"""),"Python")</f>
        <v>Python</v>
      </c>
      <c r="I3481" s="9" t="str">
        <f>IFERROR(__xludf.DUMMYFUNCTION("""COMPUTED_VALUE"""),"Assembly")</f>
        <v>Assembly</v>
      </c>
      <c r="J3481" s="9" t="str">
        <f>IFERROR(__xludf.DUMMYFUNCTION("""COMPUTED_VALUE"""),"Python")</f>
        <v>Python</v>
      </c>
      <c r="K3481" s="9" t="str">
        <f>IFERROR(__xludf.DUMMYFUNCTION("""COMPUTED_VALUE"""),"JavaScript")</f>
        <v>JavaScript</v>
      </c>
      <c r="L3481" s="9" t="str">
        <f>IFERROR(__xludf.DUMMYFUNCTION("""COMPUTED_VALUE"""),"C++")</f>
        <v>C++</v>
      </c>
      <c r="M3481" s="9" t="s">
        <v>46</v>
      </c>
    </row>
    <row r="3482" ht="15.75" customHeight="1">
      <c r="A3482" s="7"/>
      <c r="B3482" s="7" t="str">
        <f>IFERROR(__xludf.DUMMYFUNCTION("""COMPUTED_VALUE"""),"HTML/CSS;JavaScript")</f>
        <v>HTML/CSS;JavaScript</v>
      </c>
      <c r="C3482" s="9" t="str">
        <f>IFERROR(__xludf.DUMMYFUNCTION("""COMPUTED_VALUE"""),"SQL")</f>
        <v>SQL</v>
      </c>
      <c r="D3482" s="9" t="str">
        <f>IFERROR(__xludf.DUMMYFUNCTION("""COMPUTED_VALUE"""),"Java")</f>
        <v>Java</v>
      </c>
      <c r="E3482" s="9" t="str">
        <f>IFERROR(__xludf.DUMMYFUNCTION("""COMPUTED_VALUE"""),"SQL")</f>
        <v>SQL</v>
      </c>
      <c r="F3482" s="9" t="str">
        <f>IFERROR(__xludf.DUMMYFUNCTION("""COMPUTED_VALUE"""),"SQL")</f>
        <v>SQL</v>
      </c>
      <c r="G3482" s="9" t="str">
        <f>IFERROR(__xludf.DUMMYFUNCTION("""COMPUTED_VALUE"""),"WebAssembly")</f>
        <v>WebAssembly</v>
      </c>
      <c r="H3482" s="9" t="str">
        <f>IFERROR(__xludf.DUMMYFUNCTION("""COMPUTED_VALUE"""),"C#")</f>
        <v>C#</v>
      </c>
      <c r="I3482" s="9" t="str">
        <f>IFERROR(__xludf.DUMMYFUNCTION("""COMPUTED_VALUE"""),"Bash/Shell/PowerShell")</f>
        <v>Bash/Shell/PowerShell</v>
      </c>
      <c r="J3482" s="9" t="str">
        <f>IFERROR(__xludf.DUMMYFUNCTION("""COMPUTED_VALUE"""),"Ruby")</f>
        <v>Ruby</v>
      </c>
      <c r="K3482" s="9" t="str">
        <f>IFERROR(__xludf.DUMMYFUNCTION("""COMPUTED_VALUE"""),"Python")</f>
        <v>Python</v>
      </c>
      <c r="L3482" s="9" t="str">
        <f>IFERROR(__xludf.DUMMYFUNCTION("""COMPUTED_VALUE"""),"HTML/CSS")</f>
        <v>HTML/CSS</v>
      </c>
      <c r="M3482" s="9" t="s">
        <v>27</v>
      </c>
    </row>
    <row r="3483" ht="15.75" customHeight="1">
      <c r="A3483" s="7"/>
      <c r="B3483" s="7" t="str">
        <f>IFERROR(__xludf.DUMMYFUNCTION("""COMPUTED_VALUE"""),"Assembly;C++;C#;HTML/CSS;PHP;SQL")</f>
        <v>Assembly;C++;C#;HTML/CSS;PHP;SQL</v>
      </c>
      <c r="C3483" s="9" t="str">
        <f>IFERROR(__xludf.DUMMYFUNCTION("""COMPUTED_VALUE"""),"C#")</f>
        <v>C#</v>
      </c>
      <c r="D3483" s="9" t="str">
        <f>IFERROR(__xludf.DUMMYFUNCTION("""COMPUTED_VALUE"""),"JavaScript")</f>
        <v>JavaScript</v>
      </c>
      <c r="E3483" s="9" t="str">
        <f>IFERROR(__xludf.DUMMYFUNCTION("""COMPUTED_VALUE"""),"C++")</f>
        <v>C++</v>
      </c>
      <c r="F3483" s="9" t="str">
        <f>IFERROR(__xludf.DUMMYFUNCTION("""COMPUTED_VALUE"""),"Bash/Shell/PowerShell")</f>
        <v>Bash/Shell/PowerShell</v>
      </c>
      <c r="G3483" s="9" t="str">
        <f>IFERROR(__xludf.DUMMYFUNCTION("""COMPUTED_VALUE"""),"Assembly")</f>
        <v>Assembly</v>
      </c>
      <c r="H3483" s="9" t="str">
        <f>IFERROR(__xludf.DUMMYFUNCTION("""COMPUTED_VALUE"""),"JavaScript")</f>
        <v>JavaScript</v>
      </c>
      <c r="I3483" s="9" t="str">
        <f>IFERROR(__xludf.DUMMYFUNCTION("""COMPUTED_VALUE"""),"C")</f>
        <v>C</v>
      </c>
      <c r="J3483" s="9" t="str">
        <f>IFERROR(__xludf.DUMMYFUNCTION("""COMPUTED_VALUE"""),"SQL")</f>
        <v>SQL</v>
      </c>
      <c r="K3483" s="9" t="str">
        <f>IFERROR(__xludf.DUMMYFUNCTION("""COMPUTED_VALUE"""),"SQL")</f>
        <v>SQL</v>
      </c>
      <c r="L3483" s="9" t="str">
        <f>IFERROR(__xludf.DUMMYFUNCTION("""COMPUTED_VALUE"""),"JavaScript")</f>
        <v>JavaScript</v>
      </c>
      <c r="M3483" s="9" t="s">
        <v>26</v>
      </c>
    </row>
    <row r="3484" ht="15.75" customHeight="1">
      <c r="A3484" s="7"/>
      <c r="B3484" s="7" t="str">
        <f>IFERROR(__xludf.DUMMYFUNCTION("""COMPUTED_VALUE"""),"Clojure;JavaScript;Kotlin;TypeScript")</f>
        <v>Clojure;JavaScript;Kotlin;TypeScript</v>
      </c>
      <c r="C3484" s="9" t="str">
        <f>IFERROR(__xludf.DUMMYFUNCTION("""COMPUTED_VALUE"""),"HTML/CSS")</f>
        <v>HTML/CSS</v>
      </c>
      <c r="D3484" s="9" t="str">
        <f>IFERROR(__xludf.DUMMYFUNCTION("""COMPUTED_VALUE"""),"Kotlin")</f>
        <v>Kotlin</v>
      </c>
      <c r="E3484" s="9" t="str">
        <f>IFERROR(__xludf.DUMMYFUNCTION("""COMPUTED_VALUE"""),"R")</f>
        <v>R</v>
      </c>
      <c r="F3484" s="9" t="str">
        <f>IFERROR(__xludf.DUMMYFUNCTION("""COMPUTED_VALUE"""),"C#")</f>
        <v>C#</v>
      </c>
      <c r="G3484" s="9" t="str">
        <f>IFERROR(__xludf.DUMMYFUNCTION("""COMPUTED_VALUE"""),"C++")</f>
        <v>C++</v>
      </c>
      <c r="H3484" s="9" t="str">
        <f>IFERROR(__xludf.DUMMYFUNCTION("""COMPUTED_VALUE"""),"SQL")</f>
        <v>SQL</v>
      </c>
      <c r="I3484" s="9" t="str">
        <f>IFERROR(__xludf.DUMMYFUNCTION("""COMPUTED_VALUE"""),"C#")</f>
        <v>C#</v>
      </c>
      <c r="J3484" s="9" t="str">
        <f>IFERROR(__xludf.DUMMYFUNCTION("""COMPUTED_VALUE"""),"HTML/CSS")</f>
        <v>HTML/CSS</v>
      </c>
      <c r="K3484" s="9" t="str">
        <f>IFERROR(__xludf.DUMMYFUNCTION("""COMPUTED_VALUE"""),"Bash/Shell/PowerShell")</f>
        <v>Bash/Shell/PowerShell</v>
      </c>
      <c r="L3484" s="9" t="str">
        <f>IFERROR(__xludf.DUMMYFUNCTION("""COMPUTED_VALUE"""),"Python")</f>
        <v>Python</v>
      </c>
      <c r="M3484" s="9" t="s">
        <v>24</v>
      </c>
    </row>
    <row r="3485" ht="15.75" customHeight="1">
      <c r="A3485" s="7"/>
      <c r="B3485" s="7" t="str">
        <f>IFERROR(__xludf.DUMMYFUNCTION("""COMPUTED_VALUE"""),"Bash/Shell/PowerShell;C;C++;C#;Go;HTML/CSS;JavaScript;Kotlin;PHP;Python;Ruby;SQL")</f>
        <v>Bash/Shell/PowerShell;C;C++;C#;Go;HTML/CSS;JavaScript;Kotlin;PHP;Python;Ruby;SQL</v>
      </c>
      <c r="C3485" s="9" t="str">
        <f>IFERROR(__xludf.DUMMYFUNCTION("""COMPUTED_VALUE"""),"JavaScript")</f>
        <v>JavaScript</v>
      </c>
      <c r="D3485" s="9" t="str">
        <f>IFERROR(__xludf.DUMMYFUNCTION("""COMPUTED_VALUE"""),"PHP")</f>
        <v>PHP</v>
      </c>
      <c r="E3485" s="9" t="str">
        <f>IFERROR(__xludf.DUMMYFUNCTION("""COMPUTED_VALUE"""),"Bash/Shell/PowerShell")</f>
        <v>Bash/Shell/PowerShell</v>
      </c>
      <c r="F3485" s="9" t="str">
        <f>IFERROR(__xludf.DUMMYFUNCTION("""COMPUTED_VALUE"""),"Go")</f>
        <v>Go</v>
      </c>
      <c r="G3485" s="9" t="str">
        <f>IFERROR(__xludf.DUMMYFUNCTION("""COMPUTED_VALUE"""),"Java")</f>
        <v>Java</v>
      </c>
      <c r="H3485" s="9" t="str">
        <f>IFERROR(__xludf.DUMMYFUNCTION("""COMPUTED_VALUE"""),"Swift")</f>
        <v>Swift</v>
      </c>
      <c r="I3485" s="9" t="str">
        <f>IFERROR(__xludf.DUMMYFUNCTION("""COMPUTED_VALUE"""),"Go")</f>
        <v>Go</v>
      </c>
      <c r="J3485" s="9" t="str">
        <f>IFERROR(__xludf.DUMMYFUNCTION("""COMPUTED_VALUE"""),"JavaScript")</f>
        <v>JavaScript</v>
      </c>
      <c r="K3485" s="9" t="str">
        <f>IFERROR(__xludf.DUMMYFUNCTION("""COMPUTED_VALUE"""),"HTML/CSS")</f>
        <v>HTML/CSS</v>
      </c>
      <c r="L3485" s="9" t="str">
        <f>IFERROR(__xludf.DUMMYFUNCTION("""COMPUTED_VALUE"""),"Bash/Shell/PowerShell")</f>
        <v>Bash/Shell/PowerShell</v>
      </c>
      <c r="M3485" s="9" t="s">
        <v>21</v>
      </c>
    </row>
    <row r="3486" ht="15.75" customHeight="1">
      <c r="A3486" s="7"/>
      <c r="B3486" s="7" t="str">
        <f>IFERROR(__xludf.DUMMYFUNCTION("""COMPUTED_VALUE"""),"Bash/Shell/PowerShell;C;C++;HTML/CSS;Java;JavaScript;Kotlin;Ruby")</f>
        <v>Bash/Shell/PowerShell;C;C++;HTML/CSS;Java;JavaScript;Kotlin;Ruby</v>
      </c>
      <c r="C3486" s="9" t="str">
        <f>IFERROR(__xludf.DUMMYFUNCTION("""COMPUTED_VALUE"""),"Objective-C")</f>
        <v>Objective-C</v>
      </c>
      <c r="D3486" s="9" t="str">
        <f>IFERROR(__xludf.DUMMYFUNCTION("""COMPUTED_VALUE"""),"Ruby")</f>
        <v>Ruby</v>
      </c>
      <c r="E3486" s="9" t="str">
        <f>IFERROR(__xludf.DUMMYFUNCTION("""COMPUTED_VALUE"""),"HTML/CSS")</f>
        <v>HTML/CSS</v>
      </c>
      <c r="F3486" s="9" t="str">
        <f>IFERROR(__xludf.DUMMYFUNCTION("""COMPUTED_VALUE"""),"Python")</f>
        <v>Python</v>
      </c>
      <c r="G3486" s="9" t="str">
        <f>IFERROR(__xludf.DUMMYFUNCTION("""COMPUTED_VALUE"""),"Python")</f>
        <v>Python</v>
      </c>
      <c r="H3486" s="9" t="str">
        <f>IFERROR(__xludf.DUMMYFUNCTION("""COMPUTED_VALUE"""),"HTML/CSS")</f>
        <v>HTML/CSS</v>
      </c>
      <c r="I3486" s="9" t="str">
        <f>IFERROR(__xludf.DUMMYFUNCTION("""COMPUTED_VALUE"""),"HTML/CSS")</f>
        <v>HTML/CSS</v>
      </c>
      <c r="J3486" s="9" t="str">
        <f>IFERROR(__xludf.DUMMYFUNCTION("""COMPUTED_VALUE"""),"PHP")</f>
        <v>PHP</v>
      </c>
      <c r="K3486" s="9" t="str">
        <f>IFERROR(__xludf.DUMMYFUNCTION("""COMPUTED_VALUE"""),"JavaScript")</f>
        <v>JavaScript</v>
      </c>
      <c r="L3486" s="9" t="str">
        <f>IFERROR(__xludf.DUMMYFUNCTION("""COMPUTED_VALUE"""),"HTML/CSS")</f>
        <v>HTML/CSS</v>
      </c>
      <c r="M3486" s="9" t="s">
        <v>41</v>
      </c>
    </row>
    <row r="3487" ht="15.75" customHeight="1">
      <c r="A3487" s="7"/>
      <c r="B3487" s="7" t="str">
        <f>IFERROR(__xludf.DUMMYFUNCTION("""COMPUTED_VALUE"""),"Bash/Shell/PowerShell;HTML/CSS;Java;JavaScript;Python;SQL;Other(s):")</f>
        <v>Bash/Shell/PowerShell;HTML/CSS;Java;JavaScript;Python;SQL;Other(s):</v>
      </c>
      <c r="C3487" s="9" t="str">
        <f>IFERROR(__xludf.DUMMYFUNCTION("""COMPUTED_VALUE"""),"PHP")</f>
        <v>PHP</v>
      </c>
      <c r="D3487" s="9" t="str">
        <f>IFERROR(__xludf.DUMMYFUNCTION("""COMPUTED_VALUE"""),"Python")</f>
        <v>Python</v>
      </c>
      <c r="E3487" s="9" t="str">
        <f>IFERROR(__xludf.DUMMYFUNCTION("""COMPUTED_VALUE"""),"JavaScript")</f>
        <v>JavaScript</v>
      </c>
      <c r="F3487" s="9" t="str">
        <f>IFERROR(__xludf.DUMMYFUNCTION("""COMPUTED_VALUE"""),"SQL")</f>
        <v>SQL</v>
      </c>
      <c r="G3487" s="9" t="str">
        <f>IFERROR(__xludf.DUMMYFUNCTION("""COMPUTED_VALUE"""),"HTML/CSS")</f>
        <v>HTML/CSS</v>
      </c>
      <c r="H3487" s="9" t="str">
        <f>IFERROR(__xludf.DUMMYFUNCTION("""COMPUTED_VALUE"""),"Java")</f>
        <v>Java</v>
      </c>
      <c r="I3487" s="9" t="str">
        <f>IFERROR(__xludf.DUMMYFUNCTION("""COMPUTED_VALUE"""),"Java")</f>
        <v>Java</v>
      </c>
      <c r="J3487" s="9" t="str">
        <f>IFERROR(__xludf.DUMMYFUNCTION("""COMPUTED_VALUE"""),"Python")</f>
        <v>Python</v>
      </c>
      <c r="K3487" s="9" t="str">
        <f>IFERROR(__xludf.DUMMYFUNCTION("""COMPUTED_VALUE"""),"R")</f>
        <v>R</v>
      </c>
      <c r="L3487" s="9" t="str">
        <f>IFERROR(__xludf.DUMMYFUNCTION("""COMPUTED_VALUE"""),"Java")</f>
        <v>Java</v>
      </c>
      <c r="M3487" s="9" t="s">
        <v>37</v>
      </c>
    </row>
    <row r="3488" ht="15.75" customHeight="1">
      <c r="A3488" s="7"/>
      <c r="B3488" s="7" t="str">
        <f>IFERROR(__xludf.DUMMYFUNCTION("""COMPUTED_VALUE"""),"Python")</f>
        <v>Python</v>
      </c>
      <c r="C3488" s="9" t="str">
        <f>IFERROR(__xludf.DUMMYFUNCTION("""COMPUTED_VALUE"""),"Ruby")</f>
        <v>Ruby</v>
      </c>
      <c r="D3488" s="9" t="str">
        <f>IFERROR(__xludf.DUMMYFUNCTION("""COMPUTED_VALUE"""),"Go")</f>
        <v>Go</v>
      </c>
      <c r="E3488" s="9" t="str">
        <f>IFERROR(__xludf.DUMMYFUNCTION("""COMPUTED_VALUE"""),"SQL")</f>
        <v>SQL</v>
      </c>
      <c r="F3488" s="9" t="str">
        <f>IFERROR(__xludf.DUMMYFUNCTION("""COMPUTED_VALUE"""),"C")</f>
        <v>C</v>
      </c>
      <c r="G3488" s="9" t="str">
        <f>IFERROR(__xludf.DUMMYFUNCTION("""COMPUTED_VALUE"""),"Java")</f>
        <v>Java</v>
      </c>
      <c r="H3488" s="9" t="str">
        <f>IFERROR(__xludf.DUMMYFUNCTION("""COMPUTED_VALUE"""),"JavaScript")</f>
        <v>JavaScript</v>
      </c>
      <c r="I3488" s="9" t="str">
        <f>IFERROR(__xludf.DUMMYFUNCTION("""COMPUTED_VALUE"""),"JavaScript")</f>
        <v>JavaScript</v>
      </c>
      <c r="J3488" s="9" t="str">
        <f>IFERROR(__xludf.DUMMYFUNCTION("""COMPUTED_VALUE"""),"Java")</f>
        <v>Java</v>
      </c>
      <c r="K3488" s="9" t="str">
        <f>IFERROR(__xludf.DUMMYFUNCTION("""COMPUTED_VALUE"""),"SQL")</f>
        <v>SQL</v>
      </c>
      <c r="L3488" s="9" t="str">
        <f>IFERROR(__xludf.DUMMYFUNCTION("""COMPUTED_VALUE"""),"JavaScript")</f>
        <v>JavaScript</v>
      </c>
      <c r="M3488" s="9" t="s">
        <v>31</v>
      </c>
    </row>
    <row r="3489" ht="15.75" customHeight="1">
      <c r="A3489" s="7"/>
      <c r="B3489" s="7" t="str">
        <f>IFERROR(__xludf.DUMMYFUNCTION("""COMPUTED_VALUE"""),"HTML/CSS;JavaScript;Python;SQL")</f>
        <v>HTML/CSS;JavaScript;Python;SQL</v>
      </c>
      <c r="C3489" s="9" t="str">
        <f>IFERROR(__xludf.DUMMYFUNCTION("""COMPUTED_VALUE"""),"SQL")</f>
        <v>SQL</v>
      </c>
      <c r="D3489" s="9" t="str">
        <f>IFERROR(__xludf.DUMMYFUNCTION("""COMPUTED_VALUE"""),"Java")</f>
        <v>Java</v>
      </c>
      <c r="E3489" s="9" t="str">
        <f>IFERROR(__xludf.DUMMYFUNCTION("""COMPUTED_VALUE"""),"HTML/CSS")</f>
        <v>HTML/CSS</v>
      </c>
      <c r="F3489" s="9" t="str">
        <f>IFERROR(__xludf.DUMMYFUNCTION("""COMPUTED_VALUE"""),"C++")</f>
        <v>C++</v>
      </c>
      <c r="G3489" s="9" t="str">
        <f>IFERROR(__xludf.DUMMYFUNCTION("""COMPUTED_VALUE"""),"JavaScript")</f>
        <v>JavaScript</v>
      </c>
      <c r="H3489" s="9" t="str">
        <f>IFERROR(__xludf.DUMMYFUNCTION("""COMPUTED_VALUE"""),"PHP")</f>
        <v>PHP</v>
      </c>
      <c r="I3489" s="9" t="str">
        <f>IFERROR(__xludf.DUMMYFUNCTION("""COMPUTED_VALUE"""),"PHP")</f>
        <v>PHP</v>
      </c>
      <c r="J3489" s="9" t="str">
        <f>IFERROR(__xludf.DUMMYFUNCTION("""COMPUTED_VALUE"""),"Kotlin")</f>
        <v>Kotlin</v>
      </c>
      <c r="K3489" s="9" t="str">
        <f>IFERROR(__xludf.DUMMYFUNCTION("""COMPUTED_VALUE"""),"Bash/Shell/PowerShell")</f>
        <v>Bash/Shell/PowerShell</v>
      </c>
      <c r="L3489" s="9" t="str">
        <f>IFERROR(__xludf.DUMMYFUNCTION("""COMPUTED_VALUE"""),"PHP")</f>
        <v>PHP</v>
      </c>
      <c r="M3489" s="9" t="s">
        <v>27</v>
      </c>
    </row>
    <row r="3490" ht="15.75" customHeight="1">
      <c r="A3490" s="7"/>
      <c r="B3490" s="7" t="str">
        <f>IFERROR(__xludf.DUMMYFUNCTION("""COMPUTED_VALUE"""),"C;C++;HTML/CSS;JavaScript;Objective-C;Python;Swift")</f>
        <v>C;C++;HTML/CSS;JavaScript;Objective-C;Python;Swift</v>
      </c>
      <c r="C3490" s="9" t="str">
        <f>IFERROR(__xludf.DUMMYFUNCTION("""COMPUTED_VALUE"""),"Bash/Shell/PowerShell")</f>
        <v>Bash/Shell/PowerShell</v>
      </c>
      <c r="D3490" s="9" t="str">
        <f>IFERROR(__xludf.DUMMYFUNCTION("""COMPUTED_VALUE"""),"JavaScript")</f>
        <v>JavaScript</v>
      </c>
      <c r="E3490" s="9" t="str">
        <f>IFERROR(__xludf.DUMMYFUNCTION("""COMPUTED_VALUE"""),"Java")</f>
        <v>Java</v>
      </c>
      <c r="F3490" s="9" t="str">
        <f>IFERROR(__xludf.DUMMYFUNCTION("""COMPUTED_VALUE"""),"Go")</f>
        <v>Go</v>
      </c>
      <c r="G3490" s="9" t="str">
        <f>IFERROR(__xludf.DUMMYFUNCTION("""COMPUTED_VALUE"""),"SQL")</f>
        <v>SQL</v>
      </c>
      <c r="H3490" s="9" t="str">
        <f>IFERROR(__xludf.DUMMYFUNCTION("""COMPUTED_VALUE"""),"Python")</f>
        <v>Python</v>
      </c>
      <c r="I3490" s="9" t="str">
        <f>IFERROR(__xludf.DUMMYFUNCTION("""COMPUTED_VALUE"""),"Python")</f>
        <v>Python</v>
      </c>
      <c r="J3490" s="9" t="str">
        <f>IFERROR(__xludf.DUMMYFUNCTION("""COMPUTED_VALUE"""),"Swift")</f>
        <v>Swift</v>
      </c>
      <c r="K3490" s="9" t="str">
        <f>IFERROR(__xludf.DUMMYFUNCTION("""COMPUTED_VALUE"""),"HTML/CSS")</f>
        <v>HTML/CSS</v>
      </c>
      <c r="L3490" s="9" t="str">
        <f>IFERROR(__xludf.DUMMYFUNCTION("""COMPUTED_VALUE"""),"Scala")</f>
        <v>Scala</v>
      </c>
      <c r="M3490" s="9" t="s">
        <v>30</v>
      </c>
    </row>
    <row r="3491" ht="15.75" customHeight="1">
      <c r="A3491" s="7"/>
      <c r="B3491" s="7" t="str">
        <f>IFERROR(__xludf.DUMMYFUNCTION("""COMPUTED_VALUE"""),"C;C#;Java;JavaScript;Python;SQL")</f>
        <v>C;C#;Java;JavaScript;Python;SQL</v>
      </c>
      <c r="C3491" s="9" t="str">
        <f>IFERROR(__xludf.DUMMYFUNCTION("""COMPUTED_VALUE"""),"C++")</f>
        <v>C++</v>
      </c>
      <c r="D3491" s="9" t="str">
        <f>IFERROR(__xludf.DUMMYFUNCTION("""COMPUTED_VALUE"""),"Python")</f>
        <v>Python</v>
      </c>
      <c r="E3491" s="9" t="str">
        <f>IFERROR(__xludf.DUMMYFUNCTION("""COMPUTED_VALUE"""),"Kotlin")</f>
        <v>Kotlin</v>
      </c>
      <c r="F3491" s="9" t="str">
        <f>IFERROR(__xludf.DUMMYFUNCTION("""COMPUTED_VALUE"""),"HTML/CSS")</f>
        <v>HTML/CSS</v>
      </c>
      <c r="G3491" s="9" t="str">
        <f>IFERROR(__xludf.DUMMYFUNCTION("""COMPUTED_VALUE"""),"TypeScript")</f>
        <v>TypeScript</v>
      </c>
      <c r="H3491" s="9" t="str">
        <f>IFERROR(__xludf.DUMMYFUNCTION("""COMPUTED_VALUE"""),"SQL")</f>
        <v>SQL</v>
      </c>
      <c r="I3491" s="9" t="str">
        <f>IFERROR(__xludf.DUMMYFUNCTION("""COMPUTED_VALUE"""),"R")</f>
        <v>R</v>
      </c>
      <c r="J3491" s="9" t="str">
        <f>IFERROR(__xludf.DUMMYFUNCTION("""COMPUTED_VALUE"""),"Kotlin")</f>
        <v>Kotlin</v>
      </c>
      <c r="K3491" s="9" t="str">
        <f>IFERROR(__xludf.DUMMYFUNCTION("""COMPUTED_VALUE"""),"TypeScript")</f>
        <v>TypeScript</v>
      </c>
      <c r="L3491" s="9" t="str">
        <f>IFERROR(__xludf.DUMMYFUNCTION("""COMPUTED_VALUE"""),"SQL")</f>
        <v>SQL</v>
      </c>
      <c r="M3491" s="9" t="s">
        <v>23</v>
      </c>
    </row>
    <row r="3492" ht="15.75" customHeight="1">
      <c r="A3492" s="7"/>
      <c r="B3492" s="7" t="str">
        <f>IFERROR(__xludf.DUMMYFUNCTION("""COMPUTED_VALUE"""),"HTML/CSS;Java;JavaScript;Python")</f>
        <v>HTML/CSS;Java;JavaScript;Python</v>
      </c>
      <c r="C3492" s="9" t="str">
        <f>IFERROR(__xludf.DUMMYFUNCTION("""COMPUTED_VALUE"""),"Go")</f>
        <v>Go</v>
      </c>
      <c r="D3492" s="9" t="str">
        <f>IFERROR(__xludf.DUMMYFUNCTION("""COMPUTED_VALUE"""),"Scala")</f>
        <v>Scala</v>
      </c>
      <c r="E3492" s="9" t="str">
        <f>IFERROR(__xludf.DUMMYFUNCTION("""COMPUTED_VALUE"""),"HTML/CSS")</f>
        <v>HTML/CSS</v>
      </c>
      <c r="F3492" s="9" t="str">
        <f>IFERROR(__xludf.DUMMYFUNCTION("""COMPUTED_VALUE"""),"JavaScript")</f>
        <v>JavaScript</v>
      </c>
      <c r="G3492" s="9" t="str">
        <f>IFERROR(__xludf.DUMMYFUNCTION("""COMPUTED_VALUE"""),"Bash/Shell/PowerShell")</f>
        <v>Bash/Shell/PowerShell</v>
      </c>
      <c r="H3492" s="9" t="str">
        <f>IFERROR(__xludf.DUMMYFUNCTION("""COMPUTED_VALUE"""),"C")</f>
        <v>C</v>
      </c>
      <c r="I3492" s="9" t="str">
        <f>IFERROR(__xludf.DUMMYFUNCTION("""COMPUTED_VALUE"""),"Ruby")</f>
        <v>Ruby</v>
      </c>
      <c r="J3492" s="9" t="str">
        <f>IFERROR(__xludf.DUMMYFUNCTION("""COMPUTED_VALUE"""),"Bash/Shell/PowerShell")</f>
        <v>Bash/Shell/PowerShell</v>
      </c>
      <c r="K3492" s="9" t="str">
        <f>IFERROR(__xludf.DUMMYFUNCTION("""COMPUTED_VALUE"""),"HTML/CSS")</f>
        <v>HTML/CSS</v>
      </c>
      <c r="L3492" s="9" t="str">
        <f>IFERROR(__xludf.DUMMYFUNCTION("""COMPUTED_VALUE"""),"Assembly")</f>
        <v>Assembly</v>
      </c>
      <c r="M3492" s="9" t="s">
        <v>36</v>
      </c>
    </row>
    <row r="3493" ht="15.75" customHeight="1">
      <c r="A3493" s="7"/>
      <c r="B3493" s="7" t="str">
        <f>IFERROR(__xludf.DUMMYFUNCTION("""COMPUTED_VALUE"""),"Assembly;Bash/Shell/PowerShell;C++;Dart;HTML/CSS;Java;JavaScript;Python;Ruby;SQL")</f>
        <v>Assembly;Bash/Shell/PowerShell;C++;Dart;HTML/CSS;Java;JavaScript;Python;Ruby;SQL</v>
      </c>
      <c r="C3493" s="9" t="str">
        <f>IFERROR(__xludf.DUMMYFUNCTION("""COMPUTED_VALUE"""),"JavaScript")</f>
        <v>JavaScript</v>
      </c>
      <c r="D3493" s="9" t="str">
        <f>IFERROR(__xludf.DUMMYFUNCTION("""COMPUTED_VALUE"""),"Java")</f>
        <v>Java</v>
      </c>
      <c r="E3493" s="9" t="str">
        <f>IFERROR(__xludf.DUMMYFUNCTION("""COMPUTED_VALUE"""),"JavaScript")</f>
        <v>JavaScript</v>
      </c>
      <c r="F3493" s="9" t="str">
        <f>IFERROR(__xludf.DUMMYFUNCTION("""COMPUTED_VALUE"""),"C#")</f>
        <v>C#</v>
      </c>
      <c r="G3493" s="9" t="str">
        <f>IFERROR(__xludf.DUMMYFUNCTION("""COMPUTED_VALUE"""),"C#")</f>
        <v>C#</v>
      </c>
      <c r="H3493" s="9" t="str">
        <f>IFERROR(__xludf.DUMMYFUNCTION("""COMPUTED_VALUE"""),"C++")</f>
        <v>C++</v>
      </c>
      <c r="I3493" s="9" t="str">
        <f>IFERROR(__xludf.DUMMYFUNCTION("""COMPUTED_VALUE"""),"Scala")</f>
        <v>Scala</v>
      </c>
      <c r="J3493" s="9" t="str">
        <f>IFERROR(__xludf.DUMMYFUNCTION("""COMPUTED_VALUE"""),"C")</f>
        <v>C</v>
      </c>
      <c r="K3493" s="9" t="str">
        <f>IFERROR(__xludf.DUMMYFUNCTION("""COMPUTED_VALUE"""),"JavaScript")</f>
        <v>JavaScript</v>
      </c>
      <c r="L3493" s="9" t="str">
        <f>IFERROR(__xludf.DUMMYFUNCTION("""COMPUTED_VALUE"""),"C")</f>
        <v>C</v>
      </c>
      <c r="M3493" s="9" t="s">
        <v>21</v>
      </c>
    </row>
    <row r="3494" ht="15.75" customHeight="1">
      <c r="A3494" s="7"/>
      <c r="B3494" s="7" t="str">
        <f>IFERROR(__xludf.DUMMYFUNCTION("""COMPUTED_VALUE"""),"HTML/CSS;JavaScript;SQL")</f>
        <v>HTML/CSS;JavaScript;SQL</v>
      </c>
      <c r="C3494" s="9" t="str">
        <f>IFERROR(__xludf.DUMMYFUNCTION("""COMPUTED_VALUE"""),"Python")</f>
        <v>Python</v>
      </c>
      <c r="D3494" s="9" t="str">
        <f>IFERROR(__xludf.DUMMYFUNCTION("""COMPUTED_VALUE"""),"Kotlin")</f>
        <v>Kotlin</v>
      </c>
      <c r="E3494" s="9" t="str">
        <f>IFERROR(__xludf.DUMMYFUNCTION("""COMPUTED_VALUE"""),"PHP")</f>
        <v>PHP</v>
      </c>
      <c r="F3494" s="9" t="str">
        <f>IFERROR(__xludf.DUMMYFUNCTION("""COMPUTED_VALUE"""),"HTML/CSS")</f>
        <v>HTML/CSS</v>
      </c>
      <c r="G3494" s="9" t="str">
        <f>IFERROR(__xludf.DUMMYFUNCTION("""COMPUTED_VALUE"""),"HTML/CSS")</f>
        <v>HTML/CSS</v>
      </c>
      <c r="H3494" s="9" t="str">
        <f>IFERROR(__xludf.DUMMYFUNCTION("""COMPUTED_VALUE"""),"HTML/CSS")</f>
        <v>HTML/CSS</v>
      </c>
      <c r="I3494" s="9" t="str">
        <f>IFERROR(__xludf.DUMMYFUNCTION("""COMPUTED_VALUE"""),"SQL")</f>
        <v>SQL</v>
      </c>
      <c r="J3494" s="9" t="str">
        <f>IFERROR(__xludf.DUMMYFUNCTION("""COMPUTED_VALUE"""),"Java")</f>
        <v>Java</v>
      </c>
      <c r="K3494" s="9" t="str">
        <f>IFERROR(__xludf.DUMMYFUNCTION("""COMPUTED_VALUE"""),"PHP")</f>
        <v>PHP</v>
      </c>
      <c r="L3494" s="9" t="str">
        <f>IFERROR(__xludf.DUMMYFUNCTION("""COMPUTED_VALUE"""),"C++")</f>
        <v>C++</v>
      </c>
      <c r="M3494" s="9" t="s">
        <v>22</v>
      </c>
    </row>
    <row r="3495" ht="15.75" customHeight="1">
      <c r="A3495" s="7"/>
      <c r="B3495" s="7" t="str">
        <f>IFERROR(__xludf.DUMMYFUNCTION("""COMPUTED_VALUE"""),"Assembly;C;C++;C#;HTML/CSS;Java;JavaScript;Python;SQL")</f>
        <v>Assembly;C;C++;C#;HTML/CSS;Java;JavaScript;Python;SQL</v>
      </c>
      <c r="C3495" s="9" t="str">
        <f>IFERROR(__xludf.DUMMYFUNCTION("""COMPUTED_VALUE"""),"SQL")</f>
        <v>SQL</v>
      </c>
      <c r="D3495" s="9" t="str">
        <f>IFERROR(__xludf.DUMMYFUNCTION("""COMPUTED_VALUE"""),"HTML/CSS")</f>
        <v>HTML/CSS</v>
      </c>
      <c r="E3495" s="9" t="str">
        <f>IFERROR(__xludf.DUMMYFUNCTION("""COMPUTED_VALUE"""),"Python")</f>
        <v>Python</v>
      </c>
      <c r="F3495" s="9" t="str">
        <f>IFERROR(__xludf.DUMMYFUNCTION("""COMPUTED_VALUE"""),"JavaScript")</f>
        <v>JavaScript</v>
      </c>
      <c r="G3495" s="9" t="str">
        <f>IFERROR(__xludf.DUMMYFUNCTION("""COMPUTED_VALUE"""),"Java")</f>
        <v>Java</v>
      </c>
      <c r="H3495" s="9" t="str">
        <f>IFERROR(__xludf.DUMMYFUNCTION("""COMPUTED_VALUE"""),"JavaScript")</f>
        <v>JavaScript</v>
      </c>
      <c r="I3495" s="9" t="str">
        <f>IFERROR(__xludf.DUMMYFUNCTION("""COMPUTED_VALUE"""),"HTML/CSS")</f>
        <v>HTML/CSS</v>
      </c>
      <c r="J3495" s="9" t="str">
        <f>IFERROR(__xludf.DUMMYFUNCTION("""COMPUTED_VALUE"""),"JavaScript")</f>
        <v>JavaScript</v>
      </c>
      <c r="K3495" s="9" t="str">
        <f>IFERROR(__xludf.DUMMYFUNCTION("""COMPUTED_VALUE"""),"SQL")</f>
        <v>SQL</v>
      </c>
      <c r="L3495" s="9" t="str">
        <f>IFERROR(__xludf.DUMMYFUNCTION("""COMPUTED_VALUE"""),"C#")</f>
        <v>C#</v>
      </c>
      <c r="M3495" s="9" t="s">
        <v>27</v>
      </c>
    </row>
    <row r="3496" ht="15.75" customHeight="1">
      <c r="A3496" s="7"/>
      <c r="B3496" s="7" t="str">
        <f>IFERROR(__xludf.DUMMYFUNCTION("""COMPUTED_VALUE"""),"HTML/CSS;Java;JavaScript;Python;SQL;TypeScript")</f>
        <v>HTML/CSS;Java;JavaScript;Python;SQL;TypeScript</v>
      </c>
      <c r="C3496" s="9" t="str">
        <f>IFERROR(__xludf.DUMMYFUNCTION("""COMPUTED_VALUE"""),"JavaScript")</f>
        <v>JavaScript</v>
      </c>
      <c r="D3496" s="9" t="str">
        <f>IFERROR(__xludf.DUMMYFUNCTION("""COMPUTED_VALUE"""),"JavaScript")</f>
        <v>JavaScript</v>
      </c>
      <c r="E3496" s="9" t="str">
        <f>IFERROR(__xludf.DUMMYFUNCTION("""COMPUTED_VALUE"""),"SQL")</f>
        <v>SQL</v>
      </c>
      <c r="F3496" s="9" t="str">
        <f>IFERROR(__xludf.DUMMYFUNCTION("""COMPUTED_VALUE"""),"TypeScript")</f>
        <v>TypeScript</v>
      </c>
      <c r="G3496" s="9" t="str">
        <f>IFERROR(__xludf.DUMMYFUNCTION("""COMPUTED_VALUE"""),"Python")</f>
        <v>Python</v>
      </c>
      <c r="H3496" s="9" t="str">
        <f>IFERROR(__xludf.DUMMYFUNCTION("""COMPUTED_VALUE"""),"TypeScript")</f>
        <v>TypeScript</v>
      </c>
      <c r="I3496" s="9" t="str">
        <f>IFERROR(__xludf.DUMMYFUNCTION("""COMPUTED_VALUE"""),"JavaScript")</f>
        <v>JavaScript</v>
      </c>
      <c r="J3496" s="9" t="str">
        <f>IFERROR(__xludf.DUMMYFUNCTION("""COMPUTED_VALUE"""),"SQL")</f>
        <v>SQL</v>
      </c>
      <c r="K3496" s="9" t="str">
        <f>IFERROR(__xludf.DUMMYFUNCTION("""COMPUTED_VALUE"""),"Bash/Shell/PowerShell")</f>
        <v>Bash/Shell/PowerShell</v>
      </c>
      <c r="L3496" s="9" t="str">
        <f>IFERROR(__xludf.DUMMYFUNCTION("""COMPUTED_VALUE"""),"HTML/CSS")</f>
        <v>HTML/CSS</v>
      </c>
      <c r="M3496" s="9" t="s">
        <v>21</v>
      </c>
    </row>
    <row r="3497" ht="15.75" customHeight="1">
      <c r="A3497" s="7"/>
      <c r="B3497" s="7" t="str">
        <f>IFERROR(__xludf.DUMMYFUNCTION("""COMPUTED_VALUE"""),"Objective-C;Swift")</f>
        <v>Objective-C;Swift</v>
      </c>
      <c r="C3497" s="9" t="str">
        <f>IFERROR(__xludf.DUMMYFUNCTION("""COMPUTED_VALUE"""),"TypeScript")</f>
        <v>TypeScript</v>
      </c>
      <c r="D3497" s="9" t="str">
        <f>IFERROR(__xludf.DUMMYFUNCTION("""COMPUTED_VALUE"""),"TypeScript")</f>
        <v>TypeScript</v>
      </c>
      <c r="E3497" s="9" t="str">
        <f>IFERROR(__xludf.DUMMYFUNCTION("""COMPUTED_VALUE"""),"Bash/Shell/PowerShell")</f>
        <v>Bash/Shell/PowerShell</v>
      </c>
      <c r="F3497" s="9" t="str">
        <f>IFERROR(__xludf.DUMMYFUNCTION("""COMPUTED_VALUE"""),"C#")</f>
        <v>C#</v>
      </c>
      <c r="G3497" s="9" t="str">
        <f>IFERROR(__xludf.DUMMYFUNCTION("""COMPUTED_VALUE"""),"R")</f>
        <v>R</v>
      </c>
      <c r="H3497" s="9" t="str">
        <f>IFERROR(__xludf.DUMMYFUNCTION("""COMPUTED_VALUE"""),"Java")</f>
        <v>Java</v>
      </c>
      <c r="I3497" s="9" t="str">
        <f>IFERROR(__xludf.DUMMYFUNCTION("""COMPUTED_VALUE"""),"PHP")</f>
        <v>PHP</v>
      </c>
      <c r="J3497" s="9" t="str">
        <f>IFERROR(__xludf.DUMMYFUNCTION("""COMPUTED_VALUE"""),"Other(s):")</f>
        <v>Other(s):</v>
      </c>
      <c r="K3497" s="9" t="str">
        <f>IFERROR(__xludf.DUMMYFUNCTION("""COMPUTED_VALUE"""),"C")</f>
        <v>C</v>
      </c>
      <c r="L3497" s="9" t="str">
        <f>IFERROR(__xludf.DUMMYFUNCTION("""COMPUTED_VALUE"""),"Java")</f>
        <v>Java</v>
      </c>
      <c r="M3497" s="9" t="s">
        <v>33</v>
      </c>
    </row>
    <row r="3498" ht="15.75" customHeight="1">
      <c r="A3498" s="7"/>
      <c r="B3498" s="7" t="str">
        <f>IFERROR(__xludf.DUMMYFUNCTION("""COMPUTED_VALUE"""),"C;C++")</f>
        <v>C;C++</v>
      </c>
      <c r="C3498" s="9" t="str">
        <f>IFERROR(__xludf.DUMMYFUNCTION("""COMPUTED_VALUE"""),"Assembly")</f>
        <v>Assembly</v>
      </c>
      <c r="D3498" s="9" t="str">
        <f>IFERROR(__xludf.DUMMYFUNCTION("""COMPUTED_VALUE"""),"Bash/Shell/PowerShell")</f>
        <v>Bash/Shell/PowerShell</v>
      </c>
      <c r="E3498" s="9" t="str">
        <f>IFERROR(__xludf.DUMMYFUNCTION("""COMPUTED_VALUE"""),"C#")</f>
        <v>C#</v>
      </c>
      <c r="F3498" s="9" t="str">
        <f>IFERROR(__xludf.DUMMYFUNCTION("""COMPUTED_VALUE"""),"HTML/CSS")</f>
        <v>HTML/CSS</v>
      </c>
      <c r="G3498" s="9" t="str">
        <f>IFERROR(__xludf.DUMMYFUNCTION("""COMPUTED_VALUE"""),"SQL")</f>
        <v>SQL</v>
      </c>
      <c r="H3498" s="9" t="str">
        <f>IFERROR(__xludf.DUMMYFUNCTION("""COMPUTED_VALUE"""),"Bash/Shell/PowerShell")</f>
        <v>Bash/Shell/PowerShell</v>
      </c>
      <c r="I3498" s="9" t="str">
        <f>IFERROR(__xludf.DUMMYFUNCTION("""COMPUTED_VALUE"""),"C#")</f>
        <v>C#</v>
      </c>
      <c r="J3498" s="9" t="str">
        <f>IFERROR(__xludf.DUMMYFUNCTION("""COMPUTED_VALUE"""),"C")</f>
        <v>C</v>
      </c>
      <c r="K3498" s="9" t="str">
        <f>IFERROR(__xludf.DUMMYFUNCTION("""COMPUTED_VALUE"""),"HTML/CSS")</f>
        <v>HTML/CSS</v>
      </c>
      <c r="L3498" s="9" t="str">
        <f>IFERROR(__xludf.DUMMYFUNCTION("""COMPUTED_VALUE"""),"Python")</f>
        <v>Python</v>
      </c>
      <c r="M3498" s="9" t="s">
        <v>38</v>
      </c>
    </row>
    <row r="3499" ht="15.75" customHeight="1">
      <c r="A3499" s="7"/>
      <c r="B3499" s="7" t="str">
        <f>IFERROR(__xludf.DUMMYFUNCTION("""COMPUTED_VALUE"""),"HTML/CSS;JavaScript;Python;SQL")</f>
        <v>HTML/CSS;JavaScript;Python;SQL</v>
      </c>
      <c r="C3499" s="9" t="str">
        <f>IFERROR(__xludf.DUMMYFUNCTION("""COMPUTED_VALUE"""),"C")</f>
        <v>C</v>
      </c>
      <c r="D3499" s="9" t="str">
        <f>IFERROR(__xludf.DUMMYFUNCTION("""COMPUTED_VALUE"""),"C++")</f>
        <v>C++</v>
      </c>
      <c r="E3499" s="9" t="str">
        <f>IFERROR(__xludf.DUMMYFUNCTION("""COMPUTED_VALUE"""),"Java")</f>
        <v>Java</v>
      </c>
      <c r="F3499" s="9" t="str">
        <f>IFERROR(__xludf.DUMMYFUNCTION("""COMPUTED_VALUE"""),"JavaScript")</f>
        <v>JavaScript</v>
      </c>
      <c r="G3499" s="9" t="str">
        <f>IFERROR(__xludf.DUMMYFUNCTION("""COMPUTED_VALUE"""),"VBA")</f>
        <v>VBA</v>
      </c>
      <c r="H3499" s="9" t="str">
        <f>IFERROR(__xludf.DUMMYFUNCTION("""COMPUTED_VALUE"""),"HTML/CSS")</f>
        <v>HTML/CSS</v>
      </c>
      <c r="I3499" s="9" t="str">
        <f>IFERROR(__xludf.DUMMYFUNCTION("""COMPUTED_VALUE"""),"JavaScript")</f>
        <v>JavaScript</v>
      </c>
      <c r="J3499" s="9" t="str">
        <f>IFERROR(__xludf.DUMMYFUNCTION("""COMPUTED_VALUE"""),"C++")</f>
        <v>C++</v>
      </c>
      <c r="K3499" s="9" t="str">
        <f>IFERROR(__xludf.DUMMYFUNCTION("""COMPUTED_VALUE"""),"Java")</f>
        <v>Java</v>
      </c>
      <c r="L3499" s="9" t="str">
        <f>IFERROR(__xludf.DUMMYFUNCTION("""COMPUTED_VALUE"""),"Bash/Shell/PowerShell")</f>
        <v>Bash/Shell/PowerShell</v>
      </c>
      <c r="M3499" s="9" t="s">
        <v>25</v>
      </c>
    </row>
    <row r="3500" ht="15.75" customHeight="1">
      <c r="A3500" s="7"/>
      <c r="B3500" s="7" t="str">
        <f>IFERROR(__xludf.DUMMYFUNCTION("""COMPUTED_VALUE"""),"HTML/CSS;JavaScript;PHP;SQL")</f>
        <v>HTML/CSS;JavaScript;PHP;SQL</v>
      </c>
      <c r="C3500" s="9" t="str">
        <f>IFERROR(__xludf.DUMMYFUNCTION("""COMPUTED_VALUE"""),"HTML/CSS")</f>
        <v>HTML/CSS</v>
      </c>
      <c r="D3500" s="9" t="str">
        <f>IFERROR(__xludf.DUMMYFUNCTION("""COMPUTED_VALUE"""),"Java")</f>
        <v>Java</v>
      </c>
      <c r="E3500" s="9" t="str">
        <f>IFERROR(__xludf.DUMMYFUNCTION("""COMPUTED_VALUE"""),"SQL")</f>
        <v>SQL</v>
      </c>
      <c r="F3500" s="9" t="str">
        <f>IFERROR(__xludf.DUMMYFUNCTION("""COMPUTED_VALUE"""),"Bash/Shell/PowerShell")</f>
        <v>Bash/Shell/PowerShell</v>
      </c>
      <c r="G3500" s="9" t="str">
        <f>IFERROR(__xludf.DUMMYFUNCTION("""COMPUTED_VALUE"""),"Objective-C")</f>
        <v>Objective-C</v>
      </c>
      <c r="H3500" s="9" t="str">
        <f>IFERROR(__xludf.DUMMYFUNCTION("""COMPUTED_VALUE"""),"JavaScript")</f>
        <v>JavaScript</v>
      </c>
      <c r="I3500" s="9" t="str">
        <f>IFERROR(__xludf.DUMMYFUNCTION("""COMPUTED_VALUE"""),"Objective-C")</f>
        <v>Objective-C</v>
      </c>
      <c r="J3500" s="9" t="str">
        <f>IFERROR(__xludf.DUMMYFUNCTION("""COMPUTED_VALUE"""),"C#")</f>
        <v>C#</v>
      </c>
      <c r="K3500" s="9" t="str">
        <f>IFERROR(__xludf.DUMMYFUNCTION("""COMPUTED_VALUE"""),"JavaScript")</f>
        <v>JavaScript</v>
      </c>
      <c r="L3500" s="9" t="str">
        <f>IFERROR(__xludf.DUMMYFUNCTION("""COMPUTED_VALUE"""),"Other(s):")</f>
        <v>Other(s):</v>
      </c>
      <c r="M3500" s="9" t="s">
        <v>24</v>
      </c>
    </row>
    <row r="3501" ht="15.75" customHeight="1">
      <c r="A3501" s="7"/>
      <c r="B3501" s="7" t="str">
        <f>IFERROR(__xludf.DUMMYFUNCTION("""COMPUTED_VALUE"""),"PHP;SQL")</f>
        <v>PHP;SQL</v>
      </c>
      <c r="C3501" s="9" t="str">
        <f>IFERROR(__xludf.DUMMYFUNCTION("""COMPUTED_VALUE"""),"Java")</f>
        <v>Java</v>
      </c>
      <c r="D3501" s="9" t="str">
        <f>IFERROR(__xludf.DUMMYFUNCTION("""COMPUTED_VALUE"""),"Python")</f>
        <v>Python</v>
      </c>
      <c r="E3501" s="9" t="str">
        <f>IFERROR(__xludf.DUMMYFUNCTION("""COMPUTED_VALUE"""),"Other(s):")</f>
        <v>Other(s):</v>
      </c>
      <c r="F3501" s="9" t="str">
        <f>IFERROR(__xludf.DUMMYFUNCTION("""COMPUTED_VALUE"""),"C")</f>
        <v>C</v>
      </c>
      <c r="G3501" s="9" t="str">
        <f>IFERROR(__xludf.DUMMYFUNCTION("""COMPUTED_VALUE"""),"Python")</f>
        <v>Python</v>
      </c>
      <c r="H3501" s="9" t="str">
        <f>IFERROR(__xludf.DUMMYFUNCTION("""COMPUTED_VALUE"""),"Python")</f>
        <v>Python</v>
      </c>
      <c r="I3501" s="9" t="str">
        <f>IFERROR(__xludf.DUMMYFUNCTION("""COMPUTED_VALUE"""),"Swift")</f>
        <v>Swift</v>
      </c>
      <c r="J3501" s="9" t="str">
        <f>IFERROR(__xludf.DUMMYFUNCTION("""COMPUTED_VALUE"""),"HTML/CSS")</f>
        <v>HTML/CSS</v>
      </c>
      <c r="K3501" s="9" t="str">
        <f>IFERROR(__xludf.DUMMYFUNCTION("""COMPUTED_VALUE"""),"Python")</f>
        <v>Python</v>
      </c>
      <c r="L3501" s="9" t="str">
        <f>IFERROR(__xludf.DUMMYFUNCTION("""COMPUTED_VALUE"""),"Bash/Shell/PowerShell")</f>
        <v>Bash/Shell/PowerShell</v>
      </c>
      <c r="M3501" s="9" t="s">
        <v>20</v>
      </c>
    </row>
    <row r="3502" ht="15.75" customHeight="1">
      <c r="A3502" s="7"/>
      <c r="B3502" s="7" t="str">
        <f>IFERROR(__xludf.DUMMYFUNCTION("""COMPUTED_VALUE"""),"HTML/CSS;JavaScript;TypeScript")</f>
        <v>HTML/CSS;JavaScript;TypeScript</v>
      </c>
      <c r="C3502" s="9" t="str">
        <f>IFERROR(__xludf.DUMMYFUNCTION("""COMPUTED_VALUE"""),"JavaScript")</f>
        <v>JavaScript</v>
      </c>
      <c r="D3502" s="9" t="str">
        <f>IFERROR(__xludf.DUMMYFUNCTION("""COMPUTED_VALUE"""),"Scala")</f>
        <v>Scala</v>
      </c>
      <c r="E3502" s="9" t="str">
        <f>IFERROR(__xludf.DUMMYFUNCTION("""COMPUTED_VALUE"""),"HTML/CSS")</f>
        <v>HTML/CSS</v>
      </c>
      <c r="F3502" s="9" t="str">
        <f>IFERROR(__xludf.DUMMYFUNCTION("""COMPUTED_VALUE"""),"C++")</f>
        <v>C++</v>
      </c>
      <c r="G3502" s="9" t="str">
        <f>IFERROR(__xludf.DUMMYFUNCTION("""COMPUTED_VALUE"""),"Swift")</f>
        <v>Swift</v>
      </c>
      <c r="H3502" s="9" t="str">
        <f>IFERROR(__xludf.DUMMYFUNCTION("""COMPUTED_VALUE"""),"Ruby")</f>
        <v>Ruby</v>
      </c>
      <c r="I3502" s="9" t="str">
        <f>IFERROR(__xludf.DUMMYFUNCTION("""COMPUTED_VALUE"""),"C")</f>
        <v>C</v>
      </c>
      <c r="J3502" s="9" t="str">
        <f>IFERROR(__xludf.DUMMYFUNCTION("""COMPUTED_VALUE"""),"Java")</f>
        <v>Java</v>
      </c>
      <c r="K3502" s="9" t="str">
        <f>IFERROR(__xludf.DUMMYFUNCTION("""COMPUTED_VALUE"""),"Scala")</f>
        <v>Scala</v>
      </c>
      <c r="L3502" s="9" t="str">
        <f>IFERROR(__xludf.DUMMYFUNCTION("""COMPUTED_VALUE"""),"C")</f>
        <v>C</v>
      </c>
      <c r="M3502" s="9" t="s">
        <v>21</v>
      </c>
    </row>
    <row r="3503" ht="15.75" customHeight="1">
      <c r="A3503" s="7"/>
      <c r="B3503" s="7" t="str">
        <f>IFERROR(__xludf.DUMMYFUNCTION("""COMPUTED_VALUE"""),"Python;VBA")</f>
        <v>Python;VBA</v>
      </c>
      <c r="C3503" s="9" t="str">
        <f>IFERROR(__xludf.DUMMYFUNCTION("""COMPUTED_VALUE"""),"Python")</f>
        <v>Python</v>
      </c>
      <c r="D3503" s="9" t="str">
        <f>IFERROR(__xludf.DUMMYFUNCTION("""COMPUTED_VALUE"""),"SQL")</f>
        <v>SQL</v>
      </c>
      <c r="E3503" s="9" t="str">
        <f>IFERROR(__xludf.DUMMYFUNCTION("""COMPUTED_VALUE"""),"Java")</f>
        <v>Java</v>
      </c>
      <c r="F3503" s="9" t="str">
        <f>IFERROR(__xludf.DUMMYFUNCTION("""COMPUTED_VALUE"""),"JavaScript")</f>
        <v>JavaScript</v>
      </c>
      <c r="G3503" s="9" t="str">
        <f>IFERROR(__xludf.DUMMYFUNCTION("""COMPUTED_VALUE"""),"Bash/Shell/PowerShell")</f>
        <v>Bash/Shell/PowerShell</v>
      </c>
      <c r="H3503" s="9" t="str">
        <f>IFERROR(__xludf.DUMMYFUNCTION("""COMPUTED_VALUE"""),"Rust")</f>
        <v>Rust</v>
      </c>
      <c r="I3503" s="9" t="str">
        <f>IFERROR(__xludf.DUMMYFUNCTION("""COMPUTED_VALUE"""),"C++")</f>
        <v>C++</v>
      </c>
      <c r="J3503" s="9" t="str">
        <f>IFERROR(__xludf.DUMMYFUNCTION("""COMPUTED_VALUE"""),"JavaScript")</f>
        <v>JavaScript</v>
      </c>
      <c r="K3503" s="9" t="str">
        <f>IFERROR(__xludf.DUMMYFUNCTION("""COMPUTED_VALUE"""),"SQL")</f>
        <v>SQL</v>
      </c>
      <c r="L3503" s="9" t="str">
        <f>IFERROR(__xludf.DUMMYFUNCTION("""COMPUTED_VALUE"""),"C++")</f>
        <v>C++</v>
      </c>
      <c r="M3503" s="9" t="s">
        <v>22</v>
      </c>
    </row>
    <row r="3504" ht="15.75" customHeight="1">
      <c r="A3504" s="7"/>
      <c r="B3504" s="7" t="str">
        <f>IFERROR(__xludf.DUMMYFUNCTION("""COMPUTED_VALUE"""),"C;HTML/CSS;JavaScript;PHP;Python;SQL")</f>
        <v>C;HTML/CSS;JavaScript;PHP;Python;SQL</v>
      </c>
      <c r="C3504" s="9" t="str">
        <f>IFERROR(__xludf.DUMMYFUNCTION("""COMPUTED_VALUE"""),"R")</f>
        <v>R</v>
      </c>
      <c r="D3504" s="9" t="str">
        <f>IFERROR(__xludf.DUMMYFUNCTION("""COMPUTED_VALUE"""),"Bash/Shell/PowerShell")</f>
        <v>Bash/Shell/PowerShell</v>
      </c>
      <c r="E3504" s="9" t="str">
        <f>IFERROR(__xludf.DUMMYFUNCTION("""COMPUTED_VALUE"""),"JavaScript")</f>
        <v>JavaScript</v>
      </c>
      <c r="F3504" s="9" t="str">
        <f>IFERROR(__xludf.DUMMYFUNCTION("""COMPUTED_VALUE"""),"Python")</f>
        <v>Python</v>
      </c>
      <c r="G3504" s="9" t="str">
        <f>IFERROR(__xludf.DUMMYFUNCTION("""COMPUTED_VALUE"""),"HTML/CSS")</f>
        <v>HTML/CSS</v>
      </c>
      <c r="H3504" s="9" t="str">
        <f>IFERROR(__xludf.DUMMYFUNCTION("""COMPUTED_VALUE"""),"SQL")</f>
        <v>SQL</v>
      </c>
      <c r="I3504" s="9" t="str">
        <f>IFERROR(__xludf.DUMMYFUNCTION("""COMPUTED_VALUE"""),"JavaScript")</f>
        <v>JavaScript</v>
      </c>
      <c r="J3504" s="9" t="str">
        <f>IFERROR(__xludf.DUMMYFUNCTION("""COMPUTED_VALUE"""),"Python")</f>
        <v>Python</v>
      </c>
      <c r="K3504" s="9" t="str">
        <f>IFERROR(__xludf.DUMMYFUNCTION("""COMPUTED_VALUE"""),"C#")</f>
        <v>C#</v>
      </c>
      <c r="L3504" s="9" t="str">
        <f>IFERROR(__xludf.DUMMYFUNCTION("""COMPUTED_VALUE"""),"HTML/CSS")</f>
        <v>HTML/CSS</v>
      </c>
      <c r="M3504" s="9" t="s">
        <v>29</v>
      </c>
    </row>
    <row r="3505" ht="15.75" customHeight="1">
      <c r="A3505" s="7"/>
      <c r="B3505" s="7" t="str">
        <f>IFERROR(__xludf.DUMMYFUNCTION("""COMPUTED_VALUE"""),"C#;F#;HTML/CSS;Java;JavaScript;SQL")</f>
        <v>C#;F#;HTML/CSS;Java;JavaScript;SQL</v>
      </c>
      <c r="C3505" s="9" t="str">
        <f>IFERROR(__xludf.DUMMYFUNCTION("""COMPUTED_VALUE"""),"Java")</f>
        <v>Java</v>
      </c>
      <c r="D3505" s="9" t="str">
        <f>IFERROR(__xludf.DUMMYFUNCTION("""COMPUTED_VALUE"""),"C#")</f>
        <v>C#</v>
      </c>
      <c r="E3505" s="9" t="str">
        <f>IFERROR(__xludf.DUMMYFUNCTION("""COMPUTED_VALUE"""),"Kotlin")</f>
        <v>Kotlin</v>
      </c>
      <c r="F3505" s="9" t="str">
        <f>IFERROR(__xludf.DUMMYFUNCTION("""COMPUTED_VALUE"""),"Bash/Shell/PowerShell")</f>
        <v>Bash/Shell/PowerShell</v>
      </c>
      <c r="G3505" s="9" t="str">
        <f>IFERROR(__xludf.DUMMYFUNCTION("""COMPUTED_VALUE"""),"JavaScript")</f>
        <v>JavaScript</v>
      </c>
      <c r="H3505" s="9" t="str">
        <f>IFERROR(__xludf.DUMMYFUNCTION("""COMPUTED_VALUE"""),"C#")</f>
        <v>C#</v>
      </c>
      <c r="I3505" s="9" t="str">
        <f>IFERROR(__xludf.DUMMYFUNCTION("""COMPUTED_VALUE"""),"Python")</f>
        <v>Python</v>
      </c>
      <c r="J3505" s="9" t="str">
        <f>IFERROR(__xludf.DUMMYFUNCTION("""COMPUTED_VALUE"""),"SQL")</f>
        <v>SQL</v>
      </c>
      <c r="K3505" s="9" t="str">
        <f>IFERROR(__xludf.DUMMYFUNCTION("""COMPUTED_VALUE"""),"Java")</f>
        <v>Java</v>
      </c>
      <c r="L3505" s="9" t="str">
        <f>IFERROR(__xludf.DUMMYFUNCTION("""COMPUTED_VALUE"""),"JavaScript")</f>
        <v>JavaScript</v>
      </c>
      <c r="M3505" s="9" t="s">
        <v>20</v>
      </c>
    </row>
    <row r="3506" ht="15.75" customHeight="1">
      <c r="A3506" s="7"/>
      <c r="B3506" s="7" t="str">
        <f>IFERROR(__xludf.DUMMYFUNCTION("""COMPUTED_VALUE"""),"HTML/CSS;Ruby;SQL;Other(s):")</f>
        <v>HTML/CSS;Ruby;SQL;Other(s):</v>
      </c>
      <c r="C3506" s="9" t="str">
        <f>IFERROR(__xludf.DUMMYFUNCTION("""COMPUTED_VALUE"""),"HTML/CSS")</f>
        <v>HTML/CSS</v>
      </c>
      <c r="D3506" s="9" t="str">
        <f>IFERROR(__xludf.DUMMYFUNCTION("""COMPUTED_VALUE"""),"Go")</f>
        <v>Go</v>
      </c>
      <c r="E3506" s="9" t="str">
        <f>IFERROR(__xludf.DUMMYFUNCTION("""COMPUTED_VALUE"""),"PHP")</f>
        <v>PHP</v>
      </c>
      <c r="F3506" s="9" t="str">
        <f>IFERROR(__xludf.DUMMYFUNCTION("""COMPUTED_VALUE"""),"HTML/CSS")</f>
        <v>HTML/CSS</v>
      </c>
      <c r="G3506" s="9" t="str">
        <f>IFERROR(__xludf.DUMMYFUNCTION("""COMPUTED_VALUE"""),"Ruby")</f>
        <v>Ruby</v>
      </c>
      <c r="H3506" s="9" t="str">
        <f>IFERROR(__xludf.DUMMYFUNCTION("""COMPUTED_VALUE"""),"Ruby")</f>
        <v>Ruby</v>
      </c>
      <c r="I3506" s="9" t="str">
        <f>IFERROR(__xludf.DUMMYFUNCTION("""COMPUTED_VALUE"""),"Ruby")</f>
        <v>Ruby</v>
      </c>
      <c r="J3506" s="9" t="str">
        <f>IFERROR(__xludf.DUMMYFUNCTION("""COMPUTED_VALUE"""),"TypeScript")</f>
        <v>TypeScript</v>
      </c>
      <c r="K3506" s="9" t="str">
        <f>IFERROR(__xludf.DUMMYFUNCTION("""COMPUTED_VALUE"""),"C#")</f>
        <v>C#</v>
      </c>
      <c r="L3506" s="9" t="str">
        <f>IFERROR(__xludf.DUMMYFUNCTION("""COMPUTED_VALUE"""),"Python")</f>
        <v>Python</v>
      </c>
      <c r="M3506" s="9" t="s">
        <v>24</v>
      </c>
    </row>
    <row r="3507" ht="15.75" customHeight="1">
      <c r="A3507" s="7"/>
      <c r="B3507" s="7" t="str">
        <f>IFERROR(__xludf.DUMMYFUNCTION("""COMPUTED_VALUE"""),"Bash/Shell/PowerShell;C++;HTML/CSS;JavaScript;Python;SQL")</f>
        <v>Bash/Shell/PowerShell;C++;HTML/CSS;JavaScript;Python;SQL</v>
      </c>
      <c r="C3507" s="9" t="str">
        <f>IFERROR(__xludf.DUMMYFUNCTION("""COMPUTED_VALUE"""),"JavaScript")</f>
        <v>JavaScript</v>
      </c>
      <c r="D3507" s="9" t="str">
        <f>IFERROR(__xludf.DUMMYFUNCTION("""COMPUTED_VALUE"""),"HTML/CSS")</f>
        <v>HTML/CSS</v>
      </c>
      <c r="E3507" s="9" t="str">
        <f>IFERROR(__xludf.DUMMYFUNCTION("""COMPUTED_VALUE"""),"SQL")</f>
        <v>SQL</v>
      </c>
      <c r="F3507" s="9" t="str">
        <f>IFERROR(__xludf.DUMMYFUNCTION("""COMPUTED_VALUE"""),"PHP")</f>
        <v>PHP</v>
      </c>
      <c r="G3507" s="9" t="str">
        <f>IFERROR(__xludf.DUMMYFUNCTION("""COMPUTED_VALUE"""),"SQL")</f>
        <v>SQL</v>
      </c>
      <c r="H3507" s="9" t="str">
        <f>IFERROR(__xludf.DUMMYFUNCTION("""COMPUTED_VALUE"""),"Assembly")</f>
        <v>Assembly</v>
      </c>
      <c r="I3507" s="9" t="str">
        <f>IFERROR(__xludf.DUMMYFUNCTION("""COMPUTED_VALUE"""),"Rust")</f>
        <v>Rust</v>
      </c>
      <c r="J3507" s="9" t="str">
        <f>IFERROR(__xludf.DUMMYFUNCTION("""COMPUTED_VALUE"""),"C")</f>
        <v>C</v>
      </c>
      <c r="K3507" s="9" t="str">
        <f>IFERROR(__xludf.DUMMYFUNCTION("""COMPUTED_VALUE"""),"HTML/CSS")</f>
        <v>HTML/CSS</v>
      </c>
      <c r="L3507" s="9" t="str">
        <f>IFERROR(__xludf.DUMMYFUNCTION("""COMPUTED_VALUE"""),"SQL")</f>
        <v>SQL</v>
      </c>
      <c r="M3507" s="9" t="s">
        <v>21</v>
      </c>
    </row>
    <row r="3508" ht="15.75" customHeight="1">
      <c r="A3508" s="7"/>
      <c r="B3508" s="7" t="str">
        <f>IFERROR(__xludf.DUMMYFUNCTION("""COMPUTED_VALUE"""),"Java")</f>
        <v>Java</v>
      </c>
      <c r="C3508" s="9" t="str">
        <f>IFERROR(__xludf.DUMMYFUNCTION("""COMPUTED_VALUE"""),"HTML/CSS")</f>
        <v>HTML/CSS</v>
      </c>
      <c r="D3508" s="9" t="str">
        <f>IFERROR(__xludf.DUMMYFUNCTION("""COMPUTED_VALUE"""),"Java")</f>
        <v>Java</v>
      </c>
      <c r="E3508" s="9" t="str">
        <f>IFERROR(__xludf.DUMMYFUNCTION("""COMPUTED_VALUE"""),"Swift")</f>
        <v>Swift</v>
      </c>
      <c r="F3508" s="9" t="str">
        <f>IFERROR(__xludf.DUMMYFUNCTION("""COMPUTED_VALUE"""),"SQL")</f>
        <v>SQL</v>
      </c>
      <c r="G3508" s="9" t="str">
        <f>IFERROR(__xludf.DUMMYFUNCTION("""COMPUTED_VALUE"""),"Bash/Shell/PowerShell")</f>
        <v>Bash/Shell/PowerShell</v>
      </c>
      <c r="H3508" s="9" t="str">
        <f>IFERROR(__xludf.DUMMYFUNCTION("""COMPUTED_VALUE"""),"Dart")</f>
        <v>Dart</v>
      </c>
      <c r="I3508" s="9" t="str">
        <f>IFERROR(__xludf.DUMMYFUNCTION("""COMPUTED_VALUE"""),"SQL")</f>
        <v>SQL</v>
      </c>
      <c r="J3508" s="9" t="str">
        <f>IFERROR(__xludf.DUMMYFUNCTION("""COMPUTED_VALUE"""),"Dart")</f>
        <v>Dart</v>
      </c>
      <c r="K3508" s="9" t="str">
        <f>IFERROR(__xludf.DUMMYFUNCTION("""COMPUTED_VALUE"""),"JavaScript")</f>
        <v>JavaScript</v>
      </c>
      <c r="L3508" s="9" t="str">
        <f>IFERROR(__xludf.DUMMYFUNCTION("""COMPUTED_VALUE"""),"C#")</f>
        <v>C#</v>
      </c>
      <c r="M3508" s="9" t="s">
        <v>24</v>
      </c>
    </row>
    <row r="3509" ht="15.75" customHeight="1">
      <c r="A3509" s="7"/>
      <c r="B3509" s="7" t="str">
        <f>IFERROR(__xludf.DUMMYFUNCTION("""COMPUTED_VALUE"""),"JavaScript;PHP;Python;Swift")</f>
        <v>JavaScript;PHP;Python;Swift</v>
      </c>
      <c r="C3509" s="9" t="str">
        <f>IFERROR(__xludf.DUMMYFUNCTION("""COMPUTED_VALUE"""),"JavaScript")</f>
        <v>JavaScript</v>
      </c>
      <c r="D3509" s="9" t="str">
        <f>IFERROR(__xludf.DUMMYFUNCTION("""COMPUTED_VALUE"""),"JavaScript")</f>
        <v>JavaScript</v>
      </c>
      <c r="E3509" s="9" t="str">
        <f>IFERROR(__xludf.DUMMYFUNCTION("""COMPUTED_VALUE"""),"C#")</f>
        <v>C#</v>
      </c>
      <c r="F3509" s="9" t="str">
        <f>IFERROR(__xludf.DUMMYFUNCTION("""COMPUTED_VALUE"""),"Bash/Shell/PowerShell")</f>
        <v>Bash/Shell/PowerShell</v>
      </c>
      <c r="G3509" s="9" t="str">
        <f>IFERROR(__xludf.DUMMYFUNCTION("""COMPUTED_VALUE"""),"HTML/CSS")</f>
        <v>HTML/CSS</v>
      </c>
      <c r="H3509" s="9" t="str">
        <f>IFERROR(__xludf.DUMMYFUNCTION("""COMPUTED_VALUE"""),"Erlang")</f>
        <v>Erlang</v>
      </c>
      <c r="I3509" s="9" t="str">
        <f>IFERROR(__xludf.DUMMYFUNCTION("""COMPUTED_VALUE"""),"C++")</f>
        <v>C++</v>
      </c>
      <c r="J3509" s="9" t="str">
        <f>IFERROR(__xludf.DUMMYFUNCTION("""COMPUTED_VALUE"""),"Java")</f>
        <v>Java</v>
      </c>
      <c r="K3509" s="9" t="str">
        <f>IFERROR(__xludf.DUMMYFUNCTION("""COMPUTED_VALUE"""),"C")</f>
        <v>C</v>
      </c>
      <c r="L3509" s="9" t="str">
        <f>IFERROR(__xludf.DUMMYFUNCTION("""COMPUTED_VALUE"""),"SQL")</f>
        <v>SQL</v>
      </c>
      <c r="M3509" s="9" t="s">
        <v>21</v>
      </c>
    </row>
    <row r="3510" ht="15.75" customHeight="1">
      <c r="A3510" s="7"/>
      <c r="B3510" s="7" t="str">
        <f>IFERROR(__xludf.DUMMYFUNCTION("""COMPUTED_VALUE"""),"C#;R;SQL")</f>
        <v>C#;R;SQL</v>
      </c>
      <c r="C3510" s="9" t="str">
        <f>IFERROR(__xludf.DUMMYFUNCTION("""COMPUTED_VALUE"""),"PHP")</f>
        <v>PHP</v>
      </c>
      <c r="D3510" s="9" t="str">
        <f>IFERROR(__xludf.DUMMYFUNCTION("""COMPUTED_VALUE"""),"Go")</f>
        <v>Go</v>
      </c>
      <c r="E3510" s="9" t="str">
        <f>IFERROR(__xludf.DUMMYFUNCTION("""COMPUTED_VALUE"""),"HTML/CSS")</f>
        <v>HTML/CSS</v>
      </c>
      <c r="F3510" s="9" t="str">
        <f>IFERROR(__xludf.DUMMYFUNCTION("""COMPUTED_VALUE"""),"C")</f>
        <v>C</v>
      </c>
      <c r="G3510" s="9" t="str">
        <f>IFERROR(__xludf.DUMMYFUNCTION("""COMPUTED_VALUE"""),"JavaScript")</f>
        <v>JavaScript</v>
      </c>
      <c r="H3510" s="9" t="str">
        <f>IFERROR(__xludf.DUMMYFUNCTION("""COMPUTED_VALUE"""),"Go")</f>
        <v>Go</v>
      </c>
      <c r="I3510" s="9" t="str">
        <f>IFERROR(__xludf.DUMMYFUNCTION("""COMPUTED_VALUE"""),"C#")</f>
        <v>C#</v>
      </c>
      <c r="J3510" s="9" t="str">
        <f>IFERROR(__xludf.DUMMYFUNCTION("""COMPUTED_VALUE"""),"Python")</f>
        <v>Python</v>
      </c>
      <c r="K3510" s="9" t="str">
        <f>IFERROR(__xludf.DUMMYFUNCTION("""COMPUTED_VALUE"""),"C++")</f>
        <v>C++</v>
      </c>
      <c r="L3510" s="9" t="str">
        <f>IFERROR(__xludf.DUMMYFUNCTION("""COMPUTED_VALUE"""),"Python")</f>
        <v>Python</v>
      </c>
      <c r="M3510" s="9" t="s">
        <v>37</v>
      </c>
    </row>
    <row r="3511" ht="15.75" customHeight="1">
      <c r="A3511" s="7"/>
      <c r="B3511" s="7" t="str">
        <f>IFERROR(__xludf.DUMMYFUNCTION("""COMPUTED_VALUE"""),"C;Java;Python")</f>
        <v>C;Java;Python</v>
      </c>
      <c r="C3511" s="9" t="str">
        <f>IFERROR(__xludf.DUMMYFUNCTION("""COMPUTED_VALUE"""),"SQL")</f>
        <v>SQL</v>
      </c>
      <c r="D3511" s="9" t="str">
        <f>IFERROR(__xludf.DUMMYFUNCTION("""COMPUTED_VALUE"""),"JavaScript")</f>
        <v>JavaScript</v>
      </c>
      <c r="E3511" s="9" t="str">
        <f>IFERROR(__xludf.DUMMYFUNCTION("""COMPUTED_VALUE"""),"JavaScript")</f>
        <v>JavaScript</v>
      </c>
      <c r="F3511" s="9" t="str">
        <f>IFERROR(__xludf.DUMMYFUNCTION("""COMPUTED_VALUE"""),"Java")</f>
        <v>Java</v>
      </c>
      <c r="G3511" s="9" t="str">
        <f>IFERROR(__xludf.DUMMYFUNCTION("""COMPUTED_VALUE"""),"Python")</f>
        <v>Python</v>
      </c>
      <c r="H3511" s="9" t="str">
        <f>IFERROR(__xludf.DUMMYFUNCTION("""COMPUTED_VALUE"""),"HTML/CSS")</f>
        <v>HTML/CSS</v>
      </c>
      <c r="I3511" s="9" t="str">
        <f>IFERROR(__xludf.DUMMYFUNCTION("""COMPUTED_VALUE"""),"HTML/CSS")</f>
        <v>HTML/CSS</v>
      </c>
      <c r="J3511" s="9" t="str">
        <f>IFERROR(__xludf.DUMMYFUNCTION("""COMPUTED_VALUE"""),"HTML/CSS")</f>
        <v>HTML/CSS</v>
      </c>
      <c r="K3511" s="9" t="str">
        <f>IFERROR(__xludf.DUMMYFUNCTION("""COMPUTED_VALUE"""),"HTML/CSS")</f>
        <v>HTML/CSS</v>
      </c>
      <c r="L3511" s="9" t="str">
        <f>IFERROR(__xludf.DUMMYFUNCTION("""COMPUTED_VALUE"""),"R")</f>
        <v>R</v>
      </c>
      <c r="M3511" s="9" t="s">
        <v>27</v>
      </c>
    </row>
    <row r="3512" ht="15.75" customHeight="1">
      <c r="A3512" s="7"/>
      <c r="B3512" s="7" t="str">
        <f>IFERROR(__xludf.DUMMYFUNCTION("""COMPUTED_VALUE"""),"HTML/CSS;JavaScript;TypeScript")</f>
        <v>HTML/CSS;JavaScript;TypeScript</v>
      </c>
      <c r="C3512" s="9" t="str">
        <f>IFERROR(__xludf.DUMMYFUNCTION("""COMPUTED_VALUE"""),"Bash/Shell/PowerShell")</f>
        <v>Bash/Shell/PowerShell</v>
      </c>
      <c r="D3512" s="9" t="str">
        <f>IFERROR(__xludf.DUMMYFUNCTION("""COMPUTED_VALUE"""),"Python")</f>
        <v>Python</v>
      </c>
      <c r="E3512" s="9" t="str">
        <f>IFERROR(__xludf.DUMMYFUNCTION("""COMPUTED_VALUE"""),"PHP")</f>
        <v>PHP</v>
      </c>
      <c r="F3512" s="9" t="str">
        <f>IFERROR(__xludf.DUMMYFUNCTION("""COMPUTED_VALUE"""),"Python")</f>
        <v>Python</v>
      </c>
      <c r="G3512" s="9" t="str">
        <f>IFERROR(__xludf.DUMMYFUNCTION("""COMPUTED_VALUE"""),"SQL")</f>
        <v>SQL</v>
      </c>
      <c r="H3512" s="9" t="str">
        <f>IFERROR(__xludf.DUMMYFUNCTION("""COMPUTED_VALUE"""),"JavaScript")</f>
        <v>JavaScript</v>
      </c>
      <c r="I3512" s="9" t="str">
        <f>IFERROR(__xludf.DUMMYFUNCTION("""COMPUTED_VALUE"""),"Java")</f>
        <v>Java</v>
      </c>
      <c r="J3512" s="9" t="str">
        <f>IFERROR(__xludf.DUMMYFUNCTION("""COMPUTED_VALUE"""),"JavaScript")</f>
        <v>JavaScript</v>
      </c>
      <c r="K3512" s="9" t="str">
        <f>IFERROR(__xludf.DUMMYFUNCTION("""COMPUTED_VALUE"""),"JavaScript")</f>
        <v>JavaScript</v>
      </c>
      <c r="L3512" s="9" t="str">
        <f>IFERROR(__xludf.DUMMYFUNCTION("""COMPUTED_VALUE"""),"Scala")</f>
        <v>Scala</v>
      </c>
      <c r="M3512" s="9" t="s">
        <v>30</v>
      </c>
    </row>
    <row r="3513" ht="15.75" customHeight="1">
      <c r="A3513" s="7"/>
      <c r="B3513" s="7" t="str">
        <f>IFERROR(__xludf.DUMMYFUNCTION("""COMPUTED_VALUE"""),"Go;HTML/CSS;Java;JavaScript;Python;Ruby;SQL")</f>
        <v>Go;HTML/CSS;Java;JavaScript;Python;Ruby;SQL</v>
      </c>
      <c r="C3513" s="9" t="str">
        <f>IFERROR(__xludf.DUMMYFUNCTION("""COMPUTED_VALUE"""),"HTML/CSS")</f>
        <v>HTML/CSS</v>
      </c>
      <c r="D3513" s="9" t="str">
        <f>IFERROR(__xludf.DUMMYFUNCTION("""COMPUTED_VALUE"""),"SQL")</f>
        <v>SQL</v>
      </c>
      <c r="E3513" s="9" t="str">
        <f>IFERROR(__xludf.DUMMYFUNCTION("""COMPUTED_VALUE"""),"SQL")</f>
        <v>SQL</v>
      </c>
      <c r="F3513" s="9" t="str">
        <f>IFERROR(__xludf.DUMMYFUNCTION("""COMPUTED_VALUE"""),"R")</f>
        <v>R</v>
      </c>
      <c r="G3513" s="9" t="str">
        <f>IFERROR(__xludf.DUMMYFUNCTION("""COMPUTED_VALUE"""),"Go")</f>
        <v>Go</v>
      </c>
      <c r="H3513" s="9" t="str">
        <f>IFERROR(__xludf.DUMMYFUNCTION("""COMPUTED_VALUE"""),"Kotlin")</f>
        <v>Kotlin</v>
      </c>
      <c r="I3513" s="9" t="str">
        <f>IFERROR(__xludf.DUMMYFUNCTION("""COMPUTED_VALUE"""),"JavaScript")</f>
        <v>JavaScript</v>
      </c>
      <c r="J3513" s="9" t="str">
        <f>IFERROR(__xludf.DUMMYFUNCTION("""COMPUTED_VALUE"""),"PHP")</f>
        <v>PHP</v>
      </c>
      <c r="K3513" s="9" t="str">
        <f>IFERROR(__xludf.DUMMYFUNCTION("""COMPUTED_VALUE"""),"Python")</f>
        <v>Python</v>
      </c>
      <c r="L3513" s="9" t="str">
        <f>IFERROR(__xludf.DUMMYFUNCTION("""COMPUTED_VALUE"""),"SQL")</f>
        <v>SQL</v>
      </c>
      <c r="M3513" s="9" t="s">
        <v>24</v>
      </c>
    </row>
    <row r="3514" ht="15.75" customHeight="1">
      <c r="A3514" s="7"/>
      <c r="B3514" s="7" t="str">
        <f>IFERROR(__xludf.DUMMYFUNCTION("""COMPUTED_VALUE"""),"C#;HTML/CSS;JavaScript")</f>
        <v>C#;HTML/CSS;JavaScript</v>
      </c>
      <c r="C3514" s="9" t="str">
        <f>IFERROR(__xludf.DUMMYFUNCTION("""COMPUTED_VALUE"""),"JavaScript")</f>
        <v>JavaScript</v>
      </c>
      <c r="D3514" s="9" t="str">
        <f>IFERROR(__xludf.DUMMYFUNCTION("""COMPUTED_VALUE"""),"Bash/Shell/PowerShell")</f>
        <v>Bash/Shell/PowerShell</v>
      </c>
      <c r="E3514" s="9" t="str">
        <f>IFERROR(__xludf.DUMMYFUNCTION("""COMPUTED_VALUE"""),"Bash/Shell/PowerShell")</f>
        <v>Bash/Shell/PowerShell</v>
      </c>
      <c r="F3514" s="9" t="str">
        <f>IFERROR(__xludf.DUMMYFUNCTION("""COMPUTED_VALUE"""),"Swift")</f>
        <v>Swift</v>
      </c>
      <c r="G3514" s="9" t="str">
        <f>IFERROR(__xludf.DUMMYFUNCTION("""COMPUTED_VALUE"""),"JavaScript")</f>
        <v>JavaScript</v>
      </c>
      <c r="H3514" s="9" t="str">
        <f>IFERROR(__xludf.DUMMYFUNCTION("""COMPUTED_VALUE"""),"SQL")</f>
        <v>SQL</v>
      </c>
      <c r="I3514" s="9" t="str">
        <f>IFERROR(__xludf.DUMMYFUNCTION("""COMPUTED_VALUE"""),"Objective-C")</f>
        <v>Objective-C</v>
      </c>
      <c r="J3514" s="9" t="str">
        <f>IFERROR(__xludf.DUMMYFUNCTION("""COMPUTED_VALUE"""),"Go")</f>
        <v>Go</v>
      </c>
      <c r="K3514" s="9" t="str">
        <f>IFERROR(__xludf.DUMMYFUNCTION("""COMPUTED_VALUE"""),"SQL")</f>
        <v>SQL</v>
      </c>
      <c r="L3514" s="9" t="str">
        <f>IFERROR(__xludf.DUMMYFUNCTION("""COMPUTED_VALUE"""),"Bash/Shell/PowerShell")</f>
        <v>Bash/Shell/PowerShell</v>
      </c>
      <c r="M3514" s="9" t="s">
        <v>21</v>
      </c>
    </row>
    <row r="3515" ht="15.75" customHeight="1">
      <c r="A3515" s="7"/>
      <c r="B3515" s="7" t="str">
        <f>IFERROR(__xludf.DUMMYFUNCTION("""COMPUTED_VALUE"""),"JavaScript;Rust")</f>
        <v>JavaScript;Rust</v>
      </c>
      <c r="C3515" s="9" t="str">
        <f>IFERROR(__xludf.DUMMYFUNCTION("""COMPUTED_VALUE"""),"PHP")</f>
        <v>PHP</v>
      </c>
      <c r="D3515" s="9" t="str">
        <f>IFERROR(__xludf.DUMMYFUNCTION("""COMPUTED_VALUE"""),"C")</f>
        <v>C</v>
      </c>
      <c r="E3515" s="9" t="str">
        <f>IFERROR(__xludf.DUMMYFUNCTION("""COMPUTED_VALUE"""),"C#")</f>
        <v>C#</v>
      </c>
      <c r="F3515" s="9" t="str">
        <f>IFERROR(__xludf.DUMMYFUNCTION("""COMPUTED_VALUE"""),"VBA")</f>
        <v>VBA</v>
      </c>
      <c r="G3515" s="9" t="str">
        <f>IFERROR(__xludf.DUMMYFUNCTION("""COMPUTED_VALUE"""),"Python")</f>
        <v>Python</v>
      </c>
      <c r="H3515" s="9" t="str">
        <f>IFERROR(__xludf.DUMMYFUNCTION("""COMPUTED_VALUE"""),"Bash/Shell/PowerShell")</f>
        <v>Bash/Shell/PowerShell</v>
      </c>
      <c r="I3515" s="9" t="str">
        <f>IFERROR(__xludf.DUMMYFUNCTION("""COMPUTED_VALUE"""),"SQL")</f>
        <v>SQL</v>
      </c>
      <c r="J3515" s="9" t="str">
        <f>IFERROR(__xludf.DUMMYFUNCTION("""COMPUTED_VALUE"""),"HTML/CSS")</f>
        <v>HTML/CSS</v>
      </c>
      <c r="K3515" s="9" t="str">
        <f>IFERROR(__xludf.DUMMYFUNCTION("""COMPUTED_VALUE"""),"Bash/Shell/PowerShell")</f>
        <v>Bash/Shell/PowerShell</v>
      </c>
      <c r="L3515" s="9" t="str">
        <f>IFERROR(__xludf.DUMMYFUNCTION("""COMPUTED_VALUE"""),"C#")</f>
        <v>C#</v>
      </c>
      <c r="M3515" s="9" t="s">
        <v>37</v>
      </c>
    </row>
    <row r="3516" ht="15.75" customHeight="1">
      <c r="A3516" s="7"/>
      <c r="B3516" s="7" t="str">
        <f>IFERROR(__xludf.DUMMYFUNCTION("""COMPUTED_VALUE"""),"HTML/CSS;JavaScript;SQL")</f>
        <v>HTML/CSS;JavaScript;SQL</v>
      </c>
      <c r="C3516" s="9" t="str">
        <f>IFERROR(__xludf.DUMMYFUNCTION("""COMPUTED_VALUE"""),"SQL")</f>
        <v>SQL</v>
      </c>
      <c r="D3516" s="9" t="str">
        <f>IFERROR(__xludf.DUMMYFUNCTION("""COMPUTED_VALUE"""),"C++")</f>
        <v>C++</v>
      </c>
      <c r="E3516" s="9" t="str">
        <f>IFERROR(__xludf.DUMMYFUNCTION("""COMPUTED_VALUE"""),"HTML/CSS")</f>
        <v>HTML/CSS</v>
      </c>
      <c r="F3516" s="9" t="str">
        <f>IFERROR(__xludf.DUMMYFUNCTION("""COMPUTED_VALUE"""),"Bash/Shell/PowerShell")</f>
        <v>Bash/Shell/PowerShell</v>
      </c>
      <c r="G3516" s="9" t="str">
        <f>IFERROR(__xludf.DUMMYFUNCTION("""COMPUTED_VALUE"""),"HTML/CSS")</f>
        <v>HTML/CSS</v>
      </c>
      <c r="H3516" s="9" t="str">
        <f>IFERROR(__xludf.DUMMYFUNCTION("""COMPUTED_VALUE"""),"HTML/CSS")</f>
        <v>HTML/CSS</v>
      </c>
      <c r="I3516" s="9" t="str">
        <f>IFERROR(__xludf.DUMMYFUNCTION("""COMPUTED_VALUE"""),"Swift")</f>
        <v>Swift</v>
      </c>
      <c r="J3516" s="9" t="str">
        <f>IFERROR(__xludf.DUMMYFUNCTION("""COMPUTED_VALUE"""),"JavaScript")</f>
        <v>JavaScript</v>
      </c>
      <c r="K3516" s="9" t="str">
        <f>IFERROR(__xludf.DUMMYFUNCTION("""COMPUTED_VALUE"""),"Java")</f>
        <v>Java</v>
      </c>
      <c r="L3516" s="9" t="str">
        <f>IFERROR(__xludf.DUMMYFUNCTION("""COMPUTED_VALUE"""),"HTML/CSS")</f>
        <v>HTML/CSS</v>
      </c>
      <c r="M3516" s="9" t="s">
        <v>27</v>
      </c>
    </row>
    <row r="3517" ht="15.75" customHeight="1">
      <c r="A3517" s="7"/>
      <c r="B3517" s="7" t="str">
        <f>IFERROR(__xludf.DUMMYFUNCTION("""COMPUTED_VALUE"""),"Assembly;C#")</f>
        <v>Assembly;C#</v>
      </c>
      <c r="C3517" s="9" t="str">
        <f>IFERROR(__xludf.DUMMYFUNCTION("""COMPUTED_VALUE"""),"VBA")</f>
        <v>VBA</v>
      </c>
      <c r="D3517" s="9" t="str">
        <f>IFERROR(__xludf.DUMMYFUNCTION("""COMPUTED_VALUE"""),"C#")</f>
        <v>C#</v>
      </c>
      <c r="E3517" s="9" t="str">
        <f>IFERROR(__xludf.DUMMYFUNCTION("""COMPUTED_VALUE"""),"JavaScript")</f>
        <v>JavaScript</v>
      </c>
      <c r="F3517" s="9" t="str">
        <f>IFERROR(__xludf.DUMMYFUNCTION("""COMPUTED_VALUE"""),"HTML/CSS")</f>
        <v>HTML/CSS</v>
      </c>
      <c r="G3517" s="9" t="str">
        <f>IFERROR(__xludf.DUMMYFUNCTION("""COMPUTED_VALUE"""),"JavaScript")</f>
        <v>JavaScript</v>
      </c>
      <c r="H3517" s="9" t="str">
        <f>IFERROR(__xludf.DUMMYFUNCTION("""COMPUTED_VALUE"""),"JavaScript")</f>
        <v>JavaScript</v>
      </c>
      <c r="I3517" s="9" t="str">
        <f>IFERROR(__xludf.DUMMYFUNCTION("""COMPUTED_VALUE"""),"TypeScript")</f>
        <v>TypeScript</v>
      </c>
      <c r="J3517" s="9" t="str">
        <f>IFERROR(__xludf.DUMMYFUNCTION("""COMPUTED_VALUE"""),"Python")</f>
        <v>Python</v>
      </c>
      <c r="K3517" s="9" t="str">
        <f>IFERROR(__xludf.DUMMYFUNCTION("""COMPUTED_VALUE"""),"JavaScript")</f>
        <v>JavaScript</v>
      </c>
      <c r="L3517" s="9" t="str">
        <f>IFERROR(__xludf.DUMMYFUNCTION("""COMPUTED_VALUE"""),"Java")</f>
        <v>Java</v>
      </c>
      <c r="M3517" s="9" t="s">
        <v>28</v>
      </c>
    </row>
    <row r="3518" ht="15.75" customHeight="1">
      <c r="A3518" s="7"/>
      <c r="B3518" s="7" t="str">
        <f>IFERROR(__xludf.DUMMYFUNCTION("""COMPUTED_VALUE"""),"HTML/CSS;JavaScript;Python")</f>
        <v>HTML/CSS;JavaScript;Python</v>
      </c>
      <c r="C3518" s="9" t="str">
        <f>IFERROR(__xludf.DUMMYFUNCTION("""COMPUTED_VALUE"""),"HTML/CSS")</f>
        <v>HTML/CSS</v>
      </c>
      <c r="D3518" s="9" t="str">
        <f>IFERROR(__xludf.DUMMYFUNCTION("""COMPUTED_VALUE"""),"Clojure")</f>
        <v>Clojure</v>
      </c>
      <c r="E3518" s="9" t="str">
        <f>IFERROR(__xludf.DUMMYFUNCTION("""COMPUTED_VALUE"""),"SQL")</f>
        <v>SQL</v>
      </c>
      <c r="F3518" s="9" t="str">
        <f>IFERROR(__xludf.DUMMYFUNCTION("""COMPUTED_VALUE"""),"Java")</f>
        <v>Java</v>
      </c>
      <c r="G3518" s="9" t="str">
        <f>IFERROR(__xludf.DUMMYFUNCTION("""COMPUTED_VALUE"""),"Swift")</f>
        <v>Swift</v>
      </c>
      <c r="H3518" s="9" t="str">
        <f>IFERROR(__xludf.DUMMYFUNCTION("""COMPUTED_VALUE"""),"PHP")</f>
        <v>PHP</v>
      </c>
      <c r="I3518" s="9" t="str">
        <f>IFERROR(__xludf.DUMMYFUNCTION("""COMPUTED_VALUE"""),"Java")</f>
        <v>Java</v>
      </c>
      <c r="J3518" s="9" t="str">
        <f>IFERROR(__xludf.DUMMYFUNCTION("""COMPUTED_VALUE"""),"Other(s):")</f>
        <v>Other(s):</v>
      </c>
      <c r="K3518" s="9" t="str">
        <f>IFERROR(__xludf.DUMMYFUNCTION("""COMPUTED_VALUE"""),"Python")</f>
        <v>Python</v>
      </c>
      <c r="L3518" s="9" t="str">
        <f>IFERROR(__xludf.DUMMYFUNCTION("""COMPUTED_VALUE"""),"JavaScript")</f>
        <v>JavaScript</v>
      </c>
      <c r="M3518" s="9" t="s">
        <v>24</v>
      </c>
    </row>
    <row r="3519" ht="15.75" customHeight="1">
      <c r="A3519" s="7"/>
      <c r="B3519" s="7" t="str">
        <f>IFERROR(__xludf.DUMMYFUNCTION("""COMPUTED_VALUE"""),"Go;HTML/CSS;Java;JavaScript;PHP;R;SQL")</f>
        <v>Go;HTML/CSS;Java;JavaScript;PHP;R;SQL</v>
      </c>
      <c r="C3519" s="9" t="str">
        <f>IFERROR(__xludf.DUMMYFUNCTION("""COMPUTED_VALUE"""),"JavaScript")</f>
        <v>JavaScript</v>
      </c>
      <c r="D3519" s="9" t="str">
        <f>IFERROR(__xludf.DUMMYFUNCTION("""COMPUTED_VALUE"""),"HTML/CSS")</f>
        <v>HTML/CSS</v>
      </c>
      <c r="E3519" s="9" t="str">
        <f>IFERROR(__xludf.DUMMYFUNCTION("""COMPUTED_VALUE"""),"TypeScript")</f>
        <v>TypeScript</v>
      </c>
      <c r="F3519" s="9" t="str">
        <f>IFERROR(__xludf.DUMMYFUNCTION("""COMPUTED_VALUE"""),"JavaScript")</f>
        <v>JavaScript</v>
      </c>
      <c r="G3519" s="9" t="str">
        <f>IFERROR(__xludf.DUMMYFUNCTION("""COMPUTED_VALUE"""),"Bash/Shell/PowerShell")</f>
        <v>Bash/Shell/PowerShell</v>
      </c>
      <c r="H3519" s="9" t="str">
        <f>IFERROR(__xludf.DUMMYFUNCTION("""COMPUTED_VALUE"""),"Bash/Shell/PowerShell")</f>
        <v>Bash/Shell/PowerShell</v>
      </c>
      <c r="I3519" s="9" t="str">
        <f>IFERROR(__xludf.DUMMYFUNCTION("""COMPUTED_VALUE"""),"JavaScript")</f>
        <v>JavaScript</v>
      </c>
      <c r="J3519" s="9" t="str">
        <f>IFERROR(__xludf.DUMMYFUNCTION("""COMPUTED_VALUE"""),"Scala")</f>
        <v>Scala</v>
      </c>
      <c r="K3519" s="9" t="str">
        <f>IFERROR(__xludf.DUMMYFUNCTION("""COMPUTED_VALUE"""),"SQL")</f>
        <v>SQL</v>
      </c>
      <c r="L3519" s="9" t="str">
        <f>IFERROR(__xludf.DUMMYFUNCTION("""COMPUTED_VALUE"""),"Kotlin")</f>
        <v>Kotlin</v>
      </c>
      <c r="M3519" s="9" t="s">
        <v>21</v>
      </c>
    </row>
    <row r="3520" ht="15.75" customHeight="1">
      <c r="A3520" s="7"/>
      <c r="B3520" s="7" t="str">
        <f>IFERROR(__xludf.DUMMYFUNCTION("""COMPUTED_VALUE"""),"HTML/CSS;Java;JavaScript;PHP;Other(s):")</f>
        <v>HTML/CSS;Java;JavaScript;PHP;Other(s):</v>
      </c>
      <c r="C3520" s="9" t="str">
        <f>IFERROR(__xludf.DUMMYFUNCTION("""COMPUTED_VALUE"""),"PHP")</f>
        <v>PHP</v>
      </c>
      <c r="D3520" s="9" t="str">
        <f>IFERROR(__xludf.DUMMYFUNCTION("""COMPUTED_VALUE"""),"Java")</f>
        <v>Java</v>
      </c>
      <c r="E3520" s="9" t="str">
        <f>IFERROR(__xludf.DUMMYFUNCTION("""COMPUTED_VALUE"""),"Bash/Shell/PowerShell")</f>
        <v>Bash/Shell/PowerShell</v>
      </c>
      <c r="F3520" s="9" t="str">
        <f>IFERROR(__xludf.DUMMYFUNCTION("""COMPUTED_VALUE"""),"PHP")</f>
        <v>PHP</v>
      </c>
      <c r="G3520" s="9" t="str">
        <f>IFERROR(__xludf.DUMMYFUNCTION("""COMPUTED_VALUE"""),"HTML/CSS")</f>
        <v>HTML/CSS</v>
      </c>
      <c r="H3520" s="9" t="str">
        <f>IFERROR(__xludf.DUMMYFUNCTION("""COMPUTED_VALUE"""),"Java")</f>
        <v>Java</v>
      </c>
      <c r="I3520" s="9" t="str">
        <f>IFERROR(__xludf.DUMMYFUNCTION("""COMPUTED_VALUE"""),"Bash/Shell/PowerShell")</f>
        <v>Bash/Shell/PowerShell</v>
      </c>
      <c r="J3520" s="9" t="str">
        <f>IFERROR(__xludf.DUMMYFUNCTION("""COMPUTED_VALUE"""),"Bash/Shell/PowerShell")</f>
        <v>Bash/Shell/PowerShell</v>
      </c>
      <c r="K3520" s="9" t="str">
        <f>IFERROR(__xludf.DUMMYFUNCTION("""COMPUTED_VALUE"""),"TypeScript")</f>
        <v>TypeScript</v>
      </c>
      <c r="L3520" s="9" t="str">
        <f>IFERROR(__xludf.DUMMYFUNCTION("""COMPUTED_VALUE"""),"Objective-C")</f>
        <v>Objective-C</v>
      </c>
      <c r="M3520" s="9" t="s">
        <v>37</v>
      </c>
    </row>
    <row r="3521" ht="15.75" customHeight="1">
      <c r="A3521" s="7"/>
      <c r="B3521" s="7" t="str">
        <f>IFERROR(__xludf.DUMMYFUNCTION("""COMPUTED_VALUE"""),"HTML/CSS;Java;JavaScript")</f>
        <v>HTML/CSS;Java;JavaScript</v>
      </c>
      <c r="C3521" s="9" t="str">
        <f>IFERROR(__xludf.DUMMYFUNCTION("""COMPUTED_VALUE"""),"SQL")</f>
        <v>SQL</v>
      </c>
      <c r="D3521" s="9" t="str">
        <f>IFERROR(__xludf.DUMMYFUNCTION("""COMPUTED_VALUE"""),"JavaScript")</f>
        <v>JavaScript</v>
      </c>
      <c r="E3521" s="9" t="str">
        <f>IFERROR(__xludf.DUMMYFUNCTION("""COMPUTED_VALUE"""),"C#")</f>
        <v>C#</v>
      </c>
      <c r="F3521" s="9" t="str">
        <f>IFERROR(__xludf.DUMMYFUNCTION("""COMPUTED_VALUE"""),"SQL")</f>
        <v>SQL</v>
      </c>
      <c r="G3521" s="9" t="str">
        <f>IFERROR(__xludf.DUMMYFUNCTION("""COMPUTED_VALUE"""),"Java")</f>
        <v>Java</v>
      </c>
      <c r="H3521" s="9" t="str">
        <f>IFERROR(__xludf.DUMMYFUNCTION("""COMPUTED_VALUE"""),"SQL")</f>
        <v>SQL</v>
      </c>
      <c r="I3521" s="9" t="str">
        <f>IFERROR(__xludf.DUMMYFUNCTION("""COMPUTED_VALUE"""),"C")</f>
        <v>C</v>
      </c>
      <c r="J3521" s="9" t="str">
        <f>IFERROR(__xludf.DUMMYFUNCTION("""COMPUTED_VALUE"""),"HTML/CSS")</f>
        <v>HTML/CSS</v>
      </c>
      <c r="K3521" s="9" t="str">
        <f>IFERROR(__xludf.DUMMYFUNCTION("""COMPUTED_VALUE"""),"Bash/Shell/PowerShell")</f>
        <v>Bash/Shell/PowerShell</v>
      </c>
      <c r="L3521" s="9" t="str">
        <f>IFERROR(__xludf.DUMMYFUNCTION("""COMPUTED_VALUE"""),"PHP")</f>
        <v>PHP</v>
      </c>
      <c r="M3521" s="9" t="s">
        <v>27</v>
      </c>
    </row>
    <row r="3522" ht="15.75" customHeight="1">
      <c r="A3522" s="7"/>
      <c r="B3522" s="7" t="str">
        <f>IFERROR(__xludf.DUMMYFUNCTION("""COMPUTED_VALUE"""),"HTML/CSS;Java;Python;SQL")</f>
        <v>HTML/CSS;Java;Python;SQL</v>
      </c>
      <c r="C3522" s="9" t="str">
        <f>IFERROR(__xludf.DUMMYFUNCTION("""COMPUTED_VALUE"""),"HTML/CSS")</f>
        <v>HTML/CSS</v>
      </c>
      <c r="D3522" s="9" t="str">
        <f>IFERROR(__xludf.DUMMYFUNCTION("""COMPUTED_VALUE"""),"Objective-C")</f>
        <v>Objective-C</v>
      </c>
      <c r="E3522" s="9" t="str">
        <f>IFERROR(__xludf.DUMMYFUNCTION("""COMPUTED_VALUE"""),"HTML/CSS")</f>
        <v>HTML/CSS</v>
      </c>
      <c r="F3522" s="9" t="str">
        <f>IFERROR(__xludf.DUMMYFUNCTION("""COMPUTED_VALUE"""),"HTML/CSS")</f>
        <v>HTML/CSS</v>
      </c>
      <c r="G3522" s="9" t="str">
        <f>IFERROR(__xludf.DUMMYFUNCTION("""COMPUTED_VALUE"""),"JavaScript")</f>
        <v>JavaScript</v>
      </c>
      <c r="H3522" s="9" t="str">
        <f>IFERROR(__xludf.DUMMYFUNCTION("""COMPUTED_VALUE"""),"Other(s):")</f>
        <v>Other(s):</v>
      </c>
      <c r="I3522" s="9" t="str">
        <f>IFERROR(__xludf.DUMMYFUNCTION("""COMPUTED_VALUE"""),"Go")</f>
        <v>Go</v>
      </c>
      <c r="J3522" s="9" t="str">
        <f>IFERROR(__xludf.DUMMYFUNCTION("""COMPUTED_VALUE"""),"Java")</f>
        <v>Java</v>
      </c>
      <c r="K3522" s="9" t="str">
        <f>IFERROR(__xludf.DUMMYFUNCTION("""COMPUTED_VALUE"""),"Python")</f>
        <v>Python</v>
      </c>
      <c r="L3522" s="9" t="str">
        <f>IFERROR(__xludf.DUMMYFUNCTION("""COMPUTED_VALUE"""),"Ruby")</f>
        <v>Ruby</v>
      </c>
      <c r="M3522" s="9" t="s">
        <v>24</v>
      </c>
    </row>
    <row r="3523" ht="15.75" customHeight="1">
      <c r="A3523" s="7"/>
      <c r="B3523" s="7" t="str">
        <f>IFERROR(__xludf.DUMMYFUNCTION("""COMPUTED_VALUE"""),"C++;C#;HTML/CSS;Java;JavaScript;Python;TypeScript")</f>
        <v>C++;C#;HTML/CSS;Java;JavaScript;Python;TypeScript</v>
      </c>
      <c r="C3523" s="9" t="str">
        <f>IFERROR(__xludf.DUMMYFUNCTION("""COMPUTED_VALUE"""),"JavaScript")</f>
        <v>JavaScript</v>
      </c>
      <c r="D3523" s="9" t="str">
        <f>IFERROR(__xludf.DUMMYFUNCTION("""COMPUTED_VALUE"""),"Python")</f>
        <v>Python</v>
      </c>
      <c r="E3523" s="9" t="str">
        <f>IFERROR(__xludf.DUMMYFUNCTION("""COMPUTED_VALUE"""),"Java")</f>
        <v>Java</v>
      </c>
      <c r="F3523" s="9" t="str">
        <f>IFERROR(__xludf.DUMMYFUNCTION("""COMPUTED_VALUE"""),"Java")</f>
        <v>Java</v>
      </c>
      <c r="G3523" s="9" t="str">
        <f>IFERROR(__xludf.DUMMYFUNCTION("""COMPUTED_VALUE"""),"PHP")</f>
        <v>PHP</v>
      </c>
      <c r="H3523" s="9" t="str">
        <f>IFERROR(__xludf.DUMMYFUNCTION("""COMPUTED_VALUE"""),"Java")</f>
        <v>Java</v>
      </c>
      <c r="I3523" s="9" t="str">
        <f>IFERROR(__xludf.DUMMYFUNCTION("""COMPUTED_VALUE"""),"HTML/CSS")</f>
        <v>HTML/CSS</v>
      </c>
      <c r="J3523" s="9" t="str">
        <f>IFERROR(__xludf.DUMMYFUNCTION("""COMPUTED_VALUE"""),"Scala")</f>
        <v>Scala</v>
      </c>
      <c r="K3523" s="9" t="str">
        <f>IFERROR(__xludf.DUMMYFUNCTION("""COMPUTED_VALUE"""),"HTML/CSS")</f>
        <v>HTML/CSS</v>
      </c>
      <c r="L3523" s="9" t="str">
        <f>IFERROR(__xludf.DUMMYFUNCTION("""COMPUTED_VALUE"""),"SQL")</f>
        <v>SQL</v>
      </c>
      <c r="M3523" s="9" t="s">
        <v>21</v>
      </c>
    </row>
    <row r="3524" ht="15.75" customHeight="1">
      <c r="A3524" s="7"/>
      <c r="B3524" s="7" t="str">
        <f>IFERROR(__xludf.DUMMYFUNCTION("""COMPUTED_VALUE"""),"HTML/CSS;JavaScript;Python;Ruby;SQL")</f>
        <v>HTML/CSS;JavaScript;Python;Ruby;SQL</v>
      </c>
      <c r="C3524" s="9" t="str">
        <f>IFERROR(__xludf.DUMMYFUNCTION("""COMPUTED_VALUE"""),"PHP")</f>
        <v>PHP</v>
      </c>
      <c r="D3524" s="9" t="str">
        <f>IFERROR(__xludf.DUMMYFUNCTION("""COMPUTED_VALUE"""),"Ruby")</f>
        <v>Ruby</v>
      </c>
      <c r="E3524" s="9" t="str">
        <f>IFERROR(__xludf.DUMMYFUNCTION("""COMPUTED_VALUE"""),"JavaScript")</f>
        <v>JavaScript</v>
      </c>
      <c r="F3524" s="9" t="str">
        <f>IFERROR(__xludf.DUMMYFUNCTION("""COMPUTED_VALUE"""),"JavaScript")</f>
        <v>JavaScript</v>
      </c>
      <c r="G3524" s="9" t="str">
        <f>IFERROR(__xludf.DUMMYFUNCTION("""COMPUTED_VALUE"""),"Python")</f>
        <v>Python</v>
      </c>
      <c r="H3524" s="9" t="str">
        <f>IFERROR(__xludf.DUMMYFUNCTION("""COMPUTED_VALUE"""),"PHP")</f>
        <v>PHP</v>
      </c>
      <c r="I3524" s="9" t="str">
        <f>IFERROR(__xludf.DUMMYFUNCTION("""COMPUTED_VALUE"""),"Java")</f>
        <v>Java</v>
      </c>
      <c r="J3524" s="9" t="str">
        <f>IFERROR(__xludf.DUMMYFUNCTION("""COMPUTED_VALUE"""),"SQL")</f>
        <v>SQL</v>
      </c>
      <c r="K3524" s="9" t="str">
        <f>IFERROR(__xludf.DUMMYFUNCTION("""COMPUTED_VALUE"""),"Java")</f>
        <v>Java</v>
      </c>
      <c r="L3524" s="9" t="str">
        <f>IFERROR(__xludf.DUMMYFUNCTION("""COMPUTED_VALUE"""),"Swift")</f>
        <v>Swift</v>
      </c>
      <c r="M3524" s="9" t="s">
        <v>37</v>
      </c>
    </row>
    <row r="3525" ht="15.75" customHeight="1">
      <c r="A3525" s="7"/>
      <c r="B3525" s="7" t="str">
        <f>IFERROR(__xludf.DUMMYFUNCTION("""COMPUTED_VALUE"""),"C#;HTML/CSS;JavaScript;SQL;VBA")</f>
        <v>C#;HTML/CSS;JavaScript;SQL;VBA</v>
      </c>
      <c r="C3525" s="9" t="str">
        <f>IFERROR(__xludf.DUMMYFUNCTION("""COMPUTED_VALUE"""),"Other(s):")</f>
        <v>Other(s):</v>
      </c>
      <c r="D3525" s="9" t="str">
        <f>IFERROR(__xludf.DUMMYFUNCTION("""COMPUTED_VALUE"""),"Other(s):")</f>
        <v>Other(s):</v>
      </c>
      <c r="E3525" s="9" t="str">
        <f>IFERROR(__xludf.DUMMYFUNCTION("""COMPUTED_VALUE"""),"SQL")</f>
        <v>SQL</v>
      </c>
      <c r="F3525" s="9" t="str">
        <f>IFERROR(__xludf.DUMMYFUNCTION("""COMPUTED_VALUE"""),"PHP")</f>
        <v>PHP</v>
      </c>
      <c r="G3525" s="9" t="str">
        <f>IFERROR(__xludf.DUMMYFUNCTION("""COMPUTED_VALUE"""),"SQL")</f>
        <v>SQL</v>
      </c>
      <c r="H3525" s="9" t="str">
        <f>IFERROR(__xludf.DUMMYFUNCTION("""COMPUTED_VALUE"""),"SQL")</f>
        <v>SQL</v>
      </c>
      <c r="I3525" s="9" t="str">
        <f>IFERROR(__xludf.DUMMYFUNCTION("""COMPUTED_VALUE"""),"JavaScript")</f>
        <v>JavaScript</v>
      </c>
      <c r="J3525" s="9" t="str">
        <f>IFERROR(__xludf.DUMMYFUNCTION("""COMPUTED_VALUE"""),"Java")</f>
        <v>Java</v>
      </c>
      <c r="K3525" s="9" t="str">
        <f>IFERROR(__xludf.DUMMYFUNCTION("""COMPUTED_VALUE"""),"JavaScript")</f>
        <v>JavaScript</v>
      </c>
      <c r="L3525" s="9" t="str">
        <f>IFERROR(__xludf.DUMMYFUNCTION("""COMPUTED_VALUE"""),"TypeScript")</f>
        <v>TypeScript</v>
      </c>
      <c r="M3525" s="9" t="s">
        <v>35</v>
      </c>
    </row>
    <row r="3526" ht="15.75" customHeight="1">
      <c r="A3526" s="7"/>
      <c r="B3526" s="7" t="str">
        <f>IFERROR(__xludf.DUMMYFUNCTION("""COMPUTED_VALUE"""),"Java")</f>
        <v>Java</v>
      </c>
      <c r="C3526" s="9" t="str">
        <f>IFERROR(__xludf.DUMMYFUNCTION("""COMPUTED_VALUE"""),"C#")</f>
        <v>C#</v>
      </c>
      <c r="D3526" s="9" t="str">
        <f>IFERROR(__xludf.DUMMYFUNCTION("""COMPUTED_VALUE"""),"Bash/Shell/PowerShell")</f>
        <v>Bash/Shell/PowerShell</v>
      </c>
      <c r="E3526" s="9" t="str">
        <f>IFERROR(__xludf.DUMMYFUNCTION("""COMPUTED_VALUE"""),"TypeScript")</f>
        <v>TypeScript</v>
      </c>
      <c r="F3526" s="9" t="str">
        <f>IFERROR(__xludf.DUMMYFUNCTION("""COMPUTED_VALUE"""),"Python")</f>
        <v>Python</v>
      </c>
      <c r="G3526" s="9" t="str">
        <f>IFERROR(__xludf.DUMMYFUNCTION("""COMPUTED_VALUE"""),"C++")</f>
        <v>C++</v>
      </c>
      <c r="H3526" s="9" t="str">
        <f>IFERROR(__xludf.DUMMYFUNCTION("""COMPUTED_VALUE"""),"C++")</f>
        <v>C++</v>
      </c>
      <c r="I3526" s="9" t="str">
        <f>IFERROR(__xludf.DUMMYFUNCTION("""COMPUTED_VALUE"""),"Python")</f>
        <v>Python</v>
      </c>
      <c r="J3526" s="9" t="str">
        <f>IFERROR(__xludf.DUMMYFUNCTION("""COMPUTED_VALUE"""),"C#")</f>
        <v>C#</v>
      </c>
      <c r="K3526" s="9" t="str">
        <f>IFERROR(__xludf.DUMMYFUNCTION("""COMPUTED_VALUE"""),"C#")</f>
        <v>C#</v>
      </c>
      <c r="L3526" s="9" t="str">
        <f>IFERROR(__xludf.DUMMYFUNCTION("""COMPUTED_VALUE"""),"Bash/Shell/PowerShell")</f>
        <v>Bash/Shell/PowerShell</v>
      </c>
      <c r="M3526" s="9" t="s">
        <v>26</v>
      </c>
    </row>
    <row r="3527" ht="15.75" customHeight="1">
      <c r="A3527" s="7"/>
      <c r="B3527" s="7" t="str">
        <f>IFERROR(__xludf.DUMMYFUNCTION("""COMPUTED_VALUE"""),"HTML/CSS;JavaScript;PHP;SQL")</f>
        <v>HTML/CSS;JavaScript;PHP;SQL</v>
      </c>
      <c r="C3527" s="9" t="str">
        <f>IFERROR(__xludf.DUMMYFUNCTION("""COMPUTED_VALUE"""),"HTML/CSS")</f>
        <v>HTML/CSS</v>
      </c>
      <c r="D3527" s="9" t="str">
        <f>IFERROR(__xludf.DUMMYFUNCTION("""COMPUTED_VALUE"""),"C++")</f>
        <v>C++</v>
      </c>
      <c r="E3527" s="9" t="str">
        <f>IFERROR(__xludf.DUMMYFUNCTION("""COMPUTED_VALUE"""),"HTML/CSS")</f>
        <v>HTML/CSS</v>
      </c>
      <c r="F3527" s="9" t="str">
        <f>IFERROR(__xludf.DUMMYFUNCTION("""COMPUTED_VALUE"""),"SQL")</f>
        <v>SQL</v>
      </c>
      <c r="G3527" s="9" t="str">
        <f>IFERROR(__xludf.DUMMYFUNCTION("""COMPUTED_VALUE"""),"Java")</f>
        <v>Java</v>
      </c>
      <c r="H3527" s="9" t="str">
        <f>IFERROR(__xludf.DUMMYFUNCTION("""COMPUTED_VALUE"""),"HTML/CSS")</f>
        <v>HTML/CSS</v>
      </c>
      <c r="I3527" s="9" t="str">
        <f>IFERROR(__xludf.DUMMYFUNCTION("""COMPUTED_VALUE"""),"SQL")</f>
        <v>SQL</v>
      </c>
      <c r="J3527" s="9" t="str">
        <f>IFERROR(__xludf.DUMMYFUNCTION("""COMPUTED_VALUE"""),"HTML/CSS")</f>
        <v>HTML/CSS</v>
      </c>
      <c r="K3527" s="9" t="str">
        <f>IFERROR(__xludf.DUMMYFUNCTION("""COMPUTED_VALUE"""),"HTML/CSS")</f>
        <v>HTML/CSS</v>
      </c>
      <c r="L3527" s="9" t="str">
        <f>IFERROR(__xludf.DUMMYFUNCTION("""COMPUTED_VALUE"""),"C#")</f>
        <v>C#</v>
      </c>
      <c r="M3527" s="9" t="s">
        <v>24</v>
      </c>
    </row>
    <row r="3528" ht="15.75" customHeight="1">
      <c r="A3528" s="7"/>
      <c r="B3528" s="7" t="str">
        <f>IFERROR(__xludf.DUMMYFUNCTION("""COMPUTED_VALUE"""),"C#;HTML/CSS;Java;PHP;SQL;VBA")</f>
        <v>C#;HTML/CSS;Java;PHP;SQL;VBA</v>
      </c>
      <c r="C3528" s="9" t="str">
        <f>IFERROR(__xludf.DUMMYFUNCTION("""COMPUTED_VALUE"""),"Java")</f>
        <v>Java</v>
      </c>
      <c r="D3528" s="9" t="str">
        <f>IFERROR(__xludf.DUMMYFUNCTION("""COMPUTED_VALUE"""),"HTML/CSS")</f>
        <v>HTML/CSS</v>
      </c>
      <c r="E3528" s="9" t="str">
        <f>IFERROR(__xludf.DUMMYFUNCTION("""COMPUTED_VALUE"""),"JavaScript")</f>
        <v>JavaScript</v>
      </c>
      <c r="F3528" s="9" t="str">
        <f>IFERROR(__xludf.DUMMYFUNCTION("""COMPUTED_VALUE"""),"TypeScript")</f>
        <v>TypeScript</v>
      </c>
      <c r="G3528" s="9" t="str">
        <f>IFERROR(__xludf.DUMMYFUNCTION("""COMPUTED_VALUE"""),"Bash/Shell/PowerShell")</f>
        <v>Bash/Shell/PowerShell</v>
      </c>
      <c r="H3528" s="9" t="str">
        <f>IFERROR(__xludf.DUMMYFUNCTION("""COMPUTED_VALUE"""),"Python")</f>
        <v>Python</v>
      </c>
      <c r="I3528" s="9" t="str">
        <f>IFERROR(__xludf.DUMMYFUNCTION("""COMPUTED_VALUE"""),"C#")</f>
        <v>C#</v>
      </c>
      <c r="J3528" s="9" t="str">
        <f>IFERROR(__xludf.DUMMYFUNCTION("""COMPUTED_VALUE"""),"JavaScript")</f>
        <v>JavaScript</v>
      </c>
      <c r="K3528" s="9" t="str">
        <f>IFERROR(__xludf.DUMMYFUNCTION("""COMPUTED_VALUE"""),"Java")</f>
        <v>Java</v>
      </c>
      <c r="L3528" s="9" t="str">
        <f>IFERROR(__xludf.DUMMYFUNCTION("""COMPUTED_VALUE"""),"HTML/CSS")</f>
        <v>HTML/CSS</v>
      </c>
      <c r="M3528" s="9" t="s">
        <v>20</v>
      </c>
    </row>
    <row r="3529" ht="15.75" customHeight="1">
      <c r="A3529" s="7"/>
      <c r="B3529" s="7" t="str">
        <f>IFERROR(__xludf.DUMMYFUNCTION("""COMPUTED_VALUE"""),"Assembly;Bash/Shell/PowerShell;C;C++;C#;HTML/CSS;Java;JavaScript;PHP;Python;SQL;VBA;Other(s):")</f>
        <v>Assembly;Bash/Shell/PowerShell;C;C++;C#;HTML/CSS;Java;JavaScript;PHP;Python;SQL;VBA;Other(s):</v>
      </c>
      <c r="C3529" s="9" t="str">
        <f>IFERROR(__xludf.DUMMYFUNCTION("""COMPUTED_VALUE"""),"PHP")</f>
        <v>PHP</v>
      </c>
      <c r="D3529" s="9" t="str">
        <f>IFERROR(__xludf.DUMMYFUNCTION("""COMPUTED_VALUE"""),"Java")</f>
        <v>Java</v>
      </c>
      <c r="E3529" s="9" t="str">
        <f>IFERROR(__xludf.DUMMYFUNCTION("""COMPUTED_VALUE"""),"Python")</f>
        <v>Python</v>
      </c>
      <c r="F3529" s="9" t="str">
        <f>IFERROR(__xludf.DUMMYFUNCTION("""COMPUTED_VALUE"""),"C#")</f>
        <v>C#</v>
      </c>
      <c r="G3529" s="9" t="str">
        <f>IFERROR(__xludf.DUMMYFUNCTION("""COMPUTED_VALUE"""),"Python")</f>
        <v>Python</v>
      </c>
      <c r="H3529" s="9" t="str">
        <f>IFERROR(__xludf.DUMMYFUNCTION("""COMPUTED_VALUE"""),"SQL")</f>
        <v>SQL</v>
      </c>
      <c r="I3529" s="9" t="str">
        <f>IFERROR(__xludf.DUMMYFUNCTION("""COMPUTED_VALUE"""),"HTML/CSS")</f>
        <v>HTML/CSS</v>
      </c>
      <c r="J3529" s="9" t="str">
        <f>IFERROR(__xludf.DUMMYFUNCTION("""COMPUTED_VALUE"""),"Python")</f>
        <v>Python</v>
      </c>
      <c r="K3529" s="9" t="str">
        <f>IFERROR(__xludf.DUMMYFUNCTION("""COMPUTED_VALUE"""),"JavaScript")</f>
        <v>JavaScript</v>
      </c>
      <c r="L3529" s="9" t="str">
        <f>IFERROR(__xludf.DUMMYFUNCTION("""COMPUTED_VALUE"""),"JavaScript")</f>
        <v>JavaScript</v>
      </c>
      <c r="M3529" s="9" t="s">
        <v>37</v>
      </c>
    </row>
    <row r="3530" ht="15.75" customHeight="1">
      <c r="A3530" s="7"/>
      <c r="B3530" s="7" t="str">
        <f>IFERROR(__xludf.DUMMYFUNCTION("""COMPUTED_VALUE"""),"HTML/CSS;JavaScript;Python;SQL")</f>
        <v>HTML/CSS;JavaScript;Python;SQL</v>
      </c>
      <c r="C3530" s="9" t="str">
        <f>IFERROR(__xludf.DUMMYFUNCTION("""COMPUTED_VALUE"""),"SQL")</f>
        <v>SQL</v>
      </c>
      <c r="D3530" s="9" t="str">
        <f>IFERROR(__xludf.DUMMYFUNCTION("""COMPUTED_VALUE"""),"JavaScript")</f>
        <v>JavaScript</v>
      </c>
      <c r="E3530" s="9" t="str">
        <f>IFERROR(__xludf.DUMMYFUNCTION("""COMPUTED_VALUE"""),"SQL")</f>
        <v>SQL</v>
      </c>
      <c r="F3530" s="9" t="str">
        <f>IFERROR(__xludf.DUMMYFUNCTION("""COMPUTED_VALUE"""),"HTML/CSS")</f>
        <v>HTML/CSS</v>
      </c>
      <c r="G3530" s="9" t="str">
        <f>IFERROR(__xludf.DUMMYFUNCTION("""COMPUTED_VALUE"""),"Other(s):")</f>
        <v>Other(s):</v>
      </c>
      <c r="H3530" s="9" t="str">
        <f>IFERROR(__xludf.DUMMYFUNCTION("""COMPUTED_VALUE"""),"C#")</f>
        <v>C#</v>
      </c>
      <c r="I3530" s="9" t="str">
        <f>IFERROR(__xludf.DUMMYFUNCTION("""COMPUTED_VALUE"""),"JavaScript")</f>
        <v>JavaScript</v>
      </c>
      <c r="J3530" s="9" t="str">
        <f>IFERROR(__xludf.DUMMYFUNCTION("""COMPUTED_VALUE"""),"SQL")</f>
        <v>SQL</v>
      </c>
      <c r="K3530" s="9" t="str">
        <f>IFERROR(__xludf.DUMMYFUNCTION("""COMPUTED_VALUE"""),"Python")</f>
        <v>Python</v>
      </c>
      <c r="L3530" s="9" t="str">
        <f>IFERROR(__xludf.DUMMYFUNCTION("""COMPUTED_VALUE"""),"SQL")</f>
        <v>SQL</v>
      </c>
      <c r="M3530" s="9" t="s">
        <v>27</v>
      </c>
    </row>
    <row r="3531" ht="15.75" customHeight="1">
      <c r="A3531" s="7"/>
      <c r="B3531" s="7" t="str">
        <f>IFERROR(__xludf.DUMMYFUNCTION("""COMPUTED_VALUE"""),"Bash/Shell/PowerShell;C;C++;Java;Python;SQL")</f>
        <v>Bash/Shell/PowerShell;C;C++;Java;Python;SQL</v>
      </c>
      <c r="C3531" s="9" t="str">
        <f>IFERROR(__xludf.DUMMYFUNCTION("""COMPUTED_VALUE"""),"C#")</f>
        <v>C#</v>
      </c>
      <c r="D3531" s="9" t="str">
        <f>IFERROR(__xludf.DUMMYFUNCTION("""COMPUTED_VALUE"""),"PHP")</f>
        <v>PHP</v>
      </c>
      <c r="E3531" s="9" t="str">
        <f>IFERROR(__xludf.DUMMYFUNCTION("""COMPUTED_VALUE"""),"Bash/Shell/PowerShell")</f>
        <v>Bash/Shell/PowerShell</v>
      </c>
      <c r="F3531" s="9" t="str">
        <f>IFERROR(__xludf.DUMMYFUNCTION("""COMPUTED_VALUE"""),"Java")</f>
        <v>Java</v>
      </c>
      <c r="G3531" s="9" t="str">
        <f>IFERROR(__xludf.DUMMYFUNCTION("""COMPUTED_VALUE"""),"HTML/CSS")</f>
        <v>HTML/CSS</v>
      </c>
      <c r="H3531" s="9" t="str">
        <f>IFERROR(__xludf.DUMMYFUNCTION("""COMPUTED_VALUE"""),"HTML/CSS")</f>
        <v>HTML/CSS</v>
      </c>
      <c r="I3531" s="9" t="str">
        <f>IFERROR(__xludf.DUMMYFUNCTION("""COMPUTED_VALUE"""),"SQL")</f>
        <v>SQL</v>
      </c>
      <c r="J3531" s="9" t="str">
        <f>IFERROR(__xludf.DUMMYFUNCTION("""COMPUTED_VALUE"""),"TypeScript")</f>
        <v>TypeScript</v>
      </c>
      <c r="K3531" s="9" t="str">
        <f>IFERROR(__xludf.DUMMYFUNCTION("""COMPUTED_VALUE"""),"SQL")</f>
        <v>SQL</v>
      </c>
      <c r="L3531" s="9" t="str">
        <f>IFERROR(__xludf.DUMMYFUNCTION("""COMPUTED_VALUE"""),"C++")</f>
        <v>C++</v>
      </c>
      <c r="M3531" s="9" t="s">
        <v>26</v>
      </c>
    </row>
    <row r="3532" ht="15.75" customHeight="1">
      <c r="A3532" s="7"/>
      <c r="B3532" s="7" t="str">
        <f>IFERROR(__xludf.DUMMYFUNCTION("""COMPUTED_VALUE"""),"Bash/Shell/PowerShell;HTML/CSS;JavaScript;Python")</f>
        <v>Bash/Shell/PowerShell;HTML/CSS;JavaScript;Python</v>
      </c>
      <c r="C3532" s="9" t="str">
        <f>IFERROR(__xludf.DUMMYFUNCTION("""COMPUTED_VALUE"""),"HTML/CSS")</f>
        <v>HTML/CSS</v>
      </c>
      <c r="D3532" s="9" t="str">
        <f>IFERROR(__xludf.DUMMYFUNCTION("""COMPUTED_VALUE"""),"Python")</f>
        <v>Python</v>
      </c>
      <c r="E3532" s="9" t="str">
        <f>IFERROR(__xludf.DUMMYFUNCTION("""COMPUTED_VALUE"""),"C++")</f>
        <v>C++</v>
      </c>
      <c r="F3532" s="9" t="str">
        <f>IFERROR(__xludf.DUMMYFUNCTION("""COMPUTED_VALUE"""),"JavaScript")</f>
        <v>JavaScript</v>
      </c>
      <c r="G3532" s="9" t="str">
        <f>IFERROR(__xludf.DUMMYFUNCTION("""COMPUTED_VALUE"""),"JavaScript")</f>
        <v>JavaScript</v>
      </c>
      <c r="H3532" s="9" t="str">
        <f>IFERROR(__xludf.DUMMYFUNCTION("""COMPUTED_VALUE"""),"Java")</f>
        <v>Java</v>
      </c>
      <c r="I3532" s="9" t="str">
        <f>IFERROR(__xludf.DUMMYFUNCTION("""COMPUTED_VALUE"""),"TypeScript")</f>
        <v>TypeScript</v>
      </c>
      <c r="J3532" s="9" t="str">
        <f>IFERROR(__xludf.DUMMYFUNCTION("""COMPUTED_VALUE"""),"Assembly")</f>
        <v>Assembly</v>
      </c>
      <c r="K3532" s="9" t="str">
        <f>IFERROR(__xludf.DUMMYFUNCTION("""COMPUTED_VALUE"""),"TypeScript")</f>
        <v>TypeScript</v>
      </c>
      <c r="L3532" s="9" t="str">
        <f>IFERROR(__xludf.DUMMYFUNCTION("""COMPUTED_VALUE"""),"HTML/CSS")</f>
        <v>HTML/CSS</v>
      </c>
      <c r="M3532" s="9" t="s">
        <v>24</v>
      </c>
    </row>
    <row r="3533" ht="15.75" customHeight="1">
      <c r="A3533" s="7"/>
      <c r="B3533" s="7" t="str">
        <f>IFERROR(__xludf.DUMMYFUNCTION("""COMPUTED_VALUE"""),"Bash/Shell/PowerShell;C;C++;C#;HTML/CSS;Java;JavaScript;PHP;Python")</f>
        <v>Bash/Shell/PowerShell;C;C++;C#;HTML/CSS;Java;JavaScript;PHP;Python</v>
      </c>
      <c r="C3533" s="9" t="str">
        <f>IFERROR(__xludf.DUMMYFUNCTION("""COMPUTED_VALUE"""),"JavaScript")</f>
        <v>JavaScript</v>
      </c>
      <c r="D3533" s="9" t="str">
        <f>IFERROR(__xludf.DUMMYFUNCTION("""COMPUTED_VALUE"""),"R")</f>
        <v>R</v>
      </c>
      <c r="E3533" s="9" t="str">
        <f>IFERROR(__xludf.DUMMYFUNCTION("""COMPUTED_VALUE"""),"JavaScript")</f>
        <v>JavaScript</v>
      </c>
      <c r="F3533" s="9" t="str">
        <f>IFERROR(__xludf.DUMMYFUNCTION("""COMPUTED_VALUE"""),"Kotlin")</f>
        <v>Kotlin</v>
      </c>
      <c r="G3533" s="9" t="str">
        <f>IFERROR(__xludf.DUMMYFUNCTION("""COMPUTED_VALUE"""),"SQL")</f>
        <v>SQL</v>
      </c>
      <c r="H3533" s="9" t="str">
        <f>IFERROR(__xludf.DUMMYFUNCTION("""COMPUTED_VALUE"""),"JavaScript")</f>
        <v>JavaScript</v>
      </c>
      <c r="I3533" s="9" t="str">
        <f>IFERROR(__xludf.DUMMYFUNCTION("""COMPUTED_VALUE"""),"HTML/CSS")</f>
        <v>HTML/CSS</v>
      </c>
      <c r="J3533" s="9" t="str">
        <f>IFERROR(__xludf.DUMMYFUNCTION("""COMPUTED_VALUE"""),"C")</f>
        <v>C</v>
      </c>
      <c r="K3533" s="9" t="str">
        <f>IFERROR(__xludf.DUMMYFUNCTION("""COMPUTED_VALUE"""),"Bash/Shell/PowerShell")</f>
        <v>Bash/Shell/PowerShell</v>
      </c>
      <c r="L3533" s="9" t="str">
        <f>IFERROR(__xludf.DUMMYFUNCTION("""COMPUTED_VALUE"""),"Python")</f>
        <v>Python</v>
      </c>
      <c r="M3533" s="9" t="s">
        <v>21</v>
      </c>
    </row>
    <row r="3534" ht="15.75" customHeight="1">
      <c r="A3534" s="7"/>
      <c r="B3534" s="7" t="str">
        <f>IFERROR(__xludf.DUMMYFUNCTION("""COMPUTED_VALUE"""),"Bash/Shell/PowerShell;HTML/CSS;JavaScript;PHP;Python;TypeScript")</f>
        <v>Bash/Shell/PowerShell;HTML/CSS;JavaScript;PHP;Python;TypeScript</v>
      </c>
      <c r="C3534" s="9" t="str">
        <f>IFERROR(__xludf.DUMMYFUNCTION("""COMPUTED_VALUE"""),"SQL")</f>
        <v>SQL</v>
      </c>
      <c r="D3534" s="9" t="str">
        <f>IFERROR(__xludf.DUMMYFUNCTION("""COMPUTED_VALUE"""),"SQL")</f>
        <v>SQL</v>
      </c>
      <c r="E3534" s="9" t="str">
        <f>IFERROR(__xludf.DUMMYFUNCTION("""COMPUTED_VALUE"""),"Python")</f>
        <v>Python</v>
      </c>
      <c r="F3534" s="9" t="str">
        <f>IFERROR(__xludf.DUMMYFUNCTION("""COMPUTED_VALUE"""),"Objective-C")</f>
        <v>Objective-C</v>
      </c>
      <c r="G3534" s="9" t="str">
        <f>IFERROR(__xludf.DUMMYFUNCTION("""COMPUTED_VALUE"""),"Other(s):")</f>
        <v>Other(s):</v>
      </c>
      <c r="H3534" s="9" t="str">
        <f>IFERROR(__xludf.DUMMYFUNCTION("""COMPUTED_VALUE"""),"SQL")</f>
        <v>SQL</v>
      </c>
      <c r="I3534" s="9" t="str">
        <f>IFERROR(__xludf.DUMMYFUNCTION("""COMPUTED_VALUE"""),"JavaScript")</f>
        <v>JavaScript</v>
      </c>
      <c r="J3534" s="9" t="str">
        <f>IFERROR(__xludf.DUMMYFUNCTION("""COMPUTED_VALUE"""),"C++")</f>
        <v>C++</v>
      </c>
      <c r="K3534" s="9" t="str">
        <f>IFERROR(__xludf.DUMMYFUNCTION("""COMPUTED_VALUE"""),"C#")</f>
        <v>C#</v>
      </c>
      <c r="L3534" s="9" t="str">
        <f>IFERROR(__xludf.DUMMYFUNCTION("""COMPUTED_VALUE"""),"C#")</f>
        <v>C#</v>
      </c>
      <c r="M3534" s="9" t="s">
        <v>27</v>
      </c>
    </row>
    <row r="3535" ht="15.75" customHeight="1">
      <c r="A3535" s="7"/>
      <c r="B3535" s="7" t="str">
        <f>IFERROR(__xludf.DUMMYFUNCTION("""COMPUTED_VALUE"""),"Assembly;Bash/Shell/PowerShell;C;C++;C#;HTML/CSS;Java;JavaScript;PHP;Python;SQL;VBA")</f>
        <v>Assembly;Bash/Shell/PowerShell;C;C++;C#;HTML/CSS;Java;JavaScript;PHP;Python;SQL;VBA</v>
      </c>
      <c r="C3535" s="9" t="str">
        <f>IFERROR(__xludf.DUMMYFUNCTION("""COMPUTED_VALUE"""),"TypeScript")</f>
        <v>TypeScript</v>
      </c>
      <c r="D3535" s="9" t="str">
        <f>IFERROR(__xludf.DUMMYFUNCTION("""COMPUTED_VALUE"""),"Bash/Shell/PowerShell")</f>
        <v>Bash/Shell/PowerShell</v>
      </c>
      <c r="E3535" s="9" t="str">
        <f>IFERROR(__xludf.DUMMYFUNCTION("""COMPUTED_VALUE"""),"TypeScript")</f>
        <v>TypeScript</v>
      </c>
      <c r="F3535" s="9" t="str">
        <f>IFERROR(__xludf.DUMMYFUNCTION("""COMPUTED_VALUE"""),"Python")</f>
        <v>Python</v>
      </c>
      <c r="G3535" s="9" t="str">
        <f>IFERROR(__xludf.DUMMYFUNCTION("""COMPUTED_VALUE"""),"C")</f>
        <v>C</v>
      </c>
      <c r="H3535" s="9" t="str">
        <f>IFERROR(__xludf.DUMMYFUNCTION("""COMPUTED_VALUE"""),"C#")</f>
        <v>C#</v>
      </c>
      <c r="I3535" s="9" t="str">
        <f>IFERROR(__xludf.DUMMYFUNCTION("""COMPUTED_VALUE"""),"TypeScript")</f>
        <v>TypeScript</v>
      </c>
      <c r="J3535" s="9" t="str">
        <f>IFERROR(__xludf.DUMMYFUNCTION("""COMPUTED_VALUE"""),"C#")</f>
        <v>C#</v>
      </c>
      <c r="K3535" s="9" t="str">
        <f>IFERROR(__xludf.DUMMYFUNCTION("""COMPUTED_VALUE"""),"Java")</f>
        <v>Java</v>
      </c>
      <c r="L3535" s="9" t="str">
        <f>IFERROR(__xludf.DUMMYFUNCTION("""COMPUTED_VALUE"""),"HTML/CSS")</f>
        <v>HTML/CSS</v>
      </c>
      <c r="M3535" s="9" t="s">
        <v>33</v>
      </c>
    </row>
    <row r="3536" ht="15.75" customHeight="1">
      <c r="A3536" s="7"/>
      <c r="B3536" s="7" t="str">
        <f>IFERROR(__xludf.DUMMYFUNCTION("""COMPUTED_VALUE"""),"C;HTML/CSS;JavaScript;Python")</f>
        <v>C;HTML/CSS;JavaScript;Python</v>
      </c>
      <c r="C3536" s="9" t="str">
        <f>IFERROR(__xludf.DUMMYFUNCTION("""COMPUTED_VALUE"""),"Bash/Shell/PowerShell")</f>
        <v>Bash/Shell/PowerShell</v>
      </c>
      <c r="D3536" s="9" t="str">
        <f>IFERROR(__xludf.DUMMYFUNCTION("""COMPUTED_VALUE"""),"Elixir")</f>
        <v>Elixir</v>
      </c>
      <c r="E3536" s="9" t="str">
        <f>IFERROR(__xludf.DUMMYFUNCTION("""COMPUTED_VALUE"""),"HTML/CSS")</f>
        <v>HTML/CSS</v>
      </c>
      <c r="F3536" s="9" t="str">
        <f>IFERROR(__xludf.DUMMYFUNCTION("""COMPUTED_VALUE"""),"Ruby")</f>
        <v>Ruby</v>
      </c>
      <c r="G3536" s="9" t="str">
        <f>IFERROR(__xludf.DUMMYFUNCTION("""COMPUTED_VALUE"""),"C++")</f>
        <v>C++</v>
      </c>
      <c r="H3536" s="9" t="str">
        <f>IFERROR(__xludf.DUMMYFUNCTION("""COMPUTED_VALUE"""),"Python")</f>
        <v>Python</v>
      </c>
      <c r="I3536" s="9" t="str">
        <f>IFERROR(__xludf.DUMMYFUNCTION("""COMPUTED_VALUE"""),"HTML/CSS")</f>
        <v>HTML/CSS</v>
      </c>
      <c r="J3536" s="9" t="str">
        <f>IFERROR(__xludf.DUMMYFUNCTION("""COMPUTED_VALUE"""),"HTML/CSS")</f>
        <v>HTML/CSS</v>
      </c>
      <c r="K3536" s="9" t="str">
        <f>IFERROR(__xludf.DUMMYFUNCTION("""COMPUTED_VALUE"""),"SQL")</f>
        <v>SQL</v>
      </c>
      <c r="L3536" s="9" t="str">
        <f>IFERROR(__xludf.DUMMYFUNCTION("""COMPUTED_VALUE"""),"Java")</f>
        <v>Java</v>
      </c>
      <c r="M3536" s="9" t="s">
        <v>30</v>
      </c>
    </row>
    <row r="3537" ht="15.75" customHeight="1">
      <c r="A3537" s="7"/>
      <c r="B3537" s="7" t="str">
        <f>IFERROR(__xludf.DUMMYFUNCTION("""COMPUTED_VALUE"""),"Swift")</f>
        <v>Swift</v>
      </c>
      <c r="C3537" s="9" t="str">
        <f>IFERROR(__xludf.DUMMYFUNCTION("""COMPUTED_VALUE"""),"C++")</f>
        <v>C++</v>
      </c>
      <c r="D3537" s="9" t="str">
        <f>IFERROR(__xludf.DUMMYFUNCTION("""COMPUTED_VALUE"""),"HTML/CSS")</f>
        <v>HTML/CSS</v>
      </c>
      <c r="E3537" s="9" t="str">
        <f>IFERROR(__xludf.DUMMYFUNCTION("""COMPUTED_VALUE"""),"Java")</f>
        <v>Java</v>
      </c>
      <c r="F3537" s="9" t="str">
        <f>IFERROR(__xludf.DUMMYFUNCTION("""COMPUTED_VALUE"""),"Swift")</f>
        <v>Swift</v>
      </c>
      <c r="G3537" s="9" t="str">
        <f>IFERROR(__xludf.DUMMYFUNCTION("""COMPUTED_VALUE"""),"C#")</f>
        <v>C#</v>
      </c>
      <c r="H3537" s="9" t="str">
        <f>IFERROR(__xludf.DUMMYFUNCTION("""COMPUTED_VALUE"""),"Bash/Shell/PowerShell")</f>
        <v>Bash/Shell/PowerShell</v>
      </c>
      <c r="I3537" s="9" t="str">
        <f>IFERROR(__xludf.DUMMYFUNCTION("""COMPUTED_VALUE"""),"JavaScript")</f>
        <v>JavaScript</v>
      </c>
      <c r="J3537" s="9" t="str">
        <f>IFERROR(__xludf.DUMMYFUNCTION("""COMPUTED_VALUE"""),"Java")</f>
        <v>Java</v>
      </c>
      <c r="K3537" s="9" t="str">
        <f>IFERROR(__xludf.DUMMYFUNCTION("""COMPUTED_VALUE"""),"VBA")</f>
        <v>VBA</v>
      </c>
      <c r="L3537" s="9" t="str">
        <f>IFERROR(__xludf.DUMMYFUNCTION("""COMPUTED_VALUE"""),"JavaScript")</f>
        <v>JavaScript</v>
      </c>
      <c r="M3537" s="9" t="s">
        <v>23</v>
      </c>
    </row>
    <row r="3538" ht="15.75" customHeight="1">
      <c r="A3538" s="7"/>
      <c r="B3538" s="7" t="str">
        <f>IFERROR(__xludf.DUMMYFUNCTION("""COMPUTED_VALUE"""),"Java")</f>
        <v>Java</v>
      </c>
      <c r="C3538" s="9" t="str">
        <f>IFERROR(__xludf.DUMMYFUNCTION("""COMPUTED_VALUE"""),"C#")</f>
        <v>C#</v>
      </c>
      <c r="D3538" s="9" t="str">
        <f>IFERROR(__xludf.DUMMYFUNCTION("""COMPUTED_VALUE"""),"JavaScript")</f>
        <v>JavaScript</v>
      </c>
      <c r="E3538" s="9" t="str">
        <f>IFERROR(__xludf.DUMMYFUNCTION("""COMPUTED_VALUE"""),"JavaScript")</f>
        <v>JavaScript</v>
      </c>
      <c r="F3538" s="9" t="str">
        <f>IFERROR(__xludf.DUMMYFUNCTION("""COMPUTED_VALUE"""),"C#")</f>
        <v>C#</v>
      </c>
      <c r="G3538" s="9" t="str">
        <f>IFERROR(__xludf.DUMMYFUNCTION("""COMPUTED_VALUE"""),"Java")</f>
        <v>Java</v>
      </c>
      <c r="H3538" s="9" t="str">
        <f>IFERROR(__xludf.DUMMYFUNCTION("""COMPUTED_VALUE"""),"C")</f>
        <v>C</v>
      </c>
      <c r="I3538" s="9" t="str">
        <f>IFERROR(__xludf.DUMMYFUNCTION("""COMPUTED_VALUE"""),"PHP")</f>
        <v>PHP</v>
      </c>
      <c r="J3538" s="9" t="str">
        <f>IFERROR(__xludf.DUMMYFUNCTION("""COMPUTED_VALUE"""),"JavaScript")</f>
        <v>JavaScript</v>
      </c>
      <c r="K3538" s="9" t="str">
        <f>IFERROR(__xludf.DUMMYFUNCTION("""COMPUTED_VALUE"""),"Other(s):")</f>
        <v>Other(s):</v>
      </c>
      <c r="L3538" s="9" t="str">
        <f>IFERROR(__xludf.DUMMYFUNCTION("""COMPUTED_VALUE"""),"SQL")</f>
        <v>SQL</v>
      </c>
      <c r="M3538" s="9" t="s">
        <v>26</v>
      </c>
    </row>
    <row r="3539" ht="15.75" customHeight="1">
      <c r="A3539" s="7"/>
      <c r="B3539" s="7" t="str">
        <f>IFERROR(__xludf.DUMMYFUNCTION("""COMPUTED_VALUE"""),"Bash/Shell/PowerShell;C#;HTML/CSS;Java;JavaScript;PHP;Python;R;SQL;VBA;Other(s):")</f>
        <v>Bash/Shell/PowerShell;C#;HTML/CSS;Java;JavaScript;PHP;Python;R;SQL;VBA;Other(s):</v>
      </c>
      <c r="C3539" s="9" t="str">
        <f>IFERROR(__xludf.DUMMYFUNCTION("""COMPUTED_VALUE"""),"HTML/CSS")</f>
        <v>HTML/CSS</v>
      </c>
      <c r="D3539" s="9" t="str">
        <f>IFERROR(__xludf.DUMMYFUNCTION("""COMPUTED_VALUE"""),"PHP")</f>
        <v>PHP</v>
      </c>
      <c r="E3539" s="9" t="str">
        <f>IFERROR(__xludf.DUMMYFUNCTION("""COMPUTED_VALUE"""),"PHP")</f>
        <v>PHP</v>
      </c>
      <c r="F3539" s="9" t="str">
        <f>IFERROR(__xludf.DUMMYFUNCTION("""COMPUTED_VALUE"""),"HTML/CSS")</f>
        <v>HTML/CSS</v>
      </c>
      <c r="G3539" s="9" t="str">
        <f>IFERROR(__xludf.DUMMYFUNCTION("""COMPUTED_VALUE"""),"Python")</f>
        <v>Python</v>
      </c>
      <c r="H3539" s="9" t="str">
        <f>IFERROR(__xludf.DUMMYFUNCTION("""COMPUTED_VALUE"""),"Python")</f>
        <v>Python</v>
      </c>
      <c r="I3539" s="9" t="str">
        <f>IFERROR(__xludf.DUMMYFUNCTION("""COMPUTED_VALUE"""),"SQL")</f>
        <v>SQL</v>
      </c>
      <c r="J3539" s="9" t="str">
        <f>IFERROR(__xludf.DUMMYFUNCTION("""COMPUTED_VALUE"""),"Python")</f>
        <v>Python</v>
      </c>
      <c r="K3539" s="9" t="str">
        <f>IFERROR(__xludf.DUMMYFUNCTION("""COMPUTED_VALUE"""),"Bash/Shell/PowerShell")</f>
        <v>Bash/Shell/PowerShell</v>
      </c>
      <c r="L3539" s="9" t="str">
        <f>IFERROR(__xludf.DUMMYFUNCTION("""COMPUTED_VALUE"""),"Swift")</f>
        <v>Swift</v>
      </c>
      <c r="M3539" s="9" t="s">
        <v>24</v>
      </c>
    </row>
    <row r="3540" ht="15.75" customHeight="1">
      <c r="A3540" s="7"/>
      <c r="B3540" s="7" t="str">
        <f>IFERROR(__xludf.DUMMYFUNCTION("""COMPUTED_VALUE"""),"C#;JavaScript")</f>
        <v>C#;JavaScript</v>
      </c>
      <c r="C3540" s="9" t="str">
        <f>IFERROR(__xludf.DUMMYFUNCTION("""COMPUTED_VALUE"""),"Java")</f>
        <v>Java</v>
      </c>
      <c r="D3540" s="9" t="str">
        <f>IFERROR(__xludf.DUMMYFUNCTION("""COMPUTED_VALUE"""),"SQL")</f>
        <v>SQL</v>
      </c>
      <c r="E3540" s="9" t="str">
        <f>IFERROR(__xludf.DUMMYFUNCTION("""COMPUTED_VALUE"""),"Python")</f>
        <v>Python</v>
      </c>
      <c r="F3540" s="9" t="str">
        <f>IFERROR(__xludf.DUMMYFUNCTION("""COMPUTED_VALUE"""),"JavaScript")</f>
        <v>JavaScript</v>
      </c>
      <c r="G3540" s="9" t="str">
        <f>IFERROR(__xludf.DUMMYFUNCTION("""COMPUTED_VALUE"""),"Bash/Shell/PowerShell")</f>
        <v>Bash/Shell/PowerShell</v>
      </c>
      <c r="H3540" s="9" t="str">
        <f>IFERROR(__xludf.DUMMYFUNCTION("""COMPUTED_VALUE"""),"C#")</f>
        <v>C#</v>
      </c>
      <c r="I3540" s="9" t="str">
        <f>IFERROR(__xludf.DUMMYFUNCTION("""COMPUTED_VALUE"""),"Elixir")</f>
        <v>Elixir</v>
      </c>
      <c r="J3540" s="9" t="str">
        <f>IFERROR(__xludf.DUMMYFUNCTION("""COMPUTED_VALUE"""),"Ruby")</f>
        <v>Ruby</v>
      </c>
      <c r="K3540" s="9" t="str">
        <f>IFERROR(__xludf.DUMMYFUNCTION("""COMPUTED_VALUE"""),"HTML/CSS")</f>
        <v>HTML/CSS</v>
      </c>
      <c r="L3540" s="9" t="str">
        <f>IFERROR(__xludf.DUMMYFUNCTION("""COMPUTED_VALUE"""),"HTML/CSS")</f>
        <v>HTML/CSS</v>
      </c>
      <c r="M3540" s="9" t="s">
        <v>20</v>
      </c>
    </row>
    <row r="3541" ht="15.75" customHeight="1">
      <c r="A3541" s="7"/>
      <c r="B3541" s="7" t="str">
        <f>IFERROR(__xludf.DUMMYFUNCTION("""COMPUTED_VALUE"""),"Objective-C;Swift")</f>
        <v>Objective-C;Swift</v>
      </c>
      <c r="C3541" s="9" t="str">
        <f>IFERROR(__xludf.DUMMYFUNCTION("""COMPUTED_VALUE"""),"JavaScript")</f>
        <v>JavaScript</v>
      </c>
      <c r="D3541" s="9" t="str">
        <f>IFERROR(__xludf.DUMMYFUNCTION("""COMPUTED_VALUE"""),"Bash/Shell/PowerShell")</f>
        <v>Bash/Shell/PowerShell</v>
      </c>
      <c r="E3541" s="9" t="str">
        <f>IFERROR(__xludf.DUMMYFUNCTION("""COMPUTED_VALUE"""),"Bash/Shell/PowerShell")</f>
        <v>Bash/Shell/PowerShell</v>
      </c>
      <c r="F3541" s="9" t="str">
        <f>IFERROR(__xludf.DUMMYFUNCTION("""COMPUTED_VALUE"""),"C++")</f>
        <v>C++</v>
      </c>
      <c r="G3541" s="9" t="str">
        <f>IFERROR(__xludf.DUMMYFUNCTION("""COMPUTED_VALUE"""),"C")</f>
        <v>C</v>
      </c>
      <c r="H3541" s="9" t="str">
        <f>IFERROR(__xludf.DUMMYFUNCTION("""COMPUTED_VALUE"""),"Elixir")</f>
        <v>Elixir</v>
      </c>
      <c r="I3541" s="9" t="str">
        <f>IFERROR(__xludf.DUMMYFUNCTION("""COMPUTED_VALUE"""),"JavaScript")</f>
        <v>JavaScript</v>
      </c>
      <c r="J3541" s="9" t="str">
        <f>IFERROR(__xludf.DUMMYFUNCTION("""COMPUTED_VALUE"""),"TypeScript")</f>
        <v>TypeScript</v>
      </c>
      <c r="K3541" s="9" t="str">
        <f>IFERROR(__xludf.DUMMYFUNCTION("""COMPUTED_VALUE"""),"JavaScript")</f>
        <v>JavaScript</v>
      </c>
      <c r="L3541" s="9" t="str">
        <f>IFERROR(__xludf.DUMMYFUNCTION("""COMPUTED_VALUE"""),"JavaScript")</f>
        <v>JavaScript</v>
      </c>
      <c r="M3541" s="9" t="s">
        <v>21</v>
      </c>
    </row>
    <row r="3542" ht="15.75" customHeight="1">
      <c r="A3542" s="7"/>
      <c r="B3542" s="7" t="str">
        <f>IFERROR(__xludf.DUMMYFUNCTION("""COMPUTED_VALUE"""),"HTML/CSS;Java;JavaScript;Python;SQL;TypeScript")</f>
        <v>HTML/CSS;Java;JavaScript;Python;SQL;TypeScript</v>
      </c>
      <c r="C3542" s="9" t="str">
        <f>IFERROR(__xludf.DUMMYFUNCTION("""COMPUTED_VALUE"""),"Objective-C")</f>
        <v>Objective-C</v>
      </c>
      <c r="D3542" s="9" t="str">
        <f>IFERROR(__xludf.DUMMYFUNCTION("""COMPUTED_VALUE"""),"C")</f>
        <v>C</v>
      </c>
      <c r="E3542" s="9" t="str">
        <f>IFERROR(__xludf.DUMMYFUNCTION("""COMPUTED_VALUE"""),"C#")</f>
        <v>C#</v>
      </c>
      <c r="F3542" s="9" t="str">
        <f>IFERROR(__xludf.DUMMYFUNCTION("""COMPUTED_VALUE"""),"C#")</f>
        <v>C#</v>
      </c>
      <c r="G3542" s="9" t="str">
        <f>IFERROR(__xludf.DUMMYFUNCTION("""COMPUTED_VALUE"""),"C#")</f>
        <v>C#</v>
      </c>
      <c r="H3542" s="9" t="str">
        <f>IFERROR(__xludf.DUMMYFUNCTION("""COMPUTED_VALUE"""),"Go")</f>
        <v>Go</v>
      </c>
      <c r="I3542" s="9" t="str">
        <f>IFERROR(__xludf.DUMMYFUNCTION("""COMPUTED_VALUE"""),"Ruby")</f>
        <v>Ruby</v>
      </c>
      <c r="J3542" s="9" t="str">
        <f>IFERROR(__xludf.DUMMYFUNCTION("""COMPUTED_VALUE"""),"C#")</f>
        <v>C#</v>
      </c>
      <c r="K3542" s="9" t="str">
        <f>IFERROR(__xludf.DUMMYFUNCTION("""COMPUTED_VALUE"""),"PHP")</f>
        <v>PHP</v>
      </c>
      <c r="L3542" s="9" t="str">
        <f>IFERROR(__xludf.DUMMYFUNCTION("""COMPUTED_VALUE"""),"PHP")</f>
        <v>PHP</v>
      </c>
      <c r="M3542" s="9" t="s">
        <v>41</v>
      </c>
    </row>
    <row r="3543" ht="15.75" customHeight="1">
      <c r="A3543" s="7"/>
      <c r="B3543" s="7" t="str">
        <f>IFERROR(__xludf.DUMMYFUNCTION("""COMPUTED_VALUE"""),"Bash/Shell/PowerShell;C++;Python;SQL")</f>
        <v>Bash/Shell/PowerShell;C++;Python;SQL</v>
      </c>
      <c r="C3543" s="9" t="str">
        <f>IFERROR(__xludf.DUMMYFUNCTION("""COMPUTED_VALUE"""),"PHP")</f>
        <v>PHP</v>
      </c>
      <c r="D3543" s="9" t="str">
        <f>IFERROR(__xludf.DUMMYFUNCTION("""COMPUTED_VALUE"""),"HTML/CSS")</f>
        <v>HTML/CSS</v>
      </c>
      <c r="E3543" s="9" t="str">
        <f>IFERROR(__xludf.DUMMYFUNCTION("""COMPUTED_VALUE"""),"HTML/CSS")</f>
        <v>HTML/CSS</v>
      </c>
      <c r="F3543" s="9" t="str">
        <f>IFERROR(__xludf.DUMMYFUNCTION("""COMPUTED_VALUE"""),"PHP")</f>
        <v>PHP</v>
      </c>
      <c r="G3543" s="9" t="str">
        <f>IFERROR(__xludf.DUMMYFUNCTION("""COMPUTED_VALUE"""),"HTML/CSS")</f>
        <v>HTML/CSS</v>
      </c>
      <c r="H3543" s="9" t="str">
        <f>IFERROR(__xludf.DUMMYFUNCTION("""COMPUTED_VALUE"""),"HTML/CSS")</f>
        <v>HTML/CSS</v>
      </c>
      <c r="I3543" s="9" t="str">
        <f>IFERROR(__xludf.DUMMYFUNCTION("""COMPUTED_VALUE"""),"SQL")</f>
        <v>SQL</v>
      </c>
      <c r="J3543" s="9" t="str">
        <f>IFERROR(__xludf.DUMMYFUNCTION("""COMPUTED_VALUE"""),"HTML/CSS")</f>
        <v>HTML/CSS</v>
      </c>
      <c r="K3543" s="9" t="str">
        <f>IFERROR(__xludf.DUMMYFUNCTION("""COMPUTED_VALUE"""),"SQL")</f>
        <v>SQL</v>
      </c>
      <c r="L3543" s="9" t="str">
        <f>IFERROR(__xludf.DUMMYFUNCTION("""COMPUTED_VALUE"""),"C++")</f>
        <v>C++</v>
      </c>
      <c r="M3543" s="9" t="s">
        <v>37</v>
      </c>
    </row>
    <row r="3544" ht="15.75" customHeight="1">
      <c r="A3544" s="7"/>
      <c r="B3544" s="7" t="str">
        <f>IFERROR(__xludf.DUMMYFUNCTION("""COMPUTED_VALUE"""),"C#;HTML/CSS;JavaScript;SQL")</f>
        <v>C#;HTML/CSS;JavaScript;SQL</v>
      </c>
      <c r="C3544" s="9" t="str">
        <f>IFERROR(__xludf.DUMMYFUNCTION("""COMPUTED_VALUE"""),"Python")</f>
        <v>Python</v>
      </c>
      <c r="D3544" s="9" t="str">
        <f>IFERROR(__xludf.DUMMYFUNCTION("""COMPUTED_VALUE"""),"Java")</f>
        <v>Java</v>
      </c>
      <c r="E3544" s="9" t="str">
        <f>IFERROR(__xludf.DUMMYFUNCTION("""COMPUTED_VALUE"""),"JavaScript")</f>
        <v>JavaScript</v>
      </c>
      <c r="F3544" s="9" t="str">
        <f>IFERROR(__xludf.DUMMYFUNCTION("""COMPUTED_VALUE"""),"Python")</f>
        <v>Python</v>
      </c>
      <c r="G3544" s="9" t="str">
        <f>IFERROR(__xludf.DUMMYFUNCTION("""COMPUTED_VALUE"""),"Java")</f>
        <v>Java</v>
      </c>
      <c r="H3544" s="9" t="str">
        <f>IFERROR(__xludf.DUMMYFUNCTION("""COMPUTED_VALUE"""),"JavaScript")</f>
        <v>JavaScript</v>
      </c>
      <c r="I3544" s="9" t="str">
        <f>IFERROR(__xludf.DUMMYFUNCTION("""COMPUTED_VALUE"""),"HTML/CSS")</f>
        <v>HTML/CSS</v>
      </c>
      <c r="J3544" s="9" t="str">
        <f>IFERROR(__xludf.DUMMYFUNCTION("""COMPUTED_VALUE"""),"Java")</f>
        <v>Java</v>
      </c>
      <c r="K3544" s="9" t="str">
        <f>IFERROR(__xludf.DUMMYFUNCTION("""COMPUTED_VALUE"""),"TypeScript")</f>
        <v>TypeScript</v>
      </c>
      <c r="L3544" s="9" t="str">
        <f>IFERROR(__xludf.DUMMYFUNCTION("""COMPUTED_VALUE"""),"Python")</f>
        <v>Python</v>
      </c>
      <c r="M3544" s="9" t="s">
        <v>22</v>
      </c>
    </row>
    <row r="3545" ht="15.75" customHeight="1">
      <c r="A3545" s="7"/>
      <c r="B3545" s="7" t="str">
        <f>IFERROR(__xludf.DUMMYFUNCTION("""COMPUTED_VALUE"""),"Java;JavaScript;SQL")</f>
        <v>Java;JavaScript;SQL</v>
      </c>
      <c r="C3545" s="9" t="str">
        <f>IFERROR(__xludf.DUMMYFUNCTION("""COMPUTED_VALUE"""),"SQL")</f>
        <v>SQL</v>
      </c>
      <c r="D3545" s="9" t="str">
        <f>IFERROR(__xludf.DUMMYFUNCTION("""COMPUTED_VALUE"""),"JavaScript")</f>
        <v>JavaScript</v>
      </c>
      <c r="E3545" s="9" t="str">
        <f>IFERROR(__xludf.DUMMYFUNCTION("""COMPUTED_VALUE"""),"Python")</f>
        <v>Python</v>
      </c>
      <c r="F3545" s="9" t="str">
        <f>IFERROR(__xludf.DUMMYFUNCTION("""COMPUTED_VALUE"""),"SQL")</f>
        <v>SQL</v>
      </c>
      <c r="G3545" s="9" t="str">
        <f>IFERROR(__xludf.DUMMYFUNCTION("""COMPUTED_VALUE"""),"JavaScript")</f>
        <v>JavaScript</v>
      </c>
      <c r="H3545" s="9" t="str">
        <f>IFERROR(__xludf.DUMMYFUNCTION("""COMPUTED_VALUE"""),"TypeScript")</f>
        <v>TypeScript</v>
      </c>
      <c r="I3545" s="9" t="str">
        <f>IFERROR(__xludf.DUMMYFUNCTION("""COMPUTED_VALUE"""),"Java")</f>
        <v>Java</v>
      </c>
      <c r="J3545" s="9" t="str">
        <f>IFERROR(__xludf.DUMMYFUNCTION("""COMPUTED_VALUE"""),"JavaScript")</f>
        <v>JavaScript</v>
      </c>
      <c r="K3545" s="9" t="str">
        <f>IFERROR(__xludf.DUMMYFUNCTION("""COMPUTED_VALUE"""),"Other(s):")</f>
        <v>Other(s):</v>
      </c>
      <c r="L3545" s="9" t="str">
        <f>IFERROR(__xludf.DUMMYFUNCTION("""COMPUTED_VALUE"""),"C#")</f>
        <v>C#</v>
      </c>
      <c r="M3545" s="9" t="s">
        <v>27</v>
      </c>
    </row>
    <row r="3546" ht="15.75" customHeight="1">
      <c r="A3546" s="7"/>
      <c r="B3546" s="7" t="str">
        <f>IFERROR(__xludf.DUMMYFUNCTION("""COMPUTED_VALUE"""),"C#;PHP;SQL")</f>
        <v>C#;PHP;SQL</v>
      </c>
      <c r="C3546" s="9" t="str">
        <f>IFERROR(__xludf.DUMMYFUNCTION("""COMPUTED_VALUE"""),"Swift")</f>
        <v>Swift</v>
      </c>
      <c r="D3546" s="9" t="str">
        <f>IFERROR(__xludf.DUMMYFUNCTION("""COMPUTED_VALUE"""),"PHP")</f>
        <v>PHP</v>
      </c>
      <c r="E3546" s="9" t="str">
        <f>IFERROR(__xludf.DUMMYFUNCTION("""COMPUTED_VALUE"""),"SQL")</f>
        <v>SQL</v>
      </c>
      <c r="F3546" s="9" t="str">
        <f>IFERROR(__xludf.DUMMYFUNCTION("""COMPUTED_VALUE"""),"C#")</f>
        <v>C#</v>
      </c>
      <c r="G3546" s="9" t="str">
        <f>IFERROR(__xludf.DUMMYFUNCTION("""COMPUTED_VALUE"""),"Kotlin")</f>
        <v>Kotlin</v>
      </c>
      <c r="H3546" s="9" t="str">
        <f>IFERROR(__xludf.DUMMYFUNCTION("""COMPUTED_VALUE"""),"Bash/Shell/PowerShell")</f>
        <v>Bash/Shell/PowerShell</v>
      </c>
      <c r="I3546" s="9" t="str">
        <f>IFERROR(__xludf.DUMMYFUNCTION("""COMPUTED_VALUE"""),"JavaScript")</f>
        <v>JavaScript</v>
      </c>
      <c r="J3546" s="9" t="str">
        <f>IFERROR(__xludf.DUMMYFUNCTION("""COMPUTED_VALUE"""),"PHP")</f>
        <v>PHP</v>
      </c>
      <c r="K3546" s="9" t="str">
        <f>IFERROR(__xludf.DUMMYFUNCTION("""COMPUTED_VALUE"""),"HTML/CSS")</f>
        <v>HTML/CSS</v>
      </c>
      <c r="L3546" s="9" t="str">
        <f>IFERROR(__xludf.DUMMYFUNCTION("""COMPUTED_VALUE"""),"HTML/CSS")</f>
        <v>HTML/CSS</v>
      </c>
      <c r="M3546" s="9" t="s">
        <v>40</v>
      </c>
    </row>
    <row r="3547" ht="15.75" customHeight="1">
      <c r="A3547" s="7"/>
      <c r="B3547" s="7" t="str">
        <f>IFERROR(__xludf.DUMMYFUNCTION("""COMPUTED_VALUE"""),"HTML/CSS;JavaScript;TypeScript")</f>
        <v>HTML/CSS;JavaScript;TypeScript</v>
      </c>
      <c r="C3547" s="9" t="str">
        <f>IFERROR(__xludf.DUMMYFUNCTION("""COMPUTED_VALUE"""),"C#")</f>
        <v>C#</v>
      </c>
      <c r="D3547" s="9" t="str">
        <f>IFERROR(__xludf.DUMMYFUNCTION("""COMPUTED_VALUE"""),"SQL")</f>
        <v>SQL</v>
      </c>
      <c r="E3547" s="9" t="str">
        <f>IFERROR(__xludf.DUMMYFUNCTION("""COMPUTED_VALUE"""),"C++")</f>
        <v>C++</v>
      </c>
      <c r="F3547" s="9" t="str">
        <f>IFERROR(__xludf.DUMMYFUNCTION("""COMPUTED_VALUE"""),"HTML/CSS")</f>
        <v>HTML/CSS</v>
      </c>
      <c r="G3547" s="9" t="str">
        <f>IFERROR(__xludf.DUMMYFUNCTION("""COMPUTED_VALUE"""),"Objective-C")</f>
        <v>Objective-C</v>
      </c>
      <c r="H3547" s="9" t="str">
        <f>IFERROR(__xludf.DUMMYFUNCTION("""COMPUTED_VALUE"""),"HTML/CSS")</f>
        <v>HTML/CSS</v>
      </c>
      <c r="I3547" s="9" t="str">
        <f>IFERROR(__xludf.DUMMYFUNCTION("""COMPUTED_VALUE"""),"PHP")</f>
        <v>PHP</v>
      </c>
      <c r="J3547" s="9" t="str">
        <f>IFERROR(__xludf.DUMMYFUNCTION("""COMPUTED_VALUE"""),"SQL")</f>
        <v>SQL</v>
      </c>
      <c r="K3547" s="9" t="str">
        <f>IFERROR(__xludf.DUMMYFUNCTION("""COMPUTED_VALUE"""),"Java")</f>
        <v>Java</v>
      </c>
      <c r="L3547" s="9" t="str">
        <f>IFERROR(__xludf.DUMMYFUNCTION("""COMPUTED_VALUE"""),"JavaScript")</f>
        <v>JavaScript</v>
      </c>
      <c r="M3547" s="9" t="s">
        <v>26</v>
      </c>
    </row>
    <row r="3548" ht="15.75" customHeight="1">
      <c r="A3548" s="7"/>
      <c r="B3548" s="7" t="str">
        <f>IFERROR(__xludf.DUMMYFUNCTION("""COMPUTED_VALUE"""),"C#;HTML/CSS;Java;JavaScript;PHP;SQL")</f>
        <v>C#;HTML/CSS;Java;JavaScript;PHP;SQL</v>
      </c>
      <c r="C3548" s="9" t="str">
        <f>IFERROR(__xludf.DUMMYFUNCTION("""COMPUTED_VALUE"""),"HTML/CSS")</f>
        <v>HTML/CSS</v>
      </c>
      <c r="D3548" s="9" t="str">
        <f>IFERROR(__xludf.DUMMYFUNCTION("""COMPUTED_VALUE"""),"Bash/Shell/PowerShell")</f>
        <v>Bash/Shell/PowerShell</v>
      </c>
      <c r="E3548" s="9" t="str">
        <f>IFERROR(__xludf.DUMMYFUNCTION("""COMPUTED_VALUE"""),"Bash/Shell/PowerShell")</f>
        <v>Bash/Shell/PowerShell</v>
      </c>
      <c r="F3548" s="9" t="str">
        <f>IFERROR(__xludf.DUMMYFUNCTION("""COMPUTED_VALUE"""),"Java")</f>
        <v>Java</v>
      </c>
      <c r="G3548" s="9" t="str">
        <f>IFERROR(__xludf.DUMMYFUNCTION("""COMPUTED_VALUE"""),"Python")</f>
        <v>Python</v>
      </c>
      <c r="H3548" s="9" t="str">
        <f>IFERROR(__xludf.DUMMYFUNCTION("""COMPUTED_VALUE"""),"JavaScript")</f>
        <v>JavaScript</v>
      </c>
      <c r="I3548" s="9" t="str">
        <f>IFERROR(__xludf.DUMMYFUNCTION("""COMPUTED_VALUE"""),"Python")</f>
        <v>Python</v>
      </c>
      <c r="J3548" s="9" t="str">
        <f>IFERROR(__xludf.DUMMYFUNCTION("""COMPUTED_VALUE"""),"TypeScript")</f>
        <v>TypeScript</v>
      </c>
      <c r="K3548" s="9" t="str">
        <f>IFERROR(__xludf.DUMMYFUNCTION("""COMPUTED_VALUE"""),"JavaScript")</f>
        <v>JavaScript</v>
      </c>
      <c r="L3548" s="9" t="str">
        <f>IFERROR(__xludf.DUMMYFUNCTION("""COMPUTED_VALUE"""),"Python")</f>
        <v>Python</v>
      </c>
      <c r="M3548" s="9" t="s">
        <v>24</v>
      </c>
    </row>
    <row r="3549" ht="15.75" customHeight="1">
      <c r="A3549" s="7"/>
      <c r="B3549" s="7" t="str">
        <f>IFERROR(__xludf.DUMMYFUNCTION("""COMPUTED_VALUE"""),"Bash/Shell/PowerShell;Java;Python;Ruby")</f>
        <v>Bash/Shell/PowerShell;Java;Python;Ruby</v>
      </c>
      <c r="C3549" s="9" t="str">
        <f>IFERROR(__xludf.DUMMYFUNCTION("""COMPUTED_VALUE"""),"JavaScript")</f>
        <v>JavaScript</v>
      </c>
      <c r="D3549" s="9" t="str">
        <f>IFERROR(__xludf.DUMMYFUNCTION("""COMPUTED_VALUE"""),"Java")</f>
        <v>Java</v>
      </c>
      <c r="E3549" s="9" t="str">
        <f>IFERROR(__xludf.DUMMYFUNCTION("""COMPUTED_VALUE"""),"JavaScript")</f>
        <v>JavaScript</v>
      </c>
      <c r="F3549" s="9" t="str">
        <f>IFERROR(__xludf.DUMMYFUNCTION("""COMPUTED_VALUE"""),"JavaScript")</f>
        <v>JavaScript</v>
      </c>
      <c r="G3549" s="9" t="str">
        <f>IFERROR(__xludf.DUMMYFUNCTION("""COMPUTED_VALUE"""),"Scala")</f>
        <v>Scala</v>
      </c>
      <c r="H3549" s="9" t="str">
        <f>IFERROR(__xludf.DUMMYFUNCTION("""COMPUTED_VALUE"""),"PHP")</f>
        <v>PHP</v>
      </c>
      <c r="I3549" s="9" t="str">
        <f>IFERROR(__xludf.DUMMYFUNCTION("""COMPUTED_VALUE"""),"SQL")</f>
        <v>SQL</v>
      </c>
      <c r="J3549" s="9" t="str">
        <f>IFERROR(__xludf.DUMMYFUNCTION("""COMPUTED_VALUE"""),"C++")</f>
        <v>C++</v>
      </c>
      <c r="K3549" s="9" t="str">
        <f>IFERROR(__xludf.DUMMYFUNCTION("""COMPUTED_VALUE"""),"PHP")</f>
        <v>PHP</v>
      </c>
      <c r="L3549" s="9" t="str">
        <f>IFERROR(__xludf.DUMMYFUNCTION("""COMPUTED_VALUE"""),"SQL")</f>
        <v>SQL</v>
      </c>
      <c r="M3549" s="9" t="s">
        <v>21</v>
      </c>
    </row>
    <row r="3550" ht="15.75" customHeight="1">
      <c r="A3550" s="7"/>
      <c r="B3550" s="7" t="str">
        <f>IFERROR(__xludf.DUMMYFUNCTION("""COMPUTED_VALUE"""),"Go;HTML/CSS;JavaScript;Kotlin;Python;Scala;TypeScript")</f>
        <v>Go;HTML/CSS;JavaScript;Kotlin;Python;Scala;TypeScript</v>
      </c>
      <c r="C3550" s="9" t="str">
        <f>IFERROR(__xludf.DUMMYFUNCTION("""COMPUTED_VALUE"""),"PHP")</f>
        <v>PHP</v>
      </c>
      <c r="D3550" s="9" t="str">
        <f>IFERROR(__xludf.DUMMYFUNCTION("""COMPUTED_VALUE"""),"Bash/Shell/PowerShell")</f>
        <v>Bash/Shell/PowerShell</v>
      </c>
      <c r="E3550" s="9" t="str">
        <f>IFERROR(__xludf.DUMMYFUNCTION("""COMPUTED_VALUE"""),"Python")</f>
        <v>Python</v>
      </c>
      <c r="F3550" s="9" t="str">
        <f>IFERROR(__xludf.DUMMYFUNCTION("""COMPUTED_VALUE"""),"SQL")</f>
        <v>SQL</v>
      </c>
      <c r="G3550" s="9" t="str">
        <f>IFERROR(__xludf.DUMMYFUNCTION("""COMPUTED_VALUE"""),"SQL")</f>
        <v>SQL</v>
      </c>
      <c r="H3550" s="9" t="str">
        <f>IFERROR(__xludf.DUMMYFUNCTION("""COMPUTED_VALUE"""),"SQL")</f>
        <v>SQL</v>
      </c>
      <c r="I3550" s="9" t="str">
        <f>IFERROR(__xludf.DUMMYFUNCTION("""COMPUTED_VALUE"""),"HTML/CSS")</f>
        <v>HTML/CSS</v>
      </c>
      <c r="J3550" s="9" t="str">
        <f>IFERROR(__xludf.DUMMYFUNCTION("""COMPUTED_VALUE"""),"HTML/CSS")</f>
        <v>HTML/CSS</v>
      </c>
      <c r="K3550" s="9" t="str">
        <f>IFERROR(__xludf.DUMMYFUNCTION("""COMPUTED_VALUE"""),"SQL")</f>
        <v>SQL</v>
      </c>
      <c r="L3550" s="9" t="str">
        <f>IFERROR(__xludf.DUMMYFUNCTION("""COMPUTED_VALUE"""),"TypeScript")</f>
        <v>TypeScript</v>
      </c>
      <c r="M3550" s="9" t="s">
        <v>37</v>
      </c>
    </row>
    <row r="3551" ht="15.75" customHeight="1">
      <c r="A3551" s="7"/>
      <c r="B3551" s="7" t="str">
        <f>IFERROR(__xludf.DUMMYFUNCTION("""COMPUTED_VALUE"""),"Assembly;Bash/Shell/PowerShell;C;C++;C#;HTML/CSS;Java;JavaScript;PHP;SQL;Swift;TypeScript")</f>
        <v>Assembly;Bash/Shell/PowerShell;C;C++;C#;HTML/CSS;Java;JavaScript;PHP;SQL;Swift;TypeScript</v>
      </c>
      <c r="C3551" s="9" t="str">
        <f>IFERROR(__xludf.DUMMYFUNCTION("""COMPUTED_VALUE"""),"SQL")</f>
        <v>SQL</v>
      </c>
      <c r="D3551" s="9" t="str">
        <f>IFERROR(__xludf.DUMMYFUNCTION("""COMPUTED_VALUE"""),"HTML/CSS")</f>
        <v>HTML/CSS</v>
      </c>
      <c r="E3551" s="9" t="str">
        <f>IFERROR(__xludf.DUMMYFUNCTION("""COMPUTED_VALUE"""),"R")</f>
        <v>R</v>
      </c>
      <c r="F3551" s="9" t="str">
        <f>IFERROR(__xludf.DUMMYFUNCTION("""COMPUTED_VALUE"""),"HTML/CSS")</f>
        <v>HTML/CSS</v>
      </c>
      <c r="G3551" s="9" t="str">
        <f>IFERROR(__xludf.DUMMYFUNCTION("""COMPUTED_VALUE"""),"Swift")</f>
        <v>Swift</v>
      </c>
      <c r="H3551" s="9" t="str">
        <f>IFERROR(__xludf.DUMMYFUNCTION("""COMPUTED_VALUE"""),"C")</f>
        <v>C</v>
      </c>
      <c r="I3551" s="9" t="str">
        <f>IFERROR(__xludf.DUMMYFUNCTION("""COMPUTED_VALUE"""),"JavaScript")</f>
        <v>JavaScript</v>
      </c>
      <c r="J3551" s="9" t="str">
        <f>IFERROR(__xludf.DUMMYFUNCTION("""COMPUTED_VALUE"""),"Java")</f>
        <v>Java</v>
      </c>
      <c r="K3551" s="9" t="str">
        <f>IFERROR(__xludf.DUMMYFUNCTION("""COMPUTED_VALUE"""),"Bash/Shell/PowerShell")</f>
        <v>Bash/Shell/PowerShell</v>
      </c>
      <c r="L3551" s="9" t="str">
        <f>IFERROR(__xludf.DUMMYFUNCTION("""COMPUTED_VALUE"""),"Scala")</f>
        <v>Scala</v>
      </c>
      <c r="M3551" s="9" t="s">
        <v>27</v>
      </c>
    </row>
    <row r="3552" ht="15.75" customHeight="1">
      <c r="A3552" s="7"/>
      <c r="B3552" s="7" t="str">
        <f>IFERROR(__xludf.DUMMYFUNCTION("""COMPUTED_VALUE"""),"Bash/Shell/PowerShell;C;HTML/CSS;Java;Python")</f>
        <v>Bash/Shell/PowerShell;C;HTML/CSS;Java;Python</v>
      </c>
      <c r="C3552" s="9" t="str">
        <f>IFERROR(__xludf.DUMMYFUNCTION("""COMPUTED_VALUE"""),"TypeScript")</f>
        <v>TypeScript</v>
      </c>
      <c r="D3552" s="9" t="str">
        <f>IFERROR(__xludf.DUMMYFUNCTION("""COMPUTED_VALUE"""),"Java")</f>
        <v>Java</v>
      </c>
      <c r="E3552" s="9" t="str">
        <f>IFERROR(__xludf.DUMMYFUNCTION("""COMPUTED_VALUE"""),"SQL")</f>
        <v>SQL</v>
      </c>
      <c r="F3552" s="9" t="str">
        <f>IFERROR(__xludf.DUMMYFUNCTION("""COMPUTED_VALUE"""),"Java")</f>
        <v>Java</v>
      </c>
      <c r="G3552" s="9" t="str">
        <f>IFERROR(__xludf.DUMMYFUNCTION("""COMPUTED_VALUE"""),"TypeScript")</f>
        <v>TypeScript</v>
      </c>
      <c r="H3552" s="9" t="str">
        <f>IFERROR(__xludf.DUMMYFUNCTION("""COMPUTED_VALUE"""),"C++")</f>
        <v>C++</v>
      </c>
      <c r="I3552" s="9" t="str">
        <f>IFERROR(__xludf.DUMMYFUNCTION("""COMPUTED_VALUE"""),"Python")</f>
        <v>Python</v>
      </c>
      <c r="J3552" s="9" t="str">
        <f>IFERROR(__xludf.DUMMYFUNCTION("""COMPUTED_VALUE"""),"JavaScript")</f>
        <v>JavaScript</v>
      </c>
      <c r="K3552" s="9" t="str">
        <f>IFERROR(__xludf.DUMMYFUNCTION("""COMPUTED_VALUE"""),"HTML/CSS")</f>
        <v>HTML/CSS</v>
      </c>
      <c r="L3552" s="9" t="str">
        <f>IFERROR(__xludf.DUMMYFUNCTION("""COMPUTED_VALUE"""),"TypeScript")</f>
        <v>TypeScript</v>
      </c>
      <c r="M3552" s="9" t="s">
        <v>33</v>
      </c>
    </row>
    <row r="3553" ht="15.75" customHeight="1">
      <c r="A3553" s="7"/>
      <c r="B3553" s="7" t="str">
        <f>IFERROR(__xludf.DUMMYFUNCTION("""COMPUTED_VALUE"""),"C#;F#")</f>
        <v>C#;F#</v>
      </c>
      <c r="C3553" s="9" t="str">
        <f>IFERROR(__xludf.DUMMYFUNCTION("""COMPUTED_VALUE"""),"Bash/Shell/PowerShell")</f>
        <v>Bash/Shell/PowerShell</v>
      </c>
      <c r="D3553" s="9" t="str">
        <f>IFERROR(__xludf.DUMMYFUNCTION("""COMPUTED_VALUE"""),"JavaScript")</f>
        <v>JavaScript</v>
      </c>
      <c r="E3553" s="9" t="str">
        <f>IFERROR(__xludf.DUMMYFUNCTION("""COMPUTED_VALUE"""),"Other(s):")</f>
        <v>Other(s):</v>
      </c>
      <c r="F3553" s="9" t="str">
        <f>IFERROR(__xludf.DUMMYFUNCTION("""COMPUTED_VALUE"""),"JavaScript")</f>
        <v>JavaScript</v>
      </c>
      <c r="G3553" s="9" t="str">
        <f>IFERROR(__xludf.DUMMYFUNCTION("""COMPUTED_VALUE"""),"Java")</f>
        <v>Java</v>
      </c>
      <c r="H3553" s="9" t="str">
        <f>IFERROR(__xludf.DUMMYFUNCTION("""COMPUTED_VALUE"""),"Python")</f>
        <v>Python</v>
      </c>
      <c r="I3553" s="9" t="str">
        <f>IFERROR(__xludf.DUMMYFUNCTION("""COMPUTED_VALUE"""),"Bash/Shell/PowerShell")</f>
        <v>Bash/Shell/PowerShell</v>
      </c>
      <c r="J3553" s="9" t="str">
        <f>IFERROR(__xludf.DUMMYFUNCTION("""COMPUTED_VALUE"""),"SQL")</f>
        <v>SQL</v>
      </c>
      <c r="K3553" s="9" t="str">
        <f>IFERROR(__xludf.DUMMYFUNCTION("""COMPUTED_VALUE"""),"JavaScript")</f>
        <v>JavaScript</v>
      </c>
      <c r="L3553" s="9" t="str">
        <f>IFERROR(__xludf.DUMMYFUNCTION("""COMPUTED_VALUE"""),"C")</f>
        <v>C</v>
      </c>
      <c r="M3553" s="9" t="s">
        <v>30</v>
      </c>
    </row>
    <row r="3554" ht="15.75" customHeight="1">
      <c r="A3554" s="7"/>
      <c r="B3554" s="7" t="str">
        <f>IFERROR(__xludf.DUMMYFUNCTION("""COMPUTED_VALUE"""),"HTML/CSS;JavaScript;PHP;SQL;TypeScript")</f>
        <v>HTML/CSS;JavaScript;PHP;SQL;TypeScript</v>
      </c>
      <c r="C3554" s="9" t="str">
        <f>IFERROR(__xludf.DUMMYFUNCTION("""COMPUTED_VALUE"""),"Go")</f>
        <v>Go</v>
      </c>
      <c r="D3554" s="9" t="str">
        <f>IFERROR(__xludf.DUMMYFUNCTION("""COMPUTED_VALUE"""),"PHP")</f>
        <v>PHP</v>
      </c>
      <c r="E3554" s="9" t="str">
        <f>IFERROR(__xludf.DUMMYFUNCTION("""COMPUTED_VALUE"""),"C++")</f>
        <v>C++</v>
      </c>
      <c r="F3554" s="9" t="str">
        <f>IFERROR(__xludf.DUMMYFUNCTION("""COMPUTED_VALUE"""),"SQL")</f>
        <v>SQL</v>
      </c>
      <c r="G3554" s="9" t="str">
        <f>IFERROR(__xludf.DUMMYFUNCTION("""COMPUTED_VALUE"""),"JavaScript")</f>
        <v>JavaScript</v>
      </c>
      <c r="H3554" s="9" t="str">
        <f>IFERROR(__xludf.DUMMYFUNCTION("""COMPUTED_VALUE"""),"Bash/Shell/PowerShell")</f>
        <v>Bash/Shell/PowerShell</v>
      </c>
      <c r="I3554" s="9" t="str">
        <f>IFERROR(__xludf.DUMMYFUNCTION("""COMPUTED_VALUE"""),"C++")</f>
        <v>C++</v>
      </c>
      <c r="J3554" s="9" t="str">
        <f>IFERROR(__xludf.DUMMYFUNCTION("""COMPUTED_VALUE"""),"Bash/Shell/PowerShell")</f>
        <v>Bash/Shell/PowerShell</v>
      </c>
      <c r="K3554" s="9" t="str">
        <f>IFERROR(__xludf.DUMMYFUNCTION("""COMPUTED_VALUE"""),"PHP")</f>
        <v>PHP</v>
      </c>
      <c r="L3554" s="9" t="str">
        <f>IFERROR(__xludf.DUMMYFUNCTION("""COMPUTED_VALUE"""),"C++")</f>
        <v>C++</v>
      </c>
      <c r="M3554" s="9" t="s">
        <v>36</v>
      </c>
    </row>
    <row r="3555" ht="15.75" customHeight="1">
      <c r="A3555" s="7"/>
      <c r="B3555" s="7" t="str">
        <f>IFERROR(__xludf.DUMMYFUNCTION("""COMPUTED_VALUE"""),"HTML/CSS;JavaScript;TypeScript")</f>
        <v>HTML/CSS;JavaScript;TypeScript</v>
      </c>
      <c r="C3555" s="9" t="str">
        <f>IFERROR(__xludf.DUMMYFUNCTION("""COMPUTED_VALUE"""),"SQL")</f>
        <v>SQL</v>
      </c>
      <c r="D3555" s="9" t="str">
        <f>IFERROR(__xludf.DUMMYFUNCTION("""COMPUTED_VALUE"""),"SQL")</f>
        <v>SQL</v>
      </c>
      <c r="E3555" s="9" t="str">
        <f>IFERROR(__xludf.DUMMYFUNCTION("""COMPUTED_VALUE"""),"JavaScript")</f>
        <v>JavaScript</v>
      </c>
      <c r="F3555" s="9" t="str">
        <f>IFERROR(__xludf.DUMMYFUNCTION("""COMPUTED_VALUE"""),"Bash/Shell/PowerShell")</f>
        <v>Bash/Shell/PowerShell</v>
      </c>
      <c r="G3555" s="9" t="str">
        <f>IFERROR(__xludf.DUMMYFUNCTION("""COMPUTED_VALUE"""),"Python")</f>
        <v>Python</v>
      </c>
      <c r="H3555" s="9" t="str">
        <f>IFERROR(__xludf.DUMMYFUNCTION("""COMPUTED_VALUE"""),"SQL")</f>
        <v>SQL</v>
      </c>
      <c r="I3555" s="9" t="str">
        <f>IFERROR(__xludf.DUMMYFUNCTION("""COMPUTED_VALUE"""),"Go")</f>
        <v>Go</v>
      </c>
      <c r="J3555" s="9" t="str">
        <f>IFERROR(__xludf.DUMMYFUNCTION("""COMPUTED_VALUE"""),"JavaScript")</f>
        <v>JavaScript</v>
      </c>
      <c r="K3555" s="9" t="str">
        <f>IFERROR(__xludf.DUMMYFUNCTION("""COMPUTED_VALUE"""),"HTML/CSS")</f>
        <v>HTML/CSS</v>
      </c>
      <c r="L3555" s="9" t="str">
        <f>IFERROR(__xludf.DUMMYFUNCTION("""COMPUTED_VALUE"""),"C#")</f>
        <v>C#</v>
      </c>
      <c r="M3555" s="9" t="s">
        <v>27</v>
      </c>
    </row>
    <row r="3556" ht="15.75" customHeight="1">
      <c r="A3556" s="7"/>
      <c r="B3556" s="7" t="str">
        <f>IFERROR(__xludf.DUMMYFUNCTION("""COMPUTED_VALUE"""),"Bash/Shell/PowerShell;Go;HTML/CSS;Java;JavaScript;Python;Scala;SQL;TypeScript")</f>
        <v>Bash/Shell/PowerShell;Go;HTML/CSS;Java;JavaScript;Python;Scala;SQL;TypeScript</v>
      </c>
      <c r="C3556" s="9" t="str">
        <f>IFERROR(__xludf.DUMMYFUNCTION("""COMPUTED_VALUE"""),"TypeScript")</f>
        <v>TypeScript</v>
      </c>
      <c r="D3556" s="9" t="str">
        <f>IFERROR(__xludf.DUMMYFUNCTION("""COMPUTED_VALUE"""),"C")</f>
        <v>C</v>
      </c>
      <c r="E3556" s="9" t="str">
        <f>IFERROR(__xludf.DUMMYFUNCTION("""COMPUTED_VALUE"""),"Python")</f>
        <v>Python</v>
      </c>
      <c r="F3556" s="9" t="str">
        <f>IFERROR(__xludf.DUMMYFUNCTION("""COMPUTED_VALUE"""),"C#")</f>
        <v>C#</v>
      </c>
      <c r="G3556" s="9" t="str">
        <f>IFERROR(__xludf.DUMMYFUNCTION("""COMPUTED_VALUE"""),"Bash/Shell/PowerShell")</f>
        <v>Bash/Shell/PowerShell</v>
      </c>
      <c r="H3556" s="9" t="str">
        <f>IFERROR(__xludf.DUMMYFUNCTION("""COMPUTED_VALUE"""),"Bash/Shell/PowerShell")</f>
        <v>Bash/Shell/PowerShell</v>
      </c>
      <c r="I3556" s="9" t="str">
        <f>IFERROR(__xludf.DUMMYFUNCTION("""COMPUTED_VALUE"""),"Java")</f>
        <v>Java</v>
      </c>
      <c r="J3556" s="9" t="str">
        <f>IFERROR(__xludf.DUMMYFUNCTION("""COMPUTED_VALUE"""),"Objective-C")</f>
        <v>Objective-C</v>
      </c>
      <c r="K3556" s="9" t="str">
        <f>IFERROR(__xludf.DUMMYFUNCTION("""COMPUTED_VALUE"""),"Java")</f>
        <v>Java</v>
      </c>
      <c r="L3556" s="9" t="str">
        <f>IFERROR(__xludf.DUMMYFUNCTION("""COMPUTED_VALUE"""),"HTML/CSS")</f>
        <v>HTML/CSS</v>
      </c>
      <c r="M3556" s="9" t="s">
        <v>33</v>
      </c>
    </row>
    <row r="3557" ht="15.75" customHeight="1">
      <c r="A3557" s="7"/>
      <c r="B3557" s="7" t="str">
        <f>IFERROR(__xludf.DUMMYFUNCTION("""COMPUTED_VALUE"""),"Bash/Shell/PowerShell;C++;C#;HTML/CSS;Java;JavaScript;Kotlin;PHP;Python;Ruby;SQL;Swift;VBA")</f>
        <v>Bash/Shell/PowerShell;C++;C#;HTML/CSS;Java;JavaScript;Kotlin;PHP;Python;Ruby;SQL;Swift;VBA</v>
      </c>
      <c r="C3557" s="9" t="str">
        <f>IFERROR(__xludf.DUMMYFUNCTION("""COMPUTED_VALUE"""),"JavaScript")</f>
        <v>JavaScript</v>
      </c>
      <c r="D3557" s="9" t="str">
        <f>IFERROR(__xludf.DUMMYFUNCTION("""COMPUTED_VALUE"""),"C++")</f>
        <v>C++</v>
      </c>
      <c r="E3557" s="9" t="str">
        <f>IFERROR(__xludf.DUMMYFUNCTION("""COMPUTED_VALUE"""),"Rust")</f>
        <v>Rust</v>
      </c>
      <c r="F3557" s="9" t="str">
        <f>IFERROR(__xludf.DUMMYFUNCTION("""COMPUTED_VALUE"""),"HTML/CSS")</f>
        <v>HTML/CSS</v>
      </c>
      <c r="G3557" s="9" t="str">
        <f>IFERROR(__xludf.DUMMYFUNCTION("""COMPUTED_VALUE"""),"HTML/CSS")</f>
        <v>HTML/CSS</v>
      </c>
      <c r="H3557" s="9" t="str">
        <f>IFERROR(__xludf.DUMMYFUNCTION("""COMPUTED_VALUE"""),"Go")</f>
        <v>Go</v>
      </c>
      <c r="I3557" s="9" t="str">
        <f>IFERROR(__xludf.DUMMYFUNCTION("""COMPUTED_VALUE"""),"JavaScript")</f>
        <v>JavaScript</v>
      </c>
      <c r="J3557" s="9" t="str">
        <f>IFERROR(__xludf.DUMMYFUNCTION("""COMPUTED_VALUE"""),"Python")</f>
        <v>Python</v>
      </c>
      <c r="K3557" s="9" t="str">
        <f>IFERROR(__xludf.DUMMYFUNCTION("""COMPUTED_VALUE"""),"JavaScript")</f>
        <v>JavaScript</v>
      </c>
      <c r="L3557" s="9" t="str">
        <f>IFERROR(__xludf.DUMMYFUNCTION("""COMPUTED_VALUE"""),"Java")</f>
        <v>Java</v>
      </c>
      <c r="M3557" s="9" t="s">
        <v>21</v>
      </c>
    </row>
    <row r="3558" ht="15.75" customHeight="1">
      <c r="A3558" s="7"/>
      <c r="B3558" s="7" t="str">
        <f>IFERROR(__xludf.DUMMYFUNCTION("""COMPUTED_VALUE"""),"Bash/Shell/PowerShell;C#;HTML/CSS;JavaScript;Kotlin;Objective-C;PHP;Python;SQL;Swift")</f>
        <v>Bash/Shell/PowerShell;C#;HTML/CSS;JavaScript;Kotlin;Objective-C;PHP;Python;SQL;Swift</v>
      </c>
      <c r="C3558" s="9" t="str">
        <f>IFERROR(__xludf.DUMMYFUNCTION("""COMPUTED_VALUE"""),"Python")</f>
        <v>Python</v>
      </c>
      <c r="D3558" s="9" t="str">
        <f>IFERROR(__xludf.DUMMYFUNCTION("""COMPUTED_VALUE"""),"HTML/CSS")</f>
        <v>HTML/CSS</v>
      </c>
      <c r="E3558" s="9" t="str">
        <f>IFERROR(__xludf.DUMMYFUNCTION("""COMPUTED_VALUE"""),"TypeScript")</f>
        <v>TypeScript</v>
      </c>
      <c r="F3558" s="9" t="str">
        <f>IFERROR(__xludf.DUMMYFUNCTION("""COMPUTED_VALUE"""),"SQL")</f>
        <v>SQL</v>
      </c>
      <c r="G3558" s="9" t="str">
        <f>IFERROR(__xludf.DUMMYFUNCTION("""COMPUTED_VALUE"""),"JavaScript")</f>
        <v>JavaScript</v>
      </c>
      <c r="H3558" s="9" t="str">
        <f>IFERROR(__xludf.DUMMYFUNCTION("""COMPUTED_VALUE"""),"HTML/CSS")</f>
        <v>HTML/CSS</v>
      </c>
      <c r="I3558" s="9" t="str">
        <f>IFERROR(__xludf.DUMMYFUNCTION("""COMPUTED_VALUE"""),"Rust")</f>
        <v>Rust</v>
      </c>
      <c r="J3558" s="9" t="str">
        <f>IFERROR(__xludf.DUMMYFUNCTION("""COMPUTED_VALUE"""),"Ruby")</f>
        <v>Ruby</v>
      </c>
      <c r="K3558" s="9" t="str">
        <f>IFERROR(__xludf.DUMMYFUNCTION("""COMPUTED_VALUE"""),"PHP")</f>
        <v>PHP</v>
      </c>
      <c r="L3558" s="9" t="str">
        <f>IFERROR(__xludf.DUMMYFUNCTION("""COMPUTED_VALUE"""),"JavaScript")</f>
        <v>JavaScript</v>
      </c>
      <c r="M3558" s="9" t="s">
        <v>22</v>
      </c>
    </row>
    <row r="3559" ht="15.75" customHeight="1">
      <c r="A3559" s="7"/>
      <c r="B3559" s="7" t="str">
        <f>IFERROR(__xludf.DUMMYFUNCTION("""COMPUTED_VALUE"""),"HTML/CSS;Java;JavaScript;SQL;Swift;TypeScript")</f>
        <v>HTML/CSS;Java;JavaScript;SQL;Swift;TypeScript</v>
      </c>
      <c r="C3559" s="9" t="str">
        <f>IFERROR(__xludf.DUMMYFUNCTION("""COMPUTED_VALUE"""),"R")</f>
        <v>R</v>
      </c>
      <c r="D3559" s="9" t="str">
        <f>IFERROR(__xludf.DUMMYFUNCTION("""COMPUTED_VALUE"""),"Java")</f>
        <v>Java</v>
      </c>
      <c r="E3559" s="9" t="str">
        <f>IFERROR(__xludf.DUMMYFUNCTION("""COMPUTED_VALUE"""),"Bash/Shell/PowerShell")</f>
        <v>Bash/Shell/PowerShell</v>
      </c>
      <c r="F3559" s="9" t="str">
        <f>IFERROR(__xludf.DUMMYFUNCTION("""COMPUTED_VALUE"""),"Bash/Shell/PowerShell")</f>
        <v>Bash/Shell/PowerShell</v>
      </c>
      <c r="G3559" s="9" t="str">
        <f>IFERROR(__xludf.DUMMYFUNCTION("""COMPUTED_VALUE"""),"Ruby")</f>
        <v>Ruby</v>
      </c>
      <c r="H3559" s="9" t="str">
        <f>IFERROR(__xludf.DUMMYFUNCTION("""COMPUTED_VALUE"""),"SQL")</f>
        <v>SQL</v>
      </c>
      <c r="I3559" s="9" t="str">
        <f>IFERROR(__xludf.DUMMYFUNCTION("""COMPUTED_VALUE"""),"TypeScript")</f>
        <v>TypeScript</v>
      </c>
      <c r="J3559" s="9" t="str">
        <f>IFERROR(__xludf.DUMMYFUNCTION("""COMPUTED_VALUE"""),"Swift")</f>
        <v>Swift</v>
      </c>
      <c r="K3559" s="9" t="str">
        <f>IFERROR(__xludf.DUMMYFUNCTION("""COMPUTED_VALUE"""),"Python")</f>
        <v>Python</v>
      </c>
      <c r="L3559" s="9" t="str">
        <f>IFERROR(__xludf.DUMMYFUNCTION("""COMPUTED_VALUE"""),"PHP")</f>
        <v>PHP</v>
      </c>
      <c r="M3559" s="9" t="s">
        <v>29</v>
      </c>
    </row>
    <row r="3560" ht="15.75" customHeight="1">
      <c r="A3560" s="7"/>
      <c r="B3560" s="7" t="str">
        <f>IFERROR(__xludf.DUMMYFUNCTION("""COMPUTED_VALUE"""),"HTML/CSS;Java")</f>
        <v>HTML/CSS;Java</v>
      </c>
      <c r="C3560" s="9" t="str">
        <f>IFERROR(__xludf.DUMMYFUNCTION("""COMPUTED_VALUE"""),"Other(s):")</f>
        <v>Other(s):</v>
      </c>
      <c r="D3560" s="9" t="str">
        <f>IFERROR(__xludf.DUMMYFUNCTION("""COMPUTED_VALUE"""),"JavaScript")</f>
        <v>JavaScript</v>
      </c>
      <c r="E3560" s="9" t="str">
        <f>IFERROR(__xludf.DUMMYFUNCTION("""COMPUTED_VALUE"""),"C#")</f>
        <v>C#</v>
      </c>
      <c r="F3560" s="9" t="str">
        <f>IFERROR(__xludf.DUMMYFUNCTION("""COMPUTED_VALUE"""),"C#")</f>
        <v>C#</v>
      </c>
      <c r="G3560" s="9" t="str">
        <f>IFERROR(__xludf.DUMMYFUNCTION("""COMPUTED_VALUE"""),"SQL")</f>
        <v>SQL</v>
      </c>
      <c r="H3560" s="9" t="str">
        <f>IFERROR(__xludf.DUMMYFUNCTION("""COMPUTED_VALUE"""),"Java")</f>
        <v>Java</v>
      </c>
      <c r="I3560" s="9" t="str">
        <f>IFERROR(__xludf.DUMMYFUNCTION("""COMPUTED_VALUE"""),"Other(s):")</f>
        <v>Other(s):</v>
      </c>
      <c r="J3560" s="9" t="str">
        <f>IFERROR(__xludf.DUMMYFUNCTION("""COMPUTED_VALUE"""),"Bash/Shell/PowerShell")</f>
        <v>Bash/Shell/PowerShell</v>
      </c>
      <c r="K3560" s="9" t="str">
        <f>IFERROR(__xludf.DUMMYFUNCTION("""COMPUTED_VALUE"""),"Scala")</f>
        <v>Scala</v>
      </c>
      <c r="L3560" s="9" t="str">
        <f>IFERROR(__xludf.DUMMYFUNCTION("""COMPUTED_VALUE"""),"Python")</f>
        <v>Python</v>
      </c>
      <c r="M3560" s="9" t="s">
        <v>35</v>
      </c>
    </row>
    <row r="3561" ht="15.75" customHeight="1">
      <c r="A3561" s="7"/>
      <c r="B3561" s="7" t="str">
        <f>IFERROR(__xludf.DUMMYFUNCTION("""COMPUTED_VALUE"""),"HTML/CSS")</f>
        <v>HTML/CSS</v>
      </c>
      <c r="C3561" s="9" t="str">
        <f>IFERROR(__xludf.DUMMYFUNCTION("""COMPUTED_VALUE"""),"Bash/Shell/PowerShell")</f>
        <v>Bash/Shell/PowerShell</v>
      </c>
      <c r="D3561" s="9" t="str">
        <f>IFERROR(__xludf.DUMMYFUNCTION("""COMPUTED_VALUE"""),"Kotlin")</f>
        <v>Kotlin</v>
      </c>
      <c r="E3561" s="9" t="str">
        <f>IFERROR(__xludf.DUMMYFUNCTION("""COMPUTED_VALUE"""),"F#")</f>
        <v>F#</v>
      </c>
      <c r="F3561" s="9" t="str">
        <f>IFERROR(__xludf.DUMMYFUNCTION("""COMPUTED_VALUE"""),"HTML/CSS")</f>
        <v>HTML/CSS</v>
      </c>
      <c r="G3561" s="9" t="str">
        <f>IFERROR(__xludf.DUMMYFUNCTION("""COMPUTED_VALUE"""),"TypeScript")</f>
        <v>TypeScript</v>
      </c>
      <c r="H3561" s="9" t="str">
        <f>IFERROR(__xludf.DUMMYFUNCTION("""COMPUTED_VALUE"""),"Scala")</f>
        <v>Scala</v>
      </c>
      <c r="I3561" s="9" t="str">
        <f>IFERROR(__xludf.DUMMYFUNCTION("""COMPUTED_VALUE"""),"Assembly")</f>
        <v>Assembly</v>
      </c>
      <c r="J3561" s="9" t="str">
        <f>IFERROR(__xludf.DUMMYFUNCTION("""COMPUTED_VALUE"""),"C")</f>
        <v>C</v>
      </c>
      <c r="K3561" s="9" t="str">
        <f>IFERROR(__xludf.DUMMYFUNCTION("""COMPUTED_VALUE"""),"SQL")</f>
        <v>SQL</v>
      </c>
      <c r="L3561" s="9" t="str">
        <f>IFERROR(__xludf.DUMMYFUNCTION("""COMPUTED_VALUE"""),"R")</f>
        <v>R</v>
      </c>
      <c r="M3561" s="9" t="s">
        <v>30</v>
      </c>
    </row>
    <row r="3562" ht="15.75" customHeight="1">
      <c r="A3562" s="7"/>
      <c r="B3562" s="7" t="str">
        <f>IFERROR(__xludf.DUMMYFUNCTION("""COMPUTED_VALUE"""),"Assembly;C;HTML/CSS;Java")</f>
        <v>Assembly;C;HTML/CSS;Java</v>
      </c>
      <c r="C3562" s="9" t="str">
        <f>IFERROR(__xludf.DUMMYFUNCTION("""COMPUTED_VALUE"""),"C")</f>
        <v>C</v>
      </c>
      <c r="D3562" s="9" t="str">
        <f>IFERROR(__xludf.DUMMYFUNCTION("""COMPUTED_VALUE"""),"PHP")</f>
        <v>PHP</v>
      </c>
      <c r="E3562" s="9" t="str">
        <f>IFERROR(__xludf.DUMMYFUNCTION("""COMPUTED_VALUE"""),"SQL")</f>
        <v>SQL</v>
      </c>
      <c r="F3562" s="9" t="str">
        <f>IFERROR(__xludf.DUMMYFUNCTION("""COMPUTED_VALUE"""),"JavaScript")</f>
        <v>JavaScript</v>
      </c>
      <c r="G3562" s="9" t="str">
        <f>IFERROR(__xludf.DUMMYFUNCTION("""COMPUTED_VALUE"""),"HTML/CSS")</f>
        <v>HTML/CSS</v>
      </c>
      <c r="H3562" s="9" t="str">
        <f>IFERROR(__xludf.DUMMYFUNCTION("""COMPUTED_VALUE"""),"TypeScript")</f>
        <v>TypeScript</v>
      </c>
      <c r="I3562" s="9" t="str">
        <f>IFERROR(__xludf.DUMMYFUNCTION("""COMPUTED_VALUE"""),"Bash/Shell/PowerShell")</f>
        <v>Bash/Shell/PowerShell</v>
      </c>
      <c r="J3562" s="9" t="str">
        <f>IFERROR(__xludf.DUMMYFUNCTION("""COMPUTED_VALUE"""),"C++")</f>
        <v>C++</v>
      </c>
      <c r="K3562" s="9" t="str">
        <f>IFERROR(__xludf.DUMMYFUNCTION("""COMPUTED_VALUE"""),"C#")</f>
        <v>C#</v>
      </c>
      <c r="L3562" s="9" t="str">
        <f>IFERROR(__xludf.DUMMYFUNCTION("""COMPUTED_VALUE"""),"SQL")</f>
        <v>SQL</v>
      </c>
      <c r="M3562" s="9" t="s">
        <v>25</v>
      </c>
    </row>
    <row r="3563" ht="15.75" customHeight="1">
      <c r="A3563" s="7"/>
      <c r="B3563" s="7" t="str">
        <f>IFERROR(__xludf.DUMMYFUNCTION("""COMPUTED_VALUE"""),"C;C++;HTML/CSS;Java;JavaScript;SQL")</f>
        <v>C;C++;HTML/CSS;Java;JavaScript;SQL</v>
      </c>
      <c r="C3563" s="9" t="str">
        <f>IFERROR(__xludf.DUMMYFUNCTION("""COMPUTED_VALUE"""),"C++")</f>
        <v>C++</v>
      </c>
      <c r="D3563" s="9" t="str">
        <f>IFERROR(__xludf.DUMMYFUNCTION("""COMPUTED_VALUE"""),"Python")</f>
        <v>Python</v>
      </c>
      <c r="E3563" s="9" t="str">
        <f>IFERROR(__xludf.DUMMYFUNCTION("""COMPUTED_VALUE"""),"Bash/Shell/PowerShell")</f>
        <v>Bash/Shell/PowerShell</v>
      </c>
      <c r="F3563" s="9" t="str">
        <f>IFERROR(__xludf.DUMMYFUNCTION("""COMPUTED_VALUE"""),"SQL")</f>
        <v>SQL</v>
      </c>
      <c r="G3563" s="9" t="str">
        <f>IFERROR(__xludf.DUMMYFUNCTION("""COMPUTED_VALUE"""),"JavaScript")</f>
        <v>JavaScript</v>
      </c>
      <c r="H3563" s="9" t="str">
        <f>IFERROR(__xludf.DUMMYFUNCTION("""COMPUTED_VALUE"""),"HTML/CSS")</f>
        <v>HTML/CSS</v>
      </c>
      <c r="I3563" s="9" t="str">
        <f>IFERROR(__xludf.DUMMYFUNCTION("""COMPUTED_VALUE"""),"C")</f>
        <v>C</v>
      </c>
      <c r="J3563" s="9" t="str">
        <f>IFERROR(__xludf.DUMMYFUNCTION("""COMPUTED_VALUE"""),"Objective-C")</f>
        <v>Objective-C</v>
      </c>
      <c r="K3563" s="9" t="str">
        <f>IFERROR(__xludf.DUMMYFUNCTION("""COMPUTED_VALUE"""),"HTML/CSS")</f>
        <v>HTML/CSS</v>
      </c>
      <c r="L3563" s="9" t="str">
        <f>IFERROR(__xludf.DUMMYFUNCTION("""COMPUTED_VALUE"""),"C")</f>
        <v>C</v>
      </c>
      <c r="M3563" s="9" t="s">
        <v>23</v>
      </c>
    </row>
    <row r="3564" ht="15.75" customHeight="1">
      <c r="A3564" s="7"/>
      <c r="B3564" s="7" t="str">
        <f>IFERROR(__xludf.DUMMYFUNCTION("""COMPUTED_VALUE"""),"HTML/CSS;Python")</f>
        <v>HTML/CSS;Python</v>
      </c>
      <c r="C3564" s="9" t="str">
        <f>IFERROR(__xludf.DUMMYFUNCTION("""COMPUTED_VALUE"""),"C#")</f>
        <v>C#</v>
      </c>
      <c r="D3564" s="9" t="str">
        <f>IFERROR(__xludf.DUMMYFUNCTION("""COMPUTED_VALUE"""),"SQL")</f>
        <v>SQL</v>
      </c>
      <c r="E3564" s="9" t="str">
        <f>IFERROR(__xludf.DUMMYFUNCTION("""COMPUTED_VALUE"""),"C")</f>
        <v>C</v>
      </c>
      <c r="F3564" s="9" t="str">
        <f>IFERROR(__xludf.DUMMYFUNCTION("""COMPUTED_VALUE"""),"TypeScript")</f>
        <v>TypeScript</v>
      </c>
      <c r="G3564" s="9" t="str">
        <f>IFERROR(__xludf.DUMMYFUNCTION("""COMPUTED_VALUE"""),"PHP")</f>
        <v>PHP</v>
      </c>
      <c r="H3564" s="9" t="str">
        <f>IFERROR(__xludf.DUMMYFUNCTION("""COMPUTED_VALUE"""),"JavaScript")</f>
        <v>JavaScript</v>
      </c>
      <c r="I3564" s="9" t="str">
        <f>IFERROR(__xludf.DUMMYFUNCTION("""COMPUTED_VALUE"""),"HTML/CSS")</f>
        <v>HTML/CSS</v>
      </c>
      <c r="J3564" s="9" t="str">
        <f>IFERROR(__xludf.DUMMYFUNCTION("""COMPUTED_VALUE"""),"Bash/Shell/PowerShell")</f>
        <v>Bash/Shell/PowerShell</v>
      </c>
      <c r="K3564" s="9" t="str">
        <f>IFERROR(__xludf.DUMMYFUNCTION("""COMPUTED_VALUE"""),"JavaScript")</f>
        <v>JavaScript</v>
      </c>
      <c r="L3564" s="9" t="str">
        <f>IFERROR(__xludf.DUMMYFUNCTION("""COMPUTED_VALUE"""),"C++")</f>
        <v>C++</v>
      </c>
      <c r="M3564" s="9" t="s">
        <v>26</v>
      </c>
    </row>
    <row r="3565" ht="15.75" customHeight="1">
      <c r="A3565" s="7"/>
      <c r="B3565" s="7" t="str">
        <f>IFERROR(__xludf.DUMMYFUNCTION("""COMPUTED_VALUE"""),"Java")</f>
        <v>Java</v>
      </c>
      <c r="C3565" s="9" t="str">
        <f>IFERROR(__xludf.DUMMYFUNCTION("""COMPUTED_VALUE"""),"HTML/CSS")</f>
        <v>HTML/CSS</v>
      </c>
      <c r="D3565" s="9" t="str">
        <f>IFERROR(__xludf.DUMMYFUNCTION("""COMPUTED_VALUE"""),"C++")</f>
        <v>C++</v>
      </c>
      <c r="E3565" s="9" t="str">
        <f>IFERROR(__xludf.DUMMYFUNCTION("""COMPUTED_VALUE"""),"HTML/CSS")</f>
        <v>HTML/CSS</v>
      </c>
      <c r="F3565" s="9" t="str">
        <f>IFERROR(__xludf.DUMMYFUNCTION("""COMPUTED_VALUE"""),"Bash/Shell/PowerShell")</f>
        <v>Bash/Shell/PowerShell</v>
      </c>
      <c r="G3565" s="9" t="str">
        <f>IFERROR(__xludf.DUMMYFUNCTION("""COMPUTED_VALUE"""),"SQL")</f>
        <v>SQL</v>
      </c>
      <c r="H3565" s="9" t="str">
        <f>IFERROR(__xludf.DUMMYFUNCTION("""COMPUTED_VALUE"""),"Python")</f>
        <v>Python</v>
      </c>
      <c r="I3565" s="9" t="str">
        <f>IFERROR(__xludf.DUMMYFUNCTION("""COMPUTED_VALUE"""),"Java")</f>
        <v>Java</v>
      </c>
      <c r="J3565" s="9" t="str">
        <f>IFERROR(__xludf.DUMMYFUNCTION("""COMPUTED_VALUE"""),"HTML/CSS")</f>
        <v>HTML/CSS</v>
      </c>
      <c r="K3565" s="9" t="str">
        <f>IFERROR(__xludf.DUMMYFUNCTION("""COMPUTED_VALUE"""),"PHP")</f>
        <v>PHP</v>
      </c>
      <c r="L3565" s="9" t="str">
        <f>IFERROR(__xludf.DUMMYFUNCTION("""COMPUTED_VALUE"""),"C#")</f>
        <v>C#</v>
      </c>
      <c r="M3565" s="9" t="s">
        <v>24</v>
      </c>
    </row>
    <row r="3566" ht="15.75" customHeight="1">
      <c r="A3566" s="7"/>
      <c r="B3566" s="7" t="str">
        <f>IFERROR(__xludf.DUMMYFUNCTION("""COMPUTED_VALUE"""),"C++;Java;Python;SQL")</f>
        <v>C++;Java;Python;SQL</v>
      </c>
      <c r="C3566" s="9" t="str">
        <f>IFERROR(__xludf.DUMMYFUNCTION("""COMPUTED_VALUE"""),"Java")</f>
        <v>Java</v>
      </c>
      <c r="D3566" s="9" t="str">
        <f>IFERROR(__xludf.DUMMYFUNCTION("""COMPUTED_VALUE"""),"Java")</f>
        <v>Java</v>
      </c>
      <c r="E3566" s="9" t="str">
        <f>IFERROR(__xludf.DUMMYFUNCTION("""COMPUTED_VALUE"""),"Java")</f>
        <v>Java</v>
      </c>
      <c r="F3566" s="9" t="str">
        <f>IFERROR(__xludf.DUMMYFUNCTION("""COMPUTED_VALUE"""),"C#")</f>
        <v>C#</v>
      </c>
      <c r="G3566" s="9" t="str">
        <f>IFERROR(__xludf.DUMMYFUNCTION("""COMPUTED_VALUE"""),"Assembly")</f>
        <v>Assembly</v>
      </c>
      <c r="H3566" s="9" t="str">
        <f>IFERROR(__xludf.DUMMYFUNCTION("""COMPUTED_VALUE"""),"TypeScript")</f>
        <v>TypeScript</v>
      </c>
      <c r="I3566" s="9" t="str">
        <f>IFERROR(__xludf.DUMMYFUNCTION("""COMPUTED_VALUE"""),"JavaScript")</f>
        <v>JavaScript</v>
      </c>
      <c r="J3566" s="9" t="str">
        <f>IFERROR(__xludf.DUMMYFUNCTION("""COMPUTED_VALUE"""),"JavaScript")</f>
        <v>JavaScript</v>
      </c>
      <c r="K3566" s="9" t="str">
        <f>IFERROR(__xludf.DUMMYFUNCTION("""COMPUTED_VALUE"""),"Swift")</f>
        <v>Swift</v>
      </c>
      <c r="L3566" s="9" t="str">
        <f>IFERROR(__xludf.DUMMYFUNCTION("""COMPUTED_VALUE"""),"HTML/CSS")</f>
        <v>HTML/CSS</v>
      </c>
      <c r="M3566" s="9" t="s">
        <v>20</v>
      </c>
    </row>
    <row r="3567" ht="15.75" customHeight="1">
      <c r="A3567" s="7"/>
      <c r="B3567" s="7" t="str">
        <f>IFERROR(__xludf.DUMMYFUNCTION("""COMPUTED_VALUE"""),"C#;Java;JavaScript;Kotlin;PHP;SQL;TypeScript")</f>
        <v>C#;Java;JavaScript;Kotlin;PHP;SQL;TypeScript</v>
      </c>
      <c r="C3567" s="9" t="str">
        <f>IFERROR(__xludf.DUMMYFUNCTION("""COMPUTED_VALUE"""),"JavaScript")</f>
        <v>JavaScript</v>
      </c>
      <c r="D3567" s="9" t="str">
        <f>IFERROR(__xludf.DUMMYFUNCTION("""COMPUTED_VALUE"""),"JavaScript")</f>
        <v>JavaScript</v>
      </c>
      <c r="E3567" s="9" t="str">
        <f>IFERROR(__xludf.DUMMYFUNCTION("""COMPUTED_VALUE"""),"JavaScript")</f>
        <v>JavaScript</v>
      </c>
      <c r="F3567" s="9" t="str">
        <f>IFERROR(__xludf.DUMMYFUNCTION("""COMPUTED_VALUE"""),"HTML/CSS")</f>
        <v>HTML/CSS</v>
      </c>
      <c r="G3567" s="9" t="str">
        <f>IFERROR(__xludf.DUMMYFUNCTION("""COMPUTED_VALUE"""),"Bash/Shell/PowerShell")</f>
        <v>Bash/Shell/PowerShell</v>
      </c>
      <c r="H3567" s="9" t="str">
        <f>IFERROR(__xludf.DUMMYFUNCTION("""COMPUTED_VALUE"""),"Bash/Shell/PowerShell")</f>
        <v>Bash/Shell/PowerShell</v>
      </c>
      <c r="I3567" s="9" t="str">
        <f>IFERROR(__xludf.DUMMYFUNCTION("""COMPUTED_VALUE"""),"Python")</f>
        <v>Python</v>
      </c>
      <c r="J3567" s="9" t="str">
        <f>IFERROR(__xludf.DUMMYFUNCTION("""COMPUTED_VALUE"""),"Python")</f>
        <v>Python</v>
      </c>
      <c r="K3567" s="9" t="str">
        <f>IFERROR(__xludf.DUMMYFUNCTION("""COMPUTED_VALUE"""),"Bash/Shell/PowerShell")</f>
        <v>Bash/Shell/PowerShell</v>
      </c>
      <c r="L3567" s="9" t="str">
        <f>IFERROR(__xludf.DUMMYFUNCTION("""COMPUTED_VALUE"""),"Java")</f>
        <v>Java</v>
      </c>
      <c r="M3567" s="9" t="s">
        <v>21</v>
      </c>
    </row>
    <row r="3568" ht="15.75" customHeight="1">
      <c r="A3568" s="7"/>
      <c r="B3568" s="7" t="str">
        <f>IFERROR(__xludf.DUMMYFUNCTION("""COMPUTED_VALUE"""),"HTML/CSS;JavaScript;PHP")</f>
        <v>HTML/CSS;JavaScript;PHP</v>
      </c>
      <c r="C3568" s="9" t="str">
        <f>IFERROR(__xludf.DUMMYFUNCTION("""COMPUTED_VALUE"""),"Python")</f>
        <v>Python</v>
      </c>
      <c r="D3568" s="9" t="str">
        <f>IFERROR(__xludf.DUMMYFUNCTION("""COMPUTED_VALUE"""),"Kotlin")</f>
        <v>Kotlin</v>
      </c>
      <c r="E3568" s="9" t="str">
        <f>IFERROR(__xludf.DUMMYFUNCTION("""COMPUTED_VALUE"""),"Objective-C")</f>
        <v>Objective-C</v>
      </c>
      <c r="F3568" s="9" t="str">
        <f>IFERROR(__xludf.DUMMYFUNCTION("""COMPUTED_VALUE"""),"JavaScript")</f>
        <v>JavaScript</v>
      </c>
      <c r="G3568" s="9" t="str">
        <f>IFERROR(__xludf.DUMMYFUNCTION("""COMPUTED_VALUE"""),"C")</f>
        <v>C</v>
      </c>
      <c r="H3568" s="9" t="str">
        <f>IFERROR(__xludf.DUMMYFUNCTION("""COMPUTED_VALUE"""),"HTML/CSS")</f>
        <v>HTML/CSS</v>
      </c>
      <c r="I3568" s="9" t="str">
        <f>IFERROR(__xludf.DUMMYFUNCTION("""COMPUTED_VALUE"""),"SQL")</f>
        <v>SQL</v>
      </c>
      <c r="J3568" s="9" t="str">
        <f>IFERROR(__xludf.DUMMYFUNCTION("""COMPUTED_VALUE"""),"SQL")</f>
        <v>SQL</v>
      </c>
      <c r="K3568" s="9" t="str">
        <f>IFERROR(__xludf.DUMMYFUNCTION("""COMPUTED_VALUE"""),"C")</f>
        <v>C</v>
      </c>
      <c r="L3568" s="9" t="str">
        <f>IFERROR(__xludf.DUMMYFUNCTION("""COMPUTED_VALUE"""),"JavaScript")</f>
        <v>JavaScript</v>
      </c>
      <c r="M3568" s="9" t="s">
        <v>22</v>
      </c>
    </row>
    <row r="3569" ht="15.75" customHeight="1">
      <c r="A3569" s="7"/>
      <c r="B3569" s="7" t="str">
        <f>IFERROR(__xludf.DUMMYFUNCTION("""COMPUTED_VALUE"""),"C;C++;HTML/CSS;Java;PHP;SQL")</f>
        <v>C;C++;HTML/CSS;Java;PHP;SQL</v>
      </c>
      <c r="C3569" s="9" t="str">
        <f>IFERROR(__xludf.DUMMYFUNCTION("""COMPUTED_VALUE"""),"C#")</f>
        <v>C#</v>
      </c>
      <c r="D3569" s="9" t="str">
        <f>IFERROR(__xludf.DUMMYFUNCTION("""COMPUTED_VALUE"""),"PHP")</f>
        <v>PHP</v>
      </c>
      <c r="E3569" s="9" t="str">
        <f>IFERROR(__xludf.DUMMYFUNCTION("""COMPUTED_VALUE"""),"SQL")</f>
        <v>SQL</v>
      </c>
      <c r="F3569" s="9" t="str">
        <f>IFERROR(__xludf.DUMMYFUNCTION("""COMPUTED_VALUE"""),"SQL")</f>
        <v>SQL</v>
      </c>
      <c r="G3569" s="9" t="str">
        <f>IFERROR(__xludf.DUMMYFUNCTION("""COMPUTED_VALUE"""),"C++")</f>
        <v>C++</v>
      </c>
      <c r="H3569" s="9" t="str">
        <f>IFERROR(__xludf.DUMMYFUNCTION("""COMPUTED_VALUE"""),"Java")</f>
        <v>Java</v>
      </c>
      <c r="I3569" s="9" t="str">
        <f>IFERROR(__xludf.DUMMYFUNCTION("""COMPUTED_VALUE"""),"TypeScript")</f>
        <v>TypeScript</v>
      </c>
      <c r="J3569" s="9" t="str">
        <f>IFERROR(__xludf.DUMMYFUNCTION("""COMPUTED_VALUE"""),"C#")</f>
        <v>C#</v>
      </c>
      <c r="K3569" s="9" t="str">
        <f>IFERROR(__xludf.DUMMYFUNCTION("""COMPUTED_VALUE"""),"C++")</f>
        <v>C++</v>
      </c>
      <c r="L3569" s="9" t="str">
        <f>IFERROR(__xludf.DUMMYFUNCTION("""COMPUTED_VALUE"""),"Python")</f>
        <v>Python</v>
      </c>
      <c r="M3569" s="9" t="s">
        <v>26</v>
      </c>
    </row>
    <row r="3570" ht="15.75" customHeight="1">
      <c r="A3570" s="7"/>
      <c r="B3570" s="7" t="str">
        <f>IFERROR(__xludf.DUMMYFUNCTION("""COMPUTED_VALUE"""),"C#;HTML/CSS;JavaScript")</f>
        <v>C#;HTML/CSS;JavaScript</v>
      </c>
      <c r="C3570" s="9" t="str">
        <f>IFERROR(__xludf.DUMMYFUNCTION("""COMPUTED_VALUE"""),"HTML/CSS")</f>
        <v>HTML/CSS</v>
      </c>
      <c r="D3570" s="9" t="str">
        <f>IFERROR(__xludf.DUMMYFUNCTION("""COMPUTED_VALUE"""),"SQL")</f>
        <v>SQL</v>
      </c>
      <c r="E3570" s="9" t="str">
        <f>IFERROR(__xludf.DUMMYFUNCTION("""COMPUTED_VALUE"""),"C")</f>
        <v>C</v>
      </c>
      <c r="F3570" s="9" t="str">
        <f>IFERROR(__xludf.DUMMYFUNCTION("""COMPUTED_VALUE"""),"Bash/Shell/PowerShell")</f>
        <v>Bash/Shell/PowerShell</v>
      </c>
      <c r="G3570" s="9" t="str">
        <f>IFERROR(__xludf.DUMMYFUNCTION("""COMPUTED_VALUE"""),"C#")</f>
        <v>C#</v>
      </c>
      <c r="H3570" s="9" t="str">
        <f>IFERROR(__xludf.DUMMYFUNCTION("""COMPUTED_VALUE"""),"JavaScript")</f>
        <v>JavaScript</v>
      </c>
      <c r="I3570" s="9" t="str">
        <f>IFERROR(__xludf.DUMMYFUNCTION("""COMPUTED_VALUE"""),"C#")</f>
        <v>C#</v>
      </c>
      <c r="J3570" s="9" t="str">
        <f>IFERROR(__xludf.DUMMYFUNCTION("""COMPUTED_VALUE"""),"HTML/CSS")</f>
        <v>HTML/CSS</v>
      </c>
      <c r="K3570" s="9" t="str">
        <f>IFERROR(__xludf.DUMMYFUNCTION("""COMPUTED_VALUE"""),"C#")</f>
        <v>C#</v>
      </c>
      <c r="L3570" s="9" t="str">
        <f>IFERROR(__xludf.DUMMYFUNCTION("""COMPUTED_VALUE"""),"C#")</f>
        <v>C#</v>
      </c>
      <c r="M3570" s="9" t="s">
        <v>24</v>
      </c>
    </row>
    <row r="3571" ht="15.75" customHeight="1">
      <c r="A3571" s="7"/>
      <c r="B3571" s="7" t="str">
        <f>IFERROR(__xludf.DUMMYFUNCTION("""COMPUTED_VALUE"""),"Bash/Shell/PowerShell;C;C++;Java;Python;SQL")</f>
        <v>Bash/Shell/PowerShell;C;C++;Java;Python;SQL</v>
      </c>
      <c r="C3571" s="9" t="str">
        <f>IFERROR(__xludf.DUMMYFUNCTION("""COMPUTED_VALUE"""),"JavaScript")</f>
        <v>JavaScript</v>
      </c>
      <c r="D3571" s="9" t="str">
        <f>IFERROR(__xludf.DUMMYFUNCTION("""COMPUTED_VALUE"""),"PHP")</f>
        <v>PHP</v>
      </c>
      <c r="E3571" s="9" t="str">
        <f>IFERROR(__xludf.DUMMYFUNCTION("""COMPUTED_VALUE"""),"C++")</f>
        <v>C++</v>
      </c>
      <c r="F3571" s="9" t="str">
        <f>IFERROR(__xludf.DUMMYFUNCTION("""COMPUTED_VALUE"""),"HTML/CSS")</f>
        <v>HTML/CSS</v>
      </c>
      <c r="G3571" s="9" t="str">
        <f>IFERROR(__xludf.DUMMYFUNCTION("""COMPUTED_VALUE"""),"Clojure")</f>
        <v>Clojure</v>
      </c>
      <c r="H3571" s="9" t="str">
        <f>IFERROR(__xludf.DUMMYFUNCTION("""COMPUTED_VALUE"""),"Python")</f>
        <v>Python</v>
      </c>
      <c r="I3571" s="9" t="str">
        <f>IFERROR(__xludf.DUMMYFUNCTION("""COMPUTED_VALUE"""),"JavaScript")</f>
        <v>JavaScript</v>
      </c>
      <c r="J3571" s="9" t="str">
        <f>IFERROR(__xludf.DUMMYFUNCTION("""COMPUTED_VALUE"""),"Java")</f>
        <v>Java</v>
      </c>
      <c r="K3571" s="9" t="str">
        <f>IFERROR(__xludf.DUMMYFUNCTION("""COMPUTED_VALUE"""),"HTML/CSS")</f>
        <v>HTML/CSS</v>
      </c>
      <c r="L3571" s="9" t="str">
        <f>IFERROR(__xludf.DUMMYFUNCTION("""COMPUTED_VALUE"""),"HTML/CSS")</f>
        <v>HTML/CSS</v>
      </c>
      <c r="M3571" s="9" t="s">
        <v>21</v>
      </c>
    </row>
    <row r="3572" ht="15.75" customHeight="1">
      <c r="A3572" s="7"/>
      <c r="B3572" s="7" t="str">
        <f>IFERROR(__xludf.DUMMYFUNCTION("""COMPUTED_VALUE"""),"Python;SQL;TypeScript")</f>
        <v>Python;SQL;TypeScript</v>
      </c>
      <c r="C3572" s="9" t="str">
        <f>IFERROR(__xludf.DUMMYFUNCTION("""COMPUTED_VALUE"""),"SQL")</f>
        <v>SQL</v>
      </c>
      <c r="D3572" s="9" t="str">
        <f>IFERROR(__xludf.DUMMYFUNCTION("""COMPUTED_VALUE"""),"Python")</f>
        <v>Python</v>
      </c>
      <c r="E3572" s="9" t="str">
        <f>IFERROR(__xludf.DUMMYFUNCTION("""COMPUTED_VALUE"""),"Java")</f>
        <v>Java</v>
      </c>
      <c r="F3572" s="9" t="str">
        <f>IFERROR(__xludf.DUMMYFUNCTION("""COMPUTED_VALUE"""),"Java")</f>
        <v>Java</v>
      </c>
      <c r="G3572" s="9" t="str">
        <f>IFERROR(__xludf.DUMMYFUNCTION("""COMPUTED_VALUE"""),"Dart")</f>
        <v>Dart</v>
      </c>
      <c r="H3572" s="9" t="str">
        <f>IFERROR(__xludf.DUMMYFUNCTION("""COMPUTED_VALUE"""),"Assembly")</f>
        <v>Assembly</v>
      </c>
      <c r="I3572" s="9" t="str">
        <f>IFERROR(__xludf.DUMMYFUNCTION("""COMPUTED_VALUE"""),"Python")</f>
        <v>Python</v>
      </c>
      <c r="J3572" s="9" t="str">
        <f>IFERROR(__xludf.DUMMYFUNCTION("""COMPUTED_VALUE"""),"JavaScript")</f>
        <v>JavaScript</v>
      </c>
      <c r="K3572" s="9" t="str">
        <f>IFERROR(__xludf.DUMMYFUNCTION("""COMPUTED_VALUE"""),"Java")</f>
        <v>Java</v>
      </c>
      <c r="L3572" s="9" t="str">
        <f>IFERROR(__xludf.DUMMYFUNCTION("""COMPUTED_VALUE"""),"JavaScript")</f>
        <v>JavaScript</v>
      </c>
      <c r="M3572" s="9" t="s">
        <v>27</v>
      </c>
    </row>
    <row r="3573" ht="15.75" customHeight="1">
      <c r="A3573" s="7"/>
      <c r="B3573" s="7" t="str">
        <f>IFERROR(__xludf.DUMMYFUNCTION("""COMPUTED_VALUE"""),"C;Dart;HTML/CSS;Java;JavaScript;PHP;Python;SQL;TypeScript")</f>
        <v>C;Dart;HTML/CSS;Java;JavaScript;PHP;Python;SQL;TypeScript</v>
      </c>
      <c r="C3573" s="9" t="str">
        <f>IFERROR(__xludf.DUMMYFUNCTION("""COMPUTED_VALUE"""),"HTML/CSS")</f>
        <v>HTML/CSS</v>
      </c>
      <c r="D3573" s="9" t="str">
        <f>IFERROR(__xludf.DUMMYFUNCTION("""COMPUTED_VALUE"""),"C")</f>
        <v>C</v>
      </c>
      <c r="E3573" s="9" t="str">
        <f>IFERROR(__xludf.DUMMYFUNCTION("""COMPUTED_VALUE"""),"JavaScript")</f>
        <v>JavaScript</v>
      </c>
      <c r="F3573" s="9" t="str">
        <f>IFERROR(__xludf.DUMMYFUNCTION("""COMPUTED_VALUE"""),"HTML/CSS")</f>
        <v>HTML/CSS</v>
      </c>
      <c r="G3573" s="9" t="str">
        <f>IFERROR(__xludf.DUMMYFUNCTION("""COMPUTED_VALUE"""),"Elixir")</f>
        <v>Elixir</v>
      </c>
      <c r="H3573" s="9" t="str">
        <f>IFERROR(__xludf.DUMMYFUNCTION("""COMPUTED_VALUE"""),"HTML/CSS")</f>
        <v>HTML/CSS</v>
      </c>
      <c r="I3573" s="9" t="str">
        <f>IFERROR(__xludf.DUMMYFUNCTION("""COMPUTED_VALUE"""),"SQL")</f>
        <v>SQL</v>
      </c>
      <c r="J3573" s="9" t="str">
        <f>IFERROR(__xludf.DUMMYFUNCTION("""COMPUTED_VALUE"""),"PHP")</f>
        <v>PHP</v>
      </c>
      <c r="K3573" s="9" t="str">
        <f>IFERROR(__xludf.DUMMYFUNCTION("""COMPUTED_VALUE"""),"JavaScript")</f>
        <v>JavaScript</v>
      </c>
      <c r="L3573" s="9" t="str">
        <f>IFERROR(__xludf.DUMMYFUNCTION("""COMPUTED_VALUE"""),"Python")</f>
        <v>Python</v>
      </c>
      <c r="M3573" s="9" t="s">
        <v>24</v>
      </c>
    </row>
    <row r="3574" ht="15.75" customHeight="1">
      <c r="A3574" s="7"/>
      <c r="B3574" s="7" t="str">
        <f>IFERROR(__xludf.DUMMYFUNCTION("""COMPUTED_VALUE"""),"HTML/CSS;Java;JavaScript;Python;SQL")</f>
        <v>HTML/CSS;Java;JavaScript;Python;SQL</v>
      </c>
      <c r="C3574" s="9" t="str">
        <f>IFERROR(__xludf.DUMMYFUNCTION("""COMPUTED_VALUE"""),"JavaScript")</f>
        <v>JavaScript</v>
      </c>
      <c r="D3574" s="9" t="str">
        <f>IFERROR(__xludf.DUMMYFUNCTION("""COMPUTED_VALUE"""),"C++")</f>
        <v>C++</v>
      </c>
      <c r="E3574" s="9" t="str">
        <f>IFERROR(__xludf.DUMMYFUNCTION("""COMPUTED_VALUE"""),"Kotlin")</f>
        <v>Kotlin</v>
      </c>
      <c r="F3574" s="9" t="str">
        <f>IFERROR(__xludf.DUMMYFUNCTION("""COMPUTED_VALUE"""),"JavaScript")</f>
        <v>JavaScript</v>
      </c>
      <c r="G3574" s="9" t="str">
        <f>IFERROR(__xludf.DUMMYFUNCTION("""COMPUTED_VALUE"""),"Erlang")</f>
        <v>Erlang</v>
      </c>
      <c r="H3574" s="9" t="str">
        <f>IFERROR(__xludf.DUMMYFUNCTION("""COMPUTED_VALUE"""),"Java")</f>
        <v>Java</v>
      </c>
      <c r="I3574" s="9" t="str">
        <f>IFERROR(__xludf.DUMMYFUNCTION("""COMPUTED_VALUE"""),"C")</f>
        <v>C</v>
      </c>
      <c r="J3574" s="9" t="str">
        <f>IFERROR(__xludf.DUMMYFUNCTION("""COMPUTED_VALUE"""),"Python")</f>
        <v>Python</v>
      </c>
      <c r="K3574" s="9" t="str">
        <f>IFERROR(__xludf.DUMMYFUNCTION("""COMPUTED_VALUE"""),"PHP")</f>
        <v>PHP</v>
      </c>
      <c r="L3574" s="9" t="str">
        <f>IFERROR(__xludf.DUMMYFUNCTION("""COMPUTED_VALUE"""),"SQL")</f>
        <v>SQL</v>
      </c>
      <c r="M3574" s="9" t="s">
        <v>21</v>
      </c>
    </row>
    <row r="3575" ht="15.75" customHeight="1">
      <c r="A3575" s="7"/>
      <c r="B3575" s="7" t="str">
        <f>IFERROR(__xludf.DUMMYFUNCTION("""COMPUTED_VALUE"""),"Assembly;C++;HTML/CSS;Java;JavaScript;Python;SQL")</f>
        <v>Assembly;C++;HTML/CSS;Java;JavaScript;Python;SQL</v>
      </c>
      <c r="C3575" s="9" t="str">
        <f>IFERROR(__xludf.DUMMYFUNCTION("""COMPUTED_VALUE"""),"PHP")</f>
        <v>PHP</v>
      </c>
      <c r="D3575" s="9" t="str">
        <f>IFERROR(__xludf.DUMMYFUNCTION("""COMPUTED_VALUE"""),"C")</f>
        <v>C</v>
      </c>
      <c r="E3575" s="9" t="str">
        <f>IFERROR(__xludf.DUMMYFUNCTION("""COMPUTED_VALUE"""),"TypeScript")</f>
        <v>TypeScript</v>
      </c>
      <c r="F3575" s="9" t="str">
        <f>IFERROR(__xludf.DUMMYFUNCTION("""COMPUTED_VALUE"""),"Python")</f>
        <v>Python</v>
      </c>
      <c r="G3575" s="9" t="str">
        <f>IFERROR(__xludf.DUMMYFUNCTION("""COMPUTED_VALUE"""),"F#")</f>
        <v>F#</v>
      </c>
      <c r="H3575" s="9" t="str">
        <f>IFERROR(__xludf.DUMMYFUNCTION("""COMPUTED_VALUE"""),"JavaScript")</f>
        <v>JavaScript</v>
      </c>
      <c r="I3575" s="9" t="str">
        <f>IFERROR(__xludf.DUMMYFUNCTION("""COMPUTED_VALUE"""),"C++")</f>
        <v>C++</v>
      </c>
      <c r="J3575" s="9" t="str">
        <f>IFERROR(__xludf.DUMMYFUNCTION("""COMPUTED_VALUE"""),"SQL")</f>
        <v>SQL</v>
      </c>
      <c r="K3575" s="9" t="str">
        <f>IFERROR(__xludf.DUMMYFUNCTION("""COMPUTED_VALUE"""),"R")</f>
        <v>R</v>
      </c>
      <c r="L3575" s="9" t="str">
        <f>IFERROR(__xludf.DUMMYFUNCTION("""COMPUTED_VALUE"""),"VBA")</f>
        <v>VBA</v>
      </c>
      <c r="M3575" s="9" t="s">
        <v>37</v>
      </c>
    </row>
    <row r="3576" ht="15.75" customHeight="1">
      <c r="A3576" s="7"/>
      <c r="B3576" s="7" t="str">
        <f>IFERROR(__xludf.DUMMYFUNCTION("""COMPUTED_VALUE"""),"HTML/CSS;JavaScript;TypeScript")</f>
        <v>HTML/CSS;JavaScript;TypeScript</v>
      </c>
      <c r="C3576" s="9" t="str">
        <f>IFERROR(__xludf.DUMMYFUNCTION("""COMPUTED_VALUE"""),"SQL")</f>
        <v>SQL</v>
      </c>
      <c r="D3576" s="9" t="str">
        <f>IFERROR(__xludf.DUMMYFUNCTION("""COMPUTED_VALUE"""),"C++")</f>
        <v>C++</v>
      </c>
      <c r="E3576" s="9" t="str">
        <f>IFERROR(__xludf.DUMMYFUNCTION("""COMPUTED_VALUE"""),"Java")</f>
        <v>Java</v>
      </c>
      <c r="F3576" s="9" t="str">
        <f>IFERROR(__xludf.DUMMYFUNCTION("""COMPUTED_VALUE"""),"HTML/CSS")</f>
        <v>HTML/CSS</v>
      </c>
      <c r="G3576" s="9" t="str">
        <f>IFERROR(__xludf.DUMMYFUNCTION("""COMPUTED_VALUE"""),"Go")</f>
        <v>Go</v>
      </c>
      <c r="H3576" s="9" t="str">
        <f>IFERROR(__xludf.DUMMYFUNCTION("""COMPUTED_VALUE"""),"PHP")</f>
        <v>PHP</v>
      </c>
      <c r="I3576" s="9" t="str">
        <f>IFERROR(__xludf.DUMMYFUNCTION("""COMPUTED_VALUE"""),"C#")</f>
        <v>C#</v>
      </c>
      <c r="J3576" s="9" t="str">
        <f>IFERROR(__xludf.DUMMYFUNCTION("""COMPUTED_VALUE"""),"HTML/CSS")</f>
        <v>HTML/CSS</v>
      </c>
      <c r="K3576" s="9" t="str">
        <f>IFERROR(__xludf.DUMMYFUNCTION("""COMPUTED_VALUE"""),"SQL")</f>
        <v>SQL</v>
      </c>
      <c r="L3576" s="9" t="str">
        <f>IFERROR(__xludf.DUMMYFUNCTION("""COMPUTED_VALUE"""),"C")</f>
        <v>C</v>
      </c>
      <c r="M3576" s="9" t="s">
        <v>27</v>
      </c>
    </row>
    <row r="3577" ht="15.75" customHeight="1">
      <c r="A3577" s="7"/>
      <c r="B3577" s="7" t="str">
        <f>IFERROR(__xludf.DUMMYFUNCTION("""COMPUTED_VALUE"""),"Bash/Shell/PowerShell;C++;HTML/CSS;Java;JavaScript;PHP;Python;SQL")</f>
        <v>Bash/Shell/PowerShell;C++;HTML/CSS;Java;JavaScript;PHP;Python;SQL</v>
      </c>
      <c r="C3577" s="9" t="str">
        <f>IFERROR(__xludf.DUMMYFUNCTION("""COMPUTED_VALUE"""),"TypeScript")</f>
        <v>TypeScript</v>
      </c>
      <c r="D3577" s="9" t="str">
        <f>IFERROR(__xludf.DUMMYFUNCTION("""COMPUTED_VALUE"""),"HTML/CSS")</f>
        <v>HTML/CSS</v>
      </c>
      <c r="E3577" s="9" t="str">
        <f>IFERROR(__xludf.DUMMYFUNCTION("""COMPUTED_VALUE"""),"JavaScript")</f>
        <v>JavaScript</v>
      </c>
      <c r="F3577" s="9" t="str">
        <f>IFERROR(__xludf.DUMMYFUNCTION("""COMPUTED_VALUE"""),"Java")</f>
        <v>Java</v>
      </c>
      <c r="G3577" s="9" t="str">
        <f>IFERROR(__xludf.DUMMYFUNCTION("""COMPUTED_VALUE"""),"HTML/CSS")</f>
        <v>HTML/CSS</v>
      </c>
      <c r="H3577" s="9" t="str">
        <f>IFERROR(__xludf.DUMMYFUNCTION("""COMPUTED_VALUE"""),"SQL")</f>
        <v>SQL</v>
      </c>
      <c r="I3577" s="9" t="str">
        <f>IFERROR(__xludf.DUMMYFUNCTION("""COMPUTED_VALUE"""),"HTML/CSS")</f>
        <v>HTML/CSS</v>
      </c>
      <c r="J3577" s="9" t="str">
        <f>IFERROR(__xludf.DUMMYFUNCTION("""COMPUTED_VALUE"""),"Java")</f>
        <v>Java</v>
      </c>
      <c r="K3577" s="9" t="str">
        <f>IFERROR(__xludf.DUMMYFUNCTION("""COMPUTED_VALUE"""),"Bash/Shell/PowerShell")</f>
        <v>Bash/Shell/PowerShell</v>
      </c>
      <c r="L3577" s="9" t="str">
        <f>IFERROR(__xludf.DUMMYFUNCTION("""COMPUTED_VALUE"""),"C#")</f>
        <v>C#</v>
      </c>
      <c r="M3577" s="9" t="s">
        <v>33</v>
      </c>
    </row>
    <row r="3578" ht="15.75" customHeight="1">
      <c r="A3578" s="7"/>
      <c r="B3578" s="7" t="str">
        <f>IFERROR(__xludf.DUMMYFUNCTION("""COMPUTED_VALUE"""),"HTML/CSS;Python")</f>
        <v>HTML/CSS;Python</v>
      </c>
      <c r="C3578" s="9" t="str">
        <f>IFERROR(__xludf.DUMMYFUNCTION("""COMPUTED_VALUE"""),"Bash/Shell/PowerShell")</f>
        <v>Bash/Shell/PowerShell</v>
      </c>
      <c r="D3578" s="9" t="str">
        <f>IFERROR(__xludf.DUMMYFUNCTION("""COMPUTED_VALUE"""),"Java")</f>
        <v>Java</v>
      </c>
      <c r="E3578" s="9" t="str">
        <f>IFERROR(__xludf.DUMMYFUNCTION("""COMPUTED_VALUE"""),"Bash/Shell/PowerShell")</f>
        <v>Bash/Shell/PowerShell</v>
      </c>
      <c r="F3578" s="9" t="str">
        <f>IFERROR(__xludf.DUMMYFUNCTION("""COMPUTED_VALUE"""),"JavaScript")</f>
        <v>JavaScript</v>
      </c>
      <c r="G3578" s="9" t="str">
        <f>IFERROR(__xludf.DUMMYFUNCTION("""COMPUTED_VALUE"""),"Java")</f>
        <v>Java</v>
      </c>
      <c r="H3578" s="9" t="str">
        <f>IFERROR(__xludf.DUMMYFUNCTION("""COMPUTED_VALUE"""),"TypeScript")</f>
        <v>TypeScript</v>
      </c>
      <c r="I3578" s="9" t="str">
        <f>IFERROR(__xludf.DUMMYFUNCTION("""COMPUTED_VALUE"""),"JavaScript")</f>
        <v>JavaScript</v>
      </c>
      <c r="J3578" s="9" t="str">
        <f>IFERROR(__xludf.DUMMYFUNCTION("""COMPUTED_VALUE"""),"JavaScript")</f>
        <v>JavaScript</v>
      </c>
      <c r="K3578" s="9" t="str">
        <f>IFERROR(__xludf.DUMMYFUNCTION("""COMPUTED_VALUE"""),"Elixir")</f>
        <v>Elixir</v>
      </c>
      <c r="L3578" s="9" t="str">
        <f>IFERROR(__xludf.DUMMYFUNCTION("""COMPUTED_VALUE"""),"Clojure")</f>
        <v>Clojure</v>
      </c>
      <c r="M3578" s="9" t="s">
        <v>30</v>
      </c>
    </row>
    <row r="3579" ht="15.75" customHeight="1">
      <c r="A3579" s="7"/>
      <c r="B3579" s="7" t="str">
        <f>IFERROR(__xludf.DUMMYFUNCTION("""COMPUTED_VALUE"""),"C#;HTML/CSS;JavaScript;SQL;TypeScript")</f>
        <v>C#;HTML/CSS;JavaScript;SQL;TypeScript</v>
      </c>
      <c r="C3579" s="9" t="str">
        <f>IFERROR(__xludf.DUMMYFUNCTION("""COMPUTED_VALUE"""),"C")</f>
        <v>C</v>
      </c>
      <c r="D3579" s="9" t="str">
        <f>IFERROR(__xludf.DUMMYFUNCTION("""COMPUTED_VALUE"""),"JavaScript")</f>
        <v>JavaScript</v>
      </c>
      <c r="E3579" s="9" t="str">
        <f>IFERROR(__xludf.DUMMYFUNCTION("""COMPUTED_VALUE"""),"HTML/CSS")</f>
        <v>HTML/CSS</v>
      </c>
      <c r="F3579" s="9" t="str">
        <f>IFERROR(__xludf.DUMMYFUNCTION("""COMPUTED_VALUE"""),"PHP")</f>
        <v>PHP</v>
      </c>
      <c r="G3579" s="9" t="str">
        <f>IFERROR(__xludf.DUMMYFUNCTION("""COMPUTED_VALUE"""),"JavaScript")</f>
        <v>JavaScript</v>
      </c>
      <c r="H3579" s="9" t="str">
        <f>IFERROR(__xludf.DUMMYFUNCTION("""COMPUTED_VALUE"""),"Bash/Shell/PowerShell")</f>
        <v>Bash/Shell/PowerShell</v>
      </c>
      <c r="I3579" s="9" t="str">
        <f>IFERROR(__xludf.DUMMYFUNCTION("""COMPUTED_VALUE"""),"Python")</f>
        <v>Python</v>
      </c>
      <c r="J3579" s="9" t="str">
        <f>IFERROR(__xludf.DUMMYFUNCTION("""COMPUTED_VALUE"""),"Python")</f>
        <v>Python</v>
      </c>
      <c r="K3579" s="9" t="str">
        <f>IFERROR(__xludf.DUMMYFUNCTION("""COMPUTED_VALUE"""),"Go")</f>
        <v>Go</v>
      </c>
      <c r="L3579" s="9" t="str">
        <f>IFERROR(__xludf.DUMMYFUNCTION("""COMPUTED_VALUE"""),"HTML/CSS")</f>
        <v>HTML/CSS</v>
      </c>
      <c r="M3579" s="9" t="s">
        <v>25</v>
      </c>
    </row>
    <row r="3580" ht="15.75" customHeight="1">
      <c r="A3580" s="7"/>
      <c r="B3580" s="7" t="str">
        <f>IFERROR(__xludf.DUMMYFUNCTION("""COMPUTED_VALUE"""),"Bash/Shell/PowerShell;HTML/CSS;Java;JavaScript;PHP;SQL;TypeScript")</f>
        <v>Bash/Shell/PowerShell;HTML/CSS;Java;JavaScript;PHP;SQL;TypeScript</v>
      </c>
      <c r="C3580" s="9" t="str">
        <f>IFERROR(__xludf.DUMMYFUNCTION("""COMPUTED_VALUE"""),"C++")</f>
        <v>C++</v>
      </c>
      <c r="D3580" s="9" t="str">
        <f>IFERROR(__xludf.DUMMYFUNCTION("""COMPUTED_VALUE"""),"PHP")</f>
        <v>PHP</v>
      </c>
      <c r="E3580" s="9" t="str">
        <f>IFERROR(__xludf.DUMMYFUNCTION("""COMPUTED_VALUE"""),"JavaScript")</f>
        <v>JavaScript</v>
      </c>
      <c r="F3580" s="9" t="str">
        <f>IFERROR(__xludf.DUMMYFUNCTION("""COMPUTED_VALUE"""),"Bash/Shell/PowerShell")</f>
        <v>Bash/Shell/PowerShell</v>
      </c>
      <c r="G3580" s="9" t="str">
        <f>IFERROR(__xludf.DUMMYFUNCTION("""COMPUTED_VALUE"""),"Kotlin")</f>
        <v>Kotlin</v>
      </c>
      <c r="H3580" s="9" t="str">
        <f>IFERROR(__xludf.DUMMYFUNCTION("""COMPUTED_VALUE"""),"C")</f>
        <v>C</v>
      </c>
      <c r="I3580" s="9" t="str">
        <f>IFERROR(__xludf.DUMMYFUNCTION("""COMPUTED_VALUE"""),"Bash/Shell/PowerShell")</f>
        <v>Bash/Shell/PowerShell</v>
      </c>
      <c r="J3580" s="9" t="str">
        <f>IFERROR(__xludf.DUMMYFUNCTION("""COMPUTED_VALUE"""),"Ruby")</f>
        <v>Ruby</v>
      </c>
      <c r="K3580" s="9" t="str">
        <f>IFERROR(__xludf.DUMMYFUNCTION("""COMPUTED_VALUE"""),"HTML/CSS")</f>
        <v>HTML/CSS</v>
      </c>
      <c r="L3580" s="9" t="str">
        <f>IFERROR(__xludf.DUMMYFUNCTION("""COMPUTED_VALUE"""),"JavaScript")</f>
        <v>JavaScript</v>
      </c>
      <c r="M3580" s="9" t="s">
        <v>23</v>
      </c>
    </row>
    <row r="3581" ht="15.75" customHeight="1">
      <c r="A3581" s="7"/>
      <c r="B3581" s="7" t="str">
        <f>IFERROR(__xludf.DUMMYFUNCTION("""COMPUTED_VALUE"""),"HTML/CSS;JavaScript;PHP")</f>
        <v>HTML/CSS;JavaScript;PHP</v>
      </c>
      <c r="C3581" s="9" t="str">
        <f>IFERROR(__xludf.DUMMYFUNCTION("""COMPUTED_VALUE"""),"HTML/CSS")</f>
        <v>HTML/CSS</v>
      </c>
      <c r="D3581" s="9" t="str">
        <f>IFERROR(__xludf.DUMMYFUNCTION("""COMPUTED_VALUE"""),"Python")</f>
        <v>Python</v>
      </c>
      <c r="E3581" s="9" t="str">
        <f>IFERROR(__xludf.DUMMYFUNCTION("""COMPUTED_VALUE"""),"PHP")</f>
        <v>PHP</v>
      </c>
      <c r="F3581" s="9" t="str">
        <f>IFERROR(__xludf.DUMMYFUNCTION("""COMPUTED_VALUE"""),"HTML/CSS")</f>
        <v>HTML/CSS</v>
      </c>
      <c r="G3581" s="9" t="str">
        <f>IFERROR(__xludf.DUMMYFUNCTION("""COMPUTED_VALUE"""),"Objective-C")</f>
        <v>Objective-C</v>
      </c>
      <c r="H3581" s="9" t="str">
        <f>IFERROR(__xludf.DUMMYFUNCTION("""COMPUTED_VALUE"""),"C++")</f>
        <v>C++</v>
      </c>
      <c r="I3581" s="9" t="str">
        <f>IFERROR(__xludf.DUMMYFUNCTION("""COMPUTED_VALUE"""),"HTML/CSS")</f>
        <v>HTML/CSS</v>
      </c>
      <c r="J3581" s="9" t="str">
        <f>IFERROR(__xludf.DUMMYFUNCTION("""COMPUTED_VALUE"""),"Bash/Shell/PowerShell")</f>
        <v>Bash/Shell/PowerShell</v>
      </c>
      <c r="K3581" s="9" t="str">
        <f>IFERROR(__xludf.DUMMYFUNCTION("""COMPUTED_VALUE"""),"JavaScript")</f>
        <v>JavaScript</v>
      </c>
      <c r="L3581" s="9" t="str">
        <f>IFERROR(__xludf.DUMMYFUNCTION("""COMPUTED_VALUE"""),"Python")</f>
        <v>Python</v>
      </c>
      <c r="M3581" s="9" t="s">
        <v>24</v>
      </c>
    </row>
    <row r="3582" ht="15.75" customHeight="1">
      <c r="A3582" s="7"/>
      <c r="B3582" s="7" t="str">
        <f>IFERROR(__xludf.DUMMYFUNCTION("""COMPUTED_VALUE"""),"C#;Java;JavaScript;Python")</f>
        <v>C#;Java;JavaScript;Python</v>
      </c>
      <c r="C3582" s="9" t="str">
        <f>IFERROR(__xludf.DUMMYFUNCTION("""COMPUTED_VALUE"""),"JavaScript")</f>
        <v>JavaScript</v>
      </c>
      <c r="D3582" s="9" t="str">
        <f>IFERROR(__xludf.DUMMYFUNCTION("""COMPUTED_VALUE"""),"SQL")</f>
        <v>SQL</v>
      </c>
      <c r="E3582" s="9" t="str">
        <f>IFERROR(__xludf.DUMMYFUNCTION("""COMPUTED_VALUE"""),"SQL")</f>
        <v>SQL</v>
      </c>
      <c r="F3582" s="9" t="str">
        <f>IFERROR(__xludf.DUMMYFUNCTION("""COMPUTED_VALUE"""),"Java")</f>
        <v>Java</v>
      </c>
      <c r="G3582" s="9" t="str">
        <f>IFERROR(__xludf.DUMMYFUNCTION("""COMPUTED_VALUE"""),"PHP")</f>
        <v>PHP</v>
      </c>
      <c r="H3582" s="9" t="str">
        <f>IFERROR(__xludf.DUMMYFUNCTION("""COMPUTED_VALUE"""),"Go")</f>
        <v>Go</v>
      </c>
      <c r="I3582" s="9" t="str">
        <f>IFERROR(__xludf.DUMMYFUNCTION("""COMPUTED_VALUE"""),"Java")</f>
        <v>Java</v>
      </c>
      <c r="J3582" s="9" t="str">
        <f>IFERROR(__xludf.DUMMYFUNCTION("""COMPUTED_VALUE"""),"Python")</f>
        <v>Python</v>
      </c>
      <c r="K3582" s="9" t="str">
        <f>IFERROR(__xludf.DUMMYFUNCTION("""COMPUTED_VALUE"""),"Ruby")</f>
        <v>Ruby</v>
      </c>
      <c r="L3582" s="9" t="str">
        <f>IFERROR(__xludf.DUMMYFUNCTION("""COMPUTED_VALUE"""),"TypeScript")</f>
        <v>TypeScript</v>
      </c>
      <c r="M3582" s="9" t="s">
        <v>21</v>
      </c>
    </row>
    <row r="3583" ht="15.75" customHeight="1">
      <c r="A3583" s="7"/>
      <c r="B3583" s="7" t="str">
        <f>IFERROR(__xludf.DUMMYFUNCTION("""COMPUTED_VALUE"""),"Assembly;C;C++;Java;JavaScript;Python;TypeScript")</f>
        <v>Assembly;C;C++;Java;JavaScript;Python;TypeScript</v>
      </c>
      <c r="C3583" s="9" t="str">
        <f>IFERROR(__xludf.DUMMYFUNCTION("""COMPUTED_VALUE"""),"Python")</f>
        <v>Python</v>
      </c>
      <c r="D3583" s="9" t="str">
        <f>IFERROR(__xludf.DUMMYFUNCTION("""COMPUTED_VALUE"""),"C++")</f>
        <v>C++</v>
      </c>
      <c r="E3583" s="9" t="str">
        <f>IFERROR(__xludf.DUMMYFUNCTION("""COMPUTED_VALUE"""),"Bash/Shell/PowerShell")</f>
        <v>Bash/Shell/PowerShell</v>
      </c>
      <c r="F3583" s="9" t="str">
        <f>IFERROR(__xludf.DUMMYFUNCTION("""COMPUTED_VALUE"""),"JavaScript")</f>
        <v>JavaScript</v>
      </c>
      <c r="G3583" s="9" t="str">
        <f>IFERROR(__xludf.DUMMYFUNCTION("""COMPUTED_VALUE"""),"Python")</f>
        <v>Python</v>
      </c>
      <c r="H3583" s="9" t="str">
        <f>IFERROR(__xludf.DUMMYFUNCTION("""COMPUTED_VALUE"""),"HTML/CSS")</f>
        <v>HTML/CSS</v>
      </c>
      <c r="I3583" s="9" t="str">
        <f>IFERROR(__xludf.DUMMYFUNCTION("""COMPUTED_VALUE"""),"JavaScript")</f>
        <v>JavaScript</v>
      </c>
      <c r="J3583" s="9" t="str">
        <f>IFERROR(__xludf.DUMMYFUNCTION("""COMPUTED_VALUE"""),"Other(s):")</f>
        <v>Other(s):</v>
      </c>
      <c r="K3583" s="9" t="str">
        <f>IFERROR(__xludf.DUMMYFUNCTION("""COMPUTED_VALUE"""),"TypeScript")</f>
        <v>TypeScript</v>
      </c>
      <c r="L3583" s="9" t="str">
        <f>IFERROR(__xludf.DUMMYFUNCTION("""COMPUTED_VALUE"""),"Bash/Shell/PowerShell")</f>
        <v>Bash/Shell/PowerShell</v>
      </c>
      <c r="M3583" s="9" t="s">
        <v>22</v>
      </c>
    </row>
    <row r="3584" ht="15.75" customHeight="1">
      <c r="A3584" s="7"/>
      <c r="B3584" s="7" t="str">
        <f>IFERROR(__xludf.DUMMYFUNCTION("""COMPUTED_VALUE"""),"Bash/Shell/PowerShell;C#;HTML/CSS;JavaScript;PHP;Python;SQL")</f>
        <v>Bash/Shell/PowerShell;C#;HTML/CSS;JavaScript;PHP;Python;SQL</v>
      </c>
      <c r="C3584" s="9" t="str">
        <f>IFERROR(__xludf.DUMMYFUNCTION("""COMPUTED_VALUE"""),"SQL")</f>
        <v>SQL</v>
      </c>
      <c r="D3584" s="9" t="str">
        <f>IFERROR(__xludf.DUMMYFUNCTION("""COMPUTED_VALUE"""),"C#")</f>
        <v>C#</v>
      </c>
      <c r="E3584" s="9" t="str">
        <f>IFERROR(__xludf.DUMMYFUNCTION("""COMPUTED_VALUE"""),"Elixir")</f>
        <v>Elixir</v>
      </c>
      <c r="F3584" s="9" t="str">
        <f>IFERROR(__xludf.DUMMYFUNCTION("""COMPUTED_VALUE"""),"Python")</f>
        <v>Python</v>
      </c>
      <c r="G3584" s="9" t="str">
        <f>IFERROR(__xludf.DUMMYFUNCTION("""COMPUTED_VALUE"""),"R")</f>
        <v>R</v>
      </c>
      <c r="H3584" s="9" t="str">
        <f>IFERROR(__xludf.DUMMYFUNCTION("""COMPUTED_VALUE"""),"Python")</f>
        <v>Python</v>
      </c>
      <c r="I3584" s="9" t="str">
        <f>IFERROR(__xludf.DUMMYFUNCTION("""COMPUTED_VALUE"""),"Kotlin")</f>
        <v>Kotlin</v>
      </c>
      <c r="J3584" s="9" t="str">
        <f>IFERROR(__xludf.DUMMYFUNCTION("""COMPUTED_VALUE"""),"HTML/CSS")</f>
        <v>HTML/CSS</v>
      </c>
      <c r="K3584" s="9" t="str">
        <f>IFERROR(__xludf.DUMMYFUNCTION("""COMPUTED_VALUE"""),"HTML/CSS")</f>
        <v>HTML/CSS</v>
      </c>
      <c r="L3584" s="9" t="str">
        <f>IFERROR(__xludf.DUMMYFUNCTION("""COMPUTED_VALUE"""),"HTML/CSS")</f>
        <v>HTML/CSS</v>
      </c>
      <c r="M3584" s="9" t="s">
        <v>27</v>
      </c>
    </row>
    <row r="3585" ht="15.75" customHeight="1">
      <c r="A3585" s="7"/>
      <c r="B3585" s="7" t="str">
        <f>IFERROR(__xludf.DUMMYFUNCTION("""COMPUTED_VALUE"""),"Go;Java;Python;SQL")</f>
        <v>Go;Java;Python;SQL</v>
      </c>
      <c r="C3585" s="9" t="str">
        <f>IFERROR(__xludf.DUMMYFUNCTION("""COMPUTED_VALUE"""),"Python")</f>
        <v>Python</v>
      </c>
      <c r="D3585" s="9" t="str">
        <f>IFERROR(__xludf.DUMMYFUNCTION("""COMPUTED_VALUE"""),"HTML/CSS")</f>
        <v>HTML/CSS</v>
      </c>
      <c r="E3585" s="9" t="str">
        <f>IFERROR(__xludf.DUMMYFUNCTION("""COMPUTED_VALUE"""),"HTML/CSS")</f>
        <v>HTML/CSS</v>
      </c>
      <c r="F3585" s="9" t="str">
        <f>IFERROR(__xludf.DUMMYFUNCTION("""COMPUTED_VALUE"""),"SQL")</f>
        <v>SQL</v>
      </c>
      <c r="G3585" s="9" t="str">
        <f>IFERROR(__xludf.DUMMYFUNCTION("""COMPUTED_VALUE"""),"Ruby")</f>
        <v>Ruby</v>
      </c>
      <c r="H3585" s="9" t="str">
        <f>IFERROR(__xludf.DUMMYFUNCTION("""COMPUTED_VALUE"""),"Other(s):")</f>
        <v>Other(s):</v>
      </c>
      <c r="I3585" s="9" t="str">
        <f>IFERROR(__xludf.DUMMYFUNCTION("""COMPUTED_VALUE"""),"SQL")</f>
        <v>SQL</v>
      </c>
      <c r="J3585" s="9" t="str">
        <f>IFERROR(__xludf.DUMMYFUNCTION("""COMPUTED_VALUE"""),"JavaScript")</f>
        <v>JavaScript</v>
      </c>
      <c r="K3585" s="9" t="str">
        <f>IFERROR(__xludf.DUMMYFUNCTION("""COMPUTED_VALUE"""),"JavaScript")</f>
        <v>JavaScript</v>
      </c>
      <c r="L3585" s="9" t="str">
        <f>IFERROR(__xludf.DUMMYFUNCTION("""COMPUTED_VALUE"""),"Java")</f>
        <v>Java</v>
      </c>
      <c r="M3585" s="9" t="s">
        <v>22</v>
      </c>
    </row>
    <row r="3586" ht="15.75" customHeight="1">
      <c r="A3586" s="7"/>
      <c r="B3586" s="7" t="str">
        <f>IFERROR(__xludf.DUMMYFUNCTION("""COMPUTED_VALUE"""),"Java;JavaScript;PHP")</f>
        <v>Java;JavaScript;PHP</v>
      </c>
      <c r="C3586" s="9" t="str">
        <f>IFERROR(__xludf.DUMMYFUNCTION("""COMPUTED_VALUE"""),"Bash/Shell/PowerShell")</f>
        <v>Bash/Shell/PowerShell</v>
      </c>
      <c r="D3586" s="9" t="str">
        <f>IFERROR(__xludf.DUMMYFUNCTION("""COMPUTED_VALUE"""),"JavaScript")</f>
        <v>JavaScript</v>
      </c>
      <c r="E3586" s="9" t="str">
        <f>IFERROR(__xludf.DUMMYFUNCTION("""COMPUTED_VALUE"""),"Java")</f>
        <v>Java</v>
      </c>
      <c r="F3586" s="9" t="str">
        <f>IFERROR(__xludf.DUMMYFUNCTION("""COMPUTED_VALUE"""),"HTML/CSS")</f>
        <v>HTML/CSS</v>
      </c>
      <c r="G3586" s="9" t="str">
        <f>IFERROR(__xludf.DUMMYFUNCTION("""COMPUTED_VALUE"""),"Rust")</f>
        <v>Rust</v>
      </c>
      <c r="H3586" s="9" t="str">
        <f>IFERROR(__xludf.DUMMYFUNCTION("""COMPUTED_VALUE"""),"HTML/CSS")</f>
        <v>HTML/CSS</v>
      </c>
      <c r="I3586" s="9" t="str">
        <f>IFERROR(__xludf.DUMMYFUNCTION("""COMPUTED_VALUE"""),"HTML/CSS")</f>
        <v>HTML/CSS</v>
      </c>
      <c r="J3586" s="9" t="str">
        <f>IFERROR(__xludf.DUMMYFUNCTION("""COMPUTED_VALUE"""),"PHP")</f>
        <v>PHP</v>
      </c>
      <c r="K3586" s="9" t="str">
        <f>IFERROR(__xludf.DUMMYFUNCTION("""COMPUTED_VALUE"""),"PHP")</f>
        <v>PHP</v>
      </c>
      <c r="L3586" s="9" t="str">
        <f>IFERROR(__xludf.DUMMYFUNCTION("""COMPUTED_VALUE"""),"JavaScript")</f>
        <v>JavaScript</v>
      </c>
      <c r="M3586" s="9" t="s">
        <v>30</v>
      </c>
    </row>
    <row r="3587" ht="15.75" customHeight="1">
      <c r="A3587" s="7"/>
      <c r="B3587" s="7" t="str">
        <f>IFERROR(__xludf.DUMMYFUNCTION("""COMPUTED_VALUE"""),"Bash/Shell/PowerShell;C++;C#;F#;HTML/CSS;Python;SQL;Swift;TypeScript")</f>
        <v>Bash/Shell/PowerShell;C++;C#;F#;HTML/CSS;Python;SQL;Swift;TypeScript</v>
      </c>
      <c r="C3587" s="9" t="str">
        <f>IFERROR(__xludf.DUMMYFUNCTION("""COMPUTED_VALUE"""),"Go")</f>
        <v>Go</v>
      </c>
      <c r="D3587" s="9" t="str">
        <f>IFERROR(__xludf.DUMMYFUNCTION("""COMPUTED_VALUE"""),"Python")</f>
        <v>Python</v>
      </c>
      <c r="E3587" s="9" t="str">
        <f>IFERROR(__xludf.DUMMYFUNCTION("""COMPUTED_VALUE"""),"JavaScript")</f>
        <v>JavaScript</v>
      </c>
      <c r="F3587" s="9" t="str">
        <f>IFERROR(__xludf.DUMMYFUNCTION("""COMPUTED_VALUE"""),"Java")</f>
        <v>Java</v>
      </c>
      <c r="G3587" s="9" t="str">
        <f>IFERROR(__xludf.DUMMYFUNCTION("""COMPUTED_VALUE"""),"Scala")</f>
        <v>Scala</v>
      </c>
      <c r="H3587" s="9" t="str">
        <f>IFERROR(__xludf.DUMMYFUNCTION("""COMPUTED_VALUE"""),"JavaScript")</f>
        <v>JavaScript</v>
      </c>
      <c r="I3587" s="9" t="str">
        <f>IFERROR(__xludf.DUMMYFUNCTION("""COMPUTED_VALUE"""),"Java")</f>
        <v>Java</v>
      </c>
      <c r="J3587" s="9" t="str">
        <f>IFERROR(__xludf.DUMMYFUNCTION("""COMPUTED_VALUE"""),"Python")</f>
        <v>Python</v>
      </c>
      <c r="K3587" s="9" t="str">
        <f>IFERROR(__xludf.DUMMYFUNCTION("""COMPUTED_VALUE"""),"Python")</f>
        <v>Python</v>
      </c>
      <c r="L3587" s="9" t="str">
        <f>IFERROR(__xludf.DUMMYFUNCTION("""COMPUTED_VALUE"""),"TypeScript")</f>
        <v>TypeScript</v>
      </c>
      <c r="M3587" s="9" t="s">
        <v>36</v>
      </c>
    </row>
    <row r="3588" ht="15.75" customHeight="1">
      <c r="A3588" s="7"/>
      <c r="B3588" s="7" t="str">
        <f>IFERROR(__xludf.DUMMYFUNCTION("""COMPUTED_VALUE"""),"Bash/Shell/PowerShell;HTML/CSS;Java;JavaScript;PHP;SQL")</f>
        <v>Bash/Shell/PowerShell;HTML/CSS;Java;JavaScript;PHP;SQL</v>
      </c>
      <c r="C3588" s="9" t="str">
        <f>IFERROR(__xludf.DUMMYFUNCTION("""COMPUTED_VALUE"""),"HTML/CSS")</f>
        <v>HTML/CSS</v>
      </c>
      <c r="D3588" s="9" t="str">
        <f>IFERROR(__xludf.DUMMYFUNCTION("""COMPUTED_VALUE"""),"TypeScript")</f>
        <v>TypeScript</v>
      </c>
      <c r="E3588" s="9" t="str">
        <f>IFERROR(__xludf.DUMMYFUNCTION("""COMPUTED_VALUE"""),"Ruby")</f>
        <v>Ruby</v>
      </c>
      <c r="F3588" s="9" t="str">
        <f>IFERROR(__xludf.DUMMYFUNCTION("""COMPUTED_VALUE"""),"JavaScript")</f>
        <v>JavaScript</v>
      </c>
      <c r="G3588" s="9" t="str">
        <f>IFERROR(__xludf.DUMMYFUNCTION("""COMPUTED_VALUE"""),"SQL")</f>
        <v>SQL</v>
      </c>
      <c r="H3588" s="9" t="str">
        <f>IFERROR(__xludf.DUMMYFUNCTION("""COMPUTED_VALUE"""),"SQL")</f>
        <v>SQL</v>
      </c>
      <c r="I3588" s="9" t="str">
        <f>IFERROR(__xludf.DUMMYFUNCTION("""COMPUTED_VALUE"""),"Kotlin")</f>
        <v>Kotlin</v>
      </c>
      <c r="J3588" s="9" t="str">
        <f>IFERROR(__xludf.DUMMYFUNCTION("""COMPUTED_VALUE"""),"SQL")</f>
        <v>SQL</v>
      </c>
      <c r="K3588" s="9" t="str">
        <f>IFERROR(__xludf.DUMMYFUNCTION("""COMPUTED_VALUE"""),"SQL")</f>
        <v>SQL</v>
      </c>
      <c r="L3588" s="9" t="str">
        <f>IFERROR(__xludf.DUMMYFUNCTION("""COMPUTED_VALUE"""),"HTML/CSS")</f>
        <v>HTML/CSS</v>
      </c>
      <c r="M3588" s="9" t="s">
        <v>24</v>
      </c>
    </row>
    <row r="3589" ht="15.75" customHeight="1">
      <c r="A3589" s="7"/>
      <c r="B3589" s="7" t="str">
        <f>IFERROR(__xludf.DUMMYFUNCTION("""COMPUTED_VALUE"""),"Dart;HTML/CSS;PHP;Python")</f>
        <v>Dart;HTML/CSS;PHP;Python</v>
      </c>
      <c r="C3589" s="9" t="str">
        <f>IFERROR(__xludf.DUMMYFUNCTION("""COMPUTED_VALUE"""),"JavaScript")</f>
        <v>JavaScript</v>
      </c>
      <c r="D3589" s="9" t="str">
        <f>IFERROR(__xludf.DUMMYFUNCTION("""COMPUTED_VALUE"""),"C")</f>
        <v>C</v>
      </c>
      <c r="E3589" s="9" t="str">
        <f>IFERROR(__xludf.DUMMYFUNCTION("""COMPUTED_VALUE"""),"SQL")</f>
        <v>SQL</v>
      </c>
      <c r="F3589" s="9" t="str">
        <f>IFERROR(__xludf.DUMMYFUNCTION("""COMPUTED_VALUE"""),"SQL")</f>
        <v>SQL</v>
      </c>
      <c r="G3589" s="9" t="str">
        <f>IFERROR(__xludf.DUMMYFUNCTION("""COMPUTED_VALUE"""),"Swift")</f>
        <v>Swift</v>
      </c>
      <c r="H3589" s="9" t="str">
        <f>IFERROR(__xludf.DUMMYFUNCTION("""COMPUTED_VALUE"""),"C")</f>
        <v>C</v>
      </c>
      <c r="I3589" s="9" t="str">
        <f>IFERROR(__xludf.DUMMYFUNCTION("""COMPUTED_VALUE"""),"PHP")</f>
        <v>PHP</v>
      </c>
      <c r="J3589" s="9" t="str">
        <f>IFERROR(__xludf.DUMMYFUNCTION("""COMPUTED_VALUE"""),"Bash/Shell/PowerShell")</f>
        <v>Bash/Shell/PowerShell</v>
      </c>
      <c r="K3589" s="9" t="str">
        <f>IFERROR(__xludf.DUMMYFUNCTION("""COMPUTED_VALUE"""),"Swift")</f>
        <v>Swift</v>
      </c>
      <c r="L3589" s="9" t="str">
        <f>IFERROR(__xludf.DUMMYFUNCTION("""COMPUTED_VALUE"""),"Java")</f>
        <v>Java</v>
      </c>
      <c r="M3589" s="9" t="s">
        <v>21</v>
      </c>
    </row>
    <row r="3590" ht="15.75" customHeight="1">
      <c r="A3590" s="7"/>
      <c r="B3590" s="7" t="str">
        <f>IFERROR(__xludf.DUMMYFUNCTION("""COMPUTED_VALUE"""),"HTML/CSS;JavaScript;PHP;SQL")</f>
        <v>HTML/CSS;JavaScript;PHP;SQL</v>
      </c>
      <c r="C3590" s="9" t="str">
        <f>IFERROR(__xludf.DUMMYFUNCTION("""COMPUTED_VALUE"""),"Python")</f>
        <v>Python</v>
      </c>
      <c r="D3590" s="9" t="str">
        <f>IFERROR(__xludf.DUMMYFUNCTION("""COMPUTED_VALUE"""),"C++")</f>
        <v>C++</v>
      </c>
      <c r="E3590" s="9" t="str">
        <f>IFERROR(__xludf.DUMMYFUNCTION("""COMPUTED_VALUE"""),"Bash/Shell/PowerShell")</f>
        <v>Bash/Shell/PowerShell</v>
      </c>
      <c r="F3590" s="9" t="str">
        <f>IFERROR(__xludf.DUMMYFUNCTION("""COMPUTED_VALUE"""),"C")</f>
        <v>C</v>
      </c>
      <c r="G3590" s="9" t="str">
        <f>IFERROR(__xludf.DUMMYFUNCTION("""COMPUTED_VALUE"""),"TypeScript")</f>
        <v>TypeScript</v>
      </c>
      <c r="H3590" s="9" t="str">
        <f>IFERROR(__xludf.DUMMYFUNCTION("""COMPUTED_VALUE"""),"C#")</f>
        <v>C#</v>
      </c>
      <c r="I3590" s="9" t="str">
        <f>IFERROR(__xludf.DUMMYFUNCTION("""COMPUTED_VALUE"""),"Python")</f>
        <v>Python</v>
      </c>
      <c r="J3590" s="9" t="str">
        <f>IFERROR(__xludf.DUMMYFUNCTION("""COMPUTED_VALUE"""),"HTML/CSS")</f>
        <v>HTML/CSS</v>
      </c>
      <c r="K3590" s="9" t="str">
        <f>IFERROR(__xludf.DUMMYFUNCTION("""COMPUTED_VALUE"""),"Java")</f>
        <v>Java</v>
      </c>
      <c r="L3590" s="9" t="str">
        <f>IFERROR(__xludf.DUMMYFUNCTION("""COMPUTED_VALUE"""),"SQL")</f>
        <v>SQL</v>
      </c>
      <c r="M3590" s="9" t="s">
        <v>22</v>
      </c>
    </row>
    <row r="3591" ht="15.75" customHeight="1">
      <c r="A3591" s="7"/>
      <c r="B3591" s="7" t="str">
        <f>IFERROR(__xludf.DUMMYFUNCTION("""COMPUTED_VALUE"""),"HTML/CSS;JavaScript")</f>
        <v>HTML/CSS;JavaScript</v>
      </c>
      <c r="C3591" s="9" t="str">
        <f>IFERROR(__xludf.DUMMYFUNCTION("""COMPUTED_VALUE"""),"SQL")</f>
        <v>SQL</v>
      </c>
      <c r="D3591" s="9" t="str">
        <f>IFERROR(__xludf.DUMMYFUNCTION("""COMPUTED_VALUE"""),"HTML/CSS")</f>
        <v>HTML/CSS</v>
      </c>
      <c r="E3591" s="9" t="str">
        <f>IFERROR(__xludf.DUMMYFUNCTION("""COMPUTED_VALUE"""),"C")</f>
        <v>C</v>
      </c>
      <c r="F3591" s="9" t="str">
        <f>IFERROR(__xludf.DUMMYFUNCTION("""COMPUTED_VALUE"""),"C++")</f>
        <v>C++</v>
      </c>
      <c r="G3591" s="9" t="str">
        <f>IFERROR(__xludf.DUMMYFUNCTION("""COMPUTED_VALUE"""),"VBA")</f>
        <v>VBA</v>
      </c>
      <c r="H3591" s="9" t="str">
        <f>IFERROR(__xludf.DUMMYFUNCTION("""COMPUTED_VALUE"""),"HTML/CSS")</f>
        <v>HTML/CSS</v>
      </c>
      <c r="I3591" s="9" t="str">
        <f>IFERROR(__xludf.DUMMYFUNCTION("""COMPUTED_VALUE"""),"R")</f>
        <v>R</v>
      </c>
      <c r="J3591" s="9" t="str">
        <f>IFERROR(__xludf.DUMMYFUNCTION("""COMPUTED_VALUE"""),"Other(s):")</f>
        <v>Other(s):</v>
      </c>
      <c r="K3591" s="9" t="str">
        <f>IFERROR(__xludf.DUMMYFUNCTION("""COMPUTED_VALUE"""),"JavaScript")</f>
        <v>JavaScript</v>
      </c>
      <c r="L3591" s="9" t="str">
        <f>IFERROR(__xludf.DUMMYFUNCTION("""COMPUTED_VALUE"""),"Bash/Shell/PowerShell")</f>
        <v>Bash/Shell/PowerShell</v>
      </c>
      <c r="M3591" s="9" t="s">
        <v>27</v>
      </c>
    </row>
    <row r="3592" ht="15.75" customHeight="1">
      <c r="A3592" s="7"/>
      <c r="B3592" s="7" t="str">
        <f>IFERROR(__xludf.DUMMYFUNCTION("""COMPUTED_VALUE"""),"Bash/Shell/PowerShell;C;C++;C#;F#;HTML/CSS;JavaScript;Python;R;SQL;TypeScript")</f>
        <v>Bash/Shell/PowerShell;C;C++;C#;F#;HTML/CSS;JavaScript;Python;R;SQL;TypeScript</v>
      </c>
      <c r="C3592" s="9" t="str">
        <f>IFERROR(__xludf.DUMMYFUNCTION("""COMPUTED_VALUE"""),"C")</f>
        <v>C</v>
      </c>
      <c r="D3592" s="9" t="str">
        <f>IFERROR(__xludf.DUMMYFUNCTION("""COMPUTED_VALUE"""),"Java")</f>
        <v>Java</v>
      </c>
      <c r="E3592" s="9" t="str">
        <f>IFERROR(__xludf.DUMMYFUNCTION("""COMPUTED_VALUE"""),"JavaScript")</f>
        <v>JavaScript</v>
      </c>
      <c r="F3592" s="9" t="str">
        <f>IFERROR(__xludf.DUMMYFUNCTION("""COMPUTED_VALUE"""),"HTML/CSS")</f>
        <v>HTML/CSS</v>
      </c>
      <c r="G3592" s="9" t="str">
        <f>IFERROR(__xludf.DUMMYFUNCTION("""COMPUTED_VALUE"""),"WebAssembly")</f>
        <v>WebAssembly</v>
      </c>
      <c r="H3592" s="9" t="str">
        <f>IFERROR(__xludf.DUMMYFUNCTION("""COMPUTED_VALUE"""),"Java")</f>
        <v>Java</v>
      </c>
      <c r="I3592" s="9" t="str">
        <f>IFERROR(__xludf.DUMMYFUNCTION("""COMPUTED_VALUE"""),"Assembly")</f>
        <v>Assembly</v>
      </c>
      <c r="J3592" s="9" t="str">
        <f>IFERROR(__xludf.DUMMYFUNCTION("""COMPUTED_VALUE"""),"Bash/Shell/PowerShell")</f>
        <v>Bash/Shell/PowerShell</v>
      </c>
      <c r="K3592" s="9" t="str">
        <f>IFERROR(__xludf.DUMMYFUNCTION("""COMPUTED_VALUE"""),"Python")</f>
        <v>Python</v>
      </c>
      <c r="L3592" s="9" t="str">
        <f>IFERROR(__xludf.DUMMYFUNCTION("""COMPUTED_VALUE"""),"C")</f>
        <v>C</v>
      </c>
      <c r="M3592" s="9" t="s">
        <v>25</v>
      </c>
    </row>
    <row r="3593" ht="15.75" customHeight="1">
      <c r="A3593" s="7"/>
      <c r="B3593" s="7" t="str">
        <f>IFERROR(__xludf.DUMMYFUNCTION("""COMPUTED_VALUE"""),"JavaScript;PHP;SQL")</f>
        <v>JavaScript;PHP;SQL</v>
      </c>
      <c r="C3593" s="9" t="str">
        <f>IFERROR(__xludf.DUMMYFUNCTION("""COMPUTED_VALUE"""),"HTML/CSS")</f>
        <v>HTML/CSS</v>
      </c>
      <c r="D3593" s="9" t="str">
        <f>IFERROR(__xludf.DUMMYFUNCTION("""COMPUTED_VALUE"""),"JavaScript")</f>
        <v>JavaScript</v>
      </c>
      <c r="E3593" s="9" t="str">
        <f>IFERROR(__xludf.DUMMYFUNCTION("""COMPUTED_VALUE"""),"Python")</f>
        <v>Python</v>
      </c>
      <c r="F3593" s="9" t="str">
        <f>IFERROR(__xludf.DUMMYFUNCTION("""COMPUTED_VALUE"""),"Java")</f>
        <v>Java</v>
      </c>
      <c r="G3593" s="9" t="str">
        <f>IFERROR(__xludf.DUMMYFUNCTION("""COMPUTED_VALUE"""),"Bash/Shell/PowerShell")</f>
        <v>Bash/Shell/PowerShell</v>
      </c>
      <c r="H3593" s="9" t="str">
        <f>IFERROR(__xludf.DUMMYFUNCTION("""COMPUTED_VALUE"""),"JavaScript")</f>
        <v>JavaScript</v>
      </c>
      <c r="I3593" s="9" t="str">
        <f>IFERROR(__xludf.DUMMYFUNCTION("""COMPUTED_VALUE"""),"Bash/Shell/PowerShell")</f>
        <v>Bash/Shell/PowerShell</v>
      </c>
      <c r="J3593" s="9" t="str">
        <f>IFERROR(__xludf.DUMMYFUNCTION("""COMPUTED_VALUE"""),"Go")</f>
        <v>Go</v>
      </c>
      <c r="K3593" s="9" t="str">
        <f>IFERROR(__xludf.DUMMYFUNCTION("""COMPUTED_VALUE"""),"TypeScript")</f>
        <v>TypeScript</v>
      </c>
      <c r="L3593" s="9" t="str">
        <f>IFERROR(__xludf.DUMMYFUNCTION("""COMPUTED_VALUE"""),"C++")</f>
        <v>C++</v>
      </c>
      <c r="M3593" s="9" t="s">
        <v>24</v>
      </c>
    </row>
    <row r="3594" ht="15.75" customHeight="1">
      <c r="A3594" s="7"/>
      <c r="B3594" s="7" t="str">
        <f>IFERROR(__xludf.DUMMYFUNCTION("""COMPUTED_VALUE"""),"Bash/Shell/PowerShell;C#;HTML/CSS;Java;JavaScript;SQL")</f>
        <v>Bash/Shell/PowerShell;C#;HTML/CSS;Java;JavaScript;SQL</v>
      </c>
      <c r="C3594" s="9" t="str">
        <f>IFERROR(__xludf.DUMMYFUNCTION("""COMPUTED_VALUE"""),"JavaScript")</f>
        <v>JavaScript</v>
      </c>
      <c r="D3594" s="9" t="str">
        <f>IFERROR(__xludf.DUMMYFUNCTION("""COMPUTED_VALUE"""),"PHP")</f>
        <v>PHP</v>
      </c>
      <c r="E3594" s="9" t="str">
        <f>IFERROR(__xludf.DUMMYFUNCTION("""COMPUTED_VALUE"""),"VBA")</f>
        <v>VBA</v>
      </c>
      <c r="F3594" s="9" t="str">
        <f>IFERROR(__xludf.DUMMYFUNCTION("""COMPUTED_VALUE"""),"JavaScript")</f>
        <v>JavaScript</v>
      </c>
      <c r="G3594" s="9" t="str">
        <f>IFERROR(__xludf.DUMMYFUNCTION("""COMPUTED_VALUE"""),"HTML/CSS")</f>
        <v>HTML/CSS</v>
      </c>
      <c r="H3594" s="9" t="str">
        <f>IFERROR(__xludf.DUMMYFUNCTION("""COMPUTED_VALUE"""),"Python")</f>
        <v>Python</v>
      </c>
      <c r="I3594" s="9" t="str">
        <f>IFERROR(__xludf.DUMMYFUNCTION("""COMPUTED_VALUE"""),"C")</f>
        <v>C</v>
      </c>
      <c r="J3594" s="9" t="str">
        <f>IFERROR(__xludf.DUMMYFUNCTION("""COMPUTED_VALUE"""),"Kotlin")</f>
        <v>Kotlin</v>
      </c>
      <c r="K3594" s="9" t="str">
        <f>IFERROR(__xludf.DUMMYFUNCTION("""COMPUTED_VALUE"""),"Java")</f>
        <v>Java</v>
      </c>
      <c r="L3594" s="9" t="str">
        <f>IFERROR(__xludf.DUMMYFUNCTION("""COMPUTED_VALUE"""),"C#")</f>
        <v>C#</v>
      </c>
      <c r="M3594" s="9" t="s">
        <v>21</v>
      </c>
    </row>
    <row r="3595" ht="15.75" customHeight="1">
      <c r="A3595" s="7"/>
      <c r="B3595" s="7" t="str">
        <f>IFERROR(__xludf.DUMMYFUNCTION("""COMPUTED_VALUE"""),"HTML/CSS;JavaScript;TypeScript")</f>
        <v>HTML/CSS;JavaScript;TypeScript</v>
      </c>
      <c r="C3595" s="9" t="str">
        <f>IFERROR(__xludf.DUMMYFUNCTION("""COMPUTED_VALUE"""),"PHP")</f>
        <v>PHP</v>
      </c>
      <c r="D3595" s="9" t="str">
        <f>IFERROR(__xludf.DUMMYFUNCTION("""COMPUTED_VALUE"""),"Python")</f>
        <v>Python</v>
      </c>
      <c r="E3595" s="9" t="str">
        <f>IFERROR(__xludf.DUMMYFUNCTION("""COMPUTED_VALUE"""),"HTML/CSS")</f>
        <v>HTML/CSS</v>
      </c>
      <c r="F3595" s="9" t="str">
        <f>IFERROR(__xludf.DUMMYFUNCTION("""COMPUTED_VALUE"""),"Objective-C")</f>
        <v>Objective-C</v>
      </c>
      <c r="G3595" s="9" t="str">
        <f>IFERROR(__xludf.DUMMYFUNCTION("""COMPUTED_VALUE"""),"Java")</f>
        <v>Java</v>
      </c>
      <c r="H3595" s="9" t="str">
        <f>IFERROR(__xludf.DUMMYFUNCTION("""COMPUTED_VALUE"""),"Bash/Shell/PowerShell")</f>
        <v>Bash/Shell/PowerShell</v>
      </c>
      <c r="I3595" s="9" t="str">
        <f>IFERROR(__xludf.DUMMYFUNCTION("""COMPUTED_VALUE"""),"C++")</f>
        <v>C++</v>
      </c>
      <c r="J3595" s="9" t="str">
        <f>IFERROR(__xludf.DUMMYFUNCTION("""COMPUTED_VALUE"""),"WebAssembly")</f>
        <v>WebAssembly</v>
      </c>
      <c r="K3595" s="9" t="str">
        <f>IFERROR(__xludf.DUMMYFUNCTION("""COMPUTED_VALUE"""),"JavaScript")</f>
        <v>JavaScript</v>
      </c>
      <c r="L3595" s="9" t="str">
        <f>IFERROR(__xludf.DUMMYFUNCTION("""COMPUTED_VALUE"""),"Java")</f>
        <v>Java</v>
      </c>
      <c r="M3595" s="9" t="s">
        <v>37</v>
      </c>
    </row>
    <row r="3596" ht="15.75" customHeight="1">
      <c r="A3596" s="7"/>
      <c r="B3596" s="7" t="str">
        <f>IFERROR(__xludf.DUMMYFUNCTION("""COMPUTED_VALUE"""),"C#;HTML/CSS;JavaScript;TypeScript")</f>
        <v>C#;HTML/CSS;JavaScript;TypeScript</v>
      </c>
      <c r="C3596" s="9" t="str">
        <f>IFERROR(__xludf.DUMMYFUNCTION("""COMPUTED_VALUE"""),"SQL")</f>
        <v>SQL</v>
      </c>
      <c r="D3596" s="9" t="str">
        <f>IFERROR(__xludf.DUMMYFUNCTION("""COMPUTED_VALUE"""),"SQL")</f>
        <v>SQL</v>
      </c>
      <c r="E3596" s="9" t="str">
        <f>IFERROR(__xludf.DUMMYFUNCTION("""COMPUTED_VALUE"""),"JavaScript")</f>
        <v>JavaScript</v>
      </c>
      <c r="F3596" s="9" t="str">
        <f>IFERROR(__xludf.DUMMYFUNCTION("""COMPUTED_VALUE"""),"C#")</f>
        <v>C#</v>
      </c>
      <c r="G3596" s="9" t="str">
        <f>IFERROR(__xludf.DUMMYFUNCTION("""COMPUTED_VALUE"""),"JavaScript")</f>
        <v>JavaScript</v>
      </c>
      <c r="H3596" s="9" t="str">
        <f>IFERROR(__xludf.DUMMYFUNCTION("""COMPUTED_VALUE"""),"C#")</f>
        <v>C#</v>
      </c>
      <c r="I3596" s="9" t="str">
        <f>IFERROR(__xludf.DUMMYFUNCTION("""COMPUTED_VALUE"""),"Go")</f>
        <v>Go</v>
      </c>
      <c r="J3596" s="9" t="str">
        <f>IFERROR(__xludf.DUMMYFUNCTION("""COMPUTED_VALUE"""),"Bash/Shell/PowerShell")</f>
        <v>Bash/Shell/PowerShell</v>
      </c>
      <c r="K3596" s="9" t="str">
        <f>IFERROR(__xludf.DUMMYFUNCTION("""COMPUTED_VALUE"""),"Python")</f>
        <v>Python</v>
      </c>
      <c r="L3596" s="9" t="str">
        <f>IFERROR(__xludf.DUMMYFUNCTION("""COMPUTED_VALUE"""),"SQL")</f>
        <v>SQL</v>
      </c>
      <c r="M3596" s="9" t="s">
        <v>27</v>
      </c>
    </row>
    <row r="3597" ht="15.75" customHeight="1">
      <c r="A3597" s="7"/>
      <c r="B3597" s="7" t="str">
        <f>IFERROR(__xludf.DUMMYFUNCTION("""COMPUTED_VALUE"""),"HTML/CSS;JavaScript;Python;Scala;TypeScript")</f>
        <v>HTML/CSS;JavaScript;Python;Scala;TypeScript</v>
      </c>
      <c r="C3597" s="9" t="str">
        <f>IFERROR(__xludf.DUMMYFUNCTION("""COMPUTED_VALUE"""),"C")</f>
        <v>C</v>
      </c>
      <c r="D3597" s="9" t="str">
        <f>IFERROR(__xludf.DUMMYFUNCTION("""COMPUTED_VALUE"""),"VBA")</f>
        <v>VBA</v>
      </c>
      <c r="E3597" s="9" t="str">
        <f>IFERROR(__xludf.DUMMYFUNCTION("""COMPUTED_VALUE"""),"PHP")</f>
        <v>PHP</v>
      </c>
      <c r="F3597" s="9" t="str">
        <f>IFERROR(__xludf.DUMMYFUNCTION("""COMPUTED_VALUE"""),"TypeScript")</f>
        <v>TypeScript</v>
      </c>
      <c r="G3597" s="9" t="str">
        <f>IFERROR(__xludf.DUMMYFUNCTION("""COMPUTED_VALUE"""),"Python")</f>
        <v>Python</v>
      </c>
      <c r="H3597" s="9" t="str">
        <f>IFERROR(__xludf.DUMMYFUNCTION("""COMPUTED_VALUE"""),"HTML/CSS")</f>
        <v>HTML/CSS</v>
      </c>
      <c r="I3597" s="9" t="str">
        <f>IFERROR(__xludf.DUMMYFUNCTION("""COMPUTED_VALUE"""),"HTML/CSS")</f>
        <v>HTML/CSS</v>
      </c>
      <c r="J3597" s="9" t="str">
        <f>IFERROR(__xludf.DUMMYFUNCTION("""COMPUTED_VALUE"""),"HTML/CSS")</f>
        <v>HTML/CSS</v>
      </c>
      <c r="K3597" s="9" t="str">
        <f>IFERROR(__xludf.DUMMYFUNCTION("""COMPUTED_VALUE"""),"SQL")</f>
        <v>SQL</v>
      </c>
      <c r="L3597" s="9" t="str">
        <f>IFERROR(__xludf.DUMMYFUNCTION("""COMPUTED_VALUE"""),"Bash/Shell/PowerShell")</f>
        <v>Bash/Shell/PowerShell</v>
      </c>
      <c r="M3597" s="9" t="s">
        <v>25</v>
      </c>
    </row>
    <row r="3598" ht="15.75" customHeight="1">
      <c r="A3598" s="7"/>
      <c r="B3598" s="7" t="str">
        <f>IFERROR(__xludf.DUMMYFUNCTION("""COMPUTED_VALUE"""),"C#;HTML/CSS;JavaScript;SQL")</f>
        <v>C#;HTML/CSS;JavaScript;SQL</v>
      </c>
      <c r="C3598" s="9" t="str">
        <f>IFERROR(__xludf.DUMMYFUNCTION("""COMPUTED_VALUE"""),"C++")</f>
        <v>C++</v>
      </c>
      <c r="D3598" s="9" t="str">
        <f>IFERROR(__xludf.DUMMYFUNCTION("""COMPUTED_VALUE"""),"HTML/CSS")</f>
        <v>HTML/CSS</v>
      </c>
      <c r="E3598" s="9" t="str">
        <f>IFERROR(__xludf.DUMMYFUNCTION("""COMPUTED_VALUE"""),"SQL")</f>
        <v>SQL</v>
      </c>
      <c r="F3598" s="9" t="str">
        <f>IFERROR(__xludf.DUMMYFUNCTION("""COMPUTED_VALUE"""),"Bash/Shell/PowerShell")</f>
        <v>Bash/Shell/PowerShell</v>
      </c>
      <c r="G3598" s="9" t="str">
        <f>IFERROR(__xludf.DUMMYFUNCTION("""COMPUTED_VALUE"""),"SQL")</f>
        <v>SQL</v>
      </c>
      <c r="H3598" s="9" t="str">
        <f>IFERROR(__xludf.DUMMYFUNCTION("""COMPUTED_VALUE"""),"SQL")</f>
        <v>SQL</v>
      </c>
      <c r="I3598" s="9" t="str">
        <f>IFERROR(__xludf.DUMMYFUNCTION("""COMPUTED_VALUE"""),"JavaScript")</f>
        <v>JavaScript</v>
      </c>
      <c r="J3598" s="9" t="str">
        <f>IFERROR(__xludf.DUMMYFUNCTION("""COMPUTED_VALUE"""),"JavaScript")</f>
        <v>JavaScript</v>
      </c>
      <c r="K3598" s="9" t="str">
        <f>IFERROR(__xludf.DUMMYFUNCTION("""COMPUTED_VALUE"""),"C#")</f>
        <v>C#</v>
      </c>
      <c r="L3598" s="9" t="str">
        <f>IFERROR(__xludf.DUMMYFUNCTION("""COMPUTED_VALUE"""),"HTML/CSS")</f>
        <v>HTML/CSS</v>
      </c>
      <c r="M3598" s="9" t="s">
        <v>23</v>
      </c>
    </row>
    <row r="3599" ht="15.75" customHeight="1">
      <c r="A3599" s="7"/>
      <c r="B3599" s="7" t="str">
        <f>IFERROR(__xludf.DUMMYFUNCTION("""COMPUTED_VALUE"""),"Bash/Shell/PowerShell;HTML/CSS;Java;JavaScript;SQL;TypeScript")</f>
        <v>Bash/Shell/PowerShell;HTML/CSS;Java;JavaScript;SQL;TypeScript</v>
      </c>
      <c r="C3599" s="9" t="str">
        <f>IFERROR(__xludf.DUMMYFUNCTION("""COMPUTED_VALUE"""),"HTML/CSS")</f>
        <v>HTML/CSS</v>
      </c>
      <c r="D3599" s="9" t="str">
        <f>IFERROR(__xludf.DUMMYFUNCTION("""COMPUTED_VALUE"""),"JavaScript")</f>
        <v>JavaScript</v>
      </c>
      <c r="E3599" s="9" t="str">
        <f>IFERROR(__xludf.DUMMYFUNCTION("""COMPUTED_VALUE"""),"TypeScript")</f>
        <v>TypeScript</v>
      </c>
      <c r="F3599" s="9" t="str">
        <f>IFERROR(__xludf.DUMMYFUNCTION("""COMPUTED_VALUE"""),"Go")</f>
        <v>Go</v>
      </c>
      <c r="G3599" s="9" t="str">
        <f>IFERROR(__xludf.DUMMYFUNCTION("""COMPUTED_VALUE"""),"TypeScript")</f>
        <v>TypeScript</v>
      </c>
      <c r="H3599" s="9" t="str">
        <f>IFERROR(__xludf.DUMMYFUNCTION("""COMPUTED_VALUE"""),"TypeScript")</f>
        <v>TypeScript</v>
      </c>
      <c r="I3599" s="9" t="str">
        <f>IFERROR(__xludf.DUMMYFUNCTION("""COMPUTED_VALUE"""),"Python")</f>
        <v>Python</v>
      </c>
      <c r="J3599" s="9" t="str">
        <f>IFERROR(__xludf.DUMMYFUNCTION("""COMPUTED_VALUE"""),"Python")</f>
        <v>Python</v>
      </c>
      <c r="K3599" s="9" t="str">
        <f>IFERROR(__xludf.DUMMYFUNCTION("""COMPUTED_VALUE"""),"HTML/CSS")</f>
        <v>HTML/CSS</v>
      </c>
      <c r="L3599" s="9" t="str">
        <f>IFERROR(__xludf.DUMMYFUNCTION("""COMPUTED_VALUE"""),"Java")</f>
        <v>Java</v>
      </c>
      <c r="M3599" s="9" t="s">
        <v>24</v>
      </c>
    </row>
    <row r="3600" ht="15.75" customHeight="1">
      <c r="A3600" s="7"/>
      <c r="B3600" s="7" t="str">
        <f>IFERROR(__xludf.DUMMYFUNCTION("""COMPUTED_VALUE"""),"Bash/Shell/PowerShell;Scala;SQL;TypeScript")</f>
        <v>Bash/Shell/PowerShell;Scala;SQL;TypeScript</v>
      </c>
      <c r="C3600" s="9" t="str">
        <f>IFERROR(__xludf.DUMMYFUNCTION("""COMPUTED_VALUE"""),"JavaScript")</f>
        <v>JavaScript</v>
      </c>
      <c r="D3600" s="9" t="str">
        <f>IFERROR(__xludf.DUMMYFUNCTION("""COMPUTED_VALUE"""),"HTML/CSS")</f>
        <v>HTML/CSS</v>
      </c>
      <c r="E3600" s="9" t="str">
        <f>IFERROR(__xludf.DUMMYFUNCTION("""COMPUTED_VALUE"""),"HTML/CSS")</f>
        <v>HTML/CSS</v>
      </c>
      <c r="F3600" s="9" t="str">
        <f>IFERROR(__xludf.DUMMYFUNCTION("""COMPUTED_VALUE"""),"JavaScript")</f>
        <v>JavaScript</v>
      </c>
      <c r="G3600" s="9" t="str">
        <f>IFERROR(__xludf.DUMMYFUNCTION("""COMPUTED_VALUE"""),"HTML/CSS")</f>
        <v>HTML/CSS</v>
      </c>
      <c r="H3600" s="9" t="str">
        <f>IFERROR(__xludf.DUMMYFUNCTION("""COMPUTED_VALUE"""),"HTML/CSS")</f>
        <v>HTML/CSS</v>
      </c>
      <c r="I3600" s="9" t="str">
        <f>IFERROR(__xludf.DUMMYFUNCTION("""COMPUTED_VALUE"""),"TypeScript")</f>
        <v>TypeScript</v>
      </c>
      <c r="J3600" s="9" t="str">
        <f>IFERROR(__xludf.DUMMYFUNCTION("""COMPUTED_VALUE"""),"SQL")</f>
        <v>SQL</v>
      </c>
      <c r="K3600" s="9" t="str">
        <f>IFERROR(__xludf.DUMMYFUNCTION("""COMPUTED_VALUE"""),"SQL")</f>
        <v>SQL</v>
      </c>
      <c r="L3600" s="9" t="str">
        <f>IFERROR(__xludf.DUMMYFUNCTION("""COMPUTED_VALUE"""),"JavaScript")</f>
        <v>JavaScript</v>
      </c>
      <c r="M3600" s="9" t="s">
        <v>21</v>
      </c>
    </row>
    <row r="3601" ht="15.75" customHeight="1">
      <c r="A3601" s="7"/>
      <c r="B3601" s="7" t="str">
        <f>IFERROR(__xludf.DUMMYFUNCTION("""COMPUTED_VALUE"""),"C;C++;C#")</f>
        <v>C;C++;C#</v>
      </c>
      <c r="C3601" s="9" t="str">
        <f>IFERROR(__xludf.DUMMYFUNCTION("""COMPUTED_VALUE"""),"PHP")</f>
        <v>PHP</v>
      </c>
      <c r="D3601" s="9" t="str">
        <f>IFERROR(__xludf.DUMMYFUNCTION("""COMPUTED_VALUE"""),"Java")</f>
        <v>Java</v>
      </c>
      <c r="E3601" s="9" t="str">
        <f>IFERROR(__xludf.DUMMYFUNCTION("""COMPUTED_VALUE"""),"JavaScript")</f>
        <v>JavaScript</v>
      </c>
      <c r="F3601" s="9" t="str">
        <f>IFERROR(__xludf.DUMMYFUNCTION("""COMPUTED_VALUE"""),"PHP")</f>
        <v>PHP</v>
      </c>
      <c r="G3601" s="9" t="str">
        <f>IFERROR(__xludf.DUMMYFUNCTION("""COMPUTED_VALUE"""),"Java")</f>
        <v>Java</v>
      </c>
      <c r="H3601" s="9" t="str">
        <f>IFERROR(__xludf.DUMMYFUNCTION("""COMPUTED_VALUE"""),"JavaScript")</f>
        <v>JavaScript</v>
      </c>
      <c r="I3601" s="9" t="str">
        <f>IFERROR(__xludf.DUMMYFUNCTION("""COMPUTED_VALUE"""),"C#")</f>
        <v>C#</v>
      </c>
      <c r="J3601" s="9" t="str">
        <f>IFERROR(__xludf.DUMMYFUNCTION("""COMPUTED_VALUE"""),"Bash/Shell/PowerShell")</f>
        <v>Bash/Shell/PowerShell</v>
      </c>
      <c r="K3601" s="9" t="str">
        <f>IFERROR(__xludf.DUMMYFUNCTION("""COMPUTED_VALUE"""),"TypeScript")</f>
        <v>TypeScript</v>
      </c>
      <c r="L3601" s="9" t="str">
        <f>IFERROR(__xludf.DUMMYFUNCTION("""COMPUTED_VALUE"""),"SQL")</f>
        <v>SQL</v>
      </c>
      <c r="M3601" s="9" t="s">
        <v>37</v>
      </c>
    </row>
    <row r="3602" ht="15.75" customHeight="1">
      <c r="A3602" s="7"/>
      <c r="B3602" s="7" t="str">
        <f>IFERROR(__xludf.DUMMYFUNCTION("""COMPUTED_VALUE"""),"Bash/Shell/PowerShell;C;C++;HTML/CSS;Java;PHP;Python;SQL;VBA")</f>
        <v>Bash/Shell/PowerShell;C;C++;HTML/CSS;Java;PHP;Python;SQL;VBA</v>
      </c>
      <c r="C3602" s="9" t="str">
        <f>IFERROR(__xludf.DUMMYFUNCTION("""COMPUTED_VALUE"""),"SQL")</f>
        <v>SQL</v>
      </c>
      <c r="D3602" s="9" t="str">
        <f>IFERROR(__xludf.DUMMYFUNCTION("""COMPUTED_VALUE"""),"JavaScript")</f>
        <v>JavaScript</v>
      </c>
      <c r="E3602" s="9" t="str">
        <f>IFERROR(__xludf.DUMMYFUNCTION("""COMPUTED_VALUE"""),"Python")</f>
        <v>Python</v>
      </c>
      <c r="F3602" s="9" t="str">
        <f>IFERROR(__xludf.DUMMYFUNCTION("""COMPUTED_VALUE"""),"C#")</f>
        <v>C#</v>
      </c>
      <c r="G3602" s="9" t="str">
        <f>IFERROR(__xludf.DUMMYFUNCTION("""COMPUTED_VALUE"""),"JavaScript")</f>
        <v>JavaScript</v>
      </c>
      <c r="H3602" s="9" t="str">
        <f>IFERROR(__xludf.DUMMYFUNCTION("""COMPUTED_VALUE"""),"Python")</f>
        <v>Python</v>
      </c>
      <c r="I3602" s="9" t="str">
        <f>IFERROR(__xludf.DUMMYFUNCTION("""COMPUTED_VALUE"""),"HTML/CSS")</f>
        <v>HTML/CSS</v>
      </c>
      <c r="J3602" s="9" t="str">
        <f>IFERROR(__xludf.DUMMYFUNCTION("""COMPUTED_VALUE"""),"Python")</f>
        <v>Python</v>
      </c>
      <c r="K3602" s="9" t="str">
        <f>IFERROR(__xludf.DUMMYFUNCTION("""COMPUTED_VALUE"""),"Bash/Shell/PowerShell")</f>
        <v>Bash/Shell/PowerShell</v>
      </c>
      <c r="L3602" s="9" t="str">
        <f>IFERROR(__xludf.DUMMYFUNCTION("""COMPUTED_VALUE"""),"HTML/CSS")</f>
        <v>HTML/CSS</v>
      </c>
      <c r="M3602" s="9" t="s">
        <v>27</v>
      </c>
    </row>
    <row r="3603" ht="15.75" customHeight="1">
      <c r="A3603" s="7"/>
      <c r="B3603" s="7" t="str">
        <f>IFERROR(__xludf.DUMMYFUNCTION("""COMPUTED_VALUE"""),"Bash/Shell/PowerShell;C++;Python;Rust")</f>
        <v>Bash/Shell/PowerShell;C++;Python;Rust</v>
      </c>
      <c r="C3603" s="9" t="str">
        <f>IFERROR(__xludf.DUMMYFUNCTION("""COMPUTED_VALUE"""),"Bash/Shell/PowerShell")</f>
        <v>Bash/Shell/PowerShell</v>
      </c>
      <c r="D3603" s="9" t="str">
        <f>IFERROR(__xludf.DUMMYFUNCTION("""COMPUTED_VALUE"""),"SQL")</f>
        <v>SQL</v>
      </c>
      <c r="E3603" s="9" t="str">
        <f>IFERROR(__xludf.DUMMYFUNCTION("""COMPUTED_VALUE"""),"SQL")</f>
        <v>SQL</v>
      </c>
      <c r="F3603" s="9" t="str">
        <f>IFERROR(__xludf.DUMMYFUNCTION("""COMPUTED_VALUE"""),"HTML/CSS")</f>
        <v>HTML/CSS</v>
      </c>
      <c r="G3603" s="9" t="str">
        <f>IFERROR(__xludf.DUMMYFUNCTION("""COMPUTED_VALUE"""),"Python")</f>
        <v>Python</v>
      </c>
      <c r="H3603" s="9" t="str">
        <f>IFERROR(__xludf.DUMMYFUNCTION("""COMPUTED_VALUE"""),"SQL")</f>
        <v>SQL</v>
      </c>
      <c r="I3603" s="9" t="str">
        <f>IFERROR(__xludf.DUMMYFUNCTION("""COMPUTED_VALUE"""),"JavaScript")</f>
        <v>JavaScript</v>
      </c>
      <c r="J3603" s="9" t="str">
        <f>IFERROR(__xludf.DUMMYFUNCTION("""COMPUTED_VALUE"""),"Bash/Shell/PowerShell")</f>
        <v>Bash/Shell/PowerShell</v>
      </c>
      <c r="K3603" s="9" t="str">
        <f>IFERROR(__xludf.DUMMYFUNCTION("""COMPUTED_VALUE"""),"HTML/CSS")</f>
        <v>HTML/CSS</v>
      </c>
      <c r="L3603" s="9" t="str">
        <f>IFERROR(__xludf.DUMMYFUNCTION("""COMPUTED_VALUE"""),"Java")</f>
        <v>Java</v>
      </c>
      <c r="M3603" s="9" t="s">
        <v>30</v>
      </c>
    </row>
    <row r="3604" ht="15.75" customHeight="1">
      <c r="A3604" s="7"/>
      <c r="B3604" s="7" t="str">
        <f>IFERROR(__xludf.DUMMYFUNCTION("""COMPUTED_VALUE"""),"HTML/CSS;JavaScript;Python")</f>
        <v>HTML/CSS;JavaScript;Python</v>
      </c>
      <c r="C3604" s="9" t="str">
        <f>IFERROR(__xludf.DUMMYFUNCTION("""COMPUTED_VALUE"""),"C#")</f>
        <v>C#</v>
      </c>
      <c r="D3604" s="9" t="str">
        <f>IFERROR(__xludf.DUMMYFUNCTION("""COMPUTED_VALUE"""),"PHP")</f>
        <v>PHP</v>
      </c>
      <c r="E3604" s="9" t="str">
        <f>IFERROR(__xludf.DUMMYFUNCTION("""COMPUTED_VALUE"""),"TypeScript")</f>
        <v>TypeScript</v>
      </c>
      <c r="F3604" s="9" t="str">
        <f>IFERROR(__xludf.DUMMYFUNCTION("""COMPUTED_VALUE"""),"JavaScript")</f>
        <v>JavaScript</v>
      </c>
      <c r="G3604" s="9" t="str">
        <f>IFERROR(__xludf.DUMMYFUNCTION("""COMPUTED_VALUE"""),"SQL")</f>
        <v>SQL</v>
      </c>
      <c r="H3604" s="9" t="str">
        <f>IFERROR(__xludf.DUMMYFUNCTION("""COMPUTED_VALUE"""),"C#")</f>
        <v>C#</v>
      </c>
      <c r="I3604" s="9" t="str">
        <f>IFERROR(__xludf.DUMMYFUNCTION("""COMPUTED_VALUE"""),"SQL")</f>
        <v>SQL</v>
      </c>
      <c r="J3604" s="9" t="str">
        <f>IFERROR(__xludf.DUMMYFUNCTION("""COMPUTED_VALUE"""),"C#")</f>
        <v>C#</v>
      </c>
      <c r="K3604" s="9" t="str">
        <f>IFERROR(__xludf.DUMMYFUNCTION("""COMPUTED_VALUE"""),"Java")</f>
        <v>Java</v>
      </c>
      <c r="L3604" s="9" t="str">
        <f>IFERROR(__xludf.DUMMYFUNCTION("""COMPUTED_VALUE"""),"JavaScript")</f>
        <v>JavaScript</v>
      </c>
      <c r="M3604" s="9" t="s">
        <v>26</v>
      </c>
    </row>
    <row r="3605" ht="15.75" customHeight="1">
      <c r="A3605" s="7"/>
      <c r="B3605" s="7" t="str">
        <f>IFERROR(__xludf.DUMMYFUNCTION("""COMPUTED_VALUE"""),"JavaScript")</f>
        <v>JavaScript</v>
      </c>
      <c r="C3605" s="9" t="str">
        <f>IFERROR(__xludf.DUMMYFUNCTION("""COMPUTED_VALUE"""),"F#")</f>
        <v>F#</v>
      </c>
      <c r="D3605" s="9" t="str">
        <f>IFERROR(__xludf.DUMMYFUNCTION("""COMPUTED_VALUE"""),"Python")</f>
        <v>Python</v>
      </c>
      <c r="E3605" s="9" t="str">
        <f>IFERROR(__xludf.DUMMYFUNCTION("""COMPUTED_VALUE"""),"Bash/Shell/PowerShell")</f>
        <v>Bash/Shell/PowerShell</v>
      </c>
      <c r="F3605" s="9" t="str">
        <f>IFERROR(__xludf.DUMMYFUNCTION("""COMPUTED_VALUE"""),"C")</f>
        <v>C</v>
      </c>
      <c r="G3605" s="9" t="str">
        <f>IFERROR(__xludf.DUMMYFUNCTION("""COMPUTED_VALUE"""),"Bash/Shell/PowerShell")</f>
        <v>Bash/Shell/PowerShell</v>
      </c>
      <c r="H3605" s="9" t="str">
        <f>IFERROR(__xludf.DUMMYFUNCTION("""COMPUTED_VALUE"""),"JavaScript")</f>
        <v>JavaScript</v>
      </c>
      <c r="I3605" s="9" t="str">
        <f>IFERROR(__xludf.DUMMYFUNCTION("""COMPUTED_VALUE"""),"TypeScript")</f>
        <v>TypeScript</v>
      </c>
      <c r="J3605" s="9" t="str">
        <f>IFERROR(__xludf.DUMMYFUNCTION("""COMPUTED_VALUE"""),"F#")</f>
        <v>F#</v>
      </c>
      <c r="K3605" s="9" t="str">
        <f>IFERROR(__xludf.DUMMYFUNCTION("""COMPUTED_VALUE"""),"JavaScript")</f>
        <v>JavaScript</v>
      </c>
      <c r="L3605" s="9" t="str">
        <f>IFERROR(__xludf.DUMMYFUNCTION("""COMPUTED_VALUE"""),"PHP")</f>
        <v>PHP</v>
      </c>
      <c r="M3605" s="9" t="s">
        <v>45</v>
      </c>
    </row>
    <row r="3606" ht="15.75" customHeight="1">
      <c r="A3606" s="7"/>
      <c r="B3606" s="7" t="str">
        <f>IFERROR(__xludf.DUMMYFUNCTION("""COMPUTED_VALUE"""),"C;Go;Java;JavaScript;Python;TypeScript")</f>
        <v>C;Go;Java;JavaScript;Python;TypeScript</v>
      </c>
      <c r="C3606" s="9" t="str">
        <f>IFERROR(__xludf.DUMMYFUNCTION("""COMPUTED_VALUE"""),"HTML/CSS")</f>
        <v>HTML/CSS</v>
      </c>
      <c r="D3606" s="9" t="str">
        <f>IFERROR(__xludf.DUMMYFUNCTION("""COMPUTED_VALUE"""),"Python")</f>
        <v>Python</v>
      </c>
      <c r="E3606" s="9" t="str">
        <f>IFERROR(__xludf.DUMMYFUNCTION("""COMPUTED_VALUE"""),"C")</f>
        <v>C</v>
      </c>
      <c r="F3606" s="9" t="str">
        <f>IFERROR(__xludf.DUMMYFUNCTION("""COMPUTED_VALUE"""),"C++")</f>
        <v>C++</v>
      </c>
      <c r="G3606" s="9" t="str">
        <f>IFERROR(__xludf.DUMMYFUNCTION("""COMPUTED_VALUE"""),"Go")</f>
        <v>Go</v>
      </c>
      <c r="H3606" s="9" t="str">
        <f>IFERROR(__xludf.DUMMYFUNCTION("""COMPUTED_VALUE"""),"SQL")</f>
        <v>SQL</v>
      </c>
      <c r="I3606" s="9" t="str">
        <f>IFERROR(__xludf.DUMMYFUNCTION("""COMPUTED_VALUE"""),"Bash/Shell/PowerShell")</f>
        <v>Bash/Shell/PowerShell</v>
      </c>
      <c r="J3606" s="9" t="str">
        <f>IFERROR(__xludf.DUMMYFUNCTION("""COMPUTED_VALUE"""),"HTML/CSS")</f>
        <v>HTML/CSS</v>
      </c>
      <c r="K3606" s="9" t="str">
        <f>IFERROR(__xludf.DUMMYFUNCTION("""COMPUTED_VALUE"""),"SQL")</f>
        <v>SQL</v>
      </c>
      <c r="L3606" s="9" t="str">
        <f>IFERROR(__xludf.DUMMYFUNCTION("""COMPUTED_VALUE"""),"SQL")</f>
        <v>SQL</v>
      </c>
      <c r="M3606" s="9" t="s">
        <v>24</v>
      </c>
    </row>
    <row r="3607" ht="15.75" customHeight="1">
      <c r="A3607" s="7"/>
      <c r="B3607" s="7" t="str">
        <f>IFERROR(__xludf.DUMMYFUNCTION("""COMPUTED_VALUE"""),"Bash/Shell/PowerShell;C;C++;Python;VBA;Other(s):")</f>
        <v>Bash/Shell/PowerShell;C;C++;Python;VBA;Other(s):</v>
      </c>
      <c r="C3607" s="9" t="str">
        <f>IFERROR(__xludf.DUMMYFUNCTION("""COMPUTED_VALUE"""),"JavaScript")</f>
        <v>JavaScript</v>
      </c>
      <c r="D3607" s="9" t="str">
        <f>IFERROR(__xludf.DUMMYFUNCTION("""COMPUTED_VALUE"""),"R")</f>
        <v>R</v>
      </c>
      <c r="E3607" s="9" t="str">
        <f>IFERROR(__xludf.DUMMYFUNCTION("""COMPUTED_VALUE"""),"PHP")</f>
        <v>PHP</v>
      </c>
      <c r="F3607" s="9" t="str">
        <f>IFERROR(__xludf.DUMMYFUNCTION("""COMPUTED_VALUE"""),"C#")</f>
        <v>C#</v>
      </c>
      <c r="G3607" s="9" t="str">
        <f>IFERROR(__xludf.DUMMYFUNCTION("""COMPUTED_VALUE"""),"HTML/CSS")</f>
        <v>HTML/CSS</v>
      </c>
      <c r="H3607" s="9" t="str">
        <f>IFERROR(__xludf.DUMMYFUNCTION("""COMPUTED_VALUE"""),"HTML/CSS")</f>
        <v>HTML/CSS</v>
      </c>
      <c r="I3607" s="9" t="str">
        <f>IFERROR(__xludf.DUMMYFUNCTION("""COMPUTED_VALUE"""),"Java")</f>
        <v>Java</v>
      </c>
      <c r="J3607" s="9" t="str">
        <f>IFERROR(__xludf.DUMMYFUNCTION("""COMPUTED_VALUE"""),"Java")</f>
        <v>Java</v>
      </c>
      <c r="K3607" s="9" t="str">
        <f>IFERROR(__xludf.DUMMYFUNCTION("""COMPUTED_VALUE"""),"HTML/CSS")</f>
        <v>HTML/CSS</v>
      </c>
      <c r="L3607" s="9" t="str">
        <f>IFERROR(__xludf.DUMMYFUNCTION("""COMPUTED_VALUE"""),"TypeScript")</f>
        <v>TypeScript</v>
      </c>
      <c r="M3607" s="9" t="s">
        <v>21</v>
      </c>
    </row>
    <row r="3608" ht="15.75" customHeight="1">
      <c r="A3608" s="7"/>
      <c r="B3608" s="7" t="str">
        <f>IFERROR(__xludf.DUMMYFUNCTION("""COMPUTED_VALUE"""),"Bash/Shell/PowerShell;C#;HTML/CSS;Java;JavaScript;SQL")</f>
        <v>Bash/Shell/PowerShell;C#;HTML/CSS;Java;JavaScript;SQL</v>
      </c>
      <c r="C3608" s="9" t="str">
        <f>IFERROR(__xludf.DUMMYFUNCTION("""COMPUTED_VALUE"""),"SQL")</f>
        <v>SQL</v>
      </c>
      <c r="D3608" s="9" t="str">
        <f>IFERROR(__xludf.DUMMYFUNCTION("""COMPUTED_VALUE"""),"SQL")</f>
        <v>SQL</v>
      </c>
      <c r="E3608" s="9" t="str">
        <f>IFERROR(__xludf.DUMMYFUNCTION("""COMPUTED_VALUE"""),"Python")</f>
        <v>Python</v>
      </c>
      <c r="F3608" s="9" t="str">
        <f>IFERROR(__xludf.DUMMYFUNCTION("""COMPUTED_VALUE"""),"HTML/CSS")</f>
        <v>HTML/CSS</v>
      </c>
      <c r="G3608" s="9" t="str">
        <f>IFERROR(__xludf.DUMMYFUNCTION("""COMPUTED_VALUE"""),"JavaScript")</f>
        <v>JavaScript</v>
      </c>
      <c r="H3608" s="9" t="str">
        <f>IFERROR(__xludf.DUMMYFUNCTION("""COMPUTED_VALUE"""),"JavaScript")</f>
        <v>JavaScript</v>
      </c>
      <c r="I3608" s="9" t="str">
        <f>IFERROR(__xludf.DUMMYFUNCTION("""COMPUTED_VALUE"""),"JavaScript")</f>
        <v>JavaScript</v>
      </c>
      <c r="J3608" s="9" t="str">
        <f>IFERROR(__xludf.DUMMYFUNCTION("""COMPUTED_VALUE"""),"JavaScript")</f>
        <v>JavaScript</v>
      </c>
      <c r="K3608" s="9" t="str">
        <f>IFERROR(__xludf.DUMMYFUNCTION("""COMPUTED_VALUE"""),"JavaScript")</f>
        <v>JavaScript</v>
      </c>
      <c r="L3608" s="9" t="str">
        <f>IFERROR(__xludf.DUMMYFUNCTION("""COMPUTED_VALUE"""),"Bash/Shell/PowerShell")</f>
        <v>Bash/Shell/PowerShell</v>
      </c>
      <c r="M3608" s="9" t="s">
        <v>27</v>
      </c>
    </row>
    <row r="3609" ht="15.75" customHeight="1">
      <c r="A3609" s="7"/>
      <c r="B3609" s="7" t="str">
        <f>IFERROR(__xludf.DUMMYFUNCTION("""COMPUTED_VALUE"""),"Go;Java;JavaScript;Python;Scala;SQL;TypeScript")</f>
        <v>Go;Java;JavaScript;Python;Scala;SQL;TypeScript</v>
      </c>
      <c r="C3609" s="9" t="str">
        <f>IFERROR(__xludf.DUMMYFUNCTION("""COMPUTED_VALUE"""),"TypeScript")</f>
        <v>TypeScript</v>
      </c>
      <c r="D3609" s="9" t="str">
        <f>IFERROR(__xludf.DUMMYFUNCTION("""COMPUTED_VALUE"""),"Bash/Shell/PowerShell")</f>
        <v>Bash/Shell/PowerShell</v>
      </c>
      <c r="E3609" s="9" t="str">
        <f>IFERROR(__xludf.DUMMYFUNCTION("""COMPUTED_VALUE"""),"Python")</f>
        <v>Python</v>
      </c>
      <c r="F3609" s="9" t="str">
        <f>IFERROR(__xludf.DUMMYFUNCTION("""COMPUTED_VALUE"""),"Java")</f>
        <v>Java</v>
      </c>
      <c r="G3609" s="9" t="str">
        <f>IFERROR(__xludf.DUMMYFUNCTION("""COMPUTED_VALUE"""),"Python")</f>
        <v>Python</v>
      </c>
      <c r="H3609" s="9" t="str">
        <f>IFERROR(__xludf.DUMMYFUNCTION("""COMPUTED_VALUE"""),"PHP")</f>
        <v>PHP</v>
      </c>
      <c r="I3609" s="9" t="str">
        <f>IFERROR(__xludf.DUMMYFUNCTION("""COMPUTED_VALUE"""),"Python")</f>
        <v>Python</v>
      </c>
      <c r="J3609" s="9" t="str">
        <f>IFERROR(__xludf.DUMMYFUNCTION("""COMPUTED_VALUE"""),"Python")</f>
        <v>Python</v>
      </c>
      <c r="K3609" s="9" t="str">
        <f>IFERROR(__xludf.DUMMYFUNCTION("""COMPUTED_VALUE"""),"Ruby")</f>
        <v>Ruby</v>
      </c>
      <c r="L3609" s="9" t="str">
        <f>IFERROR(__xludf.DUMMYFUNCTION("""COMPUTED_VALUE"""),"C")</f>
        <v>C</v>
      </c>
      <c r="M3609" s="9" t="s">
        <v>33</v>
      </c>
    </row>
    <row r="3610" ht="15.75" customHeight="1">
      <c r="A3610" s="7"/>
      <c r="B3610" s="7" t="str">
        <f>IFERROR(__xludf.DUMMYFUNCTION("""COMPUTED_VALUE"""),"Bash/Shell/PowerShell;HTML/CSS;Java;JavaScript;Kotlin;Scala;SQL;TypeScript;Other(s):")</f>
        <v>Bash/Shell/PowerShell;HTML/CSS;Java;JavaScript;Kotlin;Scala;SQL;TypeScript;Other(s):</v>
      </c>
      <c r="C3610" s="9" t="str">
        <f>IFERROR(__xludf.DUMMYFUNCTION("""COMPUTED_VALUE"""),"C#")</f>
        <v>C#</v>
      </c>
      <c r="D3610" s="9" t="str">
        <f>IFERROR(__xludf.DUMMYFUNCTION("""COMPUTED_VALUE"""),"C++")</f>
        <v>C++</v>
      </c>
      <c r="E3610" s="9" t="str">
        <f>IFERROR(__xludf.DUMMYFUNCTION("""COMPUTED_VALUE"""),"C")</f>
        <v>C</v>
      </c>
      <c r="F3610" s="9" t="str">
        <f>IFERROR(__xludf.DUMMYFUNCTION("""COMPUTED_VALUE"""),"Objective-C")</f>
        <v>Objective-C</v>
      </c>
      <c r="G3610" s="9" t="str">
        <f>IFERROR(__xludf.DUMMYFUNCTION("""COMPUTED_VALUE"""),"Other(s):")</f>
        <v>Other(s):</v>
      </c>
      <c r="H3610" s="9" t="str">
        <f>IFERROR(__xludf.DUMMYFUNCTION("""COMPUTED_VALUE"""),"SQL")</f>
        <v>SQL</v>
      </c>
      <c r="I3610" s="9" t="str">
        <f>IFERROR(__xludf.DUMMYFUNCTION("""COMPUTED_VALUE"""),"Scala")</f>
        <v>Scala</v>
      </c>
      <c r="J3610" s="9" t="str">
        <f>IFERROR(__xludf.DUMMYFUNCTION("""COMPUTED_VALUE"""),"Scala")</f>
        <v>Scala</v>
      </c>
      <c r="K3610" s="9" t="str">
        <f>IFERROR(__xludf.DUMMYFUNCTION("""COMPUTED_VALUE"""),"Bash/Shell/PowerShell")</f>
        <v>Bash/Shell/PowerShell</v>
      </c>
      <c r="L3610" s="9" t="str">
        <f>IFERROR(__xludf.DUMMYFUNCTION("""COMPUTED_VALUE"""),"C++")</f>
        <v>C++</v>
      </c>
      <c r="M3610" s="9" t="s">
        <v>26</v>
      </c>
    </row>
    <row r="3611" ht="15.75" customHeight="1">
      <c r="A3611" s="7"/>
      <c r="B3611" s="7" t="str">
        <f>IFERROR(__xludf.DUMMYFUNCTION("""COMPUTED_VALUE"""),"Bash/Shell/PowerShell;C;Python;SQL")</f>
        <v>Bash/Shell/PowerShell;C;Python;SQL</v>
      </c>
      <c r="C3611" s="9" t="str">
        <f>IFERROR(__xludf.DUMMYFUNCTION("""COMPUTED_VALUE"""),"HTML/CSS")</f>
        <v>HTML/CSS</v>
      </c>
      <c r="D3611" s="9" t="str">
        <f>IFERROR(__xludf.DUMMYFUNCTION("""COMPUTED_VALUE"""),"JavaScript")</f>
        <v>JavaScript</v>
      </c>
      <c r="E3611" s="9" t="str">
        <f>IFERROR(__xludf.DUMMYFUNCTION("""COMPUTED_VALUE"""),"C++")</f>
        <v>C++</v>
      </c>
      <c r="F3611" s="9" t="str">
        <f>IFERROR(__xludf.DUMMYFUNCTION("""COMPUTED_VALUE"""),"PHP")</f>
        <v>PHP</v>
      </c>
      <c r="G3611" s="9" t="str">
        <f>IFERROR(__xludf.DUMMYFUNCTION("""COMPUTED_VALUE"""),"C#")</f>
        <v>C#</v>
      </c>
      <c r="H3611" s="9" t="str">
        <f>IFERROR(__xludf.DUMMYFUNCTION("""COMPUTED_VALUE"""),"C#")</f>
        <v>C#</v>
      </c>
      <c r="I3611" s="9" t="str">
        <f>IFERROR(__xludf.DUMMYFUNCTION("""COMPUTED_VALUE"""),"TypeScript")</f>
        <v>TypeScript</v>
      </c>
      <c r="J3611" s="9" t="str">
        <f>IFERROR(__xludf.DUMMYFUNCTION("""COMPUTED_VALUE"""),"SQL")</f>
        <v>SQL</v>
      </c>
      <c r="K3611" s="9" t="str">
        <f>IFERROR(__xludf.DUMMYFUNCTION("""COMPUTED_VALUE"""),"C")</f>
        <v>C</v>
      </c>
      <c r="L3611" s="9" t="str">
        <f>IFERROR(__xludf.DUMMYFUNCTION("""COMPUTED_VALUE"""),"Go")</f>
        <v>Go</v>
      </c>
      <c r="M3611" s="9" t="s">
        <v>24</v>
      </c>
    </row>
    <row r="3612" ht="15.75" customHeight="1">
      <c r="A3612" s="7"/>
      <c r="B3612" s="7" t="str">
        <f>IFERROR(__xludf.DUMMYFUNCTION("""COMPUTED_VALUE"""),"Java;Kotlin;Python")</f>
        <v>Java;Kotlin;Python</v>
      </c>
      <c r="C3612" s="9" t="str">
        <f>IFERROR(__xludf.DUMMYFUNCTION("""COMPUTED_VALUE"""),"JavaScript")</f>
        <v>JavaScript</v>
      </c>
      <c r="D3612" s="9" t="str">
        <f>IFERROR(__xludf.DUMMYFUNCTION("""COMPUTED_VALUE"""),"PHP")</f>
        <v>PHP</v>
      </c>
      <c r="E3612" s="9" t="str">
        <f>IFERROR(__xludf.DUMMYFUNCTION("""COMPUTED_VALUE"""),"HTML/CSS")</f>
        <v>HTML/CSS</v>
      </c>
      <c r="F3612" s="9" t="str">
        <f>IFERROR(__xludf.DUMMYFUNCTION("""COMPUTED_VALUE"""),"SQL")</f>
        <v>SQL</v>
      </c>
      <c r="G3612" s="9" t="str">
        <f>IFERROR(__xludf.DUMMYFUNCTION("""COMPUTED_VALUE"""),"SQL")</f>
        <v>SQL</v>
      </c>
      <c r="H3612" s="9" t="str">
        <f>IFERROR(__xludf.DUMMYFUNCTION("""COMPUTED_VALUE"""),"Python")</f>
        <v>Python</v>
      </c>
      <c r="I3612" s="9" t="str">
        <f>IFERROR(__xludf.DUMMYFUNCTION("""COMPUTED_VALUE"""),"Assembly")</f>
        <v>Assembly</v>
      </c>
      <c r="J3612" s="9" t="str">
        <f>IFERROR(__xludf.DUMMYFUNCTION("""COMPUTED_VALUE"""),"TypeScript")</f>
        <v>TypeScript</v>
      </c>
      <c r="K3612" s="9" t="str">
        <f>IFERROR(__xludf.DUMMYFUNCTION("""COMPUTED_VALUE"""),"C++")</f>
        <v>C++</v>
      </c>
      <c r="L3612" s="9" t="str">
        <f>IFERROR(__xludf.DUMMYFUNCTION("""COMPUTED_VALUE"""),"Objective-C")</f>
        <v>Objective-C</v>
      </c>
      <c r="M3612" s="9" t="s">
        <v>21</v>
      </c>
    </row>
    <row r="3613" ht="15.75" customHeight="1">
      <c r="A3613" s="7"/>
      <c r="B3613" s="7" t="str">
        <f>IFERROR(__xludf.DUMMYFUNCTION("""COMPUTED_VALUE"""),"Bash/Shell/PowerShell;Go;Python")</f>
        <v>Bash/Shell/PowerShell;Go;Python</v>
      </c>
      <c r="C3613" s="9" t="str">
        <f>IFERROR(__xludf.DUMMYFUNCTION("""COMPUTED_VALUE"""),"SQL")</f>
        <v>SQL</v>
      </c>
      <c r="D3613" s="9" t="str">
        <f>IFERROR(__xludf.DUMMYFUNCTION("""COMPUTED_VALUE"""),"Python")</f>
        <v>Python</v>
      </c>
      <c r="E3613" s="9" t="str">
        <f>IFERROR(__xludf.DUMMYFUNCTION("""COMPUTED_VALUE"""),"JavaScript")</f>
        <v>JavaScript</v>
      </c>
      <c r="F3613" s="9" t="str">
        <f>IFERROR(__xludf.DUMMYFUNCTION("""COMPUTED_VALUE"""),"VBA")</f>
        <v>VBA</v>
      </c>
      <c r="G3613" s="9" t="str">
        <f>IFERROR(__xludf.DUMMYFUNCTION("""COMPUTED_VALUE"""),"Java")</f>
        <v>Java</v>
      </c>
      <c r="H3613" s="9" t="str">
        <f>IFERROR(__xludf.DUMMYFUNCTION("""COMPUTED_VALUE"""),"R")</f>
        <v>R</v>
      </c>
      <c r="I3613" s="9" t="str">
        <f>IFERROR(__xludf.DUMMYFUNCTION("""COMPUTED_VALUE"""),"Bash/Shell/PowerShell")</f>
        <v>Bash/Shell/PowerShell</v>
      </c>
      <c r="J3613" s="9" t="str">
        <f>IFERROR(__xludf.DUMMYFUNCTION("""COMPUTED_VALUE"""),"HTML/CSS")</f>
        <v>HTML/CSS</v>
      </c>
      <c r="K3613" s="9" t="str">
        <f>IFERROR(__xludf.DUMMYFUNCTION("""COMPUTED_VALUE"""),"Java")</f>
        <v>Java</v>
      </c>
      <c r="L3613" s="9" t="str">
        <f>IFERROR(__xludf.DUMMYFUNCTION("""COMPUTED_VALUE"""),"Python")</f>
        <v>Python</v>
      </c>
      <c r="M3613" s="9" t="s">
        <v>27</v>
      </c>
    </row>
    <row r="3614" ht="15.75" customHeight="1">
      <c r="A3614" s="7"/>
      <c r="B3614" s="7" t="str">
        <f>IFERROR(__xludf.DUMMYFUNCTION("""COMPUTED_VALUE"""),"Bash/Shell/PowerShell;C#;JavaScript")</f>
        <v>Bash/Shell/PowerShell;C#;JavaScript</v>
      </c>
      <c r="C3614" s="9" t="str">
        <f>IFERROR(__xludf.DUMMYFUNCTION("""COMPUTED_VALUE"""),"C#")</f>
        <v>C#</v>
      </c>
      <c r="D3614" s="9" t="str">
        <f>IFERROR(__xludf.DUMMYFUNCTION("""COMPUTED_VALUE"""),"SQL")</f>
        <v>SQL</v>
      </c>
      <c r="E3614" s="9" t="str">
        <f>IFERROR(__xludf.DUMMYFUNCTION("""COMPUTED_VALUE"""),"PHP")</f>
        <v>PHP</v>
      </c>
      <c r="F3614" s="9" t="str">
        <f>IFERROR(__xludf.DUMMYFUNCTION("""COMPUTED_VALUE"""),"Bash/Shell/PowerShell")</f>
        <v>Bash/Shell/PowerShell</v>
      </c>
      <c r="G3614" s="9" t="str">
        <f>IFERROR(__xludf.DUMMYFUNCTION("""COMPUTED_VALUE"""),"JavaScript")</f>
        <v>JavaScript</v>
      </c>
      <c r="H3614" s="9" t="str">
        <f>IFERROR(__xludf.DUMMYFUNCTION("""COMPUTED_VALUE"""),"SQL")</f>
        <v>SQL</v>
      </c>
      <c r="I3614" s="9" t="str">
        <f>IFERROR(__xludf.DUMMYFUNCTION("""COMPUTED_VALUE"""),"C")</f>
        <v>C</v>
      </c>
      <c r="J3614" s="9" t="str">
        <f>IFERROR(__xludf.DUMMYFUNCTION("""COMPUTED_VALUE"""),"JavaScript")</f>
        <v>JavaScript</v>
      </c>
      <c r="K3614" s="9" t="str">
        <f>IFERROR(__xludf.DUMMYFUNCTION("""COMPUTED_VALUE"""),"Python")</f>
        <v>Python</v>
      </c>
      <c r="L3614" s="9" t="str">
        <f>IFERROR(__xludf.DUMMYFUNCTION("""COMPUTED_VALUE"""),"Ruby")</f>
        <v>Ruby</v>
      </c>
      <c r="M3614" s="9" t="s">
        <v>26</v>
      </c>
    </row>
    <row r="3615" ht="15.75" customHeight="1">
      <c r="A3615" s="7"/>
      <c r="B3615" s="7" t="str">
        <f>IFERROR(__xludf.DUMMYFUNCTION("""COMPUTED_VALUE"""),"C++;C#;HTML/CSS;JavaScript")</f>
        <v>C++;C#;HTML/CSS;JavaScript</v>
      </c>
      <c r="C3615" s="9" t="str">
        <f>IFERROR(__xludf.DUMMYFUNCTION("""COMPUTED_VALUE"""),"SQL")</f>
        <v>SQL</v>
      </c>
      <c r="D3615" s="9" t="str">
        <f>IFERROR(__xludf.DUMMYFUNCTION("""COMPUTED_VALUE"""),"Assembly")</f>
        <v>Assembly</v>
      </c>
      <c r="E3615" s="9" t="str">
        <f>IFERROR(__xludf.DUMMYFUNCTION("""COMPUTED_VALUE"""),"SQL")</f>
        <v>SQL</v>
      </c>
      <c r="F3615" s="9" t="str">
        <f>IFERROR(__xludf.DUMMYFUNCTION("""COMPUTED_VALUE"""),"HTML/CSS")</f>
        <v>HTML/CSS</v>
      </c>
      <c r="G3615" s="9" t="str">
        <f>IFERROR(__xludf.DUMMYFUNCTION("""COMPUTED_VALUE"""),"SQL")</f>
        <v>SQL</v>
      </c>
      <c r="H3615" s="9" t="str">
        <f>IFERROR(__xludf.DUMMYFUNCTION("""COMPUTED_VALUE"""),"Bash/Shell/PowerShell")</f>
        <v>Bash/Shell/PowerShell</v>
      </c>
      <c r="I3615" s="9" t="str">
        <f>IFERROR(__xludf.DUMMYFUNCTION("""COMPUTED_VALUE"""),"C++")</f>
        <v>C++</v>
      </c>
      <c r="J3615" s="9" t="str">
        <f>IFERROR(__xludf.DUMMYFUNCTION("""COMPUTED_VALUE"""),"PHP")</f>
        <v>PHP</v>
      </c>
      <c r="K3615" s="9" t="str">
        <f>IFERROR(__xludf.DUMMYFUNCTION("""COMPUTED_VALUE"""),"R")</f>
        <v>R</v>
      </c>
      <c r="L3615" s="9" t="str">
        <f>IFERROR(__xludf.DUMMYFUNCTION("""COMPUTED_VALUE"""),"Swift")</f>
        <v>Swift</v>
      </c>
      <c r="M3615" s="9" t="s">
        <v>27</v>
      </c>
    </row>
    <row r="3616" ht="15.75" customHeight="1">
      <c r="A3616" s="7"/>
      <c r="B3616" s="7" t="str">
        <f>IFERROR(__xludf.DUMMYFUNCTION("""COMPUTED_VALUE"""),"C#;HTML/CSS;Java;JavaScript;PHP;SQL;TypeScript")</f>
        <v>C#;HTML/CSS;Java;JavaScript;PHP;SQL;TypeScript</v>
      </c>
      <c r="C3616" s="9" t="str">
        <f>IFERROR(__xludf.DUMMYFUNCTION("""COMPUTED_VALUE"""),"Bash/Shell/PowerShell")</f>
        <v>Bash/Shell/PowerShell</v>
      </c>
      <c r="D3616" s="9" t="str">
        <f>IFERROR(__xludf.DUMMYFUNCTION("""COMPUTED_VALUE"""),"C")</f>
        <v>C</v>
      </c>
      <c r="E3616" s="9" t="str">
        <f>IFERROR(__xludf.DUMMYFUNCTION("""COMPUTED_VALUE"""),"WebAssembly")</f>
        <v>WebAssembly</v>
      </c>
      <c r="F3616" s="9" t="str">
        <f>IFERROR(__xludf.DUMMYFUNCTION("""COMPUTED_VALUE"""),"Java")</f>
        <v>Java</v>
      </c>
      <c r="G3616" s="9" t="str">
        <f>IFERROR(__xludf.DUMMYFUNCTION("""COMPUTED_VALUE"""),"C")</f>
        <v>C</v>
      </c>
      <c r="H3616" s="9" t="str">
        <f>IFERROR(__xludf.DUMMYFUNCTION("""COMPUTED_VALUE"""),"HTML/CSS")</f>
        <v>HTML/CSS</v>
      </c>
      <c r="I3616" s="9" t="str">
        <f>IFERROR(__xludf.DUMMYFUNCTION("""COMPUTED_VALUE"""),"C#")</f>
        <v>C#</v>
      </c>
      <c r="J3616" s="9" t="str">
        <f>IFERROR(__xludf.DUMMYFUNCTION("""COMPUTED_VALUE"""),"Bash/Shell/PowerShell")</f>
        <v>Bash/Shell/PowerShell</v>
      </c>
      <c r="K3616" s="9" t="str">
        <f>IFERROR(__xludf.DUMMYFUNCTION("""COMPUTED_VALUE"""),"Bash/Shell/PowerShell")</f>
        <v>Bash/Shell/PowerShell</v>
      </c>
      <c r="L3616" s="9" t="str">
        <f>IFERROR(__xludf.DUMMYFUNCTION("""COMPUTED_VALUE"""),"JavaScript")</f>
        <v>JavaScript</v>
      </c>
      <c r="M3616" s="9" t="s">
        <v>30</v>
      </c>
    </row>
    <row r="3617" ht="15.75" customHeight="1">
      <c r="A3617" s="7"/>
      <c r="B3617" s="7" t="str">
        <f>IFERROR(__xludf.DUMMYFUNCTION("""COMPUTED_VALUE"""),"HTML/CSS;Java;JavaScript;Kotlin;Objective-C;PHP;Python;Ruby;SQL;Swift")</f>
        <v>HTML/CSS;Java;JavaScript;Kotlin;Objective-C;PHP;Python;Ruby;SQL;Swift</v>
      </c>
      <c r="C3617" s="9" t="str">
        <f>IFERROR(__xludf.DUMMYFUNCTION("""COMPUTED_VALUE"""),"Java")</f>
        <v>Java</v>
      </c>
      <c r="D3617" s="9" t="str">
        <f>IFERROR(__xludf.DUMMYFUNCTION("""COMPUTED_VALUE"""),"C++")</f>
        <v>C++</v>
      </c>
      <c r="E3617" s="9" t="str">
        <f>IFERROR(__xludf.DUMMYFUNCTION("""COMPUTED_VALUE"""),"C++")</f>
        <v>C++</v>
      </c>
      <c r="F3617" s="9" t="str">
        <f>IFERROR(__xludf.DUMMYFUNCTION("""COMPUTED_VALUE"""),"Python")</f>
        <v>Python</v>
      </c>
      <c r="G3617" s="9" t="str">
        <f>IFERROR(__xludf.DUMMYFUNCTION("""COMPUTED_VALUE"""),"C#")</f>
        <v>C#</v>
      </c>
      <c r="H3617" s="9" t="str">
        <f>IFERROR(__xludf.DUMMYFUNCTION("""COMPUTED_VALUE"""),"Java")</f>
        <v>Java</v>
      </c>
      <c r="I3617" s="9" t="str">
        <f>IFERROR(__xludf.DUMMYFUNCTION("""COMPUTED_VALUE"""),"Dart")</f>
        <v>Dart</v>
      </c>
      <c r="J3617" s="9" t="str">
        <f>IFERROR(__xludf.DUMMYFUNCTION("""COMPUTED_VALUE"""),"C#")</f>
        <v>C#</v>
      </c>
      <c r="K3617" s="9" t="str">
        <f>IFERROR(__xludf.DUMMYFUNCTION("""COMPUTED_VALUE"""),"HTML/CSS")</f>
        <v>HTML/CSS</v>
      </c>
      <c r="L3617" s="9" t="str">
        <f>IFERROR(__xludf.DUMMYFUNCTION("""COMPUTED_VALUE"""),"Python")</f>
        <v>Python</v>
      </c>
      <c r="M3617" s="9" t="s">
        <v>20</v>
      </c>
    </row>
    <row r="3618" ht="15.75" customHeight="1">
      <c r="A3618" s="7"/>
      <c r="B3618" s="7" t="str">
        <f>IFERROR(__xludf.DUMMYFUNCTION("""COMPUTED_VALUE"""),"C#;JavaScript;TypeScript")</f>
        <v>C#;JavaScript;TypeScript</v>
      </c>
      <c r="C3618" s="9" t="str">
        <f>IFERROR(__xludf.DUMMYFUNCTION("""COMPUTED_VALUE"""),"JavaScript")</f>
        <v>JavaScript</v>
      </c>
      <c r="D3618" s="9" t="str">
        <f>IFERROR(__xludf.DUMMYFUNCTION("""COMPUTED_VALUE"""),"C#")</f>
        <v>C#</v>
      </c>
      <c r="E3618" s="9" t="str">
        <f>IFERROR(__xludf.DUMMYFUNCTION("""COMPUTED_VALUE"""),"HTML/CSS")</f>
        <v>HTML/CSS</v>
      </c>
      <c r="F3618" s="9" t="str">
        <f>IFERROR(__xludf.DUMMYFUNCTION("""COMPUTED_VALUE"""),"Ruby")</f>
        <v>Ruby</v>
      </c>
      <c r="G3618" s="9" t="str">
        <f>IFERROR(__xludf.DUMMYFUNCTION("""COMPUTED_VALUE"""),"HTML/CSS")</f>
        <v>HTML/CSS</v>
      </c>
      <c r="H3618" s="9" t="str">
        <f>IFERROR(__xludf.DUMMYFUNCTION("""COMPUTED_VALUE"""),"PHP")</f>
        <v>PHP</v>
      </c>
      <c r="I3618" s="9" t="str">
        <f>IFERROR(__xludf.DUMMYFUNCTION("""COMPUTED_VALUE"""),"F#")</f>
        <v>F#</v>
      </c>
      <c r="J3618" s="9" t="str">
        <f>IFERROR(__xludf.DUMMYFUNCTION("""COMPUTED_VALUE"""),"HTML/CSS")</f>
        <v>HTML/CSS</v>
      </c>
      <c r="K3618" s="9" t="str">
        <f>IFERROR(__xludf.DUMMYFUNCTION("""COMPUTED_VALUE"""),"Java")</f>
        <v>Java</v>
      </c>
      <c r="L3618" s="9" t="str">
        <f>IFERROR(__xludf.DUMMYFUNCTION("""COMPUTED_VALUE"""),"R")</f>
        <v>R</v>
      </c>
      <c r="M3618" s="9" t="s">
        <v>21</v>
      </c>
    </row>
    <row r="3619" ht="15.75" customHeight="1">
      <c r="A3619" s="7"/>
      <c r="B3619" s="7" t="str">
        <f>IFERROR(__xludf.DUMMYFUNCTION("""COMPUTED_VALUE"""),"Assembly;Bash/Shell/PowerShell;C++;C#;HTML/CSS;Python;SQL;TypeScript")</f>
        <v>Assembly;Bash/Shell/PowerShell;C++;C#;HTML/CSS;Python;SQL;TypeScript</v>
      </c>
      <c r="C3619" s="9" t="str">
        <f>IFERROR(__xludf.DUMMYFUNCTION("""COMPUTED_VALUE"""),"Kotlin")</f>
        <v>Kotlin</v>
      </c>
      <c r="D3619" s="9" t="str">
        <f>IFERROR(__xludf.DUMMYFUNCTION("""COMPUTED_VALUE"""),"HTML/CSS")</f>
        <v>HTML/CSS</v>
      </c>
      <c r="E3619" s="9" t="str">
        <f>IFERROR(__xludf.DUMMYFUNCTION("""COMPUTED_VALUE"""),"PHP")</f>
        <v>PHP</v>
      </c>
      <c r="F3619" s="9" t="str">
        <f>IFERROR(__xludf.DUMMYFUNCTION("""COMPUTED_VALUE"""),"SQL")</f>
        <v>SQL</v>
      </c>
      <c r="G3619" s="9" t="str">
        <f>IFERROR(__xludf.DUMMYFUNCTION("""COMPUTED_VALUE"""),"Java")</f>
        <v>Java</v>
      </c>
      <c r="H3619" s="9" t="str">
        <f>IFERROR(__xludf.DUMMYFUNCTION("""COMPUTED_VALUE"""),"HTML/CSS")</f>
        <v>HTML/CSS</v>
      </c>
      <c r="I3619" s="9" t="str">
        <f>IFERROR(__xludf.DUMMYFUNCTION("""COMPUTED_VALUE"""),"Go")</f>
        <v>Go</v>
      </c>
      <c r="J3619" s="9" t="str">
        <f>IFERROR(__xludf.DUMMYFUNCTION("""COMPUTED_VALUE"""),"JavaScript")</f>
        <v>JavaScript</v>
      </c>
      <c r="K3619" s="9" t="str">
        <f>IFERROR(__xludf.DUMMYFUNCTION("""COMPUTED_VALUE"""),"JavaScript")</f>
        <v>JavaScript</v>
      </c>
      <c r="L3619" s="9" t="str">
        <f>IFERROR(__xludf.DUMMYFUNCTION("""COMPUTED_VALUE"""),"SQL")</f>
        <v>SQL</v>
      </c>
      <c r="M3619" s="9" t="s">
        <v>39</v>
      </c>
    </row>
    <row r="3620" ht="15.75" customHeight="1">
      <c r="A3620" s="7"/>
      <c r="B3620" s="7" t="str">
        <f>IFERROR(__xludf.DUMMYFUNCTION("""COMPUTED_VALUE"""),"HTML/CSS;JavaScript;Ruby")</f>
        <v>HTML/CSS;JavaScript;Ruby</v>
      </c>
      <c r="C3620" s="9" t="str">
        <f>IFERROR(__xludf.DUMMYFUNCTION("""COMPUTED_VALUE"""),"Python")</f>
        <v>Python</v>
      </c>
      <c r="D3620" s="9" t="str">
        <f>IFERROR(__xludf.DUMMYFUNCTION("""COMPUTED_VALUE"""),"Java")</f>
        <v>Java</v>
      </c>
      <c r="E3620" s="9" t="str">
        <f>IFERROR(__xludf.DUMMYFUNCTION("""COMPUTED_VALUE"""),"SQL")</f>
        <v>SQL</v>
      </c>
      <c r="F3620" s="9" t="str">
        <f>IFERROR(__xludf.DUMMYFUNCTION("""COMPUTED_VALUE"""),"Assembly")</f>
        <v>Assembly</v>
      </c>
      <c r="G3620" s="9" t="str">
        <f>IFERROR(__xludf.DUMMYFUNCTION("""COMPUTED_VALUE"""),"Python")</f>
        <v>Python</v>
      </c>
      <c r="H3620" s="9" t="str">
        <f>IFERROR(__xludf.DUMMYFUNCTION("""COMPUTED_VALUE"""),"JavaScript")</f>
        <v>JavaScript</v>
      </c>
      <c r="I3620" s="9" t="str">
        <f>IFERROR(__xludf.DUMMYFUNCTION("""COMPUTED_VALUE"""),"HTML/CSS")</f>
        <v>HTML/CSS</v>
      </c>
      <c r="J3620" s="9" t="str">
        <f>IFERROR(__xludf.DUMMYFUNCTION("""COMPUTED_VALUE"""),"Python")</f>
        <v>Python</v>
      </c>
      <c r="K3620" s="9" t="str">
        <f>IFERROR(__xludf.DUMMYFUNCTION("""COMPUTED_VALUE"""),"Python")</f>
        <v>Python</v>
      </c>
      <c r="L3620" s="9" t="str">
        <f>IFERROR(__xludf.DUMMYFUNCTION("""COMPUTED_VALUE"""),"VBA")</f>
        <v>VBA</v>
      </c>
      <c r="M3620" s="9" t="s">
        <v>22</v>
      </c>
    </row>
    <row r="3621" ht="15.75" customHeight="1">
      <c r="A3621" s="7"/>
      <c r="B3621" s="7" t="str">
        <f>IFERROR(__xludf.DUMMYFUNCTION("""COMPUTED_VALUE"""),"Assembly;Bash/Shell/PowerShell;C#;HTML/CSS;Java;JavaScript;SQL")</f>
        <v>Assembly;Bash/Shell/PowerShell;C#;HTML/CSS;Java;JavaScript;SQL</v>
      </c>
      <c r="C3621" s="9" t="str">
        <f>IFERROR(__xludf.DUMMYFUNCTION("""COMPUTED_VALUE"""),"C#")</f>
        <v>C#</v>
      </c>
      <c r="D3621" s="9" t="str">
        <f>IFERROR(__xludf.DUMMYFUNCTION("""COMPUTED_VALUE"""),"JavaScript")</f>
        <v>JavaScript</v>
      </c>
      <c r="E3621" s="9" t="str">
        <f>IFERROR(__xludf.DUMMYFUNCTION("""COMPUTED_VALUE"""),"C#")</f>
        <v>C#</v>
      </c>
      <c r="F3621" s="9" t="str">
        <f>IFERROR(__xludf.DUMMYFUNCTION("""COMPUTED_VALUE"""),"Bash/Shell/PowerShell")</f>
        <v>Bash/Shell/PowerShell</v>
      </c>
      <c r="G3621" s="9" t="str">
        <f>IFERROR(__xludf.DUMMYFUNCTION("""COMPUTED_VALUE"""),"R")</f>
        <v>R</v>
      </c>
      <c r="H3621" s="9" t="str">
        <f>IFERROR(__xludf.DUMMYFUNCTION("""COMPUTED_VALUE"""),"PHP")</f>
        <v>PHP</v>
      </c>
      <c r="I3621" s="9" t="str">
        <f>IFERROR(__xludf.DUMMYFUNCTION("""COMPUTED_VALUE"""),"Java")</f>
        <v>Java</v>
      </c>
      <c r="J3621" s="9" t="str">
        <f>IFERROR(__xludf.DUMMYFUNCTION("""COMPUTED_VALUE"""),"HTML/CSS")</f>
        <v>HTML/CSS</v>
      </c>
      <c r="K3621" s="9" t="str">
        <f>IFERROR(__xludf.DUMMYFUNCTION("""COMPUTED_VALUE"""),"SQL")</f>
        <v>SQL</v>
      </c>
      <c r="L3621" s="9" t="str">
        <f>IFERROR(__xludf.DUMMYFUNCTION("""COMPUTED_VALUE"""),"Bash/Shell/PowerShell")</f>
        <v>Bash/Shell/PowerShell</v>
      </c>
      <c r="M3621" s="9" t="s">
        <v>26</v>
      </c>
    </row>
    <row r="3622" ht="15.75" customHeight="1">
      <c r="A3622" s="7"/>
      <c r="B3622" s="7" t="str">
        <f>IFERROR(__xludf.DUMMYFUNCTION("""COMPUTED_VALUE"""),"HTML/CSS;Java;JavaScript;PHP;SQL")</f>
        <v>HTML/CSS;Java;JavaScript;PHP;SQL</v>
      </c>
      <c r="C3622" s="9" t="str">
        <f>IFERROR(__xludf.DUMMYFUNCTION("""COMPUTED_VALUE"""),"HTML/CSS")</f>
        <v>HTML/CSS</v>
      </c>
      <c r="D3622" s="9" t="str">
        <f>IFERROR(__xludf.DUMMYFUNCTION("""COMPUTED_VALUE"""),"PHP")</f>
        <v>PHP</v>
      </c>
      <c r="E3622" s="9" t="str">
        <f>IFERROR(__xludf.DUMMYFUNCTION("""COMPUTED_VALUE"""),"HTML/CSS")</f>
        <v>HTML/CSS</v>
      </c>
      <c r="F3622" s="9" t="str">
        <f>IFERROR(__xludf.DUMMYFUNCTION("""COMPUTED_VALUE"""),"C")</f>
        <v>C</v>
      </c>
      <c r="G3622" s="9" t="str">
        <f>IFERROR(__xludf.DUMMYFUNCTION("""COMPUTED_VALUE"""),"SQL")</f>
        <v>SQL</v>
      </c>
      <c r="H3622" s="9" t="str">
        <f>IFERROR(__xludf.DUMMYFUNCTION("""COMPUTED_VALUE"""),"SQL")</f>
        <v>SQL</v>
      </c>
      <c r="I3622" s="9" t="str">
        <f>IFERROR(__xludf.DUMMYFUNCTION("""COMPUTED_VALUE"""),"JavaScript")</f>
        <v>JavaScript</v>
      </c>
      <c r="J3622" s="9" t="str">
        <f>IFERROR(__xludf.DUMMYFUNCTION("""COMPUTED_VALUE"""),"JavaScript")</f>
        <v>JavaScript</v>
      </c>
      <c r="K3622" s="9" t="str">
        <f>IFERROR(__xludf.DUMMYFUNCTION("""COMPUTED_VALUE"""),"Bash/Shell/PowerShell")</f>
        <v>Bash/Shell/PowerShell</v>
      </c>
      <c r="L3622" s="9" t="str">
        <f>IFERROR(__xludf.DUMMYFUNCTION("""COMPUTED_VALUE"""),"Dart")</f>
        <v>Dart</v>
      </c>
      <c r="M3622" s="9" t="s">
        <v>24</v>
      </c>
    </row>
    <row r="3623" ht="15.75" customHeight="1">
      <c r="A3623" s="7"/>
      <c r="B3623" s="7" t="str">
        <f>IFERROR(__xludf.DUMMYFUNCTION("""COMPUTED_VALUE"""),"HTML/CSS;JavaScript;Python;SQL;TypeScript")</f>
        <v>HTML/CSS;JavaScript;Python;SQL;TypeScript</v>
      </c>
      <c r="C3623" s="9" t="str">
        <f>IFERROR(__xludf.DUMMYFUNCTION("""COMPUTED_VALUE"""),"Java")</f>
        <v>Java</v>
      </c>
      <c r="D3623" s="9" t="str">
        <f>IFERROR(__xludf.DUMMYFUNCTION("""COMPUTED_VALUE"""),"Python")</f>
        <v>Python</v>
      </c>
      <c r="E3623" s="9" t="str">
        <f>IFERROR(__xludf.DUMMYFUNCTION("""COMPUTED_VALUE"""),"JavaScript")</f>
        <v>JavaScript</v>
      </c>
      <c r="F3623" s="9" t="str">
        <f>IFERROR(__xludf.DUMMYFUNCTION("""COMPUTED_VALUE"""),"Java")</f>
        <v>Java</v>
      </c>
      <c r="G3623" s="9" t="str">
        <f>IFERROR(__xludf.DUMMYFUNCTION("""COMPUTED_VALUE"""),"Assembly")</f>
        <v>Assembly</v>
      </c>
      <c r="H3623" s="9" t="str">
        <f>IFERROR(__xludf.DUMMYFUNCTION("""COMPUTED_VALUE"""),"Other(s):")</f>
        <v>Other(s):</v>
      </c>
      <c r="I3623" s="9" t="str">
        <f>IFERROR(__xludf.DUMMYFUNCTION("""COMPUTED_VALUE"""),"Kotlin")</f>
        <v>Kotlin</v>
      </c>
      <c r="J3623" s="9" t="str">
        <f>IFERROR(__xludf.DUMMYFUNCTION("""COMPUTED_VALUE"""),"Python")</f>
        <v>Python</v>
      </c>
      <c r="K3623" s="9" t="str">
        <f>IFERROR(__xludf.DUMMYFUNCTION("""COMPUTED_VALUE"""),"C")</f>
        <v>C</v>
      </c>
      <c r="L3623" s="9" t="str">
        <f>IFERROR(__xludf.DUMMYFUNCTION("""COMPUTED_VALUE"""),"HTML/CSS")</f>
        <v>HTML/CSS</v>
      </c>
      <c r="M3623" s="9" t="s">
        <v>20</v>
      </c>
    </row>
    <row r="3624" ht="15.75" customHeight="1">
      <c r="A3624" s="7"/>
      <c r="B3624" s="7" t="str">
        <f>IFERROR(__xludf.DUMMYFUNCTION("""COMPUTED_VALUE"""),"Bash/Shell/PowerShell;C#;HTML/CSS;JavaScript;SQL")</f>
        <v>Bash/Shell/PowerShell;C#;HTML/CSS;JavaScript;SQL</v>
      </c>
      <c r="C3624" s="9" t="str">
        <f>IFERROR(__xludf.DUMMYFUNCTION("""COMPUTED_VALUE"""),"JavaScript")</f>
        <v>JavaScript</v>
      </c>
      <c r="D3624" s="9" t="str">
        <f>IFERROR(__xludf.DUMMYFUNCTION("""COMPUTED_VALUE"""),"Ruby")</f>
        <v>Ruby</v>
      </c>
      <c r="E3624" s="9" t="str">
        <f>IFERROR(__xludf.DUMMYFUNCTION("""COMPUTED_VALUE"""),"SQL")</f>
        <v>SQL</v>
      </c>
      <c r="F3624" s="9" t="str">
        <f>IFERROR(__xludf.DUMMYFUNCTION("""COMPUTED_VALUE"""),"Objective-C")</f>
        <v>Objective-C</v>
      </c>
      <c r="G3624" s="9" t="str">
        <f>IFERROR(__xludf.DUMMYFUNCTION("""COMPUTED_VALUE"""),"Bash/Shell/PowerShell")</f>
        <v>Bash/Shell/PowerShell</v>
      </c>
      <c r="H3624" s="9" t="str">
        <f>IFERROR(__xludf.DUMMYFUNCTION("""COMPUTED_VALUE"""),"Assembly")</f>
        <v>Assembly</v>
      </c>
      <c r="I3624" s="9" t="str">
        <f>IFERROR(__xludf.DUMMYFUNCTION("""COMPUTED_VALUE"""),"Python")</f>
        <v>Python</v>
      </c>
      <c r="J3624" s="9" t="str">
        <f>IFERROR(__xludf.DUMMYFUNCTION("""COMPUTED_VALUE"""),"C#")</f>
        <v>C#</v>
      </c>
      <c r="K3624" s="9" t="str">
        <f>IFERROR(__xludf.DUMMYFUNCTION("""COMPUTED_VALUE"""),"C++")</f>
        <v>C++</v>
      </c>
      <c r="L3624" s="9" t="str">
        <f>IFERROR(__xludf.DUMMYFUNCTION("""COMPUTED_VALUE"""),"JavaScript")</f>
        <v>JavaScript</v>
      </c>
      <c r="M3624" s="9" t="s">
        <v>21</v>
      </c>
    </row>
    <row r="3625" ht="15.75" customHeight="1">
      <c r="A3625" s="7"/>
      <c r="B3625" s="7" t="str">
        <f>IFERROR(__xludf.DUMMYFUNCTION("""COMPUTED_VALUE"""),"Java;Kotlin;Python;Ruby")</f>
        <v>Java;Kotlin;Python;Ruby</v>
      </c>
      <c r="C3625" s="9" t="str">
        <f>IFERROR(__xludf.DUMMYFUNCTION("""COMPUTED_VALUE"""),"Objective-C")</f>
        <v>Objective-C</v>
      </c>
      <c r="D3625" s="9" t="str">
        <f>IFERROR(__xludf.DUMMYFUNCTION("""COMPUTED_VALUE"""),"SQL")</f>
        <v>SQL</v>
      </c>
      <c r="E3625" s="9" t="str">
        <f>IFERROR(__xludf.DUMMYFUNCTION("""COMPUTED_VALUE"""),"TypeScript")</f>
        <v>TypeScript</v>
      </c>
      <c r="F3625" s="9" t="str">
        <f>IFERROR(__xludf.DUMMYFUNCTION("""COMPUTED_VALUE"""),"Python")</f>
        <v>Python</v>
      </c>
      <c r="G3625" s="9" t="str">
        <f>IFERROR(__xludf.DUMMYFUNCTION("""COMPUTED_VALUE"""),"C")</f>
        <v>C</v>
      </c>
      <c r="H3625" s="9" t="str">
        <f>IFERROR(__xludf.DUMMYFUNCTION("""COMPUTED_VALUE"""),"Bash/Shell/PowerShell")</f>
        <v>Bash/Shell/PowerShell</v>
      </c>
      <c r="I3625" s="9" t="str">
        <f>IFERROR(__xludf.DUMMYFUNCTION("""COMPUTED_VALUE"""),"SQL")</f>
        <v>SQL</v>
      </c>
      <c r="J3625" s="9" t="str">
        <f>IFERROR(__xludf.DUMMYFUNCTION("""COMPUTED_VALUE"""),"HTML/CSS")</f>
        <v>HTML/CSS</v>
      </c>
      <c r="K3625" s="9" t="str">
        <f>IFERROR(__xludf.DUMMYFUNCTION("""COMPUTED_VALUE"""),"HTML/CSS")</f>
        <v>HTML/CSS</v>
      </c>
      <c r="L3625" s="9" t="str">
        <f>IFERROR(__xludf.DUMMYFUNCTION("""COMPUTED_VALUE"""),"PHP")</f>
        <v>PHP</v>
      </c>
      <c r="M3625" s="9" t="s">
        <v>41</v>
      </c>
    </row>
    <row r="3626" ht="15.75" customHeight="1">
      <c r="A3626" s="7"/>
      <c r="B3626" s="7" t="str">
        <f>IFERROR(__xludf.DUMMYFUNCTION("""COMPUTED_VALUE"""),"Assembly;Bash/Shell/PowerShell;C#;HTML/CSS;JavaScript;PHP;Python;SQL")</f>
        <v>Assembly;Bash/Shell/PowerShell;C#;HTML/CSS;JavaScript;PHP;Python;SQL</v>
      </c>
      <c r="C3626" s="9" t="str">
        <f>IFERROR(__xludf.DUMMYFUNCTION("""COMPUTED_VALUE"""),"SQL")</f>
        <v>SQL</v>
      </c>
      <c r="D3626" s="9" t="str">
        <f>IFERROR(__xludf.DUMMYFUNCTION("""COMPUTED_VALUE"""),"Bash/Shell/PowerShell")</f>
        <v>Bash/Shell/PowerShell</v>
      </c>
      <c r="E3626" s="9" t="str">
        <f>IFERROR(__xludf.DUMMYFUNCTION("""COMPUTED_VALUE"""),"HTML/CSS")</f>
        <v>HTML/CSS</v>
      </c>
      <c r="F3626" s="9" t="str">
        <f>IFERROR(__xludf.DUMMYFUNCTION("""COMPUTED_VALUE"""),"SQL")</f>
        <v>SQL</v>
      </c>
      <c r="G3626" s="9" t="str">
        <f>IFERROR(__xludf.DUMMYFUNCTION("""COMPUTED_VALUE"""),"C++")</f>
        <v>C++</v>
      </c>
      <c r="H3626" s="9" t="str">
        <f>IFERROR(__xludf.DUMMYFUNCTION("""COMPUTED_VALUE"""),"C")</f>
        <v>C</v>
      </c>
      <c r="I3626" s="9" t="str">
        <f>IFERROR(__xludf.DUMMYFUNCTION("""COMPUTED_VALUE"""),"TypeScript")</f>
        <v>TypeScript</v>
      </c>
      <c r="J3626" s="9" t="str">
        <f>IFERROR(__xludf.DUMMYFUNCTION("""COMPUTED_VALUE"""),"JavaScript")</f>
        <v>JavaScript</v>
      </c>
      <c r="K3626" s="9" t="str">
        <f>IFERROR(__xludf.DUMMYFUNCTION("""COMPUTED_VALUE"""),"Java")</f>
        <v>Java</v>
      </c>
      <c r="L3626" s="9" t="str">
        <f>IFERROR(__xludf.DUMMYFUNCTION("""COMPUTED_VALUE"""),"SQL")</f>
        <v>SQL</v>
      </c>
      <c r="M3626" s="9" t="s">
        <v>27</v>
      </c>
    </row>
    <row r="3627" ht="15.75" customHeight="1">
      <c r="A3627" s="7"/>
      <c r="B3627" s="7" t="str">
        <f>IFERROR(__xludf.DUMMYFUNCTION("""COMPUTED_VALUE"""),"Bash/Shell/PowerShell;C;C++;C#;Go;HTML/CSS;JavaScript;SQL;Other(s):")</f>
        <v>Bash/Shell/PowerShell;C;C++;C#;Go;HTML/CSS;JavaScript;SQL;Other(s):</v>
      </c>
      <c r="C3627" s="9" t="str">
        <f>IFERROR(__xludf.DUMMYFUNCTION("""COMPUTED_VALUE"""),"TypeScript")</f>
        <v>TypeScript</v>
      </c>
      <c r="D3627" s="9" t="str">
        <f>IFERROR(__xludf.DUMMYFUNCTION("""COMPUTED_VALUE"""),"HTML/CSS")</f>
        <v>HTML/CSS</v>
      </c>
      <c r="E3627" s="9" t="str">
        <f>IFERROR(__xludf.DUMMYFUNCTION("""COMPUTED_VALUE"""),"Java")</f>
        <v>Java</v>
      </c>
      <c r="F3627" s="9" t="str">
        <f>IFERROR(__xludf.DUMMYFUNCTION("""COMPUTED_VALUE"""),"HTML/CSS")</f>
        <v>HTML/CSS</v>
      </c>
      <c r="G3627" s="9" t="str">
        <f>IFERROR(__xludf.DUMMYFUNCTION("""COMPUTED_VALUE"""),"JavaScript")</f>
        <v>JavaScript</v>
      </c>
      <c r="H3627" s="9" t="str">
        <f>IFERROR(__xludf.DUMMYFUNCTION("""COMPUTED_VALUE"""),"C++")</f>
        <v>C++</v>
      </c>
      <c r="I3627" s="9" t="str">
        <f>IFERROR(__xludf.DUMMYFUNCTION("""COMPUTED_VALUE"""),"Other(s):")</f>
        <v>Other(s):</v>
      </c>
      <c r="J3627" s="9" t="str">
        <f>IFERROR(__xludf.DUMMYFUNCTION("""COMPUTED_VALUE"""),"SQL")</f>
        <v>SQL</v>
      </c>
      <c r="K3627" s="9" t="str">
        <f>IFERROR(__xludf.DUMMYFUNCTION("""COMPUTED_VALUE"""),"JavaScript")</f>
        <v>JavaScript</v>
      </c>
      <c r="L3627" s="9" t="str">
        <f>IFERROR(__xludf.DUMMYFUNCTION("""COMPUTED_VALUE"""),"TypeScript")</f>
        <v>TypeScript</v>
      </c>
      <c r="M3627" s="9" t="s">
        <v>33</v>
      </c>
    </row>
    <row r="3628" ht="15.75" customHeight="1">
      <c r="A3628" s="7"/>
      <c r="B3628" s="7" t="str">
        <f>IFERROR(__xludf.DUMMYFUNCTION("""COMPUTED_VALUE"""),"C#;Java;Python;Other(s):")</f>
        <v>C#;Java;Python;Other(s):</v>
      </c>
      <c r="C3628" s="9" t="str">
        <f>IFERROR(__xludf.DUMMYFUNCTION("""COMPUTED_VALUE"""),"C")</f>
        <v>C</v>
      </c>
      <c r="D3628" s="9" t="str">
        <f>IFERROR(__xludf.DUMMYFUNCTION("""COMPUTED_VALUE"""),"Java")</f>
        <v>Java</v>
      </c>
      <c r="E3628" s="9" t="str">
        <f>IFERROR(__xludf.DUMMYFUNCTION("""COMPUTED_VALUE"""),"JavaScript")</f>
        <v>JavaScript</v>
      </c>
      <c r="F3628" s="9" t="str">
        <f>IFERROR(__xludf.DUMMYFUNCTION("""COMPUTED_VALUE"""),"JavaScript")</f>
        <v>JavaScript</v>
      </c>
      <c r="G3628" s="9" t="str">
        <f>IFERROR(__xludf.DUMMYFUNCTION("""COMPUTED_VALUE"""),"Python")</f>
        <v>Python</v>
      </c>
      <c r="H3628" s="9" t="str">
        <f>IFERROR(__xludf.DUMMYFUNCTION("""COMPUTED_VALUE"""),"HTML/CSS")</f>
        <v>HTML/CSS</v>
      </c>
      <c r="I3628" s="9" t="str">
        <f>IFERROR(__xludf.DUMMYFUNCTION("""COMPUTED_VALUE"""),"Bash/Shell/PowerShell")</f>
        <v>Bash/Shell/PowerShell</v>
      </c>
      <c r="J3628" s="9" t="str">
        <f>IFERROR(__xludf.DUMMYFUNCTION("""COMPUTED_VALUE"""),"HTML/CSS")</f>
        <v>HTML/CSS</v>
      </c>
      <c r="K3628" s="9" t="str">
        <f>IFERROR(__xludf.DUMMYFUNCTION("""COMPUTED_VALUE"""),"Kotlin")</f>
        <v>Kotlin</v>
      </c>
      <c r="L3628" s="9" t="str">
        <f>IFERROR(__xludf.DUMMYFUNCTION("""COMPUTED_VALUE"""),"C#")</f>
        <v>C#</v>
      </c>
      <c r="M3628" s="9" t="s">
        <v>25</v>
      </c>
    </row>
    <row r="3629" ht="15.75" customHeight="1">
      <c r="A3629" s="7"/>
      <c r="B3629" s="7" t="str">
        <f>IFERROR(__xludf.DUMMYFUNCTION("""COMPUTED_VALUE"""),"C#;Java;Scala;TypeScript")</f>
        <v>C#;Java;Scala;TypeScript</v>
      </c>
      <c r="C3629" s="9" t="str">
        <f>IFERROR(__xludf.DUMMYFUNCTION("""COMPUTED_VALUE"""),"C++")</f>
        <v>C++</v>
      </c>
      <c r="D3629" s="9" t="str">
        <f>IFERROR(__xludf.DUMMYFUNCTION("""COMPUTED_VALUE"""),"JavaScript")</f>
        <v>JavaScript</v>
      </c>
      <c r="E3629" s="9" t="str">
        <f>IFERROR(__xludf.DUMMYFUNCTION("""COMPUTED_VALUE"""),"PHP")</f>
        <v>PHP</v>
      </c>
      <c r="F3629" s="9" t="str">
        <f>IFERROR(__xludf.DUMMYFUNCTION("""COMPUTED_VALUE"""),"PHP")</f>
        <v>PHP</v>
      </c>
      <c r="G3629" s="9" t="str">
        <f>IFERROR(__xludf.DUMMYFUNCTION("""COMPUTED_VALUE"""),"SQL")</f>
        <v>SQL</v>
      </c>
      <c r="H3629" s="9" t="str">
        <f>IFERROR(__xludf.DUMMYFUNCTION("""COMPUTED_VALUE"""),"Java")</f>
        <v>Java</v>
      </c>
      <c r="I3629" s="9" t="str">
        <f>IFERROR(__xludf.DUMMYFUNCTION("""COMPUTED_VALUE"""),"HTML/CSS")</f>
        <v>HTML/CSS</v>
      </c>
      <c r="J3629" s="9" t="str">
        <f>IFERROR(__xludf.DUMMYFUNCTION("""COMPUTED_VALUE"""),"Python")</f>
        <v>Python</v>
      </c>
      <c r="K3629" s="9" t="str">
        <f>IFERROR(__xludf.DUMMYFUNCTION("""COMPUTED_VALUE"""),"PHP")</f>
        <v>PHP</v>
      </c>
      <c r="L3629" s="9" t="str">
        <f>IFERROR(__xludf.DUMMYFUNCTION("""COMPUTED_VALUE"""),"Java")</f>
        <v>Java</v>
      </c>
      <c r="M3629" s="9" t="s">
        <v>23</v>
      </c>
    </row>
    <row r="3630" ht="15.75" customHeight="1">
      <c r="A3630" s="7"/>
      <c r="B3630" s="7" t="str">
        <f>IFERROR(__xludf.DUMMYFUNCTION("""COMPUTED_VALUE"""),"HTML/CSS;Java;JavaScript;TypeScript")</f>
        <v>HTML/CSS;Java;JavaScript;TypeScript</v>
      </c>
      <c r="C3630" s="9" t="str">
        <f>IFERROR(__xludf.DUMMYFUNCTION("""COMPUTED_VALUE"""),"Python")</f>
        <v>Python</v>
      </c>
      <c r="D3630" s="9" t="str">
        <f>IFERROR(__xludf.DUMMYFUNCTION("""COMPUTED_VALUE"""),"Kotlin")</f>
        <v>Kotlin</v>
      </c>
      <c r="E3630" s="9" t="str">
        <f>IFERROR(__xludf.DUMMYFUNCTION("""COMPUTED_VALUE"""),"SQL")</f>
        <v>SQL</v>
      </c>
      <c r="F3630" s="9" t="str">
        <f>IFERROR(__xludf.DUMMYFUNCTION("""COMPUTED_VALUE"""),"Ruby")</f>
        <v>Ruby</v>
      </c>
      <c r="G3630" s="9" t="str">
        <f>IFERROR(__xludf.DUMMYFUNCTION("""COMPUTED_VALUE"""),"WebAssembly")</f>
        <v>WebAssembly</v>
      </c>
      <c r="H3630" s="9" t="str">
        <f>IFERROR(__xludf.DUMMYFUNCTION("""COMPUTED_VALUE"""),"JavaScript")</f>
        <v>JavaScript</v>
      </c>
      <c r="I3630" s="9" t="str">
        <f>IFERROR(__xludf.DUMMYFUNCTION("""COMPUTED_VALUE"""),"Java")</f>
        <v>Java</v>
      </c>
      <c r="J3630" s="9" t="str">
        <f>IFERROR(__xludf.DUMMYFUNCTION("""COMPUTED_VALUE"""),"R")</f>
        <v>R</v>
      </c>
      <c r="K3630" s="9" t="str">
        <f>IFERROR(__xludf.DUMMYFUNCTION("""COMPUTED_VALUE"""),"Python")</f>
        <v>Python</v>
      </c>
      <c r="L3630" s="9" t="str">
        <f>IFERROR(__xludf.DUMMYFUNCTION("""COMPUTED_VALUE"""),"Python")</f>
        <v>Python</v>
      </c>
      <c r="M3630" s="9" t="s">
        <v>22</v>
      </c>
    </row>
    <row r="3631" ht="15.75" customHeight="1">
      <c r="A3631" s="7"/>
      <c r="B3631" s="7" t="str">
        <f>IFERROR(__xludf.DUMMYFUNCTION("""COMPUTED_VALUE"""),"C#;Java;JavaScript;Kotlin;PHP;Python;SQL")</f>
        <v>C#;Java;JavaScript;Kotlin;PHP;Python;SQL</v>
      </c>
      <c r="C3631" s="9" t="str">
        <f>IFERROR(__xludf.DUMMYFUNCTION("""COMPUTED_VALUE"""),"Bash/Shell/PowerShell")</f>
        <v>Bash/Shell/PowerShell</v>
      </c>
      <c r="D3631" s="9" t="str">
        <f>IFERROR(__xludf.DUMMYFUNCTION("""COMPUTED_VALUE"""),"Python")</f>
        <v>Python</v>
      </c>
      <c r="E3631" s="9" t="str">
        <f>IFERROR(__xludf.DUMMYFUNCTION("""COMPUTED_VALUE"""),"TypeScript")</f>
        <v>TypeScript</v>
      </c>
      <c r="F3631" s="9" t="str">
        <f>IFERROR(__xludf.DUMMYFUNCTION("""COMPUTED_VALUE"""),"SQL")</f>
        <v>SQL</v>
      </c>
      <c r="G3631" s="9" t="str">
        <f>IFERROR(__xludf.DUMMYFUNCTION("""COMPUTED_VALUE"""),"Other(s):")</f>
        <v>Other(s):</v>
      </c>
      <c r="H3631" s="9" t="str">
        <f>IFERROR(__xludf.DUMMYFUNCTION("""COMPUTED_VALUE"""),"PHP")</f>
        <v>PHP</v>
      </c>
      <c r="I3631" s="9" t="str">
        <f>IFERROR(__xludf.DUMMYFUNCTION("""COMPUTED_VALUE"""),"JavaScript")</f>
        <v>JavaScript</v>
      </c>
      <c r="J3631" s="9" t="str">
        <f>IFERROR(__xludf.DUMMYFUNCTION("""COMPUTED_VALUE"""),"SQL")</f>
        <v>SQL</v>
      </c>
      <c r="K3631" s="9" t="str">
        <f>IFERROR(__xludf.DUMMYFUNCTION("""COMPUTED_VALUE"""),"C")</f>
        <v>C</v>
      </c>
      <c r="L3631" s="9" t="str">
        <f>IFERROR(__xludf.DUMMYFUNCTION("""COMPUTED_VALUE"""),"HTML/CSS")</f>
        <v>HTML/CSS</v>
      </c>
      <c r="M3631" s="9" t="s">
        <v>30</v>
      </c>
    </row>
    <row r="3632" ht="15.75" customHeight="1">
      <c r="A3632" s="7"/>
      <c r="B3632" s="7" t="str">
        <f>IFERROR(__xludf.DUMMYFUNCTION("""COMPUTED_VALUE"""),"C;C#;JavaScript")</f>
        <v>C;C#;JavaScript</v>
      </c>
      <c r="C3632" s="9" t="str">
        <f>IFERROR(__xludf.DUMMYFUNCTION("""COMPUTED_VALUE"""),"C")</f>
        <v>C</v>
      </c>
      <c r="D3632" s="9" t="str">
        <f>IFERROR(__xludf.DUMMYFUNCTION("""COMPUTED_VALUE"""),"Scala")</f>
        <v>Scala</v>
      </c>
      <c r="E3632" s="9" t="str">
        <f>IFERROR(__xludf.DUMMYFUNCTION("""COMPUTED_VALUE"""),"Other(s):")</f>
        <v>Other(s):</v>
      </c>
      <c r="F3632" s="9" t="str">
        <f>IFERROR(__xludf.DUMMYFUNCTION("""COMPUTED_VALUE"""),"HTML/CSS")</f>
        <v>HTML/CSS</v>
      </c>
      <c r="G3632" s="9" t="str">
        <f>IFERROR(__xludf.DUMMYFUNCTION("""COMPUTED_VALUE"""),"C#")</f>
        <v>C#</v>
      </c>
      <c r="H3632" s="9" t="str">
        <f>IFERROR(__xludf.DUMMYFUNCTION("""COMPUTED_VALUE"""),"Python")</f>
        <v>Python</v>
      </c>
      <c r="I3632" s="9" t="str">
        <f>IFERROR(__xludf.DUMMYFUNCTION("""COMPUTED_VALUE"""),"SQL")</f>
        <v>SQL</v>
      </c>
      <c r="J3632" s="9" t="str">
        <f>IFERROR(__xludf.DUMMYFUNCTION("""COMPUTED_VALUE"""),"Bash/Shell/PowerShell")</f>
        <v>Bash/Shell/PowerShell</v>
      </c>
      <c r="K3632" s="9" t="str">
        <f>IFERROR(__xludf.DUMMYFUNCTION("""COMPUTED_VALUE"""),"C++")</f>
        <v>C++</v>
      </c>
      <c r="L3632" s="9" t="str">
        <f>IFERROR(__xludf.DUMMYFUNCTION("""COMPUTED_VALUE"""),"JavaScript")</f>
        <v>JavaScript</v>
      </c>
      <c r="M3632" s="9" t="s">
        <v>25</v>
      </c>
    </row>
    <row r="3633" ht="15.75" customHeight="1">
      <c r="A3633" s="7"/>
      <c r="B3633" s="7" t="str">
        <f>IFERROR(__xludf.DUMMYFUNCTION("""COMPUTED_VALUE"""),"Assembly;C;Python")</f>
        <v>Assembly;C;Python</v>
      </c>
      <c r="C3633" s="9" t="str">
        <f>IFERROR(__xludf.DUMMYFUNCTION("""COMPUTED_VALUE"""),"C++")</f>
        <v>C++</v>
      </c>
      <c r="D3633" s="9" t="str">
        <f>IFERROR(__xludf.DUMMYFUNCTION("""COMPUTED_VALUE"""),"SQL")</f>
        <v>SQL</v>
      </c>
      <c r="E3633" s="9" t="str">
        <f>IFERROR(__xludf.DUMMYFUNCTION("""COMPUTED_VALUE"""),"HTML/CSS")</f>
        <v>HTML/CSS</v>
      </c>
      <c r="F3633" s="9" t="str">
        <f>IFERROR(__xludf.DUMMYFUNCTION("""COMPUTED_VALUE"""),"JavaScript")</f>
        <v>JavaScript</v>
      </c>
      <c r="G3633" s="9" t="str">
        <f>IFERROR(__xludf.DUMMYFUNCTION("""COMPUTED_VALUE"""),"HTML/CSS")</f>
        <v>HTML/CSS</v>
      </c>
      <c r="H3633" s="9" t="str">
        <f>IFERROR(__xludf.DUMMYFUNCTION("""COMPUTED_VALUE"""),"SQL")</f>
        <v>SQL</v>
      </c>
      <c r="I3633" s="9" t="str">
        <f>IFERROR(__xludf.DUMMYFUNCTION("""COMPUTED_VALUE"""),"Other(s):")</f>
        <v>Other(s):</v>
      </c>
      <c r="J3633" s="9" t="str">
        <f>IFERROR(__xludf.DUMMYFUNCTION("""COMPUTED_VALUE"""),"HTML/CSS")</f>
        <v>HTML/CSS</v>
      </c>
      <c r="K3633" s="9" t="str">
        <f>IFERROR(__xludf.DUMMYFUNCTION("""COMPUTED_VALUE"""),"HTML/CSS")</f>
        <v>HTML/CSS</v>
      </c>
      <c r="L3633" s="9" t="str">
        <f>IFERROR(__xludf.DUMMYFUNCTION("""COMPUTED_VALUE"""),"PHP")</f>
        <v>PHP</v>
      </c>
      <c r="M3633" s="9" t="s">
        <v>23</v>
      </c>
    </row>
    <row r="3634" ht="15.75" customHeight="1">
      <c r="A3634" s="7"/>
      <c r="B3634" s="7" t="str">
        <f>IFERROR(__xludf.DUMMYFUNCTION("""COMPUTED_VALUE"""),"C#;HTML/CSS;JavaScript;PHP;SQL;TypeScript;Other(s):")</f>
        <v>C#;HTML/CSS;JavaScript;PHP;SQL;TypeScript;Other(s):</v>
      </c>
      <c r="C3634" s="9" t="str">
        <f>IFERROR(__xludf.DUMMYFUNCTION("""COMPUTED_VALUE"""),"HTML/CSS")</f>
        <v>HTML/CSS</v>
      </c>
      <c r="D3634" s="9" t="str">
        <f>IFERROR(__xludf.DUMMYFUNCTION("""COMPUTED_VALUE"""),"Bash/Shell/PowerShell")</f>
        <v>Bash/Shell/PowerShell</v>
      </c>
      <c r="E3634" s="9" t="str">
        <f>IFERROR(__xludf.DUMMYFUNCTION("""COMPUTED_VALUE"""),"JavaScript")</f>
        <v>JavaScript</v>
      </c>
      <c r="F3634" s="9" t="str">
        <f>IFERROR(__xludf.DUMMYFUNCTION("""COMPUTED_VALUE"""),"C")</f>
        <v>C</v>
      </c>
      <c r="G3634" s="9" t="str">
        <f>IFERROR(__xludf.DUMMYFUNCTION("""COMPUTED_VALUE"""),"PHP")</f>
        <v>PHP</v>
      </c>
      <c r="H3634" s="9" t="str">
        <f>IFERROR(__xludf.DUMMYFUNCTION("""COMPUTED_VALUE"""),"Java")</f>
        <v>Java</v>
      </c>
      <c r="I3634" s="9" t="str">
        <f>IFERROR(__xludf.DUMMYFUNCTION("""COMPUTED_VALUE"""),"Bash/Shell/PowerShell")</f>
        <v>Bash/Shell/PowerShell</v>
      </c>
      <c r="J3634" s="9" t="str">
        <f>IFERROR(__xludf.DUMMYFUNCTION("""COMPUTED_VALUE"""),"JavaScript")</f>
        <v>JavaScript</v>
      </c>
      <c r="K3634" s="9" t="str">
        <f>IFERROR(__xludf.DUMMYFUNCTION("""COMPUTED_VALUE"""),"Java")</f>
        <v>Java</v>
      </c>
      <c r="L3634" s="9" t="str">
        <f>IFERROR(__xludf.DUMMYFUNCTION("""COMPUTED_VALUE"""),"Python")</f>
        <v>Python</v>
      </c>
      <c r="M3634" s="9" t="s">
        <v>24</v>
      </c>
    </row>
    <row r="3635" ht="15.75" customHeight="1">
      <c r="A3635" s="7"/>
      <c r="B3635" s="7" t="str">
        <f>IFERROR(__xludf.DUMMYFUNCTION("""COMPUTED_VALUE"""),"C#;HTML/CSS;JavaScript;PHP;SQL")</f>
        <v>C#;HTML/CSS;JavaScript;PHP;SQL</v>
      </c>
      <c r="C3635" s="9" t="str">
        <f>IFERROR(__xludf.DUMMYFUNCTION("""COMPUTED_VALUE"""),"Java")</f>
        <v>Java</v>
      </c>
      <c r="D3635" s="9" t="str">
        <f>IFERROR(__xludf.DUMMYFUNCTION("""COMPUTED_VALUE"""),"C#")</f>
        <v>C#</v>
      </c>
      <c r="E3635" s="9" t="str">
        <f>IFERROR(__xludf.DUMMYFUNCTION("""COMPUTED_VALUE"""),"PHP")</f>
        <v>PHP</v>
      </c>
      <c r="F3635" s="9" t="str">
        <f>IFERROR(__xludf.DUMMYFUNCTION("""COMPUTED_VALUE"""),"Elixir")</f>
        <v>Elixir</v>
      </c>
      <c r="G3635" s="9" t="str">
        <f>IFERROR(__xludf.DUMMYFUNCTION("""COMPUTED_VALUE"""),"HTML/CSS")</f>
        <v>HTML/CSS</v>
      </c>
      <c r="H3635" s="9" t="str">
        <f>IFERROR(__xludf.DUMMYFUNCTION("""COMPUTED_VALUE"""),"Python")</f>
        <v>Python</v>
      </c>
      <c r="I3635" s="9" t="str">
        <f>IFERROR(__xludf.DUMMYFUNCTION("""COMPUTED_VALUE"""),"JavaScript")</f>
        <v>JavaScript</v>
      </c>
      <c r="J3635" s="9" t="str">
        <f>IFERROR(__xludf.DUMMYFUNCTION("""COMPUTED_VALUE"""),"HTML/CSS")</f>
        <v>HTML/CSS</v>
      </c>
      <c r="K3635" s="9" t="str">
        <f>IFERROR(__xludf.DUMMYFUNCTION("""COMPUTED_VALUE"""),"JavaScript")</f>
        <v>JavaScript</v>
      </c>
      <c r="L3635" s="9" t="str">
        <f>IFERROR(__xludf.DUMMYFUNCTION("""COMPUTED_VALUE"""),"VBA")</f>
        <v>VBA</v>
      </c>
      <c r="M3635" s="9" t="s">
        <v>20</v>
      </c>
    </row>
    <row r="3636" ht="15.75" customHeight="1">
      <c r="A3636" s="7"/>
      <c r="B3636" s="7" t="str">
        <f>IFERROR(__xludf.DUMMYFUNCTION("""COMPUTED_VALUE"""),"Bash/Shell/PowerShell;HTML/CSS;Java;JavaScript;Python;SQL")</f>
        <v>Bash/Shell/PowerShell;HTML/CSS;Java;JavaScript;Python;SQL</v>
      </c>
      <c r="C3636" s="9" t="str">
        <f>IFERROR(__xludf.DUMMYFUNCTION("""COMPUTED_VALUE"""),"Python")</f>
        <v>Python</v>
      </c>
      <c r="D3636" s="9" t="str">
        <f>IFERROR(__xludf.DUMMYFUNCTION("""COMPUTED_VALUE"""),"Dart")</f>
        <v>Dart</v>
      </c>
      <c r="E3636" s="9" t="str">
        <f>IFERROR(__xludf.DUMMYFUNCTION("""COMPUTED_VALUE"""),"Python")</f>
        <v>Python</v>
      </c>
      <c r="F3636" s="9" t="str">
        <f>IFERROR(__xludf.DUMMYFUNCTION("""COMPUTED_VALUE"""),"Java")</f>
        <v>Java</v>
      </c>
      <c r="G3636" s="9" t="str">
        <f>IFERROR(__xludf.DUMMYFUNCTION("""COMPUTED_VALUE"""),"JavaScript")</f>
        <v>JavaScript</v>
      </c>
      <c r="H3636" s="9" t="str">
        <f>IFERROR(__xludf.DUMMYFUNCTION("""COMPUTED_VALUE"""),"HTML/CSS")</f>
        <v>HTML/CSS</v>
      </c>
      <c r="I3636" s="9" t="str">
        <f>IFERROR(__xludf.DUMMYFUNCTION("""COMPUTED_VALUE"""),"Python")</f>
        <v>Python</v>
      </c>
      <c r="J3636" s="9" t="str">
        <f>IFERROR(__xludf.DUMMYFUNCTION("""COMPUTED_VALUE"""),"JavaScript")</f>
        <v>JavaScript</v>
      </c>
      <c r="K3636" s="9" t="str">
        <f>IFERROR(__xludf.DUMMYFUNCTION("""COMPUTED_VALUE"""),"Python")</f>
        <v>Python</v>
      </c>
      <c r="L3636" s="9" t="str">
        <f>IFERROR(__xludf.DUMMYFUNCTION("""COMPUTED_VALUE"""),"Clojure")</f>
        <v>Clojure</v>
      </c>
      <c r="M3636" s="9" t="s">
        <v>22</v>
      </c>
    </row>
    <row r="3637" ht="15.75" customHeight="1">
      <c r="A3637" s="7"/>
      <c r="B3637" s="7" t="str">
        <f>IFERROR(__xludf.DUMMYFUNCTION("""COMPUTED_VALUE"""),"Bash/Shell/PowerShell;HTML/CSS;Java;JavaScript;PHP;SQL")</f>
        <v>Bash/Shell/PowerShell;HTML/CSS;Java;JavaScript;PHP;SQL</v>
      </c>
      <c r="C3637" s="9" t="str">
        <f>IFERROR(__xludf.DUMMYFUNCTION("""COMPUTED_VALUE"""),"R")</f>
        <v>R</v>
      </c>
      <c r="D3637" s="9" t="str">
        <f>IFERROR(__xludf.DUMMYFUNCTION("""COMPUTED_VALUE"""),"Elixir")</f>
        <v>Elixir</v>
      </c>
      <c r="E3637" s="9" t="str">
        <f>IFERROR(__xludf.DUMMYFUNCTION("""COMPUTED_VALUE"""),"Java")</f>
        <v>Java</v>
      </c>
      <c r="F3637" s="9" t="str">
        <f>IFERROR(__xludf.DUMMYFUNCTION("""COMPUTED_VALUE"""),"JavaScript")</f>
        <v>JavaScript</v>
      </c>
      <c r="G3637" s="9" t="str">
        <f>IFERROR(__xludf.DUMMYFUNCTION("""COMPUTED_VALUE"""),"Objective-C")</f>
        <v>Objective-C</v>
      </c>
      <c r="H3637" s="9" t="str">
        <f>IFERROR(__xludf.DUMMYFUNCTION("""COMPUTED_VALUE"""),"Java")</f>
        <v>Java</v>
      </c>
      <c r="I3637" s="9" t="str">
        <f>IFERROR(__xludf.DUMMYFUNCTION("""COMPUTED_VALUE"""),"Rust")</f>
        <v>Rust</v>
      </c>
      <c r="J3637" s="9" t="str">
        <f>IFERROR(__xludf.DUMMYFUNCTION("""COMPUTED_VALUE"""),"Python")</f>
        <v>Python</v>
      </c>
      <c r="K3637" s="9" t="str">
        <f>IFERROR(__xludf.DUMMYFUNCTION("""COMPUTED_VALUE"""),"Bash/Shell/PowerShell")</f>
        <v>Bash/Shell/PowerShell</v>
      </c>
      <c r="L3637" s="9" t="str">
        <f>IFERROR(__xludf.DUMMYFUNCTION("""COMPUTED_VALUE"""),"HTML/CSS")</f>
        <v>HTML/CSS</v>
      </c>
      <c r="M3637" s="9" t="s">
        <v>29</v>
      </c>
    </row>
    <row r="3638" ht="15.75" customHeight="1">
      <c r="A3638" s="7"/>
      <c r="B3638" s="7" t="str">
        <f>IFERROR(__xludf.DUMMYFUNCTION("""COMPUTED_VALUE"""),"Bash/Shell/PowerShell;C#;HTML/CSS;JavaScript;SQL;VBA")</f>
        <v>Bash/Shell/PowerShell;C#;HTML/CSS;JavaScript;SQL;VBA</v>
      </c>
      <c r="C3638" s="9" t="str">
        <f>IFERROR(__xludf.DUMMYFUNCTION("""COMPUTED_VALUE"""),"SQL")</f>
        <v>SQL</v>
      </c>
      <c r="D3638" s="9" t="str">
        <f>IFERROR(__xludf.DUMMYFUNCTION("""COMPUTED_VALUE"""),"Go")</f>
        <v>Go</v>
      </c>
      <c r="E3638" s="9" t="str">
        <f>IFERROR(__xludf.DUMMYFUNCTION("""COMPUTED_VALUE"""),"JavaScript")</f>
        <v>JavaScript</v>
      </c>
      <c r="F3638" s="9" t="str">
        <f>IFERROR(__xludf.DUMMYFUNCTION("""COMPUTED_VALUE"""),"Python")</f>
        <v>Python</v>
      </c>
      <c r="G3638" s="9" t="str">
        <f>IFERROR(__xludf.DUMMYFUNCTION("""COMPUTED_VALUE"""),"PHP")</f>
        <v>PHP</v>
      </c>
      <c r="H3638" s="9" t="str">
        <f>IFERROR(__xludf.DUMMYFUNCTION("""COMPUTED_VALUE"""),"JavaScript")</f>
        <v>JavaScript</v>
      </c>
      <c r="I3638" s="9" t="str">
        <f>IFERROR(__xludf.DUMMYFUNCTION("""COMPUTED_VALUE"""),"SQL")</f>
        <v>SQL</v>
      </c>
      <c r="J3638" s="9" t="str">
        <f>IFERROR(__xludf.DUMMYFUNCTION("""COMPUTED_VALUE"""),"Bash/Shell/PowerShell")</f>
        <v>Bash/Shell/PowerShell</v>
      </c>
      <c r="K3638" s="9" t="str">
        <f>IFERROR(__xludf.DUMMYFUNCTION("""COMPUTED_VALUE"""),"Python")</f>
        <v>Python</v>
      </c>
      <c r="L3638" s="9" t="str">
        <f>IFERROR(__xludf.DUMMYFUNCTION("""COMPUTED_VALUE"""),"Java")</f>
        <v>Java</v>
      </c>
      <c r="M3638" s="9" t="s">
        <v>27</v>
      </c>
    </row>
    <row r="3639" ht="15.75" customHeight="1">
      <c r="A3639" s="7"/>
      <c r="B3639" s="7" t="str">
        <f>IFERROR(__xludf.DUMMYFUNCTION("""COMPUTED_VALUE"""),"C#;SQL;TypeScript")</f>
        <v>C#;SQL;TypeScript</v>
      </c>
      <c r="C3639" s="9" t="str">
        <f>IFERROR(__xludf.DUMMYFUNCTION("""COMPUTED_VALUE"""),"Bash/Shell/PowerShell")</f>
        <v>Bash/Shell/PowerShell</v>
      </c>
      <c r="D3639" s="9" t="str">
        <f>IFERROR(__xludf.DUMMYFUNCTION("""COMPUTED_VALUE"""),"HTML/CSS")</f>
        <v>HTML/CSS</v>
      </c>
      <c r="E3639" s="9" t="str">
        <f>IFERROR(__xludf.DUMMYFUNCTION("""COMPUTED_VALUE"""),"HTML/CSS")</f>
        <v>HTML/CSS</v>
      </c>
      <c r="F3639" s="9" t="str">
        <f>IFERROR(__xludf.DUMMYFUNCTION("""COMPUTED_VALUE"""),"Ruby")</f>
        <v>Ruby</v>
      </c>
      <c r="G3639" s="9" t="str">
        <f>IFERROR(__xludf.DUMMYFUNCTION("""COMPUTED_VALUE"""),"Python")</f>
        <v>Python</v>
      </c>
      <c r="H3639" s="9" t="str">
        <f>IFERROR(__xludf.DUMMYFUNCTION("""COMPUTED_VALUE"""),"Bash/Shell/PowerShell")</f>
        <v>Bash/Shell/PowerShell</v>
      </c>
      <c r="I3639" s="9" t="str">
        <f>IFERROR(__xludf.DUMMYFUNCTION("""COMPUTED_VALUE"""),"Other(s):")</f>
        <v>Other(s):</v>
      </c>
      <c r="J3639" s="9" t="str">
        <f>IFERROR(__xludf.DUMMYFUNCTION("""COMPUTED_VALUE"""),"HTML/CSS")</f>
        <v>HTML/CSS</v>
      </c>
      <c r="K3639" s="9" t="str">
        <f>IFERROR(__xludf.DUMMYFUNCTION("""COMPUTED_VALUE"""),"R")</f>
        <v>R</v>
      </c>
      <c r="L3639" s="9" t="str">
        <f>IFERROR(__xludf.DUMMYFUNCTION("""COMPUTED_VALUE"""),"JavaScript")</f>
        <v>JavaScript</v>
      </c>
      <c r="M3639" s="9" t="s">
        <v>30</v>
      </c>
    </row>
    <row r="3640" ht="15.75" customHeight="1">
      <c r="A3640" s="7"/>
      <c r="B3640" s="7" t="str">
        <f>IFERROR(__xludf.DUMMYFUNCTION("""COMPUTED_VALUE"""),"Assembly;Bash/Shell/PowerShell;C;C++;JavaScript;Python")</f>
        <v>Assembly;Bash/Shell/PowerShell;C;C++;JavaScript;Python</v>
      </c>
      <c r="C3640" s="9" t="str">
        <f>IFERROR(__xludf.DUMMYFUNCTION("""COMPUTED_VALUE"""),"Java")</f>
        <v>Java</v>
      </c>
      <c r="D3640" s="9" t="str">
        <f>IFERROR(__xludf.DUMMYFUNCTION("""COMPUTED_VALUE"""),"Java")</f>
        <v>Java</v>
      </c>
      <c r="E3640" s="9" t="str">
        <f>IFERROR(__xludf.DUMMYFUNCTION("""COMPUTED_VALUE"""),"JavaScript")</f>
        <v>JavaScript</v>
      </c>
      <c r="F3640" s="9" t="str">
        <f>IFERROR(__xludf.DUMMYFUNCTION("""COMPUTED_VALUE"""),"SQL")</f>
        <v>SQL</v>
      </c>
      <c r="G3640" s="9" t="str">
        <f>IFERROR(__xludf.DUMMYFUNCTION("""COMPUTED_VALUE"""),"SQL")</f>
        <v>SQL</v>
      </c>
      <c r="H3640" s="9" t="str">
        <f>IFERROR(__xludf.DUMMYFUNCTION("""COMPUTED_VALUE"""),"C++")</f>
        <v>C++</v>
      </c>
      <c r="I3640" s="9" t="str">
        <f>IFERROR(__xludf.DUMMYFUNCTION("""COMPUTED_VALUE"""),"Bash/Shell/PowerShell")</f>
        <v>Bash/Shell/PowerShell</v>
      </c>
      <c r="J3640" s="9" t="str">
        <f>IFERROR(__xludf.DUMMYFUNCTION("""COMPUTED_VALUE"""),"Java")</f>
        <v>Java</v>
      </c>
      <c r="K3640" s="9" t="str">
        <f>IFERROR(__xludf.DUMMYFUNCTION("""COMPUTED_VALUE"""),"Ruby")</f>
        <v>Ruby</v>
      </c>
      <c r="L3640" s="9" t="str">
        <f>IFERROR(__xludf.DUMMYFUNCTION("""COMPUTED_VALUE"""),"SQL")</f>
        <v>SQL</v>
      </c>
      <c r="M3640" s="9" t="s">
        <v>20</v>
      </c>
    </row>
    <row r="3641" ht="15.75" customHeight="1">
      <c r="A3641" s="7"/>
      <c r="B3641" s="7" t="str">
        <f>IFERROR(__xludf.DUMMYFUNCTION("""COMPUTED_VALUE"""),"Bash/Shell/PowerShell;HTML/CSS;JavaScript;PHP;SQL")</f>
        <v>Bash/Shell/PowerShell;HTML/CSS;JavaScript;PHP;SQL</v>
      </c>
      <c r="C3641" s="9" t="str">
        <f>IFERROR(__xludf.DUMMYFUNCTION("""COMPUTED_VALUE"""),"JavaScript")</f>
        <v>JavaScript</v>
      </c>
      <c r="D3641" s="9" t="str">
        <f>IFERROR(__xludf.DUMMYFUNCTION("""COMPUTED_VALUE"""),"JavaScript")</f>
        <v>JavaScript</v>
      </c>
      <c r="E3641" s="9" t="str">
        <f>IFERROR(__xludf.DUMMYFUNCTION("""COMPUTED_VALUE"""),"PHP")</f>
        <v>PHP</v>
      </c>
      <c r="F3641" s="9" t="str">
        <f>IFERROR(__xludf.DUMMYFUNCTION("""COMPUTED_VALUE"""),"TypeScript")</f>
        <v>TypeScript</v>
      </c>
      <c r="G3641" s="9" t="str">
        <f>IFERROR(__xludf.DUMMYFUNCTION("""COMPUTED_VALUE"""),"Swift")</f>
        <v>Swift</v>
      </c>
      <c r="H3641" s="9" t="str">
        <f>IFERROR(__xludf.DUMMYFUNCTION("""COMPUTED_VALUE"""),"Python")</f>
        <v>Python</v>
      </c>
      <c r="I3641" s="9" t="str">
        <f>IFERROR(__xludf.DUMMYFUNCTION("""COMPUTED_VALUE"""),"C#")</f>
        <v>C#</v>
      </c>
      <c r="J3641" s="9" t="str">
        <f>IFERROR(__xludf.DUMMYFUNCTION("""COMPUTED_VALUE"""),"JavaScript")</f>
        <v>JavaScript</v>
      </c>
      <c r="K3641" s="9" t="str">
        <f>IFERROR(__xludf.DUMMYFUNCTION("""COMPUTED_VALUE"""),"Python")</f>
        <v>Python</v>
      </c>
      <c r="L3641" s="9" t="str">
        <f>IFERROR(__xludf.DUMMYFUNCTION("""COMPUTED_VALUE"""),"SQL")</f>
        <v>SQL</v>
      </c>
      <c r="M3641" s="9" t="s">
        <v>21</v>
      </c>
    </row>
    <row r="3642" ht="15.75" customHeight="1">
      <c r="A3642" s="7"/>
      <c r="B3642" s="7" t="str">
        <f>IFERROR(__xludf.DUMMYFUNCTION("""COMPUTED_VALUE"""),"Python;Rust;SQL")</f>
        <v>Python;Rust;SQL</v>
      </c>
      <c r="C3642" s="9" t="str">
        <f>IFERROR(__xludf.DUMMYFUNCTION("""COMPUTED_VALUE"""),"Swift")</f>
        <v>Swift</v>
      </c>
      <c r="D3642" s="9" t="str">
        <f>IFERROR(__xludf.DUMMYFUNCTION("""COMPUTED_VALUE"""),"Kotlin")</f>
        <v>Kotlin</v>
      </c>
      <c r="E3642" s="9" t="str">
        <f>IFERROR(__xludf.DUMMYFUNCTION("""COMPUTED_VALUE"""),"TypeScript")</f>
        <v>TypeScript</v>
      </c>
      <c r="F3642" s="9" t="str">
        <f>IFERROR(__xludf.DUMMYFUNCTION("""COMPUTED_VALUE"""),"C#")</f>
        <v>C#</v>
      </c>
      <c r="G3642" s="9" t="str">
        <f>IFERROR(__xludf.DUMMYFUNCTION("""COMPUTED_VALUE"""),"Java")</f>
        <v>Java</v>
      </c>
      <c r="H3642" s="9" t="str">
        <f>IFERROR(__xludf.DUMMYFUNCTION("""COMPUTED_VALUE"""),"R")</f>
        <v>R</v>
      </c>
      <c r="I3642" s="9" t="str">
        <f>IFERROR(__xludf.DUMMYFUNCTION("""COMPUTED_VALUE"""),"HTML/CSS")</f>
        <v>HTML/CSS</v>
      </c>
      <c r="J3642" s="9" t="str">
        <f>IFERROR(__xludf.DUMMYFUNCTION("""COMPUTED_VALUE"""),"Python")</f>
        <v>Python</v>
      </c>
      <c r="K3642" s="9" t="str">
        <f>IFERROR(__xludf.DUMMYFUNCTION("""COMPUTED_VALUE"""),"Other(s):")</f>
        <v>Other(s):</v>
      </c>
      <c r="L3642" s="9" t="str">
        <f>IFERROR(__xludf.DUMMYFUNCTION("""COMPUTED_VALUE"""),"C#")</f>
        <v>C#</v>
      </c>
      <c r="M3642" s="9" t="s">
        <v>40</v>
      </c>
    </row>
    <row r="3643" ht="15.75" customHeight="1">
      <c r="A3643" s="7"/>
      <c r="B3643" s="7" t="str">
        <f>IFERROR(__xludf.DUMMYFUNCTION("""COMPUTED_VALUE"""),"Bash/Shell/PowerShell;Java;Python;Scala;SQL")</f>
        <v>Bash/Shell/PowerShell;Java;Python;Scala;SQL</v>
      </c>
      <c r="C3643" s="9" t="str">
        <f>IFERROR(__xludf.DUMMYFUNCTION("""COMPUTED_VALUE"""),"Bash/Shell/PowerShell")</f>
        <v>Bash/Shell/PowerShell</v>
      </c>
      <c r="D3643" s="9" t="str">
        <f>IFERROR(__xludf.DUMMYFUNCTION("""COMPUTED_VALUE"""),"Python")</f>
        <v>Python</v>
      </c>
      <c r="E3643" s="9" t="str">
        <f>IFERROR(__xludf.DUMMYFUNCTION("""COMPUTED_VALUE"""),"HTML/CSS")</f>
        <v>HTML/CSS</v>
      </c>
      <c r="F3643" s="9" t="str">
        <f>IFERROR(__xludf.DUMMYFUNCTION("""COMPUTED_VALUE"""),"Java")</f>
        <v>Java</v>
      </c>
      <c r="G3643" s="9" t="str">
        <f>IFERROR(__xludf.DUMMYFUNCTION("""COMPUTED_VALUE"""),"C")</f>
        <v>C</v>
      </c>
      <c r="H3643" s="9" t="str">
        <f>IFERROR(__xludf.DUMMYFUNCTION("""COMPUTED_VALUE"""),"Bash/Shell/PowerShell")</f>
        <v>Bash/Shell/PowerShell</v>
      </c>
      <c r="I3643" s="9" t="str">
        <f>IFERROR(__xludf.DUMMYFUNCTION("""COMPUTED_VALUE"""),"JavaScript")</f>
        <v>JavaScript</v>
      </c>
      <c r="J3643" s="9" t="str">
        <f>IFERROR(__xludf.DUMMYFUNCTION("""COMPUTED_VALUE"""),"Java")</f>
        <v>Java</v>
      </c>
      <c r="K3643" s="9" t="str">
        <f>IFERROR(__xludf.DUMMYFUNCTION("""COMPUTED_VALUE"""),"C#")</f>
        <v>C#</v>
      </c>
      <c r="L3643" s="9" t="str">
        <f>IFERROR(__xludf.DUMMYFUNCTION("""COMPUTED_VALUE"""),"HTML/CSS")</f>
        <v>HTML/CSS</v>
      </c>
      <c r="M3643" s="9" t="s">
        <v>30</v>
      </c>
    </row>
    <row r="3644" ht="15.75" customHeight="1">
      <c r="A3644" s="7"/>
      <c r="B3644" s="7" t="str">
        <f>IFERROR(__xludf.DUMMYFUNCTION("""COMPUTED_VALUE"""),"Bash/Shell/PowerShell;Dart;Go;Kotlin;PHP;Python;SQL")</f>
        <v>Bash/Shell/PowerShell;Dart;Go;Kotlin;PHP;Python;SQL</v>
      </c>
      <c r="C3644" s="9" t="str">
        <f>IFERROR(__xludf.DUMMYFUNCTION("""COMPUTED_VALUE"""),"Java")</f>
        <v>Java</v>
      </c>
      <c r="D3644" s="9" t="str">
        <f>IFERROR(__xludf.DUMMYFUNCTION("""COMPUTED_VALUE"""),"Ruby")</f>
        <v>Ruby</v>
      </c>
      <c r="E3644" s="9" t="str">
        <f>IFERROR(__xludf.DUMMYFUNCTION("""COMPUTED_VALUE"""),"JavaScript")</f>
        <v>JavaScript</v>
      </c>
      <c r="F3644" s="9" t="str">
        <f>IFERROR(__xludf.DUMMYFUNCTION("""COMPUTED_VALUE"""),"Bash/Shell/PowerShell")</f>
        <v>Bash/Shell/PowerShell</v>
      </c>
      <c r="G3644" s="9" t="str">
        <f>IFERROR(__xludf.DUMMYFUNCTION("""COMPUTED_VALUE"""),"C++")</f>
        <v>C++</v>
      </c>
      <c r="H3644" s="9" t="str">
        <f>IFERROR(__xludf.DUMMYFUNCTION("""COMPUTED_VALUE"""),"Go")</f>
        <v>Go</v>
      </c>
      <c r="I3644" s="9" t="str">
        <f>IFERROR(__xludf.DUMMYFUNCTION("""COMPUTED_VALUE"""),"SQL")</f>
        <v>SQL</v>
      </c>
      <c r="J3644" s="9" t="str">
        <f>IFERROR(__xludf.DUMMYFUNCTION("""COMPUTED_VALUE"""),"PHP")</f>
        <v>PHP</v>
      </c>
      <c r="K3644" s="9" t="str">
        <f>IFERROR(__xludf.DUMMYFUNCTION("""COMPUTED_VALUE"""),"HTML/CSS")</f>
        <v>HTML/CSS</v>
      </c>
      <c r="L3644" s="9" t="str">
        <f>IFERROR(__xludf.DUMMYFUNCTION("""COMPUTED_VALUE"""),"JavaScript")</f>
        <v>JavaScript</v>
      </c>
      <c r="M3644" s="9" t="s">
        <v>20</v>
      </c>
    </row>
    <row r="3645" ht="15.75" customHeight="1">
      <c r="A3645" s="7"/>
      <c r="B3645" s="7" t="str">
        <f>IFERROR(__xludf.DUMMYFUNCTION("""COMPUTED_VALUE"""),"C#;HTML/CSS;JavaScript;TypeScript")</f>
        <v>C#;HTML/CSS;JavaScript;TypeScript</v>
      </c>
      <c r="C3645" s="9" t="str">
        <f>IFERROR(__xludf.DUMMYFUNCTION("""COMPUTED_VALUE"""),"PHP")</f>
        <v>PHP</v>
      </c>
      <c r="D3645" s="9" t="str">
        <f>IFERROR(__xludf.DUMMYFUNCTION("""COMPUTED_VALUE"""),"Swift")</f>
        <v>Swift</v>
      </c>
      <c r="E3645" s="9" t="str">
        <f>IFERROR(__xludf.DUMMYFUNCTION("""COMPUTED_VALUE"""),"Python")</f>
        <v>Python</v>
      </c>
      <c r="F3645" s="9" t="str">
        <f>IFERROR(__xludf.DUMMYFUNCTION("""COMPUTED_VALUE"""),"Go")</f>
        <v>Go</v>
      </c>
      <c r="G3645" s="9" t="str">
        <f>IFERROR(__xludf.DUMMYFUNCTION("""COMPUTED_VALUE"""),"JavaScript")</f>
        <v>JavaScript</v>
      </c>
      <c r="H3645" s="9" t="str">
        <f>IFERROR(__xludf.DUMMYFUNCTION("""COMPUTED_VALUE"""),"HTML/CSS")</f>
        <v>HTML/CSS</v>
      </c>
      <c r="I3645" s="9" t="str">
        <f>IFERROR(__xludf.DUMMYFUNCTION("""COMPUTED_VALUE"""),"C#")</f>
        <v>C#</v>
      </c>
      <c r="J3645" s="9" t="str">
        <f>IFERROR(__xludf.DUMMYFUNCTION("""COMPUTED_VALUE"""),"SQL")</f>
        <v>SQL</v>
      </c>
      <c r="K3645" s="9" t="str">
        <f>IFERROR(__xludf.DUMMYFUNCTION("""COMPUTED_VALUE"""),"JavaScript")</f>
        <v>JavaScript</v>
      </c>
      <c r="L3645" s="9" t="str">
        <f>IFERROR(__xludf.DUMMYFUNCTION("""COMPUTED_VALUE"""),"PHP")</f>
        <v>PHP</v>
      </c>
      <c r="M3645" s="9" t="s">
        <v>37</v>
      </c>
    </row>
    <row r="3646" ht="15.75" customHeight="1">
      <c r="A3646" s="7"/>
      <c r="B3646" s="7" t="str">
        <f>IFERROR(__xludf.DUMMYFUNCTION("""COMPUTED_VALUE"""),"Bash/Shell/PowerShell;C++;HTML/CSS;Java;JavaScript;PHP;Python;SQL;Other(s):")</f>
        <v>Bash/Shell/PowerShell;C++;HTML/CSS;Java;JavaScript;PHP;Python;SQL;Other(s):</v>
      </c>
      <c r="C3646" s="9" t="str">
        <f>IFERROR(__xludf.DUMMYFUNCTION("""COMPUTED_VALUE"""),"Python")</f>
        <v>Python</v>
      </c>
      <c r="D3646" s="9" t="str">
        <f>IFERROR(__xludf.DUMMYFUNCTION("""COMPUTED_VALUE"""),"TypeScript")</f>
        <v>TypeScript</v>
      </c>
      <c r="E3646" s="9" t="str">
        <f>IFERROR(__xludf.DUMMYFUNCTION("""COMPUTED_VALUE"""),"Bash/Shell/PowerShell")</f>
        <v>Bash/Shell/PowerShell</v>
      </c>
      <c r="F3646" s="9" t="str">
        <f>IFERROR(__xludf.DUMMYFUNCTION("""COMPUTED_VALUE"""),"C#")</f>
        <v>C#</v>
      </c>
      <c r="G3646" s="9" t="str">
        <f>IFERROR(__xludf.DUMMYFUNCTION("""COMPUTED_VALUE"""),"C")</f>
        <v>C</v>
      </c>
      <c r="H3646" s="9" t="str">
        <f>IFERROR(__xludf.DUMMYFUNCTION("""COMPUTED_VALUE"""),"Java")</f>
        <v>Java</v>
      </c>
      <c r="I3646" s="9" t="str">
        <f>IFERROR(__xludf.DUMMYFUNCTION("""COMPUTED_VALUE"""),"HTML/CSS")</f>
        <v>HTML/CSS</v>
      </c>
      <c r="J3646" s="9" t="str">
        <f>IFERROR(__xludf.DUMMYFUNCTION("""COMPUTED_VALUE"""),"VBA")</f>
        <v>VBA</v>
      </c>
      <c r="K3646" s="9" t="str">
        <f>IFERROR(__xludf.DUMMYFUNCTION("""COMPUTED_VALUE"""),"TypeScript")</f>
        <v>TypeScript</v>
      </c>
      <c r="L3646" s="9" t="str">
        <f>IFERROR(__xludf.DUMMYFUNCTION("""COMPUTED_VALUE"""),"SQL")</f>
        <v>SQL</v>
      </c>
      <c r="M3646" s="9" t="s">
        <v>22</v>
      </c>
    </row>
    <row r="3647" ht="15.75" customHeight="1">
      <c r="A3647" s="7"/>
      <c r="B3647" s="7" t="str">
        <f>IFERROR(__xludf.DUMMYFUNCTION("""COMPUTED_VALUE"""),"Bash/Shell/PowerShell;HTML/CSS;Java;JavaScript;Python")</f>
        <v>Bash/Shell/PowerShell;HTML/CSS;Java;JavaScript;Python</v>
      </c>
      <c r="C3647" s="9" t="str">
        <f>IFERROR(__xludf.DUMMYFUNCTION("""COMPUTED_VALUE"""),"C++")</f>
        <v>C++</v>
      </c>
      <c r="D3647" s="9" t="str">
        <f>IFERROR(__xludf.DUMMYFUNCTION("""COMPUTED_VALUE"""),"HTML/CSS")</f>
        <v>HTML/CSS</v>
      </c>
      <c r="E3647" s="9" t="str">
        <f>IFERROR(__xludf.DUMMYFUNCTION("""COMPUTED_VALUE"""),"C#")</f>
        <v>C#</v>
      </c>
      <c r="F3647" s="9" t="str">
        <f>IFERROR(__xludf.DUMMYFUNCTION("""COMPUTED_VALUE"""),"HTML/CSS")</f>
        <v>HTML/CSS</v>
      </c>
      <c r="G3647" s="9" t="str">
        <f>IFERROR(__xludf.DUMMYFUNCTION("""COMPUTED_VALUE"""),"C#")</f>
        <v>C#</v>
      </c>
      <c r="H3647" s="9" t="str">
        <f>IFERROR(__xludf.DUMMYFUNCTION("""COMPUTED_VALUE"""),"JavaScript")</f>
        <v>JavaScript</v>
      </c>
      <c r="I3647" s="9" t="str">
        <f>IFERROR(__xludf.DUMMYFUNCTION("""COMPUTED_VALUE"""),"Java")</f>
        <v>Java</v>
      </c>
      <c r="J3647" s="9" t="str">
        <f>IFERROR(__xludf.DUMMYFUNCTION("""COMPUTED_VALUE"""),"C")</f>
        <v>C</v>
      </c>
      <c r="K3647" s="9" t="str">
        <f>IFERROR(__xludf.DUMMYFUNCTION("""COMPUTED_VALUE"""),"Other(s):")</f>
        <v>Other(s):</v>
      </c>
      <c r="L3647" s="9" t="str">
        <f>IFERROR(__xludf.DUMMYFUNCTION("""COMPUTED_VALUE"""),"C#")</f>
        <v>C#</v>
      </c>
      <c r="M3647" s="9" t="s">
        <v>23</v>
      </c>
    </row>
    <row r="3648" ht="15.75" customHeight="1">
      <c r="A3648" s="7"/>
      <c r="B3648" s="7" t="str">
        <f>IFERROR(__xludf.DUMMYFUNCTION("""COMPUTED_VALUE"""),"C;R")</f>
        <v>C;R</v>
      </c>
      <c r="C3648" s="9" t="str">
        <f>IFERROR(__xludf.DUMMYFUNCTION("""COMPUTED_VALUE"""),"C#")</f>
        <v>C#</v>
      </c>
      <c r="D3648" s="9" t="str">
        <f>IFERROR(__xludf.DUMMYFUNCTION("""COMPUTED_VALUE"""),"JavaScript")</f>
        <v>JavaScript</v>
      </c>
      <c r="E3648" s="9" t="str">
        <f>IFERROR(__xludf.DUMMYFUNCTION("""COMPUTED_VALUE"""),"HTML/CSS")</f>
        <v>HTML/CSS</v>
      </c>
      <c r="F3648" s="9" t="str">
        <f>IFERROR(__xludf.DUMMYFUNCTION("""COMPUTED_VALUE"""),"Java")</f>
        <v>Java</v>
      </c>
      <c r="G3648" s="9" t="str">
        <f>IFERROR(__xludf.DUMMYFUNCTION("""COMPUTED_VALUE"""),"HTML/CSS")</f>
        <v>HTML/CSS</v>
      </c>
      <c r="H3648" s="9" t="str">
        <f>IFERROR(__xludf.DUMMYFUNCTION("""COMPUTED_VALUE"""),"Python")</f>
        <v>Python</v>
      </c>
      <c r="I3648" s="9" t="str">
        <f>IFERROR(__xludf.DUMMYFUNCTION("""COMPUTED_VALUE"""),"JavaScript")</f>
        <v>JavaScript</v>
      </c>
      <c r="J3648" s="9" t="str">
        <f>IFERROR(__xludf.DUMMYFUNCTION("""COMPUTED_VALUE"""),"C#")</f>
        <v>C#</v>
      </c>
      <c r="K3648" s="9" t="str">
        <f>IFERROR(__xludf.DUMMYFUNCTION("""COMPUTED_VALUE"""),"Bash/Shell/PowerShell")</f>
        <v>Bash/Shell/PowerShell</v>
      </c>
      <c r="L3648" s="9" t="str">
        <f>IFERROR(__xludf.DUMMYFUNCTION("""COMPUTED_VALUE"""),"HTML/CSS")</f>
        <v>HTML/CSS</v>
      </c>
      <c r="M3648" s="9" t="s">
        <v>26</v>
      </c>
    </row>
    <row r="3649" ht="15.75" customHeight="1">
      <c r="A3649" s="7"/>
      <c r="B3649" s="7" t="str">
        <f>IFERROR(__xludf.DUMMYFUNCTION("""COMPUTED_VALUE"""),"Bash/Shell/PowerShell;HTML/CSS;Java;Kotlin;Python;VBA")</f>
        <v>Bash/Shell/PowerShell;HTML/CSS;Java;Kotlin;Python;VBA</v>
      </c>
      <c r="C3649" s="9" t="str">
        <f>IFERROR(__xludf.DUMMYFUNCTION("""COMPUTED_VALUE"""),"HTML/CSS")</f>
        <v>HTML/CSS</v>
      </c>
      <c r="D3649" s="9" t="str">
        <f>IFERROR(__xludf.DUMMYFUNCTION("""COMPUTED_VALUE"""),"TypeScript")</f>
        <v>TypeScript</v>
      </c>
      <c r="E3649" s="9" t="str">
        <f>IFERROR(__xludf.DUMMYFUNCTION("""COMPUTED_VALUE"""),"JavaScript")</f>
        <v>JavaScript</v>
      </c>
      <c r="F3649" s="9" t="str">
        <f>IFERROR(__xludf.DUMMYFUNCTION("""COMPUTED_VALUE"""),"JavaScript")</f>
        <v>JavaScript</v>
      </c>
      <c r="G3649" s="9" t="str">
        <f>IFERROR(__xludf.DUMMYFUNCTION("""COMPUTED_VALUE"""),"JavaScript")</f>
        <v>JavaScript</v>
      </c>
      <c r="H3649" s="9" t="str">
        <f>IFERROR(__xludf.DUMMYFUNCTION("""COMPUTED_VALUE"""),"SQL")</f>
        <v>SQL</v>
      </c>
      <c r="I3649" s="9" t="str">
        <f>IFERROR(__xludf.DUMMYFUNCTION("""COMPUTED_VALUE"""),"SQL")</f>
        <v>SQL</v>
      </c>
      <c r="J3649" s="9" t="str">
        <f>IFERROR(__xludf.DUMMYFUNCTION("""COMPUTED_VALUE"""),"HTML/CSS")</f>
        <v>HTML/CSS</v>
      </c>
      <c r="K3649" s="9" t="str">
        <f>IFERROR(__xludf.DUMMYFUNCTION("""COMPUTED_VALUE"""),"C")</f>
        <v>C</v>
      </c>
      <c r="L3649" s="9" t="str">
        <f>IFERROR(__xludf.DUMMYFUNCTION("""COMPUTED_VALUE"""),"JavaScript")</f>
        <v>JavaScript</v>
      </c>
      <c r="M3649" s="9" t="s">
        <v>24</v>
      </c>
    </row>
    <row r="3650" ht="15.75" customHeight="1">
      <c r="A3650" s="7"/>
      <c r="B3650" s="7" t="str">
        <f>IFERROR(__xludf.DUMMYFUNCTION("""COMPUTED_VALUE"""),"Java;Python;SQL")</f>
        <v>Java;Python;SQL</v>
      </c>
      <c r="C3650" s="9" t="str">
        <f>IFERROR(__xludf.DUMMYFUNCTION("""COMPUTED_VALUE"""),"Java")</f>
        <v>Java</v>
      </c>
      <c r="D3650" s="9" t="str">
        <f>IFERROR(__xludf.DUMMYFUNCTION("""COMPUTED_VALUE"""),"Assembly")</f>
        <v>Assembly</v>
      </c>
      <c r="E3650" s="9" t="str">
        <f>IFERROR(__xludf.DUMMYFUNCTION("""COMPUTED_VALUE"""),"SQL")</f>
        <v>SQL</v>
      </c>
      <c r="F3650" s="9" t="str">
        <f>IFERROR(__xludf.DUMMYFUNCTION("""COMPUTED_VALUE"""),"PHP")</f>
        <v>PHP</v>
      </c>
      <c r="G3650" s="9" t="str">
        <f>IFERROR(__xludf.DUMMYFUNCTION("""COMPUTED_VALUE"""),"PHP")</f>
        <v>PHP</v>
      </c>
      <c r="H3650" s="9" t="str">
        <f>IFERROR(__xludf.DUMMYFUNCTION("""COMPUTED_VALUE"""),"HTML/CSS")</f>
        <v>HTML/CSS</v>
      </c>
      <c r="I3650" s="9" t="str">
        <f>IFERROR(__xludf.DUMMYFUNCTION("""COMPUTED_VALUE"""),"WebAssembly")</f>
        <v>WebAssembly</v>
      </c>
      <c r="J3650" s="9" t="str">
        <f>IFERROR(__xludf.DUMMYFUNCTION("""COMPUTED_VALUE"""),"JavaScript")</f>
        <v>JavaScript</v>
      </c>
      <c r="K3650" s="9" t="str">
        <f>IFERROR(__xludf.DUMMYFUNCTION("""COMPUTED_VALUE"""),"C++")</f>
        <v>C++</v>
      </c>
      <c r="L3650" s="9" t="str">
        <f>IFERROR(__xludf.DUMMYFUNCTION("""COMPUTED_VALUE"""),"SQL")</f>
        <v>SQL</v>
      </c>
      <c r="M3650" s="9" t="s">
        <v>20</v>
      </c>
    </row>
    <row r="3651" ht="15.75" customHeight="1">
      <c r="A3651" s="7"/>
      <c r="B3651" s="7" t="str">
        <f>IFERROR(__xludf.DUMMYFUNCTION("""COMPUTED_VALUE"""),"C#;Dart;F#;HTML/CSS;Java;JavaScript;Python;SQL")</f>
        <v>C#;Dart;F#;HTML/CSS;Java;JavaScript;Python;SQL</v>
      </c>
      <c r="C3651" s="9" t="str">
        <f>IFERROR(__xludf.DUMMYFUNCTION("""COMPUTED_VALUE"""),"JavaScript")</f>
        <v>JavaScript</v>
      </c>
      <c r="D3651" s="9" t="str">
        <f>IFERROR(__xludf.DUMMYFUNCTION("""COMPUTED_VALUE"""),"Bash/Shell/PowerShell")</f>
        <v>Bash/Shell/PowerShell</v>
      </c>
      <c r="E3651" s="9" t="str">
        <f>IFERROR(__xludf.DUMMYFUNCTION("""COMPUTED_VALUE"""),"TypeScript")</f>
        <v>TypeScript</v>
      </c>
      <c r="F3651" s="9" t="str">
        <f>IFERROR(__xludf.DUMMYFUNCTION("""COMPUTED_VALUE"""),"SQL")</f>
        <v>SQL</v>
      </c>
      <c r="G3651" s="9" t="str">
        <f>IFERROR(__xludf.DUMMYFUNCTION("""COMPUTED_VALUE"""),"Python")</f>
        <v>Python</v>
      </c>
      <c r="H3651" s="9" t="str">
        <f>IFERROR(__xludf.DUMMYFUNCTION("""COMPUTED_VALUE"""),"JavaScript")</f>
        <v>JavaScript</v>
      </c>
      <c r="I3651" s="9" t="str">
        <f>IFERROR(__xludf.DUMMYFUNCTION("""COMPUTED_VALUE"""),"C#")</f>
        <v>C#</v>
      </c>
      <c r="J3651" s="9" t="str">
        <f>IFERROR(__xludf.DUMMYFUNCTION("""COMPUTED_VALUE"""),"Python")</f>
        <v>Python</v>
      </c>
      <c r="K3651" s="9" t="str">
        <f>IFERROR(__xludf.DUMMYFUNCTION("""COMPUTED_VALUE"""),"HTML/CSS")</f>
        <v>HTML/CSS</v>
      </c>
      <c r="L3651" s="9" t="str">
        <f>IFERROR(__xludf.DUMMYFUNCTION("""COMPUTED_VALUE"""),"TypeScript")</f>
        <v>TypeScript</v>
      </c>
      <c r="M3651" s="9" t="s">
        <v>21</v>
      </c>
    </row>
    <row r="3652" ht="15.75" customHeight="1">
      <c r="A3652" s="7"/>
      <c r="B3652" s="7" t="str">
        <f>IFERROR(__xludf.DUMMYFUNCTION("""COMPUTED_VALUE"""),"Bash/Shell/PowerShell;C;C++;HTML/CSS;Java;JavaScript;PHP;Python;R;SQL;VBA")</f>
        <v>Bash/Shell/PowerShell;C;C++;HTML/CSS;Java;JavaScript;PHP;Python;R;SQL;VBA</v>
      </c>
      <c r="C3652" s="9" t="str">
        <f>IFERROR(__xludf.DUMMYFUNCTION("""COMPUTED_VALUE"""),"PHP")</f>
        <v>PHP</v>
      </c>
      <c r="D3652" s="9" t="str">
        <f>IFERROR(__xludf.DUMMYFUNCTION("""COMPUTED_VALUE"""),"HTML/CSS")</f>
        <v>HTML/CSS</v>
      </c>
      <c r="E3652" s="9" t="str">
        <f>IFERROR(__xludf.DUMMYFUNCTION("""COMPUTED_VALUE"""),"Bash/Shell/PowerShell")</f>
        <v>Bash/Shell/PowerShell</v>
      </c>
      <c r="F3652" s="9" t="str">
        <f>IFERROR(__xludf.DUMMYFUNCTION("""COMPUTED_VALUE"""),"Bash/Shell/PowerShell")</f>
        <v>Bash/Shell/PowerShell</v>
      </c>
      <c r="G3652" s="9" t="str">
        <f>IFERROR(__xludf.DUMMYFUNCTION("""COMPUTED_VALUE"""),"SQL")</f>
        <v>SQL</v>
      </c>
      <c r="H3652" s="9" t="str">
        <f>IFERROR(__xludf.DUMMYFUNCTION("""COMPUTED_VALUE"""),"HTML/CSS")</f>
        <v>HTML/CSS</v>
      </c>
      <c r="I3652" s="9" t="str">
        <f>IFERROR(__xludf.DUMMYFUNCTION("""COMPUTED_VALUE"""),"HTML/CSS")</f>
        <v>HTML/CSS</v>
      </c>
      <c r="J3652" s="9" t="str">
        <f>IFERROR(__xludf.DUMMYFUNCTION("""COMPUTED_VALUE"""),"SQL")</f>
        <v>SQL</v>
      </c>
      <c r="K3652" s="9" t="str">
        <f>IFERROR(__xludf.DUMMYFUNCTION("""COMPUTED_VALUE"""),"Java")</f>
        <v>Java</v>
      </c>
      <c r="L3652" s="9" t="str">
        <f>IFERROR(__xludf.DUMMYFUNCTION("""COMPUTED_VALUE"""),"C#")</f>
        <v>C#</v>
      </c>
      <c r="M3652" s="9" t="s">
        <v>37</v>
      </c>
    </row>
    <row r="3653" ht="15.75" customHeight="1">
      <c r="A3653" s="7"/>
      <c r="B3653" s="7" t="str">
        <f>IFERROR(__xludf.DUMMYFUNCTION("""COMPUTED_VALUE"""),"Bash/Shell/PowerShell;C;HTML/CSS;JavaScript;Python;Rust;Swift;TypeScript")</f>
        <v>Bash/Shell/PowerShell;C;HTML/CSS;JavaScript;Python;Rust;Swift;TypeScript</v>
      </c>
      <c r="C3653" s="9" t="str">
        <f>IFERROR(__xludf.DUMMYFUNCTION("""COMPUTED_VALUE"""),"Python")</f>
        <v>Python</v>
      </c>
      <c r="D3653" s="9" t="str">
        <f>IFERROR(__xludf.DUMMYFUNCTION("""COMPUTED_VALUE"""),"Java")</f>
        <v>Java</v>
      </c>
      <c r="E3653" s="9" t="str">
        <f>IFERROR(__xludf.DUMMYFUNCTION("""COMPUTED_VALUE"""),"C")</f>
        <v>C</v>
      </c>
      <c r="F3653" s="9" t="str">
        <f>IFERROR(__xludf.DUMMYFUNCTION("""COMPUTED_VALUE"""),"C#")</f>
        <v>C#</v>
      </c>
      <c r="G3653" s="9" t="str">
        <f>IFERROR(__xludf.DUMMYFUNCTION("""COMPUTED_VALUE"""),"TypeScript")</f>
        <v>TypeScript</v>
      </c>
      <c r="H3653" s="9" t="str">
        <f>IFERROR(__xludf.DUMMYFUNCTION("""COMPUTED_VALUE"""),"JavaScript")</f>
        <v>JavaScript</v>
      </c>
      <c r="I3653" s="9" t="str">
        <f>IFERROR(__xludf.DUMMYFUNCTION("""COMPUTED_VALUE"""),"JavaScript")</f>
        <v>JavaScript</v>
      </c>
      <c r="J3653" s="9" t="str">
        <f>IFERROR(__xludf.DUMMYFUNCTION("""COMPUTED_VALUE"""),"HTML/CSS")</f>
        <v>HTML/CSS</v>
      </c>
      <c r="K3653" s="9" t="str">
        <f>IFERROR(__xludf.DUMMYFUNCTION("""COMPUTED_VALUE"""),"Python")</f>
        <v>Python</v>
      </c>
      <c r="L3653" s="9" t="str">
        <f>IFERROR(__xludf.DUMMYFUNCTION("""COMPUTED_VALUE"""),"HTML/CSS")</f>
        <v>HTML/CSS</v>
      </c>
      <c r="M3653" s="9" t="s">
        <v>22</v>
      </c>
    </row>
    <row r="3654" ht="15.75" customHeight="1">
      <c r="A3654" s="7"/>
      <c r="B3654" s="7" t="str">
        <f>IFERROR(__xludf.DUMMYFUNCTION("""COMPUTED_VALUE"""),"C;C++;C#;SQL;VBA")</f>
        <v>C;C++;C#;SQL;VBA</v>
      </c>
      <c r="C3654" s="9" t="str">
        <f>IFERROR(__xludf.DUMMYFUNCTION("""COMPUTED_VALUE"""),"SQL")</f>
        <v>SQL</v>
      </c>
      <c r="D3654" s="9" t="str">
        <f>IFERROR(__xludf.DUMMYFUNCTION("""COMPUTED_VALUE"""),"JavaScript")</f>
        <v>JavaScript</v>
      </c>
      <c r="E3654" s="9" t="str">
        <f>IFERROR(__xludf.DUMMYFUNCTION("""COMPUTED_VALUE"""),"C++")</f>
        <v>C++</v>
      </c>
      <c r="F3654" s="9" t="str">
        <f>IFERROR(__xludf.DUMMYFUNCTION("""COMPUTED_VALUE"""),"HTML/CSS")</f>
        <v>HTML/CSS</v>
      </c>
      <c r="G3654" s="9" t="str">
        <f>IFERROR(__xludf.DUMMYFUNCTION("""COMPUTED_VALUE"""),"VBA")</f>
        <v>VBA</v>
      </c>
      <c r="H3654" s="9" t="str">
        <f>IFERROR(__xludf.DUMMYFUNCTION("""COMPUTED_VALUE"""),"Python")</f>
        <v>Python</v>
      </c>
      <c r="I3654" s="9" t="str">
        <f>IFERROR(__xludf.DUMMYFUNCTION("""COMPUTED_VALUE"""),"Python")</f>
        <v>Python</v>
      </c>
      <c r="J3654" s="9" t="str">
        <f>IFERROR(__xludf.DUMMYFUNCTION("""COMPUTED_VALUE"""),"JavaScript")</f>
        <v>JavaScript</v>
      </c>
      <c r="K3654" s="9" t="str">
        <f>IFERROR(__xludf.DUMMYFUNCTION("""COMPUTED_VALUE"""),"Bash/Shell/PowerShell")</f>
        <v>Bash/Shell/PowerShell</v>
      </c>
      <c r="L3654" s="9" t="str">
        <f>IFERROR(__xludf.DUMMYFUNCTION("""COMPUTED_VALUE"""),"Java")</f>
        <v>Java</v>
      </c>
      <c r="M3654" s="9" t="s">
        <v>27</v>
      </c>
    </row>
    <row r="3655" ht="15.75" customHeight="1">
      <c r="A3655" s="7"/>
      <c r="B3655" s="7" t="str">
        <f>IFERROR(__xludf.DUMMYFUNCTION("""COMPUTED_VALUE"""),"Bash/Shell/PowerShell;Go;HTML/CSS;Java;JavaScript;Python;Ruby")</f>
        <v>Bash/Shell/PowerShell;Go;HTML/CSS;Java;JavaScript;Python;Ruby</v>
      </c>
      <c r="C3655" s="9" t="str">
        <f>IFERROR(__xludf.DUMMYFUNCTION("""COMPUTED_VALUE"""),"TypeScript")</f>
        <v>TypeScript</v>
      </c>
      <c r="D3655" s="9" t="str">
        <f>IFERROR(__xludf.DUMMYFUNCTION("""COMPUTED_VALUE"""),"Scala")</f>
        <v>Scala</v>
      </c>
      <c r="E3655" s="9" t="str">
        <f>IFERROR(__xludf.DUMMYFUNCTION("""COMPUTED_VALUE"""),"HTML/CSS")</f>
        <v>HTML/CSS</v>
      </c>
      <c r="F3655" s="9" t="str">
        <f>IFERROR(__xludf.DUMMYFUNCTION("""COMPUTED_VALUE"""),"JavaScript")</f>
        <v>JavaScript</v>
      </c>
      <c r="G3655" s="9" t="str">
        <f>IFERROR(__xludf.DUMMYFUNCTION("""COMPUTED_VALUE"""),"WebAssembly")</f>
        <v>WebAssembly</v>
      </c>
      <c r="H3655" s="9" t="str">
        <f>IFERROR(__xludf.DUMMYFUNCTION("""COMPUTED_VALUE"""),"SQL")</f>
        <v>SQL</v>
      </c>
      <c r="I3655" s="9" t="str">
        <f>IFERROR(__xludf.DUMMYFUNCTION("""COMPUTED_VALUE"""),"SQL")</f>
        <v>SQL</v>
      </c>
      <c r="J3655" s="9" t="str">
        <f>IFERROR(__xludf.DUMMYFUNCTION("""COMPUTED_VALUE"""),"PHP")</f>
        <v>PHP</v>
      </c>
      <c r="K3655" s="9" t="str">
        <f>IFERROR(__xludf.DUMMYFUNCTION("""COMPUTED_VALUE"""),"HTML/CSS")</f>
        <v>HTML/CSS</v>
      </c>
      <c r="L3655" s="9" t="str">
        <f>IFERROR(__xludf.DUMMYFUNCTION("""COMPUTED_VALUE"""),"PHP")</f>
        <v>PHP</v>
      </c>
      <c r="M3655" s="9" t="s">
        <v>33</v>
      </c>
    </row>
    <row r="3656" ht="15.75" customHeight="1">
      <c r="A3656" s="7"/>
      <c r="B3656" s="7" t="str">
        <f>IFERROR(__xludf.DUMMYFUNCTION("""COMPUTED_VALUE"""),"Bash/Shell/PowerShell;C++;C#;Go;JavaScript;PHP;SQL;TypeScript")</f>
        <v>Bash/Shell/PowerShell;C++;C#;Go;JavaScript;PHP;SQL;TypeScript</v>
      </c>
      <c r="C3656" s="9" t="str">
        <f>IFERROR(__xludf.DUMMYFUNCTION("""COMPUTED_VALUE"""),"Go")</f>
        <v>Go</v>
      </c>
      <c r="D3656" s="9" t="str">
        <f>IFERROR(__xludf.DUMMYFUNCTION("""COMPUTED_VALUE"""),"HTML/CSS")</f>
        <v>HTML/CSS</v>
      </c>
      <c r="E3656" s="9" t="str">
        <f>IFERROR(__xludf.DUMMYFUNCTION("""COMPUTED_VALUE"""),"Python")</f>
        <v>Python</v>
      </c>
      <c r="F3656" s="9" t="str">
        <f>IFERROR(__xludf.DUMMYFUNCTION("""COMPUTED_VALUE"""),"SQL")</f>
        <v>SQL</v>
      </c>
      <c r="G3656" s="9" t="str">
        <f>IFERROR(__xludf.DUMMYFUNCTION("""COMPUTED_VALUE"""),"Other(s):")</f>
        <v>Other(s):</v>
      </c>
      <c r="H3656" s="9" t="str">
        <f>IFERROR(__xludf.DUMMYFUNCTION("""COMPUTED_VALUE"""),"TypeScript")</f>
        <v>TypeScript</v>
      </c>
      <c r="I3656" s="9" t="str">
        <f>IFERROR(__xludf.DUMMYFUNCTION("""COMPUTED_VALUE"""),"Bash/Shell/PowerShell")</f>
        <v>Bash/Shell/PowerShell</v>
      </c>
      <c r="J3656" s="9" t="str">
        <f>IFERROR(__xludf.DUMMYFUNCTION("""COMPUTED_VALUE"""),"Python")</f>
        <v>Python</v>
      </c>
      <c r="K3656" s="9" t="str">
        <f>IFERROR(__xludf.DUMMYFUNCTION("""COMPUTED_VALUE"""),"VBA")</f>
        <v>VBA</v>
      </c>
      <c r="L3656" s="9" t="str">
        <f>IFERROR(__xludf.DUMMYFUNCTION("""COMPUTED_VALUE"""),"SQL")</f>
        <v>SQL</v>
      </c>
      <c r="M3656" s="9" t="s">
        <v>36</v>
      </c>
    </row>
    <row r="3657" ht="15.75" customHeight="1">
      <c r="A3657" s="7"/>
      <c r="B3657" s="7" t="str">
        <f>IFERROR(__xludf.DUMMYFUNCTION("""COMPUTED_VALUE"""),"HTML/CSS;JavaScript;SQL")</f>
        <v>HTML/CSS;JavaScript;SQL</v>
      </c>
      <c r="C3657" s="9" t="str">
        <f>IFERROR(__xludf.DUMMYFUNCTION("""COMPUTED_VALUE"""),"JavaScript")</f>
        <v>JavaScript</v>
      </c>
      <c r="D3657" s="9" t="str">
        <f>IFERROR(__xludf.DUMMYFUNCTION("""COMPUTED_VALUE"""),"Java")</f>
        <v>Java</v>
      </c>
      <c r="E3657" s="9" t="str">
        <f>IFERROR(__xludf.DUMMYFUNCTION("""COMPUTED_VALUE"""),"JavaScript")</f>
        <v>JavaScript</v>
      </c>
      <c r="F3657" s="9" t="str">
        <f>IFERROR(__xludf.DUMMYFUNCTION("""COMPUTED_VALUE"""),"C#")</f>
        <v>C#</v>
      </c>
      <c r="G3657" s="9" t="str">
        <f>IFERROR(__xludf.DUMMYFUNCTION("""COMPUTED_VALUE"""),"Go")</f>
        <v>Go</v>
      </c>
      <c r="H3657" s="9" t="str">
        <f>IFERROR(__xludf.DUMMYFUNCTION("""COMPUTED_VALUE"""),"Bash/Shell/PowerShell")</f>
        <v>Bash/Shell/PowerShell</v>
      </c>
      <c r="I3657" s="9" t="str">
        <f>IFERROR(__xludf.DUMMYFUNCTION("""COMPUTED_VALUE"""),"HTML/CSS")</f>
        <v>HTML/CSS</v>
      </c>
      <c r="J3657" s="9" t="str">
        <f>IFERROR(__xludf.DUMMYFUNCTION("""COMPUTED_VALUE"""),"SQL")</f>
        <v>SQL</v>
      </c>
      <c r="K3657" s="9" t="str">
        <f>IFERROR(__xludf.DUMMYFUNCTION("""COMPUTED_VALUE"""),"Other(s):")</f>
        <v>Other(s):</v>
      </c>
      <c r="L3657" s="9" t="str">
        <f>IFERROR(__xludf.DUMMYFUNCTION("""COMPUTED_VALUE"""),"HTML/CSS")</f>
        <v>HTML/CSS</v>
      </c>
      <c r="M3657" s="9" t="s">
        <v>21</v>
      </c>
    </row>
    <row r="3658" ht="15.75" customHeight="1">
      <c r="A3658" s="7"/>
      <c r="B3658" s="7" t="str">
        <f>IFERROR(__xludf.DUMMYFUNCTION("""COMPUTED_VALUE"""),"C++;Go;Java;Python;Scala;SQL;Swift;Other(s):")</f>
        <v>C++;Go;Java;Python;Scala;SQL;Swift;Other(s):</v>
      </c>
      <c r="C3658" s="9" t="str">
        <f>IFERROR(__xludf.DUMMYFUNCTION("""COMPUTED_VALUE"""),"Python")</f>
        <v>Python</v>
      </c>
      <c r="D3658" s="9" t="str">
        <f>IFERROR(__xludf.DUMMYFUNCTION("""COMPUTED_VALUE"""),"Other(s):")</f>
        <v>Other(s):</v>
      </c>
      <c r="E3658" s="9" t="str">
        <f>IFERROR(__xludf.DUMMYFUNCTION("""COMPUTED_VALUE"""),"Go")</f>
        <v>Go</v>
      </c>
      <c r="F3658" s="9" t="str">
        <f>IFERROR(__xludf.DUMMYFUNCTION("""COMPUTED_VALUE"""),"HTML/CSS")</f>
        <v>HTML/CSS</v>
      </c>
      <c r="G3658" s="9" t="str">
        <f>IFERROR(__xludf.DUMMYFUNCTION("""COMPUTED_VALUE"""),"JavaScript")</f>
        <v>JavaScript</v>
      </c>
      <c r="H3658" s="9" t="str">
        <f>IFERROR(__xludf.DUMMYFUNCTION("""COMPUTED_VALUE"""),"C++")</f>
        <v>C++</v>
      </c>
      <c r="I3658" s="9" t="str">
        <f>IFERROR(__xludf.DUMMYFUNCTION("""COMPUTED_VALUE"""),"Java")</f>
        <v>Java</v>
      </c>
      <c r="J3658" s="9" t="str">
        <f>IFERROR(__xludf.DUMMYFUNCTION("""COMPUTED_VALUE"""),"C#")</f>
        <v>C#</v>
      </c>
      <c r="K3658" s="9" t="str">
        <f>IFERROR(__xludf.DUMMYFUNCTION("""COMPUTED_VALUE"""),"HTML/CSS")</f>
        <v>HTML/CSS</v>
      </c>
      <c r="L3658" s="9" t="str">
        <f>IFERROR(__xludf.DUMMYFUNCTION("""COMPUTED_VALUE"""),"JavaScript")</f>
        <v>JavaScript</v>
      </c>
      <c r="M3658" s="9" t="s">
        <v>22</v>
      </c>
    </row>
    <row r="3659" ht="15.75" customHeight="1">
      <c r="A3659" s="7"/>
      <c r="B3659" s="7" t="str">
        <f>IFERROR(__xludf.DUMMYFUNCTION("""COMPUTED_VALUE"""),"Assembly;Bash/Shell/PowerShell;C;C++;HTML/CSS;Java;JavaScript;PHP;Python;SQL;Swift")</f>
        <v>Assembly;Bash/Shell/PowerShell;C;C++;HTML/CSS;Java;JavaScript;PHP;Python;SQL;Swift</v>
      </c>
      <c r="C3659" s="9" t="str">
        <f>IFERROR(__xludf.DUMMYFUNCTION("""COMPUTED_VALUE"""),"SQL")</f>
        <v>SQL</v>
      </c>
      <c r="D3659" s="9" t="str">
        <f>IFERROR(__xludf.DUMMYFUNCTION("""COMPUTED_VALUE"""),"Java")</f>
        <v>Java</v>
      </c>
      <c r="E3659" s="9" t="str">
        <f>IFERROR(__xludf.DUMMYFUNCTION("""COMPUTED_VALUE"""),"HTML/CSS")</f>
        <v>HTML/CSS</v>
      </c>
      <c r="F3659" s="9" t="str">
        <f>IFERROR(__xludf.DUMMYFUNCTION("""COMPUTED_VALUE"""),"Java")</f>
        <v>Java</v>
      </c>
      <c r="G3659" s="9" t="str">
        <f>IFERROR(__xludf.DUMMYFUNCTION("""COMPUTED_VALUE"""),"Bash/Shell/PowerShell")</f>
        <v>Bash/Shell/PowerShell</v>
      </c>
      <c r="H3659" s="9" t="str">
        <f>IFERROR(__xludf.DUMMYFUNCTION("""COMPUTED_VALUE"""),"C#")</f>
        <v>C#</v>
      </c>
      <c r="I3659" s="9" t="str">
        <f>IFERROR(__xludf.DUMMYFUNCTION("""COMPUTED_VALUE"""),"JavaScript")</f>
        <v>JavaScript</v>
      </c>
      <c r="J3659" s="9" t="str">
        <f>IFERROR(__xludf.DUMMYFUNCTION("""COMPUTED_VALUE"""),"VBA")</f>
        <v>VBA</v>
      </c>
      <c r="K3659" s="9" t="str">
        <f>IFERROR(__xludf.DUMMYFUNCTION("""COMPUTED_VALUE"""),"JavaScript")</f>
        <v>JavaScript</v>
      </c>
      <c r="L3659" s="9" t="str">
        <f>IFERROR(__xludf.DUMMYFUNCTION("""COMPUTED_VALUE"""),"Ruby")</f>
        <v>Ruby</v>
      </c>
      <c r="M3659" s="9" t="s">
        <v>27</v>
      </c>
    </row>
    <row r="3660" ht="15.75" customHeight="1">
      <c r="A3660" s="7"/>
      <c r="B3660" s="7" t="str">
        <f>IFERROR(__xludf.DUMMYFUNCTION("""COMPUTED_VALUE"""),"Bash/Shell/PowerShell;C#;HTML/CSS;Java;JavaScript;PHP;Python;SQL")</f>
        <v>Bash/Shell/PowerShell;C#;HTML/CSS;Java;JavaScript;PHP;Python;SQL</v>
      </c>
      <c r="C3660" s="9" t="str">
        <f>IFERROR(__xludf.DUMMYFUNCTION("""COMPUTED_VALUE"""),"TypeScript")</f>
        <v>TypeScript</v>
      </c>
      <c r="D3660" s="9" t="str">
        <f>IFERROR(__xludf.DUMMYFUNCTION("""COMPUTED_VALUE"""),"Other(s):")</f>
        <v>Other(s):</v>
      </c>
      <c r="E3660" s="9" t="str">
        <f>IFERROR(__xludf.DUMMYFUNCTION("""COMPUTED_VALUE"""),"Java")</f>
        <v>Java</v>
      </c>
      <c r="F3660" s="9" t="str">
        <f>IFERROR(__xludf.DUMMYFUNCTION("""COMPUTED_VALUE"""),"JavaScript")</f>
        <v>JavaScript</v>
      </c>
      <c r="G3660" s="9" t="str">
        <f>IFERROR(__xludf.DUMMYFUNCTION("""COMPUTED_VALUE"""),"HTML/CSS")</f>
        <v>HTML/CSS</v>
      </c>
      <c r="H3660" s="9" t="str">
        <f>IFERROR(__xludf.DUMMYFUNCTION("""COMPUTED_VALUE"""),"Python")</f>
        <v>Python</v>
      </c>
      <c r="I3660" s="9" t="str">
        <f>IFERROR(__xludf.DUMMYFUNCTION("""COMPUTED_VALUE"""),"PHP")</f>
        <v>PHP</v>
      </c>
      <c r="J3660" s="9" t="str">
        <f>IFERROR(__xludf.DUMMYFUNCTION("""COMPUTED_VALUE"""),"HTML/CSS")</f>
        <v>HTML/CSS</v>
      </c>
      <c r="K3660" s="9" t="str">
        <f>IFERROR(__xludf.DUMMYFUNCTION("""COMPUTED_VALUE"""),"PHP")</f>
        <v>PHP</v>
      </c>
      <c r="L3660" s="9" t="str">
        <f>IFERROR(__xludf.DUMMYFUNCTION("""COMPUTED_VALUE"""),"SQL")</f>
        <v>SQL</v>
      </c>
      <c r="M3660" s="9" t="s">
        <v>33</v>
      </c>
    </row>
    <row r="3661" ht="15.75" customHeight="1">
      <c r="A3661" s="7"/>
      <c r="B3661" s="7" t="str">
        <f>IFERROR(__xludf.DUMMYFUNCTION("""COMPUTED_VALUE"""),"Java")</f>
        <v>Java</v>
      </c>
      <c r="C3661" s="9" t="str">
        <f>IFERROR(__xludf.DUMMYFUNCTION("""COMPUTED_VALUE"""),"HTML/CSS")</f>
        <v>HTML/CSS</v>
      </c>
      <c r="D3661" s="9" t="str">
        <f>IFERROR(__xludf.DUMMYFUNCTION("""COMPUTED_VALUE"""),"HTML/CSS")</f>
        <v>HTML/CSS</v>
      </c>
      <c r="E3661" s="9" t="str">
        <f>IFERROR(__xludf.DUMMYFUNCTION("""COMPUTED_VALUE"""),"JavaScript")</f>
        <v>JavaScript</v>
      </c>
      <c r="F3661" s="9" t="str">
        <f>IFERROR(__xludf.DUMMYFUNCTION("""COMPUTED_VALUE"""),"PHP")</f>
        <v>PHP</v>
      </c>
      <c r="G3661" s="9" t="str">
        <f>IFERROR(__xludf.DUMMYFUNCTION("""COMPUTED_VALUE"""),"JavaScript")</f>
        <v>JavaScript</v>
      </c>
      <c r="H3661" s="9" t="str">
        <f>IFERROR(__xludf.DUMMYFUNCTION("""COMPUTED_VALUE"""),"SQL")</f>
        <v>SQL</v>
      </c>
      <c r="I3661" s="9" t="str">
        <f>IFERROR(__xludf.DUMMYFUNCTION("""COMPUTED_VALUE"""),"R")</f>
        <v>R</v>
      </c>
      <c r="J3661" s="9" t="str">
        <f>IFERROR(__xludf.DUMMYFUNCTION("""COMPUTED_VALUE"""),"JavaScript")</f>
        <v>JavaScript</v>
      </c>
      <c r="K3661" s="9" t="str">
        <f>IFERROR(__xludf.DUMMYFUNCTION("""COMPUTED_VALUE"""),"C")</f>
        <v>C</v>
      </c>
      <c r="L3661" s="9" t="str">
        <f>IFERROR(__xludf.DUMMYFUNCTION("""COMPUTED_VALUE"""),"HTML/CSS")</f>
        <v>HTML/CSS</v>
      </c>
      <c r="M3661" s="9" t="s">
        <v>24</v>
      </c>
    </row>
    <row r="3662" ht="15.75" customHeight="1">
      <c r="A3662" s="7"/>
      <c r="B3662" s="7" t="str">
        <f>IFERROR(__xludf.DUMMYFUNCTION("""COMPUTED_VALUE"""),"C;Go;JavaScript;Python;Scala;Other(s):")</f>
        <v>C;Go;JavaScript;Python;Scala;Other(s):</v>
      </c>
      <c r="C3662" s="9" t="str">
        <f>IFERROR(__xludf.DUMMYFUNCTION("""COMPUTED_VALUE"""),"JavaScript")</f>
        <v>JavaScript</v>
      </c>
      <c r="D3662" s="9" t="str">
        <f>IFERROR(__xludf.DUMMYFUNCTION("""COMPUTED_VALUE"""),"Java")</f>
        <v>Java</v>
      </c>
      <c r="E3662" s="9" t="str">
        <f>IFERROR(__xludf.DUMMYFUNCTION("""COMPUTED_VALUE"""),"Python")</f>
        <v>Python</v>
      </c>
      <c r="F3662" s="9" t="str">
        <f>IFERROR(__xludf.DUMMYFUNCTION("""COMPUTED_VALUE"""),"Python")</f>
        <v>Python</v>
      </c>
      <c r="G3662" s="9" t="str">
        <f>IFERROR(__xludf.DUMMYFUNCTION("""COMPUTED_VALUE"""),"TypeScript")</f>
        <v>TypeScript</v>
      </c>
      <c r="H3662" s="9" t="str">
        <f>IFERROR(__xludf.DUMMYFUNCTION("""COMPUTED_VALUE"""),"Java")</f>
        <v>Java</v>
      </c>
      <c r="I3662" s="9" t="str">
        <f>IFERROR(__xludf.DUMMYFUNCTION("""COMPUTED_VALUE"""),"SQL")</f>
        <v>SQL</v>
      </c>
      <c r="J3662" s="9" t="str">
        <f>IFERROR(__xludf.DUMMYFUNCTION("""COMPUTED_VALUE"""),"Python")</f>
        <v>Python</v>
      </c>
      <c r="K3662" s="9" t="str">
        <f>IFERROR(__xludf.DUMMYFUNCTION("""COMPUTED_VALUE"""),"C++")</f>
        <v>C++</v>
      </c>
      <c r="L3662" s="9" t="str">
        <f>IFERROR(__xludf.DUMMYFUNCTION("""COMPUTED_VALUE"""),"JavaScript")</f>
        <v>JavaScript</v>
      </c>
      <c r="M3662" s="9" t="s">
        <v>21</v>
      </c>
    </row>
    <row r="3663" ht="15.75" customHeight="1">
      <c r="A3663" s="7"/>
      <c r="B3663" s="7" t="str">
        <f>IFERROR(__xludf.DUMMYFUNCTION("""COMPUTED_VALUE"""),"HTML/CSS;JavaScript;PHP;SQL")</f>
        <v>HTML/CSS;JavaScript;PHP;SQL</v>
      </c>
      <c r="C3663" s="9" t="str">
        <f>IFERROR(__xludf.DUMMYFUNCTION("""COMPUTED_VALUE"""),"PHP")</f>
        <v>PHP</v>
      </c>
      <c r="D3663" s="9" t="str">
        <f>IFERROR(__xludf.DUMMYFUNCTION("""COMPUTED_VALUE"""),"JavaScript")</f>
        <v>JavaScript</v>
      </c>
      <c r="E3663" s="9" t="str">
        <f>IFERROR(__xludf.DUMMYFUNCTION("""COMPUTED_VALUE"""),"Ruby")</f>
        <v>Ruby</v>
      </c>
      <c r="F3663" s="9" t="str">
        <f>IFERROR(__xludf.DUMMYFUNCTION("""COMPUTED_VALUE"""),"SQL")</f>
        <v>SQL</v>
      </c>
      <c r="G3663" s="9" t="str">
        <f>IFERROR(__xludf.DUMMYFUNCTION("""COMPUTED_VALUE"""),"HTML/CSS")</f>
        <v>HTML/CSS</v>
      </c>
      <c r="H3663" s="9" t="str">
        <f>IFERROR(__xludf.DUMMYFUNCTION("""COMPUTED_VALUE"""),"Swift")</f>
        <v>Swift</v>
      </c>
      <c r="I3663" s="9" t="str">
        <f>IFERROR(__xludf.DUMMYFUNCTION("""COMPUTED_VALUE"""),"VBA")</f>
        <v>VBA</v>
      </c>
      <c r="J3663" s="9" t="str">
        <f>IFERROR(__xludf.DUMMYFUNCTION("""COMPUTED_VALUE"""),"Scala")</f>
        <v>Scala</v>
      </c>
      <c r="K3663" s="9" t="str">
        <f>IFERROR(__xludf.DUMMYFUNCTION("""COMPUTED_VALUE"""),"SQL")</f>
        <v>SQL</v>
      </c>
      <c r="L3663" s="9" t="str">
        <f>IFERROR(__xludf.DUMMYFUNCTION("""COMPUTED_VALUE"""),"PHP")</f>
        <v>PHP</v>
      </c>
      <c r="M3663" s="9" t="s">
        <v>37</v>
      </c>
    </row>
    <row r="3664" ht="15.75" customHeight="1">
      <c r="A3664" s="7"/>
      <c r="B3664" s="7" t="str">
        <f>IFERROR(__xludf.DUMMYFUNCTION("""COMPUTED_VALUE"""),"Bash/Shell/PowerShell;C;C++;HTML/CSS;Java;JavaScript;Python")</f>
        <v>Bash/Shell/PowerShell;C;C++;HTML/CSS;Java;JavaScript;Python</v>
      </c>
      <c r="C3664" s="9" t="str">
        <f>IFERROR(__xludf.DUMMYFUNCTION("""COMPUTED_VALUE"""),"Ruby")</f>
        <v>Ruby</v>
      </c>
      <c r="D3664" s="9" t="str">
        <f>IFERROR(__xludf.DUMMYFUNCTION("""COMPUTED_VALUE"""),"PHP")</f>
        <v>PHP</v>
      </c>
      <c r="E3664" s="9" t="str">
        <f>IFERROR(__xludf.DUMMYFUNCTION("""COMPUTED_VALUE"""),"Scala")</f>
        <v>Scala</v>
      </c>
      <c r="F3664" s="9" t="str">
        <f>IFERROR(__xludf.DUMMYFUNCTION("""COMPUTED_VALUE"""),"Ruby")</f>
        <v>Ruby</v>
      </c>
      <c r="G3664" s="9" t="str">
        <f>IFERROR(__xludf.DUMMYFUNCTION("""COMPUTED_VALUE"""),"JavaScript")</f>
        <v>JavaScript</v>
      </c>
      <c r="H3664" s="9" t="str">
        <f>IFERROR(__xludf.DUMMYFUNCTION("""COMPUTED_VALUE"""),"HTML/CSS")</f>
        <v>HTML/CSS</v>
      </c>
      <c r="I3664" s="9" t="str">
        <f>IFERROR(__xludf.DUMMYFUNCTION("""COMPUTED_VALUE"""),"C")</f>
        <v>C</v>
      </c>
      <c r="J3664" s="9" t="str">
        <f>IFERROR(__xludf.DUMMYFUNCTION("""COMPUTED_VALUE"""),"Bash/Shell/PowerShell")</f>
        <v>Bash/Shell/PowerShell</v>
      </c>
      <c r="K3664" s="9" t="str">
        <f>IFERROR(__xludf.DUMMYFUNCTION("""COMPUTED_VALUE"""),"VBA")</f>
        <v>VBA</v>
      </c>
      <c r="L3664" s="9" t="str">
        <f>IFERROR(__xludf.DUMMYFUNCTION("""COMPUTED_VALUE"""),"SQL")</f>
        <v>SQL</v>
      </c>
      <c r="M3664" s="9" t="s">
        <v>31</v>
      </c>
    </row>
    <row r="3665" ht="15.75" customHeight="1">
      <c r="A3665" s="7"/>
      <c r="B3665" s="7" t="str">
        <f>IFERROR(__xludf.DUMMYFUNCTION("""COMPUTED_VALUE"""),"HTML/CSS;JavaScript;Python;SQL")</f>
        <v>HTML/CSS;JavaScript;Python;SQL</v>
      </c>
      <c r="C3665" s="9" t="str">
        <f>IFERROR(__xludf.DUMMYFUNCTION("""COMPUTED_VALUE"""),"C")</f>
        <v>C</v>
      </c>
      <c r="D3665" s="9" t="str">
        <f>IFERROR(__xludf.DUMMYFUNCTION("""COMPUTED_VALUE"""),"TypeScript")</f>
        <v>TypeScript</v>
      </c>
      <c r="E3665" s="9" t="str">
        <f>IFERROR(__xludf.DUMMYFUNCTION("""COMPUTED_VALUE"""),"Bash/Shell/PowerShell")</f>
        <v>Bash/Shell/PowerShell</v>
      </c>
      <c r="F3665" s="9" t="str">
        <f>IFERROR(__xludf.DUMMYFUNCTION("""COMPUTED_VALUE"""),"Assembly")</f>
        <v>Assembly</v>
      </c>
      <c r="G3665" s="9" t="str">
        <f>IFERROR(__xludf.DUMMYFUNCTION("""COMPUTED_VALUE"""),"TypeScript")</f>
        <v>TypeScript</v>
      </c>
      <c r="H3665" s="9" t="str">
        <f>IFERROR(__xludf.DUMMYFUNCTION("""COMPUTED_VALUE"""),"JavaScript")</f>
        <v>JavaScript</v>
      </c>
      <c r="I3665" s="9" t="str">
        <f>IFERROR(__xludf.DUMMYFUNCTION("""COMPUTED_VALUE"""),"C++")</f>
        <v>C++</v>
      </c>
      <c r="J3665" s="9" t="str">
        <f>IFERROR(__xludf.DUMMYFUNCTION("""COMPUTED_VALUE"""),"C++")</f>
        <v>C++</v>
      </c>
      <c r="K3665" s="9" t="str">
        <f>IFERROR(__xludf.DUMMYFUNCTION("""COMPUTED_VALUE"""),"Assembly")</f>
        <v>Assembly</v>
      </c>
      <c r="L3665" s="9" t="str">
        <f>IFERROR(__xludf.DUMMYFUNCTION("""COMPUTED_VALUE"""),"Bash/Shell/PowerShell")</f>
        <v>Bash/Shell/PowerShell</v>
      </c>
      <c r="M3665" s="9" t="s">
        <v>25</v>
      </c>
    </row>
    <row r="3666" ht="15.75" customHeight="1">
      <c r="A3666" s="7"/>
      <c r="B3666" s="7" t="str">
        <f>IFERROR(__xludf.DUMMYFUNCTION("""COMPUTED_VALUE"""),"Assembly;C;C++;Java;SQL;VBA")</f>
        <v>Assembly;C;C++;Java;SQL;VBA</v>
      </c>
      <c r="C3666" s="9" t="str">
        <f>IFERROR(__xludf.DUMMYFUNCTION("""COMPUTED_VALUE"""),"C++")</f>
        <v>C++</v>
      </c>
      <c r="D3666" s="9" t="str">
        <f>IFERROR(__xludf.DUMMYFUNCTION("""COMPUTED_VALUE"""),"HTML/CSS")</f>
        <v>HTML/CSS</v>
      </c>
      <c r="E3666" s="9" t="str">
        <f>IFERROR(__xludf.DUMMYFUNCTION("""COMPUTED_VALUE"""),"HTML/CSS")</f>
        <v>HTML/CSS</v>
      </c>
      <c r="F3666" s="9" t="str">
        <f>IFERROR(__xludf.DUMMYFUNCTION("""COMPUTED_VALUE"""),"Bash/Shell/PowerShell")</f>
        <v>Bash/Shell/PowerShell</v>
      </c>
      <c r="G3666" s="9" t="str">
        <f>IFERROR(__xludf.DUMMYFUNCTION("""COMPUTED_VALUE"""),"C++")</f>
        <v>C++</v>
      </c>
      <c r="H3666" s="9" t="str">
        <f>IFERROR(__xludf.DUMMYFUNCTION("""COMPUTED_VALUE"""),"HTML/CSS")</f>
        <v>HTML/CSS</v>
      </c>
      <c r="I3666" s="9" t="str">
        <f>IFERROR(__xludf.DUMMYFUNCTION("""COMPUTED_VALUE"""),"HTML/CSS")</f>
        <v>HTML/CSS</v>
      </c>
      <c r="J3666" s="9" t="str">
        <f>IFERROR(__xludf.DUMMYFUNCTION("""COMPUTED_VALUE"""),"HTML/CSS")</f>
        <v>HTML/CSS</v>
      </c>
      <c r="K3666" s="9" t="str">
        <f>IFERROR(__xludf.DUMMYFUNCTION("""COMPUTED_VALUE"""),"Bash/Shell/PowerShell")</f>
        <v>Bash/Shell/PowerShell</v>
      </c>
      <c r="L3666" s="9" t="str">
        <f>IFERROR(__xludf.DUMMYFUNCTION("""COMPUTED_VALUE"""),"HTML/CSS")</f>
        <v>HTML/CSS</v>
      </c>
      <c r="M3666" s="9" t="s">
        <v>23</v>
      </c>
    </row>
    <row r="3667" ht="15.75" customHeight="1">
      <c r="A3667" s="7"/>
      <c r="B3667" s="7" t="str">
        <f>IFERROR(__xludf.DUMMYFUNCTION("""COMPUTED_VALUE"""),"HTML/CSS;Java;JavaScript;Objective-C;SQL;Swift;TypeScript")</f>
        <v>HTML/CSS;Java;JavaScript;Objective-C;SQL;Swift;TypeScript</v>
      </c>
      <c r="C3667" s="9" t="str">
        <f>IFERROR(__xludf.DUMMYFUNCTION("""COMPUTED_VALUE"""),"C#")</f>
        <v>C#</v>
      </c>
      <c r="D3667" s="9" t="str">
        <f>IFERROR(__xludf.DUMMYFUNCTION("""COMPUTED_VALUE"""),"Java")</f>
        <v>Java</v>
      </c>
      <c r="E3667" s="9" t="str">
        <f>IFERROR(__xludf.DUMMYFUNCTION("""COMPUTED_VALUE"""),"JavaScript")</f>
        <v>JavaScript</v>
      </c>
      <c r="F3667" s="9" t="str">
        <f>IFERROR(__xludf.DUMMYFUNCTION("""COMPUTED_VALUE"""),"C")</f>
        <v>C</v>
      </c>
      <c r="G3667" s="9" t="str">
        <f>IFERROR(__xludf.DUMMYFUNCTION("""COMPUTED_VALUE"""),"HTML/CSS")</f>
        <v>HTML/CSS</v>
      </c>
      <c r="H3667" s="9" t="str">
        <f>IFERROR(__xludf.DUMMYFUNCTION("""COMPUTED_VALUE"""),"JavaScript")</f>
        <v>JavaScript</v>
      </c>
      <c r="I3667" s="9" t="str">
        <f>IFERROR(__xludf.DUMMYFUNCTION("""COMPUTED_VALUE"""),"Java")</f>
        <v>Java</v>
      </c>
      <c r="J3667" s="9" t="str">
        <f>IFERROR(__xludf.DUMMYFUNCTION("""COMPUTED_VALUE"""),"JavaScript")</f>
        <v>JavaScript</v>
      </c>
      <c r="K3667" s="9" t="str">
        <f>IFERROR(__xludf.DUMMYFUNCTION("""COMPUTED_VALUE"""),"Other(s):")</f>
        <v>Other(s):</v>
      </c>
      <c r="L3667" s="9" t="str">
        <f>IFERROR(__xludf.DUMMYFUNCTION("""COMPUTED_VALUE"""),"Java")</f>
        <v>Java</v>
      </c>
      <c r="M3667" s="9" t="s">
        <v>26</v>
      </c>
    </row>
    <row r="3668" ht="15.75" customHeight="1">
      <c r="A3668" s="7"/>
      <c r="B3668" s="7" t="str">
        <f>IFERROR(__xludf.DUMMYFUNCTION("""COMPUTED_VALUE"""),"C++;C#;Dart;Go;HTML/CSS;Java;JavaScript;PHP;Python;Ruby;SQL;VBA")</f>
        <v>C++;C#;Dart;Go;HTML/CSS;Java;JavaScript;PHP;Python;Ruby;SQL;VBA</v>
      </c>
      <c r="C3668" s="9" t="str">
        <f>IFERROR(__xludf.DUMMYFUNCTION("""COMPUTED_VALUE"""),"HTML/CSS")</f>
        <v>HTML/CSS</v>
      </c>
      <c r="D3668" s="9" t="str">
        <f>IFERROR(__xludf.DUMMYFUNCTION("""COMPUTED_VALUE"""),"JavaScript")</f>
        <v>JavaScript</v>
      </c>
      <c r="E3668" s="9" t="str">
        <f>IFERROR(__xludf.DUMMYFUNCTION("""COMPUTED_VALUE"""),"PHP")</f>
        <v>PHP</v>
      </c>
      <c r="F3668" s="9" t="str">
        <f>IFERROR(__xludf.DUMMYFUNCTION("""COMPUTED_VALUE"""),"C++")</f>
        <v>C++</v>
      </c>
      <c r="G3668" s="9" t="str">
        <f>IFERROR(__xludf.DUMMYFUNCTION("""COMPUTED_VALUE"""),"Java")</f>
        <v>Java</v>
      </c>
      <c r="H3668" s="9" t="str">
        <f>IFERROR(__xludf.DUMMYFUNCTION("""COMPUTED_VALUE"""),"PHP")</f>
        <v>PHP</v>
      </c>
      <c r="I3668" s="9" t="str">
        <f>IFERROR(__xludf.DUMMYFUNCTION("""COMPUTED_VALUE"""),"JavaScript")</f>
        <v>JavaScript</v>
      </c>
      <c r="J3668" s="9" t="str">
        <f>IFERROR(__xludf.DUMMYFUNCTION("""COMPUTED_VALUE"""),"Objective-C")</f>
        <v>Objective-C</v>
      </c>
      <c r="K3668" s="9" t="str">
        <f>IFERROR(__xludf.DUMMYFUNCTION("""COMPUTED_VALUE"""),"C#")</f>
        <v>C#</v>
      </c>
      <c r="L3668" s="9" t="str">
        <f>IFERROR(__xludf.DUMMYFUNCTION("""COMPUTED_VALUE"""),"JavaScript")</f>
        <v>JavaScript</v>
      </c>
      <c r="M3668" s="9" t="s">
        <v>24</v>
      </c>
    </row>
    <row r="3669" ht="15.75" customHeight="1">
      <c r="A3669" s="7"/>
      <c r="B3669" s="7" t="str">
        <f>IFERROR(__xludf.DUMMYFUNCTION("""COMPUTED_VALUE"""),"HTML/CSS;Java;JavaScript;PHP;SQL")</f>
        <v>HTML/CSS;Java;JavaScript;PHP;SQL</v>
      </c>
      <c r="C3669" s="9" t="str">
        <f>IFERROR(__xludf.DUMMYFUNCTION("""COMPUTED_VALUE"""),"JavaScript")</f>
        <v>JavaScript</v>
      </c>
      <c r="D3669" s="9" t="str">
        <f>IFERROR(__xludf.DUMMYFUNCTION("""COMPUTED_VALUE"""),"SQL")</f>
        <v>SQL</v>
      </c>
      <c r="E3669" s="9" t="str">
        <f>IFERROR(__xludf.DUMMYFUNCTION("""COMPUTED_VALUE"""),"SQL")</f>
        <v>SQL</v>
      </c>
      <c r="F3669" s="9" t="str">
        <f>IFERROR(__xludf.DUMMYFUNCTION("""COMPUTED_VALUE"""),"C#")</f>
        <v>C#</v>
      </c>
      <c r="G3669" s="9" t="str">
        <f>IFERROR(__xludf.DUMMYFUNCTION("""COMPUTED_VALUE"""),"JavaScript")</f>
        <v>JavaScript</v>
      </c>
      <c r="H3669" s="9" t="str">
        <f>IFERROR(__xludf.DUMMYFUNCTION("""COMPUTED_VALUE"""),"SQL")</f>
        <v>SQL</v>
      </c>
      <c r="I3669" s="9" t="str">
        <f>IFERROR(__xludf.DUMMYFUNCTION("""COMPUTED_VALUE"""),"PHP")</f>
        <v>PHP</v>
      </c>
      <c r="J3669" s="9" t="str">
        <f>IFERROR(__xludf.DUMMYFUNCTION("""COMPUTED_VALUE"""),"Python")</f>
        <v>Python</v>
      </c>
      <c r="K3669" s="9" t="str">
        <f>IFERROR(__xludf.DUMMYFUNCTION("""COMPUTED_VALUE"""),"HTML/CSS")</f>
        <v>HTML/CSS</v>
      </c>
      <c r="L3669" s="9" t="str">
        <f>IFERROR(__xludf.DUMMYFUNCTION("""COMPUTED_VALUE"""),"PHP")</f>
        <v>PHP</v>
      </c>
      <c r="M3669" s="9" t="s">
        <v>21</v>
      </c>
    </row>
    <row r="3670" ht="15.75" customHeight="1">
      <c r="A3670" s="7"/>
      <c r="B3670" s="7" t="str">
        <f>IFERROR(__xludf.DUMMYFUNCTION("""COMPUTED_VALUE"""),"Assembly;C;C++;C#;HTML/CSS;Java;JavaScript;SQL")</f>
        <v>Assembly;C;C++;C#;HTML/CSS;Java;JavaScript;SQL</v>
      </c>
      <c r="C3670" s="9" t="str">
        <f>IFERROR(__xludf.DUMMYFUNCTION("""COMPUTED_VALUE"""),"Kotlin")</f>
        <v>Kotlin</v>
      </c>
      <c r="D3670" s="9" t="str">
        <f>IFERROR(__xludf.DUMMYFUNCTION("""COMPUTED_VALUE"""),"TypeScript")</f>
        <v>TypeScript</v>
      </c>
      <c r="E3670" s="9" t="str">
        <f>IFERROR(__xludf.DUMMYFUNCTION("""COMPUTED_VALUE"""),"TypeScript")</f>
        <v>TypeScript</v>
      </c>
      <c r="F3670" s="9" t="str">
        <f>IFERROR(__xludf.DUMMYFUNCTION("""COMPUTED_VALUE"""),"HTML/CSS")</f>
        <v>HTML/CSS</v>
      </c>
      <c r="G3670" s="9" t="str">
        <f>IFERROR(__xludf.DUMMYFUNCTION("""COMPUTED_VALUE"""),"PHP")</f>
        <v>PHP</v>
      </c>
      <c r="H3670" s="9" t="str">
        <f>IFERROR(__xludf.DUMMYFUNCTION("""COMPUTED_VALUE"""),"C#")</f>
        <v>C#</v>
      </c>
      <c r="I3670" s="9" t="str">
        <f>IFERROR(__xludf.DUMMYFUNCTION("""COMPUTED_VALUE"""),"Python")</f>
        <v>Python</v>
      </c>
      <c r="J3670" s="9" t="str">
        <f>IFERROR(__xludf.DUMMYFUNCTION("""COMPUTED_VALUE"""),"C++")</f>
        <v>C++</v>
      </c>
      <c r="K3670" s="9" t="str">
        <f>IFERROR(__xludf.DUMMYFUNCTION("""COMPUTED_VALUE"""),"JavaScript")</f>
        <v>JavaScript</v>
      </c>
      <c r="L3670" s="9" t="str">
        <f>IFERROR(__xludf.DUMMYFUNCTION("""COMPUTED_VALUE"""),"Ruby")</f>
        <v>Ruby</v>
      </c>
      <c r="M3670" s="9" t="s">
        <v>39</v>
      </c>
    </row>
    <row r="3671" ht="15.75" customHeight="1">
      <c r="A3671" s="7"/>
      <c r="B3671" s="7" t="str">
        <f>IFERROR(__xludf.DUMMYFUNCTION("""COMPUTED_VALUE"""),"Bash/Shell/PowerShell;Java;JavaScript;SQL")</f>
        <v>Bash/Shell/PowerShell;Java;JavaScript;SQL</v>
      </c>
      <c r="C3671" s="9" t="str">
        <f>IFERROR(__xludf.DUMMYFUNCTION("""COMPUTED_VALUE"""),"Swift")</f>
        <v>Swift</v>
      </c>
      <c r="D3671" s="9" t="str">
        <f>IFERROR(__xludf.DUMMYFUNCTION("""COMPUTED_VALUE"""),"C")</f>
        <v>C</v>
      </c>
      <c r="E3671" s="9" t="str">
        <f>IFERROR(__xludf.DUMMYFUNCTION("""COMPUTED_VALUE"""),"HTML/CSS")</f>
        <v>HTML/CSS</v>
      </c>
      <c r="F3671" s="9" t="str">
        <f>IFERROR(__xludf.DUMMYFUNCTION("""COMPUTED_VALUE"""),"Java")</f>
        <v>Java</v>
      </c>
      <c r="G3671" s="9" t="str">
        <f>IFERROR(__xludf.DUMMYFUNCTION("""COMPUTED_VALUE"""),"Python")</f>
        <v>Python</v>
      </c>
      <c r="H3671" s="9" t="str">
        <f>IFERROR(__xludf.DUMMYFUNCTION("""COMPUTED_VALUE"""),"HTML/CSS")</f>
        <v>HTML/CSS</v>
      </c>
      <c r="I3671" s="9" t="str">
        <f>IFERROR(__xludf.DUMMYFUNCTION("""COMPUTED_VALUE"""),"R")</f>
        <v>R</v>
      </c>
      <c r="J3671" s="9" t="str">
        <f>IFERROR(__xludf.DUMMYFUNCTION("""COMPUTED_VALUE"""),"Dart")</f>
        <v>Dart</v>
      </c>
      <c r="K3671" s="9" t="str">
        <f>IFERROR(__xludf.DUMMYFUNCTION("""COMPUTED_VALUE"""),"SQL")</f>
        <v>SQL</v>
      </c>
      <c r="L3671" s="9" t="str">
        <f>IFERROR(__xludf.DUMMYFUNCTION("""COMPUTED_VALUE"""),"TypeScript")</f>
        <v>TypeScript</v>
      </c>
      <c r="M3671" s="9" t="s">
        <v>40</v>
      </c>
    </row>
    <row r="3672" ht="15.75" customHeight="1">
      <c r="A3672" s="7"/>
      <c r="B3672" s="7" t="str">
        <f>IFERROR(__xludf.DUMMYFUNCTION("""COMPUTED_VALUE"""),"C++;C#;HTML/CSS;JavaScript;Python;TypeScript")</f>
        <v>C++;C#;HTML/CSS;JavaScript;Python;TypeScript</v>
      </c>
      <c r="C3672" s="9" t="str">
        <f>IFERROR(__xludf.DUMMYFUNCTION("""COMPUTED_VALUE"""),"Bash/Shell/PowerShell")</f>
        <v>Bash/Shell/PowerShell</v>
      </c>
      <c r="D3672" s="9" t="str">
        <f>IFERROR(__xludf.DUMMYFUNCTION("""COMPUTED_VALUE"""),"C++")</f>
        <v>C++</v>
      </c>
      <c r="E3672" s="9" t="str">
        <f>IFERROR(__xludf.DUMMYFUNCTION("""COMPUTED_VALUE"""),"Java")</f>
        <v>Java</v>
      </c>
      <c r="F3672" s="9" t="str">
        <f>IFERROR(__xludf.DUMMYFUNCTION("""COMPUTED_VALUE"""),"JavaScript")</f>
        <v>JavaScript</v>
      </c>
      <c r="G3672" s="9" t="str">
        <f>IFERROR(__xludf.DUMMYFUNCTION("""COMPUTED_VALUE"""),"SQL")</f>
        <v>SQL</v>
      </c>
      <c r="H3672" s="9" t="str">
        <f>IFERROR(__xludf.DUMMYFUNCTION("""COMPUTED_VALUE"""),"JavaScript")</f>
        <v>JavaScript</v>
      </c>
      <c r="I3672" s="9" t="str">
        <f>IFERROR(__xludf.DUMMYFUNCTION("""COMPUTED_VALUE"""),"SQL")</f>
        <v>SQL</v>
      </c>
      <c r="J3672" s="9" t="str">
        <f>IFERROR(__xludf.DUMMYFUNCTION("""COMPUTED_VALUE"""),"Go")</f>
        <v>Go</v>
      </c>
      <c r="K3672" s="9" t="str">
        <f>IFERROR(__xludf.DUMMYFUNCTION("""COMPUTED_VALUE"""),"Assembly")</f>
        <v>Assembly</v>
      </c>
      <c r="L3672" s="9" t="str">
        <f>IFERROR(__xludf.DUMMYFUNCTION("""COMPUTED_VALUE"""),"Bash/Shell/PowerShell")</f>
        <v>Bash/Shell/PowerShell</v>
      </c>
      <c r="M3672" s="9" t="s">
        <v>30</v>
      </c>
    </row>
    <row r="3673" ht="15.75" customHeight="1">
      <c r="A3673" s="7"/>
      <c r="B3673" s="7" t="str">
        <f>IFERROR(__xludf.DUMMYFUNCTION("""COMPUTED_VALUE"""),"HTML/CSS;JavaScript;Python;SQL;VBA")</f>
        <v>HTML/CSS;JavaScript;Python;SQL;VBA</v>
      </c>
      <c r="C3673" s="9" t="str">
        <f>IFERROR(__xludf.DUMMYFUNCTION("""COMPUTED_VALUE"""),"HTML/CSS")</f>
        <v>HTML/CSS</v>
      </c>
      <c r="D3673" s="9" t="str">
        <f>IFERROR(__xludf.DUMMYFUNCTION("""COMPUTED_VALUE"""),"Java")</f>
        <v>Java</v>
      </c>
      <c r="E3673" s="9" t="str">
        <f>IFERROR(__xludf.DUMMYFUNCTION("""COMPUTED_VALUE"""),"JavaScript")</f>
        <v>JavaScript</v>
      </c>
      <c r="F3673" s="9" t="str">
        <f>IFERROR(__xludf.DUMMYFUNCTION("""COMPUTED_VALUE"""),"PHP")</f>
        <v>PHP</v>
      </c>
      <c r="G3673" s="9" t="str">
        <f>IFERROR(__xludf.DUMMYFUNCTION("""COMPUTED_VALUE"""),"Bash/Shell/PowerShell")</f>
        <v>Bash/Shell/PowerShell</v>
      </c>
      <c r="H3673" s="9" t="str">
        <f>IFERROR(__xludf.DUMMYFUNCTION("""COMPUTED_VALUE"""),"PHP")</f>
        <v>PHP</v>
      </c>
      <c r="I3673" s="9" t="str">
        <f>IFERROR(__xludf.DUMMYFUNCTION("""COMPUTED_VALUE"""),"C")</f>
        <v>C</v>
      </c>
      <c r="J3673" s="9" t="str">
        <f>IFERROR(__xludf.DUMMYFUNCTION("""COMPUTED_VALUE"""),"HTML/CSS")</f>
        <v>HTML/CSS</v>
      </c>
      <c r="K3673" s="9" t="str">
        <f>IFERROR(__xludf.DUMMYFUNCTION("""COMPUTED_VALUE"""),"Bash/Shell/PowerShell")</f>
        <v>Bash/Shell/PowerShell</v>
      </c>
      <c r="L3673" s="9" t="str">
        <f>IFERROR(__xludf.DUMMYFUNCTION("""COMPUTED_VALUE"""),"C#")</f>
        <v>C#</v>
      </c>
      <c r="M3673" s="9" t="s">
        <v>24</v>
      </c>
    </row>
    <row r="3674" ht="15.75" customHeight="1">
      <c r="A3674" s="7"/>
      <c r="B3674" s="7" t="str">
        <f>IFERROR(__xludf.DUMMYFUNCTION("""COMPUTED_VALUE"""),"Go;Java")</f>
        <v>Go;Java</v>
      </c>
      <c r="C3674" s="9" t="str">
        <f>IFERROR(__xludf.DUMMYFUNCTION("""COMPUTED_VALUE"""),"Java")</f>
        <v>Java</v>
      </c>
      <c r="D3674" s="9" t="str">
        <f>IFERROR(__xludf.DUMMYFUNCTION("""COMPUTED_VALUE"""),"Python")</f>
        <v>Python</v>
      </c>
      <c r="E3674" s="9" t="str">
        <f>IFERROR(__xludf.DUMMYFUNCTION("""COMPUTED_VALUE"""),"Python")</f>
        <v>Python</v>
      </c>
      <c r="F3674" s="9" t="str">
        <f>IFERROR(__xludf.DUMMYFUNCTION("""COMPUTED_VALUE"""),"TypeScript")</f>
        <v>TypeScript</v>
      </c>
      <c r="G3674" s="9" t="str">
        <f>IFERROR(__xludf.DUMMYFUNCTION("""COMPUTED_VALUE"""),"C")</f>
        <v>C</v>
      </c>
      <c r="H3674" s="9" t="str">
        <f>IFERROR(__xludf.DUMMYFUNCTION("""COMPUTED_VALUE"""),"Python")</f>
        <v>Python</v>
      </c>
      <c r="I3674" s="9" t="str">
        <f>IFERROR(__xludf.DUMMYFUNCTION("""COMPUTED_VALUE"""),"C++")</f>
        <v>C++</v>
      </c>
      <c r="J3674" s="9" t="str">
        <f>IFERROR(__xludf.DUMMYFUNCTION("""COMPUTED_VALUE"""),"JavaScript")</f>
        <v>JavaScript</v>
      </c>
      <c r="K3674" s="9" t="str">
        <f>IFERROR(__xludf.DUMMYFUNCTION("""COMPUTED_VALUE"""),"C")</f>
        <v>C</v>
      </c>
      <c r="L3674" s="9" t="str">
        <f>IFERROR(__xludf.DUMMYFUNCTION("""COMPUTED_VALUE"""),"HTML/CSS")</f>
        <v>HTML/CSS</v>
      </c>
      <c r="M3674" s="9" t="s">
        <v>20</v>
      </c>
    </row>
    <row r="3675" ht="15.75" customHeight="1">
      <c r="A3675" s="7"/>
      <c r="B3675" s="7" t="str">
        <f>IFERROR(__xludf.DUMMYFUNCTION("""COMPUTED_VALUE"""),"Bash/Shell/PowerShell;C#;Java;Ruby;Other(s):")</f>
        <v>Bash/Shell/PowerShell;C#;Java;Ruby;Other(s):</v>
      </c>
      <c r="C3675" s="9" t="str">
        <f>IFERROR(__xludf.DUMMYFUNCTION("""COMPUTED_VALUE"""),"JavaScript")</f>
        <v>JavaScript</v>
      </c>
      <c r="D3675" s="9" t="str">
        <f>IFERROR(__xludf.DUMMYFUNCTION("""COMPUTED_VALUE"""),"HTML/CSS")</f>
        <v>HTML/CSS</v>
      </c>
      <c r="E3675" s="9" t="str">
        <f>IFERROR(__xludf.DUMMYFUNCTION("""COMPUTED_VALUE"""),"SQL")</f>
        <v>SQL</v>
      </c>
      <c r="F3675" s="9" t="str">
        <f>IFERROR(__xludf.DUMMYFUNCTION("""COMPUTED_VALUE"""),"WebAssembly")</f>
        <v>WebAssembly</v>
      </c>
      <c r="G3675" s="9" t="str">
        <f>IFERROR(__xludf.DUMMYFUNCTION("""COMPUTED_VALUE"""),"C++")</f>
        <v>C++</v>
      </c>
      <c r="H3675" s="9" t="str">
        <f>IFERROR(__xludf.DUMMYFUNCTION("""COMPUTED_VALUE"""),"SQL")</f>
        <v>SQL</v>
      </c>
      <c r="I3675" s="9" t="str">
        <f>IFERROR(__xludf.DUMMYFUNCTION("""COMPUTED_VALUE"""),"Java")</f>
        <v>Java</v>
      </c>
      <c r="J3675" s="9" t="str">
        <f>IFERROR(__xludf.DUMMYFUNCTION("""COMPUTED_VALUE"""),"Python")</f>
        <v>Python</v>
      </c>
      <c r="K3675" s="9" t="str">
        <f>IFERROR(__xludf.DUMMYFUNCTION("""COMPUTED_VALUE"""),"C++")</f>
        <v>C++</v>
      </c>
      <c r="L3675" s="9" t="str">
        <f>IFERROR(__xludf.DUMMYFUNCTION("""COMPUTED_VALUE"""),"Java")</f>
        <v>Java</v>
      </c>
      <c r="M3675" s="9" t="s">
        <v>21</v>
      </c>
    </row>
    <row r="3676" ht="15.75" customHeight="1">
      <c r="A3676" s="7"/>
      <c r="B3676" s="7" t="str">
        <f>IFERROR(__xludf.DUMMYFUNCTION("""COMPUTED_VALUE"""),"Bash/Shell/PowerShell;C;C++;Java;R")</f>
        <v>Bash/Shell/PowerShell;C;C++;Java;R</v>
      </c>
      <c r="C3676" s="9" t="str">
        <f>IFERROR(__xludf.DUMMYFUNCTION("""COMPUTED_VALUE"""),"Kotlin")</f>
        <v>Kotlin</v>
      </c>
      <c r="D3676" s="9" t="str">
        <f>IFERROR(__xludf.DUMMYFUNCTION("""COMPUTED_VALUE"""),"JavaScript")</f>
        <v>JavaScript</v>
      </c>
      <c r="E3676" s="9" t="str">
        <f>IFERROR(__xludf.DUMMYFUNCTION("""COMPUTED_VALUE"""),"Bash/Shell/PowerShell")</f>
        <v>Bash/Shell/PowerShell</v>
      </c>
      <c r="F3676" s="9" t="str">
        <f>IFERROR(__xludf.DUMMYFUNCTION("""COMPUTED_VALUE"""),"HTML/CSS")</f>
        <v>HTML/CSS</v>
      </c>
      <c r="G3676" s="9" t="str">
        <f>IFERROR(__xludf.DUMMYFUNCTION("""COMPUTED_VALUE"""),"C#")</f>
        <v>C#</v>
      </c>
      <c r="H3676" s="9" t="str">
        <f>IFERROR(__xludf.DUMMYFUNCTION("""COMPUTED_VALUE"""),"HTML/CSS")</f>
        <v>HTML/CSS</v>
      </c>
      <c r="I3676" s="9" t="str">
        <f>IFERROR(__xludf.DUMMYFUNCTION("""COMPUTED_VALUE"""),"Python")</f>
        <v>Python</v>
      </c>
      <c r="J3676" s="9" t="str">
        <f>IFERROR(__xludf.DUMMYFUNCTION("""COMPUTED_VALUE"""),"TypeScript")</f>
        <v>TypeScript</v>
      </c>
      <c r="K3676" s="9" t="str">
        <f>IFERROR(__xludf.DUMMYFUNCTION("""COMPUTED_VALUE"""),"C#")</f>
        <v>C#</v>
      </c>
      <c r="L3676" s="9" t="str">
        <f>IFERROR(__xludf.DUMMYFUNCTION("""COMPUTED_VALUE"""),"JavaScript")</f>
        <v>JavaScript</v>
      </c>
      <c r="M3676" s="9" t="s">
        <v>39</v>
      </c>
    </row>
    <row r="3677" ht="15.75" customHeight="1">
      <c r="A3677" s="7"/>
      <c r="B3677" s="7" t="str">
        <f>IFERROR(__xludf.DUMMYFUNCTION("""COMPUTED_VALUE"""),"HTML/CSS;Java;JavaScript;PHP;Ruby")</f>
        <v>HTML/CSS;Java;JavaScript;PHP;Ruby</v>
      </c>
      <c r="C3677" s="9" t="str">
        <f>IFERROR(__xludf.DUMMYFUNCTION("""COMPUTED_VALUE"""),"PHP")</f>
        <v>PHP</v>
      </c>
      <c r="D3677" s="9" t="str">
        <f>IFERROR(__xludf.DUMMYFUNCTION("""COMPUTED_VALUE"""),"TypeScript")</f>
        <v>TypeScript</v>
      </c>
      <c r="E3677" s="9" t="str">
        <f>IFERROR(__xludf.DUMMYFUNCTION("""COMPUTED_VALUE"""),"HTML/CSS")</f>
        <v>HTML/CSS</v>
      </c>
      <c r="F3677" s="9" t="str">
        <f>IFERROR(__xludf.DUMMYFUNCTION("""COMPUTED_VALUE"""),"JavaScript")</f>
        <v>JavaScript</v>
      </c>
      <c r="G3677" s="9" t="str">
        <f>IFERROR(__xludf.DUMMYFUNCTION("""COMPUTED_VALUE"""),"HTML/CSS")</f>
        <v>HTML/CSS</v>
      </c>
      <c r="H3677" s="9" t="str">
        <f>IFERROR(__xludf.DUMMYFUNCTION("""COMPUTED_VALUE"""),"JavaScript")</f>
        <v>JavaScript</v>
      </c>
      <c r="I3677" s="9" t="str">
        <f>IFERROR(__xludf.DUMMYFUNCTION("""COMPUTED_VALUE"""),"Bash/Shell/PowerShell")</f>
        <v>Bash/Shell/PowerShell</v>
      </c>
      <c r="J3677" s="9" t="str">
        <f>IFERROR(__xludf.DUMMYFUNCTION("""COMPUTED_VALUE"""),"JavaScript")</f>
        <v>JavaScript</v>
      </c>
      <c r="K3677" s="9" t="str">
        <f>IFERROR(__xludf.DUMMYFUNCTION("""COMPUTED_VALUE"""),"HTML/CSS")</f>
        <v>HTML/CSS</v>
      </c>
      <c r="L3677" s="9" t="str">
        <f>IFERROR(__xludf.DUMMYFUNCTION("""COMPUTED_VALUE"""),"Kotlin")</f>
        <v>Kotlin</v>
      </c>
      <c r="M3677" s="9" t="s">
        <v>37</v>
      </c>
    </row>
    <row r="3678" ht="15.75" customHeight="1">
      <c r="A3678" s="7"/>
      <c r="B3678" s="7" t="str">
        <f>IFERROR(__xludf.DUMMYFUNCTION("""COMPUTED_VALUE"""),"Bash/Shell/PowerShell;C#;Clojure;HTML/CSS;PHP;Python;SQL;TypeScript;VBA")</f>
        <v>Bash/Shell/PowerShell;C#;Clojure;HTML/CSS;PHP;Python;SQL;TypeScript;VBA</v>
      </c>
      <c r="C3678" s="9" t="str">
        <f>IFERROR(__xludf.DUMMYFUNCTION("""COMPUTED_VALUE"""),"SQL")</f>
        <v>SQL</v>
      </c>
      <c r="D3678" s="9" t="str">
        <f>IFERROR(__xludf.DUMMYFUNCTION("""COMPUTED_VALUE"""),"Java")</f>
        <v>Java</v>
      </c>
      <c r="E3678" s="9" t="str">
        <f>IFERROR(__xludf.DUMMYFUNCTION("""COMPUTED_VALUE"""),"JavaScript")</f>
        <v>JavaScript</v>
      </c>
      <c r="F3678" s="9" t="str">
        <f>IFERROR(__xludf.DUMMYFUNCTION("""COMPUTED_VALUE"""),"HTML/CSS")</f>
        <v>HTML/CSS</v>
      </c>
      <c r="G3678" s="9" t="str">
        <f>IFERROR(__xludf.DUMMYFUNCTION("""COMPUTED_VALUE"""),"JavaScript")</f>
        <v>JavaScript</v>
      </c>
      <c r="H3678" s="9" t="str">
        <f>IFERROR(__xludf.DUMMYFUNCTION("""COMPUTED_VALUE"""),"Python")</f>
        <v>Python</v>
      </c>
      <c r="I3678" s="9" t="str">
        <f>IFERROR(__xludf.DUMMYFUNCTION("""COMPUTED_VALUE"""),"C#")</f>
        <v>C#</v>
      </c>
      <c r="J3678" s="9" t="str">
        <f>IFERROR(__xludf.DUMMYFUNCTION("""COMPUTED_VALUE"""),"PHP")</f>
        <v>PHP</v>
      </c>
      <c r="K3678" s="9" t="str">
        <f>IFERROR(__xludf.DUMMYFUNCTION("""COMPUTED_VALUE"""),"Java")</f>
        <v>Java</v>
      </c>
      <c r="L3678" s="9" t="str">
        <f>IFERROR(__xludf.DUMMYFUNCTION("""COMPUTED_VALUE"""),"SQL")</f>
        <v>SQL</v>
      </c>
      <c r="M3678" s="9" t="s">
        <v>27</v>
      </c>
    </row>
    <row r="3679" ht="15.75" customHeight="1">
      <c r="A3679" s="7"/>
      <c r="B3679" s="7" t="str">
        <f>IFERROR(__xludf.DUMMYFUNCTION("""COMPUTED_VALUE"""),"Bash/Shell/PowerShell;C++;Go;HTML/CSS;JavaScript;Python;SQL")</f>
        <v>Bash/Shell/PowerShell;C++;Go;HTML/CSS;JavaScript;Python;SQL</v>
      </c>
      <c r="C3679" s="9" t="str">
        <f>IFERROR(__xludf.DUMMYFUNCTION("""COMPUTED_VALUE"""),"TypeScript")</f>
        <v>TypeScript</v>
      </c>
      <c r="D3679" s="9" t="str">
        <f>IFERROR(__xludf.DUMMYFUNCTION("""COMPUTED_VALUE"""),"Scala")</f>
        <v>Scala</v>
      </c>
      <c r="E3679" s="9" t="str">
        <f>IFERROR(__xludf.DUMMYFUNCTION("""COMPUTED_VALUE"""),"Python")</f>
        <v>Python</v>
      </c>
      <c r="F3679" s="9" t="str">
        <f>IFERROR(__xludf.DUMMYFUNCTION("""COMPUTED_VALUE"""),"JavaScript")</f>
        <v>JavaScript</v>
      </c>
      <c r="G3679" s="9" t="str">
        <f>IFERROR(__xludf.DUMMYFUNCTION("""COMPUTED_VALUE"""),"PHP")</f>
        <v>PHP</v>
      </c>
      <c r="H3679" s="9" t="str">
        <f>IFERROR(__xludf.DUMMYFUNCTION("""COMPUTED_VALUE"""),"TypeScript")</f>
        <v>TypeScript</v>
      </c>
      <c r="I3679" s="9" t="str">
        <f>IFERROR(__xludf.DUMMYFUNCTION("""COMPUTED_VALUE"""),"HTML/CSS")</f>
        <v>HTML/CSS</v>
      </c>
      <c r="J3679" s="9" t="str">
        <f>IFERROR(__xludf.DUMMYFUNCTION("""COMPUTED_VALUE"""),"SQL")</f>
        <v>SQL</v>
      </c>
      <c r="K3679" s="9" t="str">
        <f>IFERROR(__xludf.DUMMYFUNCTION("""COMPUTED_VALUE"""),"JavaScript")</f>
        <v>JavaScript</v>
      </c>
      <c r="L3679" s="9" t="str">
        <f>IFERROR(__xludf.DUMMYFUNCTION("""COMPUTED_VALUE"""),"C#")</f>
        <v>C#</v>
      </c>
      <c r="M3679" s="9" t="s">
        <v>33</v>
      </c>
    </row>
    <row r="3680" ht="15.75" customHeight="1">
      <c r="A3680" s="7"/>
      <c r="B3680" s="7" t="str">
        <f>IFERROR(__xludf.DUMMYFUNCTION("""COMPUTED_VALUE"""),"Java;Scala")</f>
        <v>Java;Scala</v>
      </c>
      <c r="C3680" s="9" t="str">
        <f>IFERROR(__xludf.DUMMYFUNCTION("""COMPUTED_VALUE"""),"Go")</f>
        <v>Go</v>
      </c>
      <c r="D3680" s="9" t="str">
        <f>IFERROR(__xludf.DUMMYFUNCTION("""COMPUTED_VALUE"""),"SQL")</f>
        <v>SQL</v>
      </c>
      <c r="E3680" s="9" t="str">
        <f>IFERROR(__xludf.DUMMYFUNCTION("""COMPUTED_VALUE"""),"SQL")</f>
        <v>SQL</v>
      </c>
      <c r="F3680" s="9" t="str">
        <f>IFERROR(__xludf.DUMMYFUNCTION("""COMPUTED_VALUE"""),"Bash/Shell/PowerShell")</f>
        <v>Bash/Shell/PowerShell</v>
      </c>
      <c r="G3680" s="9" t="str">
        <f>IFERROR(__xludf.DUMMYFUNCTION("""COMPUTED_VALUE"""),"Python")</f>
        <v>Python</v>
      </c>
      <c r="H3680" s="9" t="str">
        <f>IFERROR(__xludf.DUMMYFUNCTION("""COMPUTED_VALUE"""),"Bash/Shell/PowerShell")</f>
        <v>Bash/Shell/PowerShell</v>
      </c>
      <c r="I3680" s="9" t="str">
        <f>IFERROR(__xludf.DUMMYFUNCTION("""COMPUTED_VALUE"""),"JavaScript")</f>
        <v>JavaScript</v>
      </c>
      <c r="J3680" s="9" t="str">
        <f>IFERROR(__xludf.DUMMYFUNCTION("""COMPUTED_VALUE"""),"C")</f>
        <v>C</v>
      </c>
      <c r="K3680" s="9" t="str">
        <f>IFERROR(__xludf.DUMMYFUNCTION("""COMPUTED_VALUE"""),"SQL")</f>
        <v>SQL</v>
      </c>
      <c r="L3680" s="9" t="str">
        <f>IFERROR(__xludf.DUMMYFUNCTION("""COMPUTED_VALUE"""),"HTML/CSS")</f>
        <v>HTML/CSS</v>
      </c>
      <c r="M3680" s="9" t="s">
        <v>36</v>
      </c>
    </row>
    <row r="3681" ht="15.75" customHeight="1">
      <c r="A3681" s="7"/>
      <c r="B3681" s="7" t="str">
        <f>IFERROR(__xludf.DUMMYFUNCTION("""COMPUTED_VALUE"""),"HTML/CSS;JavaScript;PHP;SQL")</f>
        <v>HTML/CSS;JavaScript;PHP;SQL</v>
      </c>
      <c r="C3681" s="9" t="str">
        <f>IFERROR(__xludf.DUMMYFUNCTION("""COMPUTED_VALUE"""),"HTML/CSS")</f>
        <v>HTML/CSS</v>
      </c>
      <c r="D3681" s="9" t="str">
        <f>IFERROR(__xludf.DUMMYFUNCTION("""COMPUTED_VALUE"""),"Bash/Shell/PowerShell")</f>
        <v>Bash/Shell/PowerShell</v>
      </c>
      <c r="E3681" s="9" t="str">
        <f>IFERROR(__xludf.DUMMYFUNCTION("""COMPUTED_VALUE"""),"C#")</f>
        <v>C#</v>
      </c>
      <c r="F3681" s="9" t="str">
        <f>IFERROR(__xludf.DUMMYFUNCTION("""COMPUTED_VALUE"""),"C#")</f>
        <v>C#</v>
      </c>
      <c r="G3681" s="9" t="str">
        <f>IFERROR(__xludf.DUMMYFUNCTION("""COMPUTED_VALUE"""),"SQL")</f>
        <v>SQL</v>
      </c>
      <c r="H3681" s="9" t="str">
        <f>IFERROR(__xludf.DUMMYFUNCTION("""COMPUTED_VALUE"""),"C")</f>
        <v>C</v>
      </c>
      <c r="I3681" s="9" t="str">
        <f>IFERROR(__xludf.DUMMYFUNCTION("""COMPUTED_VALUE"""),"PHP")</f>
        <v>PHP</v>
      </c>
      <c r="J3681" s="9" t="str">
        <f>IFERROR(__xludf.DUMMYFUNCTION("""COMPUTED_VALUE"""),"C++")</f>
        <v>C++</v>
      </c>
      <c r="K3681" s="9" t="str">
        <f>IFERROR(__xludf.DUMMYFUNCTION("""COMPUTED_VALUE"""),"TypeScript")</f>
        <v>TypeScript</v>
      </c>
      <c r="L3681" s="9" t="str">
        <f>IFERROR(__xludf.DUMMYFUNCTION("""COMPUTED_VALUE"""),"SQL")</f>
        <v>SQL</v>
      </c>
      <c r="M3681" s="9" t="s">
        <v>24</v>
      </c>
    </row>
    <row r="3682" ht="15.75" customHeight="1">
      <c r="A3682" s="7"/>
      <c r="B3682" s="7" t="str">
        <f>IFERROR(__xludf.DUMMYFUNCTION("""COMPUTED_VALUE"""),"Bash/Shell/PowerShell;C#;HTML/CSS;JavaScript;SQL")</f>
        <v>Bash/Shell/PowerShell;C#;HTML/CSS;JavaScript;SQL</v>
      </c>
      <c r="C3682" s="9" t="str">
        <f>IFERROR(__xludf.DUMMYFUNCTION("""COMPUTED_VALUE"""),"Python")</f>
        <v>Python</v>
      </c>
      <c r="D3682" s="9" t="str">
        <f>IFERROR(__xludf.DUMMYFUNCTION("""COMPUTED_VALUE"""),"Go")</f>
        <v>Go</v>
      </c>
      <c r="E3682" s="9" t="str">
        <f>IFERROR(__xludf.DUMMYFUNCTION("""COMPUTED_VALUE"""),"Go")</f>
        <v>Go</v>
      </c>
      <c r="F3682" s="9" t="str">
        <f>IFERROR(__xludf.DUMMYFUNCTION("""COMPUTED_VALUE"""),"HTML/CSS")</f>
        <v>HTML/CSS</v>
      </c>
      <c r="G3682" s="9" t="str">
        <f>IFERROR(__xludf.DUMMYFUNCTION("""COMPUTED_VALUE"""),"Other(s):")</f>
        <v>Other(s):</v>
      </c>
      <c r="H3682" s="9" t="str">
        <f>IFERROR(__xludf.DUMMYFUNCTION("""COMPUTED_VALUE"""),"C++")</f>
        <v>C++</v>
      </c>
      <c r="I3682" s="9" t="str">
        <f>IFERROR(__xludf.DUMMYFUNCTION("""COMPUTED_VALUE"""),"Python")</f>
        <v>Python</v>
      </c>
      <c r="J3682" s="9" t="str">
        <f>IFERROR(__xludf.DUMMYFUNCTION("""COMPUTED_VALUE"""),"C#")</f>
        <v>C#</v>
      </c>
      <c r="K3682" s="9" t="str">
        <f>IFERROR(__xludf.DUMMYFUNCTION("""COMPUTED_VALUE"""),"Python")</f>
        <v>Python</v>
      </c>
      <c r="L3682" s="9" t="str">
        <f>IFERROR(__xludf.DUMMYFUNCTION("""COMPUTED_VALUE"""),"Java")</f>
        <v>Java</v>
      </c>
      <c r="M3682" s="9" t="s">
        <v>22</v>
      </c>
    </row>
    <row r="3683" ht="15.75" customHeight="1">
      <c r="A3683" s="7"/>
      <c r="B3683" s="7" t="str">
        <f>IFERROR(__xludf.DUMMYFUNCTION("""COMPUTED_VALUE"""),"HTML/CSS;JavaScript;Python;Ruby;SQL")</f>
        <v>HTML/CSS;JavaScript;Python;Ruby;SQL</v>
      </c>
      <c r="C3683" s="9" t="str">
        <f>IFERROR(__xludf.DUMMYFUNCTION("""COMPUTED_VALUE"""),"Bash/Shell/PowerShell")</f>
        <v>Bash/Shell/PowerShell</v>
      </c>
      <c r="D3683" s="9" t="str">
        <f>IFERROR(__xludf.DUMMYFUNCTION("""COMPUTED_VALUE"""),"Java")</f>
        <v>Java</v>
      </c>
      <c r="E3683" s="9" t="str">
        <f>IFERROR(__xludf.DUMMYFUNCTION("""COMPUTED_VALUE"""),"HTML/CSS")</f>
        <v>HTML/CSS</v>
      </c>
      <c r="F3683" s="9" t="str">
        <f>IFERROR(__xludf.DUMMYFUNCTION("""COMPUTED_VALUE"""),"JavaScript")</f>
        <v>JavaScript</v>
      </c>
      <c r="G3683" s="9" t="str">
        <f>IFERROR(__xludf.DUMMYFUNCTION("""COMPUTED_VALUE"""),"C#")</f>
        <v>C#</v>
      </c>
      <c r="H3683" s="9" t="str">
        <f>IFERROR(__xludf.DUMMYFUNCTION("""COMPUTED_VALUE"""),"Dart")</f>
        <v>Dart</v>
      </c>
      <c r="I3683" s="9" t="str">
        <f>IFERROR(__xludf.DUMMYFUNCTION("""COMPUTED_VALUE"""),"SQL")</f>
        <v>SQL</v>
      </c>
      <c r="J3683" s="9" t="str">
        <f>IFERROR(__xludf.DUMMYFUNCTION("""COMPUTED_VALUE"""),"HTML/CSS")</f>
        <v>HTML/CSS</v>
      </c>
      <c r="K3683" s="9" t="str">
        <f>IFERROR(__xludf.DUMMYFUNCTION("""COMPUTED_VALUE"""),"Bash/Shell/PowerShell")</f>
        <v>Bash/Shell/PowerShell</v>
      </c>
      <c r="L3683" s="9" t="str">
        <f>IFERROR(__xludf.DUMMYFUNCTION("""COMPUTED_VALUE"""),"SQL")</f>
        <v>SQL</v>
      </c>
      <c r="M3683" s="9" t="s">
        <v>30</v>
      </c>
    </row>
    <row r="3684" ht="15.75" customHeight="1">
      <c r="A3684" s="7"/>
      <c r="B3684" s="7" t="str">
        <f>IFERROR(__xludf.DUMMYFUNCTION("""COMPUTED_VALUE"""),"HTML/CSS;JavaScript;Python")</f>
        <v>HTML/CSS;JavaScript;Python</v>
      </c>
      <c r="C3684" s="9" t="str">
        <f>IFERROR(__xludf.DUMMYFUNCTION("""COMPUTED_VALUE"""),"C#")</f>
        <v>C#</v>
      </c>
      <c r="D3684" s="9" t="str">
        <f>IFERROR(__xludf.DUMMYFUNCTION("""COMPUTED_VALUE"""),"Kotlin")</f>
        <v>Kotlin</v>
      </c>
      <c r="E3684" s="9" t="str">
        <f>IFERROR(__xludf.DUMMYFUNCTION("""COMPUTED_VALUE"""),"Java")</f>
        <v>Java</v>
      </c>
      <c r="F3684" s="9" t="str">
        <f>IFERROR(__xludf.DUMMYFUNCTION("""COMPUTED_VALUE"""),"PHP")</f>
        <v>PHP</v>
      </c>
      <c r="G3684" s="9" t="str">
        <f>IFERROR(__xludf.DUMMYFUNCTION("""COMPUTED_VALUE"""),"Java")</f>
        <v>Java</v>
      </c>
      <c r="H3684" s="9" t="str">
        <f>IFERROR(__xludf.DUMMYFUNCTION("""COMPUTED_VALUE"""),"Go")</f>
        <v>Go</v>
      </c>
      <c r="I3684" s="9" t="str">
        <f>IFERROR(__xludf.DUMMYFUNCTION("""COMPUTED_VALUE"""),"TypeScript")</f>
        <v>TypeScript</v>
      </c>
      <c r="J3684" s="9" t="str">
        <f>IFERROR(__xludf.DUMMYFUNCTION("""COMPUTED_VALUE"""),"Java")</f>
        <v>Java</v>
      </c>
      <c r="K3684" s="9" t="str">
        <f>IFERROR(__xludf.DUMMYFUNCTION("""COMPUTED_VALUE"""),"C#")</f>
        <v>C#</v>
      </c>
      <c r="L3684" s="9" t="str">
        <f>IFERROR(__xludf.DUMMYFUNCTION("""COMPUTED_VALUE"""),"Bash/Shell/PowerShell")</f>
        <v>Bash/Shell/PowerShell</v>
      </c>
      <c r="M3684" s="9" t="s">
        <v>26</v>
      </c>
    </row>
    <row r="3685" ht="15.75" customHeight="1">
      <c r="A3685" s="7"/>
      <c r="B3685" s="7" t="str">
        <f>IFERROR(__xludf.DUMMYFUNCTION("""COMPUTED_VALUE"""),"HTML/CSS;Java;JavaScript;PHP;Python;SQL")</f>
        <v>HTML/CSS;Java;JavaScript;PHP;Python;SQL</v>
      </c>
      <c r="C3685" s="9" t="str">
        <f>IFERROR(__xludf.DUMMYFUNCTION("""COMPUTED_VALUE"""),"HTML/CSS")</f>
        <v>HTML/CSS</v>
      </c>
      <c r="D3685" s="9" t="str">
        <f>IFERROR(__xludf.DUMMYFUNCTION("""COMPUTED_VALUE"""),"Python")</f>
        <v>Python</v>
      </c>
      <c r="E3685" s="9" t="str">
        <f>IFERROR(__xludf.DUMMYFUNCTION("""COMPUTED_VALUE"""),"JavaScript")</f>
        <v>JavaScript</v>
      </c>
      <c r="F3685" s="9" t="str">
        <f>IFERROR(__xludf.DUMMYFUNCTION("""COMPUTED_VALUE"""),"Python")</f>
        <v>Python</v>
      </c>
      <c r="G3685" s="9" t="str">
        <f>IFERROR(__xludf.DUMMYFUNCTION("""COMPUTED_VALUE"""),"Kotlin")</f>
        <v>Kotlin</v>
      </c>
      <c r="H3685" s="9" t="str">
        <f>IFERROR(__xludf.DUMMYFUNCTION("""COMPUTED_VALUE"""),"HTML/CSS")</f>
        <v>HTML/CSS</v>
      </c>
      <c r="I3685" s="9" t="str">
        <f>IFERROR(__xludf.DUMMYFUNCTION("""COMPUTED_VALUE"""),"C++")</f>
        <v>C++</v>
      </c>
      <c r="J3685" s="9" t="str">
        <f>IFERROR(__xludf.DUMMYFUNCTION("""COMPUTED_VALUE"""),"JavaScript")</f>
        <v>JavaScript</v>
      </c>
      <c r="K3685" s="9" t="str">
        <f>IFERROR(__xludf.DUMMYFUNCTION("""COMPUTED_VALUE"""),"SQL")</f>
        <v>SQL</v>
      </c>
      <c r="L3685" s="9" t="str">
        <f>IFERROR(__xludf.DUMMYFUNCTION("""COMPUTED_VALUE"""),"C#")</f>
        <v>C#</v>
      </c>
      <c r="M3685" s="9" t="s">
        <v>24</v>
      </c>
    </row>
    <row r="3686" ht="15.75" customHeight="1">
      <c r="A3686" s="7"/>
      <c r="B3686" s="7" t="str">
        <f>IFERROR(__xludf.DUMMYFUNCTION("""COMPUTED_VALUE"""),"C++;C#")</f>
        <v>C++;C#</v>
      </c>
      <c r="C3686" s="9" t="str">
        <f>IFERROR(__xludf.DUMMYFUNCTION("""COMPUTED_VALUE"""),"Java")</f>
        <v>Java</v>
      </c>
      <c r="D3686" s="9" t="str">
        <f>IFERROR(__xludf.DUMMYFUNCTION("""COMPUTED_VALUE"""),"Bash/Shell/PowerShell")</f>
        <v>Bash/Shell/PowerShell</v>
      </c>
      <c r="E3686" s="9" t="str">
        <f>IFERROR(__xludf.DUMMYFUNCTION("""COMPUTED_VALUE"""),"Objective-C")</f>
        <v>Objective-C</v>
      </c>
      <c r="F3686" s="9" t="str">
        <f>IFERROR(__xludf.DUMMYFUNCTION("""COMPUTED_VALUE"""),"SQL")</f>
        <v>SQL</v>
      </c>
      <c r="G3686" s="9" t="str">
        <f>IFERROR(__xludf.DUMMYFUNCTION("""COMPUTED_VALUE"""),"Objective-C")</f>
        <v>Objective-C</v>
      </c>
      <c r="H3686" s="9" t="str">
        <f>IFERROR(__xludf.DUMMYFUNCTION("""COMPUTED_VALUE"""),"Java")</f>
        <v>Java</v>
      </c>
      <c r="I3686" s="9" t="str">
        <f>IFERROR(__xludf.DUMMYFUNCTION("""COMPUTED_VALUE"""),"Python")</f>
        <v>Python</v>
      </c>
      <c r="J3686" s="9" t="str">
        <f>IFERROR(__xludf.DUMMYFUNCTION("""COMPUTED_VALUE"""),"PHP")</f>
        <v>PHP</v>
      </c>
      <c r="K3686" s="9" t="str">
        <f>IFERROR(__xludf.DUMMYFUNCTION("""COMPUTED_VALUE"""),"Python")</f>
        <v>Python</v>
      </c>
      <c r="L3686" s="9" t="str">
        <f>IFERROR(__xludf.DUMMYFUNCTION("""COMPUTED_VALUE"""),"HTML/CSS")</f>
        <v>HTML/CSS</v>
      </c>
      <c r="M3686" s="9" t="s">
        <v>20</v>
      </c>
    </row>
    <row r="3687" ht="15.75" customHeight="1">
      <c r="A3687" s="7"/>
      <c r="B3687" s="7" t="str">
        <f>IFERROR(__xludf.DUMMYFUNCTION("""COMPUTED_VALUE"""),"Go;Kotlin;Python;Ruby;SQL")</f>
        <v>Go;Kotlin;Python;Ruby;SQL</v>
      </c>
      <c r="C3687" s="9" t="str">
        <f>IFERROR(__xludf.DUMMYFUNCTION("""COMPUTED_VALUE"""),"JavaScript")</f>
        <v>JavaScript</v>
      </c>
      <c r="D3687" s="9" t="str">
        <f>IFERROR(__xludf.DUMMYFUNCTION("""COMPUTED_VALUE"""),"TypeScript")</f>
        <v>TypeScript</v>
      </c>
      <c r="E3687" s="9" t="str">
        <f>IFERROR(__xludf.DUMMYFUNCTION("""COMPUTED_VALUE"""),"SQL")</f>
        <v>SQL</v>
      </c>
      <c r="F3687" s="9" t="str">
        <f>IFERROR(__xludf.DUMMYFUNCTION("""COMPUTED_VALUE"""),"Assembly")</f>
        <v>Assembly</v>
      </c>
      <c r="G3687" s="9" t="str">
        <f>IFERROR(__xludf.DUMMYFUNCTION("""COMPUTED_VALUE"""),"SQL")</f>
        <v>SQL</v>
      </c>
      <c r="H3687" s="9" t="str">
        <f>IFERROR(__xludf.DUMMYFUNCTION("""COMPUTED_VALUE"""),"JavaScript")</f>
        <v>JavaScript</v>
      </c>
      <c r="I3687" s="9" t="str">
        <f>IFERROR(__xludf.DUMMYFUNCTION("""COMPUTED_VALUE"""),"Swift")</f>
        <v>Swift</v>
      </c>
      <c r="J3687" s="9" t="str">
        <f>IFERROR(__xludf.DUMMYFUNCTION("""COMPUTED_VALUE"""),"Python")</f>
        <v>Python</v>
      </c>
      <c r="K3687" s="9" t="str">
        <f>IFERROR(__xludf.DUMMYFUNCTION("""COMPUTED_VALUE"""),"Other(s):")</f>
        <v>Other(s):</v>
      </c>
      <c r="L3687" s="9" t="str">
        <f>IFERROR(__xludf.DUMMYFUNCTION("""COMPUTED_VALUE"""),"JavaScript")</f>
        <v>JavaScript</v>
      </c>
      <c r="M3687" s="9" t="s">
        <v>21</v>
      </c>
    </row>
    <row r="3688" ht="15.75" customHeight="1">
      <c r="A3688" s="7"/>
      <c r="B3688" s="7" t="str">
        <f>IFERROR(__xludf.DUMMYFUNCTION("""COMPUTED_VALUE"""),"Bash/Shell/PowerShell;HTML/CSS;JavaScript;PHP;SQL;TypeScript")</f>
        <v>Bash/Shell/PowerShell;HTML/CSS;JavaScript;PHP;SQL;TypeScript</v>
      </c>
      <c r="C3688" s="9" t="str">
        <f>IFERROR(__xludf.DUMMYFUNCTION("""COMPUTED_VALUE"""),"Python")</f>
        <v>Python</v>
      </c>
      <c r="D3688" s="9" t="str">
        <f>IFERROR(__xludf.DUMMYFUNCTION("""COMPUTED_VALUE"""),"C++")</f>
        <v>C++</v>
      </c>
      <c r="E3688" s="9" t="str">
        <f>IFERROR(__xludf.DUMMYFUNCTION("""COMPUTED_VALUE"""),"Swift")</f>
        <v>Swift</v>
      </c>
      <c r="F3688" s="9" t="str">
        <f>IFERROR(__xludf.DUMMYFUNCTION("""COMPUTED_VALUE"""),"Bash/Shell/PowerShell")</f>
        <v>Bash/Shell/PowerShell</v>
      </c>
      <c r="G3688" s="9" t="str">
        <f>IFERROR(__xludf.DUMMYFUNCTION("""COMPUTED_VALUE"""),"HTML/CSS")</f>
        <v>HTML/CSS</v>
      </c>
      <c r="H3688" s="9" t="str">
        <f>IFERROR(__xludf.DUMMYFUNCTION("""COMPUTED_VALUE"""),"Kotlin")</f>
        <v>Kotlin</v>
      </c>
      <c r="I3688" s="9" t="str">
        <f>IFERROR(__xludf.DUMMYFUNCTION("""COMPUTED_VALUE"""),"Other(s):")</f>
        <v>Other(s):</v>
      </c>
      <c r="J3688" s="9" t="str">
        <f>IFERROR(__xludf.DUMMYFUNCTION("""COMPUTED_VALUE"""),"Java")</f>
        <v>Java</v>
      </c>
      <c r="K3688" s="9" t="str">
        <f>IFERROR(__xludf.DUMMYFUNCTION("""COMPUTED_VALUE"""),"Java")</f>
        <v>Java</v>
      </c>
      <c r="L3688" s="9" t="str">
        <f>IFERROR(__xludf.DUMMYFUNCTION("""COMPUTED_VALUE"""),"PHP")</f>
        <v>PHP</v>
      </c>
      <c r="M3688" s="9" t="s">
        <v>22</v>
      </c>
    </row>
    <row r="3689" ht="15.75" customHeight="1">
      <c r="A3689" s="7"/>
      <c r="B3689" s="7" t="str">
        <f>IFERROR(__xludf.DUMMYFUNCTION("""COMPUTED_VALUE"""),"Assembly;Bash/Shell/PowerShell;C;C++;C#;HTML/CSS;Java;JavaScript;Python")</f>
        <v>Assembly;Bash/Shell/PowerShell;C;C++;C#;HTML/CSS;Java;JavaScript;Python</v>
      </c>
      <c r="C3689" s="9" t="str">
        <f>IFERROR(__xludf.DUMMYFUNCTION("""COMPUTED_VALUE"""),"R")</f>
        <v>R</v>
      </c>
      <c r="D3689" s="9" t="str">
        <f>IFERROR(__xludf.DUMMYFUNCTION("""COMPUTED_VALUE"""),"Java")</f>
        <v>Java</v>
      </c>
      <c r="E3689" s="9" t="str">
        <f>IFERROR(__xludf.DUMMYFUNCTION("""COMPUTED_VALUE"""),"Other(s):")</f>
        <v>Other(s):</v>
      </c>
      <c r="F3689" s="9" t="str">
        <f>IFERROR(__xludf.DUMMYFUNCTION("""COMPUTED_VALUE"""),"C")</f>
        <v>C</v>
      </c>
      <c r="G3689" s="9" t="str">
        <f>IFERROR(__xludf.DUMMYFUNCTION("""COMPUTED_VALUE"""),"Java")</f>
        <v>Java</v>
      </c>
      <c r="H3689" s="9" t="str">
        <f>IFERROR(__xludf.DUMMYFUNCTION("""COMPUTED_VALUE"""),"TypeScript")</f>
        <v>TypeScript</v>
      </c>
      <c r="I3689" s="9" t="str">
        <f>IFERROR(__xludf.DUMMYFUNCTION("""COMPUTED_VALUE"""),"Bash/Shell/PowerShell")</f>
        <v>Bash/Shell/PowerShell</v>
      </c>
      <c r="J3689" s="9" t="str">
        <f>IFERROR(__xludf.DUMMYFUNCTION("""COMPUTED_VALUE"""),"Python")</f>
        <v>Python</v>
      </c>
      <c r="K3689" s="9" t="str">
        <f>IFERROR(__xludf.DUMMYFUNCTION("""COMPUTED_VALUE"""),"Python")</f>
        <v>Python</v>
      </c>
      <c r="L3689" s="9" t="str">
        <f>IFERROR(__xludf.DUMMYFUNCTION("""COMPUTED_VALUE"""),"SQL")</f>
        <v>SQL</v>
      </c>
      <c r="M3689" s="9" t="s">
        <v>29</v>
      </c>
    </row>
    <row r="3690" ht="15.75" customHeight="1">
      <c r="A3690" s="7"/>
      <c r="B3690" s="7" t="str">
        <f>IFERROR(__xludf.DUMMYFUNCTION("""COMPUTED_VALUE"""),"Assembly;Bash/Shell/PowerShell;C;C++;C#;Python;Other(s):")</f>
        <v>Assembly;Bash/Shell/PowerShell;C;C++;C#;Python;Other(s):</v>
      </c>
      <c r="C3690" s="9" t="str">
        <f>IFERROR(__xludf.DUMMYFUNCTION("""COMPUTED_VALUE"""),"Ruby")</f>
        <v>Ruby</v>
      </c>
      <c r="D3690" s="9" t="str">
        <f>IFERROR(__xludf.DUMMYFUNCTION("""COMPUTED_VALUE"""),"Bash/Shell/PowerShell")</f>
        <v>Bash/Shell/PowerShell</v>
      </c>
      <c r="E3690" s="9" t="str">
        <f>IFERROR(__xludf.DUMMYFUNCTION("""COMPUTED_VALUE"""),"C#")</f>
        <v>C#</v>
      </c>
      <c r="F3690" s="9" t="str">
        <f>IFERROR(__xludf.DUMMYFUNCTION("""COMPUTED_VALUE"""),"C++")</f>
        <v>C++</v>
      </c>
      <c r="G3690" s="9" t="str">
        <f>IFERROR(__xludf.DUMMYFUNCTION("""COMPUTED_VALUE"""),"PHP")</f>
        <v>PHP</v>
      </c>
      <c r="H3690" s="9" t="str">
        <f>IFERROR(__xludf.DUMMYFUNCTION("""COMPUTED_VALUE"""),"Bash/Shell/PowerShell")</f>
        <v>Bash/Shell/PowerShell</v>
      </c>
      <c r="I3690" s="9" t="str">
        <f>IFERROR(__xludf.DUMMYFUNCTION("""COMPUTED_VALUE"""),"C#")</f>
        <v>C#</v>
      </c>
      <c r="J3690" s="9" t="str">
        <f>IFERROR(__xludf.DUMMYFUNCTION("""COMPUTED_VALUE"""),"C#")</f>
        <v>C#</v>
      </c>
      <c r="K3690" s="9" t="str">
        <f>IFERROR(__xludf.DUMMYFUNCTION("""COMPUTED_VALUE"""),"Bash/Shell/PowerShell")</f>
        <v>Bash/Shell/PowerShell</v>
      </c>
      <c r="L3690" s="9" t="str">
        <f>IFERROR(__xludf.DUMMYFUNCTION("""COMPUTED_VALUE"""),"Bash/Shell/PowerShell")</f>
        <v>Bash/Shell/PowerShell</v>
      </c>
      <c r="M3690" s="9" t="s">
        <v>31</v>
      </c>
    </row>
    <row r="3691" ht="15.75" customHeight="1">
      <c r="A3691" s="7"/>
      <c r="B3691" s="7" t="str">
        <f>IFERROR(__xludf.DUMMYFUNCTION("""COMPUTED_VALUE"""),"JavaScript;Python;R;Ruby")</f>
        <v>JavaScript;Python;R;Ruby</v>
      </c>
      <c r="C3691" s="9" t="str">
        <f>IFERROR(__xludf.DUMMYFUNCTION("""COMPUTED_VALUE"""),"SQL")</f>
        <v>SQL</v>
      </c>
      <c r="D3691" s="9" t="str">
        <f>IFERROR(__xludf.DUMMYFUNCTION("""COMPUTED_VALUE"""),"C")</f>
        <v>C</v>
      </c>
      <c r="E3691" s="9" t="str">
        <f>IFERROR(__xludf.DUMMYFUNCTION("""COMPUTED_VALUE"""),"HTML/CSS")</f>
        <v>HTML/CSS</v>
      </c>
      <c r="F3691" s="9" t="str">
        <f>IFERROR(__xludf.DUMMYFUNCTION("""COMPUTED_VALUE"""),"C#")</f>
        <v>C#</v>
      </c>
      <c r="G3691" s="9" t="str">
        <f>IFERROR(__xludf.DUMMYFUNCTION("""COMPUTED_VALUE"""),"SQL")</f>
        <v>SQL</v>
      </c>
      <c r="H3691" s="9" t="str">
        <f>IFERROR(__xludf.DUMMYFUNCTION("""COMPUTED_VALUE"""),"C++")</f>
        <v>C++</v>
      </c>
      <c r="I3691" s="9" t="str">
        <f>IFERROR(__xludf.DUMMYFUNCTION("""COMPUTED_VALUE"""),"HTML/CSS")</f>
        <v>HTML/CSS</v>
      </c>
      <c r="J3691" s="9" t="str">
        <f>IFERROR(__xludf.DUMMYFUNCTION("""COMPUTED_VALUE"""),"HTML/CSS")</f>
        <v>HTML/CSS</v>
      </c>
      <c r="K3691" s="9" t="str">
        <f>IFERROR(__xludf.DUMMYFUNCTION("""COMPUTED_VALUE"""),"Java")</f>
        <v>Java</v>
      </c>
      <c r="L3691" s="9" t="str">
        <f>IFERROR(__xludf.DUMMYFUNCTION("""COMPUTED_VALUE"""),"C")</f>
        <v>C</v>
      </c>
      <c r="M3691" s="9" t="s">
        <v>27</v>
      </c>
    </row>
    <row r="3692" ht="15.75" customHeight="1">
      <c r="A3692" s="7"/>
      <c r="B3692" s="7" t="str">
        <f>IFERROR(__xludf.DUMMYFUNCTION("""COMPUTED_VALUE"""),"Bash/Shell/PowerShell;Go;HTML/CSS;JavaScript;Python;TypeScript")</f>
        <v>Bash/Shell/PowerShell;Go;HTML/CSS;JavaScript;Python;TypeScript</v>
      </c>
      <c r="C3692" s="9" t="str">
        <f>IFERROR(__xludf.DUMMYFUNCTION("""COMPUTED_VALUE"""),"TypeScript")</f>
        <v>TypeScript</v>
      </c>
      <c r="D3692" s="9" t="str">
        <f>IFERROR(__xludf.DUMMYFUNCTION("""COMPUTED_VALUE"""),"Clojure")</f>
        <v>Clojure</v>
      </c>
      <c r="E3692" s="9" t="str">
        <f>IFERROR(__xludf.DUMMYFUNCTION("""COMPUTED_VALUE"""),"Java")</f>
        <v>Java</v>
      </c>
      <c r="F3692" s="9" t="str">
        <f>IFERROR(__xludf.DUMMYFUNCTION("""COMPUTED_VALUE"""),"HTML/CSS")</f>
        <v>HTML/CSS</v>
      </c>
      <c r="G3692" s="9" t="str">
        <f>IFERROR(__xludf.DUMMYFUNCTION("""COMPUTED_VALUE"""),"C++")</f>
        <v>C++</v>
      </c>
      <c r="H3692" s="9" t="str">
        <f>IFERROR(__xludf.DUMMYFUNCTION("""COMPUTED_VALUE"""),"HTML/CSS")</f>
        <v>HTML/CSS</v>
      </c>
      <c r="I3692" s="9" t="str">
        <f>IFERROR(__xludf.DUMMYFUNCTION("""COMPUTED_VALUE"""),"JavaScript")</f>
        <v>JavaScript</v>
      </c>
      <c r="J3692" s="9" t="str">
        <f>IFERROR(__xludf.DUMMYFUNCTION("""COMPUTED_VALUE"""),"JavaScript")</f>
        <v>JavaScript</v>
      </c>
      <c r="K3692" s="9" t="str">
        <f>IFERROR(__xludf.DUMMYFUNCTION("""COMPUTED_VALUE"""),"Python")</f>
        <v>Python</v>
      </c>
      <c r="L3692" s="9" t="str">
        <f>IFERROR(__xludf.DUMMYFUNCTION("""COMPUTED_VALUE"""),"C#")</f>
        <v>C#</v>
      </c>
      <c r="M3692" s="9" t="s">
        <v>33</v>
      </c>
    </row>
    <row r="3693" ht="15.75" customHeight="1">
      <c r="A3693" s="7"/>
      <c r="B3693" s="7" t="str">
        <f>IFERROR(__xludf.DUMMYFUNCTION("""COMPUTED_VALUE"""),"Bash/Shell/PowerShell;C#;HTML/CSS;Java;JavaScript;Python;SQL")</f>
        <v>Bash/Shell/PowerShell;C#;HTML/CSS;Java;JavaScript;Python;SQL</v>
      </c>
      <c r="C3693" s="9" t="str">
        <f>IFERROR(__xludf.DUMMYFUNCTION("""COMPUTED_VALUE"""),"Java")</f>
        <v>Java</v>
      </c>
      <c r="D3693" s="9" t="str">
        <f>IFERROR(__xludf.DUMMYFUNCTION("""COMPUTED_VALUE"""),"HTML/CSS")</f>
        <v>HTML/CSS</v>
      </c>
      <c r="E3693" s="9" t="str">
        <f>IFERROR(__xludf.DUMMYFUNCTION("""COMPUTED_VALUE"""),"JavaScript")</f>
        <v>JavaScript</v>
      </c>
      <c r="F3693" s="9" t="str">
        <f>IFERROR(__xludf.DUMMYFUNCTION("""COMPUTED_VALUE"""),"Java")</f>
        <v>Java</v>
      </c>
      <c r="G3693" s="9" t="str">
        <f>IFERROR(__xludf.DUMMYFUNCTION("""COMPUTED_VALUE"""),"Dart")</f>
        <v>Dart</v>
      </c>
      <c r="H3693" s="9" t="str">
        <f>IFERROR(__xludf.DUMMYFUNCTION("""COMPUTED_VALUE"""),"Python")</f>
        <v>Python</v>
      </c>
      <c r="I3693" s="9" t="str">
        <f>IFERROR(__xludf.DUMMYFUNCTION("""COMPUTED_VALUE"""),"SQL")</f>
        <v>SQL</v>
      </c>
      <c r="J3693" s="9" t="str">
        <f>IFERROR(__xludf.DUMMYFUNCTION("""COMPUTED_VALUE"""),"Python")</f>
        <v>Python</v>
      </c>
      <c r="K3693" s="9" t="str">
        <f>IFERROR(__xludf.DUMMYFUNCTION("""COMPUTED_VALUE"""),"SQL")</f>
        <v>SQL</v>
      </c>
      <c r="L3693" s="9" t="str">
        <f>IFERROR(__xludf.DUMMYFUNCTION("""COMPUTED_VALUE"""),"HTML/CSS")</f>
        <v>HTML/CSS</v>
      </c>
      <c r="M3693" s="9" t="s">
        <v>20</v>
      </c>
    </row>
    <row r="3694" ht="15.75" customHeight="1">
      <c r="A3694" s="7"/>
      <c r="B3694" s="7" t="str">
        <f>IFERROR(__xludf.DUMMYFUNCTION("""COMPUTED_VALUE"""),"Bash/Shell/PowerShell;C#;Go;Python;SQL")</f>
        <v>Bash/Shell/PowerShell;C#;Go;Python;SQL</v>
      </c>
      <c r="C3694" s="9" t="str">
        <f>IFERROR(__xludf.DUMMYFUNCTION("""COMPUTED_VALUE"""),"JavaScript")</f>
        <v>JavaScript</v>
      </c>
      <c r="D3694" s="9" t="str">
        <f>IFERROR(__xludf.DUMMYFUNCTION("""COMPUTED_VALUE"""),"Java")</f>
        <v>Java</v>
      </c>
      <c r="E3694" s="9" t="str">
        <f>IFERROR(__xludf.DUMMYFUNCTION("""COMPUTED_VALUE"""),"HTML/CSS")</f>
        <v>HTML/CSS</v>
      </c>
      <c r="F3694" s="9" t="str">
        <f>IFERROR(__xludf.DUMMYFUNCTION("""COMPUTED_VALUE"""),"JavaScript")</f>
        <v>JavaScript</v>
      </c>
      <c r="G3694" s="9" t="str">
        <f>IFERROR(__xludf.DUMMYFUNCTION("""COMPUTED_VALUE"""),"HTML/CSS")</f>
        <v>HTML/CSS</v>
      </c>
      <c r="H3694" s="9" t="str">
        <f>IFERROR(__xludf.DUMMYFUNCTION("""COMPUTED_VALUE"""),"Swift")</f>
        <v>Swift</v>
      </c>
      <c r="I3694" s="9" t="str">
        <f>IFERROR(__xludf.DUMMYFUNCTION("""COMPUTED_VALUE"""),"TypeScript")</f>
        <v>TypeScript</v>
      </c>
      <c r="J3694" s="9" t="str">
        <f>IFERROR(__xludf.DUMMYFUNCTION("""COMPUTED_VALUE"""),"SQL")</f>
        <v>SQL</v>
      </c>
      <c r="K3694" s="9" t="str">
        <f>IFERROR(__xludf.DUMMYFUNCTION("""COMPUTED_VALUE"""),"Assembly")</f>
        <v>Assembly</v>
      </c>
      <c r="L3694" s="9" t="str">
        <f>IFERROR(__xludf.DUMMYFUNCTION("""COMPUTED_VALUE"""),"Ruby")</f>
        <v>Ruby</v>
      </c>
      <c r="M3694" s="9" t="s">
        <v>21</v>
      </c>
    </row>
    <row r="3695" ht="15.75" customHeight="1">
      <c r="A3695" s="7"/>
      <c r="B3695" s="7" t="str">
        <f>IFERROR(__xludf.DUMMYFUNCTION("""COMPUTED_VALUE"""),"C;C++;Go;HTML/CSS;JavaScript")</f>
        <v>C;C++;Go;HTML/CSS;JavaScript</v>
      </c>
      <c r="C3695" s="9" t="str">
        <f>IFERROR(__xludf.DUMMYFUNCTION("""COMPUTED_VALUE"""),"C#")</f>
        <v>C#</v>
      </c>
      <c r="D3695" s="9" t="str">
        <f>IFERROR(__xludf.DUMMYFUNCTION("""COMPUTED_VALUE"""),"JavaScript")</f>
        <v>JavaScript</v>
      </c>
      <c r="E3695" s="9" t="str">
        <f>IFERROR(__xludf.DUMMYFUNCTION("""COMPUTED_VALUE"""),"JavaScript")</f>
        <v>JavaScript</v>
      </c>
      <c r="F3695" s="9" t="str">
        <f>IFERROR(__xludf.DUMMYFUNCTION("""COMPUTED_VALUE"""),"Objective-C")</f>
        <v>Objective-C</v>
      </c>
      <c r="G3695" s="9" t="str">
        <f>IFERROR(__xludf.DUMMYFUNCTION("""COMPUTED_VALUE"""),"Java")</f>
        <v>Java</v>
      </c>
      <c r="H3695" s="9" t="str">
        <f>IFERROR(__xludf.DUMMYFUNCTION("""COMPUTED_VALUE"""),"Java")</f>
        <v>Java</v>
      </c>
      <c r="I3695" s="9" t="str">
        <f>IFERROR(__xludf.DUMMYFUNCTION("""COMPUTED_VALUE"""),"C#")</f>
        <v>C#</v>
      </c>
      <c r="J3695" s="9" t="str">
        <f>IFERROR(__xludf.DUMMYFUNCTION("""COMPUTED_VALUE"""),"VBA")</f>
        <v>VBA</v>
      </c>
      <c r="K3695" s="9" t="str">
        <f>IFERROR(__xludf.DUMMYFUNCTION("""COMPUTED_VALUE"""),"Bash/Shell/PowerShell")</f>
        <v>Bash/Shell/PowerShell</v>
      </c>
      <c r="L3695" s="9" t="str">
        <f>IFERROR(__xludf.DUMMYFUNCTION("""COMPUTED_VALUE"""),"SQL")</f>
        <v>SQL</v>
      </c>
      <c r="M3695" s="9" t="s">
        <v>26</v>
      </c>
    </row>
    <row r="3696" ht="15.75" customHeight="1">
      <c r="A3696" s="7"/>
      <c r="B3696" s="7" t="str">
        <f>IFERROR(__xludf.DUMMYFUNCTION("""COMPUTED_VALUE"""),"C#;HTML/CSS;JavaScript;TypeScript")</f>
        <v>C#;HTML/CSS;JavaScript;TypeScript</v>
      </c>
      <c r="C3696" s="9" t="str">
        <f>IFERROR(__xludf.DUMMYFUNCTION("""COMPUTED_VALUE"""),"HTML/CSS")</f>
        <v>HTML/CSS</v>
      </c>
      <c r="D3696" s="9" t="str">
        <f>IFERROR(__xludf.DUMMYFUNCTION("""COMPUTED_VALUE"""),"TypeScript")</f>
        <v>TypeScript</v>
      </c>
      <c r="E3696" s="9" t="str">
        <f>IFERROR(__xludf.DUMMYFUNCTION("""COMPUTED_VALUE"""),"PHP")</f>
        <v>PHP</v>
      </c>
      <c r="F3696" s="9" t="str">
        <f>IFERROR(__xludf.DUMMYFUNCTION("""COMPUTED_VALUE"""),"PHP")</f>
        <v>PHP</v>
      </c>
      <c r="G3696" s="9" t="str">
        <f>IFERROR(__xludf.DUMMYFUNCTION("""COMPUTED_VALUE"""),"JavaScript")</f>
        <v>JavaScript</v>
      </c>
      <c r="H3696" s="9" t="str">
        <f>IFERROR(__xludf.DUMMYFUNCTION("""COMPUTED_VALUE"""),"Objective-C")</f>
        <v>Objective-C</v>
      </c>
      <c r="I3696" s="9" t="str">
        <f>IFERROR(__xludf.DUMMYFUNCTION("""COMPUTED_VALUE"""),"HTML/CSS")</f>
        <v>HTML/CSS</v>
      </c>
      <c r="J3696" s="9" t="str">
        <f>IFERROR(__xludf.DUMMYFUNCTION("""COMPUTED_VALUE"""),"Assembly")</f>
        <v>Assembly</v>
      </c>
      <c r="K3696" s="9" t="str">
        <f>IFERROR(__xludf.DUMMYFUNCTION("""COMPUTED_VALUE"""),"C")</f>
        <v>C</v>
      </c>
      <c r="L3696" s="9" t="str">
        <f>IFERROR(__xludf.DUMMYFUNCTION("""COMPUTED_VALUE"""),"C")</f>
        <v>C</v>
      </c>
      <c r="M3696" s="9" t="s">
        <v>24</v>
      </c>
    </row>
    <row r="3697" ht="15.75" customHeight="1">
      <c r="A3697" s="7"/>
      <c r="B3697" s="7" t="str">
        <f>IFERROR(__xludf.DUMMYFUNCTION("""COMPUTED_VALUE"""),"C#;HTML/CSS;JavaScript")</f>
        <v>C#;HTML/CSS;JavaScript</v>
      </c>
      <c r="C3697" s="9" t="str">
        <f>IFERROR(__xludf.DUMMYFUNCTION("""COMPUTED_VALUE"""),"JavaScript")</f>
        <v>JavaScript</v>
      </c>
      <c r="D3697" s="9" t="str">
        <f>IFERROR(__xludf.DUMMYFUNCTION("""COMPUTED_VALUE"""),"Other(s):")</f>
        <v>Other(s):</v>
      </c>
      <c r="E3697" s="9" t="str">
        <f>IFERROR(__xludf.DUMMYFUNCTION("""COMPUTED_VALUE"""),"Python")</f>
        <v>Python</v>
      </c>
      <c r="F3697" s="9" t="str">
        <f>IFERROR(__xludf.DUMMYFUNCTION("""COMPUTED_VALUE"""),"Python")</f>
        <v>Python</v>
      </c>
      <c r="G3697" s="9" t="str">
        <f>IFERROR(__xludf.DUMMYFUNCTION("""COMPUTED_VALUE"""),"Kotlin")</f>
        <v>Kotlin</v>
      </c>
      <c r="H3697" s="9" t="str">
        <f>IFERROR(__xludf.DUMMYFUNCTION("""COMPUTED_VALUE"""),"Python")</f>
        <v>Python</v>
      </c>
      <c r="I3697" s="9" t="str">
        <f>IFERROR(__xludf.DUMMYFUNCTION("""COMPUTED_VALUE"""),"JavaScript")</f>
        <v>JavaScript</v>
      </c>
      <c r="J3697" s="9" t="str">
        <f>IFERROR(__xludf.DUMMYFUNCTION("""COMPUTED_VALUE"""),"C")</f>
        <v>C</v>
      </c>
      <c r="K3697" s="9" t="str">
        <f>IFERROR(__xludf.DUMMYFUNCTION("""COMPUTED_VALUE"""),"C++")</f>
        <v>C++</v>
      </c>
      <c r="L3697" s="9" t="str">
        <f>IFERROR(__xludf.DUMMYFUNCTION("""COMPUTED_VALUE"""),"C++")</f>
        <v>C++</v>
      </c>
      <c r="M3697" s="9" t="s">
        <v>21</v>
      </c>
    </row>
    <row r="3698" ht="15.75" customHeight="1">
      <c r="A3698" s="7"/>
      <c r="B3698" s="7" t="str">
        <f>IFERROR(__xludf.DUMMYFUNCTION("""COMPUTED_VALUE"""),"Bash/Shell/PowerShell;C;C++;JavaScript;Python")</f>
        <v>Bash/Shell/PowerShell;C;C++;JavaScript;Python</v>
      </c>
      <c r="C3698" s="9" t="str">
        <f>IFERROR(__xludf.DUMMYFUNCTION("""COMPUTED_VALUE"""),"SQL")</f>
        <v>SQL</v>
      </c>
      <c r="D3698" s="9" t="str">
        <f>IFERROR(__xludf.DUMMYFUNCTION("""COMPUTED_VALUE"""),"C#")</f>
        <v>C#</v>
      </c>
      <c r="E3698" s="9" t="str">
        <f>IFERROR(__xludf.DUMMYFUNCTION("""COMPUTED_VALUE"""),"Ruby")</f>
        <v>Ruby</v>
      </c>
      <c r="F3698" s="9" t="str">
        <f>IFERROR(__xludf.DUMMYFUNCTION("""COMPUTED_VALUE"""),"Ruby")</f>
        <v>Ruby</v>
      </c>
      <c r="G3698" s="9" t="str">
        <f>IFERROR(__xludf.DUMMYFUNCTION("""COMPUTED_VALUE"""),"Python")</f>
        <v>Python</v>
      </c>
      <c r="H3698" s="9" t="str">
        <f>IFERROR(__xludf.DUMMYFUNCTION("""COMPUTED_VALUE"""),"Ruby")</f>
        <v>Ruby</v>
      </c>
      <c r="I3698" s="9" t="str">
        <f>IFERROR(__xludf.DUMMYFUNCTION("""COMPUTED_VALUE"""),"SQL")</f>
        <v>SQL</v>
      </c>
      <c r="J3698" s="9" t="str">
        <f>IFERROR(__xludf.DUMMYFUNCTION("""COMPUTED_VALUE"""),"C++")</f>
        <v>C++</v>
      </c>
      <c r="K3698" s="9" t="str">
        <f>IFERROR(__xludf.DUMMYFUNCTION("""COMPUTED_VALUE"""),"HTML/CSS")</f>
        <v>HTML/CSS</v>
      </c>
      <c r="L3698" s="9" t="str">
        <f>IFERROR(__xludf.DUMMYFUNCTION("""COMPUTED_VALUE"""),"HTML/CSS")</f>
        <v>HTML/CSS</v>
      </c>
      <c r="M3698" s="9" t="s">
        <v>27</v>
      </c>
    </row>
    <row r="3699" ht="15.75" customHeight="1">
      <c r="A3699" s="7"/>
      <c r="B3699" s="7" t="str">
        <f>IFERROR(__xludf.DUMMYFUNCTION("""COMPUTED_VALUE"""),"Bash/Shell/PowerShell;HTML/CSS;PHP;SQL")</f>
        <v>Bash/Shell/PowerShell;HTML/CSS;PHP;SQL</v>
      </c>
      <c r="C3699" s="9" t="str">
        <f>IFERROR(__xludf.DUMMYFUNCTION("""COMPUTED_VALUE"""),"Dart")</f>
        <v>Dart</v>
      </c>
      <c r="D3699" s="9" t="str">
        <f>IFERROR(__xludf.DUMMYFUNCTION("""COMPUTED_VALUE"""),"HTML/CSS")</f>
        <v>HTML/CSS</v>
      </c>
      <c r="E3699" s="9" t="str">
        <f>IFERROR(__xludf.DUMMYFUNCTION("""COMPUTED_VALUE"""),"SQL")</f>
        <v>SQL</v>
      </c>
      <c r="F3699" s="9" t="str">
        <f>IFERROR(__xludf.DUMMYFUNCTION("""COMPUTED_VALUE"""),"SQL")</f>
        <v>SQL</v>
      </c>
      <c r="G3699" s="9" t="str">
        <f>IFERROR(__xludf.DUMMYFUNCTION("""COMPUTED_VALUE"""),"Ruby")</f>
        <v>Ruby</v>
      </c>
      <c r="H3699" s="9" t="str">
        <f>IFERROR(__xludf.DUMMYFUNCTION("""COMPUTED_VALUE"""),"Rust")</f>
        <v>Rust</v>
      </c>
      <c r="I3699" s="9" t="str">
        <f>IFERROR(__xludf.DUMMYFUNCTION("""COMPUTED_VALUE"""),"TypeScript")</f>
        <v>TypeScript</v>
      </c>
      <c r="J3699" s="9" t="str">
        <f>IFERROR(__xludf.DUMMYFUNCTION("""COMPUTED_VALUE"""),"C#")</f>
        <v>C#</v>
      </c>
      <c r="K3699" s="9" t="str">
        <f>IFERROR(__xludf.DUMMYFUNCTION("""COMPUTED_VALUE"""),"Java")</f>
        <v>Java</v>
      </c>
      <c r="L3699" s="9" t="str">
        <f>IFERROR(__xludf.DUMMYFUNCTION("""COMPUTED_VALUE"""),"Java")</f>
        <v>Java</v>
      </c>
      <c r="M3699" s="9" t="s">
        <v>47</v>
      </c>
    </row>
    <row r="3700" ht="15.75" customHeight="1">
      <c r="A3700" s="7"/>
      <c r="B3700" s="7" t="str">
        <f>IFERROR(__xludf.DUMMYFUNCTION("""COMPUTED_VALUE"""),"Bash/Shell/PowerShell;C;Java;Python;R;Swift;VBA")</f>
        <v>Bash/Shell/PowerShell;C;Java;Python;R;Swift;VBA</v>
      </c>
      <c r="C3700" s="9" t="str">
        <f>IFERROR(__xludf.DUMMYFUNCTION("""COMPUTED_VALUE"""),"HTML/CSS")</f>
        <v>HTML/CSS</v>
      </c>
      <c r="D3700" s="9" t="str">
        <f>IFERROR(__xludf.DUMMYFUNCTION("""COMPUTED_VALUE"""),"JavaScript")</f>
        <v>JavaScript</v>
      </c>
      <c r="E3700" s="9" t="str">
        <f>IFERROR(__xludf.DUMMYFUNCTION("""COMPUTED_VALUE"""),"Bash/Shell/PowerShell")</f>
        <v>Bash/Shell/PowerShell</v>
      </c>
      <c r="F3700" s="9" t="str">
        <f>IFERROR(__xludf.DUMMYFUNCTION("""COMPUTED_VALUE"""),"Swift")</f>
        <v>Swift</v>
      </c>
      <c r="G3700" s="9" t="str">
        <f>IFERROR(__xludf.DUMMYFUNCTION("""COMPUTED_VALUE"""),"Swift")</f>
        <v>Swift</v>
      </c>
      <c r="H3700" s="9" t="str">
        <f>IFERROR(__xludf.DUMMYFUNCTION("""COMPUTED_VALUE"""),"SQL")</f>
        <v>SQL</v>
      </c>
      <c r="I3700" s="9" t="str">
        <f>IFERROR(__xludf.DUMMYFUNCTION("""COMPUTED_VALUE"""),"Bash/Shell/PowerShell")</f>
        <v>Bash/Shell/PowerShell</v>
      </c>
      <c r="J3700" s="9" t="str">
        <f>IFERROR(__xludf.DUMMYFUNCTION("""COMPUTED_VALUE"""),"HTML/CSS")</f>
        <v>HTML/CSS</v>
      </c>
      <c r="K3700" s="9" t="str">
        <f>IFERROR(__xludf.DUMMYFUNCTION("""COMPUTED_VALUE"""),"JavaScript")</f>
        <v>JavaScript</v>
      </c>
      <c r="L3700" s="9" t="str">
        <f>IFERROR(__xludf.DUMMYFUNCTION("""COMPUTED_VALUE"""),"JavaScript")</f>
        <v>JavaScript</v>
      </c>
      <c r="M3700" s="9" t="s">
        <v>24</v>
      </c>
    </row>
    <row r="3701" ht="15.75" customHeight="1">
      <c r="A3701" s="7"/>
      <c r="B3701" s="7" t="str">
        <f>IFERROR(__xludf.DUMMYFUNCTION("""COMPUTED_VALUE"""),"Bash/Shell/PowerShell;HTML/CSS;Java;JavaScript;PHP;SQL")</f>
        <v>Bash/Shell/PowerShell;HTML/CSS;Java;JavaScript;PHP;SQL</v>
      </c>
      <c r="C3701" s="9" t="str">
        <f>IFERROR(__xludf.DUMMYFUNCTION("""COMPUTED_VALUE"""),"Java")</f>
        <v>Java</v>
      </c>
      <c r="D3701" s="9" t="str">
        <f>IFERROR(__xludf.DUMMYFUNCTION("""COMPUTED_VALUE"""),"SQL")</f>
        <v>SQL</v>
      </c>
      <c r="E3701" s="9" t="str">
        <f>IFERROR(__xludf.DUMMYFUNCTION("""COMPUTED_VALUE"""),"C")</f>
        <v>C</v>
      </c>
      <c r="F3701" s="9" t="str">
        <f>IFERROR(__xludf.DUMMYFUNCTION("""COMPUTED_VALUE"""),"TypeScript")</f>
        <v>TypeScript</v>
      </c>
      <c r="G3701" s="9" t="str">
        <f>IFERROR(__xludf.DUMMYFUNCTION("""COMPUTED_VALUE"""),"TypeScript")</f>
        <v>TypeScript</v>
      </c>
      <c r="H3701" s="9" t="str">
        <f>IFERROR(__xludf.DUMMYFUNCTION("""COMPUTED_VALUE"""),"Swift")</f>
        <v>Swift</v>
      </c>
      <c r="I3701" s="9" t="str">
        <f>IFERROR(__xludf.DUMMYFUNCTION("""COMPUTED_VALUE"""),"C")</f>
        <v>C</v>
      </c>
      <c r="J3701" s="9" t="str">
        <f>IFERROR(__xludf.DUMMYFUNCTION("""COMPUTED_VALUE"""),"JavaScript")</f>
        <v>JavaScript</v>
      </c>
      <c r="K3701" s="9" t="str">
        <f>IFERROR(__xludf.DUMMYFUNCTION("""COMPUTED_VALUE"""),"PHP")</f>
        <v>PHP</v>
      </c>
      <c r="L3701" s="9" t="str">
        <f>IFERROR(__xludf.DUMMYFUNCTION("""COMPUTED_VALUE"""),"Kotlin")</f>
        <v>Kotlin</v>
      </c>
      <c r="M3701" s="9" t="s">
        <v>20</v>
      </c>
    </row>
    <row r="3702" ht="15.75" customHeight="1">
      <c r="A3702" s="7"/>
      <c r="B3702" s="7" t="str">
        <f>IFERROR(__xludf.DUMMYFUNCTION("""COMPUTED_VALUE"""),"HTML/CSS;Java;JavaScript;PHP;Python;SQL;TypeScript")</f>
        <v>HTML/CSS;Java;JavaScript;PHP;Python;SQL;TypeScript</v>
      </c>
      <c r="C3702" s="9" t="str">
        <f>IFERROR(__xludf.DUMMYFUNCTION("""COMPUTED_VALUE"""),"Kotlin")</f>
        <v>Kotlin</v>
      </c>
      <c r="D3702" s="9" t="str">
        <f>IFERROR(__xludf.DUMMYFUNCTION("""COMPUTED_VALUE"""),"TypeScript")</f>
        <v>TypeScript</v>
      </c>
      <c r="E3702" s="9" t="str">
        <f>IFERROR(__xludf.DUMMYFUNCTION("""COMPUTED_VALUE"""),"C#")</f>
        <v>C#</v>
      </c>
      <c r="F3702" s="9" t="str">
        <f>IFERROR(__xludf.DUMMYFUNCTION("""COMPUTED_VALUE"""),"VBA")</f>
        <v>VBA</v>
      </c>
      <c r="G3702" s="9" t="str">
        <f>IFERROR(__xludf.DUMMYFUNCTION("""COMPUTED_VALUE"""),"Bash/Shell/PowerShell")</f>
        <v>Bash/Shell/PowerShell</v>
      </c>
      <c r="H3702" s="9" t="str">
        <f>IFERROR(__xludf.DUMMYFUNCTION("""COMPUTED_VALUE"""),"HTML/CSS")</f>
        <v>HTML/CSS</v>
      </c>
      <c r="I3702" s="9" t="str">
        <f>IFERROR(__xludf.DUMMYFUNCTION("""COMPUTED_VALUE"""),"C++")</f>
        <v>C++</v>
      </c>
      <c r="J3702" s="9" t="str">
        <f>IFERROR(__xludf.DUMMYFUNCTION("""COMPUTED_VALUE"""),"PHP")</f>
        <v>PHP</v>
      </c>
      <c r="K3702" s="9" t="str">
        <f>IFERROR(__xludf.DUMMYFUNCTION("""COMPUTED_VALUE"""),"Python")</f>
        <v>Python</v>
      </c>
      <c r="L3702" s="9" t="str">
        <f>IFERROR(__xludf.DUMMYFUNCTION("""COMPUTED_VALUE"""),"PHP")</f>
        <v>PHP</v>
      </c>
      <c r="M3702" s="9" t="s">
        <v>39</v>
      </c>
    </row>
    <row r="3703" ht="15.75" customHeight="1">
      <c r="A3703" s="7"/>
      <c r="B3703" s="7" t="str">
        <f>IFERROR(__xludf.DUMMYFUNCTION("""COMPUTED_VALUE"""),"C#;HTML/CSS;Java;JavaScript;Kotlin;Objective-C;Python;Ruby;Swift")</f>
        <v>C#;HTML/CSS;Java;JavaScript;Kotlin;Objective-C;Python;Ruby;Swift</v>
      </c>
      <c r="C3703" s="9" t="str">
        <f>IFERROR(__xludf.DUMMYFUNCTION("""COMPUTED_VALUE"""),"Python")</f>
        <v>Python</v>
      </c>
      <c r="D3703" s="9" t="str">
        <f>IFERROR(__xludf.DUMMYFUNCTION("""COMPUTED_VALUE"""),"C#")</f>
        <v>C#</v>
      </c>
      <c r="E3703" s="9" t="str">
        <f>IFERROR(__xludf.DUMMYFUNCTION("""COMPUTED_VALUE"""),"HTML/CSS")</f>
        <v>HTML/CSS</v>
      </c>
      <c r="F3703" s="9" t="str">
        <f>IFERROR(__xludf.DUMMYFUNCTION("""COMPUTED_VALUE"""),"Bash/Shell/PowerShell")</f>
        <v>Bash/Shell/PowerShell</v>
      </c>
      <c r="G3703" s="9" t="str">
        <f>IFERROR(__xludf.DUMMYFUNCTION("""COMPUTED_VALUE"""),"HTML/CSS")</f>
        <v>HTML/CSS</v>
      </c>
      <c r="H3703" s="9" t="str">
        <f>IFERROR(__xludf.DUMMYFUNCTION("""COMPUTED_VALUE"""),"Java")</f>
        <v>Java</v>
      </c>
      <c r="I3703" s="9" t="str">
        <f>IFERROR(__xludf.DUMMYFUNCTION("""COMPUTED_VALUE"""),"C#")</f>
        <v>C#</v>
      </c>
      <c r="J3703" s="9" t="str">
        <f>IFERROR(__xludf.DUMMYFUNCTION("""COMPUTED_VALUE"""),"Python")</f>
        <v>Python</v>
      </c>
      <c r="K3703" s="9" t="str">
        <f>IFERROR(__xludf.DUMMYFUNCTION("""COMPUTED_VALUE"""),"Scala")</f>
        <v>Scala</v>
      </c>
      <c r="L3703" s="9" t="str">
        <f>IFERROR(__xludf.DUMMYFUNCTION("""COMPUTED_VALUE"""),"Python")</f>
        <v>Python</v>
      </c>
      <c r="M3703" s="9" t="s">
        <v>22</v>
      </c>
    </row>
    <row r="3704" ht="15.75" customHeight="1">
      <c r="A3704" s="7"/>
      <c r="B3704" s="7" t="str">
        <f>IFERROR(__xludf.DUMMYFUNCTION("""COMPUTED_VALUE"""),"C#;HTML/CSS;JavaScript")</f>
        <v>C#;HTML/CSS;JavaScript</v>
      </c>
      <c r="C3704" s="9" t="str">
        <f>IFERROR(__xludf.DUMMYFUNCTION("""COMPUTED_VALUE"""),"HTML/CSS")</f>
        <v>HTML/CSS</v>
      </c>
      <c r="D3704" s="9" t="str">
        <f>IFERROR(__xludf.DUMMYFUNCTION("""COMPUTED_VALUE"""),"HTML/CSS")</f>
        <v>HTML/CSS</v>
      </c>
      <c r="E3704" s="9" t="str">
        <f>IFERROR(__xludf.DUMMYFUNCTION("""COMPUTED_VALUE"""),"Java")</f>
        <v>Java</v>
      </c>
      <c r="F3704" s="9" t="str">
        <f>IFERROR(__xludf.DUMMYFUNCTION("""COMPUTED_VALUE"""),"C")</f>
        <v>C</v>
      </c>
      <c r="G3704" s="9" t="str">
        <f>IFERROR(__xludf.DUMMYFUNCTION("""COMPUTED_VALUE"""),"JavaScript")</f>
        <v>JavaScript</v>
      </c>
      <c r="H3704" s="9" t="str">
        <f>IFERROR(__xludf.DUMMYFUNCTION("""COMPUTED_VALUE"""),"JavaScript")</f>
        <v>JavaScript</v>
      </c>
      <c r="I3704" s="9" t="str">
        <f>IFERROR(__xludf.DUMMYFUNCTION("""COMPUTED_VALUE"""),"F#")</f>
        <v>F#</v>
      </c>
      <c r="J3704" s="9" t="str">
        <f>IFERROR(__xludf.DUMMYFUNCTION("""COMPUTED_VALUE"""),"SQL")</f>
        <v>SQL</v>
      </c>
      <c r="K3704" s="9" t="str">
        <f>IFERROR(__xludf.DUMMYFUNCTION("""COMPUTED_VALUE"""),"SQL")</f>
        <v>SQL</v>
      </c>
      <c r="L3704" s="9" t="str">
        <f>IFERROR(__xludf.DUMMYFUNCTION("""COMPUTED_VALUE"""),"Bash/Shell/PowerShell")</f>
        <v>Bash/Shell/PowerShell</v>
      </c>
      <c r="M3704" s="9" t="s">
        <v>24</v>
      </c>
    </row>
    <row r="3705" ht="15.75" customHeight="1">
      <c r="A3705" s="7"/>
      <c r="B3705" s="7" t="str">
        <f>IFERROR(__xludf.DUMMYFUNCTION("""COMPUTED_VALUE"""),"C++;C#;PHP;Python;SQL")</f>
        <v>C++;C#;PHP;Python;SQL</v>
      </c>
      <c r="C3705" s="9" t="str">
        <f>IFERROR(__xludf.DUMMYFUNCTION("""COMPUTED_VALUE"""),"JavaScript")</f>
        <v>JavaScript</v>
      </c>
      <c r="D3705" s="9" t="str">
        <f>IFERROR(__xludf.DUMMYFUNCTION("""COMPUTED_VALUE"""),"Java")</f>
        <v>Java</v>
      </c>
      <c r="E3705" s="9" t="str">
        <f>IFERROR(__xludf.DUMMYFUNCTION("""COMPUTED_VALUE"""),"JavaScript")</f>
        <v>JavaScript</v>
      </c>
      <c r="F3705" s="9" t="str">
        <f>IFERROR(__xludf.DUMMYFUNCTION("""COMPUTED_VALUE"""),"C++")</f>
        <v>C++</v>
      </c>
      <c r="G3705" s="9" t="str">
        <f>IFERROR(__xludf.DUMMYFUNCTION("""COMPUTED_VALUE"""),"PHP")</f>
        <v>PHP</v>
      </c>
      <c r="H3705" s="9" t="str">
        <f>IFERROR(__xludf.DUMMYFUNCTION("""COMPUTED_VALUE"""),"SQL")</f>
        <v>SQL</v>
      </c>
      <c r="I3705" s="9" t="str">
        <f>IFERROR(__xludf.DUMMYFUNCTION("""COMPUTED_VALUE"""),"JavaScript")</f>
        <v>JavaScript</v>
      </c>
      <c r="J3705" s="9" t="str">
        <f>IFERROR(__xludf.DUMMYFUNCTION("""COMPUTED_VALUE"""),"HTML/CSS")</f>
        <v>HTML/CSS</v>
      </c>
      <c r="K3705" s="9" t="str">
        <f>IFERROR(__xludf.DUMMYFUNCTION("""COMPUTED_VALUE"""),"TypeScript")</f>
        <v>TypeScript</v>
      </c>
      <c r="L3705" s="9" t="str">
        <f>IFERROR(__xludf.DUMMYFUNCTION("""COMPUTED_VALUE"""),"HTML/CSS")</f>
        <v>HTML/CSS</v>
      </c>
      <c r="M3705" s="9" t="s">
        <v>21</v>
      </c>
    </row>
    <row r="3706" ht="15.75" customHeight="1">
      <c r="A3706" s="7"/>
      <c r="B3706" s="7" t="str">
        <f>IFERROR(__xludf.DUMMYFUNCTION("""COMPUTED_VALUE"""),"C#;HTML/CSS;Java;JavaScript;SQL")</f>
        <v>C#;HTML/CSS;Java;JavaScript;SQL</v>
      </c>
      <c r="C3706" s="9" t="str">
        <f>IFERROR(__xludf.DUMMYFUNCTION("""COMPUTED_VALUE"""),"PHP")</f>
        <v>PHP</v>
      </c>
      <c r="D3706" s="9" t="str">
        <f>IFERROR(__xludf.DUMMYFUNCTION("""COMPUTED_VALUE"""),"JavaScript")</f>
        <v>JavaScript</v>
      </c>
      <c r="E3706" s="9" t="str">
        <f>IFERROR(__xludf.DUMMYFUNCTION("""COMPUTED_VALUE"""),"Python")</f>
        <v>Python</v>
      </c>
      <c r="F3706" s="9" t="str">
        <f>IFERROR(__xludf.DUMMYFUNCTION("""COMPUTED_VALUE"""),"Erlang")</f>
        <v>Erlang</v>
      </c>
      <c r="G3706" s="9" t="str">
        <f>IFERROR(__xludf.DUMMYFUNCTION("""COMPUTED_VALUE"""),"C++")</f>
        <v>C++</v>
      </c>
      <c r="H3706" s="9" t="str">
        <f>IFERROR(__xludf.DUMMYFUNCTION("""COMPUTED_VALUE"""),"Bash/Shell/PowerShell")</f>
        <v>Bash/Shell/PowerShell</v>
      </c>
      <c r="I3706" s="9" t="str">
        <f>IFERROR(__xludf.DUMMYFUNCTION("""COMPUTED_VALUE"""),"SQL")</f>
        <v>SQL</v>
      </c>
      <c r="J3706" s="9" t="str">
        <f>IFERROR(__xludf.DUMMYFUNCTION("""COMPUTED_VALUE"""),"Java")</f>
        <v>Java</v>
      </c>
      <c r="K3706" s="9" t="str">
        <f>IFERROR(__xludf.DUMMYFUNCTION("""COMPUTED_VALUE"""),"Other(s):")</f>
        <v>Other(s):</v>
      </c>
      <c r="L3706" s="9" t="str">
        <f>IFERROR(__xludf.DUMMYFUNCTION("""COMPUTED_VALUE"""),"JavaScript")</f>
        <v>JavaScript</v>
      </c>
      <c r="M3706" s="9" t="s">
        <v>37</v>
      </c>
    </row>
    <row r="3707" ht="15.75" customHeight="1">
      <c r="A3707" s="7"/>
      <c r="B3707" s="7" t="str">
        <f>IFERROR(__xludf.DUMMYFUNCTION("""COMPUTED_VALUE"""),"HTML/CSS;Java;JavaScript;SQL")</f>
        <v>HTML/CSS;Java;JavaScript;SQL</v>
      </c>
      <c r="C3707" s="9" t="str">
        <f>IFERROR(__xludf.DUMMYFUNCTION("""COMPUTED_VALUE"""),"Python")</f>
        <v>Python</v>
      </c>
      <c r="D3707" s="9" t="str">
        <f>IFERROR(__xludf.DUMMYFUNCTION("""COMPUTED_VALUE"""),"SQL")</f>
        <v>SQL</v>
      </c>
      <c r="E3707" s="9" t="str">
        <f>IFERROR(__xludf.DUMMYFUNCTION("""COMPUTED_VALUE"""),"SQL")</f>
        <v>SQL</v>
      </c>
      <c r="F3707" s="9" t="str">
        <f>IFERROR(__xludf.DUMMYFUNCTION("""COMPUTED_VALUE"""),"Go")</f>
        <v>Go</v>
      </c>
      <c r="G3707" s="9" t="str">
        <f>IFERROR(__xludf.DUMMYFUNCTION("""COMPUTED_VALUE"""),"Elixir")</f>
        <v>Elixir</v>
      </c>
      <c r="H3707" s="9" t="str">
        <f>IFERROR(__xludf.DUMMYFUNCTION("""COMPUTED_VALUE"""),"Go")</f>
        <v>Go</v>
      </c>
      <c r="I3707" s="9" t="str">
        <f>IFERROR(__xludf.DUMMYFUNCTION("""COMPUTED_VALUE"""),"HTML/CSS")</f>
        <v>HTML/CSS</v>
      </c>
      <c r="J3707" s="9" t="str">
        <f>IFERROR(__xludf.DUMMYFUNCTION("""COMPUTED_VALUE"""),"JavaScript")</f>
        <v>JavaScript</v>
      </c>
      <c r="K3707" s="9" t="str">
        <f>IFERROR(__xludf.DUMMYFUNCTION("""COMPUTED_VALUE"""),"Go")</f>
        <v>Go</v>
      </c>
      <c r="L3707" s="9" t="str">
        <f>IFERROR(__xludf.DUMMYFUNCTION("""COMPUTED_VALUE"""),"C++")</f>
        <v>C++</v>
      </c>
      <c r="M3707" s="9" t="s">
        <v>22</v>
      </c>
    </row>
    <row r="3708" ht="15.75" customHeight="1">
      <c r="A3708" s="7"/>
      <c r="B3708" s="7" t="str">
        <f>IFERROR(__xludf.DUMMYFUNCTION("""COMPUTED_VALUE"""),"Bash/Shell/PowerShell;C#;HTML/CSS;SQL")</f>
        <v>Bash/Shell/PowerShell;C#;HTML/CSS;SQL</v>
      </c>
      <c r="C3708" s="9" t="str">
        <f>IFERROR(__xludf.DUMMYFUNCTION("""COMPUTED_VALUE"""),"SQL")</f>
        <v>SQL</v>
      </c>
      <c r="D3708" s="9" t="str">
        <f>IFERROR(__xludf.DUMMYFUNCTION("""COMPUTED_VALUE"""),"Bash/Shell/PowerShell")</f>
        <v>Bash/Shell/PowerShell</v>
      </c>
      <c r="E3708" s="9" t="str">
        <f>IFERROR(__xludf.DUMMYFUNCTION("""COMPUTED_VALUE"""),"HTML/CSS")</f>
        <v>HTML/CSS</v>
      </c>
      <c r="F3708" s="9" t="str">
        <f>IFERROR(__xludf.DUMMYFUNCTION("""COMPUTED_VALUE"""),"HTML/CSS")</f>
        <v>HTML/CSS</v>
      </c>
      <c r="G3708" s="9" t="str">
        <f>IFERROR(__xludf.DUMMYFUNCTION("""COMPUTED_VALUE"""),"Erlang")</f>
        <v>Erlang</v>
      </c>
      <c r="H3708" s="9" t="str">
        <f>IFERROR(__xludf.DUMMYFUNCTION("""COMPUTED_VALUE"""),"Bash/Shell/PowerShell")</f>
        <v>Bash/Shell/PowerShell</v>
      </c>
      <c r="I3708" s="9" t="str">
        <f>IFERROR(__xludf.DUMMYFUNCTION("""COMPUTED_VALUE"""),"Java")</f>
        <v>Java</v>
      </c>
      <c r="J3708" s="9" t="str">
        <f>IFERROR(__xludf.DUMMYFUNCTION("""COMPUTED_VALUE"""),"TypeScript")</f>
        <v>TypeScript</v>
      </c>
      <c r="K3708" s="9" t="str">
        <f>IFERROR(__xludf.DUMMYFUNCTION("""COMPUTED_VALUE"""),"JavaScript")</f>
        <v>JavaScript</v>
      </c>
      <c r="L3708" s="9" t="str">
        <f>IFERROR(__xludf.DUMMYFUNCTION("""COMPUTED_VALUE"""),"HTML/CSS")</f>
        <v>HTML/CSS</v>
      </c>
      <c r="M3708" s="9" t="s">
        <v>27</v>
      </c>
    </row>
    <row r="3709" ht="15.75" customHeight="1">
      <c r="A3709" s="7"/>
      <c r="B3709" s="7" t="str">
        <f>IFERROR(__xludf.DUMMYFUNCTION("""COMPUTED_VALUE"""),"Bash/Shell/PowerShell;C#;HTML/CSS;JavaScript;SQL;TypeScript")</f>
        <v>Bash/Shell/PowerShell;C#;HTML/CSS;JavaScript;SQL;TypeScript</v>
      </c>
      <c r="C3709" s="9" t="str">
        <f>IFERROR(__xludf.DUMMYFUNCTION("""COMPUTED_VALUE"""),"C#")</f>
        <v>C#</v>
      </c>
      <c r="D3709" s="9" t="str">
        <f>IFERROR(__xludf.DUMMYFUNCTION("""COMPUTED_VALUE"""),"C")</f>
        <v>C</v>
      </c>
      <c r="E3709" s="9" t="str">
        <f>IFERROR(__xludf.DUMMYFUNCTION("""COMPUTED_VALUE"""),"Java")</f>
        <v>Java</v>
      </c>
      <c r="F3709" s="9" t="str">
        <f>IFERROR(__xludf.DUMMYFUNCTION("""COMPUTED_VALUE"""),"Java")</f>
        <v>Java</v>
      </c>
      <c r="G3709" s="9" t="str">
        <f>IFERROR(__xludf.DUMMYFUNCTION("""COMPUTED_VALUE"""),"HTML/CSS")</f>
        <v>HTML/CSS</v>
      </c>
      <c r="H3709" s="9" t="str">
        <f>IFERROR(__xludf.DUMMYFUNCTION("""COMPUTED_VALUE"""),"C#")</f>
        <v>C#</v>
      </c>
      <c r="I3709" s="9" t="str">
        <f>IFERROR(__xludf.DUMMYFUNCTION("""COMPUTED_VALUE"""),"PHP")</f>
        <v>PHP</v>
      </c>
      <c r="J3709" s="9" t="str">
        <f>IFERROR(__xludf.DUMMYFUNCTION("""COMPUTED_VALUE"""),"C#")</f>
        <v>C#</v>
      </c>
      <c r="K3709" s="9" t="str">
        <f>IFERROR(__xludf.DUMMYFUNCTION("""COMPUTED_VALUE"""),"Python")</f>
        <v>Python</v>
      </c>
      <c r="L3709" s="9" t="str">
        <f>IFERROR(__xludf.DUMMYFUNCTION("""COMPUTED_VALUE"""),"JavaScript")</f>
        <v>JavaScript</v>
      </c>
      <c r="M3709" s="9" t="s">
        <v>26</v>
      </c>
    </row>
    <row r="3710" ht="15.75" customHeight="1">
      <c r="A3710" s="7"/>
      <c r="B3710" s="7" t="str">
        <f>IFERROR(__xludf.DUMMYFUNCTION("""COMPUTED_VALUE"""),"Bash/Shell/PowerShell;C#;HTML/CSS;JavaScript;SQL")</f>
        <v>Bash/Shell/PowerShell;C#;HTML/CSS;JavaScript;SQL</v>
      </c>
      <c r="C3710" s="9" t="str">
        <f>IFERROR(__xludf.DUMMYFUNCTION("""COMPUTED_VALUE"""),"C#")</f>
        <v>C#</v>
      </c>
      <c r="D3710" s="9" t="str">
        <f>IFERROR(__xludf.DUMMYFUNCTION("""COMPUTED_VALUE"""),"C++")</f>
        <v>C++</v>
      </c>
      <c r="E3710" s="9" t="str">
        <f>IFERROR(__xludf.DUMMYFUNCTION("""COMPUTED_VALUE"""),"JavaScript")</f>
        <v>JavaScript</v>
      </c>
      <c r="F3710" s="9" t="str">
        <f>IFERROR(__xludf.DUMMYFUNCTION("""COMPUTED_VALUE"""),"JavaScript")</f>
        <v>JavaScript</v>
      </c>
      <c r="G3710" s="9" t="str">
        <f>IFERROR(__xludf.DUMMYFUNCTION("""COMPUTED_VALUE"""),"JavaScript")</f>
        <v>JavaScript</v>
      </c>
      <c r="H3710" s="9" t="str">
        <f>IFERROR(__xludf.DUMMYFUNCTION("""COMPUTED_VALUE"""),"JavaScript")</f>
        <v>JavaScript</v>
      </c>
      <c r="I3710" s="9" t="str">
        <f>IFERROR(__xludf.DUMMYFUNCTION("""COMPUTED_VALUE"""),"SQL")</f>
        <v>SQL</v>
      </c>
      <c r="J3710" s="9" t="str">
        <f>IFERROR(__xludf.DUMMYFUNCTION("""COMPUTED_VALUE"""),"HTML/CSS")</f>
        <v>HTML/CSS</v>
      </c>
      <c r="K3710" s="9" t="str">
        <f>IFERROR(__xludf.DUMMYFUNCTION("""COMPUTED_VALUE"""),"C#")</f>
        <v>C#</v>
      </c>
      <c r="L3710" s="9" t="str">
        <f>IFERROR(__xludf.DUMMYFUNCTION("""COMPUTED_VALUE"""),"PHP")</f>
        <v>PHP</v>
      </c>
      <c r="M3710" s="9" t="s">
        <v>26</v>
      </c>
    </row>
    <row r="3711" ht="15.75" customHeight="1">
      <c r="A3711" s="7"/>
      <c r="B3711" s="7" t="str">
        <f>IFERROR(__xludf.DUMMYFUNCTION("""COMPUTED_VALUE"""),"Bash/Shell/PowerShell;HTML/CSS;Java")</f>
        <v>Bash/Shell/PowerShell;HTML/CSS;Java</v>
      </c>
      <c r="C3711" s="9" t="str">
        <f>IFERROR(__xludf.DUMMYFUNCTION("""COMPUTED_VALUE"""),"HTML/CSS")</f>
        <v>HTML/CSS</v>
      </c>
      <c r="D3711" s="9" t="str">
        <f>IFERROR(__xludf.DUMMYFUNCTION("""COMPUTED_VALUE"""),"HTML/CSS")</f>
        <v>HTML/CSS</v>
      </c>
      <c r="E3711" s="9" t="str">
        <f>IFERROR(__xludf.DUMMYFUNCTION("""COMPUTED_VALUE"""),"SQL")</f>
        <v>SQL</v>
      </c>
      <c r="F3711" s="9" t="str">
        <f>IFERROR(__xludf.DUMMYFUNCTION("""COMPUTED_VALUE"""),"Python")</f>
        <v>Python</v>
      </c>
      <c r="G3711" s="9" t="str">
        <f>IFERROR(__xludf.DUMMYFUNCTION("""COMPUTED_VALUE"""),"Python")</f>
        <v>Python</v>
      </c>
      <c r="H3711" s="9" t="str">
        <f>IFERROR(__xludf.DUMMYFUNCTION("""COMPUTED_VALUE"""),"SQL")</f>
        <v>SQL</v>
      </c>
      <c r="I3711" s="9" t="str">
        <f>IFERROR(__xludf.DUMMYFUNCTION("""COMPUTED_VALUE"""),"Bash/Shell/PowerShell")</f>
        <v>Bash/Shell/PowerShell</v>
      </c>
      <c r="J3711" s="9" t="str">
        <f>IFERROR(__xludf.DUMMYFUNCTION("""COMPUTED_VALUE"""),"Java")</f>
        <v>Java</v>
      </c>
      <c r="K3711" s="9" t="str">
        <f>IFERROR(__xludf.DUMMYFUNCTION("""COMPUTED_VALUE"""),"HTML/CSS")</f>
        <v>HTML/CSS</v>
      </c>
      <c r="L3711" s="9" t="str">
        <f>IFERROR(__xludf.DUMMYFUNCTION("""COMPUTED_VALUE"""),"C")</f>
        <v>C</v>
      </c>
      <c r="M3711" s="9" t="s">
        <v>24</v>
      </c>
    </row>
    <row r="3712" ht="15.75" customHeight="1">
      <c r="A3712" s="7"/>
      <c r="B3712" s="7" t="str">
        <f>IFERROR(__xludf.DUMMYFUNCTION("""COMPUTED_VALUE"""),"HTML/CSS;JavaScript;Python")</f>
        <v>HTML/CSS;JavaScript;Python</v>
      </c>
      <c r="C3712" s="9" t="str">
        <f>IFERROR(__xludf.DUMMYFUNCTION("""COMPUTED_VALUE"""),"JavaScript")</f>
        <v>JavaScript</v>
      </c>
      <c r="D3712" s="9" t="str">
        <f>IFERROR(__xludf.DUMMYFUNCTION("""COMPUTED_VALUE"""),"JavaScript")</f>
        <v>JavaScript</v>
      </c>
      <c r="E3712" s="9" t="str">
        <f>IFERROR(__xludf.DUMMYFUNCTION("""COMPUTED_VALUE"""),"C#")</f>
        <v>C#</v>
      </c>
      <c r="F3712" s="9" t="str">
        <f>IFERROR(__xludf.DUMMYFUNCTION("""COMPUTED_VALUE"""),"Ruby")</f>
        <v>Ruby</v>
      </c>
      <c r="G3712" s="9" t="str">
        <f>IFERROR(__xludf.DUMMYFUNCTION("""COMPUTED_VALUE"""),"Ruby")</f>
        <v>Ruby</v>
      </c>
      <c r="H3712" s="9" t="str">
        <f>IFERROR(__xludf.DUMMYFUNCTION("""COMPUTED_VALUE"""),"TypeScript")</f>
        <v>TypeScript</v>
      </c>
      <c r="I3712" s="9" t="str">
        <f>IFERROR(__xludf.DUMMYFUNCTION("""COMPUTED_VALUE"""),"C")</f>
        <v>C</v>
      </c>
      <c r="J3712" s="9" t="str">
        <f>IFERROR(__xludf.DUMMYFUNCTION("""COMPUTED_VALUE"""),"JavaScript")</f>
        <v>JavaScript</v>
      </c>
      <c r="K3712" s="9" t="str">
        <f>IFERROR(__xludf.DUMMYFUNCTION("""COMPUTED_VALUE"""),"JavaScript")</f>
        <v>JavaScript</v>
      </c>
      <c r="L3712" s="9" t="str">
        <f>IFERROR(__xludf.DUMMYFUNCTION("""COMPUTED_VALUE"""),"C++")</f>
        <v>C++</v>
      </c>
      <c r="M3712" s="9" t="s">
        <v>21</v>
      </c>
    </row>
    <row r="3713" ht="15.75" customHeight="1">
      <c r="A3713" s="7"/>
      <c r="B3713" s="7" t="str">
        <f>IFERROR(__xludf.DUMMYFUNCTION("""COMPUTED_VALUE"""),"HTML/CSS;Java;JavaScript;PHP")</f>
        <v>HTML/CSS;Java;JavaScript;PHP</v>
      </c>
      <c r="C3713" s="9" t="str">
        <f>IFERROR(__xludf.DUMMYFUNCTION("""COMPUTED_VALUE"""),"TypeScript")</f>
        <v>TypeScript</v>
      </c>
      <c r="D3713" s="9" t="str">
        <f>IFERROR(__xludf.DUMMYFUNCTION("""COMPUTED_VALUE"""),"Python")</f>
        <v>Python</v>
      </c>
      <c r="E3713" s="9" t="str">
        <f>IFERROR(__xludf.DUMMYFUNCTION("""COMPUTED_VALUE"""),"HTML/CSS")</f>
        <v>HTML/CSS</v>
      </c>
      <c r="F3713" s="9" t="str">
        <f>IFERROR(__xludf.DUMMYFUNCTION("""COMPUTED_VALUE"""),"SQL")</f>
        <v>SQL</v>
      </c>
      <c r="G3713" s="9" t="str">
        <f>IFERROR(__xludf.DUMMYFUNCTION("""COMPUTED_VALUE"""),"SQL")</f>
        <v>SQL</v>
      </c>
      <c r="H3713" s="9" t="str">
        <f>IFERROR(__xludf.DUMMYFUNCTION("""COMPUTED_VALUE"""),"HTML/CSS")</f>
        <v>HTML/CSS</v>
      </c>
      <c r="I3713" s="9" t="str">
        <f>IFERROR(__xludf.DUMMYFUNCTION("""COMPUTED_VALUE"""),"C++")</f>
        <v>C++</v>
      </c>
      <c r="J3713" s="9" t="str">
        <f>IFERROR(__xludf.DUMMYFUNCTION("""COMPUTED_VALUE"""),"SQL")</f>
        <v>SQL</v>
      </c>
      <c r="K3713" s="9" t="str">
        <f>IFERROR(__xludf.DUMMYFUNCTION("""COMPUTED_VALUE"""),"SQL")</f>
        <v>SQL</v>
      </c>
      <c r="L3713" s="9" t="str">
        <f>IFERROR(__xludf.DUMMYFUNCTION("""COMPUTED_VALUE"""),"HTML/CSS")</f>
        <v>HTML/CSS</v>
      </c>
      <c r="M3713" s="9" t="s">
        <v>33</v>
      </c>
    </row>
    <row r="3714" ht="15.75" customHeight="1">
      <c r="A3714" s="7"/>
      <c r="B3714" s="7" t="str">
        <f>IFERROR(__xludf.DUMMYFUNCTION("""COMPUTED_VALUE"""),"Bash/Shell/PowerShell;HTML/CSS;Java;JavaScript;Python;SQL")</f>
        <v>Bash/Shell/PowerShell;HTML/CSS;Java;JavaScript;Python;SQL</v>
      </c>
      <c r="C3714" s="9" t="str">
        <f>IFERROR(__xludf.DUMMYFUNCTION("""COMPUTED_VALUE"""),"Bash/Shell/PowerShell")</f>
        <v>Bash/Shell/PowerShell</v>
      </c>
      <c r="D3714" s="9" t="str">
        <f>IFERROR(__xludf.DUMMYFUNCTION("""COMPUTED_VALUE"""),"Bash/Shell/PowerShell")</f>
        <v>Bash/Shell/PowerShell</v>
      </c>
      <c r="E3714" s="9" t="str">
        <f>IFERROR(__xludf.DUMMYFUNCTION("""COMPUTED_VALUE"""),"SQL")</f>
        <v>SQL</v>
      </c>
      <c r="F3714" s="9" t="str">
        <f>IFERROR(__xludf.DUMMYFUNCTION("""COMPUTED_VALUE"""),"Assembly")</f>
        <v>Assembly</v>
      </c>
      <c r="G3714" s="9" t="str">
        <f>IFERROR(__xludf.DUMMYFUNCTION("""COMPUTED_VALUE"""),"TypeScript")</f>
        <v>TypeScript</v>
      </c>
      <c r="H3714" s="9" t="str">
        <f>IFERROR(__xludf.DUMMYFUNCTION("""COMPUTED_VALUE"""),"Java")</f>
        <v>Java</v>
      </c>
      <c r="I3714" s="9" t="str">
        <f>IFERROR(__xludf.DUMMYFUNCTION("""COMPUTED_VALUE"""),"C#")</f>
        <v>C#</v>
      </c>
      <c r="J3714" s="9" t="str">
        <f>IFERROR(__xludf.DUMMYFUNCTION("""COMPUTED_VALUE"""),"C#")</f>
        <v>C#</v>
      </c>
      <c r="K3714" s="9" t="str">
        <f>IFERROR(__xludf.DUMMYFUNCTION("""COMPUTED_VALUE"""),"Other(s):")</f>
        <v>Other(s):</v>
      </c>
      <c r="L3714" s="9" t="str">
        <f>IFERROR(__xludf.DUMMYFUNCTION("""COMPUTED_VALUE"""),"JavaScript")</f>
        <v>JavaScript</v>
      </c>
      <c r="M3714" s="9" t="s">
        <v>30</v>
      </c>
    </row>
    <row r="3715" ht="15.75" customHeight="1">
      <c r="A3715" s="7"/>
      <c r="B3715" s="7" t="str">
        <f>IFERROR(__xludf.DUMMYFUNCTION("""COMPUTED_VALUE"""),"HTML/CSS;Java;JavaScript;SQL")</f>
        <v>HTML/CSS;Java;JavaScript;SQL</v>
      </c>
      <c r="C3715" s="9" t="str">
        <f>IFERROR(__xludf.DUMMYFUNCTION("""COMPUTED_VALUE"""),"HTML/CSS")</f>
        <v>HTML/CSS</v>
      </c>
      <c r="D3715" s="9" t="str">
        <f>IFERROR(__xludf.DUMMYFUNCTION("""COMPUTED_VALUE"""),"C#")</f>
        <v>C#</v>
      </c>
      <c r="E3715" s="9" t="str">
        <f>IFERROR(__xludf.DUMMYFUNCTION("""COMPUTED_VALUE"""),"HTML/CSS")</f>
        <v>HTML/CSS</v>
      </c>
      <c r="F3715" s="9" t="str">
        <f>IFERROR(__xludf.DUMMYFUNCTION("""COMPUTED_VALUE"""),"Bash/Shell/PowerShell")</f>
        <v>Bash/Shell/PowerShell</v>
      </c>
      <c r="G3715" s="9" t="str">
        <f>IFERROR(__xludf.DUMMYFUNCTION("""COMPUTED_VALUE"""),"Other(s):")</f>
        <v>Other(s):</v>
      </c>
      <c r="H3715" s="9" t="str">
        <f>IFERROR(__xludf.DUMMYFUNCTION("""COMPUTED_VALUE"""),"JavaScript")</f>
        <v>JavaScript</v>
      </c>
      <c r="I3715" s="9" t="str">
        <f>IFERROR(__xludf.DUMMYFUNCTION("""COMPUTED_VALUE"""),"Go")</f>
        <v>Go</v>
      </c>
      <c r="J3715" s="9" t="str">
        <f>IFERROR(__xludf.DUMMYFUNCTION("""COMPUTED_VALUE"""),"HTML/CSS")</f>
        <v>HTML/CSS</v>
      </c>
      <c r="K3715" s="9" t="str">
        <f>IFERROR(__xludf.DUMMYFUNCTION("""COMPUTED_VALUE"""),"Assembly")</f>
        <v>Assembly</v>
      </c>
      <c r="L3715" s="9" t="str">
        <f>IFERROR(__xludf.DUMMYFUNCTION("""COMPUTED_VALUE"""),"PHP")</f>
        <v>PHP</v>
      </c>
      <c r="M3715" s="9" t="s">
        <v>24</v>
      </c>
    </row>
    <row r="3716" ht="15.75" customHeight="1">
      <c r="A3716" s="7"/>
      <c r="B3716" s="7" t="str">
        <f>IFERROR(__xludf.DUMMYFUNCTION("""COMPUTED_VALUE"""),"C;C++;HTML/CSS;Java;JavaScript;Objective-C")</f>
        <v>C;C++;HTML/CSS;Java;JavaScript;Objective-C</v>
      </c>
      <c r="C3716" s="9" t="str">
        <f>IFERROR(__xludf.DUMMYFUNCTION("""COMPUTED_VALUE"""),"JavaScript")</f>
        <v>JavaScript</v>
      </c>
      <c r="D3716" s="9" t="str">
        <f>IFERROR(__xludf.DUMMYFUNCTION("""COMPUTED_VALUE"""),"HTML/CSS")</f>
        <v>HTML/CSS</v>
      </c>
      <c r="E3716" s="9" t="str">
        <f>IFERROR(__xludf.DUMMYFUNCTION("""COMPUTED_VALUE"""),"JavaScript")</f>
        <v>JavaScript</v>
      </c>
      <c r="F3716" s="9" t="str">
        <f>IFERROR(__xludf.DUMMYFUNCTION("""COMPUTED_VALUE"""),"C")</f>
        <v>C</v>
      </c>
      <c r="G3716" s="9" t="str">
        <f>IFERROR(__xludf.DUMMYFUNCTION("""COMPUTED_VALUE"""),"Bash/Shell/PowerShell")</f>
        <v>Bash/Shell/PowerShell</v>
      </c>
      <c r="H3716" s="9" t="str">
        <f>IFERROR(__xludf.DUMMYFUNCTION("""COMPUTED_VALUE"""),"TypeScript")</f>
        <v>TypeScript</v>
      </c>
      <c r="I3716" s="9" t="str">
        <f>IFERROR(__xludf.DUMMYFUNCTION("""COMPUTED_VALUE"""),"HTML/CSS")</f>
        <v>HTML/CSS</v>
      </c>
      <c r="J3716" s="9" t="str">
        <f>IFERROR(__xludf.DUMMYFUNCTION("""COMPUTED_VALUE"""),"JavaScript")</f>
        <v>JavaScript</v>
      </c>
      <c r="K3716" s="9" t="str">
        <f>IFERROR(__xludf.DUMMYFUNCTION("""COMPUTED_VALUE"""),"C")</f>
        <v>C</v>
      </c>
      <c r="L3716" s="9" t="str">
        <f>IFERROR(__xludf.DUMMYFUNCTION("""COMPUTED_VALUE"""),"SQL")</f>
        <v>SQL</v>
      </c>
      <c r="M3716" s="9" t="s">
        <v>21</v>
      </c>
    </row>
    <row r="3717" ht="15.75" customHeight="1">
      <c r="A3717" s="7"/>
      <c r="B3717" s="7" t="str">
        <f>IFERROR(__xludf.DUMMYFUNCTION("""COMPUTED_VALUE"""),"C#;TypeScript")</f>
        <v>C#;TypeScript</v>
      </c>
      <c r="C3717" s="9" t="str">
        <f>IFERROR(__xludf.DUMMYFUNCTION("""COMPUTED_VALUE"""),"PHP")</f>
        <v>PHP</v>
      </c>
      <c r="D3717" s="9" t="str">
        <f>IFERROR(__xludf.DUMMYFUNCTION("""COMPUTED_VALUE"""),"JavaScript")</f>
        <v>JavaScript</v>
      </c>
      <c r="E3717" s="9" t="str">
        <f>IFERROR(__xludf.DUMMYFUNCTION("""COMPUTED_VALUE"""),"Python")</f>
        <v>Python</v>
      </c>
      <c r="F3717" s="9" t="str">
        <f>IFERROR(__xludf.DUMMYFUNCTION("""COMPUTED_VALUE"""),"C++")</f>
        <v>C++</v>
      </c>
      <c r="G3717" s="9" t="str">
        <f>IFERROR(__xludf.DUMMYFUNCTION("""COMPUTED_VALUE"""),"Go")</f>
        <v>Go</v>
      </c>
      <c r="H3717" s="9" t="str">
        <f>IFERROR(__xludf.DUMMYFUNCTION("""COMPUTED_VALUE"""),"HTML/CSS")</f>
        <v>HTML/CSS</v>
      </c>
      <c r="I3717" s="9" t="str">
        <f>IFERROR(__xludf.DUMMYFUNCTION("""COMPUTED_VALUE"""),"Java")</f>
        <v>Java</v>
      </c>
      <c r="J3717" s="9" t="str">
        <f>IFERROR(__xludf.DUMMYFUNCTION("""COMPUTED_VALUE"""),"SQL")</f>
        <v>SQL</v>
      </c>
      <c r="K3717" s="9" t="str">
        <f>IFERROR(__xludf.DUMMYFUNCTION("""COMPUTED_VALUE"""),"C++")</f>
        <v>C++</v>
      </c>
      <c r="L3717" s="9" t="str">
        <f>IFERROR(__xludf.DUMMYFUNCTION("""COMPUTED_VALUE"""),"VBA")</f>
        <v>VBA</v>
      </c>
      <c r="M3717" s="9" t="s">
        <v>37</v>
      </c>
    </row>
    <row r="3718" ht="15.75" customHeight="1">
      <c r="A3718" s="7"/>
      <c r="B3718" s="7" t="str">
        <f>IFERROR(__xludf.DUMMYFUNCTION("""COMPUTED_VALUE"""),"Bash/Shell/PowerShell;Go;JavaScript;PHP")</f>
        <v>Bash/Shell/PowerShell;Go;JavaScript;PHP</v>
      </c>
      <c r="C3718" s="9" t="str">
        <f>IFERROR(__xludf.DUMMYFUNCTION("""COMPUTED_VALUE"""),"Other(s):")</f>
        <v>Other(s):</v>
      </c>
      <c r="D3718" s="9" t="str">
        <f>IFERROR(__xludf.DUMMYFUNCTION("""COMPUTED_VALUE"""),"Python")</f>
        <v>Python</v>
      </c>
      <c r="E3718" s="9" t="str">
        <f>IFERROR(__xludf.DUMMYFUNCTION("""COMPUTED_VALUE"""),"Ruby")</f>
        <v>Ruby</v>
      </c>
      <c r="F3718" s="9" t="str">
        <f>IFERROR(__xludf.DUMMYFUNCTION("""COMPUTED_VALUE"""),"C#")</f>
        <v>C#</v>
      </c>
      <c r="G3718" s="9" t="str">
        <f>IFERROR(__xludf.DUMMYFUNCTION("""COMPUTED_VALUE"""),"HTML/CSS")</f>
        <v>HTML/CSS</v>
      </c>
      <c r="H3718" s="9" t="str">
        <f>IFERROR(__xludf.DUMMYFUNCTION("""COMPUTED_VALUE"""),"JavaScript")</f>
        <v>JavaScript</v>
      </c>
      <c r="I3718" s="9" t="str">
        <f>IFERROR(__xludf.DUMMYFUNCTION("""COMPUTED_VALUE"""),"JavaScript")</f>
        <v>JavaScript</v>
      </c>
      <c r="J3718" s="9" t="str">
        <f>IFERROR(__xludf.DUMMYFUNCTION("""COMPUTED_VALUE"""),"Other(s):")</f>
        <v>Other(s):</v>
      </c>
      <c r="K3718" s="9" t="str">
        <f>IFERROR(__xludf.DUMMYFUNCTION("""COMPUTED_VALUE"""),"C#")</f>
        <v>C#</v>
      </c>
      <c r="L3718" s="9" t="str">
        <f>IFERROR(__xludf.DUMMYFUNCTION("""COMPUTED_VALUE"""),"Other(s):")</f>
        <v>Other(s):</v>
      </c>
      <c r="M3718" s="9" t="s">
        <v>35</v>
      </c>
    </row>
    <row r="3719" ht="15.75" customHeight="1">
      <c r="A3719" s="7"/>
      <c r="B3719" s="7" t="str">
        <f>IFERROR(__xludf.DUMMYFUNCTION("""COMPUTED_VALUE"""),"C#;HTML/CSS;JavaScript")</f>
        <v>C#;HTML/CSS;JavaScript</v>
      </c>
      <c r="C3719" s="9" t="str">
        <f>IFERROR(__xludf.DUMMYFUNCTION("""COMPUTED_VALUE"""),"Bash/Shell/PowerShell")</f>
        <v>Bash/Shell/PowerShell</v>
      </c>
      <c r="D3719" s="9" t="str">
        <f>IFERROR(__xludf.DUMMYFUNCTION("""COMPUTED_VALUE"""),"Ruby")</f>
        <v>Ruby</v>
      </c>
      <c r="E3719" s="9" t="str">
        <f>IFERROR(__xludf.DUMMYFUNCTION("""COMPUTED_VALUE"""),"SQL")</f>
        <v>SQL</v>
      </c>
      <c r="F3719" s="9" t="str">
        <f>IFERROR(__xludf.DUMMYFUNCTION("""COMPUTED_VALUE"""),"HTML/CSS")</f>
        <v>HTML/CSS</v>
      </c>
      <c r="G3719" s="9" t="str">
        <f>IFERROR(__xludf.DUMMYFUNCTION("""COMPUTED_VALUE"""),"Java")</f>
        <v>Java</v>
      </c>
      <c r="H3719" s="9" t="str">
        <f>IFERROR(__xludf.DUMMYFUNCTION("""COMPUTED_VALUE"""),"Bash/Shell/PowerShell")</f>
        <v>Bash/Shell/PowerShell</v>
      </c>
      <c r="I3719" s="9" t="str">
        <f>IFERROR(__xludf.DUMMYFUNCTION("""COMPUTED_VALUE"""),"Python")</f>
        <v>Python</v>
      </c>
      <c r="J3719" s="9" t="str">
        <f>IFERROR(__xludf.DUMMYFUNCTION("""COMPUTED_VALUE"""),"Bash/Shell/PowerShell")</f>
        <v>Bash/Shell/PowerShell</v>
      </c>
      <c r="K3719" s="9" t="str">
        <f>IFERROR(__xludf.DUMMYFUNCTION("""COMPUTED_VALUE"""),"Clojure")</f>
        <v>Clojure</v>
      </c>
      <c r="L3719" s="9" t="str">
        <f>IFERROR(__xludf.DUMMYFUNCTION("""COMPUTED_VALUE"""),"HTML/CSS")</f>
        <v>HTML/CSS</v>
      </c>
      <c r="M3719" s="9" t="s">
        <v>30</v>
      </c>
    </row>
    <row r="3720" ht="15.75" customHeight="1">
      <c r="A3720" s="7"/>
      <c r="B3720" s="7" t="str">
        <f>IFERROR(__xludf.DUMMYFUNCTION("""COMPUTED_VALUE"""),"C;C++;C#;HTML/CSS;Java;Objective-C;PHP;SQL;VBA")</f>
        <v>C;C++;C#;HTML/CSS;Java;Objective-C;PHP;SQL;VBA</v>
      </c>
      <c r="C3720" s="9" t="str">
        <f>IFERROR(__xludf.DUMMYFUNCTION("""COMPUTED_VALUE"""),"C++")</f>
        <v>C++</v>
      </c>
      <c r="D3720" s="9" t="str">
        <f>IFERROR(__xludf.DUMMYFUNCTION("""COMPUTED_VALUE"""),"SQL")</f>
        <v>SQL</v>
      </c>
      <c r="E3720" s="9" t="str">
        <f>IFERROR(__xludf.DUMMYFUNCTION("""COMPUTED_VALUE"""),"VBA")</f>
        <v>VBA</v>
      </c>
      <c r="F3720" s="9" t="str">
        <f>IFERROR(__xludf.DUMMYFUNCTION("""COMPUTED_VALUE"""),"Java")</f>
        <v>Java</v>
      </c>
      <c r="G3720" s="9" t="str">
        <f>IFERROR(__xludf.DUMMYFUNCTION("""COMPUTED_VALUE"""),"JavaScript")</f>
        <v>JavaScript</v>
      </c>
      <c r="H3720" s="9" t="str">
        <f>IFERROR(__xludf.DUMMYFUNCTION("""COMPUTED_VALUE"""),"C++")</f>
        <v>C++</v>
      </c>
      <c r="I3720" s="9" t="str">
        <f>IFERROR(__xludf.DUMMYFUNCTION("""COMPUTED_VALUE"""),"SQL")</f>
        <v>SQL</v>
      </c>
      <c r="J3720" s="9" t="str">
        <f>IFERROR(__xludf.DUMMYFUNCTION("""COMPUTED_VALUE"""),"HTML/CSS")</f>
        <v>HTML/CSS</v>
      </c>
      <c r="K3720" s="9" t="str">
        <f>IFERROR(__xludf.DUMMYFUNCTION("""COMPUTED_VALUE"""),"HTML/CSS")</f>
        <v>HTML/CSS</v>
      </c>
      <c r="L3720" s="9" t="str">
        <f>IFERROR(__xludf.DUMMYFUNCTION("""COMPUTED_VALUE"""),"Java")</f>
        <v>Java</v>
      </c>
      <c r="M3720" s="9" t="s">
        <v>23</v>
      </c>
    </row>
    <row r="3721" ht="15.75" customHeight="1">
      <c r="A3721" s="7"/>
      <c r="B3721" s="7" t="str">
        <f>IFERROR(__xludf.DUMMYFUNCTION("""COMPUTED_VALUE"""),"Bash/Shell/PowerShell;HTML/CSS;Java;Python;Ruby;SQL")</f>
        <v>Bash/Shell/PowerShell;HTML/CSS;Java;Python;Ruby;SQL</v>
      </c>
      <c r="C3721" s="9" t="str">
        <f>IFERROR(__xludf.DUMMYFUNCTION("""COMPUTED_VALUE"""),"HTML/CSS")</f>
        <v>HTML/CSS</v>
      </c>
      <c r="D3721" s="9" t="str">
        <f>IFERROR(__xludf.DUMMYFUNCTION("""COMPUTED_VALUE"""),"TypeScript")</f>
        <v>TypeScript</v>
      </c>
      <c r="E3721" s="9" t="str">
        <f>IFERROR(__xludf.DUMMYFUNCTION("""COMPUTED_VALUE"""),"Bash/Shell/PowerShell")</f>
        <v>Bash/Shell/PowerShell</v>
      </c>
      <c r="F3721" s="9" t="str">
        <f>IFERROR(__xludf.DUMMYFUNCTION("""COMPUTED_VALUE"""),"JavaScript")</f>
        <v>JavaScript</v>
      </c>
      <c r="G3721" s="9" t="str">
        <f>IFERROR(__xludf.DUMMYFUNCTION("""COMPUTED_VALUE"""),"PHP")</f>
        <v>PHP</v>
      </c>
      <c r="H3721" s="9" t="str">
        <f>IFERROR(__xludf.DUMMYFUNCTION("""COMPUTED_VALUE"""),"Java")</f>
        <v>Java</v>
      </c>
      <c r="I3721" s="9" t="str">
        <f>IFERROR(__xludf.DUMMYFUNCTION("""COMPUTED_VALUE"""),"TypeScript")</f>
        <v>TypeScript</v>
      </c>
      <c r="J3721" s="9" t="str">
        <f>IFERROR(__xludf.DUMMYFUNCTION("""COMPUTED_VALUE"""),"Java")</f>
        <v>Java</v>
      </c>
      <c r="K3721" s="9" t="str">
        <f>IFERROR(__xludf.DUMMYFUNCTION("""COMPUTED_VALUE"""),"Java")</f>
        <v>Java</v>
      </c>
      <c r="L3721" s="9" t="str">
        <f>IFERROR(__xludf.DUMMYFUNCTION("""COMPUTED_VALUE"""),"JavaScript")</f>
        <v>JavaScript</v>
      </c>
      <c r="M3721" s="9" t="s">
        <v>24</v>
      </c>
    </row>
    <row r="3722" ht="15.75" customHeight="1">
      <c r="A3722" s="7"/>
      <c r="B3722" s="7" t="str">
        <f>IFERROR(__xludf.DUMMYFUNCTION("""COMPUTED_VALUE"""),"Assembly;Bash/Shell/PowerShell;C;Java;Objective-C;Python;SQL")</f>
        <v>Assembly;Bash/Shell/PowerShell;C;Java;Objective-C;Python;SQL</v>
      </c>
      <c r="C3722" s="9" t="str">
        <f>IFERROR(__xludf.DUMMYFUNCTION("""COMPUTED_VALUE"""),"Java")</f>
        <v>Java</v>
      </c>
      <c r="D3722" s="9" t="str">
        <f>IFERROR(__xludf.DUMMYFUNCTION("""COMPUTED_VALUE"""),"C")</f>
        <v>C</v>
      </c>
      <c r="E3722" s="9" t="str">
        <f>IFERROR(__xludf.DUMMYFUNCTION("""COMPUTED_VALUE"""),"C")</f>
        <v>C</v>
      </c>
      <c r="F3722" s="9" t="str">
        <f>IFERROR(__xludf.DUMMYFUNCTION("""COMPUTED_VALUE"""),"Python")</f>
        <v>Python</v>
      </c>
      <c r="G3722" s="9" t="str">
        <f>IFERROR(__xludf.DUMMYFUNCTION("""COMPUTED_VALUE"""),"Python")</f>
        <v>Python</v>
      </c>
      <c r="H3722" s="9" t="str">
        <f>IFERROR(__xludf.DUMMYFUNCTION("""COMPUTED_VALUE"""),"Python")</f>
        <v>Python</v>
      </c>
      <c r="I3722" s="9" t="str">
        <f>IFERROR(__xludf.DUMMYFUNCTION("""COMPUTED_VALUE"""),"C#")</f>
        <v>C#</v>
      </c>
      <c r="J3722" s="9" t="str">
        <f>IFERROR(__xludf.DUMMYFUNCTION("""COMPUTED_VALUE"""),"JavaScript")</f>
        <v>JavaScript</v>
      </c>
      <c r="K3722" s="9" t="str">
        <f>IFERROR(__xludf.DUMMYFUNCTION("""COMPUTED_VALUE"""),"JavaScript")</f>
        <v>JavaScript</v>
      </c>
      <c r="L3722" s="9" t="str">
        <f>IFERROR(__xludf.DUMMYFUNCTION("""COMPUTED_VALUE"""),"PHP")</f>
        <v>PHP</v>
      </c>
      <c r="M3722" s="9" t="s">
        <v>20</v>
      </c>
    </row>
    <row r="3723" ht="15.75" customHeight="1">
      <c r="A3723" s="7"/>
      <c r="B3723" s="7" t="str">
        <f>IFERROR(__xludf.DUMMYFUNCTION("""COMPUTED_VALUE"""),"HTML/CSS;JavaScript;PHP;Ruby;SQL")</f>
        <v>HTML/CSS;JavaScript;PHP;Ruby;SQL</v>
      </c>
      <c r="C3723" s="9" t="str">
        <f>IFERROR(__xludf.DUMMYFUNCTION("""COMPUTED_VALUE"""),"JavaScript")</f>
        <v>JavaScript</v>
      </c>
      <c r="D3723" s="9" t="str">
        <f>IFERROR(__xludf.DUMMYFUNCTION("""COMPUTED_VALUE"""),"C++")</f>
        <v>C++</v>
      </c>
      <c r="E3723" s="9" t="str">
        <f>IFERROR(__xludf.DUMMYFUNCTION("""COMPUTED_VALUE"""),"C++")</f>
        <v>C++</v>
      </c>
      <c r="F3723" s="9" t="str">
        <f>IFERROR(__xludf.DUMMYFUNCTION("""COMPUTED_VALUE"""),"Scala")</f>
        <v>Scala</v>
      </c>
      <c r="G3723" s="9" t="str">
        <f>IFERROR(__xludf.DUMMYFUNCTION("""COMPUTED_VALUE"""),"R")</f>
        <v>R</v>
      </c>
      <c r="H3723" s="9" t="str">
        <f>IFERROR(__xludf.DUMMYFUNCTION("""COMPUTED_VALUE"""),"Assembly")</f>
        <v>Assembly</v>
      </c>
      <c r="I3723" s="9" t="str">
        <f>IFERROR(__xludf.DUMMYFUNCTION("""COMPUTED_VALUE"""),"HTML/CSS")</f>
        <v>HTML/CSS</v>
      </c>
      <c r="J3723" s="9" t="str">
        <f>IFERROR(__xludf.DUMMYFUNCTION("""COMPUTED_VALUE"""),"TypeScript")</f>
        <v>TypeScript</v>
      </c>
      <c r="K3723" s="9" t="str">
        <f>IFERROR(__xludf.DUMMYFUNCTION("""COMPUTED_VALUE"""),"Kotlin")</f>
        <v>Kotlin</v>
      </c>
      <c r="L3723" s="9" t="str">
        <f>IFERROR(__xludf.DUMMYFUNCTION("""COMPUTED_VALUE"""),"SQL")</f>
        <v>SQL</v>
      </c>
      <c r="M3723" s="9" t="s">
        <v>21</v>
      </c>
    </row>
    <row r="3724" ht="15.75" customHeight="1">
      <c r="A3724" s="7"/>
      <c r="B3724" s="7" t="str">
        <f>IFERROR(__xludf.DUMMYFUNCTION("""COMPUTED_VALUE"""),"HTML/CSS;JavaScript")</f>
        <v>HTML/CSS;JavaScript</v>
      </c>
      <c r="C3724" s="9" t="str">
        <f>IFERROR(__xludf.DUMMYFUNCTION("""COMPUTED_VALUE"""),"Python")</f>
        <v>Python</v>
      </c>
      <c r="D3724" s="9" t="str">
        <f>IFERROR(__xludf.DUMMYFUNCTION("""COMPUTED_VALUE"""),"C#")</f>
        <v>C#</v>
      </c>
      <c r="E3724" s="9" t="str">
        <f>IFERROR(__xludf.DUMMYFUNCTION("""COMPUTED_VALUE"""),"C#")</f>
        <v>C#</v>
      </c>
      <c r="F3724" s="9" t="str">
        <f>IFERROR(__xludf.DUMMYFUNCTION("""COMPUTED_VALUE"""),"SQL")</f>
        <v>SQL</v>
      </c>
      <c r="G3724" s="9" t="str">
        <f>IFERROR(__xludf.DUMMYFUNCTION("""COMPUTED_VALUE"""),"SQL")</f>
        <v>SQL</v>
      </c>
      <c r="H3724" s="9" t="str">
        <f>IFERROR(__xludf.DUMMYFUNCTION("""COMPUTED_VALUE"""),"Bash/Shell/PowerShell")</f>
        <v>Bash/Shell/PowerShell</v>
      </c>
      <c r="I3724" s="9" t="str">
        <f>IFERROR(__xludf.DUMMYFUNCTION("""COMPUTED_VALUE"""),"Java")</f>
        <v>Java</v>
      </c>
      <c r="J3724" s="9" t="str">
        <f>IFERROR(__xludf.DUMMYFUNCTION("""COMPUTED_VALUE"""),"HTML/CSS")</f>
        <v>HTML/CSS</v>
      </c>
      <c r="K3724" s="9" t="str">
        <f>IFERROR(__xludf.DUMMYFUNCTION("""COMPUTED_VALUE"""),"Python")</f>
        <v>Python</v>
      </c>
      <c r="L3724" s="9" t="str">
        <f>IFERROR(__xludf.DUMMYFUNCTION("""COMPUTED_VALUE"""),"C#")</f>
        <v>C#</v>
      </c>
      <c r="M3724" s="9" t="s">
        <v>22</v>
      </c>
    </row>
    <row r="3725" ht="15.75" customHeight="1">
      <c r="A3725" s="7"/>
      <c r="B3725" s="7" t="str">
        <f>IFERROR(__xludf.DUMMYFUNCTION("""COMPUTED_VALUE"""),"C;Elixir;Java;JavaScript;Python;Ruby;SQL;TypeScript")</f>
        <v>C;Elixir;Java;JavaScript;Python;Ruby;SQL;TypeScript</v>
      </c>
      <c r="C3725" s="9" t="str">
        <f>IFERROR(__xludf.DUMMYFUNCTION("""COMPUTED_VALUE"""),"SQL")</f>
        <v>SQL</v>
      </c>
      <c r="D3725" s="9" t="str">
        <f>IFERROR(__xludf.DUMMYFUNCTION("""COMPUTED_VALUE"""),"JavaScript")</f>
        <v>JavaScript</v>
      </c>
      <c r="E3725" s="9" t="str">
        <f>IFERROR(__xludf.DUMMYFUNCTION("""COMPUTED_VALUE"""),"HTML/CSS")</f>
        <v>HTML/CSS</v>
      </c>
      <c r="F3725" s="9" t="str">
        <f>IFERROR(__xludf.DUMMYFUNCTION("""COMPUTED_VALUE"""),"HTML/CSS")</f>
        <v>HTML/CSS</v>
      </c>
      <c r="G3725" s="9" t="str">
        <f>IFERROR(__xludf.DUMMYFUNCTION("""COMPUTED_VALUE"""),"HTML/CSS")</f>
        <v>HTML/CSS</v>
      </c>
      <c r="H3725" s="9" t="str">
        <f>IFERROR(__xludf.DUMMYFUNCTION("""COMPUTED_VALUE"""),"C++")</f>
        <v>C++</v>
      </c>
      <c r="I3725" s="9" t="str">
        <f>IFERROR(__xludf.DUMMYFUNCTION("""COMPUTED_VALUE"""),"JavaScript")</f>
        <v>JavaScript</v>
      </c>
      <c r="J3725" s="9" t="str">
        <f>IFERROR(__xludf.DUMMYFUNCTION("""COMPUTED_VALUE"""),"JavaScript")</f>
        <v>JavaScript</v>
      </c>
      <c r="K3725" s="9" t="str">
        <f>IFERROR(__xludf.DUMMYFUNCTION("""COMPUTED_VALUE"""),"R")</f>
        <v>R</v>
      </c>
      <c r="L3725" s="9" t="str">
        <f>IFERROR(__xludf.DUMMYFUNCTION("""COMPUTED_VALUE"""),"HTML/CSS")</f>
        <v>HTML/CSS</v>
      </c>
      <c r="M3725" s="9" t="s">
        <v>27</v>
      </c>
    </row>
    <row r="3726" ht="15.75" customHeight="1">
      <c r="A3726" s="7"/>
      <c r="B3726" s="7" t="str">
        <f>IFERROR(__xludf.DUMMYFUNCTION("""COMPUTED_VALUE"""),"C#;Java")</f>
        <v>C#;Java</v>
      </c>
      <c r="C3726" s="9" t="str">
        <f>IFERROR(__xludf.DUMMYFUNCTION("""COMPUTED_VALUE"""),"Bash/Shell/PowerShell")</f>
        <v>Bash/Shell/PowerShell</v>
      </c>
      <c r="D3726" s="9" t="str">
        <f>IFERROR(__xludf.DUMMYFUNCTION("""COMPUTED_VALUE"""),"C#")</f>
        <v>C#</v>
      </c>
      <c r="E3726" s="9" t="str">
        <f>IFERROR(__xludf.DUMMYFUNCTION("""COMPUTED_VALUE"""),"Java")</f>
        <v>Java</v>
      </c>
      <c r="F3726" s="9" t="str">
        <f>IFERROR(__xludf.DUMMYFUNCTION("""COMPUTED_VALUE"""),"Java")</f>
        <v>Java</v>
      </c>
      <c r="G3726" s="9" t="str">
        <f>IFERROR(__xludf.DUMMYFUNCTION("""COMPUTED_VALUE"""),"JavaScript")</f>
        <v>JavaScript</v>
      </c>
      <c r="H3726" s="9" t="str">
        <f>IFERROR(__xludf.DUMMYFUNCTION("""COMPUTED_VALUE"""),"HTML/CSS")</f>
        <v>HTML/CSS</v>
      </c>
      <c r="I3726" s="9" t="str">
        <f>IFERROR(__xludf.DUMMYFUNCTION("""COMPUTED_VALUE"""),"Kotlin")</f>
        <v>Kotlin</v>
      </c>
      <c r="J3726" s="9" t="str">
        <f>IFERROR(__xludf.DUMMYFUNCTION("""COMPUTED_VALUE"""),"Python")</f>
        <v>Python</v>
      </c>
      <c r="K3726" s="9" t="str">
        <f>IFERROR(__xludf.DUMMYFUNCTION("""COMPUTED_VALUE"""),"Rust")</f>
        <v>Rust</v>
      </c>
      <c r="L3726" s="9" t="str">
        <f>IFERROR(__xludf.DUMMYFUNCTION("""COMPUTED_VALUE"""),"JavaScript")</f>
        <v>JavaScript</v>
      </c>
      <c r="M3726" s="9" t="s">
        <v>30</v>
      </c>
    </row>
    <row r="3727" ht="15.75" customHeight="1">
      <c r="A3727" s="7"/>
      <c r="B3727" s="7" t="str">
        <f>IFERROR(__xludf.DUMMYFUNCTION("""COMPUTED_VALUE"""),"Bash/Shell/PowerShell;Go")</f>
        <v>Bash/Shell/PowerShell;Go</v>
      </c>
      <c r="C3727" s="9" t="str">
        <f>IFERROR(__xludf.DUMMYFUNCTION("""COMPUTED_VALUE"""),"C")</f>
        <v>C</v>
      </c>
      <c r="D3727" s="9" t="str">
        <f>IFERROR(__xludf.DUMMYFUNCTION("""COMPUTED_VALUE"""),"HTML/CSS")</f>
        <v>HTML/CSS</v>
      </c>
      <c r="E3727" s="9" t="str">
        <f>IFERROR(__xludf.DUMMYFUNCTION("""COMPUTED_VALUE"""),"Python")</f>
        <v>Python</v>
      </c>
      <c r="F3727" s="9" t="str">
        <f>IFERROR(__xludf.DUMMYFUNCTION("""COMPUTED_VALUE"""),"JavaScript")</f>
        <v>JavaScript</v>
      </c>
      <c r="G3727" s="9" t="str">
        <f>IFERROR(__xludf.DUMMYFUNCTION("""COMPUTED_VALUE"""),"PHP")</f>
        <v>PHP</v>
      </c>
      <c r="H3727" s="9" t="str">
        <f>IFERROR(__xludf.DUMMYFUNCTION("""COMPUTED_VALUE"""),"Java")</f>
        <v>Java</v>
      </c>
      <c r="I3727" s="9" t="str">
        <f>IFERROR(__xludf.DUMMYFUNCTION("""COMPUTED_VALUE"""),"Python")</f>
        <v>Python</v>
      </c>
      <c r="J3727" s="9" t="str">
        <f>IFERROR(__xludf.DUMMYFUNCTION("""COMPUTED_VALUE"""),"SQL")</f>
        <v>SQL</v>
      </c>
      <c r="K3727" s="9" t="str">
        <f>IFERROR(__xludf.DUMMYFUNCTION("""COMPUTED_VALUE"""),"Scala")</f>
        <v>Scala</v>
      </c>
      <c r="L3727" s="9" t="str">
        <f>IFERROR(__xludf.DUMMYFUNCTION("""COMPUTED_VALUE"""),"SQL")</f>
        <v>SQL</v>
      </c>
      <c r="M3727" s="9" t="s">
        <v>25</v>
      </c>
    </row>
    <row r="3728" ht="15.75" customHeight="1">
      <c r="A3728" s="7"/>
      <c r="B3728" s="7" t="str">
        <f>IFERROR(__xludf.DUMMYFUNCTION("""COMPUTED_VALUE"""),"C#;HTML/CSS;Java;JavaScript;PHP;SQL")</f>
        <v>C#;HTML/CSS;Java;JavaScript;PHP;SQL</v>
      </c>
      <c r="C3728" s="9" t="str">
        <f>IFERROR(__xludf.DUMMYFUNCTION("""COMPUTED_VALUE"""),"C++")</f>
        <v>C++</v>
      </c>
      <c r="D3728" s="9" t="str">
        <f>IFERROR(__xludf.DUMMYFUNCTION("""COMPUTED_VALUE"""),"JavaScript")</f>
        <v>JavaScript</v>
      </c>
      <c r="E3728" s="9" t="str">
        <f>IFERROR(__xludf.DUMMYFUNCTION("""COMPUTED_VALUE"""),"Rust")</f>
        <v>Rust</v>
      </c>
      <c r="F3728" s="9" t="str">
        <f>IFERROR(__xludf.DUMMYFUNCTION("""COMPUTED_VALUE"""),"HTML/CSS")</f>
        <v>HTML/CSS</v>
      </c>
      <c r="G3728" s="9" t="str">
        <f>IFERROR(__xludf.DUMMYFUNCTION("""COMPUTED_VALUE"""),"SQL")</f>
        <v>SQL</v>
      </c>
      <c r="H3728" s="9" t="str">
        <f>IFERROR(__xludf.DUMMYFUNCTION("""COMPUTED_VALUE"""),"JavaScript")</f>
        <v>JavaScript</v>
      </c>
      <c r="I3728" s="9" t="str">
        <f>IFERROR(__xludf.DUMMYFUNCTION("""COMPUTED_VALUE"""),"SQL")</f>
        <v>SQL</v>
      </c>
      <c r="J3728" s="9" t="str">
        <f>IFERROR(__xludf.DUMMYFUNCTION("""COMPUTED_VALUE"""),"TypeScript")</f>
        <v>TypeScript</v>
      </c>
      <c r="K3728" s="9" t="str">
        <f>IFERROR(__xludf.DUMMYFUNCTION("""COMPUTED_VALUE"""),"Bash/Shell/PowerShell")</f>
        <v>Bash/Shell/PowerShell</v>
      </c>
      <c r="L3728" s="9" t="str">
        <f>IFERROR(__xludf.DUMMYFUNCTION("""COMPUTED_VALUE"""),"TypeScript")</f>
        <v>TypeScript</v>
      </c>
      <c r="M3728" s="9" t="s">
        <v>23</v>
      </c>
    </row>
    <row r="3729" ht="15.75" customHeight="1">
      <c r="A3729" s="7"/>
      <c r="B3729" s="7" t="str">
        <f>IFERROR(__xludf.DUMMYFUNCTION("""COMPUTED_VALUE"""),"Bash/Shell/PowerShell;C#;HTML/CSS;JavaScript;SQL")</f>
        <v>Bash/Shell/PowerShell;C#;HTML/CSS;JavaScript;SQL</v>
      </c>
      <c r="C3729" s="9" t="str">
        <f>IFERROR(__xludf.DUMMYFUNCTION("""COMPUTED_VALUE"""),"HTML/CSS")</f>
        <v>HTML/CSS</v>
      </c>
      <c r="D3729" s="9" t="str">
        <f>IFERROR(__xludf.DUMMYFUNCTION("""COMPUTED_VALUE"""),"Kotlin")</f>
        <v>Kotlin</v>
      </c>
      <c r="E3729" s="9" t="str">
        <f>IFERROR(__xludf.DUMMYFUNCTION("""COMPUTED_VALUE"""),"Scala")</f>
        <v>Scala</v>
      </c>
      <c r="F3729" s="9" t="str">
        <f>IFERROR(__xludf.DUMMYFUNCTION("""COMPUTED_VALUE"""),"JavaScript")</f>
        <v>JavaScript</v>
      </c>
      <c r="G3729" s="9" t="str">
        <f>IFERROR(__xludf.DUMMYFUNCTION("""COMPUTED_VALUE"""),"HTML/CSS")</f>
        <v>HTML/CSS</v>
      </c>
      <c r="H3729" s="9" t="str">
        <f>IFERROR(__xludf.DUMMYFUNCTION("""COMPUTED_VALUE"""),"SQL")</f>
        <v>SQL</v>
      </c>
      <c r="I3729" s="9" t="str">
        <f>IFERROR(__xludf.DUMMYFUNCTION("""COMPUTED_VALUE"""),"C")</f>
        <v>C</v>
      </c>
      <c r="J3729" s="9" t="str">
        <f>IFERROR(__xludf.DUMMYFUNCTION("""COMPUTED_VALUE"""),"Python")</f>
        <v>Python</v>
      </c>
      <c r="K3729" s="9" t="str">
        <f>IFERROR(__xludf.DUMMYFUNCTION("""COMPUTED_VALUE"""),"C#")</f>
        <v>C#</v>
      </c>
      <c r="L3729" s="9" t="str">
        <f>IFERROR(__xludf.DUMMYFUNCTION("""COMPUTED_VALUE"""),"VBA")</f>
        <v>VBA</v>
      </c>
      <c r="M3729" s="9" t="s">
        <v>24</v>
      </c>
    </row>
    <row r="3730" ht="15.75" customHeight="1">
      <c r="A3730" s="7"/>
      <c r="B3730" s="7" t="str">
        <f>IFERROR(__xludf.DUMMYFUNCTION("""COMPUTED_VALUE"""),"C#;HTML/CSS;Java;JavaScript;PHP;Python;SQL")</f>
        <v>C#;HTML/CSS;Java;JavaScript;PHP;Python;SQL</v>
      </c>
      <c r="C3730" s="9" t="str">
        <f>IFERROR(__xludf.DUMMYFUNCTION("""COMPUTED_VALUE"""),"Java")</f>
        <v>Java</v>
      </c>
      <c r="D3730" s="9" t="str">
        <f>IFERROR(__xludf.DUMMYFUNCTION("""COMPUTED_VALUE"""),"Python")</f>
        <v>Python</v>
      </c>
      <c r="E3730" s="9" t="str">
        <f>IFERROR(__xludf.DUMMYFUNCTION("""COMPUTED_VALUE"""),"SQL")</f>
        <v>SQL</v>
      </c>
      <c r="F3730" s="9" t="str">
        <f>IFERROR(__xludf.DUMMYFUNCTION("""COMPUTED_VALUE"""),"PHP")</f>
        <v>PHP</v>
      </c>
      <c r="G3730" s="9" t="str">
        <f>IFERROR(__xludf.DUMMYFUNCTION("""COMPUTED_VALUE"""),"Java")</f>
        <v>Java</v>
      </c>
      <c r="H3730" s="9" t="str">
        <f>IFERROR(__xludf.DUMMYFUNCTION("""COMPUTED_VALUE"""),"HTML/CSS")</f>
        <v>HTML/CSS</v>
      </c>
      <c r="I3730" s="9" t="str">
        <f>IFERROR(__xludf.DUMMYFUNCTION("""COMPUTED_VALUE"""),"C++")</f>
        <v>C++</v>
      </c>
      <c r="J3730" s="9" t="str">
        <f>IFERROR(__xludf.DUMMYFUNCTION("""COMPUTED_VALUE"""),"R")</f>
        <v>R</v>
      </c>
      <c r="K3730" s="9" t="str">
        <f>IFERROR(__xludf.DUMMYFUNCTION("""COMPUTED_VALUE"""),"HTML/CSS")</f>
        <v>HTML/CSS</v>
      </c>
      <c r="L3730" s="9" t="str">
        <f>IFERROR(__xludf.DUMMYFUNCTION("""COMPUTED_VALUE"""),"Bash/Shell/PowerShell")</f>
        <v>Bash/Shell/PowerShell</v>
      </c>
      <c r="M3730" s="9" t="s">
        <v>20</v>
      </c>
    </row>
    <row r="3731" ht="15.75" customHeight="1">
      <c r="A3731" s="7"/>
      <c r="B3731" s="7" t="str">
        <f>IFERROR(__xludf.DUMMYFUNCTION("""COMPUTED_VALUE"""),"Ruby")</f>
        <v>Ruby</v>
      </c>
      <c r="C3731" s="9" t="str">
        <f>IFERROR(__xludf.DUMMYFUNCTION("""COMPUTED_VALUE"""),"JavaScript")</f>
        <v>JavaScript</v>
      </c>
      <c r="D3731" s="9" t="str">
        <f>IFERROR(__xludf.DUMMYFUNCTION("""COMPUTED_VALUE"""),"SQL")</f>
        <v>SQL</v>
      </c>
      <c r="E3731" s="9" t="str">
        <f>IFERROR(__xludf.DUMMYFUNCTION("""COMPUTED_VALUE"""),"TypeScript")</f>
        <v>TypeScript</v>
      </c>
      <c r="F3731" s="9" t="str">
        <f>IFERROR(__xludf.DUMMYFUNCTION("""COMPUTED_VALUE"""),"Python")</f>
        <v>Python</v>
      </c>
      <c r="G3731" s="9" t="str">
        <f>IFERROR(__xludf.DUMMYFUNCTION("""COMPUTED_VALUE"""),"JavaScript")</f>
        <v>JavaScript</v>
      </c>
      <c r="H3731" s="9" t="str">
        <f>IFERROR(__xludf.DUMMYFUNCTION("""COMPUTED_VALUE"""),"Java")</f>
        <v>Java</v>
      </c>
      <c r="I3731" s="9" t="str">
        <f>IFERROR(__xludf.DUMMYFUNCTION("""COMPUTED_VALUE"""),"C#")</f>
        <v>C#</v>
      </c>
      <c r="J3731" s="9" t="str">
        <f>IFERROR(__xludf.DUMMYFUNCTION("""COMPUTED_VALUE"""),"Bash/Shell/PowerShell")</f>
        <v>Bash/Shell/PowerShell</v>
      </c>
      <c r="K3731" s="9" t="str">
        <f>IFERROR(__xludf.DUMMYFUNCTION("""COMPUTED_VALUE"""),"Java")</f>
        <v>Java</v>
      </c>
      <c r="L3731" s="9" t="str">
        <f>IFERROR(__xludf.DUMMYFUNCTION("""COMPUTED_VALUE"""),"HTML/CSS")</f>
        <v>HTML/CSS</v>
      </c>
      <c r="M3731" s="9" t="s">
        <v>21</v>
      </c>
    </row>
    <row r="3732" ht="15.75" customHeight="1">
      <c r="A3732" s="7"/>
      <c r="B3732" s="7" t="str">
        <f>IFERROR(__xludf.DUMMYFUNCTION("""COMPUTED_VALUE"""),"Assembly;Bash/Shell/PowerShell;C;C++;C#;HTML/CSS;Java;JavaScript;PHP;TypeScript;WebAssembly")</f>
        <v>Assembly;Bash/Shell/PowerShell;C;C++;C#;HTML/CSS;Java;JavaScript;PHP;TypeScript;WebAssembly</v>
      </c>
      <c r="C3732" s="9" t="str">
        <f>IFERROR(__xludf.DUMMYFUNCTION("""COMPUTED_VALUE"""),"Kotlin")</f>
        <v>Kotlin</v>
      </c>
      <c r="D3732" s="9" t="str">
        <f>IFERROR(__xludf.DUMMYFUNCTION("""COMPUTED_VALUE"""),"Swift")</f>
        <v>Swift</v>
      </c>
      <c r="E3732" s="9" t="str">
        <f>IFERROR(__xludf.DUMMYFUNCTION("""COMPUTED_VALUE"""),"C#")</f>
        <v>C#</v>
      </c>
      <c r="F3732" s="9" t="str">
        <f>IFERROR(__xludf.DUMMYFUNCTION("""COMPUTED_VALUE"""),"Ruby")</f>
        <v>Ruby</v>
      </c>
      <c r="G3732" s="9" t="str">
        <f>IFERROR(__xludf.DUMMYFUNCTION("""COMPUTED_VALUE"""),"PHP")</f>
        <v>PHP</v>
      </c>
      <c r="H3732" s="9" t="str">
        <f>IFERROR(__xludf.DUMMYFUNCTION("""COMPUTED_VALUE"""),"JavaScript")</f>
        <v>JavaScript</v>
      </c>
      <c r="I3732" s="9" t="str">
        <f>IFERROR(__xludf.DUMMYFUNCTION("""COMPUTED_VALUE"""),"HTML/CSS")</f>
        <v>HTML/CSS</v>
      </c>
      <c r="J3732" s="9" t="str">
        <f>IFERROR(__xludf.DUMMYFUNCTION("""COMPUTED_VALUE"""),"C")</f>
        <v>C</v>
      </c>
      <c r="K3732" s="9" t="str">
        <f>IFERROR(__xludf.DUMMYFUNCTION("""COMPUTED_VALUE"""),"JavaScript")</f>
        <v>JavaScript</v>
      </c>
      <c r="L3732" s="9" t="str">
        <f>IFERROR(__xludf.DUMMYFUNCTION("""COMPUTED_VALUE"""),"JavaScript")</f>
        <v>JavaScript</v>
      </c>
      <c r="M3732" s="9" t="s">
        <v>39</v>
      </c>
    </row>
    <row r="3733" ht="15.75" customHeight="1">
      <c r="A3733" s="7"/>
      <c r="B3733" s="7" t="str">
        <f>IFERROR(__xludf.DUMMYFUNCTION("""COMPUTED_VALUE"""),"HTML/CSS;JavaScript")</f>
        <v>HTML/CSS;JavaScript</v>
      </c>
      <c r="C3733" s="9" t="str">
        <f>IFERROR(__xludf.DUMMYFUNCTION("""COMPUTED_VALUE"""),"PHP")</f>
        <v>PHP</v>
      </c>
      <c r="D3733" s="9" t="str">
        <f>IFERROR(__xludf.DUMMYFUNCTION("""COMPUTED_VALUE"""),"C")</f>
        <v>C</v>
      </c>
      <c r="E3733" s="9" t="str">
        <f>IFERROR(__xludf.DUMMYFUNCTION("""COMPUTED_VALUE"""),"Java")</f>
        <v>Java</v>
      </c>
      <c r="F3733" s="9" t="str">
        <f>IFERROR(__xludf.DUMMYFUNCTION("""COMPUTED_VALUE"""),"SQL")</f>
        <v>SQL</v>
      </c>
      <c r="G3733" s="9" t="str">
        <f>IFERROR(__xludf.DUMMYFUNCTION("""COMPUTED_VALUE"""),"SQL")</f>
        <v>SQL</v>
      </c>
      <c r="H3733" s="9" t="str">
        <f>IFERROR(__xludf.DUMMYFUNCTION("""COMPUTED_VALUE"""),"SQL")</f>
        <v>SQL</v>
      </c>
      <c r="I3733" s="9" t="str">
        <f>IFERROR(__xludf.DUMMYFUNCTION("""COMPUTED_VALUE"""),"JavaScript")</f>
        <v>JavaScript</v>
      </c>
      <c r="J3733" s="9" t="str">
        <f>IFERROR(__xludf.DUMMYFUNCTION("""COMPUTED_VALUE"""),"C#")</f>
        <v>C#</v>
      </c>
      <c r="K3733" s="9" t="str">
        <f>IFERROR(__xludf.DUMMYFUNCTION("""COMPUTED_VALUE"""),"Kotlin")</f>
        <v>Kotlin</v>
      </c>
      <c r="L3733" s="9" t="str">
        <f>IFERROR(__xludf.DUMMYFUNCTION("""COMPUTED_VALUE"""),"PHP")</f>
        <v>PHP</v>
      </c>
      <c r="M3733" s="9" t="s">
        <v>37</v>
      </c>
    </row>
    <row r="3734" ht="15.75" customHeight="1">
      <c r="A3734" s="7"/>
      <c r="B3734" s="7" t="str">
        <f>IFERROR(__xludf.DUMMYFUNCTION("""COMPUTED_VALUE"""),"HTML/CSS;JavaScript")</f>
        <v>HTML/CSS;JavaScript</v>
      </c>
      <c r="C3734" s="9" t="str">
        <f>IFERROR(__xludf.DUMMYFUNCTION("""COMPUTED_VALUE"""),"Python")</f>
        <v>Python</v>
      </c>
      <c r="D3734" s="9" t="str">
        <f>IFERROR(__xludf.DUMMYFUNCTION("""COMPUTED_VALUE"""),"C#")</f>
        <v>C#</v>
      </c>
      <c r="E3734" s="9" t="str">
        <f>IFERROR(__xludf.DUMMYFUNCTION("""COMPUTED_VALUE"""),"JavaScript")</f>
        <v>JavaScript</v>
      </c>
      <c r="F3734" s="9" t="str">
        <f>IFERROR(__xludf.DUMMYFUNCTION("""COMPUTED_VALUE"""),"HTML/CSS")</f>
        <v>HTML/CSS</v>
      </c>
      <c r="G3734" s="9" t="str">
        <f>IFERROR(__xludf.DUMMYFUNCTION("""COMPUTED_VALUE"""),"C")</f>
        <v>C</v>
      </c>
      <c r="H3734" s="9" t="str">
        <f>IFERROR(__xludf.DUMMYFUNCTION("""COMPUTED_VALUE"""),"C")</f>
        <v>C</v>
      </c>
      <c r="I3734" s="9" t="str">
        <f>IFERROR(__xludf.DUMMYFUNCTION("""COMPUTED_VALUE"""),"SQL")</f>
        <v>SQL</v>
      </c>
      <c r="J3734" s="9" t="str">
        <f>IFERROR(__xludf.DUMMYFUNCTION("""COMPUTED_VALUE"""),"HTML/CSS")</f>
        <v>HTML/CSS</v>
      </c>
      <c r="K3734" s="9" t="str">
        <f>IFERROR(__xludf.DUMMYFUNCTION("""COMPUTED_VALUE"""),"SQL")</f>
        <v>SQL</v>
      </c>
      <c r="L3734" s="9" t="str">
        <f>IFERROR(__xludf.DUMMYFUNCTION("""COMPUTED_VALUE"""),"SQL")</f>
        <v>SQL</v>
      </c>
      <c r="M3734" s="9" t="s">
        <v>22</v>
      </c>
    </row>
    <row r="3735" ht="15.75" customHeight="1">
      <c r="A3735" s="7"/>
      <c r="B3735" s="7" t="str">
        <f>IFERROR(__xludf.DUMMYFUNCTION("""COMPUTED_VALUE"""),"Bash/Shell/PowerShell;C#;HTML/CSS;JavaScript;PHP;Python;SQL")</f>
        <v>Bash/Shell/PowerShell;C#;HTML/CSS;JavaScript;PHP;Python;SQL</v>
      </c>
      <c r="C3735" s="9" t="str">
        <f>IFERROR(__xludf.DUMMYFUNCTION("""COMPUTED_VALUE"""),"SQL")</f>
        <v>SQL</v>
      </c>
      <c r="D3735" s="9" t="str">
        <f>IFERROR(__xludf.DUMMYFUNCTION("""COMPUTED_VALUE"""),"Python")</f>
        <v>Python</v>
      </c>
      <c r="E3735" s="9" t="str">
        <f>IFERROR(__xludf.DUMMYFUNCTION("""COMPUTED_VALUE"""),"PHP")</f>
        <v>PHP</v>
      </c>
      <c r="F3735" s="9" t="str">
        <f>IFERROR(__xludf.DUMMYFUNCTION("""COMPUTED_VALUE"""),"JavaScript")</f>
        <v>JavaScript</v>
      </c>
      <c r="G3735" s="9" t="str">
        <f>IFERROR(__xludf.DUMMYFUNCTION("""COMPUTED_VALUE"""),"C++")</f>
        <v>C++</v>
      </c>
      <c r="H3735" s="9" t="str">
        <f>IFERROR(__xludf.DUMMYFUNCTION("""COMPUTED_VALUE"""),"C++")</f>
        <v>C++</v>
      </c>
      <c r="I3735" s="9" t="str">
        <f>IFERROR(__xludf.DUMMYFUNCTION("""COMPUTED_VALUE"""),"VBA")</f>
        <v>VBA</v>
      </c>
      <c r="J3735" s="9" t="str">
        <f>IFERROR(__xludf.DUMMYFUNCTION("""COMPUTED_VALUE"""),"JavaScript")</f>
        <v>JavaScript</v>
      </c>
      <c r="K3735" s="9" t="str">
        <f>IFERROR(__xludf.DUMMYFUNCTION("""COMPUTED_VALUE"""),"TypeScript")</f>
        <v>TypeScript</v>
      </c>
      <c r="L3735" s="9" t="str">
        <f>IFERROR(__xludf.DUMMYFUNCTION("""COMPUTED_VALUE"""),"HTML/CSS")</f>
        <v>HTML/CSS</v>
      </c>
      <c r="M3735" s="9" t="s">
        <v>27</v>
      </c>
    </row>
    <row r="3736" ht="15.75" customHeight="1">
      <c r="A3736" s="7"/>
      <c r="B3736" s="7" t="str">
        <f>IFERROR(__xludf.DUMMYFUNCTION("""COMPUTED_VALUE"""),"Assembly;Bash/Shell/PowerShell;C;C++;C#;HTML/CSS;Java;JavaScript;Objective-C;PHP;Python;Ruby;SQL;Swift;TypeScript;VBA")</f>
        <v>Assembly;Bash/Shell/PowerShell;C;C++;C#;HTML/CSS;Java;JavaScript;Objective-C;PHP;Python;Ruby;SQL;Swift;TypeScript;VBA</v>
      </c>
      <c r="C3736" s="9" t="str">
        <f>IFERROR(__xludf.DUMMYFUNCTION("""COMPUTED_VALUE"""),"Other(s):")</f>
        <v>Other(s):</v>
      </c>
      <c r="D3736" s="9" t="str">
        <f>IFERROR(__xludf.DUMMYFUNCTION("""COMPUTED_VALUE"""),"HTML/CSS")</f>
        <v>HTML/CSS</v>
      </c>
      <c r="E3736" s="9" t="str">
        <f>IFERROR(__xludf.DUMMYFUNCTION("""COMPUTED_VALUE"""),"SQL")</f>
        <v>SQL</v>
      </c>
      <c r="F3736" s="9" t="str">
        <f>IFERROR(__xludf.DUMMYFUNCTION("""COMPUTED_VALUE"""),"PHP")</f>
        <v>PHP</v>
      </c>
      <c r="G3736" s="9" t="str">
        <f>IFERROR(__xludf.DUMMYFUNCTION("""COMPUTED_VALUE"""),"HTML/CSS")</f>
        <v>HTML/CSS</v>
      </c>
      <c r="H3736" s="9" t="str">
        <f>IFERROR(__xludf.DUMMYFUNCTION("""COMPUTED_VALUE"""),"Clojure")</f>
        <v>Clojure</v>
      </c>
      <c r="I3736" s="9" t="str">
        <f>IFERROR(__xludf.DUMMYFUNCTION("""COMPUTED_VALUE"""),"C#")</f>
        <v>C#</v>
      </c>
      <c r="J3736" s="9" t="str">
        <f>IFERROR(__xludf.DUMMYFUNCTION("""COMPUTED_VALUE"""),"SQL")</f>
        <v>SQL</v>
      </c>
      <c r="K3736" s="9" t="str">
        <f>IFERROR(__xludf.DUMMYFUNCTION("""COMPUTED_VALUE"""),"HTML/CSS")</f>
        <v>HTML/CSS</v>
      </c>
      <c r="L3736" s="9" t="str">
        <f>IFERROR(__xludf.DUMMYFUNCTION("""COMPUTED_VALUE"""),"Java")</f>
        <v>Java</v>
      </c>
      <c r="M3736" s="9" t="s">
        <v>35</v>
      </c>
    </row>
    <row r="3737" ht="15.75" customHeight="1">
      <c r="A3737" s="7"/>
      <c r="B3737" s="7" t="str">
        <f>IFERROR(__xludf.DUMMYFUNCTION("""COMPUTED_VALUE"""),"Bash/Shell/PowerShell;C;C++;Erlang;Go;HTML/CSS;Java;JavaScript;Python;Ruby;SQL")</f>
        <v>Bash/Shell/PowerShell;C;C++;Erlang;Go;HTML/CSS;Java;JavaScript;Python;Ruby;SQL</v>
      </c>
      <c r="C3737" s="9" t="str">
        <f>IFERROR(__xludf.DUMMYFUNCTION("""COMPUTED_VALUE"""),"C")</f>
        <v>C</v>
      </c>
      <c r="D3737" s="9" t="str">
        <f>IFERROR(__xludf.DUMMYFUNCTION("""COMPUTED_VALUE"""),"JavaScript")</f>
        <v>JavaScript</v>
      </c>
      <c r="E3737" s="9" t="str">
        <f>IFERROR(__xludf.DUMMYFUNCTION("""COMPUTED_VALUE"""),"HTML/CSS")</f>
        <v>HTML/CSS</v>
      </c>
      <c r="F3737" s="9" t="str">
        <f>IFERROR(__xludf.DUMMYFUNCTION("""COMPUTED_VALUE"""),"Python")</f>
        <v>Python</v>
      </c>
      <c r="G3737" s="9" t="str">
        <f>IFERROR(__xludf.DUMMYFUNCTION("""COMPUTED_VALUE"""),"Java")</f>
        <v>Java</v>
      </c>
      <c r="H3737" s="9" t="str">
        <f>IFERROR(__xludf.DUMMYFUNCTION("""COMPUTED_VALUE"""),"Elixir")</f>
        <v>Elixir</v>
      </c>
      <c r="I3737" s="9" t="str">
        <f>IFERROR(__xludf.DUMMYFUNCTION("""COMPUTED_VALUE"""),"HTML/CSS")</f>
        <v>HTML/CSS</v>
      </c>
      <c r="J3737" s="9" t="str">
        <f>IFERROR(__xludf.DUMMYFUNCTION("""COMPUTED_VALUE"""),"TypeScript")</f>
        <v>TypeScript</v>
      </c>
      <c r="K3737" s="9" t="str">
        <f>IFERROR(__xludf.DUMMYFUNCTION("""COMPUTED_VALUE"""),"JavaScript")</f>
        <v>JavaScript</v>
      </c>
      <c r="L3737" s="9" t="str">
        <f>IFERROR(__xludf.DUMMYFUNCTION("""COMPUTED_VALUE"""),"JavaScript")</f>
        <v>JavaScript</v>
      </c>
      <c r="M3737" s="9" t="s">
        <v>25</v>
      </c>
    </row>
    <row r="3738" ht="15.75" customHeight="1">
      <c r="A3738" s="7"/>
      <c r="B3738" s="7" t="str">
        <f>IFERROR(__xludf.DUMMYFUNCTION("""COMPUTED_VALUE"""),"Assembly;Bash/Shell/PowerShell;C;C++;C#;HTML/CSS;Java;JavaScript;Python;Scala;SQL")</f>
        <v>Assembly;Bash/Shell/PowerShell;C;C++;C#;HTML/CSS;Java;JavaScript;Python;Scala;SQL</v>
      </c>
      <c r="C3738" s="9" t="str">
        <f>IFERROR(__xludf.DUMMYFUNCTION("""COMPUTED_VALUE"""),"SQL")</f>
        <v>SQL</v>
      </c>
      <c r="D3738" s="9" t="str">
        <f>IFERROR(__xludf.DUMMYFUNCTION("""COMPUTED_VALUE"""),"Bash/Shell/PowerShell")</f>
        <v>Bash/Shell/PowerShell</v>
      </c>
      <c r="E3738" s="9" t="str">
        <f>IFERROR(__xludf.DUMMYFUNCTION("""COMPUTED_VALUE"""),"Java")</f>
        <v>Java</v>
      </c>
      <c r="F3738" s="9" t="str">
        <f>IFERROR(__xludf.DUMMYFUNCTION("""COMPUTED_VALUE"""),"SQL")</f>
        <v>SQL</v>
      </c>
      <c r="G3738" s="9" t="str">
        <f>IFERROR(__xludf.DUMMYFUNCTION("""COMPUTED_VALUE"""),"JavaScript")</f>
        <v>JavaScript</v>
      </c>
      <c r="H3738" s="9" t="str">
        <f>IFERROR(__xludf.DUMMYFUNCTION("""COMPUTED_VALUE"""),"Erlang")</f>
        <v>Erlang</v>
      </c>
      <c r="I3738" s="9" t="str">
        <f>IFERROR(__xludf.DUMMYFUNCTION("""COMPUTED_VALUE"""),"JavaScript")</f>
        <v>JavaScript</v>
      </c>
      <c r="J3738" s="9" t="str">
        <f>IFERROR(__xludf.DUMMYFUNCTION("""COMPUTED_VALUE"""),"Bash/Shell/PowerShell")</f>
        <v>Bash/Shell/PowerShell</v>
      </c>
      <c r="K3738" s="9" t="str">
        <f>IFERROR(__xludf.DUMMYFUNCTION("""COMPUTED_VALUE"""),"PHP")</f>
        <v>PHP</v>
      </c>
      <c r="L3738" s="9" t="str">
        <f>IFERROR(__xludf.DUMMYFUNCTION("""COMPUTED_VALUE"""),"Kotlin")</f>
        <v>Kotlin</v>
      </c>
      <c r="M3738" s="9" t="s">
        <v>27</v>
      </c>
    </row>
    <row r="3739" ht="15.75" customHeight="1">
      <c r="A3739" s="7"/>
      <c r="B3739" s="7" t="str">
        <f>IFERROR(__xludf.DUMMYFUNCTION("""COMPUTED_VALUE"""),"HTML/CSS;Java;JavaScript")</f>
        <v>HTML/CSS;Java;JavaScript</v>
      </c>
      <c r="C3739" s="9" t="str">
        <f>IFERROR(__xludf.DUMMYFUNCTION("""COMPUTED_VALUE"""),"Java")</f>
        <v>Java</v>
      </c>
      <c r="D3739" s="9" t="str">
        <f>IFERROR(__xludf.DUMMYFUNCTION("""COMPUTED_VALUE"""),"Dart")</f>
        <v>Dart</v>
      </c>
      <c r="E3739" s="9" t="str">
        <f>IFERROR(__xludf.DUMMYFUNCTION("""COMPUTED_VALUE"""),"JavaScript")</f>
        <v>JavaScript</v>
      </c>
      <c r="F3739" s="9" t="str">
        <f>IFERROR(__xludf.DUMMYFUNCTION("""COMPUTED_VALUE"""),"VBA")</f>
        <v>VBA</v>
      </c>
      <c r="G3739" s="9" t="str">
        <f>IFERROR(__xludf.DUMMYFUNCTION("""COMPUTED_VALUE"""),"Objective-C")</f>
        <v>Objective-C</v>
      </c>
      <c r="H3739" s="9" t="str">
        <f>IFERROR(__xludf.DUMMYFUNCTION("""COMPUTED_VALUE"""),"HTML/CSS")</f>
        <v>HTML/CSS</v>
      </c>
      <c r="I3739" s="9" t="str">
        <f>IFERROR(__xludf.DUMMYFUNCTION("""COMPUTED_VALUE"""),"SQL")</f>
        <v>SQL</v>
      </c>
      <c r="J3739" s="9" t="str">
        <f>IFERROR(__xludf.DUMMYFUNCTION("""COMPUTED_VALUE"""),"C")</f>
        <v>C</v>
      </c>
      <c r="K3739" s="9" t="str">
        <f>IFERROR(__xludf.DUMMYFUNCTION("""COMPUTED_VALUE"""),"VBA")</f>
        <v>VBA</v>
      </c>
      <c r="L3739" s="9" t="str">
        <f>IFERROR(__xludf.DUMMYFUNCTION("""COMPUTED_VALUE"""),"Assembly")</f>
        <v>Assembly</v>
      </c>
      <c r="M3739" s="9" t="s">
        <v>20</v>
      </c>
    </row>
    <row r="3740" ht="15.75" customHeight="1">
      <c r="A3740" s="7"/>
      <c r="B3740" s="7" t="str">
        <f>IFERROR(__xludf.DUMMYFUNCTION("""COMPUTED_VALUE"""),"HTML/CSS;JavaScript;PHP;Python;Ruby;SQL")</f>
        <v>HTML/CSS;JavaScript;PHP;Python;Ruby;SQL</v>
      </c>
      <c r="C3740" s="9" t="str">
        <f>IFERROR(__xludf.DUMMYFUNCTION("""COMPUTED_VALUE"""),"Python")</f>
        <v>Python</v>
      </c>
      <c r="D3740" s="9" t="str">
        <f>IFERROR(__xludf.DUMMYFUNCTION("""COMPUTED_VALUE"""),"Elixir")</f>
        <v>Elixir</v>
      </c>
      <c r="E3740" s="9" t="str">
        <f>IFERROR(__xludf.DUMMYFUNCTION("""COMPUTED_VALUE"""),"TypeScript")</f>
        <v>TypeScript</v>
      </c>
      <c r="F3740" s="9" t="str">
        <f>IFERROR(__xludf.DUMMYFUNCTION("""COMPUTED_VALUE"""),"C")</f>
        <v>C</v>
      </c>
      <c r="G3740" s="9" t="str">
        <f>IFERROR(__xludf.DUMMYFUNCTION("""COMPUTED_VALUE"""),"Python")</f>
        <v>Python</v>
      </c>
      <c r="H3740" s="9" t="str">
        <f>IFERROR(__xludf.DUMMYFUNCTION("""COMPUTED_VALUE"""),"JavaScript")</f>
        <v>JavaScript</v>
      </c>
      <c r="I3740" s="9" t="str">
        <f>IFERROR(__xludf.DUMMYFUNCTION("""COMPUTED_VALUE"""),"Bash/Shell/PowerShell")</f>
        <v>Bash/Shell/PowerShell</v>
      </c>
      <c r="J3740" s="9" t="str">
        <f>IFERROR(__xludf.DUMMYFUNCTION("""COMPUTED_VALUE"""),"HTML/CSS")</f>
        <v>HTML/CSS</v>
      </c>
      <c r="K3740" s="9" t="str">
        <f>IFERROR(__xludf.DUMMYFUNCTION("""COMPUTED_VALUE"""),"Bash/Shell/PowerShell")</f>
        <v>Bash/Shell/PowerShell</v>
      </c>
      <c r="L3740" s="9" t="str">
        <f>IFERROR(__xludf.DUMMYFUNCTION("""COMPUTED_VALUE"""),"C")</f>
        <v>C</v>
      </c>
      <c r="M3740" s="9" t="s">
        <v>22</v>
      </c>
    </row>
    <row r="3741" ht="15.75" customHeight="1">
      <c r="A3741" s="7"/>
      <c r="B3741" s="7" t="str">
        <f>IFERROR(__xludf.DUMMYFUNCTION("""COMPUTED_VALUE"""),"HTML/CSS;JavaScript;PHP;Python;SQL;VBA")</f>
        <v>HTML/CSS;JavaScript;PHP;Python;SQL;VBA</v>
      </c>
      <c r="C3741" s="9" t="str">
        <f>IFERROR(__xludf.DUMMYFUNCTION("""COMPUTED_VALUE"""),"Bash/Shell/PowerShell")</f>
        <v>Bash/Shell/PowerShell</v>
      </c>
      <c r="D3741" s="9" t="str">
        <f>IFERROR(__xludf.DUMMYFUNCTION("""COMPUTED_VALUE"""),"Go")</f>
        <v>Go</v>
      </c>
      <c r="E3741" s="9" t="str">
        <f>IFERROR(__xludf.DUMMYFUNCTION("""COMPUTED_VALUE"""),"C++")</f>
        <v>C++</v>
      </c>
      <c r="F3741" s="9" t="str">
        <f>IFERROR(__xludf.DUMMYFUNCTION("""COMPUTED_VALUE"""),"C#")</f>
        <v>C#</v>
      </c>
      <c r="G3741" s="9" t="str">
        <f>IFERROR(__xludf.DUMMYFUNCTION("""COMPUTED_VALUE"""),"SQL")</f>
        <v>SQL</v>
      </c>
      <c r="H3741" s="9" t="str">
        <f>IFERROR(__xludf.DUMMYFUNCTION("""COMPUTED_VALUE"""),"Kotlin")</f>
        <v>Kotlin</v>
      </c>
      <c r="I3741" s="9" t="str">
        <f>IFERROR(__xludf.DUMMYFUNCTION("""COMPUTED_VALUE"""),"C++")</f>
        <v>C++</v>
      </c>
      <c r="J3741" s="9" t="str">
        <f>IFERROR(__xludf.DUMMYFUNCTION("""COMPUTED_VALUE"""),"Java")</f>
        <v>Java</v>
      </c>
      <c r="K3741" s="9" t="str">
        <f>IFERROR(__xludf.DUMMYFUNCTION("""COMPUTED_VALUE"""),"HTML/CSS")</f>
        <v>HTML/CSS</v>
      </c>
      <c r="L3741" s="9" t="str">
        <f>IFERROR(__xludf.DUMMYFUNCTION("""COMPUTED_VALUE"""),"C#")</f>
        <v>C#</v>
      </c>
      <c r="M3741" s="9" t="s">
        <v>30</v>
      </c>
    </row>
    <row r="3742" ht="15.75" customHeight="1">
      <c r="A3742" s="7"/>
      <c r="B3742" s="7" t="str">
        <f>IFERROR(__xludf.DUMMYFUNCTION("""COMPUTED_VALUE"""),"C;C#;HTML/CSS;SQL")</f>
        <v>C;C#;HTML/CSS;SQL</v>
      </c>
      <c r="C3742" s="9" t="str">
        <f>IFERROR(__xludf.DUMMYFUNCTION("""COMPUTED_VALUE"""),"Java")</f>
        <v>Java</v>
      </c>
      <c r="D3742" s="9" t="str">
        <f>IFERROR(__xludf.DUMMYFUNCTION("""COMPUTED_VALUE"""),"HTML/CSS")</f>
        <v>HTML/CSS</v>
      </c>
      <c r="E3742" s="9" t="str">
        <f>IFERROR(__xludf.DUMMYFUNCTION("""COMPUTED_VALUE"""),"HTML/CSS")</f>
        <v>HTML/CSS</v>
      </c>
      <c r="F3742" s="9" t="str">
        <f>IFERROR(__xludf.DUMMYFUNCTION("""COMPUTED_VALUE"""),"HTML/CSS")</f>
        <v>HTML/CSS</v>
      </c>
      <c r="G3742" s="9" t="str">
        <f>IFERROR(__xludf.DUMMYFUNCTION("""COMPUTED_VALUE"""),"C++")</f>
        <v>C++</v>
      </c>
      <c r="H3742" s="9" t="str">
        <f>IFERROR(__xludf.DUMMYFUNCTION("""COMPUTED_VALUE"""),"Python")</f>
        <v>Python</v>
      </c>
      <c r="I3742" s="9" t="str">
        <f>IFERROR(__xludf.DUMMYFUNCTION("""COMPUTED_VALUE"""),"Go")</f>
        <v>Go</v>
      </c>
      <c r="J3742" s="9" t="str">
        <f>IFERROR(__xludf.DUMMYFUNCTION("""COMPUTED_VALUE"""),"PHP")</f>
        <v>PHP</v>
      </c>
      <c r="K3742" s="9" t="str">
        <f>IFERROR(__xludf.DUMMYFUNCTION("""COMPUTED_VALUE"""),"Java")</f>
        <v>Java</v>
      </c>
      <c r="L3742" s="9" t="str">
        <f>IFERROR(__xludf.DUMMYFUNCTION("""COMPUTED_VALUE"""),"Python")</f>
        <v>Python</v>
      </c>
      <c r="M3742" s="9" t="s">
        <v>20</v>
      </c>
    </row>
    <row r="3743" ht="15.75" customHeight="1">
      <c r="A3743" s="7"/>
      <c r="B3743" s="7" t="str">
        <f>IFERROR(__xludf.DUMMYFUNCTION("""COMPUTED_VALUE"""),"Assembly;Bash/Shell/PowerShell;C;Python;SQL;Other(s):")</f>
        <v>Assembly;Bash/Shell/PowerShell;C;Python;SQL;Other(s):</v>
      </c>
      <c r="C3743" s="9" t="str">
        <f>IFERROR(__xludf.DUMMYFUNCTION("""COMPUTED_VALUE"""),"Python")</f>
        <v>Python</v>
      </c>
      <c r="D3743" s="9" t="str">
        <f>IFERROR(__xludf.DUMMYFUNCTION("""COMPUTED_VALUE"""),"Java")</f>
        <v>Java</v>
      </c>
      <c r="E3743" s="9" t="str">
        <f>IFERROR(__xludf.DUMMYFUNCTION("""COMPUTED_VALUE"""),"JavaScript")</f>
        <v>JavaScript</v>
      </c>
      <c r="F3743" s="9" t="str">
        <f>IFERROR(__xludf.DUMMYFUNCTION("""COMPUTED_VALUE"""),"SQL")</f>
        <v>SQL</v>
      </c>
      <c r="G3743" s="9" t="str">
        <f>IFERROR(__xludf.DUMMYFUNCTION("""COMPUTED_VALUE"""),"C#")</f>
        <v>C#</v>
      </c>
      <c r="H3743" s="9" t="str">
        <f>IFERROR(__xludf.DUMMYFUNCTION("""COMPUTED_VALUE"""),"Rust")</f>
        <v>Rust</v>
      </c>
      <c r="I3743" s="9" t="str">
        <f>IFERROR(__xludf.DUMMYFUNCTION("""COMPUTED_VALUE"""),"HTML/CSS")</f>
        <v>HTML/CSS</v>
      </c>
      <c r="J3743" s="9" t="str">
        <f>IFERROR(__xludf.DUMMYFUNCTION("""COMPUTED_VALUE"""),"SQL")</f>
        <v>SQL</v>
      </c>
      <c r="K3743" s="9" t="str">
        <f>IFERROR(__xludf.DUMMYFUNCTION("""COMPUTED_VALUE"""),"Scala")</f>
        <v>Scala</v>
      </c>
      <c r="L3743" s="9" t="str">
        <f>IFERROR(__xludf.DUMMYFUNCTION("""COMPUTED_VALUE"""),"Rust")</f>
        <v>Rust</v>
      </c>
      <c r="M3743" s="9" t="s">
        <v>22</v>
      </c>
    </row>
    <row r="3744" ht="15.75" customHeight="1">
      <c r="A3744" s="7"/>
      <c r="B3744" s="7" t="str">
        <f>IFERROR(__xludf.DUMMYFUNCTION("""COMPUTED_VALUE"""),"HTML/CSS;JavaScript;PHP;SQL")</f>
        <v>HTML/CSS;JavaScript;PHP;SQL</v>
      </c>
      <c r="C3744" s="9" t="str">
        <f>IFERROR(__xludf.DUMMYFUNCTION("""COMPUTED_VALUE"""),"Scala")</f>
        <v>Scala</v>
      </c>
      <c r="D3744" s="9" t="str">
        <f>IFERROR(__xludf.DUMMYFUNCTION("""COMPUTED_VALUE"""),"JavaScript")</f>
        <v>JavaScript</v>
      </c>
      <c r="E3744" s="9" t="str">
        <f>IFERROR(__xludf.DUMMYFUNCTION("""COMPUTED_VALUE"""),"PHP")</f>
        <v>PHP</v>
      </c>
      <c r="F3744" s="9" t="str">
        <f>IFERROR(__xludf.DUMMYFUNCTION("""COMPUTED_VALUE"""),"Assembly")</f>
        <v>Assembly</v>
      </c>
      <c r="G3744" s="9" t="str">
        <f>IFERROR(__xludf.DUMMYFUNCTION("""COMPUTED_VALUE"""),"HTML/CSS")</f>
        <v>HTML/CSS</v>
      </c>
      <c r="H3744" s="9" t="str">
        <f>IFERROR(__xludf.DUMMYFUNCTION("""COMPUTED_VALUE"""),"SQL")</f>
        <v>SQL</v>
      </c>
      <c r="I3744" s="9" t="str">
        <f>IFERROR(__xludf.DUMMYFUNCTION("""COMPUTED_VALUE"""),"Java")</f>
        <v>Java</v>
      </c>
      <c r="J3744" s="9" t="str">
        <f>IFERROR(__xludf.DUMMYFUNCTION("""COMPUTED_VALUE"""),"TypeScript")</f>
        <v>TypeScript</v>
      </c>
      <c r="K3744" s="9" t="str">
        <f>IFERROR(__xludf.DUMMYFUNCTION("""COMPUTED_VALUE"""),"C")</f>
        <v>C</v>
      </c>
      <c r="L3744" s="9" t="str">
        <f>IFERROR(__xludf.DUMMYFUNCTION("""COMPUTED_VALUE"""),"Bash/Shell/PowerShell")</f>
        <v>Bash/Shell/PowerShell</v>
      </c>
      <c r="M3744" s="9" t="s">
        <v>46</v>
      </c>
    </row>
    <row r="3745" ht="15.75" customHeight="1">
      <c r="A3745" s="7"/>
      <c r="B3745" s="7" t="str">
        <f>IFERROR(__xludf.DUMMYFUNCTION("""COMPUTED_VALUE"""),"HTML/CSS;JavaScript;PHP;R;SQL")</f>
        <v>HTML/CSS;JavaScript;PHP;R;SQL</v>
      </c>
      <c r="C3745" s="9" t="str">
        <f>IFERROR(__xludf.DUMMYFUNCTION("""COMPUTED_VALUE"""),"C#")</f>
        <v>C#</v>
      </c>
      <c r="D3745" s="9" t="str">
        <f>IFERROR(__xludf.DUMMYFUNCTION("""COMPUTED_VALUE"""),"Python")</f>
        <v>Python</v>
      </c>
      <c r="E3745" s="9" t="str">
        <f>IFERROR(__xludf.DUMMYFUNCTION("""COMPUTED_VALUE"""),"SQL")</f>
        <v>SQL</v>
      </c>
      <c r="F3745" s="9" t="str">
        <f>IFERROR(__xludf.DUMMYFUNCTION("""COMPUTED_VALUE"""),"Bash/Shell/PowerShell")</f>
        <v>Bash/Shell/PowerShell</v>
      </c>
      <c r="G3745" s="9" t="str">
        <f>IFERROR(__xludf.DUMMYFUNCTION("""COMPUTED_VALUE"""),"Java")</f>
        <v>Java</v>
      </c>
      <c r="H3745" s="9" t="str">
        <f>IFERROR(__xludf.DUMMYFUNCTION("""COMPUTED_VALUE"""),"Other(s):")</f>
        <v>Other(s):</v>
      </c>
      <c r="I3745" s="9" t="str">
        <f>IFERROR(__xludf.DUMMYFUNCTION("""COMPUTED_VALUE"""),"JavaScript")</f>
        <v>JavaScript</v>
      </c>
      <c r="J3745" s="9" t="str">
        <f>IFERROR(__xludf.DUMMYFUNCTION("""COMPUTED_VALUE"""),"HTML/CSS")</f>
        <v>HTML/CSS</v>
      </c>
      <c r="K3745" s="9" t="str">
        <f>IFERROR(__xludf.DUMMYFUNCTION("""COMPUTED_VALUE"""),"C++")</f>
        <v>C++</v>
      </c>
      <c r="L3745" s="9" t="str">
        <f>IFERROR(__xludf.DUMMYFUNCTION("""COMPUTED_VALUE"""),"C#")</f>
        <v>C#</v>
      </c>
      <c r="M3745" s="9" t="s">
        <v>26</v>
      </c>
    </row>
    <row r="3746" ht="15.75" customHeight="1">
      <c r="A3746" s="7"/>
      <c r="B3746" s="7" t="str">
        <f>IFERROR(__xludf.DUMMYFUNCTION("""COMPUTED_VALUE"""),"C#")</f>
        <v>C#</v>
      </c>
      <c r="C3746" s="9" t="str">
        <f>IFERROR(__xludf.DUMMYFUNCTION("""COMPUTED_VALUE"""),"JavaScript")</f>
        <v>JavaScript</v>
      </c>
      <c r="D3746" s="9" t="str">
        <f>IFERROR(__xludf.DUMMYFUNCTION("""COMPUTED_VALUE"""),"Ruby")</f>
        <v>Ruby</v>
      </c>
      <c r="E3746" s="9" t="str">
        <f>IFERROR(__xludf.DUMMYFUNCTION("""COMPUTED_VALUE"""),"HTML/CSS")</f>
        <v>HTML/CSS</v>
      </c>
      <c r="F3746" s="9" t="str">
        <f>IFERROR(__xludf.DUMMYFUNCTION("""COMPUTED_VALUE"""),"C")</f>
        <v>C</v>
      </c>
      <c r="G3746" s="9" t="str">
        <f>IFERROR(__xludf.DUMMYFUNCTION("""COMPUTED_VALUE"""),"JavaScript")</f>
        <v>JavaScript</v>
      </c>
      <c r="H3746" s="9" t="str">
        <f>IFERROR(__xludf.DUMMYFUNCTION("""COMPUTED_VALUE"""),"HTML/CSS")</f>
        <v>HTML/CSS</v>
      </c>
      <c r="I3746" s="9" t="str">
        <f>IFERROR(__xludf.DUMMYFUNCTION("""COMPUTED_VALUE"""),"PHP")</f>
        <v>PHP</v>
      </c>
      <c r="J3746" s="9" t="str">
        <f>IFERROR(__xludf.DUMMYFUNCTION("""COMPUTED_VALUE"""),"JavaScript")</f>
        <v>JavaScript</v>
      </c>
      <c r="K3746" s="9" t="str">
        <f>IFERROR(__xludf.DUMMYFUNCTION("""COMPUTED_VALUE"""),"HTML/CSS")</f>
        <v>HTML/CSS</v>
      </c>
      <c r="L3746" s="9" t="str">
        <f>IFERROR(__xludf.DUMMYFUNCTION("""COMPUTED_VALUE"""),"JavaScript")</f>
        <v>JavaScript</v>
      </c>
      <c r="M3746" s="9" t="s">
        <v>21</v>
      </c>
    </row>
    <row r="3747" ht="15.75" customHeight="1">
      <c r="A3747" s="7"/>
      <c r="B3747" s="7" t="str">
        <f>IFERROR(__xludf.DUMMYFUNCTION("""COMPUTED_VALUE"""),"Bash/Shell/PowerShell;C;C++;C#;Elixir;Erlang;Go;HTML/CSS;JavaScript;PHP;Rust;SQL;WebAssembly")</f>
        <v>Bash/Shell/PowerShell;C;C++;C#;Elixir;Erlang;Go;HTML/CSS;JavaScript;PHP;Rust;SQL;WebAssembly</v>
      </c>
      <c r="C3747" s="9" t="str">
        <f>IFERROR(__xludf.DUMMYFUNCTION("""COMPUTED_VALUE"""),"SQL")</f>
        <v>SQL</v>
      </c>
      <c r="D3747" s="9" t="str">
        <f>IFERROR(__xludf.DUMMYFUNCTION("""COMPUTED_VALUE"""),"Rust")</f>
        <v>Rust</v>
      </c>
      <c r="E3747" s="9" t="str">
        <f>IFERROR(__xludf.DUMMYFUNCTION("""COMPUTED_VALUE"""),"JavaScript")</f>
        <v>JavaScript</v>
      </c>
      <c r="F3747" s="9" t="str">
        <f>IFERROR(__xludf.DUMMYFUNCTION("""COMPUTED_VALUE"""),"Python")</f>
        <v>Python</v>
      </c>
      <c r="G3747" s="9" t="str">
        <f>IFERROR(__xludf.DUMMYFUNCTION("""COMPUTED_VALUE"""),"Python")</f>
        <v>Python</v>
      </c>
      <c r="H3747" s="9" t="str">
        <f>IFERROR(__xludf.DUMMYFUNCTION("""COMPUTED_VALUE"""),"JavaScript")</f>
        <v>JavaScript</v>
      </c>
      <c r="I3747" s="9" t="str">
        <f>IFERROR(__xludf.DUMMYFUNCTION("""COMPUTED_VALUE"""),"Python")</f>
        <v>Python</v>
      </c>
      <c r="J3747" s="9" t="str">
        <f>IFERROR(__xludf.DUMMYFUNCTION("""COMPUTED_VALUE"""),"Python")</f>
        <v>Python</v>
      </c>
      <c r="K3747" s="9" t="str">
        <f>IFERROR(__xludf.DUMMYFUNCTION("""COMPUTED_VALUE"""),"JavaScript")</f>
        <v>JavaScript</v>
      </c>
      <c r="L3747" s="9" t="str">
        <f>IFERROR(__xludf.DUMMYFUNCTION("""COMPUTED_VALUE"""),"PHP")</f>
        <v>PHP</v>
      </c>
      <c r="M3747" s="9" t="s">
        <v>27</v>
      </c>
    </row>
    <row r="3748" ht="15.75" customHeight="1">
      <c r="A3748" s="7"/>
      <c r="B3748" s="7" t="str">
        <f>IFERROR(__xludf.DUMMYFUNCTION("""COMPUTED_VALUE"""),"C#;Python;Ruby;TypeScript")</f>
        <v>C#;Python;Ruby;TypeScript</v>
      </c>
      <c r="C3748" s="9" t="str">
        <f>IFERROR(__xludf.DUMMYFUNCTION("""COMPUTED_VALUE"""),"TypeScript")</f>
        <v>TypeScript</v>
      </c>
      <c r="D3748" s="9" t="str">
        <f>IFERROR(__xludf.DUMMYFUNCTION("""COMPUTED_VALUE"""),"SQL")</f>
        <v>SQL</v>
      </c>
      <c r="E3748" s="9" t="str">
        <f>IFERROR(__xludf.DUMMYFUNCTION("""COMPUTED_VALUE"""),"PHP")</f>
        <v>PHP</v>
      </c>
      <c r="F3748" s="9" t="str">
        <f>IFERROR(__xludf.DUMMYFUNCTION("""COMPUTED_VALUE"""),"SQL")</f>
        <v>SQL</v>
      </c>
      <c r="G3748" s="9" t="str">
        <f>IFERROR(__xludf.DUMMYFUNCTION("""COMPUTED_VALUE"""),"Ruby")</f>
        <v>Ruby</v>
      </c>
      <c r="H3748" s="9" t="str">
        <f>IFERROR(__xludf.DUMMYFUNCTION("""COMPUTED_VALUE"""),"PHP")</f>
        <v>PHP</v>
      </c>
      <c r="I3748" s="9" t="str">
        <f>IFERROR(__xludf.DUMMYFUNCTION("""COMPUTED_VALUE"""),"R")</f>
        <v>R</v>
      </c>
      <c r="J3748" s="9" t="str">
        <f>IFERROR(__xludf.DUMMYFUNCTION("""COMPUTED_VALUE"""),"HTML/CSS")</f>
        <v>HTML/CSS</v>
      </c>
      <c r="K3748" s="9" t="str">
        <f>IFERROR(__xludf.DUMMYFUNCTION("""COMPUTED_VALUE"""),"Python")</f>
        <v>Python</v>
      </c>
      <c r="L3748" s="9" t="str">
        <f>IFERROR(__xludf.DUMMYFUNCTION("""COMPUTED_VALUE"""),"Python")</f>
        <v>Python</v>
      </c>
      <c r="M3748" s="9" t="s">
        <v>33</v>
      </c>
    </row>
    <row r="3749" ht="15.75" customHeight="1">
      <c r="A3749" s="7"/>
      <c r="B3749" s="7" t="str">
        <f>IFERROR(__xludf.DUMMYFUNCTION("""COMPUTED_VALUE"""),"Bash/Shell/PowerShell;HTML/CSS;Java;JavaScript;SQL")</f>
        <v>Bash/Shell/PowerShell;HTML/CSS;Java;JavaScript;SQL</v>
      </c>
      <c r="C3749" s="9" t="str">
        <f>IFERROR(__xludf.DUMMYFUNCTION("""COMPUTED_VALUE"""),"C#")</f>
        <v>C#</v>
      </c>
      <c r="D3749" s="9" t="str">
        <f>IFERROR(__xludf.DUMMYFUNCTION("""COMPUTED_VALUE"""),"Swift")</f>
        <v>Swift</v>
      </c>
      <c r="E3749" s="9" t="str">
        <f>IFERROR(__xludf.DUMMYFUNCTION("""COMPUTED_VALUE"""),"SQL")</f>
        <v>SQL</v>
      </c>
      <c r="F3749" s="9" t="str">
        <f>IFERROR(__xludf.DUMMYFUNCTION("""COMPUTED_VALUE"""),"Other(s):")</f>
        <v>Other(s):</v>
      </c>
      <c r="G3749" s="9" t="str">
        <f>IFERROR(__xludf.DUMMYFUNCTION("""COMPUTED_VALUE"""),"Scala")</f>
        <v>Scala</v>
      </c>
      <c r="H3749" s="9" t="str">
        <f>IFERROR(__xludf.DUMMYFUNCTION("""COMPUTED_VALUE"""),"SQL")</f>
        <v>SQL</v>
      </c>
      <c r="I3749" s="9" t="str">
        <f>IFERROR(__xludf.DUMMYFUNCTION("""COMPUTED_VALUE"""),"SQL")</f>
        <v>SQL</v>
      </c>
      <c r="J3749" s="9" t="str">
        <f>IFERROR(__xludf.DUMMYFUNCTION("""COMPUTED_VALUE"""),"JavaScript")</f>
        <v>JavaScript</v>
      </c>
      <c r="K3749" s="9" t="str">
        <f>IFERROR(__xludf.DUMMYFUNCTION("""COMPUTED_VALUE"""),"SQL")</f>
        <v>SQL</v>
      </c>
      <c r="L3749" s="9" t="str">
        <f>IFERROR(__xludf.DUMMYFUNCTION("""COMPUTED_VALUE"""),"Ruby")</f>
        <v>Ruby</v>
      </c>
      <c r="M3749" s="9" t="s">
        <v>26</v>
      </c>
    </row>
    <row r="3750" ht="15.75" customHeight="1">
      <c r="A3750" s="7"/>
      <c r="B3750" s="7" t="str">
        <f>IFERROR(__xludf.DUMMYFUNCTION("""COMPUTED_VALUE"""),"Bash/Shell/PowerShell;HTML/CSS;JavaScript;TypeScript")</f>
        <v>Bash/Shell/PowerShell;HTML/CSS;JavaScript;TypeScript</v>
      </c>
      <c r="C3750" s="9" t="str">
        <f>IFERROR(__xludf.DUMMYFUNCTION("""COMPUTED_VALUE"""),"HTML/CSS")</f>
        <v>HTML/CSS</v>
      </c>
      <c r="D3750" s="9" t="str">
        <f>IFERROR(__xludf.DUMMYFUNCTION("""COMPUTED_VALUE"""),"TypeScript")</f>
        <v>TypeScript</v>
      </c>
      <c r="E3750" s="9" t="str">
        <f>IFERROR(__xludf.DUMMYFUNCTION("""COMPUTED_VALUE"""),"Bash/Shell/PowerShell")</f>
        <v>Bash/Shell/PowerShell</v>
      </c>
      <c r="F3750" s="9" t="str">
        <f>IFERROR(__xludf.DUMMYFUNCTION("""COMPUTED_VALUE"""),"HTML/CSS")</f>
        <v>HTML/CSS</v>
      </c>
      <c r="G3750" s="9" t="str">
        <f>IFERROR(__xludf.DUMMYFUNCTION("""COMPUTED_VALUE"""),"TypeScript")</f>
        <v>TypeScript</v>
      </c>
      <c r="H3750" s="9" t="str">
        <f>IFERROR(__xludf.DUMMYFUNCTION("""COMPUTED_VALUE"""),"HTML/CSS")</f>
        <v>HTML/CSS</v>
      </c>
      <c r="I3750" s="9" t="str">
        <f>IFERROR(__xludf.DUMMYFUNCTION("""COMPUTED_VALUE"""),"Swift")</f>
        <v>Swift</v>
      </c>
      <c r="J3750" s="9" t="str">
        <f>IFERROR(__xludf.DUMMYFUNCTION("""COMPUTED_VALUE"""),"Python")</f>
        <v>Python</v>
      </c>
      <c r="K3750" s="9" t="str">
        <f>IFERROR(__xludf.DUMMYFUNCTION("""COMPUTED_VALUE"""),"C++")</f>
        <v>C++</v>
      </c>
      <c r="L3750" s="9" t="str">
        <f>IFERROR(__xludf.DUMMYFUNCTION("""COMPUTED_VALUE"""),"SQL")</f>
        <v>SQL</v>
      </c>
      <c r="M3750" s="9" t="s">
        <v>24</v>
      </c>
    </row>
    <row r="3751" ht="15.75" customHeight="1">
      <c r="A3751" s="7"/>
      <c r="B3751" s="7" t="str">
        <f>IFERROR(__xludf.DUMMYFUNCTION("""COMPUTED_VALUE"""),"Bash/Shell/PowerShell;C#;Go;HTML/CSS;JavaScript;PHP;Python;TypeScript")</f>
        <v>Bash/Shell/PowerShell;C#;Go;HTML/CSS;JavaScript;PHP;Python;TypeScript</v>
      </c>
      <c r="C3751" s="9" t="str">
        <f>IFERROR(__xludf.DUMMYFUNCTION("""COMPUTED_VALUE"""),"Java")</f>
        <v>Java</v>
      </c>
      <c r="D3751" s="9" t="str">
        <f>IFERROR(__xludf.DUMMYFUNCTION("""COMPUTED_VALUE"""),"Bash/Shell/PowerShell")</f>
        <v>Bash/Shell/PowerShell</v>
      </c>
      <c r="E3751" s="9" t="str">
        <f>IFERROR(__xludf.DUMMYFUNCTION("""COMPUTED_VALUE"""),"C++")</f>
        <v>C++</v>
      </c>
      <c r="F3751" s="9" t="str">
        <f>IFERROR(__xludf.DUMMYFUNCTION("""COMPUTED_VALUE"""),"JavaScript")</f>
        <v>JavaScript</v>
      </c>
      <c r="G3751" s="9" t="str">
        <f>IFERROR(__xludf.DUMMYFUNCTION("""COMPUTED_VALUE"""),"HTML/CSS")</f>
        <v>HTML/CSS</v>
      </c>
      <c r="H3751" s="9" t="str">
        <f>IFERROR(__xludf.DUMMYFUNCTION("""COMPUTED_VALUE"""),"JavaScript")</f>
        <v>JavaScript</v>
      </c>
      <c r="I3751" s="9" t="str">
        <f>IFERROR(__xludf.DUMMYFUNCTION("""COMPUTED_VALUE"""),"Bash/Shell/PowerShell")</f>
        <v>Bash/Shell/PowerShell</v>
      </c>
      <c r="J3751" s="9" t="str">
        <f>IFERROR(__xludf.DUMMYFUNCTION("""COMPUTED_VALUE"""),"SQL")</f>
        <v>SQL</v>
      </c>
      <c r="K3751" s="9" t="str">
        <f>IFERROR(__xludf.DUMMYFUNCTION("""COMPUTED_VALUE"""),"C#")</f>
        <v>C#</v>
      </c>
      <c r="L3751" s="9" t="str">
        <f>IFERROR(__xludf.DUMMYFUNCTION("""COMPUTED_VALUE"""),"TypeScript")</f>
        <v>TypeScript</v>
      </c>
      <c r="M3751" s="9" t="s">
        <v>20</v>
      </c>
    </row>
    <row r="3752" ht="15.75" customHeight="1">
      <c r="A3752" s="7"/>
      <c r="B3752" s="7" t="str">
        <f>IFERROR(__xludf.DUMMYFUNCTION("""COMPUTED_VALUE"""),"HTML/CSS;JavaScript;Kotlin;Python")</f>
        <v>HTML/CSS;JavaScript;Kotlin;Python</v>
      </c>
      <c r="C3752" s="9" t="str">
        <f>IFERROR(__xludf.DUMMYFUNCTION("""COMPUTED_VALUE"""),"JavaScript")</f>
        <v>JavaScript</v>
      </c>
      <c r="D3752" s="9" t="str">
        <f>IFERROR(__xludf.DUMMYFUNCTION("""COMPUTED_VALUE"""),"HTML/CSS")</f>
        <v>HTML/CSS</v>
      </c>
      <c r="E3752" s="9" t="str">
        <f>IFERROR(__xludf.DUMMYFUNCTION("""COMPUTED_VALUE"""),"C#")</f>
        <v>C#</v>
      </c>
      <c r="F3752" s="9" t="str">
        <f>IFERROR(__xludf.DUMMYFUNCTION("""COMPUTED_VALUE"""),"PHP")</f>
        <v>PHP</v>
      </c>
      <c r="G3752" s="9" t="str">
        <f>IFERROR(__xludf.DUMMYFUNCTION("""COMPUTED_VALUE"""),"Java")</f>
        <v>Java</v>
      </c>
      <c r="H3752" s="9" t="str">
        <f>IFERROR(__xludf.DUMMYFUNCTION("""COMPUTED_VALUE"""),"PHP")</f>
        <v>PHP</v>
      </c>
      <c r="I3752" s="9" t="str">
        <f>IFERROR(__xludf.DUMMYFUNCTION("""COMPUTED_VALUE"""),"C#")</f>
        <v>C#</v>
      </c>
      <c r="J3752" s="9" t="str">
        <f>IFERROR(__xludf.DUMMYFUNCTION("""COMPUTED_VALUE"""),"HTML/CSS")</f>
        <v>HTML/CSS</v>
      </c>
      <c r="K3752" s="9" t="str">
        <f>IFERROR(__xludf.DUMMYFUNCTION("""COMPUTED_VALUE"""),"Python")</f>
        <v>Python</v>
      </c>
      <c r="L3752" s="9" t="str">
        <f>IFERROR(__xludf.DUMMYFUNCTION("""COMPUTED_VALUE"""),"Bash/Shell/PowerShell")</f>
        <v>Bash/Shell/PowerShell</v>
      </c>
      <c r="M3752" s="9" t="s">
        <v>21</v>
      </c>
    </row>
    <row r="3753" ht="15.75" customHeight="1">
      <c r="A3753" s="7"/>
      <c r="B3753" s="7" t="str">
        <f>IFERROR(__xludf.DUMMYFUNCTION("""COMPUTED_VALUE"""),"C++;C#;HTML/CSS;JavaScript;Python;SQL")</f>
        <v>C++;C#;HTML/CSS;JavaScript;Python;SQL</v>
      </c>
      <c r="C3753" s="9" t="str">
        <f>IFERROR(__xludf.DUMMYFUNCTION("""COMPUTED_VALUE"""),"PHP")</f>
        <v>PHP</v>
      </c>
      <c r="D3753" s="9" t="str">
        <f>IFERROR(__xludf.DUMMYFUNCTION("""COMPUTED_VALUE"""),"Java")</f>
        <v>Java</v>
      </c>
      <c r="E3753" s="9" t="str">
        <f>IFERROR(__xludf.DUMMYFUNCTION("""COMPUTED_VALUE"""),"HTML/CSS")</f>
        <v>HTML/CSS</v>
      </c>
      <c r="F3753" s="9" t="str">
        <f>IFERROR(__xludf.DUMMYFUNCTION("""COMPUTED_VALUE"""),"SQL")</f>
        <v>SQL</v>
      </c>
      <c r="G3753" s="9" t="str">
        <f>IFERROR(__xludf.DUMMYFUNCTION("""COMPUTED_VALUE"""),"Kotlin")</f>
        <v>Kotlin</v>
      </c>
      <c r="H3753" s="9" t="str">
        <f>IFERROR(__xludf.DUMMYFUNCTION("""COMPUTED_VALUE"""),"SQL")</f>
        <v>SQL</v>
      </c>
      <c r="I3753" s="9" t="str">
        <f>IFERROR(__xludf.DUMMYFUNCTION("""COMPUTED_VALUE"""),"HTML/CSS")</f>
        <v>HTML/CSS</v>
      </c>
      <c r="J3753" s="9" t="str">
        <f>IFERROR(__xludf.DUMMYFUNCTION("""COMPUTED_VALUE"""),"JavaScript")</f>
        <v>JavaScript</v>
      </c>
      <c r="K3753" s="9" t="str">
        <f>IFERROR(__xludf.DUMMYFUNCTION("""COMPUTED_VALUE"""),"C++")</f>
        <v>C++</v>
      </c>
      <c r="L3753" s="9" t="str">
        <f>IFERROR(__xludf.DUMMYFUNCTION("""COMPUTED_VALUE"""),"C++")</f>
        <v>C++</v>
      </c>
      <c r="M3753" s="9" t="s">
        <v>37</v>
      </c>
    </row>
    <row r="3754" ht="15.75" customHeight="1">
      <c r="A3754" s="7"/>
      <c r="B3754" s="7" t="str">
        <f>IFERROR(__xludf.DUMMYFUNCTION("""COMPUTED_VALUE"""),"Bash/Shell/PowerShell;C#")</f>
        <v>Bash/Shell/PowerShell;C#</v>
      </c>
      <c r="C3754" s="9" t="str">
        <f>IFERROR(__xludf.DUMMYFUNCTION("""COMPUTED_VALUE"""),"Python")</f>
        <v>Python</v>
      </c>
      <c r="D3754" s="9" t="str">
        <f>IFERROR(__xludf.DUMMYFUNCTION("""COMPUTED_VALUE"""),"JavaScript")</f>
        <v>JavaScript</v>
      </c>
      <c r="E3754" s="9" t="str">
        <f>IFERROR(__xludf.DUMMYFUNCTION("""COMPUTED_VALUE"""),"JavaScript")</f>
        <v>JavaScript</v>
      </c>
      <c r="F3754" s="9" t="str">
        <f>IFERROR(__xludf.DUMMYFUNCTION("""COMPUTED_VALUE"""),"HTML/CSS")</f>
        <v>HTML/CSS</v>
      </c>
      <c r="G3754" s="9" t="str">
        <f>IFERROR(__xludf.DUMMYFUNCTION("""COMPUTED_VALUE"""),"Python")</f>
        <v>Python</v>
      </c>
      <c r="H3754" s="9" t="str">
        <f>IFERROR(__xludf.DUMMYFUNCTION("""COMPUTED_VALUE"""),"C#")</f>
        <v>C#</v>
      </c>
      <c r="I3754" s="9" t="str">
        <f>IFERROR(__xludf.DUMMYFUNCTION("""COMPUTED_VALUE"""),"JavaScript")</f>
        <v>JavaScript</v>
      </c>
      <c r="J3754" s="9" t="str">
        <f>IFERROR(__xludf.DUMMYFUNCTION("""COMPUTED_VALUE"""),"Python")</f>
        <v>Python</v>
      </c>
      <c r="K3754" s="9" t="str">
        <f>IFERROR(__xludf.DUMMYFUNCTION("""COMPUTED_VALUE"""),"C#")</f>
        <v>C#</v>
      </c>
      <c r="L3754" s="9" t="str">
        <f>IFERROR(__xludf.DUMMYFUNCTION("""COMPUTED_VALUE"""),"Go")</f>
        <v>Go</v>
      </c>
      <c r="M3754" s="9" t="s">
        <v>22</v>
      </c>
    </row>
    <row r="3755" ht="15.75" customHeight="1">
      <c r="A3755" s="7"/>
      <c r="B3755" s="7" t="str">
        <f>IFERROR(__xludf.DUMMYFUNCTION("""COMPUTED_VALUE"""),"Dart;Other(s):")</f>
        <v>Dart;Other(s):</v>
      </c>
      <c r="C3755" s="9" t="str">
        <f>IFERROR(__xludf.DUMMYFUNCTION("""COMPUTED_VALUE"""),"SQL")</f>
        <v>SQL</v>
      </c>
      <c r="D3755" s="9" t="str">
        <f>IFERROR(__xludf.DUMMYFUNCTION("""COMPUTED_VALUE"""),"SQL")</f>
        <v>SQL</v>
      </c>
      <c r="E3755" s="9" t="str">
        <f>IFERROR(__xludf.DUMMYFUNCTION("""COMPUTED_VALUE"""),"PHP")</f>
        <v>PHP</v>
      </c>
      <c r="F3755" s="9" t="str">
        <f>IFERROR(__xludf.DUMMYFUNCTION("""COMPUTED_VALUE"""),"JavaScript")</f>
        <v>JavaScript</v>
      </c>
      <c r="G3755" s="9" t="str">
        <f>IFERROR(__xludf.DUMMYFUNCTION("""COMPUTED_VALUE"""),"C")</f>
        <v>C</v>
      </c>
      <c r="H3755" s="9" t="str">
        <f>IFERROR(__xludf.DUMMYFUNCTION("""COMPUTED_VALUE"""),"HTML/CSS")</f>
        <v>HTML/CSS</v>
      </c>
      <c r="I3755" s="9" t="str">
        <f>IFERROR(__xludf.DUMMYFUNCTION("""COMPUTED_VALUE"""),"TypeScript")</f>
        <v>TypeScript</v>
      </c>
      <c r="J3755" s="9" t="str">
        <f>IFERROR(__xludf.DUMMYFUNCTION("""COMPUTED_VALUE"""),"SQL")</f>
        <v>SQL</v>
      </c>
      <c r="K3755" s="9" t="str">
        <f>IFERROR(__xludf.DUMMYFUNCTION("""COMPUTED_VALUE"""),"Java")</f>
        <v>Java</v>
      </c>
      <c r="L3755" s="9" t="str">
        <f>IFERROR(__xludf.DUMMYFUNCTION("""COMPUTED_VALUE"""),"HTML/CSS")</f>
        <v>HTML/CSS</v>
      </c>
      <c r="M3755" s="9" t="s">
        <v>27</v>
      </c>
    </row>
    <row r="3756" ht="15.75" customHeight="1">
      <c r="A3756" s="7"/>
      <c r="B3756" s="7" t="str">
        <f>IFERROR(__xludf.DUMMYFUNCTION("""COMPUTED_VALUE"""),"Bash/Shell/PowerShell;C;C++;C#;F#;HTML/CSS;JavaScript;Python;SQL;Other(s):")</f>
        <v>Bash/Shell/PowerShell;C;C++;C#;F#;HTML/CSS;JavaScript;Python;SQL;Other(s):</v>
      </c>
      <c r="C3756" s="9" t="str">
        <f>IFERROR(__xludf.DUMMYFUNCTION("""COMPUTED_VALUE"""),"TypeScript")</f>
        <v>TypeScript</v>
      </c>
      <c r="D3756" s="9" t="str">
        <f>IFERROR(__xludf.DUMMYFUNCTION("""COMPUTED_VALUE"""),"Bash/Shell/PowerShell")</f>
        <v>Bash/Shell/PowerShell</v>
      </c>
      <c r="E3756" s="9" t="str">
        <f>IFERROR(__xludf.DUMMYFUNCTION("""COMPUTED_VALUE"""),"SQL")</f>
        <v>SQL</v>
      </c>
      <c r="F3756" s="9" t="str">
        <f>IFERROR(__xludf.DUMMYFUNCTION("""COMPUTED_VALUE"""),"PHP")</f>
        <v>PHP</v>
      </c>
      <c r="G3756" s="9" t="str">
        <f>IFERROR(__xludf.DUMMYFUNCTION("""COMPUTED_VALUE"""),"C#")</f>
        <v>C#</v>
      </c>
      <c r="H3756" s="9" t="str">
        <f>IFERROR(__xludf.DUMMYFUNCTION("""COMPUTED_VALUE"""),"Java")</f>
        <v>Java</v>
      </c>
      <c r="I3756" s="9" t="str">
        <f>IFERROR(__xludf.DUMMYFUNCTION("""COMPUTED_VALUE"""),"Other(s):")</f>
        <v>Other(s):</v>
      </c>
      <c r="J3756" s="9" t="str">
        <f>IFERROR(__xludf.DUMMYFUNCTION("""COMPUTED_VALUE"""),"TypeScript")</f>
        <v>TypeScript</v>
      </c>
      <c r="K3756" s="9" t="str">
        <f>IFERROR(__xludf.DUMMYFUNCTION("""COMPUTED_VALUE"""),"Python")</f>
        <v>Python</v>
      </c>
      <c r="L3756" s="9" t="str">
        <f>IFERROR(__xludf.DUMMYFUNCTION("""COMPUTED_VALUE"""),"Java")</f>
        <v>Java</v>
      </c>
      <c r="M3756" s="9" t="s">
        <v>33</v>
      </c>
    </row>
    <row r="3757" ht="15.75" customHeight="1">
      <c r="A3757" s="7"/>
      <c r="B3757" s="7" t="str">
        <f>IFERROR(__xludf.DUMMYFUNCTION("""COMPUTED_VALUE"""),"Bash/Shell/PowerShell;Java")</f>
        <v>Bash/Shell/PowerShell;Java</v>
      </c>
      <c r="C3757" s="9" t="str">
        <f>IFERROR(__xludf.DUMMYFUNCTION("""COMPUTED_VALUE"""),"VBA")</f>
        <v>VBA</v>
      </c>
      <c r="D3757" s="9" t="str">
        <f>IFERROR(__xludf.DUMMYFUNCTION("""COMPUTED_VALUE"""),"Python")</f>
        <v>Python</v>
      </c>
      <c r="E3757" s="9" t="str">
        <f>IFERROR(__xludf.DUMMYFUNCTION("""COMPUTED_VALUE"""),"TypeScript")</f>
        <v>TypeScript</v>
      </c>
      <c r="F3757" s="9" t="str">
        <f>IFERROR(__xludf.DUMMYFUNCTION("""COMPUTED_VALUE"""),"R")</f>
        <v>R</v>
      </c>
      <c r="G3757" s="9" t="str">
        <f>IFERROR(__xludf.DUMMYFUNCTION("""COMPUTED_VALUE"""),"HTML/CSS")</f>
        <v>HTML/CSS</v>
      </c>
      <c r="H3757" s="9" t="str">
        <f>IFERROR(__xludf.DUMMYFUNCTION("""COMPUTED_VALUE"""),"JavaScript")</f>
        <v>JavaScript</v>
      </c>
      <c r="I3757" s="9" t="str">
        <f>IFERROR(__xludf.DUMMYFUNCTION("""COMPUTED_VALUE"""),"HTML/CSS")</f>
        <v>HTML/CSS</v>
      </c>
      <c r="J3757" s="9" t="str">
        <f>IFERROR(__xludf.DUMMYFUNCTION("""COMPUTED_VALUE"""),"Bash/Shell/PowerShell")</f>
        <v>Bash/Shell/PowerShell</v>
      </c>
      <c r="K3757" s="9" t="str">
        <f>IFERROR(__xludf.DUMMYFUNCTION("""COMPUTED_VALUE"""),"Ruby")</f>
        <v>Ruby</v>
      </c>
      <c r="L3757" s="9" t="str">
        <f>IFERROR(__xludf.DUMMYFUNCTION("""COMPUTED_VALUE"""),"JavaScript")</f>
        <v>JavaScript</v>
      </c>
      <c r="M3757" s="9" t="s">
        <v>28</v>
      </c>
    </row>
    <row r="3758" ht="15.75" customHeight="1">
      <c r="A3758" s="7"/>
      <c r="B3758" s="7" t="str">
        <f>IFERROR(__xludf.DUMMYFUNCTION("""COMPUTED_VALUE"""),"C;C++;Java;Objective-C;Python;SQL;Swift")</f>
        <v>C;C++;Java;Objective-C;Python;SQL;Swift</v>
      </c>
      <c r="C3758" s="9" t="str">
        <f>IFERROR(__xludf.DUMMYFUNCTION("""COMPUTED_VALUE"""),"C#")</f>
        <v>C#</v>
      </c>
      <c r="D3758" s="9" t="str">
        <f>IFERROR(__xludf.DUMMYFUNCTION("""COMPUTED_VALUE"""),"R")</f>
        <v>R</v>
      </c>
      <c r="E3758" s="9" t="str">
        <f>IFERROR(__xludf.DUMMYFUNCTION("""COMPUTED_VALUE"""),"C++")</f>
        <v>C++</v>
      </c>
      <c r="F3758" s="9" t="str">
        <f>IFERROR(__xludf.DUMMYFUNCTION("""COMPUTED_VALUE"""),"SQL")</f>
        <v>SQL</v>
      </c>
      <c r="G3758" s="9" t="str">
        <f>IFERROR(__xludf.DUMMYFUNCTION("""COMPUTED_VALUE"""),"Java")</f>
        <v>Java</v>
      </c>
      <c r="H3758" s="9" t="str">
        <f>IFERROR(__xludf.DUMMYFUNCTION("""COMPUTED_VALUE"""),"TypeScript")</f>
        <v>TypeScript</v>
      </c>
      <c r="I3758" s="9" t="str">
        <f>IFERROR(__xludf.DUMMYFUNCTION("""COMPUTED_VALUE"""),"JavaScript")</f>
        <v>JavaScript</v>
      </c>
      <c r="J3758" s="9" t="str">
        <f>IFERROR(__xludf.DUMMYFUNCTION("""COMPUTED_VALUE"""),"C#")</f>
        <v>C#</v>
      </c>
      <c r="K3758" s="9" t="str">
        <f>IFERROR(__xludf.DUMMYFUNCTION("""COMPUTED_VALUE"""),"Scala")</f>
        <v>Scala</v>
      </c>
      <c r="L3758" s="9" t="str">
        <f>IFERROR(__xludf.DUMMYFUNCTION("""COMPUTED_VALUE"""),"PHP")</f>
        <v>PHP</v>
      </c>
      <c r="M3758" s="9" t="s">
        <v>26</v>
      </c>
    </row>
    <row r="3759" ht="15.75" customHeight="1">
      <c r="A3759" s="7"/>
      <c r="B3759" s="7" t="str">
        <f>IFERROR(__xludf.DUMMYFUNCTION("""COMPUTED_VALUE"""),"Bash/Shell/PowerShell;C++;Java;JavaScript;Kotlin;Python")</f>
        <v>Bash/Shell/PowerShell;C++;Java;JavaScript;Kotlin;Python</v>
      </c>
      <c r="C3759" s="9" t="str">
        <f>IFERROR(__xludf.DUMMYFUNCTION("""COMPUTED_VALUE"""),"HTML/CSS")</f>
        <v>HTML/CSS</v>
      </c>
      <c r="D3759" s="9" t="str">
        <f>IFERROR(__xludf.DUMMYFUNCTION("""COMPUTED_VALUE"""),"Objective-C")</f>
        <v>Objective-C</v>
      </c>
      <c r="E3759" s="9" t="str">
        <f>IFERROR(__xludf.DUMMYFUNCTION("""COMPUTED_VALUE"""),"HTML/CSS")</f>
        <v>HTML/CSS</v>
      </c>
      <c r="F3759" s="9" t="str">
        <f>IFERROR(__xludf.DUMMYFUNCTION("""COMPUTED_VALUE"""),"C#")</f>
        <v>C#</v>
      </c>
      <c r="G3759" s="9" t="str">
        <f>IFERROR(__xludf.DUMMYFUNCTION("""COMPUTED_VALUE"""),"PHP")</f>
        <v>PHP</v>
      </c>
      <c r="H3759" s="9" t="str">
        <f>IFERROR(__xludf.DUMMYFUNCTION("""COMPUTED_VALUE"""),"VBA")</f>
        <v>VBA</v>
      </c>
      <c r="I3759" s="9" t="str">
        <f>IFERROR(__xludf.DUMMYFUNCTION("""COMPUTED_VALUE"""),"Python")</f>
        <v>Python</v>
      </c>
      <c r="J3759" s="9" t="str">
        <f>IFERROR(__xludf.DUMMYFUNCTION("""COMPUTED_VALUE"""),"HTML/CSS")</f>
        <v>HTML/CSS</v>
      </c>
      <c r="K3759" s="9" t="str">
        <f>IFERROR(__xludf.DUMMYFUNCTION("""COMPUTED_VALUE"""),"Python")</f>
        <v>Python</v>
      </c>
      <c r="L3759" s="9" t="str">
        <f>IFERROR(__xludf.DUMMYFUNCTION("""COMPUTED_VALUE"""),"Python")</f>
        <v>Python</v>
      </c>
      <c r="M3759" s="9" t="s">
        <v>24</v>
      </c>
    </row>
    <row r="3760" ht="15.75" customHeight="1">
      <c r="A3760" s="7"/>
      <c r="B3760" s="7" t="str">
        <f>IFERROR(__xludf.DUMMYFUNCTION("""COMPUTED_VALUE"""),"C#;Python")</f>
        <v>C#;Python</v>
      </c>
      <c r="C3760" s="9" t="str">
        <f>IFERROR(__xludf.DUMMYFUNCTION("""COMPUTED_VALUE"""),"JavaScript")</f>
        <v>JavaScript</v>
      </c>
      <c r="D3760" s="9" t="str">
        <f>IFERROR(__xludf.DUMMYFUNCTION("""COMPUTED_VALUE"""),"Python")</f>
        <v>Python</v>
      </c>
      <c r="E3760" s="9" t="str">
        <f>IFERROR(__xludf.DUMMYFUNCTION("""COMPUTED_VALUE"""),"Java")</f>
        <v>Java</v>
      </c>
      <c r="F3760" s="9" t="str">
        <f>IFERROR(__xludf.DUMMYFUNCTION("""COMPUTED_VALUE"""),"Bash/Shell/PowerShell")</f>
        <v>Bash/Shell/PowerShell</v>
      </c>
      <c r="G3760" s="9" t="str">
        <f>IFERROR(__xludf.DUMMYFUNCTION("""COMPUTED_VALUE"""),"SQL")</f>
        <v>SQL</v>
      </c>
      <c r="H3760" s="9" t="str">
        <f>IFERROR(__xludf.DUMMYFUNCTION("""COMPUTED_VALUE"""),"Bash/Shell/PowerShell")</f>
        <v>Bash/Shell/PowerShell</v>
      </c>
      <c r="I3760" s="9" t="str">
        <f>IFERROR(__xludf.DUMMYFUNCTION("""COMPUTED_VALUE"""),"Rust")</f>
        <v>Rust</v>
      </c>
      <c r="J3760" s="9" t="str">
        <f>IFERROR(__xludf.DUMMYFUNCTION("""COMPUTED_VALUE"""),"JavaScript")</f>
        <v>JavaScript</v>
      </c>
      <c r="K3760" s="9" t="str">
        <f>IFERROR(__xludf.DUMMYFUNCTION("""COMPUTED_VALUE"""),"SQL")</f>
        <v>SQL</v>
      </c>
      <c r="L3760" s="9" t="str">
        <f>IFERROR(__xludf.DUMMYFUNCTION("""COMPUTED_VALUE"""),"Ruby")</f>
        <v>Ruby</v>
      </c>
      <c r="M3760" s="9" t="s">
        <v>21</v>
      </c>
    </row>
    <row r="3761" ht="15.75" customHeight="1">
      <c r="A3761" s="7"/>
      <c r="B3761" s="7" t="str">
        <f>IFERROR(__xludf.DUMMYFUNCTION("""COMPUTED_VALUE"""),"Java")</f>
        <v>Java</v>
      </c>
      <c r="C3761" s="9" t="str">
        <f>IFERROR(__xludf.DUMMYFUNCTION("""COMPUTED_VALUE"""),"SQL")</f>
        <v>SQL</v>
      </c>
      <c r="D3761" s="9" t="str">
        <f>IFERROR(__xludf.DUMMYFUNCTION("""COMPUTED_VALUE"""),"Swift")</f>
        <v>Swift</v>
      </c>
      <c r="E3761" s="9" t="str">
        <f>IFERROR(__xludf.DUMMYFUNCTION("""COMPUTED_VALUE"""),"JavaScript")</f>
        <v>JavaScript</v>
      </c>
      <c r="F3761" s="9" t="str">
        <f>IFERROR(__xludf.DUMMYFUNCTION("""COMPUTED_VALUE"""),"C")</f>
        <v>C</v>
      </c>
      <c r="G3761" s="9" t="str">
        <f>IFERROR(__xludf.DUMMYFUNCTION("""COMPUTED_VALUE"""),"VBA")</f>
        <v>VBA</v>
      </c>
      <c r="H3761" s="9" t="str">
        <f>IFERROR(__xludf.DUMMYFUNCTION("""COMPUTED_VALUE"""),"Clojure")</f>
        <v>Clojure</v>
      </c>
      <c r="I3761" s="9" t="str">
        <f>IFERROR(__xludf.DUMMYFUNCTION("""COMPUTED_VALUE"""),"HTML/CSS")</f>
        <v>HTML/CSS</v>
      </c>
      <c r="J3761" s="9" t="str">
        <f>IFERROR(__xludf.DUMMYFUNCTION("""COMPUTED_VALUE"""),"PHP")</f>
        <v>PHP</v>
      </c>
      <c r="K3761" s="9" t="str">
        <f>IFERROR(__xludf.DUMMYFUNCTION("""COMPUTED_VALUE"""),"C#")</f>
        <v>C#</v>
      </c>
      <c r="L3761" s="9" t="str">
        <f>IFERROR(__xludf.DUMMYFUNCTION("""COMPUTED_VALUE"""),"SQL")</f>
        <v>SQL</v>
      </c>
      <c r="M3761" s="9" t="s">
        <v>27</v>
      </c>
    </row>
    <row r="3762" ht="15.75" customHeight="1">
      <c r="A3762" s="7"/>
      <c r="B3762" s="7" t="str">
        <f>IFERROR(__xludf.DUMMYFUNCTION("""COMPUTED_VALUE"""),"Python;R;SQL")</f>
        <v>Python;R;SQL</v>
      </c>
      <c r="C3762" s="9" t="str">
        <f>IFERROR(__xludf.DUMMYFUNCTION("""COMPUTED_VALUE"""),"Python")</f>
        <v>Python</v>
      </c>
      <c r="D3762" s="9" t="str">
        <f>IFERROR(__xludf.DUMMYFUNCTION("""COMPUTED_VALUE"""),"C#")</f>
        <v>C#</v>
      </c>
      <c r="E3762" s="9" t="str">
        <f>IFERROR(__xludf.DUMMYFUNCTION("""COMPUTED_VALUE"""),"SQL")</f>
        <v>SQL</v>
      </c>
      <c r="F3762" s="9" t="str">
        <f>IFERROR(__xludf.DUMMYFUNCTION("""COMPUTED_VALUE"""),"C++")</f>
        <v>C++</v>
      </c>
      <c r="G3762" s="9" t="str">
        <f>IFERROR(__xludf.DUMMYFUNCTION("""COMPUTED_VALUE"""),"Assembly")</f>
        <v>Assembly</v>
      </c>
      <c r="H3762" s="9" t="str">
        <f>IFERROR(__xludf.DUMMYFUNCTION("""COMPUTED_VALUE"""),"Dart")</f>
        <v>Dart</v>
      </c>
      <c r="I3762" s="9" t="str">
        <f>IFERROR(__xludf.DUMMYFUNCTION("""COMPUTED_VALUE"""),"JavaScript")</f>
        <v>JavaScript</v>
      </c>
      <c r="J3762" s="9" t="str">
        <f>IFERROR(__xludf.DUMMYFUNCTION("""COMPUTED_VALUE"""),"SQL")</f>
        <v>SQL</v>
      </c>
      <c r="K3762" s="9" t="str">
        <f>IFERROR(__xludf.DUMMYFUNCTION("""COMPUTED_VALUE"""),"Python")</f>
        <v>Python</v>
      </c>
      <c r="L3762" s="9" t="str">
        <f>IFERROR(__xludf.DUMMYFUNCTION("""COMPUTED_VALUE"""),"Bash/Shell/PowerShell")</f>
        <v>Bash/Shell/PowerShell</v>
      </c>
      <c r="M3762" s="9" t="s">
        <v>22</v>
      </c>
    </row>
    <row r="3763" ht="15.75" customHeight="1">
      <c r="A3763" s="7"/>
      <c r="B3763" s="7" t="str">
        <f>IFERROR(__xludf.DUMMYFUNCTION("""COMPUTED_VALUE"""),"C++;HTML/CSS;JavaScript;Python")</f>
        <v>C++;HTML/CSS;JavaScript;Python</v>
      </c>
      <c r="C3763" s="9" t="str">
        <f>IFERROR(__xludf.DUMMYFUNCTION("""COMPUTED_VALUE"""),"Rust")</f>
        <v>Rust</v>
      </c>
      <c r="D3763" s="9" t="str">
        <f>IFERROR(__xludf.DUMMYFUNCTION("""COMPUTED_VALUE"""),"HTML/CSS")</f>
        <v>HTML/CSS</v>
      </c>
      <c r="E3763" s="9" t="str">
        <f>IFERROR(__xludf.DUMMYFUNCTION("""COMPUTED_VALUE"""),"Bash/Shell/PowerShell")</f>
        <v>Bash/Shell/PowerShell</v>
      </c>
      <c r="F3763" s="9" t="str">
        <f>IFERROR(__xludf.DUMMYFUNCTION("""COMPUTED_VALUE"""),"C#")</f>
        <v>C#</v>
      </c>
      <c r="G3763" s="9" t="str">
        <f>IFERROR(__xludf.DUMMYFUNCTION("""COMPUTED_VALUE"""),"C")</f>
        <v>C</v>
      </c>
      <c r="H3763" s="9" t="str">
        <f>IFERROR(__xludf.DUMMYFUNCTION("""COMPUTED_VALUE"""),"Go")</f>
        <v>Go</v>
      </c>
      <c r="I3763" s="9" t="str">
        <f>IFERROR(__xludf.DUMMYFUNCTION("""COMPUTED_VALUE"""),"C++")</f>
        <v>C++</v>
      </c>
      <c r="J3763" s="9" t="str">
        <f>IFERROR(__xludf.DUMMYFUNCTION("""COMPUTED_VALUE"""),"TypeScript")</f>
        <v>TypeScript</v>
      </c>
      <c r="K3763" s="9" t="str">
        <f>IFERROR(__xludf.DUMMYFUNCTION("""COMPUTED_VALUE"""),"SQL")</f>
        <v>SQL</v>
      </c>
      <c r="L3763" s="9" t="str">
        <f>IFERROR(__xludf.DUMMYFUNCTION("""COMPUTED_VALUE"""),"Python")</f>
        <v>Python</v>
      </c>
      <c r="M3763" s="9" t="s">
        <v>32</v>
      </c>
    </row>
    <row r="3764" ht="15.75" customHeight="1">
      <c r="A3764" s="7"/>
      <c r="B3764" s="7" t="str">
        <f>IFERROR(__xludf.DUMMYFUNCTION("""COMPUTED_VALUE"""),"HTML/CSS;JavaScript;PHP;SQL")</f>
        <v>HTML/CSS;JavaScript;PHP;SQL</v>
      </c>
      <c r="C3764" s="9" t="str">
        <f>IFERROR(__xludf.DUMMYFUNCTION("""COMPUTED_VALUE"""),"TypeScript")</f>
        <v>TypeScript</v>
      </c>
      <c r="D3764" s="9" t="str">
        <f>IFERROR(__xludf.DUMMYFUNCTION("""COMPUTED_VALUE"""),"JavaScript")</f>
        <v>JavaScript</v>
      </c>
      <c r="E3764" s="9" t="str">
        <f>IFERROR(__xludf.DUMMYFUNCTION("""COMPUTED_VALUE"""),"C#")</f>
        <v>C#</v>
      </c>
      <c r="F3764" s="9" t="str">
        <f>IFERROR(__xludf.DUMMYFUNCTION("""COMPUTED_VALUE"""),"Elixir")</f>
        <v>Elixir</v>
      </c>
      <c r="G3764" s="9" t="str">
        <f>IFERROR(__xludf.DUMMYFUNCTION("""COMPUTED_VALUE"""),"C++")</f>
        <v>C++</v>
      </c>
      <c r="H3764" s="9" t="str">
        <f>IFERROR(__xludf.DUMMYFUNCTION("""COMPUTED_VALUE"""),"HTML/CSS")</f>
        <v>HTML/CSS</v>
      </c>
      <c r="I3764" s="9" t="str">
        <f>IFERROR(__xludf.DUMMYFUNCTION("""COMPUTED_VALUE"""),"Java")</f>
        <v>Java</v>
      </c>
      <c r="J3764" s="9" t="str">
        <f>IFERROR(__xludf.DUMMYFUNCTION("""COMPUTED_VALUE"""),"Bash/Shell/PowerShell")</f>
        <v>Bash/Shell/PowerShell</v>
      </c>
      <c r="K3764" s="9" t="str">
        <f>IFERROR(__xludf.DUMMYFUNCTION("""COMPUTED_VALUE"""),"Bash/Shell/PowerShell")</f>
        <v>Bash/Shell/PowerShell</v>
      </c>
      <c r="L3764" s="9" t="str">
        <f>IFERROR(__xludf.DUMMYFUNCTION("""COMPUTED_VALUE"""),"SQL")</f>
        <v>SQL</v>
      </c>
      <c r="M3764" s="9" t="s">
        <v>33</v>
      </c>
    </row>
    <row r="3765" ht="15.75" customHeight="1">
      <c r="A3765" s="7"/>
      <c r="B3765" s="7" t="str">
        <f>IFERROR(__xludf.DUMMYFUNCTION("""COMPUTED_VALUE"""),"Java;SQL")</f>
        <v>Java;SQL</v>
      </c>
      <c r="C3765" s="9" t="str">
        <f>IFERROR(__xludf.DUMMYFUNCTION("""COMPUTED_VALUE"""),"C#")</f>
        <v>C#</v>
      </c>
      <c r="D3765" s="9" t="str">
        <f>IFERROR(__xludf.DUMMYFUNCTION("""COMPUTED_VALUE"""),"SQL")</f>
        <v>SQL</v>
      </c>
      <c r="E3765" s="9" t="str">
        <f>IFERROR(__xludf.DUMMYFUNCTION("""COMPUTED_VALUE"""),"HTML/CSS")</f>
        <v>HTML/CSS</v>
      </c>
      <c r="F3765" s="9" t="str">
        <f>IFERROR(__xludf.DUMMYFUNCTION("""COMPUTED_VALUE"""),"Erlang")</f>
        <v>Erlang</v>
      </c>
      <c r="G3765" s="9" t="str">
        <f>IFERROR(__xludf.DUMMYFUNCTION("""COMPUTED_VALUE"""),"HTML/CSS")</f>
        <v>HTML/CSS</v>
      </c>
      <c r="H3765" s="9" t="str">
        <f>IFERROR(__xludf.DUMMYFUNCTION("""COMPUTED_VALUE"""),"Java")</f>
        <v>Java</v>
      </c>
      <c r="I3765" s="9" t="str">
        <f>IFERROR(__xludf.DUMMYFUNCTION("""COMPUTED_VALUE"""),"Python")</f>
        <v>Python</v>
      </c>
      <c r="J3765" s="9" t="str">
        <f>IFERROR(__xludf.DUMMYFUNCTION("""COMPUTED_VALUE"""),"HTML/CSS")</f>
        <v>HTML/CSS</v>
      </c>
      <c r="K3765" s="9" t="str">
        <f>IFERROR(__xludf.DUMMYFUNCTION("""COMPUTED_VALUE"""),"HTML/CSS")</f>
        <v>HTML/CSS</v>
      </c>
      <c r="L3765" s="9" t="str">
        <f>IFERROR(__xludf.DUMMYFUNCTION("""COMPUTED_VALUE"""),"Other(s):")</f>
        <v>Other(s):</v>
      </c>
      <c r="M3765" s="9" t="s">
        <v>26</v>
      </c>
    </row>
    <row r="3766" ht="15.75" customHeight="1">
      <c r="A3766" s="7"/>
      <c r="B3766" s="7" t="str">
        <f>IFERROR(__xludf.DUMMYFUNCTION("""COMPUTED_VALUE"""),"HTML/CSS;JavaScript;R;SQL")</f>
        <v>HTML/CSS;JavaScript;R;SQL</v>
      </c>
      <c r="C3766" s="9" t="str">
        <f>IFERROR(__xludf.DUMMYFUNCTION("""COMPUTED_VALUE"""),"HTML/CSS")</f>
        <v>HTML/CSS</v>
      </c>
      <c r="D3766" s="9" t="str">
        <f>IFERROR(__xludf.DUMMYFUNCTION("""COMPUTED_VALUE"""),"Other(s):")</f>
        <v>Other(s):</v>
      </c>
      <c r="E3766" s="9" t="str">
        <f>IFERROR(__xludf.DUMMYFUNCTION("""COMPUTED_VALUE"""),"JavaScript")</f>
        <v>JavaScript</v>
      </c>
      <c r="F3766" s="9" t="str">
        <f>IFERROR(__xludf.DUMMYFUNCTION("""COMPUTED_VALUE"""),"Go")</f>
        <v>Go</v>
      </c>
      <c r="G3766" s="9" t="str">
        <f>IFERROR(__xludf.DUMMYFUNCTION("""COMPUTED_VALUE"""),"Java")</f>
        <v>Java</v>
      </c>
      <c r="H3766" s="9" t="str">
        <f>IFERROR(__xludf.DUMMYFUNCTION("""COMPUTED_VALUE"""),"Python")</f>
        <v>Python</v>
      </c>
      <c r="I3766" s="9" t="str">
        <f>IFERROR(__xludf.DUMMYFUNCTION("""COMPUTED_VALUE"""),"Rust")</f>
        <v>Rust</v>
      </c>
      <c r="J3766" s="9" t="str">
        <f>IFERROR(__xludf.DUMMYFUNCTION("""COMPUTED_VALUE"""),"Java")</f>
        <v>Java</v>
      </c>
      <c r="K3766" s="9" t="str">
        <f>IFERROR(__xludf.DUMMYFUNCTION("""COMPUTED_VALUE"""),"Java")</f>
        <v>Java</v>
      </c>
      <c r="L3766" s="9" t="str">
        <f>IFERROR(__xludf.DUMMYFUNCTION("""COMPUTED_VALUE"""),"Assembly")</f>
        <v>Assembly</v>
      </c>
      <c r="M3766" s="9" t="s">
        <v>24</v>
      </c>
    </row>
    <row r="3767" ht="15.75" customHeight="1">
      <c r="A3767" s="7"/>
      <c r="B3767" s="7" t="str">
        <f>IFERROR(__xludf.DUMMYFUNCTION("""COMPUTED_VALUE"""),"C#;HTML/CSS")</f>
        <v>C#;HTML/CSS</v>
      </c>
      <c r="C3767" s="9" t="str">
        <f>IFERROR(__xludf.DUMMYFUNCTION("""COMPUTED_VALUE"""),"JavaScript")</f>
        <v>JavaScript</v>
      </c>
      <c r="D3767" s="9" t="str">
        <f>IFERROR(__xludf.DUMMYFUNCTION("""COMPUTED_VALUE"""),"HTML/CSS")</f>
        <v>HTML/CSS</v>
      </c>
      <c r="E3767" s="9" t="str">
        <f>IFERROR(__xludf.DUMMYFUNCTION("""COMPUTED_VALUE"""),"PHP")</f>
        <v>PHP</v>
      </c>
      <c r="F3767" s="9" t="str">
        <f>IFERROR(__xludf.DUMMYFUNCTION("""COMPUTED_VALUE"""),"HTML/CSS")</f>
        <v>HTML/CSS</v>
      </c>
      <c r="G3767" s="9" t="str">
        <f>IFERROR(__xludf.DUMMYFUNCTION("""COMPUTED_VALUE"""),"JavaScript")</f>
        <v>JavaScript</v>
      </c>
      <c r="H3767" s="9" t="str">
        <f>IFERROR(__xludf.DUMMYFUNCTION("""COMPUTED_VALUE"""),"C#")</f>
        <v>C#</v>
      </c>
      <c r="I3767" s="9" t="str">
        <f>IFERROR(__xludf.DUMMYFUNCTION("""COMPUTED_VALUE"""),"C++")</f>
        <v>C++</v>
      </c>
      <c r="J3767" s="9" t="str">
        <f>IFERROR(__xludf.DUMMYFUNCTION("""COMPUTED_VALUE"""),"Python")</f>
        <v>Python</v>
      </c>
      <c r="K3767" s="9" t="str">
        <f>IFERROR(__xludf.DUMMYFUNCTION("""COMPUTED_VALUE"""),"JavaScript")</f>
        <v>JavaScript</v>
      </c>
      <c r="L3767" s="9" t="str">
        <f>IFERROR(__xludf.DUMMYFUNCTION("""COMPUTED_VALUE"""),"Bash/Shell/PowerShell")</f>
        <v>Bash/Shell/PowerShell</v>
      </c>
      <c r="M3767" s="9" t="s">
        <v>21</v>
      </c>
    </row>
    <row r="3768" ht="15.75" customHeight="1">
      <c r="A3768" s="7"/>
      <c r="B3768" s="7" t="str">
        <f>IFERROR(__xludf.DUMMYFUNCTION("""COMPUTED_VALUE"""),"C;C++;C#;HTML/CSS;Java;JavaScript;PHP;Python;R;Ruby;SQL")</f>
        <v>C;C++;C#;HTML/CSS;Java;JavaScript;PHP;Python;R;Ruby;SQL</v>
      </c>
      <c r="C3768" s="9" t="str">
        <f>IFERROR(__xludf.DUMMYFUNCTION("""COMPUTED_VALUE"""),"SQL")</f>
        <v>SQL</v>
      </c>
      <c r="D3768" s="9" t="str">
        <f>IFERROR(__xludf.DUMMYFUNCTION("""COMPUTED_VALUE"""),"Java")</f>
        <v>Java</v>
      </c>
      <c r="E3768" s="9" t="str">
        <f>IFERROR(__xludf.DUMMYFUNCTION("""COMPUTED_VALUE"""),"Python")</f>
        <v>Python</v>
      </c>
      <c r="F3768" s="9" t="str">
        <f>IFERROR(__xludf.DUMMYFUNCTION("""COMPUTED_VALUE"""),"JavaScript")</f>
        <v>JavaScript</v>
      </c>
      <c r="G3768" s="9" t="str">
        <f>IFERROR(__xludf.DUMMYFUNCTION("""COMPUTED_VALUE"""),"PHP")</f>
        <v>PHP</v>
      </c>
      <c r="H3768" s="9" t="str">
        <f>IFERROR(__xludf.DUMMYFUNCTION("""COMPUTED_VALUE"""),"HTML/CSS")</f>
        <v>HTML/CSS</v>
      </c>
      <c r="I3768" s="9" t="str">
        <f>IFERROR(__xludf.DUMMYFUNCTION("""COMPUTED_VALUE"""),"C#")</f>
        <v>C#</v>
      </c>
      <c r="J3768" s="9" t="str">
        <f>IFERROR(__xludf.DUMMYFUNCTION("""COMPUTED_VALUE"""),"SQL")</f>
        <v>SQL</v>
      </c>
      <c r="K3768" s="9" t="str">
        <f>IFERROR(__xludf.DUMMYFUNCTION("""COMPUTED_VALUE"""),"Python")</f>
        <v>Python</v>
      </c>
      <c r="L3768" s="9" t="str">
        <f>IFERROR(__xludf.DUMMYFUNCTION("""COMPUTED_VALUE"""),"C")</f>
        <v>C</v>
      </c>
      <c r="M3768" s="9" t="s">
        <v>27</v>
      </c>
    </row>
    <row r="3769" ht="15.75" customHeight="1">
      <c r="A3769" s="7"/>
      <c r="B3769" s="7" t="str">
        <f>IFERROR(__xludf.DUMMYFUNCTION("""COMPUTED_VALUE"""),"Bash/Shell/PowerShell;HTML/CSS;Java;JavaScript;Kotlin;Python;Rust;TypeScript;Other(s):")</f>
        <v>Bash/Shell/PowerShell;HTML/CSS;Java;JavaScript;Kotlin;Python;Rust;TypeScript;Other(s):</v>
      </c>
      <c r="C3769" s="9" t="str">
        <f>IFERROR(__xludf.DUMMYFUNCTION("""COMPUTED_VALUE"""),"Java")</f>
        <v>Java</v>
      </c>
      <c r="D3769" s="9" t="str">
        <f>IFERROR(__xludf.DUMMYFUNCTION("""COMPUTED_VALUE"""),"JavaScript")</f>
        <v>JavaScript</v>
      </c>
      <c r="E3769" s="9" t="str">
        <f>IFERROR(__xludf.DUMMYFUNCTION("""COMPUTED_VALUE"""),"SQL")</f>
        <v>SQL</v>
      </c>
      <c r="F3769" s="9" t="str">
        <f>IFERROR(__xludf.DUMMYFUNCTION("""COMPUTED_VALUE"""),"PHP")</f>
        <v>PHP</v>
      </c>
      <c r="G3769" s="9" t="str">
        <f>IFERROR(__xludf.DUMMYFUNCTION("""COMPUTED_VALUE"""),"Python")</f>
        <v>Python</v>
      </c>
      <c r="H3769" s="9" t="str">
        <f>IFERROR(__xludf.DUMMYFUNCTION("""COMPUTED_VALUE"""),"JavaScript")</f>
        <v>JavaScript</v>
      </c>
      <c r="I3769" s="9" t="str">
        <f>IFERROR(__xludf.DUMMYFUNCTION("""COMPUTED_VALUE"""),"HTML/CSS")</f>
        <v>HTML/CSS</v>
      </c>
      <c r="J3769" s="9" t="str">
        <f>IFERROR(__xludf.DUMMYFUNCTION("""COMPUTED_VALUE"""),"C")</f>
        <v>C</v>
      </c>
      <c r="K3769" s="9" t="str">
        <f>IFERROR(__xludf.DUMMYFUNCTION("""COMPUTED_VALUE"""),"Rust")</f>
        <v>Rust</v>
      </c>
      <c r="L3769" s="9" t="str">
        <f>IFERROR(__xludf.DUMMYFUNCTION("""COMPUTED_VALUE"""),"C++")</f>
        <v>C++</v>
      </c>
      <c r="M3769" s="9" t="s">
        <v>20</v>
      </c>
    </row>
    <row r="3770" ht="15.75" customHeight="1">
      <c r="A3770" s="7"/>
      <c r="B3770" s="7" t="str">
        <f>IFERROR(__xludf.DUMMYFUNCTION("""COMPUTED_VALUE"""),"C#;HTML/CSS;SQL")</f>
        <v>C#;HTML/CSS;SQL</v>
      </c>
      <c r="C3770" s="9" t="str">
        <f>IFERROR(__xludf.DUMMYFUNCTION("""COMPUTED_VALUE"""),"JavaScript")</f>
        <v>JavaScript</v>
      </c>
      <c r="D3770" s="9" t="str">
        <f>IFERROR(__xludf.DUMMYFUNCTION("""COMPUTED_VALUE"""),"PHP")</f>
        <v>PHP</v>
      </c>
      <c r="E3770" s="9" t="str">
        <f>IFERROR(__xludf.DUMMYFUNCTION("""COMPUTED_VALUE"""),"VBA")</f>
        <v>VBA</v>
      </c>
      <c r="F3770" s="9" t="str">
        <f>IFERROR(__xludf.DUMMYFUNCTION("""COMPUTED_VALUE"""),"Rust")</f>
        <v>Rust</v>
      </c>
      <c r="G3770" s="9" t="str">
        <f>IFERROR(__xludf.DUMMYFUNCTION("""COMPUTED_VALUE"""),"SQL")</f>
        <v>SQL</v>
      </c>
      <c r="H3770" s="9" t="str">
        <f>IFERROR(__xludf.DUMMYFUNCTION("""COMPUTED_VALUE"""),"Kotlin")</f>
        <v>Kotlin</v>
      </c>
      <c r="I3770" s="9" t="str">
        <f>IFERROR(__xludf.DUMMYFUNCTION("""COMPUTED_VALUE"""),"Java")</f>
        <v>Java</v>
      </c>
      <c r="J3770" s="9" t="str">
        <f>IFERROR(__xludf.DUMMYFUNCTION("""COMPUTED_VALUE"""),"Java")</f>
        <v>Java</v>
      </c>
      <c r="K3770" s="9" t="str">
        <f>IFERROR(__xludf.DUMMYFUNCTION("""COMPUTED_VALUE"""),"SQL")</f>
        <v>SQL</v>
      </c>
      <c r="L3770" s="9" t="str">
        <f>IFERROR(__xludf.DUMMYFUNCTION("""COMPUTED_VALUE"""),"C#")</f>
        <v>C#</v>
      </c>
      <c r="M3770" s="9" t="s">
        <v>21</v>
      </c>
    </row>
    <row r="3771" ht="15.75" customHeight="1">
      <c r="A3771" s="7"/>
      <c r="B3771" s="7" t="str">
        <f>IFERROR(__xludf.DUMMYFUNCTION("""COMPUTED_VALUE"""),"HTML/CSS;JavaScript;Python")</f>
        <v>HTML/CSS;JavaScript;Python</v>
      </c>
      <c r="C3771" s="9" t="str">
        <f>IFERROR(__xludf.DUMMYFUNCTION("""COMPUTED_VALUE"""),"Ruby")</f>
        <v>Ruby</v>
      </c>
      <c r="D3771" s="9" t="str">
        <f>IFERROR(__xludf.DUMMYFUNCTION("""COMPUTED_VALUE"""),"Ruby")</f>
        <v>Ruby</v>
      </c>
      <c r="E3771" s="9" t="str">
        <f>IFERROR(__xludf.DUMMYFUNCTION("""COMPUTED_VALUE"""),"Bash/Shell/PowerShell")</f>
        <v>Bash/Shell/PowerShell</v>
      </c>
      <c r="F3771" s="9" t="str">
        <f>IFERROR(__xludf.DUMMYFUNCTION("""COMPUTED_VALUE"""),"SQL")</f>
        <v>SQL</v>
      </c>
      <c r="G3771" s="9" t="str">
        <f>IFERROR(__xludf.DUMMYFUNCTION("""COMPUTED_VALUE"""),"Bash/Shell/PowerShell")</f>
        <v>Bash/Shell/PowerShell</v>
      </c>
      <c r="H3771" s="9" t="str">
        <f>IFERROR(__xludf.DUMMYFUNCTION("""COMPUTED_VALUE"""),"C")</f>
        <v>C</v>
      </c>
      <c r="I3771" s="9" t="str">
        <f>IFERROR(__xludf.DUMMYFUNCTION("""COMPUTED_VALUE"""),"JavaScript")</f>
        <v>JavaScript</v>
      </c>
      <c r="J3771" s="9" t="str">
        <f>IFERROR(__xludf.DUMMYFUNCTION("""COMPUTED_VALUE"""),"Python")</f>
        <v>Python</v>
      </c>
      <c r="K3771" s="9" t="str">
        <f>IFERROR(__xludf.DUMMYFUNCTION("""COMPUTED_VALUE"""),"TypeScript")</f>
        <v>TypeScript</v>
      </c>
      <c r="L3771" s="9" t="str">
        <f>IFERROR(__xludf.DUMMYFUNCTION("""COMPUTED_VALUE"""),"HTML/CSS")</f>
        <v>HTML/CSS</v>
      </c>
      <c r="M3771" s="9" t="s">
        <v>31</v>
      </c>
    </row>
    <row r="3772" ht="15.75" customHeight="1">
      <c r="A3772" s="7"/>
      <c r="B3772" s="7" t="str">
        <f>IFERROR(__xludf.DUMMYFUNCTION("""COMPUTED_VALUE"""),"Assembly;Bash/Shell/PowerShell;Go;JavaScript;Python;Scala")</f>
        <v>Assembly;Bash/Shell/PowerShell;Go;JavaScript;Python;Scala</v>
      </c>
      <c r="C3772" s="9" t="str">
        <f>IFERROR(__xludf.DUMMYFUNCTION("""COMPUTED_VALUE"""),"HTML/CSS")</f>
        <v>HTML/CSS</v>
      </c>
      <c r="D3772" s="9" t="str">
        <f>IFERROR(__xludf.DUMMYFUNCTION("""COMPUTED_VALUE"""),"SQL")</f>
        <v>SQL</v>
      </c>
      <c r="E3772" s="9" t="str">
        <f>IFERROR(__xludf.DUMMYFUNCTION("""COMPUTED_VALUE"""),"Clojure")</f>
        <v>Clojure</v>
      </c>
      <c r="F3772" s="9" t="str">
        <f>IFERROR(__xludf.DUMMYFUNCTION("""COMPUTED_VALUE"""),"WebAssembly")</f>
        <v>WebAssembly</v>
      </c>
      <c r="G3772" s="9" t="str">
        <f>IFERROR(__xludf.DUMMYFUNCTION("""COMPUTED_VALUE"""),"C#")</f>
        <v>C#</v>
      </c>
      <c r="H3772" s="9" t="str">
        <f>IFERROR(__xludf.DUMMYFUNCTION("""COMPUTED_VALUE"""),"C++")</f>
        <v>C++</v>
      </c>
      <c r="I3772" s="9" t="str">
        <f>IFERROR(__xludf.DUMMYFUNCTION("""COMPUTED_VALUE"""),"Kotlin")</f>
        <v>Kotlin</v>
      </c>
      <c r="J3772" s="9" t="str">
        <f>IFERROR(__xludf.DUMMYFUNCTION("""COMPUTED_VALUE"""),"R")</f>
        <v>R</v>
      </c>
      <c r="K3772" s="9" t="str">
        <f>IFERROR(__xludf.DUMMYFUNCTION("""COMPUTED_VALUE"""),"C")</f>
        <v>C</v>
      </c>
      <c r="L3772" s="9" t="str">
        <f>IFERROR(__xludf.DUMMYFUNCTION("""COMPUTED_VALUE"""),"JavaScript")</f>
        <v>JavaScript</v>
      </c>
      <c r="M3772" s="9" t="s">
        <v>24</v>
      </c>
    </row>
    <row r="3773" ht="15.75" customHeight="1">
      <c r="A3773" s="7"/>
      <c r="B3773" s="7" t="str">
        <f>IFERROR(__xludf.DUMMYFUNCTION("""COMPUTED_VALUE"""),"HTML/CSS;JavaScript;PHP;Python;SQL;Other(s):")</f>
        <v>HTML/CSS;JavaScript;PHP;Python;SQL;Other(s):</v>
      </c>
      <c r="C3773" s="9" t="str">
        <f>IFERROR(__xludf.DUMMYFUNCTION("""COMPUTED_VALUE"""),"JavaScript")</f>
        <v>JavaScript</v>
      </c>
      <c r="D3773" s="9" t="str">
        <f>IFERROR(__xludf.DUMMYFUNCTION("""COMPUTED_VALUE"""),"HTML/CSS")</f>
        <v>HTML/CSS</v>
      </c>
      <c r="E3773" s="9" t="str">
        <f>IFERROR(__xludf.DUMMYFUNCTION("""COMPUTED_VALUE"""),"Go")</f>
        <v>Go</v>
      </c>
      <c r="F3773" s="9" t="str">
        <f>IFERROR(__xludf.DUMMYFUNCTION("""COMPUTED_VALUE"""),"C#")</f>
        <v>C#</v>
      </c>
      <c r="G3773" s="9" t="str">
        <f>IFERROR(__xludf.DUMMYFUNCTION("""COMPUTED_VALUE"""),"HTML/CSS")</f>
        <v>HTML/CSS</v>
      </c>
      <c r="H3773" s="9" t="str">
        <f>IFERROR(__xludf.DUMMYFUNCTION("""COMPUTED_VALUE"""),"C#")</f>
        <v>C#</v>
      </c>
      <c r="I3773" s="9" t="str">
        <f>IFERROR(__xludf.DUMMYFUNCTION("""COMPUTED_VALUE"""),"PHP")</f>
        <v>PHP</v>
      </c>
      <c r="J3773" s="9" t="str">
        <f>IFERROR(__xludf.DUMMYFUNCTION("""COMPUTED_VALUE"""),"VBA")</f>
        <v>VBA</v>
      </c>
      <c r="K3773" s="9" t="str">
        <f>IFERROR(__xludf.DUMMYFUNCTION("""COMPUTED_VALUE"""),"C++")</f>
        <v>C++</v>
      </c>
      <c r="L3773" s="9" t="str">
        <f>IFERROR(__xludf.DUMMYFUNCTION("""COMPUTED_VALUE"""),"PHP")</f>
        <v>PHP</v>
      </c>
      <c r="M3773" s="9" t="s">
        <v>21</v>
      </c>
    </row>
    <row r="3774" ht="15.75" customHeight="1">
      <c r="A3774" s="7"/>
      <c r="B3774" s="7" t="str">
        <f>IFERROR(__xludf.DUMMYFUNCTION("""COMPUTED_VALUE"""),"C#;HTML/CSS;JavaScript;PHP;SQL;VBA")</f>
        <v>C#;HTML/CSS;JavaScript;PHP;SQL;VBA</v>
      </c>
      <c r="C3774" s="9" t="str">
        <f>IFERROR(__xludf.DUMMYFUNCTION("""COMPUTED_VALUE"""),"PHP")</f>
        <v>PHP</v>
      </c>
      <c r="D3774" s="9" t="str">
        <f>IFERROR(__xludf.DUMMYFUNCTION("""COMPUTED_VALUE"""),"JavaScript")</f>
        <v>JavaScript</v>
      </c>
      <c r="E3774" s="9" t="str">
        <f>IFERROR(__xludf.DUMMYFUNCTION("""COMPUTED_VALUE"""),"JavaScript")</f>
        <v>JavaScript</v>
      </c>
      <c r="F3774" s="9" t="str">
        <f>IFERROR(__xludf.DUMMYFUNCTION("""COMPUTED_VALUE"""),"Python")</f>
        <v>Python</v>
      </c>
      <c r="G3774" s="9" t="str">
        <f>IFERROR(__xludf.DUMMYFUNCTION("""COMPUTED_VALUE"""),"JavaScript")</f>
        <v>JavaScript</v>
      </c>
      <c r="H3774" s="9" t="str">
        <f>IFERROR(__xludf.DUMMYFUNCTION("""COMPUTED_VALUE"""),"Java")</f>
        <v>Java</v>
      </c>
      <c r="I3774" s="9" t="str">
        <f>IFERROR(__xludf.DUMMYFUNCTION("""COMPUTED_VALUE"""),"SQL")</f>
        <v>SQL</v>
      </c>
      <c r="J3774" s="9" t="str">
        <f>IFERROR(__xludf.DUMMYFUNCTION("""COMPUTED_VALUE"""),"Bash/Shell/PowerShell")</f>
        <v>Bash/Shell/PowerShell</v>
      </c>
      <c r="K3774" s="9" t="str">
        <f>IFERROR(__xludf.DUMMYFUNCTION("""COMPUTED_VALUE"""),"C#")</f>
        <v>C#</v>
      </c>
      <c r="L3774" s="9" t="str">
        <f>IFERROR(__xludf.DUMMYFUNCTION("""COMPUTED_VALUE"""),"Python")</f>
        <v>Python</v>
      </c>
      <c r="M3774" s="9" t="s">
        <v>37</v>
      </c>
    </row>
    <row r="3775" ht="15.75" customHeight="1">
      <c r="A3775" s="7"/>
      <c r="B3775" s="7" t="str">
        <f>IFERROR(__xludf.DUMMYFUNCTION("""COMPUTED_VALUE"""),"C#;HTML/CSS;JavaScript;PHP;Python;SQL")</f>
        <v>C#;HTML/CSS;JavaScript;PHP;Python;SQL</v>
      </c>
      <c r="C3775" s="9" t="str">
        <f>IFERROR(__xludf.DUMMYFUNCTION("""COMPUTED_VALUE"""),"HTML/CSS")</f>
        <v>HTML/CSS</v>
      </c>
      <c r="D3775" s="9" t="str">
        <f>IFERROR(__xludf.DUMMYFUNCTION("""COMPUTED_VALUE"""),"Python")</f>
        <v>Python</v>
      </c>
      <c r="E3775" s="9" t="str">
        <f>IFERROR(__xludf.DUMMYFUNCTION("""COMPUTED_VALUE"""),"Python")</f>
        <v>Python</v>
      </c>
      <c r="F3775" s="9" t="str">
        <f>IFERROR(__xludf.DUMMYFUNCTION("""COMPUTED_VALUE"""),"Ruby")</f>
        <v>Ruby</v>
      </c>
      <c r="G3775" s="9" t="str">
        <f>IFERROR(__xludf.DUMMYFUNCTION("""COMPUTED_VALUE"""),"Python")</f>
        <v>Python</v>
      </c>
      <c r="H3775" s="9" t="str">
        <f>IFERROR(__xludf.DUMMYFUNCTION("""COMPUTED_VALUE"""),"Python")</f>
        <v>Python</v>
      </c>
      <c r="I3775" s="9" t="str">
        <f>IFERROR(__xludf.DUMMYFUNCTION("""COMPUTED_VALUE"""),"VBA")</f>
        <v>VBA</v>
      </c>
      <c r="J3775" s="9" t="str">
        <f>IFERROR(__xludf.DUMMYFUNCTION("""COMPUTED_VALUE"""),"HTML/CSS")</f>
        <v>HTML/CSS</v>
      </c>
      <c r="K3775" s="9" t="str">
        <f>IFERROR(__xludf.DUMMYFUNCTION("""COMPUTED_VALUE"""),"HTML/CSS")</f>
        <v>HTML/CSS</v>
      </c>
      <c r="L3775" s="9" t="str">
        <f>IFERROR(__xludf.DUMMYFUNCTION("""COMPUTED_VALUE"""),"Rust")</f>
        <v>Rust</v>
      </c>
      <c r="M3775" s="9" t="s">
        <v>24</v>
      </c>
    </row>
    <row r="3776" ht="15.75" customHeight="1">
      <c r="A3776" s="7"/>
      <c r="B3776" s="7" t="str">
        <f>IFERROR(__xludf.DUMMYFUNCTION("""COMPUTED_VALUE"""),"C#;HTML/CSS;Java;JavaScript;Kotlin;Objective-C;Swift")</f>
        <v>C#;HTML/CSS;Java;JavaScript;Kotlin;Objective-C;Swift</v>
      </c>
      <c r="C3776" s="9" t="str">
        <f>IFERROR(__xludf.DUMMYFUNCTION("""COMPUTED_VALUE"""),"JavaScript")</f>
        <v>JavaScript</v>
      </c>
      <c r="D3776" s="9" t="str">
        <f>IFERROR(__xludf.DUMMYFUNCTION("""COMPUTED_VALUE"""),"VBA")</f>
        <v>VBA</v>
      </c>
      <c r="E3776" s="9" t="str">
        <f>IFERROR(__xludf.DUMMYFUNCTION("""COMPUTED_VALUE"""),"SQL")</f>
        <v>SQL</v>
      </c>
      <c r="F3776" s="9" t="str">
        <f>IFERROR(__xludf.DUMMYFUNCTION("""COMPUTED_VALUE"""),"TypeScript")</f>
        <v>TypeScript</v>
      </c>
      <c r="G3776" s="9" t="str">
        <f>IFERROR(__xludf.DUMMYFUNCTION("""COMPUTED_VALUE"""),"SQL")</f>
        <v>SQL</v>
      </c>
      <c r="H3776" s="9" t="str">
        <f>IFERROR(__xludf.DUMMYFUNCTION("""COMPUTED_VALUE"""),"HTML/CSS")</f>
        <v>HTML/CSS</v>
      </c>
      <c r="I3776" s="9" t="str">
        <f>IFERROR(__xludf.DUMMYFUNCTION("""COMPUTED_VALUE"""),"Bash/Shell/PowerShell")</f>
        <v>Bash/Shell/PowerShell</v>
      </c>
      <c r="J3776" s="9" t="str">
        <f>IFERROR(__xludf.DUMMYFUNCTION("""COMPUTED_VALUE"""),"JavaScript")</f>
        <v>JavaScript</v>
      </c>
      <c r="K3776" s="9" t="str">
        <f>IFERROR(__xludf.DUMMYFUNCTION("""COMPUTED_VALUE"""),"JavaScript")</f>
        <v>JavaScript</v>
      </c>
      <c r="L3776" s="9" t="str">
        <f>IFERROR(__xludf.DUMMYFUNCTION("""COMPUTED_VALUE"""),"SQL")</f>
        <v>SQL</v>
      </c>
      <c r="M3776" s="9" t="s">
        <v>21</v>
      </c>
    </row>
    <row r="3777" ht="15.75" customHeight="1">
      <c r="A3777" s="7"/>
      <c r="B3777" s="7" t="str">
        <f>IFERROR(__xludf.DUMMYFUNCTION("""COMPUTED_VALUE"""),"HTML/CSS;JavaScript;TypeScript")</f>
        <v>HTML/CSS;JavaScript;TypeScript</v>
      </c>
      <c r="C3777" s="9" t="str">
        <f>IFERROR(__xludf.DUMMYFUNCTION("""COMPUTED_VALUE"""),"PHP")</f>
        <v>PHP</v>
      </c>
      <c r="D3777" s="9" t="str">
        <f>IFERROR(__xludf.DUMMYFUNCTION("""COMPUTED_VALUE"""),"Bash/Shell/PowerShell")</f>
        <v>Bash/Shell/PowerShell</v>
      </c>
      <c r="E3777" s="9" t="str">
        <f>IFERROR(__xludf.DUMMYFUNCTION("""COMPUTED_VALUE"""),"C#")</f>
        <v>C#</v>
      </c>
      <c r="F3777" s="9" t="str">
        <f>IFERROR(__xludf.DUMMYFUNCTION("""COMPUTED_VALUE"""),"Bash/Shell/PowerShell")</f>
        <v>Bash/Shell/PowerShell</v>
      </c>
      <c r="G3777" s="9" t="str">
        <f>IFERROR(__xludf.DUMMYFUNCTION("""COMPUTED_VALUE"""),"TypeScript")</f>
        <v>TypeScript</v>
      </c>
      <c r="H3777" s="9" t="str">
        <f>IFERROR(__xludf.DUMMYFUNCTION("""COMPUTED_VALUE"""),"JavaScript")</f>
        <v>JavaScript</v>
      </c>
      <c r="I3777" s="9" t="str">
        <f>IFERROR(__xludf.DUMMYFUNCTION("""COMPUTED_VALUE"""),"C")</f>
        <v>C</v>
      </c>
      <c r="J3777" s="9" t="str">
        <f>IFERROR(__xludf.DUMMYFUNCTION("""COMPUTED_VALUE"""),"Bash/Shell/PowerShell")</f>
        <v>Bash/Shell/PowerShell</v>
      </c>
      <c r="K3777" s="9" t="str">
        <f>IFERROR(__xludf.DUMMYFUNCTION("""COMPUTED_VALUE"""),"Python")</f>
        <v>Python</v>
      </c>
      <c r="L3777" s="9" t="str">
        <f>IFERROR(__xludf.DUMMYFUNCTION("""COMPUTED_VALUE"""),"C#")</f>
        <v>C#</v>
      </c>
      <c r="M3777" s="9" t="s">
        <v>37</v>
      </c>
    </row>
    <row r="3778" ht="15.75" customHeight="1">
      <c r="A3778" s="7"/>
      <c r="B3778" s="7" t="str">
        <f>IFERROR(__xludf.DUMMYFUNCTION("""COMPUTED_VALUE"""),"Assembly;Bash/Shell/PowerShell;C;C++;Java;SQL;WebAssembly")</f>
        <v>Assembly;Bash/Shell/PowerShell;C;C++;Java;SQL;WebAssembly</v>
      </c>
      <c r="C3778" s="9" t="str">
        <f>IFERROR(__xludf.DUMMYFUNCTION("""COMPUTED_VALUE"""),"SQL")</f>
        <v>SQL</v>
      </c>
      <c r="D3778" s="9" t="str">
        <f>IFERROR(__xludf.DUMMYFUNCTION("""COMPUTED_VALUE"""),"C++")</f>
        <v>C++</v>
      </c>
      <c r="E3778" s="9" t="str">
        <f>IFERROR(__xludf.DUMMYFUNCTION("""COMPUTED_VALUE"""),"HTML/CSS")</f>
        <v>HTML/CSS</v>
      </c>
      <c r="F3778" s="9" t="str">
        <f>IFERROR(__xludf.DUMMYFUNCTION("""COMPUTED_VALUE"""),"HTML/CSS")</f>
        <v>HTML/CSS</v>
      </c>
      <c r="G3778" s="9" t="str">
        <f>IFERROR(__xludf.DUMMYFUNCTION("""COMPUTED_VALUE"""),"C#")</f>
        <v>C#</v>
      </c>
      <c r="H3778" s="9" t="str">
        <f>IFERROR(__xludf.DUMMYFUNCTION("""COMPUTED_VALUE"""),"Ruby")</f>
        <v>Ruby</v>
      </c>
      <c r="I3778" s="9" t="str">
        <f>IFERROR(__xludf.DUMMYFUNCTION("""COMPUTED_VALUE"""),"C++")</f>
        <v>C++</v>
      </c>
      <c r="J3778" s="9" t="str">
        <f>IFERROR(__xludf.DUMMYFUNCTION("""COMPUTED_VALUE"""),"Python")</f>
        <v>Python</v>
      </c>
      <c r="K3778" s="9" t="str">
        <f>IFERROR(__xludf.DUMMYFUNCTION("""COMPUTED_VALUE"""),"Ruby")</f>
        <v>Ruby</v>
      </c>
      <c r="L3778" s="9" t="str">
        <f>IFERROR(__xludf.DUMMYFUNCTION("""COMPUTED_VALUE"""),"JavaScript")</f>
        <v>JavaScript</v>
      </c>
      <c r="M3778" s="9" t="s">
        <v>27</v>
      </c>
    </row>
    <row r="3779" ht="15.75" customHeight="1">
      <c r="A3779" s="7"/>
      <c r="B3779" s="7" t="str">
        <f>IFERROR(__xludf.DUMMYFUNCTION("""COMPUTED_VALUE"""),"Java")</f>
        <v>Java</v>
      </c>
      <c r="C3779" s="9" t="str">
        <f>IFERROR(__xludf.DUMMYFUNCTION("""COMPUTED_VALUE"""),"Bash/Shell/PowerShell")</f>
        <v>Bash/Shell/PowerShell</v>
      </c>
      <c r="D3779" s="9" t="str">
        <f>IFERROR(__xludf.DUMMYFUNCTION("""COMPUTED_VALUE"""),"C#")</f>
        <v>C#</v>
      </c>
      <c r="E3779" s="9" t="str">
        <f>IFERROR(__xludf.DUMMYFUNCTION("""COMPUTED_VALUE"""),"JavaScript")</f>
        <v>JavaScript</v>
      </c>
      <c r="F3779" s="9" t="str">
        <f>IFERROR(__xludf.DUMMYFUNCTION("""COMPUTED_VALUE"""),"Java")</f>
        <v>Java</v>
      </c>
      <c r="G3779" s="9" t="str">
        <f>IFERROR(__xludf.DUMMYFUNCTION("""COMPUTED_VALUE"""),"HTML/CSS")</f>
        <v>HTML/CSS</v>
      </c>
      <c r="H3779" s="9" t="str">
        <f>IFERROR(__xludf.DUMMYFUNCTION("""COMPUTED_VALUE"""),"Scala")</f>
        <v>Scala</v>
      </c>
      <c r="I3779" s="9" t="str">
        <f>IFERROR(__xludf.DUMMYFUNCTION("""COMPUTED_VALUE"""),"C#")</f>
        <v>C#</v>
      </c>
      <c r="J3779" s="9" t="str">
        <f>IFERROR(__xludf.DUMMYFUNCTION("""COMPUTED_VALUE"""),"R")</f>
        <v>R</v>
      </c>
      <c r="K3779" s="9" t="str">
        <f>IFERROR(__xludf.DUMMYFUNCTION("""COMPUTED_VALUE"""),"SQL")</f>
        <v>SQL</v>
      </c>
      <c r="L3779" s="9" t="str">
        <f>IFERROR(__xludf.DUMMYFUNCTION("""COMPUTED_VALUE"""),"PHP")</f>
        <v>PHP</v>
      </c>
      <c r="M3779" s="9" t="s">
        <v>30</v>
      </c>
    </row>
    <row r="3780" ht="15.75" customHeight="1">
      <c r="A3780" s="7"/>
      <c r="B3780" s="7" t="str">
        <f>IFERROR(__xludf.DUMMYFUNCTION("""COMPUTED_VALUE"""),"Bash/Shell/PowerShell;C;HTML/CSS;Objective-C;Swift")</f>
        <v>Bash/Shell/PowerShell;C;HTML/CSS;Objective-C;Swift</v>
      </c>
      <c r="C3780" s="9" t="str">
        <f>IFERROR(__xludf.DUMMYFUNCTION("""COMPUTED_VALUE"""),"C#")</f>
        <v>C#</v>
      </c>
      <c r="D3780" s="9" t="str">
        <f>IFERROR(__xludf.DUMMYFUNCTION("""COMPUTED_VALUE"""),"Java")</f>
        <v>Java</v>
      </c>
      <c r="E3780" s="9" t="str">
        <f>IFERROR(__xludf.DUMMYFUNCTION("""COMPUTED_VALUE"""),"PHP")</f>
        <v>PHP</v>
      </c>
      <c r="F3780" s="9" t="str">
        <f>IFERROR(__xludf.DUMMYFUNCTION("""COMPUTED_VALUE"""),"JavaScript")</f>
        <v>JavaScript</v>
      </c>
      <c r="G3780" s="9" t="str">
        <f>IFERROR(__xludf.DUMMYFUNCTION("""COMPUTED_VALUE"""),"Java")</f>
        <v>Java</v>
      </c>
      <c r="H3780" s="9" t="str">
        <f>IFERROR(__xludf.DUMMYFUNCTION("""COMPUTED_VALUE"""),"SQL")</f>
        <v>SQL</v>
      </c>
      <c r="I3780" s="9" t="str">
        <f>IFERROR(__xludf.DUMMYFUNCTION("""COMPUTED_VALUE"""),"HTML/CSS")</f>
        <v>HTML/CSS</v>
      </c>
      <c r="J3780" s="9" t="str">
        <f>IFERROR(__xludf.DUMMYFUNCTION("""COMPUTED_VALUE"""),"SQL")</f>
        <v>SQL</v>
      </c>
      <c r="K3780" s="9" t="str">
        <f>IFERROR(__xludf.DUMMYFUNCTION("""COMPUTED_VALUE"""),"C++")</f>
        <v>C++</v>
      </c>
      <c r="L3780" s="9" t="str">
        <f>IFERROR(__xludf.DUMMYFUNCTION("""COMPUTED_VALUE"""),"SQL")</f>
        <v>SQL</v>
      </c>
      <c r="M3780" s="9" t="s">
        <v>26</v>
      </c>
    </row>
    <row r="3781" ht="15.75" customHeight="1">
      <c r="A3781" s="7"/>
      <c r="B3781" s="7" t="str">
        <f>IFERROR(__xludf.DUMMYFUNCTION("""COMPUTED_VALUE"""),"C;C++;C#;Dart;HTML/CSS;Java;JavaScript;Kotlin;Python;TypeScript")</f>
        <v>C;C++;C#;Dart;HTML/CSS;Java;JavaScript;Kotlin;Python;TypeScript</v>
      </c>
      <c r="C3781" s="9" t="str">
        <f>IFERROR(__xludf.DUMMYFUNCTION("""COMPUTED_VALUE"""),"Go")</f>
        <v>Go</v>
      </c>
      <c r="D3781" s="9" t="str">
        <f>IFERROR(__xludf.DUMMYFUNCTION("""COMPUTED_VALUE"""),"Kotlin")</f>
        <v>Kotlin</v>
      </c>
      <c r="E3781" s="9" t="str">
        <f>IFERROR(__xludf.DUMMYFUNCTION("""COMPUTED_VALUE"""),"Python")</f>
        <v>Python</v>
      </c>
      <c r="F3781" s="9" t="str">
        <f>IFERROR(__xludf.DUMMYFUNCTION("""COMPUTED_VALUE"""),"SQL")</f>
        <v>SQL</v>
      </c>
      <c r="G3781" s="9" t="str">
        <f>IFERROR(__xludf.DUMMYFUNCTION("""COMPUTED_VALUE"""),"JavaScript")</f>
        <v>JavaScript</v>
      </c>
      <c r="H3781" s="9" t="str">
        <f>IFERROR(__xludf.DUMMYFUNCTION("""COMPUTED_VALUE"""),"Go")</f>
        <v>Go</v>
      </c>
      <c r="I3781" s="9" t="str">
        <f>IFERROR(__xludf.DUMMYFUNCTION("""COMPUTED_VALUE"""),"Java")</f>
        <v>Java</v>
      </c>
      <c r="J3781" s="9" t="str">
        <f>IFERROR(__xludf.DUMMYFUNCTION("""COMPUTED_VALUE"""),"C#")</f>
        <v>C#</v>
      </c>
      <c r="K3781" s="9" t="str">
        <f>IFERROR(__xludf.DUMMYFUNCTION("""COMPUTED_VALUE"""),"Python")</f>
        <v>Python</v>
      </c>
      <c r="L3781" s="9" t="str">
        <f>IFERROR(__xludf.DUMMYFUNCTION("""COMPUTED_VALUE"""),"Other(s):")</f>
        <v>Other(s):</v>
      </c>
      <c r="M3781" s="9" t="s">
        <v>36</v>
      </c>
    </row>
    <row r="3782" ht="15.75" customHeight="1">
      <c r="A3782" s="7"/>
      <c r="B3782" s="7" t="str">
        <f>IFERROR(__xludf.DUMMYFUNCTION("""COMPUTED_VALUE"""),"HTML/CSS;JavaScript;PHP")</f>
        <v>HTML/CSS;JavaScript;PHP</v>
      </c>
      <c r="C3782" s="9" t="str">
        <f>IFERROR(__xludf.DUMMYFUNCTION("""COMPUTED_VALUE"""),"HTML/CSS")</f>
        <v>HTML/CSS</v>
      </c>
      <c r="D3782" s="9" t="str">
        <f>IFERROR(__xludf.DUMMYFUNCTION("""COMPUTED_VALUE"""),"PHP")</f>
        <v>PHP</v>
      </c>
      <c r="E3782" s="9" t="str">
        <f>IFERROR(__xludf.DUMMYFUNCTION("""COMPUTED_VALUE"""),"SQL")</f>
        <v>SQL</v>
      </c>
      <c r="F3782" s="9" t="str">
        <f>IFERROR(__xludf.DUMMYFUNCTION("""COMPUTED_VALUE"""),"Bash/Shell/PowerShell")</f>
        <v>Bash/Shell/PowerShell</v>
      </c>
      <c r="G3782" s="9" t="str">
        <f>IFERROR(__xludf.DUMMYFUNCTION("""COMPUTED_VALUE"""),"PHP")</f>
        <v>PHP</v>
      </c>
      <c r="H3782" s="9" t="str">
        <f>IFERROR(__xludf.DUMMYFUNCTION("""COMPUTED_VALUE"""),"Java")</f>
        <v>Java</v>
      </c>
      <c r="I3782" s="9" t="str">
        <f>IFERROR(__xludf.DUMMYFUNCTION("""COMPUTED_VALUE"""),"JavaScript")</f>
        <v>JavaScript</v>
      </c>
      <c r="J3782" s="9" t="str">
        <f>IFERROR(__xludf.DUMMYFUNCTION("""COMPUTED_VALUE"""),"HTML/CSS")</f>
        <v>HTML/CSS</v>
      </c>
      <c r="K3782" s="9" t="str">
        <f>IFERROR(__xludf.DUMMYFUNCTION("""COMPUTED_VALUE"""),"SQL")</f>
        <v>SQL</v>
      </c>
      <c r="L3782" s="9" t="str">
        <f>IFERROR(__xludf.DUMMYFUNCTION("""COMPUTED_VALUE"""),"HTML/CSS")</f>
        <v>HTML/CSS</v>
      </c>
      <c r="M3782" s="9" t="s">
        <v>24</v>
      </c>
    </row>
    <row r="3783" ht="15.75" customHeight="1">
      <c r="A3783" s="7"/>
      <c r="B3783" s="7" t="str">
        <f>IFERROR(__xludf.DUMMYFUNCTION("""COMPUTED_VALUE"""),"C++;C#;HTML/CSS;JavaScript;Python")</f>
        <v>C++;C#;HTML/CSS;JavaScript;Python</v>
      </c>
      <c r="C3783" s="9" t="str">
        <f>IFERROR(__xludf.DUMMYFUNCTION("""COMPUTED_VALUE"""),"JavaScript")</f>
        <v>JavaScript</v>
      </c>
      <c r="D3783" s="9" t="str">
        <f>IFERROR(__xludf.DUMMYFUNCTION("""COMPUTED_VALUE"""),"Bash/Shell/PowerShell")</f>
        <v>Bash/Shell/PowerShell</v>
      </c>
      <c r="E3783" s="9" t="str">
        <f>IFERROR(__xludf.DUMMYFUNCTION("""COMPUTED_VALUE"""),"TypeScript")</f>
        <v>TypeScript</v>
      </c>
      <c r="F3783" s="9" t="str">
        <f>IFERROR(__xludf.DUMMYFUNCTION("""COMPUTED_VALUE"""),"HTML/CSS")</f>
        <v>HTML/CSS</v>
      </c>
      <c r="G3783" s="9" t="str">
        <f>IFERROR(__xludf.DUMMYFUNCTION("""COMPUTED_VALUE"""),"SQL")</f>
        <v>SQL</v>
      </c>
      <c r="H3783" s="9" t="str">
        <f>IFERROR(__xludf.DUMMYFUNCTION("""COMPUTED_VALUE"""),"Rust")</f>
        <v>Rust</v>
      </c>
      <c r="I3783" s="9" t="str">
        <f>IFERROR(__xludf.DUMMYFUNCTION("""COMPUTED_VALUE"""),"Python")</f>
        <v>Python</v>
      </c>
      <c r="J3783" s="9" t="str">
        <f>IFERROR(__xludf.DUMMYFUNCTION("""COMPUTED_VALUE"""),"JavaScript")</f>
        <v>JavaScript</v>
      </c>
      <c r="K3783" s="9" t="str">
        <f>IFERROR(__xludf.DUMMYFUNCTION("""COMPUTED_VALUE"""),"Bash/Shell/PowerShell")</f>
        <v>Bash/Shell/PowerShell</v>
      </c>
      <c r="L3783" s="9" t="str">
        <f>IFERROR(__xludf.DUMMYFUNCTION("""COMPUTED_VALUE"""),"JavaScript")</f>
        <v>JavaScript</v>
      </c>
      <c r="M3783" s="9" t="s">
        <v>21</v>
      </c>
    </row>
    <row r="3784" ht="15.75" customHeight="1">
      <c r="A3784" s="7"/>
      <c r="B3784" s="7" t="str">
        <f>IFERROR(__xludf.DUMMYFUNCTION("""COMPUTED_VALUE"""),"Bash/Shell/PowerShell;HTML/CSS;JavaScript;Ruby;SQL")</f>
        <v>Bash/Shell/PowerShell;HTML/CSS;JavaScript;Ruby;SQL</v>
      </c>
      <c r="C3784" s="9" t="str">
        <f>IFERROR(__xludf.DUMMYFUNCTION("""COMPUTED_VALUE"""),"Python")</f>
        <v>Python</v>
      </c>
      <c r="D3784" s="9" t="str">
        <f>IFERROR(__xludf.DUMMYFUNCTION("""COMPUTED_VALUE"""),"HTML/CSS")</f>
        <v>HTML/CSS</v>
      </c>
      <c r="E3784" s="9" t="str">
        <f>IFERROR(__xludf.DUMMYFUNCTION("""COMPUTED_VALUE"""),"Bash/Shell/PowerShell")</f>
        <v>Bash/Shell/PowerShell</v>
      </c>
      <c r="F3784" s="9" t="str">
        <f>IFERROR(__xludf.DUMMYFUNCTION("""COMPUTED_VALUE"""),"JavaScript")</f>
        <v>JavaScript</v>
      </c>
      <c r="G3784" s="9" t="str">
        <f>IFERROR(__xludf.DUMMYFUNCTION("""COMPUTED_VALUE"""),"C#")</f>
        <v>C#</v>
      </c>
      <c r="H3784" s="9" t="str">
        <f>IFERROR(__xludf.DUMMYFUNCTION("""COMPUTED_VALUE"""),"Assembly")</f>
        <v>Assembly</v>
      </c>
      <c r="I3784" s="9" t="str">
        <f>IFERROR(__xludf.DUMMYFUNCTION("""COMPUTED_VALUE"""),"VBA")</f>
        <v>VBA</v>
      </c>
      <c r="J3784" s="9" t="str">
        <f>IFERROR(__xludf.DUMMYFUNCTION("""COMPUTED_VALUE"""),"SQL")</f>
        <v>SQL</v>
      </c>
      <c r="K3784" s="9" t="str">
        <f>IFERROR(__xludf.DUMMYFUNCTION("""COMPUTED_VALUE"""),"C#")</f>
        <v>C#</v>
      </c>
      <c r="L3784" s="9" t="str">
        <f>IFERROR(__xludf.DUMMYFUNCTION("""COMPUTED_VALUE"""),"SQL")</f>
        <v>SQL</v>
      </c>
      <c r="M3784" s="9" t="s">
        <v>22</v>
      </c>
    </row>
    <row r="3785" ht="15.75" customHeight="1">
      <c r="A3785" s="7"/>
      <c r="B3785" s="7" t="str">
        <f>IFERROR(__xludf.DUMMYFUNCTION("""COMPUTED_VALUE"""),"C++;HTML/CSS;Java;JavaScript;PHP;Ruby;SQL")</f>
        <v>C++;HTML/CSS;Java;JavaScript;PHP;Ruby;SQL</v>
      </c>
      <c r="C3785" s="9" t="str">
        <f>IFERROR(__xludf.DUMMYFUNCTION("""COMPUTED_VALUE"""),"SQL")</f>
        <v>SQL</v>
      </c>
      <c r="D3785" s="9" t="str">
        <f>IFERROR(__xludf.DUMMYFUNCTION("""COMPUTED_VALUE"""),"JavaScript")</f>
        <v>JavaScript</v>
      </c>
      <c r="E3785" s="9" t="str">
        <f>IFERROR(__xludf.DUMMYFUNCTION("""COMPUTED_VALUE"""),"C")</f>
        <v>C</v>
      </c>
      <c r="F3785" s="9" t="str">
        <f>IFERROR(__xludf.DUMMYFUNCTION("""COMPUTED_VALUE"""),"TypeScript")</f>
        <v>TypeScript</v>
      </c>
      <c r="G3785" s="9" t="str">
        <f>IFERROR(__xludf.DUMMYFUNCTION("""COMPUTED_VALUE"""),"HTML/CSS")</f>
        <v>HTML/CSS</v>
      </c>
      <c r="H3785" s="9" t="str">
        <f>IFERROR(__xludf.DUMMYFUNCTION("""COMPUTED_VALUE"""),"Bash/Shell/PowerShell")</f>
        <v>Bash/Shell/PowerShell</v>
      </c>
      <c r="I3785" s="9" t="str">
        <f>IFERROR(__xludf.DUMMYFUNCTION("""COMPUTED_VALUE"""),"Bash/Shell/PowerShell")</f>
        <v>Bash/Shell/PowerShell</v>
      </c>
      <c r="J3785" s="9" t="str">
        <f>IFERROR(__xludf.DUMMYFUNCTION("""COMPUTED_VALUE"""),"TypeScript")</f>
        <v>TypeScript</v>
      </c>
      <c r="K3785" s="9" t="str">
        <f>IFERROR(__xludf.DUMMYFUNCTION("""COMPUTED_VALUE"""),"HTML/CSS")</f>
        <v>HTML/CSS</v>
      </c>
      <c r="L3785" s="9" t="str">
        <f>IFERROR(__xludf.DUMMYFUNCTION("""COMPUTED_VALUE"""),"Java")</f>
        <v>Java</v>
      </c>
      <c r="M3785" s="9" t="s">
        <v>27</v>
      </c>
    </row>
    <row r="3786" ht="15.75" customHeight="1">
      <c r="A3786" s="7"/>
      <c r="B3786" s="7" t="str">
        <f>IFERROR(__xludf.DUMMYFUNCTION("""COMPUTED_VALUE"""),"C#;HTML/CSS;Java;JavaScript;PHP;SQL")</f>
        <v>C#;HTML/CSS;Java;JavaScript;PHP;SQL</v>
      </c>
      <c r="C3786" s="9" t="str">
        <f>IFERROR(__xludf.DUMMYFUNCTION("""COMPUTED_VALUE"""),"Bash/Shell/PowerShell")</f>
        <v>Bash/Shell/PowerShell</v>
      </c>
      <c r="D3786" s="9" t="str">
        <f>IFERROR(__xludf.DUMMYFUNCTION("""COMPUTED_VALUE"""),"Ruby")</f>
        <v>Ruby</v>
      </c>
      <c r="E3786" s="9" t="str">
        <f>IFERROR(__xludf.DUMMYFUNCTION("""COMPUTED_VALUE"""),"HTML/CSS")</f>
        <v>HTML/CSS</v>
      </c>
      <c r="F3786" s="9" t="str">
        <f>IFERROR(__xludf.DUMMYFUNCTION("""COMPUTED_VALUE"""),"Bash/Shell/PowerShell")</f>
        <v>Bash/Shell/PowerShell</v>
      </c>
      <c r="G3786" s="9" t="str">
        <f>IFERROR(__xludf.DUMMYFUNCTION("""COMPUTED_VALUE"""),"Java")</f>
        <v>Java</v>
      </c>
      <c r="H3786" s="9" t="str">
        <f>IFERROR(__xludf.DUMMYFUNCTION("""COMPUTED_VALUE"""),"C")</f>
        <v>C</v>
      </c>
      <c r="I3786" s="9" t="str">
        <f>IFERROR(__xludf.DUMMYFUNCTION("""COMPUTED_VALUE"""),"Go")</f>
        <v>Go</v>
      </c>
      <c r="J3786" s="9" t="str">
        <f>IFERROR(__xludf.DUMMYFUNCTION("""COMPUTED_VALUE"""),"C#")</f>
        <v>C#</v>
      </c>
      <c r="K3786" s="9" t="str">
        <f>IFERROR(__xludf.DUMMYFUNCTION("""COMPUTED_VALUE"""),"JavaScript")</f>
        <v>JavaScript</v>
      </c>
      <c r="L3786" s="9" t="str">
        <f>IFERROR(__xludf.DUMMYFUNCTION("""COMPUTED_VALUE"""),"JavaScript")</f>
        <v>JavaScript</v>
      </c>
      <c r="M3786" s="9" t="s">
        <v>30</v>
      </c>
    </row>
    <row r="3787" ht="15.75" customHeight="1">
      <c r="A3787" s="7"/>
      <c r="B3787" s="7" t="str">
        <f>IFERROR(__xludf.DUMMYFUNCTION("""COMPUTED_VALUE"""),"HTML/CSS;JavaScript;Python")</f>
        <v>HTML/CSS;JavaScript;Python</v>
      </c>
      <c r="C3787" s="9" t="str">
        <f>IFERROR(__xludf.DUMMYFUNCTION("""COMPUTED_VALUE"""),"C++")</f>
        <v>C++</v>
      </c>
      <c r="D3787" s="9" t="str">
        <f>IFERROR(__xludf.DUMMYFUNCTION("""COMPUTED_VALUE"""),"SQL")</f>
        <v>SQL</v>
      </c>
      <c r="E3787" s="9" t="str">
        <f>IFERROR(__xludf.DUMMYFUNCTION("""COMPUTED_VALUE"""),"JavaScript")</f>
        <v>JavaScript</v>
      </c>
      <c r="F3787" s="9" t="str">
        <f>IFERROR(__xludf.DUMMYFUNCTION("""COMPUTED_VALUE"""),"C#")</f>
        <v>C#</v>
      </c>
      <c r="G3787" s="9" t="str">
        <f>IFERROR(__xludf.DUMMYFUNCTION("""COMPUTED_VALUE"""),"JavaScript")</f>
        <v>JavaScript</v>
      </c>
      <c r="H3787" s="9" t="str">
        <f>IFERROR(__xludf.DUMMYFUNCTION("""COMPUTED_VALUE"""),"C++")</f>
        <v>C++</v>
      </c>
      <c r="I3787" s="9" t="str">
        <f>IFERROR(__xludf.DUMMYFUNCTION("""COMPUTED_VALUE"""),"Java")</f>
        <v>Java</v>
      </c>
      <c r="J3787" s="9" t="str">
        <f>IFERROR(__xludf.DUMMYFUNCTION("""COMPUTED_VALUE"""),"HTML/CSS")</f>
        <v>HTML/CSS</v>
      </c>
      <c r="K3787" s="9" t="str">
        <f>IFERROR(__xludf.DUMMYFUNCTION("""COMPUTED_VALUE"""),"Python")</f>
        <v>Python</v>
      </c>
      <c r="L3787" s="9" t="str">
        <f>IFERROR(__xludf.DUMMYFUNCTION("""COMPUTED_VALUE"""),"Scala")</f>
        <v>Scala</v>
      </c>
      <c r="M3787" s="9" t="s">
        <v>23</v>
      </c>
    </row>
    <row r="3788" ht="15.75" customHeight="1">
      <c r="A3788" s="7"/>
      <c r="B3788" s="7" t="str">
        <f>IFERROR(__xludf.DUMMYFUNCTION("""COMPUTED_VALUE"""),"C#;Java;Python")</f>
        <v>C#;Java;Python</v>
      </c>
      <c r="C3788" s="9" t="str">
        <f>IFERROR(__xludf.DUMMYFUNCTION("""COMPUTED_VALUE"""),"Dart")</f>
        <v>Dart</v>
      </c>
      <c r="D3788" s="9" t="str">
        <f>IFERROR(__xludf.DUMMYFUNCTION("""COMPUTED_VALUE"""),"Bash/Shell/PowerShell")</f>
        <v>Bash/Shell/PowerShell</v>
      </c>
      <c r="E3788" s="9" t="str">
        <f>IFERROR(__xludf.DUMMYFUNCTION("""COMPUTED_VALUE"""),"Python")</f>
        <v>Python</v>
      </c>
      <c r="F3788" s="9" t="str">
        <f>IFERROR(__xludf.DUMMYFUNCTION("""COMPUTED_VALUE"""),"Go")</f>
        <v>Go</v>
      </c>
      <c r="G3788" s="9" t="str">
        <f>IFERROR(__xludf.DUMMYFUNCTION("""COMPUTED_VALUE"""),"Kotlin")</f>
        <v>Kotlin</v>
      </c>
      <c r="H3788" s="9" t="str">
        <f>IFERROR(__xludf.DUMMYFUNCTION("""COMPUTED_VALUE"""),"C#")</f>
        <v>C#</v>
      </c>
      <c r="I3788" s="9" t="str">
        <f>IFERROR(__xludf.DUMMYFUNCTION("""COMPUTED_VALUE"""),"Objective-C")</f>
        <v>Objective-C</v>
      </c>
      <c r="J3788" s="9" t="str">
        <f>IFERROR(__xludf.DUMMYFUNCTION("""COMPUTED_VALUE"""),"JavaScript")</f>
        <v>JavaScript</v>
      </c>
      <c r="K3788" s="9" t="str">
        <f>IFERROR(__xludf.DUMMYFUNCTION("""COMPUTED_VALUE"""),"SQL")</f>
        <v>SQL</v>
      </c>
      <c r="L3788" s="9" t="str">
        <f>IFERROR(__xludf.DUMMYFUNCTION("""COMPUTED_VALUE"""),"HTML/CSS")</f>
        <v>HTML/CSS</v>
      </c>
      <c r="M3788" s="9" t="s">
        <v>47</v>
      </c>
    </row>
    <row r="3789" ht="15.75" customHeight="1">
      <c r="A3789" s="7"/>
      <c r="B3789" s="7" t="str">
        <f>IFERROR(__xludf.DUMMYFUNCTION("""COMPUTED_VALUE"""),"Assembly;HTML/CSS;JavaScript;TypeScript")</f>
        <v>Assembly;HTML/CSS;JavaScript;TypeScript</v>
      </c>
      <c r="C3789" s="9" t="str">
        <f>IFERROR(__xludf.DUMMYFUNCTION("""COMPUTED_VALUE"""),"Go")</f>
        <v>Go</v>
      </c>
      <c r="D3789" s="9" t="str">
        <f>IFERROR(__xludf.DUMMYFUNCTION("""COMPUTED_VALUE"""),"Go")</f>
        <v>Go</v>
      </c>
      <c r="E3789" s="9" t="str">
        <f>IFERROR(__xludf.DUMMYFUNCTION("""COMPUTED_VALUE"""),"TypeScript")</f>
        <v>TypeScript</v>
      </c>
      <c r="F3789" s="9" t="str">
        <f>IFERROR(__xludf.DUMMYFUNCTION("""COMPUTED_VALUE"""),"HTML/CSS")</f>
        <v>HTML/CSS</v>
      </c>
      <c r="G3789" s="9" t="str">
        <f>IFERROR(__xludf.DUMMYFUNCTION("""COMPUTED_VALUE"""),"Python")</f>
        <v>Python</v>
      </c>
      <c r="H3789" s="9" t="str">
        <f>IFERROR(__xludf.DUMMYFUNCTION("""COMPUTED_VALUE"""),"Erlang")</f>
        <v>Erlang</v>
      </c>
      <c r="I3789" s="9" t="str">
        <f>IFERROR(__xludf.DUMMYFUNCTION("""COMPUTED_VALUE"""),"Ruby")</f>
        <v>Ruby</v>
      </c>
      <c r="J3789" s="9" t="str">
        <f>IFERROR(__xludf.DUMMYFUNCTION("""COMPUTED_VALUE"""),"Python")</f>
        <v>Python</v>
      </c>
      <c r="K3789" s="9" t="str">
        <f>IFERROR(__xludf.DUMMYFUNCTION("""COMPUTED_VALUE"""),"TypeScript")</f>
        <v>TypeScript</v>
      </c>
      <c r="L3789" s="9" t="str">
        <f>IFERROR(__xludf.DUMMYFUNCTION("""COMPUTED_VALUE"""),"JavaScript")</f>
        <v>JavaScript</v>
      </c>
      <c r="M3789" s="9" t="s">
        <v>36</v>
      </c>
    </row>
    <row r="3790" ht="15.75" customHeight="1">
      <c r="A3790" s="7"/>
      <c r="B3790" s="7" t="str">
        <f>IFERROR(__xludf.DUMMYFUNCTION("""COMPUTED_VALUE"""),"JavaScript;PHP;Python;SQL")</f>
        <v>JavaScript;PHP;Python;SQL</v>
      </c>
      <c r="C3790" s="9" t="str">
        <f>IFERROR(__xludf.DUMMYFUNCTION("""COMPUTED_VALUE"""),"HTML/CSS")</f>
        <v>HTML/CSS</v>
      </c>
      <c r="D3790" s="9" t="str">
        <f>IFERROR(__xludf.DUMMYFUNCTION("""COMPUTED_VALUE"""),"HTML/CSS")</f>
        <v>HTML/CSS</v>
      </c>
      <c r="E3790" s="9" t="str">
        <f>IFERROR(__xludf.DUMMYFUNCTION("""COMPUTED_VALUE"""),"Bash/Shell/PowerShell")</f>
        <v>Bash/Shell/PowerShell</v>
      </c>
      <c r="F3790" s="9" t="str">
        <f>IFERROR(__xludf.DUMMYFUNCTION("""COMPUTED_VALUE"""),"JavaScript")</f>
        <v>JavaScript</v>
      </c>
      <c r="G3790" s="9" t="str">
        <f>IFERROR(__xludf.DUMMYFUNCTION("""COMPUTED_VALUE"""),"SQL")</f>
        <v>SQL</v>
      </c>
      <c r="H3790" s="9" t="str">
        <f>IFERROR(__xludf.DUMMYFUNCTION("""COMPUTED_VALUE"""),"F#")</f>
        <v>F#</v>
      </c>
      <c r="I3790" s="9" t="str">
        <f>IFERROR(__xludf.DUMMYFUNCTION("""COMPUTED_VALUE"""),"Bash/Shell/PowerShell")</f>
        <v>Bash/Shell/PowerShell</v>
      </c>
      <c r="J3790" s="9" t="str">
        <f>IFERROR(__xludf.DUMMYFUNCTION("""COMPUTED_VALUE"""),"SQL")</f>
        <v>SQL</v>
      </c>
      <c r="K3790" s="9" t="str">
        <f>IFERROR(__xludf.DUMMYFUNCTION("""COMPUTED_VALUE"""),"Python")</f>
        <v>Python</v>
      </c>
      <c r="L3790" s="9" t="str">
        <f>IFERROR(__xludf.DUMMYFUNCTION("""COMPUTED_VALUE"""),"PHP")</f>
        <v>PHP</v>
      </c>
      <c r="M3790" s="9" t="s">
        <v>24</v>
      </c>
    </row>
    <row r="3791" ht="15.75" customHeight="1">
      <c r="A3791" s="7"/>
      <c r="B3791" s="7" t="str">
        <f>IFERROR(__xludf.DUMMYFUNCTION("""COMPUTED_VALUE"""),"HTML/CSS;JavaScript;SQL;TypeScript")</f>
        <v>HTML/CSS;JavaScript;SQL;TypeScript</v>
      </c>
      <c r="C3791" s="9" t="str">
        <f>IFERROR(__xludf.DUMMYFUNCTION("""COMPUTED_VALUE"""),"Java")</f>
        <v>Java</v>
      </c>
      <c r="D3791" s="9" t="str">
        <f>IFERROR(__xludf.DUMMYFUNCTION("""COMPUTED_VALUE"""),"JavaScript")</f>
        <v>JavaScript</v>
      </c>
      <c r="E3791" s="9" t="str">
        <f>IFERROR(__xludf.DUMMYFUNCTION("""COMPUTED_VALUE"""),"C++")</f>
        <v>C++</v>
      </c>
      <c r="F3791" s="9" t="str">
        <f>IFERROR(__xludf.DUMMYFUNCTION("""COMPUTED_VALUE"""),"PHP")</f>
        <v>PHP</v>
      </c>
      <c r="G3791" s="9" t="str">
        <f>IFERROR(__xludf.DUMMYFUNCTION("""COMPUTED_VALUE"""),"Bash/Shell/PowerShell")</f>
        <v>Bash/Shell/PowerShell</v>
      </c>
      <c r="H3791" s="9" t="str">
        <f>IFERROR(__xludf.DUMMYFUNCTION("""COMPUTED_VALUE"""),"Go")</f>
        <v>Go</v>
      </c>
      <c r="I3791" s="9" t="str">
        <f>IFERROR(__xludf.DUMMYFUNCTION("""COMPUTED_VALUE"""),"C#")</f>
        <v>C#</v>
      </c>
      <c r="J3791" s="9" t="str">
        <f>IFERROR(__xludf.DUMMYFUNCTION("""COMPUTED_VALUE"""),"Assembly")</f>
        <v>Assembly</v>
      </c>
      <c r="K3791" s="9" t="str">
        <f>IFERROR(__xludf.DUMMYFUNCTION("""COMPUTED_VALUE"""),"C")</f>
        <v>C</v>
      </c>
      <c r="L3791" s="9" t="str">
        <f>IFERROR(__xludf.DUMMYFUNCTION("""COMPUTED_VALUE"""),"C")</f>
        <v>C</v>
      </c>
      <c r="M3791" s="9" t="s">
        <v>20</v>
      </c>
    </row>
    <row r="3792" ht="15.75" customHeight="1">
      <c r="A3792" s="7"/>
      <c r="B3792" s="7" t="str">
        <f>IFERROR(__xludf.DUMMYFUNCTION("""COMPUTED_VALUE"""),"C#;HTML/CSS;Java;JavaScript;Kotlin;Python;SQL")</f>
        <v>C#;HTML/CSS;Java;JavaScript;Kotlin;Python;SQL</v>
      </c>
      <c r="C3792" s="9" t="str">
        <f>IFERROR(__xludf.DUMMYFUNCTION("""COMPUTED_VALUE"""),"JavaScript")</f>
        <v>JavaScript</v>
      </c>
      <c r="D3792" s="9" t="str">
        <f>IFERROR(__xludf.DUMMYFUNCTION("""COMPUTED_VALUE"""),"Ruby")</f>
        <v>Ruby</v>
      </c>
      <c r="E3792" s="9" t="str">
        <f>IFERROR(__xludf.DUMMYFUNCTION("""COMPUTED_VALUE"""),"HTML/CSS")</f>
        <v>HTML/CSS</v>
      </c>
      <c r="F3792" s="9" t="str">
        <f>IFERROR(__xludf.DUMMYFUNCTION("""COMPUTED_VALUE"""),"Python")</f>
        <v>Python</v>
      </c>
      <c r="G3792" s="9" t="str">
        <f>IFERROR(__xludf.DUMMYFUNCTION("""COMPUTED_VALUE"""),"Elixir")</f>
        <v>Elixir</v>
      </c>
      <c r="H3792" s="9" t="str">
        <f>IFERROR(__xludf.DUMMYFUNCTION("""COMPUTED_VALUE"""),"Java")</f>
        <v>Java</v>
      </c>
      <c r="I3792" s="9" t="str">
        <f>IFERROR(__xludf.DUMMYFUNCTION("""COMPUTED_VALUE"""),"HTML/CSS")</f>
        <v>HTML/CSS</v>
      </c>
      <c r="J3792" s="9" t="str">
        <f>IFERROR(__xludf.DUMMYFUNCTION("""COMPUTED_VALUE"""),"C++")</f>
        <v>C++</v>
      </c>
      <c r="K3792" s="9" t="str">
        <f>IFERROR(__xludf.DUMMYFUNCTION("""COMPUTED_VALUE"""),"C++")</f>
        <v>C++</v>
      </c>
      <c r="L3792" s="9" t="str">
        <f>IFERROR(__xludf.DUMMYFUNCTION("""COMPUTED_VALUE"""),"C++")</f>
        <v>C++</v>
      </c>
      <c r="M3792" s="9" t="s">
        <v>21</v>
      </c>
    </row>
    <row r="3793" ht="15.75" customHeight="1">
      <c r="A3793" s="7"/>
      <c r="B3793" s="7" t="str">
        <f>IFERROR(__xludf.DUMMYFUNCTION("""COMPUTED_VALUE"""),"Bash/Shell/PowerShell;C;C++;Dart;HTML/CSS;Java;JavaScript;Python;SQL")</f>
        <v>Bash/Shell/PowerShell;C;C++;Dart;HTML/CSS;Java;JavaScript;Python;SQL</v>
      </c>
      <c r="C3793" s="9" t="str">
        <f>IFERROR(__xludf.DUMMYFUNCTION("""COMPUTED_VALUE"""),"PHP")</f>
        <v>PHP</v>
      </c>
      <c r="D3793" s="9" t="str">
        <f>IFERROR(__xludf.DUMMYFUNCTION("""COMPUTED_VALUE"""),"Bash/Shell/PowerShell")</f>
        <v>Bash/Shell/PowerShell</v>
      </c>
      <c r="E3793" s="9" t="str">
        <f>IFERROR(__xludf.DUMMYFUNCTION("""COMPUTED_VALUE"""),"JavaScript")</f>
        <v>JavaScript</v>
      </c>
      <c r="F3793" s="9" t="str">
        <f>IFERROR(__xludf.DUMMYFUNCTION("""COMPUTED_VALUE"""),"TypeScript")</f>
        <v>TypeScript</v>
      </c>
      <c r="G3793" s="9" t="str">
        <f>IFERROR(__xludf.DUMMYFUNCTION("""COMPUTED_VALUE"""),"HTML/CSS")</f>
        <v>HTML/CSS</v>
      </c>
      <c r="H3793" s="9" t="str">
        <f>IFERROR(__xludf.DUMMYFUNCTION("""COMPUTED_VALUE"""),"JavaScript")</f>
        <v>JavaScript</v>
      </c>
      <c r="I3793" s="9" t="str">
        <f>IFERROR(__xludf.DUMMYFUNCTION("""COMPUTED_VALUE"""),"JavaScript")</f>
        <v>JavaScript</v>
      </c>
      <c r="J3793" s="9" t="str">
        <f>IFERROR(__xludf.DUMMYFUNCTION("""COMPUTED_VALUE"""),"HTML/CSS")</f>
        <v>HTML/CSS</v>
      </c>
      <c r="K3793" s="9" t="str">
        <f>IFERROR(__xludf.DUMMYFUNCTION("""COMPUTED_VALUE"""),"Go")</f>
        <v>Go</v>
      </c>
      <c r="L3793" s="9" t="str">
        <f>IFERROR(__xludf.DUMMYFUNCTION("""COMPUTED_VALUE"""),"C#")</f>
        <v>C#</v>
      </c>
      <c r="M3793" s="9" t="s">
        <v>37</v>
      </c>
    </row>
    <row r="3794" ht="15.75" customHeight="1">
      <c r="A3794" s="7"/>
      <c r="B3794" s="7" t="str">
        <f>IFERROR(__xludf.DUMMYFUNCTION("""COMPUTED_VALUE"""),"C#;Elixir;Erlang;Java;JavaScript;TypeScript")</f>
        <v>C#;Elixir;Erlang;Java;JavaScript;TypeScript</v>
      </c>
      <c r="C3794" s="9" t="str">
        <f>IFERROR(__xludf.DUMMYFUNCTION("""COMPUTED_VALUE"""),"Python")</f>
        <v>Python</v>
      </c>
      <c r="D3794" s="9" t="str">
        <f>IFERROR(__xludf.DUMMYFUNCTION("""COMPUTED_VALUE"""),"C")</f>
        <v>C</v>
      </c>
      <c r="E3794" s="9" t="str">
        <f>IFERROR(__xludf.DUMMYFUNCTION("""COMPUTED_VALUE"""),"Python")</f>
        <v>Python</v>
      </c>
      <c r="F3794" s="9" t="str">
        <f>IFERROR(__xludf.DUMMYFUNCTION("""COMPUTED_VALUE"""),"HTML/CSS")</f>
        <v>HTML/CSS</v>
      </c>
      <c r="G3794" s="9" t="str">
        <f>IFERROR(__xludf.DUMMYFUNCTION("""COMPUTED_VALUE"""),"JavaScript")</f>
        <v>JavaScript</v>
      </c>
      <c r="H3794" s="9" t="str">
        <f>IFERROR(__xludf.DUMMYFUNCTION("""COMPUTED_VALUE"""),"C")</f>
        <v>C</v>
      </c>
      <c r="I3794" s="9" t="str">
        <f>IFERROR(__xludf.DUMMYFUNCTION("""COMPUTED_VALUE"""),"Ruby")</f>
        <v>Ruby</v>
      </c>
      <c r="J3794" s="9" t="str">
        <f>IFERROR(__xludf.DUMMYFUNCTION("""COMPUTED_VALUE"""),"Java")</f>
        <v>Java</v>
      </c>
      <c r="K3794" s="9" t="str">
        <f>IFERROR(__xludf.DUMMYFUNCTION("""COMPUTED_VALUE"""),"JavaScript")</f>
        <v>JavaScript</v>
      </c>
      <c r="L3794" s="9" t="str">
        <f>IFERROR(__xludf.DUMMYFUNCTION("""COMPUTED_VALUE"""),"HTML/CSS")</f>
        <v>HTML/CSS</v>
      </c>
      <c r="M3794" s="9" t="s">
        <v>22</v>
      </c>
    </row>
    <row r="3795" ht="15.75" customHeight="1">
      <c r="A3795" s="7"/>
      <c r="B3795" s="7" t="str">
        <f>IFERROR(__xludf.DUMMYFUNCTION("""COMPUTED_VALUE"""),"Bash/Shell/PowerShell;C;Python;Other(s):")</f>
        <v>Bash/Shell/PowerShell;C;Python;Other(s):</v>
      </c>
      <c r="C3795" s="9" t="str">
        <f>IFERROR(__xludf.DUMMYFUNCTION("""COMPUTED_VALUE"""),"R")</f>
        <v>R</v>
      </c>
      <c r="D3795" s="9" t="str">
        <f>IFERROR(__xludf.DUMMYFUNCTION("""COMPUTED_VALUE"""),"HTML/CSS")</f>
        <v>HTML/CSS</v>
      </c>
      <c r="E3795" s="9" t="str">
        <f>IFERROR(__xludf.DUMMYFUNCTION("""COMPUTED_VALUE"""),"Clojure")</f>
        <v>Clojure</v>
      </c>
      <c r="F3795" s="9" t="str">
        <f>IFERROR(__xludf.DUMMYFUNCTION("""COMPUTED_VALUE"""),"JavaScript")</f>
        <v>JavaScript</v>
      </c>
      <c r="G3795" s="9" t="str">
        <f>IFERROR(__xludf.DUMMYFUNCTION("""COMPUTED_VALUE"""),"PHP")</f>
        <v>PHP</v>
      </c>
      <c r="H3795" s="9" t="str">
        <f>IFERROR(__xludf.DUMMYFUNCTION("""COMPUTED_VALUE"""),"C++")</f>
        <v>C++</v>
      </c>
      <c r="I3795" s="9" t="str">
        <f>IFERROR(__xludf.DUMMYFUNCTION("""COMPUTED_VALUE"""),"SQL")</f>
        <v>SQL</v>
      </c>
      <c r="J3795" s="9" t="str">
        <f>IFERROR(__xludf.DUMMYFUNCTION("""COMPUTED_VALUE"""),"PHP")</f>
        <v>PHP</v>
      </c>
      <c r="K3795" s="9" t="str">
        <f>IFERROR(__xludf.DUMMYFUNCTION("""COMPUTED_VALUE"""),"Python")</f>
        <v>Python</v>
      </c>
      <c r="L3795" s="9" t="str">
        <f>IFERROR(__xludf.DUMMYFUNCTION("""COMPUTED_VALUE"""),"JavaScript")</f>
        <v>JavaScript</v>
      </c>
      <c r="M3795" s="9" t="s">
        <v>29</v>
      </c>
    </row>
    <row r="3796" ht="15.75" customHeight="1">
      <c r="A3796" s="7"/>
      <c r="B3796" s="7" t="str">
        <f>IFERROR(__xludf.DUMMYFUNCTION("""COMPUTED_VALUE"""),"C#;HTML/CSS;JavaScript;PHP;Python;Ruby;SQL;TypeScript")</f>
        <v>C#;HTML/CSS;JavaScript;PHP;Python;Ruby;SQL;TypeScript</v>
      </c>
      <c r="C3796" s="9" t="str">
        <f>IFERROR(__xludf.DUMMYFUNCTION("""COMPUTED_VALUE"""),"Ruby")</f>
        <v>Ruby</v>
      </c>
      <c r="D3796" s="9" t="str">
        <f>IFERROR(__xludf.DUMMYFUNCTION("""COMPUTED_VALUE"""),"Java")</f>
        <v>Java</v>
      </c>
      <c r="E3796" s="9" t="str">
        <f>IFERROR(__xludf.DUMMYFUNCTION("""COMPUTED_VALUE"""),"Elixir")</f>
        <v>Elixir</v>
      </c>
      <c r="F3796" s="9" t="str">
        <f>IFERROR(__xludf.DUMMYFUNCTION("""COMPUTED_VALUE"""),"Kotlin")</f>
        <v>Kotlin</v>
      </c>
      <c r="G3796" s="9" t="str">
        <f>IFERROR(__xludf.DUMMYFUNCTION("""COMPUTED_VALUE"""),"Python")</f>
        <v>Python</v>
      </c>
      <c r="H3796" s="9" t="str">
        <f>IFERROR(__xludf.DUMMYFUNCTION("""COMPUTED_VALUE"""),"C#")</f>
        <v>C#</v>
      </c>
      <c r="I3796" s="9" t="str">
        <f>IFERROR(__xludf.DUMMYFUNCTION("""COMPUTED_VALUE"""),"Java")</f>
        <v>Java</v>
      </c>
      <c r="J3796" s="9" t="str">
        <f>IFERROR(__xludf.DUMMYFUNCTION("""COMPUTED_VALUE"""),"SQL")</f>
        <v>SQL</v>
      </c>
      <c r="K3796" s="9" t="str">
        <f>IFERROR(__xludf.DUMMYFUNCTION("""COMPUTED_VALUE"""),"Rust")</f>
        <v>Rust</v>
      </c>
      <c r="L3796" s="9" t="str">
        <f>IFERROR(__xludf.DUMMYFUNCTION("""COMPUTED_VALUE"""),"PHP")</f>
        <v>PHP</v>
      </c>
      <c r="M3796" s="9" t="s">
        <v>31</v>
      </c>
    </row>
    <row r="3797" ht="15.75" customHeight="1">
      <c r="A3797" s="7"/>
      <c r="B3797" s="7" t="str">
        <f>IFERROR(__xludf.DUMMYFUNCTION("""COMPUTED_VALUE"""),"HTML/CSS;Java;JavaScript;PHP;Python;SQL;TypeScript")</f>
        <v>HTML/CSS;Java;JavaScript;PHP;Python;SQL;TypeScript</v>
      </c>
      <c r="C3797" s="9" t="str">
        <f>IFERROR(__xludf.DUMMYFUNCTION("""COMPUTED_VALUE"""),"SQL")</f>
        <v>SQL</v>
      </c>
      <c r="D3797" s="9" t="str">
        <f>IFERROR(__xludf.DUMMYFUNCTION("""COMPUTED_VALUE"""),"JavaScript")</f>
        <v>JavaScript</v>
      </c>
      <c r="E3797" s="9" t="str">
        <f>IFERROR(__xludf.DUMMYFUNCTION("""COMPUTED_VALUE"""),"HTML/CSS")</f>
        <v>HTML/CSS</v>
      </c>
      <c r="F3797" s="9" t="str">
        <f>IFERROR(__xludf.DUMMYFUNCTION("""COMPUTED_VALUE"""),"Python")</f>
        <v>Python</v>
      </c>
      <c r="G3797" s="9" t="str">
        <f>IFERROR(__xludf.DUMMYFUNCTION("""COMPUTED_VALUE"""),"Ruby")</f>
        <v>Ruby</v>
      </c>
      <c r="H3797" s="9" t="str">
        <f>IFERROR(__xludf.DUMMYFUNCTION("""COMPUTED_VALUE"""),"Dart")</f>
        <v>Dart</v>
      </c>
      <c r="I3797" s="9" t="str">
        <f>IFERROR(__xludf.DUMMYFUNCTION("""COMPUTED_VALUE"""),"Kotlin")</f>
        <v>Kotlin</v>
      </c>
      <c r="J3797" s="9" t="str">
        <f>IFERROR(__xludf.DUMMYFUNCTION("""COMPUTED_VALUE"""),"C#")</f>
        <v>C#</v>
      </c>
      <c r="K3797" s="9" t="str">
        <f>IFERROR(__xludf.DUMMYFUNCTION("""COMPUTED_VALUE"""),"SQL")</f>
        <v>SQL</v>
      </c>
      <c r="L3797" s="9" t="str">
        <f>IFERROR(__xludf.DUMMYFUNCTION("""COMPUTED_VALUE"""),"SQL")</f>
        <v>SQL</v>
      </c>
      <c r="M3797" s="9" t="s">
        <v>27</v>
      </c>
    </row>
    <row r="3798" ht="15.75" customHeight="1">
      <c r="A3798" s="7"/>
      <c r="B3798" s="7" t="str">
        <f>IFERROR(__xludf.DUMMYFUNCTION("""COMPUTED_VALUE"""),"C#;HTML/CSS;Java;JavaScript;Python;SQL")</f>
        <v>C#;HTML/CSS;Java;JavaScript;Python;SQL</v>
      </c>
      <c r="C3798" s="9" t="str">
        <f>IFERROR(__xludf.DUMMYFUNCTION("""COMPUTED_VALUE"""),"TypeScript")</f>
        <v>TypeScript</v>
      </c>
      <c r="D3798" s="9" t="str">
        <f>IFERROR(__xludf.DUMMYFUNCTION("""COMPUTED_VALUE"""),"PHP")</f>
        <v>PHP</v>
      </c>
      <c r="E3798" s="9" t="str">
        <f>IFERROR(__xludf.DUMMYFUNCTION("""COMPUTED_VALUE"""),"JavaScript")</f>
        <v>JavaScript</v>
      </c>
      <c r="F3798" s="9" t="str">
        <f>IFERROR(__xludf.DUMMYFUNCTION("""COMPUTED_VALUE"""),"C++")</f>
        <v>C++</v>
      </c>
      <c r="G3798" s="9" t="str">
        <f>IFERROR(__xludf.DUMMYFUNCTION("""COMPUTED_VALUE"""),"SQL")</f>
        <v>SQL</v>
      </c>
      <c r="H3798" s="9" t="str">
        <f>IFERROR(__xludf.DUMMYFUNCTION("""COMPUTED_VALUE"""),"HTML/CSS")</f>
        <v>HTML/CSS</v>
      </c>
      <c r="I3798" s="9" t="str">
        <f>IFERROR(__xludf.DUMMYFUNCTION("""COMPUTED_VALUE"""),"Bash/Shell/PowerShell")</f>
        <v>Bash/Shell/PowerShell</v>
      </c>
      <c r="J3798" s="9" t="str">
        <f>IFERROR(__xludf.DUMMYFUNCTION("""COMPUTED_VALUE"""),"HTML/CSS")</f>
        <v>HTML/CSS</v>
      </c>
      <c r="K3798" s="9" t="str">
        <f>IFERROR(__xludf.DUMMYFUNCTION("""COMPUTED_VALUE"""),"TypeScript")</f>
        <v>TypeScript</v>
      </c>
      <c r="L3798" s="9" t="str">
        <f>IFERROR(__xludf.DUMMYFUNCTION("""COMPUTED_VALUE"""),"HTML/CSS")</f>
        <v>HTML/CSS</v>
      </c>
      <c r="M3798" s="9" t="s">
        <v>33</v>
      </c>
    </row>
    <row r="3799" ht="15.75" customHeight="1">
      <c r="A3799" s="7"/>
      <c r="B3799" s="7" t="str">
        <f>IFERROR(__xludf.DUMMYFUNCTION("""COMPUTED_VALUE"""),"Bash/Shell/PowerShell;C;C++;Objective-C;Swift")</f>
        <v>Bash/Shell/PowerShell;C;C++;Objective-C;Swift</v>
      </c>
      <c r="C3799" s="9" t="str">
        <f>IFERROR(__xludf.DUMMYFUNCTION("""COMPUTED_VALUE"""),"Go")</f>
        <v>Go</v>
      </c>
      <c r="D3799" s="9" t="str">
        <f>IFERROR(__xludf.DUMMYFUNCTION("""COMPUTED_VALUE"""),"Python")</f>
        <v>Python</v>
      </c>
      <c r="E3799" s="9" t="str">
        <f>IFERROR(__xludf.DUMMYFUNCTION("""COMPUTED_VALUE"""),"Python")</f>
        <v>Python</v>
      </c>
      <c r="F3799" s="9" t="str">
        <f>IFERROR(__xludf.DUMMYFUNCTION("""COMPUTED_VALUE"""),"C#")</f>
        <v>C#</v>
      </c>
      <c r="G3799" s="9" t="str">
        <f>IFERROR(__xludf.DUMMYFUNCTION("""COMPUTED_VALUE"""),"TypeScript")</f>
        <v>TypeScript</v>
      </c>
      <c r="H3799" s="9" t="str">
        <f>IFERROR(__xludf.DUMMYFUNCTION("""COMPUTED_VALUE"""),"Java")</f>
        <v>Java</v>
      </c>
      <c r="I3799" s="9" t="str">
        <f>IFERROR(__xludf.DUMMYFUNCTION("""COMPUTED_VALUE"""),"HTML/CSS")</f>
        <v>HTML/CSS</v>
      </c>
      <c r="J3799" s="9" t="str">
        <f>IFERROR(__xludf.DUMMYFUNCTION("""COMPUTED_VALUE"""),"SQL")</f>
        <v>SQL</v>
      </c>
      <c r="K3799" s="9" t="str">
        <f>IFERROR(__xludf.DUMMYFUNCTION("""COMPUTED_VALUE"""),"HTML/CSS")</f>
        <v>HTML/CSS</v>
      </c>
      <c r="L3799" s="9" t="str">
        <f>IFERROR(__xludf.DUMMYFUNCTION("""COMPUTED_VALUE"""),"JavaScript")</f>
        <v>JavaScript</v>
      </c>
      <c r="M3799" s="9" t="s">
        <v>36</v>
      </c>
    </row>
    <row r="3800" ht="15.75" customHeight="1">
      <c r="A3800" s="7"/>
      <c r="B3800" s="7" t="str">
        <f>IFERROR(__xludf.DUMMYFUNCTION("""COMPUTED_VALUE"""),"Bash/Shell/PowerShell;HTML/CSS;JavaScript;PHP;SQL")</f>
        <v>Bash/Shell/PowerShell;HTML/CSS;JavaScript;PHP;SQL</v>
      </c>
      <c r="C3800" s="9" t="str">
        <f>IFERROR(__xludf.DUMMYFUNCTION("""COMPUTED_VALUE"""),"HTML/CSS")</f>
        <v>HTML/CSS</v>
      </c>
      <c r="D3800" s="9" t="str">
        <f>IFERROR(__xludf.DUMMYFUNCTION("""COMPUTED_VALUE"""),"SQL")</f>
        <v>SQL</v>
      </c>
      <c r="E3800" s="9" t="str">
        <f>IFERROR(__xludf.DUMMYFUNCTION("""COMPUTED_VALUE"""),"R")</f>
        <v>R</v>
      </c>
      <c r="F3800" s="9" t="str">
        <f>IFERROR(__xludf.DUMMYFUNCTION("""COMPUTED_VALUE"""),"HTML/CSS")</f>
        <v>HTML/CSS</v>
      </c>
      <c r="G3800" s="9" t="str">
        <f>IFERROR(__xludf.DUMMYFUNCTION("""COMPUTED_VALUE"""),"HTML/CSS")</f>
        <v>HTML/CSS</v>
      </c>
      <c r="H3800" s="9" t="str">
        <f>IFERROR(__xludf.DUMMYFUNCTION("""COMPUTED_VALUE"""),"JavaScript")</f>
        <v>JavaScript</v>
      </c>
      <c r="I3800" s="9" t="str">
        <f>IFERROR(__xludf.DUMMYFUNCTION("""COMPUTED_VALUE"""),"Java")</f>
        <v>Java</v>
      </c>
      <c r="J3800" s="9" t="str">
        <f>IFERROR(__xludf.DUMMYFUNCTION("""COMPUTED_VALUE"""),"C#")</f>
        <v>C#</v>
      </c>
      <c r="K3800" s="9" t="str">
        <f>IFERROR(__xludf.DUMMYFUNCTION("""COMPUTED_VALUE"""),"JavaScript")</f>
        <v>JavaScript</v>
      </c>
      <c r="L3800" s="9" t="str">
        <f>IFERROR(__xludf.DUMMYFUNCTION("""COMPUTED_VALUE"""),"Other(s):")</f>
        <v>Other(s):</v>
      </c>
      <c r="M3800" s="9" t="s">
        <v>24</v>
      </c>
    </row>
    <row r="3801" ht="15.75" customHeight="1">
      <c r="A3801" s="7"/>
      <c r="B3801" s="7" t="str">
        <f>IFERROR(__xludf.DUMMYFUNCTION("""COMPUTED_VALUE"""),"HTML/CSS;JavaScript;Python")</f>
        <v>HTML/CSS;JavaScript;Python</v>
      </c>
      <c r="C3801" s="9" t="str">
        <f>IFERROR(__xludf.DUMMYFUNCTION("""COMPUTED_VALUE"""),"JavaScript")</f>
        <v>JavaScript</v>
      </c>
      <c r="D3801" s="9" t="str">
        <f>IFERROR(__xludf.DUMMYFUNCTION("""COMPUTED_VALUE"""),"VBA")</f>
        <v>VBA</v>
      </c>
      <c r="E3801" s="9" t="str">
        <f>IFERROR(__xludf.DUMMYFUNCTION("""COMPUTED_VALUE"""),"Rust")</f>
        <v>Rust</v>
      </c>
      <c r="F3801" s="9" t="str">
        <f>IFERROR(__xludf.DUMMYFUNCTION("""COMPUTED_VALUE"""),"JavaScript")</f>
        <v>JavaScript</v>
      </c>
      <c r="G3801" s="9" t="str">
        <f>IFERROR(__xludf.DUMMYFUNCTION("""COMPUTED_VALUE"""),"Java")</f>
        <v>Java</v>
      </c>
      <c r="H3801" s="9" t="str">
        <f>IFERROR(__xludf.DUMMYFUNCTION("""COMPUTED_VALUE"""),"Kotlin")</f>
        <v>Kotlin</v>
      </c>
      <c r="I3801" s="9" t="str">
        <f>IFERROR(__xludf.DUMMYFUNCTION("""COMPUTED_VALUE"""),"JavaScript")</f>
        <v>JavaScript</v>
      </c>
      <c r="J3801" s="9" t="str">
        <f>IFERROR(__xludf.DUMMYFUNCTION("""COMPUTED_VALUE"""),"HTML/CSS")</f>
        <v>HTML/CSS</v>
      </c>
      <c r="K3801" s="9" t="str">
        <f>IFERROR(__xludf.DUMMYFUNCTION("""COMPUTED_VALUE"""),"R")</f>
        <v>R</v>
      </c>
      <c r="L3801" s="9" t="str">
        <f>IFERROR(__xludf.DUMMYFUNCTION("""COMPUTED_VALUE"""),"Bash/Shell/PowerShell")</f>
        <v>Bash/Shell/PowerShell</v>
      </c>
      <c r="M3801" s="9" t="s">
        <v>21</v>
      </c>
    </row>
    <row r="3802" ht="15.75" customHeight="1">
      <c r="A3802" s="7"/>
      <c r="B3802" s="7" t="str">
        <f>IFERROR(__xludf.DUMMYFUNCTION("""COMPUTED_VALUE"""),"JavaScript;Objective-C;Swift")</f>
        <v>JavaScript;Objective-C;Swift</v>
      </c>
      <c r="C3802" s="9" t="str">
        <f>IFERROR(__xludf.DUMMYFUNCTION("""COMPUTED_VALUE"""),"Python")</f>
        <v>Python</v>
      </c>
      <c r="D3802" s="9" t="str">
        <f>IFERROR(__xludf.DUMMYFUNCTION("""COMPUTED_VALUE"""),"Bash/Shell/PowerShell")</f>
        <v>Bash/Shell/PowerShell</v>
      </c>
      <c r="E3802" s="9" t="str">
        <f>IFERROR(__xludf.DUMMYFUNCTION("""COMPUTED_VALUE"""),"SQL")</f>
        <v>SQL</v>
      </c>
      <c r="F3802" s="9" t="str">
        <f>IFERROR(__xludf.DUMMYFUNCTION("""COMPUTED_VALUE"""),"Python")</f>
        <v>Python</v>
      </c>
      <c r="G3802" s="9" t="str">
        <f>IFERROR(__xludf.DUMMYFUNCTION("""COMPUTED_VALUE"""),"JavaScript")</f>
        <v>JavaScript</v>
      </c>
      <c r="H3802" s="9" t="str">
        <f>IFERROR(__xludf.DUMMYFUNCTION("""COMPUTED_VALUE"""),"Python")</f>
        <v>Python</v>
      </c>
      <c r="I3802" s="9" t="str">
        <f>IFERROR(__xludf.DUMMYFUNCTION("""COMPUTED_VALUE"""),"SQL")</f>
        <v>SQL</v>
      </c>
      <c r="J3802" s="9" t="str">
        <f>IFERROR(__xludf.DUMMYFUNCTION("""COMPUTED_VALUE"""),"JavaScript")</f>
        <v>JavaScript</v>
      </c>
      <c r="K3802" s="9" t="str">
        <f>IFERROR(__xludf.DUMMYFUNCTION("""COMPUTED_VALUE"""),"C")</f>
        <v>C</v>
      </c>
      <c r="L3802" s="9" t="str">
        <f>IFERROR(__xludf.DUMMYFUNCTION("""COMPUTED_VALUE"""),"C++")</f>
        <v>C++</v>
      </c>
      <c r="M3802" s="9" t="s">
        <v>22</v>
      </c>
    </row>
    <row r="3803" ht="15.75" customHeight="1">
      <c r="A3803" s="7"/>
      <c r="B3803" s="7" t="str">
        <f>IFERROR(__xludf.DUMMYFUNCTION("""COMPUTED_VALUE"""),"HTML/CSS;JavaScript;SQL")</f>
        <v>HTML/CSS;JavaScript;SQL</v>
      </c>
      <c r="C3803" s="9" t="str">
        <f>IFERROR(__xludf.DUMMYFUNCTION("""COMPUTED_VALUE"""),"Ruby")</f>
        <v>Ruby</v>
      </c>
      <c r="D3803" s="9" t="str">
        <f>IFERROR(__xludf.DUMMYFUNCTION("""COMPUTED_VALUE"""),"Python")</f>
        <v>Python</v>
      </c>
      <c r="E3803" s="9" t="str">
        <f>IFERROR(__xludf.DUMMYFUNCTION("""COMPUTED_VALUE"""),"TypeScript")</f>
        <v>TypeScript</v>
      </c>
      <c r="F3803" s="9" t="str">
        <f>IFERROR(__xludf.DUMMYFUNCTION("""COMPUTED_VALUE"""),"SQL")</f>
        <v>SQL</v>
      </c>
      <c r="G3803" s="9" t="str">
        <f>IFERROR(__xludf.DUMMYFUNCTION("""COMPUTED_VALUE"""),"SQL")</f>
        <v>SQL</v>
      </c>
      <c r="H3803" s="9" t="str">
        <f>IFERROR(__xludf.DUMMYFUNCTION("""COMPUTED_VALUE"""),"Swift")</f>
        <v>Swift</v>
      </c>
      <c r="I3803" s="9" t="str">
        <f>IFERROR(__xludf.DUMMYFUNCTION("""COMPUTED_VALUE"""),"Java")</f>
        <v>Java</v>
      </c>
      <c r="J3803" s="9" t="str">
        <f>IFERROR(__xludf.DUMMYFUNCTION("""COMPUTED_VALUE"""),"SQL")</f>
        <v>SQL</v>
      </c>
      <c r="K3803" s="9" t="str">
        <f>IFERROR(__xludf.DUMMYFUNCTION("""COMPUTED_VALUE"""),"Bash/Shell/PowerShell")</f>
        <v>Bash/Shell/PowerShell</v>
      </c>
      <c r="L3803" s="9" t="str">
        <f>IFERROR(__xludf.DUMMYFUNCTION("""COMPUTED_VALUE"""),"C#")</f>
        <v>C#</v>
      </c>
      <c r="M3803" s="9" t="s">
        <v>31</v>
      </c>
    </row>
    <row r="3804" ht="15.75" customHeight="1">
      <c r="A3804" s="7"/>
      <c r="B3804" s="7" t="str">
        <f>IFERROR(__xludf.DUMMYFUNCTION("""COMPUTED_VALUE"""),"HTML/CSS;JavaScript;Python;R;SQL")</f>
        <v>HTML/CSS;JavaScript;Python;R;SQL</v>
      </c>
      <c r="C3804" s="9" t="str">
        <f>IFERROR(__xludf.DUMMYFUNCTION("""COMPUTED_VALUE"""),"SQL")</f>
        <v>SQL</v>
      </c>
      <c r="D3804" s="9" t="str">
        <f>IFERROR(__xludf.DUMMYFUNCTION("""COMPUTED_VALUE"""),"SQL")</f>
        <v>SQL</v>
      </c>
      <c r="E3804" s="9" t="str">
        <f>IFERROR(__xludf.DUMMYFUNCTION("""COMPUTED_VALUE"""),"C#")</f>
        <v>C#</v>
      </c>
      <c r="F3804" s="9" t="str">
        <f>IFERROR(__xludf.DUMMYFUNCTION("""COMPUTED_VALUE"""),"Bash/Shell/PowerShell")</f>
        <v>Bash/Shell/PowerShell</v>
      </c>
      <c r="G3804" s="9" t="str">
        <f>IFERROR(__xludf.DUMMYFUNCTION("""COMPUTED_VALUE"""),"Clojure")</f>
        <v>Clojure</v>
      </c>
      <c r="H3804" s="9" t="str">
        <f>IFERROR(__xludf.DUMMYFUNCTION("""COMPUTED_VALUE"""),"TypeScript")</f>
        <v>TypeScript</v>
      </c>
      <c r="I3804" s="9" t="str">
        <f>IFERROR(__xludf.DUMMYFUNCTION("""COMPUTED_VALUE"""),"C#")</f>
        <v>C#</v>
      </c>
      <c r="J3804" s="9" t="str">
        <f>IFERROR(__xludf.DUMMYFUNCTION("""COMPUTED_VALUE"""),"TypeScript")</f>
        <v>TypeScript</v>
      </c>
      <c r="K3804" s="9" t="str">
        <f>IFERROR(__xludf.DUMMYFUNCTION("""COMPUTED_VALUE"""),"C#")</f>
        <v>C#</v>
      </c>
      <c r="L3804" s="9" t="str">
        <f>IFERROR(__xludf.DUMMYFUNCTION("""COMPUTED_VALUE"""),"HTML/CSS")</f>
        <v>HTML/CSS</v>
      </c>
      <c r="M3804" s="9" t="s">
        <v>27</v>
      </c>
    </row>
    <row r="3805" ht="15.75" customHeight="1">
      <c r="A3805" s="7"/>
      <c r="B3805" s="7" t="str">
        <f>IFERROR(__xludf.DUMMYFUNCTION("""COMPUTED_VALUE"""),"HTML/CSS;JavaScript;TypeScript")</f>
        <v>HTML/CSS;JavaScript;TypeScript</v>
      </c>
      <c r="C3805" s="9" t="str">
        <f>IFERROR(__xludf.DUMMYFUNCTION("""COMPUTED_VALUE"""),"Bash/Shell/PowerShell")</f>
        <v>Bash/Shell/PowerShell</v>
      </c>
      <c r="D3805" s="9" t="str">
        <f>IFERROR(__xludf.DUMMYFUNCTION("""COMPUTED_VALUE"""),"Other(s):")</f>
        <v>Other(s):</v>
      </c>
      <c r="E3805" s="9" t="str">
        <f>IFERROR(__xludf.DUMMYFUNCTION("""COMPUTED_VALUE"""),"SQL")</f>
        <v>SQL</v>
      </c>
      <c r="F3805" s="9" t="str">
        <f>IFERROR(__xludf.DUMMYFUNCTION("""COMPUTED_VALUE"""),"C#")</f>
        <v>C#</v>
      </c>
      <c r="G3805" s="9" t="str">
        <f>IFERROR(__xludf.DUMMYFUNCTION("""COMPUTED_VALUE"""),"HTML/CSS")</f>
        <v>HTML/CSS</v>
      </c>
      <c r="H3805" s="9" t="str">
        <f>IFERROR(__xludf.DUMMYFUNCTION("""COMPUTED_VALUE"""),"C")</f>
        <v>C</v>
      </c>
      <c r="I3805" s="9" t="str">
        <f>IFERROR(__xludf.DUMMYFUNCTION("""COMPUTED_VALUE"""),"HTML/CSS")</f>
        <v>HTML/CSS</v>
      </c>
      <c r="J3805" s="9" t="str">
        <f>IFERROR(__xludf.DUMMYFUNCTION("""COMPUTED_VALUE"""),"C++")</f>
        <v>C++</v>
      </c>
      <c r="K3805" s="9" t="str">
        <f>IFERROR(__xludf.DUMMYFUNCTION("""COMPUTED_VALUE"""),"SQL")</f>
        <v>SQL</v>
      </c>
      <c r="L3805" s="9" t="str">
        <f>IFERROR(__xludf.DUMMYFUNCTION("""COMPUTED_VALUE"""),"Java")</f>
        <v>Java</v>
      </c>
      <c r="M3805" s="9" t="s">
        <v>30</v>
      </c>
    </row>
    <row r="3806" ht="15.75" customHeight="1">
      <c r="A3806" s="7"/>
      <c r="B3806" s="7" t="str">
        <f>IFERROR(__xludf.DUMMYFUNCTION("""COMPUTED_VALUE"""),"C#;HTML/CSS;JavaScript;SQL;TypeScript")</f>
        <v>C#;HTML/CSS;JavaScript;SQL;TypeScript</v>
      </c>
      <c r="C3806" s="9" t="str">
        <f>IFERROR(__xludf.DUMMYFUNCTION("""COMPUTED_VALUE"""),"Go")</f>
        <v>Go</v>
      </c>
      <c r="D3806" s="9" t="str">
        <f>IFERROR(__xludf.DUMMYFUNCTION("""COMPUTED_VALUE"""),"HTML/CSS")</f>
        <v>HTML/CSS</v>
      </c>
      <c r="E3806" s="9" t="str">
        <f>IFERROR(__xludf.DUMMYFUNCTION("""COMPUTED_VALUE"""),"Assembly")</f>
        <v>Assembly</v>
      </c>
      <c r="F3806" s="9" t="str">
        <f>IFERROR(__xludf.DUMMYFUNCTION("""COMPUTED_VALUE"""),"Dart")</f>
        <v>Dart</v>
      </c>
      <c r="G3806" s="9" t="str">
        <f>IFERROR(__xludf.DUMMYFUNCTION("""COMPUTED_VALUE"""),"JavaScript")</f>
        <v>JavaScript</v>
      </c>
      <c r="H3806" s="9" t="str">
        <f>IFERROR(__xludf.DUMMYFUNCTION("""COMPUTED_VALUE"""),"C++")</f>
        <v>C++</v>
      </c>
      <c r="I3806" s="9" t="str">
        <f>IFERROR(__xludf.DUMMYFUNCTION("""COMPUTED_VALUE"""),"JavaScript")</f>
        <v>JavaScript</v>
      </c>
      <c r="J3806" s="9" t="str">
        <f>IFERROR(__xludf.DUMMYFUNCTION("""COMPUTED_VALUE"""),"HTML/CSS")</f>
        <v>HTML/CSS</v>
      </c>
      <c r="K3806" s="9" t="str">
        <f>IFERROR(__xludf.DUMMYFUNCTION("""COMPUTED_VALUE"""),"Assembly")</f>
        <v>Assembly</v>
      </c>
      <c r="L3806" s="9" t="str">
        <f>IFERROR(__xludf.DUMMYFUNCTION("""COMPUTED_VALUE"""),"JavaScript")</f>
        <v>JavaScript</v>
      </c>
      <c r="M3806" s="9" t="s">
        <v>36</v>
      </c>
    </row>
    <row r="3807" ht="15.75" customHeight="1">
      <c r="A3807" s="7"/>
      <c r="B3807" s="7" t="str">
        <f>IFERROR(__xludf.DUMMYFUNCTION("""COMPUTED_VALUE"""),"C#;HTML/CSS;JavaScript;Python;TypeScript")</f>
        <v>C#;HTML/CSS;JavaScript;Python;TypeScript</v>
      </c>
      <c r="C3807" s="9" t="str">
        <f>IFERROR(__xludf.DUMMYFUNCTION("""COMPUTED_VALUE"""),"Java")</f>
        <v>Java</v>
      </c>
      <c r="D3807" s="9" t="str">
        <f>IFERROR(__xludf.DUMMYFUNCTION("""COMPUTED_VALUE"""),"JavaScript")</f>
        <v>JavaScript</v>
      </c>
      <c r="E3807" s="9" t="str">
        <f>IFERROR(__xludf.DUMMYFUNCTION("""COMPUTED_VALUE"""),"Bash/Shell/PowerShell")</f>
        <v>Bash/Shell/PowerShell</v>
      </c>
      <c r="F3807" s="9" t="str">
        <f>IFERROR(__xludf.DUMMYFUNCTION("""COMPUTED_VALUE"""),"Other(s):")</f>
        <v>Other(s):</v>
      </c>
      <c r="G3807" s="9" t="str">
        <f>IFERROR(__xludf.DUMMYFUNCTION("""COMPUTED_VALUE"""),"PHP")</f>
        <v>PHP</v>
      </c>
      <c r="H3807" s="9" t="str">
        <f>IFERROR(__xludf.DUMMYFUNCTION("""COMPUTED_VALUE"""),"C#")</f>
        <v>C#</v>
      </c>
      <c r="I3807" s="9" t="str">
        <f>IFERROR(__xludf.DUMMYFUNCTION("""COMPUTED_VALUE"""),"SQL")</f>
        <v>SQL</v>
      </c>
      <c r="J3807" s="9" t="str">
        <f>IFERROR(__xludf.DUMMYFUNCTION("""COMPUTED_VALUE"""),"JavaScript")</f>
        <v>JavaScript</v>
      </c>
      <c r="K3807" s="9" t="str">
        <f>IFERROR(__xludf.DUMMYFUNCTION("""COMPUTED_VALUE"""),"HTML/CSS")</f>
        <v>HTML/CSS</v>
      </c>
      <c r="L3807" s="9" t="str">
        <f>IFERROR(__xludf.DUMMYFUNCTION("""COMPUTED_VALUE"""),"SQL")</f>
        <v>SQL</v>
      </c>
      <c r="M3807" s="9" t="s">
        <v>20</v>
      </c>
    </row>
    <row r="3808" ht="15.75" customHeight="1">
      <c r="A3808" s="7"/>
      <c r="B3808" s="7" t="str">
        <f>IFERROR(__xludf.DUMMYFUNCTION("""COMPUTED_VALUE"""),"Bash/Shell/PowerShell;Elixir;HTML/CSS;JavaScript;Ruby;SQL")</f>
        <v>Bash/Shell/PowerShell;Elixir;HTML/CSS;JavaScript;Ruby;SQL</v>
      </c>
      <c r="C3808" s="9" t="str">
        <f>IFERROR(__xludf.DUMMYFUNCTION("""COMPUTED_VALUE"""),"SQL")</f>
        <v>SQL</v>
      </c>
      <c r="D3808" s="9" t="str">
        <f>IFERROR(__xludf.DUMMYFUNCTION("""COMPUTED_VALUE"""),"PHP")</f>
        <v>PHP</v>
      </c>
      <c r="E3808" s="9" t="str">
        <f>IFERROR(__xludf.DUMMYFUNCTION("""COMPUTED_VALUE"""),"C")</f>
        <v>C</v>
      </c>
      <c r="F3808" s="9" t="str">
        <f>IFERROR(__xludf.DUMMYFUNCTION("""COMPUTED_VALUE"""),"Bash/Shell/PowerShell")</f>
        <v>Bash/Shell/PowerShell</v>
      </c>
      <c r="G3808" s="9" t="str">
        <f>IFERROR(__xludf.DUMMYFUNCTION("""COMPUTED_VALUE"""),"Python")</f>
        <v>Python</v>
      </c>
      <c r="H3808" s="9" t="str">
        <f>IFERROR(__xludf.DUMMYFUNCTION("""COMPUTED_VALUE"""),"HTML/CSS")</f>
        <v>HTML/CSS</v>
      </c>
      <c r="I3808" s="9" t="str">
        <f>IFERROR(__xludf.DUMMYFUNCTION("""COMPUTED_VALUE"""),"TypeScript")</f>
        <v>TypeScript</v>
      </c>
      <c r="J3808" s="9" t="str">
        <f>IFERROR(__xludf.DUMMYFUNCTION("""COMPUTED_VALUE"""),"C++")</f>
        <v>C++</v>
      </c>
      <c r="K3808" s="9" t="str">
        <f>IFERROR(__xludf.DUMMYFUNCTION("""COMPUTED_VALUE"""),"Java")</f>
        <v>Java</v>
      </c>
      <c r="L3808" s="9" t="str">
        <f>IFERROR(__xludf.DUMMYFUNCTION("""COMPUTED_VALUE"""),"TypeScript")</f>
        <v>TypeScript</v>
      </c>
      <c r="M3808" s="9" t="s">
        <v>27</v>
      </c>
    </row>
    <row r="3809" ht="15.75" customHeight="1">
      <c r="A3809" s="7"/>
      <c r="B3809" s="7" t="str">
        <f>IFERROR(__xludf.DUMMYFUNCTION("""COMPUTED_VALUE"""),"C;C++;Java")</f>
        <v>C;C++;Java</v>
      </c>
      <c r="C3809" s="9" t="str">
        <f>IFERROR(__xludf.DUMMYFUNCTION("""COMPUTED_VALUE"""),"C")</f>
        <v>C</v>
      </c>
      <c r="D3809" s="9" t="str">
        <f>IFERROR(__xludf.DUMMYFUNCTION("""COMPUTED_VALUE"""),"SQL")</f>
        <v>SQL</v>
      </c>
      <c r="E3809" s="9" t="str">
        <f>IFERROR(__xludf.DUMMYFUNCTION("""COMPUTED_VALUE"""),"HTML/CSS")</f>
        <v>HTML/CSS</v>
      </c>
      <c r="F3809" s="9" t="str">
        <f>IFERROR(__xludf.DUMMYFUNCTION("""COMPUTED_VALUE"""),"C")</f>
        <v>C</v>
      </c>
      <c r="G3809" s="9" t="str">
        <f>IFERROR(__xludf.DUMMYFUNCTION("""COMPUTED_VALUE"""),"HTML/CSS")</f>
        <v>HTML/CSS</v>
      </c>
      <c r="H3809" s="9" t="str">
        <f>IFERROR(__xludf.DUMMYFUNCTION("""COMPUTED_VALUE"""),"JavaScript")</f>
        <v>JavaScript</v>
      </c>
      <c r="I3809" s="9" t="str">
        <f>IFERROR(__xludf.DUMMYFUNCTION("""COMPUTED_VALUE"""),"HTML/CSS")</f>
        <v>HTML/CSS</v>
      </c>
      <c r="J3809" s="9" t="str">
        <f>IFERROR(__xludf.DUMMYFUNCTION("""COMPUTED_VALUE"""),"HTML/CSS")</f>
        <v>HTML/CSS</v>
      </c>
      <c r="K3809" s="9" t="str">
        <f>IFERROR(__xludf.DUMMYFUNCTION("""COMPUTED_VALUE"""),"JavaScript")</f>
        <v>JavaScript</v>
      </c>
      <c r="L3809" s="9" t="str">
        <f>IFERROR(__xludf.DUMMYFUNCTION("""COMPUTED_VALUE"""),"C#")</f>
        <v>C#</v>
      </c>
      <c r="M3809" s="9" t="s">
        <v>25</v>
      </c>
    </row>
    <row r="3810" ht="15.75" customHeight="1">
      <c r="A3810" s="7"/>
      <c r="B3810" s="7" t="str">
        <f>IFERROR(__xludf.DUMMYFUNCTION("""COMPUTED_VALUE"""),"Bash/Shell/PowerShell;HTML/CSS;Java;JavaScript;Ruby;SQL")</f>
        <v>Bash/Shell/PowerShell;HTML/CSS;Java;JavaScript;Ruby;SQL</v>
      </c>
      <c r="C3810" s="9" t="str">
        <f>IFERROR(__xludf.DUMMYFUNCTION("""COMPUTED_VALUE"""),"C++")</f>
        <v>C++</v>
      </c>
      <c r="D3810" s="9" t="str">
        <f>IFERROR(__xludf.DUMMYFUNCTION("""COMPUTED_VALUE"""),"Other(s):")</f>
        <v>Other(s):</v>
      </c>
      <c r="E3810" s="9" t="str">
        <f>IFERROR(__xludf.DUMMYFUNCTION("""COMPUTED_VALUE"""),"JavaScript")</f>
        <v>JavaScript</v>
      </c>
      <c r="F3810" s="9" t="str">
        <f>IFERROR(__xludf.DUMMYFUNCTION("""COMPUTED_VALUE"""),"C++")</f>
        <v>C++</v>
      </c>
      <c r="G3810" s="9" t="str">
        <f>IFERROR(__xludf.DUMMYFUNCTION("""COMPUTED_VALUE"""),"Java")</f>
        <v>Java</v>
      </c>
      <c r="H3810" s="9" t="str">
        <f>IFERROR(__xludf.DUMMYFUNCTION("""COMPUTED_VALUE"""),"PHP")</f>
        <v>PHP</v>
      </c>
      <c r="I3810" s="9" t="str">
        <f>IFERROR(__xludf.DUMMYFUNCTION("""COMPUTED_VALUE"""),"JavaScript")</f>
        <v>JavaScript</v>
      </c>
      <c r="J3810" s="9" t="str">
        <f>IFERROR(__xludf.DUMMYFUNCTION("""COMPUTED_VALUE"""),"PHP")</f>
        <v>PHP</v>
      </c>
      <c r="K3810" s="9" t="str">
        <f>IFERROR(__xludf.DUMMYFUNCTION("""COMPUTED_VALUE"""),"TypeScript")</f>
        <v>TypeScript</v>
      </c>
      <c r="L3810" s="9" t="str">
        <f>IFERROR(__xludf.DUMMYFUNCTION("""COMPUTED_VALUE"""),"HTML/CSS")</f>
        <v>HTML/CSS</v>
      </c>
      <c r="M3810" s="9" t="s">
        <v>23</v>
      </c>
    </row>
    <row r="3811" ht="15.75" customHeight="1">
      <c r="A3811" s="7"/>
      <c r="B3811" s="7" t="str">
        <f>IFERROR(__xludf.DUMMYFUNCTION("""COMPUTED_VALUE"""),"Swift")</f>
        <v>Swift</v>
      </c>
      <c r="C3811" s="9" t="str">
        <f>IFERROR(__xludf.DUMMYFUNCTION("""COMPUTED_VALUE"""),"C#")</f>
        <v>C#</v>
      </c>
      <c r="D3811" s="9" t="str">
        <f>IFERROR(__xludf.DUMMYFUNCTION("""COMPUTED_VALUE"""),"Clojure")</f>
        <v>Clojure</v>
      </c>
      <c r="E3811" s="9" t="str">
        <f>IFERROR(__xludf.DUMMYFUNCTION("""COMPUTED_VALUE"""),"Python")</f>
        <v>Python</v>
      </c>
      <c r="F3811" s="9" t="str">
        <f>IFERROR(__xludf.DUMMYFUNCTION("""COMPUTED_VALUE"""),"C#")</f>
        <v>C#</v>
      </c>
      <c r="G3811" s="9" t="str">
        <f>IFERROR(__xludf.DUMMYFUNCTION("""COMPUTED_VALUE"""),"JavaScript")</f>
        <v>JavaScript</v>
      </c>
      <c r="H3811" s="9" t="str">
        <f>IFERROR(__xludf.DUMMYFUNCTION("""COMPUTED_VALUE"""),"SQL")</f>
        <v>SQL</v>
      </c>
      <c r="I3811" s="9" t="str">
        <f>IFERROR(__xludf.DUMMYFUNCTION("""COMPUTED_VALUE"""),"PHP")</f>
        <v>PHP</v>
      </c>
      <c r="J3811" s="9" t="str">
        <f>IFERROR(__xludf.DUMMYFUNCTION("""COMPUTED_VALUE"""),"Python")</f>
        <v>Python</v>
      </c>
      <c r="K3811" s="9" t="str">
        <f>IFERROR(__xludf.DUMMYFUNCTION("""COMPUTED_VALUE"""),"C#")</f>
        <v>C#</v>
      </c>
      <c r="L3811" s="9" t="str">
        <f>IFERROR(__xludf.DUMMYFUNCTION("""COMPUTED_VALUE"""),"TypeScript")</f>
        <v>TypeScript</v>
      </c>
      <c r="M3811" s="9" t="s">
        <v>26</v>
      </c>
    </row>
    <row r="3812" ht="15.75" customHeight="1">
      <c r="A3812" s="7"/>
      <c r="B3812" s="7" t="str">
        <f>IFERROR(__xludf.DUMMYFUNCTION("""COMPUTED_VALUE"""),"C;C++;HTML/CSS;Java;JavaScript;Python;SQL")</f>
        <v>C;C++;HTML/CSS;Java;JavaScript;Python;SQL</v>
      </c>
      <c r="C3812" s="9" t="str">
        <f>IFERROR(__xludf.DUMMYFUNCTION("""COMPUTED_VALUE"""),"TypeScript")</f>
        <v>TypeScript</v>
      </c>
      <c r="D3812" s="9" t="str">
        <f>IFERROR(__xludf.DUMMYFUNCTION("""COMPUTED_VALUE"""),"HTML/CSS")</f>
        <v>HTML/CSS</v>
      </c>
      <c r="E3812" s="9" t="str">
        <f>IFERROR(__xludf.DUMMYFUNCTION("""COMPUTED_VALUE"""),"Ruby")</f>
        <v>Ruby</v>
      </c>
      <c r="F3812" s="9" t="str">
        <f>IFERROR(__xludf.DUMMYFUNCTION("""COMPUTED_VALUE"""),"F#")</f>
        <v>F#</v>
      </c>
      <c r="G3812" s="9" t="str">
        <f>IFERROR(__xludf.DUMMYFUNCTION("""COMPUTED_VALUE"""),"Rust")</f>
        <v>Rust</v>
      </c>
      <c r="H3812" s="9" t="str">
        <f>IFERROR(__xludf.DUMMYFUNCTION("""COMPUTED_VALUE"""),"HTML/CSS")</f>
        <v>HTML/CSS</v>
      </c>
      <c r="I3812" s="9" t="str">
        <f>IFERROR(__xludf.DUMMYFUNCTION("""COMPUTED_VALUE"""),"Python")</f>
        <v>Python</v>
      </c>
      <c r="J3812" s="9" t="str">
        <f>IFERROR(__xludf.DUMMYFUNCTION("""COMPUTED_VALUE"""),"C#")</f>
        <v>C#</v>
      </c>
      <c r="K3812" s="9" t="str">
        <f>IFERROR(__xludf.DUMMYFUNCTION("""COMPUTED_VALUE"""),"HTML/CSS")</f>
        <v>HTML/CSS</v>
      </c>
      <c r="L3812" s="9" t="str">
        <f>IFERROR(__xludf.DUMMYFUNCTION("""COMPUTED_VALUE"""),"HTML/CSS")</f>
        <v>HTML/CSS</v>
      </c>
      <c r="M3812" s="9" t="s">
        <v>33</v>
      </c>
    </row>
    <row r="3813" ht="15.75" customHeight="1">
      <c r="A3813" s="7"/>
      <c r="B3813" s="7" t="str">
        <f>IFERROR(__xludf.DUMMYFUNCTION("""COMPUTED_VALUE"""),"C;C++;Python")</f>
        <v>C;C++;Python</v>
      </c>
      <c r="C3813" s="9" t="str">
        <f>IFERROR(__xludf.DUMMYFUNCTION("""COMPUTED_VALUE"""),"Bash/Shell/PowerShell")</f>
        <v>Bash/Shell/PowerShell</v>
      </c>
      <c r="D3813" s="9" t="str">
        <f>IFERROR(__xludf.DUMMYFUNCTION("""COMPUTED_VALUE"""),"JavaScript")</f>
        <v>JavaScript</v>
      </c>
      <c r="E3813" s="9" t="str">
        <f>IFERROR(__xludf.DUMMYFUNCTION("""COMPUTED_VALUE"""),"C")</f>
        <v>C</v>
      </c>
      <c r="F3813" s="9" t="str">
        <f>IFERROR(__xludf.DUMMYFUNCTION("""COMPUTED_VALUE"""),"HTML/CSS")</f>
        <v>HTML/CSS</v>
      </c>
      <c r="G3813" s="9" t="str">
        <f>IFERROR(__xludf.DUMMYFUNCTION("""COMPUTED_VALUE"""),"SQL")</f>
        <v>SQL</v>
      </c>
      <c r="H3813" s="9" t="str">
        <f>IFERROR(__xludf.DUMMYFUNCTION("""COMPUTED_VALUE"""),"Java")</f>
        <v>Java</v>
      </c>
      <c r="I3813" s="9" t="str">
        <f>IFERROR(__xludf.DUMMYFUNCTION("""COMPUTED_VALUE"""),"SQL")</f>
        <v>SQL</v>
      </c>
      <c r="J3813" s="9" t="str">
        <f>IFERROR(__xludf.DUMMYFUNCTION("""COMPUTED_VALUE"""),"HTML/CSS")</f>
        <v>HTML/CSS</v>
      </c>
      <c r="K3813" s="9" t="str">
        <f>IFERROR(__xludf.DUMMYFUNCTION("""COMPUTED_VALUE"""),"SQL")</f>
        <v>SQL</v>
      </c>
      <c r="L3813" s="9" t="str">
        <f>IFERROR(__xludf.DUMMYFUNCTION("""COMPUTED_VALUE"""),"Java")</f>
        <v>Java</v>
      </c>
      <c r="M3813" s="9" t="s">
        <v>30</v>
      </c>
    </row>
    <row r="3814" ht="15.75" customHeight="1">
      <c r="A3814" s="7"/>
      <c r="B3814" s="7" t="str">
        <f>IFERROR(__xludf.DUMMYFUNCTION("""COMPUTED_VALUE"""),"Assembly;Bash/Shell/PowerShell;C;C++;C#;F#;Go;HTML/CSS;Java;JavaScript;PHP;Python;R;Ruby;Scala;SQL;VBA")</f>
        <v>Assembly;Bash/Shell/PowerShell;C;C++;C#;F#;Go;HTML/CSS;Java;JavaScript;PHP;Python;R;Ruby;Scala;SQL;VBA</v>
      </c>
      <c r="C3814" s="9" t="str">
        <f>IFERROR(__xludf.DUMMYFUNCTION("""COMPUTED_VALUE"""),"C")</f>
        <v>C</v>
      </c>
      <c r="D3814" s="9" t="str">
        <f>IFERROR(__xludf.DUMMYFUNCTION("""COMPUTED_VALUE"""),"Python")</f>
        <v>Python</v>
      </c>
      <c r="E3814" s="9" t="str">
        <f>IFERROR(__xludf.DUMMYFUNCTION("""COMPUTED_VALUE"""),"C++")</f>
        <v>C++</v>
      </c>
      <c r="F3814" s="9" t="str">
        <f>IFERROR(__xludf.DUMMYFUNCTION("""COMPUTED_VALUE"""),"JavaScript")</f>
        <v>JavaScript</v>
      </c>
      <c r="G3814" s="9" t="str">
        <f>IFERROR(__xludf.DUMMYFUNCTION("""COMPUTED_VALUE"""),"Bash/Shell/PowerShell")</f>
        <v>Bash/Shell/PowerShell</v>
      </c>
      <c r="H3814" s="9" t="str">
        <f>IFERROR(__xludf.DUMMYFUNCTION("""COMPUTED_VALUE"""),"SQL")</f>
        <v>SQL</v>
      </c>
      <c r="I3814" s="9" t="str">
        <f>IFERROR(__xludf.DUMMYFUNCTION("""COMPUTED_VALUE"""),"Java")</f>
        <v>Java</v>
      </c>
      <c r="J3814" s="9" t="str">
        <f>IFERROR(__xludf.DUMMYFUNCTION("""COMPUTED_VALUE"""),"JavaScript")</f>
        <v>JavaScript</v>
      </c>
      <c r="K3814" s="9" t="str">
        <f>IFERROR(__xludf.DUMMYFUNCTION("""COMPUTED_VALUE"""),"Bash/Shell/PowerShell")</f>
        <v>Bash/Shell/PowerShell</v>
      </c>
      <c r="L3814" s="9" t="str">
        <f>IFERROR(__xludf.DUMMYFUNCTION("""COMPUTED_VALUE"""),"JavaScript")</f>
        <v>JavaScript</v>
      </c>
      <c r="M3814" s="9" t="s">
        <v>25</v>
      </c>
    </row>
    <row r="3815" ht="15.75" customHeight="1">
      <c r="A3815" s="7"/>
      <c r="B3815" s="7" t="str">
        <f>IFERROR(__xludf.DUMMYFUNCTION("""COMPUTED_VALUE"""),"C;C++;C#;HTML/CSS;Java;JavaScript;Objective-C;PHP;Python;SQL")</f>
        <v>C;C++;C#;HTML/CSS;Java;JavaScript;Objective-C;PHP;Python;SQL</v>
      </c>
      <c r="C3815" s="9" t="str">
        <f>IFERROR(__xludf.DUMMYFUNCTION("""COMPUTED_VALUE"""),"C++")</f>
        <v>C++</v>
      </c>
      <c r="D3815" s="9" t="str">
        <f>IFERROR(__xludf.DUMMYFUNCTION("""COMPUTED_VALUE"""),"Bash/Shell/PowerShell")</f>
        <v>Bash/Shell/PowerShell</v>
      </c>
      <c r="E3815" s="9" t="str">
        <f>IFERROR(__xludf.DUMMYFUNCTION("""COMPUTED_VALUE"""),"C#")</f>
        <v>C#</v>
      </c>
      <c r="F3815" s="9" t="str">
        <f>IFERROR(__xludf.DUMMYFUNCTION("""COMPUTED_VALUE"""),"Python")</f>
        <v>Python</v>
      </c>
      <c r="G3815" s="9" t="str">
        <f>IFERROR(__xludf.DUMMYFUNCTION("""COMPUTED_VALUE"""),"C")</f>
        <v>C</v>
      </c>
      <c r="H3815" s="9" t="str">
        <f>IFERROR(__xludf.DUMMYFUNCTION("""COMPUTED_VALUE"""),"Bash/Shell/PowerShell")</f>
        <v>Bash/Shell/PowerShell</v>
      </c>
      <c r="I3815" s="9" t="str">
        <f>IFERROR(__xludf.DUMMYFUNCTION("""COMPUTED_VALUE"""),"HTML/CSS")</f>
        <v>HTML/CSS</v>
      </c>
      <c r="J3815" s="9" t="str">
        <f>IFERROR(__xludf.DUMMYFUNCTION("""COMPUTED_VALUE"""),"VBA")</f>
        <v>VBA</v>
      </c>
      <c r="K3815" s="9" t="str">
        <f>IFERROR(__xludf.DUMMYFUNCTION("""COMPUTED_VALUE"""),"C")</f>
        <v>C</v>
      </c>
      <c r="L3815" s="9" t="str">
        <f>IFERROR(__xludf.DUMMYFUNCTION("""COMPUTED_VALUE"""),"PHP")</f>
        <v>PHP</v>
      </c>
      <c r="M3815" s="9" t="s">
        <v>23</v>
      </c>
    </row>
    <row r="3816" ht="15.75" customHeight="1">
      <c r="A3816" s="7"/>
      <c r="B3816" s="7" t="str">
        <f>IFERROR(__xludf.DUMMYFUNCTION("""COMPUTED_VALUE"""),"C#;HTML/CSS;JavaScript;Python;SQL")</f>
        <v>C#;HTML/CSS;JavaScript;Python;SQL</v>
      </c>
      <c r="C3816" s="9" t="str">
        <f>IFERROR(__xludf.DUMMYFUNCTION("""COMPUTED_VALUE"""),"Go")</f>
        <v>Go</v>
      </c>
      <c r="D3816" s="9" t="str">
        <f>IFERROR(__xludf.DUMMYFUNCTION("""COMPUTED_VALUE"""),"HTML/CSS")</f>
        <v>HTML/CSS</v>
      </c>
      <c r="E3816" s="9" t="str">
        <f>IFERROR(__xludf.DUMMYFUNCTION("""COMPUTED_VALUE"""),"HTML/CSS")</f>
        <v>HTML/CSS</v>
      </c>
      <c r="F3816" s="9" t="str">
        <f>IFERROR(__xludf.DUMMYFUNCTION("""COMPUTED_VALUE"""),"SQL")</f>
        <v>SQL</v>
      </c>
      <c r="G3816" s="9" t="str">
        <f>IFERROR(__xludf.DUMMYFUNCTION("""COMPUTED_VALUE"""),"C++")</f>
        <v>C++</v>
      </c>
      <c r="H3816" s="9" t="str">
        <f>IFERROR(__xludf.DUMMYFUNCTION("""COMPUTED_VALUE"""),"HTML/CSS")</f>
        <v>HTML/CSS</v>
      </c>
      <c r="I3816" s="9" t="str">
        <f>IFERROR(__xludf.DUMMYFUNCTION("""COMPUTED_VALUE"""),"Java")</f>
        <v>Java</v>
      </c>
      <c r="J3816" s="9" t="str">
        <f>IFERROR(__xludf.DUMMYFUNCTION("""COMPUTED_VALUE"""),"Bash/Shell/PowerShell")</f>
        <v>Bash/Shell/PowerShell</v>
      </c>
      <c r="K3816" s="9" t="str">
        <f>IFERROR(__xludf.DUMMYFUNCTION("""COMPUTED_VALUE"""),"HTML/CSS")</f>
        <v>HTML/CSS</v>
      </c>
      <c r="L3816" s="9" t="str">
        <f>IFERROR(__xludf.DUMMYFUNCTION("""COMPUTED_VALUE"""),"Ruby")</f>
        <v>Ruby</v>
      </c>
      <c r="M3816" s="9" t="s">
        <v>36</v>
      </c>
    </row>
    <row r="3817" ht="15.75" customHeight="1">
      <c r="A3817" s="7"/>
      <c r="B3817" s="7" t="str">
        <f>IFERROR(__xludf.DUMMYFUNCTION("""COMPUTED_VALUE"""),"Bash/Shell/PowerShell;HTML/CSS;JavaScript;Python")</f>
        <v>Bash/Shell/PowerShell;HTML/CSS;JavaScript;Python</v>
      </c>
      <c r="C3817" s="9" t="str">
        <f>IFERROR(__xludf.DUMMYFUNCTION("""COMPUTED_VALUE"""),"HTML/CSS")</f>
        <v>HTML/CSS</v>
      </c>
      <c r="D3817" s="9" t="str">
        <f>IFERROR(__xludf.DUMMYFUNCTION("""COMPUTED_VALUE"""),"JavaScript")</f>
        <v>JavaScript</v>
      </c>
      <c r="E3817" s="9" t="str">
        <f>IFERROR(__xludf.DUMMYFUNCTION("""COMPUTED_VALUE"""),"Java")</f>
        <v>Java</v>
      </c>
      <c r="F3817" s="9" t="str">
        <f>IFERROR(__xludf.DUMMYFUNCTION("""COMPUTED_VALUE"""),"Other(s):")</f>
        <v>Other(s):</v>
      </c>
      <c r="G3817" s="9" t="str">
        <f>IFERROR(__xludf.DUMMYFUNCTION("""COMPUTED_VALUE"""),"HTML/CSS")</f>
        <v>HTML/CSS</v>
      </c>
      <c r="H3817" s="9" t="str">
        <f>IFERROR(__xludf.DUMMYFUNCTION("""COMPUTED_VALUE"""),"JavaScript")</f>
        <v>JavaScript</v>
      </c>
      <c r="I3817" s="9" t="str">
        <f>IFERROR(__xludf.DUMMYFUNCTION("""COMPUTED_VALUE"""),"JavaScript")</f>
        <v>JavaScript</v>
      </c>
      <c r="J3817" s="9" t="str">
        <f>IFERROR(__xludf.DUMMYFUNCTION("""COMPUTED_VALUE"""),"SQL")</f>
        <v>SQL</v>
      </c>
      <c r="K3817" s="9" t="str">
        <f>IFERROR(__xludf.DUMMYFUNCTION("""COMPUTED_VALUE"""),"Java")</f>
        <v>Java</v>
      </c>
      <c r="L3817" s="9" t="str">
        <f>IFERROR(__xludf.DUMMYFUNCTION("""COMPUTED_VALUE"""),"C")</f>
        <v>C</v>
      </c>
      <c r="M3817" s="9" t="s">
        <v>24</v>
      </c>
    </row>
    <row r="3818" ht="15.75" customHeight="1">
      <c r="A3818" s="7"/>
      <c r="B3818" s="7" t="str">
        <f>IFERROR(__xludf.DUMMYFUNCTION("""COMPUTED_VALUE"""),"Python;R;SQL")</f>
        <v>Python;R;SQL</v>
      </c>
      <c r="C3818" s="9" t="str">
        <f>IFERROR(__xludf.DUMMYFUNCTION("""COMPUTED_VALUE"""),"Java")</f>
        <v>Java</v>
      </c>
      <c r="D3818" s="9" t="str">
        <f>IFERROR(__xludf.DUMMYFUNCTION("""COMPUTED_VALUE"""),"PHP")</f>
        <v>PHP</v>
      </c>
      <c r="E3818" s="9" t="str">
        <f>IFERROR(__xludf.DUMMYFUNCTION("""COMPUTED_VALUE"""),"Bash/Shell/PowerShell")</f>
        <v>Bash/Shell/PowerShell</v>
      </c>
      <c r="F3818" s="9" t="str">
        <f>IFERROR(__xludf.DUMMYFUNCTION("""COMPUTED_VALUE"""),"Bash/Shell/PowerShell")</f>
        <v>Bash/Shell/PowerShell</v>
      </c>
      <c r="G3818" s="9" t="str">
        <f>IFERROR(__xludf.DUMMYFUNCTION("""COMPUTED_VALUE"""),"Python")</f>
        <v>Python</v>
      </c>
      <c r="H3818" s="9" t="str">
        <f>IFERROR(__xludf.DUMMYFUNCTION("""COMPUTED_VALUE"""),"PHP")</f>
        <v>PHP</v>
      </c>
      <c r="I3818" s="9" t="str">
        <f>IFERROR(__xludf.DUMMYFUNCTION("""COMPUTED_VALUE"""),"PHP")</f>
        <v>PHP</v>
      </c>
      <c r="J3818" s="9" t="str">
        <f>IFERROR(__xludf.DUMMYFUNCTION("""COMPUTED_VALUE"""),"HTML/CSS")</f>
        <v>HTML/CSS</v>
      </c>
      <c r="K3818" s="9" t="str">
        <f>IFERROR(__xludf.DUMMYFUNCTION("""COMPUTED_VALUE"""),"JavaScript")</f>
        <v>JavaScript</v>
      </c>
      <c r="L3818" s="9" t="str">
        <f>IFERROR(__xludf.DUMMYFUNCTION("""COMPUTED_VALUE"""),"C++")</f>
        <v>C++</v>
      </c>
      <c r="M3818" s="9" t="s">
        <v>20</v>
      </c>
    </row>
    <row r="3819" ht="15.75" customHeight="1">
      <c r="A3819" s="7"/>
      <c r="B3819" s="7" t="str">
        <f>IFERROR(__xludf.DUMMYFUNCTION("""COMPUTED_VALUE"""),"C++;Python")</f>
        <v>C++;Python</v>
      </c>
      <c r="C3819" s="9" t="str">
        <f>IFERROR(__xludf.DUMMYFUNCTION("""COMPUTED_VALUE"""),"JavaScript")</f>
        <v>JavaScript</v>
      </c>
      <c r="D3819" s="9" t="str">
        <f>IFERROR(__xludf.DUMMYFUNCTION("""COMPUTED_VALUE"""),"Python")</f>
        <v>Python</v>
      </c>
      <c r="E3819" s="9" t="str">
        <f>IFERROR(__xludf.DUMMYFUNCTION("""COMPUTED_VALUE"""),"Python")</f>
        <v>Python</v>
      </c>
      <c r="F3819" s="9" t="str">
        <f>IFERROR(__xludf.DUMMYFUNCTION("""COMPUTED_VALUE"""),"Java")</f>
        <v>Java</v>
      </c>
      <c r="G3819" s="9" t="str">
        <f>IFERROR(__xludf.DUMMYFUNCTION("""COMPUTED_VALUE"""),"Go")</f>
        <v>Go</v>
      </c>
      <c r="H3819" s="9" t="str">
        <f>IFERROR(__xludf.DUMMYFUNCTION("""COMPUTED_VALUE"""),"C")</f>
        <v>C</v>
      </c>
      <c r="I3819" s="9" t="str">
        <f>IFERROR(__xludf.DUMMYFUNCTION("""COMPUTED_VALUE"""),"SQL")</f>
        <v>SQL</v>
      </c>
      <c r="J3819" s="9" t="str">
        <f>IFERROR(__xludf.DUMMYFUNCTION("""COMPUTED_VALUE"""),"JavaScript")</f>
        <v>JavaScript</v>
      </c>
      <c r="K3819" s="9" t="str">
        <f>IFERROR(__xludf.DUMMYFUNCTION("""COMPUTED_VALUE"""),"PHP")</f>
        <v>PHP</v>
      </c>
      <c r="L3819" s="9" t="str">
        <f>IFERROR(__xludf.DUMMYFUNCTION("""COMPUTED_VALUE"""),"C#")</f>
        <v>C#</v>
      </c>
      <c r="M3819" s="9" t="s">
        <v>21</v>
      </c>
    </row>
    <row r="3820" ht="15.75" customHeight="1">
      <c r="A3820" s="7"/>
      <c r="B3820" s="7" t="str">
        <f>IFERROR(__xludf.DUMMYFUNCTION("""COMPUTED_VALUE"""),"Java")</f>
        <v>Java</v>
      </c>
      <c r="C3820" s="9" t="str">
        <f>IFERROR(__xludf.DUMMYFUNCTION("""COMPUTED_VALUE"""),"PHP")</f>
        <v>PHP</v>
      </c>
      <c r="D3820" s="9" t="str">
        <f>IFERROR(__xludf.DUMMYFUNCTION("""COMPUTED_VALUE"""),"SQL")</f>
        <v>SQL</v>
      </c>
      <c r="E3820" s="9" t="str">
        <f>IFERROR(__xludf.DUMMYFUNCTION("""COMPUTED_VALUE"""),"Scala")</f>
        <v>Scala</v>
      </c>
      <c r="F3820" s="9" t="str">
        <f>IFERROR(__xludf.DUMMYFUNCTION("""COMPUTED_VALUE"""),"C")</f>
        <v>C</v>
      </c>
      <c r="G3820" s="9" t="str">
        <f>IFERROR(__xludf.DUMMYFUNCTION("""COMPUTED_VALUE"""),"HTML/CSS")</f>
        <v>HTML/CSS</v>
      </c>
      <c r="H3820" s="9" t="str">
        <f>IFERROR(__xludf.DUMMYFUNCTION("""COMPUTED_VALUE"""),"HTML/CSS")</f>
        <v>HTML/CSS</v>
      </c>
      <c r="I3820" s="9" t="str">
        <f>IFERROR(__xludf.DUMMYFUNCTION("""COMPUTED_VALUE"""),"HTML/CSS")</f>
        <v>HTML/CSS</v>
      </c>
      <c r="J3820" s="9" t="str">
        <f>IFERROR(__xludf.DUMMYFUNCTION("""COMPUTED_VALUE"""),"TypeScript")</f>
        <v>TypeScript</v>
      </c>
      <c r="K3820" s="9" t="str">
        <f>IFERROR(__xludf.DUMMYFUNCTION("""COMPUTED_VALUE"""),"SQL")</f>
        <v>SQL</v>
      </c>
      <c r="L3820" s="9" t="str">
        <f>IFERROR(__xludf.DUMMYFUNCTION("""COMPUTED_VALUE"""),"HTML/CSS")</f>
        <v>HTML/CSS</v>
      </c>
      <c r="M3820" s="9" t="s">
        <v>37</v>
      </c>
    </row>
    <row r="3821" ht="15.75" customHeight="1">
      <c r="A3821" s="7"/>
      <c r="B3821" s="7" t="str">
        <f>IFERROR(__xludf.DUMMYFUNCTION("""COMPUTED_VALUE"""),"HTML/CSS;Java;JavaScript;SQL;TypeScript")</f>
        <v>HTML/CSS;Java;JavaScript;SQL;TypeScript</v>
      </c>
      <c r="C3821" s="9" t="str">
        <f>IFERROR(__xludf.DUMMYFUNCTION("""COMPUTED_VALUE"""),"Python")</f>
        <v>Python</v>
      </c>
      <c r="D3821" s="9" t="str">
        <f>IFERROR(__xludf.DUMMYFUNCTION("""COMPUTED_VALUE"""),"Assembly")</f>
        <v>Assembly</v>
      </c>
      <c r="E3821" s="9" t="str">
        <f>IFERROR(__xludf.DUMMYFUNCTION("""COMPUTED_VALUE"""),"SQL")</f>
        <v>SQL</v>
      </c>
      <c r="F3821" s="9" t="str">
        <f>IFERROR(__xludf.DUMMYFUNCTION("""COMPUTED_VALUE"""),"C++")</f>
        <v>C++</v>
      </c>
      <c r="G3821" s="9" t="str">
        <f>IFERROR(__xludf.DUMMYFUNCTION("""COMPUTED_VALUE"""),"JavaScript")</f>
        <v>JavaScript</v>
      </c>
      <c r="H3821" s="9" t="str">
        <f>IFERROR(__xludf.DUMMYFUNCTION("""COMPUTED_VALUE"""),"Java")</f>
        <v>Java</v>
      </c>
      <c r="I3821" s="9" t="str">
        <f>IFERROR(__xludf.DUMMYFUNCTION("""COMPUTED_VALUE"""),"JavaScript")</f>
        <v>JavaScript</v>
      </c>
      <c r="J3821" s="9" t="str">
        <f>IFERROR(__xludf.DUMMYFUNCTION("""COMPUTED_VALUE"""),"Bash/Shell/PowerShell")</f>
        <v>Bash/Shell/PowerShell</v>
      </c>
      <c r="K3821" s="9" t="str">
        <f>IFERROR(__xludf.DUMMYFUNCTION("""COMPUTED_VALUE"""),"C")</f>
        <v>C</v>
      </c>
      <c r="L3821" s="9" t="str">
        <f>IFERROR(__xludf.DUMMYFUNCTION("""COMPUTED_VALUE"""),"Java")</f>
        <v>Java</v>
      </c>
      <c r="M3821" s="9" t="s">
        <v>22</v>
      </c>
    </row>
    <row r="3822" ht="15.75" customHeight="1">
      <c r="A3822" s="7"/>
      <c r="B3822" s="7" t="str">
        <f>IFERROR(__xludf.DUMMYFUNCTION("""COMPUTED_VALUE"""),"C#;HTML/CSS;JavaScript;SQL")</f>
        <v>C#;HTML/CSS;JavaScript;SQL</v>
      </c>
      <c r="C3822" s="9" t="str">
        <f>IFERROR(__xludf.DUMMYFUNCTION("""COMPUTED_VALUE"""),"SQL")</f>
        <v>SQL</v>
      </c>
      <c r="D3822" s="9" t="str">
        <f>IFERROR(__xludf.DUMMYFUNCTION("""COMPUTED_VALUE"""),"C")</f>
        <v>C</v>
      </c>
      <c r="E3822" s="9" t="str">
        <f>IFERROR(__xludf.DUMMYFUNCTION("""COMPUTED_VALUE"""),"Bash/Shell/PowerShell")</f>
        <v>Bash/Shell/PowerShell</v>
      </c>
      <c r="F3822" s="9" t="str">
        <f>IFERROR(__xludf.DUMMYFUNCTION("""COMPUTED_VALUE"""),"Java")</f>
        <v>Java</v>
      </c>
      <c r="G3822" s="9" t="str">
        <f>IFERROR(__xludf.DUMMYFUNCTION("""COMPUTED_VALUE"""),"Python")</f>
        <v>Python</v>
      </c>
      <c r="H3822" s="9" t="str">
        <f>IFERROR(__xludf.DUMMYFUNCTION("""COMPUTED_VALUE"""),"Kotlin")</f>
        <v>Kotlin</v>
      </c>
      <c r="I3822" s="9" t="str">
        <f>IFERROR(__xludf.DUMMYFUNCTION("""COMPUTED_VALUE"""),"PHP")</f>
        <v>PHP</v>
      </c>
      <c r="J3822" s="9" t="str">
        <f>IFERROR(__xludf.DUMMYFUNCTION("""COMPUTED_VALUE"""),"HTML/CSS")</f>
        <v>HTML/CSS</v>
      </c>
      <c r="K3822" s="9" t="str">
        <f>IFERROR(__xludf.DUMMYFUNCTION("""COMPUTED_VALUE"""),"C++")</f>
        <v>C++</v>
      </c>
      <c r="L3822" s="9" t="str">
        <f>IFERROR(__xludf.DUMMYFUNCTION("""COMPUTED_VALUE"""),"PHP")</f>
        <v>PHP</v>
      </c>
      <c r="M3822" s="9" t="s">
        <v>27</v>
      </c>
    </row>
    <row r="3823" ht="15.75" customHeight="1">
      <c r="A3823" s="7"/>
      <c r="B3823" s="7" t="str">
        <f>IFERROR(__xludf.DUMMYFUNCTION("""COMPUTED_VALUE"""),"Bash/Shell/PowerShell;C++;C#;HTML/CSS;JavaScript;Rust;TypeScript")</f>
        <v>Bash/Shell/PowerShell;C++;C#;HTML/CSS;JavaScript;Rust;TypeScript</v>
      </c>
      <c r="C3823" s="9" t="str">
        <f>IFERROR(__xludf.DUMMYFUNCTION("""COMPUTED_VALUE"""),"TypeScript")</f>
        <v>TypeScript</v>
      </c>
      <c r="D3823" s="9" t="str">
        <f>IFERROR(__xludf.DUMMYFUNCTION("""COMPUTED_VALUE"""),"C++")</f>
        <v>C++</v>
      </c>
      <c r="E3823" s="9" t="str">
        <f>IFERROR(__xludf.DUMMYFUNCTION("""COMPUTED_VALUE"""),"C")</f>
        <v>C</v>
      </c>
      <c r="F3823" s="9" t="str">
        <f>IFERROR(__xludf.DUMMYFUNCTION("""COMPUTED_VALUE"""),"Objective-C")</f>
        <v>Objective-C</v>
      </c>
      <c r="G3823" s="9" t="str">
        <f>IFERROR(__xludf.DUMMYFUNCTION("""COMPUTED_VALUE"""),"SQL")</f>
        <v>SQL</v>
      </c>
      <c r="H3823" s="9" t="str">
        <f>IFERROR(__xludf.DUMMYFUNCTION("""COMPUTED_VALUE"""),"Python")</f>
        <v>Python</v>
      </c>
      <c r="I3823" s="9" t="str">
        <f>IFERROR(__xludf.DUMMYFUNCTION("""COMPUTED_VALUE"""),"Python")</f>
        <v>Python</v>
      </c>
      <c r="J3823" s="9" t="str">
        <f>IFERROR(__xludf.DUMMYFUNCTION("""COMPUTED_VALUE"""),"JavaScript")</f>
        <v>JavaScript</v>
      </c>
      <c r="K3823" s="9" t="str">
        <f>IFERROR(__xludf.DUMMYFUNCTION("""COMPUTED_VALUE"""),"Java")</f>
        <v>Java</v>
      </c>
      <c r="L3823" s="9" t="str">
        <f>IFERROR(__xludf.DUMMYFUNCTION("""COMPUTED_VALUE"""),"C#")</f>
        <v>C#</v>
      </c>
      <c r="M3823" s="9" t="s">
        <v>33</v>
      </c>
    </row>
    <row r="3824" ht="15.75" customHeight="1">
      <c r="A3824" s="7"/>
      <c r="B3824" s="7" t="str">
        <f>IFERROR(__xludf.DUMMYFUNCTION("""COMPUTED_VALUE"""),"Assembly;C;C++;C#;Java;JavaScript;PHP;Python;Rust;SQL")</f>
        <v>Assembly;C;C++;C#;Java;JavaScript;PHP;Python;Rust;SQL</v>
      </c>
      <c r="C3824" s="9" t="str">
        <f>IFERROR(__xludf.DUMMYFUNCTION("""COMPUTED_VALUE"""),"Ruby")</f>
        <v>Ruby</v>
      </c>
      <c r="D3824" s="9" t="str">
        <f>IFERROR(__xludf.DUMMYFUNCTION("""COMPUTED_VALUE"""),"Java")</f>
        <v>Java</v>
      </c>
      <c r="E3824" s="9" t="str">
        <f>IFERROR(__xludf.DUMMYFUNCTION("""COMPUTED_VALUE"""),"C++")</f>
        <v>C++</v>
      </c>
      <c r="F3824" s="9" t="str">
        <f>IFERROR(__xludf.DUMMYFUNCTION("""COMPUTED_VALUE"""),"Python")</f>
        <v>Python</v>
      </c>
      <c r="G3824" s="9" t="str">
        <f>IFERROR(__xludf.DUMMYFUNCTION("""COMPUTED_VALUE"""),"TypeScript")</f>
        <v>TypeScript</v>
      </c>
      <c r="H3824" s="9" t="str">
        <f>IFERROR(__xludf.DUMMYFUNCTION("""COMPUTED_VALUE"""),"Swift")</f>
        <v>Swift</v>
      </c>
      <c r="I3824" s="9" t="str">
        <f>IFERROR(__xludf.DUMMYFUNCTION("""COMPUTED_VALUE"""),"C++")</f>
        <v>C++</v>
      </c>
      <c r="J3824" s="9" t="str">
        <f>IFERROR(__xludf.DUMMYFUNCTION("""COMPUTED_VALUE"""),"PHP")</f>
        <v>PHP</v>
      </c>
      <c r="K3824" s="9" t="str">
        <f>IFERROR(__xludf.DUMMYFUNCTION("""COMPUTED_VALUE"""),"Python")</f>
        <v>Python</v>
      </c>
      <c r="L3824" s="9" t="str">
        <f>IFERROR(__xludf.DUMMYFUNCTION("""COMPUTED_VALUE"""),"HTML/CSS")</f>
        <v>HTML/CSS</v>
      </c>
      <c r="M3824" s="9" t="s">
        <v>31</v>
      </c>
    </row>
    <row r="3825" ht="15.75" customHeight="1">
      <c r="A3825" s="7"/>
      <c r="B3825" s="7" t="str">
        <f>IFERROR(__xludf.DUMMYFUNCTION("""COMPUTED_VALUE"""),"R")</f>
        <v>R</v>
      </c>
      <c r="C3825" s="9" t="str">
        <f>IFERROR(__xludf.DUMMYFUNCTION("""COMPUTED_VALUE"""),"Scala")</f>
        <v>Scala</v>
      </c>
      <c r="D3825" s="9" t="str">
        <f>IFERROR(__xludf.DUMMYFUNCTION("""COMPUTED_VALUE"""),"JavaScript")</f>
        <v>JavaScript</v>
      </c>
      <c r="E3825" s="9" t="str">
        <f>IFERROR(__xludf.DUMMYFUNCTION("""COMPUTED_VALUE"""),"HTML/CSS")</f>
        <v>HTML/CSS</v>
      </c>
      <c r="F3825" s="9" t="str">
        <f>IFERROR(__xludf.DUMMYFUNCTION("""COMPUTED_VALUE"""),"SQL")</f>
        <v>SQL</v>
      </c>
      <c r="G3825" s="9" t="str">
        <f>IFERROR(__xludf.DUMMYFUNCTION("""COMPUTED_VALUE"""),"Bash/Shell/PowerShell")</f>
        <v>Bash/Shell/PowerShell</v>
      </c>
      <c r="H3825" s="9" t="str">
        <f>IFERROR(__xludf.DUMMYFUNCTION("""COMPUTED_VALUE"""),"HTML/CSS")</f>
        <v>HTML/CSS</v>
      </c>
      <c r="I3825" s="9" t="str">
        <f>IFERROR(__xludf.DUMMYFUNCTION("""COMPUTED_VALUE"""),"Java")</f>
        <v>Java</v>
      </c>
      <c r="J3825" s="9" t="str">
        <f>IFERROR(__xludf.DUMMYFUNCTION("""COMPUTED_VALUE"""),"SQL")</f>
        <v>SQL</v>
      </c>
      <c r="K3825" s="9" t="str">
        <f>IFERROR(__xludf.DUMMYFUNCTION("""COMPUTED_VALUE"""),"Bash/Shell/PowerShell")</f>
        <v>Bash/Shell/PowerShell</v>
      </c>
      <c r="L3825" s="9" t="str">
        <f>IFERROR(__xludf.DUMMYFUNCTION("""COMPUTED_VALUE"""),"JavaScript")</f>
        <v>JavaScript</v>
      </c>
      <c r="M3825" s="9" t="s">
        <v>46</v>
      </c>
    </row>
    <row r="3826" ht="15.75" customHeight="1">
      <c r="A3826" s="7"/>
      <c r="B3826" s="7" t="str">
        <f>IFERROR(__xludf.DUMMYFUNCTION("""COMPUTED_VALUE"""),"C#;HTML/CSS;Java;JavaScript;SQL;VBA")</f>
        <v>C#;HTML/CSS;Java;JavaScript;SQL;VBA</v>
      </c>
      <c r="C3826" s="9" t="str">
        <f>IFERROR(__xludf.DUMMYFUNCTION("""COMPUTED_VALUE"""),"SQL")</f>
        <v>SQL</v>
      </c>
      <c r="D3826" s="9" t="str">
        <f>IFERROR(__xludf.DUMMYFUNCTION("""COMPUTED_VALUE"""),"Kotlin")</f>
        <v>Kotlin</v>
      </c>
      <c r="E3826" s="9" t="str">
        <f>IFERROR(__xludf.DUMMYFUNCTION("""COMPUTED_VALUE"""),"Java")</f>
        <v>Java</v>
      </c>
      <c r="F3826" s="9" t="str">
        <f>IFERROR(__xludf.DUMMYFUNCTION("""COMPUTED_VALUE"""),"Swift")</f>
        <v>Swift</v>
      </c>
      <c r="G3826" s="9" t="str">
        <f>IFERROR(__xludf.DUMMYFUNCTION("""COMPUTED_VALUE"""),"C++")</f>
        <v>C++</v>
      </c>
      <c r="H3826" s="9" t="str">
        <f>IFERROR(__xludf.DUMMYFUNCTION("""COMPUTED_VALUE"""),"PHP")</f>
        <v>PHP</v>
      </c>
      <c r="I3826" s="9" t="str">
        <f>IFERROR(__xludf.DUMMYFUNCTION("""COMPUTED_VALUE"""),"Kotlin")</f>
        <v>Kotlin</v>
      </c>
      <c r="J3826" s="9" t="str">
        <f>IFERROR(__xludf.DUMMYFUNCTION("""COMPUTED_VALUE"""),"TypeScript")</f>
        <v>TypeScript</v>
      </c>
      <c r="K3826" s="9" t="str">
        <f>IFERROR(__xludf.DUMMYFUNCTION("""COMPUTED_VALUE"""),"C#")</f>
        <v>C#</v>
      </c>
      <c r="L3826" s="9" t="str">
        <f>IFERROR(__xludf.DUMMYFUNCTION("""COMPUTED_VALUE"""),"PHP")</f>
        <v>PHP</v>
      </c>
      <c r="M3826" s="9" t="s">
        <v>27</v>
      </c>
    </row>
    <row r="3827" ht="15.75" customHeight="1">
      <c r="A3827" s="7"/>
      <c r="B3827" s="7" t="str">
        <f>IFERROR(__xludf.DUMMYFUNCTION("""COMPUTED_VALUE"""),"Bash/Shell/PowerShell;HTML/CSS;Java;JavaScript;PHP")</f>
        <v>Bash/Shell/PowerShell;HTML/CSS;Java;JavaScript;PHP</v>
      </c>
      <c r="C3827" s="9" t="str">
        <f>IFERROR(__xludf.DUMMYFUNCTION("""COMPUTED_VALUE"""),"Other(s):")</f>
        <v>Other(s):</v>
      </c>
      <c r="D3827" s="9" t="str">
        <f>IFERROR(__xludf.DUMMYFUNCTION("""COMPUTED_VALUE"""),"Scala")</f>
        <v>Scala</v>
      </c>
      <c r="E3827" s="9" t="str">
        <f>IFERROR(__xludf.DUMMYFUNCTION("""COMPUTED_VALUE"""),"JavaScript")</f>
        <v>JavaScript</v>
      </c>
      <c r="F3827" s="9" t="str">
        <f>IFERROR(__xludf.DUMMYFUNCTION("""COMPUTED_VALUE"""),"Bash/Shell/PowerShell")</f>
        <v>Bash/Shell/PowerShell</v>
      </c>
      <c r="G3827" s="9" t="str">
        <f>IFERROR(__xludf.DUMMYFUNCTION("""COMPUTED_VALUE"""),"C#")</f>
        <v>C#</v>
      </c>
      <c r="H3827" s="9" t="str">
        <f>IFERROR(__xludf.DUMMYFUNCTION("""COMPUTED_VALUE"""),"TypeScript")</f>
        <v>TypeScript</v>
      </c>
      <c r="I3827" s="9" t="str">
        <f>IFERROR(__xludf.DUMMYFUNCTION("""COMPUTED_VALUE"""),"Python")</f>
        <v>Python</v>
      </c>
      <c r="J3827" s="9" t="str">
        <f>IFERROR(__xludf.DUMMYFUNCTION("""COMPUTED_VALUE"""),"HTML/CSS")</f>
        <v>HTML/CSS</v>
      </c>
      <c r="K3827" s="9" t="str">
        <f>IFERROR(__xludf.DUMMYFUNCTION("""COMPUTED_VALUE"""),"Dart")</f>
        <v>Dart</v>
      </c>
      <c r="L3827" s="9" t="str">
        <f>IFERROR(__xludf.DUMMYFUNCTION("""COMPUTED_VALUE"""),"Ruby")</f>
        <v>Ruby</v>
      </c>
      <c r="M3827" s="9" t="s">
        <v>35</v>
      </c>
    </row>
    <row r="3828" ht="15.75" customHeight="1">
      <c r="A3828" s="7"/>
      <c r="B3828" s="7" t="str">
        <f>IFERROR(__xludf.DUMMYFUNCTION("""COMPUTED_VALUE"""),"Bash/Shell/PowerShell;C;C++;HTML/CSS;JavaScript;Python;SQL")</f>
        <v>Bash/Shell/PowerShell;C;C++;HTML/CSS;JavaScript;Python;SQL</v>
      </c>
      <c r="C3828" s="9" t="str">
        <f>IFERROR(__xludf.DUMMYFUNCTION("""COMPUTED_VALUE"""),"Java")</f>
        <v>Java</v>
      </c>
      <c r="D3828" s="9" t="str">
        <f>IFERROR(__xludf.DUMMYFUNCTION("""COMPUTED_VALUE"""),"SQL")</f>
        <v>SQL</v>
      </c>
      <c r="E3828" s="9" t="str">
        <f>IFERROR(__xludf.DUMMYFUNCTION("""COMPUTED_VALUE"""),"Python")</f>
        <v>Python</v>
      </c>
      <c r="F3828" s="9" t="str">
        <f>IFERROR(__xludf.DUMMYFUNCTION("""COMPUTED_VALUE"""),"C++")</f>
        <v>C++</v>
      </c>
      <c r="G3828" s="9" t="str">
        <f>IFERROR(__xludf.DUMMYFUNCTION("""COMPUTED_VALUE"""),"JavaScript")</f>
        <v>JavaScript</v>
      </c>
      <c r="H3828" s="9" t="str">
        <f>IFERROR(__xludf.DUMMYFUNCTION("""COMPUTED_VALUE"""),"Assembly")</f>
        <v>Assembly</v>
      </c>
      <c r="I3828" s="9" t="str">
        <f>IFERROR(__xludf.DUMMYFUNCTION("""COMPUTED_VALUE"""),"Other(s):")</f>
        <v>Other(s):</v>
      </c>
      <c r="J3828" s="9" t="str">
        <f>IFERROR(__xludf.DUMMYFUNCTION("""COMPUTED_VALUE"""),"Java")</f>
        <v>Java</v>
      </c>
      <c r="K3828" s="9" t="str">
        <f>IFERROR(__xludf.DUMMYFUNCTION("""COMPUTED_VALUE"""),"HTML/CSS")</f>
        <v>HTML/CSS</v>
      </c>
      <c r="L3828" s="9" t="str">
        <f>IFERROR(__xludf.DUMMYFUNCTION("""COMPUTED_VALUE"""),"SQL")</f>
        <v>SQL</v>
      </c>
      <c r="M3828" s="9" t="s">
        <v>20</v>
      </c>
    </row>
    <row r="3829" ht="15.75" customHeight="1">
      <c r="A3829" s="7"/>
      <c r="B3829" s="7" t="str">
        <f>IFERROR(__xludf.DUMMYFUNCTION("""COMPUTED_VALUE"""),"Dart;Go;JavaScript;Python")</f>
        <v>Dart;Go;JavaScript;Python</v>
      </c>
      <c r="C3829" s="9" t="str">
        <f>IFERROR(__xludf.DUMMYFUNCTION("""COMPUTED_VALUE"""),"HTML/CSS")</f>
        <v>HTML/CSS</v>
      </c>
      <c r="D3829" s="9" t="str">
        <f>IFERROR(__xludf.DUMMYFUNCTION("""COMPUTED_VALUE"""),"TypeScript")</f>
        <v>TypeScript</v>
      </c>
      <c r="E3829" s="9" t="str">
        <f>IFERROR(__xludf.DUMMYFUNCTION("""COMPUTED_VALUE"""),"SQL")</f>
        <v>SQL</v>
      </c>
      <c r="F3829" s="9" t="str">
        <f>IFERROR(__xludf.DUMMYFUNCTION("""COMPUTED_VALUE"""),"Java")</f>
        <v>Java</v>
      </c>
      <c r="G3829" s="9" t="str">
        <f>IFERROR(__xludf.DUMMYFUNCTION("""COMPUTED_VALUE"""),"Python")</f>
        <v>Python</v>
      </c>
      <c r="H3829" s="9" t="str">
        <f>IFERROR(__xludf.DUMMYFUNCTION("""COMPUTED_VALUE"""),"Bash/Shell/PowerShell")</f>
        <v>Bash/Shell/PowerShell</v>
      </c>
      <c r="I3829" s="9" t="str">
        <f>IFERROR(__xludf.DUMMYFUNCTION("""COMPUTED_VALUE"""),"HTML/CSS")</f>
        <v>HTML/CSS</v>
      </c>
      <c r="J3829" s="9" t="str">
        <f>IFERROR(__xludf.DUMMYFUNCTION("""COMPUTED_VALUE"""),"SQL")</f>
        <v>SQL</v>
      </c>
      <c r="K3829" s="9" t="str">
        <f>IFERROR(__xludf.DUMMYFUNCTION("""COMPUTED_VALUE"""),"JavaScript")</f>
        <v>JavaScript</v>
      </c>
      <c r="L3829" s="9" t="str">
        <f>IFERROR(__xludf.DUMMYFUNCTION("""COMPUTED_VALUE"""),"TypeScript")</f>
        <v>TypeScript</v>
      </c>
      <c r="M3829" s="9" t="s">
        <v>24</v>
      </c>
    </row>
    <row r="3830" ht="15.75" customHeight="1">
      <c r="A3830" s="7"/>
      <c r="B3830" s="7" t="str">
        <f>IFERROR(__xludf.DUMMYFUNCTION("""COMPUTED_VALUE"""),"Bash/Shell/PowerShell;C#;HTML/CSS;JavaScript;PHP;SQL;TypeScript")</f>
        <v>Bash/Shell/PowerShell;C#;HTML/CSS;JavaScript;PHP;SQL;TypeScript</v>
      </c>
      <c r="C3830" s="9" t="str">
        <f>IFERROR(__xludf.DUMMYFUNCTION("""COMPUTED_VALUE"""),"JavaScript")</f>
        <v>JavaScript</v>
      </c>
      <c r="D3830" s="9" t="str">
        <f>IFERROR(__xludf.DUMMYFUNCTION("""COMPUTED_VALUE"""),"JavaScript")</f>
        <v>JavaScript</v>
      </c>
      <c r="E3830" s="9" t="str">
        <f>IFERROR(__xludf.DUMMYFUNCTION("""COMPUTED_VALUE"""),"Other(s):")</f>
        <v>Other(s):</v>
      </c>
      <c r="F3830" s="9" t="str">
        <f>IFERROR(__xludf.DUMMYFUNCTION("""COMPUTED_VALUE"""),"JavaScript")</f>
        <v>JavaScript</v>
      </c>
      <c r="G3830" s="9" t="str">
        <f>IFERROR(__xludf.DUMMYFUNCTION("""COMPUTED_VALUE"""),"Bash/Shell/PowerShell")</f>
        <v>Bash/Shell/PowerShell</v>
      </c>
      <c r="H3830" s="9" t="str">
        <f>IFERROR(__xludf.DUMMYFUNCTION("""COMPUTED_VALUE"""),"C")</f>
        <v>C</v>
      </c>
      <c r="I3830" s="9" t="str">
        <f>IFERROR(__xludf.DUMMYFUNCTION("""COMPUTED_VALUE"""),"JavaScript")</f>
        <v>JavaScript</v>
      </c>
      <c r="J3830" s="9" t="str">
        <f>IFERROR(__xludf.DUMMYFUNCTION("""COMPUTED_VALUE"""),"HTML/CSS")</f>
        <v>HTML/CSS</v>
      </c>
      <c r="K3830" s="9" t="str">
        <f>IFERROR(__xludf.DUMMYFUNCTION("""COMPUTED_VALUE"""),"SQL")</f>
        <v>SQL</v>
      </c>
      <c r="L3830" s="9" t="str">
        <f>IFERROR(__xludf.DUMMYFUNCTION("""COMPUTED_VALUE"""),"Bash/Shell/PowerShell")</f>
        <v>Bash/Shell/PowerShell</v>
      </c>
      <c r="M3830" s="9" t="s">
        <v>21</v>
      </c>
    </row>
    <row r="3831" ht="15.75" customHeight="1">
      <c r="A3831" s="7"/>
      <c r="B3831" s="7" t="str">
        <f>IFERROR(__xludf.DUMMYFUNCTION("""COMPUTED_VALUE"""),"C;Python;Rust;Scala")</f>
        <v>C;Python;Rust;Scala</v>
      </c>
      <c r="C3831" s="9" t="str">
        <f>IFERROR(__xludf.DUMMYFUNCTION("""COMPUTED_VALUE"""),"Python")</f>
        <v>Python</v>
      </c>
      <c r="D3831" s="9" t="str">
        <f>IFERROR(__xludf.DUMMYFUNCTION("""COMPUTED_VALUE"""),"C#")</f>
        <v>C#</v>
      </c>
      <c r="E3831" s="9" t="str">
        <f>IFERROR(__xludf.DUMMYFUNCTION("""COMPUTED_VALUE"""),"HTML/CSS")</f>
        <v>HTML/CSS</v>
      </c>
      <c r="F3831" s="9" t="str">
        <f>IFERROR(__xludf.DUMMYFUNCTION("""COMPUTED_VALUE"""),"Kotlin")</f>
        <v>Kotlin</v>
      </c>
      <c r="G3831" s="9" t="str">
        <f>IFERROR(__xludf.DUMMYFUNCTION("""COMPUTED_VALUE"""),"C++")</f>
        <v>C++</v>
      </c>
      <c r="H3831" s="9" t="str">
        <f>IFERROR(__xludf.DUMMYFUNCTION("""COMPUTED_VALUE"""),"C++")</f>
        <v>C++</v>
      </c>
      <c r="I3831" s="9" t="str">
        <f>IFERROR(__xludf.DUMMYFUNCTION("""COMPUTED_VALUE"""),"Ruby")</f>
        <v>Ruby</v>
      </c>
      <c r="J3831" s="9" t="str">
        <f>IFERROR(__xludf.DUMMYFUNCTION("""COMPUTED_VALUE"""),"JavaScript")</f>
        <v>JavaScript</v>
      </c>
      <c r="K3831" s="9" t="str">
        <f>IFERROR(__xludf.DUMMYFUNCTION("""COMPUTED_VALUE"""),"Other(s):")</f>
        <v>Other(s):</v>
      </c>
      <c r="L3831" s="9" t="str">
        <f>IFERROR(__xludf.DUMMYFUNCTION("""COMPUTED_VALUE"""),"HTML/CSS")</f>
        <v>HTML/CSS</v>
      </c>
      <c r="M3831" s="9" t="s">
        <v>22</v>
      </c>
    </row>
    <row r="3832" ht="15.75" customHeight="1">
      <c r="A3832" s="7"/>
      <c r="B3832" s="7" t="str">
        <f>IFERROR(__xludf.DUMMYFUNCTION("""COMPUTED_VALUE"""),"Bash/Shell/PowerShell;C++;C#;HTML/CSS;JavaScript;Python;R;WebAssembly")</f>
        <v>Bash/Shell/PowerShell;C++;C#;HTML/CSS;JavaScript;Python;R;WebAssembly</v>
      </c>
      <c r="C3832" s="9" t="str">
        <f>IFERROR(__xludf.DUMMYFUNCTION("""COMPUTED_VALUE"""),"SQL")</f>
        <v>SQL</v>
      </c>
      <c r="D3832" s="9" t="str">
        <f>IFERROR(__xludf.DUMMYFUNCTION("""COMPUTED_VALUE"""),"HTML/CSS")</f>
        <v>HTML/CSS</v>
      </c>
      <c r="E3832" s="9" t="str">
        <f>IFERROR(__xludf.DUMMYFUNCTION("""COMPUTED_VALUE"""),"JavaScript")</f>
        <v>JavaScript</v>
      </c>
      <c r="F3832" s="9" t="str">
        <f>IFERROR(__xludf.DUMMYFUNCTION("""COMPUTED_VALUE"""),"Python")</f>
        <v>Python</v>
      </c>
      <c r="G3832" s="9" t="str">
        <f>IFERROR(__xludf.DUMMYFUNCTION("""COMPUTED_VALUE"""),"HTML/CSS")</f>
        <v>HTML/CSS</v>
      </c>
      <c r="H3832" s="9" t="str">
        <f>IFERROR(__xludf.DUMMYFUNCTION("""COMPUTED_VALUE"""),"C#")</f>
        <v>C#</v>
      </c>
      <c r="I3832" s="9" t="str">
        <f>IFERROR(__xludf.DUMMYFUNCTION("""COMPUTED_VALUE"""),"HTML/CSS")</f>
        <v>HTML/CSS</v>
      </c>
      <c r="J3832" s="9" t="str">
        <f>IFERROR(__xludf.DUMMYFUNCTION("""COMPUTED_VALUE"""),"TypeScript")</f>
        <v>TypeScript</v>
      </c>
      <c r="K3832" s="9" t="str">
        <f>IFERROR(__xludf.DUMMYFUNCTION("""COMPUTED_VALUE"""),"Bash/Shell/PowerShell")</f>
        <v>Bash/Shell/PowerShell</v>
      </c>
      <c r="L3832" s="9" t="str">
        <f>IFERROR(__xludf.DUMMYFUNCTION("""COMPUTED_VALUE"""),"Java")</f>
        <v>Java</v>
      </c>
      <c r="M3832" s="9" t="s">
        <v>27</v>
      </c>
    </row>
    <row r="3833" ht="15.75" customHeight="1">
      <c r="A3833" s="7"/>
      <c r="B3833" s="7" t="str">
        <f>IFERROR(__xludf.DUMMYFUNCTION("""COMPUTED_VALUE"""),"HTML/CSS;Java;JavaScript;Python;R;SQL")</f>
        <v>HTML/CSS;Java;JavaScript;Python;R;SQL</v>
      </c>
      <c r="C3833" s="9" t="str">
        <f>IFERROR(__xludf.DUMMYFUNCTION("""COMPUTED_VALUE"""),"Bash/Shell/PowerShell")</f>
        <v>Bash/Shell/PowerShell</v>
      </c>
      <c r="D3833" s="9" t="str">
        <f>IFERROR(__xludf.DUMMYFUNCTION("""COMPUTED_VALUE"""),"Java")</f>
        <v>Java</v>
      </c>
      <c r="E3833" s="9" t="str">
        <f>IFERROR(__xludf.DUMMYFUNCTION("""COMPUTED_VALUE"""),"PHP")</f>
        <v>PHP</v>
      </c>
      <c r="F3833" s="9" t="str">
        <f>IFERROR(__xludf.DUMMYFUNCTION("""COMPUTED_VALUE"""),"C#")</f>
        <v>C#</v>
      </c>
      <c r="G3833" s="9" t="str">
        <f>IFERROR(__xludf.DUMMYFUNCTION("""COMPUTED_VALUE"""),"JavaScript")</f>
        <v>JavaScript</v>
      </c>
      <c r="H3833" s="9" t="str">
        <f>IFERROR(__xludf.DUMMYFUNCTION("""COMPUTED_VALUE"""),"Dart")</f>
        <v>Dart</v>
      </c>
      <c r="I3833" s="9" t="str">
        <f>IFERROR(__xludf.DUMMYFUNCTION("""COMPUTED_VALUE"""),"Java")</f>
        <v>Java</v>
      </c>
      <c r="J3833" s="9" t="str">
        <f>IFERROR(__xludf.DUMMYFUNCTION("""COMPUTED_VALUE"""),"HTML/CSS")</f>
        <v>HTML/CSS</v>
      </c>
      <c r="K3833" s="9" t="str">
        <f>IFERROR(__xludf.DUMMYFUNCTION("""COMPUTED_VALUE"""),"Java")</f>
        <v>Java</v>
      </c>
      <c r="L3833" s="9" t="str">
        <f>IFERROR(__xludf.DUMMYFUNCTION("""COMPUTED_VALUE"""),"JavaScript")</f>
        <v>JavaScript</v>
      </c>
      <c r="M3833" s="9" t="s">
        <v>30</v>
      </c>
    </row>
    <row r="3834" ht="15.75" customHeight="1">
      <c r="A3834" s="7"/>
      <c r="B3834" s="7" t="str">
        <f>IFERROR(__xludf.DUMMYFUNCTION("""COMPUTED_VALUE"""),"HTML/CSS;Java;JavaScript;PHP;SQL")</f>
        <v>HTML/CSS;Java;JavaScript;PHP;SQL</v>
      </c>
      <c r="C3834" s="9" t="str">
        <f>IFERROR(__xludf.DUMMYFUNCTION("""COMPUTED_VALUE"""),"C")</f>
        <v>C</v>
      </c>
      <c r="D3834" s="9" t="str">
        <f>IFERROR(__xludf.DUMMYFUNCTION("""COMPUTED_VALUE"""),"PHP")</f>
        <v>PHP</v>
      </c>
      <c r="E3834" s="9" t="str">
        <f>IFERROR(__xludf.DUMMYFUNCTION("""COMPUTED_VALUE"""),"Bash/Shell/PowerShell")</f>
        <v>Bash/Shell/PowerShell</v>
      </c>
      <c r="F3834" s="9" t="str">
        <f>IFERROR(__xludf.DUMMYFUNCTION("""COMPUTED_VALUE"""),"Python")</f>
        <v>Python</v>
      </c>
      <c r="G3834" s="9" t="str">
        <f>IFERROR(__xludf.DUMMYFUNCTION("""COMPUTED_VALUE"""),"Python")</f>
        <v>Python</v>
      </c>
      <c r="H3834" s="9" t="str">
        <f>IFERROR(__xludf.DUMMYFUNCTION("""COMPUTED_VALUE"""),"Elixir")</f>
        <v>Elixir</v>
      </c>
      <c r="I3834" s="9" t="str">
        <f>IFERROR(__xludf.DUMMYFUNCTION("""COMPUTED_VALUE"""),"JavaScript")</f>
        <v>JavaScript</v>
      </c>
      <c r="J3834" s="9" t="str">
        <f>IFERROR(__xludf.DUMMYFUNCTION("""COMPUTED_VALUE"""),"JavaScript")</f>
        <v>JavaScript</v>
      </c>
      <c r="K3834" s="9" t="str">
        <f>IFERROR(__xludf.DUMMYFUNCTION("""COMPUTED_VALUE"""),"Python")</f>
        <v>Python</v>
      </c>
      <c r="L3834" s="9" t="str">
        <f>IFERROR(__xludf.DUMMYFUNCTION("""COMPUTED_VALUE"""),"PHP")</f>
        <v>PHP</v>
      </c>
      <c r="M3834" s="9" t="s">
        <v>25</v>
      </c>
    </row>
    <row r="3835" ht="15.75" customHeight="1">
      <c r="A3835" s="7"/>
      <c r="B3835" s="7" t="str">
        <f>IFERROR(__xludf.DUMMYFUNCTION("""COMPUTED_VALUE"""),"Java;Kotlin")</f>
        <v>Java;Kotlin</v>
      </c>
      <c r="C3835" s="9" t="str">
        <f>IFERROR(__xludf.DUMMYFUNCTION("""COMPUTED_VALUE"""),"C++")</f>
        <v>C++</v>
      </c>
      <c r="D3835" s="9" t="str">
        <f>IFERROR(__xludf.DUMMYFUNCTION("""COMPUTED_VALUE"""),"Python")</f>
        <v>Python</v>
      </c>
      <c r="E3835" s="9" t="str">
        <f>IFERROR(__xludf.DUMMYFUNCTION("""COMPUTED_VALUE"""),"C")</f>
        <v>C</v>
      </c>
      <c r="F3835" s="9" t="str">
        <f>IFERROR(__xludf.DUMMYFUNCTION("""COMPUTED_VALUE"""),"Java")</f>
        <v>Java</v>
      </c>
      <c r="G3835" s="9" t="str">
        <f>IFERROR(__xludf.DUMMYFUNCTION("""COMPUTED_VALUE"""),"Bash/Shell/PowerShell")</f>
        <v>Bash/Shell/PowerShell</v>
      </c>
      <c r="H3835" s="9" t="str">
        <f>IFERROR(__xludf.DUMMYFUNCTION("""COMPUTED_VALUE"""),"Erlang")</f>
        <v>Erlang</v>
      </c>
      <c r="I3835" s="9" t="str">
        <f>IFERROR(__xludf.DUMMYFUNCTION("""COMPUTED_VALUE"""),"PHP")</f>
        <v>PHP</v>
      </c>
      <c r="J3835" s="9" t="str">
        <f>IFERROR(__xludf.DUMMYFUNCTION("""COMPUTED_VALUE"""),"C")</f>
        <v>C</v>
      </c>
      <c r="K3835" s="9" t="str">
        <f>IFERROR(__xludf.DUMMYFUNCTION("""COMPUTED_VALUE"""),"Bash/Shell/PowerShell")</f>
        <v>Bash/Shell/PowerShell</v>
      </c>
      <c r="L3835" s="9" t="str">
        <f>IFERROR(__xludf.DUMMYFUNCTION("""COMPUTED_VALUE"""),"SQL")</f>
        <v>SQL</v>
      </c>
      <c r="M3835" s="9" t="s">
        <v>23</v>
      </c>
    </row>
    <row r="3836" ht="15.75" customHeight="1">
      <c r="A3836" s="7"/>
      <c r="B3836" s="7" t="str">
        <f>IFERROR(__xludf.DUMMYFUNCTION("""COMPUTED_VALUE"""),"C;C++;C#;HTML/CSS;JavaScript;PHP;Python;SQL")</f>
        <v>C;C++;C#;HTML/CSS;JavaScript;PHP;Python;SQL</v>
      </c>
      <c r="C3836" s="9" t="str">
        <f>IFERROR(__xludf.DUMMYFUNCTION("""COMPUTED_VALUE"""),"HTML/CSS")</f>
        <v>HTML/CSS</v>
      </c>
      <c r="D3836" s="9" t="str">
        <f>IFERROR(__xludf.DUMMYFUNCTION("""COMPUTED_VALUE"""),"SQL")</f>
        <v>SQL</v>
      </c>
      <c r="E3836" s="9" t="str">
        <f>IFERROR(__xludf.DUMMYFUNCTION("""COMPUTED_VALUE"""),"C#")</f>
        <v>C#</v>
      </c>
      <c r="F3836" s="9" t="str">
        <f>IFERROR(__xludf.DUMMYFUNCTION("""COMPUTED_VALUE"""),"Python")</f>
        <v>Python</v>
      </c>
      <c r="G3836" s="9" t="str">
        <f>IFERROR(__xludf.DUMMYFUNCTION("""COMPUTED_VALUE"""),"Python")</f>
        <v>Python</v>
      </c>
      <c r="H3836" s="9" t="str">
        <f>IFERROR(__xludf.DUMMYFUNCTION("""COMPUTED_VALUE"""),"F#")</f>
        <v>F#</v>
      </c>
      <c r="I3836" s="9" t="str">
        <f>IFERROR(__xludf.DUMMYFUNCTION("""COMPUTED_VALUE"""),"Python")</f>
        <v>Python</v>
      </c>
      <c r="J3836" s="9" t="str">
        <f>IFERROR(__xludf.DUMMYFUNCTION("""COMPUTED_VALUE"""),"C++")</f>
        <v>C++</v>
      </c>
      <c r="K3836" s="9" t="str">
        <f>IFERROR(__xludf.DUMMYFUNCTION("""COMPUTED_VALUE"""),"HTML/CSS")</f>
        <v>HTML/CSS</v>
      </c>
      <c r="L3836" s="9" t="str">
        <f>IFERROR(__xludf.DUMMYFUNCTION("""COMPUTED_VALUE"""),"Swift")</f>
        <v>Swift</v>
      </c>
      <c r="M3836" s="9" t="s">
        <v>24</v>
      </c>
    </row>
    <row r="3837" ht="15.75" customHeight="1">
      <c r="A3837" s="7"/>
      <c r="B3837" s="7" t="str">
        <f>IFERROR(__xludf.DUMMYFUNCTION("""COMPUTED_VALUE"""),"HTML/CSS;Java;JavaScript")</f>
        <v>HTML/CSS;Java;JavaScript</v>
      </c>
      <c r="C3837" s="9" t="str">
        <f>IFERROR(__xludf.DUMMYFUNCTION("""COMPUTED_VALUE"""),"Python")</f>
        <v>Python</v>
      </c>
      <c r="D3837" s="9" t="str">
        <f>IFERROR(__xludf.DUMMYFUNCTION("""COMPUTED_VALUE"""),"C#")</f>
        <v>C#</v>
      </c>
      <c r="E3837" s="9" t="str">
        <f>IFERROR(__xludf.DUMMYFUNCTION("""COMPUTED_VALUE"""),"Dart")</f>
        <v>Dart</v>
      </c>
      <c r="F3837" s="9" t="str">
        <f>IFERROR(__xludf.DUMMYFUNCTION("""COMPUTED_VALUE"""),"R")</f>
        <v>R</v>
      </c>
      <c r="G3837" s="9" t="str">
        <f>IFERROR(__xludf.DUMMYFUNCTION("""COMPUTED_VALUE"""),"SQL")</f>
        <v>SQL</v>
      </c>
      <c r="H3837" s="9" t="str">
        <f>IFERROR(__xludf.DUMMYFUNCTION("""COMPUTED_VALUE"""),"Go")</f>
        <v>Go</v>
      </c>
      <c r="I3837" s="9" t="str">
        <f>IFERROR(__xludf.DUMMYFUNCTION("""COMPUTED_VALUE"""),"SQL")</f>
        <v>SQL</v>
      </c>
      <c r="J3837" s="9" t="str">
        <f>IFERROR(__xludf.DUMMYFUNCTION("""COMPUTED_VALUE"""),"HTML/CSS")</f>
        <v>HTML/CSS</v>
      </c>
      <c r="K3837" s="9" t="str">
        <f>IFERROR(__xludf.DUMMYFUNCTION("""COMPUTED_VALUE"""),"Java")</f>
        <v>Java</v>
      </c>
      <c r="L3837" s="9" t="str">
        <f>IFERROR(__xludf.DUMMYFUNCTION("""COMPUTED_VALUE"""),"C#")</f>
        <v>C#</v>
      </c>
      <c r="M3837" s="9" t="s">
        <v>22</v>
      </c>
    </row>
    <row r="3838" ht="15.75" customHeight="1">
      <c r="A3838" s="7"/>
      <c r="B3838" s="7" t="str">
        <f>IFERROR(__xludf.DUMMYFUNCTION("""COMPUTED_VALUE"""),"Bash/Shell/PowerShell;HTML/CSS;Java;JavaScript;Python;SQL;Other(s):")</f>
        <v>Bash/Shell/PowerShell;HTML/CSS;Java;JavaScript;Python;SQL;Other(s):</v>
      </c>
      <c r="C3838" s="9" t="str">
        <f>IFERROR(__xludf.DUMMYFUNCTION("""COMPUTED_VALUE"""),"SQL")</f>
        <v>SQL</v>
      </c>
      <c r="D3838" s="9" t="str">
        <f>IFERROR(__xludf.DUMMYFUNCTION("""COMPUTED_VALUE"""),"HTML/CSS")</f>
        <v>HTML/CSS</v>
      </c>
      <c r="E3838" s="9" t="str">
        <f>IFERROR(__xludf.DUMMYFUNCTION("""COMPUTED_VALUE"""),"Go")</f>
        <v>Go</v>
      </c>
      <c r="F3838" s="9" t="str">
        <f>IFERROR(__xludf.DUMMYFUNCTION("""COMPUTED_VALUE"""),"SQL")</f>
        <v>SQL</v>
      </c>
      <c r="G3838" s="9" t="str">
        <f>IFERROR(__xludf.DUMMYFUNCTION("""COMPUTED_VALUE"""),"Other(s):")</f>
        <v>Other(s):</v>
      </c>
      <c r="H3838" s="9" t="str">
        <f>IFERROR(__xludf.DUMMYFUNCTION("""COMPUTED_VALUE"""),"HTML/CSS")</f>
        <v>HTML/CSS</v>
      </c>
      <c r="I3838" s="9" t="str">
        <f>IFERROR(__xludf.DUMMYFUNCTION("""COMPUTED_VALUE"""),"Bash/Shell/PowerShell")</f>
        <v>Bash/Shell/PowerShell</v>
      </c>
      <c r="J3838" s="9" t="str">
        <f>IFERROR(__xludf.DUMMYFUNCTION("""COMPUTED_VALUE"""),"Java")</f>
        <v>Java</v>
      </c>
      <c r="K3838" s="9" t="str">
        <f>IFERROR(__xludf.DUMMYFUNCTION("""COMPUTED_VALUE"""),"JavaScript")</f>
        <v>JavaScript</v>
      </c>
      <c r="L3838" s="9" t="str">
        <f>IFERROR(__xludf.DUMMYFUNCTION("""COMPUTED_VALUE"""),"HTML/CSS")</f>
        <v>HTML/CSS</v>
      </c>
      <c r="M3838" s="9" t="s">
        <v>27</v>
      </c>
    </row>
    <row r="3839" ht="15.75" customHeight="1">
      <c r="A3839" s="7"/>
      <c r="B3839" s="7" t="str">
        <f>IFERROR(__xludf.DUMMYFUNCTION("""COMPUTED_VALUE"""),"Scala")</f>
        <v>Scala</v>
      </c>
      <c r="C3839" s="9" t="str">
        <f>IFERROR(__xludf.DUMMYFUNCTION("""COMPUTED_VALUE"""),"Assembly")</f>
        <v>Assembly</v>
      </c>
      <c r="D3839" s="9" t="str">
        <f>IFERROR(__xludf.DUMMYFUNCTION("""COMPUTED_VALUE"""),"Java")</f>
        <v>Java</v>
      </c>
      <c r="E3839" s="9" t="str">
        <f>IFERROR(__xludf.DUMMYFUNCTION("""COMPUTED_VALUE"""),"HTML/CSS")</f>
        <v>HTML/CSS</v>
      </c>
      <c r="F3839" s="9" t="str">
        <f>IFERROR(__xludf.DUMMYFUNCTION("""COMPUTED_VALUE"""),"C++")</f>
        <v>C++</v>
      </c>
      <c r="G3839" s="9" t="str">
        <f>IFERROR(__xludf.DUMMYFUNCTION("""COMPUTED_VALUE"""),"Bash/Shell/PowerShell")</f>
        <v>Bash/Shell/PowerShell</v>
      </c>
      <c r="H3839" s="9" t="str">
        <f>IFERROR(__xludf.DUMMYFUNCTION("""COMPUTED_VALUE"""),"Java")</f>
        <v>Java</v>
      </c>
      <c r="I3839" s="9" t="str">
        <f>IFERROR(__xludf.DUMMYFUNCTION("""COMPUTED_VALUE"""),"C")</f>
        <v>C</v>
      </c>
      <c r="J3839" s="9" t="str">
        <f>IFERROR(__xludf.DUMMYFUNCTION("""COMPUTED_VALUE"""),"JavaScript")</f>
        <v>JavaScript</v>
      </c>
      <c r="K3839" s="9" t="str">
        <f>IFERROR(__xludf.DUMMYFUNCTION("""COMPUTED_VALUE"""),"R")</f>
        <v>R</v>
      </c>
      <c r="L3839" s="9" t="str">
        <f>IFERROR(__xludf.DUMMYFUNCTION("""COMPUTED_VALUE"""),"Java")</f>
        <v>Java</v>
      </c>
      <c r="M3839" s="9" t="s">
        <v>38</v>
      </c>
    </row>
    <row r="3840" ht="15.75" customHeight="1">
      <c r="A3840" s="7"/>
      <c r="B3840" s="7" t="str">
        <f>IFERROR(__xludf.DUMMYFUNCTION("""COMPUTED_VALUE"""),"Bash/Shell/PowerShell;Objective-C;Python;R;Swift")</f>
        <v>Bash/Shell/PowerShell;Objective-C;Python;R;Swift</v>
      </c>
      <c r="C3840" s="9" t="str">
        <f>IFERROR(__xludf.DUMMYFUNCTION("""COMPUTED_VALUE"""),"C++")</f>
        <v>C++</v>
      </c>
      <c r="D3840" s="9" t="str">
        <f>IFERROR(__xludf.DUMMYFUNCTION("""COMPUTED_VALUE"""),"JavaScript")</f>
        <v>JavaScript</v>
      </c>
      <c r="E3840" s="9" t="str">
        <f>IFERROR(__xludf.DUMMYFUNCTION("""COMPUTED_VALUE"""),"JavaScript")</f>
        <v>JavaScript</v>
      </c>
      <c r="F3840" s="9" t="str">
        <f>IFERROR(__xludf.DUMMYFUNCTION("""COMPUTED_VALUE"""),"HTML/CSS")</f>
        <v>HTML/CSS</v>
      </c>
      <c r="G3840" s="9" t="str">
        <f>IFERROR(__xludf.DUMMYFUNCTION("""COMPUTED_VALUE"""),"HTML/CSS")</f>
        <v>HTML/CSS</v>
      </c>
      <c r="H3840" s="9" t="str">
        <f>IFERROR(__xludf.DUMMYFUNCTION("""COMPUTED_VALUE"""),"JavaScript")</f>
        <v>JavaScript</v>
      </c>
      <c r="I3840" s="9" t="str">
        <f>IFERROR(__xludf.DUMMYFUNCTION("""COMPUTED_VALUE"""),"C++")</f>
        <v>C++</v>
      </c>
      <c r="J3840" s="9" t="str">
        <f>IFERROR(__xludf.DUMMYFUNCTION("""COMPUTED_VALUE"""),"Python")</f>
        <v>Python</v>
      </c>
      <c r="K3840" s="9" t="str">
        <f>IFERROR(__xludf.DUMMYFUNCTION("""COMPUTED_VALUE"""),"SQL")</f>
        <v>SQL</v>
      </c>
      <c r="L3840" s="9" t="str">
        <f>IFERROR(__xludf.DUMMYFUNCTION("""COMPUTED_VALUE"""),"JavaScript")</f>
        <v>JavaScript</v>
      </c>
      <c r="M3840" s="9" t="s">
        <v>23</v>
      </c>
    </row>
    <row r="3841" ht="15.75" customHeight="1">
      <c r="A3841" s="7"/>
      <c r="B3841" s="7" t="str">
        <f>IFERROR(__xludf.DUMMYFUNCTION("""COMPUTED_VALUE"""),"PHP;Python")</f>
        <v>PHP;Python</v>
      </c>
      <c r="C3841" s="9" t="str">
        <f>IFERROR(__xludf.DUMMYFUNCTION("""COMPUTED_VALUE"""),"Java")</f>
        <v>Java</v>
      </c>
      <c r="D3841" s="9" t="str">
        <f>IFERROR(__xludf.DUMMYFUNCTION("""COMPUTED_VALUE"""),"PHP")</f>
        <v>PHP</v>
      </c>
      <c r="E3841" s="9" t="str">
        <f>IFERROR(__xludf.DUMMYFUNCTION("""COMPUTED_VALUE"""),"SQL")</f>
        <v>SQL</v>
      </c>
      <c r="F3841" s="9" t="str">
        <f>IFERROR(__xludf.DUMMYFUNCTION("""COMPUTED_VALUE"""),"JavaScript")</f>
        <v>JavaScript</v>
      </c>
      <c r="G3841" s="9" t="str">
        <f>IFERROR(__xludf.DUMMYFUNCTION("""COMPUTED_VALUE"""),"JavaScript")</f>
        <v>JavaScript</v>
      </c>
      <c r="H3841" s="9" t="str">
        <f>IFERROR(__xludf.DUMMYFUNCTION("""COMPUTED_VALUE"""),"Kotlin")</f>
        <v>Kotlin</v>
      </c>
      <c r="I3841" s="9" t="str">
        <f>IFERROR(__xludf.DUMMYFUNCTION("""COMPUTED_VALUE"""),"HTML/CSS")</f>
        <v>HTML/CSS</v>
      </c>
      <c r="J3841" s="9" t="str">
        <f>IFERROR(__xludf.DUMMYFUNCTION("""COMPUTED_VALUE"""),"Bash/Shell/PowerShell")</f>
        <v>Bash/Shell/PowerShell</v>
      </c>
      <c r="K3841" s="9" t="str">
        <f>IFERROR(__xludf.DUMMYFUNCTION("""COMPUTED_VALUE"""),"VBA")</f>
        <v>VBA</v>
      </c>
      <c r="L3841" s="9" t="str">
        <f>IFERROR(__xludf.DUMMYFUNCTION("""COMPUTED_VALUE"""),"TypeScript")</f>
        <v>TypeScript</v>
      </c>
      <c r="M3841" s="9" t="s">
        <v>20</v>
      </c>
    </row>
    <row r="3842" ht="15.75" customHeight="1">
      <c r="A3842" s="7"/>
      <c r="B3842" s="7" t="str">
        <f>IFERROR(__xludf.DUMMYFUNCTION("""COMPUTED_VALUE"""),"C#;HTML/CSS;Java;JavaScript;Python")</f>
        <v>C#;HTML/CSS;Java;JavaScript;Python</v>
      </c>
      <c r="C3842" s="9" t="str">
        <f>IFERROR(__xludf.DUMMYFUNCTION("""COMPUTED_VALUE"""),"JavaScript")</f>
        <v>JavaScript</v>
      </c>
      <c r="D3842" s="9" t="str">
        <f>IFERROR(__xludf.DUMMYFUNCTION("""COMPUTED_VALUE"""),"SQL")</f>
        <v>SQL</v>
      </c>
      <c r="E3842" s="9" t="str">
        <f>IFERROR(__xludf.DUMMYFUNCTION("""COMPUTED_VALUE"""),"TypeScript")</f>
        <v>TypeScript</v>
      </c>
      <c r="F3842" s="9" t="str">
        <f>IFERROR(__xludf.DUMMYFUNCTION("""COMPUTED_VALUE"""),"Python")</f>
        <v>Python</v>
      </c>
      <c r="G3842" s="9" t="str">
        <f>IFERROR(__xludf.DUMMYFUNCTION("""COMPUTED_VALUE"""),"PHP")</f>
        <v>PHP</v>
      </c>
      <c r="H3842" s="9" t="str">
        <f>IFERROR(__xludf.DUMMYFUNCTION("""COMPUTED_VALUE"""),"Objective-C")</f>
        <v>Objective-C</v>
      </c>
      <c r="I3842" s="9" t="str">
        <f>IFERROR(__xludf.DUMMYFUNCTION("""COMPUTED_VALUE"""),"Java")</f>
        <v>Java</v>
      </c>
      <c r="J3842" s="9" t="str">
        <f>IFERROR(__xludf.DUMMYFUNCTION("""COMPUTED_VALUE"""),"HTML/CSS")</f>
        <v>HTML/CSS</v>
      </c>
      <c r="K3842" s="9" t="str">
        <f>IFERROR(__xludf.DUMMYFUNCTION("""COMPUTED_VALUE"""),"Bash/Shell/PowerShell")</f>
        <v>Bash/Shell/PowerShell</v>
      </c>
      <c r="L3842" s="9" t="str">
        <f>IFERROR(__xludf.DUMMYFUNCTION("""COMPUTED_VALUE"""),"C++")</f>
        <v>C++</v>
      </c>
      <c r="M3842" s="9" t="s">
        <v>21</v>
      </c>
    </row>
    <row r="3843" ht="15.75" customHeight="1">
      <c r="A3843" s="7"/>
      <c r="B3843" s="7" t="str">
        <f>IFERROR(__xludf.DUMMYFUNCTION("""COMPUTED_VALUE"""),"Bash/Shell/PowerShell;HTML/CSS;PHP")</f>
        <v>Bash/Shell/PowerShell;HTML/CSS;PHP</v>
      </c>
      <c r="C3843" s="9" t="str">
        <f>IFERROR(__xludf.DUMMYFUNCTION("""COMPUTED_VALUE"""),"VBA")</f>
        <v>VBA</v>
      </c>
      <c r="D3843" s="9" t="str">
        <f>IFERROR(__xludf.DUMMYFUNCTION("""COMPUTED_VALUE"""),"TypeScript")</f>
        <v>TypeScript</v>
      </c>
      <c r="E3843" s="9" t="str">
        <f>IFERROR(__xludf.DUMMYFUNCTION("""COMPUTED_VALUE"""),"Java")</f>
        <v>Java</v>
      </c>
      <c r="F3843" s="9" t="str">
        <f>IFERROR(__xludf.DUMMYFUNCTION("""COMPUTED_VALUE"""),"HTML/CSS")</f>
        <v>HTML/CSS</v>
      </c>
      <c r="G3843" s="9" t="str">
        <f>IFERROR(__xludf.DUMMYFUNCTION("""COMPUTED_VALUE"""),"SQL")</f>
        <v>SQL</v>
      </c>
      <c r="H3843" s="9" t="str">
        <f>IFERROR(__xludf.DUMMYFUNCTION("""COMPUTED_VALUE"""),"R")</f>
        <v>R</v>
      </c>
      <c r="I3843" s="9" t="str">
        <f>IFERROR(__xludf.DUMMYFUNCTION("""COMPUTED_VALUE"""),"JavaScript")</f>
        <v>JavaScript</v>
      </c>
      <c r="J3843" s="9" t="str">
        <f>IFERROR(__xludf.DUMMYFUNCTION("""COMPUTED_VALUE"""),"Java")</f>
        <v>Java</v>
      </c>
      <c r="K3843" s="9" t="str">
        <f>IFERROR(__xludf.DUMMYFUNCTION("""COMPUTED_VALUE"""),"HTML/CSS")</f>
        <v>HTML/CSS</v>
      </c>
      <c r="L3843" s="9" t="str">
        <f>IFERROR(__xludf.DUMMYFUNCTION("""COMPUTED_VALUE"""),"C#")</f>
        <v>C#</v>
      </c>
      <c r="M3843" s="9" t="s">
        <v>28</v>
      </c>
    </row>
    <row r="3844" ht="15.75" customHeight="1">
      <c r="A3844" s="7"/>
      <c r="B3844" s="7" t="str">
        <f>IFERROR(__xludf.DUMMYFUNCTION("""COMPUTED_VALUE"""),"Assembly;C;C++;Java;Other(s):")</f>
        <v>Assembly;C;C++;Java;Other(s):</v>
      </c>
      <c r="C3844" s="9" t="str">
        <f>IFERROR(__xludf.DUMMYFUNCTION("""COMPUTED_VALUE"""),"C")</f>
        <v>C</v>
      </c>
      <c r="D3844" s="9" t="str">
        <f>IFERROR(__xludf.DUMMYFUNCTION("""COMPUTED_VALUE"""),"Go")</f>
        <v>Go</v>
      </c>
      <c r="E3844" s="9" t="str">
        <f>IFERROR(__xludf.DUMMYFUNCTION("""COMPUTED_VALUE"""),"JavaScript")</f>
        <v>JavaScript</v>
      </c>
      <c r="F3844" s="9" t="str">
        <f>IFERROR(__xludf.DUMMYFUNCTION("""COMPUTED_VALUE"""),"JavaScript")</f>
        <v>JavaScript</v>
      </c>
      <c r="G3844" s="9" t="str">
        <f>IFERROR(__xludf.DUMMYFUNCTION("""COMPUTED_VALUE"""),"TypeScript")</f>
        <v>TypeScript</v>
      </c>
      <c r="H3844" s="9" t="str">
        <f>IFERROR(__xludf.DUMMYFUNCTION("""COMPUTED_VALUE"""),"Ruby")</f>
        <v>Ruby</v>
      </c>
      <c r="I3844" s="9" t="str">
        <f>IFERROR(__xludf.DUMMYFUNCTION("""COMPUTED_VALUE"""),"PHP")</f>
        <v>PHP</v>
      </c>
      <c r="J3844" s="9" t="str">
        <f>IFERROR(__xludf.DUMMYFUNCTION("""COMPUTED_VALUE"""),"JavaScript")</f>
        <v>JavaScript</v>
      </c>
      <c r="K3844" s="9" t="str">
        <f>IFERROR(__xludf.DUMMYFUNCTION("""COMPUTED_VALUE"""),"JavaScript")</f>
        <v>JavaScript</v>
      </c>
      <c r="L3844" s="9" t="str">
        <f>IFERROR(__xludf.DUMMYFUNCTION("""COMPUTED_VALUE"""),"C#")</f>
        <v>C#</v>
      </c>
      <c r="M3844" s="9" t="s">
        <v>25</v>
      </c>
    </row>
    <row r="3845" ht="15.75" customHeight="1">
      <c r="A3845" s="7"/>
      <c r="B3845" s="7" t="str">
        <f>IFERROR(__xludf.DUMMYFUNCTION("""COMPUTED_VALUE"""),"Assembly;Bash/Shell/PowerShell;C;C++;C#;Elixir;Erlang;Go;HTML/CSS;Java;JavaScript;Python;SQL")</f>
        <v>Assembly;Bash/Shell/PowerShell;C;C++;C#;Elixir;Erlang;Go;HTML/CSS;Java;JavaScript;Python;SQL</v>
      </c>
      <c r="C3845" s="9" t="str">
        <f>IFERROR(__xludf.DUMMYFUNCTION("""COMPUTED_VALUE"""),"Python")</f>
        <v>Python</v>
      </c>
      <c r="D3845" s="9" t="str">
        <f>IFERROR(__xludf.DUMMYFUNCTION("""COMPUTED_VALUE"""),"HTML/CSS")</f>
        <v>HTML/CSS</v>
      </c>
      <c r="E3845" s="9" t="str">
        <f>IFERROR(__xludf.DUMMYFUNCTION("""COMPUTED_VALUE"""),"Python")</f>
        <v>Python</v>
      </c>
      <c r="F3845" s="9" t="str">
        <f>IFERROR(__xludf.DUMMYFUNCTION("""COMPUTED_VALUE"""),"PHP")</f>
        <v>PHP</v>
      </c>
      <c r="G3845" s="9" t="str">
        <f>IFERROR(__xludf.DUMMYFUNCTION("""COMPUTED_VALUE"""),"Bash/Shell/PowerShell")</f>
        <v>Bash/Shell/PowerShell</v>
      </c>
      <c r="H3845" s="9" t="str">
        <f>IFERROR(__xludf.DUMMYFUNCTION("""COMPUTED_VALUE"""),"Rust")</f>
        <v>Rust</v>
      </c>
      <c r="I3845" s="9" t="str">
        <f>IFERROR(__xludf.DUMMYFUNCTION("""COMPUTED_VALUE"""),"SQL")</f>
        <v>SQL</v>
      </c>
      <c r="J3845" s="9" t="str">
        <f>IFERROR(__xludf.DUMMYFUNCTION("""COMPUTED_VALUE"""),"SQL")</f>
        <v>SQL</v>
      </c>
      <c r="K3845" s="9" t="str">
        <f>IFERROR(__xludf.DUMMYFUNCTION("""COMPUTED_VALUE"""),"Python")</f>
        <v>Python</v>
      </c>
      <c r="L3845" s="9" t="str">
        <f>IFERROR(__xludf.DUMMYFUNCTION("""COMPUTED_VALUE"""),"C#")</f>
        <v>C#</v>
      </c>
      <c r="M3845" s="9" t="s">
        <v>22</v>
      </c>
    </row>
    <row r="3846" ht="15.75" customHeight="1">
      <c r="A3846" s="7"/>
      <c r="B3846" s="7" t="str">
        <f>IFERROR(__xludf.DUMMYFUNCTION("""COMPUTED_VALUE"""),"Bash/Shell/PowerShell;C;C++;C#;HTML/CSS;Java;JavaScript;PHP;Python;SQL")</f>
        <v>Bash/Shell/PowerShell;C;C++;C#;HTML/CSS;Java;JavaScript;PHP;Python;SQL</v>
      </c>
      <c r="C3846" s="9" t="str">
        <f>IFERROR(__xludf.DUMMYFUNCTION("""COMPUTED_VALUE"""),"SQL")</f>
        <v>SQL</v>
      </c>
      <c r="D3846" s="9" t="str">
        <f>IFERROR(__xludf.DUMMYFUNCTION("""COMPUTED_VALUE"""),"Java")</f>
        <v>Java</v>
      </c>
      <c r="E3846" s="9" t="str">
        <f>IFERROR(__xludf.DUMMYFUNCTION("""COMPUTED_VALUE"""),"HTML/CSS")</f>
        <v>HTML/CSS</v>
      </c>
      <c r="F3846" s="9" t="str">
        <f>IFERROR(__xludf.DUMMYFUNCTION("""COMPUTED_VALUE"""),"SQL")</f>
        <v>SQL</v>
      </c>
      <c r="G3846" s="9" t="str">
        <f>IFERROR(__xludf.DUMMYFUNCTION("""COMPUTED_VALUE"""),"C#")</f>
        <v>C#</v>
      </c>
      <c r="H3846" s="9" t="str">
        <f>IFERROR(__xludf.DUMMYFUNCTION("""COMPUTED_VALUE"""),"Scala")</f>
        <v>Scala</v>
      </c>
      <c r="I3846" s="9" t="str">
        <f>IFERROR(__xludf.DUMMYFUNCTION("""COMPUTED_VALUE"""),"HTML/CSS")</f>
        <v>HTML/CSS</v>
      </c>
      <c r="J3846" s="9" t="str">
        <f>IFERROR(__xludf.DUMMYFUNCTION("""COMPUTED_VALUE"""),"TypeScript")</f>
        <v>TypeScript</v>
      </c>
      <c r="K3846" s="9" t="str">
        <f>IFERROR(__xludf.DUMMYFUNCTION("""COMPUTED_VALUE"""),"R")</f>
        <v>R</v>
      </c>
      <c r="L3846" s="9" t="str">
        <f>IFERROR(__xludf.DUMMYFUNCTION("""COMPUTED_VALUE"""),"HTML/CSS")</f>
        <v>HTML/CSS</v>
      </c>
      <c r="M3846" s="9" t="s">
        <v>27</v>
      </c>
    </row>
    <row r="3847" ht="15.75" customHeight="1">
      <c r="A3847" s="7"/>
      <c r="B3847" s="7" t="str">
        <f>IFERROR(__xludf.DUMMYFUNCTION("""COMPUTED_VALUE"""),"C++")</f>
        <v>C++</v>
      </c>
      <c r="C3847" s="9" t="str">
        <f>IFERROR(__xludf.DUMMYFUNCTION("""COMPUTED_VALUE"""),"HTML/CSS")</f>
        <v>HTML/CSS</v>
      </c>
      <c r="D3847" s="9" t="str">
        <f>IFERROR(__xludf.DUMMYFUNCTION("""COMPUTED_VALUE"""),"JavaScript")</f>
        <v>JavaScript</v>
      </c>
      <c r="E3847" s="9" t="str">
        <f>IFERROR(__xludf.DUMMYFUNCTION("""COMPUTED_VALUE"""),"JavaScript")</f>
        <v>JavaScript</v>
      </c>
      <c r="F3847" s="9" t="str">
        <f>IFERROR(__xludf.DUMMYFUNCTION("""COMPUTED_VALUE"""),"Java")</f>
        <v>Java</v>
      </c>
      <c r="G3847" s="9" t="str">
        <f>IFERROR(__xludf.DUMMYFUNCTION("""COMPUTED_VALUE"""),"HTML/CSS")</f>
        <v>HTML/CSS</v>
      </c>
      <c r="H3847" s="9" t="str">
        <f>IFERROR(__xludf.DUMMYFUNCTION("""COMPUTED_VALUE"""),"Swift")</f>
        <v>Swift</v>
      </c>
      <c r="I3847" s="9" t="str">
        <f>IFERROR(__xludf.DUMMYFUNCTION("""COMPUTED_VALUE"""),"Java")</f>
        <v>Java</v>
      </c>
      <c r="J3847" s="9" t="str">
        <f>IFERROR(__xludf.DUMMYFUNCTION("""COMPUTED_VALUE"""),"Bash/Shell/PowerShell")</f>
        <v>Bash/Shell/PowerShell</v>
      </c>
      <c r="K3847" s="9" t="str">
        <f>IFERROR(__xludf.DUMMYFUNCTION("""COMPUTED_VALUE"""),"SQL")</f>
        <v>SQL</v>
      </c>
      <c r="L3847" s="9" t="str">
        <f>IFERROR(__xludf.DUMMYFUNCTION("""COMPUTED_VALUE"""),"JavaScript")</f>
        <v>JavaScript</v>
      </c>
      <c r="M3847" s="9" t="s">
        <v>24</v>
      </c>
    </row>
    <row r="3848" ht="15.75" customHeight="1">
      <c r="A3848" s="7"/>
      <c r="B3848" s="7" t="str">
        <f>IFERROR(__xludf.DUMMYFUNCTION("""COMPUTED_VALUE"""),"HTML/CSS;JavaScript;SQL;TypeScript;VBA")</f>
        <v>HTML/CSS;JavaScript;SQL;TypeScript;VBA</v>
      </c>
      <c r="C3848" s="9" t="str">
        <f>IFERROR(__xludf.DUMMYFUNCTION("""COMPUTED_VALUE"""),"JavaScript")</f>
        <v>JavaScript</v>
      </c>
      <c r="D3848" s="9" t="str">
        <f>IFERROR(__xludf.DUMMYFUNCTION("""COMPUTED_VALUE"""),"PHP")</f>
        <v>PHP</v>
      </c>
      <c r="E3848" s="9" t="str">
        <f>IFERROR(__xludf.DUMMYFUNCTION("""COMPUTED_VALUE"""),"Other(s):")</f>
        <v>Other(s):</v>
      </c>
      <c r="F3848" s="9" t="str">
        <f>IFERROR(__xludf.DUMMYFUNCTION("""COMPUTED_VALUE"""),"SQL")</f>
        <v>SQL</v>
      </c>
      <c r="G3848" s="9" t="str">
        <f>IFERROR(__xludf.DUMMYFUNCTION("""COMPUTED_VALUE"""),"JavaScript")</f>
        <v>JavaScript</v>
      </c>
      <c r="H3848" s="9" t="str">
        <f>IFERROR(__xludf.DUMMYFUNCTION("""COMPUTED_VALUE"""),"TypeScript")</f>
        <v>TypeScript</v>
      </c>
      <c r="I3848" s="9" t="str">
        <f>IFERROR(__xludf.DUMMYFUNCTION("""COMPUTED_VALUE"""),"JavaScript")</f>
        <v>JavaScript</v>
      </c>
      <c r="J3848" s="9" t="str">
        <f>IFERROR(__xludf.DUMMYFUNCTION("""COMPUTED_VALUE"""),"C")</f>
        <v>C</v>
      </c>
      <c r="K3848" s="9" t="str">
        <f>IFERROR(__xludf.DUMMYFUNCTION("""COMPUTED_VALUE"""),"TypeScript")</f>
        <v>TypeScript</v>
      </c>
      <c r="L3848" s="9" t="str">
        <f>IFERROR(__xludf.DUMMYFUNCTION("""COMPUTED_VALUE"""),"SQL")</f>
        <v>SQL</v>
      </c>
      <c r="M3848" s="9" t="s">
        <v>21</v>
      </c>
    </row>
    <row r="3849" ht="15.75" customHeight="1">
      <c r="A3849" s="7"/>
      <c r="B3849" s="7" t="str">
        <f>IFERROR(__xludf.DUMMYFUNCTION("""COMPUTED_VALUE"""),"C#;JavaScript")</f>
        <v>C#;JavaScript</v>
      </c>
      <c r="C3849" s="9" t="str">
        <f>IFERROR(__xludf.DUMMYFUNCTION("""COMPUTED_VALUE"""),"TypeScript")</f>
        <v>TypeScript</v>
      </c>
      <c r="D3849" s="9" t="str">
        <f>IFERROR(__xludf.DUMMYFUNCTION("""COMPUTED_VALUE"""),"Python")</f>
        <v>Python</v>
      </c>
      <c r="E3849" s="9" t="str">
        <f>IFERROR(__xludf.DUMMYFUNCTION("""COMPUTED_VALUE"""),"C")</f>
        <v>C</v>
      </c>
      <c r="F3849" s="9" t="str">
        <f>IFERROR(__xludf.DUMMYFUNCTION("""COMPUTED_VALUE"""),"HTML/CSS")</f>
        <v>HTML/CSS</v>
      </c>
      <c r="G3849" s="9" t="str">
        <f>IFERROR(__xludf.DUMMYFUNCTION("""COMPUTED_VALUE"""),"SQL")</f>
        <v>SQL</v>
      </c>
      <c r="H3849" s="9" t="str">
        <f>IFERROR(__xludf.DUMMYFUNCTION("""COMPUTED_VALUE"""),"VBA")</f>
        <v>VBA</v>
      </c>
      <c r="I3849" s="9" t="str">
        <f>IFERROR(__xludf.DUMMYFUNCTION("""COMPUTED_VALUE"""),"Python")</f>
        <v>Python</v>
      </c>
      <c r="J3849" s="9" t="str">
        <f>IFERROR(__xludf.DUMMYFUNCTION("""COMPUTED_VALUE"""),"C++")</f>
        <v>C++</v>
      </c>
      <c r="K3849" s="9" t="str">
        <f>IFERROR(__xludf.DUMMYFUNCTION("""COMPUTED_VALUE"""),"Assembly")</f>
        <v>Assembly</v>
      </c>
      <c r="L3849" s="9" t="str">
        <f>IFERROR(__xludf.DUMMYFUNCTION("""COMPUTED_VALUE"""),"TypeScript")</f>
        <v>TypeScript</v>
      </c>
      <c r="M3849" s="9" t="s">
        <v>33</v>
      </c>
    </row>
    <row r="3850" ht="15.75" customHeight="1">
      <c r="A3850" s="7"/>
      <c r="B3850" s="7" t="str">
        <f>IFERROR(__xludf.DUMMYFUNCTION("""COMPUTED_VALUE"""),"HTML/CSS;PHP;SQL")</f>
        <v>HTML/CSS;PHP;SQL</v>
      </c>
      <c r="C3850" s="9" t="str">
        <f>IFERROR(__xludf.DUMMYFUNCTION("""COMPUTED_VALUE"""),"HTML/CSS")</f>
        <v>HTML/CSS</v>
      </c>
      <c r="D3850" s="9" t="str">
        <f>IFERROR(__xludf.DUMMYFUNCTION("""COMPUTED_VALUE"""),"SQL")</f>
        <v>SQL</v>
      </c>
      <c r="E3850" s="9" t="str">
        <f>IFERROR(__xludf.DUMMYFUNCTION("""COMPUTED_VALUE"""),"C#")</f>
        <v>C#</v>
      </c>
      <c r="F3850" s="9" t="str">
        <f>IFERROR(__xludf.DUMMYFUNCTION("""COMPUTED_VALUE"""),"JavaScript")</f>
        <v>JavaScript</v>
      </c>
      <c r="G3850" s="9" t="str">
        <f>IFERROR(__xludf.DUMMYFUNCTION("""COMPUTED_VALUE"""),"TypeScript")</f>
        <v>TypeScript</v>
      </c>
      <c r="H3850" s="9" t="str">
        <f>IFERROR(__xludf.DUMMYFUNCTION("""COMPUTED_VALUE"""),"WebAssembly")</f>
        <v>WebAssembly</v>
      </c>
      <c r="I3850" s="9" t="str">
        <f>IFERROR(__xludf.DUMMYFUNCTION("""COMPUTED_VALUE"""),"SQL")</f>
        <v>SQL</v>
      </c>
      <c r="J3850" s="9" t="str">
        <f>IFERROR(__xludf.DUMMYFUNCTION("""COMPUTED_VALUE"""),"Python")</f>
        <v>Python</v>
      </c>
      <c r="K3850" s="9" t="str">
        <f>IFERROR(__xludf.DUMMYFUNCTION("""COMPUTED_VALUE"""),"Bash/Shell/PowerShell")</f>
        <v>Bash/Shell/PowerShell</v>
      </c>
      <c r="L3850" s="9" t="str">
        <f>IFERROR(__xludf.DUMMYFUNCTION("""COMPUTED_VALUE"""),"Other(s):")</f>
        <v>Other(s):</v>
      </c>
      <c r="M3850" s="9" t="s">
        <v>24</v>
      </c>
    </row>
    <row r="3851" ht="15.75" customHeight="1">
      <c r="A3851" s="7"/>
      <c r="B3851" s="7" t="str">
        <f>IFERROR(__xludf.DUMMYFUNCTION("""COMPUTED_VALUE"""),"Python")</f>
        <v>Python</v>
      </c>
      <c r="C3851" s="9" t="str">
        <f>IFERROR(__xludf.DUMMYFUNCTION("""COMPUTED_VALUE"""),"Java")</f>
        <v>Java</v>
      </c>
      <c r="D3851" s="9" t="str">
        <f>IFERROR(__xludf.DUMMYFUNCTION("""COMPUTED_VALUE"""),"Assembly")</f>
        <v>Assembly</v>
      </c>
      <c r="E3851" s="9" t="str">
        <f>IFERROR(__xludf.DUMMYFUNCTION("""COMPUTED_VALUE"""),"HTML/CSS")</f>
        <v>HTML/CSS</v>
      </c>
      <c r="F3851" s="9" t="str">
        <f>IFERROR(__xludf.DUMMYFUNCTION("""COMPUTED_VALUE"""),"R")</f>
        <v>R</v>
      </c>
      <c r="G3851" s="9" t="str">
        <f>IFERROR(__xludf.DUMMYFUNCTION("""COMPUTED_VALUE"""),"Assembly")</f>
        <v>Assembly</v>
      </c>
      <c r="H3851" s="9" t="str">
        <f>IFERROR(__xludf.DUMMYFUNCTION("""COMPUTED_VALUE"""),"Other(s):")</f>
        <v>Other(s):</v>
      </c>
      <c r="I3851" s="9" t="str">
        <f>IFERROR(__xludf.DUMMYFUNCTION("""COMPUTED_VALUE"""),"Bash/Shell/PowerShell")</f>
        <v>Bash/Shell/PowerShell</v>
      </c>
      <c r="J3851" s="9" t="str">
        <f>IFERROR(__xludf.DUMMYFUNCTION("""COMPUTED_VALUE"""),"SQL")</f>
        <v>SQL</v>
      </c>
      <c r="K3851" s="9" t="str">
        <f>IFERROR(__xludf.DUMMYFUNCTION("""COMPUTED_VALUE"""),"C")</f>
        <v>C</v>
      </c>
      <c r="L3851" s="9" t="str">
        <f>IFERROR(__xludf.DUMMYFUNCTION("""COMPUTED_VALUE"""),"C")</f>
        <v>C</v>
      </c>
      <c r="M3851" s="9" t="s">
        <v>20</v>
      </c>
    </row>
    <row r="3852" ht="15.75" customHeight="1">
      <c r="A3852" s="7"/>
      <c r="B3852" s="7" t="str">
        <f>IFERROR(__xludf.DUMMYFUNCTION("""COMPUTED_VALUE"""),"C#;HTML/CSS;SQL")</f>
        <v>C#;HTML/CSS;SQL</v>
      </c>
      <c r="C3852" s="9" t="str">
        <f>IFERROR(__xludf.DUMMYFUNCTION("""COMPUTED_VALUE"""),"JavaScript")</f>
        <v>JavaScript</v>
      </c>
      <c r="D3852" s="9" t="str">
        <f>IFERROR(__xludf.DUMMYFUNCTION("""COMPUTED_VALUE"""),"Bash/Shell/PowerShell")</f>
        <v>Bash/Shell/PowerShell</v>
      </c>
      <c r="E3852" s="9" t="str">
        <f>IFERROR(__xludf.DUMMYFUNCTION("""COMPUTED_VALUE"""),"JavaScript")</f>
        <v>JavaScript</v>
      </c>
      <c r="F3852" s="9" t="str">
        <f>IFERROR(__xludf.DUMMYFUNCTION("""COMPUTED_VALUE"""),"SQL")</f>
        <v>SQL</v>
      </c>
      <c r="G3852" s="9" t="str">
        <f>IFERROR(__xludf.DUMMYFUNCTION("""COMPUTED_VALUE"""),"C")</f>
        <v>C</v>
      </c>
      <c r="H3852" s="9" t="str">
        <f>IFERROR(__xludf.DUMMYFUNCTION("""COMPUTED_VALUE"""),"Bash/Shell/PowerShell")</f>
        <v>Bash/Shell/PowerShell</v>
      </c>
      <c r="I3852" s="9" t="str">
        <f>IFERROR(__xludf.DUMMYFUNCTION("""COMPUTED_VALUE"""),"C")</f>
        <v>C</v>
      </c>
      <c r="J3852" s="9" t="str">
        <f>IFERROR(__xludf.DUMMYFUNCTION("""COMPUTED_VALUE"""),"Java")</f>
        <v>Java</v>
      </c>
      <c r="K3852" s="9" t="str">
        <f>IFERROR(__xludf.DUMMYFUNCTION("""COMPUTED_VALUE"""),"HTML/CSS")</f>
        <v>HTML/CSS</v>
      </c>
      <c r="L3852" s="9" t="str">
        <f>IFERROR(__xludf.DUMMYFUNCTION("""COMPUTED_VALUE"""),"C++")</f>
        <v>C++</v>
      </c>
      <c r="M3852" s="9" t="s">
        <v>21</v>
      </c>
    </row>
    <row r="3853" ht="15.75" customHeight="1">
      <c r="A3853" s="7"/>
      <c r="B3853" s="7" t="str">
        <f>IFERROR(__xludf.DUMMYFUNCTION("""COMPUTED_VALUE"""),"Bash/Shell/PowerShell;C#;Java;JavaScript;SQL;TypeScript")</f>
        <v>Bash/Shell/PowerShell;C#;Java;JavaScript;SQL;TypeScript</v>
      </c>
      <c r="C3853" s="9" t="str">
        <f>IFERROR(__xludf.DUMMYFUNCTION("""COMPUTED_VALUE"""),"SQL")</f>
        <v>SQL</v>
      </c>
      <c r="D3853" s="9" t="str">
        <f>IFERROR(__xludf.DUMMYFUNCTION("""COMPUTED_VALUE"""),"C")</f>
        <v>C</v>
      </c>
      <c r="E3853" s="9" t="str">
        <f>IFERROR(__xludf.DUMMYFUNCTION("""COMPUTED_VALUE"""),"PHP")</f>
        <v>PHP</v>
      </c>
      <c r="F3853" s="9" t="str">
        <f>IFERROR(__xludf.DUMMYFUNCTION("""COMPUTED_VALUE"""),"C#")</f>
        <v>C#</v>
      </c>
      <c r="G3853" s="9" t="str">
        <f>IFERROR(__xludf.DUMMYFUNCTION("""COMPUTED_VALUE"""),"Bash/Shell/PowerShell")</f>
        <v>Bash/Shell/PowerShell</v>
      </c>
      <c r="H3853" s="9" t="str">
        <f>IFERROR(__xludf.DUMMYFUNCTION("""COMPUTED_VALUE"""),"C#")</f>
        <v>C#</v>
      </c>
      <c r="I3853" s="9" t="str">
        <f>IFERROR(__xludf.DUMMYFUNCTION("""COMPUTED_VALUE"""),"C++")</f>
        <v>C++</v>
      </c>
      <c r="J3853" s="9" t="str">
        <f>IFERROR(__xludf.DUMMYFUNCTION("""COMPUTED_VALUE"""),"Bash/Shell/PowerShell")</f>
        <v>Bash/Shell/PowerShell</v>
      </c>
      <c r="K3853" s="9" t="str">
        <f>IFERROR(__xludf.DUMMYFUNCTION("""COMPUTED_VALUE"""),"Java")</f>
        <v>Java</v>
      </c>
      <c r="L3853" s="9" t="str">
        <f>IFERROR(__xludf.DUMMYFUNCTION("""COMPUTED_VALUE"""),"C#")</f>
        <v>C#</v>
      </c>
      <c r="M3853" s="9" t="s">
        <v>27</v>
      </c>
    </row>
    <row r="3854" ht="15.75" customHeight="1">
      <c r="A3854" s="7"/>
      <c r="B3854" s="7" t="str">
        <f>IFERROR(__xludf.DUMMYFUNCTION("""COMPUTED_VALUE"""),"HTML/CSS;Java;JavaScript;PHP;TypeScript")</f>
        <v>HTML/CSS;Java;JavaScript;PHP;TypeScript</v>
      </c>
      <c r="C3854" s="9" t="str">
        <f>IFERROR(__xludf.DUMMYFUNCTION("""COMPUTED_VALUE"""),"TypeScript")</f>
        <v>TypeScript</v>
      </c>
      <c r="D3854" s="9" t="str">
        <f>IFERROR(__xludf.DUMMYFUNCTION("""COMPUTED_VALUE"""),"C#")</f>
        <v>C#</v>
      </c>
      <c r="E3854" s="9" t="str">
        <f>IFERROR(__xludf.DUMMYFUNCTION("""COMPUTED_VALUE"""),"Python")</f>
        <v>Python</v>
      </c>
      <c r="F3854" s="9" t="str">
        <f>IFERROR(__xludf.DUMMYFUNCTION("""COMPUTED_VALUE"""),"HTML/CSS")</f>
        <v>HTML/CSS</v>
      </c>
      <c r="G3854" s="9" t="str">
        <f>IFERROR(__xludf.DUMMYFUNCTION("""COMPUTED_VALUE"""),"C++")</f>
        <v>C++</v>
      </c>
      <c r="H3854" s="9" t="str">
        <f>IFERROR(__xludf.DUMMYFUNCTION("""COMPUTED_VALUE"""),"HTML/CSS")</f>
        <v>HTML/CSS</v>
      </c>
      <c r="I3854" s="9" t="str">
        <f>IFERROR(__xludf.DUMMYFUNCTION("""COMPUTED_VALUE"""),"Go")</f>
        <v>Go</v>
      </c>
      <c r="J3854" s="9" t="str">
        <f>IFERROR(__xludf.DUMMYFUNCTION("""COMPUTED_VALUE"""),"HTML/CSS")</f>
        <v>HTML/CSS</v>
      </c>
      <c r="K3854" s="9" t="str">
        <f>IFERROR(__xludf.DUMMYFUNCTION("""COMPUTED_VALUE"""),"Python")</f>
        <v>Python</v>
      </c>
      <c r="L3854" s="9" t="str">
        <f>IFERROR(__xludf.DUMMYFUNCTION("""COMPUTED_VALUE"""),"HTML/CSS")</f>
        <v>HTML/CSS</v>
      </c>
      <c r="M3854" s="9" t="s">
        <v>33</v>
      </c>
    </row>
    <row r="3855" ht="15.75" customHeight="1">
      <c r="A3855" s="7"/>
      <c r="B3855" s="7" t="str">
        <f>IFERROR(__xludf.DUMMYFUNCTION("""COMPUTED_VALUE"""),"C#;HTML/CSS;Java;JavaScript;PHP;R;SQL;VBA")</f>
        <v>C#;HTML/CSS;Java;JavaScript;PHP;R;SQL;VBA</v>
      </c>
      <c r="C3855" s="9" t="str">
        <f>IFERROR(__xludf.DUMMYFUNCTION("""COMPUTED_VALUE"""),"HTML/CSS")</f>
        <v>HTML/CSS</v>
      </c>
      <c r="D3855" s="9" t="str">
        <f>IFERROR(__xludf.DUMMYFUNCTION("""COMPUTED_VALUE"""),"F#")</f>
        <v>F#</v>
      </c>
      <c r="E3855" s="9" t="str">
        <f>IFERROR(__xludf.DUMMYFUNCTION("""COMPUTED_VALUE"""),"Bash/Shell/PowerShell")</f>
        <v>Bash/Shell/PowerShell</v>
      </c>
      <c r="F3855" s="9" t="str">
        <f>IFERROR(__xludf.DUMMYFUNCTION("""COMPUTED_VALUE"""),"C")</f>
        <v>C</v>
      </c>
      <c r="G3855" s="9" t="str">
        <f>IFERROR(__xludf.DUMMYFUNCTION("""COMPUTED_VALUE"""),"HTML/CSS")</f>
        <v>HTML/CSS</v>
      </c>
      <c r="H3855" s="9" t="str">
        <f>IFERROR(__xludf.DUMMYFUNCTION("""COMPUTED_VALUE"""),"JavaScript")</f>
        <v>JavaScript</v>
      </c>
      <c r="I3855" s="9" t="str">
        <f>IFERROR(__xludf.DUMMYFUNCTION("""COMPUTED_VALUE"""),"HTML/CSS")</f>
        <v>HTML/CSS</v>
      </c>
      <c r="J3855" s="9" t="str">
        <f>IFERROR(__xludf.DUMMYFUNCTION("""COMPUTED_VALUE"""),"JavaScript")</f>
        <v>JavaScript</v>
      </c>
      <c r="K3855" s="9" t="str">
        <f>IFERROR(__xludf.DUMMYFUNCTION("""COMPUTED_VALUE"""),"Bash/Shell/PowerShell")</f>
        <v>Bash/Shell/PowerShell</v>
      </c>
      <c r="L3855" s="9" t="str">
        <f>IFERROR(__xludf.DUMMYFUNCTION("""COMPUTED_VALUE"""),"JavaScript")</f>
        <v>JavaScript</v>
      </c>
      <c r="M3855" s="9" t="s">
        <v>24</v>
      </c>
    </row>
    <row r="3856" ht="15.75" customHeight="1">
      <c r="A3856" s="7"/>
      <c r="B3856" s="7" t="str">
        <f>IFERROR(__xludf.DUMMYFUNCTION("""COMPUTED_VALUE"""),"HTML/CSS;Java;JavaScript;PHP;SQL;TypeScript")</f>
        <v>HTML/CSS;Java;JavaScript;PHP;SQL;TypeScript</v>
      </c>
      <c r="C3856" s="9" t="str">
        <f>IFERROR(__xludf.DUMMYFUNCTION("""COMPUTED_VALUE"""),"JavaScript")</f>
        <v>JavaScript</v>
      </c>
      <c r="D3856" s="9" t="str">
        <f>IFERROR(__xludf.DUMMYFUNCTION("""COMPUTED_VALUE"""),"HTML/CSS")</f>
        <v>HTML/CSS</v>
      </c>
      <c r="E3856" s="9" t="str">
        <f>IFERROR(__xludf.DUMMYFUNCTION("""COMPUTED_VALUE"""),"HTML/CSS")</f>
        <v>HTML/CSS</v>
      </c>
      <c r="F3856" s="9" t="str">
        <f>IFERROR(__xludf.DUMMYFUNCTION("""COMPUTED_VALUE"""),"C++")</f>
        <v>C++</v>
      </c>
      <c r="G3856" s="9" t="str">
        <f>IFERROR(__xludf.DUMMYFUNCTION("""COMPUTED_VALUE"""),"PHP")</f>
        <v>PHP</v>
      </c>
      <c r="H3856" s="9" t="str">
        <f>IFERROR(__xludf.DUMMYFUNCTION("""COMPUTED_VALUE"""),"Python")</f>
        <v>Python</v>
      </c>
      <c r="I3856" s="9" t="str">
        <f>IFERROR(__xludf.DUMMYFUNCTION("""COMPUTED_VALUE"""),"Java")</f>
        <v>Java</v>
      </c>
      <c r="J3856" s="9" t="str">
        <f>IFERROR(__xludf.DUMMYFUNCTION("""COMPUTED_VALUE"""),"PHP")</f>
        <v>PHP</v>
      </c>
      <c r="K3856" s="9" t="str">
        <f>IFERROR(__xludf.DUMMYFUNCTION("""COMPUTED_VALUE"""),"JavaScript")</f>
        <v>JavaScript</v>
      </c>
      <c r="L3856" s="9" t="str">
        <f>IFERROR(__xludf.DUMMYFUNCTION("""COMPUTED_VALUE"""),"Objective-C")</f>
        <v>Objective-C</v>
      </c>
      <c r="M3856" s="9" t="s">
        <v>21</v>
      </c>
    </row>
    <row r="3857" ht="15.75" customHeight="1">
      <c r="A3857" s="7"/>
      <c r="B3857" s="7" t="str">
        <f>IFERROR(__xludf.DUMMYFUNCTION("""COMPUTED_VALUE"""),"HTML/CSS;Java;JavaScript;PHP;TypeScript")</f>
        <v>HTML/CSS;Java;JavaScript;PHP;TypeScript</v>
      </c>
      <c r="C3857" s="9" t="str">
        <f>IFERROR(__xludf.DUMMYFUNCTION("""COMPUTED_VALUE"""),"SQL")</f>
        <v>SQL</v>
      </c>
      <c r="D3857" s="9" t="str">
        <f>IFERROR(__xludf.DUMMYFUNCTION("""COMPUTED_VALUE"""),"JavaScript")</f>
        <v>JavaScript</v>
      </c>
      <c r="E3857" s="9" t="str">
        <f>IFERROR(__xludf.DUMMYFUNCTION("""COMPUTED_VALUE"""),"Java")</f>
        <v>Java</v>
      </c>
      <c r="F3857" s="9" t="str">
        <f>IFERROR(__xludf.DUMMYFUNCTION("""COMPUTED_VALUE"""),"C#")</f>
        <v>C#</v>
      </c>
      <c r="G3857" s="9" t="str">
        <f>IFERROR(__xludf.DUMMYFUNCTION("""COMPUTED_VALUE"""),"HTML/CSS")</f>
        <v>HTML/CSS</v>
      </c>
      <c r="H3857" s="9" t="str">
        <f>IFERROR(__xludf.DUMMYFUNCTION("""COMPUTED_VALUE"""),"SQL")</f>
        <v>SQL</v>
      </c>
      <c r="I3857" s="9" t="str">
        <f>IFERROR(__xludf.DUMMYFUNCTION("""COMPUTED_VALUE"""),"JavaScript")</f>
        <v>JavaScript</v>
      </c>
      <c r="J3857" s="9" t="str">
        <f>IFERROR(__xludf.DUMMYFUNCTION("""COMPUTED_VALUE"""),"SQL")</f>
        <v>SQL</v>
      </c>
      <c r="K3857" s="9" t="str">
        <f>IFERROR(__xludf.DUMMYFUNCTION("""COMPUTED_VALUE"""),"Python")</f>
        <v>Python</v>
      </c>
      <c r="L3857" s="9" t="str">
        <f>IFERROR(__xludf.DUMMYFUNCTION("""COMPUTED_VALUE"""),"SQL")</f>
        <v>SQL</v>
      </c>
      <c r="M3857" s="9" t="s">
        <v>27</v>
      </c>
    </row>
    <row r="3858" ht="15.75" customHeight="1">
      <c r="A3858" s="7"/>
      <c r="B3858" s="7" t="str">
        <f>IFERROR(__xludf.DUMMYFUNCTION("""COMPUTED_VALUE"""),"Bash/Shell/PowerShell;Go;HTML/CSS;JavaScript;PHP;SQL")</f>
        <v>Bash/Shell/PowerShell;Go;HTML/CSS;JavaScript;PHP;SQL</v>
      </c>
      <c r="C3858" s="9" t="str">
        <f>IFERROR(__xludf.DUMMYFUNCTION("""COMPUTED_VALUE"""),"VBA")</f>
        <v>VBA</v>
      </c>
      <c r="D3858" s="9" t="str">
        <f>IFERROR(__xludf.DUMMYFUNCTION("""COMPUTED_VALUE"""),"PHP")</f>
        <v>PHP</v>
      </c>
      <c r="E3858" s="9" t="str">
        <f>IFERROR(__xludf.DUMMYFUNCTION("""COMPUTED_VALUE"""),"JavaScript")</f>
        <v>JavaScript</v>
      </c>
      <c r="F3858" s="9" t="str">
        <f>IFERROR(__xludf.DUMMYFUNCTION("""COMPUTED_VALUE"""),"HTML/CSS")</f>
        <v>HTML/CSS</v>
      </c>
      <c r="G3858" s="9" t="str">
        <f>IFERROR(__xludf.DUMMYFUNCTION("""COMPUTED_VALUE"""),"Java")</f>
        <v>Java</v>
      </c>
      <c r="H3858" s="9" t="str">
        <f>IFERROR(__xludf.DUMMYFUNCTION("""COMPUTED_VALUE"""),"TypeScript")</f>
        <v>TypeScript</v>
      </c>
      <c r="I3858" s="9" t="str">
        <f>IFERROR(__xludf.DUMMYFUNCTION("""COMPUTED_VALUE"""),"Python")</f>
        <v>Python</v>
      </c>
      <c r="J3858" s="9" t="str">
        <f>IFERROR(__xludf.DUMMYFUNCTION("""COMPUTED_VALUE"""),"Assembly")</f>
        <v>Assembly</v>
      </c>
      <c r="K3858" s="9" t="str">
        <f>IFERROR(__xludf.DUMMYFUNCTION("""COMPUTED_VALUE"""),"TypeScript")</f>
        <v>TypeScript</v>
      </c>
      <c r="L3858" s="9" t="str">
        <f>IFERROR(__xludf.DUMMYFUNCTION("""COMPUTED_VALUE"""),"HTML/CSS")</f>
        <v>HTML/CSS</v>
      </c>
      <c r="M3858" s="9" t="s">
        <v>28</v>
      </c>
    </row>
    <row r="3859" ht="15.75" customHeight="1">
      <c r="A3859" s="7"/>
      <c r="B3859" s="7" t="str">
        <f>IFERROR(__xludf.DUMMYFUNCTION("""COMPUTED_VALUE"""),"C#")</f>
        <v>C#</v>
      </c>
      <c r="C3859" s="9" t="str">
        <f>IFERROR(__xludf.DUMMYFUNCTION("""COMPUTED_VALUE"""),"Assembly")</f>
        <v>Assembly</v>
      </c>
      <c r="D3859" s="9" t="str">
        <f>IFERROR(__xludf.DUMMYFUNCTION("""COMPUTED_VALUE"""),"Python")</f>
        <v>Python</v>
      </c>
      <c r="E3859" s="9" t="str">
        <f>IFERROR(__xludf.DUMMYFUNCTION("""COMPUTED_VALUE"""),"Python")</f>
        <v>Python</v>
      </c>
      <c r="F3859" s="9" t="str">
        <f>IFERROR(__xludf.DUMMYFUNCTION("""COMPUTED_VALUE"""),"Java")</f>
        <v>Java</v>
      </c>
      <c r="G3859" s="9" t="str">
        <f>IFERROR(__xludf.DUMMYFUNCTION("""COMPUTED_VALUE"""),"JavaScript")</f>
        <v>JavaScript</v>
      </c>
      <c r="H3859" s="9" t="str">
        <f>IFERROR(__xludf.DUMMYFUNCTION("""COMPUTED_VALUE"""),"Dart")</f>
        <v>Dart</v>
      </c>
      <c r="I3859" s="9" t="str">
        <f>IFERROR(__xludf.DUMMYFUNCTION("""COMPUTED_VALUE"""),"Rust")</f>
        <v>Rust</v>
      </c>
      <c r="J3859" s="9" t="str">
        <f>IFERROR(__xludf.DUMMYFUNCTION("""COMPUTED_VALUE"""),"HTML/CSS")</f>
        <v>HTML/CSS</v>
      </c>
      <c r="K3859" s="9" t="str">
        <f>IFERROR(__xludf.DUMMYFUNCTION("""COMPUTED_VALUE"""),"C#")</f>
        <v>C#</v>
      </c>
      <c r="L3859" s="9" t="str">
        <f>IFERROR(__xludf.DUMMYFUNCTION("""COMPUTED_VALUE"""),"JavaScript")</f>
        <v>JavaScript</v>
      </c>
      <c r="M3859" s="9" t="s">
        <v>38</v>
      </c>
    </row>
    <row r="3860" ht="15.75" customHeight="1">
      <c r="A3860" s="7"/>
      <c r="B3860" s="7" t="str">
        <f>IFERROR(__xludf.DUMMYFUNCTION("""COMPUTED_VALUE"""),"Python;SQL")</f>
        <v>Python;SQL</v>
      </c>
      <c r="C3860" s="9" t="str">
        <f>IFERROR(__xludf.DUMMYFUNCTION("""COMPUTED_VALUE"""),"Bash/Shell/PowerShell")</f>
        <v>Bash/Shell/PowerShell</v>
      </c>
      <c r="D3860" s="9" t="str">
        <f>IFERROR(__xludf.DUMMYFUNCTION("""COMPUTED_VALUE"""),"SQL")</f>
        <v>SQL</v>
      </c>
      <c r="E3860" s="9" t="str">
        <f>IFERROR(__xludf.DUMMYFUNCTION("""COMPUTED_VALUE"""),"SQL")</f>
        <v>SQL</v>
      </c>
      <c r="F3860" s="9" t="str">
        <f>IFERROR(__xludf.DUMMYFUNCTION("""COMPUTED_VALUE"""),"JavaScript")</f>
        <v>JavaScript</v>
      </c>
      <c r="G3860" s="9" t="str">
        <f>IFERROR(__xludf.DUMMYFUNCTION("""COMPUTED_VALUE"""),"TypeScript")</f>
        <v>TypeScript</v>
      </c>
      <c r="H3860" s="9" t="str">
        <f>IFERROR(__xludf.DUMMYFUNCTION("""COMPUTED_VALUE"""),"HTML/CSS")</f>
        <v>HTML/CSS</v>
      </c>
      <c r="I3860" s="9" t="str">
        <f>IFERROR(__xludf.DUMMYFUNCTION("""COMPUTED_VALUE"""),"SQL")</f>
        <v>SQL</v>
      </c>
      <c r="J3860" s="9" t="str">
        <f>IFERROR(__xludf.DUMMYFUNCTION("""COMPUTED_VALUE"""),"Java")</f>
        <v>Java</v>
      </c>
      <c r="K3860" s="9" t="str">
        <f>IFERROR(__xludf.DUMMYFUNCTION("""COMPUTED_VALUE"""),"SQL")</f>
        <v>SQL</v>
      </c>
      <c r="L3860" s="9" t="str">
        <f>IFERROR(__xludf.DUMMYFUNCTION("""COMPUTED_VALUE"""),"TypeScript")</f>
        <v>TypeScript</v>
      </c>
      <c r="M3860" s="9" t="s">
        <v>30</v>
      </c>
    </row>
    <row r="3861" ht="15.75" customHeight="1">
      <c r="A3861" s="7"/>
      <c r="B3861" s="7" t="str">
        <f>IFERROR(__xludf.DUMMYFUNCTION("""COMPUTED_VALUE"""),"HTML/CSS;JavaScript;Other(s):")</f>
        <v>HTML/CSS;JavaScript;Other(s):</v>
      </c>
      <c r="C3861" s="9" t="str">
        <f>IFERROR(__xludf.DUMMYFUNCTION("""COMPUTED_VALUE"""),"C++")</f>
        <v>C++</v>
      </c>
      <c r="D3861" s="9" t="str">
        <f>IFERROR(__xludf.DUMMYFUNCTION("""COMPUTED_VALUE"""),"TypeScript")</f>
        <v>TypeScript</v>
      </c>
      <c r="E3861" s="9" t="str">
        <f>IFERROR(__xludf.DUMMYFUNCTION("""COMPUTED_VALUE"""),"Assembly")</f>
        <v>Assembly</v>
      </c>
      <c r="F3861" s="9" t="str">
        <f>IFERROR(__xludf.DUMMYFUNCTION("""COMPUTED_VALUE"""),"PHP")</f>
        <v>PHP</v>
      </c>
      <c r="G3861" s="9" t="str">
        <f>IFERROR(__xludf.DUMMYFUNCTION("""COMPUTED_VALUE"""),"Bash/Shell/PowerShell")</f>
        <v>Bash/Shell/PowerShell</v>
      </c>
      <c r="H3861" s="9" t="str">
        <f>IFERROR(__xludf.DUMMYFUNCTION("""COMPUTED_VALUE"""),"Java")</f>
        <v>Java</v>
      </c>
      <c r="I3861" s="9" t="str">
        <f>IFERROR(__xludf.DUMMYFUNCTION("""COMPUTED_VALUE"""),"WebAssembly")</f>
        <v>WebAssembly</v>
      </c>
      <c r="J3861" s="9" t="str">
        <f>IFERROR(__xludf.DUMMYFUNCTION("""COMPUTED_VALUE"""),"JavaScript")</f>
        <v>JavaScript</v>
      </c>
      <c r="K3861" s="9" t="str">
        <f>IFERROR(__xludf.DUMMYFUNCTION("""COMPUTED_VALUE"""),"C#")</f>
        <v>C#</v>
      </c>
      <c r="L3861" s="9" t="str">
        <f>IFERROR(__xludf.DUMMYFUNCTION("""COMPUTED_VALUE"""),"Bash/Shell/PowerShell")</f>
        <v>Bash/Shell/PowerShell</v>
      </c>
      <c r="M3861" s="9" t="s">
        <v>23</v>
      </c>
    </row>
    <row r="3862" ht="15.75" customHeight="1">
      <c r="A3862" s="7"/>
      <c r="B3862" s="7" t="str">
        <f>IFERROR(__xludf.DUMMYFUNCTION("""COMPUTED_VALUE"""),"C#;HTML/CSS;Java;JavaScript;SQL")</f>
        <v>C#;HTML/CSS;Java;JavaScript;SQL</v>
      </c>
      <c r="C3862" s="9" t="str">
        <f>IFERROR(__xludf.DUMMYFUNCTION("""COMPUTED_VALUE"""),"HTML/CSS")</f>
        <v>HTML/CSS</v>
      </c>
      <c r="D3862" s="9" t="str">
        <f>IFERROR(__xludf.DUMMYFUNCTION("""COMPUTED_VALUE"""),"VBA")</f>
        <v>VBA</v>
      </c>
      <c r="E3862" s="9" t="str">
        <f>IFERROR(__xludf.DUMMYFUNCTION("""COMPUTED_VALUE"""),"Bash/Shell/PowerShell")</f>
        <v>Bash/Shell/PowerShell</v>
      </c>
      <c r="F3862" s="9" t="str">
        <f>IFERROR(__xludf.DUMMYFUNCTION("""COMPUTED_VALUE"""),"Python")</f>
        <v>Python</v>
      </c>
      <c r="G3862" s="9" t="str">
        <f>IFERROR(__xludf.DUMMYFUNCTION("""COMPUTED_VALUE"""),"C#")</f>
        <v>C#</v>
      </c>
      <c r="H3862" s="9" t="str">
        <f>IFERROR(__xludf.DUMMYFUNCTION("""COMPUTED_VALUE"""),"JavaScript")</f>
        <v>JavaScript</v>
      </c>
      <c r="I3862" s="9" t="str">
        <f>IFERROR(__xludf.DUMMYFUNCTION("""COMPUTED_VALUE"""),"Assembly")</f>
        <v>Assembly</v>
      </c>
      <c r="J3862" s="9" t="str">
        <f>IFERROR(__xludf.DUMMYFUNCTION("""COMPUTED_VALUE"""),"Ruby")</f>
        <v>Ruby</v>
      </c>
      <c r="K3862" s="9" t="str">
        <f>IFERROR(__xludf.DUMMYFUNCTION("""COMPUTED_VALUE"""),"F#")</f>
        <v>F#</v>
      </c>
      <c r="L3862" s="9" t="str">
        <f>IFERROR(__xludf.DUMMYFUNCTION("""COMPUTED_VALUE"""),"C++")</f>
        <v>C++</v>
      </c>
      <c r="M3862" s="9" t="s">
        <v>24</v>
      </c>
    </row>
    <row r="3863" ht="15.75" customHeight="1">
      <c r="A3863" s="7"/>
      <c r="B3863" s="7" t="str">
        <f>IFERROR(__xludf.DUMMYFUNCTION("""COMPUTED_VALUE"""),"Java")</f>
        <v>Java</v>
      </c>
      <c r="C3863" s="9" t="str">
        <f>IFERROR(__xludf.DUMMYFUNCTION("""COMPUTED_VALUE"""),"JavaScript")</f>
        <v>JavaScript</v>
      </c>
      <c r="D3863" s="9" t="str">
        <f>IFERROR(__xludf.DUMMYFUNCTION("""COMPUTED_VALUE"""),"Other(s):")</f>
        <v>Other(s):</v>
      </c>
      <c r="E3863" s="9" t="str">
        <f>IFERROR(__xludf.DUMMYFUNCTION("""COMPUTED_VALUE"""),"C")</f>
        <v>C</v>
      </c>
      <c r="F3863" s="9" t="str">
        <f>IFERROR(__xludf.DUMMYFUNCTION("""COMPUTED_VALUE"""),"R")</f>
        <v>R</v>
      </c>
      <c r="G3863" s="9" t="str">
        <f>IFERROR(__xludf.DUMMYFUNCTION("""COMPUTED_VALUE"""),"HTML/CSS")</f>
        <v>HTML/CSS</v>
      </c>
      <c r="H3863" s="9" t="str">
        <f>IFERROR(__xludf.DUMMYFUNCTION("""COMPUTED_VALUE"""),"PHP")</f>
        <v>PHP</v>
      </c>
      <c r="I3863" s="9" t="str">
        <f>IFERROR(__xludf.DUMMYFUNCTION("""COMPUTED_VALUE"""),"C")</f>
        <v>C</v>
      </c>
      <c r="J3863" s="9" t="str">
        <f>IFERROR(__xludf.DUMMYFUNCTION("""COMPUTED_VALUE"""),"SQL")</f>
        <v>SQL</v>
      </c>
      <c r="K3863" s="9" t="str">
        <f>IFERROR(__xludf.DUMMYFUNCTION("""COMPUTED_VALUE"""),"HTML/CSS")</f>
        <v>HTML/CSS</v>
      </c>
      <c r="L3863" s="9" t="str">
        <f>IFERROR(__xludf.DUMMYFUNCTION("""COMPUTED_VALUE"""),"C#")</f>
        <v>C#</v>
      </c>
      <c r="M3863" s="9" t="s">
        <v>21</v>
      </c>
    </row>
    <row r="3864" ht="15.75" customHeight="1">
      <c r="A3864" s="7"/>
      <c r="B3864" s="7" t="str">
        <f>IFERROR(__xludf.DUMMYFUNCTION("""COMPUTED_VALUE"""),"Assembly;Bash/Shell/PowerShell;C++;Clojure;Go;Python")</f>
        <v>Assembly;Bash/Shell/PowerShell;C++;Clojure;Go;Python</v>
      </c>
      <c r="C3864" s="9" t="str">
        <f>IFERROR(__xludf.DUMMYFUNCTION("""COMPUTED_VALUE"""),"Python")</f>
        <v>Python</v>
      </c>
      <c r="D3864" s="9" t="str">
        <f>IFERROR(__xludf.DUMMYFUNCTION("""COMPUTED_VALUE"""),"Bash/Shell/PowerShell")</f>
        <v>Bash/Shell/PowerShell</v>
      </c>
      <c r="E3864" s="9" t="str">
        <f>IFERROR(__xludf.DUMMYFUNCTION("""COMPUTED_VALUE"""),"C++")</f>
        <v>C++</v>
      </c>
      <c r="F3864" s="9" t="str">
        <f>IFERROR(__xludf.DUMMYFUNCTION("""COMPUTED_VALUE"""),"Ruby")</f>
        <v>Ruby</v>
      </c>
      <c r="G3864" s="9" t="str">
        <f>IFERROR(__xludf.DUMMYFUNCTION("""COMPUTED_VALUE"""),"JavaScript")</f>
        <v>JavaScript</v>
      </c>
      <c r="H3864" s="9" t="str">
        <f>IFERROR(__xludf.DUMMYFUNCTION("""COMPUTED_VALUE"""),"Swift")</f>
        <v>Swift</v>
      </c>
      <c r="I3864" s="9" t="str">
        <f>IFERROR(__xludf.DUMMYFUNCTION("""COMPUTED_VALUE"""),"Java")</f>
        <v>Java</v>
      </c>
      <c r="J3864" s="9" t="str">
        <f>IFERROR(__xludf.DUMMYFUNCTION("""COMPUTED_VALUE"""),"VBA")</f>
        <v>VBA</v>
      </c>
      <c r="K3864" s="9" t="str">
        <f>IFERROR(__xludf.DUMMYFUNCTION("""COMPUTED_VALUE"""),"JavaScript")</f>
        <v>JavaScript</v>
      </c>
      <c r="L3864" s="9" t="str">
        <f>IFERROR(__xludf.DUMMYFUNCTION("""COMPUTED_VALUE"""),"HTML/CSS")</f>
        <v>HTML/CSS</v>
      </c>
      <c r="M3864" s="9" t="s">
        <v>22</v>
      </c>
    </row>
    <row r="3865" ht="15.75" customHeight="1">
      <c r="A3865" s="7"/>
      <c r="B3865" s="7" t="str">
        <f>IFERROR(__xludf.DUMMYFUNCTION("""COMPUTED_VALUE"""),"Bash/Shell/PowerShell;Java;JavaScript;SQL")</f>
        <v>Bash/Shell/PowerShell;Java;JavaScript;SQL</v>
      </c>
      <c r="C3865" s="9" t="str">
        <f>IFERROR(__xludf.DUMMYFUNCTION("""COMPUTED_VALUE"""),"HTML/CSS")</f>
        <v>HTML/CSS</v>
      </c>
      <c r="D3865" s="9" t="str">
        <f>IFERROR(__xludf.DUMMYFUNCTION("""COMPUTED_VALUE"""),"Clojure")</f>
        <v>Clojure</v>
      </c>
      <c r="E3865" s="9" t="str">
        <f>IFERROR(__xludf.DUMMYFUNCTION("""COMPUTED_VALUE"""),"C#")</f>
        <v>C#</v>
      </c>
      <c r="F3865" s="9" t="str">
        <f>IFERROR(__xludf.DUMMYFUNCTION("""COMPUTED_VALUE"""),"SQL")</f>
        <v>SQL</v>
      </c>
      <c r="G3865" s="9" t="str">
        <f>IFERROR(__xludf.DUMMYFUNCTION("""COMPUTED_VALUE"""),"Python")</f>
        <v>Python</v>
      </c>
      <c r="H3865" s="9" t="str">
        <f>IFERROR(__xludf.DUMMYFUNCTION("""COMPUTED_VALUE"""),"C++")</f>
        <v>C++</v>
      </c>
      <c r="I3865" s="9" t="str">
        <f>IFERROR(__xludf.DUMMYFUNCTION("""COMPUTED_VALUE"""),"Python")</f>
        <v>Python</v>
      </c>
      <c r="J3865" s="9" t="str">
        <f>IFERROR(__xludf.DUMMYFUNCTION("""COMPUTED_VALUE"""),"C")</f>
        <v>C</v>
      </c>
      <c r="K3865" s="9" t="str">
        <f>IFERROR(__xludf.DUMMYFUNCTION("""COMPUTED_VALUE"""),"SQL")</f>
        <v>SQL</v>
      </c>
      <c r="L3865" s="9" t="str">
        <f>IFERROR(__xludf.DUMMYFUNCTION("""COMPUTED_VALUE"""),"Python")</f>
        <v>Python</v>
      </c>
      <c r="M3865" s="9" t="s">
        <v>24</v>
      </c>
    </row>
    <row r="3866" ht="15.75" customHeight="1">
      <c r="A3866" s="7"/>
      <c r="B3866" s="7" t="str">
        <f>IFERROR(__xludf.DUMMYFUNCTION("""COMPUTED_VALUE"""),"Bash/Shell/PowerShell;C#;Java;JavaScript;R;SQL")</f>
        <v>Bash/Shell/PowerShell;C#;Java;JavaScript;R;SQL</v>
      </c>
      <c r="C3866" s="9" t="str">
        <f>IFERROR(__xludf.DUMMYFUNCTION("""COMPUTED_VALUE"""),"HTML/CSS")</f>
        <v>HTML/CSS</v>
      </c>
      <c r="D3866" s="9" t="str">
        <f>IFERROR(__xludf.DUMMYFUNCTION("""COMPUTED_VALUE"""),"Java")</f>
        <v>Java</v>
      </c>
      <c r="E3866" s="9" t="str">
        <f>IFERROR(__xludf.DUMMYFUNCTION("""COMPUTED_VALUE"""),"HTML/CSS")</f>
        <v>HTML/CSS</v>
      </c>
      <c r="F3866" s="9" t="str">
        <f>IFERROR(__xludf.DUMMYFUNCTION("""COMPUTED_VALUE"""),"Bash/Shell/PowerShell")</f>
        <v>Bash/Shell/PowerShell</v>
      </c>
      <c r="G3866" s="9" t="str">
        <f>IFERROR(__xludf.DUMMYFUNCTION("""COMPUTED_VALUE"""),"R")</f>
        <v>R</v>
      </c>
      <c r="H3866" s="9" t="str">
        <f>IFERROR(__xludf.DUMMYFUNCTION("""COMPUTED_VALUE"""),"HTML/CSS")</f>
        <v>HTML/CSS</v>
      </c>
      <c r="I3866" s="9" t="str">
        <f>IFERROR(__xludf.DUMMYFUNCTION("""COMPUTED_VALUE"""),"C#")</f>
        <v>C#</v>
      </c>
      <c r="J3866" s="9" t="str">
        <f>IFERROR(__xludf.DUMMYFUNCTION("""COMPUTED_VALUE"""),"HTML/CSS")</f>
        <v>HTML/CSS</v>
      </c>
      <c r="K3866" s="9" t="str">
        <f>IFERROR(__xludf.DUMMYFUNCTION("""COMPUTED_VALUE"""),"TypeScript")</f>
        <v>TypeScript</v>
      </c>
      <c r="L3866" s="9" t="str">
        <f>IFERROR(__xludf.DUMMYFUNCTION("""COMPUTED_VALUE"""),"SQL")</f>
        <v>SQL</v>
      </c>
      <c r="M3866" s="9" t="s">
        <v>24</v>
      </c>
    </row>
    <row r="3867" ht="15.75" customHeight="1">
      <c r="A3867" s="7"/>
      <c r="B3867" s="7" t="str">
        <f>IFERROR(__xludf.DUMMYFUNCTION("""COMPUTED_VALUE"""),"Go;JavaScript;Python;SQL;TypeScript")</f>
        <v>Go;JavaScript;Python;SQL;TypeScript</v>
      </c>
      <c r="C3867" s="9" t="str">
        <f>IFERROR(__xludf.DUMMYFUNCTION("""COMPUTED_VALUE"""),"JavaScript")</f>
        <v>JavaScript</v>
      </c>
      <c r="D3867" s="9" t="str">
        <f>IFERROR(__xludf.DUMMYFUNCTION("""COMPUTED_VALUE"""),"JavaScript")</f>
        <v>JavaScript</v>
      </c>
      <c r="E3867" s="9" t="str">
        <f>IFERROR(__xludf.DUMMYFUNCTION("""COMPUTED_VALUE"""),"Java")</f>
        <v>Java</v>
      </c>
      <c r="F3867" s="9" t="str">
        <f>IFERROR(__xludf.DUMMYFUNCTION("""COMPUTED_VALUE"""),"HTML/CSS")</f>
        <v>HTML/CSS</v>
      </c>
      <c r="G3867" s="9" t="str">
        <f>IFERROR(__xludf.DUMMYFUNCTION("""COMPUTED_VALUE"""),"Ruby")</f>
        <v>Ruby</v>
      </c>
      <c r="H3867" s="9" t="str">
        <f>IFERROR(__xludf.DUMMYFUNCTION("""COMPUTED_VALUE"""),"Java")</f>
        <v>Java</v>
      </c>
      <c r="I3867" s="9" t="str">
        <f>IFERROR(__xludf.DUMMYFUNCTION("""COMPUTED_VALUE"""),"HTML/CSS")</f>
        <v>HTML/CSS</v>
      </c>
      <c r="J3867" s="9" t="str">
        <f>IFERROR(__xludf.DUMMYFUNCTION("""COMPUTED_VALUE"""),"Java")</f>
        <v>Java</v>
      </c>
      <c r="K3867" s="9" t="str">
        <f>IFERROR(__xludf.DUMMYFUNCTION("""COMPUTED_VALUE"""),"C#")</f>
        <v>C#</v>
      </c>
      <c r="L3867" s="9" t="str">
        <f>IFERROR(__xludf.DUMMYFUNCTION("""COMPUTED_VALUE"""),"TypeScript")</f>
        <v>TypeScript</v>
      </c>
      <c r="M3867" s="9" t="s">
        <v>21</v>
      </c>
    </row>
    <row r="3868" ht="15.75" customHeight="1">
      <c r="A3868" s="7"/>
      <c r="B3868" s="7" t="str">
        <f>IFERROR(__xludf.DUMMYFUNCTION("""COMPUTED_VALUE"""),"HTML/CSS;Java;JavaScript;PHP;Python;SQL")</f>
        <v>HTML/CSS;Java;JavaScript;PHP;Python;SQL</v>
      </c>
      <c r="C3868" s="9" t="str">
        <f>IFERROR(__xludf.DUMMYFUNCTION("""COMPUTED_VALUE"""),"PHP")</f>
        <v>PHP</v>
      </c>
      <c r="D3868" s="9" t="str">
        <f>IFERROR(__xludf.DUMMYFUNCTION("""COMPUTED_VALUE"""),"Ruby")</f>
        <v>Ruby</v>
      </c>
      <c r="E3868" s="9" t="str">
        <f>IFERROR(__xludf.DUMMYFUNCTION("""COMPUTED_VALUE"""),"Kotlin")</f>
        <v>Kotlin</v>
      </c>
      <c r="F3868" s="9" t="str">
        <f>IFERROR(__xludf.DUMMYFUNCTION("""COMPUTED_VALUE"""),"Java")</f>
        <v>Java</v>
      </c>
      <c r="G3868" s="9" t="str">
        <f>IFERROR(__xludf.DUMMYFUNCTION("""COMPUTED_VALUE"""),"Rust")</f>
        <v>Rust</v>
      </c>
      <c r="H3868" s="9" t="str">
        <f>IFERROR(__xludf.DUMMYFUNCTION("""COMPUTED_VALUE"""),"JavaScript")</f>
        <v>JavaScript</v>
      </c>
      <c r="I3868" s="9" t="str">
        <f>IFERROR(__xludf.DUMMYFUNCTION("""COMPUTED_VALUE"""),"JavaScript")</f>
        <v>JavaScript</v>
      </c>
      <c r="J3868" s="9" t="str">
        <f>IFERROR(__xludf.DUMMYFUNCTION("""COMPUTED_VALUE"""),"JavaScript")</f>
        <v>JavaScript</v>
      </c>
      <c r="K3868" s="9" t="str">
        <f>IFERROR(__xludf.DUMMYFUNCTION("""COMPUTED_VALUE"""),"HTML/CSS")</f>
        <v>HTML/CSS</v>
      </c>
      <c r="L3868" s="9" t="str">
        <f>IFERROR(__xludf.DUMMYFUNCTION("""COMPUTED_VALUE"""),"Bash/Shell/PowerShell")</f>
        <v>Bash/Shell/PowerShell</v>
      </c>
      <c r="M3868" s="9" t="s">
        <v>37</v>
      </c>
    </row>
    <row r="3869" ht="15.75" customHeight="1">
      <c r="A3869" s="7"/>
      <c r="B3869" s="7" t="str">
        <f>IFERROR(__xludf.DUMMYFUNCTION("""COMPUTED_VALUE"""),"Assembly;Bash/Shell/PowerShell;C;Dart;HTML/CSS;JavaScript;Objective-C;Python;Ruby;SQL;Swift;TypeScript")</f>
        <v>Assembly;Bash/Shell/PowerShell;C;Dart;HTML/CSS;JavaScript;Objective-C;Python;Ruby;SQL;Swift;TypeScript</v>
      </c>
      <c r="C3869" s="9" t="str">
        <f>IFERROR(__xludf.DUMMYFUNCTION("""COMPUTED_VALUE"""),"SQL")</f>
        <v>SQL</v>
      </c>
      <c r="D3869" s="9" t="str">
        <f>IFERROR(__xludf.DUMMYFUNCTION("""COMPUTED_VALUE"""),"SQL")</f>
        <v>SQL</v>
      </c>
      <c r="E3869" s="9" t="str">
        <f>IFERROR(__xludf.DUMMYFUNCTION("""COMPUTED_VALUE"""),"PHP")</f>
        <v>PHP</v>
      </c>
      <c r="F3869" s="9" t="str">
        <f>IFERROR(__xludf.DUMMYFUNCTION("""COMPUTED_VALUE"""),"JavaScript")</f>
        <v>JavaScript</v>
      </c>
      <c r="G3869" s="9" t="str">
        <f>IFERROR(__xludf.DUMMYFUNCTION("""COMPUTED_VALUE"""),"SQL")</f>
        <v>SQL</v>
      </c>
      <c r="H3869" s="9" t="str">
        <f>IFERROR(__xludf.DUMMYFUNCTION("""COMPUTED_VALUE"""),"PHP")</f>
        <v>PHP</v>
      </c>
      <c r="I3869" s="9" t="str">
        <f>IFERROR(__xludf.DUMMYFUNCTION("""COMPUTED_VALUE"""),"Python")</f>
        <v>Python</v>
      </c>
      <c r="J3869" s="9" t="str">
        <f>IFERROR(__xludf.DUMMYFUNCTION("""COMPUTED_VALUE"""),"Python")</f>
        <v>Python</v>
      </c>
      <c r="K3869" s="9" t="str">
        <f>IFERROR(__xludf.DUMMYFUNCTION("""COMPUTED_VALUE"""),"JavaScript")</f>
        <v>JavaScript</v>
      </c>
      <c r="L3869" s="9" t="str">
        <f>IFERROR(__xludf.DUMMYFUNCTION("""COMPUTED_VALUE"""),"Python")</f>
        <v>Python</v>
      </c>
      <c r="M3869" s="9" t="s">
        <v>27</v>
      </c>
    </row>
    <row r="3870" ht="15.75" customHeight="1">
      <c r="A3870" s="7"/>
      <c r="B3870" s="7" t="str">
        <f>IFERROR(__xludf.DUMMYFUNCTION("""COMPUTED_VALUE"""),"Bash/Shell/PowerShell;Java;Python;Ruby")</f>
        <v>Bash/Shell/PowerShell;Java;Python;Ruby</v>
      </c>
      <c r="C3870" s="9" t="str">
        <f>IFERROR(__xludf.DUMMYFUNCTION("""COMPUTED_VALUE"""),"Java")</f>
        <v>Java</v>
      </c>
      <c r="D3870" s="9" t="str">
        <f>IFERROR(__xludf.DUMMYFUNCTION("""COMPUTED_VALUE"""),"Assembly")</f>
        <v>Assembly</v>
      </c>
      <c r="E3870" s="9" t="str">
        <f>IFERROR(__xludf.DUMMYFUNCTION("""COMPUTED_VALUE"""),"SQL")</f>
        <v>SQL</v>
      </c>
      <c r="F3870" s="9" t="str">
        <f>IFERROR(__xludf.DUMMYFUNCTION("""COMPUTED_VALUE"""),"Kotlin")</f>
        <v>Kotlin</v>
      </c>
      <c r="G3870" s="9" t="str">
        <f>IFERROR(__xludf.DUMMYFUNCTION("""COMPUTED_VALUE"""),"C++")</f>
        <v>C++</v>
      </c>
      <c r="H3870" s="9" t="str">
        <f>IFERROR(__xludf.DUMMYFUNCTION("""COMPUTED_VALUE"""),"SQL")</f>
        <v>SQL</v>
      </c>
      <c r="I3870" s="9" t="str">
        <f>IFERROR(__xludf.DUMMYFUNCTION("""COMPUTED_VALUE"""),"TypeScript")</f>
        <v>TypeScript</v>
      </c>
      <c r="J3870" s="9" t="str">
        <f>IFERROR(__xludf.DUMMYFUNCTION("""COMPUTED_VALUE"""),"Bash/Shell/PowerShell")</f>
        <v>Bash/Shell/PowerShell</v>
      </c>
      <c r="K3870" s="9" t="str">
        <f>IFERROR(__xludf.DUMMYFUNCTION("""COMPUTED_VALUE"""),"Objective-C")</f>
        <v>Objective-C</v>
      </c>
      <c r="L3870" s="9" t="str">
        <f>IFERROR(__xludf.DUMMYFUNCTION("""COMPUTED_VALUE"""),"SQL")</f>
        <v>SQL</v>
      </c>
      <c r="M3870" s="9" t="s">
        <v>20</v>
      </c>
    </row>
    <row r="3871" ht="15.75" customHeight="1">
      <c r="A3871" s="7"/>
      <c r="B3871" s="7" t="str">
        <f>IFERROR(__xludf.DUMMYFUNCTION("""COMPUTED_VALUE"""),"Elixir;Java;Kotlin;Python;Rust;SQL;Other(s):")</f>
        <v>Elixir;Java;Kotlin;Python;Rust;SQL;Other(s):</v>
      </c>
      <c r="C3871" s="9" t="str">
        <f>IFERROR(__xludf.DUMMYFUNCTION("""COMPUTED_VALUE"""),"JavaScript")</f>
        <v>JavaScript</v>
      </c>
      <c r="D3871" s="9" t="str">
        <f>IFERROR(__xludf.DUMMYFUNCTION("""COMPUTED_VALUE"""),"C#")</f>
        <v>C#</v>
      </c>
      <c r="E3871" s="9" t="str">
        <f>IFERROR(__xludf.DUMMYFUNCTION("""COMPUTED_VALUE"""),"Swift")</f>
        <v>Swift</v>
      </c>
      <c r="F3871" s="9" t="str">
        <f>IFERROR(__xludf.DUMMYFUNCTION("""COMPUTED_VALUE"""),"Python")</f>
        <v>Python</v>
      </c>
      <c r="G3871" s="9" t="str">
        <f>IFERROR(__xludf.DUMMYFUNCTION("""COMPUTED_VALUE"""),"Java")</f>
        <v>Java</v>
      </c>
      <c r="H3871" s="9" t="str">
        <f>IFERROR(__xludf.DUMMYFUNCTION("""COMPUTED_VALUE"""),"VBA")</f>
        <v>VBA</v>
      </c>
      <c r="I3871" s="9" t="str">
        <f>IFERROR(__xludf.DUMMYFUNCTION("""COMPUTED_VALUE"""),"Bash/Shell/PowerShell")</f>
        <v>Bash/Shell/PowerShell</v>
      </c>
      <c r="J3871" s="9" t="str">
        <f>IFERROR(__xludf.DUMMYFUNCTION("""COMPUTED_VALUE"""),"C++")</f>
        <v>C++</v>
      </c>
      <c r="K3871" s="9" t="str">
        <f>IFERROR(__xludf.DUMMYFUNCTION("""COMPUTED_VALUE"""),"TypeScript")</f>
        <v>TypeScript</v>
      </c>
      <c r="L3871" s="9" t="str">
        <f>IFERROR(__xludf.DUMMYFUNCTION("""COMPUTED_VALUE"""),"JavaScript")</f>
        <v>JavaScript</v>
      </c>
      <c r="M3871" s="9" t="s">
        <v>21</v>
      </c>
    </row>
    <row r="3872" ht="15.75" customHeight="1">
      <c r="A3872" s="7"/>
      <c r="B3872" s="7" t="str">
        <f>IFERROR(__xludf.DUMMYFUNCTION("""COMPUTED_VALUE"""),"Bash/Shell/PowerShell;Java;JavaScript;SQL;Swift")</f>
        <v>Bash/Shell/PowerShell;Java;JavaScript;SQL;Swift</v>
      </c>
      <c r="C3872" s="9" t="str">
        <f>IFERROR(__xludf.DUMMYFUNCTION("""COMPUTED_VALUE"""),"Ruby")</f>
        <v>Ruby</v>
      </c>
      <c r="D3872" s="9" t="str">
        <f>IFERROR(__xludf.DUMMYFUNCTION("""COMPUTED_VALUE"""),"HTML/CSS")</f>
        <v>HTML/CSS</v>
      </c>
      <c r="E3872" s="9" t="str">
        <f>IFERROR(__xludf.DUMMYFUNCTION("""COMPUTED_VALUE"""),"Bash/Shell/PowerShell")</f>
        <v>Bash/Shell/PowerShell</v>
      </c>
      <c r="F3872" s="9" t="str">
        <f>IFERROR(__xludf.DUMMYFUNCTION("""COMPUTED_VALUE"""),"Rust")</f>
        <v>Rust</v>
      </c>
      <c r="G3872" s="9" t="str">
        <f>IFERROR(__xludf.DUMMYFUNCTION("""COMPUTED_VALUE"""),"Bash/Shell/PowerShell")</f>
        <v>Bash/Shell/PowerShell</v>
      </c>
      <c r="H3872" s="9" t="str">
        <f>IFERROR(__xludf.DUMMYFUNCTION("""COMPUTED_VALUE"""),"Other(s):")</f>
        <v>Other(s):</v>
      </c>
      <c r="I3872" s="9" t="str">
        <f>IFERROR(__xludf.DUMMYFUNCTION("""COMPUTED_VALUE"""),"Go")</f>
        <v>Go</v>
      </c>
      <c r="J3872" s="9" t="str">
        <f>IFERROR(__xludf.DUMMYFUNCTION("""COMPUTED_VALUE"""),"JavaScript")</f>
        <v>JavaScript</v>
      </c>
      <c r="K3872" s="9" t="str">
        <f>IFERROR(__xludf.DUMMYFUNCTION("""COMPUTED_VALUE"""),"Java")</f>
        <v>Java</v>
      </c>
      <c r="L3872" s="9" t="str">
        <f>IFERROR(__xludf.DUMMYFUNCTION("""COMPUTED_VALUE"""),"Python")</f>
        <v>Python</v>
      </c>
      <c r="M3872" s="9" t="s">
        <v>31</v>
      </c>
    </row>
    <row r="3873" ht="15.75" customHeight="1">
      <c r="A3873" s="7"/>
      <c r="B3873" s="7" t="str">
        <f>IFERROR(__xludf.DUMMYFUNCTION("""COMPUTED_VALUE"""),"Ruby")</f>
        <v>Ruby</v>
      </c>
      <c r="C3873" s="9" t="str">
        <f>IFERROR(__xludf.DUMMYFUNCTION("""COMPUTED_VALUE"""),"C#")</f>
        <v>C#</v>
      </c>
      <c r="D3873" s="9" t="str">
        <f>IFERROR(__xludf.DUMMYFUNCTION("""COMPUTED_VALUE"""),"JavaScript")</f>
        <v>JavaScript</v>
      </c>
      <c r="E3873" s="9" t="str">
        <f>IFERROR(__xludf.DUMMYFUNCTION("""COMPUTED_VALUE"""),"C")</f>
        <v>C</v>
      </c>
      <c r="F3873" s="9" t="str">
        <f>IFERROR(__xludf.DUMMYFUNCTION("""COMPUTED_VALUE"""),"TypeScript")</f>
        <v>TypeScript</v>
      </c>
      <c r="G3873" s="9" t="str">
        <f>IFERROR(__xludf.DUMMYFUNCTION("""COMPUTED_VALUE"""),"Python")</f>
        <v>Python</v>
      </c>
      <c r="H3873" s="9" t="str">
        <f>IFERROR(__xludf.DUMMYFUNCTION("""COMPUTED_VALUE"""),"Bash/Shell/PowerShell")</f>
        <v>Bash/Shell/PowerShell</v>
      </c>
      <c r="I3873" s="9" t="str">
        <f>IFERROR(__xludf.DUMMYFUNCTION("""COMPUTED_VALUE"""),"HTML/CSS")</f>
        <v>HTML/CSS</v>
      </c>
      <c r="J3873" s="9" t="str">
        <f>IFERROR(__xludf.DUMMYFUNCTION("""COMPUTED_VALUE"""),"Python")</f>
        <v>Python</v>
      </c>
      <c r="K3873" s="9" t="str">
        <f>IFERROR(__xludf.DUMMYFUNCTION("""COMPUTED_VALUE"""),"Clojure")</f>
        <v>Clojure</v>
      </c>
      <c r="L3873" s="9" t="str">
        <f>IFERROR(__xludf.DUMMYFUNCTION("""COMPUTED_VALUE"""),"SQL")</f>
        <v>SQL</v>
      </c>
      <c r="M3873" s="9" t="s">
        <v>26</v>
      </c>
    </row>
    <row r="3874" ht="15.75" customHeight="1">
      <c r="A3874" s="7"/>
      <c r="B3874" s="7" t="str">
        <f>IFERROR(__xludf.DUMMYFUNCTION("""COMPUTED_VALUE"""),"C++;HTML/CSS;Java;JavaScript;PHP;Python;SQL")</f>
        <v>C++;HTML/CSS;Java;JavaScript;PHP;Python;SQL</v>
      </c>
      <c r="C3874" s="9" t="str">
        <f>IFERROR(__xludf.DUMMYFUNCTION("""COMPUTED_VALUE"""),"SQL")</f>
        <v>SQL</v>
      </c>
      <c r="D3874" s="9" t="str">
        <f>IFERROR(__xludf.DUMMYFUNCTION("""COMPUTED_VALUE"""),"SQL")</f>
        <v>SQL</v>
      </c>
      <c r="E3874" s="9" t="str">
        <f>IFERROR(__xludf.DUMMYFUNCTION("""COMPUTED_VALUE"""),"HTML/CSS")</f>
        <v>HTML/CSS</v>
      </c>
      <c r="F3874" s="9" t="str">
        <f>IFERROR(__xludf.DUMMYFUNCTION("""COMPUTED_VALUE"""),"Other(s):")</f>
        <v>Other(s):</v>
      </c>
      <c r="G3874" s="9" t="str">
        <f>IFERROR(__xludf.DUMMYFUNCTION("""COMPUTED_VALUE"""),"Bash/Shell/PowerShell")</f>
        <v>Bash/Shell/PowerShell</v>
      </c>
      <c r="H3874" s="9" t="str">
        <f>IFERROR(__xludf.DUMMYFUNCTION("""COMPUTED_VALUE"""),"C#")</f>
        <v>C#</v>
      </c>
      <c r="I3874" s="9" t="str">
        <f>IFERROR(__xludf.DUMMYFUNCTION("""COMPUTED_VALUE"""),"Java")</f>
        <v>Java</v>
      </c>
      <c r="J3874" s="9" t="str">
        <f>IFERROR(__xludf.DUMMYFUNCTION("""COMPUTED_VALUE"""),"Rust")</f>
        <v>Rust</v>
      </c>
      <c r="K3874" s="9" t="str">
        <f>IFERROR(__xludf.DUMMYFUNCTION("""COMPUTED_VALUE"""),"HTML/CSS")</f>
        <v>HTML/CSS</v>
      </c>
      <c r="L3874" s="9" t="str">
        <f>IFERROR(__xludf.DUMMYFUNCTION("""COMPUTED_VALUE"""),"TypeScript")</f>
        <v>TypeScript</v>
      </c>
      <c r="M3874" s="9" t="s">
        <v>27</v>
      </c>
    </row>
    <row r="3875" ht="15.75" customHeight="1">
      <c r="A3875" s="7"/>
      <c r="B3875" s="7" t="str">
        <f>IFERROR(__xludf.DUMMYFUNCTION("""COMPUTED_VALUE"""),"C#;HTML/CSS;JavaScript;SQL;TypeScript")</f>
        <v>C#;HTML/CSS;JavaScript;SQL;TypeScript</v>
      </c>
      <c r="C3875" s="9" t="str">
        <f>IFERROR(__xludf.DUMMYFUNCTION("""COMPUTED_VALUE"""),"TypeScript")</f>
        <v>TypeScript</v>
      </c>
      <c r="D3875" s="9" t="str">
        <f>IFERROR(__xludf.DUMMYFUNCTION("""COMPUTED_VALUE"""),"Python")</f>
        <v>Python</v>
      </c>
      <c r="E3875" s="9" t="str">
        <f>IFERROR(__xludf.DUMMYFUNCTION("""COMPUTED_VALUE"""),"JavaScript")</f>
        <v>JavaScript</v>
      </c>
      <c r="F3875" s="9" t="str">
        <f>IFERROR(__xludf.DUMMYFUNCTION("""COMPUTED_VALUE"""),"C#")</f>
        <v>C#</v>
      </c>
      <c r="G3875" s="9" t="str">
        <f>IFERROR(__xludf.DUMMYFUNCTION("""COMPUTED_VALUE"""),"HTML/CSS")</f>
        <v>HTML/CSS</v>
      </c>
      <c r="H3875" s="9" t="str">
        <f>IFERROR(__xludf.DUMMYFUNCTION("""COMPUTED_VALUE"""),"HTML/CSS")</f>
        <v>HTML/CSS</v>
      </c>
      <c r="I3875" s="9" t="str">
        <f>IFERROR(__xludf.DUMMYFUNCTION("""COMPUTED_VALUE"""),"JavaScript")</f>
        <v>JavaScript</v>
      </c>
      <c r="J3875" s="9" t="str">
        <f>IFERROR(__xludf.DUMMYFUNCTION("""COMPUTED_VALUE"""),"HTML/CSS")</f>
        <v>HTML/CSS</v>
      </c>
      <c r="K3875" s="9" t="str">
        <f>IFERROR(__xludf.DUMMYFUNCTION("""COMPUTED_VALUE"""),"Java")</f>
        <v>Java</v>
      </c>
      <c r="L3875" s="9" t="str">
        <f>IFERROR(__xludf.DUMMYFUNCTION("""COMPUTED_VALUE"""),"Java")</f>
        <v>Java</v>
      </c>
      <c r="M3875" s="9" t="s">
        <v>33</v>
      </c>
    </row>
    <row r="3876" ht="15.75" customHeight="1">
      <c r="A3876" s="7"/>
      <c r="B3876" s="7" t="str">
        <f>IFERROR(__xludf.DUMMYFUNCTION("""COMPUTED_VALUE"""),"HTML/CSS;Java;JavaScript;PHP;Swift")</f>
        <v>HTML/CSS;Java;JavaScript;PHP;Swift</v>
      </c>
      <c r="C3876" s="9" t="str">
        <f>IFERROR(__xludf.DUMMYFUNCTION("""COMPUTED_VALUE"""),"C++")</f>
        <v>C++</v>
      </c>
      <c r="D3876" s="9" t="str">
        <f>IFERROR(__xludf.DUMMYFUNCTION("""COMPUTED_VALUE"""),"C#")</f>
        <v>C#</v>
      </c>
      <c r="E3876" s="9" t="str">
        <f>IFERROR(__xludf.DUMMYFUNCTION("""COMPUTED_VALUE"""),"Python")</f>
        <v>Python</v>
      </c>
      <c r="F3876" s="9" t="str">
        <f>IFERROR(__xludf.DUMMYFUNCTION("""COMPUTED_VALUE"""),"HTML/CSS")</f>
        <v>HTML/CSS</v>
      </c>
      <c r="G3876" s="9" t="str">
        <f>IFERROR(__xludf.DUMMYFUNCTION("""COMPUTED_VALUE"""),"Java")</f>
        <v>Java</v>
      </c>
      <c r="H3876" s="9" t="str">
        <f>IFERROR(__xludf.DUMMYFUNCTION("""COMPUTED_VALUE"""),"JavaScript")</f>
        <v>JavaScript</v>
      </c>
      <c r="I3876" s="9" t="str">
        <f>IFERROR(__xludf.DUMMYFUNCTION("""COMPUTED_VALUE"""),"Python")</f>
        <v>Python</v>
      </c>
      <c r="J3876" s="9" t="str">
        <f>IFERROR(__xludf.DUMMYFUNCTION("""COMPUTED_VALUE"""),"JavaScript")</f>
        <v>JavaScript</v>
      </c>
      <c r="K3876" s="9" t="str">
        <f>IFERROR(__xludf.DUMMYFUNCTION("""COMPUTED_VALUE"""),"JavaScript")</f>
        <v>JavaScript</v>
      </c>
      <c r="L3876" s="9" t="str">
        <f>IFERROR(__xludf.DUMMYFUNCTION("""COMPUTED_VALUE"""),"Kotlin")</f>
        <v>Kotlin</v>
      </c>
      <c r="M3876" s="9" t="s">
        <v>23</v>
      </c>
    </row>
    <row r="3877" ht="15.75" customHeight="1">
      <c r="A3877" s="7"/>
      <c r="B3877" s="7" t="str">
        <f>IFERROR(__xludf.DUMMYFUNCTION("""COMPUTED_VALUE"""),"F#;HTML/CSS")</f>
        <v>F#;HTML/CSS</v>
      </c>
      <c r="C3877" s="9" t="str">
        <f>IFERROR(__xludf.DUMMYFUNCTION("""COMPUTED_VALUE"""),"HTML/CSS")</f>
        <v>HTML/CSS</v>
      </c>
      <c r="D3877" s="9" t="str">
        <f>IFERROR(__xludf.DUMMYFUNCTION("""COMPUTED_VALUE"""),"JavaScript")</f>
        <v>JavaScript</v>
      </c>
      <c r="E3877" s="9" t="str">
        <f>IFERROR(__xludf.DUMMYFUNCTION("""COMPUTED_VALUE"""),"Bash/Shell/PowerShell")</f>
        <v>Bash/Shell/PowerShell</v>
      </c>
      <c r="F3877" s="9" t="str">
        <f>IFERROR(__xludf.DUMMYFUNCTION("""COMPUTED_VALUE"""),"SQL")</f>
        <v>SQL</v>
      </c>
      <c r="G3877" s="9" t="str">
        <f>IFERROR(__xludf.DUMMYFUNCTION("""COMPUTED_VALUE"""),"JavaScript")</f>
        <v>JavaScript</v>
      </c>
      <c r="H3877" s="9" t="str">
        <f>IFERROR(__xludf.DUMMYFUNCTION("""COMPUTED_VALUE"""),"PHP")</f>
        <v>PHP</v>
      </c>
      <c r="I3877" s="9" t="str">
        <f>IFERROR(__xludf.DUMMYFUNCTION("""COMPUTED_VALUE"""),"Ruby")</f>
        <v>Ruby</v>
      </c>
      <c r="J3877" s="9" t="str">
        <f>IFERROR(__xludf.DUMMYFUNCTION("""COMPUTED_VALUE"""),"PHP")</f>
        <v>PHP</v>
      </c>
      <c r="K3877" s="9" t="str">
        <f>IFERROR(__xludf.DUMMYFUNCTION("""COMPUTED_VALUE"""),"TypeScript")</f>
        <v>TypeScript</v>
      </c>
      <c r="L3877" s="9" t="str">
        <f>IFERROR(__xludf.DUMMYFUNCTION("""COMPUTED_VALUE"""),"PHP")</f>
        <v>PHP</v>
      </c>
      <c r="M3877" s="9" t="s">
        <v>24</v>
      </c>
    </row>
    <row r="3878" ht="15.75" customHeight="1">
      <c r="A3878" s="7"/>
      <c r="B3878" s="7" t="str">
        <f>IFERROR(__xludf.DUMMYFUNCTION("""COMPUTED_VALUE"""),"Assembly;Bash/Shell/PowerShell;C;C++;HTML/CSS;Python")</f>
        <v>Assembly;Bash/Shell/PowerShell;C;C++;HTML/CSS;Python</v>
      </c>
      <c r="C3878" s="9" t="str">
        <f>IFERROR(__xludf.DUMMYFUNCTION("""COMPUTED_VALUE"""),"JavaScript")</f>
        <v>JavaScript</v>
      </c>
      <c r="D3878" s="9" t="str">
        <f>IFERROR(__xludf.DUMMYFUNCTION("""COMPUTED_VALUE"""),"SQL")</f>
        <v>SQL</v>
      </c>
      <c r="E3878" s="9" t="str">
        <f>IFERROR(__xludf.DUMMYFUNCTION("""COMPUTED_VALUE"""),"C++")</f>
        <v>C++</v>
      </c>
      <c r="F3878" s="9" t="str">
        <f>IFERROR(__xludf.DUMMYFUNCTION("""COMPUTED_VALUE"""),"HTML/CSS")</f>
        <v>HTML/CSS</v>
      </c>
      <c r="G3878" s="9" t="str">
        <f>IFERROR(__xludf.DUMMYFUNCTION("""COMPUTED_VALUE"""),"Kotlin")</f>
        <v>Kotlin</v>
      </c>
      <c r="H3878" s="9" t="str">
        <f>IFERROR(__xludf.DUMMYFUNCTION("""COMPUTED_VALUE"""),"SQL")</f>
        <v>SQL</v>
      </c>
      <c r="I3878" s="9" t="str">
        <f>IFERROR(__xludf.DUMMYFUNCTION("""COMPUTED_VALUE"""),"Scala")</f>
        <v>Scala</v>
      </c>
      <c r="J3878" s="9" t="str">
        <f>IFERROR(__xludf.DUMMYFUNCTION("""COMPUTED_VALUE"""),"SQL")</f>
        <v>SQL</v>
      </c>
      <c r="K3878" s="9" t="str">
        <f>IFERROR(__xludf.DUMMYFUNCTION("""COMPUTED_VALUE"""),"C#")</f>
        <v>C#</v>
      </c>
      <c r="L3878" s="9" t="str">
        <f>IFERROR(__xludf.DUMMYFUNCTION("""COMPUTED_VALUE"""),"SQL")</f>
        <v>SQL</v>
      </c>
      <c r="M3878" s="9" t="s">
        <v>21</v>
      </c>
    </row>
    <row r="3879" ht="15.75" customHeight="1">
      <c r="A3879" s="7"/>
      <c r="B3879" s="7" t="str">
        <f>IFERROR(__xludf.DUMMYFUNCTION("""COMPUTED_VALUE"""),"Python;R")</f>
        <v>Python;R</v>
      </c>
      <c r="C3879" s="9" t="str">
        <f>IFERROR(__xludf.DUMMYFUNCTION("""COMPUTED_VALUE"""),"Python")</f>
        <v>Python</v>
      </c>
      <c r="D3879" s="9" t="str">
        <f>IFERROR(__xludf.DUMMYFUNCTION("""COMPUTED_VALUE"""),"TypeScript")</f>
        <v>TypeScript</v>
      </c>
      <c r="E3879" s="9" t="str">
        <f>IFERROR(__xludf.DUMMYFUNCTION("""COMPUTED_VALUE"""),"C#")</f>
        <v>C#</v>
      </c>
      <c r="F3879" s="9" t="str">
        <f>IFERROR(__xludf.DUMMYFUNCTION("""COMPUTED_VALUE"""),"JavaScript")</f>
        <v>JavaScript</v>
      </c>
      <c r="G3879" s="9" t="str">
        <f>IFERROR(__xludf.DUMMYFUNCTION("""COMPUTED_VALUE"""),"SQL")</f>
        <v>SQL</v>
      </c>
      <c r="H3879" s="9" t="str">
        <f>IFERROR(__xludf.DUMMYFUNCTION("""COMPUTED_VALUE"""),"TypeScript")</f>
        <v>TypeScript</v>
      </c>
      <c r="I3879" s="9" t="str">
        <f>IFERROR(__xludf.DUMMYFUNCTION("""COMPUTED_VALUE"""),"SQL")</f>
        <v>SQL</v>
      </c>
      <c r="J3879" s="9" t="str">
        <f>IFERROR(__xludf.DUMMYFUNCTION("""COMPUTED_VALUE"""),"Bash/Shell/PowerShell")</f>
        <v>Bash/Shell/PowerShell</v>
      </c>
      <c r="K3879" s="9" t="str">
        <f>IFERROR(__xludf.DUMMYFUNCTION("""COMPUTED_VALUE"""),"C#")</f>
        <v>C#</v>
      </c>
      <c r="L3879" s="9" t="str">
        <f>IFERROR(__xludf.DUMMYFUNCTION("""COMPUTED_VALUE"""),"C")</f>
        <v>C</v>
      </c>
      <c r="M3879" s="9" t="s">
        <v>22</v>
      </c>
    </row>
    <row r="3880" ht="15.75" customHeight="1">
      <c r="A3880" s="7"/>
      <c r="B3880" s="7" t="str">
        <f>IFERROR(__xludf.DUMMYFUNCTION("""COMPUTED_VALUE"""),"Assembly;C;C++;HTML/CSS;Java;JavaScript;PHP;Python;R;SQL;Swift;Other(s):")</f>
        <v>Assembly;C;C++;HTML/CSS;Java;JavaScript;PHP;Python;R;SQL;Swift;Other(s):</v>
      </c>
      <c r="C3880" s="9" t="str">
        <f>IFERROR(__xludf.DUMMYFUNCTION("""COMPUTED_VALUE"""),"TypeScript")</f>
        <v>TypeScript</v>
      </c>
      <c r="D3880" s="9" t="str">
        <f>IFERROR(__xludf.DUMMYFUNCTION("""COMPUTED_VALUE"""),"Bash/Shell/PowerShell")</f>
        <v>Bash/Shell/PowerShell</v>
      </c>
      <c r="E3880" s="9" t="str">
        <f>IFERROR(__xludf.DUMMYFUNCTION("""COMPUTED_VALUE"""),"HTML/CSS")</f>
        <v>HTML/CSS</v>
      </c>
      <c r="F3880" s="9" t="str">
        <f>IFERROR(__xludf.DUMMYFUNCTION("""COMPUTED_VALUE"""),"Python")</f>
        <v>Python</v>
      </c>
      <c r="G3880" s="9" t="str">
        <f>IFERROR(__xludf.DUMMYFUNCTION("""COMPUTED_VALUE"""),"HTML/CSS")</f>
        <v>HTML/CSS</v>
      </c>
      <c r="H3880" s="9" t="str">
        <f>IFERROR(__xludf.DUMMYFUNCTION("""COMPUTED_VALUE"""),"Bash/Shell/PowerShell")</f>
        <v>Bash/Shell/PowerShell</v>
      </c>
      <c r="I3880" s="9" t="str">
        <f>IFERROR(__xludf.DUMMYFUNCTION("""COMPUTED_VALUE"""),"TypeScript")</f>
        <v>TypeScript</v>
      </c>
      <c r="J3880" s="9" t="str">
        <f>IFERROR(__xludf.DUMMYFUNCTION("""COMPUTED_VALUE"""),"HTML/CSS")</f>
        <v>HTML/CSS</v>
      </c>
      <c r="K3880" s="9" t="str">
        <f>IFERROR(__xludf.DUMMYFUNCTION("""COMPUTED_VALUE"""),"JavaScript")</f>
        <v>JavaScript</v>
      </c>
      <c r="L3880" s="9" t="str">
        <f>IFERROR(__xludf.DUMMYFUNCTION("""COMPUTED_VALUE"""),"C++")</f>
        <v>C++</v>
      </c>
      <c r="M3880" s="9" t="s">
        <v>33</v>
      </c>
    </row>
    <row r="3881" ht="15.75" customHeight="1">
      <c r="A3881" s="7"/>
      <c r="B3881" s="7" t="str">
        <f>IFERROR(__xludf.DUMMYFUNCTION("""COMPUTED_VALUE"""),"Bash/Shell/PowerShell;C++;C#;JavaScript;TypeScript")</f>
        <v>Bash/Shell/PowerShell;C++;C#;JavaScript;TypeScript</v>
      </c>
      <c r="C3881" s="9" t="str">
        <f>IFERROR(__xludf.DUMMYFUNCTION("""COMPUTED_VALUE"""),"WebAssembly")</f>
        <v>WebAssembly</v>
      </c>
      <c r="D3881" s="9" t="str">
        <f>IFERROR(__xludf.DUMMYFUNCTION("""COMPUTED_VALUE"""),"C++")</f>
        <v>C++</v>
      </c>
      <c r="E3881" s="9" t="str">
        <f>IFERROR(__xludf.DUMMYFUNCTION("""COMPUTED_VALUE"""),"JavaScript")</f>
        <v>JavaScript</v>
      </c>
      <c r="F3881" s="9" t="str">
        <f>IFERROR(__xludf.DUMMYFUNCTION("""COMPUTED_VALUE"""),"Assembly")</f>
        <v>Assembly</v>
      </c>
      <c r="G3881" s="9" t="str">
        <f>IFERROR(__xludf.DUMMYFUNCTION("""COMPUTED_VALUE"""),"JavaScript")</f>
        <v>JavaScript</v>
      </c>
      <c r="H3881" s="9" t="str">
        <f>IFERROR(__xludf.DUMMYFUNCTION("""COMPUTED_VALUE"""),"C#")</f>
        <v>C#</v>
      </c>
      <c r="I3881" s="9" t="str">
        <f>IFERROR(__xludf.DUMMYFUNCTION("""COMPUTED_VALUE"""),"Other(s):")</f>
        <v>Other(s):</v>
      </c>
      <c r="J3881" s="9" t="str">
        <f>IFERROR(__xludf.DUMMYFUNCTION("""COMPUTED_VALUE"""),"Java")</f>
        <v>Java</v>
      </c>
      <c r="K3881" s="9" t="str">
        <f>IFERROR(__xludf.DUMMYFUNCTION("""COMPUTED_VALUE"""),"SQL")</f>
        <v>SQL</v>
      </c>
      <c r="L3881" s="9" t="str">
        <f>IFERROR(__xludf.DUMMYFUNCTION("""COMPUTED_VALUE"""),"C#")</f>
        <v>C#</v>
      </c>
      <c r="M3881" s="9" t="s">
        <v>34</v>
      </c>
    </row>
    <row r="3882" ht="15.75" customHeight="1">
      <c r="A3882" s="7"/>
      <c r="B3882" s="7" t="str">
        <f>IFERROR(__xludf.DUMMYFUNCTION("""COMPUTED_VALUE"""),"C#;HTML/CSS;JavaScript;Python;SQL")</f>
        <v>C#;HTML/CSS;JavaScript;Python;SQL</v>
      </c>
      <c r="C3882" s="9" t="str">
        <f>IFERROR(__xludf.DUMMYFUNCTION("""COMPUTED_VALUE"""),"C#")</f>
        <v>C#</v>
      </c>
      <c r="D3882" s="9" t="str">
        <f>IFERROR(__xludf.DUMMYFUNCTION("""COMPUTED_VALUE"""),"C#")</f>
        <v>C#</v>
      </c>
      <c r="E3882" s="9" t="str">
        <f>IFERROR(__xludf.DUMMYFUNCTION("""COMPUTED_VALUE"""),"PHP")</f>
        <v>PHP</v>
      </c>
      <c r="F3882" s="9" t="str">
        <f>IFERROR(__xludf.DUMMYFUNCTION("""COMPUTED_VALUE"""),"Bash/Shell/PowerShell")</f>
        <v>Bash/Shell/PowerShell</v>
      </c>
      <c r="G3882" s="9" t="str">
        <f>IFERROR(__xludf.DUMMYFUNCTION("""COMPUTED_VALUE"""),"Python")</f>
        <v>Python</v>
      </c>
      <c r="H3882" s="9" t="str">
        <f>IFERROR(__xludf.DUMMYFUNCTION("""COMPUTED_VALUE"""),"SQL")</f>
        <v>SQL</v>
      </c>
      <c r="I3882" s="9" t="str">
        <f>IFERROR(__xludf.DUMMYFUNCTION("""COMPUTED_VALUE"""),"R")</f>
        <v>R</v>
      </c>
      <c r="J3882" s="9" t="str">
        <f>IFERROR(__xludf.DUMMYFUNCTION("""COMPUTED_VALUE"""),"JavaScript")</f>
        <v>JavaScript</v>
      </c>
      <c r="K3882" s="9" t="str">
        <f>IFERROR(__xludf.DUMMYFUNCTION("""COMPUTED_VALUE"""),"Other(s):")</f>
        <v>Other(s):</v>
      </c>
      <c r="L3882" s="9" t="str">
        <f>IFERROR(__xludf.DUMMYFUNCTION("""COMPUTED_VALUE"""),"HTML/CSS")</f>
        <v>HTML/CSS</v>
      </c>
      <c r="M3882" s="9" t="s">
        <v>26</v>
      </c>
    </row>
    <row r="3883" ht="15.75" customHeight="1">
      <c r="A3883" s="7"/>
      <c r="B3883" s="7" t="str">
        <f>IFERROR(__xludf.DUMMYFUNCTION("""COMPUTED_VALUE"""),"Bash/Shell/PowerShell;C#;HTML/CSS;JavaScript;PHP;SQL")</f>
        <v>Bash/Shell/PowerShell;C#;HTML/CSS;JavaScript;PHP;SQL</v>
      </c>
      <c r="C3883" s="9" t="str">
        <f>IFERROR(__xludf.DUMMYFUNCTION("""COMPUTED_VALUE"""),"F#")</f>
        <v>F#</v>
      </c>
      <c r="D3883" s="9" t="str">
        <f>IFERROR(__xludf.DUMMYFUNCTION("""COMPUTED_VALUE"""),"Python")</f>
        <v>Python</v>
      </c>
      <c r="E3883" s="9" t="str">
        <f>IFERROR(__xludf.DUMMYFUNCTION("""COMPUTED_VALUE"""),"Python")</f>
        <v>Python</v>
      </c>
      <c r="F3883" s="9" t="str">
        <f>IFERROR(__xludf.DUMMYFUNCTION("""COMPUTED_VALUE"""),"Go")</f>
        <v>Go</v>
      </c>
      <c r="G3883" s="9" t="str">
        <f>IFERROR(__xludf.DUMMYFUNCTION("""COMPUTED_VALUE"""),"SQL")</f>
        <v>SQL</v>
      </c>
      <c r="H3883" s="9" t="str">
        <f>IFERROR(__xludf.DUMMYFUNCTION("""COMPUTED_VALUE"""),"VBA")</f>
        <v>VBA</v>
      </c>
      <c r="I3883" s="9" t="str">
        <f>IFERROR(__xludf.DUMMYFUNCTION("""COMPUTED_VALUE"""),"SQL")</f>
        <v>SQL</v>
      </c>
      <c r="J3883" s="9" t="str">
        <f>IFERROR(__xludf.DUMMYFUNCTION("""COMPUTED_VALUE"""),"Kotlin")</f>
        <v>Kotlin</v>
      </c>
      <c r="K3883" s="9" t="str">
        <f>IFERROR(__xludf.DUMMYFUNCTION("""COMPUTED_VALUE"""),"HTML/CSS")</f>
        <v>HTML/CSS</v>
      </c>
      <c r="L3883" s="9" t="str">
        <f>IFERROR(__xludf.DUMMYFUNCTION("""COMPUTED_VALUE"""),"JavaScript")</f>
        <v>JavaScript</v>
      </c>
      <c r="M3883" s="9" t="s">
        <v>45</v>
      </c>
    </row>
    <row r="3884" ht="15.75" customHeight="1">
      <c r="A3884" s="7"/>
      <c r="B3884" s="7" t="str">
        <f>IFERROR(__xludf.DUMMYFUNCTION("""COMPUTED_VALUE"""),"Bash/Shell/PowerShell;Python;Ruby")</f>
        <v>Bash/Shell/PowerShell;Python;Ruby</v>
      </c>
      <c r="C3884" s="9" t="str">
        <f>IFERROR(__xludf.DUMMYFUNCTION("""COMPUTED_VALUE"""),"Python")</f>
        <v>Python</v>
      </c>
      <c r="D3884" s="9" t="str">
        <f>IFERROR(__xludf.DUMMYFUNCTION("""COMPUTED_VALUE"""),"Ruby")</f>
        <v>Ruby</v>
      </c>
      <c r="E3884" s="9" t="str">
        <f>IFERROR(__xludf.DUMMYFUNCTION("""COMPUTED_VALUE"""),"SQL")</f>
        <v>SQL</v>
      </c>
      <c r="F3884" s="9" t="str">
        <f>IFERROR(__xludf.DUMMYFUNCTION("""COMPUTED_VALUE"""),"JavaScript")</f>
        <v>JavaScript</v>
      </c>
      <c r="G3884" s="9" t="str">
        <f>IFERROR(__xludf.DUMMYFUNCTION("""COMPUTED_VALUE"""),"Bash/Shell/PowerShell")</f>
        <v>Bash/Shell/PowerShell</v>
      </c>
      <c r="H3884" s="9" t="str">
        <f>IFERROR(__xludf.DUMMYFUNCTION("""COMPUTED_VALUE"""),"Bash/Shell/PowerShell")</f>
        <v>Bash/Shell/PowerShell</v>
      </c>
      <c r="I3884" s="9" t="str">
        <f>IFERROR(__xludf.DUMMYFUNCTION("""COMPUTED_VALUE"""),"Assembly")</f>
        <v>Assembly</v>
      </c>
      <c r="J3884" s="9" t="str">
        <f>IFERROR(__xludf.DUMMYFUNCTION("""COMPUTED_VALUE"""),"TypeScript")</f>
        <v>TypeScript</v>
      </c>
      <c r="K3884" s="9" t="str">
        <f>IFERROR(__xludf.DUMMYFUNCTION("""COMPUTED_VALUE"""),"Java")</f>
        <v>Java</v>
      </c>
      <c r="L3884" s="9" t="str">
        <f>IFERROR(__xludf.DUMMYFUNCTION("""COMPUTED_VALUE"""),"PHP")</f>
        <v>PHP</v>
      </c>
      <c r="M3884" s="9" t="s">
        <v>22</v>
      </c>
    </row>
    <row r="3885" ht="15.75" customHeight="1">
      <c r="A3885" s="7"/>
      <c r="B3885" s="7" t="str">
        <f>IFERROR(__xludf.DUMMYFUNCTION("""COMPUTED_VALUE"""),"Bash/Shell/PowerShell;Go;Java;Python;Other(s):")</f>
        <v>Bash/Shell/PowerShell;Go;Java;Python;Other(s):</v>
      </c>
      <c r="C3885" s="9" t="str">
        <f>IFERROR(__xludf.DUMMYFUNCTION("""COMPUTED_VALUE"""),"Bash/Shell/PowerShell")</f>
        <v>Bash/Shell/PowerShell</v>
      </c>
      <c r="D3885" s="9" t="str">
        <f>IFERROR(__xludf.DUMMYFUNCTION("""COMPUTED_VALUE"""),"Bash/Shell/PowerShell")</f>
        <v>Bash/Shell/PowerShell</v>
      </c>
      <c r="E3885" s="9" t="str">
        <f>IFERROR(__xludf.DUMMYFUNCTION("""COMPUTED_VALUE"""),"TypeScript")</f>
        <v>TypeScript</v>
      </c>
      <c r="F3885" s="9" t="str">
        <f>IFERROR(__xludf.DUMMYFUNCTION("""COMPUTED_VALUE"""),"Python")</f>
        <v>Python</v>
      </c>
      <c r="G3885" s="9" t="str">
        <f>IFERROR(__xludf.DUMMYFUNCTION("""COMPUTED_VALUE"""),"Go")</f>
        <v>Go</v>
      </c>
      <c r="H3885" s="9" t="str">
        <f>IFERROR(__xludf.DUMMYFUNCTION("""COMPUTED_VALUE"""),"C")</f>
        <v>C</v>
      </c>
      <c r="I3885" s="9" t="str">
        <f>IFERROR(__xludf.DUMMYFUNCTION("""COMPUTED_VALUE"""),"Bash/Shell/PowerShell")</f>
        <v>Bash/Shell/PowerShell</v>
      </c>
      <c r="J3885" s="9" t="str">
        <f>IFERROR(__xludf.DUMMYFUNCTION("""COMPUTED_VALUE"""),"C")</f>
        <v>C</v>
      </c>
      <c r="K3885" s="9" t="str">
        <f>IFERROR(__xludf.DUMMYFUNCTION("""COMPUTED_VALUE"""),"JavaScript")</f>
        <v>JavaScript</v>
      </c>
      <c r="L3885" s="9" t="str">
        <f>IFERROR(__xludf.DUMMYFUNCTION("""COMPUTED_VALUE"""),"Ruby")</f>
        <v>Ruby</v>
      </c>
      <c r="M3885" s="9" t="s">
        <v>30</v>
      </c>
    </row>
    <row r="3886" ht="15.75" customHeight="1">
      <c r="A3886" s="7"/>
      <c r="B3886" s="7" t="str">
        <f>IFERROR(__xludf.DUMMYFUNCTION("""COMPUTED_VALUE"""),"HTML/CSS;Python;SQL")</f>
        <v>HTML/CSS;Python;SQL</v>
      </c>
      <c r="C3886" s="9" t="str">
        <f>IFERROR(__xludf.DUMMYFUNCTION("""COMPUTED_VALUE"""),"HTML/CSS")</f>
        <v>HTML/CSS</v>
      </c>
      <c r="D3886" s="9" t="str">
        <f>IFERROR(__xludf.DUMMYFUNCTION("""COMPUTED_VALUE"""),"HTML/CSS")</f>
        <v>HTML/CSS</v>
      </c>
      <c r="E3886" s="9" t="str">
        <f>IFERROR(__xludf.DUMMYFUNCTION("""COMPUTED_VALUE"""),"Bash/Shell/PowerShell")</f>
        <v>Bash/Shell/PowerShell</v>
      </c>
      <c r="F3886" s="9" t="str">
        <f>IFERROR(__xludf.DUMMYFUNCTION("""COMPUTED_VALUE"""),"Scala")</f>
        <v>Scala</v>
      </c>
      <c r="G3886" s="9" t="str">
        <f>IFERROR(__xludf.DUMMYFUNCTION("""COMPUTED_VALUE"""),"HTML/CSS")</f>
        <v>HTML/CSS</v>
      </c>
      <c r="H3886" s="9" t="str">
        <f>IFERROR(__xludf.DUMMYFUNCTION("""COMPUTED_VALUE"""),"C++")</f>
        <v>C++</v>
      </c>
      <c r="I3886" s="9" t="str">
        <f>IFERROR(__xludf.DUMMYFUNCTION("""COMPUTED_VALUE"""),"C")</f>
        <v>C</v>
      </c>
      <c r="J3886" s="9" t="str">
        <f>IFERROR(__xludf.DUMMYFUNCTION("""COMPUTED_VALUE"""),"C++")</f>
        <v>C++</v>
      </c>
      <c r="K3886" s="9" t="str">
        <f>IFERROR(__xludf.DUMMYFUNCTION("""COMPUTED_VALUE"""),"PHP")</f>
        <v>PHP</v>
      </c>
      <c r="L3886" s="9" t="str">
        <f>IFERROR(__xludf.DUMMYFUNCTION("""COMPUTED_VALUE"""),"Bash/Shell/PowerShell")</f>
        <v>Bash/Shell/PowerShell</v>
      </c>
      <c r="M3886" s="9" t="s">
        <v>24</v>
      </c>
    </row>
    <row r="3887" ht="15.75" customHeight="1">
      <c r="A3887" s="7"/>
      <c r="B3887" s="7" t="str">
        <f>IFERROR(__xludf.DUMMYFUNCTION("""COMPUTED_VALUE"""),"Assembly;HTML/CSS;JavaScript;Ruby;TypeScript")</f>
        <v>Assembly;HTML/CSS;JavaScript;Ruby;TypeScript</v>
      </c>
      <c r="C3887" s="9" t="str">
        <f>IFERROR(__xludf.DUMMYFUNCTION("""COMPUTED_VALUE"""),"JavaScript")</f>
        <v>JavaScript</v>
      </c>
      <c r="D3887" s="9" t="str">
        <f>IFERROR(__xludf.DUMMYFUNCTION("""COMPUTED_VALUE"""),"JavaScript")</f>
        <v>JavaScript</v>
      </c>
      <c r="E3887" s="9" t="str">
        <f>IFERROR(__xludf.DUMMYFUNCTION("""COMPUTED_VALUE"""),"C")</f>
        <v>C</v>
      </c>
      <c r="F3887" s="9" t="str">
        <f>IFERROR(__xludf.DUMMYFUNCTION("""COMPUTED_VALUE"""),"HTML/CSS")</f>
        <v>HTML/CSS</v>
      </c>
      <c r="G3887" s="9" t="str">
        <f>IFERROR(__xludf.DUMMYFUNCTION("""COMPUTED_VALUE"""),"JavaScript")</f>
        <v>JavaScript</v>
      </c>
      <c r="H3887" s="9" t="str">
        <f>IFERROR(__xludf.DUMMYFUNCTION("""COMPUTED_VALUE"""),"Dart")</f>
        <v>Dart</v>
      </c>
      <c r="I3887" s="9" t="str">
        <f>IFERROR(__xludf.DUMMYFUNCTION("""COMPUTED_VALUE"""),"Go")</f>
        <v>Go</v>
      </c>
      <c r="J3887" s="9" t="str">
        <f>IFERROR(__xludf.DUMMYFUNCTION("""COMPUTED_VALUE"""),"HTML/CSS")</f>
        <v>HTML/CSS</v>
      </c>
      <c r="K3887" s="9" t="str">
        <f>IFERROR(__xludf.DUMMYFUNCTION("""COMPUTED_VALUE"""),"Rust")</f>
        <v>Rust</v>
      </c>
      <c r="L3887" s="9" t="str">
        <f>IFERROR(__xludf.DUMMYFUNCTION("""COMPUTED_VALUE"""),"C++")</f>
        <v>C++</v>
      </c>
      <c r="M3887" s="9" t="s">
        <v>21</v>
      </c>
    </row>
    <row r="3888" ht="15.75" customHeight="1">
      <c r="A3888" s="7"/>
      <c r="B3888" s="7" t="str">
        <f>IFERROR(__xludf.DUMMYFUNCTION("""COMPUTED_VALUE"""),"Bash/Shell/PowerShell;Python;SQL")</f>
        <v>Bash/Shell/PowerShell;Python;SQL</v>
      </c>
      <c r="C3888" s="9" t="str">
        <f>IFERROR(__xludf.DUMMYFUNCTION("""COMPUTED_VALUE"""),"PHP")</f>
        <v>PHP</v>
      </c>
      <c r="D3888" s="9" t="str">
        <f>IFERROR(__xludf.DUMMYFUNCTION("""COMPUTED_VALUE"""),"PHP")</f>
        <v>PHP</v>
      </c>
      <c r="E3888" s="9" t="str">
        <f>IFERROR(__xludf.DUMMYFUNCTION("""COMPUTED_VALUE"""),"C++")</f>
        <v>C++</v>
      </c>
      <c r="F3888" s="9" t="str">
        <f>IFERROR(__xludf.DUMMYFUNCTION("""COMPUTED_VALUE"""),"JavaScript")</f>
        <v>JavaScript</v>
      </c>
      <c r="G3888" s="9" t="str">
        <f>IFERROR(__xludf.DUMMYFUNCTION("""COMPUTED_VALUE"""),"Python")</f>
        <v>Python</v>
      </c>
      <c r="H3888" s="9" t="str">
        <f>IFERROR(__xludf.DUMMYFUNCTION("""COMPUTED_VALUE"""),"JavaScript")</f>
        <v>JavaScript</v>
      </c>
      <c r="I3888" s="9" t="str">
        <f>IFERROR(__xludf.DUMMYFUNCTION("""COMPUTED_VALUE"""),"HTML/CSS")</f>
        <v>HTML/CSS</v>
      </c>
      <c r="J3888" s="9" t="str">
        <f>IFERROR(__xludf.DUMMYFUNCTION("""COMPUTED_VALUE"""),"JavaScript")</f>
        <v>JavaScript</v>
      </c>
      <c r="K3888" s="9" t="str">
        <f>IFERROR(__xludf.DUMMYFUNCTION("""COMPUTED_VALUE"""),"SQL")</f>
        <v>SQL</v>
      </c>
      <c r="L3888" s="9" t="str">
        <f>IFERROR(__xludf.DUMMYFUNCTION("""COMPUTED_VALUE"""),"C#")</f>
        <v>C#</v>
      </c>
      <c r="M3888" s="9" t="s">
        <v>37</v>
      </c>
    </row>
    <row r="3889" ht="15.75" customHeight="1">
      <c r="A3889" s="7"/>
      <c r="B3889" s="7" t="str">
        <f>IFERROR(__xludf.DUMMYFUNCTION("""COMPUTED_VALUE"""),"Bash/Shell/PowerShell;C#;HTML/CSS;Java;JavaScript;Python;R;SQL;Swift;TypeScript;Other(s):")</f>
        <v>Bash/Shell/PowerShell;C#;HTML/CSS;Java;JavaScript;Python;R;SQL;Swift;TypeScript;Other(s):</v>
      </c>
      <c r="C3889" s="9" t="str">
        <f>IFERROR(__xludf.DUMMYFUNCTION("""COMPUTED_VALUE"""),"Bash/Shell/PowerShell")</f>
        <v>Bash/Shell/PowerShell</v>
      </c>
      <c r="D3889" s="9" t="str">
        <f>IFERROR(__xludf.DUMMYFUNCTION("""COMPUTED_VALUE"""),"Python")</f>
        <v>Python</v>
      </c>
      <c r="E3889" s="9" t="str">
        <f>IFERROR(__xludf.DUMMYFUNCTION("""COMPUTED_VALUE"""),"C#")</f>
        <v>C#</v>
      </c>
      <c r="F3889" s="9" t="str">
        <f>IFERROR(__xludf.DUMMYFUNCTION("""COMPUTED_VALUE"""),"PHP")</f>
        <v>PHP</v>
      </c>
      <c r="G3889" s="9" t="str">
        <f>IFERROR(__xludf.DUMMYFUNCTION("""COMPUTED_VALUE"""),"R")</f>
        <v>R</v>
      </c>
      <c r="H3889" s="9" t="str">
        <f>IFERROR(__xludf.DUMMYFUNCTION("""COMPUTED_VALUE"""),"Objective-C")</f>
        <v>Objective-C</v>
      </c>
      <c r="I3889" s="9" t="str">
        <f>IFERROR(__xludf.DUMMYFUNCTION("""COMPUTED_VALUE"""),"Java")</f>
        <v>Java</v>
      </c>
      <c r="J3889" s="9" t="str">
        <f>IFERROR(__xludf.DUMMYFUNCTION("""COMPUTED_VALUE"""),"PHP")</f>
        <v>PHP</v>
      </c>
      <c r="K3889" s="9" t="str">
        <f>IFERROR(__xludf.DUMMYFUNCTION("""COMPUTED_VALUE"""),"C")</f>
        <v>C</v>
      </c>
      <c r="L3889" s="9" t="str">
        <f>IFERROR(__xludf.DUMMYFUNCTION("""COMPUTED_VALUE"""),"HTML/CSS")</f>
        <v>HTML/CSS</v>
      </c>
      <c r="M3889" s="9" t="s">
        <v>30</v>
      </c>
    </row>
    <row r="3890" ht="15.75" customHeight="1">
      <c r="A3890" s="7"/>
      <c r="B3890" s="7" t="str">
        <f>IFERROR(__xludf.DUMMYFUNCTION("""COMPUTED_VALUE"""),"Bash/Shell/PowerShell;C;C++;Java;Python")</f>
        <v>Bash/Shell/PowerShell;C;C++;Java;Python</v>
      </c>
      <c r="C3890" s="9" t="str">
        <f>IFERROR(__xludf.DUMMYFUNCTION("""COMPUTED_VALUE"""),"C#")</f>
        <v>C#</v>
      </c>
      <c r="D3890" s="9" t="str">
        <f>IFERROR(__xludf.DUMMYFUNCTION("""COMPUTED_VALUE"""),"SQL")</f>
        <v>SQL</v>
      </c>
      <c r="E3890" s="9" t="str">
        <f>IFERROR(__xludf.DUMMYFUNCTION("""COMPUTED_VALUE"""),"Python")</f>
        <v>Python</v>
      </c>
      <c r="F3890" s="9" t="str">
        <f>IFERROR(__xludf.DUMMYFUNCTION("""COMPUTED_VALUE"""),"Python")</f>
        <v>Python</v>
      </c>
      <c r="G3890" s="9" t="str">
        <f>IFERROR(__xludf.DUMMYFUNCTION("""COMPUTED_VALUE"""),"C#")</f>
        <v>C#</v>
      </c>
      <c r="H3890" s="9" t="str">
        <f>IFERROR(__xludf.DUMMYFUNCTION("""COMPUTED_VALUE"""),"Python")</f>
        <v>Python</v>
      </c>
      <c r="I3890" s="9" t="str">
        <f>IFERROR(__xludf.DUMMYFUNCTION("""COMPUTED_VALUE"""),"JavaScript")</f>
        <v>JavaScript</v>
      </c>
      <c r="J3890" s="9" t="str">
        <f>IFERROR(__xludf.DUMMYFUNCTION("""COMPUTED_VALUE"""),"SQL")</f>
        <v>SQL</v>
      </c>
      <c r="K3890" s="9" t="str">
        <f>IFERROR(__xludf.DUMMYFUNCTION("""COMPUTED_VALUE"""),"Python")</f>
        <v>Python</v>
      </c>
      <c r="L3890" s="9" t="str">
        <f>IFERROR(__xludf.DUMMYFUNCTION("""COMPUTED_VALUE"""),"JavaScript")</f>
        <v>JavaScript</v>
      </c>
      <c r="M3890" s="9" t="s">
        <v>26</v>
      </c>
    </row>
    <row r="3891" ht="15.75" customHeight="1">
      <c r="A3891" s="7"/>
      <c r="B3891" s="7" t="str">
        <f>IFERROR(__xludf.DUMMYFUNCTION("""COMPUTED_VALUE"""),"Assembly;Bash/Shell/PowerShell;C;Python")</f>
        <v>Assembly;Bash/Shell/PowerShell;C;Python</v>
      </c>
      <c r="C3891" s="9" t="str">
        <f>IFERROR(__xludf.DUMMYFUNCTION("""COMPUTED_VALUE"""),"Clojure")</f>
        <v>Clojure</v>
      </c>
      <c r="D3891" s="9" t="str">
        <f>IFERROR(__xludf.DUMMYFUNCTION("""COMPUTED_VALUE"""),"TypeScript")</f>
        <v>TypeScript</v>
      </c>
      <c r="E3891" s="9" t="str">
        <f>IFERROR(__xludf.DUMMYFUNCTION("""COMPUTED_VALUE"""),"Assembly")</f>
        <v>Assembly</v>
      </c>
      <c r="F3891" s="9" t="str">
        <f>IFERROR(__xludf.DUMMYFUNCTION("""COMPUTED_VALUE"""),"SQL")</f>
        <v>SQL</v>
      </c>
      <c r="G3891" s="9" t="str">
        <f>IFERROR(__xludf.DUMMYFUNCTION("""COMPUTED_VALUE"""),"JavaScript")</f>
        <v>JavaScript</v>
      </c>
      <c r="H3891" s="9" t="str">
        <f>IFERROR(__xludf.DUMMYFUNCTION("""COMPUTED_VALUE"""),"SQL")</f>
        <v>SQL</v>
      </c>
      <c r="I3891" s="9" t="str">
        <f>IFERROR(__xludf.DUMMYFUNCTION("""COMPUTED_VALUE"""),"Python")</f>
        <v>Python</v>
      </c>
      <c r="J3891" s="9" t="str">
        <f>IFERROR(__xludf.DUMMYFUNCTION("""COMPUTED_VALUE"""),"C")</f>
        <v>C</v>
      </c>
      <c r="K3891" s="9" t="str">
        <f>IFERROR(__xludf.DUMMYFUNCTION("""COMPUTED_VALUE"""),"Bash/Shell/PowerShell")</f>
        <v>Bash/Shell/PowerShell</v>
      </c>
      <c r="L3891" s="9" t="str">
        <f>IFERROR(__xludf.DUMMYFUNCTION("""COMPUTED_VALUE"""),"SQL")</f>
        <v>SQL</v>
      </c>
      <c r="M3891" s="9" t="s">
        <v>44</v>
      </c>
    </row>
    <row r="3892" ht="15.75" customHeight="1">
      <c r="A3892" s="7"/>
      <c r="B3892" s="7" t="str">
        <f>IFERROR(__xludf.DUMMYFUNCTION("""COMPUTED_VALUE"""),"HTML/CSS;JavaScript;PHP")</f>
        <v>HTML/CSS;JavaScript;PHP</v>
      </c>
      <c r="C3892" s="9" t="str">
        <f>IFERROR(__xludf.DUMMYFUNCTION("""COMPUTED_VALUE"""),"HTML/CSS")</f>
        <v>HTML/CSS</v>
      </c>
      <c r="D3892" s="9" t="str">
        <f>IFERROR(__xludf.DUMMYFUNCTION("""COMPUTED_VALUE"""),"Assembly")</f>
        <v>Assembly</v>
      </c>
      <c r="E3892" s="9" t="str">
        <f>IFERROR(__xludf.DUMMYFUNCTION("""COMPUTED_VALUE"""),"Bash/Shell/PowerShell")</f>
        <v>Bash/Shell/PowerShell</v>
      </c>
      <c r="F3892" s="9" t="str">
        <f>IFERROR(__xludf.DUMMYFUNCTION("""COMPUTED_VALUE"""),"Other(s):")</f>
        <v>Other(s):</v>
      </c>
      <c r="G3892" s="9" t="str">
        <f>IFERROR(__xludf.DUMMYFUNCTION("""COMPUTED_VALUE"""),"C#")</f>
        <v>C#</v>
      </c>
      <c r="H3892" s="9" t="str">
        <f>IFERROR(__xludf.DUMMYFUNCTION("""COMPUTED_VALUE"""),"HTML/CSS")</f>
        <v>HTML/CSS</v>
      </c>
      <c r="I3892" s="9" t="str">
        <f>IFERROR(__xludf.DUMMYFUNCTION("""COMPUTED_VALUE"""),"Ruby")</f>
        <v>Ruby</v>
      </c>
      <c r="J3892" s="9" t="str">
        <f>IFERROR(__xludf.DUMMYFUNCTION("""COMPUTED_VALUE"""),"C++")</f>
        <v>C++</v>
      </c>
      <c r="K3892" s="9" t="str">
        <f>IFERROR(__xludf.DUMMYFUNCTION("""COMPUTED_VALUE"""),"C")</f>
        <v>C</v>
      </c>
      <c r="L3892" s="9" t="str">
        <f>IFERROR(__xludf.DUMMYFUNCTION("""COMPUTED_VALUE"""),"Other(s):")</f>
        <v>Other(s):</v>
      </c>
      <c r="M3892" s="9" t="s">
        <v>24</v>
      </c>
    </row>
    <row r="3893" ht="15.75" customHeight="1">
      <c r="A3893" s="7"/>
      <c r="B3893" s="7" t="str">
        <f>IFERROR(__xludf.DUMMYFUNCTION("""COMPUTED_VALUE"""),"C++;C#;Dart;Java;Kotlin")</f>
        <v>C++;C#;Dart;Java;Kotlin</v>
      </c>
      <c r="C3893" s="9" t="str">
        <f>IFERROR(__xludf.DUMMYFUNCTION("""COMPUTED_VALUE"""),"JavaScript")</f>
        <v>JavaScript</v>
      </c>
      <c r="D3893" s="9" t="str">
        <f>IFERROR(__xludf.DUMMYFUNCTION("""COMPUTED_VALUE"""),"C")</f>
        <v>C</v>
      </c>
      <c r="E3893" s="9" t="str">
        <f>IFERROR(__xludf.DUMMYFUNCTION("""COMPUTED_VALUE"""),"C")</f>
        <v>C</v>
      </c>
      <c r="F3893" s="9" t="str">
        <f>IFERROR(__xludf.DUMMYFUNCTION("""COMPUTED_VALUE"""),"C#")</f>
        <v>C#</v>
      </c>
      <c r="G3893" s="9" t="str">
        <f>IFERROR(__xludf.DUMMYFUNCTION("""COMPUTED_VALUE"""),"HTML/CSS")</f>
        <v>HTML/CSS</v>
      </c>
      <c r="H3893" s="9" t="str">
        <f>IFERROR(__xludf.DUMMYFUNCTION("""COMPUTED_VALUE"""),"JavaScript")</f>
        <v>JavaScript</v>
      </c>
      <c r="I3893" s="9" t="str">
        <f>IFERROR(__xludf.DUMMYFUNCTION("""COMPUTED_VALUE"""),"SQL")</f>
        <v>SQL</v>
      </c>
      <c r="J3893" s="9" t="str">
        <f>IFERROR(__xludf.DUMMYFUNCTION("""COMPUTED_VALUE"""),"C#")</f>
        <v>C#</v>
      </c>
      <c r="K3893" s="9" t="str">
        <f>IFERROR(__xludf.DUMMYFUNCTION("""COMPUTED_VALUE"""),"C++")</f>
        <v>C++</v>
      </c>
      <c r="L3893" s="9" t="str">
        <f>IFERROR(__xludf.DUMMYFUNCTION("""COMPUTED_VALUE"""),"Bash/Shell/PowerShell")</f>
        <v>Bash/Shell/PowerShell</v>
      </c>
      <c r="M3893" s="9" t="s">
        <v>21</v>
      </c>
    </row>
    <row r="3894" ht="15.75" customHeight="1">
      <c r="A3894" s="7"/>
      <c r="B3894" s="7" t="str">
        <f>IFERROR(__xludf.DUMMYFUNCTION("""COMPUTED_VALUE"""),"C#;HTML/CSS;Java;JavaScript")</f>
        <v>C#;HTML/CSS;Java;JavaScript</v>
      </c>
      <c r="C3894" s="9" t="str">
        <f>IFERROR(__xludf.DUMMYFUNCTION("""COMPUTED_VALUE"""),"Python")</f>
        <v>Python</v>
      </c>
      <c r="D3894" s="9" t="str">
        <f>IFERROR(__xludf.DUMMYFUNCTION("""COMPUTED_VALUE"""),"C++")</f>
        <v>C++</v>
      </c>
      <c r="E3894" s="9" t="str">
        <f>IFERROR(__xludf.DUMMYFUNCTION("""COMPUTED_VALUE"""),"C++")</f>
        <v>C++</v>
      </c>
      <c r="F3894" s="9" t="str">
        <f>IFERROR(__xludf.DUMMYFUNCTION("""COMPUTED_VALUE"""),"HTML/CSS")</f>
        <v>HTML/CSS</v>
      </c>
      <c r="G3894" s="9" t="str">
        <f>IFERROR(__xludf.DUMMYFUNCTION("""COMPUTED_VALUE"""),"Java")</f>
        <v>Java</v>
      </c>
      <c r="H3894" s="9" t="str">
        <f>IFERROR(__xludf.DUMMYFUNCTION("""COMPUTED_VALUE"""),"Ruby")</f>
        <v>Ruby</v>
      </c>
      <c r="I3894" s="9" t="str">
        <f>IFERROR(__xludf.DUMMYFUNCTION("""COMPUTED_VALUE"""),"TypeScript")</f>
        <v>TypeScript</v>
      </c>
      <c r="J3894" s="9" t="str">
        <f>IFERROR(__xludf.DUMMYFUNCTION("""COMPUTED_VALUE"""),"Java")</f>
        <v>Java</v>
      </c>
      <c r="K3894" s="9" t="str">
        <f>IFERROR(__xludf.DUMMYFUNCTION("""COMPUTED_VALUE"""),"C#")</f>
        <v>C#</v>
      </c>
      <c r="L3894" s="9" t="str">
        <f>IFERROR(__xludf.DUMMYFUNCTION("""COMPUTED_VALUE"""),"HTML/CSS")</f>
        <v>HTML/CSS</v>
      </c>
      <c r="M3894" s="9" t="s">
        <v>22</v>
      </c>
    </row>
    <row r="3895" ht="15.75" customHeight="1">
      <c r="A3895" s="7"/>
      <c r="B3895" s="7" t="str">
        <f>IFERROR(__xludf.DUMMYFUNCTION("""COMPUTED_VALUE"""),"HTML/CSS;JavaScript;TypeScript")</f>
        <v>HTML/CSS;JavaScript;TypeScript</v>
      </c>
      <c r="C3895" s="9" t="str">
        <f>IFERROR(__xludf.DUMMYFUNCTION("""COMPUTED_VALUE"""),"SQL")</f>
        <v>SQL</v>
      </c>
      <c r="D3895" s="9" t="str">
        <f>IFERROR(__xludf.DUMMYFUNCTION("""COMPUTED_VALUE"""),"Erlang")</f>
        <v>Erlang</v>
      </c>
      <c r="E3895" s="9" t="str">
        <f>IFERROR(__xludf.DUMMYFUNCTION("""COMPUTED_VALUE"""),"HTML/CSS")</f>
        <v>HTML/CSS</v>
      </c>
      <c r="F3895" s="9" t="str">
        <f>IFERROR(__xludf.DUMMYFUNCTION("""COMPUTED_VALUE"""),"JavaScript")</f>
        <v>JavaScript</v>
      </c>
      <c r="G3895" s="9" t="str">
        <f>IFERROR(__xludf.DUMMYFUNCTION("""COMPUTED_VALUE"""),"JavaScript")</f>
        <v>JavaScript</v>
      </c>
      <c r="H3895" s="9" t="str">
        <f>IFERROR(__xludf.DUMMYFUNCTION("""COMPUTED_VALUE"""),"Bash/Shell/PowerShell")</f>
        <v>Bash/Shell/PowerShell</v>
      </c>
      <c r="I3895" s="9" t="str">
        <f>IFERROR(__xludf.DUMMYFUNCTION("""COMPUTED_VALUE"""),"HTML/CSS")</f>
        <v>HTML/CSS</v>
      </c>
      <c r="J3895" s="9" t="str">
        <f>IFERROR(__xludf.DUMMYFUNCTION("""COMPUTED_VALUE"""),"JavaScript")</f>
        <v>JavaScript</v>
      </c>
      <c r="K3895" s="9" t="str">
        <f>IFERROR(__xludf.DUMMYFUNCTION("""COMPUTED_VALUE"""),"HTML/CSS")</f>
        <v>HTML/CSS</v>
      </c>
      <c r="L3895" s="9" t="str">
        <f>IFERROR(__xludf.DUMMYFUNCTION("""COMPUTED_VALUE"""),"JavaScript")</f>
        <v>JavaScript</v>
      </c>
      <c r="M3895" s="9" t="s">
        <v>27</v>
      </c>
    </row>
    <row r="3896" ht="15.75" customHeight="1">
      <c r="A3896" s="7"/>
      <c r="B3896" s="7" t="str">
        <f>IFERROR(__xludf.DUMMYFUNCTION("""COMPUTED_VALUE"""),"HTML/CSS;JavaScript;SQL")</f>
        <v>HTML/CSS;JavaScript;SQL</v>
      </c>
      <c r="C3896" s="9" t="str">
        <f>IFERROR(__xludf.DUMMYFUNCTION("""COMPUTED_VALUE"""),"TypeScript")</f>
        <v>TypeScript</v>
      </c>
      <c r="D3896" s="9" t="str">
        <f>IFERROR(__xludf.DUMMYFUNCTION("""COMPUTED_VALUE"""),"Go")</f>
        <v>Go</v>
      </c>
      <c r="E3896" s="9" t="str">
        <f>IFERROR(__xludf.DUMMYFUNCTION("""COMPUTED_VALUE"""),"JavaScript")</f>
        <v>JavaScript</v>
      </c>
      <c r="F3896" s="9" t="str">
        <f>IFERROR(__xludf.DUMMYFUNCTION("""COMPUTED_VALUE"""),"PHP")</f>
        <v>PHP</v>
      </c>
      <c r="G3896" s="9" t="str">
        <f>IFERROR(__xludf.DUMMYFUNCTION("""COMPUTED_VALUE"""),"SQL")</f>
        <v>SQL</v>
      </c>
      <c r="H3896" s="9" t="str">
        <f>IFERROR(__xludf.DUMMYFUNCTION("""COMPUTED_VALUE"""),"C++")</f>
        <v>C++</v>
      </c>
      <c r="I3896" s="9" t="str">
        <f>IFERROR(__xludf.DUMMYFUNCTION("""COMPUTED_VALUE"""),"Java")</f>
        <v>Java</v>
      </c>
      <c r="J3896" s="9" t="str">
        <f>IFERROR(__xludf.DUMMYFUNCTION("""COMPUTED_VALUE"""),"PHP")</f>
        <v>PHP</v>
      </c>
      <c r="K3896" s="9" t="str">
        <f>IFERROR(__xludf.DUMMYFUNCTION("""COMPUTED_VALUE"""),"Java")</f>
        <v>Java</v>
      </c>
      <c r="L3896" s="9" t="str">
        <f>IFERROR(__xludf.DUMMYFUNCTION("""COMPUTED_VALUE"""),"PHP")</f>
        <v>PHP</v>
      </c>
      <c r="M3896" s="9" t="s">
        <v>33</v>
      </c>
    </row>
    <row r="3897" ht="15.75" customHeight="1">
      <c r="A3897" s="7"/>
      <c r="B3897" s="7" t="str">
        <f>IFERROR(__xludf.DUMMYFUNCTION("""COMPUTED_VALUE"""),"Assembly;C;C++;Clojure;HTML/CSS;Java;JavaScript;Ruby;TypeScript;Other(s):")</f>
        <v>Assembly;C;C++;Clojure;HTML/CSS;Java;JavaScript;Ruby;TypeScript;Other(s):</v>
      </c>
      <c r="C3897" s="9" t="str">
        <f>IFERROR(__xludf.DUMMYFUNCTION("""COMPUTED_VALUE"""),"C")</f>
        <v>C</v>
      </c>
      <c r="D3897" s="9" t="str">
        <f>IFERROR(__xludf.DUMMYFUNCTION("""COMPUTED_VALUE"""),"HTML/CSS")</f>
        <v>HTML/CSS</v>
      </c>
      <c r="E3897" s="9" t="str">
        <f>IFERROR(__xludf.DUMMYFUNCTION("""COMPUTED_VALUE"""),"PHP")</f>
        <v>PHP</v>
      </c>
      <c r="F3897" s="9" t="str">
        <f>IFERROR(__xludf.DUMMYFUNCTION("""COMPUTED_VALUE"""),"SQL")</f>
        <v>SQL</v>
      </c>
      <c r="G3897" s="9" t="str">
        <f>IFERROR(__xludf.DUMMYFUNCTION("""COMPUTED_VALUE"""),"Go")</f>
        <v>Go</v>
      </c>
      <c r="H3897" s="9" t="str">
        <f>IFERROR(__xludf.DUMMYFUNCTION("""COMPUTED_VALUE"""),"Go")</f>
        <v>Go</v>
      </c>
      <c r="I3897" s="9" t="str">
        <f>IFERROR(__xludf.DUMMYFUNCTION("""COMPUTED_VALUE"""),"JavaScript")</f>
        <v>JavaScript</v>
      </c>
      <c r="J3897" s="9" t="str">
        <f>IFERROR(__xludf.DUMMYFUNCTION("""COMPUTED_VALUE"""),"Python")</f>
        <v>Python</v>
      </c>
      <c r="K3897" s="9" t="str">
        <f>IFERROR(__xludf.DUMMYFUNCTION("""COMPUTED_VALUE"""),"JavaScript")</f>
        <v>JavaScript</v>
      </c>
      <c r="L3897" s="9" t="str">
        <f>IFERROR(__xludf.DUMMYFUNCTION("""COMPUTED_VALUE"""),"SQL")</f>
        <v>SQL</v>
      </c>
      <c r="M3897" s="9" t="s">
        <v>25</v>
      </c>
    </row>
    <row r="3898" ht="15.75" customHeight="1">
      <c r="A3898" s="7"/>
      <c r="B3898" s="7" t="str">
        <f>IFERROR(__xludf.DUMMYFUNCTION("""COMPUTED_VALUE"""),"HTML/CSS;JavaScript;PHP")</f>
        <v>HTML/CSS;JavaScript;PHP</v>
      </c>
      <c r="C3898" s="9" t="str">
        <f>IFERROR(__xludf.DUMMYFUNCTION("""COMPUTED_VALUE"""),"C#")</f>
        <v>C#</v>
      </c>
      <c r="D3898" s="9" t="str">
        <f>IFERROR(__xludf.DUMMYFUNCTION("""COMPUTED_VALUE"""),"Java")</f>
        <v>Java</v>
      </c>
      <c r="E3898" s="9" t="str">
        <f>IFERROR(__xludf.DUMMYFUNCTION("""COMPUTED_VALUE"""),"Python")</f>
        <v>Python</v>
      </c>
      <c r="F3898" s="9" t="str">
        <f>IFERROR(__xludf.DUMMYFUNCTION("""COMPUTED_VALUE"""),"VBA")</f>
        <v>VBA</v>
      </c>
      <c r="G3898" s="9" t="str">
        <f>IFERROR(__xludf.DUMMYFUNCTION("""COMPUTED_VALUE"""),"HTML/CSS")</f>
        <v>HTML/CSS</v>
      </c>
      <c r="H3898" s="9" t="str">
        <f>IFERROR(__xludf.DUMMYFUNCTION("""COMPUTED_VALUE"""),"JavaScript")</f>
        <v>JavaScript</v>
      </c>
      <c r="I3898" s="9" t="str">
        <f>IFERROR(__xludf.DUMMYFUNCTION("""COMPUTED_VALUE"""),"SQL")</f>
        <v>SQL</v>
      </c>
      <c r="J3898" s="9" t="str">
        <f>IFERROR(__xludf.DUMMYFUNCTION("""COMPUTED_VALUE"""),"Scala")</f>
        <v>Scala</v>
      </c>
      <c r="K3898" s="9" t="str">
        <f>IFERROR(__xludf.DUMMYFUNCTION("""COMPUTED_VALUE"""),"PHP")</f>
        <v>PHP</v>
      </c>
      <c r="L3898" s="9" t="str">
        <f>IFERROR(__xludf.DUMMYFUNCTION("""COMPUTED_VALUE"""),"Java")</f>
        <v>Java</v>
      </c>
      <c r="M3898" s="9" t="s">
        <v>26</v>
      </c>
    </row>
    <row r="3899" ht="15.75" customHeight="1">
      <c r="A3899" s="7"/>
      <c r="B3899" s="7" t="str">
        <f>IFERROR(__xludf.DUMMYFUNCTION("""COMPUTED_VALUE"""),"HTML/CSS;Java;JavaScript;PHP;Ruby;SQL")</f>
        <v>HTML/CSS;Java;JavaScript;PHP;Ruby;SQL</v>
      </c>
      <c r="C3899" s="9" t="str">
        <f>IFERROR(__xludf.DUMMYFUNCTION("""COMPUTED_VALUE"""),"Dart")</f>
        <v>Dart</v>
      </c>
      <c r="D3899" s="9" t="str">
        <f>IFERROR(__xludf.DUMMYFUNCTION("""COMPUTED_VALUE"""),"JavaScript")</f>
        <v>JavaScript</v>
      </c>
      <c r="E3899" s="9" t="str">
        <f>IFERROR(__xludf.DUMMYFUNCTION("""COMPUTED_VALUE"""),"SQL")</f>
        <v>SQL</v>
      </c>
      <c r="F3899" s="9" t="str">
        <f>IFERROR(__xludf.DUMMYFUNCTION("""COMPUTED_VALUE"""),"C#")</f>
        <v>C#</v>
      </c>
      <c r="G3899" s="9" t="str">
        <f>IFERROR(__xludf.DUMMYFUNCTION("""COMPUTED_VALUE"""),"Java")</f>
        <v>Java</v>
      </c>
      <c r="H3899" s="9" t="str">
        <f>IFERROR(__xludf.DUMMYFUNCTION("""COMPUTED_VALUE"""),"Python")</f>
        <v>Python</v>
      </c>
      <c r="I3899" s="9" t="str">
        <f>IFERROR(__xludf.DUMMYFUNCTION("""COMPUTED_VALUE"""),"Go")</f>
        <v>Go</v>
      </c>
      <c r="J3899" s="9" t="str">
        <f>IFERROR(__xludf.DUMMYFUNCTION("""COMPUTED_VALUE"""),"HTML/CSS")</f>
        <v>HTML/CSS</v>
      </c>
      <c r="K3899" s="9" t="str">
        <f>IFERROR(__xludf.DUMMYFUNCTION("""COMPUTED_VALUE"""),"Python")</f>
        <v>Python</v>
      </c>
      <c r="L3899" s="9" t="str">
        <f>IFERROR(__xludf.DUMMYFUNCTION("""COMPUTED_VALUE"""),"JavaScript")</f>
        <v>JavaScript</v>
      </c>
      <c r="M3899" s="9" t="s">
        <v>47</v>
      </c>
    </row>
    <row r="3900" ht="15.75" customHeight="1">
      <c r="A3900" s="7"/>
      <c r="B3900" s="7" t="str">
        <f>IFERROR(__xludf.DUMMYFUNCTION("""COMPUTED_VALUE"""),"C#;HTML/CSS;JavaScript;Objective-C;PHP;SQL;TypeScript")</f>
        <v>C#;HTML/CSS;JavaScript;Objective-C;PHP;SQL;TypeScript</v>
      </c>
      <c r="C3900" s="9" t="str">
        <f>IFERROR(__xludf.DUMMYFUNCTION("""COMPUTED_VALUE"""),"JavaScript")</f>
        <v>JavaScript</v>
      </c>
      <c r="D3900" s="9" t="str">
        <f>IFERROR(__xludf.DUMMYFUNCTION("""COMPUTED_VALUE"""),"Kotlin")</f>
        <v>Kotlin</v>
      </c>
      <c r="E3900" s="9" t="str">
        <f>IFERROR(__xludf.DUMMYFUNCTION("""COMPUTED_VALUE"""),"Java")</f>
        <v>Java</v>
      </c>
      <c r="F3900" s="9" t="str">
        <f>IFERROR(__xludf.DUMMYFUNCTION("""COMPUTED_VALUE"""),"HTML/CSS")</f>
        <v>HTML/CSS</v>
      </c>
      <c r="G3900" s="9" t="str">
        <f>IFERROR(__xludf.DUMMYFUNCTION("""COMPUTED_VALUE"""),"JavaScript")</f>
        <v>JavaScript</v>
      </c>
      <c r="H3900" s="9" t="str">
        <f>IFERROR(__xludf.DUMMYFUNCTION("""COMPUTED_VALUE"""),"Rust")</f>
        <v>Rust</v>
      </c>
      <c r="I3900" s="9" t="str">
        <f>IFERROR(__xludf.DUMMYFUNCTION("""COMPUTED_VALUE"""),"HTML/CSS")</f>
        <v>HTML/CSS</v>
      </c>
      <c r="J3900" s="9" t="str">
        <f>IFERROR(__xludf.DUMMYFUNCTION("""COMPUTED_VALUE"""),"Java")</f>
        <v>Java</v>
      </c>
      <c r="K3900" s="9" t="str">
        <f>IFERROR(__xludf.DUMMYFUNCTION("""COMPUTED_VALUE"""),"Assembly")</f>
        <v>Assembly</v>
      </c>
      <c r="L3900" s="9" t="str">
        <f>IFERROR(__xludf.DUMMYFUNCTION("""COMPUTED_VALUE"""),"SQL")</f>
        <v>SQL</v>
      </c>
      <c r="M3900" s="9" t="s">
        <v>21</v>
      </c>
    </row>
    <row r="3901" ht="15.75" customHeight="1">
      <c r="A3901" s="7"/>
      <c r="B3901" s="7" t="str">
        <f>IFERROR(__xludf.DUMMYFUNCTION("""COMPUTED_VALUE"""),"Bash/Shell/PowerShell;HTML/CSS;JavaScript;Python;SQL;TypeScript")</f>
        <v>Bash/Shell/PowerShell;HTML/CSS;JavaScript;Python;SQL;TypeScript</v>
      </c>
      <c r="C3901" s="9" t="str">
        <f>IFERROR(__xludf.DUMMYFUNCTION("""COMPUTED_VALUE"""),"PHP")</f>
        <v>PHP</v>
      </c>
      <c r="D3901" s="9" t="str">
        <f>IFERROR(__xludf.DUMMYFUNCTION("""COMPUTED_VALUE"""),"Bash/Shell/PowerShell")</f>
        <v>Bash/Shell/PowerShell</v>
      </c>
      <c r="E3901" s="9" t="str">
        <f>IFERROR(__xludf.DUMMYFUNCTION("""COMPUTED_VALUE"""),"Python")</f>
        <v>Python</v>
      </c>
      <c r="F3901" s="9" t="str">
        <f>IFERROR(__xludf.DUMMYFUNCTION("""COMPUTED_VALUE"""),"JavaScript")</f>
        <v>JavaScript</v>
      </c>
      <c r="G3901" s="9" t="str">
        <f>IFERROR(__xludf.DUMMYFUNCTION("""COMPUTED_VALUE"""),"Python")</f>
        <v>Python</v>
      </c>
      <c r="H3901" s="9" t="str">
        <f>IFERROR(__xludf.DUMMYFUNCTION("""COMPUTED_VALUE"""),"Scala")</f>
        <v>Scala</v>
      </c>
      <c r="I3901" s="9" t="str">
        <f>IFERROR(__xludf.DUMMYFUNCTION("""COMPUTED_VALUE"""),"JavaScript")</f>
        <v>JavaScript</v>
      </c>
      <c r="J3901" s="9" t="str">
        <f>IFERROR(__xludf.DUMMYFUNCTION("""COMPUTED_VALUE"""),"JavaScript")</f>
        <v>JavaScript</v>
      </c>
      <c r="K3901" s="9" t="str">
        <f>IFERROR(__xludf.DUMMYFUNCTION("""COMPUTED_VALUE"""),"Bash/Shell/PowerShell")</f>
        <v>Bash/Shell/PowerShell</v>
      </c>
      <c r="L3901" s="9" t="str">
        <f>IFERROR(__xludf.DUMMYFUNCTION("""COMPUTED_VALUE"""),"C++")</f>
        <v>C++</v>
      </c>
      <c r="M3901" s="9" t="s">
        <v>37</v>
      </c>
    </row>
    <row r="3902" ht="15.75" customHeight="1">
      <c r="A3902" s="7"/>
      <c r="B3902" s="7" t="str">
        <f>IFERROR(__xludf.DUMMYFUNCTION("""COMPUTED_VALUE"""),"JavaScript;PHP")</f>
        <v>JavaScript;PHP</v>
      </c>
      <c r="C3902" s="9" t="str">
        <f>IFERROR(__xludf.DUMMYFUNCTION("""COMPUTED_VALUE"""),"Python")</f>
        <v>Python</v>
      </c>
      <c r="D3902" s="9" t="str">
        <f>IFERROR(__xludf.DUMMYFUNCTION("""COMPUTED_VALUE"""),"C")</f>
        <v>C</v>
      </c>
      <c r="E3902" s="9" t="str">
        <f>IFERROR(__xludf.DUMMYFUNCTION("""COMPUTED_VALUE"""),"Ruby")</f>
        <v>Ruby</v>
      </c>
      <c r="F3902" s="9" t="str">
        <f>IFERROR(__xludf.DUMMYFUNCTION("""COMPUTED_VALUE"""),"PHP")</f>
        <v>PHP</v>
      </c>
      <c r="G3902" s="9" t="str">
        <f>IFERROR(__xludf.DUMMYFUNCTION("""COMPUTED_VALUE"""),"TypeScript")</f>
        <v>TypeScript</v>
      </c>
      <c r="H3902" s="9" t="str">
        <f>IFERROR(__xludf.DUMMYFUNCTION("""COMPUTED_VALUE"""),"Java")</f>
        <v>Java</v>
      </c>
      <c r="I3902" s="9" t="str">
        <f>IFERROR(__xludf.DUMMYFUNCTION("""COMPUTED_VALUE"""),"Ruby")</f>
        <v>Ruby</v>
      </c>
      <c r="J3902" s="9" t="str">
        <f>IFERROR(__xludf.DUMMYFUNCTION("""COMPUTED_VALUE"""),"TypeScript")</f>
        <v>TypeScript</v>
      </c>
      <c r="K3902" s="9" t="str">
        <f>IFERROR(__xludf.DUMMYFUNCTION("""COMPUTED_VALUE"""),"C++")</f>
        <v>C++</v>
      </c>
      <c r="L3902" s="9" t="str">
        <f>IFERROR(__xludf.DUMMYFUNCTION("""COMPUTED_VALUE"""),"C#")</f>
        <v>C#</v>
      </c>
      <c r="M3902" s="9" t="s">
        <v>22</v>
      </c>
    </row>
    <row r="3903" ht="15.75" customHeight="1">
      <c r="A3903" s="7"/>
      <c r="B3903" s="7" t="str">
        <f>IFERROR(__xludf.DUMMYFUNCTION("""COMPUTED_VALUE"""),"JavaScript;Python;Other(s):")</f>
        <v>JavaScript;Python;Other(s):</v>
      </c>
      <c r="C3903" s="9" t="str">
        <f>IFERROR(__xludf.DUMMYFUNCTION("""COMPUTED_VALUE"""),"Rust")</f>
        <v>Rust</v>
      </c>
      <c r="D3903" s="9" t="str">
        <f>IFERROR(__xludf.DUMMYFUNCTION("""COMPUTED_VALUE"""),"C++")</f>
        <v>C++</v>
      </c>
      <c r="E3903" s="9" t="str">
        <f>IFERROR(__xludf.DUMMYFUNCTION("""COMPUTED_VALUE"""),"HTML/CSS")</f>
        <v>HTML/CSS</v>
      </c>
      <c r="F3903" s="9" t="str">
        <f>IFERROR(__xludf.DUMMYFUNCTION("""COMPUTED_VALUE"""),"Python")</f>
        <v>Python</v>
      </c>
      <c r="G3903" s="9" t="str">
        <f>IFERROR(__xludf.DUMMYFUNCTION("""COMPUTED_VALUE"""),"Bash/Shell/PowerShell")</f>
        <v>Bash/Shell/PowerShell</v>
      </c>
      <c r="H3903" s="9" t="str">
        <f>IFERROR(__xludf.DUMMYFUNCTION("""COMPUTED_VALUE"""),"JavaScript")</f>
        <v>JavaScript</v>
      </c>
      <c r="I3903" s="9" t="str">
        <f>IFERROR(__xludf.DUMMYFUNCTION("""COMPUTED_VALUE"""),"TypeScript")</f>
        <v>TypeScript</v>
      </c>
      <c r="J3903" s="9" t="str">
        <f>IFERROR(__xludf.DUMMYFUNCTION("""COMPUTED_VALUE"""),"SQL")</f>
        <v>SQL</v>
      </c>
      <c r="K3903" s="9" t="str">
        <f>IFERROR(__xludf.DUMMYFUNCTION("""COMPUTED_VALUE"""),"C#")</f>
        <v>C#</v>
      </c>
      <c r="L3903" s="9" t="str">
        <f>IFERROR(__xludf.DUMMYFUNCTION("""COMPUTED_VALUE"""),"HTML/CSS")</f>
        <v>HTML/CSS</v>
      </c>
      <c r="M3903" s="9" t="s">
        <v>32</v>
      </c>
    </row>
    <row r="3904" ht="15.75" customHeight="1">
      <c r="A3904" s="7"/>
      <c r="B3904" s="7" t="str">
        <f>IFERROR(__xludf.DUMMYFUNCTION("""COMPUTED_VALUE"""),"Bash/Shell/PowerShell;Python")</f>
        <v>Bash/Shell/PowerShell;Python</v>
      </c>
      <c r="C3904" s="9" t="str">
        <f>IFERROR(__xludf.DUMMYFUNCTION("""COMPUTED_VALUE"""),"SQL")</f>
        <v>SQL</v>
      </c>
      <c r="D3904" s="9" t="str">
        <f>IFERROR(__xludf.DUMMYFUNCTION("""COMPUTED_VALUE"""),"Java")</f>
        <v>Java</v>
      </c>
      <c r="E3904" s="9" t="str">
        <f>IFERROR(__xludf.DUMMYFUNCTION("""COMPUTED_VALUE"""),"JavaScript")</f>
        <v>JavaScript</v>
      </c>
      <c r="F3904" s="9" t="str">
        <f>IFERROR(__xludf.DUMMYFUNCTION("""COMPUTED_VALUE"""),"SQL")</f>
        <v>SQL</v>
      </c>
      <c r="G3904" s="9" t="str">
        <f>IFERROR(__xludf.DUMMYFUNCTION("""COMPUTED_VALUE"""),"C++")</f>
        <v>C++</v>
      </c>
      <c r="H3904" s="9" t="str">
        <f>IFERROR(__xludf.DUMMYFUNCTION("""COMPUTED_VALUE"""),"PHP")</f>
        <v>PHP</v>
      </c>
      <c r="I3904" s="9" t="str">
        <f>IFERROR(__xludf.DUMMYFUNCTION("""COMPUTED_VALUE"""),"HTML/CSS")</f>
        <v>HTML/CSS</v>
      </c>
      <c r="J3904" s="9" t="str">
        <f>IFERROR(__xludf.DUMMYFUNCTION("""COMPUTED_VALUE"""),"VBA")</f>
        <v>VBA</v>
      </c>
      <c r="K3904" s="9" t="str">
        <f>IFERROR(__xludf.DUMMYFUNCTION("""COMPUTED_VALUE"""),"Clojure")</f>
        <v>Clojure</v>
      </c>
      <c r="L3904" s="9" t="str">
        <f>IFERROR(__xludf.DUMMYFUNCTION("""COMPUTED_VALUE"""),"Java")</f>
        <v>Java</v>
      </c>
      <c r="M3904" s="9" t="s">
        <v>27</v>
      </c>
    </row>
    <row r="3905" ht="15.75" customHeight="1">
      <c r="A3905" s="7"/>
      <c r="B3905" s="7" t="str">
        <f>IFERROR(__xludf.DUMMYFUNCTION("""COMPUTED_VALUE"""),"C++;C#;HTML/CSS;Java;JavaScript;PHP;Python")</f>
        <v>C++;C#;HTML/CSS;Java;JavaScript;PHP;Python</v>
      </c>
      <c r="C3905" s="9" t="str">
        <f>IFERROR(__xludf.DUMMYFUNCTION("""COMPUTED_VALUE"""),"TypeScript")</f>
        <v>TypeScript</v>
      </c>
      <c r="D3905" s="9" t="str">
        <f>IFERROR(__xludf.DUMMYFUNCTION("""COMPUTED_VALUE"""),"Objective-C")</f>
        <v>Objective-C</v>
      </c>
      <c r="E3905" s="9" t="str">
        <f>IFERROR(__xludf.DUMMYFUNCTION("""COMPUTED_VALUE"""),"Python")</f>
        <v>Python</v>
      </c>
      <c r="F3905" s="9" t="str">
        <f>IFERROR(__xludf.DUMMYFUNCTION("""COMPUTED_VALUE"""),"C#")</f>
        <v>C#</v>
      </c>
      <c r="G3905" s="9" t="str">
        <f>IFERROR(__xludf.DUMMYFUNCTION("""COMPUTED_VALUE"""),"C#")</f>
        <v>C#</v>
      </c>
      <c r="H3905" s="9" t="str">
        <f>IFERROR(__xludf.DUMMYFUNCTION("""COMPUTED_VALUE"""),"Python")</f>
        <v>Python</v>
      </c>
      <c r="I3905" s="9" t="str">
        <f>IFERROR(__xludf.DUMMYFUNCTION("""COMPUTED_VALUE"""),"JavaScript")</f>
        <v>JavaScript</v>
      </c>
      <c r="J3905" s="9" t="str">
        <f>IFERROR(__xludf.DUMMYFUNCTION("""COMPUTED_VALUE"""),"C#")</f>
        <v>C#</v>
      </c>
      <c r="K3905" s="9" t="str">
        <f>IFERROR(__xludf.DUMMYFUNCTION("""COMPUTED_VALUE"""),"Go")</f>
        <v>Go</v>
      </c>
      <c r="L3905" s="9" t="str">
        <f>IFERROR(__xludf.DUMMYFUNCTION("""COMPUTED_VALUE"""),"JavaScript")</f>
        <v>JavaScript</v>
      </c>
      <c r="M3905" s="9" t="s">
        <v>33</v>
      </c>
    </row>
    <row r="3906" ht="15.75" customHeight="1">
      <c r="A3906" s="7"/>
      <c r="B3906" s="7" t="str">
        <f>IFERROR(__xludf.DUMMYFUNCTION("""COMPUTED_VALUE"""),"Bash/Shell/PowerShell;Java;SQL")</f>
        <v>Bash/Shell/PowerShell;Java;SQL</v>
      </c>
      <c r="C3906" s="9" t="str">
        <f>IFERROR(__xludf.DUMMYFUNCTION("""COMPUTED_VALUE"""),"Bash/Shell/PowerShell")</f>
        <v>Bash/Shell/PowerShell</v>
      </c>
      <c r="D3906" s="9" t="str">
        <f>IFERROR(__xludf.DUMMYFUNCTION("""COMPUTED_VALUE"""),"Python")</f>
        <v>Python</v>
      </c>
      <c r="E3906" s="9" t="str">
        <f>IFERROR(__xludf.DUMMYFUNCTION("""COMPUTED_VALUE"""),"TypeScript")</f>
        <v>TypeScript</v>
      </c>
      <c r="F3906" s="9" t="str">
        <f>IFERROR(__xludf.DUMMYFUNCTION("""COMPUTED_VALUE"""),"HTML/CSS")</f>
        <v>HTML/CSS</v>
      </c>
      <c r="G3906" s="9" t="str">
        <f>IFERROR(__xludf.DUMMYFUNCTION("""COMPUTED_VALUE"""),"HTML/CSS")</f>
        <v>HTML/CSS</v>
      </c>
      <c r="H3906" s="9" t="str">
        <f>IFERROR(__xludf.DUMMYFUNCTION("""COMPUTED_VALUE"""),"SQL")</f>
        <v>SQL</v>
      </c>
      <c r="I3906" s="9" t="str">
        <f>IFERROR(__xludf.DUMMYFUNCTION("""COMPUTED_VALUE"""),"PHP")</f>
        <v>PHP</v>
      </c>
      <c r="J3906" s="9" t="str">
        <f>IFERROR(__xludf.DUMMYFUNCTION("""COMPUTED_VALUE"""),"TypeScript")</f>
        <v>TypeScript</v>
      </c>
      <c r="K3906" s="9" t="str">
        <f>IFERROR(__xludf.DUMMYFUNCTION("""COMPUTED_VALUE"""),"Python")</f>
        <v>Python</v>
      </c>
      <c r="L3906" s="9" t="str">
        <f>IFERROR(__xludf.DUMMYFUNCTION("""COMPUTED_VALUE"""),"SQL")</f>
        <v>SQL</v>
      </c>
      <c r="M3906" s="9" t="s">
        <v>30</v>
      </c>
    </row>
    <row r="3907" ht="15.75" customHeight="1">
      <c r="A3907" s="7"/>
      <c r="B3907" s="7" t="str">
        <f>IFERROR(__xludf.DUMMYFUNCTION("""COMPUTED_VALUE"""),"Assembly;C;C++;HTML/CSS;Java;Python;SQL")</f>
        <v>Assembly;C;C++;HTML/CSS;Java;Python;SQL</v>
      </c>
      <c r="C3907" s="9" t="str">
        <f>IFERROR(__xludf.DUMMYFUNCTION("""COMPUTED_VALUE"""),"C")</f>
        <v>C</v>
      </c>
      <c r="D3907" s="9" t="str">
        <f>IFERROR(__xludf.DUMMYFUNCTION("""COMPUTED_VALUE"""),"C#")</f>
        <v>C#</v>
      </c>
      <c r="E3907" s="9" t="str">
        <f>IFERROR(__xludf.DUMMYFUNCTION("""COMPUTED_VALUE"""),"Bash/Shell/PowerShell")</f>
        <v>Bash/Shell/PowerShell</v>
      </c>
      <c r="F3907" s="9" t="str">
        <f>IFERROR(__xludf.DUMMYFUNCTION("""COMPUTED_VALUE"""),"Java")</f>
        <v>Java</v>
      </c>
      <c r="G3907" s="9" t="str">
        <f>IFERROR(__xludf.DUMMYFUNCTION("""COMPUTED_VALUE"""),"Java")</f>
        <v>Java</v>
      </c>
      <c r="H3907" s="9" t="str">
        <f>IFERROR(__xludf.DUMMYFUNCTION("""COMPUTED_VALUE"""),"Swift")</f>
        <v>Swift</v>
      </c>
      <c r="I3907" s="9" t="str">
        <f>IFERROR(__xludf.DUMMYFUNCTION("""COMPUTED_VALUE"""),"TypeScript")</f>
        <v>TypeScript</v>
      </c>
      <c r="J3907" s="9" t="str">
        <f>IFERROR(__xludf.DUMMYFUNCTION("""COMPUTED_VALUE"""),"C#")</f>
        <v>C#</v>
      </c>
      <c r="K3907" s="9" t="str">
        <f>IFERROR(__xludf.DUMMYFUNCTION("""COMPUTED_VALUE"""),"Bash/Shell/PowerShell")</f>
        <v>Bash/Shell/PowerShell</v>
      </c>
      <c r="L3907" s="9" t="str">
        <f>IFERROR(__xludf.DUMMYFUNCTION("""COMPUTED_VALUE"""),"TypeScript")</f>
        <v>TypeScript</v>
      </c>
      <c r="M3907" s="9" t="s">
        <v>25</v>
      </c>
    </row>
    <row r="3908" ht="15.75" customHeight="1">
      <c r="A3908" s="7"/>
      <c r="B3908" s="7" t="str">
        <f>IFERROR(__xludf.DUMMYFUNCTION("""COMPUTED_VALUE"""),"C++;HTML/CSS;Java;JavaScript;PHP;SQL")</f>
        <v>C++;HTML/CSS;Java;JavaScript;PHP;SQL</v>
      </c>
      <c r="C3908" s="9" t="str">
        <f>IFERROR(__xludf.DUMMYFUNCTION("""COMPUTED_VALUE"""),"HTML/CSS")</f>
        <v>HTML/CSS</v>
      </c>
      <c r="D3908" s="9" t="str">
        <f>IFERROR(__xludf.DUMMYFUNCTION("""COMPUTED_VALUE"""),"HTML/CSS")</f>
        <v>HTML/CSS</v>
      </c>
      <c r="E3908" s="9" t="str">
        <f>IFERROR(__xludf.DUMMYFUNCTION("""COMPUTED_VALUE"""),"Go")</f>
        <v>Go</v>
      </c>
      <c r="F3908" s="9" t="str">
        <f>IFERROR(__xludf.DUMMYFUNCTION("""COMPUTED_VALUE"""),"JavaScript")</f>
        <v>JavaScript</v>
      </c>
      <c r="G3908" s="9" t="str">
        <f>IFERROR(__xludf.DUMMYFUNCTION("""COMPUTED_VALUE"""),"JavaScript")</f>
        <v>JavaScript</v>
      </c>
      <c r="H3908" s="9" t="str">
        <f>IFERROR(__xludf.DUMMYFUNCTION("""COMPUTED_VALUE"""),"PHP")</f>
        <v>PHP</v>
      </c>
      <c r="I3908" s="9" t="str">
        <f>IFERROR(__xludf.DUMMYFUNCTION("""COMPUTED_VALUE"""),"Bash/Shell/PowerShell")</f>
        <v>Bash/Shell/PowerShell</v>
      </c>
      <c r="J3908" s="9" t="str">
        <f>IFERROR(__xludf.DUMMYFUNCTION("""COMPUTED_VALUE"""),"HTML/CSS")</f>
        <v>HTML/CSS</v>
      </c>
      <c r="K3908" s="9" t="str">
        <f>IFERROR(__xludf.DUMMYFUNCTION("""COMPUTED_VALUE"""),"HTML/CSS")</f>
        <v>HTML/CSS</v>
      </c>
      <c r="L3908" s="9" t="str">
        <f>IFERROR(__xludf.DUMMYFUNCTION("""COMPUTED_VALUE"""),"C")</f>
        <v>C</v>
      </c>
      <c r="M3908" s="9" t="s">
        <v>24</v>
      </c>
    </row>
    <row r="3909" ht="15.75" customHeight="1">
      <c r="A3909" s="7"/>
      <c r="B3909" s="7" t="str">
        <f>IFERROR(__xludf.DUMMYFUNCTION("""COMPUTED_VALUE"""),"C;C++;Python")</f>
        <v>C;C++;Python</v>
      </c>
      <c r="C3909" s="9" t="str">
        <f>IFERROR(__xludf.DUMMYFUNCTION("""COMPUTED_VALUE"""),"JavaScript")</f>
        <v>JavaScript</v>
      </c>
      <c r="D3909" s="9" t="str">
        <f>IFERROR(__xludf.DUMMYFUNCTION("""COMPUTED_VALUE"""),"JavaScript")</f>
        <v>JavaScript</v>
      </c>
      <c r="E3909" s="9" t="str">
        <f>IFERROR(__xludf.DUMMYFUNCTION("""COMPUTED_VALUE"""),"HTML/CSS")</f>
        <v>HTML/CSS</v>
      </c>
      <c r="F3909" s="9" t="str">
        <f>IFERROR(__xludf.DUMMYFUNCTION("""COMPUTED_VALUE"""),"Kotlin")</f>
        <v>Kotlin</v>
      </c>
      <c r="G3909" s="9" t="str">
        <f>IFERROR(__xludf.DUMMYFUNCTION("""COMPUTED_VALUE"""),"PHP")</f>
        <v>PHP</v>
      </c>
      <c r="H3909" s="9" t="str">
        <f>IFERROR(__xludf.DUMMYFUNCTION("""COMPUTED_VALUE"""),"Bash/Shell/PowerShell")</f>
        <v>Bash/Shell/PowerShell</v>
      </c>
      <c r="I3909" s="9" t="str">
        <f>IFERROR(__xludf.DUMMYFUNCTION("""COMPUTED_VALUE"""),"HTML/CSS")</f>
        <v>HTML/CSS</v>
      </c>
      <c r="J3909" s="9" t="str">
        <f>IFERROR(__xludf.DUMMYFUNCTION("""COMPUTED_VALUE"""),"JavaScript")</f>
        <v>JavaScript</v>
      </c>
      <c r="K3909" s="9" t="str">
        <f>IFERROR(__xludf.DUMMYFUNCTION("""COMPUTED_VALUE"""),"Java")</f>
        <v>Java</v>
      </c>
      <c r="L3909" s="9" t="str">
        <f>IFERROR(__xludf.DUMMYFUNCTION("""COMPUTED_VALUE"""),"C#")</f>
        <v>C#</v>
      </c>
      <c r="M3909" s="9" t="s">
        <v>21</v>
      </c>
    </row>
    <row r="3910" ht="15.75" customHeight="1">
      <c r="A3910" s="7"/>
      <c r="B3910" s="7" t="str">
        <f>IFERROR(__xludf.DUMMYFUNCTION("""COMPUTED_VALUE"""),"C;C++;C#;Python;R")</f>
        <v>C;C++;C#;Python;R</v>
      </c>
      <c r="C3910" s="9" t="str">
        <f>IFERROR(__xludf.DUMMYFUNCTION("""COMPUTED_VALUE"""),"Python")</f>
        <v>Python</v>
      </c>
      <c r="D3910" s="9" t="str">
        <f>IFERROR(__xludf.DUMMYFUNCTION("""COMPUTED_VALUE"""),"SQL")</f>
        <v>SQL</v>
      </c>
      <c r="E3910" s="9" t="str">
        <f>IFERROR(__xludf.DUMMYFUNCTION("""COMPUTED_VALUE"""),"Java")</f>
        <v>Java</v>
      </c>
      <c r="F3910" s="9" t="str">
        <f>IFERROR(__xludf.DUMMYFUNCTION("""COMPUTED_VALUE"""),"Objective-C")</f>
        <v>Objective-C</v>
      </c>
      <c r="G3910" s="9" t="str">
        <f>IFERROR(__xludf.DUMMYFUNCTION("""COMPUTED_VALUE"""),"Python")</f>
        <v>Python</v>
      </c>
      <c r="H3910" s="9" t="str">
        <f>IFERROR(__xludf.DUMMYFUNCTION("""COMPUTED_VALUE"""),"C")</f>
        <v>C</v>
      </c>
      <c r="I3910" s="9" t="str">
        <f>IFERROR(__xludf.DUMMYFUNCTION("""COMPUTED_VALUE"""),"JavaScript")</f>
        <v>JavaScript</v>
      </c>
      <c r="J3910" s="9" t="str">
        <f>IFERROR(__xludf.DUMMYFUNCTION("""COMPUTED_VALUE"""),"SQL")</f>
        <v>SQL</v>
      </c>
      <c r="K3910" s="9" t="str">
        <f>IFERROR(__xludf.DUMMYFUNCTION("""COMPUTED_VALUE"""),"JavaScript")</f>
        <v>JavaScript</v>
      </c>
      <c r="L3910" s="9" t="str">
        <f>IFERROR(__xludf.DUMMYFUNCTION("""COMPUTED_VALUE"""),"Java")</f>
        <v>Java</v>
      </c>
      <c r="M3910" s="9" t="s">
        <v>22</v>
      </c>
    </row>
    <row r="3911" ht="15.75" customHeight="1">
      <c r="A3911" s="7"/>
      <c r="B3911" s="7" t="str">
        <f>IFERROR(__xludf.DUMMYFUNCTION("""COMPUTED_VALUE"""),"C++;C#;Python")</f>
        <v>C++;C#;Python</v>
      </c>
      <c r="C3911" s="9" t="str">
        <f>IFERROR(__xludf.DUMMYFUNCTION("""COMPUTED_VALUE"""),"R")</f>
        <v>R</v>
      </c>
      <c r="D3911" s="9" t="str">
        <f>IFERROR(__xludf.DUMMYFUNCTION("""COMPUTED_VALUE"""),"Bash/Shell/PowerShell")</f>
        <v>Bash/Shell/PowerShell</v>
      </c>
      <c r="E3911" s="9" t="str">
        <f>IFERROR(__xludf.DUMMYFUNCTION("""COMPUTED_VALUE"""),"JavaScript")</f>
        <v>JavaScript</v>
      </c>
      <c r="F3911" s="9" t="str">
        <f>IFERROR(__xludf.DUMMYFUNCTION("""COMPUTED_VALUE"""),"Swift")</f>
        <v>Swift</v>
      </c>
      <c r="G3911" s="9" t="str">
        <f>IFERROR(__xludf.DUMMYFUNCTION("""COMPUTED_VALUE"""),"SQL")</f>
        <v>SQL</v>
      </c>
      <c r="H3911" s="9" t="str">
        <f>IFERROR(__xludf.DUMMYFUNCTION("""COMPUTED_VALUE"""),"C++")</f>
        <v>C++</v>
      </c>
      <c r="I3911" s="9" t="str">
        <f>IFERROR(__xludf.DUMMYFUNCTION("""COMPUTED_VALUE"""),"PHP")</f>
        <v>PHP</v>
      </c>
      <c r="J3911" s="9" t="str">
        <f>IFERROR(__xludf.DUMMYFUNCTION("""COMPUTED_VALUE"""),"JavaScript")</f>
        <v>JavaScript</v>
      </c>
      <c r="K3911" s="9" t="str">
        <f>IFERROR(__xludf.DUMMYFUNCTION("""COMPUTED_VALUE"""),"PHP")</f>
        <v>PHP</v>
      </c>
      <c r="L3911" s="9" t="str">
        <f>IFERROR(__xludf.DUMMYFUNCTION("""COMPUTED_VALUE"""),"JavaScript")</f>
        <v>JavaScript</v>
      </c>
      <c r="M3911" s="9" t="s">
        <v>29</v>
      </c>
    </row>
    <row r="3912" ht="15.75" customHeight="1">
      <c r="A3912" s="7"/>
      <c r="B3912" s="7" t="str">
        <f>IFERROR(__xludf.DUMMYFUNCTION("""COMPUTED_VALUE"""),"C#;SQL")</f>
        <v>C#;SQL</v>
      </c>
      <c r="C3912" s="9" t="str">
        <f>IFERROR(__xludf.DUMMYFUNCTION("""COMPUTED_VALUE"""),"Ruby")</f>
        <v>Ruby</v>
      </c>
      <c r="D3912" s="9" t="str">
        <f>IFERROR(__xludf.DUMMYFUNCTION("""COMPUTED_VALUE"""),"C#")</f>
        <v>C#</v>
      </c>
      <c r="E3912" s="9" t="str">
        <f>IFERROR(__xludf.DUMMYFUNCTION("""COMPUTED_VALUE"""),"Kotlin")</f>
        <v>Kotlin</v>
      </c>
      <c r="F3912" s="9" t="str">
        <f>IFERROR(__xludf.DUMMYFUNCTION("""COMPUTED_VALUE"""),"HTML/CSS")</f>
        <v>HTML/CSS</v>
      </c>
      <c r="G3912" s="9" t="str">
        <f>IFERROR(__xludf.DUMMYFUNCTION("""COMPUTED_VALUE"""),"C#")</f>
        <v>C#</v>
      </c>
      <c r="H3912" s="9" t="str">
        <f>IFERROR(__xludf.DUMMYFUNCTION("""COMPUTED_VALUE"""),"Java")</f>
        <v>Java</v>
      </c>
      <c r="I3912" s="9" t="str">
        <f>IFERROR(__xludf.DUMMYFUNCTION("""COMPUTED_VALUE"""),"Python")</f>
        <v>Python</v>
      </c>
      <c r="J3912" s="9" t="str">
        <f>IFERROR(__xludf.DUMMYFUNCTION("""COMPUTED_VALUE"""),"HTML/CSS")</f>
        <v>HTML/CSS</v>
      </c>
      <c r="K3912" s="9" t="str">
        <f>IFERROR(__xludf.DUMMYFUNCTION("""COMPUTED_VALUE"""),"SQL")</f>
        <v>SQL</v>
      </c>
      <c r="L3912" s="9" t="str">
        <f>IFERROR(__xludf.DUMMYFUNCTION("""COMPUTED_VALUE"""),"Kotlin")</f>
        <v>Kotlin</v>
      </c>
      <c r="M3912" s="9" t="s">
        <v>31</v>
      </c>
    </row>
    <row r="3913" ht="15.75" customHeight="1">
      <c r="A3913" s="7"/>
      <c r="B3913" s="7" t="str">
        <f>IFERROR(__xludf.DUMMYFUNCTION("""COMPUTED_VALUE"""),"Python;R;SQL")</f>
        <v>Python;R;SQL</v>
      </c>
      <c r="C3913" s="9" t="str">
        <f>IFERROR(__xludf.DUMMYFUNCTION("""COMPUTED_VALUE"""),"Other(s):")</f>
        <v>Other(s):</v>
      </c>
      <c r="D3913" s="9" t="str">
        <f>IFERROR(__xludf.DUMMYFUNCTION("""COMPUTED_VALUE"""),"HTML/CSS")</f>
        <v>HTML/CSS</v>
      </c>
      <c r="E3913" s="9" t="str">
        <f>IFERROR(__xludf.DUMMYFUNCTION("""COMPUTED_VALUE"""),"PHP")</f>
        <v>PHP</v>
      </c>
      <c r="F3913" s="9" t="str">
        <f>IFERROR(__xludf.DUMMYFUNCTION("""COMPUTED_VALUE"""),"JavaScript")</f>
        <v>JavaScript</v>
      </c>
      <c r="G3913" s="9" t="str">
        <f>IFERROR(__xludf.DUMMYFUNCTION("""COMPUTED_VALUE"""),"HTML/CSS")</f>
        <v>HTML/CSS</v>
      </c>
      <c r="H3913" s="9" t="str">
        <f>IFERROR(__xludf.DUMMYFUNCTION("""COMPUTED_VALUE"""),"Python")</f>
        <v>Python</v>
      </c>
      <c r="I3913" s="9" t="str">
        <f>IFERROR(__xludf.DUMMYFUNCTION("""COMPUTED_VALUE"""),"SQL")</f>
        <v>SQL</v>
      </c>
      <c r="J3913" s="9" t="str">
        <f>IFERROR(__xludf.DUMMYFUNCTION("""COMPUTED_VALUE"""),"Java")</f>
        <v>Java</v>
      </c>
      <c r="K3913" s="9" t="str">
        <f>IFERROR(__xludf.DUMMYFUNCTION("""COMPUTED_VALUE"""),"Bash/Shell/PowerShell")</f>
        <v>Bash/Shell/PowerShell</v>
      </c>
      <c r="L3913" s="9" t="str">
        <f>IFERROR(__xludf.DUMMYFUNCTION("""COMPUTED_VALUE"""),"SQL")</f>
        <v>SQL</v>
      </c>
      <c r="M3913" s="9" t="s">
        <v>35</v>
      </c>
    </row>
    <row r="3914" ht="15.75" customHeight="1">
      <c r="A3914" s="7"/>
      <c r="B3914" s="7" t="str">
        <f>IFERROR(__xludf.DUMMYFUNCTION("""COMPUTED_VALUE"""),"Assembly;Bash/Shell/PowerShell;C;HTML/CSS;Java;JavaScript;PHP;Python;SQL")</f>
        <v>Assembly;Bash/Shell/PowerShell;C;HTML/CSS;Java;JavaScript;PHP;Python;SQL</v>
      </c>
      <c r="C3914" s="9" t="str">
        <f>IFERROR(__xludf.DUMMYFUNCTION("""COMPUTED_VALUE"""),"SQL")</f>
        <v>SQL</v>
      </c>
      <c r="D3914" s="9" t="str">
        <f>IFERROR(__xludf.DUMMYFUNCTION("""COMPUTED_VALUE"""),"Java")</f>
        <v>Java</v>
      </c>
      <c r="E3914" s="9" t="str">
        <f>IFERROR(__xludf.DUMMYFUNCTION("""COMPUTED_VALUE"""),"Python")</f>
        <v>Python</v>
      </c>
      <c r="F3914" s="9" t="str">
        <f>IFERROR(__xludf.DUMMYFUNCTION("""COMPUTED_VALUE"""),"TypeScript")</f>
        <v>TypeScript</v>
      </c>
      <c r="G3914" s="9" t="str">
        <f>IFERROR(__xludf.DUMMYFUNCTION("""COMPUTED_VALUE"""),"Java")</f>
        <v>Java</v>
      </c>
      <c r="H3914" s="9" t="str">
        <f>IFERROR(__xludf.DUMMYFUNCTION("""COMPUTED_VALUE"""),"SQL")</f>
        <v>SQL</v>
      </c>
      <c r="I3914" s="9" t="str">
        <f>IFERROR(__xludf.DUMMYFUNCTION("""COMPUTED_VALUE"""),"TypeScript")</f>
        <v>TypeScript</v>
      </c>
      <c r="J3914" s="9" t="str">
        <f>IFERROR(__xludf.DUMMYFUNCTION("""COMPUTED_VALUE"""),"JavaScript")</f>
        <v>JavaScript</v>
      </c>
      <c r="K3914" s="9" t="str">
        <f>IFERROR(__xludf.DUMMYFUNCTION("""COMPUTED_VALUE"""),"HTML/CSS")</f>
        <v>HTML/CSS</v>
      </c>
      <c r="L3914" s="9" t="str">
        <f>IFERROR(__xludf.DUMMYFUNCTION("""COMPUTED_VALUE"""),"Assembly")</f>
        <v>Assembly</v>
      </c>
      <c r="M3914" s="9" t="s">
        <v>27</v>
      </c>
    </row>
    <row r="3915" ht="15.75" customHeight="1">
      <c r="A3915" s="7"/>
      <c r="B3915" s="7" t="str">
        <f>IFERROR(__xludf.DUMMYFUNCTION("""COMPUTED_VALUE"""),"Bash/Shell/PowerShell;C++;HTML/CSS;JavaScript;Python;R;Rust;SQL")</f>
        <v>Bash/Shell/PowerShell;C++;HTML/CSS;JavaScript;Python;R;Rust;SQL</v>
      </c>
      <c r="C3915" s="9" t="str">
        <f>IFERROR(__xludf.DUMMYFUNCTION("""COMPUTED_VALUE"""),"VBA")</f>
        <v>VBA</v>
      </c>
      <c r="D3915" s="9" t="str">
        <f>IFERROR(__xludf.DUMMYFUNCTION("""COMPUTED_VALUE"""),"JavaScript")</f>
        <v>JavaScript</v>
      </c>
      <c r="E3915" s="9" t="str">
        <f>IFERROR(__xludf.DUMMYFUNCTION("""COMPUTED_VALUE"""),"Ruby")</f>
        <v>Ruby</v>
      </c>
      <c r="F3915" s="9" t="str">
        <f>IFERROR(__xludf.DUMMYFUNCTION("""COMPUTED_VALUE"""),"Assembly")</f>
        <v>Assembly</v>
      </c>
      <c r="G3915" s="9" t="str">
        <f>IFERROR(__xludf.DUMMYFUNCTION("""COMPUTED_VALUE"""),"Python")</f>
        <v>Python</v>
      </c>
      <c r="H3915" s="9" t="str">
        <f>IFERROR(__xludf.DUMMYFUNCTION("""COMPUTED_VALUE"""),"Assembly")</f>
        <v>Assembly</v>
      </c>
      <c r="I3915" s="9" t="str">
        <f>IFERROR(__xludf.DUMMYFUNCTION("""COMPUTED_VALUE"""),"C#")</f>
        <v>C#</v>
      </c>
      <c r="J3915" s="9" t="str">
        <f>IFERROR(__xludf.DUMMYFUNCTION("""COMPUTED_VALUE"""),"Python")</f>
        <v>Python</v>
      </c>
      <c r="K3915" s="9" t="str">
        <f>IFERROR(__xludf.DUMMYFUNCTION("""COMPUTED_VALUE"""),"JavaScript")</f>
        <v>JavaScript</v>
      </c>
      <c r="L3915" s="9" t="str">
        <f>IFERROR(__xludf.DUMMYFUNCTION("""COMPUTED_VALUE"""),"C")</f>
        <v>C</v>
      </c>
      <c r="M3915" s="9" t="s">
        <v>28</v>
      </c>
    </row>
    <row r="3916" ht="15.75" customHeight="1">
      <c r="A3916" s="7"/>
      <c r="B3916" s="7" t="str">
        <f>IFERROR(__xludf.DUMMYFUNCTION("""COMPUTED_VALUE"""),"Bash/Shell/PowerShell;HTML/CSS;Java;JavaScript;Kotlin;PHP;Ruby;SQL;TypeScript")</f>
        <v>Bash/Shell/PowerShell;HTML/CSS;Java;JavaScript;Kotlin;PHP;Ruby;SQL;TypeScript</v>
      </c>
      <c r="C3916" s="9" t="str">
        <f>IFERROR(__xludf.DUMMYFUNCTION("""COMPUTED_VALUE"""),"Other(s):")</f>
        <v>Other(s):</v>
      </c>
      <c r="D3916" s="9" t="str">
        <f>IFERROR(__xludf.DUMMYFUNCTION("""COMPUTED_VALUE"""),"PHP")</f>
        <v>PHP</v>
      </c>
      <c r="E3916" s="9" t="str">
        <f>IFERROR(__xludf.DUMMYFUNCTION("""COMPUTED_VALUE"""),"SQL")</f>
        <v>SQL</v>
      </c>
      <c r="F3916" s="9" t="str">
        <f>IFERROR(__xludf.DUMMYFUNCTION("""COMPUTED_VALUE"""),"Bash/Shell/PowerShell")</f>
        <v>Bash/Shell/PowerShell</v>
      </c>
      <c r="G3916" s="9" t="str">
        <f>IFERROR(__xludf.DUMMYFUNCTION("""COMPUTED_VALUE"""),"Scala")</f>
        <v>Scala</v>
      </c>
      <c r="H3916" s="9" t="str">
        <f>IFERROR(__xludf.DUMMYFUNCTION("""COMPUTED_VALUE"""),"Bash/Shell/PowerShell")</f>
        <v>Bash/Shell/PowerShell</v>
      </c>
      <c r="I3916" s="9" t="str">
        <f>IFERROR(__xludf.DUMMYFUNCTION("""COMPUTED_VALUE"""),"HTML/CSS")</f>
        <v>HTML/CSS</v>
      </c>
      <c r="J3916" s="9" t="str">
        <f>IFERROR(__xludf.DUMMYFUNCTION("""COMPUTED_VALUE"""),"Ruby")</f>
        <v>Ruby</v>
      </c>
      <c r="K3916" s="9" t="str">
        <f>IFERROR(__xludf.DUMMYFUNCTION("""COMPUTED_VALUE"""),"PHP")</f>
        <v>PHP</v>
      </c>
      <c r="L3916" s="9" t="str">
        <f>IFERROR(__xludf.DUMMYFUNCTION("""COMPUTED_VALUE"""),"Python")</f>
        <v>Python</v>
      </c>
      <c r="M3916" s="9" t="s">
        <v>35</v>
      </c>
    </row>
    <row r="3917" ht="15.75" customHeight="1">
      <c r="A3917" s="7"/>
      <c r="B3917" s="7" t="str">
        <f>IFERROR(__xludf.DUMMYFUNCTION("""COMPUTED_VALUE"""),"HTML/CSS;Java;Python;R")</f>
        <v>HTML/CSS;Java;Python;R</v>
      </c>
      <c r="C3917" s="9" t="str">
        <f>IFERROR(__xludf.DUMMYFUNCTION("""COMPUTED_VALUE"""),"C#")</f>
        <v>C#</v>
      </c>
      <c r="D3917" s="9" t="str">
        <f>IFERROR(__xludf.DUMMYFUNCTION("""COMPUTED_VALUE"""),"Python")</f>
        <v>Python</v>
      </c>
      <c r="E3917" s="9" t="str">
        <f>IFERROR(__xludf.DUMMYFUNCTION("""COMPUTED_VALUE"""),"Bash/Shell/PowerShell")</f>
        <v>Bash/Shell/PowerShell</v>
      </c>
      <c r="F3917" s="9" t="str">
        <f>IFERROR(__xludf.DUMMYFUNCTION("""COMPUTED_VALUE"""),"C")</f>
        <v>C</v>
      </c>
      <c r="G3917" s="9" t="str">
        <f>IFERROR(__xludf.DUMMYFUNCTION("""COMPUTED_VALUE"""),"SQL")</f>
        <v>SQL</v>
      </c>
      <c r="H3917" s="9" t="str">
        <f>IFERROR(__xludf.DUMMYFUNCTION("""COMPUTED_VALUE"""),"C")</f>
        <v>C</v>
      </c>
      <c r="I3917" s="9" t="str">
        <f>IFERROR(__xludf.DUMMYFUNCTION("""COMPUTED_VALUE"""),"JavaScript")</f>
        <v>JavaScript</v>
      </c>
      <c r="J3917" s="9" t="str">
        <f>IFERROR(__xludf.DUMMYFUNCTION("""COMPUTED_VALUE"""),"C#")</f>
        <v>C#</v>
      </c>
      <c r="K3917" s="9" t="str">
        <f>IFERROR(__xludf.DUMMYFUNCTION("""COMPUTED_VALUE"""),"Python")</f>
        <v>Python</v>
      </c>
      <c r="L3917" s="9" t="str">
        <f>IFERROR(__xludf.DUMMYFUNCTION("""COMPUTED_VALUE"""),"Rust")</f>
        <v>Rust</v>
      </c>
      <c r="M3917" s="9" t="s">
        <v>26</v>
      </c>
    </row>
    <row r="3918" ht="15.75" customHeight="1">
      <c r="A3918" s="7"/>
      <c r="B3918" s="7" t="str">
        <f>IFERROR(__xludf.DUMMYFUNCTION("""COMPUTED_VALUE"""),"C++;Python;Rust")</f>
        <v>C++;Python;Rust</v>
      </c>
      <c r="C3918" s="9" t="str">
        <f>IFERROR(__xludf.DUMMYFUNCTION("""COMPUTED_VALUE"""),"HTML/CSS")</f>
        <v>HTML/CSS</v>
      </c>
      <c r="D3918" s="9" t="str">
        <f>IFERROR(__xludf.DUMMYFUNCTION("""COMPUTED_VALUE"""),"SQL")</f>
        <v>SQL</v>
      </c>
      <c r="E3918" s="9" t="str">
        <f>IFERROR(__xludf.DUMMYFUNCTION("""COMPUTED_VALUE"""),"C#")</f>
        <v>C#</v>
      </c>
      <c r="F3918" s="9" t="str">
        <f>IFERROR(__xludf.DUMMYFUNCTION("""COMPUTED_VALUE"""),"C++")</f>
        <v>C++</v>
      </c>
      <c r="G3918" s="9" t="str">
        <f>IFERROR(__xludf.DUMMYFUNCTION("""COMPUTED_VALUE"""),"Bash/Shell/PowerShell")</f>
        <v>Bash/Shell/PowerShell</v>
      </c>
      <c r="H3918" s="9" t="str">
        <f>IFERROR(__xludf.DUMMYFUNCTION("""COMPUTED_VALUE"""),"C++")</f>
        <v>C++</v>
      </c>
      <c r="I3918" s="9" t="str">
        <f>IFERROR(__xludf.DUMMYFUNCTION("""COMPUTED_VALUE"""),"PHP")</f>
        <v>PHP</v>
      </c>
      <c r="J3918" s="9" t="str">
        <f>IFERROR(__xludf.DUMMYFUNCTION("""COMPUTED_VALUE"""),"HTML/CSS")</f>
        <v>HTML/CSS</v>
      </c>
      <c r="K3918" s="9" t="str">
        <f>IFERROR(__xludf.DUMMYFUNCTION("""COMPUTED_VALUE"""),"SQL")</f>
        <v>SQL</v>
      </c>
      <c r="L3918" s="9" t="str">
        <f>IFERROR(__xludf.DUMMYFUNCTION("""COMPUTED_VALUE"""),"Bash/Shell/PowerShell")</f>
        <v>Bash/Shell/PowerShell</v>
      </c>
      <c r="M3918" s="9" t="s">
        <v>24</v>
      </c>
    </row>
    <row r="3919" ht="15.75" customHeight="1">
      <c r="A3919" s="7"/>
      <c r="B3919" s="7" t="str">
        <f>IFERROR(__xludf.DUMMYFUNCTION("""COMPUTED_VALUE"""),"C#;F#;Ruby;SQL")</f>
        <v>C#;F#;Ruby;SQL</v>
      </c>
      <c r="C3919" s="9" t="str">
        <f>IFERROR(__xludf.DUMMYFUNCTION("""COMPUTED_VALUE"""),"JavaScript")</f>
        <v>JavaScript</v>
      </c>
      <c r="D3919" s="9" t="str">
        <f>IFERROR(__xludf.DUMMYFUNCTION("""COMPUTED_VALUE"""),"Other(s):")</f>
        <v>Other(s):</v>
      </c>
      <c r="E3919" s="9" t="str">
        <f>IFERROR(__xludf.DUMMYFUNCTION("""COMPUTED_VALUE"""),"HTML/CSS")</f>
        <v>HTML/CSS</v>
      </c>
      <c r="F3919" s="9" t="str">
        <f>IFERROR(__xludf.DUMMYFUNCTION("""COMPUTED_VALUE"""),"Java")</f>
        <v>Java</v>
      </c>
      <c r="G3919" s="9" t="str">
        <f>IFERROR(__xludf.DUMMYFUNCTION("""COMPUTED_VALUE"""),"HTML/CSS")</f>
        <v>HTML/CSS</v>
      </c>
      <c r="H3919" s="9" t="str">
        <f>IFERROR(__xludf.DUMMYFUNCTION("""COMPUTED_VALUE"""),"HTML/CSS")</f>
        <v>HTML/CSS</v>
      </c>
      <c r="I3919" s="9" t="str">
        <f>IFERROR(__xludf.DUMMYFUNCTION("""COMPUTED_VALUE"""),"TypeScript")</f>
        <v>TypeScript</v>
      </c>
      <c r="J3919" s="9" t="str">
        <f>IFERROR(__xludf.DUMMYFUNCTION("""COMPUTED_VALUE"""),"JavaScript")</f>
        <v>JavaScript</v>
      </c>
      <c r="K3919" s="9" t="str">
        <f>IFERROR(__xludf.DUMMYFUNCTION("""COMPUTED_VALUE"""),"HTML/CSS")</f>
        <v>HTML/CSS</v>
      </c>
      <c r="L3919" s="9" t="str">
        <f>IFERROR(__xludf.DUMMYFUNCTION("""COMPUTED_VALUE"""),"C")</f>
        <v>C</v>
      </c>
      <c r="M3919" s="9" t="s">
        <v>21</v>
      </c>
    </row>
    <row r="3920" ht="15.75" customHeight="1">
      <c r="A3920" s="7"/>
      <c r="B3920" s="7" t="str">
        <f>IFERROR(__xludf.DUMMYFUNCTION("""COMPUTED_VALUE"""),"HTML/CSS;Java;JavaScript;PHP;TypeScript")</f>
        <v>HTML/CSS;Java;JavaScript;PHP;TypeScript</v>
      </c>
      <c r="C3920" s="9" t="str">
        <f>IFERROR(__xludf.DUMMYFUNCTION("""COMPUTED_VALUE"""),"Python")</f>
        <v>Python</v>
      </c>
      <c r="D3920" s="9" t="str">
        <f>IFERROR(__xludf.DUMMYFUNCTION("""COMPUTED_VALUE"""),"Go")</f>
        <v>Go</v>
      </c>
      <c r="E3920" s="9" t="str">
        <f>IFERROR(__xludf.DUMMYFUNCTION("""COMPUTED_VALUE"""),"JavaScript")</f>
        <v>JavaScript</v>
      </c>
      <c r="F3920" s="9" t="str">
        <f>IFERROR(__xludf.DUMMYFUNCTION("""COMPUTED_VALUE"""),"SQL")</f>
        <v>SQL</v>
      </c>
      <c r="G3920" s="9" t="str">
        <f>IFERROR(__xludf.DUMMYFUNCTION("""COMPUTED_VALUE"""),"JavaScript")</f>
        <v>JavaScript</v>
      </c>
      <c r="H3920" s="9" t="str">
        <f>IFERROR(__xludf.DUMMYFUNCTION("""COMPUTED_VALUE"""),"Java")</f>
        <v>Java</v>
      </c>
      <c r="I3920" s="9" t="str">
        <f>IFERROR(__xludf.DUMMYFUNCTION("""COMPUTED_VALUE"""),"C")</f>
        <v>C</v>
      </c>
      <c r="J3920" s="9" t="str">
        <f>IFERROR(__xludf.DUMMYFUNCTION("""COMPUTED_VALUE"""),"SQL")</f>
        <v>SQL</v>
      </c>
      <c r="K3920" s="9" t="str">
        <f>IFERROR(__xludf.DUMMYFUNCTION("""COMPUTED_VALUE"""),"JavaScript")</f>
        <v>JavaScript</v>
      </c>
      <c r="L3920" s="9" t="str">
        <f>IFERROR(__xludf.DUMMYFUNCTION("""COMPUTED_VALUE"""),"Go")</f>
        <v>Go</v>
      </c>
      <c r="M3920" s="9" t="s">
        <v>22</v>
      </c>
    </row>
    <row r="3921" ht="15.75" customHeight="1">
      <c r="A3921" s="7"/>
      <c r="B3921" s="7" t="str">
        <f>IFERROR(__xludf.DUMMYFUNCTION("""COMPUTED_VALUE"""),"Bash/Shell/PowerShell;C;C++;HTML/CSS;Java;JavaScript;PHP;Python")</f>
        <v>Bash/Shell/PowerShell;C;C++;HTML/CSS;Java;JavaScript;PHP;Python</v>
      </c>
      <c r="C3921" s="9" t="str">
        <f>IFERROR(__xludf.DUMMYFUNCTION("""COMPUTED_VALUE"""),"R")</f>
        <v>R</v>
      </c>
      <c r="D3921" s="9" t="str">
        <f>IFERROR(__xludf.DUMMYFUNCTION("""COMPUTED_VALUE"""),"HTML/CSS")</f>
        <v>HTML/CSS</v>
      </c>
      <c r="E3921" s="9" t="str">
        <f>IFERROR(__xludf.DUMMYFUNCTION("""COMPUTED_VALUE"""),"Python")</f>
        <v>Python</v>
      </c>
      <c r="F3921" s="9" t="str">
        <f>IFERROR(__xludf.DUMMYFUNCTION("""COMPUTED_VALUE"""),"WebAssembly")</f>
        <v>WebAssembly</v>
      </c>
      <c r="G3921" s="9" t="str">
        <f>IFERROR(__xludf.DUMMYFUNCTION("""COMPUTED_VALUE"""),"PHP")</f>
        <v>PHP</v>
      </c>
      <c r="H3921" s="9" t="str">
        <f>IFERROR(__xludf.DUMMYFUNCTION("""COMPUTED_VALUE"""),"JavaScript")</f>
        <v>JavaScript</v>
      </c>
      <c r="I3921" s="9" t="str">
        <f>IFERROR(__xludf.DUMMYFUNCTION("""COMPUTED_VALUE"""),"C++")</f>
        <v>C++</v>
      </c>
      <c r="J3921" s="9" t="str">
        <f>IFERROR(__xludf.DUMMYFUNCTION("""COMPUTED_VALUE"""),"TypeScript")</f>
        <v>TypeScript</v>
      </c>
      <c r="K3921" s="9" t="str">
        <f>IFERROR(__xludf.DUMMYFUNCTION("""COMPUTED_VALUE"""),"PHP")</f>
        <v>PHP</v>
      </c>
      <c r="L3921" s="9" t="str">
        <f>IFERROR(__xludf.DUMMYFUNCTION("""COMPUTED_VALUE"""),"PHP")</f>
        <v>PHP</v>
      </c>
      <c r="M3921" s="9" t="s">
        <v>29</v>
      </c>
    </row>
    <row r="3922" ht="15.75" customHeight="1">
      <c r="A3922" s="7"/>
      <c r="B3922" s="7" t="str">
        <f>IFERROR(__xludf.DUMMYFUNCTION("""COMPUTED_VALUE"""),"Bash/Shell/PowerShell;C;C++;C#;HTML/CSS;Java;JavaScript;PHP;SQL;TypeScript")</f>
        <v>Bash/Shell/PowerShell;C;C++;C#;HTML/CSS;Java;JavaScript;PHP;SQL;TypeScript</v>
      </c>
      <c r="C3922" s="9" t="str">
        <f>IFERROR(__xludf.DUMMYFUNCTION("""COMPUTED_VALUE"""),"SQL")</f>
        <v>SQL</v>
      </c>
      <c r="D3922" s="9" t="str">
        <f>IFERROR(__xludf.DUMMYFUNCTION("""COMPUTED_VALUE"""),"Java")</f>
        <v>Java</v>
      </c>
      <c r="E3922" s="9" t="str">
        <f>IFERROR(__xludf.DUMMYFUNCTION("""COMPUTED_VALUE"""),"R")</f>
        <v>R</v>
      </c>
      <c r="F3922" s="9" t="str">
        <f>IFERROR(__xludf.DUMMYFUNCTION("""COMPUTED_VALUE"""),"Java")</f>
        <v>Java</v>
      </c>
      <c r="G3922" s="9" t="str">
        <f>IFERROR(__xludf.DUMMYFUNCTION("""COMPUTED_VALUE"""),"Python")</f>
        <v>Python</v>
      </c>
      <c r="H3922" s="9" t="str">
        <f>IFERROR(__xludf.DUMMYFUNCTION("""COMPUTED_VALUE"""),"Python")</f>
        <v>Python</v>
      </c>
      <c r="I3922" s="9" t="str">
        <f>IFERROR(__xludf.DUMMYFUNCTION("""COMPUTED_VALUE"""),"C#")</f>
        <v>C#</v>
      </c>
      <c r="J3922" s="9" t="str">
        <f>IFERROR(__xludf.DUMMYFUNCTION("""COMPUTED_VALUE"""),"Bash/Shell/PowerShell")</f>
        <v>Bash/Shell/PowerShell</v>
      </c>
      <c r="K3922" s="9" t="str">
        <f>IFERROR(__xludf.DUMMYFUNCTION("""COMPUTED_VALUE"""),"SQL")</f>
        <v>SQL</v>
      </c>
      <c r="L3922" s="9" t="str">
        <f>IFERROR(__xludf.DUMMYFUNCTION("""COMPUTED_VALUE"""),"Python")</f>
        <v>Python</v>
      </c>
      <c r="M3922" s="9" t="s">
        <v>27</v>
      </c>
    </row>
    <row r="3923" ht="15.75" customHeight="1">
      <c r="A3923" s="7"/>
      <c r="B3923" s="7" t="str">
        <f>IFERROR(__xludf.DUMMYFUNCTION("""COMPUTED_VALUE"""),"HTML/CSS;JavaScript;PHP;SQL;TypeScript;WebAssembly")</f>
        <v>HTML/CSS;JavaScript;PHP;SQL;TypeScript;WebAssembly</v>
      </c>
      <c r="C3923" s="9" t="str">
        <f>IFERROR(__xludf.DUMMYFUNCTION("""COMPUTED_VALUE"""),"C#")</f>
        <v>C#</v>
      </c>
      <c r="D3923" s="9" t="str">
        <f>IFERROR(__xludf.DUMMYFUNCTION("""COMPUTED_VALUE"""),"JavaScript")</f>
        <v>JavaScript</v>
      </c>
      <c r="E3923" s="9" t="str">
        <f>IFERROR(__xludf.DUMMYFUNCTION("""COMPUTED_VALUE"""),"SQL")</f>
        <v>SQL</v>
      </c>
      <c r="F3923" s="9" t="str">
        <f>IFERROR(__xludf.DUMMYFUNCTION("""COMPUTED_VALUE"""),"Bash/Shell/PowerShell")</f>
        <v>Bash/Shell/PowerShell</v>
      </c>
      <c r="G3923" s="9" t="str">
        <f>IFERROR(__xludf.DUMMYFUNCTION("""COMPUTED_VALUE"""),"SQL")</f>
        <v>SQL</v>
      </c>
      <c r="H3923" s="9" t="str">
        <f>IFERROR(__xludf.DUMMYFUNCTION("""COMPUTED_VALUE"""),"SQL")</f>
        <v>SQL</v>
      </c>
      <c r="I3923" s="9" t="str">
        <f>IFERROR(__xludf.DUMMYFUNCTION("""COMPUTED_VALUE"""),"HTML/CSS")</f>
        <v>HTML/CSS</v>
      </c>
      <c r="J3923" s="9" t="str">
        <f>IFERROR(__xludf.DUMMYFUNCTION("""COMPUTED_VALUE"""),"Python")</f>
        <v>Python</v>
      </c>
      <c r="K3923" s="9" t="str">
        <f>IFERROR(__xludf.DUMMYFUNCTION("""COMPUTED_VALUE"""),"Other(s):")</f>
        <v>Other(s):</v>
      </c>
      <c r="L3923" s="9" t="str">
        <f>IFERROR(__xludf.DUMMYFUNCTION("""COMPUTED_VALUE"""),"SQL")</f>
        <v>SQL</v>
      </c>
      <c r="M3923" s="9" t="s">
        <v>26</v>
      </c>
    </row>
    <row r="3924" ht="15.75" customHeight="1">
      <c r="A3924" s="7"/>
      <c r="B3924" s="7" t="str">
        <f>IFERROR(__xludf.DUMMYFUNCTION("""COMPUTED_VALUE"""),"Assembly;Bash/Shell/PowerShell;C;C++;HTML/CSS;Java;JavaScript;Objective-C;PHP;Python;SQL")</f>
        <v>Assembly;Bash/Shell/PowerShell;C;C++;HTML/CSS;Java;JavaScript;Objective-C;PHP;Python;SQL</v>
      </c>
      <c r="C3924" s="9" t="str">
        <f>IFERROR(__xludf.DUMMYFUNCTION("""COMPUTED_VALUE"""),"HTML/CSS")</f>
        <v>HTML/CSS</v>
      </c>
      <c r="D3924" s="9" t="str">
        <f>IFERROR(__xludf.DUMMYFUNCTION("""COMPUTED_VALUE"""),"PHP")</f>
        <v>PHP</v>
      </c>
      <c r="E3924" s="9" t="str">
        <f>IFERROR(__xludf.DUMMYFUNCTION("""COMPUTED_VALUE"""),"JavaScript")</f>
        <v>JavaScript</v>
      </c>
      <c r="F3924" s="9" t="str">
        <f>IFERROR(__xludf.DUMMYFUNCTION("""COMPUTED_VALUE"""),"C")</f>
        <v>C</v>
      </c>
      <c r="G3924" s="9" t="str">
        <f>IFERROR(__xludf.DUMMYFUNCTION("""COMPUTED_VALUE"""),"TypeScript")</f>
        <v>TypeScript</v>
      </c>
      <c r="H3924" s="9" t="str">
        <f>IFERROR(__xludf.DUMMYFUNCTION("""COMPUTED_VALUE"""),"C#")</f>
        <v>C#</v>
      </c>
      <c r="I3924" s="9" t="str">
        <f>IFERROR(__xludf.DUMMYFUNCTION("""COMPUTED_VALUE"""),"Java")</f>
        <v>Java</v>
      </c>
      <c r="J3924" s="9" t="str">
        <f>IFERROR(__xludf.DUMMYFUNCTION("""COMPUTED_VALUE"""),"Ruby")</f>
        <v>Ruby</v>
      </c>
      <c r="K3924" s="9" t="str">
        <f>IFERROR(__xludf.DUMMYFUNCTION("""COMPUTED_VALUE"""),"C#")</f>
        <v>C#</v>
      </c>
      <c r="L3924" s="9" t="str">
        <f>IFERROR(__xludf.DUMMYFUNCTION("""COMPUTED_VALUE"""),"Other(s):")</f>
        <v>Other(s):</v>
      </c>
      <c r="M3924" s="9" t="s">
        <v>24</v>
      </c>
    </row>
    <row r="3925" ht="15.75" customHeight="1">
      <c r="A3925" s="7"/>
      <c r="B3925" s="7" t="str">
        <f>IFERROR(__xludf.DUMMYFUNCTION("""COMPUTED_VALUE"""),"C;C++;C#;HTML/CSS;JavaScript;SQL;TypeScript;VBA")</f>
        <v>C;C++;C#;HTML/CSS;JavaScript;SQL;TypeScript;VBA</v>
      </c>
      <c r="C3925" s="9" t="str">
        <f>IFERROR(__xludf.DUMMYFUNCTION("""COMPUTED_VALUE"""),"JavaScript")</f>
        <v>JavaScript</v>
      </c>
      <c r="D3925" s="9" t="str">
        <f>IFERROR(__xludf.DUMMYFUNCTION("""COMPUTED_VALUE"""),"SQL")</f>
        <v>SQL</v>
      </c>
      <c r="E3925" s="9" t="str">
        <f>IFERROR(__xludf.DUMMYFUNCTION("""COMPUTED_VALUE"""),"TypeScript")</f>
        <v>TypeScript</v>
      </c>
      <c r="F3925" s="9" t="str">
        <f>IFERROR(__xludf.DUMMYFUNCTION("""COMPUTED_VALUE"""),"HTML/CSS")</f>
        <v>HTML/CSS</v>
      </c>
      <c r="G3925" s="9" t="str">
        <f>IFERROR(__xludf.DUMMYFUNCTION("""COMPUTED_VALUE"""),"HTML/CSS")</f>
        <v>HTML/CSS</v>
      </c>
      <c r="H3925" s="9" t="str">
        <f>IFERROR(__xludf.DUMMYFUNCTION("""COMPUTED_VALUE"""),"Java")</f>
        <v>Java</v>
      </c>
      <c r="I3925" s="9" t="str">
        <f>IFERROR(__xludf.DUMMYFUNCTION("""COMPUTED_VALUE"""),"JavaScript")</f>
        <v>JavaScript</v>
      </c>
      <c r="J3925" s="9" t="str">
        <f>IFERROR(__xludf.DUMMYFUNCTION("""COMPUTED_VALUE"""),"C")</f>
        <v>C</v>
      </c>
      <c r="K3925" s="9" t="str">
        <f>IFERROR(__xludf.DUMMYFUNCTION("""COMPUTED_VALUE"""),"HTML/CSS")</f>
        <v>HTML/CSS</v>
      </c>
      <c r="L3925" s="9" t="str">
        <f>IFERROR(__xludf.DUMMYFUNCTION("""COMPUTED_VALUE"""),"C#")</f>
        <v>C#</v>
      </c>
      <c r="M3925" s="9" t="s">
        <v>21</v>
      </c>
    </row>
    <row r="3926" ht="15.75" customHeight="1">
      <c r="A3926" s="7"/>
      <c r="B3926" s="7" t="str">
        <f>IFERROR(__xludf.DUMMYFUNCTION("""COMPUTED_VALUE"""),"Bash/Shell/PowerShell;C#;Dart;Elixir;Erlang;Go;HTML/CSS;JavaScript;Python;Rust;TypeScript")</f>
        <v>Bash/Shell/PowerShell;C#;Dart;Elixir;Erlang;Go;HTML/CSS;JavaScript;Python;Rust;TypeScript</v>
      </c>
      <c r="C3926" s="9" t="str">
        <f>IFERROR(__xludf.DUMMYFUNCTION("""COMPUTED_VALUE"""),"SQL")</f>
        <v>SQL</v>
      </c>
      <c r="D3926" s="9" t="str">
        <f>IFERROR(__xludf.DUMMYFUNCTION("""COMPUTED_VALUE"""),"Bash/Shell/PowerShell")</f>
        <v>Bash/Shell/PowerShell</v>
      </c>
      <c r="E3926" s="9" t="str">
        <f>IFERROR(__xludf.DUMMYFUNCTION("""COMPUTED_VALUE"""),"C")</f>
        <v>C</v>
      </c>
      <c r="F3926" s="9" t="str">
        <f>IFERROR(__xludf.DUMMYFUNCTION("""COMPUTED_VALUE"""),"Objective-C")</f>
        <v>Objective-C</v>
      </c>
      <c r="G3926" s="9" t="str">
        <f>IFERROR(__xludf.DUMMYFUNCTION("""COMPUTED_VALUE"""),"Java")</f>
        <v>Java</v>
      </c>
      <c r="H3926" s="9" t="str">
        <f>IFERROR(__xludf.DUMMYFUNCTION("""COMPUTED_VALUE"""),"JavaScript")</f>
        <v>JavaScript</v>
      </c>
      <c r="I3926" s="9" t="str">
        <f>IFERROR(__xludf.DUMMYFUNCTION("""COMPUTED_VALUE"""),"PHP")</f>
        <v>PHP</v>
      </c>
      <c r="J3926" s="9" t="str">
        <f>IFERROR(__xludf.DUMMYFUNCTION("""COMPUTED_VALUE"""),"C++")</f>
        <v>C++</v>
      </c>
      <c r="K3926" s="9" t="str">
        <f>IFERROR(__xludf.DUMMYFUNCTION("""COMPUTED_VALUE"""),"Java")</f>
        <v>Java</v>
      </c>
      <c r="L3926" s="9" t="str">
        <f>IFERROR(__xludf.DUMMYFUNCTION("""COMPUTED_VALUE"""),"HTML/CSS")</f>
        <v>HTML/CSS</v>
      </c>
      <c r="M3926" s="9" t="s">
        <v>27</v>
      </c>
    </row>
    <row r="3927" ht="15.75" customHeight="1">
      <c r="A3927" s="7"/>
      <c r="B3927" s="7" t="str">
        <f>IFERROR(__xludf.DUMMYFUNCTION("""COMPUTED_VALUE"""),"HTML/CSS;JavaScript;PHP;TypeScript;Other(s):")</f>
        <v>HTML/CSS;JavaScript;PHP;TypeScript;Other(s):</v>
      </c>
      <c r="C3927" s="9" t="str">
        <f>IFERROR(__xludf.DUMMYFUNCTION("""COMPUTED_VALUE"""),"HTML/CSS")</f>
        <v>HTML/CSS</v>
      </c>
      <c r="D3927" s="9" t="str">
        <f>IFERROR(__xludf.DUMMYFUNCTION("""COMPUTED_VALUE"""),"HTML/CSS")</f>
        <v>HTML/CSS</v>
      </c>
      <c r="E3927" s="9" t="str">
        <f>IFERROR(__xludf.DUMMYFUNCTION("""COMPUTED_VALUE"""),"HTML/CSS")</f>
        <v>HTML/CSS</v>
      </c>
      <c r="F3927" s="9" t="str">
        <f>IFERROR(__xludf.DUMMYFUNCTION("""COMPUTED_VALUE"""),"Swift")</f>
        <v>Swift</v>
      </c>
      <c r="G3927" s="9" t="str">
        <f>IFERROR(__xludf.DUMMYFUNCTION("""COMPUTED_VALUE"""),"JavaScript")</f>
        <v>JavaScript</v>
      </c>
      <c r="H3927" s="9" t="str">
        <f>IFERROR(__xludf.DUMMYFUNCTION("""COMPUTED_VALUE"""),"Kotlin")</f>
        <v>Kotlin</v>
      </c>
      <c r="I3927" s="9" t="str">
        <f>IFERROR(__xludf.DUMMYFUNCTION("""COMPUTED_VALUE"""),"SQL")</f>
        <v>SQL</v>
      </c>
      <c r="J3927" s="9" t="str">
        <f>IFERROR(__xludf.DUMMYFUNCTION("""COMPUTED_VALUE"""),"C#")</f>
        <v>C#</v>
      </c>
      <c r="K3927" s="9" t="str">
        <f>IFERROR(__xludf.DUMMYFUNCTION("""COMPUTED_VALUE"""),"JavaScript")</f>
        <v>JavaScript</v>
      </c>
      <c r="L3927" s="9" t="str">
        <f>IFERROR(__xludf.DUMMYFUNCTION("""COMPUTED_VALUE"""),"JavaScript")</f>
        <v>JavaScript</v>
      </c>
      <c r="M3927" s="9" t="s">
        <v>24</v>
      </c>
    </row>
    <row r="3928" ht="15.75" customHeight="1">
      <c r="A3928" s="7"/>
      <c r="B3928" s="7" t="str">
        <f>IFERROR(__xludf.DUMMYFUNCTION("""COMPUTED_VALUE"""),"HTML/CSS;Java;JavaScript;PHP;SQL")</f>
        <v>HTML/CSS;Java;JavaScript;PHP;SQL</v>
      </c>
      <c r="C3928" s="9" t="str">
        <f>IFERROR(__xludf.DUMMYFUNCTION("""COMPUTED_VALUE"""),"JavaScript")</f>
        <v>JavaScript</v>
      </c>
      <c r="D3928" s="9" t="str">
        <f>IFERROR(__xludf.DUMMYFUNCTION("""COMPUTED_VALUE"""),"JavaScript")</f>
        <v>JavaScript</v>
      </c>
      <c r="E3928" s="9" t="str">
        <f>IFERROR(__xludf.DUMMYFUNCTION("""COMPUTED_VALUE"""),"Java")</f>
        <v>Java</v>
      </c>
      <c r="F3928" s="9" t="str">
        <f>IFERROR(__xludf.DUMMYFUNCTION("""COMPUTED_VALUE"""),"C")</f>
        <v>C</v>
      </c>
      <c r="G3928" s="9" t="str">
        <f>IFERROR(__xludf.DUMMYFUNCTION("""COMPUTED_VALUE"""),"PHP")</f>
        <v>PHP</v>
      </c>
      <c r="H3928" s="9" t="str">
        <f>IFERROR(__xludf.DUMMYFUNCTION("""COMPUTED_VALUE"""),"SQL")</f>
        <v>SQL</v>
      </c>
      <c r="I3928" s="9" t="str">
        <f>IFERROR(__xludf.DUMMYFUNCTION("""COMPUTED_VALUE"""),"Bash/Shell/PowerShell")</f>
        <v>Bash/Shell/PowerShell</v>
      </c>
      <c r="J3928" s="9" t="str">
        <f>IFERROR(__xludf.DUMMYFUNCTION("""COMPUTED_VALUE"""),"HTML/CSS")</f>
        <v>HTML/CSS</v>
      </c>
      <c r="K3928" s="9" t="str">
        <f>IFERROR(__xludf.DUMMYFUNCTION("""COMPUTED_VALUE"""),"Kotlin")</f>
        <v>Kotlin</v>
      </c>
      <c r="L3928" s="9" t="str">
        <f>IFERROR(__xludf.DUMMYFUNCTION("""COMPUTED_VALUE"""),"SQL")</f>
        <v>SQL</v>
      </c>
      <c r="M3928" s="9" t="s">
        <v>21</v>
      </c>
    </row>
    <row r="3929" ht="15.75" customHeight="1">
      <c r="A3929" s="7"/>
      <c r="B3929" s="7" t="str">
        <f>IFERROR(__xludf.DUMMYFUNCTION("""COMPUTED_VALUE"""),"C#;HTML/CSS;JavaScript;TypeScript")</f>
        <v>C#;HTML/CSS;JavaScript;TypeScript</v>
      </c>
      <c r="C3929" s="9" t="str">
        <f>IFERROR(__xludf.DUMMYFUNCTION("""COMPUTED_VALUE"""),"Java")</f>
        <v>Java</v>
      </c>
      <c r="D3929" s="9" t="str">
        <f>IFERROR(__xludf.DUMMYFUNCTION("""COMPUTED_VALUE"""),"Objective-C")</f>
        <v>Objective-C</v>
      </c>
      <c r="E3929" s="9" t="str">
        <f>IFERROR(__xludf.DUMMYFUNCTION("""COMPUTED_VALUE"""),"JavaScript")</f>
        <v>JavaScript</v>
      </c>
      <c r="F3929" s="9" t="str">
        <f>IFERROR(__xludf.DUMMYFUNCTION("""COMPUTED_VALUE"""),"C++")</f>
        <v>C++</v>
      </c>
      <c r="G3929" s="9" t="str">
        <f>IFERROR(__xludf.DUMMYFUNCTION("""COMPUTED_VALUE"""),"Python")</f>
        <v>Python</v>
      </c>
      <c r="H3929" s="9" t="str">
        <f>IFERROR(__xludf.DUMMYFUNCTION("""COMPUTED_VALUE"""),"TypeScript")</f>
        <v>TypeScript</v>
      </c>
      <c r="I3929" s="9" t="str">
        <f>IFERROR(__xludf.DUMMYFUNCTION("""COMPUTED_VALUE"""),"HTML/CSS")</f>
        <v>HTML/CSS</v>
      </c>
      <c r="J3929" s="9" t="str">
        <f>IFERROR(__xludf.DUMMYFUNCTION("""COMPUTED_VALUE"""),"Java")</f>
        <v>Java</v>
      </c>
      <c r="K3929" s="9" t="str">
        <f>IFERROR(__xludf.DUMMYFUNCTION("""COMPUTED_VALUE"""),"SQL")</f>
        <v>SQL</v>
      </c>
      <c r="L3929" s="9" t="str">
        <f>IFERROR(__xludf.DUMMYFUNCTION("""COMPUTED_VALUE"""),"Python")</f>
        <v>Python</v>
      </c>
      <c r="M3929" s="9" t="s">
        <v>20</v>
      </c>
    </row>
    <row r="3930" ht="15.75" customHeight="1">
      <c r="A3930" s="7"/>
      <c r="B3930" s="7" t="str">
        <f>IFERROR(__xludf.DUMMYFUNCTION("""COMPUTED_VALUE"""),"C;C++;HTML/CSS;Java;Objective-C;Swift")</f>
        <v>C;C++;HTML/CSS;Java;Objective-C;Swift</v>
      </c>
      <c r="C3930" s="9" t="str">
        <f>IFERROR(__xludf.DUMMYFUNCTION("""COMPUTED_VALUE"""),"C")</f>
        <v>C</v>
      </c>
      <c r="D3930" s="9" t="str">
        <f>IFERROR(__xludf.DUMMYFUNCTION("""COMPUTED_VALUE"""),"PHP")</f>
        <v>PHP</v>
      </c>
      <c r="E3930" s="9" t="str">
        <f>IFERROR(__xludf.DUMMYFUNCTION("""COMPUTED_VALUE"""),"Python")</f>
        <v>Python</v>
      </c>
      <c r="F3930" s="9" t="str">
        <f>IFERROR(__xludf.DUMMYFUNCTION("""COMPUTED_VALUE"""),"C#")</f>
        <v>C#</v>
      </c>
      <c r="G3930" s="9" t="str">
        <f>IFERROR(__xludf.DUMMYFUNCTION("""COMPUTED_VALUE"""),"Ruby")</f>
        <v>Ruby</v>
      </c>
      <c r="H3930" s="9" t="str">
        <f>IFERROR(__xludf.DUMMYFUNCTION("""COMPUTED_VALUE"""),"Bash/Shell/PowerShell")</f>
        <v>Bash/Shell/PowerShell</v>
      </c>
      <c r="I3930" s="9" t="str">
        <f>IFERROR(__xludf.DUMMYFUNCTION("""COMPUTED_VALUE"""),"JavaScript")</f>
        <v>JavaScript</v>
      </c>
      <c r="J3930" s="9" t="str">
        <f>IFERROR(__xludf.DUMMYFUNCTION("""COMPUTED_VALUE"""),"JavaScript")</f>
        <v>JavaScript</v>
      </c>
      <c r="K3930" s="9" t="str">
        <f>IFERROR(__xludf.DUMMYFUNCTION("""COMPUTED_VALUE"""),"VBA")</f>
        <v>VBA</v>
      </c>
      <c r="L3930" s="9" t="str">
        <f>IFERROR(__xludf.DUMMYFUNCTION("""COMPUTED_VALUE"""),"SQL")</f>
        <v>SQL</v>
      </c>
      <c r="M3930" s="9" t="s">
        <v>25</v>
      </c>
    </row>
    <row r="3931" ht="15.75" customHeight="1">
      <c r="A3931" s="7"/>
      <c r="B3931" s="7" t="str">
        <f>IFERROR(__xludf.DUMMYFUNCTION("""COMPUTED_VALUE"""),"C;C++;HTML/CSS")</f>
        <v>C;C++;HTML/CSS</v>
      </c>
      <c r="C3931" s="9" t="str">
        <f>IFERROR(__xludf.DUMMYFUNCTION("""COMPUTED_VALUE"""),"C++")</f>
        <v>C++</v>
      </c>
      <c r="D3931" s="9" t="str">
        <f>IFERROR(__xludf.DUMMYFUNCTION("""COMPUTED_VALUE"""),"Ruby")</f>
        <v>Ruby</v>
      </c>
      <c r="E3931" s="9" t="str">
        <f>IFERROR(__xludf.DUMMYFUNCTION("""COMPUTED_VALUE"""),"SQL")</f>
        <v>SQL</v>
      </c>
      <c r="F3931" s="9" t="str">
        <f>IFERROR(__xludf.DUMMYFUNCTION("""COMPUTED_VALUE"""),"Dart")</f>
        <v>Dart</v>
      </c>
      <c r="G3931" s="9" t="str">
        <f>IFERROR(__xludf.DUMMYFUNCTION("""COMPUTED_VALUE"""),"SQL")</f>
        <v>SQL</v>
      </c>
      <c r="H3931" s="9" t="str">
        <f>IFERROR(__xludf.DUMMYFUNCTION("""COMPUTED_VALUE"""),"SQL")</f>
        <v>SQL</v>
      </c>
      <c r="I3931" s="9" t="str">
        <f>IFERROR(__xludf.DUMMYFUNCTION("""COMPUTED_VALUE"""),"PHP")</f>
        <v>PHP</v>
      </c>
      <c r="J3931" s="9" t="str">
        <f>IFERROR(__xludf.DUMMYFUNCTION("""COMPUTED_VALUE"""),"Objective-C")</f>
        <v>Objective-C</v>
      </c>
      <c r="K3931" s="9" t="str">
        <f>IFERROR(__xludf.DUMMYFUNCTION("""COMPUTED_VALUE"""),"Bash/Shell/PowerShell")</f>
        <v>Bash/Shell/PowerShell</v>
      </c>
      <c r="L3931" s="9" t="str">
        <f>IFERROR(__xludf.DUMMYFUNCTION("""COMPUTED_VALUE"""),"C++")</f>
        <v>C++</v>
      </c>
      <c r="M3931" s="9" t="s">
        <v>23</v>
      </c>
    </row>
    <row r="3932" ht="15.75" customHeight="1">
      <c r="A3932" s="7"/>
      <c r="B3932" s="7" t="str">
        <f>IFERROR(__xludf.DUMMYFUNCTION("""COMPUTED_VALUE"""),"HTML/CSS;JavaScript;PHP;SQL;TypeScript")</f>
        <v>HTML/CSS;JavaScript;PHP;SQL;TypeScript</v>
      </c>
      <c r="C3932" s="9" t="str">
        <f>IFERROR(__xludf.DUMMYFUNCTION("""COMPUTED_VALUE"""),"Python")</f>
        <v>Python</v>
      </c>
      <c r="D3932" s="9" t="str">
        <f>IFERROR(__xludf.DUMMYFUNCTION("""COMPUTED_VALUE"""),"SQL")</f>
        <v>SQL</v>
      </c>
      <c r="E3932" s="9" t="str">
        <f>IFERROR(__xludf.DUMMYFUNCTION("""COMPUTED_VALUE"""),"C#")</f>
        <v>C#</v>
      </c>
      <c r="F3932" s="9" t="str">
        <f>IFERROR(__xludf.DUMMYFUNCTION("""COMPUTED_VALUE"""),"HTML/CSS")</f>
        <v>HTML/CSS</v>
      </c>
      <c r="G3932" s="9" t="str">
        <f>IFERROR(__xludf.DUMMYFUNCTION("""COMPUTED_VALUE"""),"TypeScript")</f>
        <v>TypeScript</v>
      </c>
      <c r="H3932" s="9" t="str">
        <f>IFERROR(__xludf.DUMMYFUNCTION("""COMPUTED_VALUE"""),"C#")</f>
        <v>C#</v>
      </c>
      <c r="I3932" s="9" t="str">
        <f>IFERROR(__xludf.DUMMYFUNCTION("""COMPUTED_VALUE"""),"Ruby")</f>
        <v>Ruby</v>
      </c>
      <c r="J3932" s="9" t="str">
        <f>IFERROR(__xludf.DUMMYFUNCTION("""COMPUTED_VALUE"""),"PHP")</f>
        <v>PHP</v>
      </c>
      <c r="K3932" s="9" t="str">
        <f>IFERROR(__xludf.DUMMYFUNCTION("""COMPUTED_VALUE"""),"C")</f>
        <v>C</v>
      </c>
      <c r="L3932" s="9" t="str">
        <f>IFERROR(__xludf.DUMMYFUNCTION("""COMPUTED_VALUE"""),"JavaScript")</f>
        <v>JavaScript</v>
      </c>
      <c r="M3932" s="9" t="s">
        <v>22</v>
      </c>
    </row>
    <row r="3933" ht="15.75" customHeight="1">
      <c r="A3933" s="7"/>
      <c r="B3933" s="7" t="str">
        <f>IFERROR(__xludf.DUMMYFUNCTION("""COMPUTED_VALUE"""),"HTML/CSS;Java;JavaScript;SQL")</f>
        <v>HTML/CSS;Java;JavaScript;SQL</v>
      </c>
      <c r="C3933" s="9" t="str">
        <f>IFERROR(__xludf.DUMMYFUNCTION("""COMPUTED_VALUE"""),"JavaScript")</f>
        <v>JavaScript</v>
      </c>
      <c r="D3933" s="9" t="str">
        <f>IFERROR(__xludf.DUMMYFUNCTION("""COMPUTED_VALUE"""),"Swift")</f>
        <v>Swift</v>
      </c>
      <c r="E3933" s="9" t="str">
        <f>IFERROR(__xludf.DUMMYFUNCTION("""COMPUTED_VALUE"""),"Java")</f>
        <v>Java</v>
      </c>
      <c r="F3933" s="9" t="str">
        <f>IFERROR(__xludf.DUMMYFUNCTION("""COMPUTED_VALUE"""),"Java")</f>
        <v>Java</v>
      </c>
      <c r="G3933" s="9" t="str">
        <f>IFERROR(__xludf.DUMMYFUNCTION("""COMPUTED_VALUE"""),"JavaScript")</f>
        <v>JavaScript</v>
      </c>
      <c r="H3933" s="9" t="str">
        <f>IFERROR(__xludf.DUMMYFUNCTION("""COMPUTED_VALUE"""),"HTML/CSS")</f>
        <v>HTML/CSS</v>
      </c>
      <c r="I3933" s="9" t="str">
        <f>IFERROR(__xludf.DUMMYFUNCTION("""COMPUTED_VALUE"""),"SQL")</f>
        <v>SQL</v>
      </c>
      <c r="J3933" s="9" t="str">
        <f>IFERROR(__xludf.DUMMYFUNCTION("""COMPUTED_VALUE"""),"Python")</f>
        <v>Python</v>
      </c>
      <c r="K3933" s="9" t="str">
        <f>IFERROR(__xludf.DUMMYFUNCTION("""COMPUTED_VALUE"""),"C++")</f>
        <v>C++</v>
      </c>
      <c r="L3933" s="9" t="str">
        <f>IFERROR(__xludf.DUMMYFUNCTION("""COMPUTED_VALUE"""),"Python")</f>
        <v>Python</v>
      </c>
      <c r="M3933" s="9" t="s">
        <v>21</v>
      </c>
    </row>
    <row r="3934" ht="15.75" customHeight="1">
      <c r="A3934" s="7"/>
      <c r="B3934" s="7" t="str">
        <f>IFERROR(__xludf.DUMMYFUNCTION("""COMPUTED_VALUE"""),"C;C++;HTML/CSS;Python")</f>
        <v>C;C++;HTML/CSS;Python</v>
      </c>
      <c r="C3934" s="9" t="str">
        <f>IFERROR(__xludf.DUMMYFUNCTION("""COMPUTED_VALUE"""),"PHP")</f>
        <v>PHP</v>
      </c>
      <c r="D3934" s="9" t="str">
        <f>IFERROR(__xludf.DUMMYFUNCTION("""COMPUTED_VALUE"""),"Python")</f>
        <v>Python</v>
      </c>
      <c r="E3934" s="9" t="str">
        <f>IFERROR(__xludf.DUMMYFUNCTION("""COMPUTED_VALUE"""),"Kotlin")</f>
        <v>Kotlin</v>
      </c>
      <c r="F3934" s="9" t="str">
        <f>IFERROR(__xludf.DUMMYFUNCTION("""COMPUTED_VALUE"""),"JavaScript")</f>
        <v>JavaScript</v>
      </c>
      <c r="G3934" s="9" t="str">
        <f>IFERROR(__xludf.DUMMYFUNCTION("""COMPUTED_VALUE"""),"Other(s):")</f>
        <v>Other(s):</v>
      </c>
      <c r="H3934" s="9" t="str">
        <f>IFERROR(__xludf.DUMMYFUNCTION("""COMPUTED_VALUE"""),"Java")</f>
        <v>Java</v>
      </c>
      <c r="I3934" s="9" t="str">
        <f>IFERROR(__xludf.DUMMYFUNCTION("""COMPUTED_VALUE"""),"Bash/Shell/PowerShell")</f>
        <v>Bash/Shell/PowerShell</v>
      </c>
      <c r="J3934" s="9" t="str">
        <f>IFERROR(__xludf.DUMMYFUNCTION("""COMPUTED_VALUE"""),"SQL")</f>
        <v>SQL</v>
      </c>
      <c r="K3934" s="9" t="str">
        <f>IFERROR(__xludf.DUMMYFUNCTION("""COMPUTED_VALUE"""),"C#")</f>
        <v>C#</v>
      </c>
      <c r="L3934" s="9" t="str">
        <f>IFERROR(__xludf.DUMMYFUNCTION("""COMPUTED_VALUE"""),"Ruby")</f>
        <v>Ruby</v>
      </c>
      <c r="M3934" s="9" t="s">
        <v>37</v>
      </c>
    </row>
    <row r="3935" ht="15.75" customHeight="1">
      <c r="A3935" s="7"/>
      <c r="B3935" s="7" t="str">
        <f>IFERROR(__xludf.DUMMYFUNCTION("""COMPUTED_VALUE"""),"HTML/CSS;Java;JavaScript;SQL;TypeScript")</f>
        <v>HTML/CSS;Java;JavaScript;SQL;TypeScript</v>
      </c>
      <c r="C3935" s="9" t="str">
        <f>IFERROR(__xludf.DUMMYFUNCTION("""COMPUTED_VALUE"""),"SQL")</f>
        <v>SQL</v>
      </c>
      <c r="D3935" s="9" t="str">
        <f>IFERROR(__xludf.DUMMYFUNCTION("""COMPUTED_VALUE"""),"SQL")</f>
        <v>SQL</v>
      </c>
      <c r="E3935" s="9" t="str">
        <f>IFERROR(__xludf.DUMMYFUNCTION("""COMPUTED_VALUE"""),"Objective-C")</f>
        <v>Objective-C</v>
      </c>
      <c r="F3935" s="9" t="str">
        <f>IFERROR(__xludf.DUMMYFUNCTION("""COMPUTED_VALUE"""),"Kotlin")</f>
        <v>Kotlin</v>
      </c>
      <c r="G3935" s="9" t="str">
        <f>IFERROR(__xludf.DUMMYFUNCTION("""COMPUTED_VALUE"""),"C#")</f>
        <v>C#</v>
      </c>
      <c r="H3935" s="9" t="str">
        <f>IFERROR(__xludf.DUMMYFUNCTION("""COMPUTED_VALUE"""),"JavaScript")</f>
        <v>JavaScript</v>
      </c>
      <c r="I3935" s="9" t="str">
        <f>IFERROR(__xludf.DUMMYFUNCTION("""COMPUTED_VALUE"""),"C#")</f>
        <v>C#</v>
      </c>
      <c r="J3935" s="9" t="str">
        <f>IFERROR(__xludf.DUMMYFUNCTION("""COMPUTED_VALUE"""),"HTML/CSS")</f>
        <v>HTML/CSS</v>
      </c>
      <c r="K3935" s="9" t="str">
        <f>IFERROR(__xludf.DUMMYFUNCTION("""COMPUTED_VALUE"""),"SQL")</f>
        <v>SQL</v>
      </c>
      <c r="L3935" s="9" t="str">
        <f>IFERROR(__xludf.DUMMYFUNCTION("""COMPUTED_VALUE"""),"HTML/CSS")</f>
        <v>HTML/CSS</v>
      </c>
      <c r="M3935" s="9" t="s">
        <v>27</v>
      </c>
    </row>
    <row r="3936" ht="15.75" customHeight="1">
      <c r="A3936" s="7"/>
      <c r="B3936" s="7" t="str">
        <f>IFERROR(__xludf.DUMMYFUNCTION("""COMPUTED_VALUE"""),"Bash/Shell/PowerShell;C#;Go;HTML/CSS;JavaScript;Python;SQL;TypeScript")</f>
        <v>Bash/Shell/PowerShell;C#;Go;HTML/CSS;JavaScript;Python;SQL;TypeScript</v>
      </c>
      <c r="C3936" s="9" t="str">
        <f>IFERROR(__xludf.DUMMYFUNCTION("""COMPUTED_VALUE"""),"HTML/CSS")</f>
        <v>HTML/CSS</v>
      </c>
      <c r="D3936" s="9" t="str">
        <f>IFERROR(__xludf.DUMMYFUNCTION("""COMPUTED_VALUE"""),"VBA")</f>
        <v>VBA</v>
      </c>
      <c r="E3936" s="9" t="str">
        <f>IFERROR(__xludf.DUMMYFUNCTION("""COMPUTED_VALUE"""),"Python")</f>
        <v>Python</v>
      </c>
      <c r="F3936" s="9" t="str">
        <f>IFERROR(__xludf.DUMMYFUNCTION("""COMPUTED_VALUE"""),"Python")</f>
        <v>Python</v>
      </c>
      <c r="G3936" s="9" t="str">
        <f>IFERROR(__xludf.DUMMYFUNCTION("""COMPUTED_VALUE"""),"Java")</f>
        <v>Java</v>
      </c>
      <c r="H3936" s="9" t="str">
        <f>IFERROR(__xludf.DUMMYFUNCTION("""COMPUTED_VALUE"""),"SQL")</f>
        <v>SQL</v>
      </c>
      <c r="I3936" s="9" t="str">
        <f>IFERROR(__xludf.DUMMYFUNCTION("""COMPUTED_VALUE"""),"HTML/CSS")</f>
        <v>HTML/CSS</v>
      </c>
      <c r="J3936" s="9" t="str">
        <f>IFERROR(__xludf.DUMMYFUNCTION("""COMPUTED_VALUE"""),"Java")</f>
        <v>Java</v>
      </c>
      <c r="K3936" s="9" t="str">
        <f>IFERROR(__xludf.DUMMYFUNCTION("""COMPUTED_VALUE"""),"HTML/CSS")</f>
        <v>HTML/CSS</v>
      </c>
      <c r="L3936" s="9" t="str">
        <f>IFERROR(__xludf.DUMMYFUNCTION("""COMPUTED_VALUE"""),"JavaScript")</f>
        <v>JavaScript</v>
      </c>
      <c r="M3936" s="9" t="s">
        <v>24</v>
      </c>
    </row>
    <row r="3937" ht="15.75" customHeight="1">
      <c r="A3937" s="7"/>
      <c r="B3937" s="7" t="str">
        <f>IFERROR(__xludf.DUMMYFUNCTION("""COMPUTED_VALUE"""),"HTML/CSS;Java;JavaScript")</f>
        <v>HTML/CSS;Java;JavaScript</v>
      </c>
      <c r="C3937" s="9" t="str">
        <f>IFERROR(__xludf.DUMMYFUNCTION("""COMPUTED_VALUE"""),"Java")</f>
        <v>Java</v>
      </c>
      <c r="D3937" s="9" t="str">
        <f>IFERROR(__xludf.DUMMYFUNCTION("""COMPUTED_VALUE"""),"Java")</f>
        <v>Java</v>
      </c>
      <c r="E3937" s="9" t="str">
        <f>IFERROR(__xludf.DUMMYFUNCTION("""COMPUTED_VALUE"""),"SQL")</f>
        <v>SQL</v>
      </c>
      <c r="F3937" s="9" t="str">
        <f>IFERROR(__xludf.DUMMYFUNCTION("""COMPUTED_VALUE"""),"TypeScript")</f>
        <v>TypeScript</v>
      </c>
      <c r="G3937" s="9" t="str">
        <f>IFERROR(__xludf.DUMMYFUNCTION("""COMPUTED_VALUE"""),"Kotlin")</f>
        <v>Kotlin</v>
      </c>
      <c r="H3937" s="9" t="str">
        <f>IFERROR(__xludf.DUMMYFUNCTION("""COMPUTED_VALUE"""),"HTML/CSS")</f>
        <v>HTML/CSS</v>
      </c>
      <c r="I3937" s="9" t="str">
        <f>IFERROR(__xludf.DUMMYFUNCTION("""COMPUTED_VALUE"""),"JavaScript")</f>
        <v>JavaScript</v>
      </c>
      <c r="J3937" s="9" t="str">
        <f>IFERROR(__xludf.DUMMYFUNCTION("""COMPUTED_VALUE"""),"JavaScript")</f>
        <v>JavaScript</v>
      </c>
      <c r="K3937" s="9" t="str">
        <f>IFERROR(__xludf.DUMMYFUNCTION("""COMPUTED_VALUE"""),"Java")</f>
        <v>Java</v>
      </c>
      <c r="L3937" s="9" t="str">
        <f>IFERROR(__xludf.DUMMYFUNCTION("""COMPUTED_VALUE"""),"PHP")</f>
        <v>PHP</v>
      </c>
      <c r="M3937" s="9" t="s">
        <v>20</v>
      </c>
    </row>
    <row r="3938" ht="15.75" customHeight="1">
      <c r="A3938" s="7"/>
      <c r="B3938" s="7" t="str">
        <f>IFERROR(__xludf.DUMMYFUNCTION("""COMPUTED_VALUE"""),"C#;HTML/CSS;JavaScript;SQL;TypeScript")</f>
        <v>C#;HTML/CSS;JavaScript;SQL;TypeScript</v>
      </c>
      <c r="C3938" s="9" t="str">
        <f>IFERROR(__xludf.DUMMYFUNCTION("""COMPUTED_VALUE"""),"JavaScript")</f>
        <v>JavaScript</v>
      </c>
      <c r="D3938" s="9" t="str">
        <f>IFERROR(__xludf.DUMMYFUNCTION("""COMPUTED_VALUE"""),"Kotlin")</f>
        <v>Kotlin</v>
      </c>
      <c r="E3938" s="9" t="str">
        <f>IFERROR(__xludf.DUMMYFUNCTION("""COMPUTED_VALUE"""),"Swift")</f>
        <v>Swift</v>
      </c>
      <c r="F3938" s="9" t="str">
        <f>IFERROR(__xludf.DUMMYFUNCTION("""COMPUTED_VALUE"""),"HTML/CSS")</f>
        <v>HTML/CSS</v>
      </c>
      <c r="G3938" s="9" t="str">
        <f>IFERROR(__xludf.DUMMYFUNCTION("""COMPUTED_VALUE"""),"Objective-C")</f>
        <v>Objective-C</v>
      </c>
      <c r="H3938" s="9" t="str">
        <f>IFERROR(__xludf.DUMMYFUNCTION("""COMPUTED_VALUE"""),"JavaScript")</f>
        <v>JavaScript</v>
      </c>
      <c r="I3938" s="9" t="str">
        <f>IFERROR(__xludf.DUMMYFUNCTION("""COMPUTED_VALUE"""),"Python")</f>
        <v>Python</v>
      </c>
      <c r="J3938" s="9" t="str">
        <f>IFERROR(__xludf.DUMMYFUNCTION("""COMPUTED_VALUE"""),"Kotlin")</f>
        <v>Kotlin</v>
      </c>
      <c r="K3938" s="9" t="str">
        <f>IFERROR(__xludf.DUMMYFUNCTION("""COMPUTED_VALUE"""),"JavaScript")</f>
        <v>JavaScript</v>
      </c>
      <c r="L3938" s="9" t="str">
        <f>IFERROR(__xludf.DUMMYFUNCTION("""COMPUTED_VALUE"""),"SQL")</f>
        <v>SQL</v>
      </c>
      <c r="M3938" s="9" t="s">
        <v>21</v>
      </c>
    </row>
    <row r="3939" ht="15.75" customHeight="1">
      <c r="A3939" s="7"/>
      <c r="B3939" s="7" t="str">
        <f>IFERROR(__xludf.DUMMYFUNCTION("""COMPUTED_VALUE"""),"Bash/Shell/PowerShell;C;C++;JavaScript;Objective-C;R;Ruby;Swift")</f>
        <v>Bash/Shell/PowerShell;C;C++;JavaScript;Objective-C;R;Ruby;Swift</v>
      </c>
      <c r="C3939" s="9" t="str">
        <f>IFERROR(__xludf.DUMMYFUNCTION("""COMPUTED_VALUE"""),"SQL")</f>
        <v>SQL</v>
      </c>
      <c r="D3939" s="9" t="str">
        <f>IFERROR(__xludf.DUMMYFUNCTION("""COMPUTED_VALUE"""),"Assembly")</f>
        <v>Assembly</v>
      </c>
      <c r="E3939" s="9" t="str">
        <f>IFERROR(__xludf.DUMMYFUNCTION("""COMPUTED_VALUE"""),"C#")</f>
        <v>C#</v>
      </c>
      <c r="F3939" s="9" t="str">
        <f>IFERROR(__xludf.DUMMYFUNCTION("""COMPUTED_VALUE"""),"JavaScript")</f>
        <v>JavaScript</v>
      </c>
      <c r="G3939" s="9" t="str">
        <f>IFERROR(__xludf.DUMMYFUNCTION("""COMPUTED_VALUE"""),"SQL")</f>
        <v>SQL</v>
      </c>
      <c r="H3939" s="9" t="str">
        <f>IFERROR(__xludf.DUMMYFUNCTION("""COMPUTED_VALUE"""),"Rust")</f>
        <v>Rust</v>
      </c>
      <c r="I3939" s="9" t="str">
        <f>IFERROR(__xludf.DUMMYFUNCTION("""COMPUTED_VALUE"""),"R")</f>
        <v>R</v>
      </c>
      <c r="J3939" s="9" t="str">
        <f>IFERROR(__xludf.DUMMYFUNCTION("""COMPUTED_VALUE"""),"Swift")</f>
        <v>Swift</v>
      </c>
      <c r="K3939" s="9" t="str">
        <f>IFERROR(__xludf.DUMMYFUNCTION("""COMPUTED_VALUE"""),"SQL")</f>
        <v>SQL</v>
      </c>
      <c r="L3939" s="9" t="str">
        <f>IFERROR(__xludf.DUMMYFUNCTION("""COMPUTED_VALUE"""),"TypeScript")</f>
        <v>TypeScript</v>
      </c>
      <c r="M3939" s="9" t="s">
        <v>27</v>
      </c>
    </row>
    <row r="3940" ht="15.75" customHeight="1">
      <c r="A3940" s="7"/>
      <c r="B3940" s="7" t="str">
        <f>IFERROR(__xludf.DUMMYFUNCTION("""COMPUTED_VALUE"""),"Bash/Shell/PowerShell;Go;HTML/CSS;JavaScript;PHP;Python;Ruby;Rust;SQL;TypeScript")</f>
        <v>Bash/Shell/PowerShell;Go;HTML/CSS;JavaScript;PHP;Python;Ruby;Rust;SQL;TypeScript</v>
      </c>
      <c r="C3940" s="9" t="str">
        <f>IFERROR(__xludf.DUMMYFUNCTION("""COMPUTED_VALUE"""),"Bash/Shell/PowerShell")</f>
        <v>Bash/Shell/PowerShell</v>
      </c>
      <c r="D3940" s="9" t="str">
        <f>IFERROR(__xludf.DUMMYFUNCTION("""COMPUTED_VALUE"""),"Bash/Shell/PowerShell")</f>
        <v>Bash/Shell/PowerShell</v>
      </c>
      <c r="E3940" s="9" t="str">
        <f>IFERROR(__xludf.DUMMYFUNCTION("""COMPUTED_VALUE"""),"JavaScript")</f>
        <v>JavaScript</v>
      </c>
      <c r="F3940" s="9" t="str">
        <f>IFERROR(__xludf.DUMMYFUNCTION("""COMPUTED_VALUE"""),"PHP")</f>
        <v>PHP</v>
      </c>
      <c r="G3940" s="9" t="str">
        <f>IFERROR(__xludf.DUMMYFUNCTION("""COMPUTED_VALUE"""),"Swift")</f>
        <v>Swift</v>
      </c>
      <c r="H3940" s="9" t="str">
        <f>IFERROR(__xludf.DUMMYFUNCTION("""COMPUTED_VALUE"""),"Bash/Shell/PowerShell")</f>
        <v>Bash/Shell/PowerShell</v>
      </c>
      <c r="I3940" s="9" t="str">
        <f>IFERROR(__xludf.DUMMYFUNCTION("""COMPUTED_VALUE"""),"SQL")</f>
        <v>SQL</v>
      </c>
      <c r="J3940" s="9" t="str">
        <f>IFERROR(__xludf.DUMMYFUNCTION("""COMPUTED_VALUE"""),"Bash/Shell/PowerShell")</f>
        <v>Bash/Shell/PowerShell</v>
      </c>
      <c r="K3940" s="9" t="str">
        <f>IFERROR(__xludf.DUMMYFUNCTION("""COMPUTED_VALUE"""),"TypeScript")</f>
        <v>TypeScript</v>
      </c>
      <c r="L3940" s="9" t="str">
        <f>IFERROR(__xludf.DUMMYFUNCTION("""COMPUTED_VALUE"""),"Bash/Shell/PowerShell")</f>
        <v>Bash/Shell/PowerShell</v>
      </c>
      <c r="M3940" s="9" t="s">
        <v>30</v>
      </c>
    </row>
    <row r="3941" ht="15.75" customHeight="1">
      <c r="A3941" s="7"/>
      <c r="B3941" s="7" t="str">
        <f>IFERROR(__xludf.DUMMYFUNCTION("""COMPUTED_VALUE"""),"Bash/Shell/PowerShell;Python")</f>
        <v>Bash/Shell/PowerShell;Python</v>
      </c>
      <c r="C3941" s="9" t="str">
        <f>IFERROR(__xludf.DUMMYFUNCTION("""COMPUTED_VALUE"""),"C#")</f>
        <v>C#</v>
      </c>
      <c r="D3941" s="9" t="str">
        <f>IFERROR(__xludf.DUMMYFUNCTION("""COMPUTED_VALUE"""),"JavaScript")</f>
        <v>JavaScript</v>
      </c>
      <c r="E3941" s="9" t="str">
        <f>IFERROR(__xludf.DUMMYFUNCTION("""COMPUTED_VALUE"""),"SQL")</f>
        <v>SQL</v>
      </c>
      <c r="F3941" s="9" t="str">
        <f>IFERROR(__xludf.DUMMYFUNCTION("""COMPUTED_VALUE"""),"C++")</f>
        <v>C++</v>
      </c>
      <c r="G3941" s="9" t="str">
        <f>IFERROR(__xludf.DUMMYFUNCTION("""COMPUTED_VALUE"""),"Bash/Shell/PowerShell")</f>
        <v>Bash/Shell/PowerShell</v>
      </c>
      <c r="H3941" s="9" t="str">
        <f>IFERROR(__xludf.DUMMYFUNCTION("""COMPUTED_VALUE"""),"Clojure")</f>
        <v>Clojure</v>
      </c>
      <c r="I3941" s="9" t="str">
        <f>IFERROR(__xludf.DUMMYFUNCTION("""COMPUTED_VALUE"""),"TypeScript")</f>
        <v>TypeScript</v>
      </c>
      <c r="J3941" s="9" t="str">
        <f>IFERROR(__xludf.DUMMYFUNCTION("""COMPUTED_VALUE"""),"HTML/CSS")</f>
        <v>HTML/CSS</v>
      </c>
      <c r="K3941" s="9" t="str">
        <f>IFERROR(__xludf.DUMMYFUNCTION("""COMPUTED_VALUE"""),"Bash/Shell/PowerShell")</f>
        <v>Bash/Shell/PowerShell</v>
      </c>
      <c r="L3941" s="9" t="str">
        <f>IFERROR(__xludf.DUMMYFUNCTION("""COMPUTED_VALUE"""),"C++")</f>
        <v>C++</v>
      </c>
      <c r="M3941" s="9" t="s">
        <v>26</v>
      </c>
    </row>
    <row r="3942" ht="15.75" customHeight="1">
      <c r="A3942" s="7"/>
      <c r="B3942" s="7" t="str">
        <f>IFERROR(__xludf.DUMMYFUNCTION("""COMPUTED_VALUE"""),"Java;Kotlin")</f>
        <v>Java;Kotlin</v>
      </c>
      <c r="C3942" s="9" t="str">
        <f>IFERROR(__xludf.DUMMYFUNCTION("""COMPUTED_VALUE"""),"HTML/CSS")</f>
        <v>HTML/CSS</v>
      </c>
      <c r="D3942" s="9" t="str">
        <f>IFERROR(__xludf.DUMMYFUNCTION("""COMPUTED_VALUE"""),"Python")</f>
        <v>Python</v>
      </c>
      <c r="E3942" s="9" t="str">
        <f>IFERROR(__xludf.DUMMYFUNCTION("""COMPUTED_VALUE"""),"TypeScript")</f>
        <v>TypeScript</v>
      </c>
      <c r="F3942" s="9" t="str">
        <f>IFERROR(__xludf.DUMMYFUNCTION("""COMPUTED_VALUE"""),"C#")</f>
        <v>C#</v>
      </c>
      <c r="G3942" s="9" t="str">
        <f>IFERROR(__xludf.DUMMYFUNCTION("""COMPUTED_VALUE"""),"HTML/CSS")</f>
        <v>HTML/CSS</v>
      </c>
      <c r="H3942" s="9" t="str">
        <f>IFERROR(__xludf.DUMMYFUNCTION("""COMPUTED_VALUE"""),"HTML/CSS")</f>
        <v>HTML/CSS</v>
      </c>
      <c r="I3942" s="9" t="str">
        <f>IFERROR(__xludf.DUMMYFUNCTION("""COMPUTED_VALUE"""),"Bash/Shell/PowerShell")</f>
        <v>Bash/Shell/PowerShell</v>
      </c>
      <c r="J3942" s="9" t="str">
        <f>IFERROR(__xludf.DUMMYFUNCTION("""COMPUTED_VALUE"""),"JavaScript")</f>
        <v>JavaScript</v>
      </c>
      <c r="K3942" s="9" t="str">
        <f>IFERROR(__xludf.DUMMYFUNCTION("""COMPUTED_VALUE"""),"HTML/CSS")</f>
        <v>HTML/CSS</v>
      </c>
      <c r="L3942" s="9" t="str">
        <f>IFERROR(__xludf.DUMMYFUNCTION("""COMPUTED_VALUE"""),"HTML/CSS")</f>
        <v>HTML/CSS</v>
      </c>
      <c r="M3942" s="9" t="s">
        <v>24</v>
      </c>
    </row>
    <row r="3943" ht="15.75" customHeight="1">
      <c r="A3943" s="7"/>
      <c r="B3943" s="7" t="str">
        <f>IFERROR(__xludf.DUMMYFUNCTION("""COMPUTED_VALUE"""),"Assembly;Bash/Shell/PowerShell;C;C++;Elixir;Erlang;Go;HTML/CSS;JavaScript;Python;R;Rust;SQL")</f>
        <v>Assembly;Bash/Shell/PowerShell;C;C++;Elixir;Erlang;Go;HTML/CSS;JavaScript;Python;R;Rust;SQL</v>
      </c>
      <c r="C3943" s="9" t="str">
        <f>IFERROR(__xludf.DUMMYFUNCTION("""COMPUTED_VALUE"""),"JavaScript")</f>
        <v>JavaScript</v>
      </c>
      <c r="D3943" s="9" t="str">
        <f>IFERROR(__xludf.DUMMYFUNCTION("""COMPUTED_VALUE"""),"C#")</f>
        <v>C#</v>
      </c>
      <c r="E3943" s="9" t="str">
        <f>IFERROR(__xludf.DUMMYFUNCTION("""COMPUTED_VALUE"""),"VBA")</f>
        <v>VBA</v>
      </c>
      <c r="F3943" s="9" t="str">
        <f>IFERROR(__xludf.DUMMYFUNCTION("""COMPUTED_VALUE"""),"HTML/CSS")</f>
        <v>HTML/CSS</v>
      </c>
      <c r="G3943" s="9" t="str">
        <f>IFERROR(__xludf.DUMMYFUNCTION("""COMPUTED_VALUE"""),"Java")</f>
        <v>Java</v>
      </c>
      <c r="H3943" s="9" t="str">
        <f>IFERROR(__xludf.DUMMYFUNCTION("""COMPUTED_VALUE"""),"Java")</f>
        <v>Java</v>
      </c>
      <c r="I3943" s="9" t="str">
        <f>IFERROR(__xludf.DUMMYFUNCTION("""COMPUTED_VALUE"""),"C")</f>
        <v>C</v>
      </c>
      <c r="J3943" s="9" t="str">
        <f>IFERROR(__xludf.DUMMYFUNCTION("""COMPUTED_VALUE"""),"Bash/Shell/PowerShell")</f>
        <v>Bash/Shell/PowerShell</v>
      </c>
      <c r="K3943" s="9" t="str">
        <f>IFERROR(__xludf.DUMMYFUNCTION("""COMPUTED_VALUE"""),"JavaScript")</f>
        <v>JavaScript</v>
      </c>
      <c r="L3943" s="9" t="str">
        <f>IFERROR(__xludf.DUMMYFUNCTION("""COMPUTED_VALUE"""),"JavaScript")</f>
        <v>JavaScript</v>
      </c>
      <c r="M3943" s="9" t="s">
        <v>21</v>
      </c>
    </row>
    <row r="3944" ht="15.75" customHeight="1">
      <c r="A3944" s="7"/>
      <c r="B3944" s="7" t="str">
        <f>IFERROR(__xludf.DUMMYFUNCTION("""COMPUTED_VALUE"""),"Bash/Shell/PowerShell;C++;HTML/CSS;JavaScript;Python;SQL")</f>
        <v>Bash/Shell/PowerShell;C++;HTML/CSS;JavaScript;Python;SQL</v>
      </c>
      <c r="C3944" s="9" t="str">
        <f>IFERROR(__xludf.DUMMYFUNCTION("""COMPUTED_VALUE"""),"PHP")</f>
        <v>PHP</v>
      </c>
      <c r="D3944" s="9" t="str">
        <f>IFERROR(__xludf.DUMMYFUNCTION("""COMPUTED_VALUE"""),"HTML/CSS")</f>
        <v>HTML/CSS</v>
      </c>
      <c r="E3944" s="9" t="str">
        <f>IFERROR(__xludf.DUMMYFUNCTION("""COMPUTED_VALUE"""),"C#")</f>
        <v>C#</v>
      </c>
      <c r="F3944" s="9" t="str">
        <f>IFERROR(__xludf.DUMMYFUNCTION("""COMPUTED_VALUE"""),"JavaScript")</f>
        <v>JavaScript</v>
      </c>
      <c r="G3944" s="9" t="str">
        <f>IFERROR(__xludf.DUMMYFUNCTION("""COMPUTED_VALUE"""),"JavaScript")</f>
        <v>JavaScript</v>
      </c>
      <c r="H3944" s="9" t="str">
        <f>IFERROR(__xludf.DUMMYFUNCTION("""COMPUTED_VALUE"""),"JavaScript")</f>
        <v>JavaScript</v>
      </c>
      <c r="I3944" s="9" t="str">
        <f>IFERROR(__xludf.DUMMYFUNCTION("""COMPUTED_VALUE"""),"HTML/CSS")</f>
        <v>HTML/CSS</v>
      </c>
      <c r="J3944" s="9" t="str">
        <f>IFERROR(__xludf.DUMMYFUNCTION("""COMPUTED_VALUE"""),"C")</f>
        <v>C</v>
      </c>
      <c r="K3944" s="9" t="str">
        <f>IFERROR(__xludf.DUMMYFUNCTION("""COMPUTED_VALUE"""),"Python")</f>
        <v>Python</v>
      </c>
      <c r="L3944" s="9" t="str">
        <f>IFERROR(__xludf.DUMMYFUNCTION("""COMPUTED_VALUE"""),"Python")</f>
        <v>Python</v>
      </c>
      <c r="M3944" s="9" t="s">
        <v>37</v>
      </c>
    </row>
    <row r="3945" ht="15.75" customHeight="1">
      <c r="A3945" s="7"/>
      <c r="B3945" s="7" t="str">
        <f>IFERROR(__xludf.DUMMYFUNCTION("""COMPUTED_VALUE"""),"Bash/Shell/PowerShell;HTML/CSS;Java;JavaScript;Kotlin;TypeScript")</f>
        <v>Bash/Shell/PowerShell;HTML/CSS;Java;JavaScript;Kotlin;TypeScript</v>
      </c>
      <c r="C3945" s="9" t="str">
        <f>IFERROR(__xludf.DUMMYFUNCTION("""COMPUTED_VALUE"""),"SQL")</f>
        <v>SQL</v>
      </c>
      <c r="D3945" s="9" t="str">
        <f>IFERROR(__xludf.DUMMYFUNCTION("""COMPUTED_VALUE"""),"JavaScript")</f>
        <v>JavaScript</v>
      </c>
      <c r="E3945" s="9" t="str">
        <f>IFERROR(__xludf.DUMMYFUNCTION("""COMPUTED_VALUE"""),"F#")</f>
        <v>F#</v>
      </c>
      <c r="F3945" s="9" t="str">
        <f>IFERROR(__xludf.DUMMYFUNCTION("""COMPUTED_VALUE"""),"Python")</f>
        <v>Python</v>
      </c>
      <c r="G3945" s="9" t="str">
        <f>IFERROR(__xludf.DUMMYFUNCTION("""COMPUTED_VALUE"""),"PHP")</f>
        <v>PHP</v>
      </c>
      <c r="H3945" s="9" t="str">
        <f>IFERROR(__xludf.DUMMYFUNCTION("""COMPUTED_VALUE"""),"SQL")</f>
        <v>SQL</v>
      </c>
      <c r="I3945" s="9" t="str">
        <f>IFERROR(__xludf.DUMMYFUNCTION("""COMPUTED_VALUE"""),"Java")</f>
        <v>Java</v>
      </c>
      <c r="J3945" s="9" t="str">
        <f>IFERROR(__xludf.DUMMYFUNCTION("""COMPUTED_VALUE"""),"C++")</f>
        <v>C++</v>
      </c>
      <c r="K3945" s="9" t="str">
        <f>IFERROR(__xludf.DUMMYFUNCTION("""COMPUTED_VALUE"""),"SQL")</f>
        <v>SQL</v>
      </c>
      <c r="L3945" s="9" t="str">
        <f>IFERROR(__xludf.DUMMYFUNCTION("""COMPUTED_VALUE"""),"TypeScript")</f>
        <v>TypeScript</v>
      </c>
      <c r="M3945" s="9" t="s">
        <v>27</v>
      </c>
    </row>
    <row r="3946" ht="15.75" customHeight="1">
      <c r="A3946" s="7"/>
      <c r="B3946" s="7" t="str">
        <f>IFERROR(__xludf.DUMMYFUNCTION("""COMPUTED_VALUE"""),"HTML/CSS;Java;JavaScript;PHP;Python;SQL")</f>
        <v>HTML/CSS;Java;JavaScript;PHP;Python;SQL</v>
      </c>
      <c r="C3946" s="9" t="str">
        <f>IFERROR(__xludf.DUMMYFUNCTION("""COMPUTED_VALUE"""),"Assembly")</f>
        <v>Assembly</v>
      </c>
      <c r="D3946" s="9" t="str">
        <f>IFERROR(__xludf.DUMMYFUNCTION("""COMPUTED_VALUE"""),"PHP")</f>
        <v>PHP</v>
      </c>
      <c r="E3946" s="9" t="str">
        <f>IFERROR(__xludf.DUMMYFUNCTION("""COMPUTED_VALUE"""),"Bash/Shell/PowerShell")</f>
        <v>Bash/Shell/PowerShell</v>
      </c>
      <c r="F3946" s="9" t="str">
        <f>IFERROR(__xludf.DUMMYFUNCTION("""COMPUTED_VALUE"""),"Bash/Shell/PowerShell")</f>
        <v>Bash/Shell/PowerShell</v>
      </c>
      <c r="G3946" s="9" t="str">
        <f>IFERROR(__xludf.DUMMYFUNCTION("""COMPUTED_VALUE"""),"SQL")</f>
        <v>SQL</v>
      </c>
      <c r="H3946" s="9" t="str">
        <f>IFERROR(__xludf.DUMMYFUNCTION("""COMPUTED_VALUE"""),"C++")</f>
        <v>C++</v>
      </c>
      <c r="I3946" s="9" t="str">
        <f>IFERROR(__xludf.DUMMYFUNCTION("""COMPUTED_VALUE"""),"JavaScript")</f>
        <v>JavaScript</v>
      </c>
      <c r="J3946" s="9" t="str">
        <f>IFERROR(__xludf.DUMMYFUNCTION("""COMPUTED_VALUE"""),"HTML/CSS")</f>
        <v>HTML/CSS</v>
      </c>
      <c r="K3946" s="9" t="str">
        <f>IFERROR(__xludf.DUMMYFUNCTION("""COMPUTED_VALUE"""),"Swift")</f>
        <v>Swift</v>
      </c>
      <c r="L3946" s="9" t="str">
        <f>IFERROR(__xludf.DUMMYFUNCTION("""COMPUTED_VALUE"""),"Java")</f>
        <v>Java</v>
      </c>
      <c r="M3946" s="9" t="s">
        <v>38</v>
      </c>
    </row>
    <row r="3947" ht="15.75" customHeight="1">
      <c r="A3947" s="7"/>
      <c r="B3947" s="7" t="str">
        <f>IFERROR(__xludf.DUMMYFUNCTION("""COMPUTED_VALUE"""),"Bash/Shell/PowerShell;HTML/CSS;Java;JavaScript;PHP;Ruby;SQL")</f>
        <v>Bash/Shell/PowerShell;HTML/CSS;Java;JavaScript;PHP;Ruby;SQL</v>
      </c>
      <c r="C3947" s="9" t="str">
        <f>IFERROR(__xludf.DUMMYFUNCTION("""COMPUTED_VALUE"""),"Bash/Shell/PowerShell")</f>
        <v>Bash/Shell/PowerShell</v>
      </c>
      <c r="D3947" s="9" t="str">
        <f>IFERROR(__xludf.DUMMYFUNCTION("""COMPUTED_VALUE"""),"SQL")</f>
        <v>SQL</v>
      </c>
      <c r="E3947" s="9" t="str">
        <f>IFERROR(__xludf.DUMMYFUNCTION("""COMPUTED_VALUE"""),"HTML/CSS")</f>
        <v>HTML/CSS</v>
      </c>
      <c r="F3947" s="9" t="str">
        <f>IFERROR(__xludf.DUMMYFUNCTION("""COMPUTED_VALUE"""),"HTML/CSS")</f>
        <v>HTML/CSS</v>
      </c>
      <c r="G3947" s="9" t="str">
        <f>IFERROR(__xludf.DUMMYFUNCTION("""COMPUTED_VALUE"""),"Swift")</f>
        <v>Swift</v>
      </c>
      <c r="H3947" s="9" t="str">
        <f>IFERROR(__xludf.DUMMYFUNCTION("""COMPUTED_VALUE"""),"HTML/CSS")</f>
        <v>HTML/CSS</v>
      </c>
      <c r="I3947" s="9" t="str">
        <f>IFERROR(__xludf.DUMMYFUNCTION("""COMPUTED_VALUE"""),"Python")</f>
        <v>Python</v>
      </c>
      <c r="J3947" s="9" t="str">
        <f>IFERROR(__xludf.DUMMYFUNCTION("""COMPUTED_VALUE"""),"Java")</f>
        <v>Java</v>
      </c>
      <c r="K3947" s="9" t="str">
        <f>IFERROR(__xludf.DUMMYFUNCTION("""COMPUTED_VALUE"""),"TypeScript")</f>
        <v>TypeScript</v>
      </c>
      <c r="L3947" s="9" t="str">
        <f>IFERROR(__xludf.DUMMYFUNCTION("""COMPUTED_VALUE"""),"JavaScript")</f>
        <v>JavaScript</v>
      </c>
      <c r="M3947" s="9" t="s">
        <v>30</v>
      </c>
    </row>
    <row r="3948" ht="15.75" customHeight="1">
      <c r="A3948" s="7"/>
      <c r="B3948" s="7" t="str">
        <f>IFERROR(__xludf.DUMMYFUNCTION("""COMPUTED_VALUE"""),"HTML/CSS;Java;SQL")</f>
        <v>HTML/CSS;Java;SQL</v>
      </c>
      <c r="C3948" s="9" t="str">
        <f>IFERROR(__xludf.DUMMYFUNCTION("""COMPUTED_VALUE"""),"C")</f>
        <v>C</v>
      </c>
      <c r="D3948" s="9" t="str">
        <f>IFERROR(__xludf.DUMMYFUNCTION("""COMPUTED_VALUE"""),"TypeScript")</f>
        <v>TypeScript</v>
      </c>
      <c r="E3948" s="9" t="str">
        <f>IFERROR(__xludf.DUMMYFUNCTION("""COMPUTED_VALUE"""),"JavaScript")</f>
        <v>JavaScript</v>
      </c>
      <c r="F3948" s="9" t="str">
        <f>IFERROR(__xludf.DUMMYFUNCTION("""COMPUTED_VALUE"""),"JavaScript")</f>
        <v>JavaScript</v>
      </c>
      <c r="G3948" s="9" t="str">
        <f>IFERROR(__xludf.DUMMYFUNCTION("""COMPUTED_VALUE"""),"Other(s):")</f>
        <v>Other(s):</v>
      </c>
      <c r="H3948" s="9" t="str">
        <f>IFERROR(__xludf.DUMMYFUNCTION("""COMPUTED_VALUE"""),"Java")</f>
        <v>Java</v>
      </c>
      <c r="I3948" s="9" t="str">
        <f>IFERROR(__xludf.DUMMYFUNCTION("""COMPUTED_VALUE"""),"SQL")</f>
        <v>SQL</v>
      </c>
      <c r="J3948" s="9" t="str">
        <f>IFERROR(__xludf.DUMMYFUNCTION("""COMPUTED_VALUE"""),"JavaScript")</f>
        <v>JavaScript</v>
      </c>
      <c r="K3948" s="9" t="str">
        <f>IFERROR(__xludf.DUMMYFUNCTION("""COMPUTED_VALUE"""),"C#")</f>
        <v>C#</v>
      </c>
      <c r="L3948" s="9" t="str">
        <f>IFERROR(__xludf.DUMMYFUNCTION("""COMPUTED_VALUE"""),"SQL")</f>
        <v>SQL</v>
      </c>
      <c r="M3948" s="9" t="s">
        <v>25</v>
      </c>
    </row>
    <row r="3949" ht="15.75" customHeight="1">
      <c r="A3949" s="7"/>
      <c r="B3949" s="7" t="str">
        <f>IFERROR(__xludf.DUMMYFUNCTION("""COMPUTED_VALUE"""),"Bash/Shell/PowerShell;Java;Kotlin;SQL")</f>
        <v>Bash/Shell/PowerShell;Java;Kotlin;SQL</v>
      </c>
      <c r="C3949" s="9" t="str">
        <f>IFERROR(__xludf.DUMMYFUNCTION("""COMPUTED_VALUE"""),"C++")</f>
        <v>C++</v>
      </c>
      <c r="D3949" s="9" t="str">
        <f>IFERROR(__xludf.DUMMYFUNCTION("""COMPUTED_VALUE"""),"HTML/CSS")</f>
        <v>HTML/CSS</v>
      </c>
      <c r="E3949" s="9" t="str">
        <f>IFERROR(__xludf.DUMMYFUNCTION("""COMPUTED_VALUE"""),"C")</f>
        <v>C</v>
      </c>
      <c r="F3949" s="9" t="str">
        <f>IFERROR(__xludf.DUMMYFUNCTION("""COMPUTED_VALUE"""),"Ruby")</f>
        <v>Ruby</v>
      </c>
      <c r="G3949" s="9" t="str">
        <f>IFERROR(__xludf.DUMMYFUNCTION("""COMPUTED_VALUE"""),"Python")</f>
        <v>Python</v>
      </c>
      <c r="H3949" s="9" t="str">
        <f>IFERROR(__xludf.DUMMYFUNCTION("""COMPUTED_VALUE"""),"JavaScript")</f>
        <v>JavaScript</v>
      </c>
      <c r="I3949" s="9" t="str">
        <f>IFERROR(__xludf.DUMMYFUNCTION("""COMPUTED_VALUE"""),"Bash/Shell/PowerShell")</f>
        <v>Bash/Shell/PowerShell</v>
      </c>
      <c r="J3949" s="9" t="str">
        <f>IFERROR(__xludf.DUMMYFUNCTION("""COMPUTED_VALUE"""),"PHP")</f>
        <v>PHP</v>
      </c>
      <c r="K3949" s="9" t="str">
        <f>IFERROR(__xludf.DUMMYFUNCTION("""COMPUTED_VALUE"""),"JavaScript")</f>
        <v>JavaScript</v>
      </c>
      <c r="L3949" s="9" t="str">
        <f>IFERROR(__xludf.DUMMYFUNCTION("""COMPUTED_VALUE"""),"C#")</f>
        <v>C#</v>
      </c>
      <c r="M3949" s="9" t="s">
        <v>23</v>
      </c>
    </row>
    <row r="3950" ht="15.75" customHeight="1">
      <c r="A3950" s="7"/>
      <c r="B3950" s="7" t="str">
        <f>IFERROR(__xludf.DUMMYFUNCTION("""COMPUTED_VALUE"""),"Assembly;Bash/Shell/PowerShell;C;JavaScript;Python")</f>
        <v>Assembly;Bash/Shell/PowerShell;C;JavaScript;Python</v>
      </c>
      <c r="C3950" s="9" t="str">
        <f>IFERROR(__xludf.DUMMYFUNCTION("""COMPUTED_VALUE"""),"Java")</f>
        <v>Java</v>
      </c>
      <c r="D3950" s="9" t="str">
        <f>IFERROR(__xludf.DUMMYFUNCTION("""COMPUTED_VALUE"""),"Java")</f>
        <v>Java</v>
      </c>
      <c r="E3950" s="9" t="str">
        <f>IFERROR(__xludf.DUMMYFUNCTION("""COMPUTED_VALUE"""),"SQL")</f>
        <v>SQL</v>
      </c>
      <c r="F3950" s="9" t="str">
        <f>IFERROR(__xludf.DUMMYFUNCTION("""COMPUTED_VALUE"""),"SQL")</f>
        <v>SQL</v>
      </c>
      <c r="G3950" s="9" t="str">
        <f>IFERROR(__xludf.DUMMYFUNCTION("""COMPUTED_VALUE"""),"Other(s):")</f>
        <v>Other(s):</v>
      </c>
      <c r="H3950" s="9" t="str">
        <f>IFERROR(__xludf.DUMMYFUNCTION("""COMPUTED_VALUE"""),"SQL")</f>
        <v>SQL</v>
      </c>
      <c r="I3950" s="9" t="str">
        <f>IFERROR(__xludf.DUMMYFUNCTION("""COMPUTED_VALUE"""),"Java")</f>
        <v>Java</v>
      </c>
      <c r="J3950" s="9" t="str">
        <f>IFERROR(__xludf.DUMMYFUNCTION("""COMPUTED_VALUE"""),"SQL")</f>
        <v>SQL</v>
      </c>
      <c r="K3950" s="9" t="str">
        <f>IFERROR(__xludf.DUMMYFUNCTION("""COMPUTED_VALUE"""),"Python")</f>
        <v>Python</v>
      </c>
      <c r="L3950" s="9" t="str">
        <f>IFERROR(__xludf.DUMMYFUNCTION("""COMPUTED_VALUE"""),"HTML/CSS")</f>
        <v>HTML/CSS</v>
      </c>
      <c r="M3950" s="9" t="s">
        <v>20</v>
      </c>
    </row>
    <row r="3951" ht="15.75" customHeight="1">
      <c r="A3951" s="7"/>
      <c r="B3951" s="7" t="str">
        <f>IFERROR(__xludf.DUMMYFUNCTION("""COMPUTED_VALUE"""),"C#;HTML/CSS;JavaScript;SQL;Other(s):")</f>
        <v>C#;HTML/CSS;JavaScript;SQL;Other(s):</v>
      </c>
      <c r="C3951" s="9" t="str">
        <f>IFERROR(__xludf.DUMMYFUNCTION("""COMPUTED_VALUE"""),"JavaScript")</f>
        <v>JavaScript</v>
      </c>
      <c r="D3951" s="9" t="str">
        <f>IFERROR(__xludf.DUMMYFUNCTION("""COMPUTED_VALUE"""),"JavaScript")</f>
        <v>JavaScript</v>
      </c>
      <c r="E3951" s="9" t="str">
        <f>IFERROR(__xludf.DUMMYFUNCTION("""COMPUTED_VALUE"""),"C")</f>
        <v>C</v>
      </c>
      <c r="F3951" s="9" t="str">
        <f>IFERROR(__xludf.DUMMYFUNCTION("""COMPUTED_VALUE"""),"C++")</f>
        <v>C++</v>
      </c>
      <c r="G3951" s="9" t="str">
        <f>IFERROR(__xludf.DUMMYFUNCTION("""COMPUTED_VALUE"""),"Assembly")</f>
        <v>Assembly</v>
      </c>
      <c r="H3951" s="9" t="str">
        <f>IFERROR(__xludf.DUMMYFUNCTION("""COMPUTED_VALUE"""),"TypeScript")</f>
        <v>TypeScript</v>
      </c>
      <c r="I3951" s="9" t="str">
        <f>IFERROR(__xludf.DUMMYFUNCTION("""COMPUTED_VALUE"""),"SQL")</f>
        <v>SQL</v>
      </c>
      <c r="J3951" s="9" t="str">
        <f>IFERROR(__xludf.DUMMYFUNCTION("""COMPUTED_VALUE"""),"C#")</f>
        <v>C#</v>
      </c>
      <c r="K3951" s="9" t="str">
        <f>IFERROR(__xludf.DUMMYFUNCTION("""COMPUTED_VALUE"""),"SQL")</f>
        <v>SQL</v>
      </c>
      <c r="L3951" s="9" t="str">
        <f>IFERROR(__xludf.DUMMYFUNCTION("""COMPUTED_VALUE"""),"JavaScript")</f>
        <v>JavaScript</v>
      </c>
      <c r="M3951" s="9" t="s">
        <v>21</v>
      </c>
    </row>
    <row r="3952" ht="15.75" customHeight="1">
      <c r="A3952" s="7"/>
      <c r="B3952" s="7" t="str">
        <f>IFERROR(__xludf.DUMMYFUNCTION("""COMPUTED_VALUE"""),"Bash/Shell/PowerShell;C++;HTML/CSS;JavaScript;PHP;Python;SQL")</f>
        <v>Bash/Shell/PowerShell;C++;HTML/CSS;JavaScript;PHP;Python;SQL</v>
      </c>
      <c r="C3952" s="9" t="str">
        <f>IFERROR(__xludf.DUMMYFUNCTION("""COMPUTED_VALUE"""),"Python")</f>
        <v>Python</v>
      </c>
      <c r="D3952" s="9" t="str">
        <f>IFERROR(__xludf.DUMMYFUNCTION("""COMPUTED_VALUE"""),"SQL")</f>
        <v>SQL</v>
      </c>
      <c r="E3952" s="9" t="str">
        <f>IFERROR(__xludf.DUMMYFUNCTION("""COMPUTED_VALUE"""),"C#")</f>
        <v>C#</v>
      </c>
      <c r="F3952" s="9" t="str">
        <f>IFERROR(__xludf.DUMMYFUNCTION("""COMPUTED_VALUE"""),"HTML/CSS")</f>
        <v>HTML/CSS</v>
      </c>
      <c r="G3952" s="9" t="str">
        <f>IFERROR(__xludf.DUMMYFUNCTION("""COMPUTED_VALUE"""),"C")</f>
        <v>C</v>
      </c>
      <c r="H3952" s="9" t="str">
        <f>IFERROR(__xludf.DUMMYFUNCTION("""COMPUTED_VALUE"""),"JavaScript")</f>
        <v>JavaScript</v>
      </c>
      <c r="I3952" s="9" t="str">
        <f>IFERROR(__xludf.DUMMYFUNCTION("""COMPUTED_VALUE"""),"C++")</f>
        <v>C++</v>
      </c>
      <c r="J3952" s="9" t="str">
        <f>IFERROR(__xludf.DUMMYFUNCTION("""COMPUTED_VALUE"""),"HTML/CSS")</f>
        <v>HTML/CSS</v>
      </c>
      <c r="K3952" s="9" t="str">
        <f>IFERROR(__xludf.DUMMYFUNCTION("""COMPUTED_VALUE"""),"C#")</f>
        <v>C#</v>
      </c>
      <c r="L3952" s="9" t="str">
        <f>IFERROR(__xludf.DUMMYFUNCTION("""COMPUTED_VALUE"""),"TypeScript")</f>
        <v>TypeScript</v>
      </c>
      <c r="M3952" s="9" t="s">
        <v>22</v>
      </c>
    </row>
    <row r="3953" ht="15.75" customHeight="1">
      <c r="A3953" s="7"/>
      <c r="B3953" s="7" t="str">
        <f>IFERROR(__xludf.DUMMYFUNCTION("""COMPUTED_VALUE"""),"Bash/Shell/PowerShell;Java;JavaScript;Python;SQL")</f>
        <v>Bash/Shell/PowerShell;Java;JavaScript;Python;SQL</v>
      </c>
      <c r="C3953" s="9" t="str">
        <f>IFERROR(__xludf.DUMMYFUNCTION("""COMPUTED_VALUE"""),"SQL")</f>
        <v>SQL</v>
      </c>
      <c r="D3953" s="9" t="str">
        <f>IFERROR(__xludf.DUMMYFUNCTION("""COMPUTED_VALUE"""),"HTML/CSS")</f>
        <v>HTML/CSS</v>
      </c>
      <c r="E3953" s="9" t="str">
        <f>IFERROR(__xludf.DUMMYFUNCTION("""COMPUTED_VALUE"""),"HTML/CSS")</f>
        <v>HTML/CSS</v>
      </c>
      <c r="F3953" s="9" t="str">
        <f>IFERROR(__xludf.DUMMYFUNCTION("""COMPUTED_VALUE"""),"Java")</f>
        <v>Java</v>
      </c>
      <c r="G3953" s="9" t="str">
        <f>IFERROR(__xludf.DUMMYFUNCTION("""COMPUTED_VALUE"""),"HTML/CSS")</f>
        <v>HTML/CSS</v>
      </c>
      <c r="H3953" s="9" t="str">
        <f>IFERROR(__xludf.DUMMYFUNCTION("""COMPUTED_VALUE"""),"Python")</f>
        <v>Python</v>
      </c>
      <c r="I3953" s="9" t="str">
        <f>IFERROR(__xludf.DUMMYFUNCTION("""COMPUTED_VALUE"""),"C#")</f>
        <v>C#</v>
      </c>
      <c r="J3953" s="9" t="str">
        <f>IFERROR(__xludf.DUMMYFUNCTION("""COMPUTED_VALUE"""),"JavaScript")</f>
        <v>JavaScript</v>
      </c>
      <c r="K3953" s="9" t="str">
        <f>IFERROR(__xludf.DUMMYFUNCTION("""COMPUTED_VALUE"""),"HTML/CSS")</f>
        <v>HTML/CSS</v>
      </c>
      <c r="L3953" s="9" t="str">
        <f>IFERROR(__xludf.DUMMYFUNCTION("""COMPUTED_VALUE"""),"Java")</f>
        <v>Java</v>
      </c>
      <c r="M3953" s="9" t="s">
        <v>27</v>
      </c>
    </row>
    <row r="3954" ht="15.75" customHeight="1">
      <c r="A3954" s="7"/>
      <c r="B3954" s="7" t="str">
        <f>IFERROR(__xludf.DUMMYFUNCTION("""COMPUTED_VALUE"""),"Java;JavaScript;Python;SQL")</f>
        <v>Java;JavaScript;Python;SQL</v>
      </c>
      <c r="C3954" s="9" t="str">
        <f>IFERROR(__xludf.DUMMYFUNCTION("""COMPUTED_VALUE"""),"Bash/Shell/PowerShell")</f>
        <v>Bash/Shell/PowerShell</v>
      </c>
      <c r="D3954" s="9" t="str">
        <f>IFERROR(__xludf.DUMMYFUNCTION("""COMPUTED_VALUE"""),"Java")</f>
        <v>Java</v>
      </c>
      <c r="E3954" s="9" t="str">
        <f>IFERROR(__xludf.DUMMYFUNCTION("""COMPUTED_VALUE"""),"Java")</f>
        <v>Java</v>
      </c>
      <c r="F3954" s="9" t="str">
        <f>IFERROR(__xludf.DUMMYFUNCTION("""COMPUTED_VALUE"""),"JavaScript")</f>
        <v>JavaScript</v>
      </c>
      <c r="G3954" s="9" t="str">
        <f>IFERROR(__xludf.DUMMYFUNCTION("""COMPUTED_VALUE"""),"Java")</f>
        <v>Java</v>
      </c>
      <c r="H3954" s="9" t="str">
        <f>IFERROR(__xludf.DUMMYFUNCTION("""COMPUTED_VALUE"""),"Ruby")</f>
        <v>Ruby</v>
      </c>
      <c r="I3954" s="9" t="str">
        <f>IFERROR(__xludf.DUMMYFUNCTION("""COMPUTED_VALUE"""),"HTML/CSS")</f>
        <v>HTML/CSS</v>
      </c>
      <c r="J3954" s="9" t="str">
        <f>IFERROR(__xludf.DUMMYFUNCTION("""COMPUTED_VALUE"""),"SQL")</f>
        <v>SQL</v>
      </c>
      <c r="K3954" s="9" t="str">
        <f>IFERROR(__xludf.DUMMYFUNCTION("""COMPUTED_VALUE"""),"JavaScript")</f>
        <v>JavaScript</v>
      </c>
      <c r="L3954" s="9" t="str">
        <f>IFERROR(__xludf.DUMMYFUNCTION("""COMPUTED_VALUE"""),"Scala")</f>
        <v>Scala</v>
      </c>
      <c r="M3954" s="9" t="s">
        <v>30</v>
      </c>
    </row>
    <row r="3955" ht="15.75" customHeight="1">
      <c r="A3955" s="7"/>
      <c r="B3955" s="7" t="str">
        <f>IFERROR(__xludf.DUMMYFUNCTION("""COMPUTED_VALUE"""),"Bash/Shell/PowerShell;C#;HTML/CSS;JavaScript;Ruby;TypeScript")</f>
        <v>Bash/Shell/PowerShell;C#;HTML/CSS;JavaScript;Ruby;TypeScript</v>
      </c>
      <c r="C3955" s="9" t="str">
        <f>IFERROR(__xludf.DUMMYFUNCTION("""COMPUTED_VALUE"""),"HTML/CSS")</f>
        <v>HTML/CSS</v>
      </c>
      <c r="D3955" s="9" t="str">
        <f>IFERROR(__xludf.DUMMYFUNCTION("""COMPUTED_VALUE"""),"SQL")</f>
        <v>SQL</v>
      </c>
      <c r="E3955" s="9" t="str">
        <f>IFERROR(__xludf.DUMMYFUNCTION("""COMPUTED_VALUE"""),"JavaScript")</f>
        <v>JavaScript</v>
      </c>
      <c r="F3955" s="9" t="str">
        <f>IFERROR(__xludf.DUMMYFUNCTION("""COMPUTED_VALUE"""),"PHP")</f>
        <v>PHP</v>
      </c>
      <c r="G3955" s="9" t="str">
        <f>IFERROR(__xludf.DUMMYFUNCTION("""COMPUTED_VALUE"""),"JavaScript")</f>
        <v>JavaScript</v>
      </c>
      <c r="H3955" s="9" t="str">
        <f>IFERROR(__xludf.DUMMYFUNCTION("""COMPUTED_VALUE"""),"Swift")</f>
        <v>Swift</v>
      </c>
      <c r="I3955" s="9" t="str">
        <f>IFERROR(__xludf.DUMMYFUNCTION("""COMPUTED_VALUE"""),"Java")</f>
        <v>Java</v>
      </c>
      <c r="J3955" s="9" t="str">
        <f>IFERROR(__xludf.DUMMYFUNCTION("""COMPUTED_VALUE"""),"TypeScript")</f>
        <v>TypeScript</v>
      </c>
      <c r="K3955" s="9" t="str">
        <f>IFERROR(__xludf.DUMMYFUNCTION("""COMPUTED_VALUE"""),"Bash/Shell/PowerShell")</f>
        <v>Bash/Shell/PowerShell</v>
      </c>
      <c r="L3955" s="9" t="str">
        <f>IFERROR(__xludf.DUMMYFUNCTION("""COMPUTED_VALUE"""),"Other(s):")</f>
        <v>Other(s):</v>
      </c>
      <c r="M3955" s="9" t="s">
        <v>24</v>
      </c>
    </row>
    <row r="3956" ht="15.75" customHeight="1">
      <c r="A3956" s="7"/>
      <c r="B3956" s="7" t="str">
        <f>IFERROR(__xludf.DUMMYFUNCTION("""COMPUTED_VALUE"""),"Bash/Shell/PowerShell;Java;Kotlin;SQL")</f>
        <v>Bash/Shell/PowerShell;Java;Kotlin;SQL</v>
      </c>
      <c r="C3956" s="9" t="str">
        <f>IFERROR(__xludf.DUMMYFUNCTION("""COMPUTED_VALUE"""),"JavaScript")</f>
        <v>JavaScript</v>
      </c>
      <c r="D3956" s="9" t="str">
        <f>IFERROR(__xludf.DUMMYFUNCTION("""COMPUTED_VALUE"""),"Bash/Shell/PowerShell")</f>
        <v>Bash/Shell/PowerShell</v>
      </c>
      <c r="E3956" s="9" t="str">
        <f>IFERROR(__xludf.DUMMYFUNCTION("""COMPUTED_VALUE"""),"Ruby")</f>
        <v>Ruby</v>
      </c>
      <c r="F3956" s="9" t="str">
        <f>IFERROR(__xludf.DUMMYFUNCTION("""COMPUTED_VALUE"""),"Ruby")</f>
        <v>Ruby</v>
      </c>
      <c r="G3956" s="9" t="str">
        <f>IFERROR(__xludf.DUMMYFUNCTION("""COMPUTED_VALUE"""),"Python")</f>
        <v>Python</v>
      </c>
      <c r="H3956" s="9" t="str">
        <f>IFERROR(__xludf.DUMMYFUNCTION("""COMPUTED_VALUE"""),"HTML/CSS")</f>
        <v>HTML/CSS</v>
      </c>
      <c r="I3956" s="9" t="str">
        <f>IFERROR(__xludf.DUMMYFUNCTION("""COMPUTED_VALUE"""),"JavaScript")</f>
        <v>JavaScript</v>
      </c>
      <c r="J3956" s="9" t="str">
        <f>IFERROR(__xludf.DUMMYFUNCTION("""COMPUTED_VALUE"""),"Bash/Shell/PowerShell")</f>
        <v>Bash/Shell/PowerShell</v>
      </c>
      <c r="K3956" s="9" t="str">
        <f>IFERROR(__xludf.DUMMYFUNCTION("""COMPUTED_VALUE"""),"C#")</f>
        <v>C#</v>
      </c>
      <c r="L3956" s="9" t="str">
        <f>IFERROR(__xludf.DUMMYFUNCTION("""COMPUTED_VALUE"""),"HTML/CSS")</f>
        <v>HTML/CSS</v>
      </c>
      <c r="M3956" s="9" t="s">
        <v>21</v>
      </c>
    </row>
    <row r="3957" ht="15.75" customHeight="1">
      <c r="A3957" s="7"/>
      <c r="B3957" s="7" t="str">
        <f>IFERROR(__xludf.DUMMYFUNCTION("""COMPUTED_VALUE"""),"Java;SQL")</f>
        <v>Java;SQL</v>
      </c>
      <c r="C3957" s="9" t="str">
        <f>IFERROR(__xludf.DUMMYFUNCTION("""COMPUTED_VALUE"""),"PHP")</f>
        <v>PHP</v>
      </c>
      <c r="D3957" s="9" t="str">
        <f>IFERROR(__xludf.DUMMYFUNCTION("""COMPUTED_VALUE"""),"C#")</f>
        <v>C#</v>
      </c>
      <c r="E3957" s="9" t="str">
        <f>IFERROR(__xludf.DUMMYFUNCTION("""COMPUTED_VALUE"""),"SQL")</f>
        <v>SQL</v>
      </c>
      <c r="F3957" s="9" t="str">
        <f>IFERROR(__xludf.DUMMYFUNCTION("""COMPUTED_VALUE"""),"SQL")</f>
        <v>SQL</v>
      </c>
      <c r="G3957" s="9" t="str">
        <f>IFERROR(__xludf.DUMMYFUNCTION("""COMPUTED_VALUE"""),"VBA")</f>
        <v>VBA</v>
      </c>
      <c r="H3957" s="9" t="str">
        <f>IFERROR(__xludf.DUMMYFUNCTION("""COMPUTED_VALUE"""),"JavaScript")</f>
        <v>JavaScript</v>
      </c>
      <c r="I3957" s="9" t="str">
        <f>IFERROR(__xludf.DUMMYFUNCTION("""COMPUTED_VALUE"""),"PHP")</f>
        <v>PHP</v>
      </c>
      <c r="J3957" s="9" t="str">
        <f>IFERROR(__xludf.DUMMYFUNCTION("""COMPUTED_VALUE"""),"Objective-C")</f>
        <v>Objective-C</v>
      </c>
      <c r="K3957" s="9" t="str">
        <f>IFERROR(__xludf.DUMMYFUNCTION("""COMPUTED_VALUE"""),"HTML/CSS")</f>
        <v>HTML/CSS</v>
      </c>
      <c r="L3957" s="9" t="str">
        <f>IFERROR(__xludf.DUMMYFUNCTION("""COMPUTED_VALUE"""),"Kotlin")</f>
        <v>Kotlin</v>
      </c>
      <c r="M3957" s="9" t="s">
        <v>37</v>
      </c>
    </row>
    <row r="3958" ht="15.75" customHeight="1">
      <c r="A3958" s="7"/>
      <c r="B3958" s="7" t="str">
        <f>IFERROR(__xludf.DUMMYFUNCTION("""COMPUTED_VALUE"""),"Bash/Shell/PowerShell;HTML/CSS;Java;JavaScript;SQL")</f>
        <v>Bash/Shell/PowerShell;HTML/CSS;Java;JavaScript;SQL</v>
      </c>
      <c r="C3958" s="9" t="str">
        <f>IFERROR(__xludf.DUMMYFUNCTION("""COMPUTED_VALUE"""),"Java")</f>
        <v>Java</v>
      </c>
      <c r="D3958" s="9" t="str">
        <f>IFERROR(__xludf.DUMMYFUNCTION("""COMPUTED_VALUE"""),"Java")</f>
        <v>Java</v>
      </c>
      <c r="E3958" s="9" t="str">
        <f>IFERROR(__xludf.DUMMYFUNCTION("""COMPUTED_VALUE"""),"VBA")</f>
        <v>VBA</v>
      </c>
      <c r="F3958" s="9" t="str">
        <f>IFERROR(__xludf.DUMMYFUNCTION("""COMPUTED_VALUE"""),"C#")</f>
        <v>C#</v>
      </c>
      <c r="G3958" s="9" t="str">
        <f>IFERROR(__xludf.DUMMYFUNCTION("""COMPUTED_VALUE"""),"C#")</f>
        <v>C#</v>
      </c>
      <c r="H3958" s="9" t="str">
        <f>IFERROR(__xludf.DUMMYFUNCTION("""COMPUTED_VALUE"""),"SQL")</f>
        <v>SQL</v>
      </c>
      <c r="I3958" s="9" t="str">
        <f>IFERROR(__xludf.DUMMYFUNCTION("""COMPUTED_VALUE"""),"Python")</f>
        <v>Python</v>
      </c>
      <c r="J3958" s="9" t="str">
        <f>IFERROR(__xludf.DUMMYFUNCTION("""COMPUTED_VALUE"""),"Ruby")</f>
        <v>Ruby</v>
      </c>
      <c r="K3958" s="9" t="str">
        <f>IFERROR(__xludf.DUMMYFUNCTION("""COMPUTED_VALUE"""),"JavaScript")</f>
        <v>JavaScript</v>
      </c>
      <c r="L3958" s="9" t="str">
        <f>IFERROR(__xludf.DUMMYFUNCTION("""COMPUTED_VALUE"""),"TypeScript")</f>
        <v>TypeScript</v>
      </c>
      <c r="M3958" s="9" t="s">
        <v>20</v>
      </c>
    </row>
    <row r="3959" ht="15.75" customHeight="1">
      <c r="A3959" s="7"/>
      <c r="B3959" s="7" t="str">
        <f>IFERROR(__xludf.DUMMYFUNCTION("""COMPUTED_VALUE"""),"HTML/CSS;JavaScript;PHP;TypeScript")</f>
        <v>HTML/CSS;JavaScript;PHP;TypeScript</v>
      </c>
      <c r="C3959" s="9" t="str">
        <f>IFERROR(__xludf.DUMMYFUNCTION("""COMPUTED_VALUE"""),"JavaScript")</f>
        <v>JavaScript</v>
      </c>
      <c r="D3959" s="9" t="str">
        <f>IFERROR(__xludf.DUMMYFUNCTION("""COMPUTED_VALUE"""),"JavaScript")</f>
        <v>JavaScript</v>
      </c>
      <c r="E3959" s="9" t="str">
        <f>IFERROR(__xludf.DUMMYFUNCTION("""COMPUTED_VALUE"""),"Bash/Shell/PowerShell")</f>
        <v>Bash/Shell/PowerShell</v>
      </c>
      <c r="F3959" s="9" t="str">
        <f>IFERROR(__xludf.DUMMYFUNCTION("""COMPUTED_VALUE"""),"HTML/CSS")</f>
        <v>HTML/CSS</v>
      </c>
      <c r="G3959" s="9" t="str">
        <f>IFERROR(__xludf.DUMMYFUNCTION("""COMPUTED_VALUE"""),"Java")</f>
        <v>Java</v>
      </c>
      <c r="H3959" s="9" t="str">
        <f>IFERROR(__xludf.DUMMYFUNCTION("""COMPUTED_VALUE"""),"VBA")</f>
        <v>VBA</v>
      </c>
      <c r="I3959" s="9" t="str">
        <f>IFERROR(__xludf.DUMMYFUNCTION("""COMPUTED_VALUE"""),"SQL")</f>
        <v>SQL</v>
      </c>
      <c r="J3959" s="9" t="str">
        <f>IFERROR(__xludf.DUMMYFUNCTION("""COMPUTED_VALUE"""),"Swift")</f>
        <v>Swift</v>
      </c>
      <c r="K3959" s="9" t="str">
        <f>IFERROR(__xludf.DUMMYFUNCTION("""COMPUTED_VALUE"""),"SQL")</f>
        <v>SQL</v>
      </c>
      <c r="L3959" s="9" t="str">
        <f>IFERROR(__xludf.DUMMYFUNCTION("""COMPUTED_VALUE"""),"Other(s):")</f>
        <v>Other(s):</v>
      </c>
      <c r="M3959" s="9" t="s">
        <v>21</v>
      </c>
    </row>
    <row r="3960" ht="15.75" customHeight="1">
      <c r="A3960" s="7"/>
      <c r="B3960" s="7" t="str">
        <f>IFERROR(__xludf.DUMMYFUNCTION("""COMPUTED_VALUE"""),"C;C++;C#;HTML/CSS;VBA")</f>
        <v>C;C++;C#;HTML/CSS;VBA</v>
      </c>
      <c r="C3960" s="9" t="str">
        <f>IFERROR(__xludf.DUMMYFUNCTION("""COMPUTED_VALUE"""),"Python")</f>
        <v>Python</v>
      </c>
      <c r="D3960" s="9" t="str">
        <f>IFERROR(__xludf.DUMMYFUNCTION("""COMPUTED_VALUE"""),"SQL")</f>
        <v>SQL</v>
      </c>
      <c r="E3960" s="9" t="str">
        <f>IFERROR(__xludf.DUMMYFUNCTION("""COMPUTED_VALUE"""),"HTML/CSS")</f>
        <v>HTML/CSS</v>
      </c>
      <c r="F3960" s="9" t="str">
        <f>IFERROR(__xludf.DUMMYFUNCTION("""COMPUTED_VALUE"""),"Java")</f>
        <v>Java</v>
      </c>
      <c r="G3960" s="9" t="str">
        <f>IFERROR(__xludf.DUMMYFUNCTION("""COMPUTED_VALUE"""),"JavaScript")</f>
        <v>JavaScript</v>
      </c>
      <c r="H3960" s="9" t="str">
        <f>IFERROR(__xludf.DUMMYFUNCTION("""COMPUTED_VALUE"""),"C")</f>
        <v>C</v>
      </c>
      <c r="I3960" s="9" t="str">
        <f>IFERROR(__xludf.DUMMYFUNCTION("""COMPUTED_VALUE"""),"Bash/Shell/PowerShell")</f>
        <v>Bash/Shell/PowerShell</v>
      </c>
      <c r="J3960" s="9" t="str">
        <f>IFERROR(__xludf.DUMMYFUNCTION("""COMPUTED_VALUE"""),"C++")</f>
        <v>C++</v>
      </c>
      <c r="K3960" s="9" t="str">
        <f>IFERROR(__xludf.DUMMYFUNCTION("""COMPUTED_VALUE"""),"Other(s):")</f>
        <v>Other(s):</v>
      </c>
      <c r="L3960" s="9" t="str">
        <f>IFERROR(__xludf.DUMMYFUNCTION("""COMPUTED_VALUE"""),"Bash/Shell/PowerShell")</f>
        <v>Bash/Shell/PowerShell</v>
      </c>
      <c r="M3960" s="9" t="s">
        <v>22</v>
      </c>
    </row>
    <row r="3961" ht="15.75" customHeight="1">
      <c r="A3961" s="7"/>
      <c r="B3961" s="7" t="str">
        <f>IFERROR(__xludf.DUMMYFUNCTION("""COMPUTED_VALUE"""),"Bash/Shell/PowerShell;HTML/CSS;Java;JavaScript;Objective-C;Ruby;Swift")</f>
        <v>Bash/Shell/PowerShell;HTML/CSS;Java;JavaScript;Objective-C;Ruby;Swift</v>
      </c>
      <c r="C3961" s="9" t="str">
        <f>IFERROR(__xludf.DUMMYFUNCTION("""COMPUTED_VALUE"""),"SQL")</f>
        <v>SQL</v>
      </c>
      <c r="D3961" s="9" t="str">
        <f>IFERROR(__xludf.DUMMYFUNCTION("""COMPUTED_VALUE"""),"VBA")</f>
        <v>VBA</v>
      </c>
      <c r="E3961" s="9" t="str">
        <f>IFERROR(__xludf.DUMMYFUNCTION("""COMPUTED_VALUE"""),"JavaScript")</f>
        <v>JavaScript</v>
      </c>
      <c r="F3961" s="9" t="str">
        <f>IFERROR(__xludf.DUMMYFUNCTION("""COMPUTED_VALUE"""),"JavaScript")</f>
        <v>JavaScript</v>
      </c>
      <c r="G3961" s="9" t="str">
        <f>IFERROR(__xludf.DUMMYFUNCTION("""COMPUTED_VALUE"""),"SQL")</f>
        <v>SQL</v>
      </c>
      <c r="H3961" s="9" t="str">
        <f>IFERROR(__xludf.DUMMYFUNCTION("""COMPUTED_VALUE"""),"C#")</f>
        <v>C#</v>
      </c>
      <c r="I3961" s="9" t="str">
        <f>IFERROR(__xludf.DUMMYFUNCTION("""COMPUTED_VALUE"""),"C#")</f>
        <v>C#</v>
      </c>
      <c r="J3961" s="9" t="str">
        <f>IFERROR(__xludf.DUMMYFUNCTION("""COMPUTED_VALUE"""),"C#")</f>
        <v>C#</v>
      </c>
      <c r="K3961" s="9" t="str">
        <f>IFERROR(__xludf.DUMMYFUNCTION("""COMPUTED_VALUE"""),"HTML/CSS")</f>
        <v>HTML/CSS</v>
      </c>
      <c r="L3961" s="9" t="str">
        <f>IFERROR(__xludf.DUMMYFUNCTION("""COMPUTED_VALUE"""),"C#")</f>
        <v>C#</v>
      </c>
      <c r="M3961" s="9" t="s">
        <v>27</v>
      </c>
    </row>
    <row r="3962" ht="15.75" customHeight="1">
      <c r="A3962" s="7"/>
      <c r="B3962" s="7" t="str">
        <f>IFERROR(__xludf.DUMMYFUNCTION("""COMPUTED_VALUE"""),"Java;Kotlin")</f>
        <v>Java;Kotlin</v>
      </c>
      <c r="C3962" s="9" t="str">
        <f>IFERROR(__xludf.DUMMYFUNCTION("""COMPUTED_VALUE"""),"Bash/Shell/PowerShell")</f>
        <v>Bash/Shell/PowerShell</v>
      </c>
      <c r="D3962" s="9" t="str">
        <f>IFERROR(__xludf.DUMMYFUNCTION("""COMPUTED_VALUE"""),"C#")</f>
        <v>C#</v>
      </c>
      <c r="E3962" s="9" t="str">
        <f>IFERROR(__xludf.DUMMYFUNCTION("""COMPUTED_VALUE"""),"Python")</f>
        <v>Python</v>
      </c>
      <c r="F3962" s="9" t="str">
        <f>IFERROR(__xludf.DUMMYFUNCTION("""COMPUTED_VALUE"""),"PHP")</f>
        <v>PHP</v>
      </c>
      <c r="G3962" s="9" t="str">
        <f>IFERROR(__xludf.DUMMYFUNCTION("""COMPUTED_VALUE"""),"Assembly")</f>
        <v>Assembly</v>
      </c>
      <c r="H3962" s="9" t="str">
        <f>IFERROR(__xludf.DUMMYFUNCTION("""COMPUTED_VALUE"""),"HTML/CSS")</f>
        <v>HTML/CSS</v>
      </c>
      <c r="I3962" s="9" t="str">
        <f>IFERROR(__xludf.DUMMYFUNCTION("""COMPUTED_VALUE"""),"HTML/CSS")</f>
        <v>HTML/CSS</v>
      </c>
      <c r="J3962" s="9" t="str">
        <f>IFERROR(__xludf.DUMMYFUNCTION("""COMPUTED_VALUE"""),"R")</f>
        <v>R</v>
      </c>
      <c r="K3962" s="9" t="str">
        <f>IFERROR(__xludf.DUMMYFUNCTION("""COMPUTED_VALUE"""),"Java")</f>
        <v>Java</v>
      </c>
      <c r="L3962" s="9" t="str">
        <f>IFERROR(__xludf.DUMMYFUNCTION("""COMPUTED_VALUE"""),"Bash/Shell/PowerShell")</f>
        <v>Bash/Shell/PowerShell</v>
      </c>
      <c r="M3962" s="9" t="s">
        <v>30</v>
      </c>
    </row>
    <row r="3963" ht="15.75" customHeight="1">
      <c r="A3963" s="7"/>
      <c r="B3963" s="7" t="str">
        <f>IFERROR(__xludf.DUMMYFUNCTION("""COMPUTED_VALUE"""),"C++;C#;HTML/CSS;Java;JavaScript;Python;SQL")</f>
        <v>C++;C#;HTML/CSS;Java;JavaScript;Python;SQL</v>
      </c>
      <c r="C3963" s="9" t="str">
        <f>IFERROR(__xludf.DUMMYFUNCTION("""COMPUTED_VALUE"""),"C++")</f>
        <v>C++</v>
      </c>
      <c r="D3963" s="9" t="str">
        <f>IFERROR(__xludf.DUMMYFUNCTION("""COMPUTED_VALUE"""),"HTML/CSS")</f>
        <v>HTML/CSS</v>
      </c>
      <c r="E3963" s="9" t="str">
        <f>IFERROR(__xludf.DUMMYFUNCTION("""COMPUTED_VALUE"""),"SQL")</f>
        <v>SQL</v>
      </c>
      <c r="F3963" s="9" t="str">
        <f>IFERROR(__xludf.DUMMYFUNCTION("""COMPUTED_VALUE"""),"SQL")</f>
        <v>SQL</v>
      </c>
      <c r="G3963" s="9" t="str">
        <f>IFERROR(__xludf.DUMMYFUNCTION("""COMPUTED_VALUE"""),"Bash/Shell/PowerShell")</f>
        <v>Bash/Shell/PowerShell</v>
      </c>
      <c r="H3963" s="9" t="str">
        <f>IFERROR(__xludf.DUMMYFUNCTION("""COMPUTED_VALUE"""),"Java")</f>
        <v>Java</v>
      </c>
      <c r="I3963" s="9" t="str">
        <f>IFERROR(__xludf.DUMMYFUNCTION("""COMPUTED_VALUE"""),"Java")</f>
        <v>Java</v>
      </c>
      <c r="J3963" s="9" t="str">
        <f>IFERROR(__xludf.DUMMYFUNCTION("""COMPUTED_VALUE"""),"C#")</f>
        <v>C#</v>
      </c>
      <c r="K3963" s="9" t="str">
        <f>IFERROR(__xludf.DUMMYFUNCTION("""COMPUTED_VALUE"""),"JavaScript")</f>
        <v>JavaScript</v>
      </c>
      <c r="L3963" s="9" t="str">
        <f>IFERROR(__xludf.DUMMYFUNCTION("""COMPUTED_VALUE"""),"HTML/CSS")</f>
        <v>HTML/CSS</v>
      </c>
      <c r="M3963" s="9" t="s">
        <v>23</v>
      </c>
    </row>
    <row r="3964" ht="15.75" customHeight="1">
      <c r="A3964" s="7"/>
      <c r="B3964" s="7" t="str">
        <f>IFERROR(__xludf.DUMMYFUNCTION("""COMPUTED_VALUE"""),"Bash/Shell/PowerShell;C++;C#;HTML/CSS;Java;JavaScript;PHP;Python;R;SQL")</f>
        <v>Bash/Shell/PowerShell;C++;C#;HTML/CSS;Java;JavaScript;PHP;Python;R;SQL</v>
      </c>
      <c r="C3964" s="9" t="str">
        <f>IFERROR(__xludf.DUMMYFUNCTION("""COMPUTED_VALUE"""),"JavaScript")</f>
        <v>JavaScript</v>
      </c>
      <c r="D3964" s="9" t="str">
        <f>IFERROR(__xludf.DUMMYFUNCTION("""COMPUTED_VALUE"""),"JavaScript")</f>
        <v>JavaScript</v>
      </c>
      <c r="E3964" s="9" t="str">
        <f>IFERROR(__xludf.DUMMYFUNCTION("""COMPUTED_VALUE"""),"HTML/CSS")</f>
        <v>HTML/CSS</v>
      </c>
      <c r="F3964" s="9" t="str">
        <f>IFERROR(__xludf.DUMMYFUNCTION("""COMPUTED_VALUE"""),"HTML/CSS")</f>
        <v>HTML/CSS</v>
      </c>
      <c r="G3964" s="9" t="str">
        <f>IFERROR(__xludf.DUMMYFUNCTION("""COMPUTED_VALUE"""),"C#")</f>
        <v>C#</v>
      </c>
      <c r="H3964" s="9" t="str">
        <f>IFERROR(__xludf.DUMMYFUNCTION("""COMPUTED_VALUE"""),"JavaScript")</f>
        <v>JavaScript</v>
      </c>
      <c r="I3964" s="9" t="str">
        <f>IFERROR(__xludf.DUMMYFUNCTION("""COMPUTED_VALUE"""),"JavaScript")</f>
        <v>JavaScript</v>
      </c>
      <c r="J3964" s="9" t="str">
        <f>IFERROR(__xludf.DUMMYFUNCTION("""COMPUTED_VALUE"""),"HTML/CSS")</f>
        <v>HTML/CSS</v>
      </c>
      <c r="K3964" s="9" t="str">
        <f>IFERROR(__xludf.DUMMYFUNCTION("""COMPUTED_VALUE"""),"Python")</f>
        <v>Python</v>
      </c>
      <c r="L3964" s="9" t="str">
        <f>IFERROR(__xludf.DUMMYFUNCTION("""COMPUTED_VALUE"""),"Java")</f>
        <v>Java</v>
      </c>
      <c r="M3964" s="9" t="s">
        <v>21</v>
      </c>
    </row>
    <row r="3965" ht="15.75" customHeight="1">
      <c r="A3965" s="7"/>
      <c r="B3965" s="7" t="str">
        <f>IFERROR(__xludf.DUMMYFUNCTION("""COMPUTED_VALUE"""),"JavaScript;PHP")</f>
        <v>JavaScript;PHP</v>
      </c>
      <c r="C3965" s="9" t="str">
        <f>IFERROR(__xludf.DUMMYFUNCTION("""COMPUTED_VALUE"""),"HTML/CSS")</f>
        <v>HTML/CSS</v>
      </c>
      <c r="D3965" s="9" t="str">
        <f>IFERROR(__xludf.DUMMYFUNCTION("""COMPUTED_VALUE"""),"SQL")</f>
        <v>SQL</v>
      </c>
      <c r="E3965" s="9" t="str">
        <f>IFERROR(__xludf.DUMMYFUNCTION("""COMPUTED_VALUE"""),"JavaScript")</f>
        <v>JavaScript</v>
      </c>
      <c r="F3965" s="9" t="str">
        <f>IFERROR(__xludf.DUMMYFUNCTION("""COMPUTED_VALUE"""),"JavaScript")</f>
        <v>JavaScript</v>
      </c>
      <c r="G3965" s="9" t="str">
        <f>IFERROR(__xludf.DUMMYFUNCTION("""COMPUTED_VALUE"""),"HTML/CSS")</f>
        <v>HTML/CSS</v>
      </c>
      <c r="H3965" s="9" t="str">
        <f>IFERROR(__xludf.DUMMYFUNCTION("""COMPUTED_VALUE"""),"PHP")</f>
        <v>PHP</v>
      </c>
      <c r="I3965" s="9" t="str">
        <f>IFERROR(__xludf.DUMMYFUNCTION("""COMPUTED_VALUE"""),"PHP")</f>
        <v>PHP</v>
      </c>
      <c r="J3965" s="9" t="str">
        <f>IFERROR(__xludf.DUMMYFUNCTION("""COMPUTED_VALUE"""),"JavaScript")</f>
        <v>JavaScript</v>
      </c>
      <c r="K3965" s="9" t="str">
        <f>IFERROR(__xludf.DUMMYFUNCTION("""COMPUTED_VALUE"""),"HTML/CSS")</f>
        <v>HTML/CSS</v>
      </c>
      <c r="L3965" s="9" t="str">
        <f>IFERROR(__xludf.DUMMYFUNCTION("""COMPUTED_VALUE"""),"JavaScript")</f>
        <v>JavaScript</v>
      </c>
      <c r="M3965" s="9" t="s">
        <v>24</v>
      </c>
    </row>
    <row r="3966" ht="15.75" customHeight="1">
      <c r="A3966" s="7"/>
      <c r="B3966" s="7" t="str">
        <f>IFERROR(__xludf.DUMMYFUNCTION("""COMPUTED_VALUE"""),"Bash/Shell/PowerShell;C;C++;Go;HTML/CSS;JavaScript;PHP;Python;SQL;Swift")</f>
        <v>Bash/Shell/PowerShell;C;C++;Go;HTML/CSS;JavaScript;PHP;Python;SQL;Swift</v>
      </c>
      <c r="C3966" s="9" t="str">
        <f>IFERROR(__xludf.DUMMYFUNCTION("""COMPUTED_VALUE"""),"Java")</f>
        <v>Java</v>
      </c>
      <c r="D3966" s="9" t="str">
        <f>IFERROR(__xludf.DUMMYFUNCTION("""COMPUTED_VALUE"""),"Assembly")</f>
        <v>Assembly</v>
      </c>
      <c r="E3966" s="9" t="str">
        <f>IFERROR(__xludf.DUMMYFUNCTION("""COMPUTED_VALUE"""),"SQL")</f>
        <v>SQL</v>
      </c>
      <c r="F3966" s="9" t="str">
        <f>IFERROR(__xludf.DUMMYFUNCTION("""COMPUTED_VALUE"""),"Python")</f>
        <v>Python</v>
      </c>
      <c r="G3966" s="9" t="str">
        <f>IFERROR(__xludf.DUMMYFUNCTION("""COMPUTED_VALUE"""),"Java")</f>
        <v>Java</v>
      </c>
      <c r="H3966" s="9" t="str">
        <f>IFERROR(__xludf.DUMMYFUNCTION("""COMPUTED_VALUE"""),"SQL")</f>
        <v>SQL</v>
      </c>
      <c r="I3966" s="9" t="str">
        <f>IFERROR(__xludf.DUMMYFUNCTION("""COMPUTED_VALUE"""),"Python")</f>
        <v>Python</v>
      </c>
      <c r="J3966" s="9" t="str">
        <f>IFERROR(__xludf.DUMMYFUNCTION("""COMPUTED_VALUE"""),"PHP")</f>
        <v>PHP</v>
      </c>
      <c r="K3966" s="9" t="str">
        <f>IFERROR(__xludf.DUMMYFUNCTION("""COMPUTED_VALUE"""),"JavaScript")</f>
        <v>JavaScript</v>
      </c>
      <c r="L3966" s="9" t="str">
        <f>IFERROR(__xludf.DUMMYFUNCTION("""COMPUTED_VALUE"""),"Python")</f>
        <v>Python</v>
      </c>
      <c r="M3966" s="9" t="s">
        <v>20</v>
      </c>
    </row>
    <row r="3967" ht="15.75" customHeight="1">
      <c r="A3967" s="7"/>
      <c r="B3967" s="7" t="str">
        <f>IFERROR(__xludf.DUMMYFUNCTION("""COMPUTED_VALUE"""),"Bash/Shell/PowerShell;C;Elixir;Go;HTML/CSS;PHP;Python;R;Ruby;Rust;SQL;TypeScript")</f>
        <v>Bash/Shell/PowerShell;C;Elixir;Go;HTML/CSS;PHP;Python;R;Ruby;Rust;SQL;TypeScript</v>
      </c>
      <c r="C3967" s="9" t="str">
        <f>IFERROR(__xludf.DUMMYFUNCTION("""COMPUTED_VALUE"""),"JavaScript")</f>
        <v>JavaScript</v>
      </c>
      <c r="D3967" s="9" t="str">
        <f>IFERROR(__xludf.DUMMYFUNCTION("""COMPUTED_VALUE"""),"Bash/Shell/PowerShell")</f>
        <v>Bash/Shell/PowerShell</v>
      </c>
      <c r="E3967" s="9" t="str">
        <f>IFERROR(__xludf.DUMMYFUNCTION("""COMPUTED_VALUE"""),"Bash/Shell/PowerShell")</f>
        <v>Bash/Shell/PowerShell</v>
      </c>
      <c r="F3967" s="9" t="str">
        <f>IFERROR(__xludf.DUMMYFUNCTION("""COMPUTED_VALUE"""),"C#")</f>
        <v>C#</v>
      </c>
      <c r="G3967" s="9" t="str">
        <f>IFERROR(__xludf.DUMMYFUNCTION("""COMPUTED_VALUE"""),"SQL")</f>
        <v>SQL</v>
      </c>
      <c r="H3967" s="9" t="str">
        <f>IFERROR(__xludf.DUMMYFUNCTION("""COMPUTED_VALUE"""),"TypeScript")</f>
        <v>TypeScript</v>
      </c>
      <c r="I3967" s="9" t="str">
        <f>IFERROR(__xludf.DUMMYFUNCTION("""COMPUTED_VALUE"""),"SQL")</f>
        <v>SQL</v>
      </c>
      <c r="J3967" s="9" t="str">
        <f>IFERROR(__xludf.DUMMYFUNCTION("""COMPUTED_VALUE"""),"SQL")</f>
        <v>SQL</v>
      </c>
      <c r="K3967" s="9" t="str">
        <f>IFERROR(__xludf.DUMMYFUNCTION("""COMPUTED_VALUE"""),"PHP")</f>
        <v>PHP</v>
      </c>
      <c r="L3967" s="9" t="str">
        <f>IFERROR(__xludf.DUMMYFUNCTION("""COMPUTED_VALUE"""),"Scala")</f>
        <v>Scala</v>
      </c>
      <c r="M3967" s="9" t="s">
        <v>21</v>
      </c>
    </row>
    <row r="3968" ht="15.75" customHeight="1">
      <c r="A3968" s="7"/>
      <c r="B3968" s="7" t="str">
        <f>IFERROR(__xludf.DUMMYFUNCTION("""COMPUTED_VALUE"""),"Dart;Go;HTML/CSS;Java;JavaScript;Kotlin;Python")</f>
        <v>Dart;Go;HTML/CSS;Java;JavaScript;Kotlin;Python</v>
      </c>
      <c r="C3968" s="9" t="str">
        <f>IFERROR(__xludf.DUMMYFUNCTION("""COMPUTED_VALUE"""),"SQL")</f>
        <v>SQL</v>
      </c>
      <c r="D3968" s="9" t="str">
        <f>IFERROR(__xludf.DUMMYFUNCTION("""COMPUTED_VALUE"""),"Elixir")</f>
        <v>Elixir</v>
      </c>
      <c r="E3968" s="9" t="str">
        <f>IFERROR(__xludf.DUMMYFUNCTION("""COMPUTED_VALUE"""),"HTML/CSS")</f>
        <v>HTML/CSS</v>
      </c>
      <c r="F3968" s="9" t="str">
        <f>IFERROR(__xludf.DUMMYFUNCTION("""COMPUTED_VALUE"""),"Java")</f>
        <v>Java</v>
      </c>
      <c r="G3968" s="9" t="str">
        <f>IFERROR(__xludf.DUMMYFUNCTION("""COMPUTED_VALUE"""),"Bash/Shell/PowerShell")</f>
        <v>Bash/Shell/PowerShell</v>
      </c>
      <c r="H3968" s="9" t="str">
        <f>IFERROR(__xludf.DUMMYFUNCTION("""COMPUTED_VALUE"""),"C")</f>
        <v>C</v>
      </c>
      <c r="I3968" s="9" t="str">
        <f>IFERROR(__xludf.DUMMYFUNCTION("""COMPUTED_VALUE"""),"TypeScript")</f>
        <v>TypeScript</v>
      </c>
      <c r="J3968" s="9" t="str">
        <f>IFERROR(__xludf.DUMMYFUNCTION("""COMPUTED_VALUE"""),"HTML/CSS")</f>
        <v>HTML/CSS</v>
      </c>
      <c r="K3968" s="9" t="str">
        <f>IFERROR(__xludf.DUMMYFUNCTION("""COMPUTED_VALUE"""),"TypeScript")</f>
        <v>TypeScript</v>
      </c>
      <c r="L3968" s="9" t="str">
        <f>IFERROR(__xludf.DUMMYFUNCTION("""COMPUTED_VALUE"""),"SQL")</f>
        <v>SQL</v>
      </c>
      <c r="M3968" s="9" t="s">
        <v>27</v>
      </c>
    </row>
    <row r="3969" ht="15.75" customHeight="1">
      <c r="A3969" s="7"/>
      <c r="B3969" s="7" t="str">
        <f>IFERROR(__xludf.DUMMYFUNCTION("""COMPUTED_VALUE"""),"Bash/Shell/PowerShell;C;C#;HTML/CSS;Java;JavaScript;Python;R;SQL;VBA")</f>
        <v>Bash/Shell/PowerShell;C;C#;HTML/CSS;Java;JavaScript;Python;R;SQL;VBA</v>
      </c>
      <c r="C3969" s="9" t="str">
        <f>IFERROR(__xludf.DUMMYFUNCTION("""COMPUTED_VALUE"""),"HTML/CSS")</f>
        <v>HTML/CSS</v>
      </c>
      <c r="D3969" s="9" t="str">
        <f>IFERROR(__xludf.DUMMYFUNCTION("""COMPUTED_VALUE"""),"HTML/CSS")</f>
        <v>HTML/CSS</v>
      </c>
      <c r="E3969" s="9" t="str">
        <f>IFERROR(__xludf.DUMMYFUNCTION("""COMPUTED_VALUE"""),"JavaScript")</f>
        <v>JavaScript</v>
      </c>
      <c r="F3969" s="9" t="str">
        <f>IFERROR(__xludf.DUMMYFUNCTION("""COMPUTED_VALUE"""),"Python")</f>
        <v>Python</v>
      </c>
      <c r="G3969" s="9" t="str">
        <f>IFERROR(__xludf.DUMMYFUNCTION("""COMPUTED_VALUE"""),"C")</f>
        <v>C</v>
      </c>
      <c r="H3969" s="9" t="str">
        <f>IFERROR(__xludf.DUMMYFUNCTION("""COMPUTED_VALUE"""),"C++")</f>
        <v>C++</v>
      </c>
      <c r="I3969" s="9" t="str">
        <f>IFERROR(__xludf.DUMMYFUNCTION("""COMPUTED_VALUE"""),"VBA")</f>
        <v>VBA</v>
      </c>
      <c r="J3969" s="9" t="str">
        <f>IFERROR(__xludf.DUMMYFUNCTION("""COMPUTED_VALUE"""),"Java")</f>
        <v>Java</v>
      </c>
      <c r="K3969" s="9" t="str">
        <f>IFERROR(__xludf.DUMMYFUNCTION("""COMPUTED_VALUE"""),"Bash/Shell/PowerShell")</f>
        <v>Bash/Shell/PowerShell</v>
      </c>
      <c r="L3969" s="9" t="str">
        <f>IFERROR(__xludf.DUMMYFUNCTION("""COMPUTED_VALUE"""),"Bash/Shell/PowerShell")</f>
        <v>Bash/Shell/PowerShell</v>
      </c>
      <c r="M3969" s="9" t="s">
        <v>24</v>
      </c>
    </row>
    <row r="3970" ht="15.75" customHeight="1">
      <c r="A3970" s="7"/>
      <c r="B3970" s="7" t="str">
        <f>IFERROR(__xludf.DUMMYFUNCTION("""COMPUTED_VALUE"""),"C#;HTML/CSS;JavaScript;Objective-C;SQL;Other(s):")</f>
        <v>C#;HTML/CSS;JavaScript;Objective-C;SQL;Other(s):</v>
      </c>
      <c r="C3970" s="9" t="str">
        <f>IFERROR(__xludf.DUMMYFUNCTION("""COMPUTED_VALUE"""),"Java")</f>
        <v>Java</v>
      </c>
      <c r="D3970" s="9" t="str">
        <f>IFERROR(__xludf.DUMMYFUNCTION("""COMPUTED_VALUE"""),"JavaScript")</f>
        <v>JavaScript</v>
      </c>
      <c r="E3970" s="9" t="str">
        <f>IFERROR(__xludf.DUMMYFUNCTION("""COMPUTED_VALUE"""),"Assembly")</f>
        <v>Assembly</v>
      </c>
      <c r="F3970" s="9" t="str">
        <f>IFERROR(__xludf.DUMMYFUNCTION("""COMPUTED_VALUE"""),"Assembly")</f>
        <v>Assembly</v>
      </c>
      <c r="G3970" s="9" t="str">
        <f>IFERROR(__xludf.DUMMYFUNCTION("""COMPUTED_VALUE"""),"C++")</f>
        <v>C++</v>
      </c>
      <c r="H3970" s="9" t="str">
        <f>IFERROR(__xludf.DUMMYFUNCTION("""COMPUTED_VALUE"""),"Python")</f>
        <v>Python</v>
      </c>
      <c r="I3970" s="9" t="str">
        <f>IFERROR(__xludf.DUMMYFUNCTION("""COMPUTED_VALUE"""),"Assembly")</f>
        <v>Assembly</v>
      </c>
      <c r="J3970" s="9" t="str">
        <f>IFERROR(__xludf.DUMMYFUNCTION("""COMPUTED_VALUE"""),"JavaScript")</f>
        <v>JavaScript</v>
      </c>
      <c r="K3970" s="9" t="str">
        <f>IFERROR(__xludf.DUMMYFUNCTION("""COMPUTED_VALUE"""),"Java")</f>
        <v>Java</v>
      </c>
      <c r="L3970" s="9" t="str">
        <f>IFERROR(__xludf.DUMMYFUNCTION("""COMPUTED_VALUE"""),"C#")</f>
        <v>C#</v>
      </c>
      <c r="M3970" s="9" t="s">
        <v>20</v>
      </c>
    </row>
    <row r="3971" ht="15.75" customHeight="1">
      <c r="A3971" s="7"/>
      <c r="B3971" s="7" t="str">
        <f>IFERROR(__xludf.DUMMYFUNCTION("""COMPUTED_VALUE"""),"Bash/Shell/PowerShell;HTML/CSS;JavaScript;Python;SQL")</f>
        <v>Bash/Shell/PowerShell;HTML/CSS;JavaScript;Python;SQL</v>
      </c>
      <c r="C3971" s="9" t="str">
        <f>IFERROR(__xludf.DUMMYFUNCTION("""COMPUTED_VALUE"""),"JavaScript")</f>
        <v>JavaScript</v>
      </c>
      <c r="D3971" s="9" t="str">
        <f>IFERROR(__xludf.DUMMYFUNCTION("""COMPUTED_VALUE"""),"Ruby")</f>
        <v>Ruby</v>
      </c>
      <c r="E3971" s="9" t="str">
        <f>IFERROR(__xludf.DUMMYFUNCTION("""COMPUTED_VALUE"""),"Bash/Shell/PowerShell")</f>
        <v>Bash/Shell/PowerShell</v>
      </c>
      <c r="F3971" s="9" t="str">
        <f>IFERROR(__xludf.DUMMYFUNCTION("""COMPUTED_VALUE"""),"HTML/CSS")</f>
        <v>HTML/CSS</v>
      </c>
      <c r="G3971" s="9" t="str">
        <f>IFERROR(__xludf.DUMMYFUNCTION("""COMPUTED_VALUE"""),"HTML/CSS")</f>
        <v>HTML/CSS</v>
      </c>
      <c r="H3971" s="9" t="str">
        <f>IFERROR(__xludf.DUMMYFUNCTION("""COMPUTED_VALUE"""),"SQL")</f>
        <v>SQL</v>
      </c>
      <c r="I3971" s="9" t="str">
        <f>IFERROR(__xludf.DUMMYFUNCTION("""COMPUTED_VALUE"""),"C++")</f>
        <v>C++</v>
      </c>
      <c r="J3971" s="9" t="str">
        <f>IFERROR(__xludf.DUMMYFUNCTION("""COMPUTED_VALUE"""),"SQL")</f>
        <v>SQL</v>
      </c>
      <c r="K3971" s="9" t="str">
        <f>IFERROR(__xludf.DUMMYFUNCTION("""COMPUTED_VALUE"""),"Python")</f>
        <v>Python</v>
      </c>
      <c r="L3971" s="9" t="str">
        <f>IFERROR(__xludf.DUMMYFUNCTION("""COMPUTED_VALUE"""),"HTML/CSS")</f>
        <v>HTML/CSS</v>
      </c>
      <c r="M3971" s="9" t="s">
        <v>21</v>
      </c>
    </row>
    <row r="3972" ht="15.75" customHeight="1">
      <c r="A3972" s="7"/>
      <c r="B3972" s="7" t="str">
        <f>IFERROR(__xludf.DUMMYFUNCTION("""COMPUTED_VALUE"""),"Bash/Shell/PowerShell;HTML/CSS;JavaScript;Python;SQL")</f>
        <v>Bash/Shell/PowerShell;HTML/CSS;JavaScript;Python;SQL</v>
      </c>
      <c r="C3972" s="9" t="str">
        <f>IFERROR(__xludf.DUMMYFUNCTION("""COMPUTED_VALUE"""),"Kotlin")</f>
        <v>Kotlin</v>
      </c>
      <c r="D3972" s="9" t="str">
        <f>IFERROR(__xludf.DUMMYFUNCTION("""COMPUTED_VALUE"""),"Scala")</f>
        <v>Scala</v>
      </c>
      <c r="E3972" s="9" t="str">
        <f>IFERROR(__xludf.DUMMYFUNCTION("""COMPUTED_VALUE"""),"C")</f>
        <v>C</v>
      </c>
      <c r="F3972" s="9" t="str">
        <f>IFERROR(__xludf.DUMMYFUNCTION("""COMPUTED_VALUE"""),"JavaScript")</f>
        <v>JavaScript</v>
      </c>
      <c r="G3972" s="9" t="str">
        <f>IFERROR(__xludf.DUMMYFUNCTION("""COMPUTED_VALUE"""),"Java")</f>
        <v>Java</v>
      </c>
      <c r="H3972" s="9" t="str">
        <f>IFERROR(__xludf.DUMMYFUNCTION("""COMPUTED_VALUE"""),"Other(s):")</f>
        <v>Other(s):</v>
      </c>
      <c r="I3972" s="9" t="str">
        <f>IFERROR(__xludf.DUMMYFUNCTION("""COMPUTED_VALUE"""),"C#")</f>
        <v>C#</v>
      </c>
      <c r="J3972" s="9" t="str">
        <f>IFERROR(__xludf.DUMMYFUNCTION("""COMPUTED_VALUE"""),"Swift")</f>
        <v>Swift</v>
      </c>
      <c r="K3972" s="9" t="str">
        <f>IFERROR(__xludf.DUMMYFUNCTION("""COMPUTED_VALUE"""),"SQL")</f>
        <v>SQL</v>
      </c>
      <c r="L3972" s="9" t="str">
        <f>IFERROR(__xludf.DUMMYFUNCTION("""COMPUTED_VALUE"""),"Python")</f>
        <v>Python</v>
      </c>
      <c r="M3972" s="9" t="s">
        <v>39</v>
      </c>
    </row>
    <row r="3973" ht="15.75" customHeight="1">
      <c r="A3973" s="7"/>
      <c r="B3973" s="7" t="str">
        <f>IFERROR(__xludf.DUMMYFUNCTION("""COMPUTED_VALUE"""),"Bash/Shell/PowerShell;HTML/CSS;Java;JavaScript;Python;SQL")</f>
        <v>Bash/Shell/PowerShell;HTML/CSS;Java;JavaScript;Python;SQL</v>
      </c>
      <c r="C3973" s="9" t="str">
        <f>IFERROR(__xludf.DUMMYFUNCTION("""COMPUTED_VALUE"""),"Python")</f>
        <v>Python</v>
      </c>
      <c r="D3973" s="9" t="str">
        <f>IFERROR(__xludf.DUMMYFUNCTION("""COMPUTED_VALUE"""),"TypeScript")</f>
        <v>TypeScript</v>
      </c>
      <c r="E3973" s="9" t="str">
        <f>IFERROR(__xludf.DUMMYFUNCTION("""COMPUTED_VALUE"""),"Bash/Shell/PowerShell")</f>
        <v>Bash/Shell/PowerShell</v>
      </c>
      <c r="F3973" s="9" t="str">
        <f>IFERROR(__xludf.DUMMYFUNCTION("""COMPUTED_VALUE"""),"TypeScript")</f>
        <v>TypeScript</v>
      </c>
      <c r="G3973" s="9" t="str">
        <f>IFERROR(__xludf.DUMMYFUNCTION("""COMPUTED_VALUE"""),"SQL")</f>
        <v>SQL</v>
      </c>
      <c r="H3973" s="9" t="str">
        <f>IFERROR(__xludf.DUMMYFUNCTION("""COMPUTED_VALUE"""),"JavaScript")</f>
        <v>JavaScript</v>
      </c>
      <c r="I3973" s="9" t="str">
        <f>IFERROR(__xludf.DUMMYFUNCTION("""COMPUTED_VALUE"""),"Bash/Shell/PowerShell")</f>
        <v>Bash/Shell/PowerShell</v>
      </c>
      <c r="J3973" s="9" t="str">
        <f>IFERROR(__xludf.DUMMYFUNCTION("""COMPUTED_VALUE"""),"Bash/Shell/PowerShell")</f>
        <v>Bash/Shell/PowerShell</v>
      </c>
      <c r="K3973" s="9" t="str">
        <f>IFERROR(__xludf.DUMMYFUNCTION("""COMPUTED_VALUE"""),"HTML/CSS")</f>
        <v>HTML/CSS</v>
      </c>
      <c r="L3973" s="9" t="str">
        <f>IFERROR(__xludf.DUMMYFUNCTION("""COMPUTED_VALUE"""),"HTML/CSS")</f>
        <v>HTML/CSS</v>
      </c>
      <c r="M3973" s="9" t="s">
        <v>22</v>
      </c>
    </row>
    <row r="3974" ht="15.75" customHeight="1">
      <c r="A3974" s="7"/>
      <c r="B3974" s="7" t="str">
        <f>IFERROR(__xludf.DUMMYFUNCTION("""COMPUTED_VALUE"""),"Bash/Shell/PowerShell;C#;HTML/CSS;JavaScript;SQL;VBA")</f>
        <v>Bash/Shell/PowerShell;C#;HTML/CSS;JavaScript;SQL;VBA</v>
      </c>
      <c r="C3974" s="9" t="str">
        <f>IFERROR(__xludf.DUMMYFUNCTION("""COMPUTED_VALUE"""),"Bash/Shell/PowerShell")</f>
        <v>Bash/Shell/PowerShell</v>
      </c>
      <c r="D3974" s="9" t="str">
        <f>IFERROR(__xludf.DUMMYFUNCTION("""COMPUTED_VALUE"""),"Assembly")</f>
        <v>Assembly</v>
      </c>
      <c r="E3974" s="9" t="str">
        <f>IFERROR(__xludf.DUMMYFUNCTION("""COMPUTED_VALUE"""),"HTML/CSS")</f>
        <v>HTML/CSS</v>
      </c>
      <c r="F3974" s="9" t="str">
        <f>IFERROR(__xludf.DUMMYFUNCTION("""COMPUTED_VALUE"""),"JavaScript")</f>
        <v>JavaScript</v>
      </c>
      <c r="G3974" s="9" t="str">
        <f>IFERROR(__xludf.DUMMYFUNCTION("""COMPUTED_VALUE"""),"JavaScript")</f>
        <v>JavaScript</v>
      </c>
      <c r="H3974" s="9" t="str">
        <f>IFERROR(__xludf.DUMMYFUNCTION("""COMPUTED_VALUE"""),"C")</f>
        <v>C</v>
      </c>
      <c r="I3974" s="9" t="str">
        <f>IFERROR(__xludf.DUMMYFUNCTION("""COMPUTED_VALUE"""),"C")</f>
        <v>C</v>
      </c>
      <c r="J3974" s="9" t="str">
        <f>IFERROR(__xludf.DUMMYFUNCTION("""COMPUTED_VALUE"""),"C++")</f>
        <v>C++</v>
      </c>
      <c r="K3974" s="9" t="str">
        <f>IFERROR(__xludf.DUMMYFUNCTION("""COMPUTED_VALUE"""),"Java")</f>
        <v>Java</v>
      </c>
      <c r="L3974" s="9" t="str">
        <f>IFERROR(__xludf.DUMMYFUNCTION("""COMPUTED_VALUE"""),"JavaScript")</f>
        <v>JavaScript</v>
      </c>
      <c r="M3974" s="9" t="s">
        <v>30</v>
      </c>
    </row>
    <row r="3975" ht="15.75" customHeight="1">
      <c r="A3975" s="7"/>
      <c r="B3975" s="7" t="str">
        <f>IFERROR(__xludf.DUMMYFUNCTION("""COMPUTED_VALUE"""),"C;HTML/CSS;JavaScript;Python;Ruby;SQL")</f>
        <v>C;HTML/CSS;JavaScript;Python;Ruby;SQL</v>
      </c>
      <c r="C3975" s="9" t="str">
        <f>IFERROR(__xludf.DUMMYFUNCTION("""COMPUTED_VALUE"""),"C")</f>
        <v>C</v>
      </c>
      <c r="D3975" s="9" t="str">
        <f>IFERROR(__xludf.DUMMYFUNCTION("""COMPUTED_VALUE"""),"C#")</f>
        <v>C#</v>
      </c>
      <c r="E3975" s="9" t="str">
        <f>IFERROR(__xludf.DUMMYFUNCTION("""COMPUTED_VALUE"""),"JavaScript")</f>
        <v>JavaScript</v>
      </c>
      <c r="F3975" s="9" t="str">
        <f>IFERROR(__xludf.DUMMYFUNCTION("""COMPUTED_VALUE"""),"PHP")</f>
        <v>PHP</v>
      </c>
      <c r="G3975" s="9" t="str">
        <f>IFERROR(__xludf.DUMMYFUNCTION("""COMPUTED_VALUE"""),"HTML/CSS")</f>
        <v>HTML/CSS</v>
      </c>
      <c r="H3975" s="9" t="str">
        <f>IFERROR(__xludf.DUMMYFUNCTION("""COMPUTED_VALUE"""),"HTML/CSS")</f>
        <v>HTML/CSS</v>
      </c>
      <c r="I3975" s="9" t="str">
        <f>IFERROR(__xludf.DUMMYFUNCTION("""COMPUTED_VALUE"""),"Java")</f>
        <v>Java</v>
      </c>
      <c r="J3975" s="9" t="str">
        <f>IFERROR(__xludf.DUMMYFUNCTION("""COMPUTED_VALUE"""),"C#")</f>
        <v>C#</v>
      </c>
      <c r="K3975" s="9" t="str">
        <f>IFERROR(__xludf.DUMMYFUNCTION("""COMPUTED_VALUE"""),"JavaScript")</f>
        <v>JavaScript</v>
      </c>
      <c r="L3975" s="9" t="str">
        <f>IFERROR(__xludf.DUMMYFUNCTION("""COMPUTED_VALUE"""),"Python")</f>
        <v>Python</v>
      </c>
      <c r="M3975" s="9" t="s">
        <v>25</v>
      </c>
    </row>
    <row r="3976" ht="15.75" customHeight="1">
      <c r="A3976" s="7"/>
      <c r="B3976" s="7" t="str">
        <f>IFERROR(__xludf.DUMMYFUNCTION("""COMPUTED_VALUE"""),"C#;Dart;Go;HTML/CSS;JavaScript;Python")</f>
        <v>C#;Dart;Go;HTML/CSS;JavaScript;Python</v>
      </c>
      <c r="C3976" s="9" t="str">
        <f>IFERROR(__xludf.DUMMYFUNCTION("""COMPUTED_VALUE"""),"C++")</f>
        <v>C++</v>
      </c>
      <c r="D3976" s="9" t="str">
        <f>IFERROR(__xludf.DUMMYFUNCTION("""COMPUTED_VALUE"""),"Java")</f>
        <v>Java</v>
      </c>
      <c r="E3976" s="9" t="str">
        <f>IFERROR(__xludf.DUMMYFUNCTION("""COMPUTED_VALUE"""),"Ruby")</f>
        <v>Ruby</v>
      </c>
      <c r="F3976" s="9" t="str">
        <f>IFERROR(__xludf.DUMMYFUNCTION("""COMPUTED_VALUE"""),"Python")</f>
        <v>Python</v>
      </c>
      <c r="G3976" s="9" t="str">
        <f>IFERROR(__xludf.DUMMYFUNCTION("""COMPUTED_VALUE"""),"Bash/Shell/PowerShell")</f>
        <v>Bash/Shell/PowerShell</v>
      </c>
      <c r="H3976" s="9" t="str">
        <f>IFERROR(__xludf.DUMMYFUNCTION("""COMPUTED_VALUE"""),"Java")</f>
        <v>Java</v>
      </c>
      <c r="I3976" s="9" t="str">
        <f>IFERROR(__xludf.DUMMYFUNCTION("""COMPUTED_VALUE"""),"JavaScript")</f>
        <v>JavaScript</v>
      </c>
      <c r="J3976" s="9" t="str">
        <f>IFERROR(__xludf.DUMMYFUNCTION("""COMPUTED_VALUE"""),"HTML/CSS")</f>
        <v>HTML/CSS</v>
      </c>
      <c r="K3976" s="9" t="str">
        <f>IFERROR(__xludf.DUMMYFUNCTION("""COMPUTED_VALUE"""),"PHP")</f>
        <v>PHP</v>
      </c>
      <c r="L3976" s="9" t="str">
        <f>IFERROR(__xludf.DUMMYFUNCTION("""COMPUTED_VALUE"""),"HTML/CSS")</f>
        <v>HTML/CSS</v>
      </c>
      <c r="M3976" s="9" t="s">
        <v>23</v>
      </c>
    </row>
    <row r="3977" ht="15.75" customHeight="1">
      <c r="A3977" s="7"/>
      <c r="B3977" s="7" t="str">
        <f>IFERROR(__xludf.DUMMYFUNCTION("""COMPUTED_VALUE"""),"Bash/Shell/PowerShell;C;HTML/CSS;Java;JavaScript;PHP;Python;Scala;SQL;TypeScript")</f>
        <v>Bash/Shell/PowerShell;C;HTML/CSS;Java;JavaScript;PHP;Python;Scala;SQL;TypeScript</v>
      </c>
      <c r="C3977" s="9" t="str">
        <f>IFERROR(__xludf.DUMMYFUNCTION("""COMPUTED_VALUE"""),"C#")</f>
        <v>C#</v>
      </c>
      <c r="D3977" s="9" t="str">
        <f>IFERROR(__xludf.DUMMYFUNCTION("""COMPUTED_VALUE"""),"Python")</f>
        <v>Python</v>
      </c>
      <c r="E3977" s="9" t="str">
        <f>IFERROR(__xludf.DUMMYFUNCTION("""COMPUTED_VALUE"""),"HTML/CSS")</f>
        <v>HTML/CSS</v>
      </c>
      <c r="F3977" s="9" t="str">
        <f>IFERROR(__xludf.DUMMYFUNCTION("""COMPUTED_VALUE"""),"SQL")</f>
        <v>SQL</v>
      </c>
      <c r="G3977" s="9" t="str">
        <f>IFERROR(__xludf.DUMMYFUNCTION("""COMPUTED_VALUE"""),"HTML/CSS")</f>
        <v>HTML/CSS</v>
      </c>
      <c r="H3977" s="9" t="str">
        <f>IFERROR(__xludf.DUMMYFUNCTION("""COMPUTED_VALUE"""),"JavaScript")</f>
        <v>JavaScript</v>
      </c>
      <c r="I3977" s="9" t="str">
        <f>IFERROR(__xludf.DUMMYFUNCTION("""COMPUTED_VALUE"""),"R")</f>
        <v>R</v>
      </c>
      <c r="J3977" s="9" t="str">
        <f>IFERROR(__xludf.DUMMYFUNCTION("""COMPUTED_VALUE"""),"Java")</f>
        <v>Java</v>
      </c>
      <c r="K3977" s="9" t="str">
        <f>IFERROR(__xludf.DUMMYFUNCTION("""COMPUTED_VALUE"""),"TypeScript")</f>
        <v>TypeScript</v>
      </c>
      <c r="L3977" s="9" t="str">
        <f>IFERROR(__xludf.DUMMYFUNCTION("""COMPUTED_VALUE"""),"JavaScript")</f>
        <v>JavaScript</v>
      </c>
      <c r="M3977" s="9" t="s">
        <v>26</v>
      </c>
    </row>
    <row r="3978" ht="15.75" customHeight="1">
      <c r="A3978" s="7"/>
      <c r="B3978" s="7" t="str">
        <f>IFERROR(__xludf.DUMMYFUNCTION("""COMPUTED_VALUE"""),"HTML/CSS;JavaScript;Python")</f>
        <v>HTML/CSS;JavaScript;Python</v>
      </c>
      <c r="C3978" s="9" t="str">
        <f>IFERROR(__xludf.DUMMYFUNCTION("""COMPUTED_VALUE"""),"JavaScript")</f>
        <v>JavaScript</v>
      </c>
      <c r="D3978" s="9" t="str">
        <f>IFERROR(__xludf.DUMMYFUNCTION("""COMPUTED_VALUE"""),"SQL")</f>
        <v>SQL</v>
      </c>
      <c r="E3978" s="9" t="str">
        <f>IFERROR(__xludf.DUMMYFUNCTION("""COMPUTED_VALUE"""),"Java")</f>
        <v>Java</v>
      </c>
      <c r="F3978" s="9" t="str">
        <f>IFERROR(__xludf.DUMMYFUNCTION("""COMPUTED_VALUE"""),"HTML/CSS")</f>
        <v>HTML/CSS</v>
      </c>
      <c r="G3978" s="9" t="str">
        <f>IFERROR(__xludf.DUMMYFUNCTION("""COMPUTED_VALUE"""),"JavaScript")</f>
        <v>JavaScript</v>
      </c>
      <c r="H3978" s="9" t="str">
        <f>IFERROR(__xludf.DUMMYFUNCTION("""COMPUTED_VALUE"""),"PHP")</f>
        <v>PHP</v>
      </c>
      <c r="I3978" s="9" t="str">
        <f>IFERROR(__xludf.DUMMYFUNCTION("""COMPUTED_VALUE"""),"SQL")</f>
        <v>SQL</v>
      </c>
      <c r="J3978" s="9" t="str">
        <f>IFERROR(__xludf.DUMMYFUNCTION("""COMPUTED_VALUE"""),"JavaScript")</f>
        <v>JavaScript</v>
      </c>
      <c r="K3978" s="9" t="str">
        <f>IFERROR(__xludf.DUMMYFUNCTION("""COMPUTED_VALUE"""),"C#")</f>
        <v>C#</v>
      </c>
      <c r="L3978" s="9" t="str">
        <f>IFERROR(__xludf.DUMMYFUNCTION("""COMPUTED_VALUE"""),"PHP")</f>
        <v>PHP</v>
      </c>
      <c r="M3978" s="9" t="s">
        <v>21</v>
      </c>
    </row>
    <row r="3979" ht="15.75" customHeight="1">
      <c r="A3979" s="7"/>
      <c r="B3979" s="7" t="str">
        <f>IFERROR(__xludf.DUMMYFUNCTION("""COMPUTED_VALUE"""),"C#;HTML/CSS;Java;JavaScript;SQL;TypeScript")</f>
        <v>C#;HTML/CSS;Java;JavaScript;SQL;TypeScript</v>
      </c>
      <c r="C3979" s="9" t="str">
        <f>IFERROR(__xludf.DUMMYFUNCTION("""COMPUTED_VALUE"""),"C#")</f>
        <v>C#</v>
      </c>
      <c r="D3979" s="9" t="str">
        <f>IFERROR(__xludf.DUMMYFUNCTION("""COMPUTED_VALUE"""),"HTML/CSS")</f>
        <v>HTML/CSS</v>
      </c>
      <c r="E3979" s="9" t="str">
        <f>IFERROR(__xludf.DUMMYFUNCTION("""COMPUTED_VALUE"""),"JavaScript")</f>
        <v>JavaScript</v>
      </c>
      <c r="F3979" s="9" t="str">
        <f>IFERROR(__xludf.DUMMYFUNCTION("""COMPUTED_VALUE"""),"JavaScript")</f>
        <v>JavaScript</v>
      </c>
      <c r="G3979" s="9" t="str">
        <f>IFERROR(__xludf.DUMMYFUNCTION("""COMPUTED_VALUE"""),"Python")</f>
        <v>Python</v>
      </c>
      <c r="H3979" s="9" t="str">
        <f>IFERROR(__xludf.DUMMYFUNCTION("""COMPUTED_VALUE"""),"SQL")</f>
        <v>SQL</v>
      </c>
      <c r="I3979" s="9" t="str">
        <f>IFERROR(__xludf.DUMMYFUNCTION("""COMPUTED_VALUE"""),"Swift")</f>
        <v>Swift</v>
      </c>
      <c r="J3979" s="9" t="str">
        <f>IFERROR(__xludf.DUMMYFUNCTION("""COMPUTED_VALUE"""),"PHP")</f>
        <v>PHP</v>
      </c>
      <c r="K3979" s="9" t="str">
        <f>IFERROR(__xludf.DUMMYFUNCTION("""COMPUTED_VALUE"""),"HTML/CSS")</f>
        <v>HTML/CSS</v>
      </c>
      <c r="L3979" s="9" t="str">
        <f>IFERROR(__xludf.DUMMYFUNCTION("""COMPUTED_VALUE"""),"SQL")</f>
        <v>SQL</v>
      </c>
      <c r="M3979" s="9" t="s">
        <v>26</v>
      </c>
    </row>
    <row r="3980" ht="15.75" customHeight="1">
      <c r="A3980" s="7"/>
      <c r="B3980" s="7" t="str">
        <f>IFERROR(__xludf.DUMMYFUNCTION("""COMPUTED_VALUE"""),"Bash/Shell/PowerShell;C#;HTML/CSS;Java;JavaScript;PHP;Python;SQL")</f>
        <v>Bash/Shell/PowerShell;C#;HTML/CSS;Java;JavaScript;PHP;Python;SQL</v>
      </c>
      <c r="C3980" s="9" t="str">
        <f>IFERROR(__xludf.DUMMYFUNCTION("""COMPUTED_VALUE"""),"HTML/CSS")</f>
        <v>HTML/CSS</v>
      </c>
      <c r="D3980" s="9" t="str">
        <f>IFERROR(__xludf.DUMMYFUNCTION("""COMPUTED_VALUE"""),"JavaScript")</f>
        <v>JavaScript</v>
      </c>
      <c r="E3980" s="9" t="str">
        <f>IFERROR(__xludf.DUMMYFUNCTION("""COMPUTED_VALUE"""),"Python")</f>
        <v>Python</v>
      </c>
      <c r="F3980" s="9" t="str">
        <f>IFERROR(__xludf.DUMMYFUNCTION("""COMPUTED_VALUE"""),"SQL")</f>
        <v>SQL</v>
      </c>
      <c r="G3980" s="9" t="str">
        <f>IFERROR(__xludf.DUMMYFUNCTION("""COMPUTED_VALUE"""),"SQL")</f>
        <v>SQL</v>
      </c>
      <c r="H3980" s="9" t="str">
        <f>IFERROR(__xludf.DUMMYFUNCTION("""COMPUTED_VALUE"""),"C")</f>
        <v>C</v>
      </c>
      <c r="I3980" s="9" t="str">
        <f>IFERROR(__xludf.DUMMYFUNCTION("""COMPUTED_VALUE"""),"Assembly")</f>
        <v>Assembly</v>
      </c>
      <c r="J3980" s="9" t="str">
        <f>IFERROR(__xludf.DUMMYFUNCTION("""COMPUTED_VALUE"""),"Python")</f>
        <v>Python</v>
      </c>
      <c r="K3980" s="9" t="str">
        <f>IFERROR(__xludf.DUMMYFUNCTION("""COMPUTED_VALUE"""),"JavaScript")</f>
        <v>JavaScript</v>
      </c>
      <c r="L3980" s="9" t="str">
        <f>IFERROR(__xludf.DUMMYFUNCTION("""COMPUTED_VALUE"""),"VBA")</f>
        <v>VBA</v>
      </c>
      <c r="M3980" s="9" t="s">
        <v>24</v>
      </c>
    </row>
    <row r="3981" ht="15.75" customHeight="1">
      <c r="A3981" s="7"/>
      <c r="B3981" s="7" t="str">
        <f>IFERROR(__xludf.DUMMYFUNCTION("""COMPUTED_VALUE"""),"C;C++;HTML/CSS;Python;SQL")</f>
        <v>C;C++;HTML/CSS;Python;SQL</v>
      </c>
      <c r="C3981" s="9" t="str">
        <f>IFERROR(__xludf.DUMMYFUNCTION("""COMPUTED_VALUE"""),"JavaScript")</f>
        <v>JavaScript</v>
      </c>
      <c r="D3981" s="9" t="str">
        <f>IFERROR(__xludf.DUMMYFUNCTION("""COMPUTED_VALUE"""),"PHP")</f>
        <v>PHP</v>
      </c>
      <c r="E3981" s="9" t="str">
        <f>IFERROR(__xludf.DUMMYFUNCTION("""COMPUTED_VALUE"""),"R")</f>
        <v>R</v>
      </c>
      <c r="F3981" s="9" t="str">
        <f>IFERROR(__xludf.DUMMYFUNCTION("""COMPUTED_VALUE"""),"TypeScript")</f>
        <v>TypeScript</v>
      </c>
      <c r="G3981" s="9" t="str">
        <f>IFERROR(__xludf.DUMMYFUNCTION("""COMPUTED_VALUE"""),"Swift")</f>
        <v>Swift</v>
      </c>
      <c r="H3981" s="9" t="str">
        <f>IFERROR(__xludf.DUMMYFUNCTION("""COMPUTED_VALUE"""),"C++")</f>
        <v>C++</v>
      </c>
      <c r="I3981" s="9" t="str">
        <f>IFERROR(__xludf.DUMMYFUNCTION("""COMPUTED_VALUE"""),"C")</f>
        <v>C</v>
      </c>
      <c r="J3981" s="9" t="str">
        <f>IFERROR(__xludf.DUMMYFUNCTION("""COMPUTED_VALUE"""),"R")</f>
        <v>R</v>
      </c>
      <c r="K3981" s="9" t="str">
        <f>IFERROR(__xludf.DUMMYFUNCTION("""COMPUTED_VALUE"""),"PHP")</f>
        <v>PHP</v>
      </c>
      <c r="L3981" s="9" t="str">
        <f>IFERROR(__xludf.DUMMYFUNCTION("""COMPUTED_VALUE"""),"Bash/Shell/PowerShell")</f>
        <v>Bash/Shell/PowerShell</v>
      </c>
      <c r="M3981" s="9" t="s">
        <v>21</v>
      </c>
    </row>
    <row r="3982" ht="15.75" customHeight="1">
      <c r="A3982" s="7"/>
      <c r="B3982" s="7" t="str">
        <f>IFERROR(__xludf.DUMMYFUNCTION("""COMPUTED_VALUE"""),"Bash/Shell/PowerShell;Go;HTML/CSS;Java;JavaScript;TypeScript")</f>
        <v>Bash/Shell/PowerShell;Go;HTML/CSS;Java;JavaScript;TypeScript</v>
      </c>
      <c r="C3982" s="9" t="str">
        <f>IFERROR(__xludf.DUMMYFUNCTION("""COMPUTED_VALUE"""),"SQL")</f>
        <v>SQL</v>
      </c>
      <c r="D3982" s="9" t="str">
        <f>IFERROR(__xludf.DUMMYFUNCTION("""COMPUTED_VALUE"""),"Python")</f>
        <v>Python</v>
      </c>
      <c r="E3982" s="9" t="str">
        <f>IFERROR(__xludf.DUMMYFUNCTION("""COMPUTED_VALUE"""),"SQL")</f>
        <v>SQL</v>
      </c>
      <c r="F3982" s="9" t="str">
        <f>IFERROR(__xludf.DUMMYFUNCTION("""COMPUTED_VALUE"""),"C#")</f>
        <v>C#</v>
      </c>
      <c r="G3982" s="9" t="str">
        <f>IFERROR(__xludf.DUMMYFUNCTION("""COMPUTED_VALUE"""),"Bash/Shell/PowerShell")</f>
        <v>Bash/Shell/PowerShell</v>
      </c>
      <c r="H3982" s="9" t="str">
        <f>IFERROR(__xludf.DUMMYFUNCTION("""COMPUTED_VALUE"""),"Other(s):")</f>
        <v>Other(s):</v>
      </c>
      <c r="I3982" s="9" t="str">
        <f>IFERROR(__xludf.DUMMYFUNCTION("""COMPUTED_VALUE"""),"HTML/CSS")</f>
        <v>HTML/CSS</v>
      </c>
      <c r="J3982" s="9" t="str">
        <f>IFERROR(__xludf.DUMMYFUNCTION("""COMPUTED_VALUE"""),"Ruby")</f>
        <v>Ruby</v>
      </c>
      <c r="K3982" s="9" t="str">
        <f>IFERROR(__xludf.DUMMYFUNCTION("""COMPUTED_VALUE"""),"Python")</f>
        <v>Python</v>
      </c>
      <c r="L3982" s="9" t="str">
        <f>IFERROR(__xludf.DUMMYFUNCTION("""COMPUTED_VALUE"""),"HTML/CSS")</f>
        <v>HTML/CSS</v>
      </c>
      <c r="M3982" s="9" t="s">
        <v>27</v>
      </c>
    </row>
    <row r="3983" ht="15.75" customHeight="1">
      <c r="A3983" s="7"/>
      <c r="B3983" s="7" t="str">
        <f>IFERROR(__xludf.DUMMYFUNCTION("""COMPUTED_VALUE"""),"Bash/Shell/PowerShell;HTML/CSS;Java;JavaScript;Kotlin;Objective-C;SQL;Swift")</f>
        <v>Bash/Shell/PowerShell;HTML/CSS;Java;JavaScript;Kotlin;Objective-C;SQL;Swift</v>
      </c>
      <c r="C3983" s="9" t="str">
        <f>IFERROR(__xludf.DUMMYFUNCTION("""COMPUTED_VALUE"""),"TypeScript")</f>
        <v>TypeScript</v>
      </c>
      <c r="D3983" s="9" t="str">
        <f>IFERROR(__xludf.DUMMYFUNCTION("""COMPUTED_VALUE"""),"SQL")</f>
        <v>SQL</v>
      </c>
      <c r="E3983" s="9" t="str">
        <f>IFERROR(__xludf.DUMMYFUNCTION("""COMPUTED_VALUE"""),"Bash/Shell/PowerShell")</f>
        <v>Bash/Shell/PowerShell</v>
      </c>
      <c r="F3983" s="9" t="str">
        <f>IFERROR(__xludf.DUMMYFUNCTION("""COMPUTED_VALUE"""),"HTML/CSS")</f>
        <v>HTML/CSS</v>
      </c>
      <c r="G3983" s="9" t="str">
        <f>IFERROR(__xludf.DUMMYFUNCTION("""COMPUTED_VALUE"""),"C#")</f>
        <v>C#</v>
      </c>
      <c r="H3983" s="9" t="str">
        <f>IFERROR(__xludf.DUMMYFUNCTION("""COMPUTED_VALUE"""),"C++")</f>
        <v>C++</v>
      </c>
      <c r="I3983" s="9" t="str">
        <f>IFERROR(__xludf.DUMMYFUNCTION("""COMPUTED_VALUE"""),"Java")</f>
        <v>Java</v>
      </c>
      <c r="J3983" s="9" t="str">
        <f>IFERROR(__xludf.DUMMYFUNCTION("""COMPUTED_VALUE"""),"SQL")</f>
        <v>SQL</v>
      </c>
      <c r="K3983" s="9" t="str">
        <f>IFERROR(__xludf.DUMMYFUNCTION("""COMPUTED_VALUE"""),"SQL")</f>
        <v>SQL</v>
      </c>
      <c r="L3983" s="9" t="str">
        <f>IFERROR(__xludf.DUMMYFUNCTION("""COMPUTED_VALUE"""),"Java")</f>
        <v>Java</v>
      </c>
      <c r="M3983" s="9" t="s">
        <v>33</v>
      </c>
    </row>
    <row r="3984" ht="15.75" customHeight="1">
      <c r="A3984" s="7"/>
      <c r="B3984" s="7" t="str">
        <f>IFERROR(__xludf.DUMMYFUNCTION("""COMPUTED_VALUE"""),"JavaScript;PHP;SQL")</f>
        <v>JavaScript;PHP;SQL</v>
      </c>
      <c r="C3984" s="9" t="str">
        <f>IFERROR(__xludf.DUMMYFUNCTION("""COMPUTED_VALUE"""),"HTML/CSS")</f>
        <v>HTML/CSS</v>
      </c>
      <c r="D3984" s="9" t="str">
        <f>IFERROR(__xludf.DUMMYFUNCTION("""COMPUTED_VALUE"""),"C#")</f>
        <v>C#</v>
      </c>
      <c r="E3984" s="9" t="str">
        <f>IFERROR(__xludf.DUMMYFUNCTION("""COMPUTED_VALUE"""),"HTML/CSS")</f>
        <v>HTML/CSS</v>
      </c>
      <c r="F3984" s="9" t="str">
        <f>IFERROR(__xludf.DUMMYFUNCTION("""COMPUTED_VALUE"""),"Java")</f>
        <v>Java</v>
      </c>
      <c r="G3984" s="9" t="str">
        <f>IFERROR(__xludf.DUMMYFUNCTION("""COMPUTED_VALUE"""),"HTML/CSS")</f>
        <v>HTML/CSS</v>
      </c>
      <c r="H3984" s="9" t="str">
        <f>IFERROR(__xludf.DUMMYFUNCTION("""COMPUTED_VALUE"""),"Java")</f>
        <v>Java</v>
      </c>
      <c r="I3984" s="9" t="str">
        <f>IFERROR(__xludf.DUMMYFUNCTION("""COMPUTED_VALUE"""),"JavaScript")</f>
        <v>JavaScript</v>
      </c>
      <c r="J3984" s="9" t="str">
        <f>IFERROR(__xludf.DUMMYFUNCTION("""COMPUTED_VALUE"""),"VBA")</f>
        <v>VBA</v>
      </c>
      <c r="K3984" s="9" t="str">
        <f>IFERROR(__xludf.DUMMYFUNCTION("""COMPUTED_VALUE"""),"TypeScript")</f>
        <v>TypeScript</v>
      </c>
      <c r="L3984" s="9" t="str">
        <f>IFERROR(__xludf.DUMMYFUNCTION("""COMPUTED_VALUE"""),"JavaScript")</f>
        <v>JavaScript</v>
      </c>
      <c r="M3984" s="9" t="s">
        <v>24</v>
      </c>
    </row>
    <row r="3985" ht="15.75" customHeight="1">
      <c r="A3985" s="7"/>
      <c r="B3985" s="7" t="str">
        <f>IFERROR(__xludf.DUMMYFUNCTION("""COMPUTED_VALUE"""),"Assembly;Bash/Shell/PowerShell;C;C++;HTML/CSS;Java;Python;SQL;Other(s):")</f>
        <v>Assembly;Bash/Shell/PowerShell;C;C++;HTML/CSS;Java;Python;SQL;Other(s):</v>
      </c>
      <c r="C3985" s="9" t="str">
        <f>IFERROR(__xludf.DUMMYFUNCTION("""COMPUTED_VALUE"""),"Java")</f>
        <v>Java</v>
      </c>
      <c r="D3985" s="9" t="str">
        <f>IFERROR(__xludf.DUMMYFUNCTION("""COMPUTED_VALUE"""),"HTML/CSS")</f>
        <v>HTML/CSS</v>
      </c>
      <c r="E3985" s="9" t="str">
        <f>IFERROR(__xludf.DUMMYFUNCTION("""COMPUTED_VALUE"""),"JavaScript")</f>
        <v>JavaScript</v>
      </c>
      <c r="F3985" s="9" t="str">
        <f>IFERROR(__xludf.DUMMYFUNCTION("""COMPUTED_VALUE"""),"JavaScript")</f>
        <v>JavaScript</v>
      </c>
      <c r="G3985" s="9" t="str">
        <f>IFERROR(__xludf.DUMMYFUNCTION("""COMPUTED_VALUE"""),"Python")</f>
        <v>Python</v>
      </c>
      <c r="H3985" s="9" t="str">
        <f>IFERROR(__xludf.DUMMYFUNCTION("""COMPUTED_VALUE"""),"VBA")</f>
        <v>VBA</v>
      </c>
      <c r="I3985" s="9" t="str">
        <f>IFERROR(__xludf.DUMMYFUNCTION("""COMPUTED_VALUE"""),"SQL")</f>
        <v>SQL</v>
      </c>
      <c r="J3985" s="9" t="str">
        <f>IFERROR(__xludf.DUMMYFUNCTION("""COMPUTED_VALUE"""),"Other(s):")</f>
        <v>Other(s):</v>
      </c>
      <c r="K3985" s="9" t="str">
        <f>IFERROR(__xludf.DUMMYFUNCTION("""COMPUTED_VALUE"""),"Bash/Shell/PowerShell")</f>
        <v>Bash/Shell/PowerShell</v>
      </c>
      <c r="L3985" s="9" t="str">
        <f>IFERROR(__xludf.DUMMYFUNCTION("""COMPUTED_VALUE"""),"C#")</f>
        <v>C#</v>
      </c>
      <c r="M3985" s="9" t="s">
        <v>20</v>
      </c>
    </row>
    <row r="3986" ht="15.75" customHeight="1">
      <c r="A3986" s="7"/>
      <c r="B3986" s="7" t="str">
        <f>IFERROR(__xludf.DUMMYFUNCTION("""COMPUTED_VALUE"""),"Bash/Shell/PowerShell;C#;HTML/CSS;JavaScript;PHP;Python;SQL;TypeScript")</f>
        <v>Bash/Shell/PowerShell;C#;HTML/CSS;JavaScript;PHP;Python;SQL;TypeScript</v>
      </c>
      <c r="C3986" s="9" t="str">
        <f>IFERROR(__xludf.DUMMYFUNCTION("""COMPUTED_VALUE"""),"Bash/Shell/PowerShell")</f>
        <v>Bash/Shell/PowerShell</v>
      </c>
      <c r="D3986" s="9" t="str">
        <f>IFERROR(__xludf.DUMMYFUNCTION("""COMPUTED_VALUE"""),"JavaScript")</f>
        <v>JavaScript</v>
      </c>
      <c r="E3986" s="9" t="str">
        <f>IFERROR(__xludf.DUMMYFUNCTION("""COMPUTED_VALUE"""),"HTML/CSS")</f>
        <v>HTML/CSS</v>
      </c>
      <c r="F3986" s="9" t="str">
        <f>IFERROR(__xludf.DUMMYFUNCTION("""COMPUTED_VALUE"""),"Kotlin")</f>
        <v>Kotlin</v>
      </c>
      <c r="G3986" s="9" t="str">
        <f>IFERROR(__xludf.DUMMYFUNCTION("""COMPUTED_VALUE"""),"C#")</f>
        <v>C#</v>
      </c>
      <c r="H3986" s="9" t="str">
        <f>IFERROR(__xludf.DUMMYFUNCTION("""COMPUTED_VALUE"""),"C#")</f>
        <v>C#</v>
      </c>
      <c r="I3986" s="9" t="str">
        <f>IFERROR(__xludf.DUMMYFUNCTION("""COMPUTED_VALUE"""),"Bash/Shell/PowerShell")</f>
        <v>Bash/Shell/PowerShell</v>
      </c>
      <c r="J3986" s="9" t="str">
        <f>IFERROR(__xludf.DUMMYFUNCTION("""COMPUTED_VALUE"""),"Assembly")</f>
        <v>Assembly</v>
      </c>
      <c r="K3986" s="9" t="str">
        <f>IFERROR(__xludf.DUMMYFUNCTION("""COMPUTED_VALUE"""),"JavaScript")</f>
        <v>JavaScript</v>
      </c>
      <c r="L3986" s="9" t="str">
        <f>IFERROR(__xludf.DUMMYFUNCTION("""COMPUTED_VALUE"""),"HTML/CSS")</f>
        <v>HTML/CSS</v>
      </c>
      <c r="M3986" s="9" t="s">
        <v>30</v>
      </c>
    </row>
    <row r="3987" ht="15.75" customHeight="1">
      <c r="A3987" s="7"/>
      <c r="B3987" s="7" t="str">
        <f>IFERROR(__xludf.DUMMYFUNCTION("""COMPUTED_VALUE"""),"JavaScript;PHP;Python;Scala")</f>
        <v>JavaScript;PHP;Python;Scala</v>
      </c>
      <c r="C3987" s="9" t="str">
        <f>IFERROR(__xludf.DUMMYFUNCTION("""COMPUTED_VALUE"""),"C#")</f>
        <v>C#</v>
      </c>
      <c r="D3987" s="9" t="str">
        <f>IFERROR(__xludf.DUMMYFUNCTION("""COMPUTED_VALUE"""),"TypeScript")</f>
        <v>TypeScript</v>
      </c>
      <c r="E3987" s="9" t="str">
        <f>IFERROR(__xludf.DUMMYFUNCTION("""COMPUTED_VALUE"""),"JavaScript")</f>
        <v>JavaScript</v>
      </c>
      <c r="F3987" s="9" t="str">
        <f>IFERROR(__xludf.DUMMYFUNCTION("""COMPUTED_VALUE"""),"Python")</f>
        <v>Python</v>
      </c>
      <c r="G3987" s="9" t="str">
        <f>IFERROR(__xludf.DUMMYFUNCTION("""COMPUTED_VALUE"""),"HTML/CSS")</f>
        <v>HTML/CSS</v>
      </c>
      <c r="H3987" s="9" t="str">
        <f>IFERROR(__xludf.DUMMYFUNCTION("""COMPUTED_VALUE"""),"SQL")</f>
        <v>SQL</v>
      </c>
      <c r="I3987" s="9" t="str">
        <f>IFERROR(__xludf.DUMMYFUNCTION("""COMPUTED_VALUE"""),"HTML/CSS")</f>
        <v>HTML/CSS</v>
      </c>
      <c r="J3987" s="9" t="str">
        <f>IFERROR(__xludf.DUMMYFUNCTION("""COMPUTED_VALUE"""),"Bash/Shell/PowerShell")</f>
        <v>Bash/Shell/PowerShell</v>
      </c>
      <c r="K3987" s="9" t="str">
        <f>IFERROR(__xludf.DUMMYFUNCTION("""COMPUTED_VALUE"""),"SQL")</f>
        <v>SQL</v>
      </c>
      <c r="L3987" s="9" t="str">
        <f>IFERROR(__xludf.DUMMYFUNCTION("""COMPUTED_VALUE"""),"JavaScript")</f>
        <v>JavaScript</v>
      </c>
      <c r="M3987" s="9" t="s">
        <v>26</v>
      </c>
    </row>
    <row r="3988" ht="15.75" customHeight="1">
      <c r="A3988" s="7"/>
      <c r="B3988" s="7" t="str">
        <f>IFERROR(__xludf.DUMMYFUNCTION("""COMPUTED_VALUE"""),"Bash/Shell/PowerShell;Clojure;HTML/CSS;Java;JavaScript;Python;Scala;SQL")</f>
        <v>Bash/Shell/PowerShell;Clojure;HTML/CSS;Java;JavaScript;Python;Scala;SQL</v>
      </c>
      <c r="C3988" s="9" t="str">
        <f>IFERROR(__xludf.DUMMYFUNCTION("""COMPUTED_VALUE"""),"JavaScript")</f>
        <v>JavaScript</v>
      </c>
      <c r="D3988" s="9" t="str">
        <f>IFERROR(__xludf.DUMMYFUNCTION("""COMPUTED_VALUE"""),"C#")</f>
        <v>C#</v>
      </c>
      <c r="E3988" s="9" t="str">
        <f>IFERROR(__xludf.DUMMYFUNCTION("""COMPUTED_VALUE"""),"PHP")</f>
        <v>PHP</v>
      </c>
      <c r="F3988" s="9" t="str">
        <f>IFERROR(__xludf.DUMMYFUNCTION("""COMPUTED_VALUE"""),"SQL")</f>
        <v>SQL</v>
      </c>
      <c r="G3988" s="9" t="str">
        <f>IFERROR(__xludf.DUMMYFUNCTION("""COMPUTED_VALUE"""),"JavaScript")</f>
        <v>JavaScript</v>
      </c>
      <c r="H3988" s="9" t="str">
        <f>IFERROR(__xludf.DUMMYFUNCTION("""COMPUTED_VALUE"""),"Assembly")</f>
        <v>Assembly</v>
      </c>
      <c r="I3988" s="9" t="str">
        <f>IFERROR(__xludf.DUMMYFUNCTION("""COMPUTED_VALUE"""),"JavaScript")</f>
        <v>JavaScript</v>
      </c>
      <c r="J3988" s="9" t="str">
        <f>IFERROR(__xludf.DUMMYFUNCTION("""COMPUTED_VALUE"""),"C")</f>
        <v>C</v>
      </c>
      <c r="K3988" s="9" t="str">
        <f>IFERROR(__xludf.DUMMYFUNCTION("""COMPUTED_VALUE"""),"TypeScript")</f>
        <v>TypeScript</v>
      </c>
      <c r="L3988" s="9" t="str">
        <f>IFERROR(__xludf.DUMMYFUNCTION("""COMPUTED_VALUE"""),"SQL")</f>
        <v>SQL</v>
      </c>
      <c r="M3988" s="9" t="s">
        <v>21</v>
      </c>
    </row>
    <row r="3989" ht="15.75" customHeight="1">
      <c r="A3989" s="7"/>
      <c r="B3989" s="7" t="str">
        <f>IFERROR(__xludf.DUMMYFUNCTION("""COMPUTED_VALUE"""),"C#;HTML/CSS;JavaScript;SQL")</f>
        <v>C#;HTML/CSS;JavaScript;SQL</v>
      </c>
      <c r="C3989" s="9" t="str">
        <f>IFERROR(__xludf.DUMMYFUNCTION("""COMPUTED_VALUE"""),"SQL")</f>
        <v>SQL</v>
      </c>
      <c r="D3989" s="9" t="str">
        <f>IFERROR(__xludf.DUMMYFUNCTION("""COMPUTED_VALUE"""),"HTML/CSS")</f>
        <v>HTML/CSS</v>
      </c>
      <c r="E3989" s="9" t="str">
        <f>IFERROR(__xludf.DUMMYFUNCTION("""COMPUTED_VALUE"""),"SQL")</f>
        <v>SQL</v>
      </c>
      <c r="F3989" s="9" t="str">
        <f>IFERROR(__xludf.DUMMYFUNCTION("""COMPUTED_VALUE"""),"Bash/Shell/PowerShell")</f>
        <v>Bash/Shell/PowerShell</v>
      </c>
      <c r="G3989" s="9" t="str">
        <f>IFERROR(__xludf.DUMMYFUNCTION("""COMPUTED_VALUE"""),"PHP")</f>
        <v>PHP</v>
      </c>
      <c r="H3989" s="9" t="str">
        <f>IFERROR(__xludf.DUMMYFUNCTION("""COMPUTED_VALUE"""),"Bash/Shell/PowerShell")</f>
        <v>Bash/Shell/PowerShell</v>
      </c>
      <c r="I3989" s="9" t="str">
        <f>IFERROR(__xludf.DUMMYFUNCTION("""COMPUTED_VALUE"""),"TypeScript")</f>
        <v>TypeScript</v>
      </c>
      <c r="J3989" s="9" t="str">
        <f>IFERROR(__xludf.DUMMYFUNCTION("""COMPUTED_VALUE"""),"C++")</f>
        <v>C++</v>
      </c>
      <c r="K3989" s="9" t="str">
        <f>IFERROR(__xludf.DUMMYFUNCTION("""COMPUTED_VALUE"""),"Other(s):")</f>
        <v>Other(s):</v>
      </c>
      <c r="L3989" s="9" t="str">
        <f>IFERROR(__xludf.DUMMYFUNCTION("""COMPUTED_VALUE"""),"TypeScript")</f>
        <v>TypeScript</v>
      </c>
      <c r="M3989" s="9" t="s">
        <v>27</v>
      </c>
    </row>
    <row r="3990" ht="15.75" customHeight="1">
      <c r="A3990" s="7"/>
      <c r="B3990" s="7" t="str">
        <f>IFERROR(__xludf.DUMMYFUNCTION("""COMPUTED_VALUE"""),"Bash/Shell/PowerShell;HTML/CSS;JavaScript;PHP;Ruby;Scala")</f>
        <v>Bash/Shell/PowerShell;HTML/CSS;JavaScript;PHP;Ruby;Scala</v>
      </c>
      <c r="C3990" s="9" t="str">
        <f>IFERROR(__xludf.DUMMYFUNCTION("""COMPUTED_VALUE"""),"Other(s):")</f>
        <v>Other(s):</v>
      </c>
      <c r="D3990" s="9" t="str">
        <f>IFERROR(__xludf.DUMMYFUNCTION("""COMPUTED_VALUE"""),"Python")</f>
        <v>Python</v>
      </c>
      <c r="E3990" s="9" t="str">
        <f>IFERROR(__xludf.DUMMYFUNCTION("""COMPUTED_VALUE"""),"Bash/Shell/PowerShell")</f>
        <v>Bash/Shell/PowerShell</v>
      </c>
      <c r="F3990" s="9" t="str">
        <f>IFERROR(__xludf.DUMMYFUNCTION("""COMPUTED_VALUE"""),"C")</f>
        <v>C</v>
      </c>
      <c r="G3990" s="9" t="str">
        <f>IFERROR(__xludf.DUMMYFUNCTION("""COMPUTED_VALUE"""),"Bash/Shell/PowerShell")</f>
        <v>Bash/Shell/PowerShell</v>
      </c>
      <c r="H3990" s="9" t="str">
        <f>IFERROR(__xludf.DUMMYFUNCTION("""COMPUTED_VALUE"""),"C")</f>
        <v>C</v>
      </c>
      <c r="I3990" s="9" t="str">
        <f>IFERROR(__xludf.DUMMYFUNCTION("""COMPUTED_VALUE"""),"Assembly")</f>
        <v>Assembly</v>
      </c>
      <c r="J3990" s="9" t="str">
        <f>IFERROR(__xludf.DUMMYFUNCTION("""COMPUTED_VALUE"""),"C#")</f>
        <v>C#</v>
      </c>
      <c r="K3990" s="9" t="str">
        <f>IFERROR(__xludf.DUMMYFUNCTION("""COMPUTED_VALUE"""),"HTML/CSS")</f>
        <v>HTML/CSS</v>
      </c>
      <c r="L3990" s="9" t="str">
        <f>IFERROR(__xludf.DUMMYFUNCTION("""COMPUTED_VALUE"""),"Bash/Shell/PowerShell")</f>
        <v>Bash/Shell/PowerShell</v>
      </c>
      <c r="M3990" s="9" t="s">
        <v>35</v>
      </c>
    </row>
    <row r="3991" ht="15.75" customHeight="1">
      <c r="A3991" s="7"/>
      <c r="B3991" s="7" t="str">
        <f>IFERROR(__xludf.DUMMYFUNCTION("""COMPUTED_VALUE"""),"Java;Python")</f>
        <v>Java;Python</v>
      </c>
      <c r="C3991" s="9" t="str">
        <f>IFERROR(__xludf.DUMMYFUNCTION("""COMPUTED_VALUE"""),"HTML/CSS")</f>
        <v>HTML/CSS</v>
      </c>
      <c r="D3991" s="9" t="str">
        <f>IFERROR(__xludf.DUMMYFUNCTION("""COMPUTED_VALUE"""),"HTML/CSS")</f>
        <v>HTML/CSS</v>
      </c>
      <c r="E3991" s="9" t="str">
        <f>IFERROR(__xludf.DUMMYFUNCTION("""COMPUTED_VALUE"""),"C++")</f>
        <v>C++</v>
      </c>
      <c r="F3991" s="9" t="str">
        <f>IFERROR(__xludf.DUMMYFUNCTION("""COMPUTED_VALUE"""),"C++")</f>
        <v>C++</v>
      </c>
      <c r="G3991" s="9" t="str">
        <f>IFERROR(__xludf.DUMMYFUNCTION("""COMPUTED_VALUE"""),"HTML/CSS")</f>
        <v>HTML/CSS</v>
      </c>
      <c r="H3991" s="9" t="str">
        <f>IFERROR(__xludf.DUMMYFUNCTION("""COMPUTED_VALUE"""),"C++")</f>
        <v>C++</v>
      </c>
      <c r="I3991" s="9" t="str">
        <f>IFERROR(__xludf.DUMMYFUNCTION("""COMPUTED_VALUE"""),"Bash/Shell/PowerShell")</f>
        <v>Bash/Shell/PowerShell</v>
      </c>
      <c r="J3991" s="9" t="str">
        <f>IFERROR(__xludf.DUMMYFUNCTION("""COMPUTED_VALUE"""),"Go")</f>
        <v>Go</v>
      </c>
      <c r="K3991" s="9" t="str">
        <f>IFERROR(__xludf.DUMMYFUNCTION("""COMPUTED_VALUE"""),"JavaScript")</f>
        <v>JavaScript</v>
      </c>
      <c r="L3991" s="9" t="str">
        <f>IFERROR(__xludf.DUMMYFUNCTION("""COMPUTED_VALUE"""),"C++")</f>
        <v>C++</v>
      </c>
      <c r="M3991" s="9" t="s">
        <v>24</v>
      </c>
    </row>
    <row r="3992" ht="15.75" customHeight="1">
      <c r="A3992" s="7"/>
      <c r="B3992" s="7" t="str">
        <f>IFERROR(__xludf.DUMMYFUNCTION("""COMPUTED_VALUE"""),"Assembly;Bash/Shell/PowerShell;C++;HTML/CSS;Java;JavaScript;PHP;SQL")</f>
        <v>Assembly;Bash/Shell/PowerShell;C++;HTML/CSS;Java;JavaScript;PHP;SQL</v>
      </c>
      <c r="C3992" s="9" t="str">
        <f>IFERROR(__xludf.DUMMYFUNCTION("""COMPUTED_VALUE"""),"Objective-C")</f>
        <v>Objective-C</v>
      </c>
      <c r="D3992" s="9" t="str">
        <f>IFERROR(__xludf.DUMMYFUNCTION("""COMPUTED_VALUE"""),"JavaScript")</f>
        <v>JavaScript</v>
      </c>
      <c r="E3992" s="9" t="str">
        <f>IFERROR(__xludf.DUMMYFUNCTION("""COMPUTED_VALUE"""),"Go")</f>
        <v>Go</v>
      </c>
      <c r="F3992" s="9" t="str">
        <f>IFERROR(__xludf.DUMMYFUNCTION("""COMPUTED_VALUE"""),"Dart")</f>
        <v>Dart</v>
      </c>
      <c r="G3992" s="9" t="str">
        <f>IFERROR(__xludf.DUMMYFUNCTION("""COMPUTED_VALUE"""),"Java")</f>
        <v>Java</v>
      </c>
      <c r="H3992" s="9" t="str">
        <f>IFERROR(__xludf.DUMMYFUNCTION("""COMPUTED_VALUE"""),"C#")</f>
        <v>C#</v>
      </c>
      <c r="I3992" s="9" t="str">
        <f>IFERROR(__xludf.DUMMYFUNCTION("""COMPUTED_VALUE"""),"C")</f>
        <v>C</v>
      </c>
      <c r="J3992" s="9" t="str">
        <f>IFERROR(__xludf.DUMMYFUNCTION("""COMPUTED_VALUE"""),"HTML/CSS")</f>
        <v>HTML/CSS</v>
      </c>
      <c r="K3992" s="9" t="str">
        <f>IFERROR(__xludf.DUMMYFUNCTION("""COMPUTED_VALUE"""),"Assembly")</f>
        <v>Assembly</v>
      </c>
      <c r="L3992" s="9" t="str">
        <f>IFERROR(__xludf.DUMMYFUNCTION("""COMPUTED_VALUE"""),"Java")</f>
        <v>Java</v>
      </c>
      <c r="M3992" s="9" t="s">
        <v>41</v>
      </c>
    </row>
    <row r="3993" ht="15.75" customHeight="1">
      <c r="A3993" s="7"/>
      <c r="B3993" s="7" t="str">
        <f>IFERROR(__xludf.DUMMYFUNCTION("""COMPUTED_VALUE"""),"C++;C#;HTML/CSS;Java;TypeScript")</f>
        <v>C++;C#;HTML/CSS;Java;TypeScript</v>
      </c>
      <c r="C3993" s="9" t="str">
        <f>IFERROR(__xludf.DUMMYFUNCTION("""COMPUTED_VALUE"""),"HTML/CSS")</f>
        <v>HTML/CSS</v>
      </c>
      <c r="D3993" s="9" t="str">
        <f>IFERROR(__xludf.DUMMYFUNCTION("""COMPUTED_VALUE"""),"PHP")</f>
        <v>PHP</v>
      </c>
      <c r="E3993" s="9" t="str">
        <f>IFERROR(__xludf.DUMMYFUNCTION("""COMPUTED_VALUE"""),"Java")</f>
        <v>Java</v>
      </c>
      <c r="F3993" s="9" t="str">
        <f>IFERROR(__xludf.DUMMYFUNCTION("""COMPUTED_VALUE"""),"HTML/CSS")</f>
        <v>HTML/CSS</v>
      </c>
      <c r="G3993" s="9" t="str">
        <f>IFERROR(__xludf.DUMMYFUNCTION("""COMPUTED_VALUE"""),"JavaScript")</f>
        <v>JavaScript</v>
      </c>
      <c r="H3993" s="9" t="str">
        <f>IFERROR(__xludf.DUMMYFUNCTION("""COMPUTED_VALUE"""),"HTML/CSS")</f>
        <v>HTML/CSS</v>
      </c>
      <c r="I3993" s="9" t="str">
        <f>IFERROR(__xludf.DUMMYFUNCTION("""COMPUTED_VALUE"""),"C++")</f>
        <v>C++</v>
      </c>
      <c r="J3993" s="9" t="str">
        <f>IFERROR(__xludf.DUMMYFUNCTION("""COMPUTED_VALUE"""),"JavaScript")</f>
        <v>JavaScript</v>
      </c>
      <c r="K3993" s="9" t="str">
        <f>IFERROR(__xludf.DUMMYFUNCTION("""COMPUTED_VALUE"""),"Bash/Shell/PowerShell")</f>
        <v>Bash/Shell/PowerShell</v>
      </c>
      <c r="L3993" s="9" t="str">
        <f>IFERROR(__xludf.DUMMYFUNCTION("""COMPUTED_VALUE"""),"Other(s):")</f>
        <v>Other(s):</v>
      </c>
      <c r="M3993" s="9" t="s">
        <v>24</v>
      </c>
    </row>
    <row r="3994" ht="15.75" customHeight="1">
      <c r="A3994" s="7"/>
      <c r="B3994" s="7" t="str">
        <f>IFERROR(__xludf.DUMMYFUNCTION("""COMPUTED_VALUE"""),"Bash/Shell/PowerShell;C;HTML/CSS;JavaScript")</f>
        <v>Bash/Shell/PowerShell;C;HTML/CSS;JavaScript</v>
      </c>
      <c r="C3994" s="9" t="str">
        <f>IFERROR(__xludf.DUMMYFUNCTION("""COMPUTED_VALUE"""),"JavaScript")</f>
        <v>JavaScript</v>
      </c>
      <c r="D3994" s="9" t="str">
        <f>IFERROR(__xludf.DUMMYFUNCTION("""COMPUTED_VALUE"""),"Python")</f>
        <v>Python</v>
      </c>
      <c r="E3994" s="9" t="str">
        <f>IFERROR(__xludf.DUMMYFUNCTION("""COMPUTED_VALUE"""),"Rust")</f>
        <v>Rust</v>
      </c>
      <c r="F3994" s="9" t="str">
        <f>IFERROR(__xludf.DUMMYFUNCTION("""COMPUTED_VALUE"""),"Java")</f>
        <v>Java</v>
      </c>
      <c r="G3994" s="9" t="str">
        <f>IFERROR(__xludf.DUMMYFUNCTION("""COMPUTED_VALUE"""),"SQL")</f>
        <v>SQL</v>
      </c>
      <c r="H3994" s="9" t="str">
        <f>IFERROR(__xludf.DUMMYFUNCTION("""COMPUTED_VALUE"""),"Java")</f>
        <v>Java</v>
      </c>
      <c r="I3994" s="9" t="str">
        <f>IFERROR(__xludf.DUMMYFUNCTION("""COMPUTED_VALUE"""),"C#")</f>
        <v>C#</v>
      </c>
      <c r="J3994" s="9" t="str">
        <f>IFERROR(__xludf.DUMMYFUNCTION("""COMPUTED_VALUE"""),"Python")</f>
        <v>Python</v>
      </c>
      <c r="K3994" s="9" t="str">
        <f>IFERROR(__xludf.DUMMYFUNCTION("""COMPUTED_VALUE"""),"C")</f>
        <v>C</v>
      </c>
      <c r="L3994" s="9" t="str">
        <f>IFERROR(__xludf.DUMMYFUNCTION("""COMPUTED_VALUE"""),"C#")</f>
        <v>C#</v>
      </c>
      <c r="M3994" s="9" t="s">
        <v>21</v>
      </c>
    </row>
    <row r="3995" ht="15.75" customHeight="1">
      <c r="A3995" s="7"/>
      <c r="B3995" s="7" t="str">
        <f>IFERROR(__xludf.DUMMYFUNCTION("""COMPUTED_VALUE"""),"HTML/CSS;JavaScript;PHP;Python;SQL")</f>
        <v>HTML/CSS;JavaScript;PHP;Python;SQL</v>
      </c>
      <c r="C3995" s="9" t="str">
        <f>IFERROR(__xludf.DUMMYFUNCTION("""COMPUTED_VALUE"""),"PHP")</f>
        <v>PHP</v>
      </c>
      <c r="D3995" s="9" t="str">
        <f>IFERROR(__xludf.DUMMYFUNCTION("""COMPUTED_VALUE"""),"SQL")</f>
        <v>SQL</v>
      </c>
      <c r="E3995" s="9" t="str">
        <f>IFERROR(__xludf.DUMMYFUNCTION("""COMPUTED_VALUE"""),"C#")</f>
        <v>C#</v>
      </c>
      <c r="F3995" s="9" t="str">
        <f>IFERROR(__xludf.DUMMYFUNCTION("""COMPUTED_VALUE"""),"JavaScript")</f>
        <v>JavaScript</v>
      </c>
      <c r="G3995" s="9" t="str">
        <f>IFERROR(__xludf.DUMMYFUNCTION("""COMPUTED_VALUE"""),"Bash/Shell/PowerShell")</f>
        <v>Bash/Shell/PowerShell</v>
      </c>
      <c r="H3995" s="9" t="str">
        <f>IFERROR(__xludf.DUMMYFUNCTION("""COMPUTED_VALUE"""),"JavaScript")</f>
        <v>JavaScript</v>
      </c>
      <c r="I3995" s="9" t="str">
        <f>IFERROR(__xludf.DUMMYFUNCTION("""COMPUTED_VALUE"""),"HTML/CSS")</f>
        <v>HTML/CSS</v>
      </c>
      <c r="J3995" s="9" t="str">
        <f>IFERROR(__xludf.DUMMYFUNCTION("""COMPUTED_VALUE"""),"Bash/Shell/PowerShell")</f>
        <v>Bash/Shell/PowerShell</v>
      </c>
      <c r="K3995" s="9" t="str">
        <f>IFERROR(__xludf.DUMMYFUNCTION("""COMPUTED_VALUE"""),"C++")</f>
        <v>C++</v>
      </c>
      <c r="L3995" s="9" t="str">
        <f>IFERROR(__xludf.DUMMYFUNCTION("""COMPUTED_VALUE"""),"HTML/CSS")</f>
        <v>HTML/CSS</v>
      </c>
      <c r="M3995" s="9" t="s">
        <v>37</v>
      </c>
    </row>
    <row r="3996" ht="15.75" customHeight="1">
      <c r="A3996" s="7"/>
      <c r="B3996" s="7" t="str">
        <f>IFERROR(__xludf.DUMMYFUNCTION("""COMPUTED_VALUE"""),"Bash/Shell/PowerShell;C#;Erlang;HTML/CSS;JavaScript;SQL;TypeScript")</f>
        <v>Bash/Shell/PowerShell;C#;Erlang;HTML/CSS;JavaScript;SQL;TypeScript</v>
      </c>
      <c r="C3996" s="9" t="str">
        <f>IFERROR(__xludf.DUMMYFUNCTION("""COMPUTED_VALUE"""),"SQL")</f>
        <v>SQL</v>
      </c>
      <c r="D3996" s="9" t="str">
        <f>IFERROR(__xludf.DUMMYFUNCTION("""COMPUTED_VALUE"""),"TypeScript")</f>
        <v>TypeScript</v>
      </c>
      <c r="E3996" s="9" t="str">
        <f>IFERROR(__xludf.DUMMYFUNCTION("""COMPUTED_VALUE"""),"HTML/CSS")</f>
        <v>HTML/CSS</v>
      </c>
      <c r="F3996" s="9" t="str">
        <f>IFERROR(__xludf.DUMMYFUNCTION("""COMPUTED_VALUE"""),"Python")</f>
        <v>Python</v>
      </c>
      <c r="G3996" s="9" t="str">
        <f>IFERROR(__xludf.DUMMYFUNCTION("""COMPUTED_VALUE"""),"C++")</f>
        <v>C++</v>
      </c>
      <c r="H3996" s="9" t="str">
        <f>IFERROR(__xludf.DUMMYFUNCTION("""COMPUTED_VALUE"""),"Python")</f>
        <v>Python</v>
      </c>
      <c r="I3996" s="9" t="str">
        <f>IFERROR(__xludf.DUMMYFUNCTION("""COMPUTED_VALUE"""),"Java")</f>
        <v>Java</v>
      </c>
      <c r="J3996" s="9" t="str">
        <f>IFERROR(__xludf.DUMMYFUNCTION("""COMPUTED_VALUE"""),"HTML/CSS")</f>
        <v>HTML/CSS</v>
      </c>
      <c r="K3996" s="9" t="str">
        <f>IFERROR(__xludf.DUMMYFUNCTION("""COMPUTED_VALUE"""),"C#")</f>
        <v>C#</v>
      </c>
      <c r="L3996" s="9" t="str">
        <f>IFERROR(__xludf.DUMMYFUNCTION("""COMPUTED_VALUE"""),"JavaScript")</f>
        <v>JavaScript</v>
      </c>
      <c r="M3996" s="9" t="s">
        <v>27</v>
      </c>
    </row>
    <row r="3997" ht="15.75" customHeight="1">
      <c r="A3997" s="7"/>
      <c r="B3997" s="7" t="str">
        <f>IFERROR(__xludf.DUMMYFUNCTION("""COMPUTED_VALUE"""),"Assembly;Bash/Shell/PowerShell;C;C++;PHP;Python;SQL;Other(s):")</f>
        <v>Assembly;Bash/Shell/PowerShell;C;C++;PHP;Python;SQL;Other(s):</v>
      </c>
      <c r="C3997" s="9" t="str">
        <f>IFERROR(__xludf.DUMMYFUNCTION("""COMPUTED_VALUE"""),"Swift")</f>
        <v>Swift</v>
      </c>
      <c r="D3997" s="9" t="str">
        <f>IFERROR(__xludf.DUMMYFUNCTION("""COMPUTED_VALUE"""),"C")</f>
        <v>C</v>
      </c>
      <c r="E3997" s="9" t="str">
        <f>IFERROR(__xludf.DUMMYFUNCTION("""COMPUTED_VALUE"""),"JavaScript")</f>
        <v>JavaScript</v>
      </c>
      <c r="F3997" s="9" t="str">
        <f>IFERROR(__xludf.DUMMYFUNCTION("""COMPUTED_VALUE"""),"SQL")</f>
        <v>SQL</v>
      </c>
      <c r="G3997" s="9" t="str">
        <f>IFERROR(__xludf.DUMMYFUNCTION("""COMPUTED_VALUE"""),"C#")</f>
        <v>C#</v>
      </c>
      <c r="H3997" s="9" t="str">
        <f>IFERROR(__xludf.DUMMYFUNCTION("""COMPUTED_VALUE"""),"SQL")</f>
        <v>SQL</v>
      </c>
      <c r="I3997" s="9" t="str">
        <f>IFERROR(__xludf.DUMMYFUNCTION("""COMPUTED_VALUE"""),"JavaScript")</f>
        <v>JavaScript</v>
      </c>
      <c r="J3997" s="9" t="str">
        <f>IFERROR(__xludf.DUMMYFUNCTION("""COMPUTED_VALUE"""),"JavaScript")</f>
        <v>JavaScript</v>
      </c>
      <c r="K3997" s="9" t="str">
        <f>IFERROR(__xludf.DUMMYFUNCTION("""COMPUTED_VALUE"""),"Erlang")</f>
        <v>Erlang</v>
      </c>
      <c r="L3997" s="9" t="str">
        <f>IFERROR(__xludf.DUMMYFUNCTION("""COMPUTED_VALUE"""),"SQL")</f>
        <v>SQL</v>
      </c>
      <c r="M3997" s="9" t="s">
        <v>40</v>
      </c>
    </row>
    <row r="3998" ht="15.75" customHeight="1">
      <c r="A3998" s="7"/>
      <c r="B3998" s="7" t="str">
        <f>IFERROR(__xludf.DUMMYFUNCTION("""COMPUTED_VALUE"""),"Bash/Shell/PowerShell;C;HTML/CSS;Java;JavaScript;Objective-C;PHP;SQL;TypeScript")</f>
        <v>Bash/Shell/PowerShell;C;HTML/CSS;Java;JavaScript;Objective-C;PHP;SQL;TypeScript</v>
      </c>
      <c r="C3998" s="9" t="str">
        <f>IFERROR(__xludf.DUMMYFUNCTION("""COMPUTED_VALUE"""),"Assembly")</f>
        <v>Assembly</v>
      </c>
      <c r="D3998" s="9" t="str">
        <f>IFERROR(__xludf.DUMMYFUNCTION("""COMPUTED_VALUE"""),"C++")</f>
        <v>C++</v>
      </c>
      <c r="E3998" s="9" t="str">
        <f>IFERROR(__xludf.DUMMYFUNCTION("""COMPUTED_VALUE"""),"SQL")</f>
        <v>SQL</v>
      </c>
      <c r="F3998" s="9" t="str">
        <f>IFERROR(__xludf.DUMMYFUNCTION("""COMPUTED_VALUE"""),"C#")</f>
        <v>C#</v>
      </c>
      <c r="G3998" s="9" t="str">
        <f>IFERROR(__xludf.DUMMYFUNCTION("""COMPUTED_VALUE"""),"HTML/CSS")</f>
        <v>HTML/CSS</v>
      </c>
      <c r="H3998" s="9" t="str">
        <f>IFERROR(__xludf.DUMMYFUNCTION("""COMPUTED_VALUE"""),"TypeScript")</f>
        <v>TypeScript</v>
      </c>
      <c r="I3998" s="9" t="str">
        <f>IFERROR(__xludf.DUMMYFUNCTION("""COMPUTED_VALUE"""),"Python")</f>
        <v>Python</v>
      </c>
      <c r="J3998" s="9" t="str">
        <f>IFERROR(__xludf.DUMMYFUNCTION("""COMPUTED_VALUE"""),"Python")</f>
        <v>Python</v>
      </c>
      <c r="K3998" s="9" t="str">
        <f>IFERROR(__xludf.DUMMYFUNCTION("""COMPUTED_VALUE"""),"HTML/CSS")</f>
        <v>HTML/CSS</v>
      </c>
      <c r="L3998" s="9" t="str">
        <f>IFERROR(__xludf.DUMMYFUNCTION("""COMPUTED_VALUE"""),"C")</f>
        <v>C</v>
      </c>
      <c r="M3998" s="9" t="s">
        <v>38</v>
      </c>
    </row>
    <row r="3999" ht="15.75" customHeight="1">
      <c r="A3999" s="7"/>
      <c r="B3999" s="7" t="str">
        <f>IFERROR(__xludf.DUMMYFUNCTION("""COMPUTED_VALUE"""),"HTML/CSS;JavaScript;PHP;Python;SQL;TypeScript")</f>
        <v>HTML/CSS;JavaScript;PHP;Python;SQL;TypeScript</v>
      </c>
      <c r="C3999" s="9" t="str">
        <f>IFERROR(__xludf.DUMMYFUNCTION("""COMPUTED_VALUE"""),"Bash/Shell/PowerShell")</f>
        <v>Bash/Shell/PowerShell</v>
      </c>
      <c r="D3999" s="9" t="str">
        <f>IFERROR(__xludf.DUMMYFUNCTION("""COMPUTED_VALUE"""),"HTML/CSS")</f>
        <v>HTML/CSS</v>
      </c>
      <c r="E3999" s="9" t="str">
        <f>IFERROR(__xludf.DUMMYFUNCTION("""COMPUTED_VALUE"""),"Go")</f>
        <v>Go</v>
      </c>
      <c r="F3999" s="9" t="str">
        <f>IFERROR(__xludf.DUMMYFUNCTION("""COMPUTED_VALUE"""),"Elixir")</f>
        <v>Elixir</v>
      </c>
      <c r="G3999" s="9" t="str">
        <f>IFERROR(__xludf.DUMMYFUNCTION("""COMPUTED_VALUE"""),"JavaScript")</f>
        <v>JavaScript</v>
      </c>
      <c r="H3999" s="9" t="str">
        <f>IFERROR(__xludf.DUMMYFUNCTION("""COMPUTED_VALUE"""),"WebAssembly")</f>
        <v>WebAssembly</v>
      </c>
      <c r="I3999" s="9" t="str">
        <f>IFERROR(__xludf.DUMMYFUNCTION("""COMPUTED_VALUE"""),"SQL")</f>
        <v>SQL</v>
      </c>
      <c r="J3999" s="9" t="str">
        <f>IFERROR(__xludf.DUMMYFUNCTION("""COMPUTED_VALUE"""),"TypeScript")</f>
        <v>TypeScript</v>
      </c>
      <c r="K3999" s="9" t="str">
        <f>IFERROR(__xludf.DUMMYFUNCTION("""COMPUTED_VALUE"""),"Java")</f>
        <v>Java</v>
      </c>
      <c r="L3999" s="9" t="str">
        <f>IFERROR(__xludf.DUMMYFUNCTION("""COMPUTED_VALUE"""),"C++")</f>
        <v>C++</v>
      </c>
      <c r="M3999" s="9" t="s">
        <v>30</v>
      </c>
    </row>
    <row r="4000" ht="15.75" customHeight="1">
      <c r="A4000" s="7"/>
      <c r="B4000" s="7" t="str">
        <f>IFERROR(__xludf.DUMMYFUNCTION("""COMPUTED_VALUE"""),"Assembly;Bash/Shell/PowerShell;C;Go;Python;Ruby;WebAssembly")</f>
        <v>Assembly;Bash/Shell/PowerShell;C;Go;Python;Ruby;WebAssembly</v>
      </c>
      <c r="C4000" s="9" t="str">
        <f>IFERROR(__xludf.DUMMYFUNCTION("""COMPUTED_VALUE"""),"C")</f>
        <v>C</v>
      </c>
      <c r="D4000" s="9" t="str">
        <f>IFERROR(__xludf.DUMMYFUNCTION("""COMPUTED_VALUE"""),"Java")</f>
        <v>Java</v>
      </c>
      <c r="E4000" s="9" t="str">
        <f>IFERROR(__xludf.DUMMYFUNCTION("""COMPUTED_VALUE"""),"Ruby")</f>
        <v>Ruby</v>
      </c>
      <c r="F4000" s="9" t="str">
        <f>IFERROR(__xludf.DUMMYFUNCTION("""COMPUTED_VALUE"""),"Erlang")</f>
        <v>Erlang</v>
      </c>
      <c r="G4000" s="9" t="str">
        <f>IFERROR(__xludf.DUMMYFUNCTION("""COMPUTED_VALUE"""),"PHP")</f>
        <v>PHP</v>
      </c>
      <c r="H4000" s="9" t="str">
        <f>IFERROR(__xludf.DUMMYFUNCTION("""COMPUTED_VALUE"""),"Assembly")</f>
        <v>Assembly</v>
      </c>
      <c r="I4000" s="9" t="str">
        <f>IFERROR(__xludf.DUMMYFUNCTION("""COMPUTED_VALUE"""),"VBA")</f>
        <v>VBA</v>
      </c>
      <c r="J4000" s="9" t="str">
        <f>IFERROR(__xludf.DUMMYFUNCTION("""COMPUTED_VALUE"""),"Python")</f>
        <v>Python</v>
      </c>
      <c r="K4000" s="9" t="str">
        <f>IFERROR(__xludf.DUMMYFUNCTION("""COMPUTED_VALUE"""),"JavaScript")</f>
        <v>JavaScript</v>
      </c>
      <c r="L4000" s="9" t="str">
        <f>IFERROR(__xludf.DUMMYFUNCTION("""COMPUTED_VALUE"""),"C#")</f>
        <v>C#</v>
      </c>
      <c r="M4000" s="9" t="s">
        <v>25</v>
      </c>
    </row>
    <row r="4001" ht="15.75" customHeight="1">
      <c r="A4001" s="7"/>
      <c r="B4001" s="7" t="str">
        <f>IFERROR(__xludf.DUMMYFUNCTION("""COMPUTED_VALUE"""),"Bash/Shell/PowerShell;Java;Python")</f>
        <v>Bash/Shell/PowerShell;Java;Python</v>
      </c>
      <c r="C4001" s="9" t="str">
        <f>IFERROR(__xludf.DUMMYFUNCTION("""COMPUTED_VALUE"""),"C++")</f>
        <v>C++</v>
      </c>
      <c r="D4001" s="9" t="str">
        <f>IFERROR(__xludf.DUMMYFUNCTION("""COMPUTED_VALUE"""),"JavaScript")</f>
        <v>JavaScript</v>
      </c>
      <c r="E4001" s="9" t="str">
        <f>IFERROR(__xludf.DUMMYFUNCTION("""COMPUTED_VALUE"""),"TypeScript")</f>
        <v>TypeScript</v>
      </c>
      <c r="F4001" s="9" t="str">
        <f>IFERROR(__xludf.DUMMYFUNCTION("""COMPUTED_VALUE"""),"Java")</f>
        <v>Java</v>
      </c>
      <c r="G4001" s="9" t="str">
        <f>IFERROR(__xludf.DUMMYFUNCTION("""COMPUTED_VALUE"""),"Python")</f>
        <v>Python</v>
      </c>
      <c r="H4001" s="9" t="str">
        <f>IFERROR(__xludf.DUMMYFUNCTION("""COMPUTED_VALUE"""),"C")</f>
        <v>C</v>
      </c>
      <c r="I4001" s="9" t="str">
        <f>IFERROR(__xludf.DUMMYFUNCTION("""COMPUTED_VALUE"""),"C")</f>
        <v>C</v>
      </c>
      <c r="J4001" s="9" t="str">
        <f>IFERROR(__xludf.DUMMYFUNCTION("""COMPUTED_VALUE"""),"SQL")</f>
        <v>SQL</v>
      </c>
      <c r="K4001" s="9" t="str">
        <f>IFERROR(__xludf.DUMMYFUNCTION("""COMPUTED_VALUE"""),"Python")</f>
        <v>Python</v>
      </c>
      <c r="L4001" s="9" t="str">
        <f>IFERROR(__xludf.DUMMYFUNCTION("""COMPUTED_VALUE"""),"HTML/CSS")</f>
        <v>HTML/CSS</v>
      </c>
      <c r="M4001" s="9" t="s">
        <v>23</v>
      </c>
    </row>
    <row r="4002" ht="15.75" customHeight="1">
      <c r="A4002" s="7"/>
      <c r="B4002" s="7" t="str">
        <f>IFERROR(__xludf.DUMMYFUNCTION("""COMPUTED_VALUE"""),"Bash/Shell/PowerShell;C#;HTML/CSS;JavaScript;SQL;TypeScript")</f>
        <v>Bash/Shell/PowerShell;C#;HTML/CSS;JavaScript;SQL;TypeScript</v>
      </c>
      <c r="C4002" s="9" t="str">
        <f>IFERROR(__xludf.DUMMYFUNCTION("""COMPUTED_VALUE"""),"C#")</f>
        <v>C#</v>
      </c>
      <c r="D4002" s="9" t="str">
        <f>IFERROR(__xludf.DUMMYFUNCTION("""COMPUTED_VALUE"""),"PHP")</f>
        <v>PHP</v>
      </c>
      <c r="E4002" s="9" t="str">
        <f>IFERROR(__xludf.DUMMYFUNCTION("""COMPUTED_VALUE"""),"Assembly")</f>
        <v>Assembly</v>
      </c>
      <c r="F4002" s="9" t="str">
        <f>IFERROR(__xludf.DUMMYFUNCTION("""COMPUTED_VALUE"""),"JavaScript")</f>
        <v>JavaScript</v>
      </c>
      <c r="G4002" s="9" t="str">
        <f>IFERROR(__xludf.DUMMYFUNCTION("""COMPUTED_VALUE"""),"Swift")</f>
        <v>Swift</v>
      </c>
      <c r="H4002" s="9" t="str">
        <f>IFERROR(__xludf.DUMMYFUNCTION("""COMPUTED_VALUE"""),"C++")</f>
        <v>C++</v>
      </c>
      <c r="I4002" s="9" t="str">
        <f>IFERROR(__xludf.DUMMYFUNCTION("""COMPUTED_VALUE"""),"C++")</f>
        <v>C++</v>
      </c>
      <c r="J4002" s="9" t="str">
        <f>IFERROR(__xludf.DUMMYFUNCTION("""COMPUTED_VALUE"""),"VBA")</f>
        <v>VBA</v>
      </c>
      <c r="K4002" s="9" t="str">
        <f>IFERROR(__xludf.DUMMYFUNCTION("""COMPUTED_VALUE"""),"SQL")</f>
        <v>SQL</v>
      </c>
      <c r="L4002" s="9" t="str">
        <f>IFERROR(__xludf.DUMMYFUNCTION("""COMPUTED_VALUE"""),"Java")</f>
        <v>Java</v>
      </c>
      <c r="M4002" s="9" t="s">
        <v>26</v>
      </c>
    </row>
    <row r="4003" ht="15.75" customHeight="1">
      <c r="A4003" s="7"/>
      <c r="B4003" s="7" t="str">
        <f>IFERROR(__xludf.DUMMYFUNCTION("""COMPUTED_VALUE"""),"C#;HTML/CSS;JavaScript;SQL")</f>
        <v>C#;HTML/CSS;JavaScript;SQL</v>
      </c>
      <c r="C4003" s="9" t="str">
        <f>IFERROR(__xludf.DUMMYFUNCTION("""COMPUTED_VALUE"""),"Erlang")</f>
        <v>Erlang</v>
      </c>
      <c r="D4003" s="9" t="str">
        <f>IFERROR(__xludf.DUMMYFUNCTION("""COMPUTED_VALUE"""),"R")</f>
        <v>R</v>
      </c>
      <c r="E4003" s="9" t="str">
        <f>IFERROR(__xludf.DUMMYFUNCTION("""COMPUTED_VALUE"""),"Bash/Shell/PowerShell")</f>
        <v>Bash/Shell/PowerShell</v>
      </c>
      <c r="F4003" s="9" t="str">
        <f>IFERROR(__xludf.DUMMYFUNCTION("""COMPUTED_VALUE"""),"TypeScript")</f>
        <v>TypeScript</v>
      </c>
      <c r="G4003" s="9" t="str">
        <f>IFERROR(__xludf.DUMMYFUNCTION("""COMPUTED_VALUE"""),"Java")</f>
        <v>Java</v>
      </c>
      <c r="H4003" s="9" t="str">
        <f>IFERROR(__xludf.DUMMYFUNCTION("""COMPUTED_VALUE"""),"Java")</f>
        <v>Java</v>
      </c>
      <c r="I4003" s="9" t="str">
        <f>IFERROR(__xludf.DUMMYFUNCTION("""COMPUTED_VALUE"""),"Python")</f>
        <v>Python</v>
      </c>
      <c r="J4003" s="9" t="str">
        <f>IFERROR(__xludf.DUMMYFUNCTION("""COMPUTED_VALUE"""),"Other(s):")</f>
        <v>Other(s):</v>
      </c>
      <c r="K4003" s="9" t="str">
        <f>IFERROR(__xludf.DUMMYFUNCTION("""COMPUTED_VALUE"""),"Bash/Shell/PowerShell")</f>
        <v>Bash/Shell/PowerShell</v>
      </c>
      <c r="L4003" s="9" t="str">
        <f>IFERROR(__xludf.DUMMYFUNCTION("""COMPUTED_VALUE"""),"JavaScript")</f>
        <v>JavaScript</v>
      </c>
      <c r="M4003" s="9" t="s">
        <v>43</v>
      </c>
    </row>
    <row r="4004" ht="15.75" customHeight="1">
      <c r="A4004" s="7"/>
      <c r="B4004" s="7" t="str">
        <f>IFERROR(__xludf.DUMMYFUNCTION("""COMPUTED_VALUE"""),"Bash/Shell/PowerShell;C++;C#;HTML/CSS;Java;JavaScript;Python;SQL")</f>
        <v>Bash/Shell/PowerShell;C++;C#;HTML/CSS;Java;JavaScript;Python;SQL</v>
      </c>
      <c r="C4004" s="9" t="str">
        <f>IFERROR(__xludf.DUMMYFUNCTION("""COMPUTED_VALUE"""),"Go")</f>
        <v>Go</v>
      </c>
      <c r="D4004" s="9" t="str">
        <f>IFERROR(__xludf.DUMMYFUNCTION("""COMPUTED_VALUE"""),"VBA")</f>
        <v>VBA</v>
      </c>
      <c r="E4004" s="9" t="str">
        <f>IFERROR(__xludf.DUMMYFUNCTION("""COMPUTED_VALUE"""),"C")</f>
        <v>C</v>
      </c>
      <c r="F4004" s="9" t="str">
        <f>IFERROR(__xludf.DUMMYFUNCTION("""COMPUTED_VALUE"""),"Bash/Shell/PowerShell")</f>
        <v>Bash/Shell/PowerShell</v>
      </c>
      <c r="G4004" s="9" t="str">
        <f>IFERROR(__xludf.DUMMYFUNCTION("""COMPUTED_VALUE"""),"C")</f>
        <v>C</v>
      </c>
      <c r="H4004" s="9" t="str">
        <f>IFERROR(__xludf.DUMMYFUNCTION("""COMPUTED_VALUE"""),"JavaScript")</f>
        <v>JavaScript</v>
      </c>
      <c r="I4004" s="9" t="str">
        <f>IFERROR(__xludf.DUMMYFUNCTION("""COMPUTED_VALUE"""),"Bash/Shell/PowerShell")</f>
        <v>Bash/Shell/PowerShell</v>
      </c>
      <c r="J4004" s="9" t="str">
        <f>IFERROR(__xludf.DUMMYFUNCTION("""COMPUTED_VALUE"""),"Bash/Shell/PowerShell")</f>
        <v>Bash/Shell/PowerShell</v>
      </c>
      <c r="K4004" s="9" t="str">
        <f>IFERROR(__xludf.DUMMYFUNCTION("""COMPUTED_VALUE"""),"HTML/CSS")</f>
        <v>HTML/CSS</v>
      </c>
      <c r="L4004" s="9" t="str">
        <f>IFERROR(__xludf.DUMMYFUNCTION("""COMPUTED_VALUE"""),"PHP")</f>
        <v>PHP</v>
      </c>
      <c r="M4004" s="9" t="s">
        <v>36</v>
      </c>
    </row>
    <row r="4005" ht="15.75" customHeight="1">
      <c r="A4005" s="7"/>
      <c r="B4005" s="7" t="str">
        <f>IFERROR(__xludf.DUMMYFUNCTION("""COMPUTED_VALUE"""),"C#;Python;R;SQL")</f>
        <v>C#;Python;R;SQL</v>
      </c>
      <c r="C4005" s="9" t="str">
        <f>IFERROR(__xludf.DUMMYFUNCTION("""COMPUTED_VALUE"""),"HTML/CSS")</f>
        <v>HTML/CSS</v>
      </c>
      <c r="D4005" s="9" t="str">
        <f>IFERROR(__xludf.DUMMYFUNCTION("""COMPUTED_VALUE"""),"Bash/Shell/PowerShell")</f>
        <v>Bash/Shell/PowerShell</v>
      </c>
      <c r="E4005" s="9" t="str">
        <f>IFERROR(__xludf.DUMMYFUNCTION("""COMPUTED_VALUE"""),"C++")</f>
        <v>C++</v>
      </c>
      <c r="F4005" s="9" t="str">
        <f>IFERROR(__xludf.DUMMYFUNCTION("""COMPUTED_VALUE"""),"C")</f>
        <v>C</v>
      </c>
      <c r="G4005" s="9" t="str">
        <f>IFERROR(__xludf.DUMMYFUNCTION("""COMPUTED_VALUE"""),"HTML/CSS")</f>
        <v>HTML/CSS</v>
      </c>
      <c r="H4005" s="9" t="str">
        <f>IFERROR(__xludf.DUMMYFUNCTION("""COMPUTED_VALUE"""),"PHP")</f>
        <v>PHP</v>
      </c>
      <c r="I4005" s="9" t="str">
        <f>IFERROR(__xludf.DUMMYFUNCTION("""COMPUTED_VALUE"""),"C#")</f>
        <v>C#</v>
      </c>
      <c r="J4005" s="9" t="str">
        <f>IFERROR(__xludf.DUMMYFUNCTION("""COMPUTED_VALUE"""),"C")</f>
        <v>C</v>
      </c>
      <c r="K4005" s="9" t="str">
        <f>IFERROR(__xludf.DUMMYFUNCTION("""COMPUTED_VALUE"""),"Java")</f>
        <v>Java</v>
      </c>
      <c r="L4005" s="9" t="str">
        <f>IFERROR(__xludf.DUMMYFUNCTION("""COMPUTED_VALUE"""),"SQL")</f>
        <v>SQL</v>
      </c>
      <c r="M4005" s="9" t="s">
        <v>24</v>
      </c>
    </row>
    <row r="4006" ht="15.75" customHeight="1">
      <c r="A4006" s="7"/>
      <c r="B4006" s="7" t="str">
        <f>IFERROR(__xludf.DUMMYFUNCTION("""COMPUTED_VALUE"""),"Bash/Shell/PowerShell;HTML/CSS;JavaScript;PHP;SQL")</f>
        <v>Bash/Shell/PowerShell;HTML/CSS;JavaScript;PHP;SQL</v>
      </c>
      <c r="C4006" s="9" t="str">
        <f>IFERROR(__xludf.DUMMYFUNCTION("""COMPUTED_VALUE"""),"Java")</f>
        <v>Java</v>
      </c>
      <c r="D4006" s="9" t="str">
        <f>IFERROR(__xludf.DUMMYFUNCTION("""COMPUTED_VALUE"""),"C++")</f>
        <v>C++</v>
      </c>
      <c r="E4006" s="9" t="str">
        <f>IFERROR(__xludf.DUMMYFUNCTION("""COMPUTED_VALUE"""),"C#")</f>
        <v>C#</v>
      </c>
      <c r="F4006" s="9" t="str">
        <f>IFERROR(__xludf.DUMMYFUNCTION("""COMPUTED_VALUE"""),"Python")</f>
        <v>Python</v>
      </c>
      <c r="G4006" s="9" t="str">
        <f>IFERROR(__xludf.DUMMYFUNCTION("""COMPUTED_VALUE"""),"Java")</f>
        <v>Java</v>
      </c>
      <c r="H4006" s="9" t="str">
        <f>IFERROR(__xludf.DUMMYFUNCTION("""COMPUTED_VALUE"""),"Python")</f>
        <v>Python</v>
      </c>
      <c r="I4006" s="9" t="str">
        <f>IFERROR(__xludf.DUMMYFUNCTION("""COMPUTED_VALUE"""),"HTML/CSS")</f>
        <v>HTML/CSS</v>
      </c>
      <c r="J4006" s="9" t="str">
        <f>IFERROR(__xludf.DUMMYFUNCTION("""COMPUTED_VALUE"""),"C++")</f>
        <v>C++</v>
      </c>
      <c r="K4006" s="9" t="str">
        <f>IFERROR(__xludf.DUMMYFUNCTION("""COMPUTED_VALUE"""),"JavaScript")</f>
        <v>JavaScript</v>
      </c>
      <c r="L4006" s="9" t="str">
        <f>IFERROR(__xludf.DUMMYFUNCTION("""COMPUTED_VALUE"""),"Bash/Shell/PowerShell")</f>
        <v>Bash/Shell/PowerShell</v>
      </c>
      <c r="M4006" s="9" t="s">
        <v>20</v>
      </c>
    </row>
    <row r="4007" ht="15.75" customHeight="1">
      <c r="A4007" s="7"/>
      <c r="B4007" s="7" t="str">
        <f>IFERROR(__xludf.DUMMYFUNCTION("""COMPUTED_VALUE"""),"Bash/Shell/PowerShell;Python;Ruby")</f>
        <v>Bash/Shell/PowerShell;Python;Ruby</v>
      </c>
      <c r="C4007" s="9" t="str">
        <f>IFERROR(__xludf.DUMMYFUNCTION("""COMPUTED_VALUE"""),"JavaScript")</f>
        <v>JavaScript</v>
      </c>
      <c r="D4007" s="9" t="str">
        <f>IFERROR(__xludf.DUMMYFUNCTION("""COMPUTED_VALUE"""),"C#")</f>
        <v>C#</v>
      </c>
      <c r="E4007" s="9" t="str">
        <f>IFERROR(__xludf.DUMMYFUNCTION("""COMPUTED_VALUE"""),"Go")</f>
        <v>Go</v>
      </c>
      <c r="F4007" s="9" t="str">
        <f>IFERROR(__xludf.DUMMYFUNCTION("""COMPUTED_VALUE"""),"Other(s):")</f>
        <v>Other(s):</v>
      </c>
      <c r="G4007" s="9" t="str">
        <f>IFERROR(__xludf.DUMMYFUNCTION("""COMPUTED_VALUE"""),"JavaScript")</f>
        <v>JavaScript</v>
      </c>
      <c r="H4007" s="9" t="str">
        <f>IFERROR(__xludf.DUMMYFUNCTION("""COMPUTED_VALUE"""),"SQL")</f>
        <v>SQL</v>
      </c>
      <c r="I4007" s="9" t="str">
        <f>IFERROR(__xludf.DUMMYFUNCTION("""COMPUTED_VALUE"""),"JavaScript")</f>
        <v>JavaScript</v>
      </c>
      <c r="J4007" s="9" t="str">
        <f>IFERROR(__xludf.DUMMYFUNCTION("""COMPUTED_VALUE"""),"HTML/CSS")</f>
        <v>HTML/CSS</v>
      </c>
      <c r="K4007" s="9" t="str">
        <f>IFERROR(__xludf.DUMMYFUNCTION("""COMPUTED_VALUE"""),"SQL")</f>
        <v>SQL</v>
      </c>
      <c r="L4007" s="9" t="str">
        <f>IFERROR(__xludf.DUMMYFUNCTION("""COMPUTED_VALUE"""),"C")</f>
        <v>C</v>
      </c>
      <c r="M4007" s="9" t="s">
        <v>21</v>
      </c>
    </row>
    <row r="4008" ht="15.75" customHeight="1">
      <c r="A4008" s="7"/>
      <c r="B4008" s="7" t="str">
        <f>IFERROR(__xludf.DUMMYFUNCTION("""COMPUTED_VALUE"""),"Assembly;Bash/Shell/PowerShell;JavaScript;PHP;SQL;VBA")</f>
        <v>Assembly;Bash/Shell/PowerShell;JavaScript;PHP;SQL;VBA</v>
      </c>
      <c r="C4008" s="9" t="str">
        <f>IFERROR(__xludf.DUMMYFUNCTION("""COMPUTED_VALUE"""),"Python")</f>
        <v>Python</v>
      </c>
      <c r="D4008" s="9" t="str">
        <f>IFERROR(__xludf.DUMMYFUNCTION("""COMPUTED_VALUE"""),"HTML/CSS")</f>
        <v>HTML/CSS</v>
      </c>
      <c r="E4008" s="9" t="str">
        <f>IFERROR(__xludf.DUMMYFUNCTION("""COMPUTED_VALUE"""),"HTML/CSS")</f>
        <v>HTML/CSS</v>
      </c>
      <c r="F4008" s="9" t="str">
        <f>IFERROR(__xludf.DUMMYFUNCTION("""COMPUTED_VALUE"""),"C#")</f>
        <v>C#</v>
      </c>
      <c r="G4008" s="9" t="str">
        <f>IFERROR(__xludf.DUMMYFUNCTION("""COMPUTED_VALUE"""),"PHP")</f>
        <v>PHP</v>
      </c>
      <c r="H4008" s="9" t="str">
        <f>IFERROR(__xludf.DUMMYFUNCTION("""COMPUTED_VALUE"""),"Swift")</f>
        <v>Swift</v>
      </c>
      <c r="I4008" s="9" t="str">
        <f>IFERROR(__xludf.DUMMYFUNCTION("""COMPUTED_VALUE"""),"PHP")</f>
        <v>PHP</v>
      </c>
      <c r="J4008" s="9" t="str">
        <f>IFERROR(__xludf.DUMMYFUNCTION("""COMPUTED_VALUE"""),"Java")</f>
        <v>Java</v>
      </c>
      <c r="K4008" s="9" t="str">
        <f>IFERROR(__xludf.DUMMYFUNCTION("""COMPUTED_VALUE"""),"Bash/Shell/PowerShell")</f>
        <v>Bash/Shell/PowerShell</v>
      </c>
      <c r="L4008" s="9" t="str">
        <f>IFERROR(__xludf.DUMMYFUNCTION("""COMPUTED_VALUE"""),"C++")</f>
        <v>C++</v>
      </c>
      <c r="M4008" s="9" t="s">
        <v>22</v>
      </c>
    </row>
    <row r="4009" ht="15.75" customHeight="1">
      <c r="A4009" s="7"/>
      <c r="B4009" s="7" t="str">
        <f>IFERROR(__xludf.DUMMYFUNCTION("""COMPUTED_VALUE"""),"C#;JavaScript")</f>
        <v>C#;JavaScript</v>
      </c>
      <c r="C4009" s="9" t="str">
        <f>IFERROR(__xludf.DUMMYFUNCTION("""COMPUTED_VALUE"""),"Ruby")</f>
        <v>Ruby</v>
      </c>
      <c r="D4009" s="9" t="str">
        <f>IFERROR(__xludf.DUMMYFUNCTION("""COMPUTED_VALUE"""),"Java")</f>
        <v>Java</v>
      </c>
      <c r="E4009" s="9" t="str">
        <f>IFERROR(__xludf.DUMMYFUNCTION("""COMPUTED_VALUE"""),"Java")</f>
        <v>Java</v>
      </c>
      <c r="F4009" s="9" t="str">
        <f>IFERROR(__xludf.DUMMYFUNCTION("""COMPUTED_VALUE"""),"HTML/CSS")</f>
        <v>HTML/CSS</v>
      </c>
      <c r="G4009" s="9" t="str">
        <f>IFERROR(__xludf.DUMMYFUNCTION("""COMPUTED_VALUE"""),"SQL")</f>
        <v>SQL</v>
      </c>
      <c r="H4009" s="9" t="str">
        <f>IFERROR(__xludf.DUMMYFUNCTION("""COMPUTED_VALUE"""),"TypeScript")</f>
        <v>TypeScript</v>
      </c>
      <c r="I4009" s="9" t="str">
        <f>IFERROR(__xludf.DUMMYFUNCTION("""COMPUTED_VALUE"""),"SQL")</f>
        <v>SQL</v>
      </c>
      <c r="J4009" s="9" t="str">
        <f>IFERROR(__xludf.DUMMYFUNCTION("""COMPUTED_VALUE"""),"JavaScript")</f>
        <v>JavaScript</v>
      </c>
      <c r="K4009" s="9" t="str">
        <f>IFERROR(__xludf.DUMMYFUNCTION("""COMPUTED_VALUE"""),"Go")</f>
        <v>Go</v>
      </c>
      <c r="L4009" s="9" t="str">
        <f>IFERROR(__xludf.DUMMYFUNCTION("""COMPUTED_VALUE"""),"HTML/CSS")</f>
        <v>HTML/CSS</v>
      </c>
      <c r="M4009" s="9" t="s">
        <v>31</v>
      </c>
    </row>
    <row r="4010" ht="15.75" customHeight="1">
      <c r="A4010" s="7"/>
      <c r="B4010" s="7" t="str">
        <f>IFERROR(__xludf.DUMMYFUNCTION("""COMPUTED_VALUE"""),"Bash/Shell/PowerShell;HTML/CSS;Java;JavaScript;PHP;SQL")</f>
        <v>Bash/Shell/PowerShell;HTML/CSS;Java;JavaScript;PHP;SQL</v>
      </c>
      <c r="C4010" s="9" t="str">
        <f>IFERROR(__xludf.DUMMYFUNCTION("""COMPUTED_VALUE"""),"Rust")</f>
        <v>Rust</v>
      </c>
      <c r="D4010" s="9" t="str">
        <f>IFERROR(__xludf.DUMMYFUNCTION("""COMPUTED_VALUE"""),"JavaScript")</f>
        <v>JavaScript</v>
      </c>
      <c r="E4010" s="9" t="str">
        <f>IFERROR(__xludf.DUMMYFUNCTION("""COMPUTED_VALUE"""),"JavaScript")</f>
        <v>JavaScript</v>
      </c>
      <c r="F4010" s="9" t="str">
        <f>IFERROR(__xludf.DUMMYFUNCTION("""COMPUTED_VALUE"""),"JavaScript")</f>
        <v>JavaScript</v>
      </c>
      <c r="G4010" s="9" t="str">
        <f>IFERROR(__xludf.DUMMYFUNCTION("""COMPUTED_VALUE"""),"C")</f>
        <v>C</v>
      </c>
      <c r="H4010" s="9" t="str">
        <f>IFERROR(__xludf.DUMMYFUNCTION("""COMPUTED_VALUE"""),"Clojure")</f>
        <v>Clojure</v>
      </c>
      <c r="I4010" s="9" t="str">
        <f>IFERROR(__xludf.DUMMYFUNCTION("""COMPUTED_VALUE"""),"Assembly")</f>
        <v>Assembly</v>
      </c>
      <c r="J4010" s="9" t="str">
        <f>IFERROR(__xludf.DUMMYFUNCTION("""COMPUTED_VALUE"""),"Python")</f>
        <v>Python</v>
      </c>
      <c r="K4010" s="9" t="str">
        <f>IFERROR(__xludf.DUMMYFUNCTION("""COMPUTED_VALUE"""),"HTML/CSS")</f>
        <v>HTML/CSS</v>
      </c>
      <c r="L4010" s="9" t="str">
        <f>IFERROR(__xludf.DUMMYFUNCTION("""COMPUTED_VALUE"""),"Java")</f>
        <v>Java</v>
      </c>
      <c r="M4010" s="9" t="s">
        <v>32</v>
      </c>
    </row>
    <row r="4011" ht="15.75" customHeight="1">
      <c r="A4011" s="7"/>
      <c r="B4011" s="7" t="str">
        <f>IFERROR(__xludf.DUMMYFUNCTION("""COMPUTED_VALUE"""),"Assembly;Bash/Shell/PowerShell;C;C++;HTML/CSS;Java;Python;SQL;Other(s):")</f>
        <v>Assembly;Bash/Shell/PowerShell;C;C++;HTML/CSS;Java;Python;SQL;Other(s):</v>
      </c>
      <c r="C4011" s="9" t="str">
        <f>IFERROR(__xludf.DUMMYFUNCTION("""COMPUTED_VALUE"""),"SQL")</f>
        <v>SQL</v>
      </c>
      <c r="D4011" s="9" t="str">
        <f>IFERROR(__xludf.DUMMYFUNCTION("""COMPUTED_VALUE"""),"Python")</f>
        <v>Python</v>
      </c>
      <c r="E4011" s="9" t="str">
        <f>IFERROR(__xludf.DUMMYFUNCTION("""COMPUTED_VALUE"""),"Kotlin")</f>
        <v>Kotlin</v>
      </c>
      <c r="F4011" s="9" t="str">
        <f>IFERROR(__xludf.DUMMYFUNCTION("""COMPUTED_VALUE"""),"PHP")</f>
        <v>PHP</v>
      </c>
      <c r="G4011" s="9" t="str">
        <f>IFERROR(__xludf.DUMMYFUNCTION("""COMPUTED_VALUE"""),"HTML/CSS")</f>
        <v>HTML/CSS</v>
      </c>
      <c r="H4011" s="9" t="str">
        <f>IFERROR(__xludf.DUMMYFUNCTION("""COMPUTED_VALUE"""),"Python")</f>
        <v>Python</v>
      </c>
      <c r="I4011" s="9" t="str">
        <f>IFERROR(__xludf.DUMMYFUNCTION("""COMPUTED_VALUE"""),"C")</f>
        <v>C</v>
      </c>
      <c r="J4011" s="9" t="str">
        <f>IFERROR(__xludf.DUMMYFUNCTION("""COMPUTED_VALUE"""),"SQL")</f>
        <v>SQL</v>
      </c>
      <c r="K4011" s="9" t="str">
        <f>IFERROR(__xludf.DUMMYFUNCTION("""COMPUTED_VALUE"""),"Java")</f>
        <v>Java</v>
      </c>
      <c r="L4011" s="9" t="str">
        <f>IFERROR(__xludf.DUMMYFUNCTION("""COMPUTED_VALUE"""),"JavaScript")</f>
        <v>JavaScript</v>
      </c>
      <c r="M4011" s="9" t="s">
        <v>27</v>
      </c>
    </row>
    <row r="4012" ht="15.75" customHeight="1">
      <c r="A4012" s="7"/>
      <c r="B4012" s="7" t="str">
        <f>IFERROR(__xludf.DUMMYFUNCTION("""COMPUTED_VALUE"""),"HTML/CSS;Java;JavaScript;PHP;Ruby")</f>
        <v>HTML/CSS;Java;JavaScript;PHP;Ruby</v>
      </c>
      <c r="C4012" s="9" t="str">
        <f>IFERROR(__xludf.DUMMYFUNCTION("""COMPUTED_VALUE"""),"Bash/Shell/PowerShell")</f>
        <v>Bash/Shell/PowerShell</v>
      </c>
      <c r="D4012" s="9" t="str">
        <f>IFERROR(__xludf.DUMMYFUNCTION("""COMPUTED_VALUE"""),"Scala")</f>
        <v>Scala</v>
      </c>
      <c r="E4012" s="9" t="str">
        <f>IFERROR(__xludf.DUMMYFUNCTION("""COMPUTED_VALUE"""),"PHP")</f>
        <v>PHP</v>
      </c>
      <c r="F4012" s="9" t="str">
        <f>IFERROR(__xludf.DUMMYFUNCTION("""COMPUTED_VALUE"""),"Python")</f>
        <v>Python</v>
      </c>
      <c r="G4012" s="9" t="str">
        <f>IFERROR(__xludf.DUMMYFUNCTION("""COMPUTED_VALUE"""),"Java")</f>
        <v>Java</v>
      </c>
      <c r="H4012" s="9" t="str">
        <f>IFERROR(__xludf.DUMMYFUNCTION("""COMPUTED_VALUE"""),"Other(s):")</f>
        <v>Other(s):</v>
      </c>
      <c r="I4012" s="9" t="str">
        <f>IFERROR(__xludf.DUMMYFUNCTION("""COMPUTED_VALUE"""),"HTML/CSS")</f>
        <v>HTML/CSS</v>
      </c>
      <c r="J4012" s="9" t="str">
        <f>IFERROR(__xludf.DUMMYFUNCTION("""COMPUTED_VALUE"""),"Other(s):")</f>
        <v>Other(s):</v>
      </c>
      <c r="K4012" s="9" t="str">
        <f>IFERROR(__xludf.DUMMYFUNCTION("""COMPUTED_VALUE"""),"JavaScript")</f>
        <v>JavaScript</v>
      </c>
      <c r="L4012" s="9" t="str">
        <f>IFERROR(__xludf.DUMMYFUNCTION("""COMPUTED_VALUE"""),"Python")</f>
        <v>Python</v>
      </c>
      <c r="M4012" s="9" t="s">
        <v>30</v>
      </c>
    </row>
    <row r="4013" ht="15.75" customHeight="1">
      <c r="A4013" s="7"/>
      <c r="B4013" s="7" t="str">
        <f>IFERROR(__xludf.DUMMYFUNCTION("""COMPUTED_VALUE"""),"Assembly;Bash/Shell/PowerShell;C;HTML/CSS;Java;JavaScript;Kotlin;PHP;Python;SQL")</f>
        <v>Assembly;Bash/Shell/PowerShell;C;HTML/CSS;Java;JavaScript;Kotlin;PHP;Python;SQL</v>
      </c>
      <c r="C4013" s="9" t="str">
        <f>IFERROR(__xludf.DUMMYFUNCTION("""COMPUTED_VALUE"""),"C")</f>
        <v>C</v>
      </c>
      <c r="D4013" s="9" t="str">
        <f>IFERROR(__xludf.DUMMYFUNCTION("""COMPUTED_VALUE"""),"Bash/Shell/PowerShell")</f>
        <v>Bash/Shell/PowerShell</v>
      </c>
      <c r="E4013" s="9" t="str">
        <f>IFERROR(__xludf.DUMMYFUNCTION("""COMPUTED_VALUE"""),"Python")</f>
        <v>Python</v>
      </c>
      <c r="F4013" s="9" t="str">
        <f>IFERROR(__xludf.DUMMYFUNCTION("""COMPUTED_VALUE"""),"Ruby")</f>
        <v>Ruby</v>
      </c>
      <c r="G4013" s="9" t="str">
        <f>IFERROR(__xludf.DUMMYFUNCTION("""COMPUTED_VALUE"""),"JavaScript")</f>
        <v>JavaScript</v>
      </c>
      <c r="H4013" s="9" t="str">
        <f>IFERROR(__xludf.DUMMYFUNCTION("""COMPUTED_VALUE"""),"C")</f>
        <v>C</v>
      </c>
      <c r="I4013" s="9" t="str">
        <f>IFERROR(__xludf.DUMMYFUNCTION("""COMPUTED_VALUE"""),"JavaScript")</f>
        <v>JavaScript</v>
      </c>
      <c r="J4013" s="9" t="str">
        <f>IFERROR(__xludf.DUMMYFUNCTION("""COMPUTED_VALUE"""),"C")</f>
        <v>C</v>
      </c>
      <c r="K4013" s="9" t="str">
        <f>IFERROR(__xludf.DUMMYFUNCTION("""COMPUTED_VALUE"""),"SQL")</f>
        <v>SQL</v>
      </c>
      <c r="L4013" s="9" t="str">
        <f>IFERROR(__xludf.DUMMYFUNCTION("""COMPUTED_VALUE"""),"Bash/Shell/PowerShell")</f>
        <v>Bash/Shell/PowerShell</v>
      </c>
      <c r="M4013" s="9" t="s">
        <v>25</v>
      </c>
    </row>
    <row r="4014" ht="15.75" customHeight="1">
      <c r="A4014" s="7"/>
      <c r="B4014" s="7" t="str">
        <f>IFERROR(__xludf.DUMMYFUNCTION("""COMPUTED_VALUE"""),"Bash/Shell/PowerShell;HTML/CSS;JavaScript;PHP;SQL;TypeScript")</f>
        <v>Bash/Shell/PowerShell;HTML/CSS;JavaScript;PHP;SQL;TypeScript</v>
      </c>
      <c r="C4014" s="9" t="str">
        <f>IFERROR(__xludf.DUMMYFUNCTION("""COMPUTED_VALUE"""),"C++")</f>
        <v>C++</v>
      </c>
      <c r="D4014" s="9" t="str">
        <f>IFERROR(__xludf.DUMMYFUNCTION("""COMPUTED_VALUE"""),"C")</f>
        <v>C</v>
      </c>
      <c r="E4014" s="9" t="str">
        <f>IFERROR(__xludf.DUMMYFUNCTION("""COMPUTED_VALUE"""),"SQL")</f>
        <v>SQL</v>
      </c>
      <c r="F4014" s="9" t="str">
        <f>IFERROR(__xludf.DUMMYFUNCTION("""COMPUTED_VALUE"""),"SQL")</f>
        <v>SQL</v>
      </c>
      <c r="G4014" s="9" t="str">
        <f>IFERROR(__xludf.DUMMYFUNCTION("""COMPUTED_VALUE"""),"PHP")</f>
        <v>PHP</v>
      </c>
      <c r="H4014" s="9" t="str">
        <f>IFERROR(__xludf.DUMMYFUNCTION("""COMPUTED_VALUE"""),"C++")</f>
        <v>C++</v>
      </c>
      <c r="I4014" s="9" t="str">
        <f>IFERROR(__xludf.DUMMYFUNCTION("""COMPUTED_VALUE"""),"PHP")</f>
        <v>PHP</v>
      </c>
      <c r="J4014" s="9" t="str">
        <f>IFERROR(__xludf.DUMMYFUNCTION("""COMPUTED_VALUE"""),"C++")</f>
        <v>C++</v>
      </c>
      <c r="K4014" s="9" t="str">
        <f>IFERROR(__xludf.DUMMYFUNCTION("""COMPUTED_VALUE"""),"TypeScript")</f>
        <v>TypeScript</v>
      </c>
      <c r="L4014" s="9" t="str">
        <f>IFERROR(__xludf.DUMMYFUNCTION("""COMPUTED_VALUE"""),"C")</f>
        <v>C</v>
      </c>
      <c r="M4014" s="9" t="s">
        <v>23</v>
      </c>
    </row>
    <row r="4015" ht="15.75" customHeight="1">
      <c r="A4015" s="7"/>
      <c r="B4015" s="7" t="str">
        <f>IFERROR(__xludf.DUMMYFUNCTION("""COMPUTED_VALUE"""),"Bash/Shell/PowerShell;HTML/CSS;JavaScript;PHP;SQL")</f>
        <v>Bash/Shell/PowerShell;HTML/CSS;JavaScript;PHP;SQL</v>
      </c>
      <c r="C4015" s="9" t="str">
        <f>IFERROR(__xludf.DUMMYFUNCTION("""COMPUTED_VALUE"""),"HTML/CSS")</f>
        <v>HTML/CSS</v>
      </c>
      <c r="D4015" s="9" t="str">
        <f>IFERROR(__xludf.DUMMYFUNCTION("""COMPUTED_VALUE"""),"Elixir")</f>
        <v>Elixir</v>
      </c>
      <c r="E4015" s="9" t="str">
        <f>IFERROR(__xludf.DUMMYFUNCTION("""COMPUTED_VALUE"""),"VBA")</f>
        <v>VBA</v>
      </c>
      <c r="F4015" s="9" t="str">
        <f>IFERROR(__xludf.DUMMYFUNCTION("""COMPUTED_VALUE"""),"TypeScript")</f>
        <v>TypeScript</v>
      </c>
      <c r="G4015" s="9" t="str">
        <f>IFERROR(__xludf.DUMMYFUNCTION("""COMPUTED_VALUE"""),"SQL")</f>
        <v>SQL</v>
      </c>
      <c r="H4015" s="9" t="str">
        <f>IFERROR(__xludf.DUMMYFUNCTION("""COMPUTED_VALUE"""),"C#")</f>
        <v>C#</v>
      </c>
      <c r="I4015" s="9" t="str">
        <f>IFERROR(__xludf.DUMMYFUNCTION("""COMPUTED_VALUE"""),"Bash/Shell/PowerShell")</f>
        <v>Bash/Shell/PowerShell</v>
      </c>
      <c r="J4015" s="9" t="str">
        <f>IFERROR(__xludf.DUMMYFUNCTION("""COMPUTED_VALUE"""),"C#")</f>
        <v>C#</v>
      </c>
      <c r="K4015" s="9" t="str">
        <f>IFERROR(__xludf.DUMMYFUNCTION("""COMPUTED_VALUE"""),"Assembly")</f>
        <v>Assembly</v>
      </c>
      <c r="L4015" s="9" t="str">
        <f>IFERROR(__xludf.DUMMYFUNCTION("""COMPUTED_VALUE"""),"C++")</f>
        <v>C++</v>
      </c>
      <c r="M4015" s="9" t="s">
        <v>24</v>
      </c>
    </row>
    <row r="4016" ht="15.75" customHeight="1">
      <c r="A4016" s="7"/>
      <c r="B4016" s="7" t="str">
        <f>IFERROR(__xludf.DUMMYFUNCTION("""COMPUTED_VALUE"""),"Bash/Shell/PowerShell;Erlang;Go;Java;JavaScript;Python;Rust;SQL")</f>
        <v>Bash/Shell/PowerShell;Erlang;Go;Java;JavaScript;Python;Rust;SQL</v>
      </c>
      <c r="C4016" s="9" t="str">
        <f>IFERROR(__xludf.DUMMYFUNCTION("""COMPUTED_VALUE"""),"Java")</f>
        <v>Java</v>
      </c>
      <c r="D4016" s="9" t="str">
        <f>IFERROR(__xludf.DUMMYFUNCTION("""COMPUTED_VALUE"""),"Erlang")</f>
        <v>Erlang</v>
      </c>
      <c r="E4016" s="9" t="str">
        <f>IFERROR(__xludf.DUMMYFUNCTION("""COMPUTED_VALUE"""),"C++")</f>
        <v>C++</v>
      </c>
      <c r="F4016" s="9" t="str">
        <f>IFERROR(__xludf.DUMMYFUNCTION("""COMPUTED_VALUE"""),"HTML/CSS")</f>
        <v>HTML/CSS</v>
      </c>
      <c r="G4016" s="9" t="str">
        <f>IFERROR(__xludf.DUMMYFUNCTION("""COMPUTED_VALUE"""),"TypeScript")</f>
        <v>TypeScript</v>
      </c>
      <c r="H4016" s="9" t="str">
        <f>IFERROR(__xludf.DUMMYFUNCTION("""COMPUTED_VALUE"""),"Java")</f>
        <v>Java</v>
      </c>
      <c r="I4016" s="9" t="str">
        <f>IFERROR(__xludf.DUMMYFUNCTION("""COMPUTED_VALUE"""),"C")</f>
        <v>C</v>
      </c>
      <c r="J4016" s="9" t="str">
        <f>IFERROR(__xludf.DUMMYFUNCTION("""COMPUTED_VALUE"""),"Clojure")</f>
        <v>Clojure</v>
      </c>
      <c r="K4016" s="9" t="str">
        <f>IFERROR(__xludf.DUMMYFUNCTION("""COMPUTED_VALUE"""),"Bash/Shell/PowerShell")</f>
        <v>Bash/Shell/PowerShell</v>
      </c>
      <c r="L4016" s="9" t="str">
        <f>IFERROR(__xludf.DUMMYFUNCTION("""COMPUTED_VALUE"""),"Go")</f>
        <v>Go</v>
      </c>
      <c r="M4016" s="9" t="s">
        <v>20</v>
      </c>
    </row>
    <row r="4017" ht="15.75" customHeight="1">
      <c r="A4017" s="7"/>
      <c r="B4017" s="7" t="str">
        <f>IFERROR(__xludf.DUMMYFUNCTION("""COMPUTED_VALUE"""),"C#;Java;Python")</f>
        <v>C#;Java;Python</v>
      </c>
      <c r="C4017" s="9" t="str">
        <f>IFERROR(__xludf.DUMMYFUNCTION("""COMPUTED_VALUE"""),"JavaScript")</f>
        <v>JavaScript</v>
      </c>
      <c r="D4017" s="9" t="str">
        <f>IFERROR(__xludf.DUMMYFUNCTION("""COMPUTED_VALUE"""),"Go")</f>
        <v>Go</v>
      </c>
      <c r="E4017" s="9" t="str">
        <f>IFERROR(__xludf.DUMMYFUNCTION("""COMPUTED_VALUE"""),"C#")</f>
        <v>C#</v>
      </c>
      <c r="F4017" s="9" t="str">
        <f>IFERROR(__xludf.DUMMYFUNCTION("""COMPUTED_VALUE"""),"Java")</f>
        <v>Java</v>
      </c>
      <c r="G4017" s="9" t="str">
        <f>IFERROR(__xludf.DUMMYFUNCTION("""COMPUTED_VALUE"""),"Bash/Shell/PowerShell")</f>
        <v>Bash/Shell/PowerShell</v>
      </c>
      <c r="H4017" s="9" t="str">
        <f>IFERROR(__xludf.DUMMYFUNCTION("""COMPUTED_VALUE"""),"HTML/CSS")</f>
        <v>HTML/CSS</v>
      </c>
      <c r="I4017" s="9" t="str">
        <f>IFERROR(__xludf.DUMMYFUNCTION("""COMPUTED_VALUE"""),"C++")</f>
        <v>C++</v>
      </c>
      <c r="J4017" s="9" t="str">
        <f>IFERROR(__xludf.DUMMYFUNCTION("""COMPUTED_VALUE"""),"F#")</f>
        <v>F#</v>
      </c>
      <c r="K4017" s="9" t="str">
        <f>IFERROR(__xludf.DUMMYFUNCTION("""COMPUTED_VALUE"""),"C")</f>
        <v>C</v>
      </c>
      <c r="L4017" s="9" t="str">
        <f>IFERROR(__xludf.DUMMYFUNCTION("""COMPUTED_VALUE"""),"HTML/CSS")</f>
        <v>HTML/CSS</v>
      </c>
      <c r="M4017" s="9" t="s">
        <v>21</v>
      </c>
    </row>
    <row r="4018" ht="15.75" customHeight="1">
      <c r="A4018" s="7"/>
      <c r="B4018" s="7" t="str">
        <f>IFERROR(__xludf.DUMMYFUNCTION("""COMPUTED_VALUE"""),"C#;HTML/CSS;Java;JavaScript;PHP;TypeScript")</f>
        <v>C#;HTML/CSS;Java;JavaScript;PHP;TypeScript</v>
      </c>
      <c r="C4018" s="9" t="str">
        <f>IFERROR(__xludf.DUMMYFUNCTION("""COMPUTED_VALUE"""),"Kotlin")</f>
        <v>Kotlin</v>
      </c>
      <c r="D4018" s="9" t="str">
        <f>IFERROR(__xludf.DUMMYFUNCTION("""COMPUTED_VALUE"""),"JavaScript")</f>
        <v>JavaScript</v>
      </c>
      <c r="E4018" s="9" t="str">
        <f>IFERROR(__xludf.DUMMYFUNCTION("""COMPUTED_VALUE"""),"HTML/CSS")</f>
        <v>HTML/CSS</v>
      </c>
      <c r="F4018" s="9" t="str">
        <f>IFERROR(__xludf.DUMMYFUNCTION("""COMPUTED_VALUE"""),"JavaScript")</f>
        <v>JavaScript</v>
      </c>
      <c r="G4018" s="9" t="str">
        <f>IFERROR(__xludf.DUMMYFUNCTION("""COMPUTED_VALUE"""),"Java")</f>
        <v>Java</v>
      </c>
      <c r="H4018" s="9" t="str">
        <f>IFERROR(__xludf.DUMMYFUNCTION("""COMPUTED_VALUE"""),"JavaScript")</f>
        <v>JavaScript</v>
      </c>
      <c r="I4018" s="9" t="str">
        <f>IFERROR(__xludf.DUMMYFUNCTION("""COMPUTED_VALUE"""),"C#")</f>
        <v>C#</v>
      </c>
      <c r="J4018" s="9" t="str">
        <f>IFERROR(__xludf.DUMMYFUNCTION("""COMPUTED_VALUE"""),"SQL")</f>
        <v>SQL</v>
      </c>
      <c r="K4018" s="9" t="str">
        <f>IFERROR(__xludf.DUMMYFUNCTION("""COMPUTED_VALUE"""),"C++")</f>
        <v>C++</v>
      </c>
      <c r="L4018" s="9" t="str">
        <f>IFERROR(__xludf.DUMMYFUNCTION("""COMPUTED_VALUE"""),"JavaScript")</f>
        <v>JavaScript</v>
      </c>
      <c r="M4018" s="9" t="s">
        <v>39</v>
      </c>
    </row>
    <row r="4019" ht="15.75" customHeight="1">
      <c r="A4019" s="7"/>
      <c r="B4019" s="7" t="str">
        <f>IFERROR(__xludf.DUMMYFUNCTION("""COMPUTED_VALUE"""),"Java;JavaScript;TypeScript")</f>
        <v>Java;JavaScript;TypeScript</v>
      </c>
      <c r="C4019" s="9" t="str">
        <f>IFERROR(__xludf.DUMMYFUNCTION("""COMPUTED_VALUE"""),"Python")</f>
        <v>Python</v>
      </c>
      <c r="D4019" s="9" t="str">
        <f>IFERROR(__xludf.DUMMYFUNCTION("""COMPUTED_VALUE"""),"TypeScript")</f>
        <v>TypeScript</v>
      </c>
      <c r="E4019" s="9" t="str">
        <f>IFERROR(__xludf.DUMMYFUNCTION("""COMPUTED_VALUE"""),"Java")</f>
        <v>Java</v>
      </c>
      <c r="F4019" s="9" t="str">
        <f>IFERROR(__xludf.DUMMYFUNCTION("""COMPUTED_VALUE"""),"PHP")</f>
        <v>PHP</v>
      </c>
      <c r="G4019" s="9" t="str">
        <f>IFERROR(__xludf.DUMMYFUNCTION("""COMPUTED_VALUE"""),"JavaScript")</f>
        <v>JavaScript</v>
      </c>
      <c r="H4019" s="9" t="str">
        <f>IFERROR(__xludf.DUMMYFUNCTION("""COMPUTED_VALUE"""),"PHP")</f>
        <v>PHP</v>
      </c>
      <c r="I4019" s="9" t="str">
        <f>IFERROR(__xludf.DUMMYFUNCTION("""COMPUTED_VALUE"""),"HTML/CSS")</f>
        <v>HTML/CSS</v>
      </c>
      <c r="J4019" s="9" t="str">
        <f>IFERROR(__xludf.DUMMYFUNCTION("""COMPUTED_VALUE"""),"Other(s):")</f>
        <v>Other(s):</v>
      </c>
      <c r="K4019" s="9" t="str">
        <f>IFERROR(__xludf.DUMMYFUNCTION("""COMPUTED_VALUE"""),"HTML/CSS")</f>
        <v>HTML/CSS</v>
      </c>
      <c r="L4019" s="9" t="str">
        <f>IFERROR(__xludf.DUMMYFUNCTION("""COMPUTED_VALUE"""),"Python")</f>
        <v>Python</v>
      </c>
      <c r="M4019" s="9" t="s">
        <v>22</v>
      </c>
    </row>
    <row r="4020" ht="15.75" customHeight="1">
      <c r="A4020" s="7"/>
      <c r="B4020" s="7" t="str">
        <f>IFERROR(__xludf.DUMMYFUNCTION("""COMPUTED_VALUE"""),"Bash/Shell/PowerShell;C#;Go;HTML/CSS;JavaScript;SQL;TypeScript")</f>
        <v>Bash/Shell/PowerShell;C#;Go;HTML/CSS;JavaScript;SQL;TypeScript</v>
      </c>
      <c r="C4020" s="9" t="str">
        <f>IFERROR(__xludf.DUMMYFUNCTION("""COMPUTED_VALUE"""),"SQL")</f>
        <v>SQL</v>
      </c>
      <c r="D4020" s="9" t="str">
        <f>IFERROR(__xludf.DUMMYFUNCTION("""COMPUTED_VALUE"""),"HTML/CSS")</f>
        <v>HTML/CSS</v>
      </c>
      <c r="E4020" s="9" t="str">
        <f>IFERROR(__xludf.DUMMYFUNCTION("""COMPUTED_VALUE"""),"JavaScript")</f>
        <v>JavaScript</v>
      </c>
      <c r="F4020" s="9" t="str">
        <f>IFERROR(__xludf.DUMMYFUNCTION("""COMPUTED_VALUE"""),"Python")</f>
        <v>Python</v>
      </c>
      <c r="G4020" s="9" t="str">
        <f>IFERROR(__xludf.DUMMYFUNCTION("""COMPUTED_VALUE"""),"Python")</f>
        <v>Python</v>
      </c>
      <c r="H4020" s="9" t="str">
        <f>IFERROR(__xludf.DUMMYFUNCTION("""COMPUTED_VALUE"""),"SQL")</f>
        <v>SQL</v>
      </c>
      <c r="I4020" s="9" t="str">
        <f>IFERROR(__xludf.DUMMYFUNCTION("""COMPUTED_VALUE"""),"Java")</f>
        <v>Java</v>
      </c>
      <c r="J4020" s="9" t="str">
        <f>IFERROR(__xludf.DUMMYFUNCTION("""COMPUTED_VALUE"""),"JavaScript")</f>
        <v>JavaScript</v>
      </c>
      <c r="K4020" s="9" t="str">
        <f>IFERROR(__xludf.DUMMYFUNCTION("""COMPUTED_VALUE"""),"Java")</f>
        <v>Java</v>
      </c>
      <c r="L4020" s="9" t="str">
        <f>IFERROR(__xludf.DUMMYFUNCTION("""COMPUTED_VALUE"""),"SQL")</f>
        <v>SQL</v>
      </c>
      <c r="M4020" s="9" t="s">
        <v>27</v>
      </c>
    </row>
    <row r="4021" ht="15.75" customHeight="1">
      <c r="A4021" s="7"/>
      <c r="B4021" s="7" t="str">
        <f>IFERROR(__xludf.DUMMYFUNCTION("""COMPUTED_VALUE"""),"HTML/CSS;Java;JavaScript;SQL")</f>
        <v>HTML/CSS;Java;JavaScript;SQL</v>
      </c>
      <c r="C4021" s="9" t="str">
        <f>IFERROR(__xludf.DUMMYFUNCTION("""COMPUTED_VALUE"""),"TypeScript")</f>
        <v>TypeScript</v>
      </c>
      <c r="D4021" s="9" t="str">
        <f>IFERROR(__xludf.DUMMYFUNCTION("""COMPUTED_VALUE"""),"JavaScript")</f>
        <v>JavaScript</v>
      </c>
      <c r="E4021" s="9" t="str">
        <f>IFERROR(__xludf.DUMMYFUNCTION("""COMPUTED_VALUE"""),"SQL")</f>
        <v>SQL</v>
      </c>
      <c r="F4021" s="9" t="str">
        <f>IFERROR(__xludf.DUMMYFUNCTION("""COMPUTED_VALUE"""),"SQL")</f>
        <v>SQL</v>
      </c>
      <c r="G4021" s="9" t="str">
        <f>IFERROR(__xludf.DUMMYFUNCTION("""COMPUTED_VALUE"""),"Scala")</f>
        <v>Scala</v>
      </c>
      <c r="H4021" s="9" t="str">
        <f>IFERROR(__xludf.DUMMYFUNCTION("""COMPUTED_VALUE"""),"JavaScript")</f>
        <v>JavaScript</v>
      </c>
      <c r="I4021" s="9" t="str">
        <f>IFERROR(__xludf.DUMMYFUNCTION("""COMPUTED_VALUE"""),"JavaScript")</f>
        <v>JavaScript</v>
      </c>
      <c r="J4021" s="9" t="str">
        <f>IFERROR(__xludf.DUMMYFUNCTION("""COMPUTED_VALUE"""),"TypeScript")</f>
        <v>TypeScript</v>
      </c>
      <c r="K4021" s="9" t="str">
        <f>IFERROR(__xludf.DUMMYFUNCTION("""COMPUTED_VALUE"""),"JavaScript")</f>
        <v>JavaScript</v>
      </c>
      <c r="L4021" s="9" t="str">
        <f>IFERROR(__xludf.DUMMYFUNCTION("""COMPUTED_VALUE"""),"HTML/CSS")</f>
        <v>HTML/CSS</v>
      </c>
      <c r="M4021" s="9" t="s">
        <v>33</v>
      </c>
    </row>
    <row r="4022" ht="15.75" customHeight="1">
      <c r="A4022" s="7"/>
      <c r="B4022" s="7" t="str">
        <f>IFERROR(__xludf.DUMMYFUNCTION("""COMPUTED_VALUE"""),"C#;Go;Java;JavaScript;Ruby;SQL;TypeScript")</f>
        <v>C#;Go;Java;JavaScript;Ruby;SQL;TypeScript</v>
      </c>
      <c r="C4022" s="9" t="str">
        <f>IFERROR(__xludf.DUMMYFUNCTION("""COMPUTED_VALUE"""),"Assembly")</f>
        <v>Assembly</v>
      </c>
      <c r="D4022" s="9" t="str">
        <f>IFERROR(__xludf.DUMMYFUNCTION("""COMPUTED_VALUE"""),"Assembly")</f>
        <v>Assembly</v>
      </c>
      <c r="E4022" s="9" t="str">
        <f>IFERROR(__xludf.DUMMYFUNCTION("""COMPUTED_VALUE"""),"Assembly")</f>
        <v>Assembly</v>
      </c>
      <c r="F4022" s="9" t="str">
        <f>IFERROR(__xludf.DUMMYFUNCTION("""COMPUTED_VALUE"""),"TypeScript")</f>
        <v>TypeScript</v>
      </c>
      <c r="G4022" s="9" t="str">
        <f>IFERROR(__xludf.DUMMYFUNCTION("""COMPUTED_VALUE"""),"TypeScript")</f>
        <v>TypeScript</v>
      </c>
      <c r="H4022" s="9" t="str">
        <f>IFERROR(__xludf.DUMMYFUNCTION("""COMPUTED_VALUE"""),"Python")</f>
        <v>Python</v>
      </c>
      <c r="I4022" s="9" t="str">
        <f>IFERROR(__xludf.DUMMYFUNCTION("""COMPUTED_VALUE"""),"Python")</f>
        <v>Python</v>
      </c>
      <c r="J4022" s="9" t="str">
        <f>IFERROR(__xludf.DUMMYFUNCTION("""COMPUTED_VALUE"""),"C#")</f>
        <v>C#</v>
      </c>
      <c r="K4022" s="9" t="str">
        <f>IFERROR(__xludf.DUMMYFUNCTION("""COMPUTED_VALUE"""),"PHP")</f>
        <v>PHP</v>
      </c>
      <c r="L4022" s="9" t="str">
        <f>IFERROR(__xludf.DUMMYFUNCTION("""COMPUTED_VALUE"""),"Java")</f>
        <v>Java</v>
      </c>
      <c r="M4022" s="9" t="s">
        <v>38</v>
      </c>
    </row>
    <row r="4023" ht="15.75" customHeight="1">
      <c r="A4023" s="7"/>
      <c r="B4023" s="7" t="str">
        <f>IFERROR(__xludf.DUMMYFUNCTION("""COMPUTED_VALUE"""),"Java;JavaScript")</f>
        <v>Java;JavaScript</v>
      </c>
      <c r="C4023" s="9" t="str">
        <f>IFERROR(__xludf.DUMMYFUNCTION("""COMPUTED_VALUE"""),"C")</f>
        <v>C</v>
      </c>
      <c r="D4023" s="9" t="str">
        <f>IFERROR(__xludf.DUMMYFUNCTION("""COMPUTED_VALUE"""),"Bash/Shell/PowerShell")</f>
        <v>Bash/Shell/PowerShell</v>
      </c>
      <c r="E4023" s="9" t="str">
        <f>IFERROR(__xludf.DUMMYFUNCTION("""COMPUTED_VALUE"""),"Bash/Shell/PowerShell")</f>
        <v>Bash/Shell/PowerShell</v>
      </c>
      <c r="F4023" s="9" t="str">
        <f>IFERROR(__xludf.DUMMYFUNCTION("""COMPUTED_VALUE"""),"C#")</f>
        <v>C#</v>
      </c>
      <c r="G4023" s="9" t="str">
        <f>IFERROR(__xludf.DUMMYFUNCTION("""COMPUTED_VALUE"""),"C++")</f>
        <v>C++</v>
      </c>
      <c r="H4023" s="9" t="str">
        <f>IFERROR(__xludf.DUMMYFUNCTION("""COMPUTED_VALUE"""),"HTML/CSS")</f>
        <v>HTML/CSS</v>
      </c>
      <c r="I4023" s="9" t="str">
        <f>IFERROR(__xludf.DUMMYFUNCTION("""COMPUTED_VALUE"""),"SQL")</f>
        <v>SQL</v>
      </c>
      <c r="J4023" s="9" t="str">
        <f>IFERROR(__xludf.DUMMYFUNCTION("""COMPUTED_VALUE"""),"HTML/CSS")</f>
        <v>HTML/CSS</v>
      </c>
      <c r="K4023" s="9" t="str">
        <f>IFERROR(__xludf.DUMMYFUNCTION("""COMPUTED_VALUE"""),"Python")</f>
        <v>Python</v>
      </c>
      <c r="L4023" s="9" t="str">
        <f>IFERROR(__xludf.DUMMYFUNCTION("""COMPUTED_VALUE"""),"Python")</f>
        <v>Python</v>
      </c>
      <c r="M4023" s="9" t="s">
        <v>25</v>
      </c>
    </row>
    <row r="4024" ht="15.75" customHeight="1">
      <c r="A4024" s="7"/>
      <c r="B4024" s="7" t="str">
        <f>IFERROR(__xludf.DUMMYFUNCTION("""COMPUTED_VALUE"""),"C#;Go;Java;Python;TypeScript")</f>
        <v>C#;Go;Java;Python;TypeScript</v>
      </c>
      <c r="C4024" s="9" t="str">
        <f>IFERROR(__xludf.DUMMYFUNCTION("""COMPUTED_VALUE"""),"C++")</f>
        <v>C++</v>
      </c>
      <c r="D4024" s="9" t="str">
        <f>IFERROR(__xludf.DUMMYFUNCTION("""COMPUTED_VALUE"""),"C")</f>
        <v>C</v>
      </c>
      <c r="E4024" s="9" t="str">
        <f>IFERROR(__xludf.DUMMYFUNCTION("""COMPUTED_VALUE"""),"C")</f>
        <v>C</v>
      </c>
      <c r="F4024" s="9" t="str">
        <f>IFERROR(__xludf.DUMMYFUNCTION("""COMPUTED_VALUE"""),"HTML/CSS")</f>
        <v>HTML/CSS</v>
      </c>
      <c r="G4024" s="9" t="str">
        <f>IFERROR(__xludf.DUMMYFUNCTION("""COMPUTED_VALUE"""),"HTML/CSS")</f>
        <v>HTML/CSS</v>
      </c>
      <c r="H4024" s="9" t="str">
        <f>IFERROR(__xludf.DUMMYFUNCTION("""COMPUTED_VALUE"""),"JavaScript")</f>
        <v>JavaScript</v>
      </c>
      <c r="I4024" s="9" t="str">
        <f>IFERROR(__xludf.DUMMYFUNCTION("""COMPUTED_VALUE"""),"TypeScript")</f>
        <v>TypeScript</v>
      </c>
      <c r="J4024" s="9" t="str">
        <f>IFERROR(__xludf.DUMMYFUNCTION("""COMPUTED_VALUE"""),"JavaScript")</f>
        <v>JavaScript</v>
      </c>
      <c r="K4024" s="9" t="str">
        <f>IFERROR(__xludf.DUMMYFUNCTION("""COMPUTED_VALUE"""),"SQL")</f>
        <v>SQL</v>
      </c>
      <c r="L4024" s="9" t="str">
        <f>IFERROR(__xludf.DUMMYFUNCTION("""COMPUTED_VALUE"""),"SQL")</f>
        <v>SQL</v>
      </c>
      <c r="M4024" s="9" t="s">
        <v>23</v>
      </c>
    </row>
    <row r="4025" ht="15.75" customHeight="1">
      <c r="A4025" s="7"/>
      <c r="B4025" s="7" t="str">
        <f>IFERROR(__xludf.DUMMYFUNCTION("""COMPUTED_VALUE"""),"JavaScript;Python;Ruby;SQL")</f>
        <v>JavaScript;Python;Ruby;SQL</v>
      </c>
      <c r="C4025" s="9" t="str">
        <f>IFERROR(__xludf.DUMMYFUNCTION("""COMPUTED_VALUE"""),"C#")</f>
        <v>C#</v>
      </c>
      <c r="D4025" s="9" t="str">
        <f>IFERROR(__xludf.DUMMYFUNCTION("""COMPUTED_VALUE"""),"C#")</f>
        <v>C#</v>
      </c>
      <c r="E4025" s="9" t="str">
        <f>IFERROR(__xludf.DUMMYFUNCTION("""COMPUTED_VALUE"""),"C++")</f>
        <v>C++</v>
      </c>
      <c r="F4025" s="9" t="str">
        <f>IFERROR(__xludf.DUMMYFUNCTION("""COMPUTED_VALUE"""),"Java")</f>
        <v>Java</v>
      </c>
      <c r="G4025" s="9" t="str">
        <f>IFERROR(__xludf.DUMMYFUNCTION("""COMPUTED_VALUE"""),"Python")</f>
        <v>Python</v>
      </c>
      <c r="H4025" s="9" t="str">
        <f>IFERROR(__xludf.DUMMYFUNCTION("""COMPUTED_VALUE"""),"PHP")</f>
        <v>PHP</v>
      </c>
      <c r="I4025" s="9" t="str">
        <f>IFERROR(__xludf.DUMMYFUNCTION("""COMPUTED_VALUE"""),"HTML/CSS")</f>
        <v>HTML/CSS</v>
      </c>
      <c r="J4025" s="9" t="str">
        <f>IFERROR(__xludf.DUMMYFUNCTION("""COMPUTED_VALUE"""),"PHP")</f>
        <v>PHP</v>
      </c>
      <c r="K4025" s="9" t="str">
        <f>IFERROR(__xludf.DUMMYFUNCTION("""COMPUTED_VALUE"""),"Java")</f>
        <v>Java</v>
      </c>
      <c r="L4025" s="9" t="str">
        <f>IFERROR(__xludf.DUMMYFUNCTION("""COMPUTED_VALUE"""),"Bash/Shell/PowerShell")</f>
        <v>Bash/Shell/PowerShell</v>
      </c>
      <c r="M4025" s="9" t="s">
        <v>26</v>
      </c>
    </row>
    <row r="4026" ht="15.75" customHeight="1">
      <c r="A4026" s="7"/>
      <c r="B4026" s="7" t="str">
        <f>IFERROR(__xludf.DUMMYFUNCTION("""COMPUTED_VALUE"""),"Bash/Shell/PowerShell;HTML/CSS;JavaScript;Python;SQL")</f>
        <v>Bash/Shell/PowerShell;HTML/CSS;JavaScript;Python;SQL</v>
      </c>
      <c r="C4026" s="9" t="str">
        <f>IFERROR(__xludf.DUMMYFUNCTION("""COMPUTED_VALUE"""),"HTML/CSS")</f>
        <v>HTML/CSS</v>
      </c>
      <c r="D4026" s="9" t="str">
        <f>IFERROR(__xludf.DUMMYFUNCTION("""COMPUTED_VALUE"""),"F#")</f>
        <v>F#</v>
      </c>
      <c r="E4026" s="9" t="str">
        <f>IFERROR(__xludf.DUMMYFUNCTION("""COMPUTED_VALUE"""),"Dart")</f>
        <v>Dart</v>
      </c>
      <c r="F4026" s="9" t="str">
        <f>IFERROR(__xludf.DUMMYFUNCTION("""COMPUTED_VALUE"""),"JavaScript")</f>
        <v>JavaScript</v>
      </c>
      <c r="G4026" s="9" t="str">
        <f>IFERROR(__xludf.DUMMYFUNCTION("""COMPUTED_VALUE"""),"C")</f>
        <v>C</v>
      </c>
      <c r="H4026" s="9" t="str">
        <f>IFERROR(__xludf.DUMMYFUNCTION("""COMPUTED_VALUE"""),"HTML/CSS")</f>
        <v>HTML/CSS</v>
      </c>
      <c r="I4026" s="9" t="str">
        <f>IFERROR(__xludf.DUMMYFUNCTION("""COMPUTED_VALUE"""),"JavaScript")</f>
        <v>JavaScript</v>
      </c>
      <c r="J4026" s="9" t="str">
        <f>IFERROR(__xludf.DUMMYFUNCTION("""COMPUTED_VALUE"""),"TypeScript")</f>
        <v>TypeScript</v>
      </c>
      <c r="K4026" s="9" t="str">
        <f>IFERROR(__xludf.DUMMYFUNCTION("""COMPUTED_VALUE"""),"Other(s):")</f>
        <v>Other(s):</v>
      </c>
      <c r="L4026" s="9" t="str">
        <f>IFERROR(__xludf.DUMMYFUNCTION("""COMPUTED_VALUE"""),"HTML/CSS")</f>
        <v>HTML/CSS</v>
      </c>
      <c r="M4026" s="9" t="s">
        <v>24</v>
      </c>
    </row>
    <row r="4027" ht="15.75" customHeight="1">
      <c r="A4027" s="7"/>
      <c r="B4027" s="7" t="str">
        <f>IFERROR(__xludf.DUMMYFUNCTION("""COMPUTED_VALUE"""),"C;C++;C#;HTML/CSS;JavaScript;PHP;SQL;Other(s):")</f>
        <v>C;C++;C#;HTML/CSS;JavaScript;PHP;SQL;Other(s):</v>
      </c>
      <c r="C4027" s="9" t="str">
        <f>IFERROR(__xludf.DUMMYFUNCTION("""COMPUTED_VALUE"""),"Python")</f>
        <v>Python</v>
      </c>
      <c r="D4027" s="9" t="str">
        <f>IFERROR(__xludf.DUMMYFUNCTION("""COMPUTED_VALUE"""),"Swift")</f>
        <v>Swift</v>
      </c>
      <c r="E4027" s="9" t="str">
        <f>IFERROR(__xludf.DUMMYFUNCTION("""COMPUTED_VALUE"""),"Elixir")</f>
        <v>Elixir</v>
      </c>
      <c r="F4027" s="9" t="str">
        <f>IFERROR(__xludf.DUMMYFUNCTION("""COMPUTED_VALUE"""),"Python")</f>
        <v>Python</v>
      </c>
      <c r="G4027" s="9" t="str">
        <f>IFERROR(__xludf.DUMMYFUNCTION("""COMPUTED_VALUE"""),"C++")</f>
        <v>C++</v>
      </c>
      <c r="H4027" s="9" t="str">
        <f>IFERROR(__xludf.DUMMYFUNCTION("""COMPUTED_VALUE"""),"JavaScript")</f>
        <v>JavaScript</v>
      </c>
      <c r="I4027" s="9" t="str">
        <f>IFERROR(__xludf.DUMMYFUNCTION("""COMPUTED_VALUE"""),"Bash/Shell/PowerShell")</f>
        <v>Bash/Shell/PowerShell</v>
      </c>
      <c r="J4027" s="9" t="str">
        <f>IFERROR(__xludf.DUMMYFUNCTION("""COMPUTED_VALUE"""),"Assembly")</f>
        <v>Assembly</v>
      </c>
      <c r="K4027" s="9" t="str">
        <f>IFERROR(__xludf.DUMMYFUNCTION("""COMPUTED_VALUE"""),"Bash/Shell/PowerShell")</f>
        <v>Bash/Shell/PowerShell</v>
      </c>
      <c r="L4027" s="9" t="str">
        <f>IFERROR(__xludf.DUMMYFUNCTION("""COMPUTED_VALUE"""),"JavaScript")</f>
        <v>JavaScript</v>
      </c>
      <c r="M4027" s="9" t="s">
        <v>22</v>
      </c>
    </row>
    <row r="4028" ht="15.75" customHeight="1">
      <c r="A4028" s="7"/>
      <c r="B4028" s="7" t="str">
        <f>IFERROR(__xludf.DUMMYFUNCTION("""COMPUTED_VALUE"""),"Assembly;Bash/Shell/PowerShell;C;C++;HTML/CSS;Java;JavaScript;Kotlin;PHP;Python;SQL;TypeScript")</f>
        <v>Assembly;Bash/Shell/PowerShell;C;C++;HTML/CSS;Java;JavaScript;Kotlin;PHP;Python;SQL;TypeScript</v>
      </c>
      <c r="C4028" s="9" t="str">
        <f>IFERROR(__xludf.DUMMYFUNCTION("""COMPUTED_VALUE"""),"TypeScript")</f>
        <v>TypeScript</v>
      </c>
      <c r="D4028" s="9" t="str">
        <f>IFERROR(__xludf.DUMMYFUNCTION("""COMPUTED_VALUE"""),"C#")</f>
        <v>C#</v>
      </c>
      <c r="E4028" s="9" t="str">
        <f>IFERROR(__xludf.DUMMYFUNCTION("""COMPUTED_VALUE"""),"Erlang")</f>
        <v>Erlang</v>
      </c>
      <c r="F4028" s="9" t="str">
        <f>IFERROR(__xludf.DUMMYFUNCTION("""COMPUTED_VALUE"""),"SQL")</f>
        <v>SQL</v>
      </c>
      <c r="G4028" s="9" t="str">
        <f>IFERROR(__xludf.DUMMYFUNCTION("""COMPUTED_VALUE"""),"C#")</f>
        <v>C#</v>
      </c>
      <c r="H4028" s="9" t="str">
        <f>IFERROR(__xludf.DUMMYFUNCTION("""COMPUTED_VALUE"""),"Bash/Shell/PowerShell")</f>
        <v>Bash/Shell/PowerShell</v>
      </c>
      <c r="I4028" s="9" t="str">
        <f>IFERROR(__xludf.DUMMYFUNCTION("""COMPUTED_VALUE"""),"HTML/CSS")</f>
        <v>HTML/CSS</v>
      </c>
      <c r="J4028" s="9" t="str">
        <f>IFERROR(__xludf.DUMMYFUNCTION("""COMPUTED_VALUE"""),"Bash/Shell/PowerShell")</f>
        <v>Bash/Shell/PowerShell</v>
      </c>
      <c r="K4028" s="9" t="str">
        <f>IFERROR(__xludf.DUMMYFUNCTION("""COMPUTED_VALUE"""),"HTML/CSS")</f>
        <v>HTML/CSS</v>
      </c>
      <c r="L4028" s="9" t="str">
        <f>IFERROR(__xludf.DUMMYFUNCTION("""COMPUTED_VALUE"""),"PHP")</f>
        <v>PHP</v>
      </c>
      <c r="M4028" s="9" t="s">
        <v>33</v>
      </c>
    </row>
    <row r="4029" ht="15.75" customHeight="1">
      <c r="A4029" s="7"/>
      <c r="B4029" s="7" t="str">
        <f>IFERROR(__xludf.DUMMYFUNCTION("""COMPUTED_VALUE"""),"Java;JavaScript;R")</f>
        <v>Java;JavaScript;R</v>
      </c>
      <c r="C4029" s="9" t="str">
        <f>IFERROR(__xludf.DUMMYFUNCTION("""COMPUTED_VALUE"""),"Other(s):")</f>
        <v>Other(s):</v>
      </c>
      <c r="D4029" s="9" t="str">
        <f>IFERROR(__xludf.DUMMYFUNCTION("""COMPUTED_VALUE"""),"HTML/CSS")</f>
        <v>HTML/CSS</v>
      </c>
      <c r="E4029" s="9" t="str">
        <f>IFERROR(__xludf.DUMMYFUNCTION("""COMPUTED_VALUE"""),"Go")</f>
        <v>Go</v>
      </c>
      <c r="F4029" s="9" t="str">
        <f>IFERROR(__xludf.DUMMYFUNCTION("""COMPUTED_VALUE"""),"Bash/Shell/PowerShell")</f>
        <v>Bash/Shell/PowerShell</v>
      </c>
      <c r="G4029" s="9" t="str">
        <f>IFERROR(__xludf.DUMMYFUNCTION("""COMPUTED_VALUE"""),"HTML/CSS")</f>
        <v>HTML/CSS</v>
      </c>
      <c r="H4029" s="9" t="str">
        <f>IFERROR(__xludf.DUMMYFUNCTION("""COMPUTED_VALUE"""),"HTML/CSS")</f>
        <v>HTML/CSS</v>
      </c>
      <c r="I4029" s="9" t="str">
        <f>IFERROR(__xludf.DUMMYFUNCTION("""COMPUTED_VALUE"""),"Java")</f>
        <v>Java</v>
      </c>
      <c r="J4029" s="9" t="str">
        <f>IFERROR(__xludf.DUMMYFUNCTION("""COMPUTED_VALUE"""),"C")</f>
        <v>C</v>
      </c>
      <c r="K4029" s="9" t="str">
        <f>IFERROR(__xludf.DUMMYFUNCTION("""COMPUTED_VALUE"""),"JavaScript")</f>
        <v>JavaScript</v>
      </c>
      <c r="L4029" s="9" t="str">
        <f>IFERROR(__xludf.DUMMYFUNCTION("""COMPUTED_VALUE"""),"Python")</f>
        <v>Python</v>
      </c>
      <c r="M4029" s="9" t="s">
        <v>35</v>
      </c>
    </row>
    <row r="4030" ht="15.75" customHeight="1">
      <c r="A4030" s="7"/>
      <c r="B4030" s="7" t="str">
        <f>IFERROR(__xludf.DUMMYFUNCTION("""COMPUTED_VALUE"""),"Assembly;C++;Java;JavaScript;VBA;Other(s):")</f>
        <v>Assembly;C++;Java;JavaScript;VBA;Other(s):</v>
      </c>
      <c r="C4030" s="9" t="str">
        <f>IFERROR(__xludf.DUMMYFUNCTION("""COMPUTED_VALUE"""),"Assembly")</f>
        <v>Assembly</v>
      </c>
      <c r="D4030" s="9" t="str">
        <f>IFERROR(__xludf.DUMMYFUNCTION("""COMPUTED_VALUE"""),"JavaScript")</f>
        <v>JavaScript</v>
      </c>
      <c r="E4030" s="9" t="str">
        <f>IFERROR(__xludf.DUMMYFUNCTION("""COMPUTED_VALUE"""),"HTML/CSS")</f>
        <v>HTML/CSS</v>
      </c>
      <c r="F4030" s="9" t="str">
        <f>IFERROR(__xludf.DUMMYFUNCTION("""COMPUTED_VALUE"""),"C")</f>
        <v>C</v>
      </c>
      <c r="G4030" s="9" t="str">
        <f>IFERROR(__xludf.DUMMYFUNCTION("""COMPUTED_VALUE"""),"JavaScript")</f>
        <v>JavaScript</v>
      </c>
      <c r="H4030" s="9" t="str">
        <f>IFERROR(__xludf.DUMMYFUNCTION("""COMPUTED_VALUE"""),"Java")</f>
        <v>Java</v>
      </c>
      <c r="I4030" s="9" t="str">
        <f>IFERROR(__xludf.DUMMYFUNCTION("""COMPUTED_VALUE"""),"JavaScript")</f>
        <v>JavaScript</v>
      </c>
      <c r="J4030" s="9" t="str">
        <f>IFERROR(__xludf.DUMMYFUNCTION("""COMPUTED_VALUE"""),"C++")</f>
        <v>C++</v>
      </c>
      <c r="K4030" s="9" t="str">
        <f>IFERROR(__xludf.DUMMYFUNCTION("""COMPUTED_VALUE"""),"Ruby")</f>
        <v>Ruby</v>
      </c>
      <c r="L4030" s="9" t="str">
        <f>IFERROR(__xludf.DUMMYFUNCTION("""COMPUTED_VALUE"""),"SQL")</f>
        <v>SQL</v>
      </c>
      <c r="M4030" s="9" t="s">
        <v>38</v>
      </c>
    </row>
    <row r="4031" ht="15.75" customHeight="1">
      <c r="A4031" s="7"/>
      <c r="B4031" s="7" t="str">
        <f>IFERROR(__xludf.DUMMYFUNCTION("""COMPUTED_VALUE"""),"HTML/CSS;JavaScript;PHP;Python;SQL")</f>
        <v>HTML/CSS;JavaScript;PHP;Python;SQL</v>
      </c>
      <c r="C4031" s="9" t="str">
        <f>IFERROR(__xludf.DUMMYFUNCTION("""COMPUTED_VALUE"""),"C++")</f>
        <v>C++</v>
      </c>
      <c r="D4031" s="9" t="str">
        <f>IFERROR(__xludf.DUMMYFUNCTION("""COMPUTED_VALUE"""),"Ruby")</f>
        <v>Ruby</v>
      </c>
      <c r="E4031" s="9" t="str">
        <f>IFERROR(__xludf.DUMMYFUNCTION("""COMPUTED_VALUE"""),"Java")</f>
        <v>Java</v>
      </c>
      <c r="F4031" s="9" t="str">
        <f>IFERROR(__xludf.DUMMYFUNCTION("""COMPUTED_VALUE"""),"C++")</f>
        <v>C++</v>
      </c>
      <c r="G4031" s="9" t="str">
        <f>IFERROR(__xludf.DUMMYFUNCTION("""COMPUTED_VALUE"""),"SQL")</f>
        <v>SQL</v>
      </c>
      <c r="H4031" s="9" t="str">
        <f>IFERROR(__xludf.DUMMYFUNCTION("""COMPUTED_VALUE"""),"JavaScript")</f>
        <v>JavaScript</v>
      </c>
      <c r="I4031" s="9" t="str">
        <f>IFERROR(__xludf.DUMMYFUNCTION("""COMPUTED_VALUE"""),"Kotlin")</f>
        <v>Kotlin</v>
      </c>
      <c r="J4031" s="9" t="str">
        <f>IFERROR(__xludf.DUMMYFUNCTION("""COMPUTED_VALUE"""),"C#")</f>
        <v>C#</v>
      </c>
      <c r="K4031" s="9" t="str">
        <f>IFERROR(__xludf.DUMMYFUNCTION("""COMPUTED_VALUE"""),"SQL")</f>
        <v>SQL</v>
      </c>
      <c r="L4031" s="9" t="str">
        <f>IFERROR(__xludf.DUMMYFUNCTION("""COMPUTED_VALUE"""),"Bash/Shell/PowerShell")</f>
        <v>Bash/Shell/PowerShell</v>
      </c>
      <c r="M4031" s="9" t="s">
        <v>23</v>
      </c>
    </row>
    <row r="4032" ht="15.75" customHeight="1">
      <c r="A4032" s="7"/>
      <c r="B4032" s="7" t="str">
        <f>IFERROR(__xludf.DUMMYFUNCTION("""COMPUTED_VALUE"""),"R;SQL")</f>
        <v>R;SQL</v>
      </c>
      <c r="C4032" s="9" t="str">
        <f>IFERROR(__xludf.DUMMYFUNCTION("""COMPUTED_VALUE"""),"HTML/CSS")</f>
        <v>HTML/CSS</v>
      </c>
      <c r="D4032" s="9" t="str">
        <f>IFERROR(__xludf.DUMMYFUNCTION("""COMPUTED_VALUE"""),"Bash/Shell/PowerShell")</f>
        <v>Bash/Shell/PowerShell</v>
      </c>
      <c r="E4032" s="9" t="str">
        <f>IFERROR(__xludf.DUMMYFUNCTION("""COMPUTED_VALUE"""),"JavaScript")</f>
        <v>JavaScript</v>
      </c>
      <c r="F4032" s="9" t="str">
        <f>IFERROR(__xludf.DUMMYFUNCTION("""COMPUTED_VALUE"""),"Objective-C")</f>
        <v>Objective-C</v>
      </c>
      <c r="G4032" s="9" t="str">
        <f>IFERROR(__xludf.DUMMYFUNCTION("""COMPUTED_VALUE"""),"R")</f>
        <v>R</v>
      </c>
      <c r="H4032" s="9" t="str">
        <f>IFERROR(__xludf.DUMMYFUNCTION("""COMPUTED_VALUE"""),"PHP")</f>
        <v>PHP</v>
      </c>
      <c r="I4032" s="9" t="str">
        <f>IFERROR(__xludf.DUMMYFUNCTION("""COMPUTED_VALUE"""),"PHP")</f>
        <v>PHP</v>
      </c>
      <c r="J4032" s="9" t="str">
        <f>IFERROR(__xludf.DUMMYFUNCTION("""COMPUTED_VALUE"""),"Clojure")</f>
        <v>Clojure</v>
      </c>
      <c r="K4032" s="9" t="str">
        <f>IFERROR(__xludf.DUMMYFUNCTION("""COMPUTED_VALUE"""),"Java")</f>
        <v>Java</v>
      </c>
      <c r="L4032" s="9" t="str">
        <f>IFERROR(__xludf.DUMMYFUNCTION("""COMPUTED_VALUE"""),"HTML/CSS")</f>
        <v>HTML/CSS</v>
      </c>
      <c r="M4032" s="9" t="s">
        <v>24</v>
      </c>
    </row>
    <row r="4033" ht="15.75" customHeight="1">
      <c r="A4033" s="7"/>
      <c r="B4033" s="7" t="str">
        <f>IFERROR(__xludf.DUMMYFUNCTION("""COMPUTED_VALUE"""),"C#;Java;JavaScript;SQL;TypeScript")</f>
        <v>C#;Java;JavaScript;SQL;TypeScript</v>
      </c>
      <c r="C4033" s="9" t="str">
        <f>IFERROR(__xludf.DUMMYFUNCTION("""COMPUTED_VALUE"""),"JavaScript")</f>
        <v>JavaScript</v>
      </c>
      <c r="D4033" s="9" t="str">
        <f>IFERROR(__xludf.DUMMYFUNCTION("""COMPUTED_VALUE"""),"Go")</f>
        <v>Go</v>
      </c>
      <c r="E4033" s="9" t="str">
        <f>IFERROR(__xludf.DUMMYFUNCTION("""COMPUTED_VALUE"""),"Ruby")</f>
        <v>Ruby</v>
      </c>
      <c r="F4033" s="9" t="str">
        <f>IFERROR(__xludf.DUMMYFUNCTION("""COMPUTED_VALUE"""),"Swift")</f>
        <v>Swift</v>
      </c>
      <c r="G4033" s="9" t="str">
        <f>IFERROR(__xludf.DUMMYFUNCTION("""COMPUTED_VALUE"""),"Bash/Shell/PowerShell")</f>
        <v>Bash/Shell/PowerShell</v>
      </c>
      <c r="H4033" s="9" t="str">
        <f>IFERROR(__xludf.DUMMYFUNCTION("""COMPUTED_VALUE"""),"Python")</f>
        <v>Python</v>
      </c>
      <c r="I4033" s="9" t="str">
        <f>IFERROR(__xludf.DUMMYFUNCTION("""COMPUTED_VALUE"""),"Python")</f>
        <v>Python</v>
      </c>
      <c r="J4033" s="9" t="str">
        <f>IFERROR(__xludf.DUMMYFUNCTION("""COMPUTED_VALUE"""),"Dart")</f>
        <v>Dart</v>
      </c>
      <c r="K4033" s="9" t="str">
        <f>IFERROR(__xludf.DUMMYFUNCTION("""COMPUTED_VALUE"""),"JavaScript")</f>
        <v>JavaScript</v>
      </c>
      <c r="L4033" s="9" t="str">
        <f>IFERROR(__xludf.DUMMYFUNCTION("""COMPUTED_VALUE"""),"JavaScript")</f>
        <v>JavaScript</v>
      </c>
      <c r="M4033" s="9" t="s">
        <v>21</v>
      </c>
    </row>
    <row r="4034" ht="15.75" customHeight="1">
      <c r="A4034" s="7"/>
      <c r="B4034" s="7" t="str">
        <f>IFERROR(__xludf.DUMMYFUNCTION("""COMPUTED_VALUE"""),"Bash/Shell/PowerShell;HTML/CSS;JavaScript;Python;SQL")</f>
        <v>Bash/Shell/PowerShell;HTML/CSS;JavaScript;Python;SQL</v>
      </c>
      <c r="C4034" s="9" t="str">
        <f>IFERROR(__xludf.DUMMYFUNCTION("""COMPUTED_VALUE"""),"Python")</f>
        <v>Python</v>
      </c>
      <c r="D4034" s="9" t="str">
        <f>IFERROR(__xludf.DUMMYFUNCTION("""COMPUTED_VALUE"""),"Java")</f>
        <v>Java</v>
      </c>
      <c r="E4034" s="9" t="str">
        <f>IFERROR(__xludf.DUMMYFUNCTION("""COMPUTED_VALUE"""),"Rust")</f>
        <v>Rust</v>
      </c>
      <c r="F4034" s="9" t="str">
        <f>IFERROR(__xludf.DUMMYFUNCTION("""COMPUTED_VALUE"""),"Bash/Shell/PowerShell")</f>
        <v>Bash/Shell/PowerShell</v>
      </c>
      <c r="G4034" s="9" t="str">
        <f>IFERROR(__xludf.DUMMYFUNCTION("""COMPUTED_VALUE"""),"C")</f>
        <v>C</v>
      </c>
      <c r="H4034" s="9" t="str">
        <f>IFERROR(__xludf.DUMMYFUNCTION("""COMPUTED_VALUE"""),"Java")</f>
        <v>Java</v>
      </c>
      <c r="I4034" s="9" t="str">
        <f>IFERROR(__xludf.DUMMYFUNCTION("""COMPUTED_VALUE"""),"SQL")</f>
        <v>SQL</v>
      </c>
      <c r="J4034" s="9" t="str">
        <f>IFERROR(__xludf.DUMMYFUNCTION("""COMPUTED_VALUE"""),"Elixir")</f>
        <v>Elixir</v>
      </c>
      <c r="K4034" s="9" t="str">
        <f>IFERROR(__xludf.DUMMYFUNCTION("""COMPUTED_VALUE"""),"Java")</f>
        <v>Java</v>
      </c>
      <c r="L4034" s="9" t="str">
        <f>IFERROR(__xludf.DUMMYFUNCTION("""COMPUTED_VALUE"""),"PHP")</f>
        <v>PHP</v>
      </c>
      <c r="M4034" s="9" t="s">
        <v>22</v>
      </c>
    </row>
    <row r="4035" ht="15.75" customHeight="1">
      <c r="A4035" s="7"/>
      <c r="B4035" s="7" t="str">
        <f>IFERROR(__xludf.DUMMYFUNCTION("""COMPUTED_VALUE"""),"C#;Java;SQL")</f>
        <v>C#;Java;SQL</v>
      </c>
      <c r="C4035" s="9" t="str">
        <f>IFERROR(__xludf.DUMMYFUNCTION("""COMPUTED_VALUE"""),"C#")</f>
        <v>C#</v>
      </c>
      <c r="D4035" s="9" t="str">
        <f>IFERROR(__xludf.DUMMYFUNCTION("""COMPUTED_VALUE"""),"Python")</f>
        <v>Python</v>
      </c>
      <c r="E4035" s="9" t="str">
        <f>IFERROR(__xludf.DUMMYFUNCTION("""COMPUTED_VALUE"""),"TypeScript")</f>
        <v>TypeScript</v>
      </c>
      <c r="F4035" s="9" t="str">
        <f>IFERROR(__xludf.DUMMYFUNCTION("""COMPUTED_VALUE"""),"HTML/CSS")</f>
        <v>HTML/CSS</v>
      </c>
      <c r="G4035" s="9" t="str">
        <f>IFERROR(__xludf.DUMMYFUNCTION("""COMPUTED_VALUE"""),"C++")</f>
        <v>C++</v>
      </c>
      <c r="H4035" s="9" t="str">
        <f>IFERROR(__xludf.DUMMYFUNCTION("""COMPUTED_VALUE"""),"SQL")</f>
        <v>SQL</v>
      </c>
      <c r="I4035" s="9" t="str">
        <f>IFERROR(__xludf.DUMMYFUNCTION("""COMPUTED_VALUE"""),"TypeScript")</f>
        <v>TypeScript</v>
      </c>
      <c r="J4035" s="9" t="str">
        <f>IFERROR(__xludf.DUMMYFUNCTION("""COMPUTED_VALUE"""),"Erlang")</f>
        <v>Erlang</v>
      </c>
      <c r="K4035" s="9" t="str">
        <f>IFERROR(__xludf.DUMMYFUNCTION("""COMPUTED_VALUE"""),"Kotlin")</f>
        <v>Kotlin</v>
      </c>
      <c r="L4035" s="9" t="str">
        <f>IFERROR(__xludf.DUMMYFUNCTION("""COMPUTED_VALUE"""),"Python")</f>
        <v>Python</v>
      </c>
      <c r="M4035" s="9" t="s">
        <v>26</v>
      </c>
    </row>
    <row r="4036" ht="15.75" customHeight="1">
      <c r="A4036" s="7"/>
      <c r="B4036" s="7" t="str">
        <f>IFERROR(__xludf.DUMMYFUNCTION("""COMPUTED_VALUE"""),"Assembly;Bash/Shell/PowerShell;C;HTML/CSS;Java;JavaScript;Kotlin;Python;Ruby;Rust")</f>
        <v>Assembly;Bash/Shell/PowerShell;C;HTML/CSS;Java;JavaScript;Kotlin;Python;Ruby;Rust</v>
      </c>
      <c r="C4036" s="9" t="str">
        <f>IFERROR(__xludf.DUMMYFUNCTION("""COMPUTED_VALUE"""),"Bash/Shell/PowerShell")</f>
        <v>Bash/Shell/PowerShell</v>
      </c>
      <c r="D4036" s="9" t="str">
        <f>IFERROR(__xludf.DUMMYFUNCTION("""COMPUTED_VALUE"""),"Ruby")</f>
        <v>Ruby</v>
      </c>
      <c r="E4036" s="9" t="str">
        <f>IFERROR(__xludf.DUMMYFUNCTION("""COMPUTED_VALUE"""),"WebAssembly")</f>
        <v>WebAssembly</v>
      </c>
      <c r="F4036" s="9" t="str">
        <f>IFERROR(__xludf.DUMMYFUNCTION("""COMPUTED_VALUE"""),"JavaScript")</f>
        <v>JavaScript</v>
      </c>
      <c r="G4036" s="9" t="str">
        <f>IFERROR(__xludf.DUMMYFUNCTION("""COMPUTED_VALUE"""),"Python")</f>
        <v>Python</v>
      </c>
      <c r="H4036" s="9" t="str">
        <f>IFERROR(__xludf.DUMMYFUNCTION("""COMPUTED_VALUE"""),"Bash/Shell/PowerShell")</f>
        <v>Bash/Shell/PowerShell</v>
      </c>
      <c r="I4036" s="9" t="str">
        <f>IFERROR(__xludf.DUMMYFUNCTION("""COMPUTED_VALUE"""),"Bash/Shell/PowerShell")</f>
        <v>Bash/Shell/PowerShell</v>
      </c>
      <c r="J4036" s="9" t="str">
        <f>IFERROR(__xludf.DUMMYFUNCTION("""COMPUTED_VALUE"""),"F#")</f>
        <v>F#</v>
      </c>
      <c r="K4036" s="9" t="str">
        <f>IFERROR(__xludf.DUMMYFUNCTION("""COMPUTED_VALUE"""),"Python")</f>
        <v>Python</v>
      </c>
      <c r="L4036" s="9" t="str">
        <f>IFERROR(__xludf.DUMMYFUNCTION("""COMPUTED_VALUE"""),"SQL")</f>
        <v>SQL</v>
      </c>
      <c r="M4036" s="9" t="s">
        <v>30</v>
      </c>
    </row>
    <row r="4037" ht="15.75" customHeight="1">
      <c r="A4037" s="7"/>
      <c r="B4037" s="7" t="str">
        <f>IFERROR(__xludf.DUMMYFUNCTION("""COMPUTED_VALUE"""),"C#;HTML/CSS;Java;JavaScript;SQL;Swift")</f>
        <v>C#;HTML/CSS;Java;JavaScript;SQL;Swift</v>
      </c>
      <c r="C4037" s="9" t="str">
        <f>IFERROR(__xludf.DUMMYFUNCTION("""COMPUTED_VALUE"""),"HTML/CSS")</f>
        <v>HTML/CSS</v>
      </c>
      <c r="D4037" s="9" t="str">
        <f>IFERROR(__xludf.DUMMYFUNCTION("""COMPUTED_VALUE"""),"SQL")</f>
        <v>SQL</v>
      </c>
      <c r="E4037" s="9" t="str">
        <f>IFERROR(__xludf.DUMMYFUNCTION("""COMPUTED_VALUE"""),"Bash/Shell/PowerShell")</f>
        <v>Bash/Shell/PowerShell</v>
      </c>
      <c r="F4037" s="9" t="str">
        <f>IFERROR(__xludf.DUMMYFUNCTION("""COMPUTED_VALUE"""),"PHP")</f>
        <v>PHP</v>
      </c>
      <c r="G4037" s="9" t="str">
        <f>IFERROR(__xludf.DUMMYFUNCTION("""COMPUTED_VALUE"""),"VBA")</f>
        <v>VBA</v>
      </c>
      <c r="H4037" s="9" t="str">
        <f>IFERROR(__xludf.DUMMYFUNCTION("""COMPUTED_VALUE"""),"C#")</f>
        <v>C#</v>
      </c>
      <c r="I4037" s="9" t="str">
        <f>IFERROR(__xludf.DUMMYFUNCTION("""COMPUTED_VALUE"""),"HTML/CSS")</f>
        <v>HTML/CSS</v>
      </c>
      <c r="J4037" s="9" t="str">
        <f>IFERROR(__xludf.DUMMYFUNCTION("""COMPUTED_VALUE"""),"Go")</f>
        <v>Go</v>
      </c>
      <c r="K4037" s="9" t="str">
        <f>IFERROR(__xludf.DUMMYFUNCTION("""COMPUTED_VALUE"""),"Scala")</f>
        <v>Scala</v>
      </c>
      <c r="L4037" s="9" t="str">
        <f>IFERROR(__xludf.DUMMYFUNCTION("""COMPUTED_VALUE"""),"C#")</f>
        <v>C#</v>
      </c>
      <c r="M4037" s="9" t="s">
        <v>24</v>
      </c>
    </row>
    <row r="4038" ht="15.75" customHeight="1">
      <c r="A4038" s="7"/>
      <c r="B4038" s="7" t="str">
        <f>IFERROR(__xludf.DUMMYFUNCTION("""COMPUTED_VALUE"""),"C++;C#;Go;HTML/CSS;JavaScript;Python;Ruby;Rust;TypeScript")</f>
        <v>C++;C#;Go;HTML/CSS;JavaScript;Python;Ruby;Rust;TypeScript</v>
      </c>
      <c r="C4038" s="9" t="str">
        <f>IFERROR(__xludf.DUMMYFUNCTION("""COMPUTED_VALUE"""),"JavaScript")</f>
        <v>JavaScript</v>
      </c>
      <c r="D4038" s="9" t="str">
        <f>IFERROR(__xludf.DUMMYFUNCTION("""COMPUTED_VALUE"""),"HTML/CSS")</f>
        <v>HTML/CSS</v>
      </c>
      <c r="E4038" s="9" t="str">
        <f>IFERROR(__xludf.DUMMYFUNCTION("""COMPUTED_VALUE"""),"HTML/CSS")</f>
        <v>HTML/CSS</v>
      </c>
      <c r="F4038" s="9" t="str">
        <f>IFERROR(__xludf.DUMMYFUNCTION("""COMPUTED_VALUE"""),"SQL")</f>
        <v>SQL</v>
      </c>
      <c r="G4038" s="9" t="str">
        <f>IFERROR(__xludf.DUMMYFUNCTION("""COMPUTED_VALUE"""),"C")</f>
        <v>C</v>
      </c>
      <c r="H4038" s="9" t="str">
        <f>IFERROR(__xludf.DUMMYFUNCTION("""COMPUTED_VALUE"""),"HTML/CSS")</f>
        <v>HTML/CSS</v>
      </c>
      <c r="I4038" s="9" t="str">
        <f>IFERROR(__xludf.DUMMYFUNCTION("""COMPUTED_VALUE"""),"JavaScript")</f>
        <v>JavaScript</v>
      </c>
      <c r="J4038" s="9" t="str">
        <f>IFERROR(__xludf.DUMMYFUNCTION("""COMPUTED_VALUE"""),"HTML/CSS")</f>
        <v>HTML/CSS</v>
      </c>
      <c r="K4038" s="9" t="str">
        <f>IFERROR(__xludf.DUMMYFUNCTION("""COMPUTED_VALUE"""),"C#")</f>
        <v>C#</v>
      </c>
      <c r="L4038" s="9" t="str">
        <f>IFERROR(__xludf.DUMMYFUNCTION("""COMPUTED_VALUE"""),"HTML/CSS")</f>
        <v>HTML/CSS</v>
      </c>
      <c r="M4038" s="9" t="s">
        <v>21</v>
      </c>
    </row>
    <row r="4039" ht="15.75" customHeight="1">
      <c r="A4039" s="7"/>
      <c r="B4039" s="7" t="str">
        <f>IFERROR(__xludf.DUMMYFUNCTION("""COMPUTED_VALUE"""),"Java;JavaScript;Kotlin")</f>
        <v>Java;JavaScript;Kotlin</v>
      </c>
      <c r="C4039" s="9" t="str">
        <f>IFERROR(__xludf.DUMMYFUNCTION("""COMPUTED_VALUE"""),"PHP")</f>
        <v>PHP</v>
      </c>
      <c r="D4039" s="9" t="str">
        <f>IFERROR(__xludf.DUMMYFUNCTION("""COMPUTED_VALUE"""),"Java")</f>
        <v>Java</v>
      </c>
      <c r="E4039" s="9" t="str">
        <f>IFERROR(__xludf.DUMMYFUNCTION("""COMPUTED_VALUE"""),"Java")</f>
        <v>Java</v>
      </c>
      <c r="F4039" s="9" t="str">
        <f>IFERROR(__xludf.DUMMYFUNCTION("""COMPUTED_VALUE"""),"HTML/CSS")</f>
        <v>HTML/CSS</v>
      </c>
      <c r="G4039" s="9" t="str">
        <f>IFERROR(__xludf.DUMMYFUNCTION("""COMPUTED_VALUE"""),"C#")</f>
        <v>C#</v>
      </c>
      <c r="H4039" s="9" t="str">
        <f>IFERROR(__xludf.DUMMYFUNCTION("""COMPUTED_VALUE"""),"JavaScript")</f>
        <v>JavaScript</v>
      </c>
      <c r="I4039" s="9" t="str">
        <f>IFERROR(__xludf.DUMMYFUNCTION("""COMPUTED_VALUE"""),"PHP")</f>
        <v>PHP</v>
      </c>
      <c r="J4039" s="9" t="str">
        <f>IFERROR(__xludf.DUMMYFUNCTION("""COMPUTED_VALUE"""),"Java")</f>
        <v>Java</v>
      </c>
      <c r="K4039" s="9" t="str">
        <f>IFERROR(__xludf.DUMMYFUNCTION("""COMPUTED_VALUE"""),"JavaScript")</f>
        <v>JavaScript</v>
      </c>
      <c r="L4039" s="9" t="str">
        <f>IFERROR(__xludf.DUMMYFUNCTION("""COMPUTED_VALUE"""),"Java")</f>
        <v>Java</v>
      </c>
      <c r="M4039" s="9" t="s">
        <v>37</v>
      </c>
    </row>
    <row r="4040" ht="15.75" customHeight="1">
      <c r="A4040" s="7"/>
      <c r="B4040" s="7" t="str">
        <f>IFERROR(__xludf.DUMMYFUNCTION("""COMPUTED_VALUE"""),"Bash/Shell/PowerShell;C;C++;C#;HTML/CSS;JavaScript;SQL;TypeScript")</f>
        <v>Bash/Shell/PowerShell;C;C++;C#;HTML/CSS;JavaScript;SQL;TypeScript</v>
      </c>
      <c r="C4040" s="9" t="str">
        <f>IFERROR(__xludf.DUMMYFUNCTION("""COMPUTED_VALUE"""),"Python")</f>
        <v>Python</v>
      </c>
      <c r="D4040" s="9" t="str">
        <f>IFERROR(__xludf.DUMMYFUNCTION("""COMPUTED_VALUE"""),"JavaScript")</f>
        <v>JavaScript</v>
      </c>
      <c r="E4040" s="9" t="str">
        <f>IFERROR(__xludf.DUMMYFUNCTION("""COMPUTED_VALUE"""),"JavaScript")</f>
        <v>JavaScript</v>
      </c>
      <c r="F4040" s="9" t="str">
        <f>IFERROR(__xludf.DUMMYFUNCTION("""COMPUTED_VALUE"""),"JavaScript")</f>
        <v>JavaScript</v>
      </c>
      <c r="G4040" s="9" t="str">
        <f>IFERROR(__xludf.DUMMYFUNCTION("""COMPUTED_VALUE"""),"HTML/CSS")</f>
        <v>HTML/CSS</v>
      </c>
      <c r="H4040" s="9" t="str">
        <f>IFERROR(__xludf.DUMMYFUNCTION("""COMPUTED_VALUE"""),"Python")</f>
        <v>Python</v>
      </c>
      <c r="I4040" s="9" t="str">
        <f>IFERROR(__xludf.DUMMYFUNCTION("""COMPUTED_VALUE"""),"SQL")</f>
        <v>SQL</v>
      </c>
      <c r="J4040" s="9" t="str">
        <f>IFERROR(__xludf.DUMMYFUNCTION("""COMPUTED_VALUE"""),"JavaScript")</f>
        <v>JavaScript</v>
      </c>
      <c r="K4040" s="9" t="str">
        <f>IFERROR(__xludf.DUMMYFUNCTION("""COMPUTED_VALUE"""),"SQL")</f>
        <v>SQL</v>
      </c>
      <c r="L4040" s="9" t="str">
        <f>IFERROR(__xludf.DUMMYFUNCTION("""COMPUTED_VALUE"""),"JavaScript")</f>
        <v>JavaScript</v>
      </c>
      <c r="M4040" s="9" t="s">
        <v>22</v>
      </c>
    </row>
    <row r="4041" ht="15.75" customHeight="1">
      <c r="A4041" s="7"/>
      <c r="B4041" s="7" t="str">
        <f>IFERROR(__xludf.DUMMYFUNCTION("""COMPUTED_VALUE"""),"C#;HTML/CSS;JavaScript;PHP;SQL;Other(s):")</f>
        <v>C#;HTML/CSS;JavaScript;PHP;SQL;Other(s):</v>
      </c>
      <c r="C4041" s="9" t="str">
        <f>IFERROR(__xludf.DUMMYFUNCTION("""COMPUTED_VALUE"""),"SQL")</f>
        <v>SQL</v>
      </c>
      <c r="D4041" s="9" t="str">
        <f>IFERROR(__xludf.DUMMYFUNCTION("""COMPUTED_VALUE"""),"PHP")</f>
        <v>PHP</v>
      </c>
      <c r="E4041" s="9" t="str">
        <f>IFERROR(__xludf.DUMMYFUNCTION("""COMPUTED_VALUE"""),"PHP")</f>
        <v>PHP</v>
      </c>
      <c r="F4041" s="9" t="str">
        <f>IFERROR(__xludf.DUMMYFUNCTION("""COMPUTED_VALUE"""),"Python")</f>
        <v>Python</v>
      </c>
      <c r="G4041" s="9" t="str">
        <f>IFERROR(__xludf.DUMMYFUNCTION("""COMPUTED_VALUE"""),"Java")</f>
        <v>Java</v>
      </c>
      <c r="H4041" s="9" t="str">
        <f>IFERROR(__xludf.DUMMYFUNCTION("""COMPUTED_VALUE"""),"SQL")</f>
        <v>SQL</v>
      </c>
      <c r="I4041" s="9" t="str">
        <f>IFERROR(__xludf.DUMMYFUNCTION("""COMPUTED_VALUE"""),"HTML/CSS")</f>
        <v>HTML/CSS</v>
      </c>
      <c r="J4041" s="9" t="str">
        <f>IFERROR(__xludf.DUMMYFUNCTION("""COMPUTED_VALUE"""),"Kotlin")</f>
        <v>Kotlin</v>
      </c>
      <c r="K4041" s="9" t="str">
        <f>IFERROR(__xludf.DUMMYFUNCTION("""COMPUTED_VALUE"""),"Bash/Shell/PowerShell")</f>
        <v>Bash/Shell/PowerShell</v>
      </c>
      <c r="L4041" s="9" t="str">
        <f>IFERROR(__xludf.DUMMYFUNCTION("""COMPUTED_VALUE"""),"SQL")</f>
        <v>SQL</v>
      </c>
      <c r="M4041" s="9" t="s">
        <v>27</v>
      </c>
    </row>
    <row r="4042" ht="15.75" customHeight="1">
      <c r="A4042" s="7"/>
      <c r="B4042" s="7" t="str">
        <f>IFERROR(__xludf.DUMMYFUNCTION("""COMPUTED_VALUE"""),"Bash/Shell/PowerShell;Elixir;Erlang;HTML/CSS;JavaScript;Python;SQL")</f>
        <v>Bash/Shell/PowerShell;Elixir;Erlang;HTML/CSS;JavaScript;Python;SQL</v>
      </c>
      <c r="C4042" s="9" t="str">
        <f>IFERROR(__xludf.DUMMYFUNCTION("""COMPUTED_VALUE"""),"C#")</f>
        <v>C#</v>
      </c>
      <c r="D4042" s="9" t="str">
        <f>IFERROR(__xludf.DUMMYFUNCTION("""COMPUTED_VALUE"""),"SQL")</f>
        <v>SQL</v>
      </c>
      <c r="E4042" s="9" t="str">
        <f>IFERROR(__xludf.DUMMYFUNCTION("""COMPUTED_VALUE"""),"SQL")</f>
        <v>SQL</v>
      </c>
      <c r="F4042" s="9" t="str">
        <f>IFERROR(__xludf.DUMMYFUNCTION("""COMPUTED_VALUE"""),"JavaScript")</f>
        <v>JavaScript</v>
      </c>
      <c r="G4042" s="9" t="str">
        <f>IFERROR(__xludf.DUMMYFUNCTION("""COMPUTED_VALUE"""),"JavaScript")</f>
        <v>JavaScript</v>
      </c>
      <c r="H4042" s="9" t="str">
        <f>IFERROR(__xludf.DUMMYFUNCTION("""COMPUTED_VALUE"""),"Bash/Shell/PowerShell")</f>
        <v>Bash/Shell/PowerShell</v>
      </c>
      <c r="I4042" s="9" t="str">
        <f>IFERROR(__xludf.DUMMYFUNCTION("""COMPUTED_VALUE"""),"Java")</f>
        <v>Java</v>
      </c>
      <c r="J4042" s="9" t="str">
        <f>IFERROR(__xludf.DUMMYFUNCTION("""COMPUTED_VALUE"""),"Objective-C")</f>
        <v>Objective-C</v>
      </c>
      <c r="K4042" s="9" t="str">
        <f>IFERROR(__xludf.DUMMYFUNCTION("""COMPUTED_VALUE"""),"Erlang")</f>
        <v>Erlang</v>
      </c>
      <c r="L4042" s="9" t="str">
        <f>IFERROR(__xludf.DUMMYFUNCTION("""COMPUTED_VALUE"""),"TypeScript")</f>
        <v>TypeScript</v>
      </c>
      <c r="M4042" s="9" t="s">
        <v>26</v>
      </c>
    </row>
    <row r="4043" ht="15.75" customHeight="1">
      <c r="A4043" s="7"/>
      <c r="B4043" s="7" t="str">
        <f>IFERROR(__xludf.DUMMYFUNCTION("""COMPUTED_VALUE"""),"Bash/Shell/PowerShell;C++;JavaScript;Python;R;SQL")</f>
        <v>Bash/Shell/PowerShell;C++;JavaScript;Python;R;SQL</v>
      </c>
      <c r="C4043" s="9" t="str">
        <f>IFERROR(__xludf.DUMMYFUNCTION("""COMPUTED_VALUE"""),"HTML/CSS")</f>
        <v>HTML/CSS</v>
      </c>
      <c r="D4043" s="9" t="str">
        <f>IFERROR(__xludf.DUMMYFUNCTION("""COMPUTED_VALUE"""),"TypeScript")</f>
        <v>TypeScript</v>
      </c>
      <c r="E4043" s="9" t="str">
        <f>IFERROR(__xludf.DUMMYFUNCTION("""COMPUTED_VALUE"""),"Java")</f>
        <v>Java</v>
      </c>
      <c r="F4043" s="9" t="str">
        <f>IFERROR(__xludf.DUMMYFUNCTION("""COMPUTED_VALUE"""),"Objective-C")</f>
        <v>Objective-C</v>
      </c>
      <c r="G4043" s="9" t="str">
        <f>IFERROR(__xludf.DUMMYFUNCTION("""COMPUTED_VALUE"""),"PHP")</f>
        <v>PHP</v>
      </c>
      <c r="H4043" s="9" t="str">
        <f>IFERROR(__xludf.DUMMYFUNCTION("""COMPUTED_VALUE"""),"HTML/CSS")</f>
        <v>HTML/CSS</v>
      </c>
      <c r="I4043" s="9" t="str">
        <f>IFERROR(__xludf.DUMMYFUNCTION("""COMPUTED_VALUE"""),"JavaScript")</f>
        <v>JavaScript</v>
      </c>
      <c r="J4043" s="9" t="str">
        <f>IFERROR(__xludf.DUMMYFUNCTION("""COMPUTED_VALUE"""),"PHP")</f>
        <v>PHP</v>
      </c>
      <c r="K4043" s="9" t="str">
        <f>IFERROR(__xludf.DUMMYFUNCTION("""COMPUTED_VALUE"""),"Java")</f>
        <v>Java</v>
      </c>
      <c r="L4043" s="9" t="str">
        <f>IFERROR(__xludf.DUMMYFUNCTION("""COMPUTED_VALUE"""),"VBA")</f>
        <v>VBA</v>
      </c>
      <c r="M4043" s="9" t="s">
        <v>24</v>
      </c>
    </row>
    <row r="4044" ht="15.75" customHeight="1">
      <c r="A4044" s="7"/>
      <c r="B4044" s="7" t="str">
        <f>IFERROR(__xludf.DUMMYFUNCTION("""COMPUTED_VALUE"""),"Bash/Shell/PowerShell;C#;HTML/CSS;JavaScript;Swift;TypeScript")</f>
        <v>Bash/Shell/PowerShell;C#;HTML/CSS;JavaScript;Swift;TypeScript</v>
      </c>
      <c r="C4044" s="9" t="str">
        <f>IFERROR(__xludf.DUMMYFUNCTION("""COMPUTED_VALUE"""),"Java")</f>
        <v>Java</v>
      </c>
      <c r="D4044" s="9" t="str">
        <f>IFERROR(__xludf.DUMMYFUNCTION("""COMPUTED_VALUE"""),"Bash/Shell/PowerShell")</f>
        <v>Bash/Shell/PowerShell</v>
      </c>
      <c r="E4044" s="9" t="str">
        <f>IFERROR(__xludf.DUMMYFUNCTION("""COMPUTED_VALUE"""),"SQL")</f>
        <v>SQL</v>
      </c>
      <c r="F4044" s="9" t="str">
        <f>IFERROR(__xludf.DUMMYFUNCTION("""COMPUTED_VALUE"""),"Swift")</f>
        <v>Swift</v>
      </c>
      <c r="G4044" s="9" t="str">
        <f>IFERROR(__xludf.DUMMYFUNCTION("""COMPUTED_VALUE"""),"SQL")</f>
        <v>SQL</v>
      </c>
      <c r="H4044" s="9" t="str">
        <f>IFERROR(__xludf.DUMMYFUNCTION("""COMPUTED_VALUE"""),"Java")</f>
        <v>Java</v>
      </c>
      <c r="I4044" s="9" t="str">
        <f>IFERROR(__xludf.DUMMYFUNCTION("""COMPUTED_VALUE"""),"C")</f>
        <v>C</v>
      </c>
      <c r="J4044" s="9" t="str">
        <f>IFERROR(__xludf.DUMMYFUNCTION("""COMPUTED_VALUE"""),"Python")</f>
        <v>Python</v>
      </c>
      <c r="K4044" s="9" t="str">
        <f>IFERROR(__xludf.DUMMYFUNCTION("""COMPUTED_VALUE"""),"SQL")</f>
        <v>SQL</v>
      </c>
      <c r="L4044" s="9" t="str">
        <f>IFERROR(__xludf.DUMMYFUNCTION("""COMPUTED_VALUE"""),"C")</f>
        <v>C</v>
      </c>
      <c r="M4044" s="9" t="s">
        <v>20</v>
      </c>
    </row>
    <row r="4045" ht="15.75" customHeight="1">
      <c r="A4045" s="7"/>
      <c r="B4045" s="7" t="str">
        <f>IFERROR(__xludf.DUMMYFUNCTION("""COMPUTED_VALUE"""),"C#;HTML/CSS;JavaScript;SQL;TypeScript")</f>
        <v>C#;HTML/CSS;JavaScript;SQL;TypeScript</v>
      </c>
      <c r="C4045" s="9" t="str">
        <f>IFERROR(__xludf.DUMMYFUNCTION("""COMPUTED_VALUE"""),"JavaScript")</f>
        <v>JavaScript</v>
      </c>
      <c r="D4045" s="9" t="str">
        <f>IFERROR(__xludf.DUMMYFUNCTION("""COMPUTED_VALUE"""),"C++")</f>
        <v>C++</v>
      </c>
      <c r="E4045" s="9" t="str">
        <f>IFERROR(__xludf.DUMMYFUNCTION("""COMPUTED_VALUE"""),"HTML/CSS")</f>
        <v>HTML/CSS</v>
      </c>
      <c r="F4045" s="9" t="str">
        <f>IFERROR(__xludf.DUMMYFUNCTION("""COMPUTED_VALUE"""),"HTML/CSS")</f>
        <v>HTML/CSS</v>
      </c>
      <c r="G4045" s="9" t="str">
        <f>IFERROR(__xludf.DUMMYFUNCTION("""COMPUTED_VALUE"""),"C")</f>
        <v>C</v>
      </c>
      <c r="H4045" s="9" t="str">
        <f>IFERROR(__xludf.DUMMYFUNCTION("""COMPUTED_VALUE"""),"JavaScript")</f>
        <v>JavaScript</v>
      </c>
      <c r="I4045" s="9" t="str">
        <f>IFERROR(__xludf.DUMMYFUNCTION("""COMPUTED_VALUE"""),"SQL")</f>
        <v>SQL</v>
      </c>
      <c r="J4045" s="9" t="str">
        <f>IFERROR(__xludf.DUMMYFUNCTION("""COMPUTED_VALUE"""),"R")</f>
        <v>R</v>
      </c>
      <c r="K4045" s="9" t="str">
        <f>IFERROR(__xludf.DUMMYFUNCTION("""COMPUTED_VALUE"""),"C++")</f>
        <v>C++</v>
      </c>
      <c r="L4045" s="9" t="str">
        <f>IFERROR(__xludf.DUMMYFUNCTION("""COMPUTED_VALUE"""),"JavaScript")</f>
        <v>JavaScript</v>
      </c>
      <c r="M4045" s="9" t="s">
        <v>21</v>
      </c>
    </row>
    <row r="4046" ht="15.75" customHeight="1">
      <c r="A4046" s="7"/>
      <c r="B4046" s="7" t="str">
        <f>IFERROR(__xludf.DUMMYFUNCTION("""COMPUTED_VALUE"""),"C;C++")</f>
        <v>C;C++</v>
      </c>
      <c r="C4046" s="9" t="str">
        <f>IFERROR(__xludf.DUMMYFUNCTION("""COMPUTED_VALUE"""),"Objective-C")</f>
        <v>Objective-C</v>
      </c>
      <c r="D4046" s="9" t="str">
        <f>IFERROR(__xludf.DUMMYFUNCTION("""COMPUTED_VALUE"""),"HTML/CSS")</f>
        <v>HTML/CSS</v>
      </c>
      <c r="E4046" s="9" t="str">
        <f>IFERROR(__xludf.DUMMYFUNCTION("""COMPUTED_VALUE"""),"Java")</f>
        <v>Java</v>
      </c>
      <c r="F4046" s="9" t="str">
        <f>IFERROR(__xludf.DUMMYFUNCTION("""COMPUTED_VALUE"""),"JavaScript")</f>
        <v>JavaScript</v>
      </c>
      <c r="G4046" s="9" t="str">
        <f>IFERROR(__xludf.DUMMYFUNCTION("""COMPUTED_VALUE"""),"C++")</f>
        <v>C++</v>
      </c>
      <c r="H4046" s="9" t="str">
        <f>IFERROR(__xludf.DUMMYFUNCTION("""COMPUTED_VALUE"""),"SQL")</f>
        <v>SQL</v>
      </c>
      <c r="I4046" s="9" t="str">
        <f>IFERROR(__xludf.DUMMYFUNCTION("""COMPUTED_VALUE"""),"Other(s):")</f>
        <v>Other(s):</v>
      </c>
      <c r="J4046" s="9" t="str">
        <f>IFERROR(__xludf.DUMMYFUNCTION("""COMPUTED_VALUE"""),"Ruby")</f>
        <v>Ruby</v>
      </c>
      <c r="K4046" s="9" t="str">
        <f>IFERROR(__xludf.DUMMYFUNCTION("""COMPUTED_VALUE"""),"C#")</f>
        <v>C#</v>
      </c>
      <c r="L4046" s="9" t="str">
        <f>IFERROR(__xludf.DUMMYFUNCTION("""COMPUTED_VALUE"""),"TypeScript")</f>
        <v>TypeScript</v>
      </c>
      <c r="M4046" s="9" t="s">
        <v>41</v>
      </c>
    </row>
    <row r="4047" ht="15.75" customHeight="1">
      <c r="A4047" s="7"/>
      <c r="B4047" s="7" t="str">
        <f>IFERROR(__xludf.DUMMYFUNCTION("""COMPUTED_VALUE"""),"HTML/CSS;JavaScript;Ruby;TypeScript")</f>
        <v>HTML/CSS;JavaScript;Ruby;TypeScript</v>
      </c>
      <c r="C4047" s="9" t="str">
        <f>IFERROR(__xludf.DUMMYFUNCTION("""COMPUTED_VALUE"""),"SQL")</f>
        <v>SQL</v>
      </c>
      <c r="D4047" s="9" t="str">
        <f>IFERROR(__xludf.DUMMYFUNCTION("""COMPUTED_VALUE"""),"Java")</f>
        <v>Java</v>
      </c>
      <c r="E4047" s="9" t="str">
        <f>IFERROR(__xludf.DUMMYFUNCTION("""COMPUTED_VALUE"""),"JavaScript")</f>
        <v>JavaScript</v>
      </c>
      <c r="F4047" s="9" t="str">
        <f>IFERROR(__xludf.DUMMYFUNCTION("""COMPUTED_VALUE"""),"SQL")</f>
        <v>SQL</v>
      </c>
      <c r="G4047" s="9" t="str">
        <f>IFERROR(__xludf.DUMMYFUNCTION("""COMPUTED_VALUE"""),"Dart")</f>
        <v>Dart</v>
      </c>
      <c r="H4047" s="9" t="str">
        <f>IFERROR(__xludf.DUMMYFUNCTION("""COMPUTED_VALUE"""),"TypeScript")</f>
        <v>TypeScript</v>
      </c>
      <c r="I4047" s="9" t="str">
        <f>IFERROR(__xludf.DUMMYFUNCTION("""COMPUTED_VALUE"""),"Bash/Shell/PowerShell")</f>
        <v>Bash/Shell/PowerShell</v>
      </c>
      <c r="J4047" s="9" t="str">
        <f>IFERROR(__xludf.DUMMYFUNCTION("""COMPUTED_VALUE"""),"Rust")</f>
        <v>Rust</v>
      </c>
      <c r="K4047" s="9" t="str">
        <f>IFERROR(__xludf.DUMMYFUNCTION("""COMPUTED_VALUE"""),"HTML/CSS")</f>
        <v>HTML/CSS</v>
      </c>
      <c r="L4047" s="9" t="str">
        <f>IFERROR(__xludf.DUMMYFUNCTION("""COMPUTED_VALUE"""),"Bash/Shell/PowerShell")</f>
        <v>Bash/Shell/PowerShell</v>
      </c>
      <c r="M4047" s="9" t="s">
        <v>27</v>
      </c>
    </row>
    <row r="4048" ht="15.75" customHeight="1">
      <c r="A4048" s="7"/>
      <c r="B4048" s="7" t="str">
        <f>IFERROR(__xludf.DUMMYFUNCTION("""COMPUTED_VALUE"""),"C;HTML/CSS;Java;JavaScript;Python;Swift")</f>
        <v>C;HTML/CSS;Java;JavaScript;Python;Swift</v>
      </c>
      <c r="C4048" s="9" t="str">
        <f>IFERROR(__xludf.DUMMYFUNCTION("""COMPUTED_VALUE"""),"Python")</f>
        <v>Python</v>
      </c>
      <c r="D4048" s="9" t="str">
        <f>IFERROR(__xludf.DUMMYFUNCTION("""COMPUTED_VALUE"""),"JavaScript")</f>
        <v>JavaScript</v>
      </c>
      <c r="E4048" s="9" t="str">
        <f>IFERROR(__xludf.DUMMYFUNCTION("""COMPUTED_VALUE"""),"Java")</f>
        <v>Java</v>
      </c>
      <c r="F4048" s="9" t="str">
        <f>IFERROR(__xludf.DUMMYFUNCTION("""COMPUTED_VALUE"""),"HTML/CSS")</f>
        <v>HTML/CSS</v>
      </c>
      <c r="G4048" s="9" t="str">
        <f>IFERROR(__xludf.DUMMYFUNCTION("""COMPUTED_VALUE"""),"HTML/CSS")</f>
        <v>HTML/CSS</v>
      </c>
      <c r="H4048" s="9" t="str">
        <f>IFERROR(__xludf.DUMMYFUNCTION("""COMPUTED_VALUE"""),"C#")</f>
        <v>C#</v>
      </c>
      <c r="I4048" s="9" t="str">
        <f>IFERROR(__xludf.DUMMYFUNCTION("""COMPUTED_VALUE"""),"C++")</f>
        <v>C++</v>
      </c>
      <c r="J4048" s="9" t="str">
        <f>IFERROR(__xludf.DUMMYFUNCTION("""COMPUTED_VALUE"""),"Scala")</f>
        <v>Scala</v>
      </c>
      <c r="K4048" s="9" t="str">
        <f>IFERROR(__xludf.DUMMYFUNCTION("""COMPUTED_VALUE"""),"Java")</f>
        <v>Java</v>
      </c>
      <c r="L4048" s="9" t="str">
        <f>IFERROR(__xludf.DUMMYFUNCTION("""COMPUTED_VALUE"""),"C#")</f>
        <v>C#</v>
      </c>
      <c r="M4048" s="9" t="s">
        <v>22</v>
      </c>
    </row>
    <row r="4049" ht="15.75" customHeight="1">
      <c r="A4049" s="7"/>
      <c r="B4049" s="7" t="str">
        <f>IFERROR(__xludf.DUMMYFUNCTION("""COMPUTED_VALUE"""),"C#;HTML/CSS;JavaScript;TypeScript")</f>
        <v>C#;HTML/CSS;JavaScript;TypeScript</v>
      </c>
      <c r="C4049" s="9" t="str">
        <f>IFERROR(__xludf.DUMMYFUNCTION("""COMPUTED_VALUE"""),"Bash/Shell/PowerShell")</f>
        <v>Bash/Shell/PowerShell</v>
      </c>
      <c r="D4049" s="9" t="str">
        <f>IFERROR(__xludf.DUMMYFUNCTION("""COMPUTED_VALUE"""),"Python")</f>
        <v>Python</v>
      </c>
      <c r="E4049" s="9" t="str">
        <f>IFERROR(__xludf.DUMMYFUNCTION("""COMPUTED_VALUE"""),"PHP")</f>
        <v>PHP</v>
      </c>
      <c r="F4049" s="9" t="str">
        <f>IFERROR(__xludf.DUMMYFUNCTION("""COMPUTED_VALUE"""),"JavaScript")</f>
        <v>JavaScript</v>
      </c>
      <c r="G4049" s="9" t="str">
        <f>IFERROR(__xludf.DUMMYFUNCTION("""COMPUTED_VALUE"""),"Java")</f>
        <v>Java</v>
      </c>
      <c r="H4049" s="9" t="str">
        <f>IFERROR(__xludf.DUMMYFUNCTION("""COMPUTED_VALUE"""),"HTML/CSS")</f>
        <v>HTML/CSS</v>
      </c>
      <c r="I4049" s="9" t="str">
        <f>IFERROR(__xludf.DUMMYFUNCTION("""COMPUTED_VALUE"""),"C#")</f>
        <v>C#</v>
      </c>
      <c r="J4049" s="9" t="str">
        <f>IFERROR(__xludf.DUMMYFUNCTION("""COMPUTED_VALUE"""),"SQL")</f>
        <v>SQL</v>
      </c>
      <c r="K4049" s="9" t="str">
        <f>IFERROR(__xludf.DUMMYFUNCTION("""COMPUTED_VALUE"""),"JavaScript")</f>
        <v>JavaScript</v>
      </c>
      <c r="L4049" s="9" t="str">
        <f>IFERROR(__xludf.DUMMYFUNCTION("""COMPUTED_VALUE"""),"HTML/CSS")</f>
        <v>HTML/CSS</v>
      </c>
      <c r="M4049" s="9" t="s">
        <v>30</v>
      </c>
    </row>
    <row r="4050" ht="15.75" customHeight="1">
      <c r="A4050" s="7"/>
      <c r="B4050" s="7" t="str">
        <f>IFERROR(__xludf.DUMMYFUNCTION("""COMPUTED_VALUE"""),"C#;HTML/CSS;JavaScript;Python;SQL;VBA")</f>
        <v>C#;HTML/CSS;JavaScript;Python;SQL;VBA</v>
      </c>
      <c r="C4050" s="9" t="str">
        <f>IFERROR(__xludf.DUMMYFUNCTION("""COMPUTED_VALUE"""),"C++")</f>
        <v>C++</v>
      </c>
      <c r="D4050" s="9" t="str">
        <f>IFERROR(__xludf.DUMMYFUNCTION("""COMPUTED_VALUE"""),"Ruby")</f>
        <v>Ruby</v>
      </c>
      <c r="E4050" s="9" t="str">
        <f>IFERROR(__xludf.DUMMYFUNCTION("""COMPUTED_VALUE"""),"Python")</f>
        <v>Python</v>
      </c>
      <c r="F4050" s="9" t="str">
        <f>IFERROR(__xludf.DUMMYFUNCTION("""COMPUTED_VALUE"""),"Python")</f>
        <v>Python</v>
      </c>
      <c r="G4050" s="9" t="str">
        <f>IFERROR(__xludf.DUMMYFUNCTION("""COMPUTED_VALUE"""),"JavaScript")</f>
        <v>JavaScript</v>
      </c>
      <c r="H4050" s="9" t="str">
        <f>IFERROR(__xludf.DUMMYFUNCTION("""COMPUTED_VALUE"""),"Java")</f>
        <v>Java</v>
      </c>
      <c r="I4050" s="9" t="str">
        <f>IFERROR(__xludf.DUMMYFUNCTION("""COMPUTED_VALUE"""),"Go")</f>
        <v>Go</v>
      </c>
      <c r="J4050" s="9" t="str">
        <f>IFERROR(__xludf.DUMMYFUNCTION("""COMPUTED_VALUE"""),"Swift")</f>
        <v>Swift</v>
      </c>
      <c r="K4050" s="9" t="str">
        <f>IFERROR(__xludf.DUMMYFUNCTION("""COMPUTED_VALUE"""),"Python")</f>
        <v>Python</v>
      </c>
      <c r="L4050" s="9" t="str">
        <f>IFERROR(__xludf.DUMMYFUNCTION("""COMPUTED_VALUE"""),"JavaScript")</f>
        <v>JavaScript</v>
      </c>
      <c r="M4050" s="9" t="s">
        <v>23</v>
      </c>
    </row>
    <row r="4051" ht="15.75" customHeight="1">
      <c r="A4051" s="7"/>
      <c r="B4051" s="7" t="str">
        <f>IFERROR(__xludf.DUMMYFUNCTION("""COMPUTED_VALUE"""),"Bash/Shell/PowerShell;C#;Java;JavaScript;SQL;TypeScript;Other(s):")</f>
        <v>Bash/Shell/PowerShell;C#;Java;JavaScript;SQL;TypeScript;Other(s):</v>
      </c>
      <c r="C4051" s="9" t="str">
        <f>IFERROR(__xludf.DUMMYFUNCTION("""COMPUTED_VALUE"""),"Go")</f>
        <v>Go</v>
      </c>
      <c r="D4051" s="9" t="str">
        <f>IFERROR(__xludf.DUMMYFUNCTION("""COMPUTED_VALUE"""),"SQL")</f>
        <v>SQL</v>
      </c>
      <c r="E4051" s="9" t="str">
        <f>IFERROR(__xludf.DUMMYFUNCTION("""COMPUTED_VALUE"""),"HTML/CSS")</f>
        <v>HTML/CSS</v>
      </c>
      <c r="F4051" s="9" t="str">
        <f>IFERROR(__xludf.DUMMYFUNCTION("""COMPUTED_VALUE"""),"R")</f>
        <v>R</v>
      </c>
      <c r="G4051" s="9" t="str">
        <f>IFERROR(__xludf.DUMMYFUNCTION("""COMPUTED_VALUE"""),"Python")</f>
        <v>Python</v>
      </c>
      <c r="H4051" s="9" t="str">
        <f>IFERROR(__xludf.DUMMYFUNCTION("""COMPUTED_VALUE"""),"JavaScript")</f>
        <v>JavaScript</v>
      </c>
      <c r="I4051" s="9" t="str">
        <f>IFERROR(__xludf.DUMMYFUNCTION("""COMPUTED_VALUE"""),"JavaScript")</f>
        <v>JavaScript</v>
      </c>
      <c r="J4051" s="9" t="str">
        <f>IFERROR(__xludf.DUMMYFUNCTION("""COMPUTED_VALUE"""),"TypeScript")</f>
        <v>TypeScript</v>
      </c>
      <c r="K4051" s="9" t="str">
        <f>IFERROR(__xludf.DUMMYFUNCTION("""COMPUTED_VALUE"""),"SQL")</f>
        <v>SQL</v>
      </c>
      <c r="L4051" s="9" t="str">
        <f>IFERROR(__xludf.DUMMYFUNCTION("""COMPUTED_VALUE"""),"SQL")</f>
        <v>SQL</v>
      </c>
      <c r="M4051" s="9" t="s">
        <v>36</v>
      </c>
    </row>
    <row r="4052" ht="15.75" customHeight="1">
      <c r="A4052" s="7"/>
      <c r="B4052" s="7" t="str">
        <f>IFERROR(__xludf.DUMMYFUNCTION("""COMPUTED_VALUE"""),"HTML/CSS;JavaScript;PHP;SQL")</f>
        <v>HTML/CSS;JavaScript;PHP;SQL</v>
      </c>
      <c r="C4052" s="9" t="str">
        <f>IFERROR(__xludf.DUMMYFUNCTION("""COMPUTED_VALUE"""),"JavaScript")</f>
        <v>JavaScript</v>
      </c>
      <c r="D4052" s="9" t="str">
        <f>IFERROR(__xludf.DUMMYFUNCTION("""COMPUTED_VALUE"""),"C")</f>
        <v>C</v>
      </c>
      <c r="E4052" s="9" t="str">
        <f>IFERROR(__xludf.DUMMYFUNCTION("""COMPUTED_VALUE"""),"JavaScript")</f>
        <v>JavaScript</v>
      </c>
      <c r="F4052" s="9" t="str">
        <f>IFERROR(__xludf.DUMMYFUNCTION("""COMPUTED_VALUE"""),"SQL")</f>
        <v>SQL</v>
      </c>
      <c r="G4052" s="9" t="str">
        <f>IFERROR(__xludf.DUMMYFUNCTION("""COMPUTED_VALUE"""),"SQL")</f>
        <v>SQL</v>
      </c>
      <c r="H4052" s="9" t="str">
        <f>IFERROR(__xludf.DUMMYFUNCTION("""COMPUTED_VALUE"""),"Bash/Shell/PowerShell")</f>
        <v>Bash/Shell/PowerShell</v>
      </c>
      <c r="I4052" s="9" t="str">
        <f>IFERROR(__xludf.DUMMYFUNCTION("""COMPUTED_VALUE"""),"Rust")</f>
        <v>Rust</v>
      </c>
      <c r="J4052" s="9" t="str">
        <f>IFERROR(__xludf.DUMMYFUNCTION("""COMPUTED_VALUE"""),"VBA")</f>
        <v>VBA</v>
      </c>
      <c r="K4052" s="9" t="str">
        <f>IFERROR(__xludf.DUMMYFUNCTION("""COMPUTED_VALUE"""),"C#")</f>
        <v>C#</v>
      </c>
      <c r="L4052" s="9" t="str">
        <f>IFERROR(__xludf.DUMMYFUNCTION("""COMPUTED_VALUE"""),"VBA")</f>
        <v>VBA</v>
      </c>
      <c r="M4052" s="9" t="s">
        <v>21</v>
      </c>
    </row>
    <row r="4053" ht="15.75" customHeight="1">
      <c r="A4053" s="7"/>
      <c r="B4053" s="7" t="str">
        <f>IFERROR(__xludf.DUMMYFUNCTION("""COMPUTED_VALUE"""),"HTML/CSS;JavaScript;Ruby")</f>
        <v>HTML/CSS;JavaScript;Ruby</v>
      </c>
      <c r="C4053" s="9" t="str">
        <f>IFERROR(__xludf.DUMMYFUNCTION("""COMPUTED_VALUE"""),"Python")</f>
        <v>Python</v>
      </c>
      <c r="D4053" s="9" t="str">
        <f>IFERROR(__xludf.DUMMYFUNCTION("""COMPUTED_VALUE"""),"C++")</f>
        <v>C++</v>
      </c>
      <c r="E4053" s="9" t="str">
        <f>IFERROR(__xludf.DUMMYFUNCTION("""COMPUTED_VALUE"""),"SQL")</f>
        <v>SQL</v>
      </c>
      <c r="F4053" s="9" t="str">
        <f>IFERROR(__xludf.DUMMYFUNCTION("""COMPUTED_VALUE"""),"HTML/CSS")</f>
        <v>HTML/CSS</v>
      </c>
      <c r="G4053" s="9" t="str">
        <f>IFERROR(__xludf.DUMMYFUNCTION("""COMPUTED_VALUE"""),"C#")</f>
        <v>C#</v>
      </c>
      <c r="H4053" s="9" t="str">
        <f>IFERROR(__xludf.DUMMYFUNCTION("""COMPUTED_VALUE"""),"C")</f>
        <v>C</v>
      </c>
      <c r="I4053" s="9" t="str">
        <f>IFERROR(__xludf.DUMMYFUNCTION("""COMPUTED_VALUE"""),"SQL")</f>
        <v>SQL</v>
      </c>
      <c r="J4053" s="9" t="str">
        <f>IFERROR(__xludf.DUMMYFUNCTION("""COMPUTED_VALUE"""),"WebAssembly")</f>
        <v>WebAssembly</v>
      </c>
      <c r="K4053" s="9" t="str">
        <f>IFERROR(__xludf.DUMMYFUNCTION("""COMPUTED_VALUE"""),"Java")</f>
        <v>Java</v>
      </c>
      <c r="L4053" s="9" t="str">
        <f>IFERROR(__xludf.DUMMYFUNCTION("""COMPUTED_VALUE"""),"Other(s):")</f>
        <v>Other(s):</v>
      </c>
      <c r="M4053" s="9" t="s">
        <v>22</v>
      </c>
    </row>
    <row r="4054" ht="15.75" customHeight="1">
      <c r="A4054" s="7"/>
      <c r="B4054" s="7" t="str">
        <f>IFERROR(__xludf.DUMMYFUNCTION("""COMPUTED_VALUE"""),"HTML/CSS;JavaScript;PHP;SQL;TypeScript;Other(s):")</f>
        <v>HTML/CSS;JavaScript;PHP;SQL;TypeScript;Other(s):</v>
      </c>
      <c r="C4054" s="9" t="str">
        <f>IFERROR(__xludf.DUMMYFUNCTION("""COMPUTED_VALUE"""),"Ruby")</f>
        <v>Ruby</v>
      </c>
      <c r="D4054" s="9" t="str">
        <f>IFERROR(__xludf.DUMMYFUNCTION("""COMPUTED_VALUE"""),"SQL")</f>
        <v>SQL</v>
      </c>
      <c r="E4054" s="9" t="str">
        <f>IFERROR(__xludf.DUMMYFUNCTION("""COMPUTED_VALUE"""),"Go")</f>
        <v>Go</v>
      </c>
      <c r="F4054" s="9" t="str">
        <f>IFERROR(__xludf.DUMMYFUNCTION("""COMPUTED_VALUE"""),"JavaScript")</f>
        <v>JavaScript</v>
      </c>
      <c r="G4054" s="9" t="str">
        <f>IFERROR(__xludf.DUMMYFUNCTION("""COMPUTED_VALUE"""),"C")</f>
        <v>C</v>
      </c>
      <c r="H4054" s="9" t="str">
        <f>IFERROR(__xludf.DUMMYFUNCTION("""COMPUTED_VALUE"""),"C++")</f>
        <v>C++</v>
      </c>
      <c r="I4054" s="9" t="str">
        <f>IFERROR(__xludf.DUMMYFUNCTION("""COMPUTED_VALUE"""),"JavaScript")</f>
        <v>JavaScript</v>
      </c>
      <c r="J4054" s="9" t="str">
        <f>IFERROR(__xludf.DUMMYFUNCTION("""COMPUTED_VALUE"""),"Java")</f>
        <v>Java</v>
      </c>
      <c r="K4054" s="9" t="str">
        <f>IFERROR(__xludf.DUMMYFUNCTION("""COMPUTED_VALUE"""),"JavaScript")</f>
        <v>JavaScript</v>
      </c>
      <c r="L4054" s="9" t="str">
        <f>IFERROR(__xludf.DUMMYFUNCTION("""COMPUTED_VALUE"""),"Bash/Shell/PowerShell")</f>
        <v>Bash/Shell/PowerShell</v>
      </c>
      <c r="M4054" s="9" t="s">
        <v>31</v>
      </c>
    </row>
    <row r="4055" ht="15.75" customHeight="1">
      <c r="A4055" s="7"/>
      <c r="B4055" s="7" t="str">
        <f>IFERROR(__xludf.DUMMYFUNCTION("""COMPUTED_VALUE"""),"Bash/Shell/PowerShell;C#;HTML/CSS;JavaScript;SQL;TypeScript")</f>
        <v>Bash/Shell/PowerShell;C#;HTML/CSS;JavaScript;SQL;TypeScript</v>
      </c>
      <c r="C4055" s="9" t="str">
        <f>IFERROR(__xludf.DUMMYFUNCTION("""COMPUTED_VALUE"""),"SQL")</f>
        <v>SQL</v>
      </c>
      <c r="D4055" s="9" t="str">
        <f>IFERROR(__xludf.DUMMYFUNCTION("""COMPUTED_VALUE"""),"C++")</f>
        <v>C++</v>
      </c>
      <c r="E4055" s="9" t="str">
        <f>IFERROR(__xludf.DUMMYFUNCTION("""COMPUTED_VALUE"""),"Other(s):")</f>
        <v>Other(s):</v>
      </c>
      <c r="F4055" s="9" t="str">
        <f>IFERROR(__xludf.DUMMYFUNCTION("""COMPUTED_VALUE"""),"TypeScript")</f>
        <v>TypeScript</v>
      </c>
      <c r="G4055" s="9" t="str">
        <f>IFERROR(__xludf.DUMMYFUNCTION("""COMPUTED_VALUE"""),"C#")</f>
        <v>C#</v>
      </c>
      <c r="H4055" s="9" t="str">
        <f>IFERROR(__xludf.DUMMYFUNCTION("""COMPUTED_VALUE"""),"HTML/CSS")</f>
        <v>HTML/CSS</v>
      </c>
      <c r="I4055" s="9" t="str">
        <f>IFERROR(__xludf.DUMMYFUNCTION("""COMPUTED_VALUE"""),"Python")</f>
        <v>Python</v>
      </c>
      <c r="J4055" s="9" t="str">
        <f>IFERROR(__xludf.DUMMYFUNCTION("""COMPUTED_VALUE"""),"JavaScript")</f>
        <v>JavaScript</v>
      </c>
      <c r="K4055" s="9" t="str">
        <f>IFERROR(__xludf.DUMMYFUNCTION("""COMPUTED_VALUE"""),"C#")</f>
        <v>C#</v>
      </c>
      <c r="L4055" s="9" t="str">
        <f>IFERROR(__xludf.DUMMYFUNCTION("""COMPUTED_VALUE"""),"C#")</f>
        <v>C#</v>
      </c>
      <c r="M4055" s="9" t="s">
        <v>27</v>
      </c>
    </row>
    <row r="4056" ht="15.75" customHeight="1">
      <c r="A4056" s="7"/>
      <c r="B4056" s="7" t="str">
        <f>IFERROR(__xludf.DUMMYFUNCTION("""COMPUTED_VALUE"""),"Python")</f>
        <v>Python</v>
      </c>
      <c r="C4056" s="9" t="str">
        <f>IFERROR(__xludf.DUMMYFUNCTION("""COMPUTED_VALUE"""),"TypeScript")</f>
        <v>TypeScript</v>
      </c>
      <c r="D4056" s="9" t="str">
        <f>IFERROR(__xludf.DUMMYFUNCTION("""COMPUTED_VALUE"""),"JavaScript")</f>
        <v>JavaScript</v>
      </c>
      <c r="E4056" s="9" t="str">
        <f>IFERROR(__xludf.DUMMYFUNCTION("""COMPUTED_VALUE"""),"HTML/CSS")</f>
        <v>HTML/CSS</v>
      </c>
      <c r="F4056" s="9" t="str">
        <f>IFERROR(__xludf.DUMMYFUNCTION("""COMPUTED_VALUE"""),"C#")</f>
        <v>C#</v>
      </c>
      <c r="G4056" s="9" t="str">
        <f>IFERROR(__xludf.DUMMYFUNCTION("""COMPUTED_VALUE"""),"JavaScript")</f>
        <v>JavaScript</v>
      </c>
      <c r="H4056" s="9" t="str">
        <f>IFERROR(__xludf.DUMMYFUNCTION("""COMPUTED_VALUE"""),"JavaScript")</f>
        <v>JavaScript</v>
      </c>
      <c r="I4056" s="9" t="str">
        <f>IFERROR(__xludf.DUMMYFUNCTION("""COMPUTED_VALUE"""),"Ruby")</f>
        <v>Ruby</v>
      </c>
      <c r="J4056" s="9" t="str">
        <f>IFERROR(__xludf.DUMMYFUNCTION("""COMPUTED_VALUE"""),"Swift")</f>
        <v>Swift</v>
      </c>
      <c r="K4056" s="9" t="str">
        <f>IFERROR(__xludf.DUMMYFUNCTION("""COMPUTED_VALUE"""),"HTML/CSS")</f>
        <v>HTML/CSS</v>
      </c>
      <c r="L4056" s="9" t="str">
        <f>IFERROR(__xludf.DUMMYFUNCTION("""COMPUTED_VALUE"""),"HTML/CSS")</f>
        <v>HTML/CSS</v>
      </c>
      <c r="M4056" s="9" t="s">
        <v>33</v>
      </c>
    </row>
    <row r="4057" ht="15.75" customHeight="1">
      <c r="A4057" s="7"/>
      <c r="B4057" s="7" t="str">
        <f>IFERROR(__xludf.DUMMYFUNCTION("""COMPUTED_VALUE"""),"Bash/Shell/PowerShell;C#;Go;HTML/CSS;JavaScript;SQL;TypeScript")</f>
        <v>Bash/Shell/PowerShell;C#;Go;HTML/CSS;JavaScript;SQL;TypeScript</v>
      </c>
      <c r="C4057" s="9" t="str">
        <f>IFERROR(__xludf.DUMMYFUNCTION("""COMPUTED_VALUE"""),"Other(s):")</f>
        <v>Other(s):</v>
      </c>
      <c r="D4057" s="9" t="str">
        <f>IFERROR(__xludf.DUMMYFUNCTION("""COMPUTED_VALUE"""),"Python")</f>
        <v>Python</v>
      </c>
      <c r="E4057" s="9" t="str">
        <f>IFERROR(__xludf.DUMMYFUNCTION("""COMPUTED_VALUE"""),"JavaScript")</f>
        <v>JavaScript</v>
      </c>
      <c r="F4057" s="9" t="str">
        <f>IFERROR(__xludf.DUMMYFUNCTION("""COMPUTED_VALUE"""),"HTML/CSS")</f>
        <v>HTML/CSS</v>
      </c>
      <c r="G4057" s="9" t="str">
        <f>IFERROR(__xludf.DUMMYFUNCTION("""COMPUTED_VALUE"""),"SQL")</f>
        <v>SQL</v>
      </c>
      <c r="H4057" s="9" t="str">
        <f>IFERROR(__xludf.DUMMYFUNCTION("""COMPUTED_VALUE"""),"Python")</f>
        <v>Python</v>
      </c>
      <c r="I4057" s="9" t="str">
        <f>IFERROR(__xludf.DUMMYFUNCTION("""COMPUTED_VALUE"""),"Swift")</f>
        <v>Swift</v>
      </c>
      <c r="J4057" s="9" t="str">
        <f>IFERROR(__xludf.DUMMYFUNCTION("""COMPUTED_VALUE"""),"HTML/CSS")</f>
        <v>HTML/CSS</v>
      </c>
      <c r="K4057" s="9" t="str">
        <f>IFERROR(__xludf.DUMMYFUNCTION("""COMPUTED_VALUE"""),"JavaScript")</f>
        <v>JavaScript</v>
      </c>
      <c r="L4057" s="9" t="str">
        <f>IFERROR(__xludf.DUMMYFUNCTION("""COMPUTED_VALUE"""),"JavaScript")</f>
        <v>JavaScript</v>
      </c>
      <c r="M4057" s="9" t="s">
        <v>35</v>
      </c>
    </row>
    <row r="4058" ht="15.75" customHeight="1">
      <c r="A4058" s="7"/>
      <c r="B4058" s="7" t="str">
        <f>IFERROR(__xludf.DUMMYFUNCTION("""COMPUTED_VALUE"""),"C#;Erlang;HTML/CSS;JavaScript;Ruby;SQL;TypeScript")</f>
        <v>C#;Erlang;HTML/CSS;JavaScript;Ruby;SQL;TypeScript</v>
      </c>
      <c r="C4058" s="9" t="str">
        <f>IFERROR(__xludf.DUMMYFUNCTION("""COMPUTED_VALUE"""),"Java")</f>
        <v>Java</v>
      </c>
      <c r="D4058" s="9" t="str">
        <f>IFERROR(__xludf.DUMMYFUNCTION("""COMPUTED_VALUE"""),"JavaScript")</f>
        <v>JavaScript</v>
      </c>
      <c r="E4058" s="9" t="str">
        <f>IFERROR(__xludf.DUMMYFUNCTION("""COMPUTED_VALUE"""),"Bash/Shell/PowerShell")</f>
        <v>Bash/Shell/PowerShell</v>
      </c>
      <c r="F4058" s="9" t="str">
        <f>IFERROR(__xludf.DUMMYFUNCTION("""COMPUTED_VALUE"""),"JavaScript")</f>
        <v>JavaScript</v>
      </c>
      <c r="G4058" s="9" t="str">
        <f>IFERROR(__xludf.DUMMYFUNCTION("""COMPUTED_VALUE"""),"VBA")</f>
        <v>VBA</v>
      </c>
      <c r="H4058" s="9" t="str">
        <f>IFERROR(__xludf.DUMMYFUNCTION("""COMPUTED_VALUE"""),"Java")</f>
        <v>Java</v>
      </c>
      <c r="I4058" s="9" t="str">
        <f>IFERROR(__xludf.DUMMYFUNCTION("""COMPUTED_VALUE"""),"Bash/Shell/PowerShell")</f>
        <v>Bash/Shell/PowerShell</v>
      </c>
      <c r="J4058" s="9" t="str">
        <f>IFERROR(__xludf.DUMMYFUNCTION("""COMPUTED_VALUE"""),"Java")</f>
        <v>Java</v>
      </c>
      <c r="K4058" s="9" t="str">
        <f>IFERROR(__xludf.DUMMYFUNCTION("""COMPUTED_VALUE"""),"Ruby")</f>
        <v>Ruby</v>
      </c>
      <c r="L4058" s="9" t="str">
        <f>IFERROR(__xludf.DUMMYFUNCTION("""COMPUTED_VALUE"""),"SQL")</f>
        <v>SQL</v>
      </c>
      <c r="M4058" s="9" t="s">
        <v>20</v>
      </c>
    </row>
    <row r="4059" ht="15.75" customHeight="1">
      <c r="A4059" s="7"/>
      <c r="B4059" s="7" t="str">
        <f>IFERROR(__xludf.DUMMYFUNCTION("""COMPUTED_VALUE"""),"Assembly;Bash/Shell/PowerShell;C;C++;Go;Java;JavaScript;Objective-C;Python;SQL")</f>
        <v>Assembly;Bash/Shell/PowerShell;C;C++;Go;Java;JavaScript;Objective-C;Python;SQL</v>
      </c>
      <c r="C4059" s="9" t="str">
        <f>IFERROR(__xludf.DUMMYFUNCTION("""COMPUTED_VALUE"""),"Python")</f>
        <v>Python</v>
      </c>
      <c r="D4059" s="9" t="str">
        <f>IFERROR(__xludf.DUMMYFUNCTION("""COMPUTED_VALUE"""),"TypeScript")</f>
        <v>TypeScript</v>
      </c>
      <c r="E4059" s="9" t="str">
        <f>IFERROR(__xludf.DUMMYFUNCTION("""COMPUTED_VALUE"""),"C#")</f>
        <v>C#</v>
      </c>
      <c r="F4059" s="9" t="str">
        <f>IFERROR(__xludf.DUMMYFUNCTION("""COMPUTED_VALUE"""),"SQL")</f>
        <v>SQL</v>
      </c>
      <c r="G4059" s="9" t="str">
        <f>IFERROR(__xludf.DUMMYFUNCTION("""COMPUTED_VALUE"""),"Bash/Shell/PowerShell")</f>
        <v>Bash/Shell/PowerShell</v>
      </c>
      <c r="H4059" s="9" t="str">
        <f>IFERROR(__xludf.DUMMYFUNCTION("""COMPUTED_VALUE"""),"Python")</f>
        <v>Python</v>
      </c>
      <c r="I4059" s="9" t="str">
        <f>IFERROR(__xludf.DUMMYFUNCTION("""COMPUTED_VALUE"""),"HTML/CSS")</f>
        <v>HTML/CSS</v>
      </c>
      <c r="J4059" s="9" t="str">
        <f>IFERROR(__xludf.DUMMYFUNCTION("""COMPUTED_VALUE"""),"JavaScript")</f>
        <v>JavaScript</v>
      </c>
      <c r="K4059" s="9" t="str">
        <f>IFERROR(__xludf.DUMMYFUNCTION("""COMPUTED_VALUE"""),"SQL")</f>
        <v>SQL</v>
      </c>
      <c r="L4059" s="9" t="str">
        <f>IFERROR(__xludf.DUMMYFUNCTION("""COMPUTED_VALUE"""),"C")</f>
        <v>C</v>
      </c>
      <c r="M4059" s="9" t="s">
        <v>22</v>
      </c>
    </row>
    <row r="4060" ht="15.75" customHeight="1">
      <c r="A4060" s="7"/>
      <c r="B4060" s="7" t="str">
        <f>IFERROR(__xludf.DUMMYFUNCTION("""COMPUTED_VALUE"""),"Bash/Shell/PowerShell;C;C++;HTML/CSS;Java;JavaScript;Kotlin;PHP;Python;SQL")</f>
        <v>Bash/Shell/PowerShell;C;C++;HTML/CSS;Java;JavaScript;Kotlin;PHP;Python;SQL</v>
      </c>
      <c r="C4060" s="9" t="str">
        <f>IFERROR(__xludf.DUMMYFUNCTION("""COMPUTED_VALUE"""),"R")</f>
        <v>R</v>
      </c>
      <c r="D4060" s="9" t="str">
        <f>IFERROR(__xludf.DUMMYFUNCTION("""COMPUTED_VALUE"""),"Bash/Shell/PowerShell")</f>
        <v>Bash/Shell/PowerShell</v>
      </c>
      <c r="E4060" s="9" t="str">
        <f>IFERROR(__xludf.DUMMYFUNCTION("""COMPUTED_VALUE"""),"HTML/CSS")</f>
        <v>HTML/CSS</v>
      </c>
      <c r="F4060" s="9" t="str">
        <f>IFERROR(__xludf.DUMMYFUNCTION("""COMPUTED_VALUE"""),"TypeScript")</f>
        <v>TypeScript</v>
      </c>
      <c r="G4060" s="9" t="str">
        <f>IFERROR(__xludf.DUMMYFUNCTION("""COMPUTED_VALUE"""),"HTML/CSS")</f>
        <v>HTML/CSS</v>
      </c>
      <c r="H4060" s="9" t="str">
        <f>IFERROR(__xludf.DUMMYFUNCTION("""COMPUTED_VALUE"""),"Bash/Shell/PowerShell")</f>
        <v>Bash/Shell/PowerShell</v>
      </c>
      <c r="I4060" s="9" t="str">
        <f>IFERROR(__xludf.DUMMYFUNCTION("""COMPUTED_VALUE"""),"JavaScript")</f>
        <v>JavaScript</v>
      </c>
      <c r="J4060" s="9" t="str">
        <f>IFERROR(__xludf.DUMMYFUNCTION("""COMPUTED_VALUE"""),"Scala")</f>
        <v>Scala</v>
      </c>
      <c r="K4060" s="9" t="str">
        <f>IFERROR(__xludf.DUMMYFUNCTION("""COMPUTED_VALUE"""),"HTML/CSS")</f>
        <v>HTML/CSS</v>
      </c>
      <c r="L4060" s="9" t="str">
        <f>IFERROR(__xludf.DUMMYFUNCTION("""COMPUTED_VALUE"""),"C++")</f>
        <v>C++</v>
      </c>
      <c r="M4060" s="9" t="s">
        <v>29</v>
      </c>
    </row>
    <row r="4061" ht="15.75" customHeight="1">
      <c r="A4061" s="7"/>
      <c r="B4061" s="7" t="str">
        <f>IFERROR(__xludf.DUMMYFUNCTION("""COMPUTED_VALUE"""),"C#;HTML/CSS;Java;JavaScript;Python;SQL;TypeScript")</f>
        <v>C#;HTML/CSS;Java;JavaScript;Python;SQL;TypeScript</v>
      </c>
      <c r="C4061" s="9" t="str">
        <f>IFERROR(__xludf.DUMMYFUNCTION("""COMPUTED_VALUE"""),"C")</f>
        <v>C</v>
      </c>
      <c r="D4061" s="9" t="str">
        <f>IFERROR(__xludf.DUMMYFUNCTION("""COMPUTED_VALUE"""),"C")</f>
        <v>C</v>
      </c>
      <c r="E4061" s="9" t="str">
        <f>IFERROR(__xludf.DUMMYFUNCTION("""COMPUTED_VALUE"""),"JavaScript")</f>
        <v>JavaScript</v>
      </c>
      <c r="F4061" s="9" t="str">
        <f>IFERROR(__xludf.DUMMYFUNCTION("""COMPUTED_VALUE"""),"C#")</f>
        <v>C#</v>
      </c>
      <c r="G4061" s="9" t="str">
        <f>IFERROR(__xludf.DUMMYFUNCTION("""COMPUTED_VALUE"""),"Java")</f>
        <v>Java</v>
      </c>
      <c r="H4061" s="9" t="str">
        <f>IFERROR(__xludf.DUMMYFUNCTION("""COMPUTED_VALUE"""),"C")</f>
        <v>C</v>
      </c>
      <c r="I4061" s="9" t="str">
        <f>IFERROR(__xludf.DUMMYFUNCTION("""COMPUTED_VALUE"""),"PHP")</f>
        <v>PHP</v>
      </c>
      <c r="J4061" s="9" t="str">
        <f>IFERROR(__xludf.DUMMYFUNCTION("""COMPUTED_VALUE"""),"SQL")</f>
        <v>SQL</v>
      </c>
      <c r="K4061" s="9" t="str">
        <f>IFERROR(__xludf.DUMMYFUNCTION("""COMPUTED_VALUE"""),"PHP")</f>
        <v>PHP</v>
      </c>
      <c r="L4061" s="9" t="str">
        <f>IFERROR(__xludf.DUMMYFUNCTION("""COMPUTED_VALUE"""),"C#")</f>
        <v>C#</v>
      </c>
      <c r="M4061" s="9" t="s">
        <v>25</v>
      </c>
    </row>
    <row r="4062" ht="15.75" customHeight="1">
      <c r="A4062" s="7"/>
      <c r="B4062" s="7" t="str">
        <f>IFERROR(__xludf.DUMMYFUNCTION("""COMPUTED_VALUE"""),"Java;JavaScript;Python;SQL")</f>
        <v>Java;JavaScript;Python;SQL</v>
      </c>
      <c r="C4062" s="9" t="str">
        <f>IFERROR(__xludf.DUMMYFUNCTION("""COMPUTED_VALUE"""),"HTML/CSS")</f>
        <v>HTML/CSS</v>
      </c>
      <c r="D4062" s="9" t="str">
        <f>IFERROR(__xludf.DUMMYFUNCTION("""COMPUTED_VALUE"""),"C++")</f>
        <v>C++</v>
      </c>
      <c r="E4062" s="9" t="str">
        <f>IFERROR(__xludf.DUMMYFUNCTION("""COMPUTED_VALUE"""),"SQL")</f>
        <v>SQL</v>
      </c>
      <c r="F4062" s="9" t="str">
        <f>IFERROR(__xludf.DUMMYFUNCTION("""COMPUTED_VALUE"""),"HTML/CSS")</f>
        <v>HTML/CSS</v>
      </c>
      <c r="G4062" s="9" t="str">
        <f>IFERROR(__xludf.DUMMYFUNCTION("""COMPUTED_VALUE"""),"PHP")</f>
        <v>PHP</v>
      </c>
      <c r="H4062" s="9" t="str">
        <f>IFERROR(__xludf.DUMMYFUNCTION("""COMPUTED_VALUE"""),"C++")</f>
        <v>C++</v>
      </c>
      <c r="I4062" s="9" t="str">
        <f>IFERROR(__xludf.DUMMYFUNCTION("""COMPUTED_VALUE"""),"Python")</f>
        <v>Python</v>
      </c>
      <c r="J4062" s="9" t="str">
        <f>IFERROR(__xludf.DUMMYFUNCTION("""COMPUTED_VALUE"""),"Bash/Shell/PowerShell")</f>
        <v>Bash/Shell/PowerShell</v>
      </c>
      <c r="K4062" s="9" t="str">
        <f>IFERROR(__xludf.DUMMYFUNCTION("""COMPUTED_VALUE"""),"Ruby")</f>
        <v>Ruby</v>
      </c>
      <c r="L4062" s="9" t="str">
        <f>IFERROR(__xludf.DUMMYFUNCTION("""COMPUTED_VALUE"""),"C")</f>
        <v>C</v>
      </c>
      <c r="M4062" s="9" t="s">
        <v>24</v>
      </c>
    </row>
    <row r="4063" ht="15.75" customHeight="1">
      <c r="A4063" s="7"/>
      <c r="B4063" s="7" t="str">
        <f>IFERROR(__xludf.DUMMYFUNCTION("""COMPUTED_VALUE"""),"Java;JavaScript;PHP;SQL")</f>
        <v>Java;JavaScript;PHP;SQL</v>
      </c>
      <c r="C4063" s="9" t="str">
        <f>IFERROR(__xludf.DUMMYFUNCTION("""COMPUTED_VALUE"""),"Java")</f>
        <v>Java</v>
      </c>
      <c r="D4063" s="9" t="str">
        <f>IFERROR(__xludf.DUMMYFUNCTION("""COMPUTED_VALUE"""),"C#")</f>
        <v>C#</v>
      </c>
      <c r="E4063" s="9" t="str">
        <f>IFERROR(__xludf.DUMMYFUNCTION("""COMPUTED_VALUE"""),"TypeScript")</f>
        <v>TypeScript</v>
      </c>
      <c r="F4063" s="9" t="str">
        <f>IFERROR(__xludf.DUMMYFUNCTION("""COMPUTED_VALUE"""),"JavaScript")</f>
        <v>JavaScript</v>
      </c>
      <c r="G4063" s="9" t="str">
        <f>IFERROR(__xludf.DUMMYFUNCTION("""COMPUTED_VALUE"""),"Python")</f>
        <v>Python</v>
      </c>
      <c r="H4063" s="9" t="str">
        <f>IFERROR(__xludf.DUMMYFUNCTION("""COMPUTED_VALUE"""),"Go")</f>
        <v>Go</v>
      </c>
      <c r="I4063" s="9" t="str">
        <f>IFERROR(__xludf.DUMMYFUNCTION("""COMPUTED_VALUE"""),"SQL")</f>
        <v>SQL</v>
      </c>
      <c r="J4063" s="9" t="str">
        <f>IFERROR(__xludf.DUMMYFUNCTION("""COMPUTED_VALUE"""),"Elixir")</f>
        <v>Elixir</v>
      </c>
      <c r="K4063" s="9" t="str">
        <f>IFERROR(__xludf.DUMMYFUNCTION("""COMPUTED_VALUE"""),"C#")</f>
        <v>C#</v>
      </c>
      <c r="L4063" s="9" t="str">
        <f>IFERROR(__xludf.DUMMYFUNCTION("""COMPUTED_VALUE"""),"HTML/CSS")</f>
        <v>HTML/CSS</v>
      </c>
      <c r="M4063" s="9" t="s">
        <v>20</v>
      </c>
    </row>
    <row r="4064" ht="15.75" customHeight="1">
      <c r="A4064" s="7"/>
      <c r="B4064" s="7" t="str">
        <f>IFERROR(__xludf.DUMMYFUNCTION("""COMPUTED_VALUE"""),"C#;HTML/CSS;Python;SQL;TypeScript")</f>
        <v>C#;HTML/CSS;Python;SQL;TypeScript</v>
      </c>
      <c r="C4064" s="9" t="str">
        <f>IFERROR(__xludf.DUMMYFUNCTION("""COMPUTED_VALUE"""),"JavaScript")</f>
        <v>JavaScript</v>
      </c>
      <c r="D4064" s="9" t="str">
        <f>IFERROR(__xludf.DUMMYFUNCTION("""COMPUTED_VALUE"""),"HTML/CSS")</f>
        <v>HTML/CSS</v>
      </c>
      <c r="E4064" s="9" t="str">
        <f>IFERROR(__xludf.DUMMYFUNCTION("""COMPUTED_VALUE"""),"C")</f>
        <v>C</v>
      </c>
      <c r="F4064" s="9" t="str">
        <f>IFERROR(__xludf.DUMMYFUNCTION("""COMPUTED_VALUE"""),"Python")</f>
        <v>Python</v>
      </c>
      <c r="G4064" s="9" t="str">
        <f>IFERROR(__xludf.DUMMYFUNCTION("""COMPUTED_VALUE"""),"SQL")</f>
        <v>SQL</v>
      </c>
      <c r="H4064" s="9" t="str">
        <f>IFERROR(__xludf.DUMMYFUNCTION("""COMPUTED_VALUE"""),"HTML/CSS")</f>
        <v>HTML/CSS</v>
      </c>
      <c r="I4064" s="9" t="str">
        <f>IFERROR(__xludf.DUMMYFUNCTION("""COMPUTED_VALUE"""),"TypeScript")</f>
        <v>TypeScript</v>
      </c>
      <c r="J4064" s="9" t="str">
        <f>IFERROR(__xludf.DUMMYFUNCTION("""COMPUTED_VALUE"""),"HTML/CSS")</f>
        <v>HTML/CSS</v>
      </c>
      <c r="K4064" s="9" t="str">
        <f>IFERROR(__xludf.DUMMYFUNCTION("""COMPUTED_VALUE"""),"JavaScript")</f>
        <v>JavaScript</v>
      </c>
      <c r="L4064" s="9" t="str">
        <f>IFERROR(__xludf.DUMMYFUNCTION("""COMPUTED_VALUE"""),"JavaScript")</f>
        <v>JavaScript</v>
      </c>
      <c r="M4064" s="9" t="s">
        <v>21</v>
      </c>
    </row>
    <row r="4065" ht="15.75" customHeight="1">
      <c r="A4065" s="7"/>
      <c r="B4065" s="7" t="str">
        <f>IFERROR(__xludf.DUMMYFUNCTION("""COMPUTED_VALUE"""),"Java;JavaScript;Python;SQL")</f>
        <v>Java;JavaScript;Python;SQL</v>
      </c>
      <c r="C4065" s="9" t="str">
        <f>IFERROR(__xludf.DUMMYFUNCTION("""COMPUTED_VALUE"""),"PHP")</f>
        <v>PHP</v>
      </c>
      <c r="D4065" s="9" t="str">
        <f>IFERROR(__xludf.DUMMYFUNCTION("""COMPUTED_VALUE"""),"JavaScript")</f>
        <v>JavaScript</v>
      </c>
      <c r="E4065" s="9" t="str">
        <f>IFERROR(__xludf.DUMMYFUNCTION("""COMPUTED_VALUE"""),"C++")</f>
        <v>C++</v>
      </c>
      <c r="F4065" s="9" t="str">
        <f>IFERROR(__xludf.DUMMYFUNCTION("""COMPUTED_VALUE"""),"TypeScript")</f>
        <v>TypeScript</v>
      </c>
      <c r="G4065" s="9" t="str">
        <f>IFERROR(__xludf.DUMMYFUNCTION("""COMPUTED_VALUE"""),"Bash/Shell/PowerShell")</f>
        <v>Bash/Shell/PowerShell</v>
      </c>
      <c r="H4065" s="9" t="str">
        <f>IFERROR(__xludf.DUMMYFUNCTION("""COMPUTED_VALUE"""),"JavaScript")</f>
        <v>JavaScript</v>
      </c>
      <c r="I4065" s="9" t="str">
        <f>IFERROR(__xludf.DUMMYFUNCTION("""COMPUTED_VALUE"""),"Python")</f>
        <v>Python</v>
      </c>
      <c r="J4065" s="9" t="str">
        <f>IFERROR(__xludf.DUMMYFUNCTION("""COMPUTED_VALUE"""),"JavaScript")</f>
        <v>JavaScript</v>
      </c>
      <c r="K4065" s="9" t="str">
        <f>IFERROR(__xludf.DUMMYFUNCTION("""COMPUTED_VALUE"""),"SQL")</f>
        <v>SQL</v>
      </c>
      <c r="L4065" s="9" t="str">
        <f>IFERROR(__xludf.DUMMYFUNCTION("""COMPUTED_VALUE"""),"Objective-C")</f>
        <v>Objective-C</v>
      </c>
      <c r="M4065" s="9" t="s">
        <v>37</v>
      </c>
    </row>
    <row r="4066" ht="15.75" customHeight="1">
      <c r="A4066" s="7"/>
      <c r="B4066" s="7" t="str">
        <f>IFERROR(__xludf.DUMMYFUNCTION("""COMPUTED_VALUE"""),"Assembly;Bash/Shell/PowerShell;C;C++;Python")</f>
        <v>Assembly;Bash/Shell/PowerShell;C;C++;Python</v>
      </c>
      <c r="C4066" s="9" t="str">
        <f>IFERROR(__xludf.DUMMYFUNCTION("""COMPUTED_VALUE"""),"SQL")</f>
        <v>SQL</v>
      </c>
      <c r="D4066" s="9" t="str">
        <f>IFERROR(__xludf.DUMMYFUNCTION("""COMPUTED_VALUE"""),"Python")</f>
        <v>Python</v>
      </c>
      <c r="E4066" s="9" t="str">
        <f>IFERROR(__xludf.DUMMYFUNCTION("""COMPUTED_VALUE"""),"C#")</f>
        <v>C#</v>
      </c>
      <c r="F4066" s="9" t="str">
        <f>IFERROR(__xludf.DUMMYFUNCTION("""COMPUTED_VALUE"""),"Bash/Shell/PowerShell")</f>
        <v>Bash/Shell/PowerShell</v>
      </c>
      <c r="G4066" s="9" t="str">
        <f>IFERROR(__xludf.DUMMYFUNCTION("""COMPUTED_VALUE"""),"C#")</f>
        <v>C#</v>
      </c>
      <c r="H4066" s="9" t="str">
        <f>IFERROR(__xludf.DUMMYFUNCTION("""COMPUTED_VALUE"""),"TypeScript")</f>
        <v>TypeScript</v>
      </c>
      <c r="I4066" s="9" t="str">
        <f>IFERROR(__xludf.DUMMYFUNCTION("""COMPUTED_VALUE"""),"SQL")</f>
        <v>SQL</v>
      </c>
      <c r="J4066" s="9" t="str">
        <f>IFERROR(__xludf.DUMMYFUNCTION("""COMPUTED_VALUE"""),"Ruby")</f>
        <v>Ruby</v>
      </c>
      <c r="K4066" s="9" t="str">
        <f>IFERROR(__xludf.DUMMYFUNCTION("""COMPUTED_VALUE"""),"Bash/Shell/PowerShell")</f>
        <v>Bash/Shell/PowerShell</v>
      </c>
      <c r="L4066" s="9" t="str">
        <f>IFERROR(__xludf.DUMMYFUNCTION("""COMPUTED_VALUE"""),"Python")</f>
        <v>Python</v>
      </c>
      <c r="M4066" s="9" t="s">
        <v>27</v>
      </c>
    </row>
    <row r="4067" ht="15.75" customHeight="1">
      <c r="A4067" s="7"/>
      <c r="B4067" s="7" t="str">
        <f>IFERROR(__xludf.DUMMYFUNCTION("""COMPUTED_VALUE"""),"C#;HTML/CSS;Java;JavaScript;PHP;Ruby;SQL;TypeScript")</f>
        <v>C#;HTML/CSS;Java;JavaScript;PHP;Ruby;SQL;TypeScript</v>
      </c>
      <c r="C4067" s="9" t="str">
        <f>IFERROR(__xludf.DUMMYFUNCTION("""COMPUTED_VALUE"""),"Bash/Shell/PowerShell")</f>
        <v>Bash/Shell/PowerShell</v>
      </c>
      <c r="D4067" s="9" t="str">
        <f>IFERROR(__xludf.DUMMYFUNCTION("""COMPUTED_VALUE"""),"SQL")</f>
        <v>SQL</v>
      </c>
      <c r="E4067" s="9" t="str">
        <f>IFERROR(__xludf.DUMMYFUNCTION("""COMPUTED_VALUE"""),"Go")</f>
        <v>Go</v>
      </c>
      <c r="F4067" s="9" t="str">
        <f>IFERROR(__xludf.DUMMYFUNCTION("""COMPUTED_VALUE"""),"Elixir")</f>
        <v>Elixir</v>
      </c>
      <c r="G4067" s="9" t="str">
        <f>IFERROR(__xludf.DUMMYFUNCTION("""COMPUTED_VALUE"""),"HTML/CSS")</f>
        <v>HTML/CSS</v>
      </c>
      <c r="H4067" s="9" t="str">
        <f>IFERROR(__xludf.DUMMYFUNCTION("""COMPUTED_VALUE"""),"C")</f>
        <v>C</v>
      </c>
      <c r="I4067" s="9" t="str">
        <f>IFERROR(__xludf.DUMMYFUNCTION("""COMPUTED_VALUE"""),"Other(s):")</f>
        <v>Other(s):</v>
      </c>
      <c r="J4067" s="9" t="str">
        <f>IFERROR(__xludf.DUMMYFUNCTION("""COMPUTED_VALUE"""),"C#")</f>
        <v>C#</v>
      </c>
      <c r="K4067" s="9" t="str">
        <f>IFERROR(__xludf.DUMMYFUNCTION("""COMPUTED_VALUE"""),"Go")</f>
        <v>Go</v>
      </c>
      <c r="L4067" s="9" t="str">
        <f>IFERROR(__xludf.DUMMYFUNCTION("""COMPUTED_VALUE"""),"Swift")</f>
        <v>Swift</v>
      </c>
      <c r="M4067" s="9" t="s">
        <v>30</v>
      </c>
    </row>
    <row r="4068" ht="15.75" customHeight="1">
      <c r="A4068" s="7"/>
      <c r="B4068" s="7" t="str">
        <f>IFERROR(__xludf.DUMMYFUNCTION("""COMPUTED_VALUE"""),"C++;JavaScript;SQL")</f>
        <v>C++;JavaScript;SQL</v>
      </c>
      <c r="C4068" s="9" t="str">
        <f>IFERROR(__xludf.DUMMYFUNCTION("""COMPUTED_VALUE"""),"C#")</f>
        <v>C#</v>
      </c>
      <c r="D4068" s="9" t="str">
        <f>IFERROR(__xludf.DUMMYFUNCTION("""COMPUTED_VALUE"""),"Other(s):")</f>
        <v>Other(s):</v>
      </c>
      <c r="E4068" s="9" t="str">
        <f>IFERROR(__xludf.DUMMYFUNCTION("""COMPUTED_VALUE"""),"HTML/CSS")</f>
        <v>HTML/CSS</v>
      </c>
      <c r="F4068" s="9" t="str">
        <f>IFERROR(__xludf.DUMMYFUNCTION("""COMPUTED_VALUE"""),"HTML/CSS")</f>
        <v>HTML/CSS</v>
      </c>
      <c r="G4068" s="9" t="str">
        <f>IFERROR(__xludf.DUMMYFUNCTION("""COMPUTED_VALUE"""),"Java")</f>
        <v>Java</v>
      </c>
      <c r="H4068" s="9" t="str">
        <f>IFERROR(__xludf.DUMMYFUNCTION("""COMPUTED_VALUE"""),"C++")</f>
        <v>C++</v>
      </c>
      <c r="I4068" s="9" t="str">
        <f>IFERROR(__xludf.DUMMYFUNCTION("""COMPUTED_VALUE"""),"Assembly")</f>
        <v>Assembly</v>
      </c>
      <c r="J4068" s="9" t="str">
        <f>IFERROR(__xludf.DUMMYFUNCTION("""COMPUTED_VALUE"""),"HTML/CSS")</f>
        <v>HTML/CSS</v>
      </c>
      <c r="K4068" s="9" t="str">
        <f>IFERROR(__xludf.DUMMYFUNCTION("""COMPUTED_VALUE"""),"Java")</f>
        <v>Java</v>
      </c>
      <c r="L4068" s="9" t="str">
        <f>IFERROR(__xludf.DUMMYFUNCTION("""COMPUTED_VALUE"""),"C#")</f>
        <v>C#</v>
      </c>
      <c r="M4068" s="9" t="s">
        <v>26</v>
      </c>
    </row>
    <row r="4069" ht="15.75" customHeight="1">
      <c r="A4069" s="7"/>
      <c r="B4069" s="7" t="str">
        <f>IFERROR(__xludf.DUMMYFUNCTION("""COMPUTED_VALUE"""),"Bash/Shell/PowerShell;C#;HTML/CSS;JavaScript;Ruby;SQL")</f>
        <v>Bash/Shell/PowerShell;C#;HTML/CSS;JavaScript;Ruby;SQL</v>
      </c>
      <c r="C4069" s="9" t="str">
        <f>IFERROR(__xludf.DUMMYFUNCTION("""COMPUTED_VALUE"""),"SQL")</f>
        <v>SQL</v>
      </c>
      <c r="D4069" s="9" t="str">
        <f>IFERROR(__xludf.DUMMYFUNCTION("""COMPUTED_VALUE"""),"Bash/Shell/PowerShell")</f>
        <v>Bash/Shell/PowerShell</v>
      </c>
      <c r="E4069" s="9" t="str">
        <f>IFERROR(__xludf.DUMMYFUNCTION("""COMPUTED_VALUE"""),"Java")</f>
        <v>Java</v>
      </c>
      <c r="F4069" s="9" t="str">
        <f>IFERROR(__xludf.DUMMYFUNCTION("""COMPUTED_VALUE"""),"JavaScript")</f>
        <v>JavaScript</v>
      </c>
      <c r="G4069" s="9" t="str">
        <f>IFERROR(__xludf.DUMMYFUNCTION("""COMPUTED_VALUE"""),"JavaScript")</f>
        <v>JavaScript</v>
      </c>
      <c r="H4069" s="9" t="str">
        <f>IFERROR(__xludf.DUMMYFUNCTION("""COMPUTED_VALUE"""),"C#")</f>
        <v>C#</v>
      </c>
      <c r="I4069" s="9" t="str">
        <f>IFERROR(__xludf.DUMMYFUNCTION("""COMPUTED_VALUE"""),"Bash/Shell/PowerShell")</f>
        <v>Bash/Shell/PowerShell</v>
      </c>
      <c r="J4069" s="9" t="str">
        <f>IFERROR(__xludf.DUMMYFUNCTION("""COMPUTED_VALUE"""),"JavaScript")</f>
        <v>JavaScript</v>
      </c>
      <c r="K4069" s="9" t="str">
        <f>IFERROR(__xludf.DUMMYFUNCTION("""COMPUTED_VALUE"""),"SQL")</f>
        <v>SQL</v>
      </c>
      <c r="L4069" s="9" t="str">
        <f>IFERROR(__xludf.DUMMYFUNCTION("""COMPUTED_VALUE"""),"Scala")</f>
        <v>Scala</v>
      </c>
      <c r="M4069" s="9" t="s">
        <v>27</v>
      </c>
    </row>
    <row r="4070" ht="15.75" customHeight="1">
      <c r="A4070" s="7"/>
      <c r="B4070" s="7" t="str">
        <f>IFERROR(__xludf.DUMMYFUNCTION("""COMPUTED_VALUE"""),"Bash/Shell/PowerShell;Python;Other(s):")</f>
        <v>Bash/Shell/PowerShell;Python;Other(s):</v>
      </c>
      <c r="C4070" s="9" t="str">
        <f>IFERROR(__xludf.DUMMYFUNCTION("""COMPUTED_VALUE"""),"Java")</f>
        <v>Java</v>
      </c>
      <c r="D4070" s="9" t="str">
        <f>IFERROR(__xludf.DUMMYFUNCTION("""COMPUTED_VALUE"""),"C#")</f>
        <v>C#</v>
      </c>
      <c r="E4070" s="9" t="str">
        <f>IFERROR(__xludf.DUMMYFUNCTION("""COMPUTED_VALUE"""),"JavaScript")</f>
        <v>JavaScript</v>
      </c>
      <c r="F4070" s="9" t="str">
        <f>IFERROR(__xludf.DUMMYFUNCTION("""COMPUTED_VALUE"""),"Ruby")</f>
        <v>Ruby</v>
      </c>
      <c r="G4070" s="9" t="str">
        <f>IFERROR(__xludf.DUMMYFUNCTION("""COMPUTED_VALUE"""),"PHP")</f>
        <v>PHP</v>
      </c>
      <c r="H4070" s="9" t="str">
        <f>IFERROR(__xludf.DUMMYFUNCTION("""COMPUTED_VALUE"""),"HTML/CSS")</f>
        <v>HTML/CSS</v>
      </c>
      <c r="I4070" s="9" t="str">
        <f>IFERROR(__xludf.DUMMYFUNCTION("""COMPUTED_VALUE"""),"C")</f>
        <v>C</v>
      </c>
      <c r="J4070" s="9" t="str">
        <f>IFERROR(__xludf.DUMMYFUNCTION("""COMPUTED_VALUE"""),"SQL")</f>
        <v>SQL</v>
      </c>
      <c r="K4070" s="9" t="str">
        <f>IFERROR(__xludf.DUMMYFUNCTION("""COMPUTED_VALUE"""),"Go")</f>
        <v>Go</v>
      </c>
      <c r="L4070" s="9" t="str">
        <f>IFERROR(__xludf.DUMMYFUNCTION("""COMPUTED_VALUE"""),"SQL")</f>
        <v>SQL</v>
      </c>
      <c r="M4070" s="9" t="s">
        <v>20</v>
      </c>
    </row>
    <row r="4071" ht="15.75" customHeight="1">
      <c r="A4071" s="7"/>
      <c r="B4071" s="7" t="str">
        <f>IFERROR(__xludf.DUMMYFUNCTION("""COMPUTED_VALUE"""),"C#;HTML/CSS;JavaScript;SQL;TypeScript")</f>
        <v>C#;HTML/CSS;JavaScript;SQL;TypeScript</v>
      </c>
      <c r="C4071" s="9" t="str">
        <f>IFERROR(__xludf.DUMMYFUNCTION("""COMPUTED_VALUE"""),"JavaScript")</f>
        <v>JavaScript</v>
      </c>
      <c r="D4071" s="9" t="str">
        <f>IFERROR(__xludf.DUMMYFUNCTION("""COMPUTED_VALUE"""),"Go")</f>
        <v>Go</v>
      </c>
      <c r="E4071" s="9" t="str">
        <f>IFERROR(__xludf.DUMMYFUNCTION("""COMPUTED_VALUE"""),"Objective-C")</f>
        <v>Objective-C</v>
      </c>
      <c r="F4071" s="9" t="str">
        <f>IFERROR(__xludf.DUMMYFUNCTION("""COMPUTED_VALUE"""),"SQL")</f>
        <v>SQL</v>
      </c>
      <c r="G4071" s="9" t="str">
        <f>IFERROR(__xludf.DUMMYFUNCTION("""COMPUTED_VALUE"""),"Python")</f>
        <v>Python</v>
      </c>
      <c r="H4071" s="9" t="str">
        <f>IFERROR(__xludf.DUMMYFUNCTION("""COMPUTED_VALUE"""),"Java")</f>
        <v>Java</v>
      </c>
      <c r="I4071" s="9" t="str">
        <f>IFERROR(__xludf.DUMMYFUNCTION("""COMPUTED_VALUE"""),"C++")</f>
        <v>C++</v>
      </c>
      <c r="J4071" s="9" t="str">
        <f>IFERROR(__xludf.DUMMYFUNCTION("""COMPUTED_VALUE"""),"Other(s):")</f>
        <v>Other(s):</v>
      </c>
      <c r="K4071" s="9" t="str">
        <f>IFERROR(__xludf.DUMMYFUNCTION("""COMPUTED_VALUE"""),"HTML/CSS")</f>
        <v>HTML/CSS</v>
      </c>
      <c r="L4071" s="9" t="str">
        <f>IFERROR(__xludf.DUMMYFUNCTION("""COMPUTED_VALUE"""),"TypeScript")</f>
        <v>TypeScript</v>
      </c>
      <c r="M4071" s="9" t="s">
        <v>21</v>
      </c>
    </row>
    <row r="4072" ht="15.75" customHeight="1">
      <c r="A4072" s="7"/>
      <c r="B4072" s="7" t="str">
        <f>IFERROR(__xludf.DUMMYFUNCTION("""COMPUTED_VALUE"""),"Bash/Shell/PowerShell;HTML/CSS;Java;JavaScript;PHP;Ruby;Scala;TypeScript")</f>
        <v>Bash/Shell/PowerShell;HTML/CSS;Java;JavaScript;PHP;Ruby;Scala;TypeScript</v>
      </c>
      <c r="C4072" s="9" t="str">
        <f>IFERROR(__xludf.DUMMYFUNCTION("""COMPUTED_VALUE"""),"C#")</f>
        <v>C#</v>
      </c>
      <c r="D4072" s="9" t="str">
        <f>IFERROR(__xludf.DUMMYFUNCTION("""COMPUTED_VALUE"""),"C++")</f>
        <v>C++</v>
      </c>
      <c r="E4072" s="9" t="str">
        <f>IFERROR(__xludf.DUMMYFUNCTION("""COMPUTED_VALUE"""),"PHP")</f>
        <v>PHP</v>
      </c>
      <c r="F4072" s="9" t="str">
        <f>IFERROR(__xludf.DUMMYFUNCTION("""COMPUTED_VALUE"""),"C")</f>
        <v>C</v>
      </c>
      <c r="G4072" s="9" t="str">
        <f>IFERROR(__xludf.DUMMYFUNCTION("""COMPUTED_VALUE"""),"SQL")</f>
        <v>SQL</v>
      </c>
      <c r="H4072" s="9" t="str">
        <f>IFERROR(__xludf.DUMMYFUNCTION("""COMPUTED_VALUE"""),"JavaScript")</f>
        <v>JavaScript</v>
      </c>
      <c r="I4072" s="9" t="str">
        <f>IFERROR(__xludf.DUMMYFUNCTION("""COMPUTED_VALUE"""),"C#")</f>
        <v>C#</v>
      </c>
      <c r="J4072" s="9" t="str">
        <f>IFERROR(__xludf.DUMMYFUNCTION("""COMPUTED_VALUE"""),"Bash/Shell/PowerShell")</f>
        <v>Bash/Shell/PowerShell</v>
      </c>
      <c r="K4072" s="9" t="str">
        <f>IFERROR(__xludf.DUMMYFUNCTION("""COMPUTED_VALUE"""),"Java")</f>
        <v>Java</v>
      </c>
      <c r="L4072" s="9" t="str">
        <f>IFERROR(__xludf.DUMMYFUNCTION("""COMPUTED_VALUE"""),"Bash/Shell/PowerShell")</f>
        <v>Bash/Shell/PowerShell</v>
      </c>
      <c r="M4072" s="9" t="s">
        <v>26</v>
      </c>
    </row>
    <row r="4073" ht="15.75" customHeight="1">
      <c r="A4073" s="7"/>
      <c r="B4073" s="7" t="str">
        <f>IFERROR(__xludf.DUMMYFUNCTION("""COMPUTED_VALUE"""),"C++;HTML/CSS;JavaScript")</f>
        <v>C++;HTML/CSS;JavaScript</v>
      </c>
      <c r="C4073" s="9" t="str">
        <f>IFERROR(__xludf.DUMMYFUNCTION("""COMPUTED_VALUE"""),"HTML/CSS")</f>
        <v>HTML/CSS</v>
      </c>
      <c r="D4073" s="9" t="str">
        <f>IFERROR(__xludf.DUMMYFUNCTION("""COMPUTED_VALUE"""),"C#")</f>
        <v>C#</v>
      </c>
      <c r="E4073" s="9" t="str">
        <f>IFERROR(__xludf.DUMMYFUNCTION("""COMPUTED_VALUE"""),"Python")</f>
        <v>Python</v>
      </c>
      <c r="F4073" s="9" t="str">
        <f>IFERROR(__xludf.DUMMYFUNCTION("""COMPUTED_VALUE"""),"C++")</f>
        <v>C++</v>
      </c>
      <c r="G4073" s="9" t="str">
        <f>IFERROR(__xludf.DUMMYFUNCTION("""COMPUTED_VALUE"""),"C++")</f>
        <v>C++</v>
      </c>
      <c r="H4073" s="9" t="str">
        <f>IFERROR(__xludf.DUMMYFUNCTION("""COMPUTED_VALUE"""),"PHP")</f>
        <v>PHP</v>
      </c>
      <c r="I4073" s="9" t="str">
        <f>IFERROR(__xludf.DUMMYFUNCTION("""COMPUTED_VALUE"""),"HTML/CSS")</f>
        <v>HTML/CSS</v>
      </c>
      <c r="J4073" s="9" t="str">
        <f>IFERROR(__xludf.DUMMYFUNCTION("""COMPUTED_VALUE"""),"C#")</f>
        <v>C#</v>
      </c>
      <c r="K4073" s="9" t="str">
        <f>IFERROR(__xludf.DUMMYFUNCTION("""COMPUTED_VALUE"""),"JavaScript")</f>
        <v>JavaScript</v>
      </c>
      <c r="L4073" s="9" t="str">
        <f>IFERROR(__xludf.DUMMYFUNCTION("""COMPUTED_VALUE"""),"C++")</f>
        <v>C++</v>
      </c>
      <c r="M4073" s="9" t="s">
        <v>24</v>
      </c>
    </row>
    <row r="4074" ht="15.75" customHeight="1">
      <c r="A4074" s="7"/>
      <c r="B4074" s="7" t="str">
        <f>IFERROR(__xludf.DUMMYFUNCTION("""COMPUTED_VALUE"""),"Assembly;Bash/Shell/PowerShell;C++;HTML/CSS;Java;JavaScript;Kotlin;SQL;TypeScript")</f>
        <v>Assembly;Bash/Shell/PowerShell;C++;HTML/CSS;Java;JavaScript;Kotlin;SQL;TypeScript</v>
      </c>
      <c r="C4074" s="9" t="str">
        <f>IFERROR(__xludf.DUMMYFUNCTION("""COMPUTED_VALUE"""),"Java")</f>
        <v>Java</v>
      </c>
      <c r="D4074" s="9" t="str">
        <f>IFERROR(__xludf.DUMMYFUNCTION("""COMPUTED_VALUE"""),"HTML/CSS")</f>
        <v>HTML/CSS</v>
      </c>
      <c r="E4074" s="9" t="str">
        <f>IFERROR(__xludf.DUMMYFUNCTION("""COMPUTED_VALUE"""),"Ruby")</f>
        <v>Ruby</v>
      </c>
      <c r="F4074" s="9" t="str">
        <f>IFERROR(__xludf.DUMMYFUNCTION("""COMPUTED_VALUE"""),"Java")</f>
        <v>Java</v>
      </c>
      <c r="G4074" s="9" t="str">
        <f>IFERROR(__xludf.DUMMYFUNCTION("""COMPUTED_VALUE"""),"C#")</f>
        <v>C#</v>
      </c>
      <c r="H4074" s="9" t="str">
        <f>IFERROR(__xludf.DUMMYFUNCTION("""COMPUTED_VALUE"""),"Python")</f>
        <v>Python</v>
      </c>
      <c r="I4074" s="9" t="str">
        <f>IFERROR(__xludf.DUMMYFUNCTION("""COMPUTED_VALUE"""),"Java")</f>
        <v>Java</v>
      </c>
      <c r="J4074" s="9" t="str">
        <f>IFERROR(__xludf.DUMMYFUNCTION("""COMPUTED_VALUE"""),"HTML/CSS")</f>
        <v>HTML/CSS</v>
      </c>
      <c r="K4074" s="9" t="str">
        <f>IFERROR(__xludf.DUMMYFUNCTION("""COMPUTED_VALUE"""),"Kotlin")</f>
        <v>Kotlin</v>
      </c>
      <c r="L4074" s="9" t="str">
        <f>IFERROR(__xludf.DUMMYFUNCTION("""COMPUTED_VALUE"""),"HTML/CSS")</f>
        <v>HTML/CSS</v>
      </c>
      <c r="M4074" s="9" t="s">
        <v>20</v>
      </c>
    </row>
    <row r="4075" ht="15.75" customHeight="1">
      <c r="A4075" s="7"/>
      <c r="B4075" s="7" t="str">
        <f>IFERROR(__xludf.DUMMYFUNCTION("""COMPUTED_VALUE"""),"Java;TypeScript")</f>
        <v>Java;TypeScript</v>
      </c>
      <c r="C4075" s="9" t="str">
        <f>IFERROR(__xludf.DUMMYFUNCTION("""COMPUTED_VALUE"""),"JavaScript")</f>
        <v>JavaScript</v>
      </c>
      <c r="D4075" s="9" t="str">
        <f>IFERROR(__xludf.DUMMYFUNCTION("""COMPUTED_VALUE"""),"JavaScript")</f>
        <v>JavaScript</v>
      </c>
      <c r="E4075" s="9" t="str">
        <f>IFERROR(__xludf.DUMMYFUNCTION("""COMPUTED_VALUE"""),"SQL")</f>
        <v>SQL</v>
      </c>
      <c r="F4075" s="9" t="str">
        <f>IFERROR(__xludf.DUMMYFUNCTION("""COMPUTED_VALUE"""),"Bash/Shell/PowerShell")</f>
        <v>Bash/Shell/PowerShell</v>
      </c>
      <c r="G4075" s="9" t="str">
        <f>IFERROR(__xludf.DUMMYFUNCTION("""COMPUTED_VALUE"""),"Other(s):")</f>
        <v>Other(s):</v>
      </c>
      <c r="H4075" s="9" t="str">
        <f>IFERROR(__xludf.DUMMYFUNCTION("""COMPUTED_VALUE"""),"SQL")</f>
        <v>SQL</v>
      </c>
      <c r="I4075" s="9" t="str">
        <f>IFERROR(__xludf.DUMMYFUNCTION("""COMPUTED_VALUE"""),"JavaScript")</f>
        <v>JavaScript</v>
      </c>
      <c r="J4075" s="9" t="str">
        <f>IFERROR(__xludf.DUMMYFUNCTION("""COMPUTED_VALUE"""),"JavaScript")</f>
        <v>JavaScript</v>
      </c>
      <c r="K4075" s="9" t="str">
        <f>IFERROR(__xludf.DUMMYFUNCTION("""COMPUTED_VALUE"""),"Python")</f>
        <v>Python</v>
      </c>
      <c r="L4075" s="9" t="str">
        <f>IFERROR(__xludf.DUMMYFUNCTION("""COMPUTED_VALUE"""),"JavaScript")</f>
        <v>JavaScript</v>
      </c>
      <c r="M4075" s="9" t="s">
        <v>21</v>
      </c>
    </row>
    <row r="4076" ht="15.75" customHeight="1">
      <c r="A4076" s="7"/>
      <c r="B4076" s="7" t="str">
        <f>IFERROR(__xludf.DUMMYFUNCTION("""COMPUTED_VALUE"""),"C;C++;HTML/CSS;Java;JavaScript;Python")</f>
        <v>C;C++;HTML/CSS;Java;JavaScript;Python</v>
      </c>
      <c r="C4076" s="9" t="str">
        <f>IFERROR(__xludf.DUMMYFUNCTION("""COMPUTED_VALUE"""),"PHP")</f>
        <v>PHP</v>
      </c>
      <c r="D4076" s="9" t="str">
        <f>IFERROR(__xludf.DUMMYFUNCTION("""COMPUTED_VALUE"""),"SQL")</f>
        <v>SQL</v>
      </c>
      <c r="E4076" s="9" t="str">
        <f>IFERROR(__xludf.DUMMYFUNCTION("""COMPUTED_VALUE"""),"Swift")</f>
        <v>Swift</v>
      </c>
      <c r="F4076" s="9" t="str">
        <f>IFERROR(__xludf.DUMMYFUNCTION("""COMPUTED_VALUE"""),"HTML/CSS")</f>
        <v>HTML/CSS</v>
      </c>
      <c r="G4076" s="9" t="str">
        <f>IFERROR(__xludf.DUMMYFUNCTION("""COMPUTED_VALUE"""),"Kotlin")</f>
        <v>Kotlin</v>
      </c>
      <c r="H4076" s="9" t="str">
        <f>IFERROR(__xludf.DUMMYFUNCTION("""COMPUTED_VALUE"""),"Bash/Shell/PowerShell")</f>
        <v>Bash/Shell/PowerShell</v>
      </c>
      <c r="I4076" s="9" t="str">
        <f>IFERROR(__xludf.DUMMYFUNCTION("""COMPUTED_VALUE"""),"PHP")</f>
        <v>PHP</v>
      </c>
      <c r="J4076" s="9" t="str">
        <f>IFERROR(__xludf.DUMMYFUNCTION("""COMPUTED_VALUE"""),"Python")</f>
        <v>Python</v>
      </c>
      <c r="K4076" s="9" t="str">
        <f>IFERROR(__xludf.DUMMYFUNCTION("""COMPUTED_VALUE"""),"C++")</f>
        <v>C++</v>
      </c>
      <c r="L4076" s="9" t="str">
        <f>IFERROR(__xludf.DUMMYFUNCTION("""COMPUTED_VALUE"""),"Python")</f>
        <v>Python</v>
      </c>
      <c r="M4076" s="9" t="s">
        <v>37</v>
      </c>
    </row>
    <row r="4077" ht="15.75" customHeight="1">
      <c r="A4077" s="7"/>
      <c r="B4077" s="7" t="str">
        <f>IFERROR(__xludf.DUMMYFUNCTION("""COMPUTED_VALUE"""),"HTML/CSS;Java;JavaScript;SQL")</f>
        <v>HTML/CSS;Java;JavaScript;SQL</v>
      </c>
      <c r="C4077" s="9" t="str">
        <f>IFERROR(__xludf.DUMMYFUNCTION("""COMPUTED_VALUE"""),"Scala")</f>
        <v>Scala</v>
      </c>
      <c r="D4077" s="9" t="str">
        <f>IFERROR(__xludf.DUMMYFUNCTION("""COMPUTED_VALUE"""),"C#")</f>
        <v>C#</v>
      </c>
      <c r="E4077" s="9" t="str">
        <f>IFERROR(__xludf.DUMMYFUNCTION("""COMPUTED_VALUE"""),"TypeScript")</f>
        <v>TypeScript</v>
      </c>
      <c r="F4077" s="9" t="str">
        <f>IFERROR(__xludf.DUMMYFUNCTION("""COMPUTED_VALUE"""),"Java")</f>
        <v>Java</v>
      </c>
      <c r="G4077" s="9" t="str">
        <f>IFERROR(__xludf.DUMMYFUNCTION("""COMPUTED_VALUE"""),"Swift")</f>
        <v>Swift</v>
      </c>
      <c r="H4077" s="9" t="str">
        <f>IFERROR(__xludf.DUMMYFUNCTION("""COMPUTED_VALUE"""),"HTML/CSS")</f>
        <v>HTML/CSS</v>
      </c>
      <c r="I4077" s="9" t="str">
        <f>IFERROR(__xludf.DUMMYFUNCTION("""COMPUTED_VALUE"""),"Python")</f>
        <v>Python</v>
      </c>
      <c r="J4077" s="9" t="str">
        <f>IFERROR(__xludf.DUMMYFUNCTION("""COMPUTED_VALUE"""),"Ruby")</f>
        <v>Ruby</v>
      </c>
      <c r="K4077" s="9" t="str">
        <f>IFERROR(__xludf.DUMMYFUNCTION("""COMPUTED_VALUE"""),"Python")</f>
        <v>Python</v>
      </c>
      <c r="L4077" s="9" t="str">
        <f>IFERROR(__xludf.DUMMYFUNCTION("""COMPUTED_VALUE"""),"Ruby")</f>
        <v>Ruby</v>
      </c>
      <c r="M4077" s="9" t="s">
        <v>46</v>
      </c>
    </row>
    <row r="4078" ht="15.75" customHeight="1">
      <c r="A4078" s="7"/>
      <c r="B4078" s="7" t="str">
        <f>IFERROR(__xludf.DUMMYFUNCTION("""COMPUTED_VALUE"""),"Assembly;C;C#;F#;Objective-C")</f>
        <v>Assembly;C;C#;F#;Objective-C</v>
      </c>
      <c r="C4078" s="9" t="str">
        <f>IFERROR(__xludf.DUMMYFUNCTION("""COMPUTED_VALUE"""),"C")</f>
        <v>C</v>
      </c>
      <c r="D4078" s="9" t="str">
        <f>IFERROR(__xludf.DUMMYFUNCTION("""COMPUTED_VALUE"""),"HTML/CSS")</f>
        <v>HTML/CSS</v>
      </c>
      <c r="E4078" s="9" t="str">
        <f>IFERROR(__xludf.DUMMYFUNCTION("""COMPUTED_VALUE"""),"C++")</f>
        <v>C++</v>
      </c>
      <c r="F4078" s="9" t="str">
        <f>IFERROR(__xludf.DUMMYFUNCTION("""COMPUTED_VALUE"""),"JavaScript")</f>
        <v>JavaScript</v>
      </c>
      <c r="G4078" s="9" t="str">
        <f>IFERROR(__xludf.DUMMYFUNCTION("""COMPUTED_VALUE"""),"C")</f>
        <v>C</v>
      </c>
      <c r="H4078" s="9" t="str">
        <f>IFERROR(__xludf.DUMMYFUNCTION("""COMPUTED_VALUE"""),"Java")</f>
        <v>Java</v>
      </c>
      <c r="I4078" s="9" t="str">
        <f>IFERROR(__xludf.DUMMYFUNCTION("""COMPUTED_VALUE"""),"SQL")</f>
        <v>SQL</v>
      </c>
      <c r="J4078" s="9" t="str">
        <f>IFERROR(__xludf.DUMMYFUNCTION("""COMPUTED_VALUE"""),"SQL")</f>
        <v>SQL</v>
      </c>
      <c r="K4078" s="9" t="str">
        <f>IFERROR(__xludf.DUMMYFUNCTION("""COMPUTED_VALUE"""),"Dart")</f>
        <v>Dart</v>
      </c>
      <c r="L4078" s="9" t="str">
        <f>IFERROR(__xludf.DUMMYFUNCTION("""COMPUTED_VALUE"""),"SQL")</f>
        <v>SQL</v>
      </c>
      <c r="M4078" s="9" t="s">
        <v>25</v>
      </c>
    </row>
    <row r="4079" ht="15.75" customHeight="1">
      <c r="A4079" s="7"/>
      <c r="B4079" s="7" t="str">
        <f>IFERROR(__xludf.DUMMYFUNCTION("""COMPUTED_VALUE"""),"C;C++;HTML/CSS;Java;JavaScript;PHP;Python;SQL")</f>
        <v>C;C++;HTML/CSS;Java;JavaScript;PHP;Python;SQL</v>
      </c>
      <c r="C4079" s="9" t="str">
        <f>IFERROR(__xludf.DUMMYFUNCTION("""COMPUTED_VALUE"""),"C++")</f>
        <v>C++</v>
      </c>
      <c r="D4079" s="9" t="str">
        <f>IFERROR(__xludf.DUMMYFUNCTION("""COMPUTED_VALUE"""),"JavaScript")</f>
        <v>JavaScript</v>
      </c>
      <c r="E4079" s="9" t="str">
        <f>IFERROR(__xludf.DUMMYFUNCTION("""COMPUTED_VALUE"""),"C#")</f>
        <v>C#</v>
      </c>
      <c r="F4079" s="9" t="str">
        <f>IFERROR(__xludf.DUMMYFUNCTION("""COMPUTED_VALUE"""),"Ruby")</f>
        <v>Ruby</v>
      </c>
      <c r="G4079" s="9" t="str">
        <f>IFERROR(__xludf.DUMMYFUNCTION("""COMPUTED_VALUE"""),"C#")</f>
        <v>C#</v>
      </c>
      <c r="H4079" s="9" t="str">
        <f>IFERROR(__xludf.DUMMYFUNCTION("""COMPUTED_VALUE"""),"JavaScript")</f>
        <v>JavaScript</v>
      </c>
      <c r="I4079" s="9" t="str">
        <f>IFERROR(__xludf.DUMMYFUNCTION("""COMPUTED_VALUE"""),"VBA")</f>
        <v>VBA</v>
      </c>
      <c r="J4079" s="9" t="str">
        <f>IFERROR(__xludf.DUMMYFUNCTION("""COMPUTED_VALUE"""),"TypeScript")</f>
        <v>TypeScript</v>
      </c>
      <c r="K4079" s="9" t="str">
        <f>IFERROR(__xludf.DUMMYFUNCTION("""COMPUTED_VALUE"""),"Go")</f>
        <v>Go</v>
      </c>
      <c r="L4079" s="9" t="str">
        <f>IFERROR(__xludf.DUMMYFUNCTION("""COMPUTED_VALUE"""),"Other(s):")</f>
        <v>Other(s):</v>
      </c>
      <c r="M4079" s="9" t="s">
        <v>23</v>
      </c>
    </row>
    <row r="4080" ht="15.75" customHeight="1">
      <c r="A4080" s="7"/>
      <c r="B4080" s="7" t="str">
        <f>IFERROR(__xludf.DUMMYFUNCTION("""COMPUTED_VALUE"""),"C++;Python")</f>
        <v>C++;Python</v>
      </c>
      <c r="C4080" s="9" t="str">
        <f>IFERROR(__xludf.DUMMYFUNCTION("""COMPUTED_VALUE"""),"JavaScript")</f>
        <v>JavaScript</v>
      </c>
      <c r="D4080" s="9" t="str">
        <f>IFERROR(__xludf.DUMMYFUNCTION("""COMPUTED_VALUE"""),"PHP")</f>
        <v>PHP</v>
      </c>
      <c r="E4080" s="9" t="str">
        <f>IFERROR(__xludf.DUMMYFUNCTION("""COMPUTED_VALUE"""),"F#")</f>
        <v>F#</v>
      </c>
      <c r="F4080" s="9" t="str">
        <f>IFERROR(__xludf.DUMMYFUNCTION("""COMPUTED_VALUE"""),"SQL")</f>
        <v>SQL</v>
      </c>
      <c r="G4080" s="9" t="str">
        <f>IFERROR(__xludf.DUMMYFUNCTION("""COMPUTED_VALUE"""),"HTML/CSS")</f>
        <v>HTML/CSS</v>
      </c>
      <c r="H4080" s="9" t="str">
        <f>IFERROR(__xludf.DUMMYFUNCTION("""COMPUTED_VALUE"""),"SQL")</f>
        <v>SQL</v>
      </c>
      <c r="I4080" s="9" t="str">
        <f>IFERROR(__xludf.DUMMYFUNCTION("""COMPUTED_VALUE"""),"Other(s):")</f>
        <v>Other(s):</v>
      </c>
      <c r="J4080" s="9" t="str">
        <f>IFERROR(__xludf.DUMMYFUNCTION("""COMPUTED_VALUE"""),"Bash/Shell/PowerShell")</f>
        <v>Bash/Shell/PowerShell</v>
      </c>
      <c r="K4080" s="9" t="str">
        <f>IFERROR(__xludf.DUMMYFUNCTION("""COMPUTED_VALUE"""),"Python")</f>
        <v>Python</v>
      </c>
      <c r="L4080" s="9" t="str">
        <f>IFERROR(__xludf.DUMMYFUNCTION("""COMPUTED_VALUE"""),"C#")</f>
        <v>C#</v>
      </c>
      <c r="M4080" s="9" t="s">
        <v>21</v>
      </c>
    </row>
    <row r="4081" ht="15.75" customHeight="1">
      <c r="A4081" s="7"/>
      <c r="B4081" s="7" t="str">
        <f>IFERROR(__xludf.DUMMYFUNCTION("""COMPUTED_VALUE"""),"HTML/CSS;Java;JavaScript;SQL")</f>
        <v>HTML/CSS;Java;JavaScript;SQL</v>
      </c>
      <c r="C4081" s="9" t="str">
        <f>IFERROR(__xludf.DUMMYFUNCTION("""COMPUTED_VALUE"""),"C")</f>
        <v>C</v>
      </c>
      <c r="D4081" s="9" t="str">
        <f>IFERROR(__xludf.DUMMYFUNCTION("""COMPUTED_VALUE"""),"SQL")</f>
        <v>SQL</v>
      </c>
      <c r="E4081" s="9" t="str">
        <f>IFERROR(__xludf.DUMMYFUNCTION("""COMPUTED_VALUE"""),"HTML/CSS")</f>
        <v>HTML/CSS</v>
      </c>
      <c r="F4081" s="9" t="str">
        <f>IFERROR(__xludf.DUMMYFUNCTION("""COMPUTED_VALUE"""),"Swift")</f>
        <v>Swift</v>
      </c>
      <c r="G4081" s="9" t="str">
        <f>IFERROR(__xludf.DUMMYFUNCTION("""COMPUTED_VALUE"""),"JavaScript")</f>
        <v>JavaScript</v>
      </c>
      <c r="H4081" s="9" t="str">
        <f>IFERROR(__xludf.DUMMYFUNCTION("""COMPUTED_VALUE"""),"C")</f>
        <v>C</v>
      </c>
      <c r="I4081" s="9" t="str">
        <f>IFERROR(__xludf.DUMMYFUNCTION("""COMPUTED_VALUE"""),"Java")</f>
        <v>Java</v>
      </c>
      <c r="J4081" s="9" t="str">
        <f>IFERROR(__xludf.DUMMYFUNCTION("""COMPUTED_VALUE"""),"C#")</f>
        <v>C#</v>
      </c>
      <c r="K4081" s="9" t="str">
        <f>IFERROR(__xludf.DUMMYFUNCTION("""COMPUTED_VALUE"""),"Bash/Shell/PowerShell")</f>
        <v>Bash/Shell/PowerShell</v>
      </c>
      <c r="L4081" s="9" t="str">
        <f>IFERROR(__xludf.DUMMYFUNCTION("""COMPUTED_VALUE"""),"HTML/CSS")</f>
        <v>HTML/CSS</v>
      </c>
      <c r="M4081" s="9" t="s">
        <v>25</v>
      </c>
    </row>
    <row r="4082" ht="15.75" customHeight="1">
      <c r="A4082" s="7"/>
      <c r="B4082" s="7" t="str">
        <f>IFERROR(__xludf.DUMMYFUNCTION("""COMPUTED_VALUE"""),"C#;HTML/CSS;JavaScript;SQL")</f>
        <v>C#;HTML/CSS;JavaScript;SQL</v>
      </c>
      <c r="C4082" s="9" t="str">
        <f>IFERROR(__xludf.DUMMYFUNCTION("""COMPUTED_VALUE"""),"C#")</f>
        <v>C#</v>
      </c>
      <c r="D4082" s="9" t="str">
        <f>IFERROR(__xludf.DUMMYFUNCTION("""COMPUTED_VALUE"""),"C#")</f>
        <v>C#</v>
      </c>
      <c r="E4082" s="9" t="str">
        <f>IFERROR(__xludf.DUMMYFUNCTION("""COMPUTED_VALUE"""),"JavaScript")</f>
        <v>JavaScript</v>
      </c>
      <c r="F4082" s="9" t="str">
        <f>IFERROR(__xludf.DUMMYFUNCTION("""COMPUTED_VALUE"""),"C")</f>
        <v>C</v>
      </c>
      <c r="G4082" s="9" t="str">
        <f>IFERROR(__xludf.DUMMYFUNCTION("""COMPUTED_VALUE"""),"SQL")</f>
        <v>SQL</v>
      </c>
      <c r="H4082" s="9" t="str">
        <f>IFERROR(__xludf.DUMMYFUNCTION("""COMPUTED_VALUE"""),"C#")</f>
        <v>C#</v>
      </c>
      <c r="I4082" s="9" t="str">
        <f>IFERROR(__xludf.DUMMYFUNCTION("""COMPUTED_VALUE"""),"Elixir")</f>
        <v>Elixir</v>
      </c>
      <c r="J4082" s="9" t="str">
        <f>IFERROR(__xludf.DUMMYFUNCTION("""COMPUTED_VALUE"""),"HTML/CSS")</f>
        <v>HTML/CSS</v>
      </c>
      <c r="K4082" s="9" t="str">
        <f>IFERROR(__xludf.DUMMYFUNCTION("""COMPUTED_VALUE"""),"C")</f>
        <v>C</v>
      </c>
      <c r="L4082" s="9" t="str">
        <f>IFERROR(__xludf.DUMMYFUNCTION("""COMPUTED_VALUE"""),"JavaScript")</f>
        <v>JavaScript</v>
      </c>
      <c r="M4082" s="9" t="s">
        <v>26</v>
      </c>
    </row>
    <row r="4083" ht="15.75" customHeight="1">
      <c r="A4083" s="7"/>
      <c r="B4083" s="7" t="str">
        <f>IFERROR(__xludf.DUMMYFUNCTION("""COMPUTED_VALUE"""),"Bash/Shell/PowerShell;C;C++;Java;Objective-C;PHP;Python")</f>
        <v>Bash/Shell/PowerShell;C;C++;Java;Objective-C;PHP;Python</v>
      </c>
      <c r="C4083" s="9" t="str">
        <f>IFERROR(__xludf.DUMMYFUNCTION("""COMPUTED_VALUE"""),"Java")</f>
        <v>Java</v>
      </c>
      <c r="D4083" s="9" t="str">
        <f>IFERROR(__xludf.DUMMYFUNCTION("""COMPUTED_VALUE"""),"HTML/CSS")</f>
        <v>HTML/CSS</v>
      </c>
      <c r="E4083" s="9" t="str">
        <f>IFERROR(__xludf.DUMMYFUNCTION("""COMPUTED_VALUE"""),"TypeScript")</f>
        <v>TypeScript</v>
      </c>
      <c r="F4083" s="9" t="str">
        <f>IFERROR(__xludf.DUMMYFUNCTION("""COMPUTED_VALUE"""),"C++")</f>
        <v>C++</v>
      </c>
      <c r="G4083" s="9" t="str">
        <f>IFERROR(__xludf.DUMMYFUNCTION("""COMPUTED_VALUE"""),"Go")</f>
        <v>Go</v>
      </c>
      <c r="H4083" s="9" t="str">
        <f>IFERROR(__xludf.DUMMYFUNCTION("""COMPUTED_VALUE"""),"Go")</f>
        <v>Go</v>
      </c>
      <c r="I4083" s="9" t="str">
        <f>IFERROR(__xludf.DUMMYFUNCTION("""COMPUTED_VALUE"""),"HTML/CSS")</f>
        <v>HTML/CSS</v>
      </c>
      <c r="J4083" s="9" t="str">
        <f>IFERROR(__xludf.DUMMYFUNCTION("""COMPUTED_VALUE"""),"Java")</f>
        <v>Java</v>
      </c>
      <c r="K4083" s="9" t="str">
        <f>IFERROR(__xludf.DUMMYFUNCTION("""COMPUTED_VALUE"""),"C++")</f>
        <v>C++</v>
      </c>
      <c r="L4083" s="9" t="str">
        <f>IFERROR(__xludf.DUMMYFUNCTION("""COMPUTED_VALUE"""),"SQL")</f>
        <v>SQL</v>
      </c>
      <c r="M4083" s="9" t="s">
        <v>20</v>
      </c>
    </row>
    <row r="4084" ht="15.75" customHeight="1">
      <c r="A4084" s="7"/>
      <c r="B4084" s="7" t="str">
        <f>IFERROR(__xludf.DUMMYFUNCTION("""COMPUTED_VALUE"""),"Assembly;C;C#;Dart;Erlang;HTML/CSS;Java;Kotlin;PHP;R;Rust;SQL;TypeScript;WebAssembly")</f>
        <v>Assembly;C;C#;Dart;Erlang;HTML/CSS;Java;Kotlin;PHP;R;Rust;SQL;TypeScript;WebAssembly</v>
      </c>
      <c r="C4084" s="9" t="str">
        <f>IFERROR(__xludf.DUMMYFUNCTION("""COMPUTED_VALUE"""),"Kotlin")</f>
        <v>Kotlin</v>
      </c>
      <c r="D4084" s="9" t="str">
        <f>IFERROR(__xludf.DUMMYFUNCTION("""COMPUTED_VALUE"""),"JavaScript")</f>
        <v>JavaScript</v>
      </c>
      <c r="E4084" s="9" t="str">
        <f>IFERROR(__xludf.DUMMYFUNCTION("""COMPUTED_VALUE"""),"WebAssembly")</f>
        <v>WebAssembly</v>
      </c>
      <c r="F4084" s="9" t="str">
        <f>IFERROR(__xludf.DUMMYFUNCTION("""COMPUTED_VALUE"""),"HTML/CSS")</f>
        <v>HTML/CSS</v>
      </c>
      <c r="G4084" s="9" t="str">
        <f>IFERROR(__xludf.DUMMYFUNCTION("""COMPUTED_VALUE"""),"JavaScript")</f>
        <v>JavaScript</v>
      </c>
      <c r="H4084" s="9" t="str">
        <f>IFERROR(__xludf.DUMMYFUNCTION("""COMPUTED_VALUE"""),"HTML/CSS")</f>
        <v>HTML/CSS</v>
      </c>
      <c r="I4084" s="9" t="str">
        <f>IFERROR(__xludf.DUMMYFUNCTION("""COMPUTED_VALUE"""),"JavaScript")</f>
        <v>JavaScript</v>
      </c>
      <c r="J4084" s="9" t="str">
        <f>IFERROR(__xludf.DUMMYFUNCTION("""COMPUTED_VALUE"""),"JavaScript")</f>
        <v>JavaScript</v>
      </c>
      <c r="K4084" s="9" t="str">
        <f>IFERROR(__xludf.DUMMYFUNCTION("""COMPUTED_VALUE"""),"Dart")</f>
        <v>Dart</v>
      </c>
      <c r="L4084" s="9" t="str">
        <f>IFERROR(__xludf.DUMMYFUNCTION("""COMPUTED_VALUE"""),"TypeScript")</f>
        <v>TypeScript</v>
      </c>
      <c r="M4084" s="9" t="s">
        <v>39</v>
      </c>
    </row>
    <row r="4085" ht="15.75" customHeight="1">
      <c r="A4085" s="7"/>
      <c r="B4085" s="7" t="str">
        <f>IFERROR(__xludf.DUMMYFUNCTION("""COMPUTED_VALUE"""),"Java;JavaScript")</f>
        <v>Java;JavaScript</v>
      </c>
      <c r="C4085" s="9" t="str">
        <f>IFERROR(__xludf.DUMMYFUNCTION("""COMPUTED_VALUE"""),"PHP")</f>
        <v>PHP</v>
      </c>
      <c r="D4085" s="9" t="str">
        <f>IFERROR(__xludf.DUMMYFUNCTION("""COMPUTED_VALUE"""),"SQL")</f>
        <v>SQL</v>
      </c>
      <c r="E4085" s="9" t="str">
        <f>IFERROR(__xludf.DUMMYFUNCTION("""COMPUTED_VALUE"""),"Bash/Shell/PowerShell")</f>
        <v>Bash/Shell/PowerShell</v>
      </c>
      <c r="F4085" s="9" t="str">
        <f>IFERROR(__xludf.DUMMYFUNCTION("""COMPUTED_VALUE"""),"Java")</f>
        <v>Java</v>
      </c>
      <c r="G4085" s="9" t="str">
        <f>IFERROR(__xludf.DUMMYFUNCTION("""COMPUTED_VALUE"""),"Rust")</f>
        <v>Rust</v>
      </c>
      <c r="H4085" s="9" t="str">
        <f>IFERROR(__xludf.DUMMYFUNCTION("""COMPUTED_VALUE"""),"JavaScript")</f>
        <v>JavaScript</v>
      </c>
      <c r="I4085" s="9" t="str">
        <f>IFERROR(__xludf.DUMMYFUNCTION("""COMPUTED_VALUE"""),"SQL")</f>
        <v>SQL</v>
      </c>
      <c r="J4085" s="9" t="str">
        <f>IFERROR(__xludf.DUMMYFUNCTION("""COMPUTED_VALUE"""),"PHP")</f>
        <v>PHP</v>
      </c>
      <c r="K4085" s="9" t="str">
        <f>IFERROR(__xludf.DUMMYFUNCTION("""COMPUTED_VALUE"""),"Java")</f>
        <v>Java</v>
      </c>
      <c r="L4085" s="9" t="str">
        <f>IFERROR(__xludf.DUMMYFUNCTION("""COMPUTED_VALUE"""),"Bash/Shell/PowerShell")</f>
        <v>Bash/Shell/PowerShell</v>
      </c>
      <c r="M4085" s="9" t="s">
        <v>37</v>
      </c>
    </row>
    <row r="4086" ht="15.75" customHeight="1">
      <c r="A4086" s="7"/>
      <c r="B4086" s="7" t="str">
        <f>IFERROR(__xludf.DUMMYFUNCTION("""COMPUTED_VALUE"""),"HTML/CSS;JavaScript;Python;SQL")</f>
        <v>HTML/CSS;JavaScript;Python;SQL</v>
      </c>
      <c r="C4086" s="9" t="str">
        <f>IFERROR(__xludf.DUMMYFUNCTION("""COMPUTED_VALUE"""),"Python")</f>
        <v>Python</v>
      </c>
      <c r="D4086" s="9" t="str">
        <f>IFERROR(__xludf.DUMMYFUNCTION("""COMPUTED_VALUE"""),"C++")</f>
        <v>C++</v>
      </c>
      <c r="E4086" s="9" t="str">
        <f>IFERROR(__xludf.DUMMYFUNCTION("""COMPUTED_VALUE"""),"HTML/CSS")</f>
        <v>HTML/CSS</v>
      </c>
      <c r="F4086" s="9" t="str">
        <f>IFERROR(__xludf.DUMMYFUNCTION("""COMPUTED_VALUE"""),"JavaScript")</f>
        <v>JavaScript</v>
      </c>
      <c r="G4086" s="9" t="str">
        <f>IFERROR(__xludf.DUMMYFUNCTION("""COMPUTED_VALUE"""),"TypeScript")</f>
        <v>TypeScript</v>
      </c>
      <c r="H4086" s="9" t="str">
        <f>IFERROR(__xludf.DUMMYFUNCTION("""COMPUTED_VALUE"""),"Python")</f>
        <v>Python</v>
      </c>
      <c r="I4086" s="9" t="str">
        <f>IFERROR(__xludf.DUMMYFUNCTION("""COMPUTED_VALUE"""),"Objective-C")</f>
        <v>Objective-C</v>
      </c>
      <c r="J4086" s="9" t="str">
        <f>IFERROR(__xludf.DUMMYFUNCTION("""COMPUTED_VALUE"""),"SQL")</f>
        <v>SQL</v>
      </c>
      <c r="K4086" s="9" t="str">
        <f>IFERROR(__xludf.DUMMYFUNCTION("""COMPUTED_VALUE"""),"Kotlin")</f>
        <v>Kotlin</v>
      </c>
      <c r="L4086" s="9" t="str">
        <f>IFERROR(__xludf.DUMMYFUNCTION("""COMPUTED_VALUE"""),"HTML/CSS")</f>
        <v>HTML/CSS</v>
      </c>
      <c r="M4086" s="9" t="s">
        <v>22</v>
      </c>
    </row>
    <row r="4087" ht="15.75" customHeight="1">
      <c r="A4087" s="7"/>
      <c r="B4087" s="7" t="str">
        <f>IFERROR(__xludf.DUMMYFUNCTION("""COMPUTED_VALUE"""),"Go;PHP")</f>
        <v>Go;PHP</v>
      </c>
      <c r="C4087" s="9" t="str">
        <f>IFERROR(__xludf.DUMMYFUNCTION("""COMPUTED_VALUE"""),"SQL")</f>
        <v>SQL</v>
      </c>
      <c r="D4087" s="9" t="str">
        <f>IFERROR(__xludf.DUMMYFUNCTION("""COMPUTED_VALUE"""),"HTML/CSS")</f>
        <v>HTML/CSS</v>
      </c>
      <c r="E4087" s="9" t="str">
        <f>IFERROR(__xludf.DUMMYFUNCTION("""COMPUTED_VALUE"""),"JavaScript")</f>
        <v>JavaScript</v>
      </c>
      <c r="F4087" s="9" t="str">
        <f>IFERROR(__xludf.DUMMYFUNCTION("""COMPUTED_VALUE"""),"Python")</f>
        <v>Python</v>
      </c>
      <c r="G4087" s="9" t="str">
        <f>IFERROR(__xludf.DUMMYFUNCTION("""COMPUTED_VALUE"""),"Other(s):")</f>
        <v>Other(s):</v>
      </c>
      <c r="H4087" s="9" t="str">
        <f>IFERROR(__xludf.DUMMYFUNCTION("""COMPUTED_VALUE"""),"Python")</f>
        <v>Python</v>
      </c>
      <c r="I4087" s="9" t="str">
        <f>IFERROR(__xludf.DUMMYFUNCTION("""COMPUTED_VALUE"""),"Swift")</f>
        <v>Swift</v>
      </c>
      <c r="J4087" s="9" t="str">
        <f>IFERROR(__xludf.DUMMYFUNCTION("""COMPUTED_VALUE"""),"HTML/CSS")</f>
        <v>HTML/CSS</v>
      </c>
      <c r="K4087" s="9" t="str">
        <f>IFERROR(__xludf.DUMMYFUNCTION("""COMPUTED_VALUE"""),"PHP")</f>
        <v>PHP</v>
      </c>
      <c r="L4087" s="9" t="str">
        <f>IFERROR(__xludf.DUMMYFUNCTION("""COMPUTED_VALUE"""),"Java")</f>
        <v>Java</v>
      </c>
      <c r="M4087" s="9" t="s">
        <v>27</v>
      </c>
    </row>
    <row r="4088" ht="15.75" customHeight="1">
      <c r="A4088" s="7"/>
      <c r="B4088" s="7" t="str">
        <f>IFERROR(__xludf.DUMMYFUNCTION("""COMPUTED_VALUE"""),"Assembly;Bash/Shell/PowerShell;C;C#;HTML/CSS;Java;Python")</f>
        <v>Assembly;Bash/Shell/PowerShell;C;C#;HTML/CSS;Java;Python</v>
      </c>
      <c r="C4088" s="9" t="str">
        <f>IFERROR(__xludf.DUMMYFUNCTION("""COMPUTED_VALUE"""),"Other(s):")</f>
        <v>Other(s):</v>
      </c>
      <c r="D4088" s="9" t="str">
        <f>IFERROR(__xludf.DUMMYFUNCTION("""COMPUTED_VALUE"""),"Java")</f>
        <v>Java</v>
      </c>
      <c r="E4088" s="9" t="str">
        <f>IFERROR(__xludf.DUMMYFUNCTION("""COMPUTED_VALUE"""),"Python")</f>
        <v>Python</v>
      </c>
      <c r="F4088" s="9" t="str">
        <f>IFERROR(__xludf.DUMMYFUNCTION("""COMPUTED_VALUE"""),"SQL")</f>
        <v>SQL</v>
      </c>
      <c r="G4088" s="9" t="str">
        <f>IFERROR(__xludf.DUMMYFUNCTION("""COMPUTED_VALUE"""),"Assembly")</f>
        <v>Assembly</v>
      </c>
      <c r="H4088" s="9" t="str">
        <f>IFERROR(__xludf.DUMMYFUNCTION("""COMPUTED_VALUE"""),"SQL")</f>
        <v>SQL</v>
      </c>
      <c r="I4088" s="9" t="str">
        <f>IFERROR(__xludf.DUMMYFUNCTION("""COMPUTED_VALUE"""),"Bash/Shell/PowerShell")</f>
        <v>Bash/Shell/PowerShell</v>
      </c>
      <c r="J4088" s="9" t="str">
        <f>IFERROR(__xludf.DUMMYFUNCTION("""COMPUTED_VALUE"""),"JavaScript")</f>
        <v>JavaScript</v>
      </c>
      <c r="K4088" s="9" t="str">
        <f>IFERROR(__xludf.DUMMYFUNCTION("""COMPUTED_VALUE"""),"Python")</f>
        <v>Python</v>
      </c>
      <c r="L4088" s="9" t="str">
        <f>IFERROR(__xludf.DUMMYFUNCTION("""COMPUTED_VALUE"""),"JavaScript")</f>
        <v>JavaScript</v>
      </c>
      <c r="M4088" s="9" t="s">
        <v>35</v>
      </c>
    </row>
    <row r="4089" ht="15.75" customHeight="1">
      <c r="A4089" s="7"/>
      <c r="B4089" s="7" t="str">
        <f>IFERROR(__xludf.DUMMYFUNCTION("""COMPUTED_VALUE"""),"C#;HTML/CSS;JavaScript;TypeScript")</f>
        <v>C#;HTML/CSS;JavaScript;TypeScript</v>
      </c>
      <c r="C4089" s="9" t="str">
        <f>IFERROR(__xludf.DUMMYFUNCTION("""COMPUTED_VALUE"""),"HTML/CSS")</f>
        <v>HTML/CSS</v>
      </c>
      <c r="D4089" s="9" t="str">
        <f>IFERROR(__xludf.DUMMYFUNCTION("""COMPUTED_VALUE"""),"JavaScript")</f>
        <v>JavaScript</v>
      </c>
      <c r="E4089" s="9" t="str">
        <f>IFERROR(__xludf.DUMMYFUNCTION("""COMPUTED_VALUE"""),"R")</f>
        <v>R</v>
      </c>
      <c r="F4089" s="9" t="str">
        <f>IFERROR(__xludf.DUMMYFUNCTION("""COMPUTED_VALUE"""),"C")</f>
        <v>C</v>
      </c>
      <c r="G4089" s="9" t="str">
        <f>IFERROR(__xludf.DUMMYFUNCTION("""COMPUTED_VALUE"""),"HTML/CSS")</f>
        <v>HTML/CSS</v>
      </c>
      <c r="H4089" s="9" t="str">
        <f>IFERROR(__xludf.DUMMYFUNCTION("""COMPUTED_VALUE"""),"C")</f>
        <v>C</v>
      </c>
      <c r="I4089" s="9" t="str">
        <f>IFERROR(__xludf.DUMMYFUNCTION("""COMPUTED_VALUE"""),"Go")</f>
        <v>Go</v>
      </c>
      <c r="J4089" s="9" t="str">
        <f>IFERROR(__xludf.DUMMYFUNCTION("""COMPUTED_VALUE"""),"Other(s):")</f>
        <v>Other(s):</v>
      </c>
      <c r="K4089" s="9" t="str">
        <f>IFERROR(__xludf.DUMMYFUNCTION("""COMPUTED_VALUE"""),"Rust")</f>
        <v>Rust</v>
      </c>
      <c r="L4089" s="9" t="str">
        <f>IFERROR(__xludf.DUMMYFUNCTION("""COMPUTED_VALUE"""),"Ruby")</f>
        <v>Ruby</v>
      </c>
      <c r="M4089" s="9" t="s">
        <v>24</v>
      </c>
    </row>
    <row r="4090" ht="15.75" customHeight="1">
      <c r="A4090" s="7"/>
      <c r="B4090" s="7" t="str">
        <f>IFERROR(__xludf.DUMMYFUNCTION("""COMPUTED_VALUE"""),"Bash/Shell/PowerShell;HTML/CSS;Java;JavaScript;Ruby;SQL")</f>
        <v>Bash/Shell/PowerShell;HTML/CSS;Java;JavaScript;Ruby;SQL</v>
      </c>
      <c r="C4090" s="9" t="str">
        <f>IFERROR(__xludf.DUMMYFUNCTION("""COMPUTED_VALUE"""),"JavaScript")</f>
        <v>JavaScript</v>
      </c>
      <c r="D4090" s="9" t="str">
        <f>IFERROR(__xludf.DUMMYFUNCTION("""COMPUTED_VALUE"""),"Python")</f>
        <v>Python</v>
      </c>
      <c r="E4090" s="9" t="str">
        <f>IFERROR(__xludf.DUMMYFUNCTION("""COMPUTED_VALUE"""),"SQL")</f>
        <v>SQL</v>
      </c>
      <c r="F4090" s="9" t="str">
        <f>IFERROR(__xludf.DUMMYFUNCTION("""COMPUTED_VALUE"""),"C++")</f>
        <v>C++</v>
      </c>
      <c r="G4090" s="9" t="str">
        <f>IFERROR(__xludf.DUMMYFUNCTION("""COMPUTED_VALUE"""),"Java")</f>
        <v>Java</v>
      </c>
      <c r="H4090" s="9" t="str">
        <f>IFERROR(__xludf.DUMMYFUNCTION("""COMPUTED_VALUE"""),"C++")</f>
        <v>C++</v>
      </c>
      <c r="I4090" s="9" t="str">
        <f>IFERROR(__xludf.DUMMYFUNCTION("""COMPUTED_VALUE"""),"HTML/CSS")</f>
        <v>HTML/CSS</v>
      </c>
      <c r="J4090" s="9" t="str">
        <f>IFERROR(__xludf.DUMMYFUNCTION("""COMPUTED_VALUE"""),"Go")</f>
        <v>Go</v>
      </c>
      <c r="K4090" s="9" t="str">
        <f>IFERROR(__xludf.DUMMYFUNCTION("""COMPUTED_VALUE"""),"Swift")</f>
        <v>Swift</v>
      </c>
      <c r="L4090" s="9" t="str">
        <f>IFERROR(__xludf.DUMMYFUNCTION("""COMPUTED_VALUE"""),"SQL")</f>
        <v>SQL</v>
      </c>
      <c r="M4090" s="9" t="s">
        <v>21</v>
      </c>
    </row>
    <row r="4091" ht="15.75" customHeight="1">
      <c r="A4091" s="7"/>
      <c r="B4091" s="7" t="str">
        <f>IFERROR(__xludf.DUMMYFUNCTION("""COMPUTED_VALUE"""),"Java;Swift")</f>
        <v>Java;Swift</v>
      </c>
      <c r="C4091" s="9" t="str">
        <f>IFERROR(__xludf.DUMMYFUNCTION("""COMPUTED_VALUE"""),"PHP")</f>
        <v>PHP</v>
      </c>
      <c r="D4091" s="9" t="str">
        <f>IFERROR(__xludf.DUMMYFUNCTION("""COMPUTED_VALUE"""),"R")</f>
        <v>R</v>
      </c>
      <c r="E4091" s="9" t="str">
        <f>IFERROR(__xludf.DUMMYFUNCTION("""COMPUTED_VALUE"""),"Java")</f>
        <v>Java</v>
      </c>
      <c r="F4091" s="9" t="str">
        <f>IFERROR(__xludf.DUMMYFUNCTION("""COMPUTED_VALUE"""),"Python")</f>
        <v>Python</v>
      </c>
      <c r="G4091" s="9" t="str">
        <f>IFERROR(__xludf.DUMMYFUNCTION("""COMPUTED_VALUE"""),"JavaScript")</f>
        <v>JavaScript</v>
      </c>
      <c r="H4091" s="9" t="str">
        <f>IFERROR(__xludf.DUMMYFUNCTION("""COMPUTED_VALUE"""),"Python")</f>
        <v>Python</v>
      </c>
      <c r="I4091" s="9" t="str">
        <f>IFERROR(__xludf.DUMMYFUNCTION("""COMPUTED_VALUE"""),"JavaScript")</f>
        <v>JavaScript</v>
      </c>
      <c r="J4091" s="9" t="str">
        <f>IFERROR(__xludf.DUMMYFUNCTION("""COMPUTED_VALUE"""),"HTML/CSS")</f>
        <v>HTML/CSS</v>
      </c>
      <c r="K4091" s="9" t="str">
        <f>IFERROR(__xludf.DUMMYFUNCTION("""COMPUTED_VALUE"""),"TypeScript")</f>
        <v>TypeScript</v>
      </c>
      <c r="L4091" s="9" t="str">
        <f>IFERROR(__xludf.DUMMYFUNCTION("""COMPUTED_VALUE"""),"HTML/CSS")</f>
        <v>HTML/CSS</v>
      </c>
      <c r="M4091" s="9" t="s">
        <v>37</v>
      </c>
    </row>
    <row r="4092" ht="15.75" customHeight="1">
      <c r="A4092" s="7"/>
      <c r="B4092" s="7" t="str">
        <f>IFERROR(__xludf.DUMMYFUNCTION("""COMPUTED_VALUE"""),"C#;Python;SQL;VBA")</f>
        <v>C#;Python;SQL;VBA</v>
      </c>
      <c r="C4092" s="9" t="str">
        <f>IFERROR(__xludf.DUMMYFUNCTION("""COMPUTED_VALUE"""),"SQL")</f>
        <v>SQL</v>
      </c>
      <c r="D4092" s="9" t="str">
        <f>IFERROR(__xludf.DUMMYFUNCTION("""COMPUTED_VALUE"""),"Ruby")</f>
        <v>Ruby</v>
      </c>
      <c r="E4092" s="9" t="str">
        <f>IFERROR(__xludf.DUMMYFUNCTION("""COMPUTED_VALUE"""),"JavaScript")</f>
        <v>JavaScript</v>
      </c>
      <c r="F4092" s="9" t="str">
        <f>IFERROR(__xludf.DUMMYFUNCTION("""COMPUTED_VALUE"""),"Assembly")</f>
        <v>Assembly</v>
      </c>
      <c r="G4092" s="9" t="str">
        <f>IFERROR(__xludf.DUMMYFUNCTION("""COMPUTED_VALUE"""),"Python")</f>
        <v>Python</v>
      </c>
      <c r="H4092" s="9" t="str">
        <f>IFERROR(__xludf.DUMMYFUNCTION("""COMPUTED_VALUE"""),"JavaScript")</f>
        <v>JavaScript</v>
      </c>
      <c r="I4092" s="9" t="str">
        <f>IFERROR(__xludf.DUMMYFUNCTION("""COMPUTED_VALUE"""),"WebAssembly")</f>
        <v>WebAssembly</v>
      </c>
      <c r="J4092" s="9" t="str">
        <f>IFERROR(__xludf.DUMMYFUNCTION("""COMPUTED_VALUE"""),"JavaScript")</f>
        <v>JavaScript</v>
      </c>
      <c r="K4092" s="9" t="str">
        <f>IFERROR(__xludf.DUMMYFUNCTION("""COMPUTED_VALUE"""),"HTML/CSS")</f>
        <v>HTML/CSS</v>
      </c>
      <c r="L4092" s="9" t="str">
        <f>IFERROR(__xludf.DUMMYFUNCTION("""COMPUTED_VALUE"""),"Java")</f>
        <v>Java</v>
      </c>
      <c r="M4092" s="9" t="s">
        <v>27</v>
      </c>
    </row>
    <row r="4093" ht="15.75" customHeight="1">
      <c r="A4093" s="7"/>
      <c r="B4093" s="7" t="str">
        <f>IFERROR(__xludf.DUMMYFUNCTION("""COMPUTED_VALUE"""),"HTML/CSS;PHP;SQL")</f>
        <v>HTML/CSS;PHP;SQL</v>
      </c>
      <c r="C4093" s="9" t="str">
        <f>IFERROR(__xludf.DUMMYFUNCTION("""COMPUTED_VALUE"""),"Bash/Shell/PowerShell")</f>
        <v>Bash/Shell/PowerShell</v>
      </c>
      <c r="D4093" s="9" t="str">
        <f>IFERROR(__xludf.DUMMYFUNCTION("""COMPUTED_VALUE"""),"SQL")</f>
        <v>SQL</v>
      </c>
      <c r="E4093" s="9" t="str">
        <f>IFERROR(__xludf.DUMMYFUNCTION("""COMPUTED_VALUE"""),"TypeScript")</f>
        <v>TypeScript</v>
      </c>
      <c r="F4093" s="9" t="str">
        <f>IFERROR(__xludf.DUMMYFUNCTION("""COMPUTED_VALUE"""),"Bash/Shell/PowerShell")</f>
        <v>Bash/Shell/PowerShell</v>
      </c>
      <c r="G4093" s="9" t="str">
        <f>IFERROR(__xludf.DUMMYFUNCTION("""COMPUTED_VALUE"""),"SQL")</f>
        <v>SQL</v>
      </c>
      <c r="H4093" s="9" t="str">
        <f>IFERROR(__xludf.DUMMYFUNCTION("""COMPUTED_VALUE"""),"R")</f>
        <v>R</v>
      </c>
      <c r="I4093" s="9" t="str">
        <f>IFERROR(__xludf.DUMMYFUNCTION("""COMPUTED_VALUE"""),"C++")</f>
        <v>C++</v>
      </c>
      <c r="J4093" s="9" t="str">
        <f>IFERROR(__xludf.DUMMYFUNCTION("""COMPUTED_VALUE"""),"SQL")</f>
        <v>SQL</v>
      </c>
      <c r="K4093" s="9" t="str">
        <f>IFERROR(__xludf.DUMMYFUNCTION("""COMPUTED_VALUE"""),"Java")</f>
        <v>Java</v>
      </c>
      <c r="L4093" s="9" t="str">
        <f>IFERROR(__xludf.DUMMYFUNCTION("""COMPUTED_VALUE"""),"JavaScript")</f>
        <v>JavaScript</v>
      </c>
      <c r="M4093" s="9" t="s">
        <v>30</v>
      </c>
    </row>
    <row r="4094" ht="15.75" customHeight="1">
      <c r="A4094" s="7"/>
      <c r="B4094" s="7" t="str">
        <f>IFERROR(__xludf.DUMMYFUNCTION("""COMPUTED_VALUE"""),"Bash/Shell/PowerShell;C;HTML/CSS;Python")</f>
        <v>Bash/Shell/PowerShell;C;HTML/CSS;Python</v>
      </c>
      <c r="C4094" s="9" t="str">
        <f>IFERROR(__xludf.DUMMYFUNCTION("""COMPUTED_VALUE"""),"Java")</f>
        <v>Java</v>
      </c>
      <c r="D4094" s="9" t="str">
        <f>IFERROR(__xludf.DUMMYFUNCTION("""COMPUTED_VALUE"""),"C++")</f>
        <v>C++</v>
      </c>
      <c r="E4094" s="9" t="str">
        <f>IFERROR(__xludf.DUMMYFUNCTION("""COMPUTED_VALUE"""),"Bash/Shell/PowerShell")</f>
        <v>Bash/Shell/PowerShell</v>
      </c>
      <c r="F4094" s="9" t="str">
        <f>IFERROR(__xludf.DUMMYFUNCTION("""COMPUTED_VALUE"""),"C")</f>
        <v>C</v>
      </c>
      <c r="G4094" s="9" t="str">
        <f>IFERROR(__xludf.DUMMYFUNCTION("""COMPUTED_VALUE"""),"TypeScript")</f>
        <v>TypeScript</v>
      </c>
      <c r="H4094" s="9" t="str">
        <f>IFERROR(__xludf.DUMMYFUNCTION("""COMPUTED_VALUE"""),"C")</f>
        <v>C</v>
      </c>
      <c r="I4094" s="9" t="str">
        <f>IFERROR(__xludf.DUMMYFUNCTION("""COMPUTED_VALUE"""),"C#")</f>
        <v>C#</v>
      </c>
      <c r="J4094" s="9" t="str">
        <f>IFERROR(__xludf.DUMMYFUNCTION("""COMPUTED_VALUE"""),"HTML/CSS")</f>
        <v>HTML/CSS</v>
      </c>
      <c r="K4094" s="9" t="str">
        <f>IFERROR(__xludf.DUMMYFUNCTION("""COMPUTED_VALUE"""),"JavaScript")</f>
        <v>JavaScript</v>
      </c>
      <c r="L4094" s="9" t="str">
        <f>IFERROR(__xludf.DUMMYFUNCTION("""COMPUTED_VALUE"""),"SQL")</f>
        <v>SQL</v>
      </c>
      <c r="M4094" s="9" t="s">
        <v>20</v>
      </c>
    </row>
    <row r="4095" ht="15.75" customHeight="1">
      <c r="A4095" s="7"/>
      <c r="B4095" s="7" t="str">
        <f>IFERROR(__xludf.DUMMYFUNCTION("""COMPUTED_VALUE"""),"Bash/Shell/PowerShell;C")</f>
        <v>Bash/Shell/PowerShell;C</v>
      </c>
      <c r="C4095" s="9" t="str">
        <f>IFERROR(__xludf.DUMMYFUNCTION("""COMPUTED_VALUE"""),"Python")</f>
        <v>Python</v>
      </c>
      <c r="D4095" s="9" t="str">
        <f>IFERROR(__xludf.DUMMYFUNCTION("""COMPUTED_VALUE"""),"Python")</f>
        <v>Python</v>
      </c>
      <c r="E4095" s="9" t="str">
        <f>IFERROR(__xludf.DUMMYFUNCTION("""COMPUTED_VALUE"""),"HTML/CSS")</f>
        <v>HTML/CSS</v>
      </c>
      <c r="F4095" s="9" t="str">
        <f>IFERROR(__xludf.DUMMYFUNCTION("""COMPUTED_VALUE"""),"C++")</f>
        <v>C++</v>
      </c>
      <c r="G4095" s="9" t="str">
        <f>IFERROR(__xludf.DUMMYFUNCTION("""COMPUTED_VALUE"""),"Bash/Shell/PowerShell")</f>
        <v>Bash/Shell/PowerShell</v>
      </c>
      <c r="H4095" s="9" t="str">
        <f>IFERROR(__xludf.DUMMYFUNCTION("""COMPUTED_VALUE"""),"C++")</f>
        <v>C++</v>
      </c>
      <c r="I4095" s="9" t="str">
        <f>IFERROR(__xludf.DUMMYFUNCTION("""COMPUTED_VALUE"""),"JavaScript")</f>
        <v>JavaScript</v>
      </c>
      <c r="J4095" s="9" t="str">
        <f>IFERROR(__xludf.DUMMYFUNCTION("""COMPUTED_VALUE"""),"Java")</f>
        <v>Java</v>
      </c>
      <c r="K4095" s="9" t="str">
        <f>IFERROR(__xludf.DUMMYFUNCTION("""COMPUTED_VALUE"""),"HTML/CSS")</f>
        <v>HTML/CSS</v>
      </c>
      <c r="L4095" s="9" t="str">
        <f>IFERROR(__xludf.DUMMYFUNCTION("""COMPUTED_VALUE"""),"TypeScript")</f>
        <v>TypeScript</v>
      </c>
      <c r="M4095" s="9" t="s">
        <v>22</v>
      </c>
    </row>
    <row r="4096" ht="15.75" customHeight="1">
      <c r="A4096" s="7"/>
      <c r="B4096" s="7" t="str">
        <f>IFERROR(__xludf.DUMMYFUNCTION("""COMPUTED_VALUE"""),"Ruby")</f>
        <v>Ruby</v>
      </c>
      <c r="C4096" s="9" t="str">
        <f>IFERROR(__xludf.DUMMYFUNCTION("""COMPUTED_VALUE"""),"Ruby")</f>
        <v>Ruby</v>
      </c>
      <c r="D4096" s="9" t="str">
        <f>IFERROR(__xludf.DUMMYFUNCTION("""COMPUTED_VALUE"""),"Bash/Shell/PowerShell")</f>
        <v>Bash/Shell/PowerShell</v>
      </c>
      <c r="E4096" s="9" t="str">
        <f>IFERROR(__xludf.DUMMYFUNCTION("""COMPUTED_VALUE"""),"Java")</f>
        <v>Java</v>
      </c>
      <c r="F4096" s="9" t="str">
        <f>IFERROR(__xludf.DUMMYFUNCTION("""COMPUTED_VALUE"""),"C#")</f>
        <v>C#</v>
      </c>
      <c r="G4096" s="9" t="str">
        <f>IFERROR(__xludf.DUMMYFUNCTION("""COMPUTED_VALUE"""),"HTML/CSS")</f>
        <v>HTML/CSS</v>
      </c>
      <c r="H4096" s="9" t="str">
        <f>IFERROR(__xludf.DUMMYFUNCTION("""COMPUTED_VALUE"""),"Java")</f>
        <v>Java</v>
      </c>
      <c r="I4096" s="9" t="str">
        <f>IFERROR(__xludf.DUMMYFUNCTION("""COMPUTED_VALUE"""),"Bash/Shell/PowerShell")</f>
        <v>Bash/Shell/PowerShell</v>
      </c>
      <c r="J4096" s="9" t="str">
        <f>IFERROR(__xludf.DUMMYFUNCTION("""COMPUTED_VALUE"""),"JavaScript")</f>
        <v>JavaScript</v>
      </c>
      <c r="K4096" s="9" t="str">
        <f>IFERROR(__xludf.DUMMYFUNCTION("""COMPUTED_VALUE"""),"JavaScript")</f>
        <v>JavaScript</v>
      </c>
      <c r="L4096" s="9" t="str">
        <f>IFERROR(__xludf.DUMMYFUNCTION("""COMPUTED_VALUE"""),"C")</f>
        <v>C</v>
      </c>
      <c r="M4096" s="9" t="s">
        <v>31</v>
      </c>
    </row>
    <row r="4097" ht="15.75" customHeight="1">
      <c r="A4097" s="7"/>
      <c r="B4097" s="7" t="str">
        <f>IFERROR(__xludf.DUMMYFUNCTION("""COMPUTED_VALUE"""),"Bash/Shell/PowerShell;Go;JavaScript;Python;SQL")</f>
        <v>Bash/Shell/PowerShell;Go;JavaScript;Python;SQL</v>
      </c>
      <c r="C4097" s="9" t="str">
        <f>IFERROR(__xludf.DUMMYFUNCTION("""COMPUTED_VALUE"""),"SQL")</f>
        <v>SQL</v>
      </c>
      <c r="D4097" s="9" t="str">
        <f>IFERROR(__xludf.DUMMYFUNCTION("""COMPUTED_VALUE"""),"JavaScript")</f>
        <v>JavaScript</v>
      </c>
      <c r="E4097" s="9" t="str">
        <f>IFERROR(__xludf.DUMMYFUNCTION("""COMPUTED_VALUE"""),"JavaScript")</f>
        <v>JavaScript</v>
      </c>
      <c r="F4097" s="9" t="str">
        <f>IFERROR(__xludf.DUMMYFUNCTION("""COMPUTED_VALUE"""),"F#")</f>
        <v>F#</v>
      </c>
      <c r="G4097" s="9" t="str">
        <f>IFERROR(__xludf.DUMMYFUNCTION("""COMPUTED_VALUE"""),"JavaScript")</f>
        <v>JavaScript</v>
      </c>
      <c r="H4097" s="9" t="str">
        <f>IFERROR(__xludf.DUMMYFUNCTION("""COMPUTED_VALUE"""),"Python")</f>
        <v>Python</v>
      </c>
      <c r="I4097" s="9" t="str">
        <f>IFERROR(__xludf.DUMMYFUNCTION("""COMPUTED_VALUE"""),"Go")</f>
        <v>Go</v>
      </c>
      <c r="J4097" s="9" t="str">
        <f>IFERROR(__xludf.DUMMYFUNCTION("""COMPUTED_VALUE"""),"PHP")</f>
        <v>PHP</v>
      </c>
      <c r="K4097" s="9" t="str">
        <f>IFERROR(__xludf.DUMMYFUNCTION("""COMPUTED_VALUE"""),"Python")</f>
        <v>Python</v>
      </c>
      <c r="L4097" s="9" t="str">
        <f>IFERROR(__xludf.DUMMYFUNCTION("""COMPUTED_VALUE"""),"C++")</f>
        <v>C++</v>
      </c>
      <c r="M4097" s="9" t="s">
        <v>27</v>
      </c>
    </row>
    <row r="4098" ht="15.75" customHeight="1">
      <c r="A4098" s="7"/>
      <c r="B4098" s="7" t="str">
        <f>IFERROR(__xludf.DUMMYFUNCTION("""COMPUTED_VALUE"""),"HTML/CSS;JavaScript;Python")</f>
        <v>HTML/CSS;JavaScript;Python</v>
      </c>
      <c r="C4098" s="9" t="str">
        <f>IFERROR(__xludf.DUMMYFUNCTION("""COMPUTED_VALUE"""),"Bash/Shell/PowerShell")</f>
        <v>Bash/Shell/PowerShell</v>
      </c>
      <c r="D4098" s="9" t="str">
        <f>IFERROR(__xludf.DUMMYFUNCTION("""COMPUTED_VALUE"""),"Python")</f>
        <v>Python</v>
      </c>
      <c r="E4098" s="9" t="str">
        <f>IFERROR(__xludf.DUMMYFUNCTION("""COMPUTED_VALUE"""),"PHP")</f>
        <v>PHP</v>
      </c>
      <c r="F4098" s="9" t="str">
        <f>IFERROR(__xludf.DUMMYFUNCTION("""COMPUTED_VALUE"""),"Go")</f>
        <v>Go</v>
      </c>
      <c r="G4098" s="9" t="str">
        <f>IFERROR(__xludf.DUMMYFUNCTION("""COMPUTED_VALUE"""),"Python")</f>
        <v>Python</v>
      </c>
      <c r="H4098" s="9" t="str">
        <f>IFERROR(__xludf.DUMMYFUNCTION("""COMPUTED_VALUE"""),"HTML/CSS")</f>
        <v>HTML/CSS</v>
      </c>
      <c r="I4098" s="9" t="str">
        <f>IFERROR(__xludf.DUMMYFUNCTION("""COMPUTED_VALUE"""),"Java")</f>
        <v>Java</v>
      </c>
      <c r="J4098" s="9" t="str">
        <f>IFERROR(__xludf.DUMMYFUNCTION("""COMPUTED_VALUE"""),"Python")</f>
        <v>Python</v>
      </c>
      <c r="K4098" s="9" t="str">
        <f>IFERROR(__xludf.DUMMYFUNCTION("""COMPUTED_VALUE"""),"Ruby")</f>
        <v>Ruby</v>
      </c>
      <c r="L4098" s="9" t="str">
        <f>IFERROR(__xludf.DUMMYFUNCTION("""COMPUTED_VALUE"""),"C#")</f>
        <v>C#</v>
      </c>
      <c r="M4098" s="9" t="s">
        <v>30</v>
      </c>
    </row>
    <row r="4099" ht="15.75" customHeight="1">
      <c r="A4099" s="7"/>
      <c r="B4099" s="7" t="str">
        <f>IFERROR(__xludf.DUMMYFUNCTION("""COMPUTED_VALUE"""),"Bash/Shell/PowerShell;HTML/CSS;Java;JavaScript;Kotlin;SQL")</f>
        <v>Bash/Shell/PowerShell;HTML/CSS;Java;JavaScript;Kotlin;SQL</v>
      </c>
      <c r="C4099" s="9" t="str">
        <f>IFERROR(__xludf.DUMMYFUNCTION("""COMPUTED_VALUE"""),"HTML/CSS")</f>
        <v>HTML/CSS</v>
      </c>
      <c r="D4099" s="9" t="str">
        <f>IFERROR(__xludf.DUMMYFUNCTION("""COMPUTED_VALUE"""),"TypeScript")</f>
        <v>TypeScript</v>
      </c>
      <c r="E4099" s="9" t="str">
        <f>IFERROR(__xludf.DUMMYFUNCTION("""COMPUTED_VALUE"""),"Python")</f>
        <v>Python</v>
      </c>
      <c r="F4099" s="9" t="str">
        <f>IFERROR(__xludf.DUMMYFUNCTION("""COMPUTED_VALUE"""),"HTML/CSS")</f>
        <v>HTML/CSS</v>
      </c>
      <c r="G4099" s="9" t="str">
        <f>IFERROR(__xludf.DUMMYFUNCTION("""COMPUTED_VALUE"""),"Ruby")</f>
        <v>Ruby</v>
      </c>
      <c r="H4099" s="9" t="str">
        <f>IFERROR(__xludf.DUMMYFUNCTION("""COMPUTED_VALUE"""),"JavaScript")</f>
        <v>JavaScript</v>
      </c>
      <c r="I4099" s="9" t="str">
        <f>IFERROR(__xludf.DUMMYFUNCTION("""COMPUTED_VALUE"""),"JavaScript")</f>
        <v>JavaScript</v>
      </c>
      <c r="J4099" s="9" t="str">
        <f>IFERROR(__xludf.DUMMYFUNCTION("""COMPUTED_VALUE"""),"SQL")</f>
        <v>SQL</v>
      </c>
      <c r="K4099" s="9" t="str">
        <f>IFERROR(__xludf.DUMMYFUNCTION("""COMPUTED_VALUE"""),"SQL")</f>
        <v>SQL</v>
      </c>
      <c r="L4099" s="9" t="str">
        <f>IFERROR(__xludf.DUMMYFUNCTION("""COMPUTED_VALUE"""),"Bash/Shell/PowerShell")</f>
        <v>Bash/Shell/PowerShell</v>
      </c>
      <c r="M4099" s="9" t="s">
        <v>24</v>
      </c>
    </row>
    <row r="4100" ht="15.75" customHeight="1">
      <c r="A4100" s="7"/>
      <c r="B4100" s="7" t="str">
        <f>IFERROR(__xludf.DUMMYFUNCTION("""COMPUTED_VALUE"""),"C;Python")</f>
        <v>C;Python</v>
      </c>
      <c r="C4100" s="9" t="str">
        <f>IFERROR(__xludf.DUMMYFUNCTION("""COMPUTED_VALUE"""),"Java")</f>
        <v>Java</v>
      </c>
      <c r="D4100" s="9" t="str">
        <f>IFERROR(__xludf.DUMMYFUNCTION("""COMPUTED_VALUE"""),"HTML/CSS")</f>
        <v>HTML/CSS</v>
      </c>
      <c r="E4100" s="9" t="str">
        <f>IFERROR(__xludf.DUMMYFUNCTION("""COMPUTED_VALUE"""),"SQL")</f>
        <v>SQL</v>
      </c>
      <c r="F4100" s="9" t="str">
        <f>IFERROR(__xludf.DUMMYFUNCTION("""COMPUTED_VALUE"""),"Java")</f>
        <v>Java</v>
      </c>
      <c r="G4100" s="9" t="str">
        <f>IFERROR(__xludf.DUMMYFUNCTION("""COMPUTED_VALUE"""),"HTML/CSS")</f>
        <v>HTML/CSS</v>
      </c>
      <c r="H4100" s="9" t="str">
        <f>IFERROR(__xludf.DUMMYFUNCTION("""COMPUTED_VALUE"""),"PHP")</f>
        <v>PHP</v>
      </c>
      <c r="I4100" s="9" t="str">
        <f>IFERROR(__xludf.DUMMYFUNCTION("""COMPUTED_VALUE"""),"Python")</f>
        <v>Python</v>
      </c>
      <c r="J4100" s="9" t="str">
        <f>IFERROR(__xludf.DUMMYFUNCTION("""COMPUTED_VALUE"""),"TypeScript")</f>
        <v>TypeScript</v>
      </c>
      <c r="K4100" s="9" t="str">
        <f>IFERROR(__xludf.DUMMYFUNCTION("""COMPUTED_VALUE"""),"HTML/CSS")</f>
        <v>HTML/CSS</v>
      </c>
      <c r="L4100" s="9" t="str">
        <f>IFERROR(__xludf.DUMMYFUNCTION("""COMPUTED_VALUE"""),"JavaScript")</f>
        <v>JavaScript</v>
      </c>
      <c r="M4100" s="9" t="s">
        <v>20</v>
      </c>
    </row>
    <row r="4101" ht="15.75" customHeight="1">
      <c r="A4101" s="7"/>
      <c r="B4101" s="7" t="str">
        <f>IFERROR(__xludf.DUMMYFUNCTION("""COMPUTED_VALUE"""),"Bash/Shell/PowerShell;C;C++;C#;F#;HTML/CSS;Java;JavaScript;Python;SQL")</f>
        <v>Bash/Shell/PowerShell;C;C++;C#;F#;HTML/CSS;Java;JavaScript;Python;SQL</v>
      </c>
      <c r="C4101" s="9" t="str">
        <f>IFERROR(__xludf.DUMMYFUNCTION("""COMPUTED_VALUE"""),"JavaScript")</f>
        <v>JavaScript</v>
      </c>
      <c r="D4101" s="9" t="str">
        <f>IFERROR(__xludf.DUMMYFUNCTION("""COMPUTED_VALUE"""),"JavaScript")</f>
        <v>JavaScript</v>
      </c>
      <c r="E4101" s="9" t="str">
        <f>IFERROR(__xludf.DUMMYFUNCTION("""COMPUTED_VALUE"""),"Java")</f>
        <v>Java</v>
      </c>
      <c r="F4101" s="9" t="str">
        <f>IFERROR(__xludf.DUMMYFUNCTION("""COMPUTED_VALUE"""),"JavaScript")</f>
        <v>JavaScript</v>
      </c>
      <c r="G4101" s="9" t="str">
        <f>IFERROR(__xludf.DUMMYFUNCTION("""COMPUTED_VALUE"""),"Java")</f>
        <v>Java</v>
      </c>
      <c r="H4101" s="9" t="str">
        <f>IFERROR(__xludf.DUMMYFUNCTION("""COMPUTED_VALUE"""),"Ruby")</f>
        <v>Ruby</v>
      </c>
      <c r="I4101" s="9" t="str">
        <f>IFERROR(__xludf.DUMMYFUNCTION("""COMPUTED_VALUE"""),"SQL")</f>
        <v>SQL</v>
      </c>
      <c r="J4101" s="9" t="str">
        <f>IFERROR(__xludf.DUMMYFUNCTION("""COMPUTED_VALUE"""),"Java")</f>
        <v>Java</v>
      </c>
      <c r="K4101" s="9" t="str">
        <f>IFERROR(__xludf.DUMMYFUNCTION("""COMPUTED_VALUE"""),"JavaScript")</f>
        <v>JavaScript</v>
      </c>
      <c r="L4101" s="9" t="str">
        <f>IFERROR(__xludf.DUMMYFUNCTION("""COMPUTED_VALUE"""),"Python")</f>
        <v>Python</v>
      </c>
      <c r="M4101" s="9" t="s">
        <v>21</v>
      </c>
    </row>
    <row r="4102" ht="15.75" customHeight="1">
      <c r="A4102" s="7"/>
      <c r="B4102" s="7" t="str">
        <f>IFERROR(__xludf.DUMMYFUNCTION("""COMPUTED_VALUE"""),"HTML/CSS;Java;JavaScript;PHP;SQL;TypeScript")</f>
        <v>HTML/CSS;Java;JavaScript;PHP;SQL;TypeScript</v>
      </c>
      <c r="C4102" s="9" t="str">
        <f>IFERROR(__xludf.DUMMYFUNCTION("""COMPUTED_VALUE"""),"TypeScript")</f>
        <v>TypeScript</v>
      </c>
      <c r="D4102" s="9" t="str">
        <f>IFERROR(__xludf.DUMMYFUNCTION("""COMPUTED_VALUE"""),"VBA")</f>
        <v>VBA</v>
      </c>
      <c r="E4102" s="9" t="str">
        <f>IFERROR(__xludf.DUMMYFUNCTION("""COMPUTED_VALUE"""),"JavaScript")</f>
        <v>JavaScript</v>
      </c>
      <c r="F4102" s="9" t="str">
        <f>IFERROR(__xludf.DUMMYFUNCTION("""COMPUTED_VALUE"""),"PHP")</f>
        <v>PHP</v>
      </c>
      <c r="G4102" s="9" t="str">
        <f>IFERROR(__xludf.DUMMYFUNCTION("""COMPUTED_VALUE"""),"JavaScript")</f>
        <v>JavaScript</v>
      </c>
      <c r="H4102" s="9" t="str">
        <f>IFERROR(__xludf.DUMMYFUNCTION("""COMPUTED_VALUE"""),"HTML/CSS")</f>
        <v>HTML/CSS</v>
      </c>
      <c r="I4102" s="9" t="str">
        <f>IFERROR(__xludf.DUMMYFUNCTION("""COMPUTED_VALUE"""),"TypeScript")</f>
        <v>TypeScript</v>
      </c>
      <c r="J4102" s="9" t="str">
        <f>IFERROR(__xludf.DUMMYFUNCTION("""COMPUTED_VALUE"""),"Python")</f>
        <v>Python</v>
      </c>
      <c r="K4102" s="9" t="str">
        <f>IFERROR(__xludf.DUMMYFUNCTION("""COMPUTED_VALUE"""),"PHP")</f>
        <v>PHP</v>
      </c>
      <c r="L4102" s="9" t="str">
        <f>IFERROR(__xludf.DUMMYFUNCTION("""COMPUTED_VALUE"""),"SQL")</f>
        <v>SQL</v>
      </c>
      <c r="M4102" s="9" t="s">
        <v>33</v>
      </c>
    </row>
    <row r="4103" ht="15.75" customHeight="1">
      <c r="A4103" s="7"/>
      <c r="B4103" s="7" t="str">
        <f>IFERROR(__xludf.DUMMYFUNCTION("""COMPUTED_VALUE"""),"C#;HTML/CSS;JavaScript;SQL;TypeScript")</f>
        <v>C#;HTML/CSS;JavaScript;SQL;TypeScript</v>
      </c>
      <c r="C4103" s="9" t="str">
        <f>IFERROR(__xludf.DUMMYFUNCTION("""COMPUTED_VALUE"""),"Java")</f>
        <v>Java</v>
      </c>
      <c r="D4103" s="9" t="str">
        <f>IFERROR(__xludf.DUMMYFUNCTION("""COMPUTED_VALUE"""),"Bash/Shell/PowerShell")</f>
        <v>Bash/Shell/PowerShell</v>
      </c>
      <c r="E4103" s="9" t="str">
        <f>IFERROR(__xludf.DUMMYFUNCTION("""COMPUTED_VALUE"""),"Scala")</f>
        <v>Scala</v>
      </c>
      <c r="F4103" s="9" t="str">
        <f>IFERROR(__xludf.DUMMYFUNCTION("""COMPUTED_VALUE"""),"Python")</f>
        <v>Python</v>
      </c>
      <c r="G4103" s="9" t="str">
        <f>IFERROR(__xludf.DUMMYFUNCTION("""COMPUTED_VALUE"""),"Ruby")</f>
        <v>Ruby</v>
      </c>
      <c r="H4103" s="9" t="str">
        <f>IFERROR(__xludf.DUMMYFUNCTION("""COMPUTED_VALUE"""),"Java")</f>
        <v>Java</v>
      </c>
      <c r="I4103" s="9" t="str">
        <f>IFERROR(__xludf.DUMMYFUNCTION("""COMPUTED_VALUE"""),"JavaScript")</f>
        <v>JavaScript</v>
      </c>
      <c r="J4103" s="9" t="str">
        <f>IFERROR(__xludf.DUMMYFUNCTION("""COMPUTED_VALUE"""),"Scala")</f>
        <v>Scala</v>
      </c>
      <c r="K4103" s="9" t="str">
        <f>IFERROR(__xludf.DUMMYFUNCTION("""COMPUTED_VALUE"""),"SQL")</f>
        <v>SQL</v>
      </c>
      <c r="L4103" s="9" t="str">
        <f>IFERROR(__xludf.DUMMYFUNCTION("""COMPUTED_VALUE"""),"VBA")</f>
        <v>VBA</v>
      </c>
      <c r="M4103" s="9" t="s">
        <v>20</v>
      </c>
    </row>
    <row r="4104" ht="15.75" customHeight="1">
      <c r="A4104" s="7"/>
      <c r="B4104" s="7" t="str">
        <f>IFERROR(__xludf.DUMMYFUNCTION("""COMPUTED_VALUE"""),"Bash/Shell/PowerShell;C++;HTML/CSS;JavaScript;Python")</f>
        <v>Bash/Shell/PowerShell;C++;HTML/CSS;JavaScript;Python</v>
      </c>
      <c r="C4104" s="9" t="str">
        <f>IFERROR(__xludf.DUMMYFUNCTION("""COMPUTED_VALUE"""),"PHP")</f>
        <v>PHP</v>
      </c>
      <c r="D4104" s="9" t="str">
        <f>IFERROR(__xludf.DUMMYFUNCTION("""COMPUTED_VALUE"""),"C#")</f>
        <v>C#</v>
      </c>
      <c r="E4104" s="9" t="str">
        <f>IFERROR(__xludf.DUMMYFUNCTION("""COMPUTED_VALUE"""),"TypeScript")</f>
        <v>TypeScript</v>
      </c>
      <c r="F4104" s="9" t="str">
        <f>IFERROR(__xludf.DUMMYFUNCTION("""COMPUTED_VALUE"""),"R")</f>
        <v>R</v>
      </c>
      <c r="G4104" s="9" t="str">
        <f>IFERROR(__xludf.DUMMYFUNCTION("""COMPUTED_VALUE"""),"SQL")</f>
        <v>SQL</v>
      </c>
      <c r="H4104" s="9" t="str">
        <f>IFERROR(__xludf.DUMMYFUNCTION("""COMPUTED_VALUE"""),"JavaScript")</f>
        <v>JavaScript</v>
      </c>
      <c r="I4104" s="9" t="str">
        <f>IFERROR(__xludf.DUMMYFUNCTION("""COMPUTED_VALUE"""),"PHP")</f>
        <v>PHP</v>
      </c>
      <c r="J4104" s="9" t="str">
        <f>IFERROR(__xludf.DUMMYFUNCTION("""COMPUTED_VALUE"""),"TypeScript")</f>
        <v>TypeScript</v>
      </c>
      <c r="K4104" s="9" t="str">
        <f>IFERROR(__xludf.DUMMYFUNCTION("""COMPUTED_VALUE"""),"TypeScript")</f>
        <v>TypeScript</v>
      </c>
      <c r="L4104" s="9" t="str">
        <f>IFERROR(__xludf.DUMMYFUNCTION("""COMPUTED_VALUE"""),"Bash/Shell/PowerShell")</f>
        <v>Bash/Shell/PowerShell</v>
      </c>
      <c r="M4104" s="9" t="s">
        <v>37</v>
      </c>
    </row>
    <row r="4105" ht="15.75" customHeight="1">
      <c r="A4105" s="7"/>
      <c r="B4105" s="7" t="str">
        <f>IFERROR(__xludf.DUMMYFUNCTION("""COMPUTED_VALUE"""),"HTML/CSS;Java;JavaScript;Python")</f>
        <v>HTML/CSS;Java;JavaScript;Python</v>
      </c>
      <c r="C4105" s="9" t="str">
        <f>IFERROR(__xludf.DUMMYFUNCTION("""COMPUTED_VALUE"""),"Java")</f>
        <v>Java</v>
      </c>
      <c r="D4105" s="9" t="str">
        <f>IFERROR(__xludf.DUMMYFUNCTION("""COMPUTED_VALUE"""),"HTML/CSS")</f>
        <v>HTML/CSS</v>
      </c>
      <c r="E4105" s="9" t="str">
        <f>IFERROR(__xludf.DUMMYFUNCTION("""COMPUTED_VALUE"""),"JavaScript")</f>
        <v>JavaScript</v>
      </c>
      <c r="F4105" s="9" t="str">
        <f>IFERROR(__xludf.DUMMYFUNCTION("""COMPUTED_VALUE"""),"Ruby")</f>
        <v>Ruby</v>
      </c>
      <c r="G4105" s="9" t="str">
        <f>IFERROR(__xludf.DUMMYFUNCTION("""COMPUTED_VALUE"""),"C")</f>
        <v>C</v>
      </c>
      <c r="H4105" s="9" t="str">
        <f>IFERROR(__xludf.DUMMYFUNCTION("""COMPUTED_VALUE"""),"Python")</f>
        <v>Python</v>
      </c>
      <c r="I4105" s="9" t="str">
        <f>IFERROR(__xludf.DUMMYFUNCTION("""COMPUTED_VALUE"""),"Python")</f>
        <v>Python</v>
      </c>
      <c r="J4105" s="9" t="str">
        <f>IFERROR(__xludf.DUMMYFUNCTION("""COMPUTED_VALUE"""),"HTML/CSS")</f>
        <v>HTML/CSS</v>
      </c>
      <c r="K4105" s="9" t="str">
        <f>IFERROR(__xludf.DUMMYFUNCTION("""COMPUTED_VALUE"""),"C++")</f>
        <v>C++</v>
      </c>
      <c r="L4105" s="9" t="str">
        <f>IFERROR(__xludf.DUMMYFUNCTION("""COMPUTED_VALUE"""),"Java")</f>
        <v>Java</v>
      </c>
      <c r="M4105" s="9" t="s">
        <v>20</v>
      </c>
    </row>
    <row r="4106" ht="15.75" customHeight="1">
      <c r="A4106" s="7"/>
      <c r="B4106" s="7" t="str">
        <f>IFERROR(__xludf.DUMMYFUNCTION("""COMPUTED_VALUE"""),"Bash/Shell/PowerShell;C;C++;C#;Go;HTML/CSS;JavaScript;PHP;Python;SQL;Other(s):")</f>
        <v>Bash/Shell/PowerShell;C;C++;C#;Go;HTML/CSS;JavaScript;PHP;Python;SQL;Other(s):</v>
      </c>
      <c r="C4106" s="9" t="str">
        <f>IFERROR(__xludf.DUMMYFUNCTION("""COMPUTED_VALUE"""),"Python")</f>
        <v>Python</v>
      </c>
      <c r="D4106" s="9" t="str">
        <f>IFERROR(__xludf.DUMMYFUNCTION("""COMPUTED_VALUE"""),"Java")</f>
        <v>Java</v>
      </c>
      <c r="E4106" s="9" t="str">
        <f>IFERROR(__xludf.DUMMYFUNCTION("""COMPUTED_VALUE"""),"HTML/CSS")</f>
        <v>HTML/CSS</v>
      </c>
      <c r="F4106" s="9" t="str">
        <f>IFERROR(__xludf.DUMMYFUNCTION("""COMPUTED_VALUE"""),"Scala")</f>
        <v>Scala</v>
      </c>
      <c r="G4106" s="9" t="str">
        <f>IFERROR(__xludf.DUMMYFUNCTION("""COMPUTED_VALUE"""),"C++")</f>
        <v>C++</v>
      </c>
      <c r="H4106" s="9" t="str">
        <f>IFERROR(__xludf.DUMMYFUNCTION("""COMPUTED_VALUE"""),"Bash/Shell/PowerShell")</f>
        <v>Bash/Shell/PowerShell</v>
      </c>
      <c r="I4106" s="9" t="str">
        <f>IFERROR(__xludf.DUMMYFUNCTION("""COMPUTED_VALUE"""),"SQL")</f>
        <v>SQL</v>
      </c>
      <c r="J4106" s="9" t="str">
        <f>IFERROR(__xludf.DUMMYFUNCTION("""COMPUTED_VALUE"""),"Java")</f>
        <v>Java</v>
      </c>
      <c r="K4106" s="9" t="str">
        <f>IFERROR(__xludf.DUMMYFUNCTION("""COMPUTED_VALUE"""),"Python")</f>
        <v>Python</v>
      </c>
      <c r="L4106" s="9" t="str">
        <f>IFERROR(__xludf.DUMMYFUNCTION("""COMPUTED_VALUE"""),"Kotlin")</f>
        <v>Kotlin</v>
      </c>
      <c r="M4106" s="9" t="s">
        <v>22</v>
      </c>
    </row>
    <row r="4107" ht="15.75" customHeight="1">
      <c r="A4107" s="7"/>
      <c r="B4107" s="7" t="str">
        <f>IFERROR(__xludf.DUMMYFUNCTION("""COMPUTED_VALUE"""),"Go;HTML/CSS;Java;JavaScript;PHP")</f>
        <v>Go;HTML/CSS;Java;JavaScript;PHP</v>
      </c>
      <c r="C4107" s="9" t="str">
        <f>IFERROR(__xludf.DUMMYFUNCTION("""COMPUTED_VALUE"""),"C")</f>
        <v>C</v>
      </c>
      <c r="D4107" s="9" t="str">
        <f>IFERROR(__xludf.DUMMYFUNCTION("""COMPUTED_VALUE"""),"JavaScript")</f>
        <v>JavaScript</v>
      </c>
      <c r="E4107" s="9" t="str">
        <f>IFERROR(__xludf.DUMMYFUNCTION("""COMPUTED_VALUE"""),"Java")</f>
        <v>Java</v>
      </c>
      <c r="F4107" s="9" t="str">
        <f>IFERROR(__xludf.DUMMYFUNCTION("""COMPUTED_VALUE"""),"SQL")</f>
        <v>SQL</v>
      </c>
      <c r="G4107" s="9" t="str">
        <f>IFERROR(__xludf.DUMMYFUNCTION("""COMPUTED_VALUE"""),"Go")</f>
        <v>Go</v>
      </c>
      <c r="H4107" s="9" t="str">
        <f>IFERROR(__xludf.DUMMYFUNCTION("""COMPUTED_VALUE"""),"C++")</f>
        <v>C++</v>
      </c>
      <c r="I4107" s="9" t="str">
        <f>IFERROR(__xludf.DUMMYFUNCTION("""COMPUTED_VALUE"""),"TypeScript")</f>
        <v>TypeScript</v>
      </c>
      <c r="J4107" s="9" t="str">
        <f>IFERROR(__xludf.DUMMYFUNCTION("""COMPUTED_VALUE"""),"TypeScript")</f>
        <v>TypeScript</v>
      </c>
      <c r="K4107" s="9" t="str">
        <f>IFERROR(__xludf.DUMMYFUNCTION("""COMPUTED_VALUE"""),"C")</f>
        <v>C</v>
      </c>
      <c r="L4107" s="9" t="str">
        <f>IFERROR(__xludf.DUMMYFUNCTION("""COMPUTED_VALUE"""),"SQL")</f>
        <v>SQL</v>
      </c>
      <c r="M4107" s="9" t="s">
        <v>25</v>
      </c>
    </row>
    <row r="4108" ht="15.75" customHeight="1">
      <c r="A4108" s="7"/>
      <c r="B4108" s="7" t="str">
        <f>IFERROR(__xludf.DUMMYFUNCTION("""COMPUTED_VALUE"""),"Go;HTML/CSS;JavaScript;Ruby;SQL")</f>
        <v>Go;HTML/CSS;JavaScript;Ruby;SQL</v>
      </c>
      <c r="C4108" s="9" t="str">
        <f>IFERROR(__xludf.DUMMYFUNCTION("""COMPUTED_VALUE"""),"Go")</f>
        <v>Go</v>
      </c>
      <c r="D4108" s="9" t="str">
        <f>IFERROR(__xludf.DUMMYFUNCTION("""COMPUTED_VALUE"""),"PHP")</f>
        <v>PHP</v>
      </c>
      <c r="E4108" s="9" t="str">
        <f>IFERROR(__xludf.DUMMYFUNCTION("""COMPUTED_VALUE"""),"JavaScript")</f>
        <v>JavaScript</v>
      </c>
      <c r="F4108" s="9" t="str">
        <f>IFERROR(__xludf.DUMMYFUNCTION("""COMPUTED_VALUE"""),"VBA")</f>
        <v>VBA</v>
      </c>
      <c r="G4108" s="9" t="str">
        <f>IFERROR(__xludf.DUMMYFUNCTION("""COMPUTED_VALUE"""),"JavaScript")</f>
        <v>JavaScript</v>
      </c>
      <c r="H4108" s="9" t="str">
        <f>IFERROR(__xludf.DUMMYFUNCTION("""COMPUTED_VALUE"""),"C#")</f>
        <v>C#</v>
      </c>
      <c r="I4108" s="9" t="str">
        <f>IFERROR(__xludf.DUMMYFUNCTION("""COMPUTED_VALUE"""),"Assembly")</f>
        <v>Assembly</v>
      </c>
      <c r="J4108" s="9" t="str">
        <f>IFERROR(__xludf.DUMMYFUNCTION("""COMPUTED_VALUE"""),"C#")</f>
        <v>C#</v>
      </c>
      <c r="K4108" s="9" t="str">
        <f>IFERROR(__xludf.DUMMYFUNCTION("""COMPUTED_VALUE"""),"Dart")</f>
        <v>Dart</v>
      </c>
      <c r="L4108" s="9" t="str">
        <f>IFERROR(__xludf.DUMMYFUNCTION("""COMPUTED_VALUE"""),"C#")</f>
        <v>C#</v>
      </c>
      <c r="M4108" s="9" t="s">
        <v>36</v>
      </c>
    </row>
    <row r="4109" ht="15.75" customHeight="1">
      <c r="A4109" s="7"/>
      <c r="B4109" s="7" t="str">
        <f>IFERROR(__xludf.DUMMYFUNCTION("""COMPUTED_VALUE"""),"Java;JavaScript;Python")</f>
        <v>Java;JavaScript;Python</v>
      </c>
      <c r="C4109" s="9" t="str">
        <f>IFERROR(__xludf.DUMMYFUNCTION("""COMPUTED_VALUE"""),"HTML/CSS")</f>
        <v>HTML/CSS</v>
      </c>
      <c r="D4109" s="9" t="str">
        <f>IFERROR(__xludf.DUMMYFUNCTION("""COMPUTED_VALUE"""),"Python")</f>
        <v>Python</v>
      </c>
      <c r="E4109" s="9" t="str">
        <f>IFERROR(__xludf.DUMMYFUNCTION("""COMPUTED_VALUE"""),"SQL")</f>
        <v>SQL</v>
      </c>
      <c r="F4109" s="9" t="str">
        <f>IFERROR(__xludf.DUMMYFUNCTION("""COMPUTED_VALUE"""),"C")</f>
        <v>C</v>
      </c>
      <c r="G4109" s="9" t="str">
        <f>IFERROR(__xludf.DUMMYFUNCTION("""COMPUTED_VALUE"""),"Objective-C")</f>
        <v>Objective-C</v>
      </c>
      <c r="H4109" s="9" t="str">
        <f>IFERROR(__xludf.DUMMYFUNCTION("""COMPUTED_VALUE"""),"Dart")</f>
        <v>Dart</v>
      </c>
      <c r="I4109" s="9" t="str">
        <f>IFERROR(__xludf.DUMMYFUNCTION("""COMPUTED_VALUE"""),"Bash/Shell/PowerShell")</f>
        <v>Bash/Shell/PowerShell</v>
      </c>
      <c r="J4109" s="9" t="str">
        <f>IFERROR(__xludf.DUMMYFUNCTION("""COMPUTED_VALUE"""),"Java")</f>
        <v>Java</v>
      </c>
      <c r="K4109" s="9" t="str">
        <f>IFERROR(__xludf.DUMMYFUNCTION("""COMPUTED_VALUE"""),"Elixir")</f>
        <v>Elixir</v>
      </c>
      <c r="L4109" s="9" t="str">
        <f>IFERROR(__xludf.DUMMYFUNCTION("""COMPUTED_VALUE"""),"JavaScript")</f>
        <v>JavaScript</v>
      </c>
      <c r="M4109" s="9" t="s">
        <v>24</v>
      </c>
    </row>
    <row r="4110" ht="15.75" customHeight="1">
      <c r="A4110" s="7"/>
      <c r="B4110" s="7" t="str">
        <f>IFERROR(__xludf.DUMMYFUNCTION("""COMPUTED_VALUE"""),"C;HTML/CSS;Java;JavaScript;Python;SQL")</f>
        <v>C;HTML/CSS;Java;JavaScript;Python;SQL</v>
      </c>
      <c r="C4110" s="9" t="str">
        <f>IFERROR(__xludf.DUMMYFUNCTION("""COMPUTED_VALUE"""),"JavaScript")</f>
        <v>JavaScript</v>
      </c>
      <c r="D4110" s="9" t="str">
        <f>IFERROR(__xludf.DUMMYFUNCTION("""COMPUTED_VALUE"""),"R")</f>
        <v>R</v>
      </c>
      <c r="E4110" s="9" t="str">
        <f>IFERROR(__xludf.DUMMYFUNCTION("""COMPUTED_VALUE"""),"Other(s):")</f>
        <v>Other(s):</v>
      </c>
      <c r="F4110" s="9" t="str">
        <f>IFERROR(__xludf.DUMMYFUNCTION("""COMPUTED_VALUE"""),"C++")</f>
        <v>C++</v>
      </c>
      <c r="G4110" s="9" t="str">
        <f>IFERROR(__xludf.DUMMYFUNCTION("""COMPUTED_VALUE"""),"PHP")</f>
        <v>PHP</v>
      </c>
      <c r="H4110" s="9" t="str">
        <f>IFERROR(__xludf.DUMMYFUNCTION("""COMPUTED_VALUE"""),"F#")</f>
        <v>F#</v>
      </c>
      <c r="I4110" s="9" t="str">
        <f>IFERROR(__xludf.DUMMYFUNCTION("""COMPUTED_VALUE"""),"C")</f>
        <v>C</v>
      </c>
      <c r="J4110" s="9" t="str">
        <f>IFERROR(__xludf.DUMMYFUNCTION("""COMPUTED_VALUE"""),"JavaScript")</f>
        <v>JavaScript</v>
      </c>
      <c r="K4110" s="9" t="str">
        <f>IFERROR(__xludf.DUMMYFUNCTION("""COMPUTED_VALUE"""),"HTML/CSS")</f>
        <v>HTML/CSS</v>
      </c>
      <c r="L4110" s="9" t="str">
        <f>IFERROR(__xludf.DUMMYFUNCTION("""COMPUTED_VALUE"""),"PHP")</f>
        <v>PHP</v>
      </c>
      <c r="M4110" s="9" t="s">
        <v>21</v>
      </c>
    </row>
    <row r="4111" ht="15.75" customHeight="1">
      <c r="A4111" s="7"/>
      <c r="B4111" s="7" t="str">
        <f>IFERROR(__xludf.DUMMYFUNCTION("""COMPUTED_VALUE"""),"C#;HTML/CSS;JavaScript;Other(s):")</f>
        <v>C#;HTML/CSS;JavaScript;Other(s):</v>
      </c>
      <c r="C4111" s="9" t="str">
        <f>IFERROR(__xludf.DUMMYFUNCTION("""COMPUTED_VALUE"""),"Ruby")</f>
        <v>Ruby</v>
      </c>
      <c r="D4111" s="9" t="str">
        <f>IFERROR(__xludf.DUMMYFUNCTION("""COMPUTED_VALUE"""),"Ruby")</f>
        <v>Ruby</v>
      </c>
      <c r="E4111" s="9" t="str">
        <f>IFERROR(__xludf.DUMMYFUNCTION("""COMPUTED_VALUE"""),"C#")</f>
        <v>C#</v>
      </c>
      <c r="F4111" s="9" t="str">
        <f>IFERROR(__xludf.DUMMYFUNCTION("""COMPUTED_VALUE"""),"C#")</f>
        <v>C#</v>
      </c>
      <c r="G4111" s="9" t="str">
        <f>IFERROR(__xludf.DUMMYFUNCTION("""COMPUTED_VALUE"""),"Python")</f>
        <v>Python</v>
      </c>
      <c r="H4111" s="9" t="str">
        <f>IFERROR(__xludf.DUMMYFUNCTION("""COMPUTED_VALUE"""),"HTML/CSS")</f>
        <v>HTML/CSS</v>
      </c>
      <c r="I4111" s="9" t="str">
        <f>IFERROR(__xludf.DUMMYFUNCTION("""COMPUTED_VALUE"""),"C++")</f>
        <v>C++</v>
      </c>
      <c r="J4111" s="9" t="str">
        <f>IFERROR(__xludf.DUMMYFUNCTION("""COMPUTED_VALUE"""),"Python")</f>
        <v>Python</v>
      </c>
      <c r="K4111" s="9" t="str">
        <f>IFERROR(__xludf.DUMMYFUNCTION("""COMPUTED_VALUE"""),"Java")</f>
        <v>Java</v>
      </c>
      <c r="L4111" s="9" t="str">
        <f>IFERROR(__xludf.DUMMYFUNCTION("""COMPUTED_VALUE"""),"Python")</f>
        <v>Python</v>
      </c>
      <c r="M4111" s="9" t="s">
        <v>31</v>
      </c>
    </row>
    <row r="4112" ht="15.75" customHeight="1">
      <c r="A4112" s="7"/>
      <c r="B4112" s="7" t="str">
        <f>IFERROR(__xludf.DUMMYFUNCTION("""COMPUTED_VALUE"""),"F#;Python;R;Other(s):")</f>
        <v>F#;Python;R;Other(s):</v>
      </c>
      <c r="C4112" s="9" t="str">
        <f>IFERROR(__xludf.DUMMYFUNCTION("""COMPUTED_VALUE"""),"SQL")</f>
        <v>SQL</v>
      </c>
      <c r="D4112" s="9" t="str">
        <f>IFERROR(__xludf.DUMMYFUNCTION("""COMPUTED_VALUE"""),"SQL")</f>
        <v>SQL</v>
      </c>
      <c r="E4112" s="9" t="str">
        <f>IFERROR(__xludf.DUMMYFUNCTION("""COMPUTED_VALUE"""),"HTML/CSS")</f>
        <v>HTML/CSS</v>
      </c>
      <c r="F4112" s="9" t="str">
        <f>IFERROR(__xludf.DUMMYFUNCTION("""COMPUTED_VALUE"""),"HTML/CSS")</f>
        <v>HTML/CSS</v>
      </c>
      <c r="G4112" s="9" t="str">
        <f>IFERROR(__xludf.DUMMYFUNCTION("""COMPUTED_VALUE"""),"Ruby")</f>
        <v>Ruby</v>
      </c>
      <c r="H4112" s="9" t="str">
        <f>IFERROR(__xludf.DUMMYFUNCTION("""COMPUTED_VALUE"""),"Java")</f>
        <v>Java</v>
      </c>
      <c r="I4112" s="9" t="str">
        <f>IFERROR(__xludf.DUMMYFUNCTION("""COMPUTED_VALUE"""),"C#")</f>
        <v>C#</v>
      </c>
      <c r="J4112" s="9" t="str">
        <f>IFERROR(__xludf.DUMMYFUNCTION("""COMPUTED_VALUE"""),"C#")</f>
        <v>C#</v>
      </c>
      <c r="K4112" s="9" t="str">
        <f>IFERROR(__xludf.DUMMYFUNCTION("""COMPUTED_VALUE"""),"JavaScript")</f>
        <v>JavaScript</v>
      </c>
      <c r="L4112" s="9" t="str">
        <f>IFERROR(__xludf.DUMMYFUNCTION("""COMPUTED_VALUE"""),"R")</f>
        <v>R</v>
      </c>
      <c r="M4112" s="9" t="s">
        <v>27</v>
      </c>
    </row>
    <row r="4113" ht="15.75" customHeight="1">
      <c r="A4113" s="7"/>
      <c r="B4113" s="7" t="str">
        <f>IFERROR(__xludf.DUMMYFUNCTION("""COMPUTED_VALUE"""),"Bash/Shell/PowerShell;C;C++;HTML/CSS;JavaScript;Python")</f>
        <v>Bash/Shell/PowerShell;C;C++;HTML/CSS;JavaScript;Python</v>
      </c>
      <c r="C4113" s="9" t="str">
        <f>IFERROR(__xludf.DUMMYFUNCTION("""COMPUTED_VALUE"""),"TypeScript")</f>
        <v>TypeScript</v>
      </c>
      <c r="D4113" s="9" t="str">
        <f>IFERROR(__xludf.DUMMYFUNCTION("""COMPUTED_VALUE"""),"VBA")</f>
        <v>VBA</v>
      </c>
      <c r="E4113" s="9" t="str">
        <f>IFERROR(__xludf.DUMMYFUNCTION("""COMPUTED_VALUE"""),"JavaScript")</f>
        <v>JavaScript</v>
      </c>
      <c r="F4113" s="9" t="str">
        <f>IFERROR(__xludf.DUMMYFUNCTION("""COMPUTED_VALUE"""),"Java")</f>
        <v>Java</v>
      </c>
      <c r="G4113" s="9" t="str">
        <f>IFERROR(__xludf.DUMMYFUNCTION("""COMPUTED_VALUE"""),"SQL")</f>
        <v>SQL</v>
      </c>
      <c r="H4113" s="9" t="str">
        <f>IFERROR(__xludf.DUMMYFUNCTION("""COMPUTED_VALUE"""),"JavaScript")</f>
        <v>JavaScript</v>
      </c>
      <c r="I4113" s="9" t="str">
        <f>IFERROR(__xludf.DUMMYFUNCTION("""COMPUTED_VALUE"""),"HTML/CSS")</f>
        <v>HTML/CSS</v>
      </c>
      <c r="J4113" s="9" t="str">
        <f>IFERROR(__xludf.DUMMYFUNCTION("""COMPUTED_VALUE"""),"JavaScript")</f>
        <v>JavaScript</v>
      </c>
      <c r="K4113" s="9" t="str">
        <f>IFERROR(__xludf.DUMMYFUNCTION("""COMPUTED_VALUE"""),"Kotlin")</f>
        <v>Kotlin</v>
      </c>
      <c r="L4113" s="9" t="str">
        <f>IFERROR(__xludf.DUMMYFUNCTION("""COMPUTED_VALUE"""),"SQL")</f>
        <v>SQL</v>
      </c>
      <c r="M4113" s="9" t="s">
        <v>33</v>
      </c>
    </row>
    <row r="4114" ht="15.75" customHeight="1">
      <c r="A4114" s="7"/>
      <c r="B4114" s="7" t="str">
        <f>IFERROR(__xludf.DUMMYFUNCTION("""COMPUTED_VALUE"""),"C#;HTML/CSS;Java;JavaScript;PHP;SQL")</f>
        <v>C#;HTML/CSS;Java;JavaScript;PHP;SQL</v>
      </c>
      <c r="C4114" s="9" t="str">
        <f>IFERROR(__xludf.DUMMYFUNCTION("""COMPUTED_VALUE"""),"Bash/Shell/PowerShell")</f>
        <v>Bash/Shell/PowerShell</v>
      </c>
      <c r="D4114" s="9" t="str">
        <f>IFERROR(__xludf.DUMMYFUNCTION("""COMPUTED_VALUE"""),"Other(s):")</f>
        <v>Other(s):</v>
      </c>
      <c r="E4114" s="9" t="str">
        <f>IFERROR(__xludf.DUMMYFUNCTION("""COMPUTED_VALUE"""),"TypeScript")</f>
        <v>TypeScript</v>
      </c>
      <c r="F4114" s="9" t="str">
        <f>IFERROR(__xludf.DUMMYFUNCTION("""COMPUTED_VALUE"""),"JavaScript")</f>
        <v>JavaScript</v>
      </c>
      <c r="G4114" s="9" t="str">
        <f>IFERROR(__xludf.DUMMYFUNCTION("""COMPUTED_VALUE"""),"Swift")</f>
        <v>Swift</v>
      </c>
      <c r="H4114" s="9" t="str">
        <f>IFERROR(__xludf.DUMMYFUNCTION("""COMPUTED_VALUE"""),"Kotlin")</f>
        <v>Kotlin</v>
      </c>
      <c r="I4114" s="9" t="str">
        <f>IFERROR(__xludf.DUMMYFUNCTION("""COMPUTED_VALUE"""),"Java")</f>
        <v>Java</v>
      </c>
      <c r="J4114" s="9" t="str">
        <f>IFERROR(__xludf.DUMMYFUNCTION("""COMPUTED_VALUE"""),"SQL")</f>
        <v>SQL</v>
      </c>
      <c r="K4114" s="9" t="str">
        <f>IFERROR(__xludf.DUMMYFUNCTION("""COMPUTED_VALUE"""),"PHP")</f>
        <v>PHP</v>
      </c>
      <c r="L4114" s="9" t="str">
        <f>IFERROR(__xludf.DUMMYFUNCTION("""COMPUTED_VALUE"""),"C")</f>
        <v>C</v>
      </c>
      <c r="M4114" s="9" t="s">
        <v>30</v>
      </c>
    </row>
    <row r="4115" ht="15.75" customHeight="1">
      <c r="A4115" s="7"/>
      <c r="B4115" s="7" t="str">
        <f>IFERROR(__xludf.DUMMYFUNCTION("""COMPUTED_VALUE"""),"Bash/Shell/PowerShell;C;C++;Rust")</f>
        <v>Bash/Shell/PowerShell;C;C++;Rust</v>
      </c>
      <c r="C4115" s="9" t="str">
        <f>IFERROR(__xludf.DUMMYFUNCTION("""COMPUTED_VALUE"""),"Go")</f>
        <v>Go</v>
      </c>
      <c r="D4115" s="9" t="str">
        <f>IFERROR(__xludf.DUMMYFUNCTION("""COMPUTED_VALUE"""),"C#")</f>
        <v>C#</v>
      </c>
      <c r="E4115" s="9" t="str">
        <f>IFERROR(__xludf.DUMMYFUNCTION("""COMPUTED_VALUE"""),"Bash/Shell/PowerShell")</f>
        <v>Bash/Shell/PowerShell</v>
      </c>
      <c r="F4115" s="9" t="str">
        <f>IFERROR(__xludf.DUMMYFUNCTION("""COMPUTED_VALUE"""),"Objective-C")</f>
        <v>Objective-C</v>
      </c>
      <c r="G4115" s="9" t="str">
        <f>IFERROR(__xludf.DUMMYFUNCTION("""COMPUTED_VALUE"""),"TypeScript")</f>
        <v>TypeScript</v>
      </c>
      <c r="H4115" s="9" t="str">
        <f>IFERROR(__xludf.DUMMYFUNCTION("""COMPUTED_VALUE"""),"Objective-C")</f>
        <v>Objective-C</v>
      </c>
      <c r="I4115" s="9" t="str">
        <f>IFERROR(__xludf.DUMMYFUNCTION("""COMPUTED_VALUE"""),"SQL")</f>
        <v>SQL</v>
      </c>
      <c r="J4115" s="9" t="str">
        <f>IFERROR(__xludf.DUMMYFUNCTION("""COMPUTED_VALUE"""),"HTML/CSS")</f>
        <v>HTML/CSS</v>
      </c>
      <c r="K4115" s="9" t="str">
        <f>IFERROR(__xludf.DUMMYFUNCTION("""COMPUTED_VALUE"""),"Python")</f>
        <v>Python</v>
      </c>
      <c r="L4115" s="9" t="str">
        <f>IFERROR(__xludf.DUMMYFUNCTION("""COMPUTED_VALUE"""),"Java")</f>
        <v>Java</v>
      </c>
      <c r="M4115" s="9" t="s">
        <v>36</v>
      </c>
    </row>
    <row r="4116" ht="15.75" customHeight="1">
      <c r="A4116" s="7"/>
      <c r="B4116" s="7" t="str">
        <f>IFERROR(__xludf.DUMMYFUNCTION("""COMPUTED_VALUE"""),"Bash/Shell/PowerShell;C;HTML/CSS;Java;Python")</f>
        <v>Bash/Shell/PowerShell;C;HTML/CSS;Java;Python</v>
      </c>
      <c r="C4116" s="9" t="str">
        <f>IFERROR(__xludf.DUMMYFUNCTION("""COMPUTED_VALUE"""),"HTML/CSS")</f>
        <v>HTML/CSS</v>
      </c>
      <c r="D4116" s="9" t="str">
        <f>IFERROR(__xludf.DUMMYFUNCTION("""COMPUTED_VALUE"""),"R")</f>
        <v>R</v>
      </c>
      <c r="E4116" s="9" t="str">
        <f>IFERROR(__xludf.DUMMYFUNCTION("""COMPUTED_VALUE"""),"HTML/CSS")</f>
        <v>HTML/CSS</v>
      </c>
      <c r="F4116" s="9" t="str">
        <f>IFERROR(__xludf.DUMMYFUNCTION("""COMPUTED_VALUE"""),"PHP")</f>
        <v>PHP</v>
      </c>
      <c r="G4116" s="9" t="str">
        <f>IFERROR(__xludf.DUMMYFUNCTION("""COMPUTED_VALUE"""),"Other(s):")</f>
        <v>Other(s):</v>
      </c>
      <c r="H4116" s="9" t="str">
        <f>IFERROR(__xludf.DUMMYFUNCTION("""COMPUTED_VALUE"""),"SQL")</f>
        <v>SQL</v>
      </c>
      <c r="I4116" s="9" t="str">
        <f>IFERROR(__xludf.DUMMYFUNCTION("""COMPUTED_VALUE"""),"C++")</f>
        <v>C++</v>
      </c>
      <c r="J4116" s="9" t="str">
        <f>IFERROR(__xludf.DUMMYFUNCTION("""COMPUTED_VALUE"""),"Java")</f>
        <v>Java</v>
      </c>
      <c r="K4116" s="9" t="str">
        <f>IFERROR(__xludf.DUMMYFUNCTION("""COMPUTED_VALUE"""),"SQL")</f>
        <v>SQL</v>
      </c>
      <c r="L4116" s="9" t="str">
        <f>IFERROR(__xludf.DUMMYFUNCTION("""COMPUTED_VALUE"""),"C#")</f>
        <v>C#</v>
      </c>
      <c r="M4116" s="9" t="s">
        <v>24</v>
      </c>
    </row>
    <row r="4117" ht="15.75" customHeight="1">
      <c r="A4117" s="7"/>
      <c r="B4117" s="7" t="str">
        <f>IFERROR(__xludf.DUMMYFUNCTION("""COMPUTED_VALUE"""),"C;Python")</f>
        <v>C;Python</v>
      </c>
      <c r="C4117" s="9" t="str">
        <f>IFERROR(__xludf.DUMMYFUNCTION("""COMPUTED_VALUE"""),"Java")</f>
        <v>Java</v>
      </c>
      <c r="D4117" s="9" t="str">
        <f>IFERROR(__xludf.DUMMYFUNCTION("""COMPUTED_VALUE"""),"SQL")</f>
        <v>SQL</v>
      </c>
      <c r="E4117" s="9" t="str">
        <f>IFERROR(__xludf.DUMMYFUNCTION("""COMPUTED_VALUE"""),"JavaScript")</f>
        <v>JavaScript</v>
      </c>
      <c r="F4117" s="9" t="str">
        <f>IFERROR(__xludf.DUMMYFUNCTION("""COMPUTED_VALUE"""),"Python")</f>
        <v>Python</v>
      </c>
      <c r="G4117" s="9" t="str">
        <f>IFERROR(__xludf.DUMMYFUNCTION("""COMPUTED_VALUE"""),"Bash/Shell/PowerShell")</f>
        <v>Bash/Shell/PowerShell</v>
      </c>
      <c r="H4117" s="9" t="str">
        <f>IFERROR(__xludf.DUMMYFUNCTION("""COMPUTED_VALUE"""),"Swift")</f>
        <v>Swift</v>
      </c>
      <c r="I4117" s="9" t="str">
        <f>IFERROR(__xludf.DUMMYFUNCTION("""COMPUTED_VALUE"""),"Elixir")</f>
        <v>Elixir</v>
      </c>
      <c r="J4117" s="9" t="str">
        <f>IFERROR(__xludf.DUMMYFUNCTION("""COMPUTED_VALUE"""),"JavaScript")</f>
        <v>JavaScript</v>
      </c>
      <c r="K4117" s="9" t="str">
        <f>IFERROR(__xludf.DUMMYFUNCTION("""COMPUTED_VALUE"""),"HTML/CSS")</f>
        <v>HTML/CSS</v>
      </c>
      <c r="L4117" s="9" t="str">
        <f>IFERROR(__xludf.DUMMYFUNCTION("""COMPUTED_VALUE"""),"HTML/CSS")</f>
        <v>HTML/CSS</v>
      </c>
      <c r="M4117" s="9" t="s">
        <v>20</v>
      </c>
    </row>
    <row r="4118" ht="15.75" customHeight="1">
      <c r="A4118" s="7"/>
      <c r="B4118" s="7" t="str">
        <f>IFERROR(__xludf.DUMMYFUNCTION("""COMPUTED_VALUE"""),"Bash/Shell/PowerShell;Java;JavaScript;Rust;Scala;TypeScript")</f>
        <v>Bash/Shell/PowerShell;Java;JavaScript;Rust;Scala;TypeScript</v>
      </c>
      <c r="C4118" s="9" t="str">
        <f>IFERROR(__xludf.DUMMYFUNCTION("""COMPUTED_VALUE"""),"JavaScript")</f>
        <v>JavaScript</v>
      </c>
      <c r="D4118" s="9" t="str">
        <f>IFERROR(__xludf.DUMMYFUNCTION("""COMPUTED_VALUE"""),"Other(s):")</f>
        <v>Other(s):</v>
      </c>
      <c r="E4118" s="9" t="str">
        <f>IFERROR(__xludf.DUMMYFUNCTION("""COMPUTED_VALUE"""),"Python")</f>
        <v>Python</v>
      </c>
      <c r="F4118" s="9" t="str">
        <f>IFERROR(__xludf.DUMMYFUNCTION("""COMPUTED_VALUE"""),"SQL")</f>
        <v>SQL</v>
      </c>
      <c r="G4118" s="9" t="str">
        <f>IFERROR(__xludf.DUMMYFUNCTION("""COMPUTED_VALUE"""),"C#")</f>
        <v>C#</v>
      </c>
      <c r="H4118" s="9" t="str">
        <f>IFERROR(__xludf.DUMMYFUNCTION("""COMPUTED_VALUE"""),"TypeScript")</f>
        <v>TypeScript</v>
      </c>
      <c r="I4118" s="9" t="str">
        <f>IFERROR(__xludf.DUMMYFUNCTION("""COMPUTED_VALUE"""),"HTML/CSS")</f>
        <v>HTML/CSS</v>
      </c>
      <c r="J4118" s="9" t="str">
        <f>IFERROR(__xludf.DUMMYFUNCTION("""COMPUTED_VALUE"""),"TypeScript")</f>
        <v>TypeScript</v>
      </c>
      <c r="K4118" s="9" t="str">
        <f>IFERROR(__xludf.DUMMYFUNCTION("""COMPUTED_VALUE"""),"JavaScript")</f>
        <v>JavaScript</v>
      </c>
      <c r="L4118" s="9" t="str">
        <f>IFERROR(__xludf.DUMMYFUNCTION("""COMPUTED_VALUE"""),"Java")</f>
        <v>Java</v>
      </c>
      <c r="M4118" s="9" t="s">
        <v>21</v>
      </c>
    </row>
    <row r="4119" ht="15.75" customHeight="1">
      <c r="A4119" s="7"/>
      <c r="B4119" s="7" t="str">
        <f>IFERROR(__xludf.DUMMYFUNCTION("""COMPUTED_VALUE"""),"C#;HTML/CSS;JavaScript;Ruby;SQL;TypeScript")</f>
        <v>C#;HTML/CSS;JavaScript;Ruby;SQL;TypeScript</v>
      </c>
      <c r="C4119" s="9" t="str">
        <f>IFERROR(__xludf.DUMMYFUNCTION("""COMPUTED_VALUE"""),"Python")</f>
        <v>Python</v>
      </c>
      <c r="D4119" s="9" t="str">
        <f>IFERROR(__xludf.DUMMYFUNCTION("""COMPUTED_VALUE"""),"C#")</f>
        <v>C#</v>
      </c>
      <c r="E4119" s="9" t="str">
        <f>IFERROR(__xludf.DUMMYFUNCTION("""COMPUTED_VALUE"""),"Ruby")</f>
        <v>Ruby</v>
      </c>
      <c r="F4119" s="9" t="str">
        <f>IFERROR(__xludf.DUMMYFUNCTION("""COMPUTED_VALUE"""),"C#")</f>
        <v>C#</v>
      </c>
      <c r="G4119" s="9" t="str">
        <f>IFERROR(__xludf.DUMMYFUNCTION("""COMPUTED_VALUE"""),"HTML/CSS")</f>
        <v>HTML/CSS</v>
      </c>
      <c r="H4119" s="9" t="str">
        <f>IFERROR(__xludf.DUMMYFUNCTION("""COMPUTED_VALUE"""),"Bash/Shell/PowerShell")</f>
        <v>Bash/Shell/PowerShell</v>
      </c>
      <c r="I4119" s="9" t="str">
        <f>IFERROR(__xludf.DUMMYFUNCTION("""COMPUTED_VALUE"""),"Java")</f>
        <v>Java</v>
      </c>
      <c r="J4119" s="9" t="str">
        <f>IFERROR(__xludf.DUMMYFUNCTION("""COMPUTED_VALUE"""),"Bash/Shell/PowerShell")</f>
        <v>Bash/Shell/PowerShell</v>
      </c>
      <c r="K4119" s="9" t="str">
        <f>IFERROR(__xludf.DUMMYFUNCTION("""COMPUTED_VALUE"""),"PHP")</f>
        <v>PHP</v>
      </c>
      <c r="L4119" s="9" t="str">
        <f>IFERROR(__xludf.DUMMYFUNCTION("""COMPUTED_VALUE"""),"JavaScript")</f>
        <v>JavaScript</v>
      </c>
      <c r="M4119" s="9" t="s">
        <v>22</v>
      </c>
    </row>
    <row r="4120" ht="15.75" customHeight="1">
      <c r="A4120" s="7"/>
      <c r="B4120" s="7" t="str">
        <f>IFERROR(__xludf.DUMMYFUNCTION("""COMPUTED_VALUE"""),"Java;JavaScript;Other(s):")</f>
        <v>Java;JavaScript;Other(s):</v>
      </c>
      <c r="C4120" s="9" t="str">
        <f>IFERROR(__xludf.DUMMYFUNCTION("""COMPUTED_VALUE"""),"Bash/Shell/PowerShell")</f>
        <v>Bash/Shell/PowerShell</v>
      </c>
      <c r="D4120" s="9" t="str">
        <f>IFERROR(__xludf.DUMMYFUNCTION("""COMPUTED_VALUE"""),"HTML/CSS")</f>
        <v>HTML/CSS</v>
      </c>
      <c r="E4120" s="9" t="str">
        <f>IFERROR(__xludf.DUMMYFUNCTION("""COMPUTED_VALUE"""),"Dart")</f>
        <v>Dart</v>
      </c>
      <c r="F4120" s="9" t="str">
        <f>IFERROR(__xludf.DUMMYFUNCTION("""COMPUTED_VALUE"""),"HTML/CSS")</f>
        <v>HTML/CSS</v>
      </c>
      <c r="G4120" s="9" t="str">
        <f>IFERROR(__xludf.DUMMYFUNCTION("""COMPUTED_VALUE"""),"JavaScript")</f>
        <v>JavaScript</v>
      </c>
      <c r="H4120" s="9" t="str">
        <f>IFERROR(__xludf.DUMMYFUNCTION("""COMPUTED_VALUE"""),"HTML/CSS")</f>
        <v>HTML/CSS</v>
      </c>
      <c r="I4120" s="9" t="str">
        <f>IFERROR(__xludf.DUMMYFUNCTION("""COMPUTED_VALUE"""),"JavaScript")</f>
        <v>JavaScript</v>
      </c>
      <c r="J4120" s="9" t="str">
        <f>IFERROR(__xludf.DUMMYFUNCTION("""COMPUTED_VALUE"""),"Java")</f>
        <v>Java</v>
      </c>
      <c r="K4120" s="9" t="str">
        <f>IFERROR(__xludf.DUMMYFUNCTION("""COMPUTED_VALUE"""),"Bash/Shell/PowerShell")</f>
        <v>Bash/Shell/PowerShell</v>
      </c>
      <c r="L4120" s="9" t="str">
        <f>IFERROR(__xludf.DUMMYFUNCTION("""COMPUTED_VALUE"""),"PHP")</f>
        <v>PHP</v>
      </c>
      <c r="M4120" s="9" t="s">
        <v>30</v>
      </c>
    </row>
    <row r="4121" ht="15.75" customHeight="1">
      <c r="A4121" s="7"/>
      <c r="B4121" s="7" t="str">
        <f>IFERROR(__xludf.DUMMYFUNCTION("""COMPUTED_VALUE"""),"HTML/CSS;JavaScript;PHP;SQL")</f>
        <v>HTML/CSS;JavaScript;PHP;SQL</v>
      </c>
      <c r="C4121" s="9" t="str">
        <f>IFERROR(__xludf.DUMMYFUNCTION("""COMPUTED_VALUE"""),"C#")</f>
        <v>C#</v>
      </c>
      <c r="D4121" s="9" t="str">
        <f>IFERROR(__xludf.DUMMYFUNCTION("""COMPUTED_VALUE"""),"JavaScript")</f>
        <v>JavaScript</v>
      </c>
      <c r="E4121" s="9" t="str">
        <f>IFERROR(__xludf.DUMMYFUNCTION("""COMPUTED_VALUE"""),"Java")</f>
        <v>Java</v>
      </c>
      <c r="F4121" s="9" t="str">
        <f>IFERROR(__xludf.DUMMYFUNCTION("""COMPUTED_VALUE"""),"JavaScript")</f>
        <v>JavaScript</v>
      </c>
      <c r="G4121" s="9" t="str">
        <f>IFERROR(__xludf.DUMMYFUNCTION("""COMPUTED_VALUE"""),"SQL")</f>
        <v>SQL</v>
      </c>
      <c r="H4121" s="9" t="str">
        <f>IFERROR(__xludf.DUMMYFUNCTION("""COMPUTED_VALUE"""),"JavaScript")</f>
        <v>JavaScript</v>
      </c>
      <c r="I4121" s="9" t="str">
        <f>IFERROR(__xludf.DUMMYFUNCTION("""COMPUTED_VALUE"""),"Kotlin")</f>
        <v>Kotlin</v>
      </c>
      <c r="J4121" s="9" t="str">
        <f>IFERROR(__xludf.DUMMYFUNCTION("""COMPUTED_VALUE"""),"JavaScript")</f>
        <v>JavaScript</v>
      </c>
      <c r="K4121" s="9" t="str">
        <f>IFERROR(__xludf.DUMMYFUNCTION("""COMPUTED_VALUE"""),"Java")</f>
        <v>Java</v>
      </c>
      <c r="L4121" s="9" t="str">
        <f>IFERROR(__xludf.DUMMYFUNCTION("""COMPUTED_VALUE"""),"Python")</f>
        <v>Python</v>
      </c>
      <c r="M4121" s="9" t="s">
        <v>26</v>
      </c>
    </row>
    <row r="4122" ht="15.75" customHeight="1">
      <c r="A4122" s="7"/>
      <c r="B4122" s="7" t="str">
        <f>IFERROR(__xludf.DUMMYFUNCTION("""COMPUTED_VALUE"""),"Bash/Shell/PowerShell;Go;Python;R;SQL")</f>
        <v>Bash/Shell/PowerShell;Go;Python;R;SQL</v>
      </c>
      <c r="C4122" s="9" t="str">
        <f>IFERROR(__xludf.DUMMYFUNCTION("""COMPUTED_VALUE"""),"HTML/CSS")</f>
        <v>HTML/CSS</v>
      </c>
      <c r="D4122" s="9" t="str">
        <f>IFERROR(__xludf.DUMMYFUNCTION("""COMPUTED_VALUE"""),"SQL")</f>
        <v>SQL</v>
      </c>
      <c r="E4122" s="9" t="str">
        <f>IFERROR(__xludf.DUMMYFUNCTION("""COMPUTED_VALUE"""),"JavaScript")</f>
        <v>JavaScript</v>
      </c>
      <c r="F4122" s="9" t="str">
        <f>IFERROR(__xludf.DUMMYFUNCTION("""COMPUTED_VALUE"""),"Python")</f>
        <v>Python</v>
      </c>
      <c r="G4122" s="9" t="str">
        <f>IFERROR(__xludf.DUMMYFUNCTION("""COMPUTED_VALUE"""),"C")</f>
        <v>C</v>
      </c>
      <c r="H4122" s="9" t="str">
        <f>IFERROR(__xludf.DUMMYFUNCTION("""COMPUTED_VALUE"""),"Java")</f>
        <v>Java</v>
      </c>
      <c r="I4122" s="9" t="str">
        <f>IFERROR(__xludf.DUMMYFUNCTION("""COMPUTED_VALUE"""),"Python")</f>
        <v>Python</v>
      </c>
      <c r="J4122" s="9" t="str">
        <f>IFERROR(__xludf.DUMMYFUNCTION("""COMPUTED_VALUE"""),"HTML/CSS")</f>
        <v>HTML/CSS</v>
      </c>
      <c r="K4122" s="9" t="str">
        <f>IFERROR(__xludf.DUMMYFUNCTION("""COMPUTED_VALUE"""),"SQL")</f>
        <v>SQL</v>
      </c>
      <c r="L4122" s="9" t="str">
        <f>IFERROR(__xludf.DUMMYFUNCTION("""COMPUTED_VALUE"""),"Rust")</f>
        <v>Rust</v>
      </c>
      <c r="M4122" s="9" t="s">
        <v>24</v>
      </c>
    </row>
    <row r="4123" ht="15.75" customHeight="1">
      <c r="A4123" s="7"/>
      <c r="B4123" s="7" t="str">
        <f>IFERROR(__xludf.DUMMYFUNCTION("""COMPUTED_VALUE"""),"Bash/Shell/PowerShell;C#;HTML/CSS;JavaScript;Python;SQL;VBA")</f>
        <v>Bash/Shell/PowerShell;C#;HTML/CSS;JavaScript;Python;SQL;VBA</v>
      </c>
      <c r="C4123" s="9" t="str">
        <f>IFERROR(__xludf.DUMMYFUNCTION("""COMPUTED_VALUE"""),"JavaScript")</f>
        <v>JavaScript</v>
      </c>
      <c r="D4123" s="9" t="str">
        <f>IFERROR(__xludf.DUMMYFUNCTION("""COMPUTED_VALUE"""),"TypeScript")</f>
        <v>TypeScript</v>
      </c>
      <c r="E4123" s="9" t="str">
        <f>IFERROR(__xludf.DUMMYFUNCTION("""COMPUTED_VALUE"""),"SQL")</f>
        <v>SQL</v>
      </c>
      <c r="F4123" s="9" t="str">
        <f>IFERROR(__xludf.DUMMYFUNCTION("""COMPUTED_VALUE"""),"SQL")</f>
        <v>SQL</v>
      </c>
      <c r="G4123" s="9" t="str">
        <f>IFERROR(__xludf.DUMMYFUNCTION("""COMPUTED_VALUE"""),"C++")</f>
        <v>C++</v>
      </c>
      <c r="H4123" s="9" t="str">
        <f>IFERROR(__xludf.DUMMYFUNCTION("""COMPUTED_VALUE"""),"Python")</f>
        <v>Python</v>
      </c>
      <c r="I4123" s="9" t="str">
        <f>IFERROR(__xludf.DUMMYFUNCTION("""COMPUTED_VALUE"""),"Ruby")</f>
        <v>Ruby</v>
      </c>
      <c r="J4123" s="9" t="str">
        <f>IFERROR(__xludf.DUMMYFUNCTION("""COMPUTED_VALUE"""),"Java")</f>
        <v>Java</v>
      </c>
      <c r="K4123" s="9" t="str">
        <f>IFERROR(__xludf.DUMMYFUNCTION("""COMPUTED_VALUE"""),"VBA")</f>
        <v>VBA</v>
      </c>
      <c r="L4123" s="9" t="str">
        <f>IFERROR(__xludf.DUMMYFUNCTION("""COMPUTED_VALUE"""),"SQL")</f>
        <v>SQL</v>
      </c>
      <c r="M4123" s="9" t="s">
        <v>21</v>
      </c>
    </row>
    <row r="4124" ht="15.75" customHeight="1">
      <c r="A4124" s="7"/>
      <c r="B4124" s="7" t="str">
        <f>IFERROR(__xludf.DUMMYFUNCTION("""COMPUTED_VALUE"""),"HTML/CSS;Java;JavaScript;TypeScript")</f>
        <v>HTML/CSS;Java;JavaScript;TypeScript</v>
      </c>
      <c r="C4124" s="9" t="str">
        <f>IFERROR(__xludf.DUMMYFUNCTION("""COMPUTED_VALUE"""),"PHP")</f>
        <v>PHP</v>
      </c>
      <c r="D4124" s="9" t="str">
        <f>IFERROR(__xludf.DUMMYFUNCTION("""COMPUTED_VALUE"""),"Bash/Shell/PowerShell")</f>
        <v>Bash/Shell/PowerShell</v>
      </c>
      <c r="E4124" s="9" t="str">
        <f>IFERROR(__xludf.DUMMYFUNCTION("""COMPUTED_VALUE"""),"TypeScript")</f>
        <v>TypeScript</v>
      </c>
      <c r="F4124" s="9" t="str">
        <f>IFERROR(__xludf.DUMMYFUNCTION("""COMPUTED_VALUE"""),"Bash/Shell/PowerShell")</f>
        <v>Bash/Shell/PowerShell</v>
      </c>
      <c r="G4124" s="9" t="str">
        <f>IFERROR(__xludf.DUMMYFUNCTION("""COMPUTED_VALUE"""),"C#")</f>
        <v>C#</v>
      </c>
      <c r="H4124" s="9" t="str">
        <f>IFERROR(__xludf.DUMMYFUNCTION("""COMPUTED_VALUE"""),"Rust")</f>
        <v>Rust</v>
      </c>
      <c r="I4124" s="9" t="str">
        <f>IFERROR(__xludf.DUMMYFUNCTION("""COMPUTED_VALUE"""),"SQL")</f>
        <v>SQL</v>
      </c>
      <c r="J4124" s="9" t="str">
        <f>IFERROR(__xludf.DUMMYFUNCTION("""COMPUTED_VALUE"""),"JavaScript")</f>
        <v>JavaScript</v>
      </c>
      <c r="K4124" s="9" t="str">
        <f>IFERROR(__xludf.DUMMYFUNCTION("""COMPUTED_VALUE"""),"HTML/CSS")</f>
        <v>HTML/CSS</v>
      </c>
      <c r="L4124" s="9" t="str">
        <f>IFERROR(__xludf.DUMMYFUNCTION("""COMPUTED_VALUE"""),"Other(s):")</f>
        <v>Other(s):</v>
      </c>
      <c r="M4124" s="9" t="s">
        <v>37</v>
      </c>
    </row>
    <row r="4125" ht="15.75" customHeight="1">
      <c r="A4125" s="7"/>
      <c r="B4125" s="7" t="str">
        <f>IFERROR(__xludf.DUMMYFUNCTION("""COMPUTED_VALUE"""),"C;HTML/CSS;JavaScript;PHP;Python;SQL")</f>
        <v>C;HTML/CSS;JavaScript;PHP;Python;SQL</v>
      </c>
      <c r="C4125" s="9" t="str">
        <f>IFERROR(__xludf.DUMMYFUNCTION("""COMPUTED_VALUE"""),"SQL")</f>
        <v>SQL</v>
      </c>
      <c r="D4125" s="9" t="str">
        <f>IFERROR(__xludf.DUMMYFUNCTION("""COMPUTED_VALUE"""),"C#")</f>
        <v>C#</v>
      </c>
      <c r="E4125" s="9" t="str">
        <f>IFERROR(__xludf.DUMMYFUNCTION("""COMPUTED_VALUE"""),"JavaScript")</f>
        <v>JavaScript</v>
      </c>
      <c r="F4125" s="9" t="str">
        <f>IFERROR(__xludf.DUMMYFUNCTION("""COMPUTED_VALUE"""),"HTML/CSS")</f>
        <v>HTML/CSS</v>
      </c>
      <c r="G4125" s="9" t="str">
        <f>IFERROR(__xludf.DUMMYFUNCTION("""COMPUTED_VALUE"""),"HTML/CSS")</f>
        <v>HTML/CSS</v>
      </c>
      <c r="H4125" s="9" t="str">
        <f>IFERROR(__xludf.DUMMYFUNCTION("""COMPUTED_VALUE"""),"HTML/CSS")</f>
        <v>HTML/CSS</v>
      </c>
      <c r="I4125" s="9" t="str">
        <f>IFERROR(__xludf.DUMMYFUNCTION("""COMPUTED_VALUE"""),"TypeScript")</f>
        <v>TypeScript</v>
      </c>
      <c r="J4125" s="9" t="str">
        <f>IFERROR(__xludf.DUMMYFUNCTION("""COMPUTED_VALUE"""),"Kotlin")</f>
        <v>Kotlin</v>
      </c>
      <c r="K4125" s="9" t="str">
        <f>IFERROR(__xludf.DUMMYFUNCTION("""COMPUTED_VALUE"""),"Java")</f>
        <v>Java</v>
      </c>
      <c r="L4125" s="9" t="str">
        <f>IFERROR(__xludf.DUMMYFUNCTION("""COMPUTED_VALUE"""),"Go")</f>
        <v>Go</v>
      </c>
      <c r="M4125" s="9" t="s">
        <v>27</v>
      </c>
    </row>
    <row r="4126" ht="15.75" customHeight="1">
      <c r="A4126" s="7"/>
      <c r="B4126" s="7" t="str">
        <f>IFERROR(__xludf.DUMMYFUNCTION("""COMPUTED_VALUE"""),"Python")</f>
        <v>Python</v>
      </c>
      <c r="C4126" s="9" t="str">
        <f>IFERROR(__xludf.DUMMYFUNCTION("""COMPUTED_VALUE"""),"HTML/CSS")</f>
        <v>HTML/CSS</v>
      </c>
      <c r="D4126" s="9" t="str">
        <f>IFERROR(__xludf.DUMMYFUNCTION("""COMPUTED_VALUE"""),"HTML/CSS")</f>
        <v>HTML/CSS</v>
      </c>
      <c r="E4126" s="9" t="str">
        <f>IFERROR(__xludf.DUMMYFUNCTION("""COMPUTED_VALUE"""),"Python")</f>
        <v>Python</v>
      </c>
      <c r="F4126" s="9" t="str">
        <f>IFERROR(__xludf.DUMMYFUNCTION("""COMPUTED_VALUE"""),"JavaScript")</f>
        <v>JavaScript</v>
      </c>
      <c r="G4126" s="9" t="str">
        <f>IFERROR(__xludf.DUMMYFUNCTION("""COMPUTED_VALUE"""),"Java")</f>
        <v>Java</v>
      </c>
      <c r="H4126" s="9" t="str">
        <f>IFERROR(__xludf.DUMMYFUNCTION("""COMPUTED_VALUE"""),"JavaScript")</f>
        <v>JavaScript</v>
      </c>
      <c r="I4126" s="9" t="str">
        <f>IFERROR(__xludf.DUMMYFUNCTION("""COMPUTED_VALUE"""),"C")</f>
        <v>C</v>
      </c>
      <c r="J4126" s="9" t="str">
        <f>IFERROR(__xludf.DUMMYFUNCTION("""COMPUTED_VALUE"""),"Python")</f>
        <v>Python</v>
      </c>
      <c r="K4126" s="9" t="str">
        <f>IFERROR(__xludf.DUMMYFUNCTION("""COMPUTED_VALUE"""),"JavaScript")</f>
        <v>JavaScript</v>
      </c>
      <c r="L4126" s="9" t="str">
        <f>IFERROR(__xludf.DUMMYFUNCTION("""COMPUTED_VALUE"""),"HTML/CSS")</f>
        <v>HTML/CSS</v>
      </c>
      <c r="M4126" s="9" t="s">
        <v>24</v>
      </c>
    </row>
    <row r="4127" ht="15.75" customHeight="1">
      <c r="A4127" s="7"/>
      <c r="B4127" s="7" t="str">
        <f>IFERROR(__xludf.DUMMYFUNCTION("""COMPUTED_VALUE"""),"C;HTML/CSS;JavaScript;PHP")</f>
        <v>C;HTML/CSS;JavaScript;PHP</v>
      </c>
      <c r="C4127" s="9" t="str">
        <f>IFERROR(__xludf.DUMMYFUNCTION("""COMPUTED_VALUE"""),"Java")</f>
        <v>Java</v>
      </c>
      <c r="D4127" s="9" t="str">
        <f>IFERROR(__xludf.DUMMYFUNCTION("""COMPUTED_VALUE"""),"JavaScript")</f>
        <v>JavaScript</v>
      </c>
      <c r="E4127" s="9" t="str">
        <f>IFERROR(__xludf.DUMMYFUNCTION("""COMPUTED_VALUE"""),"TypeScript")</f>
        <v>TypeScript</v>
      </c>
      <c r="F4127" s="9" t="str">
        <f>IFERROR(__xludf.DUMMYFUNCTION("""COMPUTED_VALUE"""),"Python")</f>
        <v>Python</v>
      </c>
      <c r="G4127" s="9" t="str">
        <f>IFERROR(__xludf.DUMMYFUNCTION("""COMPUTED_VALUE"""),"JavaScript")</f>
        <v>JavaScript</v>
      </c>
      <c r="H4127" s="9" t="str">
        <f>IFERROR(__xludf.DUMMYFUNCTION("""COMPUTED_VALUE"""),"TypeScript")</f>
        <v>TypeScript</v>
      </c>
      <c r="I4127" s="9" t="str">
        <f>IFERROR(__xludf.DUMMYFUNCTION("""COMPUTED_VALUE"""),"Java")</f>
        <v>Java</v>
      </c>
      <c r="J4127" s="9" t="str">
        <f>IFERROR(__xludf.DUMMYFUNCTION("""COMPUTED_VALUE"""),"SQL")</f>
        <v>SQL</v>
      </c>
      <c r="K4127" s="9" t="str">
        <f>IFERROR(__xludf.DUMMYFUNCTION("""COMPUTED_VALUE"""),"Objective-C")</f>
        <v>Objective-C</v>
      </c>
      <c r="L4127" s="9" t="str">
        <f>IFERROR(__xludf.DUMMYFUNCTION("""COMPUTED_VALUE"""),"JavaScript")</f>
        <v>JavaScript</v>
      </c>
      <c r="M4127" s="9" t="s">
        <v>20</v>
      </c>
    </row>
    <row r="4128" ht="15.75" customHeight="1">
      <c r="A4128" s="7"/>
      <c r="B4128" s="7" t="str">
        <f>IFERROR(__xludf.DUMMYFUNCTION("""COMPUTED_VALUE"""),"Bash/Shell/PowerShell;C#;Go;HTML/CSS;Java;JavaScript;Kotlin;PHP;SQL;TypeScript;Other(s):")</f>
        <v>Bash/Shell/PowerShell;C#;Go;HTML/CSS;Java;JavaScript;Kotlin;PHP;SQL;TypeScript;Other(s):</v>
      </c>
      <c r="C4128" s="9" t="str">
        <f>IFERROR(__xludf.DUMMYFUNCTION("""COMPUTED_VALUE"""),"JavaScript")</f>
        <v>JavaScript</v>
      </c>
      <c r="D4128" s="9" t="str">
        <f>IFERROR(__xludf.DUMMYFUNCTION("""COMPUTED_VALUE"""),"PHP")</f>
        <v>PHP</v>
      </c>
      <c r="E4128" s="9" t="str">
        <f>IFERROR(__xludf.DUMMYFUNCTION("""COMPUTED_VALUE"""),"HTML/CSS")</f>
        <v>HTML/CSS</v>
      </c>
      <c r="F4128" s="9" t="str">
        <f>IFERROR(__xludf.DUMMYFUNCTION("""COMPUTED_VALUE"""),"Python")</f>
        <v>Python</v>
      </c>
      <c r="G4128" s="9" t="str">
        <f>IFERROR(__xludf.DUMMYFUNCTION("""COMPUTED_VALUE"""),"Kotlin")</f>
        <v>Kotlin</v>
      </c>
      <c r="H4128" s="9" t="str">
        <f>IFERROR(__xludf.DUMMYFUNCTION("""COMPUTED_VALUE"""),"Bash/Shell/PowerShell")</f>
        <v>Bash/Shell/PowerShell</v>
      </c>
      <c r="I4128" s="9" t="str">
        <f>IFERROR(__xludf.DUMMYFUNCTION("""COMPUTED_VALUE"""),"Ruby")</f>
        <v>Ruby</v>
      </c>
      <c r="J4128" s="9" t="str">
        <f>IFERROR(__xludf.DUMMYFUNCTION("""COMPUTED_VALUE"""),"TypeScript")</f>
        <v>TypeScript</v>
      </c>
      <c r="K4128" s="9" t="str">
        <f>IFERROR(__xludf.DUMMYFUNCTION("""COMPUTED_VALUE"""),"Python")</f>
        <v>Python</v>
      </c>
      <c r="L4128" s="9" t="str">
        <f>IFERROR(__xludf.DUMMYFUNCTION("""COMPUTED_VALUE"""),"TypeScript")</f>
        <v>TypeScript</v>
      </c>
      <c r="M4128" s="9" t="s">
        <v>21</v>
      </c>
    </row>
    <row r="4129" ht="15.75" customHeight="1">
      <c r="A4129" s="7"/>
      <c r="B4129" s="7" t="str">
        <f>IFERROR(__xludf.DUMMYFUNCTION("""COMPUTED_VALUE"""),"Bash/Shell/PowerShell;Dart;F#;HTML/CSS;Java;JavaScript;Kotlin;Python;Ruby;Scala;SQL;Other(s):")</f>
        <v>Bash/Shell/PowerShell;Dart;F#;HTML/CSS;Java;JavaScript;Kotlin;Python;Ruby;Scala;SQL;Other(s):</v>
      </c>
      <c r="C4129" s="9" t="str">
        <f>IFERROR(__xludf.DUMMYFUNCTION("""COMPUTED_VALUE"""),"Ruby")</f>
        <v>Ruby</v>
      </c>
      <c r="D4129" s="9" t="str">
        <f>IFERROR(__xludf.DUMMYFUNCTION("""COMPUTED_VALUE"""),"TypeScript")</f>
        <v>TypeScript</v>
      </c>
      <c r="E4129" s="9" t="str">
        <f>IFERROR(__xludf.DUMMYFUNCTION("""COMPUTED_VALUE"""),"JavaScript")</f>
        <v>JavaScript</v>
      </c>
      <c r="F4129" s="9" t="str">
        <f>IFERROR(__xludf.DUMMYFUNCTION("""COMPUTED_VALUE"""),"R")</f>
        <v>R</v>
      </c>
      <c r="G4129" s="9" t="str">
        <f>IFERROR(__xludf.DUMMYFUNCTION("""COMPUTED_VALUE"""),"Swift")</f>
        <v>Swift</v>
      </c>
      <c r="H4129" s="9" t="str">
        <f>IFERROR(__xludf.DUMMYFUNCTION("""COMPUTED_VALUE"""),"HTML/CSS")</f>
        <v>HTML/CSS</v>
      </c>
      <c r="I4129" s="9" t="str">
        <f>IFERROR(__xludf.DUMMYFUNCTION("""COMPUTED_VALUE"""),"PHP")</f>
        <v>PHP</v>
      </c>
      <c r="J4129" s="9" t="str">
        <f>IFERROR(__xludf.DUMMYFUNCTION("""COMPUTED_VALUE"""),"HTML/CSS")</f>
        <v>HTML/CSS</v>
      </c>
      <c r="K4129" s="9" t="str">
        <f>IFERROR(__xludf.DUMMYFUNCTION("""COMPUTED_VALUE"""),"C#")</f>
        <v>C#</v>
      </c>
      <c r="L4129" s="9" t="str">
        <f>IFERROR(__xludf.DUMMYFUNCTION("""COMPUTED_VALUE"""),"Go")</f>
        <v>Go</v>
      </c>
      <c r="M4129" s="9" t="s">
        <v>31</v>
      </c>
    </row>
    <row r="4130" ht="15.75" customHeight="1">
      <c r="A4130" s="7"/>
      <c r="B4130" s="7" t="str">
        <f>IFERROR(__xludf.DUMMYFUNCTION("""COMPUTED_VALUE"""),"Bash/Shell/PowerShell;HTML/CSS;Java;JavaScript;Kotlin;Python;TypeScript")</f>
        <v>Bash/Shell/PowerShell;HTML/CSS;Java;JavaScript;Kotlin;Python;TypeScript</v>
      </c>
      <c r="C4130" s="9" t="str">
        <f>IFERROR(__xludf.DUMMYFUNCTION("""COMPUTED_VALUE"""),"Bash/Shell/PowerShell")</f>
        <v>Bash/Shell/PowerShell</v>
      </c>
      <c r="D4130" s="9" t="str">
        <f>IFERROR(__xludf.DUMMYFUNCTION("""COMPUTED_VALUE"""),"Bash/Shell/PowerShell")</f>
        <v>Bash/Shell/PowerShell</v>
      </c>
      <c r="E4130" s="9" t="str">
        <f>IFERROR(__xludf.DUMMYFUNCTION("""COMPUTED_VALUE"""),"Ruby")</f>
        <v>Ruby</v>
      </c>
      <c r="F4130" s="9" t="str">
        <f>IFERROR(__xludf.DUMMYFUNCTION("""COMPUTED_VALUE"""),"SQL")</f>
        <v>SQL</v>
      </c>
      <c r="G4130" s="9" t="str">
        <f>IFERROR(__xludf.DUMMYFUNCTION("""COMPUTED_VALUE"""),"C#")</f>
        <v>C#</v>
      </c>
      <c r="H4130" s="9" t="str">
        <f>IFERROR(__xludf.DUMMYFUNCTION("""COMPUTED_VALUE"""),"Java")</f>
        <v>Java</v>
      </c>
      <c r="I4130" s="9" t="str">
        <f>IFERROR(__xludf.DUMMYFUNCTION("""COMPUTED_VALUE"""),"SQL")</f>
        <v>SQL</v>
      </c>
      <c r="J4130" s="9" t="str">
        <f>IFERROR(__xludf.DUMMYFUNCTION("""COMPUTED_VALUE"""),"JavaScript")</f>
        <v>JavaScript</v>
      </c>
      <c r="K4130" s="9" t="str">
        <f>IFERROR(__xludf.DUMMYFUNCTION("""COMPUTED_VALUE"""),"HTML/CSS")</f>
        <v>HTML/CSS</v>
      </c>
      <c r="L4130" s="9" t="str">
        <f>IFERROR(__xludf.DUMMYFUNCTION("""COMPUTED_VALUE"""),"HTML/CSS")</f>
        <v>HTML/CSS</v>
      </c>
      <c r="M4130" s="9" t="s">
        <v>30</v>
      </c>
    </row>
    <row r="4131" ht="15.75" customHeight="1">
      <c r="A4131" s="7"/>
      <c r="B4131" s="7" t="str">
        <f>IFERROR(__xludf.DUMMYFUNCTION("""COMPUTED_VALUE"""),"Assembly;Bash/Shell/PowerShell;C;C++;Python;Other(s):")</f>
        <v>Assembly;Bash/Shell/PowerShell;C;C++;Python;Other(s):</v>
      </c>
      <c r="C4131" s="9" t="str">
        <f>IFERROR(__xludf.DUMMYFUNCTION("""COMPUTED_VALUE"""),"C#")</f>
        <v>C#</v>
      </c>
      <c r="D4131" s="9" t="str">
        <f>IFERROR(__xludf.DUMMYFUNCTION("""COMPUTED_VALUE"""),"C")</f>
        <v>C</v>
      </c>
      <c r="E4131" s="9" t="str">
        <f>IFERROR(__xludf.DUMMYFUNCTION("""COMPUTED_VALUE"""),"SQL")</f>
        <v>SQL</v>
      </c>
      <c r="F4131" s="9" t="str">
        <f>IFERROR(__xludf.DUMMYFUNCTION("""COMPUTED_VALUE"""),"C++")</f>
        <v>C++</v>
      </c>
      <c r="G4131" s="9" t="str">
        <f>IFERROR(__xludf.DUMMYFUNCTION("""COMPUTED_VALUE"""),"HTML/CSS")</f>
        <v>HTML/CSS</v>
      </c>
      <c r="H4131" s="9" t="str">
        <f>IFERROR(__xludf.DUMMYFUNCTION("""COMPUTED_VALUE"""),"JavaScript")</f>
        <v>JavaScript</v>
      </c>
      <c r="I4131" s="9" t="str">
        <f>IFERROR(__xludf.DUMMYFUNCTION("""COMPUTED_VALUE"""),"Bash/Shell/PowerShell")</f>
        <v>Bash/Shell/PowerShell</v>
      </c>
      <c r="J4131" s="9" t="str">
        <f>IFERROR(__xludf.DUMMYFUNCTION("""COMPUTED_VALUE"""),"SQL")</f>
        <v>SQL</v>
      </c>
      <c r="K4131" s="9" t="str">
        <f>IFERROR(__xludf.DUMMYFUNCTION("""COMPUTED_VALUE"""),"JavaScript")</f>
        <v>JavaScript</v>
      </c>
      <c r="L4131" s="9" t="str">
        <f>IFERROR(__xludf.DUMMYFUNCTION("""COMPUTED_VALUE"""),"Java")</f>
        <v>Java</v>
      </c>
      <c r="M4131" s="9" t="s">
        <v>26</v>
      </c>
    </row>
    <row r="4132" ht="15.75" customHeight="1">
      <c r="A4132" s="7"/>
      <c r="B4132" s="7" t="str">
        <f>IFERROR(__xludf.DUMMYFUNCTION("""COMPUTED_VALUE"""),"Java")</f>
        <v>Java</v>
      </c>
      <c r="C4132" s="9" t="str">
        <f>IFERROR(__xludf.DUMMYFUNCTION("""COMPUTED_VALUE"""),"HTML/CSS")</f>
        <v>HTML/CSS</v>
      </c>
      <c r="D4132" s="9" t="str">
        <f>IFERROR(__xludf.DUMMYFUNCTION("""COMPUTED_VALUE"""),"HTML/CSS")</f>
        <v>HTML/CSS</v>
      </c>
      <c r="E4132" s="9" t="str">
        <f>IFERROR(__xludf.DUMMYFUNCTION("""COMPUTED_VALUE"""),"Python")</f>
        <v>Python</v>
      </c>
      <c r="F4132" s="9" t="str">
        <f>IFERROR(__xludf.DUMMYFUNCTION("""COMPUTED_VALUE"""),"Python")</f>
        <v>Python</v>
      </c>
      <c r="G4132" s="9" t="str">
        <f>IFERROR(__xludf.DUMMYFUNCTION("""COMPUTED_VALUE"""),"JavaScript")</f>
        <v>JavaScript</v>
      </c>
      <c r="H4132" s="9" t="str">
        <f>IFERROR(__xludf.DUMMYFUNCTION("""COMPUTED_VALUE"""),"PHP")</f>
        <v>PHP</v>
      </c>
      <c r="I4132" s="9" t="str">
        <f>IFERROR(__xludf.DUMMYFUNCTION("""COMPUTED_VALUE"""),"HTML/CSS")</f>
        <v>HTML/CSS</v>
      </c>
      <c r="J4132" s="9" t="str">
        <f>IFERROR(__xludf.DUMMYFUNCTION("""COMPUTED_VALUE"""),"Bash/Shell/PowerShell")</f>
        <v>Bash/Shell/PowerShell</v>
      </c>
      <c r="K4132" s="9" t="str">
        <f>IFERROR(__xludf.DUMMYFUNCTION("""COMPUTED_VALUE"""),"SQL")</f>
        <v>SQL</v>
      </c>
      <c r="L4132" s="9" t="str">
        <f>IFERROR(__xludf.DUMMYFUNCTION("""COMPUTED_VALUE"""),"JavaScript")</f>
        <v>JavaScript</v>
      </c>
      <c r="M4132" s="9" t="s">
        <v>24</v>
      </c>
    </row>
    <row r="4133" ht="15.75" customHeight="1">
      <c r="A4133" s="7"/>
      <c r="B4133" s="7" t="str">
        <f>IFERROR(__xludf.DUMMYFUNCTION("""COMPUTED_VALUE"""),"HTML/CSS;JavaScript;PHP;TypeScript")</f>
        <v>HTML/CSS;JavaScript;PHP;TypeScript</v>
      </c>
      <c r="C4133" s="9" t="str">
        <f>IFERROR(__xludf.DUMMYFUNCTION("""COMPUTED_VALUE"""),"JavaScript")</f>
        <v>JavaScript</v>
      </c>
      <c r="D4133" s="9" t="str">
        <f>IFERROR(__xludf.DUMMYFUNCTION("""COMPUTED_VALUE"""),"Java")</f>
        <v>Java</v>
      </c>
      <c r="E4133" s="9" t="str">
        <f>IFERROR(__xludf.DUMMYFUNCTION("""COMPUTED_VALUE"""),"SQL")</f>
        <v>SQL</v>
      </c>
      <c r="F4133" s="9" t="str">
        <f>IFERROR(__xludf.DUMMYFUNCTION("""COMPUTED_VALUE"""),"Java")</f>
        <v>Java</v>
      </c>
      <c r="G4133" s="9" t="str">
        <f>IFERROR(__xludf.DUMMYFUNCTION("""COMPUTED_VALUE"""),"SQL")</f>
        <v>SQL</v>
      </c>
      <c r="H4133" s="9" t="str">
        <f>IFERROR(__xludf.DUMMYFUNCTION("""COMPUTED_VALUE"""),"SQL")</f>
        <v>SQL</v>
      </c>
      <c r="I4133" s="9" t="str">
        <f>IFERROR(__xludf.DUMMYFUNCTION("""COMPUTED_VALUE"""),"JavaScript")</f>
        <v>JavaScript</v>
      </c>
      <c r="J4133" s="9" t="str">
        <f>IFERROR(__xludf.DUMMYFUNCTION("""COMPUTED_VALUE"""),"C")</f>
        <v>C</v>
      </c>
      <c r="K4133" s="9" t="str">
        <f>IFERROR(__xludf.DUMMYFUNCTION("""COMPUTED_VALUE"""),"VBA")</f>
        <v>VBA</v>
      </c>
      <c r="L4133" s="9" t="str">
        <f>IFERROR(__xludf.DUMMYFUNCTION("""COMPUTED_VALUE"""),"Kotlin")</f>
        <v>Kotlin</v>
      </c>
      <c r="M4133" s="9" t="s">
        <v>21</v>
      </c>
    </row>
    <row r="4134" ht="15.75" customHeight="1">
      <c r="A4134" s="7"/>
      <c r="B4134" s="7" t="str">
        <f>IFERROR(__xludf.DUMMYFUNCTION("""COMPUTED_VALUE"""),"Python")</f>
        <v>Python</v>
      </c>
      <c r="C4134" s="9" t="str">
        <f>IFERROR(__xludf.DUMMYFUNCTION("""COMPUTED_VALUE"""),"Bash/Shell/PowerShell")</f>
        <v>Bash/Shell/PowerShell</v>
      </c>
      <c r="D4134" s="9" t="str">
        <f>IFERROR(__xludf.DUMMYFUNCTION("""COMPUTED_VALUE"""),"Python")</f>
        <v>Python</v>
      </c>
      <c r="E4134" s="9" t="str">
        <f>IFERROR(__xludf.DUMMYFUNCTION("""COMPUTED_VALUE"""),"C++")</f>
        <v>C++</v>
      </c>
      <c r="F4134" s="9" t="str">
        <f>IFERROR(__xludf.DUMMYFUNCTION("""COMPUTED_VALUE"""),"HTML/CSS")</f>
        <v>HTML/CSS</v>
      </c>
      <c r="G4134" s="9" t="str">
        <f>IFERROR(__xludf.DUMMYFUNCTION("""COMPUTED_VALUE"""),"C")</f>
        <v>C</v>
      </c>
      <c r="H4134" s="9" t="str">
        <f>IFERROR(__xludf.DUMMYFUNCTION("""COMPUTED_VALUE"""),"Bash/Shell/PowerShell")</f>
        <v>Bash/Shell/PowerShell</v>
      </c>
      <c r="I4134" s="9" t="str">
        <f>IFERROR(__xludf.DUMMYFUNCTION("""COMPUTED_VALUE"""),"Python")</f>
        <v>Python</v>
      </c>
      <c r="J4134" s="9" t="str">
        <f>IFERROR(__xludf.DUMMYFUNCTION("""COMPUTED_VALUE"""),"C#")</f>
        <v>C#</v>
      </c>
      <c r="K4134" s="9" t="str">
        <f>IFERROR(__xludf.DUMMYFUNCTION("""COMPUTED_VALUE"""),"HTML/CSS")</f>
        <v>HTML/CSS</v>
      </c>
      <c r="L4134" s="9" t="str">
        <f>IFERROR(__xludf.DUMMYFUNCTION("""COMPUTED_VALUE"""),"Python")</f>
        <v>Python</v>
      </c>
      <c r="M4134" s="9" t="s">
        <v>30</v>
      </c>
    </row>
    <row r="4135" ht="15.75" customHeight="1">
      <c r="A4135" s="7"/>
      <c r="B4135" s="7" t="str">
        <f>IFERROR(__xludf.DUMMYFUNCTION("""COMPUTED_VALUE"""),"Bash/Shell/PowerShell;C;HTML/CSS;Java;JavaScript;Python")</f>
        <v>Bash/Shell/PowerShell;C;HTML/CSS;Java;JavaScript;Python</v>
      </c>
      <c r="C4135" s="9" t="str">
        <f>IFERROR(__xludf.DUMMYFUNCTION("""COMPUTED_VALUE"""),"C++")</f>
        <v>C++</v>
      </c>
      <c r="D4135" s="9" t="str">
        <f>IFERROR(__xludf.DUMMYFUNCTION("""COMPUTED_VALUE"""),"SQL")</f>
        <v>SQL</v>
      </c>
      <c r="E4135" s="9" t="str">
        <f>IFERROR(__xludf.DUMMYFUNCTION("""COMPUTED_VALUE"""),"C++")</f>
        <v>C++</v>
      </c>
      <c r="F4135" s="9" t="str">
        <f>IFERROR(__xludf.DUMMYFUNCTION("""COMPUTED_VALUE"""),"Java")</f>
        <v>Java</v>
      </c>
      <c r="G4135" s="9" t="str">
        <f>IFERROR(__xludf.DUMMYFUNCTION("""COMPUTED_VALUE"""),"C#")</f>
        <v>C#</v>
      </c>
      <c r="H4135" s="9" t="str">
        <f>IFERROR(__xludf.DUMMYFUNCTION("""COMPUTED_VALUE"""),"HTML/CSS")</f>
        <v>HTML/CSS</v>
      </c>
      <c r="I4135" s="9" t="str">
        <f>IFERROR(__xludf.DUMMYFUNCTION("""COMPUTED_VALUE"""),"Python")</f>
        <v>Python</v>
      </c>
      <c r="J4135" s="9" t="str">
        <f>IFERROR(__xludf.DUMMYFUNCTION("""COMPUTED_VALUE"""),"Python")</f>
        <v>Python</v>
      </c>
      <c r="K4135" s="9" t="str">
        <f>IFERROR(__xludf.DUMMYFUNCTION("""COMPUTED_VALUE"""),"JavaScript")</f>
        <v>JavaScript</v>
      </c>
      <c r="L4135" s="9" t="str">
        <f>IFERROR(__xludf.DUMMYFUNCTION("""COMPUTED_VALUE"""),"SQL")</f>
        <v>SQL</v>
      </c>
      <c r="M4135" s="9" t="s">
        <v>23</v>
      </c>
    </row>
    <row r="4136" ht="15.75" customHeight="1">
      <c r="A4136" s="7"/>
      <c r="B4136" s="7" t="str">
        <f>IFERROR(__xludf.DUMMYFUNCTION("""COMPUTED_VALUE"""),"Bash/Shell/PowerShell;HTML/CSS;Java;JavaScript;PHP;SQL")</f>
        <v>Bash/Shell/PowerShell;HTML/CSS;Java;JavaScript;PHP;SQL</v>
      </c>
      <c r="C4136" s="9" t="str">
        <f>IFERROR(__xludf.DUMMYFUNCTION("""COMPUTED_VALUE"""),"HTML/CSS")</f>
        <v>HTML/CSS</v>
      </c>
      <c r="D4136" s="9" t="str">
        <f>IFERROR(__xludf.DUMMYFUNCTION("""COMPUTED_VALUE"""),"C++")</f>
        <v>C++</v>
      </c>
      <c r="E4136" s="9" t="str">
        <f>IFERROR(__xludf.DUMMYFUNCTION("""COMPUTED_VALUE"""),"HTML/CSS")</f>
        <v>HTML/CSS</v>
      </c>
      <c r="F4136" s="9" t="str">
        <f>IFERROR(__xludf.DUMMYFUNCTION("""COMPUTED_VALUE"""),"JavaScript")</f>
        <v>JavaScript</v>
      </c>
      <c r="G4136" s="9" t="str">
        <f>IFERROR(__xludf.DUMMYFUNCTION("""COMPUTED_VALUE"""),"HTML/CSS")</f>
        <v>HTML/CSS</v>
      </c>
      <c r="H4136" s="9" t="str">
        <f>IFERROR(__xludf.DUMMYFUNCTION("""COMPUTED_VALUE"""),"JavaScript")</f>
        <v>JavaScript</v>
      </c>
      <c r="I4136" s="9" t="str">
        <f>IFERROR(__xludf.DUMMYFUNCTION("""COMPUTED_VALUE"""),"Scala")</f>
        <v>Scala</v>
      </c>
      <c r="J4136" s="9" t="str">
        <f>IFERROR(__xludf.DUMMYFUNCTION("""COMPUTED_VALUE"""),"Other(s):")</f>
        <v>Other(s):</v>
      </c>
      <c r="K4136" s="9" t="str">
        <f>IFERROR(__xludf.DUMMYFUNCTION("""COMPUTED_VALUE"""),"PHP")</f>
        <v>PHP</v>
      </c>
      <c r="L4136" s="9" t="str">
        <f>IFERROR(__xludf.DUMMYFUNCTION("""COMPUTED_VALUE"""),"Python")</f>
        <v>Python</v>
      </c>
      <c r="M4136" s="9" t="s">
        <v>24</v>
      </c>
    </row>
    <row r="4137" ht="15.75" customHeight="1">
      <c r="A4137" s="7"/>
      <c r="B4137" s="7" t="str">
        <f>IFERROR(__xludf.DUMMYFUNCTION("""COMPUTED_VALUE"""),"Java;JavaScript;Python;SQL")</f>
        <v>Java;JavaScript;Python;SQL</v>
      </c>
      <c r="C4137" s="9" t="str">
        <f>IFERROR(__xludf.DUMMYFUNCTION("""COMPUTED_VALUE"""),"JavaScript")</f>
        <v>JavaScript</v>
      </c>
      <c r="D4137" s="9" t="str">
        <f>IFERROR(__xludf.DUMMYFUNCTION("""COMPUTED_VALUE"""),"C#")</f>
        <v>C#</v>
      </c>
      <c r="E4137" s="9" t="str">
        <f>IFERROR(__xludf.DUMMYFUNCTION("""COMPUTED_VALUE"""),"Java")</f>
        <v>Java</v>
      </c>
      <c r="F4137" s="9" t="str">
        <f>IFERROR(__xludf.DUMMYFUNCTION("""COMPUTED_VALUE"""),"SQL")</f>
        <v>SQL</v>
      </c>
      <c r="G4137" s="9" t="str">
        <f>IFERROR(__xludf.DUMMYFUNCTION("""COMPUTED_VALUE"""),"Java")</f>
        <v>Java</v>
      </c>
      <c r="H4137" s="9" t="str">
        <f>IFERROR(__xludf.DUMMYFUNCTION("""COMPUTED_VALUE"""),"Python")</f>
        <v>Python</v>
      </c>
      <c r="I4137" s="9" t="str">
        <f>IFERROR(__xludf.DUMMYFUNCTION("""COMPUTED_VALUE"""),"Java")</f>
        <v>Java</v>
      </c>
      <c r="J4137" s="9" t="str">
        <f>IFERROR(__xludf.DUMMYFUNCTION("""COMPUTED_VALUE"""),"Bash/Shell/PowerShell")</f>
        <v>Bash/Shell/PowerShell</v>
      </c>
      <c r="K4137" s="9" t="str">
        <f>IFERROR(__xludf.DUMMYFUNCTION("""COMPUTED_VALUE"""),"SQL")</f>
        <v>SQL</v>
      </c>
      <c r="L4137" s="9" t="str">
        <f>IFERROR(__xludf.DUMMYFUNCTION("""COMPUTED_VALUE"""),"R")</f>
        <v>R</v>
      </c>
      <c r="M4137" s="9" t="s">
        <v>21</v>
      </c>
    </row>
    <row r="4138" ht="15.75" customHeight="1">
      <c r="A4138" s="7"/>
      <c r="B4138" s="7" t="str">
        <f>IFERROR(__xludf.DUMMYFUNCTION("""COMPUTED_VALUE"""),"C;C++;C#;HTML/CSS;Java;JavaScript;TypeScript")</f>
        <v>C;C++;C#;HTML/CSS;Java;JavaScript;TypeScript</v>
      </c>
      <c r="C4138" s="9" t="str">
        <f>IFERROR(__xludf.DUMMYFUNCTION("""COMPUTED_VALUE"""),"Python")</f>
        <v>Python</v>
      </c>
      <c r="D4138" s="9" t="str">
        <f>IFERROR(__xludf.DUMMYFUNCTION("""COMPUTED_VALUE"""),"HTML/CSS")</f>
        <v>HTML/CSS</v>
      </c>
      <c r="E4138" s="9" t="str">
        <f>IFERROR(__xludf.DUMMYFUNCTION("""COMPUTED_VALUE"""),"PHP")</f>
        <v>PHP</v>
      </c>
      <c r="F4138" s="9" t="str">
        <f>IFERROR(__xludf.DUMMYFUNCTION("""COMPUTED_VALUE"""),"TypeScript")</f>
        <v>TypeScript</v>
      </c>
      <c r="G4138" s="9" t="str">
        <f>IFERROR(__xludf.DUMMYFUNCTION("""COMPUTED_VALUE"""),"JavaScript")</f>
        <v>JavaScript</v>
      </c>
      <c r="H4138" s="9" t="str">
        <f>IFERROR(__xludf.DUMMYFUNCTION("""COMPUTED_VALUE"""),"SQL")</f>
        <v>SQL</v>
      </c>
      <c r="I4138" s="9" t="str">
        <f>IFERROR(__xludf.DUMMYFUNCTION("""COMPUTED_VALUE"""),"Scala")</f>
        <v>Scala</v>
      </c>
      <c r="J4138" s="9" t="str">
        <f>IFERROR(__xludf.DUMMYFUNCTION("""COMPUTED_VALUE"""),"C#")</f>
        <v>C#</v>
      </c>
      <c r="K4138" s="9" t="str">
        <f>IFERROR(__xludf.DUMMYFUNCTION("""COMPUTED_VALUE"""),"C++")</f>
        <v>C++</v>
      </c>
      <c r="L4138" s="9" t="str">
        <f>IFERROR(__xludf.DUMMYFUNCTION("""COMPUTED_VALUE"""),"SQL")</f>
        <v>SQL</v>
      </c>
      <c r="M4138" s="9" t="s">
        <v>22</v>
      </c>
    </row>
    <row r="4139" ht="15.75" customHeight="1">
      <c r="A4139" s="7"/>
      <c r="B4139" s="7" t="str">
        <f>IFERROR(__xludf.DUMMYFUNCTION("""COMPUTED_VALUE"""),"Bash/Shell/PowerShell;C++;C#;VBA")</f>
        <v>Bash/Shell/PowerShell;C++;C#;VBA</v>
      </c>
      <c r="C4139" s="9" t="str">
        <f>IFERROR(__xludf.DUMMYFUNCTION("""COMPUTED_VALUE"""),"C")</f>
        <v>C</v>
      </c>
      <c r="D4139" s="9" t="str">
        <f>IFERROR(__xludf.DUMMYFUNCTION("""COMPUTED_VALUE"""),"Java")</f>
        <v>Java</v>
      </c>
      <c r="E4139" s="9" t="str">
        <f>IFERROR(__xludf.DUMMYFUNCTION("""COMPUTED_VALUE"""),"SQL")</f>
        <v>SQL</v>
      </c>
      <c r="F4139" s="9" t="str">
        <f>IFERROR(__xludf.DUMMYFUNCTION("""COMPUTED_VALUE"""),"C#")</f>
        <v>C#</v>
      </c>
      <c r="G4139" s="9" t="str">
        <f>IFERROR(__xludf.DUMMYFUNCTION("""COMPUTED_VALUE"""),"PHP")</f>
        <v>PHP</v>
      </c>
      <c r="H4139" s="9" t="str">
        <f>IFERROR(__xludf.DUMMYFUNCTION("""COMPUTED_VALUE"""),"TypeScript")</f>
        <v>TypeScript</v>
      </c>
      <c r="I4139" s="9" t="str">
        <f>IFERROR(__xludf.DUMMYFUNCTION("""COMPUTED_VALUE"""),"Bash/Shell/PowerShell")</f>
        <v>Bash/Shell/PowerShell</v>
      </c>
      <c r="J4139" s="9" t="str">
        <f>IFERROR(__xludf.DUMMYFUNCTION("""COMPUTED_VALUE"""),"Go")</f>
        <v>Go</v>
      </c>
      <c r="K4139" s="9" t="str">
        <f>IFERROR(__xludf.DUMMYFUNCTION("""COMPUTED_VALUE"""),"HTML/CSS")</f>
        <v>HTML/CSS</v>
      </c>
      <c r="L4139" s="9" t="str">
        <f>IFERROR(__xludf.DUMMYFUNCTION("""COMPUTED_VALUE"""),"Bash/Shell/PowerShell")</f>
        <v>Bash/Shell/PowerShell</v>
      </c>
      <c r="M4139" s="9" t="s">
        <v>25</v>
      </c>
    </row>
    <row r="4140" ht="15.75" customHeight="1">
      <c r="A4140" s="7"/>
      <c r="B4140" s="7" t="str">
        <f>IFERROR(__xludf.DUMMYFUNCTION("""COMPUTED_VALUE"""),"HTML/CSS;JavaScript;PHP;SQL")</f>
        <v>HTML/CSS;JavaScript;PHP;SQL</v>
      </c>
      <c r="C4140" s="9" t="str">
        <f>IFERROR(__xludf.DUMMYFUNCTION("""COMPUTED_VALUE"""),"Java")</f>
        <v>Java</v>
      </c>
      <c r="D4140" s="9" t="str">
        <f>IFERROR(__xludf.DUMMYFUNCTION("""COMPUTED_VALUE"""),"JavaScript")</f>
        <v>JavaScript</v>
      </c>
      <c r="E4140" s="9" t="str">
        <f>IFERROR(__xludf.DUMMYFUNCTION("""COMPUTED_VALUE"""),"Bash/Shell/PowerShell")</f>
        <v>Bash/Shell/PowerShell</v>
      </c>
      <c r="F4140" s="9" t="str">
        <f>IFERROR(__xludf.DUMMYFUNCTION("""COMPUTED_VALUE"""),"HTML/CSS")</f>
        <v>HTML/CSS</v>
      </c>
      <c r="G4140" s="9" t="str">
        <f>IFERROR(__xludf.DUMMYFUNCTION("""COMPUTED_VALUE"""),"Python")</f>
        <v>Python</v>
      </c>
      <c r="H4140" s="9" t="str">
        <f>IFERROR(__xludf.DUMMYFUNCTION("""COMPUTED_VALUE"""),"Bash/Shell/PowerShell")</f>
        <v>Bash/Shell/PowerShell</v>
      </c>
      <c r="I4140" s="9" t="str">
        <f>IFERROR(__xludf.DUMMYFUNCTION("""COMPUTED_VALUE"""),"HTML/CSS")</f>
        <v>HTML/CSS</v>
      </c>
      <c r="J4140" s="9" t="str">
        <f>IFERROR(__xludf.DUMMYFUNCTION("""COMPUTED_VALUE"""),"HTML/CSS")</f>
        <v>HTML/CSS</v>
      </c>
      <c r="K4140" s="9" t="str">
        <f>IFERROR(__xludf.DUMMYFUNCTION("""COMPUTED_VALUE"""),"PHP")</f>
        <v>PHP</v>
      </c>
      <c r="L4140" s="9" t="str">
        <f>IFERROR(__xludf.DUMMYFUNCTION("""COMPUTED_VALUE"""),"Java")</f>
        <v>Java</v>
      </c>
      <c r="M4140" s="9" t="s">
        <v>20</v>
      </c>
    </row>
    <row r="4141" ht="15.75" customHeight="1">
      <c r="A4141" s="7"/>
      <c r="B4141" s="7" t="str">
        <f>IFERROR(__xludf.DUMMYFUNCTION("""COMPUTED_VALUE"""),"Go;HTML/CSS;JavaScript;Kotlin;Rust")</f>
        <v>Go;HTML/CSS;JavaScript;Kotlin;Rust</v>
      </c>
      <c r="C4141" s="9" t="str">
        <f>IFERROR(__xludf.DUMMYFUNCTION("""COMPUTED_VALUE"""),"Python")</f>
        <v>Python</v>
      </c>
      <c r="D4141" s="9" t="str">
        <f>IFERROR(__xludf.DUMMYFUNCTION("""COMPUTED_VALUE"""),"Objective-C")</f>
        <v>Objective-C</v>
      </c>
      <c r="E4141" s="9" t="str">
        <f>IFERROR(__xludf.DUMMYFUNCTION("""COMPUTED_VALUE"""),"C#")</f>
        <v>C#</v>
      </c>
      <c r="F4141" s="9" t="str">
        <f>IFERROR(__xludf.DUMMYFUNCTION("""COMPUTED_VALUE"""),"JavaScript")</f>
        <v>JavaScript</v>
      </c>
      <c r="G4141" s="9" t="str">
        <f>IFERROR(__xludf.DUMMYFUNCTION("""COMPUTED_VALUE"""),"SQL")</f>
        <v>SQL</v>
      </c>
      <c r="H4141" s="9" t="str">
        <f>IFERROR(__xludf.DUMMYFUNCTION("""COMPUTED_VALUE"""),"HTML/CSS")</f>
        <v>HTML/CSS</v>
      </c>
      <c r="I4141" s="9" t="str">
        <f>IFERROR(__xludf.DUMMYFUNCTION("""COMPUTED_VALUE"""),"JavaScript")</f>
        <v>JavaScript</v>
      </c>
      <c r="J4141" s="9" t="str">
        <f>IFERROR(__xludf.DUMMYFUNCTION("""COMPUTED_VALUE"""),"Java")</f>
        <v>Java</v>
      </c>
      <c r="K4141" s="9" t="str">
        <f>IFERROR(__xludf.DUMMYFUNCTION("""COMPUTED_VALUE"""),"SQL")</f>
        <v>SQL</v>
      </c>
      <c r="L4141" s="9" t="str">
        <f>IFERROR(__xludf.DUMMYFUNCTION("""COMPUTED_VALUE"""),"Kotlin")</f>
        <v>Kotlin</v>
      </c>
      <c r="M4141" s="9" t="s">
        <v>22</v>
      </c>
    </row>
    <row r="4142" ht="15.75" customHeight="1">
      <c r="A4142" s="7"/>
      <c r="B4142" s="7" t="str">
        <f>IFERROR(__xludf.DUMMYFUNCTION("""COMPUTED_VALUE"""),"C++;Java;Kotlin")</f>
        <v>C++;Java;Kotlin</v>
      </c>
      <c r="C4142" s="9" t="str">
        <f>IFERROR(__xludf.DUMMYFUNCTION("""COMPUTED_VALUE"""),"SQL")</f>
        <v>SQL</v>
      </c>
      <c r="D4142" s="9" t="str">
        <f>IFERROR(__xludf.DUMMYFUNCTION("""COMPUTED_VALUE"""),"Python")</f>
        <v>Python</v>
      </c>
      <c r="E4142" s="9" t="str">
        <f>IFERROR(__xludf.DUMMYFUNCTION("""COMPUTED_VALUE"""),"Python")</f>
        <v>Python</v>
      </c>
      <c r="F4142" s="9" t="str">
        <f>IFERROR(__xludf.DUMMYFUNCTION("""COMPUTED_VALUE"""),"SQL")</f>
        <v>SQL</v>
      </c>
      <c r="G4142" s="9" t="str">
        <f>IFERROR(__xludf.DUMMYFUNCTION("""COMPUTED_VALUE"""),"TypeScript")</f>
        <v>TypeScript</v>
      </c>
      <c r="H4142" s="9" t="str">
        <f>IFERROR(__xludf.DUMMYFUNCTION("""COMPUTED_VALUE"""),"Java")</f>
        <v>Java</v>
      </c>
      <c r="I4142" s="9" t="str">
        <f>IFERROR(__xludf.DUMMYFUNCTION("""COMPUTED_VALUE"""),"Other(s):")</f>
        <v>Other(s):</v>
      </c>
      <c r="J4142" s="9" t="str">
        <f>IFERROR(__xludf.DUMMYFUNCTION("""COMPUTED_VALUE"""),"JavaScript")</f>
        <v>JavaScript</v>
      </c>
      <c r="K4142" s="9" t="str">
        <f>IFERROR(__xludf.DUMMYFUNCTION("""COMPUTED_VALUE"""),"Bash/Shell/PowerShell")</f>
        <v>Bash/Shell/PowerShell</v>
      </c>
      <c r="L4142" s="9" t="str">
        <f>IFERROR(__xludf.DUMMYFUNCTION("""COMPUTED_VALUE"""),"Python")</f>
        <v>Python</v>
      </c>
      <c r="M4142" s="9" t="s">
        <v>27</v>
      </c>
    </row>
    <row r="4143" ht="15.75" customHeight="1">
      <c r="A4143" s="7"/>
      <c r="B4143" s="7" t="str">
        <f>IFERROR(__xludf.DUMMYFUNCTION("""COMPUTED_VALUE"""),"Bash/Shell/PowerShell;C;C++;JavaScript;PHP;Python")</f>
        <v>Bash/Shell/PowerShell;C;C++;JavaScript;PHP;Python</v>
      </c>
      <c r="C4143" s="9" t="str">
        <f>IFERROR(__xludf.DUMMYFUNCTION("""COMPUTED_VALUE"""),"HTML/CSS")</f>
        <v>HTML/CSS</v>
      </c>
      <c r="D4143" s="9" t="str">
        <f>IFERROR(__xludf.DUMMYFUNCTION("""COMPUTED_VALUE"""),"SQL")</f>
        <v>SQL</v>
      </c>
      <c r="E4143" s="9" t="str">
        <f>IFERROR(__xludf.DUMMYFUNCTION("""COMPUTED_VALUE"""),"SQL")</f>
        <v>SQL</v>
      </c>
      <c r="F4143" s="9" t="str">
        <f>IFERROR(__xludf.DUMMYFUNCTION("""COMPUTED_VALUE"""),"Bash/Shell/PowerShell")</f>
        <v>Bash/Shell/PowerShell</v>
      </c>
      <c r="G4143" s="9" t="str">
        <f>IFERROR(__xludf.DUMMYFUNCTION("""COMPUTED_VALUE"""),"C")</f>
        <v>C</v>
      </c>
      <c r="H4143" s="9" t="str">
        <f>IFERROR(__xludf.DUMMYFUNCTION("""COMPUTED_VALUE"""),"JavaScript")</f>
        <v>JavaScript</v>
      </c>
      <c r="I4143" s="9" t="str">
        <f>IFERROR(__xludf.DUMMYFUNCTION("""COMPUTED_VALUE"""),"C#")</f>
        <v>C#</v>
      </c>
      <c r="J4143" s="9" t="str">
        <f>IFERROR(__xludf.DUMMYFUNCTION("""COMPUTED_VALUE"""),"Python")</f>
        <v>Python</v>
      </c>
      <c r="K4143" s="9" t="str">
        <f>IFERROR(__xludf.DUMMYFUNCTION("""COMPUTED_VALUE"""),"C#")</f>
        <v>C#</v>
      </c>
      <c r="L4143" s="9" t="str">
        <f>IFERROR(__xludf.DUMMYFUNCTION("""COMPUTED_VALUE"""),"Scala")</f>
        <v>Scala</v>
      </c>
      <c r="M4143" s="9" t="s">
        <v>24</v>
      </c>
    </row>
    <row r="4144" ht="15.75" customHeight="1">
      <c r="A4144" s="7"/>
      <c r="B4144" s="7" t="str">
        <f>IFERROR(__xludf.DUMMYFUNCTION("""COMPUTED_VALUE"""),"HTML/CSS;Java;JavaScript;Python")</f>
        <v>HTML/CSS;Java;JavaScript;Python</v>
      </c>
      <c r="C4144" s="9" t="str">
        <f>IFERROR(__xludf.DUMMYFUNCTION("""COMPUTED_VALUE"""),"JavaScript")</f>
        <v>JavaScript</v>
      </c>
      <c r="D4144" s="9" t="str">
        <f>IFERROR(__xludf.DUMMYFUNCTION("""COMPUTED_VALUE"""),"Swift")</f>
        <v>Swift</v>
      </c>
      <c r="E4144" s="9" t="str">
        <f>IFERROR(__xludf.DUMMYFUNCTION("""COMPUTED_VALUE"""),"C#")</f>
        <v>C#</v>
      </c>
      <c r="F4144" s="9" t="str">
        <f>IFERROR(__xludf.DUMMYFUNCTION("""COMPUTED_VALUE"""),"C++")</f>
        <v>C++</v>
      </c>
      <c r="G4144" s="9" t="str">
        <f>IFERROR(__xludf.DUMMYFUNCTION("""COMPUTED_VALUE"""),"C#")</f>
        <v>C#</v>
      </c>
      <c r="H4144" s="9" t="str">
        <f>IFERROR(__xludf.DUMMYFUNCTION("""COMPUTED_VALUE"""),"PHP")</f>
        <v>PHP</v>
      </c>
      <c r="I4144" s="9" t="str">
        <f>IFERROR(__xludf.DUMMYFUNCTION("""COMPUTED_VALUE"""),"HTML/CSS")</f>
        <v>HTML/CSS</v>
      </c>
      <c r="J4144" s="9" t="str">
        <f>IFERROR(__xludf.DUMMYFUNCTION("""COMPUTED_VALUE"""),"Rust")</f>
        <v>Rust</v>
      </c>
      <c r="K4144" s="9" t="str">
        <f>IFERROR(__xludf.DUMMYFUNCTION("""COMPUTED_VALUE"""),"HTML/CSS")</f>
        <v>HTML/CSS</v>
      </c>
      <c r="L4144" s="9" t="str">
        <f>IFERROR(__xludf.DUMMYFUNCTION("""COMPUTED_VALUE"""),"Java")</f>
        <v>Java</v>
      </c>
      <c r="M4144" s="9" t="s">
        <v>21</v>
      </c>
    </row>
    <row r="4145" ht="15.75" customHeight="1">
      <c r="A4145" s="7"/>
      <c r="B4145" s="7" t="str">
        <f>IFERROR(__xludf.DUMMYFUNCTION("""COMPUTED_VALUE"""),"Assembly;Bash/Shell/PowerShell;C;C++;C#;HTML/CSS;JavaScript;PHP;SQL")</f>
        <v>Assembly;Bash/Shell/PowerShell;C;C++;C#;HTML/CSS;JavaScript;PHP;SQL</v>
      </c>
      <c r="C4145" s="9" t="str">
        <f>IFERROR(__xludf.DUMMYFUNCTION("""COMPUTED_VALUE"""),"PHP")</f>
        <v>PHP</v>
      </c>
      <c r="D4145" s="9" t="str">
        <f>IFERROR(__xludf.DUMMYFUNCTION("""COMPUTED_VALUE"""),"C#")</f>
        <v>C#</v>
      </c>
      <c r="E4145" s="9" t="str">
        <f>IFERROR(__xludf.DUMMYFUNCTION("""COMPUTED_VALUE"""),"HTML/CSS")</f>
        <v>HTML/CSS</v>
      </c>
      <c r="F4145" s="9" t="str">
        <f>IFERROR(__xludf.DUMMYFUNCTION("""COMPUTED_VALUE"""),"C#")</f>
        <v>C#</v>
      </c>
      <c r="G4145" s="9" t="str">
        <f>IFERROR(__xludf.DUMMYFUNCTION("""COMPUTED_VALUE"""),"Python")</f>
        <v>Python</v>
      </c>
      <c r="H4145" s="9" t="str">
        <f>IFERROR(__xludf.DUMMYFUNCTION("""COMPUTED_VALUE"""),"Assembly")</f>
        <v>Assembly</v>
      </c>
      <c r="I4145" s="9" t="str">
        <f>IFERROR(__xludf.DUMMYFUNCTION("""COMPUTED_VALUE"""),"JavaScript")</f>
        <v>JavaScript</v>
      </c>
      <c r="J4145" s="9" t="str">
        <f>IFERROR(__xludf.DUMMYFUNCTION("""COMPUTED_VALUE"""),"Scala")</f>
        <v>Scala</v>
      </c>
      <c r="K4145" s="9" t="str">
        <f>IFERROR(__xludf.DUMMYFUNCTION("""COMPUTED_VALUE"""),"Java")</f>
        <v>Java</v>
      </c>
      <c r="L4145" s="9" t="str">
        <f>IFERROR(__xludf.DUMMYFUNCTION("""COMPUTED_VALUE"""),"Kotlin")</f>
        <v>Kotlin</v>
      </c>
      <c r="M4145" s="9" t="s">
        <v>37</v>
      </c>
    </row>
    <row r="4146" ht="15.75" customHeight="1">
      <c r="A4146" s="7"/>
      <c r="B4146" s="7" t="str">
        <f>IFERROR(__xludf.DUMMYFUNCTION("""COMPUTED_VALUE"""),"HTML/CSS;JavaScript;SQL")</f>
        <v>HTML/CSS;JavaScript;SQL</v>
      </c>
      <c r="C4146" s="9" t="str">
        <f>IFERROR(__xludf.DUMMYFUNCTION("""COMPUTED_VALUE"""),"SQL")</f>
        <v>SQL</v>
      </c>
      <c r="D4146" s="9" t="str">
        <f>IFERROR(__xludf.DUMMYFUNCTION("""COMPUTED_VALUE"""),"HTML/CSS")</f>
        <v>HTML/CSS</v>
      </c>
      <c r="E4146" s="9" t="str">
        <f>IFERROR(__xludf.DUMMYFUNCTION("""COMPUTED_VALUE"""),"JavaScript")</f>
        <v>JavaScript</v>
      </c>
      <c r="F4146" s="9" t="str">
        <f>IFERROR(__xludf.DUMMYFUNCTION("""COMPUTED_VALUE"""),"HTML/CSS")</f>
        <v>HTML/CSS</v>
      </c>
      <c r="G4146" s="9" t="str">
        <f>IFERROR(__xludf.DUMMYFUNCTION("""COMPUTED_VALUE"""),"SQL")</f>
        <v>SQL</v>
      </c>
      <c r="H4146" s="9" t="str">
        <f>IFERROR(__xludf.DUMMYFUNCTION("""COMPUTED_VALUE"""),"Bash/Shell/PowerShell")</f>
        <v>Bash/Shell/PowerShell</v>
      </c>
      <c r="I4146" s="9" t="str">
        <f>IFERROR(__xludf.DUMMYFUNCTION("""COMPUTED_VALUE"""),"SQL")</f>
        <v>SQL</v>
      </c>
      <c r="J4146" s="9" t="str">
        <f>IFERROR(__xludf.DUMMYFUNCTION("""COMPUTED_VALUE"""),"SQL")</f>
        <v>SQL</v>
      </c>
      <c r="K4146" s="9" t="str">
        <f>IFERROR(__xludf.DUMMYFUNCTION("""COMPUTED_VALUE"""),"JavaScript")</f>
        <v>JavaScript</v>
      </c>
      <c r="L4146" s="9" t="str">
        <f>IFERROR(__xludf.DUMMYFUNCTION("""COMPUTED_VALUE"""),"C#")</f>
        <v>C#</v>
      </c>
      <c r="M4146" s="9" t="s">
        <v>27</v>
      </c>
    </row>
    <row r="4147" ht="15.75" customHeight="1">
      <c r="A4147" s="7"/>
      <c r="B4147" s="7" t="str">
        <f>IFERROR(__xludf.DUMMYFUNCTION("""COMPUTED_VALUE"""),"Bash/Shell/PowerShell;HTML/CSS;JavaScript;Python")</f>
        <v>Bash/Shell/PowerShell;HTML/CSS;JavaScript;Python</v>
      </c>
      <c r="C4147" s="9" t="str">
        <f>IFERROR(__xludf.DUMMYFUNCTION("""COMPUTED_VALUE"""),"Bash/Shell/PowerShell")</f>
        <v>Bash/Shell/PowerShell</v>
      </c>
      <c r="D4147" s="9" t="str">
        <f>IFERROR(__xludf.DUMMYFUNCTION("""COMPUTED_VALUE"""),"JavaScript")</f>
        <v>JavaScript</v>
      </c>
      <c r="E4147" s="9" t="str">
        <f>IFERROR(__xludf.DUMMYFUNCTION("""COMPUTED_VALUE"""),"C")</f>
        <v>C</v>
      </c>
      <c r="F4147" s="9" t="str">
        <f>IFERROR(__xludf.DUMMYFUNCTION("""COMPUTED_VALUE"""),"JavaScript")</f>
        <v>JavaScript</v>
      </c>
      <c r="G4147" s="9" t="str">
        <f>IFERROR(__xludf.DUMMYFUNCTION("""COMPUTED_VALUE"""),"Python")</f>
        <v>Python</v>
      </c>
      <c r="H4147" s="9" t="str">
        <f>IFERROR(__xludf.DUMMYFUNCTION("""COMPUTED_VALUE"""),"C")</f>
        <v>C</v>
      </c>
      <c r="I4147" s="9" t="str">
        <f>IFERROR(__xludf.DUMMYFUNCTION("""COMPUTED_VALUE"""),"TypeScript")</f>
        <v>TypeScript</v>
      </c>
      <c r="J4147" s="9" t="str">
        <f>IFERROR(__xludf.DUMMYFUNCTION("""COMPUTED_VALUE"""),"JavaScript")</f>
        <v>JavaScript</v>
      </c>
      <c r="K4147" s="9" t="str">
        <f>IFERROR(__xludf.DUMMYFUNCTION("""COMPUTED_VALUE"""),"PHP")</f>
        <v>PHP</v>
      </c>
      <c r="L4147" s="9" t="str">
        <f>IFERROR(__xludf.DUMMYFUNCTION("""COMPUTED_VALUE"""),"HTML/CSS")</f>
        <v>HTML/CSS</v>
      </c>
      <c r="M4147" s="9" t="s">
        <v>30</v>
      </c>
    </row>
    <row r="4148" ht="15.75" customHeight="1">
      <c r="A4148" s="7"/>
      <c r="B4148" s="7" t="str">
        <f>IFERROR(__xludf.DUMMYFUNCTION("""COMPUTED_VALUE"""),"Python;R")</f>
        <v>Python;R</v>
      </c>
      <c r="C4148" s="9" t="str">
        <f>IFERROR(__xludf.DUMMYFUNCTION("""COMPUTED_VALUE"""),"C")</f>
        <v>C</v>
      </c>
      <c r="D4148" s="9" t="str">
        <f>IFERROR(__xludf.DUMMYFUNCTION("""COMPUTED_VALUE"""),"SQL")</f>
        <v>SQL</v>
      </c>
      <c r="E4148" s="9" t="str">
        <f>IFERROR(__xludf.DUMMYFUNCTION("""COMPUTED_VALUE"""),"C++")</f>
        <v>C++</v>
      </c>
      <c r="F4148" s="9" t="str">
        <f>IFERROR(__xludf.DUMMYFUNCTION("""COMPUTED_VALUE"""),"Rust")</f>
        <v>Rust</v>
      </c>
      <c r="G4148" s="9" t="str">
        <f>IFERROR(__xludf.DUMMYFUNCTION("""COMPUTED_VALUE"""),"Other(s):")</f>
        <v>Other(s):</v>
      </c>
      <c r="H4148" s="9" t="str">
        <f>IFERROR(__xludf.DUMMYFUNCTION("""COMPUTED_VALUE"""),"Python")</f>
        <v>Python</v>
      </c>
      <c r="I4148" s="9" t="str">
        <f>IFERROR(__xludf.DUMMYFUNCTION("""COMPUTED_VALUE"""),"VBA")</f>
        <v>VBA</v>
      </c>
      <c r="J4148" s="9" t="str">
        <f>IFERROR(__xludf.DUMMYFUNCTION("""COMPUTED_VALUE"""),"Ruby")</f>
        <v>Ruby</v>
      </c>
      <c r="K4148" s="9" t="str">
        <f>IFERROR(__xludf.DUMMYFUNCTION("""COMPUTED_VALUE"""),"SQL")</f>
        <v>SQL</v>
      </c>
      <c r="L4148" s="9" t="str">
        <f>IFERROR(__xludf.DUMMYFUNCTION("""COMPUTED_VALUE"""),"Java")</f>
        <v>Java</v>
      </c>
      <c r="M4148" s="9" t="s">
        <v>25</v>
      </c>
    </row>
    <row r="4149" ht="15.75" customHeight="1">
      <c r="A4149" s="7"/>
      <c r="B4149" s="7" t="str">
        <f>IFERROR(__xludf.DUMMYFUNCTION("""COMPUTED_VALUE"""),"C#;HTML/CSS;JavaScript;PHP")</f>
        <v>C#;HTML/CSS;JavaScript;PHP</v>
      </c>
      <c r="C4149" s="9" t="str">
        <f>IFERROR(__xludf.DUMMYFUNCTION("""COMPUTED_VALUE"""),"HTML/CSS")</f>
        <v>HTML/CSS</v>
      </c>
      <c r="D4149" s="9" t="str">
        <f>IFERROR(__xludf.DUMMYFUNCTION("""COMPUTED_VALUE"""),"Bash/Shell/PowerShell")</f>
        <v>Bash/Shell/PowerShell</v>
      </c>
      <c r="E4149" s="9" t="str">
        <f>IFERROR(__xludf.DUMMYFUNCTION("""COMPUTED_VALUE"""),"HTML/CSS")</f>
        <v>HTML/CSS</v>
      </c>
      <c r="F4149" s="9" t="str">
        <f>IFERROR(__xludf.DUMMYFUNCTION("""COMPUTED_VALUE"""),"TypeScript")</f>
        <v>TypeScript</v>
      </c>
      <c r="G4149" s="9" t="str">
        <f>IFERROR(__xludf.DUMMYFUNCTION("""COMPUTED_VALUE"""),"HTML/CSS")</f>
        <v>HTML/CSS</v>
      </c>
      <c r="H4149" s="9" t="str">
        <f>IFERROR(__xludf.DUMMYFUNCTION("""COMPUTED_VALUE"""),"SQL")</f>
        <v>SQL</v>
      </c>
      <c r="I4149" s="9" t="str">
        <f>IFERROR(__xludf.DUMMYFUNCTION("""COMPUTED_VALUE"""),"Bash/Shell/PowerShell")</f>
        <v>Bash/Shell/PowerShell</v>
      </c>
      <c r="J4149" s="9" t="str">
        <f>IFERROR(__xludf.DUMMYFUNCTION("""COMPUTED_VALUE"""),"SQL")</f>
        <v>SQL</v>
      </c>
      <c r="K4149" s="9" t="str">
        <f>IFERROR(__xludf.DUMMYFUNCTION("""COMPUTED_VALUE"""),"Other(s):")</f>
        <v>Other(s):</v>
      </c>
      <c r="L4149" s="9" t="str">
        <f>IFERROR(__xludf.DUMMYFUNCTION("""COMPUTED_VALUE"""),"JavaScript")</f>
        <v>JavaScript</v>
      </c>
      <c r="M4149" s="9" t="s">
        <v>24</v>
      </c>
    </row>
    <row r="4150" ht="15.75" customHeight="1">
      <c r="A4150" s="7"/>
      <c r="B4150" s="7" t="str">
        <f>IFERROR(__xludf.DUMMYFUNCTION("""COMPUTED_VALUE"""),"Bash/Shell/PowerShell;C;C++;C#;HTML/CSS;Java;JavaScript;Kotlin;Objective-C;Python;Swift;TypeScript;WebAssembly;Other(s):")</f>
        <v>Bash/Shell/PowerShell;C;C++;C#;HTML/CSS;Java;JavaScript;Kotlin;Objective-C;Python;Swift;TypeScript;WebAssembly;Other(s):</v>
      </c>
      <c r="C4150" s="9" t="str">
        <f>IFERROR(__xludf.DUMMYFUNCTION("""COMPUTED_VALUE"""),"JavaScript")</f>
        <v>JavaScript</v>
      </c>
      <c r="D4150" s="9" t="str">
        <f>IFERROR(__xludf.DUMMYFUNCTION("""COMPUTED_VALUE"""),"Go")</f>
        <v>Go</v>
      </c>
      <c r="E4150" s="9" t="str">
        <f>IFERROR(__xludf.DUMMYFUNCTION("""COMPUTED_VALUE"""),"Java")</f>
        <v>Java</v>
      </c>
      <c r="F4150" s="9" t="str">
        <f>IFERROR(__xludf.DUMMYFUNCTION("""COMPUTED_VALUE"""),"Assembly")</f>
        <v>Assembly</v>
      </c>
      <c r="G4150" s="9" t="str">
        <f>IFERROR(__xludf.DUMMYFUNCTION("""COMPUTED_VALUE"""),"JavaScript")</f>
        <v>JavaScript</v>
      </c>
      <c r="H4150" s="9" t="str">
        <f>IFERROR(__xludf.DUMMYFUNCTION("""COMPUTED_VALUE"""),"Bash/Shell/PowerShell")</f>
        <v>Bash/Shell/PowerShell</v>
      </c>
      <c r="I4150" s="9" t="str">
        <f>IFERROR(__xludf.DUMMYFUNCTION("""COMPUTED_VALUE"""),"Go")</f>
        <v>Go</v>
      </c>
      <c r="J4150" s="9" t="str">
        <f>IFERROR(__xludf.DUMMYFUNCTION("""COMPUTED_VALUE"""),"Bash/Shell/PowerShell")</f>
        <v>Bash/Shell/PowerShell</v>
      </c>
      <c r="K4150" s="9" t="str">
        <f>IFERROR(__xludf.DUMMYFUNCTION("""COMPUTED_VALUE"""),"Java")</f>
        <v>Java</v>
      </c>
      <c r="L4150" s="9" t="str">
        <f>IFERROR(__xludf.DUMMYFUNCTION("""COMPUTED_VALUE"""),"PHP")</f>
        <v>PHP</v>
      </c>
      <c r="M4150" s="9" t="s">
        <v>21</v>
      </c>
    </row>
    <row r="4151" ht="15.75" customHeight="1">
      <c r="A4151" s="7"/>
      <c r="B4151" s="7" t="str">
        <f>IFERROR(__xludf.DUMMYFUNCTION("""COMPUTED_VALUE"""),"C#;HTML/CSS;JavaScript;SQL;TypeScript")</f>
        <v>C#;HTML/CSS;JavaScript;SQL;TypeScript</v>
      </c>
      <c r="C4151" s="9" t="str">
        <f>IFERROR(__xludf.DUMMYFUNCTION("""COMPUTED_VALUE"""),"Bash/Shell/PowerShell")</f>
        <v>Bash/Shell/PowerShell</v>
      </c>
      <c r="D4151" s="9" t="str">
        <f>IFERROR(__xludf.DUMMYFUNCTION("""COMPUTED_VALUE"""),"HTML/CSS")</f>
        <v>HTML/CSS</v>
      </c>
      <c r="E4151" s="9" t="str">
        <f>IFERROR(__xludf.DUMMYFUNCTION("""COMPUTED_VALUE"""),"Python")</f>
        <v>Python</v>
      </c>
      <c r="F4151" s="9" t="str">
        <f>IFERROR(__xludf.DUMMYFUNCTION("""COMPUTED_VALUE"""),"C")</f>
        <v>C</v>
      </c>
      <c r="G4151" s="9" t="str">
        <f>IFERROR(__xludf.DUMMYFUNCTION("""COMPUTED_VALUE"""),"Ruby")</f>
        <v>Ruby</v>
      </c>
      <c r="H4151" s="9" t="str">
        <f>IFERROR(__xludf.DUMMYFUNCTION("""COMPUTED_VALUE"""),"Java")</f>
        <v>Java</v>
      </c>
      <c r="I4151" s="9" t="str">
        <f>IFERROR(__xludf.DUMMYFUNCTION("""COMPUTED_VALUE"""),"HTML/CSS")</f>
        <v>HTML/CSS</v>
      </c>
      <c r="J4151" s="9" t="str">
        <f>IFERROR(__xludf.DUMMYFUNCTION("""COMPUTED_VALUE"""),"C++")</f>
        <v>C++</v>
      </c>
      <c r="K4151" s="9" t="str">
        <f>IFERROR(__xludf.DUMMYFUNCTION("""COMPUTED_VALUE"""),"Kotlin")</f>
        <v>Kotlin</v>
      </c>
      <c r="L4151" s="9" t="str">
        <f>IFERROR(__xludf.DUMMYFUNCTION("""COMPUTED_VALUE"""),"Python")</f>
        <v>Python</v>
      </c>
      <c r="M4151" s="9" t="s">
        <v>30</v>
      </c>
    </row>
    <row r="4152" ht="15.75" customHeight="1">
      <c r="A4152" s="7"/>
      <c r="B4152" s="7" t="str">
        <f>IFERROR(__xludf.DUMMYFUNCTION("""COMPUTED_VALUE"""),"C#;JavaScript;Python;SQL;TypeScript")</f>
        <v>C#;JavaScript;Python;SQL;TypeScript</v>
      </c>
      <c r="C4152" s="9" t="str">
        <f>IFERROR(__xludf.DUMMYFUNCTION("""COMPUTED_VALUE"""),"Java")</f>
        <v>Java</v>
      </c>
      <c r="D4152" s="9" t="str">
        <f>IFERROR(__xludf.DUMMYFUNCTION("""COMPUTED_VALUE"""),"Java")</f>
        <v>Java</v>
      </c>
      <c r="E4152" s="9" t="str">
        <f>IFERROR(__xludf.DUMMYFUNCTION("""COMPUTED_VALUE"""),"SQL")</f>
        <v>SQL</v>
      </c>
      <c r="F4152" s="9" t="str">
        <f>IFERROR(__xludf.DUMMYFUNCTION("""COMPUTED_VALUE"""),"C++")</f>
        <v>C++</v>
      </c>
      <c r="G4152" s="9" t="str">
        <f>IFERROR(__xludf.DUMMYFUNCTION("""COMPUTED_VALUE"""),"SQL")</f>
        <v>SQL</v>
      </c>
      <c r="H4152" s="9" t="str">
        <f>IFERROR(__xludf.DUMMYFUNCTION("""COMPUTED_VALUE"""),"Scala")</f>
        <v>Scala</v>
      </c>
      <c r="I4152" s="9" t="str">
        <f>IFERROR(__xludf.DUMMYFUNCTION("""COMPUTED_VALUE"""),"Java")</f>
        <v>Java</v>
      </c>
      <c r="J4152" s="9" t="str">
        <f>IFERROR(__xludf.DUMMYFUNCTION("""COMPUTED_VALUE"""),"C#")</f>
        <v>C#</v>
      </c>
      <c r="K4152" s="9" t="str">
        <f>IFERROR(__xludf.DUMMYFUNCTION("""COMPUTED_VALUE"""),"JavaScript")</f>
        <v>JavaScript</v>
      </c>
      <c r="L4152" s="9" t="str">
        <f>IFERROR(__xludf.DUMMYFUNCTION("""COMPUTED_VALUE"""),"SQL")</f>
        <v>SQL</v>
      </c>
      <c r="M4152" s="9" t="s">
        <v>20</v>
      </c>
    </row>
    <row r="4153" ht="15.75" customHeight="1">
      <c r="A4153" s="7"/>
      <c r="B4153" s="7" t="str">
        <f>IFERROR(__xludf.DUMMYFUNCTION("""COMPUTED_VALUE"""),"Bash/Shell/PowerShell;C;C#;F#;Go;JavaScript;SQL")</f>
        <v>Bash/Shell/PowerShell;C;C#;F#;Go;JavaScript;SQL</v>
      </c>
      <c r="C4153" s="9" t="str">
        <f>IFERROR(__xludf.DUMMYFUNCTION("""COMPUTED_VALUE"""),"JavaScript")</f>
        <v>JavaScript</v>
      </c>
      <c r="D4153" s="9" t="str">
        <f>IFERROR(__xludf.DUMMYFUNCTION("""COMPUTED_VALUE"""),"JavaScript")</f>
        <v>JavaScript</v>
      </c>
      <c r="E4153" s="9" t="str">
        <f>IFERROR(__xludf.DUMMYFUNCTION("""COMPUTED_VALUE"""),"Bash/Shell/PowerShell")</f>
        <v>Bash/Shell/PowerShell</v>
      </c>
      <c r="F4153" s="9" t="str">
        <f>IFERROR(__xludf.DUMMYFUNCTION("""COMPUTED_VALUE"""),"C#")</f>
        <v>C#</v>
      </c>
      <c r="G4153" s="9" t="str">
        <f>IFERROR(__xludf.DUMMYFUNCTION("""COMPUTED_VALUE"""),"C#")</f>
        <v>C#</v>
      </c>
      <c r="H4153" s="9" t="str">
        <f>IFERROR(__xludf.DUMMYFUNCTION("""COMPUTED_VALUE"""),"SQL")</f>
        <v>SQL</v>
      </c>
      <c r="I4153" s="9" t="str">
        <f>IFERROR(__xludf.DUMMYFUNCTION("""COMPUTED_VALUE"""),"JavaScript")</f>
        <v>JavaScript</v>
      </c>
      <c r="J4153" s="9" t="str">
        <f>IFERROR(__xludf.DUMMYFUNCTION("""COMPUTED_VALUE"""),"Dart")</f>
        <v>Dart</v>
      </c>
      <c r="K4153" s="9" t="str">
        <f>IFERROR(__xludf.DUMMYFUNCTION("""COMPUTED_VALUE"""),"Python")</f>
        <v>Python</v>
      </c>
      <c r="L4153" s="9" t="str">
        <f>IFERROR(__xludf.DUMMYFUNCTION("""COMPUTED_VALUE"""),"Other(s):")</f>
        <v>Other(s):</v>
      </c>
      <c r="M4153" s="9" t="s">
        <v>21</v>
      </c>
    </row>
    <row r="4154" ht="15.75" customHeight="1">
      <c r="A4154" s="7"/>
      <c r="B4154" s="7" t="str">
        <f>IFERROR(__xludf.DUMMYFUNCTION("""COMPUTED_VALUE"""),"Bash/Shell/PowerShell;C#;JavaScript;PHP;SQL;Other(s):")</f>
        <v>Bash/Shell/PowerShell;C#;JavaScript;PHP;SQL;Other(s):</v>
      </c>
      <c r="C4154" s="9" t="str">
        <f>IFERROR(__xludf.DUMMYFUNCTION("""COMPUTED_VALUE"""),"Python")</f>
        <v>Python</v>
      </c>
      <c r="D4154" s="9" t="str">
        <f>IFERROR(__xludf.DUMMYFUNCTION("""COMPUTED_VALUE"""),"Ruby")</f>
        <v>Ruby</v>
      </c>
      <c r="E4154" s="9" t="str">
        <f>IFERROR(__xludf.DUMMYFUNCTION("""COMPUTED_VALUE"""),"HTML/CSS")</f>
        <v>HTML/CSS</v>
      </c>
      <c r="F4154" s="9" t="str">
        <f>IFERROR(__xludf.DUMMYFUNCTION("""COMPUTED_VALUE"""),"Java")</f>
        <v>Java</v>
      </c>
      <c r="G4154" s="9" t="str">
        <f>IFERROR(__xludf.DUMMYFUNCTION("""COMPUTED_VALUE"""),"F#")</f>
        <v>F#</v>
      </c>
      <c r="H4154" s="9" t="str">
        <f>IFERROR(__xludf.DUMMYFUNCTION("""COMPUTED_VALUE"""),"Other(s):")</f>
        <v>Other(s):</v>
      </c>
      <c r="I4154" s="9" t="str">
        <f>IFERROR(__xludf.DUMMYFUNCTION("""COMPUTED_VALUE"""),"PHP")</f>
        <v>PHP</v>
      </c>
      <c r="J4154" s="9" t="str">
        <f>IFERROR(__xludf.DUMMYFUNCTION("""COMPUTED_VALUE"""),"Go")</f>
        <v>Go</v>
      </c>
      <c r="K4154" s="9" t="str">
        <f>IFERROR(__xludf.DUMMYFUNCTION("""COMPUTED_VALUE"""),"R")</f>
        <v>R</v>
      </c>
      <c r="L4154" s="9" t="str">
        <f>IFERROR(__xludf.DUMMYFUNCTION("""COMPUTED_VALUE"""),"C#")</f>
        <v>C#</v>
      </c>
      <c r="M4154" s="9" t="s">
        <v>22</v>
      </c>
    </row>
    <row r="4155" ht="15.75" customHeight="1">
      <c r="A4155" s="7"/>
      <c r="B4155" s="7" t="str">
        <f>IFERROR(__xludf.DUMMYFUNCTION("""COMPUTED_VALUE"""),"Java;JavaScript;SQL;VBA;Other(s):")</f>
        <v>Java;JavaScript;SQL;VBA;Other(s):</v>
      </c>
      <c r="C4155" s="9" t="str">
        <f>IFERROR(__xludf.DUMMYFUNCTION("""COMPUTED_VALUE"""),"TypeScript")</f>
        <v>TypeScript</v>
      </c>
      <c r="D4155" s="9" t="str">
        <f>IFERROR(__xludf.DUMMYFUNCTION("""COMPUTED_VALUE"""),"C#")</f>
        <v>C#</v>
      </c>
      <c r="E4155" s="9" t="str">
        <f>IFERROR(__xludf.DUMMYFUNCTION("""COMPUTED_VALUE"""),"JavaScript")</f>
        <v>JavaScript</v>
      </c>
      <c r="F4155" s="9" t="str">
        <f>IFERROR(__xludf.DUMMYFUNCTION("""COMPUTED_VALUE"""),"JavaScript")</f>
        <v>JavaScript</v>
      </c>
      <c r="G4155" s="9" t="str">
        <f>IFERROR(__xludf.DUMMYFUNCTION("""COMPUTED_VALUE"""),"HTML/CSS")</f>
        <v>HTML/CSS</v>
      </c>
      <c r="H4155" s="9" t="str">
        <f>IFERROR(__xludf.DUMMYFUNCTION("""COMPUTED_VALUE"""),"Go")</f>
        <v>Go</v>
      </c>
      <c r="I4155" s="9" t="str">
        <f>IFERROR(__xludf.DUMMYFUNCTION("""COMPUTED_VALUE"""),"SQL")</f>
        <v>SQL</v>
      </c>
      <c r="J4155" s="9" t="str">
        <f>IFERROR(__xludf.DUMMYFUNCTION("""COMPUTED_VALUE"""),"HTML/CSS")</f>
        <v>HTML/CSS</v>
      </c>
      <c r="K4155" s="9" t="str">
        <f>IFERROR(__xludf.DUMMYFUNCTION("""COMPUTED_VALUE"""),"Java")</f>
        <v>Java</v>
      </c>
      <c r="L4155" s="9" t="str">
        <f>IFERROR(__xludf.DUMMYFUNCTION("""COMPUTED_VALUE"""),"JavaScript")</f>
        <v>JavaScript</v>
      </c>
      <c r="M4155" s="9" t="s">
        <v>33</v>
      </c>
    </row>
    <row r="4156" ht="15.75" customHeight="1">
      <c r="A4156" s="7"/>
      <c r="B4156" s="7" t="str">
        <f>IFERROR(__xludf.DUMMYFUNCTION("""COMPUTED_VALUE"""),"C++")</f>
        <v>C++</v>
      </c>
      <c r="C4156" s="9" t="str">
        <f>IFERROR(__xludf.DUMMYFUNCTION("""COMPUTED_VALUE"""),"Python")</f>
        <v>Python</v>
      </c>
      <c r="D4156" s="9" t="str">
        <f>IFERROR(__xludf.DUMMYFUNCTION("""COMPUTED_VALUE"""),"Elixir")</f>
        <v>Elixir</v>
      </c>
      <c r="E4156" s="9" t="str">
        <f>IFERROR(__xludf.DUMMYFUNCTION("""COMPUTED_VALUE"""),"PHP")</f>
        <v>PHP</v>
      </c>
      <c r="F4156" s="9" t="str">
        <f>IFERROR(__xludf.DUMMYFUNCTION("""COMPUTED_VALUE"""),"PHP")</f>
        <v>PHP</v>
      </c>
      <c r="G4156" s="9" t="str">
        <f>IFERROR(__xludf.DUMMYFUNCTION("""COMPUTED_VALUE"""),"JavaScript")</f>
        <v>JavaScript</v>
      </c>
      <c r="H4156" s="9" t="str">
        <f>IFERROR(__xludf.DUMMYFUNCTION("""COMPUTED_VALUE"""),"Python")</f>
        <v>Python</v>
      </c>
      <c r="I4156" s="9" t="str">
        <f>IFERROR(__xludf.DUMMYFUNCTION("""COMPUTED_VALUE"""),"C")</f>
        <v>C</v>
      </c>
      <c r="J4156" s="9" t="str">
        <f>IFERROR(__xludf.DUMMYFUNCTION("""COMPUTED_VALUE"""),"Java")</f>
        <v>Java</v>
      </c>
      <c r="K4156" s="9" t="str">
        <f>IFERROR(__xludf.DUMMYFUNCTION("""COMPUTED_VALUE"""),"SQL")</f>
        <v>SQL</v>
      </c>
      <c r="L4156" s="9" t="str">
        <f>IFERROR(__xludf.DUMMYFUNCTION("""COMPUTED_VALUE"""),"Objective-C")</f>
        <v>Objective-C</v>
      </c>
      <c r="M4156" s="9" t="s">
        <v>22</v>
      </c>
    </row>
    <row r="4157" ht="15.75" customHeight="1">
      <c r="A4157" s="7"/>
      <c r="B4157" s="7" t="str">
        <f>IFERROR(__xludf.DUMMYFUNCTION("""COMPUTED_VALUE"""),"HTML/CSS;JavaScript;Ruby;SQL")</f>
        <v>HTML/CSS;JavaScript;Ruby;SQL</v>
      </c>
      <c r="C4157" s="9" t="str">
        <f>IFERROR(__xludf.DUMMYFUNCTION("""COMPUTED_VALUE"""),"R")</f>
        <v>R</v>
      </c>
      <c r="D4157" s="9" t="str">
        <f>IFERROR(__xludf.DUMMYFUNCTION("""COMPUTED_VALUE"""),"Erlang")</f>
        <v>Erlang</v>
      </c>
      <c r="E4157" s="9" t="str">
        <f>IFERROR(__xludf.DUMMYFUNCTION("""COMPUTED_VALUE"""),"Java")</f>
        <v>Java</v>
      </c>
      <c r="F4157" s="9" t="str">
        <f>IFERROR(__xludf.DUMMYFUNCTION("""COMPUTED_VALUE"""),"Python")</f>
        <v>Python</v>
      </c>
      <c r="G4157" s="9" t="str">
        <f>IFERROR(__xludf.DUMMYFUNCTION("""COMPUTED_VALUE"""),"TypeScript")</f>
        <v>TypeScript</v>
      </c>
      <c r="H4157" s="9" t="str">
        <f>IFERROR(__xludf.DUMMYFUNCTION("""COMPUTED_VALUE"""),"C#")</f>
        <v>C#</v>
      </c>
      <c r="I4157" s="9" t="str">
        <f>IFERROR(__xludf.DUMMYFUNCTION("""COMPUTED_VALUE"""),"C++")</f>
        <v>C++</v>
      </c>
      <c r="J4157" s="9" t="str">
        <f>IFERROR(__xludf.DUMMYFUNCTION("""COMPUTED_VALUE"""),"JavaScript")</f>
        <v>JavaScript</v>
      </c>
      <c r="K4157" s="9" t="str">
        <f>IFERROR(__xludf.DUMMYFUNCTION("""COMPUTED_VALUE"""),"Elixir")</f>
        <v>Elixir</v>
      </c>
      <c r="L4157" s="9" t="str">
        <f>IFERROR(__xludf.DUMMYFUNCTION("""COMPUTED_VALUE"""),"Swift")</f>
        <v>Swift</v>
      </c>
      <c r="M4157" s="9" t="s">
        <v>29</v>
      </c>
    </row>
    <row r="4158" ht="15.75" customHeight="1">
      <c r="A4158" s="7"/>
      <c r="B4158" s="7" t="str">
        <f>IFERROR(__xludf.DUMMYFUNCTION("""COMPUTED_VALUE"""),"Bash/Shell/PowerShell;Java;Python;SQL")</f>
        <v>Bash/Shell/PowerShell;Java;Python;SQL</v>
      </c>
      <c r="C4158" s="9" t="str">
        <f>IFERROR(__xludf.DUMMYFUNCTION("""COMPUTED_VALUE"""),"Other(s):")</f>
        <v>Other(s):</v>
      </c>
      <c r="D4158" s="9" t="str">
        <f>IFERROR(__xludf.DUMMYFUNCTION("""COMPUTED_VALUE"""),"HTML/CSS")</f>
        <v>HTML/CSS</v>
      </c>
      <c r="E4158" s="9" t="str">
        <f>IFERROR(__xludf.DUMMYFUNCTION("""COMPUTED_VALUE"""),"Python")</f>
        <v>Python</v>
      </c>
      <c r="F4158" s="9" t="str">
        <f>IFERROR(__xludf.DUMMYFUNCTION("""COMPUTED_VALUE"""),"Rust")</f>
        <v>Rust</v>
      </c>
      <c r="G4158" s="9" t="str">
        <f>IFERROR(__xludf.DUMMYFUNCTION("""COMPUTED_VALUE"""),"C")</f>
        <v>C</v>
      </c>
      <c r="H4158" s="9" t="str">
        <f>IFERROR(__xludf.DUMMYFUNCTION("""COMPUTED_VALUE"""),"HTML/CSS")</f>
        <v>HTML/CSS</v>
      </c>
      <c r="I4158" s="9" t="str">
        <f>IFERROR(__xludf.DUMMYFUNCTION("""COMPUTED_VALUE"""),"C#")</f>
        <v>C#</v>
      </c>
      <c r="J4158" s="9" t="str">
        <f>IFERROR(__xludf.DUMMYFUNCTION("""COMPUTED_VALUE"""),"Kotlin")</f>
        <v>Kotlin</v>
      </c>
      <c r="K4158" s="9" t="str">
        <f>IFERROR(__xludf.DUMMYFUNCTION("""COMPUTED_VALUE"""),"JavaScript")</f>
        <v>JavaScript</v>
      </c>
      <c r="L4158" s="9" t="str">
        <f>IFERROR(__xludf.DUMMYFUNCTION("""COMPUTED_VALUE"""),"TypeScript")</f>
        <v>TypeScript</v>
      </c>
      <c r="M4158" s="9" t="s">
        <v>35</v>
      </c>
    </row>
    <row r="4159" ht="15.75" customHeight="1">
      <c r="A4159" s="7"/>
      <c r="B4159" s="7" t="str">
        <f>IFERROR(__xludf.DUMMYFUNCTION("""COMPUTED_VALUE"""),"HTML/CSS;JavaScript;PHP")</f>
        <v>HTML/CSS;JavaScript;PHP</v>
      </c>
      <c r="C4159" s="9" t="str">
        <f>IFERROR(__xludf.DUMMYFUNCTION("""COMPUTED_VALUE"""),"Java")</f>
        <v>Java</v>
      </c>
      <c r="D4159" s="9" t="str">
        <f>IFERROR(__xludf.DUMMYFUNCTION("""COMPUTED_VALUE"""),"JavaScript")</f>
        <v>JavaScript</v>
      </c>
      <c r="E4159" s="9" t="str">
        <f>IFERROR(__xludf.DUMMYFUNCTION("""COMPUTED_VALUE"""),"R")</f>
        <v>R</v>
      </c>
      <c r="F4159" s="9" t="str">
        <f>IFERROR(__xludf.DUMMYFUNCTION("""COMPUTED_VALUE"""),"SQL")</f>
        <v>SQL</v>
      </c>
      <c r="G4159" s="9" t="str">
        <f>IFERROR(__xludf.DUMMYFUNCTION("""COMPUTED_VALUE"""),"C++")</f>
        <v>C++</v>
      </c>
      <c r="H4159" s="9" t="str">
        <f>IFERROR(__xludf.DUMMYFUNCTION("""COMPUTED_VALUE"""),"JavaScript")</f>
        <v>JavaScript</v>
      </c>
      <c r="I4159" s="9" t="str">
        <f>IFERROR(__xludf.DUMMYFUNCTION("""COMPUTED_VALUE"""),"HTML/CSS")</f>
        <v>HTML/CSS</v>
      </c>
      <c r="J4159" s="9" t="str">
        <f>IFERROR(__xludf.DUMMYFUNCTION("""COMPUTED_VALUE"""),"PHP")</f>
        <v>PHP</v>
      </c>
      <c r="K4159" s="9" t="str">
        <f>IFERROR(__xludf.DUMMYFUNCTION("""COMPUTED_VALUE"""),"Objective-C")</f>
        <v>Objective-C</v>
      </c>
      <c r="L4159" s="9" t="str">
        <f>IFERROR(__xludf.DUMMYFUNCTION("""COMPUTED_VALUE"""),"C#")</f>
        <v>C#</v>
      </c>
      <c r="M4159" s="9" t="s">
        <v>20</v>
      </c>
    </row>
    <row r="4160" ht="15.75" customHeight="1">
      <c r="A4160" s="7"/>
      <c r="B4160" s="7" t="str">
        <f>IFERROR(__xludf.DUMMYFUNCTION("""COMPUTED_VALUE"""),"R;SQL")</f>
        <v>R;SQL</v>
      </c>
      <c r="C4160" s="9" t="str">
        <f>IFERROR(__xludf.DUMMYFUNCTION("""COMPUTED_VALUE"""),"Python")</f>
        <v>Python</v>
      </c>
      <c r="D4160" s="9" t="str">
        <f>IFERROR(__xludf.DUMMYFUNCTION("""COMPUTED_VALUE"""),"Python")</f>
        <v>Python</v>
      </c>
      <c r="E4160" s="9" t="str">
        <f>IFERROR(__xludf.DUMMYFUNCTION("""COMPUTED_VALUE"""),"SQL")</f>
        <v>SQL</v>
      </c>
      <c r="F4160" s="9" t="str">
        <f>IFERROR(__xludf.DUMMYFUNCTION("""COMPUTED_VALUE"""),"R")</f>
        <v>R</v>
      </c>
      <c r="G4160" s="9" t="str">
        <f>IFERROR(__xludf.DUMMYFUNCTION("""COMPUTED_VALUE"""),"HTML/CSS")</f>
        <v>HTML/CSS</v>
      </c>
      <c r="H4160" s="9" t="str">
        <f>IFERROR(__xludf.DUMMYFUNCTION("""COMPUTED_VALUE"""),"PHP")</f>
        <v>PHP</v>
      </c>
      <c r="I4160" s="9" t="str">
        <f>IFERROR(__xludf.DUMMYFUNCTION("""COMPUTED_VALUE"""),"JavaScript")</f>
        <v>JavaScript</v>
      </c>
      <c r="J4160" s="9" t="str">
        <f>IFERROR(__xludf.DUMMYFUNCTION("""COMPUTED_VALUE"""),"Python")</f>
        <v>Python</v>
      </c>
      <c r="K4160" s="9" t="str">
        <f>IFERROR(__xludf.DUMMYFUNCTION("""COMPUTED_VALUE"""),"Swift")</f>
        <v>Swift</v>
      </c>
      <c r="L4160" s="9" t="str">
        <f>IFERROR(__xludf.DUMMYFUNCTION("""COMPUTED_VALUE"""),"HTML/CSS")</f>
        <v>HTML/CSS</v>
      </c>
      <c r="M4160" s="9" t="s">
        <v>22</v>
      </c>
    </row>
    <row r="4161" ht="15.75" customHeight="1">
      <c r="A4161" s="7"/>
      <c r="B4161" s="7" t="str">
        <f>IFERROR(__xludf.DUMMYFUNCTION("""COMPUTED_VALUE"""),"Assembly;Bash/Shell/PowerShell;C;HTML/CSS;Java;JavaScript;SQL")</f>
        <v>Assembly;Bash/Shell/PowerShell;C;HTML/CSS;Java;JavaScript;SQL</v>
      </c>
      <c r="C4161" s="9" t="str">
        <f>IFERROR(__xludf.DUMMYFUNCTION("""COMPUTED_VALUE"""),"SQL")</f>
        <v>SQL</v>
      </c>
      <c r="D4161" s="9" t="str">
        <f>IFERROR(__xludf.DUMMYFUNCTION("""COMPUTED_VALUE"""),"SQL")</f>
        <v>SQL</v>
      </c>
      <c r="E4161" s="9" t="str">
        <f>IFERROR(__xludf.DUMMYFUNCTION("""COMPUTED_VALUE"""),"VBA")</f>
        <v>VBA</v>
      </c>
      <c r="F4161" s="9" t="str">
        <f>IFERROR(__xludf.DUMMYFUNCTION("""COMPUTED_VALUE"""),"C#")</f>
        <v>C#</v>
      </c>
      <c r="G4161" s="9" t="str">
        <f>IFERROR(__xludf.DUMMYFUNCTION("""COMPUTED_VALUE"""),"Java")</f>
        <v>Java</v>
      </c>
      <c r="H4161" s="9" t="str">
        <f>IFERROR(__xludf.DUMMYFUNCTION("""COMPUTED_VALUE"""),"SQL")</f>
        <v>SQL</v>
      </c>
      <c r="I4161" s="9" t="str">
        <f>IFERROR(__xludf.DUMMYFUNCTION("""COMPUTED_VALUE"""),"PHP")</f>
        <v>PHP</v>
      </c>
      <c r="J4161" s="9" t="str">
        <f>IFERROR(__xludf.DUMMYFUNCTION("""COMPUTED_VALUE"""),"SQL")</f>
        <v>SQL</v>
      </c>
      <c r="K4161" s="9" t="str">
        <f>IFERROR(__xludf.DUMMYFUNCTION("""COMPUTED_VALUE"""),"Other(s):")</f>
        <v>Other(s):</v>
      </c>
      <c r="L4161" s="9" t="str">
        <f>IFERROR(__xludf.DUMMYFUNCTION("""COMPUTED_VALUE"""),"Java")</f>
        <v>Java</v>
      </c>
      <c r="M4161" s="9" t="s">
        <v>27</v>
      </c>
    </row>
    <row r="4162" ht="15.75" customHeight="1">
      <c r="A4162" s="7"/>
      <c r="B4162" s="7" t="str">
        <f>IFERROR(__xludf.DUMMYFUNCTION("""COMPUTED_VALUE"""),"C++;C#;HTML/CSS;JavaScript;PHP;Python;SQL;Other(s):")</f>
        <v>C++;C#;HTML/CSS;JavaScript;PHP;Python;SQL;Other(s):</v>
      </c>
      <c r="C4162" s="9" t="str">
        <f>IFERROR(__xludf.DUMMYFUNCTION("""COMPUTED_VALUE"""),"HTML/CSS")</f>
        <v>HTML/CSS</v>
      </c>
      <c r="D4162" s="9" t="str">
        <f>IFERROR(__xludf.DUMMYFUNCTION("""COMPUTED_VALUE"""),"TypeScript")</f>
        <v>TypeScript</v>
      </c>
      <c r="E4162" s="9" t="str">
        <f>IFERROR(__xludf.DUMMYFUNCTION("""COMPUTED_VALUE"""),"Assembly")</f>
        <v>Assembly</v>
      </c>
      <c r="F4162" s="9" t="str">
        <f>IFERROR(__xludf.DUMMYFUNCTION("""COMPUTED_VALUE"""),"HTML/CSS")</f>
        <v>HTML/CSS</v>
      </c>
      <c r="G4162" s="9" t="str">
        <f>IFERROR(__xludf.DUMMYFUNCTION("""COMPUTED_VALUE"""),"JavaScript")</f>
        <v>JavaScript</v>
      </c>
      <c r="H4162" s="9" t="str">
        <f>IFERROR(__xludf.DUMMYFUNCTION("""COMPUTED_VALUE"""),"HTML/CSS")</f>
        <v>HTML/CSS</v>
      </c>
      <c r="I4162" s="9" t="str">
        <f>IFERROR(__xludf.DUMMYFUNCTION("""COMPUTED_VALUE"""),"SQL")</f>
        <v>SQL</v>
      </c>
      <c r="J4162" s="9" t="str">
        <f>IFERROR(__xludf.DUMMYFUNCTION("""COMPUTED_VALUE"""),"TypeScript")</f>
        <v>TypeScript</v>
      </c>
      <c r="K4162" s="9" t="str">
        <f>IFERROR(__xludf.DUMMYFUNCTION("""COMPUTED_VALUE"""),"Bash/Shell/PowerShell")</f>
        <v>Bash/Shell/PowerShell</v>
      </c>
      <c r="L4162" s="9" t="str">
        <f>IFERROR(__xludf.DUMMYFUNCTION("""COMPUTED_VALUE"""),"JavaScript")</f>
        <v>JavaScript</v>
      </c>
      <c r="M4162" s="9" t="s">
        <v>24</v>
      </c>
    </row>
    <row r="4163" ht="15.75" customHeight="1">
      <c r="A4163" s="7"/>
      <c r="B4163" s="7" t="str">
        <f>IFERROR(__xludf.DUMMYFUNCTION("""COMPUTED_VALUE"""),"Bash/Shell/PowerShell;C;C++;C#;Dart;Elixir;HTML/CSS;JavaScript;Kotlin;Python;Rust;SQL;Swift;TypeScript")</f>
        <v>Bash/Shell/PowerShell;C;C++;C#;Dart;Elixir;HTML/CSS;JavaScript;Kotlin;Python;Rust;SQL;Swift;TypeScript</v>
      </c>
      <c r="C4163" s="9" t="str">
        <f>IFERROR(__xludf.DUMMYFUNCTION("""COMPUTED_VALUE"""),"JavaScript")</f>
        <v>JavaScript</v>
      </c>
      <c r="D4163" s="9" t="str">
        <f>IFERROR(__xludf.DUMMYFUNCTION("""COMPUTED_VALUE"""),"HTML/CSS")</f>
        <v>HTML/CSS</v>
      </c>
      <c r="E4163" s="9" t="str">
        <f>IFERROR(__xludf.DUMMYFUNCTION("""COMPUTED_VALUE"""),"Java")</f>
        <v>Java</v>
      </c>
      <c r="F4163" s="9" t="str">
        <f>IFERROR(__xludf.DUMMYFUNCTION("""COMPUTED_VALUE"""),"Java")</f>
        <v>Java</v>
      </c>
      <c r="G4163" s="9" t="str">
        <f>IFERROR(__xludf.DUMMYFUNCTION("""COMPUTED_VALUE"""),"Ruby")</f>
        <v>Ruby</v>
      </c>
      <c r="H4163" s="9" t="str">
        <f>IFERROR(__xludf.DUMMYFUNCTION("""COMPUTED_VALUE"""),"Java")</f>
        <v>Java</v>
      </c>
      <c r="I4163" s="9" t="str">
        <f>IFERROR(__xludf.DUMMYFUNCTION("""COMPUTED_VALUE"""),"Assembly")</f>
        <v>Assembly</v>
      </c>
      <c r="J4163" s="9" t="str">
        <f>IFERROR(__xludf.DUMMYFUNCTION("""COMPUTED_VALUE"""),"HTML/CSS")</f>
        <v>HTML/CSS</v>
      </c>
      <c r="K4163" s="9" t="str">
        <f>IFERROR(__xludf.DUMMYFUNCTION("""COMPUTED_VALUE"""),"C++")</f>
        <v>C++</v>
      </c>
      <c r="L4163" s="9" t="str">
        <f>IFERROR(__xludf.DUMMYFUNCTION("""COMPUTED_VALUE"""),"SQL")</f>
        <v>SQL</v>
      </c>
      <c r="M4163" s="9" t="s">
        <v>21</v>
      </c>
    </row>
    <row r="4164" ht="15.75" customHeight="1">
      <c r="A4164" s="7"/>
      <c r="B4164" s="7" t="str">
        <f>IFERROR(__xludf.DUMMYFUNCTION("""COMPUTED_VALUE"""),"C#;HTML/CSS;JavaScript;PHP;SQL;VBA")</f>
        <v>C#;HTML/CSS;JavaScript;PHP;SQL;VBA</v>
      </c>
      <c r="C4164" s="9" t="str">
        <f>IFERROR(__xludf.DUMMYFUNCTION("""COMPUTED_VALUE"""),"TypeScript")</f>
        <v>TypeScript</v>
      </c>
      <c r="D4164" s="9" t="str">
        <f>IFERROR(__xludf.DUMMYFUNCTION("""COMPUTED_VALUE"""),"JavaScript")</f>
        <v>JavaScript</v>
      </c>
      <c r="E4164" s="9" t="str">
        <f>IFERROR(__xludf.DUMMYFUNCTION("""COMPUTED_VALUE"""),"C")</f>
        <v>C</v>
      </c>
      <c r="F4164" s="9" t="str">
        <f>IFERROR(__xludf.DUMMYFUNCTION("""COMPUTED_VALUE"""),"JavaScript")</f>
        <v>JavaScript</v>
      </c>
      <c r="G4164" s="9" t="str">
        <f>IFERROR(__xludf.DUMMYFUNCTION("""COMPUTED_VALUE"""),"C#")</f>
        <v>C#</v>
      </c>
      <c r="H4164" s="9" t="str">
        <f>IFERROR(__xludf.DUMMYFUNCTION("""COMPUTED_VALUE"""),"JavaScript")</f>
        <v>JavaScript</v>
      </c>
      <c r="I4164" s="9" t="str">
        <f>IFERROR(__xludf.DUMMYFUNCTION("""COMPUTED_VALUE"""),"C")</f>
        <v>C</v>
      </c>
      <c r="J4164" s="9" t="str">
        <f>IFERROR(__xludf.DUMMYFUNCTION("""COMPUTED_VALUE"""),"Java")</f>
        <v>Java</v>
      </c>
      <c r="K4164" s="9" t="str">
        <f>IFERROR(__xludf.DUMMYFUNCTION("""COMPUTED_VALUE"""),"C#")</f>
        <v>C#</v>
      </c>
      <c r="L4164" s="9" t="str">
        <f>IFERROR(__xludf.DUMMYFUNCTION("""COMPUTED_VALUE"""),"Python")</f>
        <v>Python</v>
      </c>
      <c r="M4164" s="9" t="s">
        <v>33</v>
      </c>
    </row>
    <row r="4165" ht="15.75" customHeight="1">
      <c r="A4165" s="7"/>
      <c r="B4165" s="7" t="str">
        <f>IFERROR(__xludf.DUMMYFUNCTION("""COMPUTED_VALUE"""),"HTML/CSS;JavaScript;SQL")</f>
        <v>HTML/CSS;JavaScript;SQL</v>
      </c>
      <c r="C4165" s="9" t="str">
        <f>IFERROR(__xludf.DUMMYFUNCTION("""COMPUTED_VALUE"""),"C#")</f>
        <v>C#</v>
      </c>
      <c r="D4165" s="9" t="str">
        <f>IFERROR(__xludf.DUMMYFUNCTION("""COMPUTED_VALUE"""),"Bash/Shell/PowerShell")</f>
        <v>Bash/Shell/PowerShell</v>
      </c>
      <c r="E4165" s="9" t="str">
        <f>IFERROR(__xludf.DUMMYFUNCTION("""COMPUTED_VALUE"""),"C++")</f>
        <v>C++</v>
      </c>
      <c r="F4165" s="9" t="str">
        <f>IFERROR(__xludf.DUMMYFUNCTION("""COMPUTED_VALUE"""),"SQL")</f>
        <v>SQL</v>
      </c>
      <c r="G4165" s="9" t="str">
        <f>IFERROR(__xludf.DUMMYFUNCTION("""COMPUTED_VALUE"""),"Bash/Shell/PowerShell")</f>
        <v>Bash/Shell/PowerShell</v>
      </c>
      <c r="H4165" s="9" t="str">
        <f>IFERROR(__xludf.DUMMYFUNCTION("""COMPUTED_VALUE"""),"TypeScript")</f>
        <v>TypeScript</v>
      </c>
      <c r="I4165" s="9" t="str">
        <f>IFERROR(__xludf.DUMMYFUNCTION("""COMPUTED_VALUE"""),"C++")</f>
        <v>C++</v>
      </c>
      <c r="J4165" s="9" t="str">
        <f>IFERROR(__xludf.DUMMYFUNCTION("""COMPUTED_VALUE"""),"JavaScript")</f>
        <v>JavaScript</v>
      </c>
      <c r="K4165" s="9" t="str">
        <f>IFERROR(__xludf.DUMMYFUNCTION("""COMPUTED_VALUE"""),"HTML/CSS")</f>
        <v>HTML/CSS</v>
      </c>
      <c r="L4165" s="9" t="str">
        <f>IFERROR(__xludf.DUMMYFUNCTION("""COMPUTED_VALUE"""),"HTML/CSS")</f>
        <v>HTML/CSS</v>
      </c>
      <c r="M4165" s="9" t="s">
        <v>26</v>
      </c>
    </row>
    <row r="4166" ht="15.75" customHeight="1">
      <c r="A4166" s="7"/>
      <c r="B4166" s="7" t="str">
        <f>IFERROR(__xludf.DUMMYFUNCTION("""COMPUTED_VALUE"""),"Bash/Shell/PowerShell;HTML/CSS;JavaScript;Python")</f>
        <v>Bash/Shell/PowerShell;HTML/CSS;JavaScript;Python</v>
      </c>
      <c r="C4166" s="9" t="str">
        <f>IFERROR(__xludf.DUMMYFUNCTION("""COMPUTED_VALUE"""),"HTML/CSS")</f>
        <v>HTML/CSS</v>
      </c>
      <c r="D4166" s="9" t="str">
        <f>IFERROR(__xludf.DUMMYFUNCTION("""COMPUTED_VALUE"""),"C")</f>
        <v>C</v>
      </c>
      <c r="E4166" s="9" t="str">
        <f>IFERROR(__xludf.DUMMYFUNCTION("""COMPUTED_VALUE"""),"HTML/CSS")</f>
        <v>HTML/CSS</v>
      </c>
      <c r="F4166" s="9" t="str">
        <f>IFERROR(__xludf.DUMMYFUNCTION("""COMPUTED_VALUE"""),"VBA")</f>
        <v>VBA</v>
      </c>
      <c r="G4166" s="9" t="str">
        <f>IFERROR(__xludf.DUMMYFUNCTION("""COMPUTED_VALUE"""),"Objective-C")</f>
        <v>Objective-C</v>
      </c>
      <c r="H4166" s="9" t="str">
        <f>IFERROR(__xludf.DUMMYFUNCTION("""COMPUTED_VALUE"""),"C#")</f>
        <v>C#</v>
      </c>
      <c r="I4166" s="9" t="str">
        <f>IFERROR(__xludf.DUMMYFUNCTION("""COMPUTED_VALUE"""),"C#")</f>
        <v>C#</v>
      </c>
      <c r="J4166" s="9" t="str">
        <f>IFERROR(__xludf.DUMMYFUNCTION("""COMPUTED_VALUE"""),"Python")</f>
        <v>Python</v>
      </c>
      <c r="K4166" s="9" t="str">
        <f>IFERROR(__xludf.DUMMYFUNCTION("""COMPUTED_VALUE"""),"JavaScript")</f>
        <v>JavaScript</v>
      </c>
      <c r="L4166" s="9" t="str">
        <f>IFERROR(__xludf.DUMMYFUNCTION("""COMPUTED_VALUE"""),"Java")</f>
        <v>Java</v>
      </c>
      <c r="M4166" s="9" t="s">
        <v>24</v>
      </c>
    </row>
    <row r="4167" ht="15.75" customHeight="1">
      <c r="A4167" s="7"/>
      <c r="B4167" s="7" t="str">
        <f>IFERROR(__xludf.DUMMYFUNCTION("""COMPUTED_VALUE"""),"HTML/CSS;Java;JavaScript;PHP")</f>
        <v>HTML/CSS;Java;JavaScript;PHP</v>
      </c>
      <c r="C4167" s="9" t="str">
        <f>IFERROR(__xludf.DUMMYFUNCTION("""COMPUTED_VALUE"""),"Java")</f>
        <v>Java</v>
      </c>
      <c r="D4167" s="9" t="str">
        <f>IFERROR(__xludf.DUMMYFUNCTION("""COMPUTED_VALUE"""),"Go")</f>
        <v>Go</v>
      </c>
      <c r="E4167" s="9" t="str">
        <f>IFERROR(__xludf.DUMMYFUNCTION("""COMPUTED_VALUE"""),"JavaScript")</f>
        <v>JavaScript</v>
      </c>
      <c r="F4167" s="9" t="str">
        <f>IFERROR(__xludf.DUMMYFUNCTION("""COMPUTED_VALUE"""),"Bash/Shell/PowerShell")</f>
        <v>Bash/Shell/PowerShell</v>
      </c>
      <c r="G4167" s="9" t="str">
        <f>IFERROR(__xludf.DUMMYFUNCTION("""COMPUTED_VALUE"""),"Ruby")</f>
        <v>Ruby</v>
      </c>
      <c r="H4167" s="9" t="str">
        <f>IFERROR(__xludf.DUMMYFUNCTION("""COMPUTED_VALUE"""),"Bash/Shell/PowerShell")</f>
        <v>Bash/Shell/PowerShell</v>
      </c>
      <c r="I4167" s="9" t="str">
        <f>IFERROR(__xludf.DUMMYFUNCTION("""COMPUTED_VALUE"""),"HTML/CSS")</f>
        <v>HTML/CSS</v>
      </c>
      <c r="J4167" s="9" t="str">
        <f>IFERROR(__xludf.DUMMYFUNCTION("""COMPUTED_VALUE"""),"SQL")</f>
        <v>SQL</v>
      </c>
      <c r="K4167" s="9" t="str">
        <f>IFERROR(__xludf.DUMMYFUNCTION("""COMPUTED_VALUE"""),"PHP")</f>
        <v>PHP</v>
      </c>
      <c r="L4167" s="9" t="str">
        <f>IFERROR(__xludf.DUMMYFUNCTION("""COMPUTED_VALUE"""),"JavaScript")</f>
        <v>JavaScript</v>
      </c>
      <c r="M4167" s="9" t="s">
        <v>20</v>
      </c>
    </row>
    <row r="4168" ht="15.75" customHeight="1">
      <c r="A4168" s="7"/>
      <c r="B4168" s="7" t="str">
        <f>IFERROR(__xludf.DUMMYFUNCTION("""COMPUTED_VALUE"""),"Java")</f>
        <v>Java</v>
      </c>
      <c r="C4168" s="9" t="str">
        <f>IFERROR(__xludf.DUMMYFUNCTION("""COMPUTED_VALUE"""),"JavaScript")</f>
        <v>JavaScript</v>
      </c>
      <c r="D4168" s="9" t="str">
        <f>IFERROR(__xludf.DUMMYFUNCTION("""COMPUTED_VALUE"""),"PHP")</f>
        <v>PHP</v>
      </c>
      <c r="E4168" s="9" t="str">
        <f>IFERROR(__xludf.DUMMYFUNCTION("""COMPUTED_VALUE"""),"Python")</f>
        <v>Python</v>
      </c>
      <c r="F4168" s="9" t="str">
        <f>IFERROR(__xludf.DUMMYFUNCTION("""COMPUTED_VALUE"""),"HTML/CSS")</f>
        <v>HTML/CSS</v>
      </c>
      <c r="G4168" s="9" t="str">
        <f>IFERROR(__xludf.DUMMYFUNCTION("""COMPUTED_VALUE"""),"Swift")</f>
        <v>Swift</v>
      </c>
      <c r="H4168" s="9" t="str">
        <f>IFERROR(__xludf.DUMMYFUNCTION("""COMPUTED_VALUE"""),"HTML/CSS")</f>
        <v>HTML/CSS</v>
      </c>
      <c r="I4168" s="9" t="str">
        <f>IFERROR(__xludf.DUMMYFUNCTION("""COMPUTED_VALUE"""),"Java")</f>
        <v>Java</v>
      </c>
      <c r="J4168" s="9" t="str">
        <f>IFERROR(__xludf.DUMMYFUNCTION("""COMPUTED_VALUE"""),"Other(s):")</f>
        <v>Other(s):</v>
      </c>
      <c r="K4168" s="9" t="str">
        <f>IFERROR(__xludf.DUMMYFUNCTION("""COMPUTED_VALUE"""),"Python")</f>
        <v>Python</v>
      </c>
      <c r="L4168" s="9" t="str">
        <f>IFERROR(__xludf.DUMMYFUNCTION("""COMPUTED_VALUE"""),"Python")</f>
        <v>Python</v>
      </c>
      <c r="M4168" s="9" t="s">
        <v>21</v>
      </c>
    </row>
    <row r="4169" ht="15.75" customHeight="1">
      <c r="A4169" s="7"/>
      <c r="B4169" s="7" t="str">
        <f>IFERROR(__xludf.DUMMYFUNCTION("""COMPUTED_VALUE"""),"C;C++;HTML/CSS;Java;JavaScript;PHP;Python;SQL;TypeScript")</f>
        <v>C;C++;HTML/CSS;Java;JavaScript;PHP;Python;SQL;TypeScript</v>
      </c>
      <c r="C4169" s="9" t="str">
        <f>IFERROR(__xludf.DUMMYFUNCTION("""COMPUTED_VALUE"""),"Python")</f>
        <v>Python</v>
      </c>
      <c r="D4169" s="9" t="str">
        <f>IFERROR(__xludf.DUMMYFUNCTION("""COMPUTED_VALUE"""),"Python")</f>
        <v>Python</v>
      </c>
      <c r="E4169" s="9" t="str">
        <f>IFERROR(__xludf.DUMMYFUNCTION("""COMPUTED_VALUE"""),"SQL")</f>
        <v>SQL</v>
      </c>
      <c r="F4169" s="9" t="str">
        <f>IFERROR(__xludf.DUMMYFUNCTION("""COMPUTED_VALUE"""),"Java")</f>
        <v>Java</v>
      </c>
      <c r="G4169" s="9" t="str">
        <f>IFERROR(__xludf.DUMMYFUNCTION("""COMPUTED_VALUE"""),"HTML/CSS")</f>
        <v>HTML/CSS</v>
      </c>
      <c r="H4169" s="9" t="str">
        <f>IFERROR(__xludf.DUMMYFUNCTION("""COMPUTED_VALUE"""),"Java")</f>
        <v>Java</v>
      </c>
      <c r="I4169" s="9" t="str">
        <f>IFERROR(__xludf.DUMMYFUNCTION("""COMPUTED_VALUE"""),"JavaScript")</f>
        <v>JavaScript</v>
      </c>
      <c r="J4169" s="9" t="str">
        <f>IFERROR(__xludf.DUMMYFUNCTION("""COMPUTED_VALUE"""),"Bash/Shell/PowerShell")</f>
        <v>Bash/Shell/PowerShell</v>
      </c>
      <c r="K4169" s="9" t="str">
        <f>IFERROR(__xludf.DUMMYFUNCTION("""COMPUTED_VALUE"""),"SQL")</f>
        <v>SQL</v>
      </c>
      <c r="L4169" s="9" t="str">
        <f>IFERROR(__xludf.DUMMYFUNCTION("""COMPUTED_VALUE"""),"SQL")</f>
        <v>SQL</v>
      </c>
      <c r="M4169" s="9" t="s">
        <v>22</v>
      </c>
    </row>
    <row r="4170" ht="15.75" customHeight="1">
      <c r="A4170" s="7"/>
      <c r="B4170" s="7" t="str">
        <f>IFERROR(__xludf.DUMMYFUNCTION("""COMPUTED_VALUE"""),"HTML/CSS;PHP;SQL")</f>
        <v>HTML/CSS;PHP;SQL</v>
      </c>
      <c r="C4170" s="9" t="str">
        <f>IFERROR(__xludf.DUMMYFUNCTION("""COMPUTED_VALUE"""),"R")</f>
        <v>R</v>
      </c>
      <c r="D4170" s="9" t="str">
        <f>IFERROR(__xludf.DUMMYFUNCTION("""COMPUTED_VALUE"""),"C#")</f>
        <v>C#</v>
      </c>
      <c r="E4170" s="9" t="str">
        <f>IFERROR(__xludf.DUMMYFUNCTION("""COMPUTED_VALUE"""),"C#")</f>
        <v>C#</v>
      </c>
      <c r="F4170" s="9" t="str">
        <f>IFERROR(__xludf.DUMMYFUNCTION("""COMPUTED_VALUE"""),"JavaScript")</f>
        <v>JavaScript</v>
      </c>
      <c r="G4170" s="9" t="str">
        <f>IFERROR(__xludf.DUMMYFUNCTION("""COMPUTED_VALUE"""),"Java")</f>
        <v>Java</v>
      </c>
      <c r="H4170" s="9" t="str">
        <f>IFERROR(__xludf.DUMMYFUNCTION("""COMPUTED_VALUE"""),"JavaScript")</f>
        <v>JavaScript</v>
      </c>
      <c r="I4170" s="9" t="str">
        <f>IFERROR(__xludf.DUMMYFUNCTION("""COMPUTED_VALUE"""),"PHP")</f>
        <v>PHP</v>
      </c>
      <c r="J4170" s="9" t="str">
        <f>IFERROR(__xludf.DUMMYFUNCTION("""COMPUTED_VALUE"""),"C")</f>
        <v>C</v>
      </c>
      <c r="K4170" s="9" t="str">
        <f>IFERROR(__xludf.DUMMYFUNCTION("""COMPUTED_VALUE"""),"TypeScript")</f>
        <v>TypeScript</v>
      </c>
      <c r="L4170" s="9" t="str">
        <f>IFERROR(__xludf.DUMMYFUNCTION("""COMPUTED_VALUE"""),"JavaScript")</f>
        <v>JavaScript</v>
      </c>
      <c r="M4170" s="9" t="s">
        <v>29</v>
      </c>
    </row>
    <row r="4171" ht="15.75" customHeight="1">
      <c r="A4171" s="7"/>
      <c r="B4171" s="7" t="str">
        <f>IFERROR(__xludf.DUMMYFUNCTION("""COMPUTED_VALUE"""),"Bash/Shell/PowerShell;HTML/CSS;JavaScript;PHP;SQL")</f>
        <v>Bash/Shell/PowerShell;HTML/CSS;JavaScript;PHP;SQL</v>
      </c>
      <c r="C4171" s="9" t="str">
        <f>IFERROR(__xludf.DUMMYFUNCTION("""COMPUTED_VALUE"""),"HTML/CSS")</f>
        <v>HTML/CSS</v>
      </c>
      <c r="D4171" s="9" t="str">
        <f>IFERROR(__xludf.DUMMYFUNCTION("""COMPUTED_VALUE"""),"JavaScript")</f>
        <v>JavaScript</v>
      </c>
      <c r="E4171" s="9" t="str">
        <f>IFERROR(__xludf.DUMMYFUNCTION("""COMPUTED_VALUE"""),"HTML/CSS")</f>
        <v>HTML/CSS</v>
      </c>
      <c r="F4171" s="9" t="str">
        <f>IFERROR(__xludf.DUMMYFUNCTION("""COMPUTED_VALUE"""),"PHP")</f>
        <v>PHP</v>
      </c>
      <c r="G4171" s="9" t="str">
        <f>IFERROR(__xludf.DUMMYFUNCTION("""COMPUTED_VALUE"""),"JavaScript")</f>
        <v>JavaScript</v>
      </c>
      <c r="H4171" s="9" t="str">
        <f>IFERROR(__xludf.DUMMYFUNCTION("""COMPUTED_VALUE"""),"Kotlin")</f>
        <v>Kotlin</v>
      </c>
      <c r="I4171" s="9" t="str">
        <f>IFERROR(__xludf.DUMMYFUNCTION("""COMPUTED_VALUE"""),"SQL")</f>
        <v>SQL</v>
      </c>
      <c r="J4171" s="9" t="str">
        <f>IFERROR(__xludf.DUMMYFUNCTION("""COMPUTED_VALUE"""),"C++")</f>
        <v>C++</v>
      </c>
      <c r="K4171" s="9" t="str">
        <f>IFERROR(__xludf.DUMMYFUNCTION("""COMPUTED_VALUE"""),"VBA")</f>
        <v>VBA</v>
      </c>
      <c r="L4171" s="9" t="str">
        <f>IFERROR(__xludf.DUMMYFUNCTION("""COMPUTED_VALUE"""),"Python")</f>
        <v>Python</v>
      </c>
      <c r="M4171" s="9" t="s">
        <v>24</v>
      </c>
    </row>
    <row r="4172" ht="15.75" customHeight="1">
      <c r="A4172" s="7"/>
      <c r="B4172" s="7" t="str">
        <f>IFERROR(__xludf.DUMMYFUNCTION("""COMPUTED_VALUE"""),"Bash/Shell/PowerShell;HTML/CSS;JavaScript;Python;SQL")</f>
        <v>Bash/Shell/PowerShell;HTML/CSS;JavaScript;Python;SQL</v>
      </c>
      <c r="C4172" s="9" t="str">
        <f>IFERROR(__xludf.DUMMYFUNCTION("""COMPUTED_VALUE"""),"JavaScript")</f>
        <v>JavaScript</v>
      </c>
      <c r="D4172" s="9" t="str">
        <f>IFERROR(__xludf.DUMMYFUNCTION("""COMPUTED_VALUE"""),"TypeScript")</f>
        <v>TypeScript</v>
      </c>
      <c r="E4172" s="9" t="str">
        <f>IFERROR(__xludf.DUMMYFUNCTION("""COMPUTED_VALUE"""),"JavaScript")</f>
        <v>JavaScript</v>
      </c>
      <c r="F4172" s="9" t="str">
        <f>IFERROR(__xludf.DUMMYFUNCTION("""COMPUTED_VALUE"""),"Bash/Shell/PowerShell")</f>
        <v>Bash/Shell/PowerShell</v>
      </c>
      <c r="G4172" s="9" t="str">
        <f>IFERROR(__xludf.DUMMYFUNCTION("""COMPUTED_VALUE"""),"PHP")</f>
        <v>PHP</v>
      </c>
      <c r="H4172" s="9" t="str">
        <f>IFERROR(__xludf.DUMMYFUNCTION("""COMPUTED_VALUE"""),"Objective-C")</f>
        <v>Objective-C</v>
      </c>
      <c r="I4172" s="9" t="str">
        <f>IFERROR(__xludf.DUMMYFUNCTION("""COMPUTED_VALUE"""),"HTML/CSS")</f>
        <v>HTML/CSS</v>
      </c>
      <c r="J4172" s="9" t="str">
        <f>IFERROR(__xludf.DUMMYFUNCTION("""COMPUTED_VALUE"""),"Python")</f>
        <v>Python</v>
      </c>
      <c r="K4172" s="9" t="str">
        <f>IFERROR(__xludf.DUMMYFUNCTION("""COMPUTED_VALUE"""),"C")</f>
        <v>C</v>
      </c>
      <c r="L4172" s="9" t="str">
        <f>IFERROR(__xludf.DUMMYFUNCTION("""COMPUTED_VALUE"""),"Go")</f>
        <v>Go</v>
      </c>
      <c r="M4172" s="9" t="s">
        <v>21</v>
      </c>
    </row>
    <row r="4173" ht="15.75" customHeight="1">
      <c r="A4173" s="7"/>
      <c r="B4173" s="7" t="str">
        <f>IFERROR(__xludf.DUMMYFUNCTION("""COMPUTED_VALUE"""),"C++;C#;HTML/CSS;Java;Kotlin;PHP;Swift")</f>
        <v>C++;C#;HTML/CSS;Java;Kotlin;PHP;Swift</v>
      </c>
      <c r="C4173" s="9" t="str">
        <f>IFERROR(__xludf.DUMMYFUNCTION("""COMPUTED_VALUE"""),"PHP")</f>
        <v>PHP</v>
      </c>
      <c r="D4173" s="9" t="str">
        <f>IFERROR(__xludf.DUMMYFUNCTION("""COMPUTED_VALUE"""),"Bash/Shell/PowerShell")</f>
        <v>Bash/Shell/PowerShell</v>
      </c>
      <c r="E4173" s="9" t="str">
        <f>IFERROR(__xludf.DUMMYFUNCTION("""COMPUTED_VALUE"""),"SQL")</f>
        <v>SQL</v>
      </c>
      <c r="F4173" s="9" t="str">
        <f>IFERROR(__xludf.DUMMYFUNCTION("""COMPUTED_VALUE"""),"C")</f>
        <v>C</v>
      </c>
      <c r="G4173" s="9" t="str">
        <f>IFERROR(__xludf.DUMMYFUNCTION("""COMPUTED_VALUE"""),"SQL")</f>
        <v>SQL</v>
      </c>
      <c r="H4173" s="9" t="str">
        <f>IFERROR(__xludf.DUMMYFUNCTION("""COMPUTED_VALUE"""),"Swift")</f>
        <v>Swift</v>
      </c>
      <c r="I4173" s="9" t="str">
        <f>IFERROR(__xludf.DUMMYFUNCTION("""COMPUTED_VALUE"""),"Java")</f>
        <v>Java</v>
      </c>
      <c r="J4173" s="9" t="str">
        <f>IFERROR(__xludf.DUMMYFUNCTION("""COMPUTED_VALUE"""),"JavaScript")</f>
        <v>JavaScript</v>
      </c>
      <c r="K4173" s="9" t="str">
        <f>IFERROR(__xludf.DUMMYFUNCTION("""COMPUTED_VALUE"""),"C++")</f>
        <v>C++</v>
      </c>
      <c r="L4173" s="9" t="str">
        <f>IFERROR(__xludf.DUMMYFUNCTION("""COMPUTED_VALUE"""),"Java")</f>
        <v>Java</v>
      </c>
      <c r="M4173" s="9" t="s">
        <v>37</v>
      </c>
    </row>
    <row r="4174" ht="15.75" customHeight="1">
      <c r="A4174" s="7"/>
      <c r="B4174" s="7" t="str">
        <f>IFERROR(__xludf.DUMMYFUNCTION("""COMPUTED_VALUE"""),"HTML/CSS;JavaScript;TypeScript")</f>
        <v>HTML/CSS;JavaScript;TypeScript</v>
      </c>
      <c r="C4174" s="9" t="str">
        <f>IFERROR(__xludf.DUMMYFUNCTION("""COMPUTED_VALUE"""),"SQL")</f>
        <v>SQL</v>
      </c>
      <c r="D4174" s="9" t="str">
        <f>IFERROR(__xludf.DUMMYFUNCTION("""COMPUTED_VALUE"""),"C++")</f>
        <v>C++</v>
      </c>
      <c r="E4174" s="9" t="str">
        <f>IFERROR(__xludf.DUMMYFUNCTION("""COMPUTED_VALUE"""),"HTML/CSS")</f>
        <v>HTML/CSS</v>
      </c>
      <c r="F4174" s="9" t="str">
        <f>IFERROR(__xludf.DUMMYFUNCTION("""COMPUTED_VALUE"""),"C++")</f>
        <v>C++</v>
      </c>
      <c r="G4174" s="9" t="str">
        <f>IFERROR(__xludf.DUMMYFUNCTION("""COMPUTED_VALUE"""),"TypeScript")</f>
        <v>TypeScript</v>
      </c>
      <c r="H4174" s="9" t="str">
        <f>IFERROR(__xludf.DUMMYFUNCTION("""COMPUTED_VALUE"""),"TypeScript")</f>
        <v>TypeScript</v>
      </c>
      <c r="I4174" s="9" t="str">
        <f>IFERROR(__xludf.DUMMYFUNCTION("""COMPUTED_VALUE"""),"JavaScript")</f>
        <v>JavaScript</v>
      </c>
      <c r="J4174" s="9" t="str">
        <f>IFERROR(__xludf.DUMMYFUNCTION("""COMPUTED_VALUE"""),"C#")</f>
        <v>C#</v>
      </c>
      <c r="K4174" s="9" t="str">
        <f>IFERROR(__xludf.DUMMYFUNCTION("""COMPUTED_VALUE"""),"HTML/CSS")</f>
        <v>HTML/CSS</v>
      </c>
      <c r="L4174" s="9" t="str">
        <f>IFERROR(__xludf.DUMMYFUNCTION("""COMPUTED_VALUE"""),"JavaScript")</f>
        <v>JavaScript</v>
      </c>
      <c r="M4174" s="9" t="s">
        <v>27</v>
      </c>
    </row>
    <row r="4175" ht="15.75" customHeight="1">
      <c r="A4175" s="7"/>
      <c r="B4175" s="7" t="str">
        <f>IFERROR(__xludf.DUMMYFUNCTION("""COMPUTED_VALUE"""),"Go;HTML/CSS;JavaScript;Kotlin;Python;Ruby")</f>
        <v>Go;HTML/CSS;JavaScript;Kotlin;Python;Ruby</v>
      </c>
      <c r="C4175" s="9" t="str">
        <f>IFERROR(__xludf.DUMMYFUNCTION("""COMPUTED_VALUE"""),"C#")</f>
        <v>C#</v>
      </c>
      <c r="D4175" s="9" t="str">
        <f>IFERROR(__xludf.DUMMYFUNCTION("""COMPUTED_VALUE"""),"HTML/CSS")</f>
        <v>HTML/CSS</v>
      </c>
      <c r="E4175" s="9" t="str">
        <f>IFERROR(__xludf.DUMMYFUNCTION("""COMPUTED_VALUE"""),"JavaScript")</f>
        <v>JavaScript</v>
      </c>
      <c r="F4175" s="9" t="str">
        <f>IFERROR(__xludf.DUMMYFUNCTION("""COMPUTED_VALUE"""),"HTML/CSS")</f>
        <v>HTML/CSS</v>
      </c>
      <c r="G4175" s="9" t="str">
        <f>IFERROR(__xludf.DUMMYFUNCTION("""COMPUTED_VALUE"""),"HTML/CSS")</f>
        <v>HTML/CSS</v>
      </c>
      <c r="H4175" s="9" t="str">
        <f>IFERROR(__xludf.DUMMYFUNCTION("""COMPUTED_VALUE"""),"C#")</f>
        <v>C#</v>
      </c>
      <c r="I4175" s="9" t="str">
        <f>IFERROR(__xludf.DUMMYFUNCTION("""COMPUTED_VALUE"""),"Python")</f>
        <v>Python</v>
      </c>
      <c r="J4175" s="9" t="str">
        <f>IFERROR(__xludf.DUMMYFUNCTION("""COMPUTED_VALUE"""),"HTML/CSS")</f>
        <v>HTML/CSS</v>
      </c>
      <c r="K4175" s="9" t="str">
        <f>IFERROR(__xludf.DUMMYFUNCTION("""COMPUTED_VALUE"""),"Java")</f>
        <v>Java</v>
      </c>
      <c r="L4175" s="9" t="str">
        <f>IFERROR(__xludf.DUMMYFUNCTION("""COMPUTED_VALUE"""),"Python")</f>
        <v>Python</v>
      </c>
      <c r="M4175" s="9" t="s">
        <v>26</v>
      </c>
    </row>
    <row r="4176" ht="15.75" customHeight="1">
      <c r="A4176" s="7"/>
      <c r="B4176" s="7" t="str">
        <f>IFERROR(__xludf.DUMMYFUNCTION("""COMPUTED_VALUE"""),"C#")</f>
        <v>C#</v>
      </c>
      <c r="C4176" s="9" t="str">
        <f>IFERROR(__xludf.DUMMYFUNCTION("""COMPUTED_VALUE"""),"Java")</f>
        <v>Java</v>
      </c>
      <c r="D4176" s="9" t="str">
        <f>IFERROR(__xludf.DUMMYFUNCTION("""COMPUTED_VALUE"""),"Java")</f>
        <v>Java</v>
      </c>
      <c r="E4176" s="9" t="str">
        <f>IFERROR(__xludf.DUMMYFUNCTION("""COMPUTED_VALUE"""),"Python")</f>
        <v>Python</v>
      </c>
      <c r="F4176" s="9" t="str">
        <f>IFERROR(__xludf.DUMMYFUNCTION("""COMPUTED_VALUE"""),"JavaScript")</f>
        <v>JavaScript</v>
      </c>
      <c r="G4176" s="9" t="str">
        <f>IFERROR(__xludf.DUMMYFUNCTION("""COMPUTED_VALUE"""),"Java")</f>
        <v>Java</v>
      </c>
      <c r="H4176" s="9" t="str">
        <f>IFERROR(__xludf.DUMMYFUNCTION("""COMPUTED_VALUE"""),"HTML/CSS")</f>
        <v>HTML/CSS</v>
      </c>
      <c r="I4176" s="9" t="str">
        <f>IFERROR(__xludf.DUMMYFUNCTION("""COMPUTED_VALUE"""),"SQL")</f>
        <v>SQL</v>
      </c>
      <c r="J4176" s="9" t="str">
        <f>IFERROR(__xludf.DUMMYFUNCTION("""COMPUTED_VALUE"""),"JavaScript")</f>
        <v>JavaScript</v>
      </c>
      <c r="K4176" s="9" t="str">
        <f>IFERROR(__xludf.DUMMYFUNCTION("""COMPUTED_VALUE"""),"JavaScript")</f>
        <v>JavaScript</v>
      </c>
      <c r="L4176" s="9" t="str">
        <f>IFERROR(__xludf.DUMMYFUNCTION("""COMPUTED_VALUE"""),"Bash/Shell/PowerShell")</f>
        <v>Bash/Shell/PowerShell</v>
      </c>
      <c r="M4176" s="9" t="s">
        <v>20</v>
      </c>
    </row>
    <row r="4177" ht="15.75" customHeight="1">
      <c r="A4177" s="7"/>
      <c r="B4177" s="7" t="str">
        <f>IFERROR(__xludf.DUMMYFUNCTION("""COMPUTED_VALUE"""),"HTML/CSS;Java;JavaScript;SQL;TypeScript;Other(s):")</f>
        <v>HTML/CSS;Java;JavaScript;SQL;TypeScript;Other(s):</v>
      </c>
      <c r="C4177" s="9" t="str">
        <f>IFERROR(__xludf.DUMMYFUNCTION("""COMPUTED_VALUE"""),"SQL")</f>
        <v>SQL</v>
      </c>
      <c r="D4177" s="9" t="str">
        <f>IFERROR(__xludf.DUMMYFUNCTION("""COMPUTED_VALUE"""),"JavaScript")</f>
        <v>JavaScript</v>
      </c>
      <c r="E4177" s="9" t="str">
        <f>IFERROR(__xludf.DUMMYFUNCTION("""COMPUTED_VALUE"""),"SQL")</f>
        <v>SQL</v>
      </c>
      <c r="F4177" s="9" t="str">
        <f>IFERROR(__xludf.DUMMYFUNCTION("""COMPUTED_VALUE"""),"Python")</f>
        <v>Python</v>
      </c>
      <c r="G4177" s="9" t="str">
        <f>IFERROR(__xludf.DUMMYFUNCTION("""COMPUTED_VALUE"""),"JavaScript")</f>
        <v>JavaScript</v>
      </c>
      <c r="H4177" s="9" t="str">
        <f>IFERROR(__xludf.DUMMYFUNCTION("""COMPUTED_VALUE"""),"JavaScript")</f>
        <v>JavaScript</v>
      </c>
      <c r="I4177" s="9" t="str">
        <f>IFERROR(__xludf.DUMMYFUNCTION("""COMPUTED_VALUE"""),"TypeScript")</f>
        <v>TypeScript</v>
      </c>
      <c r="J4177" s="9" t="str">
        <f>IFERROR(__xludf.DUMMYFUNCTION("""COMPUTED_VALUE"""),"PHP")</f>
        <v>PHP</v>
      </c>
      <c r="K4177" s="9" t="str">
        <f>IFERROR(__xludf.DUMMYFUNCTION("""COMPUTED_VALUE"""),"Objective-C")</f>
        <v>Objective-C</v>
      </c>
      <c r="L4177" s="9" t="str">
        <f>IFERROR(__xludf.DUMMYFUNCTION("""COMPUTED_VALUE"""),"C#")</f>
        <v>C#</v>
      </c>
      <c r="M4177" s="9" t="s">
        <v>27</v>
      </c>
    </row>
    <row r="4178" ht="15.75" customHeight="1">
      <c r="A4178" s="7"/>
      <c r="B4178" s="7" t="str">
        <f>IFERROR(__xludf.DUMMYFUNCTION("""COMPUTED_VALUE"""),"Bash/Shell/PowerShell;C;C++;HTML/CSS;Java;JavaScript;PHP;Python;SQL;VBA")</f>
        <v>Bash/Shell/PowerShell;C;C++;HTML/CSS;Java;JavaScript;PHP;Python;SQL;VBA</v>
      </c>
      <c r="C4178" s="9" t="str">
        <f>IFERROR(__xludf.DUMMYFUNCTION("""COMPUTED_VALUE"""),"C#")</f>
        <v>C#</v>
      </c>
      <c r="D4178" s="9" t="str">
        <f>IFERROR(__xludf.DUMMYFUNCTION("""COMPUTED_VALUE"""),"SQL")</f>
        <v>SQL</v>
      </c>
      <c r="E4178" s="9" t="str">
        <f>IFERROR(__xludf.DUMMYFUNCTION("""COMPUTED_VALUE"""),"C#")</f>
        <v>C#</v>
      </c>
      <c r="F4178" s="9" t="str">
        <f>IFERROR(__xludf.DUMMYFUNCTION("""COMPUTED_VALUE"""),"SQL")</f>
        <v>SQL</v>
      </c>
      <c r="G4178" s="9" t="str">
        <f>IFERROR(__xludf.DUMMYFUNCTION("""COMPUTED_VALUE"""),"SQL")</f>
        <v>SQL</v>
      </c>
      <c r="H4178" s="9" t="str">
        <f>IFERROR(__xludf.DUMMYFUNCTION("""COMPUTED_VALUE"""),"SQL")</f>
        <v>SQL</v>
      </c>
      <c r="I4178" s="9" t="str">
        <f>IFERROR(__xludf.DUMMYFUNCTION("""COMPUTED_VALUE"""),"JavaScript")</f>
        <v>JavaScript</v>
      </c>
      <c r="J4178" s="9" t="str">
        <f>IFERROR(__xludf.DUMMYFUNCTION("""COMPUTED_VALUE"""),"Bash/Shell/PowerShell")</f>
        <v>Bash/Shell/PowerShell</v>
      </c>
      <c r="K4178" s="9" t="str">
        <f>IFERROR(__xludf.DUMMYFUNCTION("""COMPUTED_VALUE"""),"PHP")</f>
        <v>PHP</v>
      </c>
      <c r="L4178" s="9" t="str">
        <f>IFERROR(__xludf.DUMMYFUNCTION("""COMPUTED_VALUE"""),"JavaScript")</f>
        <v>JavaScript</v>
      </c>
      <c r="M4178" s="9" t="s">
        <v>26</v>
      </c>
    </row>
    <row r="4179" ht="15.75" customHeight="1">
      <c r="A4179" s="7"/>
      <c r="B4179" s="7" t="str">
        <f>IFERROR(__xludf.DUMMYFUNCTION("""COMPUTED_VALUE"""),"HTML/CSS;JavaScript;TypeScript")</f>
        <v>HTML/CSS;JavaScript;TypeScript</v>
      </c>
      <c r="C4179" s="9" t="str">
        <f>IFERROR(__xludf.DUMMYFUNCTION("""COMPUTED_VALUE"""),"Java")</f>
        <v>Java</v>
      </c>
      <c r="D4179" s="9" t="str">
        <f>IFERROR(__xludf.DUMMYFUNCTION("""COMPUTED_VALUE"""),"C#")</f>
        <v>C#</v>
      </c>
      <c r="E4179" s="9" t="str">
        <f>IFERROR(__xludf.DUMMYFUNCTION("""COMPUTED_VALUE"""),"HTML/CSS")</f>
        <v>HTML/CSS</v>
      </c>
      <c r="F4179" s="9" t="str">
        <f>IFERROR(__xludf.DUMMYFUNCTION("""COMPUTED_VALUE"""),"Dart")</f>
        <v>Dart</v>
      </c>
      <c r="G4179" s="9" t="str">
        <f>IFERROR(__xludf.DUMMYFUNCTION("""COMPUTED_VALUE"""),"C#")</f>
        <v>C#</v>
      </c>
      <c r="H4179" s="9" t="str">
        <f>IFERROR(__xludf.DUMMYFUNCTION("""COMPUTED_VALUE"""),"TypeScript")</f>
        <v>TypeScript</v>
      </c>
      <c r="I4179" s="9" t="str">
        <f>IFERROR(__xludf.DUMMYFUNCTION("""COMPUTED_VALUE"""),"Ruby")</f>
        <v>Ruby</v>
      </c>
      <c r="J4179" s="9" t="str">
        <f>IFERROR(__xludf.DUMMYFUNCTION("""COMPUTED_VALUE"""),"C++")</f>
        <v>C++</v>
      </c>
      <c r="K4179" s="9" t="str">
        <f>IFERROR(__xludf.DUMMYFUNCTION("""COMPUTED_VALUE"""),"SQL")</f>
        <v>SQL</v>
      </c>
      <c r="L4179" s="9" t="str">
        <f>IFERROR(__xludf.DUMMYFUNCTION("""COMPUTED_VALUE"""),"SQL")</f>
        <v>SQL</v>
      </c>
      <c r="M4179" s="9" t="s">
        <v>20</v>
      </c>
    </row>
    <row r="4180" ht="15.75" customHeight="1">
      <c r="A4180" s="7"/>
      <c r="B4180" s="7" t="str">
        <f>IFERROR(__xludf.DUMMYFUNCTION("""COMPUTED_VALUE"""),"C++;Java;Python;SQL")</f>
        <v>C++;Java;Python;SQL</v>
      </c>
      <c r="C4180" s="9" t="str">
        <f>IFERROR(__xludf.DUMMYFUNCTION("""COMPUTED_VALUE"""),"JavaScript")</f>
        <v>JavaScript</v>
      </c>
      <c r="D4180" s="9" t="str">
        <f>IFERROR(__xludf.DUMMYFUNCTION("""COMPUTED_VALUE"""),"JavaScript")</f>
        <v>JavaScript</v>
      </c>
      <c r="E4180" s="9" t="str">
        <f>IFERROR(__xludf.DUMMYFUNCTION("""COMPUTED_VALUE"""),"Java")</f>
        <v>Java</v>
      </c>
      <c r="F4180" s="9" t="str">
        <f>IFERROR(__xludf.DUMMYFUNCTION("""COMPUTED_VALUE"""),"Go")</f>
        <v>Go</v>
      </c>
      <c r="G4180" s="9" t="str">
        <f>IFERROR(__xludf.DUMMYFUNCTION("""COMPUTED_VALUE"""),"HTML/CSS")</f>
        <v>HTML/CSS</v>
      </c>
      <c r="H4180" s="9" t="str">
        <f>IFERROR(__xludf.DUMMYFUNCTION("""COMPUTED_VALUE"""),"HTML/CSS")</f>
        <v>HTML/CSS</v>
      </c>
      <c r="I4180" s="9" t="str">
        <f>IFERROR(__xludf.DUMMYFUNCTION("""COMPUTED_VALUE"""),"Bash/Shell/PowerShell")</f>
        <v>Bash/Shell/PowerShell</v>
      </c>
      <c r="J4180" s="9" t="str">
        <f>IFERROR(__xludf.DUMMYFUNCTION("""COMPUTED_VALUE"""),"HTML/CSS")</f>
        <v>HTML/CSS</v>
      </c>
      <c r="K4180" s="9" t="str">
        <f>IFERROR(__xludf.DUMMYFUNCTION("""COMPUTED_VALUE"""),"TypeScript")</f>
        <v>TypeScript</v>
      </c>
      <c r="L4180" s="9" t="str">
        <f>IFERROR(__xludf.DUMMYFUNCTION("""COMPUTED_VALUE"""),"C++")</f>
        <v>C++</v>
      </c>
      <c r="M4180" s="9" t="s">
        <v>21</v>
      </c>
    </row>
    <row r="4181" ht="15.75" customHeight="1">
      <c r="A4181" s="7"/>
      <c r="B4181" s="7" t="str">
        <f>IFERROR(__xludf.DUMMYFUNCTION("""COMPUTED_VALUE"""),"Dart")</f>
        <v>Dart</v>
      </c>
      <c r="C4181" s="9" t="str">
        <f>IFERROR(__xludf.DUMMYFUNCTION("""COMPUTED_VALUE"""),"Python")</f>
        <v>Python</v>
      </c>
      <c r="D4181" s="9" t="str">
        <f>IFERROR(__xludf.DUMMYFUNCTION("""COMPUTED_VALUE"""),"SQL")</f>
        <v>SQL</v>
      </c>
      <c r="E4181" s="9" t="str">
        <f>IFERROR(__xludf.DUMMYFUNCTION("""COMPUTED_VALUE"""),"JavaScript")</f>
        <v>JavaScript</v>
      </c>
      <c r="F4181" s="9" t="str">
        <f>IFERROR(__xludf.DUMMYFUNCTION("""COMPUTED_VALUE"""),"JavaScript")</f>
        <v>JavaScript</v>
      </c>
      <c r="G4181" s="9" t="str">
        <f>IFERROR(__xludf.DUMMYFUNCTION("""COMPUTED_VALUE"""),"Java")</f>
        <v>Java</v>
      </c>
      <c r="H4181" s="9" t="str">
        <f>IFERROR(__xludf.DUMMYFUNCTION("""COMPUTED_VALUE"""),"JavaScript")</f>
        <v>JavaScript</v>
      </c>
      <c r="I4181" s="9" t="str">
        <f>IFERROR(__xludf.DUMMYFUNCTION("""COMPUTED_VALUE"""),"C")</f>
        <v>C</v>
      </c>
      <c r="J4181" s="9" t="str">
        <f>IFERROR(__xludf.DUMMYFUNCTION("""COMPUTED_VALUE"""),"JavaScript")</f>
        <v>JavaScript</v>
      </c>
      <c r="K4181" s="9" t="str">
        <f>IFERROR(__xludf.DUMMYFUNCTION("""COMPUTED_VALUE"""),"Java")</f>
        <v>Java</v>
      </c>
      <c r="L4181" s="9" t="str">
        <f>IFERROR(__xludf.DUMMYFUNCTION("""COMPUTED_VALUE"""),"Java")</f>
        <v>Java</v>
      </c>
      <c r="M4181" s="9" t="s">
        <v>22</v>
      </c>
    </row>
    <row r="4182" ht="15.75" customHeight="1">
      <c r="A4182" s="7"/>
      <c r="B4182" s="7" t="str">
        <f>IFERROR(__xludf.DUMMYFUNCTION("""COMPUTED_VALUE"""),"HTML/CSS;Python")</f>
        <v>HTML/CSS;Python</v>
      </c>
      <c r="C4182" s="9" t="str">
        <f>IFERROR(__xludf.DUMMYFUNCTION("""COMPUTED_VALUE"""),"C")</f>
        <v>C</v>
      </c>
      <c r="D4182" s="9" t="str">
        <f>IFERROR(__xludf.DUMMYFUNCTION("""COMPUTED_VALUE"""),"TypeScript")</f>
        <v>TypeScript</v>
      </c>
      <c r="E4182" s="9" t="str">
        <f>IFERROR(__xludf.DUMMYFUNCTION("""COMPUTED_VALUE"""),"PHP")</f>
        <v>PHP</v>
      </c>
      <c r="F4182" s="9" t="str">
        <f>IFERROR(__xludf.DUMMYFUNCTION("""COMPUTED_VALUE"""),"Python")</f>
        <v>Python</v>
      </c>
      <c r="G4182" s="9" t="str">
        <f>IFERROR(__xludf.DUMMYFUNCTION("""COMPUTED_VALUE"""),"JavaScript")</f>
        <v>JavaScript</v>
      </c>
      <c r="H4182" s="9" t="str">
        <f>IFERROR(__xludf.DUMMYFUNCTION("""COMPUTED_VALUE"""),"PHP")</f>
        <v>PHP</v>
      </c>
      <c r="I4182" s="9" t="str">
        <f>IFERROR(__xludf.DUMMYFUNCTION("""COMPUTED_VALUE"""),"C++")</f>
        <v>C++</v>
      </c>
      <c r="J4182" s="9" t="str">
        <f>IFERROR(__xludf.DUMMYFUNCTION("""COMPUTED_VALUE"""),"Python")</f>
        <v>Python</v>
      </c>
      <c r="K4182" s="9" t="str">
        <f>IFERROR(__xludf.DUMMYFUNCTION("""COMPUTED_VALUE"""),"JavaScript")</f>
        <v>JavaScript</v>
      </c>
      <c r="L4182" s="9" t="str">
        <f>IFERROR(__xludf.DUMMYFUNCTION("""COMPUTED_VALUE"""),"Bash/Shell/PowerShell")</f>
        <v>Bash/Shell/PowerShell</v>
      </c>
      <c r="M4182" s="9" t="s">
        <v>25</v>
      </c>
    </row>
    <row r="4183" ht="15.75" customHeight="1">
      <c r="A4183" s="7"/>
      <c r="B4183" s="7" t="str">
        <f>IFERROR(__xludf.DUMMYFUNCTION("""COMPUTED_VALUE"""),"Bash/Shell/PowerShell;C#;HTML/CSS;JavaScript;PHP;Other(s):")</f>
        <v>Bash/Shell/PowerShell;C#;HTML/CSS;JavaScript;PHP;Other(s):</v>
      </c>
      <c r="C4183" s="9" t="str">
        <f>IFERROR(__xludf.DUMMYFUNCTION("""COMPUTED_VALUE"""),"HTML/CSS")</f>
        <v>HTML/CSS</v>
      </c>
      <c r="D4183" s="9" t="str">
        <f>IFERROR(__xludf.DUMMYFUNCTION("""COMPUTED_VALUE"""),"C#")</f>
        <v>C#</v>
      </c>
      <c r="E4183" s="9" t="str">
        <f>IFERROR(__xludf.DUMMYFUNCTION("""COMPUTED_VALUE"""),"SQL")</f>
        <v>SQL</v>
      </c>
      <c r="F4183" s="9" t="str">
        <f>IFERROR(__xludf.DUMMYFUNCTION("""COMPUTED_VALUE"""),"Bash/Shell/PowerShell")</f>
        <v>Bash/Shell/PowerShell</v>
      </c>
      <c r="G4183" s="9" t="str">
        <f>IFERROR(__xludf.DUMMYFUNCTION("""COMPUTED_VALUE"""),"PHP")</f>
        <v>PHP</v>
      </c>
      <c r="H4183" s="9" t="str">
        <f>IFERROR(__xludf.DUMMYFUNCTION("""COMPUTED_VALUE"""),"SQL")</f>
        <v>SQL</v>
      </c>
      <c r="I4183" s="9" t="str">
        <f>IFERROR(__xludf.DUMMYFUNCTION("""COMPUTED_VALUE"""),"HTML/CSS")</f>
        <v>HTML/CSS</v>
      </c>
      <c r="J4183" s="9" t="str">
        <f>IFERROR(__xludf.DUMMYFUNCTION("""COMPUTED_VALUE"""),"SQL")</f>
        <v>SQL</v>
      </c>
      <c r="K4183" s="9" t="str">
        <f>IFERROR(__xludf.DUMMYFUNCTION("""COMPUTED_VALUE"""),"Python")</f>
        <v>Python</v>
      </c>
      <c r="L4183" s="9" t="str">
        <f>IFERROR(__xludf.DUMMYFUNCTION("""COMPUTED_VALUE"""),"C++")</f>
        <v>C++</v>
      </c>
      <c r="M4183" s="9" t="s">
        <v>24</v>
      </c>
    </row>
    <row r="4184" ht="15.75" customHeight="1">
      <c r="A4184" s="7"/>
      <c r="B4184" s="7" t="str">
        <f>IFERROR(__xludf.DUMMYFUNCTION("""COMPUTED_VALUE"""),"Erlang;Go;Python")</f>
        <v>Erlang;Go;Python</v>
      </c>
      <c r="C4184" s="9" t="str">
        <f>IFERROR(__xludf.DUMMYFUNCTION("""COMPUTED_VALUE"""),"Java")</f>
        <v>Java</v>
      </c>
      <c r="D4184" s="9" t="str">
        <f>IFERROR(__xludf.DUMMYFUNCTION("""COMPUTED_VALUE"""),"SQL")</f>
        <v>SQL</v>
      </c>
      <c r="E4184" s="9" t="str">
        <f>IFERROR(__xludf.DUMMYFUNCTION("""COMPUTED_VALUE"""),"Bash/Shell/PowerShell")</f>
        <v>Bash/Shell/PowerShell</v>
      </c>
      <c r="F4184" s="9" t="str">
        <f>IFERROR(__xludf.DUMMYFUNCTION("""COMPUTED_VALUE"""),"C#")</f>
        <v>C#</v>
      </c>
      <c r="G4184" s="9" t="str">
        <f>IFERROR(__xludf.DUMMYFUNCTION("""COMPUTED_VALUE"""),"Python")</f>
        <v>Python</v>
      </c>
      <c r="H4184" s="9" t="str">
        <f>IFERROR(__xludf.DUMMYFUNCTION("""COMPUTED_VALUE"""),"Other(s):")</f>
        <v>Other(s):</v>
      </c>
      <c r="I4184" s="9" t="str">
        <f>IFERROR(__xludf.DUMMYFUNCTION("""COMPUTED_VALUE"""),"JavaScript")</f>
        <v>JavaScript</v>
      </c>
      <c r="J4184" s="9" t="str">
        <f>IFERROR(__xludf.DUMMYFUNCTION("""COMPUTED_VALUE"""),"Other(s):")</f>
        <v>Other(s):</v>
      </c>
      <c r="K4184" s="9" t="str">
        <f>IFERROR(__xludf.DUMMYFUNCTION("""COMPUTED_VALUE"""),"TypeScript")</f>
        <v>TypeScript</v>
      </c>
      <c r="L4184" s="9" t="str">
        <f>IFERROR(__xludf.DUMMYFUNCTION("""COMPUTED_VALUE"""),"Go")</f>
        <v>Go</v>
      </c>
      <c r="M4184" s="9" t="s">
        <v>20</v>
      </c>
    </row>
    <row r="4185" ht="15.75" customHeight="1">
      <c r="A4185" s="7"/>
      <c r="B4185" s="7" t="str">
        <f>IFERROR(__xludf.DUMMYFUNCTION("""COMPUTED_VALUE"""),"Assembly;Bash/Shell/PowerShell;Erlang;HTML/CSS;Java;JavaScript;SQL;TypeScript")</f>
        <v>Assembly;Bash/Shell/PowerShell;Erlang;HTML/CSS;Java;JavaScript;SQL;TypeScript</v>
      </c>
      <c r="C4185" s="9" t="str">
        <f>IFERROR(__xludf.DUMMYFUNCTION("""COMPUTED_VALUE"""),"JavaScript")</f>
        <v>JavaScript</v>
      </c>
      <c r="D4185" s="9" t="str">
        <f>IFERROR(__xludf.DUMMYFUNCTION("""COMPUTED_VALUE"""),"C#")</f>
        <v>C#</v>
      </c>
      <c r="E4185" s="9" t="str">
        <f>IFERROR(__xludf.DUMMYFUNCTION("""COMPUTED_VALUE"""),"HTML/CSS")</f>
        <v>HTML/CSS</v>
      </c>
      <c r="F4185" s="9" t="str">
        <f>IFERROR(__xludf.DUMMYFUNCTION("""COMPUTED_VALUE"""),"HTML/CSS")</f>
        <v>HTML/CSS</v>
      </c>
      <c r="G4185" s="9" t="str">
        <f>IFERROR(__xludf.DUMMYFUNCTION("""COMPUTED_VALUE"""),"Java")</f>
        <v>Java</v>
      </c>
      <c r="H4185" s="9" t="str">
        <f>IFERROR(__xludf.DUMMYFUNCTION("""COMPUTED_VALUE"""),"Bash/Shell/PowerShell")</f>
        <v>Bash/Shell/PowerShell</v>
      </c>
      <c r="I4185" s="9" t="str">
        <f>IFERROR(__xludf.DUMMYFUNCTION("""COMPUTED_VALUE"""),"PHP")</f>
        <v>PHP</v>
      </c>
      <c r="J4185" s="9" t="str">
        <f>IFERROR(__xludf.DUMMYFUNCTION("""COMPUTED_VALUE"""),"Bash/Shell/PowerShell")</f>
        <v>Bash/Shell/PowerShell</v>
      </c>
      <c r="K4185" s="9" t="str">
        <f>IFERROR(__xludf.DUMMYFUNCTION("""COMPUTED_VALUE"""),"Bash/Shell/PowerShell")</f>
        <v>Bash/Shell/PowerShell</v>
      </c>
      <c r="L4185" s="9" t="str">
        <f>IFERROR(__xludf.DUMMYFUNCTION("""COMPUTED_VALUE"""),"HTML/CSS")</f>
        <v>HTML/CSS</v>
      </c>
      <c r="M4185" s="9" t="s">
        <v>21</v>
      </c>
    </row>
    <row r="4186" ht="15.75" customHeight="1">
      <c r="A4186" s="7"/>
      <c r="B4186" s="7" t="str">
        <f>IFERROR(__xludf.DUMMYFUNCTION("""COMPUTED_VALUE"""),"C#;PHP;SQL")</f>
        <v>C#;PHP;SQL</v>
      </c>
      <c r="C4186" s="9" t="str">
        <f>IFERROR(__xludf.DUMMYFUNCTION("""COMPUTED_VALUE"""),"Python")</f>
        <v>Python</v>
      </c>
      <c r="D4186" s="9" t="str">
        <f>IFERROR(__xludf.DUMMYFUNCTION("""COMPUTED_VALUE"""),"HTML/CSS")</f>
        <v>HTML/CSS</v>
      </c>
      <c r="E4186" s="9" t="str">
        <f>IFERROR(__xludf.DUMMYFUNCTION("""COMPUTED_VALUE"""),"JavaScript")</f>
        <v>JavaScript</v>
      </c>
      <c r="F4186" s="9" t="str">
        <f>IFERROR(__xludf.DUMMYFUNCTION("""COMPUTED_VALUE"""),"JavaScript")</f>
        <v>JavaScript</v>
      </c>
      <c r="G4186" s="9" t="str">
        <f>IFERROR(__xludf.DUMMYFUNCTION("""COMPUTED_VALUE"""),"JavaScript")</f>
        <v>JavaScript</v>
      </c>
      <c r="H4186" s="9" t="str">
        <f>IFERROR(__xludf.DUMMYFUNCTION("""COMPUTED_VALUE"""),"C++")</f>
        <v>C++</v>
      </c>
      <c r="I4186" s="9" t="str">
        <f>IFERROR(__xludf.DUMMYFUNCTION("""COMPUTED_VALUE"""),"Python")</f>
        <v>Python</v>
      </c>
      <c r="J4186" s="9" t="str">
        <f>IFERROR(__xludf.DUMMYFUNCTION("""COMPUTED_VALUE"""),"Python")</f>
        <v>Python</v>
      </c>
      <c r="K4186" s="9" t="str">
        <f>IFERROR(__xludf.DUMMYFUNCTION("""COMPUTED_VALUE"""),"Java")</f>
        <v>Java</v>
      </c>
      <c r="L4186" s="9" t="str">
        <f>IFERROR(__xludf.DUMMYFUNCTION("""COMPUTED_VALUE"""),"Java")</f>
        <v>Java</v>
      </c>
      <c r="M4186" s="9" t="s">
        <v>22</v>
      </c>
    </row>
    <row r="4187" ht="15.75" customHeight="1">
      <c r="A4187" s="7"/>
      <c r="B4187" s="7" t="str">
        <f>IFERROR(__xludf.DUMMYFUNCTION("""COMPUTED_VALUE"""),"Bash/Shell/PowerShell;C++;HTML/CSS;Java")</f>
        <v>Bash/Shell/PowerShell;C++;HTML/CSS;Java</v>
      </c>
      <c r="C4187" s="9" t="str">
        <f>IFERROR(__xludf.DUMMYFUNCTION("""COMPUTED_VALUE"""),"SQL")</f>
        <v>SQL</v>
      </c>
      <c r="D4187" s="9" t="str">
        <f>IFERROR(__xludf.DUMMYFUNCTION("""COMPUTED_VALUE"""),"JavaScript")</f>
        <v>JavaScript</v>
      </c>
      <c r="E4187" s="9" t="str">
        <f>IFERROR(__xludf.DUMMYFUNCTION("""COMPUTED_VALUE"""),"Ruby")</f>
        <v>Ruby</v>
      </c>
      <c r="F4187" s="9" t="str">
        <f>IFERROR(__xludf.DUMMYFUNCTION("""COMPUTED_VALUE"""),"PHP")</f>
        <v>PHP</v>
      </c>
      <c r="G4187" s="9" t="str">
        <f>IFERROR(__xludf.DUMMYFUNCTION("""COMPUTED_VALUE"""),"Objective-C")</f>
        <v>Objective-C</v>
      </c>
      <c r="H4187" s="9" t="str">
        <f>IFERROR(__xludf.DUMMYFUNCTION("""COMPUTED_VALUE"""),"HTML/CSS")</f>
        <v>HTML/CSS</v>
      </c>
      <c r="I4187" s="9" t="str">
        <f>IFERROR(__xludf.DUMMYFUNCTION("""COMPUTED_VALUE"""),"Ruby")</f>
        <v>Ruby</v>
      </c>
      <c r="J4187" s="9" t="str">
        <f>IFERROR(__xludf.DUMMYFUNCTION("""COMPUTED_VALUE"""),"SQL")</f>
        <v>SQL</v>
      </c>
      <c r="K4187" s="9" t="str">
        <f>IFERROR(__xludf.DUMMYFUNCTION("""COMPUTED_VALUE"""),"Python")</f>
        <v>Python</v>
      </c>
      <c r="L4187" s="9" t="str">
        <f>IFERROR(__xludf.DUMMYFUNCTION("""COMPUTED_VALUE"""),"JavaScript")</f>
        <v>JavaScript</v>
      </c>
      <c r="M4187" s="9" t="s">
        <v>27</v>
      </c>
    </row>
    <row r="4188" ht="15.75" customHeight="1">
      <c r="A4188" s="7"/>
      <c r="B4188" s="7" t="str">
        <f>IFERROR(__xludf.DUMMYFUNCTION("""COMPUTED_VALUE"""),"C;C++;HTML/CSS;JavaScript;PHP;TypeScript")</f>
        <v>C;C++;HTML/CSS;JavaScript;PHP;TypeScript</v>
      </c>
      <c r="C4188" s="9" t="str">
        <f>IFERROR(__xludf.DUMMYFUNCTION("""COMPUTED_VALUE"""),"C#")</f>
        <v>C#</v>
      </c>
      <c r="D4188" s="9" t="str">
        <f>IFERROR(__xludf.DUMMYFUNCTION("""COMPUTED_VALUE"""),"SQL")</f>
        <v>SQL</v>
      </c>
      <c r="E4188" s="9" t="str">
        <f>IFERROR(__xludf.DUMMYFUNCTION("""COMPUTED_VALUE"""),"Bash/Shell/PowerShell")</f>
        <v>Bash/Shell/PowerShell</v>
      </c>
      <c r="F4188" s="9" t="str">
        <f>IFERROR(__xludf.DUMMYFUNCTION("""COMPUTED_VALUE"""),"SQL")</f>
        <v>SQL</v>
      </c>
      <c r="G4188" s="9" t="str">
        <f>IFERROR(__xludf.DUMMYFUNCTION("""COMPUTED_VALUE"""),"Swift")</f>
        <v>Swift</v>
      </c>
      <c r="H4188" s="9" t="str">
        <f>IFERROR(__xludf.DUMMYFUNCTION("""COMPUTED_VALUE"""),"Java")</f>
        <v>Java</v>
      </c>
      <c r="I4188" s="9" t="str">
        <f>IFERROR(__xludf.DUMMYFUNCTION("""COMPUTED_VALUE"""),"SQL")</f>
        <v>SQL</v>
      </c>
      <c r="J4188" s="9" t="str">
        <f>IFERROR(__xludf.DUMMYFUNCTION("""COMPUTED_VALUE"""),"Bash/Shell/PowerShell")</f>
        <v>Bash/Shell/PowerShell</v>
      </c>
      <c r="K4188" s="9" t="str">
        <f>IFERROR(__xludf.DUMMYFUNCTION("""COMPUTED_VALUE"""),"SQL")</f>
        <v>SQL</v>
      </c>
      <c r="L4188" s="9" t="str">
        <f>IFERROR(__xludf.DUMMYFUNCTION("""COMPUTED_VALUE"""),"Python")</f>
        <v>Python</v>
      </c>
      <c r="M4188" s="9" t="s">
        <v>26</v>
      </c>
    </row>
    <row r="4189" ht="15.75" customHeight="1">
      <c r="A4189" s="7"/>
      <c r="B4189" s="7" t="str">
        <f>IFERROR(__xludf.DUMMYFUNCTION("""COMPUTED_VALUE"""),"C#;HTML/CSS;JavaScript;Kotlin;SQL;TypeScript;VBA")</f>
        <v>C#;HTML/CSS;JavaScript;Kotlin;SQL;TypeScript;VBA</v>
      </c>
      <c r="C4189" s="9" t="str">
        <f>IFERROR(__xludf.DUMMYFUNCTION("""COMPUTED_VALUE"""),"F#")</f>
        <v>F#</v>
      </c>
      <c r="D4189" s="9" t="str">
        <f>IFERROR(__xludf.DUMMYFUNCTION("""COMPUTED_VALUE"""),"Clojure")</f>
        <v>Clojure</v>
      </c>
      <c r="E4189" s="9" t="str">
        <f>IFERROR(__xludf.DUMMYFUNCTION("""COMPUTED_VALUE"""),"C#")</f>
        <v>C#</v>
      </c>
      <c r="F4189" s="9" t="str">
        <f>IFERROR(__xludf.DUMMYFUNCTION("""COMPUTED_VALUE"""),"TypeScript")</f>
        <v>TypeScript</v>
      </c>
      <c r="G4189" s="9" t="str">
        <f>IFERROR(__xludf.DUMMYFUNCTION("""COMPUTED_VALUE"""),"Bash/Shell/PowerShell")</f>
        <v>Bash/Shell/PowerShell</v>
      </c>
      <c r="H4189" s="9" t="str">
        <f>IFERROR(__xludf.DUMMYFUNCTION("""COMPUTED_VALUE"""),"JavaScript")</f>
        <v>JavaScript</v>
      </c>
      <c r="I4189" s="9" t="str">
        <f>IFERROR(__xludf.DUMMYFUNCTION("""COMPUTED_VALUE"""),"Swift")</f>
        <v>Swift</v>
      </c>
      <c r="J4189" s="9" t="str">
        <f>IFERROR(__xludf.DUMMYFUNCTION("""COMPUTED_VALUE"""),"HTML/CSS")</f>
        <v>HTML/CSS</v>
      </c>
      <c r="K4189" s="9" t="str">
        <f>IFERROR(__xludf.DUMMYFUNCTION("""COMPUTED_VALUE"""),"Go")</f>
        <v>Go</v>
      </c>
      <c r="L4189" s="9" t="str">
        <f>IFERROR(__xludf.DUMMYFUNCTION("""COMPUTED_VALUE"""),"Rust")</f>
        <v>Rust</v>
      </c>
      <c r="M4189" s="9" t="s">
        <v>45</v>
      </c>
    </row>
    <row r="4190" ht="15.75" customHeight="1">
      <c r="A4190" s="7"/>
      <c r="B4190" s="7" t="str">
        <f>IFERROR(__xludf.DUMMYFUNCTION("""COMPUTED_VALUE"""),"Bash/Shell/PowerShell;Java;JavaScript;SQL")</f>
        <v>Bash/Shell/PowerShell;Java;JavaScript;SQL</v>
      </c>
      <c r="C4190" s="9" t="str">
        <f>IFERROR(__xludf.DUMMYFUNCTION("""COMPUTED_VALUE"""),"HTML/CSS")</f>
        <v>HTML/CSS</v>
      </c>
      <c r="D4190" s="9" t="str">
        <f>IFERROR(__xludf.DUMMYFUNCTION("""COMPUTED_VALUE"""),"JavaScript")</f>
        <v>JavaScript</v>
      </c>
      <c r="E4190" s="9" t="str">
        <f>IFERROR(__xludf.DUMMYFUNCTION("""COMPUTED_VALUE"""),"HTML/CSS")</f>
        <v>HTML/CSS</v>
      </c>
      <c r="F4190" s="9" t="str">
        <f>IFERROR(__xludf.DUMMYFUNCTION("""COMPUTED_VALUE"""),"C")</f>
        <v>C</v>
      </c>
      <c r="G4190" s="9" t="str">
        <f>IFERROR(__xludf.DUMMYFUNCTION("""COMPUTED_VALUE"""),"Clojure")</f>
        <v>Clojure</v>
      </c>
      <c r="H4190" s="9" t="str">
        <f>IFERROR(__xludf.DUMMYFUNCTION("""COMPUTED_VALUE"""),"Python")</f>
        <v>Python</v>
      </c>
      <c r="I4190" s="9" t="str">
        <f>IFERROR(__xludf.DUMMYFUNCTION("""COMPUTED_VALUE"""),"TypeScript")</f>
        <v>TypeScript</v>
      </c>
      <c r="J4190" s="9" t="str">
        <f>IFERROR(__xludf.DUMMYFUNCTION("""COMPUTED_VALUE"""),"Java")</f>
        <v>Java</v>
      </c>
      <c r="K4190" s="9" t="str">
        <f>IFERROR(__xludf.DUMMYFUNCTION("""COMPUTED_VALUE"""),"HTML/CSS")</f>
        <v>HTML/CSS</v>
      </c>
      <c r="L4190" s="9" t="str">
        <f>IFERROR(__xludf.DUMMYFUNCTION("""COMPUTED_VALUE"""),"Swift")</f>
        <v>Swift</v>
      </c>
      <c r="M4190" s="9" t="s">
        <v>24</v>
      </c>
    </row>
    <row r="4191" ht="15.75" customHeight="1">
      <c r="A4191" s="7"/>
      <c r="B4191" s="7" t="str">
        <f>IFERROR(__xludf.DUMMYFUNCTION("""COMPUTED_VALUE"""),"HTML/CSS;JavaScript;Python")</f>
        <v>HTML/CSS;JavaScript;Python</v>
      </c>
      <c r="C4191" s="9" t="str">
        <f>IFERROR(__xludf.DUMMYFUNCTION("""COMPUTED_VALUE"""),"Java")</f>
        <v>Java</v>
      </c>
      <c r="D4191" s="9" t="str">
        <f>IFERROR(__xludf.DUMMYFUNCTION("""COMPUTED_VALUE"""),"TypeScript")</f>
        <v>TypeScript</v>
      </c>
      <c r="E4191" s="9" t="str">
        <f>IFERROR(__xludf.DUMMYFUNCTION("""COMPUTED_VALUE"""),"JavaScript")</f>
        <v>JavaScript</v>
      </c>
      <c r="F4191" s="9" t="str">
        <f>IFERROR(__xludf.DUMMYFUNCTION("""COMPUTED_VALUE"""),"Python")</f>
        <v>Python</v>
      </c>
      <c r="G4191" s="9" t="str">
        <f>IFERROR(__xludf.DUMMYFUNCTION("""COMPUTED_VALUE"""),"Python")</f>
        <v>Python</v>
      </c>
      <c r="H4191" s="9" t="str">
        <f>IFERROR(__xludf.DUMMYFUNCTION("""COMPUTED_VALUE"""),"C#")</f>
        <v>C#</v>
      </c>
      <c r="I4191" s="9" t="str">
        <f>IFERROR(__xludf.DUMMYFUNCTION("""COMPUTED_VALUE"""),"Other(s):")</f>
        <v>Other(s):</v>
      </c>
      <c r="J4191" s="9" t="str">
        <f>IFERROR(__xludf.DUMMYFUNCTION("""COMPUTED_VALUE"""),"JavaScript")</f>
        <v>JavaScript</v>
      </c>
      <c r="K4191" s="9" t="str">
        <f>IFERROR(__xludf.DUMMYFUNCTION("""COMPUTED_VALUE"""),"JavaScript")</f>
        <v>JavaScript</v>
      </c>
      <c r="L4191" s="9" t="str">
        <f>IFERROR(__xludf.DUMMYFUNCTION("""COMPUTED_VALUE"""),"TypeScript")</f>
        <v>TypeScript</v>
      </c>
      <c r="M4191" s="9" t="s">
        <v>20</v>
      </c>
    </row>
    <row r="4192" ht="15.75" customHeight="1">
      <c r="A4192" s="7"/>
      <c r="B4192" s="7" t="str">
        <f>IFERROR(__xludf.DUMMYFUNCTION("""COMPUTED_VALUE"""),"C#;HTML/CSS;SQL;VBA")</f>
        <v>C#;HTML/CSS;SQL;VBA</v>
      </c>
      <c r="C4192" s="9" t="str">
        <f>IFERROR(__xludf.DUMMYFUNCTION("""COMPUTED_VALUE"""),"JavaScript")</f>
        <v>JavaScript</v>
      </c>
      <c r="D4192" s="9" t="str">
        <f>IFERROR(__xludf.DUMMYFUNCTION("""COMPUTED_VALUE"""),"HTML/CSS")</f>
        <v>HTML/CSS</v>
      </c>
      <c r="E4192" s="9" t="str">
        <f>IFERROR(__xludf.DUMMYFUNCTION("""COMPUTED_VALUE"""),"Python")</f>
        <v>Python</v>
      </c>
      <c r="F4192" s="9" t="str">
        <f>IFERROR(__xludf.DUMMYFUNCTION("""COMPUTED_VALUE"""),"Rust")</f>
        <v>Rust</v>
      </c>
      <c r="G4192" s="9" t="str">
        <f>IFERROR(__xludf.DUMMYFUNCTION("""COMPUTED_VALUE"""),"Bash/Shell/PowerShell")</f>
        <v>Bash/Shell/PowerShell</v>
      </c>
      <c r="H4192" s="9" t="str">
        <f>IFERROR(__xludf.DUMMYFUNCTION("""COMPUTED_VALUE"""),"HTML/CSS")</f>
        <v>HTML/CSS</v>
      </c>
      <c r="I4192" s="9" t="str">
        <f>IFERROR(__xludf.DUMMYFUNCTION("""COMPUTED_VALUE"""),"C#")</f>
        <v>C#</v>
      </c>
      <c r="J4192" s="9" t="str">
        <f>IFERROR(__xludf.DUMMYFUNCTION("""COMPUTED_VALUE"""),"PHP")</f>
        <v>PHP</v>
      </c>
      <c r="K4192" s="9" t="str">
        <f>IFERROR(__xludf.DUMMYFUNCTION("""COMPUTED_VALUE"""),"PHP")</f>
        <v>PHP</v>
      </c>
      <c r="L4192" s="9" t="str">
        <f>IFERROR(__xludf.DUMMYFUNCTION("""COMPUTED_VALUE"""),"Bash/Shell/PowerShell")</f>
        <v>Bash/Shell/PowerShell</v>
      </c>
      <c r="M4192" s="9" t="s">
        <v>21</v>
      </c>
    </row>
    <row r="4193" ht="15.75" customHeight="1">
      <c r="A4193" s="7"/>
      <c r="B4193" s="7" t="str">
        <f>IFERROR(__xludf.DUMMYFUNCTION("""COMPUTED_VALUE"""),"Assembly;Bash/Shell/PowerShell;C++;Java;Kotlin;Python")</f>
        <v>Assembly;Bash/Shell/PowerShell;C++;Java;Kotlin;Python</v>
      </c>
      <c r="C4193" s="9" t="str">
        <f>IFERROR(__xludf.DUMMYFUNCTION("""COMPUTED_VALUE"""),"PHP")</f>
        <v>PHP</v>
      </c>
      <c r="D4193" s="9" t="str">
        <f>IFERROR(__xludf.DUMMYFUNCTION("""COMPUTED_VALUE"""),"Java")</f>
        <v>Java</v>
      </c>
      <c r="E4193" s="9" t="str">
        <f>IFERROR(__xludf.DUMMYFUNCTION("""COMPUTED_VALUE"""),"R")</f>
        <v>R</v>
      </c>
      <c r="F4193" s="9" t="str">
        <f>IFERROR(__xludf.DUMMYFUNCTION("""COMPUTED_VALUE"""),"Scala")</f>
        <v>Scala</v>
      </c>
      <c r="G4193" s="9" t="str">
        <f>IFERROR(__xludf.DUMMYFUNCTION("""COMPUTED_VALUE"""),"HTML/CSS")</f>
        <v>HTML/CSS</v>
      </c>
      <c r="H4193" s="9" t="str">
        <f>IFERROR(__xludf.DUMMYFUNCTION("""COMPUTED_VALUE"""),"JavaScript")</f>
        <v>JavaScript</v>
      </c>
      <c r="I4193" s="9" t="str">
        <f>IFERROR(__xludf.DUMMYFUNCTION("""COMPUTED_VALUE"""),"C#")</f>
        <v>C#</v>
      </c>
      <c r="J4193" s="9" t="str">
        <f>IFERROR(__xludf.DUMMYFUNCTION("""COMPUTED_VALUE"""),"Python")</f>
        <v>Python</v>
      </c>
      <c r="K4193" s="9" t="str">
        <f>IFERROR(__xludf.DUMMYFUNCTION("""COMPUTED_VALUE"""),"SQL")</f>
        <v>SQL</v>
      </c>
      <c r="L4193" s="9" t="str">
        <f>IFERROR(__xludf.DUMMYFUNCTION("""COMPUTED_VALUE"""),"HTML/CSS")</f>
        <v>HTML/CSS</v>
      </c>
      <c r="M4193" s="9" t="s">
        <v>37</v>
      </c>
    </row>
    <row r="4194" ht="15.75" customHeight="1">
      <c r="A4194" s="7"/>
      <c r="B4194" s="7" t="str">
        <f>IFERROR(__xludf.DUMMYFUNCTION("""COMPUTED_VALUE"""),"Bash/Shell/PowerShell;HTML/CSS;JavaScript;PHP;SQL")</f>
        <v>Bash/Shell/PowerShell;HTML/CSS;JavaScript;PHP;SQL</v>
      </c>
      <c r="C4194" s="9" t="str">
        <f>IFERROR(__xludf.DUMMYFUNCTION("""COMPUTED_VALUE"""),"SQL")</f>
        <v>SQL</v>
      </c>
      <c r="D4194" s="9" t="str">
        <f>IFERROR(__xludf.DUMMYFUNCTION("""COMPUTED_VALUE"""),"JavaScript")</f>
        <v>JavaScript</v>
      </c>
      <c r="E4194" s="9" t="str">
        <f>IFERROR(__xludf.DUMMYFUNCTION("""COMPUTED_VALUE"""),"SQL")</f>
        <v>SQL</v>
      </c>
      <c r="F4194" s="9" t="str">
        <f>IFERROR(__xludf.DUMMYFUNCTION("""COMPUTED_VALUE"""),"Bash/Shell/PowerShell")</f>
        <v>Bash/Shell/PowerShell</v>
      </c>
      <c r="G4194" s="9" t="str">
        <f>IFERROR(__xludf.DUMMYFUNCTION("""COMPUTED_VALUE"""),"Java")</f>
        <v>Java</v>
      </c>
      <c r="H4194" s="9" t="str">
        <f>IFERROR(__xludf.DUMMYFUNCTION("""COMPUTED_VALUE"""),"SQL")</f>
        <v>SQL</v>
      </c>
      <c r="I4194" s="9" t="str">
        <f>IFERROR(__xludf.DUMMYFUNCTION("""COMPUTED_VALUE"""),"HTML/CSS")</f>
        <v>HTML/CSS</v>
      </c>
      <c r="J4194" s="9" t="str">
        <f>IFERROR(__xludf.DUMMYFUNCTION("""COMPUTED_VALUE"""),"SQL")</f>
        <v>SQL</v>
      </c>
      <c r="K4194" s="9" t="str">
        <f>IFERROR(__xludf.DUMMYFUNCTION("""COMPUTED_VALUE"""),"Assembly")</f>
        <v>Assembly</v>
      </c>
      <c r="L4194" s="9" t="str">
        <f>IFERROR(__xludf.DUMMYFUNCTION("""COMPUTED_VALUE"""),"JavaScript")</f>
        <v>JavaScript</v>
      </c>
      <c r="M4194" s="9" t="s">
        <v>27</v>
      </c>
    </row>
    <row r="4195" ht="15.75" customHeight="1">
      <c r="A4195" s="7"/>
      <c r="B4195" s="7" t="str">
        <f>IFERROR(__xludf.DUMMYFUNCTION("""COMPUTED_VALUE"""),"C++;HTML/CSS;JavaScript;Python;R;Ruby;SQL")</f>
        <v>C++;HTML/CSS;JavaScript;Python;R;Ruby;SQL</v>
      </c>
      <c r="C4195" s="9" t="str">
        <f>IFERROR(__xludf.DUMMYFUNCTION("""COMPUTED_VALUE"""),"VBA")</f>
        <v>VBA</v>
      </c>
      <c r="D4195" s="9" t="str">
        <f>IFERROR(__xludf.DUMMYFUNCTION("""COMPUTED_VALUE"""),"Python")</f>
        <v>Python</v>
      </c>
      <c r="E4195" s="9" t="str">
        <f>IFERROR(__xludf.DUMMYFUNCTION("""COMPUTED_VALUE"""),"HTML/CSS")</f>
        <v>HTML/CSS</v>
      </c>
      <c r="F4195" s="9" t="str">
        <f>IFERROR(__xludf.DUMMYFUNCTION("""COMPUTED_VALUE"""),"C++")</f>
        <v>C++</v>
      </c>
      <c r="G4195" s="9" t="str">
        <f>IFERROR(__xludf.DUMMYFUNCTION("""COMPUTED_VALUE"""),"JavaScript")</f>
        <v>JavaScript</v>
      </c>
      <c r="H4195" s="9" t="str">
        <f>IFERROR(__xludf.DUMMYFUNCTION("""COMPUTED_VALUE"""),"HTML/CSS")</f>
        <v>HTML/CSS</v>
      </c>
      <c r="I4195" s="9" t="str">
        <f>IFERROR(__xludf.DUMMYFUNCTION("""COMPUTED_VALUE"""),"JavaScript")</f>
        <v>JavaScript</v>
      </c>
      <c r="J4195" s="9" t="str">
        <f>IFERROR(__xludf.DUMMYFUNCTION("""COMPUTED_VALUE"""),"VBA")</f>
        <v>VBA</v>
      </c>
      <c r="K4195" s="9" t="str">
        <f>IFERROR(__xludf.DUMMYFUNCTION("""COMPUTED_VALUE"""),"Bash/Shell/PowerShell")</f>
        <v>Bash/Shell/PowerShell</v>
      </c>
      <c r="L4195" s="9" t="str">
        <f>IFERROR(__xludf.DUMMYFUNCTION("""COMPUTED_VALUE"""),"Python")</f>
        <v>Python</v>
      </c>
      <c r="M4195" s="9" t="s">
        <v>28</v>
      </c>
    </row>
    <row r="4196" ht="15.75" customHeight="1">
      <c r="A4196" s="7"/>
      <c r="B4196" s="7" t="str">
        <f>IFERROR(__xludf.DUMMYFUNCTION("""COMPUTED_VALUE"""),"Bash/Shell/PowerShell;Go;HTML/CSS;Java;JavaScript;PHP;SQL;TypeScript")</f>
        <v>Bash/Shell/PowerShell;Go;HTML/CSS;Java;JavaScript;PHP;SQL;TypeScript</v>
      </c>
      <c r="C4196" s="9" t="str">
        <f>IFERROR(__xludf.DUMMYFUNCTION("""COMPUTED_VALUE"""),"Bash/Shell/PowerShell")</f>
        <v>Bash/Shell/PowerShell</v>
      </c>
      <c r="D4196" s="9" t="str">
        <f>IFERROR(__xludf.DUMMYFUNCTION("""COMPUTED_VALUE"""),"TypeScript")</f>
        <v>TypeScript</v>
      </c>
      <c r="E4196" s="9" t="str">
        <f>IFERROR(__xludf.DUMMYFUNCTION("""COMPUTED_VALUE"""),"Java")</f>
        <v>Java</v>
      </c>
      <c r="F4196" s="9" t="str">
        <f>IFERROR(__xludf.DUMMYFUNCTION("""COMPUTED_VALUE"""),"C#")</f>
        <v>C#</v>
      </c>
      <c r="G4196" s="9" t="str">
        <f>IFERROR(__xludf.DUMMYFUNCTION("""COMPUTED_VALUE"""),"C")</f>
        <v>C</v>
      </c>
      <c r="H4196" s="9" t="str">
        <f>IFERROR(__xludf.DUMMYFUNCTION("""COMPUTED_VALUE"""),"JavaScript")</f>
        <v>JavaScript</v>
      </c>
      <c r="I4196" s="9" t="str">
        <f>IFERROR(__xludf.DUMMYFUNCTION("""COMPUTED_VALUE"""),"TypeScript")</f>
        <v>TypeScript</v>
      </c>
      <c r="J4196" s="9" t="str">
        <f>IFERROR(__xludf.DUMMYFUNCTION("""COMPUTED_VALUE"""),"HTML/CSS")</f>
        <v>HTML/CSS</v>
      </c>
      <c r="K4196" s="9" t="str">
        <f>IFERROR(__xludf.DUMMYFUNCTION("""COMPUTED_VALUE"""),"C")</f>
        <v>C</v>
      </c>
      <c r="L4196" s="9" t="str">
        <f>IFERROR(__xludf.DUMMYFUNCTION("""COMPUTED_VALUE"""),"Ruby")</f>
        <v>Ruby</v>
      </c>
      <c r="M4196" s="9" t="s">
        <v>30</v>
      </c>
    </row>
    <row r="4197" ht="15.75" customHeight="1">
      <c r="A4197" s="7"/>
      <c r="B4197" s="7" t="str">
        <f>IFERROR(__xludf.DUMMYFUNCTION("""COMPUTED_VALUE"""),"HTML/CSS;Java;Python;SQL")</f>
        <v>HTML/CSS;Java;Python;SQL</v>
      </c>
      <c r="C4197" s="9" t="str">
        <f>IFERROR(__xludf.DUMMYFUNCTION("""COMPUTED_VALUE"""),"C#")</f>
        <v>C#</v>
      </c>
      <c r="D4197" s="9" t="str">
        <f>IFERROR(__xludf.DUMMYFUNCTION("""COMPUTED_VALUE"""),"Bash/Shell/PowerShell")</f>
        <v>Bash/Shell/PowerShell</v>
      </c>
      <c r="E4197" s="9" t="str">
        <f>IFERROR(__xludf.DUMMYFUNCTION("""COMPUTED_VALUE"""),"JavaScript")</f>
        <v>JavaScript</v>
      </c>
      <c r="F4197" s="9" t="str">
        <f>IFERROR(__xludf.DUMMYFUNCTION("""COMPUTED_VALUE"""),"HTML/CSS")</f>
        <v>HTML/CSS</v>
      </c>
      <c r="G4197" s="9" t="str">
        <f>IFERROR(__xludf.DUMMYFUNCTION("""COMPUTED_VALUE"""),"C#")</f>
        <v>C#</v>
      </c>
      <c r="H4197" s="9" t="str">
        <f>IFERROR(__xludf.DUMMYFUNCTION("""COMPUTED_VALUE"""),"PHP")</f>
        <v>PHP</v>
      </c>
      <c r="I4197" s="9" t="str">
        <f>IFERROR(__xludf.DUMMYFUNCTION("""COMPUTED_VALUE"""),"Bash/Shell/PowerShell")</f>
        <v>Bash/Shell/PowerShell</v>
      </c>
      <c r="J4197" s="9" t="str">
        <f>IFERROR(__xludf.DUMMYFUNCTION("""COMPUTED_VALUE"""),"Java")</f>
        <v>Java</v>
      </c>
      <c r="K4197" s="9" t="str">
        <f>IFERROR(__xludf.DUMMYFUNCTION("""COMPUTED_VALUE"""),"HTML/CSS")</f>
        <v>HTML/CSS</v>
      </c>
      <c r="L4197" s="9" t="str">
        <f>IFERROR(__xludf.DUMMYFUNCTION("""COMPUTED_VALUE"""),"Scala")</f>
        <v>Scala</v>
      </c>
      <c r="M4197" s="9" t="s">
        <v>26</v>
      </c>
    </row>
    <row r="4198" ht="15.75" customHeight="1">
      <c r="A4198" s="7"/>
      <c r="B4198" s="7" t="str">
        <f>IFERROR(__xludf.DUMMYFUNCTION("""COMPUTED_VALUE"""),"Assembly;Bash/Shell/PowerShell;C;Go;HTML/CSS;Java;JavaScript;Objective-C;Python;R;SQL")</f>
        <v>Assembly;Bash/Shell/PowerShell;C;Go;HTML/CSS;Java;JavaScript;Objective-C;Python;R;SQL</v>
      </c>
      <c r="C4198" s="9" t="str">
        <f>IFERROR(__xludf.DUMMYFUNCTION("""COMPUTED_VALUE"""),"HTML/CSS")</f>
        <v>HTML/CSS</v>
      </c>
      <c r="D4198" s="9" t="str">
        <f>IFERROR(__xludf.DUMMYFUNCTION("""COMPUTED_VALUE"""),"Go")</f>
        <v>Go</v>
      </c>
      <c r="E4198" s="9" t="str">
        <f>IFERROR(__xludf.DUMMYFUNCTION("""COMPUTED_VALUE"""),"HTML/CSS")</f>
        <v>HTML/CSS</v>
      </c>
      <c r="F4198" s="9" t="str">
        <f>IFERROR(__xludf.DUMMYFUNCTION("""COMPUTED_VALUE"""),"JavaScript")</f>
        <v>JavaScript</v>
      </c>
      <c r="G4198" s="9" t="str">
        <f>IFERROR(__xludf.DUMMYFUNCTION("""COMPUTED_VALUE"""),"JavaScript")</f>
        <v>JavaScript</v>
      </c>
      <c r="H4198" s="9" t="str">
        <f>IFERROR(__xludf.DUMMYFUNCTION("""COMPUTED_VALUE"""),"SQL")</f>
        <v>SQL</v>
      </c>
      <c r="I4198" s="9" t="str">
        <f>IFERROR(__xludf.DUMMYFUNCTION("""COMPUTED_VALUE"""),"HTML/CSS")</f>
        <v>HTML/CSS</v>
      </c>
      <c r="J4198" s="9" t="str">
        <f>IFERROR(__xludf.DUMMYFUNCTION("""COMPUTED_VALUE"""),"JavaScript")</f>
        <v>JavaScript</v>
      </c>
      <c r="K4198" s="9" t="str">
        <f>IFERROR(__xludf.DUMMYFUNCTION("""COMPUTED_VALUE"""),"Java")</f>
        <v>Java</v>
      </c>
      <c r="L4198" s="9" t="str">
        <f>IFERROR(__xludf.DUMMYFUNCTION("""COMPUTED_VALUE"""),"SQL")</f>
        <v>SQL</v>
      </c>
      <c r="M4198" s="9" t="s">
        <v>24</v>
      </c>
    </row>
    <row r="4199" ht="15.75" customHeight="1">
      <c r="A4199" s="7"/>
      <c r="B4199" s="7" t="str">
        <f>IFERROR(__xludf.DUMMYFUNCTION("""COMPUTED_VALUE"""),"Dart;Go;Java;JavaScript")</f>
        <v>Dart;Go;Java;JavaScript</v>
      </c>
      <c r="C4199" s="9" t="str">
        <f>IFERROR(__xludf.DUMMYFUNCTION("""COMPUTED_VALUE"""),"JavaScript")</f>
        <v>JavaScript</v>
      </c>
      <c r="D4199" s="9" t="str">
        <f>IFERROR(__xludf.DUMMYFUNCTION("""COMPUTED_VALUE"""),"HTML/CSS")</f>
        <v>HTML/CSS</v>
      </c>
      <c r="E4199" s="9" t="str">
        <f>IFERROR(__xludf.DUMMYFUNCTION("""COMPUTED_VALUE"""),"Java")</f>
        <v>Java</v>
      </c>
      <c r="F4199" s="9" t="str">
        <f>IFERROR(__xludf.DUMMYFUNCTION("""COMPUTED_VALUE"""),"Python")</f>
        <v>Python</v>
      </c>
      <c r="G4199" s="9" t="str">
        <f>IFERROR(__xludf.DUMMYFUNCTION("""COMPUTED_VALUE"""),"Swift")</f>
        <v>Swift</v>
      </c>
      <c r="H4199" s="9" t="str">
        <f>IFERROR(__xludf.DUMMYFUNCTION("""COMPUTED_VALUE"""),"Bash/Shell/PowerShell")</f>
        <v>Bash/Shell/PowerShell</v>
      </c>
      <c r="I4199" s="9" t="str">
        <f>IFERROR(__xludf.DUMMYFUNCTION("""COMPUTED_VALUE"""),"JavaScript")</f>
        <v>JavaScript</v>
      </c>
      <c r="J4199" s="9" t="str">
        <f>IFERROR(__xludf.DUMMYFUNCTION("""COMPUTED_VALUE"""),"SQL")</f>
        <v>SQL</v>
      </c>
      <c r="K4199" s="9" t="str">
        <f>IFERROR(__xludf.DUMMYFUNCTION("""COMPUTED_VALUE"""),"JavaScript")</f>
        <v>JavaScript</v>
      </c>
      <c r="L4199" s="9" t="str">
        <f>IFERROR(__xludf.DUMMYFUNCTION("""COMPUTED_VALUE"""),"Assembly")</f>
        <v>Assembly</v>
      </c>
      <c r="M4199" s="9" t="s">
        <v>21</v>
      </c>
    </row>
    <row r="4200" ht="15.75" customHeight="1">
      <c r="A4200" s="7"/>
      <c r="B4200" s="7" t="str">
        <f>IFERROR(__xludf.DUMMYFUNCTION("""COMPUTED_VALUE"""),"HTML/CSS;JavaScript;PHP;SQL")</f>
        <v>HTML/CSS;JavaScript;PHP;SQL</v>
      </c>
      <c r="C4200" s="9" t="str">
        <f>IFERROR(__xludf.DUMMYFUNCTION("""COMPUTED_VALUE"""),"Swift")</f>
        <v>Swift</v>
      </c>
      <c r="D4200" s="9" t="str">
        <f>IFERROR(__xludf.DUMMYFUNCTION("""COMPUTED_VALUE"""),"JavaScript")</f>
        <v>JavaScript</v>
      </c>
      <c r="E4200" s="9" t="str">
        <f>IFERROR(__xludf.DUMMYFUNCTION("""COMPUTED_VALUE"""),"JavaScript")</f>
        <v>JavaScript</v>
      </c>
      <c r="F4200" s="9" t="str">
        <f>IFERROR(__xludf.DUMMYFUNCTION("""COMPUTED_VALUE"""),"R")</f>
        <v>R</v>
      </c>
      <c r="G4200" s="9" t="str">
        <f>IFERROR(__xludf.DUMMYFUNCTION("""COMPUTED_VALUE"""),"TypeScript")</f>
        <v>TypeScript</v>
      </c>
      <c r="H4200" s="9" t="str">
        <f>IFERROR(__xludf.DUMMYFUNCTION("""COMPUTED_VALUE"""),"C++")</f>
        <v>C++</v>
      </c>
      <c r="I4200" s="9" t="str">
        <f>IFERROR(__xludf.DUMMYFUNCTION("""COMPUTED_VALUE"""),"PHP")</f>
        <v>PHP</v>
      </c>
      <c r="J4200" s="9" t="str">
        <f>IFERROR(__xludf.DUMMYFUNCTION("""COMPUTED_VALUE"""),"Other(s):")</f>
        <v>Other(s):</v>
      </c>
      <c r="K4200" s="9" t="str">
        <f>IFERROR(__xludf.DUMMYFUNCTION("""COMPUTED_VALUE"""),"PHP")</f>
        <v>PHP</v>
      </c>
      <c r="L4200" s="9" t="str">
        <f>IFERROR(__xludf.DUMMYFUNCTION("""COMPUTED_VALUE"""),"Bash/Shell/PowerShell")</f>
        <v>Bash/Shell/PowerShell</v>
      </c>
      <c r="M4200" s="9" t="s">
        <v>40</v>
      </c>
    </row>
    <row r="4201" ht="15.75" customHeight="1">
      <c r="A4201" s="7"/>
      <c r="B4201" s="7" t="str">
        <f>IFERROR(__xludf.DUMMYFUNCTION("""COMPUTED_VALUE"""),"Bash/Shell/PowerShell;C#;HTML/CSS;Java;JavaScript;Python;R;Ruby;Scala;SQL")</f>
        <v>Bash/Shell/PowerShell;C#;HTML/CSS;Java;JavaScript;Python;R;Ruby;Scala;SQL</v>
      </c>
      <c r="C4201" s="9" t="str">
        <f>IFERROR(__xludf.DUMMYFUNCTION("""COMPUTED_VALUE"""),"C#")</f>
        <v>C#</v>
      </c>
      <c r="D4201" s="9" t="str">
        <f>IFERROR(__xludf.DUMMYFUNCTION("""COMPUTED_VALUE"""),"Python")</f>
        <v>Python</v>
      </c>
      <c r="E4201" s="9" t="str">
        <f>IFERROR(__xludf.DUMMYFUNCTION("""COMPUTED_VALUE"""),"PHP")</f>
        <v>PHP</v>
      </c>
      <c r="F4201" s="9" t="str">
        <f>IFERROR(__xludf.DUMMYFUNCTION("""COMPUTED_VALUE"""),"WebAssembly")</f>
        <v>WebAssembly</v>
      </c>
      <c r="G4201" s="9" t="str">
        <f>IFERROR(__xludf.DUMMYFUNCTION("""COMPUTED_VALUE"""),"HTML/CSS")</f>
        <v>HTML/CSS</v>
      </c>
      <c r="H4201" s="9" t="str">
        <f>IFERROR(__xludf.DUMMYFUNCTION("""COMPUTED_VALUE"""),"C#")</f>
        <v>C#</v>
      </c>
      <c r="I4201" s="9" t="str">
        <f>IFERROR(__xludf.DUMMYFUNCTION("""COMPUTED_VALUE"""),"SQL")</f>
        <v>SQL</v>
      </c>
      <c r="J4201" s="9" t="str">
        <f>IFERROR(__xludf.DUMMYFUNCTION("""COMPUTED_VALUE"""),"JavaScript")</f>
        <v>JavaScript</v>
      </c>
      <c r="K4201" s="9" t="str">
        <f>IFERROR(__xludf.DUMMYFUNCTION("""COMPUTED_VALUE"""),"SQL")</f>
        <v>SQL</v>
      </c>
      <c r="L4201" s="9" t="str">
        <f>IFERROR(__xludf.DUMMYFUNCTION("""COMPUTED_VALUE"""),"C")</f>
        <v>C</v>
      </c>
      <c r="M4201" s="9" t="s">
        <v>26</v>
      </c>
    </row>
    <row r="4202" ht="15.75" customHeight="1">
      <c r="A4202" s="7"/>
      <c r="B4202" s="7" t="str">
        <f>IFERROR(__xludf.DUMMYFUNCTION("""COMPUTED_VALUE"""),"Assembly;Bash/Shell/PowerShell;C;HTML/CSS;Java;JavaScript;PHP;Python")</f>
        <v>Assembly;Bash/Shell/PowerShell;C;HTML/CSS;Java;JavaScript;PHP;Python</v>
      </c>
      <c r="C4202" s="9" t="str">
        <f>IFERROR(__xludf.DUMMYFUNCTION("""COMPUTED_VALUE"""),"HTML/CSS")</f>
        <v>HTML/CSS</v>
      </c>
      <c r="D4202" s="9" t="str">
        <f>IFERROR(__xludf.DUMMYFUNCTION("""COMPUTED_VALUE"""),"SQL")</f>
        <v>SQL</v>
      </c>
      <c r="E4202" s="9" t="str">
        <f>IFERROR(__xludf.DUMMYFUNCTION("""COMPUTED_VALUE"""),"Python")</f>
        <v>Python</v>
      </c>
      <c r="F4202" s="9" t="str">
        <f>IFERROR(__xludf.DUMMYFUNCTION("""COMPUTED_VALUE"""),"HTML/CSS")</f>
        <v>HTML/CSS</v>
      </c>
      <c r="G4202" s="9" t="str">
        <f>IFERROR(__xludf.DUMMYFUNCTION("""COMPUTED_VALUE"""),"Java")</f>
        <v>Java</v>
      </c>
      <c r="H4202" s="9" t="str">
        <f>IFERROR(__xludf.DUMMYFUNCTION("""COMPUTED_VALUE"""),"Go")</f>
        <v>Go</v>
      </c>
      <c r="I4202" s="9" t="str">
        <f>IFERROR(__xludf.DUMMYFUNCTION("""COMPUTED_VALUE"""),"Java")</f>
        <v>Java</v>
      </c>
      <c r="J4202" s="9" t="str">
        <f>IFERROR(__xludf.DUMMYFUNCTION("""COMPUTED_VALUE"""),"PHP")</f>
        <v>PHP</v>
      </c>
      <c r="K4202" s="9" t="str">
        <f>IFERROR(__xludf.DUMMYFUNCTION("""COMPUTED_VALUE"""),"C#")</f>
        <v>C#</v>
      </c>
      <c r="L4202" s="9" t="str">
        <f>IFERROR(__xludf.DUMMYFUNCTION("""COMPUTED_VALUE"""),"C++")</f>
        <v>C++</v>
      </c>
      <c r="M4202" s="9" t="s">
        <v>24</v>
      </c>
    </row>
    <row r="4203" ht="15.75" customHeight="1">
      <c r="A4203" s="7"/>
      <c r="B4203" s="7" t="str">
        <f>IFERROR(__xludf.DUMMYFUNCTION("""COMPUTED_VALUE"""),"Java")</f>
        <v>Java</v>
      </c>
      <c r="C4203" s="9" t="str">
        <f>IFERROR(__xludf.DUMMYFUNCTION("""COMPUTED_VALUE"""),"JavaScript")</f>
        <v>JavaScript</v>
      </c>
      <c r="D4203" s="9" t="str">
        <f>IFERROR(__xludf.DUMMYFUNCTION("""COMPUTED_VALUE"""),"Bash/Shell/PowerShell")</f>
        <v>Bash/Shell/PowerShell</v>
      </c>
      <c r="E4203" s="9" t="str">
        <f>IFERROR(__xludf.DUMMYFUNCTION("""COMPUTED_VALUE"""),"SQL")</f>
        <v>SQL</v>
      </c>
      <c r="F4203" s="9" t="str">
        <f>IFERROR(__xludf.DUMMYFUNCTION("""COMPUTED_VALUE"""),"Java")</f>
        <v>Java</v>
      </c>
      <c r="G4203" s="9" t="str">
        <f>IFERROR(__xludf.DUMMYFUNCTION("""COMPUTED_VALUE"""),"JavaScript")</f>
        <v>JavaScript</v>
      </c>
      <c r="H4203" s="9" t="str">
        <f>IFERROR(__xludf.DUMMYFUNCTION("""COMPUTED_VALUE"""),"HTML/CSS")</f>
        <v>HTML/CSS</v>
      </c>
      <c r="I4203" s="9" t="str">
        <f>IFERROR(__xludf.DUMMYFUNCTION("""COMPUTED_VALUE"""),"JavaScript")</f>
        <v>JavaScript</v>
      </c>
      <c r="J4203" s="9" t="str">
        <f>IFERROR(__xludf.DUMMYFUNCTION("""COMPUTED_VALUE"""),"SQL")</f>
        <v>SQL</v>
      </c>
      <c r="K4203" s="9" t="str">
        <f>IFERROR(__xludf.DUMMYFUNCTION("""COMPUTED_VALUE"""),"Go")</f>
        <v>Go</v>
      </c>
      <c r="L4203" s="9" t="str">
        <f>IFERROR(__xludf.DUMMYFUNCTION("""COMPUTED_VALUE"""),"HTML/CSS")</f>
        <v>HTML/CSS</v>
      </c>
      <c r="M4203" s="9" t="s">
        <v>21</v>
      </c>
    </row>
    <row r="4204" ht="15.75" customHeight="1">
      <c r="A4204" s="7"/>
      <c r="B4204" s="7" t="str">
        <f>IFERROR(__xludf.DUMMYFUNCTION("""COMPUTED_VALUE"""),"C#;TypeScript")</f>
        <v>C#;TypeScript</v>
      </c>
      <c r="C4204" s="9" t="str">
        <f>IFERROR(__xludf.DUMMYFUNCTION("""COMPUTED_VALUE"""),"Python")</f>
        <v>Python</v>
      </c>
      <c r="D4204" s="9" t="str">
        <f>IFERROR(__xludf.DUMMYFUNCTION("""COMPUTED_VALUE"""),"Dart")</f>
        <v>Dart</v>
      </c>
      <c r="E4204" s="9" t="str">
        <f>IFERROR(__xludf.DUMMYFUNCTION("""COMPUTED_VALUE"""),"TypeScript")</f>
        <v>TypeScript</v>
      </c>
      <c r="F4204" s="9" t="str">
        <f>IFERROR(__xludf.DUMMYFUNCTION("""COMPUTED_VALUE"""),"JavaScript")</f>
        <v>JavaScript</v>
      </c>
      <c r="G4204" s="9" t="str">
        <f>IFERROR(__xludf.DUMMYFUNCTION("""COMPUTED_VALUE"""),"Ruby")</f>
        <v>Ruby</v>
      </c>
      <c r="H4204" s="9" t="str">
        <f>IFERROR(__xludf.DUMMYFUNCTION("""COMPUTED_VALUE"""),"JavaScript")</f>
        <v>JavaScript</v>
      </c>
      <c r="I4204" s="9" t="str">
        <f>IFERROR(__xludf.DUMMYFUNCTION("""COMPUTED_VALUE"""),"SQL")</f>
        <v>SQL</v>
      </c>
      <c r="J4204" s="9" t="str">
        <f>IFERROR(__xludf.DUMMYFUNCTION("""COMPUTED_VALUE"""),"Assembly")</f>
        <v>Assembly</v>
      </c>
      <c r="K4204" s="9" t="str">
        <f>IFERROR(__xludf.DUMMYFUNCTION("""COMPUTED_VALUE"""),"HTML/CSS")</f>
        <v>HTML/CSS</v>
      </c>
      <c r="L4204" s="9" t="str">
        <f>IFERROR(__xludf.DUMMYFUNCTION("""COMPUTED_VALUE"""),"Java")</f>
        <v>Java</v>
      </c>
      <c r="M4204" s="9" t="s">
        <v>22</v>
      </c>
    </row>
    <row r="4205" ht="15.75" customHeight="1">
      <c r="A4205" s="7"/>
      <c r="B4205" s="7" t="str">
        <f>IFERROR(__xludf.DUMMYFUNCTION("""COMPUTED_VALUE"""),"Bash/Shell/PowerShell;C;HTML/CSS;Java;Python")</f>
        <v>Bash/Shell/PowerShell;C;HTML/CSS;Java;Python</v>
      </c>
      <c r="C4205" s="9" t="str">
        <f>IFERROR(__xludf.DUMMYFUNCTION("""COMPUTED_VALUE"""),"SQL")</f>
        <v>SQL</v>
      </c>
      <c r="D4205" s="9" t="str">
        <f>IFERROR(__xludf.DUMMYFUNCTION("""COMPUTED_VALUE"""),"Java")</f>
        <v>Java</v>
      </c>
      <c r="E4205" s="9" t="str">
        <f>IFERROR(__xludf.DUMMYFUNCTION("""COMPUTED_VALUE"""),"Bash/Shell/PowerShell")</f>
        <v>Bash/Shell/PowerShell</v>
      </c>
      <c r="F4205" s="9" t="str">
        <f>IFERROR(__xludf.DUMMYFUNCTION("""COMPUTED_VALUE"""),"Python")</f>
        <v>Python</v>
      </c>
      <c r="G4205" s="9" t="str">
        <f>IFERROR(__xludf.DUMMYFUNCTION("""COMPUTED_VALUE"""),"C")</f>
        <v>C</v>
      </c>
      <c r="H4205" s="9" t="str">
        <f>IFERROR(__xludf.DUMMYFUNCTION("""COMPUTED_VALUE"""),"Python")</f>
        <v>Python</v>
      </c>
      <c r="I4205" s="9" t="str">
        <f>IFERROR(__xludf.DUMMYFUNCTION("""COMPUTED_VALUE"""),"C++")</f>
        <v>C++</v>
      </c>
      <c r="J4205" s="9" t="str">
        <f>IFERROR(__xludf.DUMMYFUNCTION("""COMPUTED_VALUE"""),"HTML/CSS")</f>
        <v>HTML/CSS</v>
      </c>
      <c r="K4205" s="9" t="str">
        <f>IFERROR(__xludf.DUMMYFUNCTION("""COMPUTED_VALUE"""),"Java")</f>
        <v>Java</v>
      </c>
      <c r="L4205" s="9" t="str">
        <f>IFERROR(__xludf.DUMMYFUNCTION("""COMPUTED_VALUE"""),"JavaScript")</f>
        <v>JavaScript</v>
      </c>
      <c r="M4205" s="9" t="s">
        <v>27</v>
      </c>
    </row>
    <row r="4206" ht="15.75" customHeight="1">
      <c r="A4206" s="7"/>
      <c r="B4206" s="7" t="str">
        <f>IFERROR(__xludf.DUMMYFUNCTION("""COMPUTED_VALUE"""),"Bash/Shell/PowerShell;HTML/CSS;JavaScript;PHP;Python;SQL")</f>
        <v>Bash/Shell/PowerShell;HTML/CSS;JavaScript;PHP;Python;SQL</v>
      </c>
      <c r="C4206" s="9" t="str">
        <f>IFERROR(__xludf.DUMMYFUNCTION("""COMPUTED_VALUE"""),"Bash/Shell/PowerShell")</f>
        <v>Bash/Shell/PowerShell</v>
      </c>
      <c r="D4206" s="9" t="str">
        <f>IFERROR(__xludf.DUMMYFUNCTION("""COMPUTED_VALUE"""),"JavaScript")</f>
        <v>JavaScript</v>
      </c>
      <c r="E4206" s="9" t="str">
        <f>IFERROR(__xludf.DUMMYFUNCTION("""COMPUTED_VALUE"""),"Go")</f>
        <v>Go</v>
      </c>
      <c r="F4206" s="9" t="str">
        <f>IFERROR(__xludf.DUMMYFUNCTION("""COMPUTED_VALUE"""),"R")</f>
        <v>R</v>
      </c>
      <c r="G4206" s="9" t="str">
        <f>IFERROR(__xludf.DUMMYFUNCTION("""COMPUTED_VALUE"""),"Python")</f>
        <v>Python</v>
      </c>
      <c r="H4206" s="9" t="str">
        <f>IFERROR(__xludf.DUMMYFUNCTION("""COMPUTED_VALUE"""),"Rust")</f>
        <v>Rust</v>
      </c>
      <c r="I4206" s="9" t="str">
        <f>IFERROR(__xludf.DUMMYFUNCTION("""COMPUTED_VALUE"""),"HTML/CSS")</f>
        <v>HTML/CSS</v>
      </c>
      <c r="J4206" s="9" t="str">
        <f>IFERROR(__xludf.DUMMYFUNCTION("""COMPUTED_VALUE"""),"JavaScript")</f>
        <v>JavaScript</v>
      </c>
      <c r="K4206" s="9" t="str">
        <f>IFERROR(__xludf.DUMMYFUNCTION("""COMPUTED_VALUE"""),"JavaScript")</f>
        <v>JavaScript</v>
      </c>
      <c r="L4206" s="9" t="str">
        <f>IFERROR(__xludf.DUMMYFUNCTION("""COMPUTED_VALUE"""),"Python")</f>
        <v>Python</v>
      </c>
      <c r="M4206" s="9" t="s">
        <v>30</v>
      </c>
    </row>
    <row r="4207" ht="15.75" customHeight="1">
      <c r="A4207" s="7"/>
      <c r="B4207" s="7" t="str">
        <f>IFERROR(__xludf.DUMMYFUNCTION("""COMPUTED_VALUE"""),"Bash/Shell/PowerShell;Go;JavaScript;Ruby;SQL")</f>
        <v>Bash/Shell/PowerShell;Go;JavaScript;Ruby;SQL</v>
      </c>
      <c r="C4207" s="9" t="str">
        <f>IFERROR(__xludf.DUMMYFUNCTION("""COMPUTED_VALUE"""),"C++")</f>
        <v>C++</v>
      </c>
      <c r="D4207" s="9" t="str">
        <f>IFERROR(__xludf.DUMMYFUNCTION("""COMPUTED_VALUE"""),"Objective-C")</f>
        <v>Objective-C</v>
      </c>
      <c r="E4207" s="9" t="str">
        <f>IFERROR(__xludf.DUMMYFUNCTION("""COMPUTED_VALUE"""),"HTML/CSS")</f>
        <v>HTML/CSS</v>
      </c>
      <c r="F4207" s="9" t="str">
        <f>IFERROR(__xludf.DUMMYFUNCTION("""COMPUTED_VALUE"""),"SQL")</f>
        <v>SQL</v>
      </c>
      <c r="G4207" s="9" t="str">
        <f>IFERROR(__xludf.DUMMYFUNCTION("""COMPUTED_VALUE"""),"Rust")</f>
        <v>Rust</v>
      </c>
      <c r="H4207" s="9" t="str">
        <f>IFERROR(__xludf.DUMMYFUNCTION("""COMPUTED_VALUE"""),"TypeScript")</f>
        <v>TypeScript</v>
      </c>
      <c r="I4207" s="9" t="str">
        <f>IFERROR(__xludf.DUMMYFUNCTION("""COMPUTED_VALUE"""),"Java")</f>
        <v>Java</v>
      </c>
      <c r="J4207" s="9" t="str">
        <f>IFERROR(__xludf.DUMMYFUNCTION("""COMPUTED_VALUE"""),"R")</f>
        <v>R</v>
      </c>
      <c r="K4207" s="9" t="str">
        <f>IFERROR(__xludf.DUMMYFUNCTION("""COMPUTED_VALUE"""),"Python")</f>
        <v>Python</v>
      </c>
      <c r="L4207" s="9" t="str">
        <f>IFERROR(__xludf.DUMMYFUNCTION("""COMPUTED_VALUE"""),"SQL")</f>
        <v>SQL</v>
      </c>
      <c r="M4207" s="9" t="s">
        <v>23</v>
      </c>
    </row>
    <row r="4208" ht="15.75" customHeight="1">
      <c r="A4208" s="7"/>
      <c r="B4208" s="7" t="str">
        <f>IFERROR(__xludf.DUMMYFUNCTION("""COMPUTED_VALUE"""),"HTML/CSS;Java;JavaScript;SQL;TypeScript")</f>
        <v>HTML/CSS;Java;JavaScript;SQL;TypeScript</v>
      </c>
      <c r="C4208" s="9" t="str">
        <f>IFERROR(__xludf.DUMMYFUNCTION("""COMPUTED_VALUE"""),"C#")</f>
        <v>C#</v>
      </c>
      <c r="D4208" s="9" t="str">
        <f>IFERROR(__xludf.DUMMYFUNCTION("""COMPUTED_VALUE"""),"Swift")</f>
        <v>Swift</v>
      </c>
      <c r="E4208" s="9" t="str">
        <f>IFERROR(__xludf.DUMMYFUNCTION("""COMPUTED_VALUE"""),"Java")</f>
        <v>Java</v>
      </c>
      <c r="F4208" s="9" t="str">
        <f>IFERROR(__xludf.DUMMYFUNCTION("""COMPUTED_VALUE"""),"HTML/CSS")</f>
        <v>HTML/CSS</v>
      </c>
      <c r="G4208" s="9" t="str">
        <f>IFERROR(__xludf.DUMMYFUNCTION("""COMPUTED_VALUE"""),"HTML/CSS")</f>
        <v>HTML/CSS</v>
      </c>
      <c r="H4208" s="9" t="str">
        <f>IFERROR(__xludf.DUMMYFUNCTION("""COMPUTED_VALUE"""),"Bash/Shell/PowerShell")</f>
        <v>Bash/Shell/PowerShell</v>
      </c>
      <c r="I4208" s="9" t="str">
        <f>IFERROR(__xludf.DUMMYFUNCTION("""COMPUTED_VALUE"""),"JavaScript")</f>
        <v>JavaScript</v>
      </c>
      <c r="J4208" s="9" t="str">
        <f>IFERROR(__xludf.DUMMYFUNCTION("""COMPUTED_VALUE"""),"Ruby")</f>
        <v>Ruby</v>
      </c>
      <c r="K4208" s="9" t="str">
        <f>IFERROR(__xludf.DUMMYFUNCTION("""COMPUTED_VALUE"""),"SQL")</f>
        <v>SQL</v>
      </c>
      <c r="L4208" s="9" t="str">
        <f>IFERROR(__xludf.DUMMYFUNCTION("""COMPUTED_VALUE"""),"HTML/CSS")</f>
        <v>HTML/CSS</v>
      </c>
      <c r="M4208" s="9" t="s">
        <v>26</v>
      </c>
    </row>
    <row r="4209" ht="15.75" customHeight="1">
      <c r="A4209" s="7"/>
      <c r="B4209" s="7" t="str">
        <f>IFERROR(__xludf.DUMMYFUNCTION("""COMPUTED_VALUE"""),"Bash/Shell/PowerShell;C;C++;C#;HTML/CSS;JavaScript;PHP;SQL")</f>
        <v>Bash/Shell/PowerShell;C;C++;C#;HTML/CSS;JavaScript;PHP;SQL</v>
      </c>
      <c r="C4209" s="9" t="str">
        <f>IFERROR(__xludf.DUMMYFUNCTION("""COMPUTED_VALUE"""),"HTML/CSS")</f>
        <v>HTML/CSS</v>
      </c>
      <c r="D4209" s="9" t="str">
        <f>IFERROR(__xludf.DUMMYFUNCTION("""COMPUTED_VALUE"""),"Bash/Shell/PowerShell")</f>
        <v>Bash/Shell/PowerShell</v>
      </c>
      <c r="E4209" s="9" t="str">
        <f>IFERROR(__xludf.DUMMYFUNCTION("""COMPUTED_VALUE"""),"JavaScript")</f>
        <v>JavaScript</v>
      </c>
      <c r="F4209" s="9" t="str">
        <f>IFERROR(__xludf.DUMMYFUNCTION("""COMPUTED_VALUE"""),"Java")</f>
        <v>Java</v>
      </c>
      <c r="G4209" s="9" t="str">
        <f>IFERROR(__xludf.DUMMYFUNCTION("""COMPUTED_VALUE"""),"Java")</f>
        <v>Java</v>
      </c>
      <c r="H4209" s="9" t="str">
        <f>IFERROR(__xludf.DUMMYFUNCTION("""COMPUTED_VALUE"""),"HTML/CSS")</f>
        <v>HTML/CSS</v>
      </c>
      <c r="I4209" s="9" t="str">
        <f>IFERROR(__xludf.DUMMYFUNCTION("""COMPUTED_VALUE"""),"Objective-C")</f>
        <v>Objective-C</v>
      </c>
      <c r="J4209" s="9" t="str">
        <f>IFERROR(__xludf.DUMMYFUNCTION("""COMPUTED_VALUE"""),"SQL")</f>
        <v>SQL</v>
      </c>
      <c r="K4209" s="9" t="str">
        <f>IFERROR(__xludf.DUMMYFUNCTION("""COMPUTED_VALUE"""),"TypeScript")</f>
        <v>TypeScript</v>
      </c>
      <c r="L4209" s="9" t="str">
        <f>IFERROR(__xludf.DUMMYFUNCTION("""COMPUTED_VALUE"""),"JavaScript")</f>
        <v>JavaScript</v>
      </c>
      <c r="M4209" s="9" t="s">
        <v>24</v>
      </c>
    </row>
    <row r="4210" ht="15.75" customHeight="1">
      <c r="A4210" s="7"/>
      <c r="B4210" s="7" t="str">
        <f>IFERROR(__xludf.DUMMYFUNCTION("""COMPUTED_VALUE"""),"HTML/CSS;Java;JavaScript;Python;Swift")</f>
        <v>HTML/CSS;Java;JavaScript;Python;Swift</v>
      </c>
      <c r="C4210" s="9" t="str">
        <f>IFERROR(__xludf.DUMMYFUNCTION("""COMPUTED_VALUE"""),"PHP")</f>
        <v>PHP</v>
      </c>
      <c r="D4210" s="9" t="str">
        <f>IFERROR(__xludf.DUMMYFUNCTION("""COMPUTED_VALUE"""),"C#")</f>
        <v>C#</v>
      </c>
      <c r="E4210" s="9" t="str">
        <f>IFERROR(__xludf.DUMMYFUNCTION("""COMPUTED_VALUE"""),"Objective-C")</f>
        <v>Objective-C</v>
      </c>
      <c r="F4210" s="9" t="str">
        <f>IFERROR(__xludf.DUMMYFUNCTION("""COMPUTED_VALUE"""),"JavaScript")</f>
        <v>JavaScript</v>
      </c>
      <c r="G4210" s="9" t="str">
        <f>IFERROR(__xludf.DUMMYFUNCTION("""COMPUTED_VALUE"""),"JavaScript")</f>
        <v>JavaScript</v>
      </c>
      <c r="H4210" s="9" t="str">
        <f>IFERROR(__xludf.DUMMYFUNCTION("""COMPUTED_VALUE"""),"JavaScript")</f>
        <v>JavaScript</v>
      </c>
      <c r="I4210" s="9" t="str">
        <f>IFERROR(__xludf.DUMMYFUNCTION("""COMPUTED_VALUE"""),"Python")</f>
        <v>Python</v>
      </c>
      <c r="J4210" s="9" t="str">
        <f>IFERROR(__xludf.DUMMYFUNCTION("""COMPUTED_VALUE"""),"C#")</f>
        <v>C#</v>
      </c>
      <c r="K4210" s="9" t="str">
        <f>IFERROR(__xludf.DUMMYFUNCTION("""COMPUTED_VALUE"""),"C#")</f>
        <v>C#</v>
      </c>
      <c r="L4210" s="9" t="str">
        <f>IFERROR(__xludf.DUMMYFUNCTION("""COMPUTED_VALUE"""),"Kotlin")</f>
        <v>Kotlin</v>
      </c>
      <c r="M4210" s="9" t="s">
        <v>37</v>
      </c>
    </row>
    <row r="4211" ht="15.75" customHeight="1">
      <c r="A4211" s="7"/>
      <c r="B4211" s="7" t="str">
        <f>IFERROR(__xludf.DUMMYFUNCTION("""COMPUTED_VALUE"""),"Swift")</f>
        <v>Swift</v>
      </c>
      <c r="C4211" s="9" t="str">
        <f>IFERROR(__xludf.DUMMYFUNCTION("""COMPUTED_VALUE"""),"VBA")</f>
        <v>VBA</v>
      </c>
      <c r="D4211" s="9" t="str">
        <f>IFERROR(__xludf.DUMMYFUNCTION("""COMPUTED_VALUE"""),"HTML/CSS")</f>
        <v>HTML/CSS</v>
      </c>
      <c r="E4211" s="9" t="str">
        <f>IFERROR(__xludf.DUMMYFUNCTION("""COMPUTED_VALUE"""),"PHP")</f>
        <v>PHP</v>
      </c>
      <c r="F4211" s="9" t="str">
        <f>IFERROR(__xludf.DUMMYFUNCTION("""COMPUTED_VALUE"""),"PHP")</f>
        <v>PHP</v>
      </c>
      <c r="G4211" s="9" t="str">
        <f>IFERROR(__xludf.DUMMYFUNCTION("""COMPUTED_VALUE"""),"Objective-C")</f>
        <v>Objective-C</v>
      </c>
      <c r="H4211" s="9" t="str">
        <f>IFERROR(__xludf.DUMMYFUNCTION("""COMPUTED_VALUE"""),"PHP")</f>
        <v>PHP</v>
      </c>
      <c r="I4211" s="9" t="str">
        <f>IFERROR(__xludf.DUMMYFUNCTION("""COMPUTED_VALUE"""),"Ruby")</f>
        <v>Ruby</v>
      </c>
      <c r="J4211" s="9" t="str">
        <f>IFERROR(__xludf.DUMMYFUNCTION("""COMPUTED_VALUE"""),"Elixir")</f>
        <v>Elixir</v>
      </c>
      <c r="K4211" s="9" t="str">
        <f>IFERROR(__xludf.DUMMYFUNCTION("""COMPUTED_VALUE"""),"TypeScript")</f>
        <v>TypeScript</v>
      </c>
      <c r="L4211" s="9" t="str">
        <f>IFERROR(__xludf.DUMMYFUNCTION("""COMPUTED_VALUE"""),"PHP")</f>
        <v>PHP</v>
      </c>
      <c r="M4211" s="9" t="s">
        <v>28</v>
      </c>
    </row>
    <row r="4212" ht="15.75" customHeight="1">
      <c r="A4212" s="7"/>
      <c r="B4212" s="7" t="str">
        <f>IFERROR(__xludf.DUMMYFUNCTION("""COMPUTED_VALUE"""),"HTML/CSS;Java;JavaScript;SQL")</f>
        <v>HTML/CSS;Java;JavaScript;SQL</v>
      </c>
      <c r="C4212" s="9" t="str">
        <f>IFERROR(__xludf.DUMMYFUNCTION("""COMPUTED_VALUE"""),"Bash/Shell/PowerShell")</f>
        <v>Bash/Shell/PowerShell</v>
      </c>
      <c r="D4212" s="9" t="str">
        <f>IFERROR(__xludf.DUMMYFUNCTION("""COMPUTED_VALUE"""),"Java")</f>
        <v>Java</v>
      </c>
      <c r="E4212" s="9" t="str">
        <f>IFERROR(__xludf.DUMMYFUNCTION("""COMPUTED_VALUE"""),"Python")</f>
        <v>Python</v>
      </c>
      <c r="F4212" s="9" t="str">
        <f>IFERROR(__xludf.DUMMYFUNCTION("""COMPUTED_VALUE"""),"SQL")</f>
        <v>SQL</v>
      </c>
      <c r="G4212" s="9" t="str">
        <f>IFERROR(__xludf.DUMMYFUNCTION("""COMPUTED_VALUE"""),"PHP")</f>
        <v>PHP</v>
      </c>
      <c r="H4212" s="9" t="str">
        <f>IFERROR(__xludf.DUMMYFUNCTION("""COMPUTED_VALUE"""),"Python")</f>
        <v>Python</v>
      </c>
      <c r="I4212" s="9" t="str">
        <f>IFERROR(__xludf.DUMMYFUNCTION("""COMPUTED_VALUE"""),"Swift")</f>
        <v>Swift</v>
      </c>
      <c r="J4212" s="9" t="str">
        <f>IFERROR(__xludf.DUMMYFUNCTION("""COMPUTED_VALUE"""),"F#")</f>
        <v>F#</v>
      </c>
      <c r="K4212" s="9" t="str">
        <f>IFERROR(__xludf.DUMMYFUNCTION("""COMPUTED_VALUE"""),"C#")</f>
        <v>C#</v>
      </c>
      <c r="L4212" s="9" t="str">
        <f>IFERROR(__xludf.DUMMYFUNCTION("""COMPUTED_VALUE"""),"SQL")</f>
        <v>SQL</v>
      </c>
      <c r="M4212" s="9" t="s">
        <v>30</v>
      </c>
    </row>
    <row r="4213" ht="15.75" customHeight="1">
      <c r="A4213" s="7"/>
      <c r="B4213" s="7" t="str">
        <f>IFERROR(__xludf.DUMMYFUNCTION("""COMPUTED_VALUE"""),"Go;Java;JavaScript;TypeScript")</f>
        <v>Go;Java;JavaScript;TypeScript</v>
      </c>
      <c r="C4213" s="9" t="str">
        <f>IFERROR(__xludf.DUMMYFUNCTION("""COMPUTED_VALUE"""),"Dart")</f>
        <v>Dart</v>
      </c>
      <c r="D4213" s="9" t="str">
        <f>IFERROR(__xludf.DUMMYFUNCTION("""COMPUTED_VALUE"""),"JavaScript")</f>
        <v>JavaScript</v>
      </c>
      <c r="E4213" s="9" t="str">
        <f>IFERROR(__xludf.DUMMYFUNCTION("""COMPUTED_VALUE"""),"Ruby")</f>
        <v>Ruby</v>
      </c>
      <c r="F4213" s="9" t="str">
        <f>IFERROR(__xludf.DUMMYFUNCTION("""COMPUTED_VALUE"""),"Java")</f>
        <v>Java</v>
      </c>
      <c r="G4213" s="9" t="str">
        <f>IFERROR(__xludf.DUMMYFUNCTION("""COMPUTED_VALUE"""),"Ruby")</f>
        <v>Ruby</v>
      </c>
      <c r="H4213" s="9" t="str">
        <f>IFERROR(__xludf.DUMMYFUNCTION("""COMPUTED_VALUE"""),"R")</f>
        <v>R</v>
      </c>
      <c r="I4213" s="9" t="str">
        <f>IFERROR(__xludf.DUMMYFUNCTION("""COMPUTED_VALUE"""),"TypeScript")</f>
        <v>TypeScript</v>
      </c>
      <c r="J4213" s="9" t="str">
        <f>IFERROR(__xludf.DUMMYFUNCTION("""COMPUTED_VALUE"""),"Java")</f>
        <v>Java</v>
      </c>
      <c r="K4213" s="9" t="str">
        <f>IFERROR(__xludf.DUMMYFUNCTION("""COMPUTED_VALUE"""),"HTML/CSS")</f>
        <v>HTML/CSS</v>
      </c>
      <c r="L4213" s="9" t="str">
        <f>IFERROR(__xludf.DUMMYFUNCTION("""COMPUTED_VALUE"""),"Swift")</f>
        <v>Swift</v>
      </c>
      <c r="M4213" s="9" t="s">
        <v>47</v>
      </c>
    </row>
    <row r="4214" ht="15.75" customHeight="1">
      <c r="A4214" s="7"/>
      <c r="B4214" s="7" t="str">
        <f>IFERROR(__xludf.DUMMYFUNCTION("""COMPUTED_VALUE"""),"C++;C#")</f>
        <v>C++;C#</v>
      </c>
      <c r="C4214" s="9" t="str">
        <f>IFERROR(__xludf.DUMMYFUNCTION("""COMPUTED_VALUE"""),"Go")</f>
        <v>Go</v>
      </c>
      <c r="D4214" s="9" t="str">
        <f>IFERROR(__xludf.DUMMYFUNCTION("""COMPUTED_VALUE"""),"SQL")</f>
        <v>SQL</v>
      </c>
      <c r="E4214" s="9" t="str">
        <f>IFERROR(__xludf.DUMMYFUNCTION("""COMPUTED_VALUE"""),"SQL")</f>
        <v>SQL</v>
      </c>
      <c r="F4214" s="9" t="str">
        <f>IFERROR(__xludf.DUMMYFUNCTION("""COMPUTED_VALUE"""),"Kotlin")</f>
        <v>Kotlin</v>
      </c>
      <c r="G4214" s="9" t="str">
        <f>IFERROR(__xludf.DUMMYFUNCTION("""COMPUTED_VALUE"""),"Swift")</f>
        <v>Swift</v>
      </c>
      <c r="H4214" s="9" t="str">
        <f>IFERROR(__xludf.DUMMYFUNCTION("""COMPUTED_VALUE"""),"SQL")</f>
        <v>SQL</v>
      </c>
      <c r="I4214" s="9" t="str">
        <f>IFERROR(__xludf.DUMMYFUNCTION("""COMPUTED_VALUE"""),"C#")</f>
        <v>C#</v>
      </c>
      <c r="J4214" s="9" t="str">
        <f>IFERROR(__xludf.DUMMYFUNCTION("""COMPUTED_VALUE"""),"JavaScript")</f>
        <v>JavaScript</v>
      </c>
      <c r="K4214" s="9" t="str">
        <f>IFERROR(__xludf.DUMMYFUNCTION("""COMPUTED_VALUE"""),"Java")</f>
        <v>Java</v>
      </c>
      <c r="L4214" s="9" t="str">
        <f>IFERROR(__xludf.DUMMYFUNCTION("""COMPUTED_VALUE"""),"TypeScript")</f>
        <v>TypeScript</v>
      </c>
      <c r="M4214" s="9" t="s">
        <v>36</v>
      </c>
    </row>
    <row r="4215" ht="15.75" customHeight="1">
      <c r="A4215" s="7"/>
      <c r="B4215" s="7" t="str">
        <f>IFERROR(__xludf.DUMMYFUNCTION("""COMPUTED_VALUE"""),"HTML/CSS;Java;JavaScript;PHP;SQL")</f>
        <v>HTML/CSS;Java;JavaScript;PHP;SQL</v>
      </c>
      <c r="C4215" s="9" t="str">
        <f>IFERROR(__xludf.DUMMYFUNCTION("""COMPUTED_VALUE"""),"HTML/CSS")</f>
        <v>HTML/CSS</v>
      </c>
      <c r="D4215" s="9" t="str">
        <f>IFERROR(__xludf.DUMMYFUNCTION("""COMPUTED_VALUE"""),"TypeScript")</f>
        <v>TypeScript</v>
      </c>
      <c r="E4215" s="9" t="str">
        <f>IFERROR(__xludf.DUMMYFUNCTION("""COMPUTED_VALUE"""),"Objective-C")</f>
        <v>Objective-C</v>
      </c>
      <c r="F4215" s="9" t="str">
        <f>IFERROR(__xludf.DUMMYFUNCTION("""COMPUTED_VALUE"""),"C")</f>
        <v>C</v>
      </c>
      <c r="G4215" s="9" t="str">
        <f>IFERROR(__xludf.DUMMYFUNCTION("""COMPUTED_VALUE"""),"Bash/Shell/PowerShell")</f>
        <v>Bash/Shell/PowerShell</v>
      </c>
      <c r="H4215" s="9" t="str">
        <f>IFERROR(__xludf.DUMMYFUNCTION("""COMPUTED_VALUE"""),"VBA")</f>
        <v>VBA</v>
      </c>
      <c r="I4215" s="9" t="str">
        <f>IFERROR(__xludf.DUMMYFUNCTION("""COMPUTED_VALUE"""),"F#")</f>
        <v>F#</v>
      </c>
      <c r="J4215" s="9" t="str">
        <f>IFERROR(__xludf.DUMMYFUNCTION("""COMPUTED_VALUE"""),"TypeScript")</f>
        <v>TypeScript</v>
      </c>
      <c r="K4215" s="9" t="str">
        <f>IFERROR(__xludf.DUMMYFUNCTION("""COMPUTED_VALUE"""),"JavaScript")</f>
        <v>JavaScript</v>
      </c>
      <c r="L4215" s="9" t="str">
        <f>IFERROR(__xludf.DUMMYFUNCTION("""COMPUTED_VALUE"""),"C#")</f>
        <v>C#</v>
      </c>
      <c r="M4215" s="9" t="s">
        <v>24</v>
      </c>
    </row>
    <row r="4216" ht="15.75" customHeight="1">
      <c r="A4216" s="7"/>
      <c r="B4216" s="7" t="str">
        <f>IFERROR(__xludf.DUMMYFUNCTION("""COMPUTED_VALUE"""),"HTML/CSS;Java;JavaScript;Python;SQL")</f>
        <v>HTML/CSS;Java;JavaScript;Python;SQL</v>
      </c>
      <c r="C4216" s="9" t="str">
        <f>IFERROR(__xludf.DUMMYFUNCTION("""COMPUTED_VALUE"""),"Java")</f>
        <v>Java</v>
      </c>
      <c r="D4216" s="9" t="str">
        <f>IFERROR(__xludf.DUMMYFUNCTION("""COMPUTED_VALUE"""),"VBA")</f>
        <v>VBA</v>
      </c>
      <c r="E4216" s="9" t="str">
        <f>IFERROR(__xludf.DUMMYFUNCTION("""COMPUTED_VALUE"""),"Swift")</f>
        <v>Swift</v>
      </c>
      <c r="F4216" s="9" t="str">
        <f>IFERROR(__xludf.DUMMYFUNCTION("""COMPUTED_VALUE"""),"C++")</f>
        <v>C++</v>
      </c>
      <c r="G4216" s="9" t="str">
        <f>IFERROR(__xludf.DUMMYFUNCTION("""COMPUTED_VALUE"""),"Java")</f>
        <v>Java</v>
      </c>
      <c r="H4216" s="9" t="str">
        <f>IFERROR(__xludf.DUMMYFUNCTION("""COMPUTED_VALUE"""),"Bash/Shell/PowerShell")</f>
        <v>Bash/Shell/PowerShell</v>
      </c>
      <c r="I4216" s="9" t="str">
        <f>IFERROR(__xludf.DUMMYFUNCTION("""COMPUTED_VALUE"""),"HTML/CSS")</f>
        <v>HTML/CSS</v>
      </c>
      <c r="J4216" s="9" t="str">
        <f>IFERROR(__xludf.DUMMYFUNCTION("""COMPUTED_VALUE"""),"HTML/CSS")</f>
        <v>HTML/CSS</v>
      </c>
      <c r="K4216" s="9" t="str">
        <f>IFERROR(__xludf.DUMMYFUNCTION("""COMPUTED_VALUE"""),"Objective-C")</f>
        <v>Objective-C</v>
      </c>
      <c r="L4216" s="9" t="str">
        <f>IFERROR(__xludf.DUMMYFUNCTION("""COMPUTED_VALUE"""),"Java")</f>
        <v>Java</v>
      </c>
      <c r="M4216" s="9" t="s">
        <v>20</v>
      </c>
    </row>
    <row r="4217" ht="15.75" customHeight="1">
      <c r="A4217" s="7"/>
      <c r="B4217" s="7" t="str">
        <f>IFERROR(__xludf.DUMMYFUNCTION("""COMPUTED_VALUE"""),"Assembly;Bash/Shell/PowerShell;C;C++;Python")</f>
        <v>Assembly;Bash/Shell/PowerShell;C;C++;Python</v>
      </c>
      <c r="C4217" s="9" t="str">
        <f>IFERROR(__xludf.DUMMYFUNCTION("""COMPUTED_VALUE"""),"JavaScript")</f>
        <v>JavaScript</v>
      </c>
      <c r="D4217" s="9" t="str">
        <f>IFERROR(__xludf.DUMMYFUNCTION("""COMPUTED_VALUE"""),"C#")</f>
        <v>C#</v>
      </c>
      <c r="E4217" s="9" t="str">
        <f>IFERROR(__xludf.DUMMYFUNCTION("""COMPUTED_VALUE"""),"HTML/CSS")</f>
        <v>HTML/CSS</v>
      </c>
      <c r="F4217" s="9" t="str">
        <f>IFERROR(__xludf.DUMMYFUNCTION("""COMPUTED_VALUE"""),"C#")</f>
        <v>C#</v>
      </c>
      <c r="G4217" s="9" t="str">
        <f>IFERROR(__xludf.DUMMYFUNCTION("""COMPUTED_VALUE"""),"PHP")</f>
        <v>PHP</v>
      </c>
      <c r="H4217" s="9" t="str">
        <f>IFERROR(__xludf.DUMMYFUNCTION("""COMPUTED_VALUE"""),"C")</f>
        <v>C</v>
      </c>
      <c r="I4217" s="9" t="str">
        <f>IFERROR(__xludf.DUMMYFUNCTION("""COMPUTED_VALUE"""),"JavaScript")</f>
        <v>JavaScript</v>
      </c>
      <c r="J4217" s="9" t="str">
        <f>IFERROR(__xludf.DUMMYFUNCTION("""COMPUTED_VALUE"""),"JavaScript")</f>
        <v>JavaScript</v>
      </c>
      <c r="K4217" s="9" t="str">
        <f>IFERROR(__xludf.DUMMYFUNCTION("""COMPUTED_VALUE"""),"SQL")</f>
        <v>SQL</v>
      </c>
      <c r="L4217" s="9" t="str">
        <f>IFERROR(__xludf.DUMMYFUNCTION("""COMPUTED_VALUE"""),"Bash/Shell/PowerShell")</f>
        <v>Bash/Shell/PowerShell</v>
      </c>
      <c r="M4217" s="9" t="s">
        <v>21</v>
      </c>
    </row>
    <row r="4218" ht="15.75" customHeight="1">
      <c r="A4218" s="7"/>
      <c r="B4218" s="7" t="str">
        <f>IFERROR(__xludf.DUMMYFUNCTION("""COMPUTED_VALUE"""),"C#;HTML/CSS;JavaScript;PHP;SQL;TypeScript")</f>
        <v>C#;HTML/CSS;JavaScript;PHP;SQL;TypeScript</v>
      </c>
      <c r="C4218" s="9" t="str">
        <f>IFERROR(__xludf.DUMMYFUNCTION("""COMPUTED_VALUE"""),"Python")</f>
        <v>Python</v>
      </c>
      <c r="D4218" s="9" t="str">
        <f>IFERROR(__xludf.DUMMYFUNCTION("""COMPUTED_VALUE"""),"Scala")</f>
        <v>Scala</v>
      </c>
      <c r="E4218" s="9" t="str">
        <f>IFERROR(__xludf.DUMMYFUNCTION("""COMPUTED_VALUE"""),"Java")</f>
        <v>Java</v>
      </c>
      <c r="F4218" s="9" t="str">
        <f>IFERROR(__xludf.DUMMYFUNCTION("""COMPUTED_VALUE"""),"HTML/CSS")</f>
        <v>HTML/CSS</v>
      </c>
      <c r="G4218" s="9" t="str">
        <f>IFERROR(__xludf.DUMMYFUNCTION("""COMPUTED_VALUE"""),"Python")</f>
        <v>Python</v>
      </c>
      <c r="H4218" s="9" t="str">
        <f>IFERROR(__xludf.DUMMYFUNCTION("""COMPUTED_VALUE"""),"C++")</f>
        <v>C++</v>
      </c>
      <c r="I4218" s="9" t="str">
        <f>IFERROR(__xludf.DUMMYFUNCTION("""COMPUTED_VALUE"""),"SQL")</f>
        <v>SQL</v>
      </c>
      <c r="J4218" s="9" t="str">
        <f>IFERROR(__xludf.DUMMYFUNCTION("""COMPUTED_VALUE"""),"TypeScript")</f>
        <v>TypeScript</v>
      </c>
      <c r="K4218" s="9" t="str">
        <f>IFERROR(__xludf.DUMMYFUNCTION("""COMPUTED_VALUE"""),"Swift")</f>
        <v>Swift</v>
      </c>
      <c r="L4218" s="9" t="str">
        <f>IFERROR(__xludf.DUMMYFUNCTION("""COMPUTED_VALUE"""),"C++")</f>
        <v>C++</v>
      </c>
      <c r="M4218" s="9" t="s">
        <v>22</v>
      </c>
    </row>
    <row r="4219" ht="15.75" customHeight="1">
      <c r="A4219" s="7"/>
      <c r="B4219" s="7" t="str">
        <f>IFERROR(__xludf.DUMMYFUNCTION("""COMPUTED_VALUE"""),"C#;HTML/CSS;JavaScript;SQL;TypeScript")</f>
        <v>C#;HTML/CSS;JavaScript;SQL;TypeScript</v>
      </c>
      <c r="C4219" s="9" t="str">
        <f>IFERROR(__xludf.DUMMYFUNCTION("""COMPUTED_VALUE"""),"TypeScript")</f>
        <v>TypeScript</v>
      </c>
      <c r="D4219" s="9" t="str">
        <f>IFERROR(__xludf.DUMMYFUNCTION("""COMPUTED_VALUE"""),"SQL")</f>
        <v>SQL</v>
      </c>
      <c r="E4219" s="9" t="str">
        <f>IFERROR(__xludf.DUMMYFUNCTION("""COMPUTED_VALUE"""),"JavaScript")</f>
        <v>JavaScript</v>
      </c>
      <c r="F4219" s="9" t="str">
        <f>IFERROR(__xludf.DUMMYFUNCTION("""COMPUTED_VALUE"""),"JavaScript")</f>
        <v>JavaScript</v>
      </c>
      <c r="G4219" s="9" t="str">
        <f>IFERROR(__xludf.DUMMYFUNCTION("""COMPUTED_VALUE"""),"C#")</f>
        <v>C#</v>
      </c>
      <c r="H4219" s="9" t="str">
        <f>IFERROR(__xludf.DUMMYFUNCTION("""COMPUTED_VALUE"""),"HTML/CSS")</f>
        <v>HTML/CSS</v>
      </c>
      <c r="I4219" s="9" t="str">
        <f>IFERROR(__xludf.DUMMYFUNCTION("""COMPUTED_VALUE"""),"TypeScript")</f>
        <v>TypeScript</v>
      </c>
      <c r="J4219" s="9" t="str">
        <f>IFERROR(__xludf.DUMMYFUNCTION("""COMPUTED_VALUE"""),"HTML/CSS")</f>
        <v>HTML/CSS</v>
      </c>
      <c r="K4219" s="9" t="str">
        <f>IFERROR(__xludf.DUMMYFUNCTION("""COMPUTED_VALUE"""),"TypeScript")</f>
        <v>TypeScript</v>
      </c>
      <c r="L4219" s="9" t="str">
        <f>IFERROR(__xludf.DUMMYFUNCTION("""COMPUTED_VALUE"""),"HTML/CSS")</f>
        <v>HTML/CSS</v>
      </c>
      <c r="M4219" s="9" t="s">
        <v>33</v>
      </c>
    </row>
    <row r="4220" ht="15.75" customHeight="1">
      <c r="A4220" s="7"/>
      <c r="B4220" s="7" t="str">
        <f>IFERROR(__xludf.DUMMYFUNCTION("""COMPUTED_VALUE"""),"Dart;JavaScript;Swift")</f>
        <v>Dart;JavaScript;Swift</v>
      </c>
      <c r="C4220" s="9" t="str">
        <f>IFERROR(__xludf.DUMMYFUNCTION("""COMPUTED_VALUE"""),"C#")</f>
        <v>C#</v>
      </c>
      <c r="D4220" s="9" t="str">
        <f>IFERROR(__xludf.DUMMYFUNCTION("""COMPUTED_VALUE"""),"Bash/Shell/PowerShell")</f>
        <v>Bash/Shell/PowerShell</v>
      </c>
      <c r="E4220" s="9" t="str">
        <f>IFERROR(__xludf.DUMMYFUNCTION("""COMPUTED_VALUE"""),"SQL")</f>
        <v>SQL</v>
      </c>
      <c r="F4220" s="9" t="str">
        <f>IFERROR(__xludf.DUMMYFUNCTION("""COMPUTED_VALUE"""),"PHP")</f>
        <v>PHP</v>
      </c>
      <c r="G4220" s="9" t="str">
        <f>IFERROR(__xludf.DUMMYFUNCTION("""COMPUTED_VALUE"""),"HTML/CSS")</f>
        <v>HTML/CSS</v>
      </c>
      <c r="H4220" s="9" t="str">
        <f>IFERROR(__xludf.DUMMYFUNCTION("""COMPUTED_VALUE"""),"Java")</f>
        <v>Java</v>
      </c>
      <c r="I4220" s="9" t="str">
        <f>IFERROR(__xludf.DUMMYFUNCTION("""COMPUTED_VALUE"""),"Bash/Shell/PowerShell")</f>
        <v>Bash/Shell/PowerShell</v>
      </c>
      <c r="J4220" s="9" t="str">
        <f>IFERROR(__xludf.DUMMYFUNCTION("""COMPUTED_VALUE"""),"JavaScript")</f>
        <v>JavaScript</v>
      </c>
      <c r="K4220" s="9" t="str">
        <f>IFERROR(__xludf.DUMMYFUNCTION("""COMPUTED_VALUE"""),"Python")</f>
        <v>Python</v>
      </c>
      <c r="L4220" s="9" t="str">
        <f>IFERROR(__xludf.DUMMYFUNCTION("""COMPUTED_VALUE"""),"JavaScript")</f>
        <v>JavaScript</v>
      </c>
      <c r="M4220" s="9" t="s">
        <v>26</v>
      </c>
    </row>
    <row r="4221" ht="15.75" customHeight="1">
      <c r="A4221" s="7"/>
      <c r="B4221" s="7" t="str">
        <f>IFERROR(__xludf.DUMMYFUNCTION("""COMPUTED_VALUE"""),"Java;JavaScript;Kotlin")</f>
        <v>Java;JavaScript;Kotlin</v>
      </c>
      <c r="C4221" s="9" t="str">
        <f>IFERROR(__xludf.DUMMYFUNCTION("""COMPUTED_VALUE"""),"Java")</f>
        <v>Java</v>
      </c>
      <c r="D4221" s="9" t="str">
        <f>IFERROR(__xludf.DUMMYFUNCTION("""COMPUTED_VALUE"""),"HTML/CSS")</f>
        <v>HTML/CSS</v>
      </c>
      <c r="E4221" s="9" t="str">
        <f>IFERROR(__xludf.DUMMYFUNCTION("""COMPUTED_VALUE"""),"Bash/Shell/PowerShell")</f>
        <v>Bash/Shell/PowerShell</v>
      </c>
      <c r="F4221" s="9" t="str">
        <f>IFERROR(__xludf.DUMMYFUNCTION("""COMPUTED_VALUE"""),"Python")</f>
        <v>Python</v>
      </c>
      <c r="G4221" s="9" t="str">
        <f>IFERROR(__xludf.DUMMYFUNCTION("""COMPUTED_VALUE"""),"JavaScript")</f>
        <v>JavaScript</v>
      </c>
      <c r="H4221" s="9" t="str">
        <f>IFERROR(__xludf.DUMMYFUNCTION("""COMPUTED_VALUE"""),"Ruby")</f>
        <v>Ruby</v>
      </c>
      <c r="I4221" s="9" t="str">
        <f>IFERROR(__xludf.DUMMYFUNCTION("""COMPUTED_VALUE"""),"C#")</f>
        <v>C#</v>
      </c>
      <c r="J4221" s="9" t="str">
        <f>IFERROR(__xludf.DUMMYFUNCTION("""COMPUTED_VALUE"""),"TypeScript")</f>
        <v>TypeScript</v>
      </c>
      <c r="K4221" s="9" t="str">
        <f>IFERROR(__xludf.DUMMYFUNCTION("""COMPUTED_VALUE"""),"R")</f>
        <v>R</v>
      </c>
      <c r="L4221" s="9" t="str">
        <f>IFERROR(__xludf.DUMMYFUNCTION("""COMPUTED_VALUE"""),"Python")</f>
        <v>Python</v>
      </c>
      <c r="M4221" s="9" t="s">
        <v>20</v>
      </c>
    </row>
    <row r="4222" ht="15.75" customHeight="1">
      <c r="A4222" s="7"/>
      <c r="B4222" s="7" t="str">
        <f>IFERROR(__xludf.DUMMYFUNCTION("""COMPUTED_VALUE"""),"Bash/Shell/PowerShell;C;HTML/CSS;Java;JavaScript;PHP;SQL")</f>
        <v>Bash/Shell/PowerShell;C;HTML/CSS;Java;JavaScript;PHP;SQL</v>
      </c>
      <c r="C4222" s="9" t="str">
        <f>IFERROR(__xludf.DUMMYFUNCTION("""COMPUTED_VALUE"""),"JavaScript")</f>
        <v>JavaScript</v>
      </c>
      <c r="D4222" s="9" t="str">
        <f>IFERROR(__xludf.DUMMYFUNCTION("""COMPUTED_VALUE"""),"Java")</f>
        <v>Java</v>
      </c>
      <c r="E4222" s="9" t="str">
        <f>IFERROR(__xludf.DUMMYFUNCTION("""COMPUTED_VALUE"""),"C")</f>
        <v>C</v>
      </c>
      <c r="F4222" s="9" t="str">
        <f>IFERROR(__xludf.DUMMYFUNCTION("""COMPUTED_VALUE"""),"SQL")</f>
        <v>SQL</v>
      </c>
      <c r="G4222" s="9" t="str">
        <f>IFERROR(__xludf.DUMMYFUNCTION("""COMPUTED_VALUE"""),"SQL")</f>
        <v>SQL</v>
      </c>
      <c r="H4222" s="9" t="str">
        <f>IFERROR(__xludf.DUMMYFUNCTION("""COMPUTED_VALUE"""),"HTML/CSS")</f>
        <v>HTML/CSS</v>
      </c>
      <c r="I4222" s="9" t="str">
        <f>IFERROR(__xludf.DUMMYFUNCTION("""COMPUTED_VALUE"""),"Python")</f>
        <v>Python</v>
      </c>
      <c r="J4222" s="9" t="str">
        <f>IFERROR(__xludf.DUMMYFUNCTION("""COMPUTED_VALUE"""),"Bash/Shell/PowerShell")</f>
        <v>Bash/Shell/PowerShell</v>
      </c>
      <c r="K4222" s="9" t="str">
        <f>IFERROR(__xludf.DUMMYFUNCTION("""COMPUTED_VALUE"""),"SQL")</f>
        <v>SQL</v>
      </c>
      <c r="L4222" s="9" t="str">
        <f>IFERROR(__xludf.DUMMYFUNCTION("""COMPUTED_VALUE"""),"Rust")</f>
        <v>Rust</v>
      </c>
      <c r="M4222" s="9" t="s">
        <v>21</v>
      </c>
    </row>
    <row r="4223" ht="15.75" customHeight="1">
      <c r="A4223" s="7"/>
      <c r="B4223" s="7" t="str">
        <f>IFERROR(__xludf.DUMMYFUNCTION("""COMPUTED_VALUE"""),"Dart;Java")</f>
        <v>Dart;Java</v>
      </c>
      <c r="C4223" s="9" t="str">
        <f>IFERROR(__xludf.DUMMYFUNCTION("""COMPUTED_VALUE"""),"TypeScript")</f>
        <v>TypeScript</v>
      </c>
      <c r="D4223" s="9" t="str">
        <f>IFERROR(__xludf.DUMMYFUNCTION("""COMPUTED_VALUE"""),"SQL")</f>
        <v>SQL</v>
      </c>
      <c r="E4223" s="9" t="str">
        <f>IFERROR(__xludf.DUMMYFUNCTION("""COMPUTED_VALUE"""),"Java")</f>
        <v>Java</v>
      </c>
      <c r="F4223" s="9" t="str">
        <f>IFERROR(__xludf.DUMMYFUNCTION("""COMPUTED_VALUE"""),"HTML/CSS")</f>
        <v>HTML/CSS</v>
      </c>
      <c r="G4223" s="9" t="str">
        <f>IFERROR(__xludf.DUMMYFUNCTION("""COMPUTED_VALUE"""),"Bash/Shell/PowerShell")</f>
        <v>Bash/Shell/PowerShell</v>
      </c>
      <c r="H4223" s="9" t="str">
        <f>IFERROR(__xludf.DUMMYFUNCTION("""COMPUTED_VALUE"""),"JavaScript")</f>
        <v>JavaScript</v>
      </c>
      <c r="I4223" s="9" t="str">
        <f>IFERROR(__xludf.DUMMYFUNCTION("""COMPUTED_VALUE"""),"Python")</f>
        <v>Python</v>
      </c>
      <c r="J4223" s="9" t="str">
        <f>IFERROR(__xludf.DUMMYFUNCTION("""COMPUTED_VALUE"""),"C")</f>
        <v>C</v>
      </c>
      <c r="K4223" s="9" t="str">
        <f>IFERROR(__xludf.DUMMYFUNCTION("""COMPUTED_VALUE"""),"C#")</f>
        <v>C#</v>
      </c>
      <c r="L4223" s="9" t="str">
        <f>IFERROR(__xludf.DUMMYFUNCTION("""COMPUTED_VALUE"""),"WebAssembly")</f>
        <v>WebAssembly</v>
      </c>
      <c r="M4223" s="9" t="s">
        <v>33</v>
      </c>
    </row>
    <row r="4224" ht="15.75" customHeight="1">
      <c r="A4224" s="7"/>
      <c r="B4224" s="7" t="str">
        <f>IFERROR(__xludf.DUMMYFUNCTION("""COMPUTED_VALUE"""),"HTML/CSS;Java;JavaScript;PHP;SQL")</f>
        <v>HTML/CSS;Java;JavaScript;PHP;SQL</v>
      </c>
      <c r="C4224" s="9" t="str">
        <f>IFERROR(__xludf.DUMMYFUNCTION("""COMPUTED_VALUE"""),"C++")</f>
        <v>C++</v>
      </c>
      <c r="D4224" s="9" t="str">
        <f>IFERROR(__xludf.DUMMYFUNCTION("""COMPUTED_VALUE"""),"TypeScript")</f>
        <v>TypeScript</v>
      </c>
      <c r="E4224" s="9" t="str">
        <f>IFERROR(__xludf.DUMMYFUNCTION("""COMPUTED_VALUE"""),"JavaScript")</f>
        <v>JavaScript</v>
      </c>
      <c r="F4224" s="9" t="str">
        <f>IFERROR(__xludf.DUMMYFUNCTION("""COMPUTED_VALUE"""),"Java")</f>
        <v>Java</v>
      </c>
      <c r="G4224" s="9" t="str">
        <f>IFERROR(__xludf.DUMMYFUNCTION("""COMPUTED_VALUE"""),"C")</f>
        <v>C</v>
      </c>
      <c r="H4224" s="9" t="str">
        <f>IFERROR(__xludf.DUMMYFUNCTION("""COMPUTED_VALUE"""),"HTML/CSS")</f>
        <v>HTML/CSS</v>
      </c>
      <c r="I4224" s="9" t="str">
        <f>IFERROR(__xludf.DUMMYFUNCTION("""COMPUTED_VALUE"""),"R")</f>
        <v>R</v>
      </c>
      <c r="J4224" s="9" t="str">
        <f>IFERROR(__xludf.DUMMYFUNCTION("""COMPUTED_VALUE"""),"C++")</f>
        <v>C++</v>
      </c>
      <c r="K4224" s="9" t="str">
        <f>IFERROR(__xludf.DUMMYFUNCTION("""COMPUTED_VALUE"""),"HTML/CSS")</f>
        <v>HTML/CSS</v>
      </c>
      <c r="L4224" s="9" t="str">
        <f>IFERROR(__xludf.DUMMYFUNCTION("""COMPUTED_VALUE"""),"Other(s):")</f>
        <v>Other(s):</v>
      </c>
      <c r="M4224" s="9" t="s">
        <v>23</v>
      </c>
    </row>
    <row r="4225" ht="15.75" customHeight="1">
      <c r="A4225" s="7"/>
      <c r="B4225" s="7" t="str">
        <f>IFERROR(__xludf.DUMMYFUNCTION("""COMPUTED_VALUE"""),"C#;HTML/CSS;JavaScript;SQL;TypeScript")</f>
        <v>C#;HTML/CSS;JavaScript;SQL;TypeScript</v>
      </c>
      <c r="C4225" s="9" t="str">
        <f>IFERROR(__xludf.DUMMYFUNCTION("""COMPUTED_VALUE"""),"Python")</f>
        <v>Python</v>
      </c>
      <c r="D4225" s="9" t="str">
        <f>IFERROR(__xludf.DUMMYFUNCTION("""COMPUTED_VALUE"""),"Assembly")</f>
        <v>Assembly</v>
      </c>
      <c r="E4225" s="9" t="str">
        <f>IFERROR(__xludf.DUMMYFUNCTION("""COMPUTED_VALUE"""),"Python")</f>
        <v>Python</v>
      </c>
      <c r="F4225" s="9" t="str">
        <f>IFERROR(__xludf.DUMMYFUNCTION("""COMPUTED_VALUE"""),"JavaScript")</f>
        <v>JavaScript</v>
      </c>
      <c r="G4225" s="9" t="str">
        <f>IFERROR(__xludf.DUMMYFUNCTION("""COMPUTED_VALUE"""),"C++")</f>
        <v>C++</v>
      </c>
      <c r="H4225" s="9" t="str">
        <f>IFERROR(__xludf.DUMMYFUNCTION("""COMPUTED_VALUE"""),"Java")</f>
        <v>Java</v>
      </c>
      <c r="I4225" s="9" t="str">
        <f>IFERROR(__xludf.DUMMYFUNCTION("""COMPUTED_VALUE"""),"SQL")</f>
        <v>SQL</v>
      </c>
      <c r="J4225" s="9" t="str">
        <f>IFERROR(__xludf.DUMMYFUNCTION("""COMPUTED_VALUE"""),"C#")</f>
        <v>C#</v>
      </c>
      <c r="K4225" s="9" t="str">
        <f>IFERROR(__xludf.DUMMYFUNCTION("""COMPUTED_VALUE"""),"Java")</f>
        <v>Java</v>
      </c>
      <c r="L4225" s="9" t="str">
        <f>IFERROR(__xludf.DUMMYFUNCTION("""COMPUTED_VALUE"""),"C#")</f>
        <v>C#</v>
      </c>
      <c r="M4225" s="9" t="s">
        <v>22</v>
      </c>
    </row>
    <row r="4226" ht="15.75" customHeight="1">
      <c r="A4226" s="7"/>
      <c r="B4226" s="7" t="str">
        <f>IFERROR(__xludf.DUMMYFUNCTION("""COMPUTED_VALUE"""),"C;C++;C#;HTML/CSS;Java;Python;SQL")</f>
        <v>C;C++;C#;HTML/CSS;Java;Python;SQL</v>
      </c>
      <c r="C4226" s="9" t="str">
        <f>IFERROR(__xludf.DUMMYFUNCTION("""COMPUTED_VALUE"""),"Scala")</f>
        <v>Scala</v>
      </c>
      <c r="D4226" s="9" t="str">
        <f>IFERROR(__xludf.DUMMYFUNCTION("""COMPUTED_VALUE"""),"C++")</f>
        <v>C++</v>
      </c>
      <c r="E4226" s="9" t="str">
        <f>IFERROR(__xludf.DUMMYFUNCTION("""COMPUTED_VALUE"""),"R")</f>
        <v>R</v>
      </c>
      <c r="F4226" s="9" t="str">
        <f>IFERROR(__xludf.DUMMYFUNCTION("""COMPUTED_VALUE"""),"Bash/Shell/PowerShell")</f>
        <v>Bash/Shell/PowerShell</v>
      </c>
      <c r="G4226" s="9" t="str">
        <f>IFERROR(__xludf.DUMMYFUNCTION("""COMPUTED_VALUE"""),"C#")</f>
        <v>C#</v>
      </c>
      <c r="H4226" s="9" t="str">
        <f>IFERROR(__xludf.DUMMYFUNCTION("""COMPUTED_VALUE"""),"JavaScript")</f>
        <v>JavaScript</v>
      </c>
      <c r="I4226" s="9" t="str">
        <f>IFERROR(__xludf.DUMMYFUNCTION("""COMPUTED_VALUE"""),"C#")</f>
        <v>C#</v>
      </c>
      <c r="J4226" s="9" t="str">
        <f>IFERROR(__xludf.DUMMYFUNCTION("""COMPUTED_VALUE"""),"HTML/CSS")</f>
        <v>HTML/CSS</v>
      </c>
      <c r="K4226" s="9" t="str">
        <f>IFERROR(__xludf.DUMMYFUNCTION("""COMPUTED_VALUE"""),"JavaScript")</f>
        <v>JavaScript</v>
      </c>
      <c r="L4226" s="9" t="str">
        <f>IFERROR(__xludf.DUMMYFUNCTION("""COMPUTED_VALUE"""),"SQL")</f>
        <v>SQL</v>
      </c>
      <c r="M4226" s="9" t="s">
        <v>46</v>
      </c>
    </row>
    <row r="4227" ht="15.75" customHeight="1">
      <c r="A4227" s="7"/>
      <c r="B4227" s="7" t="str">
        <f>IFERROR(__xludf.DUMMYFUNCTION("""COMPUTED_VALUE"""),"Bash/Shell/PowerShell;C;Python")</f>
        <v>Bash/Shell/PowerShell;C;Python</v>
      </c>
      <c r="C4227" s="9" t="str">
        <f>IFERROR(__xludf.DUMMYFUNCTION("""COMPUTED_VALUE"""),"C#")</f>
        <v>C#</v>
      </c>
      <c r="D4227" s="9" t="str">
        <f>IFERROR(__xludf.DUMMYFUNCTION("""COMPUTED_VALUE"""),"C#")</f>
        <v>C#</v>
      </c>
      <c r="E4227" s="9" t="str">
        <f>IFERROR(__xludf.DUMMYFUNCTION("""COMPUTED_VALUE"""),"Scala")</f>
        <v>Scala</v>
      </c>
      <c r="F4227" s="9" t="str">
        <f>IFERROR(__xludf.DUMMYFUNCTION("""COMPUTED_VALUE"""),"HTML/CSS")</f>
        <v>HTML/CSS</v>
      </c>
      <c r="G4227" s="9" t="str">
        <f>IFERROR(__xludf.DUMMYFUNCTION("""COMPUTED_VALUE"""),"HTML/CSS")</f>
        <v>HTML/CSS</v>
      </c>
      <c r="H4227" s="9" t="str">
        <f>IFERROR(__xludf.DUMMYFUNCTION("""COMPUTED_VALUE"""),"Kotlin")</f>
        <v>Kotlin</v>
      </c>
      <c r="I4227" s="9" t="str">
        <f>IFERROR(__xludf.DUMMYFUNCTION("""COMPUTED_VALUE"""),"HTML/CSS")</f>
        <v>HTML/CSS</v>
      </c>
      <c r="J4227" s="9" t="str">
        <f>IFERROR(__xludf.DUMMYFUNCTION("""COMPUTED_VALUE"""),"JavaScript")</f>
        <v>JavaScript</v>
      </c>
      <c r="K4227" s="9" t="str">
        <f>IFERROR(__xludf.DUMMYFUNCTION("""COMPUTED_VALUE"""),"PHP")</f>
        <v>PHP</v>
      </c>
      <c r="L4227" s="9" t="str">
        <f>IFERROR(__xludf.DUMMYFUNCTION("""COMPUTED_VALUE"""),"Other(s):")</f>
        <v>Other(s):</v>
      </c>
      <c r="M4227" s="9" t="s">
        <v>26</v>
      </c>
    </row>
    <row r="4228" ht="15.75" customHeight="1">
      <c r="A4228" s="7"/>
      <c r="B4228" s="7" t="str">
        <f>IFERROR(__xludf.DUMMYFUNCTION("""COMPUTED_VALUE"""),"C;C++;HTML/CSS;Java")</f>
        <v>C;C++;HTML/CSS;Java</v>
      </c>
      <c r="C4228" s="9" t="str">
        <f>IFERROR(__xludf.DUMMYFUNCTION("""COMPUTED_VALUE"""),"HTML/CSS")</f>
        <v>HTML/CSS</v>
      </c>
      <c r="D4228" s="9" t="str">
        <f>IFERROR(__xludf.DUMMYFUNCTION("""COMPUTED_VALUE"""),"HTML/CSS")</f>
        <v>HTML/CSS</v>
      </c>
      <c r="E4228" s="9" t="str">
        <f>IFERROR(__xludf.DUMMYFUNCTION("""COMPUTED_VALUE"""),"SQL")</f>
        <v>SQL</v>
      </c>
      <c r="F4228" s="9" t="str">
        <f>IFERROR(__xludf.DUMMYFUNCTION("""COMPUTED_VALUE"""),"Java")</f>
        <v>Java</v>
      </c>
      <c r="G4228" s="9" t="str">
        <f>IFERROR(__xludf.DUMMYFUNCTION("""COMPUTED_VALUE"""),"Java")</f>
        <v>Java</v>
      </c>
      <c r="H4228" s="9" t="str">
        <f>IFERROR(__xludf.DUMMYFUNCTION("""COMPUTED_VALUE"""),"PHP")</f>
        <v>PHP</v>
      </c>
      <c r="I4228" s="9" t="str">
        <f>IFERROR(__xludf.DUMMYFUNCTION("""COMPUTED_VALUE"""),"JavaScript")</f>
        <v>JavaScript</v>
      </c>
      <c r="J4228" s="9" t="str">
        <f>IFERROR(__xludf.DUMMYFUNCTION("""COMPUTED_VALUE"""),"Objective-C")</f>
        <v>Objective-C</v>
      </c>
      <c r="K4228" s="9" t="str">
        <f>IFERROR(__xludf.DUMMYFUNCTION("""COMPUTED_VALUE"""),"SQL")</f>
        <v>SQL</v>
      </c>
      <c r="L4228" s="9" t="str">
        <f>IFERROR(__xludf.DUMMYFUNCTION("""COMPUTED_VALUE"""),"JavaScript")</f>
        <v>JavaScript</v>
      </c>
      <c r="M4228" s="9" t="s">
        <v>24</v>
      </c>
    </row>
    <row r="4229" ht="15.75" customHeight="1">
      <c r="A4229" s="7"/>
      <c r="B4229" s="7" t="str">
        <f>IFERROR(__xludf.DUMMYFUNCTION("""COMPUTED_VALUE"""),"C;JavaScript;Python;Other(s):")</f>
        <v>C;JavaScript;Python;Other(s):</v>
      </c>
      <c r="C4229" s="9" t="str">
        <f>IFERROR(__xludf.DUMMYFUNCTION("""COMPUTED_VALUE"""),"JavaScript")</f>
        <v>JavaScript</v>
      </c>
      <c r="D4229" s="9" t="str">
        <f>IFERROR(__xludf.DUMMYFUNCTION("""COMPUTED_VALUE"""),"JavaScript")</f>
        <v>JavaScript</v>
      </c>
      <c r="E4229" s="9" t="str">
        <f>IFERROR(__xludf.DUMMYFUNCTION("""COMPUTED_VALUE"""),"Bash/Shell/PowerShell")</f>
        <v>Bash/Shell/PowerShell</v>
      </c>
      <c r="F4229" s="9" t="str">
        <f>IFERROR(__xludf.DUMMYFUNCTION("""COMPUTED_VALUE"""),"JavaScript")</f>
        <v>JavaScript</v>
      </c>
      <c r="G4229" s="9" t="str">
        <f>IFERROR(__xludf.DUMMYFUNCTION("""COMPUTED_VALUE"""),"JavaScript")</f>
        <v>JavaScript</v>
      </c>
      <c r="H4229" s="9" t="str">
        <f>IFERROR(__xludf.DUMMYFUNCTION("""COMPUTED_VALUE"""),"C#")</f>
        <v>C#</v>
      </c>
      <c r="I4229" s="9" t="str">
        <f>IFERROR(__xludf.DUMMYFUNCTION("""COMPUTED_VALUE"""),"PHP")</f>
        <v>PHP</v>
      </c>
      <c r="J4229" s="9" t="str">
        <f>IFERROR(__xludf.DUMMYFUNCTION("""COMPUTED_VALUE"""),"Python")</f>
        <v>Python</v>
      </c>
      <c r="K4229" s="9" t="str">
        <f>IFERROR(__xludf.DUMMYFUNCTION("""COMPUTED_VALUE"""),"C#")</f>
        <v>C#</v>
      </c>
      <c r="L4229" s="9" t="str">
        <f>IFERROR(__xludf.DUMMYFUNCTION("""COMPUTED_VALUE"""),"Objective-C")</f>
        <v>Objective-C</v>
      </c>
      <c r="M4229" s="9" t="s">
        <v>21</v>
      </c>
    </row>
    <row r="4230" ht="15.75" customHeight="1">
      <c r="A4230" s="7"/>
      <c r="B4230" s="7" t="str">
        <f>IFERROR(__xludf.DUMMYFUNCTION("""COMPUTED_VALUE"""),"Go;HTML/CSS;Java;JavaScript;PHP;SQL;TypeScript")</f>
        <v>Go;HTML/CSS;Java;JavaScript;PHP;SQL;TypeScript</v>
      </c>
      <c r="C4230" s="9" t="str">
        <f>IFERROR(__xludf.DUMMYFUNCTION("""COMPUTED_VALUE"""),"Assembly")</f>
        <v>Assembly</v>
      </c>
      <c r="D4230" s="9" t="str">
        <f>IFERROR(__xludf.DUMMYFUNCTION("""COMPUTED_VALUE"""),"SQL")</f>
        <v>SQL</v>
      </c>
      <c r="E4230" s="9" t="str">
        <f>IFERROR(__xludf.DUMMYFUNCTION("""COMPUTED_VALUE"""),"C#")</f>
        <v>C#</v>
      </c>
      <c r="F4230" s="9" t="str">
        <f>IFERROR(__xludf.DUMMYFUNCTION("""COMPUTED_VALUE"""),"Python")</f>
        <v>Python</v>
      </c>
      <c r="G4230" s="9" t="str">
        <f>IFERROR(__xludf.DUMMYFUNCTION("""COMPUTED_VALUE"""),"PHP")</f>
        <v>PHP</v>
      </c>
      <c r="H4230" s="9" t="str">
        <f>IFERROR(__xludf.DUMMYFUNCTION("""COMPUTED_VALUE"""),"HTML/CSS")</f>
        <v>HTML/CSS</v>
      </c>
      <c r="I4230" s="9" t="str">
        <f>IFERROR(__xludf.DUMMYFUNCTION("""COMPUTED_VALUE"""),"SQL")</f>
        <v>SQL</v>
      </c>
      <c r="J4230" s="9" t="str">
        <f>IFERROR(__xludf.DUMMYFUNCTION("""COMPUTED_VALUE"""),"R")</f>
        <v>R</v>
      </c>
      <c r="K4230" s="9" t="str">
        <f>IFERROR(__xludf.DUMMYFUNCTION("""COMPUTED_VALUE"""),"HTML/CSS")</f>
        <v>HTML/CSS</v>
      </c>
      <c r="L4230" s="9" t="str">
        <f>IFERROR(__xludf.DUMMYFUNCTION("""COMPUTED_VALUE"""),"PHP")</f>
        <v>PHP</v>
      </c>
      <c r="M4230" s="9" t="s">
        <v>38</v>
      </c>
    </row>
    <row r="4231" ht="15.75" customHeight="1">
      <c r="A4231" s="7"/>
      <c r="B4231" s="7" t="str">
        <f>IFERROR(__xludf.DUMMYFUNCTION("""COMPUTED_VALUE"""),"Bash/Shell/PowerShell;C++;C#;HTML/CSS;Java;JavaScript;PHP;Python;SQL")</f>
        <v>Bash/Shell/PowerShell;C++;C#;HTML/CSS;Java;JavaScript;PHP;Python;SQL</v>
      </c>
      <c r="C4231" s="9" t="str">
        <f>IFERROR(__xludf.DUMMYFUNCTION("""COMPUTED_VALUE"""),"Bash/Shell/PowerShell")</f>
        <v>Bash/Shell/PowerShell</v>
      </c>
      <c r="D4231" s="9" t="str">
        <f>IFERROR(__xludf.DUMMYFUNCTION("""COMPUTED_VALUE"""),"TypeScript")</f>
        <v>TypeScript</v>
      </c>
      <c r="E4231" s="9" t="str">
        <f>IFERROR(__xludf.DUMMYFUNCTION("""COMPUTED_VALUE"""),"HTML/CSS")</f>
        <v>HTML/CSS</v>
      </c>
      <c r="F4231" s="9" t="str">
        <f>IFERROR(__xludf.DUMMYFUNCTION("""COMPUTED_VALUE"""),"SQL")</f>
        <v>SQL</v>
      </c>
      <c r="G4231" s="9" t="str">
        <f>IFERROR(__xludf.DUMMYFUNCTION("""COMPUTED_VALUE"""),"Python")</f>
        <v>Python</v>
      </c>
      <c r="H4231" s="9" t="str">
        <f>IFERROR(__xludf.DUMMYFUNCTION("""COMPUTED_VALUE"""),"Java")</f>
        <v>Java</v>
      </c>
      <c r="I4231" s="9" t="str">
        <f>IFERROR(__xludf.DUMMYFUNCTION("""COMPUTED_VALUE"""),"Go")</f>
        <v>Go</v>
      </c>
      <c r="J4231" s="9" t="str">
        <f>IFERROR(__xludf.DUMMYFUNCTION("""COMPUTED_VALUE"""),"SQL")</f>
        <v>SQL</v>
      </c>
      <c r="K4231" s="9" t="str">
        <f>IFERROR(__xludf.DUMMYFUNCTION("""COMPUTED_VALUE"""),"JavaScript")</f>
        <v>JavaScript</v>
      </c>
      <c r="L4231" s="9" t="str">
        <f>IFERROR(__xludf.DUMMYFUNCTION("""COMPUTED_VALUE"""),"SQL")</f>
        <v>SQL</v>
      </c>
      <c r="M4231" s="9" t="s">
        <v>30</v>
      </c>
    </row>
    <row r="4232" ht="15.75" customHeight="1">
      <c r="A4232" s="7"/>
      <c r="B4232" s="7" t="str">
        <f>IFERROR(__xludf.DUMMYFUNCTION("""COMPUTED_VALUE"""),"Assembly;C++;HTML/CSS;Java;JavaScript;Swift")</f>
        <v>Assembly;C++;HTML/CSS;Java;JavaScript;Swift</v>
      </c>
      <c r="C4232" s="9" t="str">
        <f>IFERROR(__xludf.DUMMYFUNCTION("""COMPUTED_VALUE"""),"HTML/CSS")</f>
        <v>HTML/CSS</v>
      </c>
      <c r="D4232" s="9" t="str">
        <f>IFERROR(__xludf.DUMMYFUNCTION("""COMPUTED_VALUE"""),"C#")</f>
        <v>C#</v>
      </c>
      <c r="E4232" s="9" t="str">
        <f>IFERROR(__xludf.DUMMYFUNCTION("""COMPUTED_VALUE"""),"JavaScript")</f>
        <v>JavaScript</v>
      </c>
      <c r="F4232" s="9" t="str">
        <f>IFERROR(__xludf.DUMMYFUNCTION("""COMPUTED_VALUE"""),"Other(s):")</f>
        <v>Other(s):</v>
      </c>
      <c r="G4232" s="9" t="str">
        <f>IFERROR(__xludf.DUMMYFUNCTION("""COMPUTED_VALUE"""),"SQL")</f>
        <v>SQL</v>
      </c>
      <c r="H4232" s="9" t="str">
        <f>IFERROR(__xludf.DUMMYFUNCTION("""COMPUTED_VALUE"""),"JavaScript")</f>
        <v>JavaScript</v>
      </c>
      <c r="I4232" s="9" t="str">
        <f>IFERROR(__xludf.DUMMYFUNCTION("""COMPUTED_VALUE"""),"HTML/CSS")</f>
        <v>HTML/CSS</v>
      </c>
      <c r="J4232" s="9" t="str">
        <f>IFERROR(__xludf.DUMMYFUNCTION("""COMPUTED_VALUE"""),"TypeScript")</f>
        <v>TypeScript</v>
      </c>
      <c r="K4232" s="9" t="str">
        <f>IFERROR(__xludf.DUMMYFUNCTION("""COMPUTED_VALUE"""),"SQL")</f>
        <v>SQL</v>
      </c>
      <c r="L4232" s="9" t="str">
        <f>IFERROR(__xludf.DUMMYFUNCTION("""COMPUTED_VALUE"""),"C")</f>
        <v>C</v>
      </c>
      <c r="M4232" s="9" t="s">
        <v>24</v>
      </c>
    </row>
    <row r="4233" ht="15.75" customHeight="1">
      <c r="A4233" s="7"/>
      <c r="B4233" s="7" t="str">
        <f>IFERROR(__xludf.DUMMYFUNCTION("""COMPUTED_VALUE"""),"Bash/Shell/PowerShell;Go;HTML/CSS;JavaScript;Python;Ruby;SQL")</f>
        <v>Bash/Shell/PowerShell;Go;HTML/CSS;JavaScript;Python;Ruby;SQL</v>
      </c>
      <c r="C4233" s="9" t="str">
        <f>IFERROR(__xludf.DUMMYFUNCTION("""COMPUTED_VALUE"""),"Java")</f>
        <v>Java</v>
      </c>
      <c r="D4233" s="9" t="str">
        <f>IFERROR(__xludf.DUMMYFUNCTION("""COMPUTED_VALUE"""),"SQL")</f>
        <v>SQL</v>
      </c>
      <c r="E4233" s="9" t="str">
        <f>IFERROR(__xludf.DUMMYFUNCTION("""COMPUTED_VALUE"""),"TypeScript")</f>
        <v>TypeScript</v>
      </c>
      <c r="F4233" s="9" t="str">
        <f>IFERROR(__xludf.DUMMYFUNCTION("""COMPUTED_VALUE"""),"Scala")</f>
        <v>Scala</v>
      </c>
      <c r="G4233" s="9" t="str">
        <f>IFERROR(__xludf.DUMMYFUNCTION("""COMPUTED_VALUE"""),"Other(s):")</f>
        <v>Other(s):</v>
      </c>
      <c r="H4233" s="9" t="str">
        <f>IFERROR(__xludf.DUMMYFUNCTION("""COMPUTED_VALUE"""),"Python")</f>
        <v>Python</v>
      </c>
      <c r="I4233" s="9" t="str">
        <f>IFERROR(__xludf.DUMMYFUNCTION("""COMPUTED_VALUE"""),"JavaScript")</f>
        <v>JavaScript</v>
      </c>
      <c r="J4233" s="9" t="str">
        <f>IFERROR(__xludf.DUMMYFUNCTION("""COMPUTED_VALUE"""),"VBA")</f>
        <v>VBA</v>
      </c>
      <c r="K4233" s="9" t="str">
        <f>IFERROR(__xludf.DUMMYFUNCTION("""COMPUTED_VALUE"""),"TypeScript")</f>
        <v>TypeScript</v>
      </c>
      <c r="L4233" s="9" t="str">
        <f>IFERROR(__xludf.DUMMYFUNCTION("""COMPUTED_VALUE"""),"C++")</f>
        <v>C++</v>
      </c>
      <c r="M4233" s="9" t="s">
        <v>20</v>
      </c>
    </row>
    <row r="4234" ht="15.75" customHeight="1">
      <c r="A4234" s="7"/>
      <c r="B4234" s="7" t="str">
        <f>IFERROR(__xludf.DUMMYFUNCTION("""COMPUTED_VALUE"""),"C#")</f>
        <v>C#</v>
      </c>
      <c r="C4234" s="9" t="str">
        <f>IFERROR(__xludf.DUMMYFUNCTION("""COMPUTED_VALUE"""),"JavaScript")</f>
        <v>JavaScript</v>
      </c>
      <c r="D4234" s="9" t="str">
        <f>IFERROR(__xludf.DUMMYFUNCTION("""COMPUTED_VALUE"""),"TypeScript")</f>
        <v>TypeScript</v>
      </c>
      <c r="E4234" s="9" t="str">
        <f>IFERROR(__xludf.DUMMYFUNCTION("""COMPUTED_VALUE"""),"VBA")</f>
        <v>VBA</v>
      </c>
      <c r="F4234" s="9" t="str">
        <f>IFERROR(__xludf.DUMMYFUNCTION("""COMPUTED_VALUE"""),"Bash/Shell/PowerShell")</f>
        <v>Bash/Shell/PowerShell</v>
      </c>
      <c r="G4234" s="9" t="str">
        <f>IFERROR(__xludf.DUMMYFUNCTION("""COMPUTED_VALUE"""),"Bash/Shell/PowerShell")</f>
        <v>Bash/Shell/PowerShell</v>
      </c>
      <c r="H4234" s="9" t="str">
        <f>IFERROR(__xludf.DUMMYFUNCTION("""COMPUTED_VALUE"""),"SQL")</f>
        <v>SQL</v>
      </c>
      <c r="I4234" s="9" t="str">
        <f>IFERROR(__xludf.DUMMYFUNCTION("""COMPUTED_VALUE"""),"Python")</f>
        <v>Python</v>
      </c>
      <c r="J4234" s="9" t="str">
        <f>IFERROR(__xludf.DUMMYFUNCTION("""COMPUTED_VALUE"""),"C#")</f>
        <v>C#</v>
      </c>
      <c r="K4234" s="9" t="str">
        <f>IFERROR(__xludf.DUMMYFUNCTION("""COMPUTED_VALUE"""),"Java")</f>
        <v>Java</v>
      </c>
      <c r="L4234" s="9" t="str">
        <f>IFERROR(__xludf.DUMMYFUNCTION("""COMPUTED_VALUE"""),"HTML/CSS")</f>
        <v>HTML/CSS</v>
      </c>
      <c r="M4234" s="9" t="s">
        <v>21</v>
      </c>
    </row>
    <row r="4235" ht="15.75" customHeight="1">
      <c r="A4235" s="7"/>
      <c r="B4235" s="7" t="str">
        <f>IFERROR(__xludf.DUMMYFUNCTION("""COMPUTED_VALUE"""),"Assembly;Bash/Shell/PowerShell;C;C++;HTML/CSS;Java;PHP;Python;SQL;Swift;VBA")</f>
        <v>Assembly;Bash/Shell/PowerShell;C;C++;HTML/CSS;Java;PHP;Python;SQL;Swift;VBA</v>
      </c>
      <c r="C4235" s="9" t="str">
        <f>IFERROR(__xludf.DUMMYFUNCTION("""COMPUTED_VALUE"""),"PHP")</f>
        <v>PHP</v>
      </c>
      <c r="D4235" s="9" t="str">
        <f>IFERROR(__xludf.DUMMYFUNCTION("""COMPUTED_VALUE"""),"Bash/Shell/PowerShell")</f>
        <v>Bash/Shell/PowerShell</v>
      </c>
      <c r="E4235" s="9" t="str">
        <f>IFERROR(__xludf.DUMMYFUNCTION("""COMPUTED_VALUE"""),"Bash/Shell/PowerShell")</f>
        <v>Bash/Shell/PowerShell</v>
      </c>
      <c r="F4235" s="9" t="str">
        <f>IFERROR(__xludf.DUMMYFUNCTION("""COMPUTED_VALUE"""),"Objective-C")</f>
        <v>Objective-C</v>
      </c>
      <c r="G4235" s="9" t="str">
        <f>IFERROR(__xludf.DUMMYFUNCTION("""COMPUTED_VALUE"""),"C")</f>
        <v>C</v>
      </c>
      <c r="H4235" s="9" t="str">
        <f>IFERROR(__xludf.DUMMYFUNCTION("""COMPUTED_VALUE"""),"C")</f>
        <v>C</v>
      </c>
      <c r="I4235" s="9" t="str">
        <f>IFERROR(__xludf.DUMMYFUNCTION("""COMPUTED_VALUE"""),"Rust")</f>
        <v>Rust</v>
      </c>
      <c r="J4235" s="9" t="str">
        <f>IFERROR(__xludf.DUMMYFUNCTION("""COMPUTED_VALUE"""),"HTML/CSS")</f>
        <v>HTML/CSS</v>
      </c>
      <c r="K4235" s="9" t="str">
        <f>IFERROR(__xludf.DUMMYFUNCTION("""COMPUTED_VALUE"""),"Kotlin")</f>
        <v>Kotlin</v>
      </c>
      <c r="L4235" s="9" t="str">
        <f>IFERROR(__xludf.DUMMYFUNCTION("""COMPUTED_VALUE"""),"Java")</f>
        <v>Java</v>
      </c>
      <c r="M4235" s="9" t="s">
        <v>37</v>
      </c>
    </row>
    <row r="4236" ht="15.75" customHeight="1">
      <c r="A4236" s="7"/>
      <c r="B4236" s="7" t="str">
        <f>IFERROR(__xludf.DUMMYFUNCTION("""COMPUTED_VALUE"""),"JavaScript;TypeScript")</f>
        <v>JavaScript;TypeScript</v>
      </c>
      <c r="C4236" s="9" t="str">
        <f>IFERROR(__xludf.DUMMYFUNCTION("""COMPUTED_VALUE"""),"Python")</f>
        <v>Python</v>
      </c>
      <c r="D4236" s="9" t="str">
        <f>IFERROR(__xludf.DUMMYFUNCTION("""COMPUTED_VALUE"""),"C#")</f>
        <v>C#</v>
      </c>
      <c r="E4236" s="9" t="str">
        <f>IFERROR(__xludf.DUMMYFUNCTION("""COMPUTED_VALUE"""),"C")</f>
        <v>C</v>
      </c>
      <c r="F4236" s="9" t="str">
        <f>IFERROR(__xludf.DUMMYFUNCTION("""COMPUTED_VALUE"""),"Python")</f>
        <v>Python</v>
      </c>
      <c r="G4236" s="9" t="str">
        <f>IFERROR(__xludf.DUMMYFUNCTION("""COMPUTED_VALUE"""),"C#")</f>
        <v>C#</v>
      </c>
      <c r="H4236" s="9" t="str">
        <f>IFERROR(__xludf.DUMMYFUNCTION("""COMPUTED_VALUE"""),"C++")</f>
        <v>C++</v>
      </c>
      <c r="I4236" s="9" t="str">
        <f>IFERROR(__xludf.DUMMYFUNCTION("""COMPUTED_VALUE"""),"WebAssembly")</f>
        <v>WebAssembly</v>
      </c>
      <c r="J4236" s="9" t="str">
        <f>IFERROR(__xludf.DUMMYFUNCTION("""COMPUTED_VALUE"""),"JavaScript")</f>
        <v>JavaScript</v>
      </c>
      <c r="K4236" s="9" t="str">
        <f>IFERROR(__xludf.DUMMYFUNCTION("""COMPUTED_VALUE"""),"C#")</f>
        <v>C#</v>
      </c>
      <c r="L4236" s="9" t="str">
        <f>IFERROR(__xludf.DUMMYFUNCTION("""COMPUTED_VALUE"""),"JavaScript")</f>
        <v>JavaScript</v>
      </c>
      <c r="M4236" s="9" t="s">
        <v>22</v>
      </c>
    </row>
    <row r="4237" ht="15.75" customHeight="1">
      <c r="A4237" s="7"/>
      <c r="B4237" s="7" t="str">
        <f>IFERROR(__xludf.DUMMYFUNCTION("""COMPUTED_VALUE"""),"Bash/Shell/PowerShell;Java;JavaScript;Objective-C;Ruby;SQL;Swift;TypeScript")</f>
        <v>Bash/Shell/PowerShell;Java;JavaScript;Objective-C;Ruby;SQL;Swift;TypeScript</v>
      </c>
      <c r="C4237" s="9" t="str">
        <f>IFERROR(__xludf.DUMMYFUNCTION("""COMPUTED_VALUE"""),"TypeScript")</f>
        <v>TypeScript</v>
      </c>
      <c r="D4237" s="9" t="str">
        <f>IFERROR(__xludf.DUMMYFUNCTION("""COMPUTED_VALUE"""),"HTML/CSS")</f>
        <v>HTML/CSS</v>
      </c>
      <c r="E4237" s="9" t="str">
        <f>IFERROR(__xludf.DUMMYFUNCTION("""COMPUTED_VALUE"""),"HTML/CSS")</f>
        <v>HTML/CSS</v>
      </c>
      <c r="F4237" s="9" t="str">
        <f>IFERROR(__xludf.DUMMYFUNCTION("""COMPUTED_VALUE"""),"R")</f>
        <v>R</v>
      </c>
      <c r="G4237" s="9" t="str">
        <f>IFERROR(__xludf.DUMMYFUNCTION("""COMPUTED_VALUE"""),"HTML/CSS")</f>
        <v>HTML/CSS</v>
      </c>
      <c r="H4237" s="9" t="str">
        <f>IFERROR(__xludf.DUMMYFUNCTION("""COMPUTED_VALUE"""),"C#")</f>
        <v>C#</v>
      </c>
      <c r="I4237" s="9" t="str">
        <f>IFERROR(__xludf.DUMMYFUNCTION("""COMPUTED_VALUE"""),"C#")</f>
        <v>C#</v>
      </c>
      <c r="J4237" s="9" t="str">
        <f>IFERROR(__xludf.DUMMYFUNCTION("""COMPUTED_VALUE"""),"PHP")</f>
        <v>PHP</v>
      </c>
      <c r="K4237" s="9" t="str">
        <f>IFERROR(__xludf.DUMMYFUNCTION("""COMPUTED_VALUE"""),"HTML/CSS")</f>
        <v>HTML/CSS</v>
      </c>
      <c r="L4237" s="9" t="str">
        <f>IFERROR(__xludf.DUMMYFUNCTION("""COMPUTED_VALUE"""),"Objective-C")</f>
        <v>Objective-C</v>
      </c>
      <c r="M4237" s="9" t="s">
        <v>33</v>
      </c>
    </row>
    <row r="4238" ht="15.75" customHeight="1">
      <c r="A4238" s="7"/>
      <c r="B4238" s="7" t="str">
        <f>IFERROR(__xludf.DUMMYFUNCTION("""COMPUTED_VALUE"""),"Java;JavaScript;Scala;SQL")</f>
        <v>Java;JavaScript;Scala;SQL</v>
      </c>
      <c r="C4238" s="9" t="str">
        <f>IFERROR(__xludf.DUMMYFUNCTION("""COMPUTED_VALUE"""),"Java")</f>
        <v>Java</v>
      </c>
      <c r="D4238" s="9" t="str">
        <f>IFERROR(__xludf.DUMMYFUNCTION("""COMPUTED_VALUE"""),"JavaScript")</f>
        <v>JavaScript</v>
      </c>
      <c r="E4238" s="9" t="str">
        <f>IFERROR(__xludf.DUMMYFUNCTION("""COMPUTED_VALUE"""),"Java")</f>
        <v>Java</v>
      </c>
      <c r="F4238" s="9" t="str">
        <f>IFERROR(__xludf.DUMMYFUNCTION("""COMPUTED_VALUE"""),"Swift")</f>
        <v>Swift</v>
      </c>
      <c r="G4238" s="9" t="str">
        <f>IFERROR(__xludf.DUMMYFUNCTION("""COMPUTED_VALUE"""),"JavaScript")</f>
        <v>JavaScript</v>
      </c>
      <c r="H4238" s="9" t="str">
        <f>IFERROR(__xludf.DUMMYFUNCTION("""COMPUTED_VALUE"""),"HTML/CSS")</f>
        <v>HTML/CSS</v>
      </c>
      <c r="I4238" s="9" t="str">
        <f>IFERROR(__xludf.DUMMYFUNCTION("""COMPUTED_VALUE"""),"JavaScript")</f>
        <v>JavaScript</v>
      </c>
      <c r="J4238" s="9" t="str">
        <f>IFERROR(__xludf.DUMMYFUNCTION("""COMPUTED_VALUE"""),"SQL")</f>
        <v>SQL</v>
      </c>
      <c r="K4238" s="9" t="str">
        <f>IFERROR(__xludf.DUMMYFUNCTION("""COMPUTED_VALUE"""),"JavaScript")</f>
        <v>JavaScript</v>
      </c>
      <c r="L4238" s="9" t="str">
        <f>IFERROR(__xludf.DUMMYFUNCTION("""COMPUTED_VALUE"""),"PHP")</f>
        <v>PHP</v>
      </c>
      <c r="M4238" s="9" t="s">
        <v>20</v>
      </c>
    </row>
    <row r="4239" ht="15.75" customHeight="1">
      <c r="A4239" s="7"/>
      <c r="B4239" s="7" t="str">
        <f>IFERROR(__xludf.DUMMYFUNCTION("""COMPUTED_VALUE"""),"Bash/Shell/PowerShell;C;C++;C#;HTML/CSS;SQL;WebAssembly")</f>
        <v>Bash/Shell/PowerShell;C;C++;C#;HTML/CSS;SQL;WebAssembly</v>
      </c>
      <c r="C4239" s="9" t="str">
        <f>IFERROR(__xludf.DUMMYFUNCTION("""COMPUTED_VALUE"""),"JavaScript")</f>
        <v>JavaScript</v>
      </c>
      <c r="D4239" s="9" t="str">
        <f>IFERROR(__xludf.DUMMYFUNCTION("""COMPUTED_VALUE"""),"SQL")</f>
        <v>SQL</v>
      </c>
      <c r="E4239" s="9" t="str">
        <f>IFERROR(__xludf.DUMMYFUNCTION("""COMPUTED_VALUE"""),"JavaScript")</f>
        <v>JavaScript</v>
      </c>
      <c r="F4239" s="9" t="str">
        <f>IFERROR(__xludf.DUMMYFUNCTION("""COMPUTED_VALUE"""),"PHP")</f>
        <v>PHP</v>
      </c>
      <c r="G4239" s="9" t="str">
        <f>IFERROR(__xludf.DUMMYFUNCTION("""COMPUTED_VALUE"""),"Python")</f>
        <v>Python</v>
      </c>
      <c r="H4239" s="9" t="str">
        <f>IFERROR(__xludf.DUMMYFUNCTION("""COMPUTED_VALUE"""),"Java")</f>
        <v>Java</v>
      </c>
      <c r="I4239" s="9" t="str">
        <f>IFERROR(__xludf.DUMMYFUNCTION("""COMPUTED_VALUE"""),"C#")</f>
        <v>C#</v>
      </c>
      <c r="J4239" s="9" t="str">
        <f>IFERROR(__xludf.DUMMYFUNCTION("""COMPUTED_VALUE"""),"VBA")</f>
        <v>VBA</v>
      </c>
      <c r="K4239" s="9" t="str">
        <f>IFERROR(__xludf.DUMMYFUNCTION("""COMPUTED_VALUE"""),"SQL")</f>
        <v>SQL</v>
      </c>
      <c r="L4239" s="9" t="str">
        <f>IFERROR(__xludf.DUMMYFUNCTION("""COMPUTED_VALUE"""),"SQL")</f>
        <v>SQL</v>
      </c>
      <c r="M4239" s="9" t="s">
        <v>21</v>
      </c>
    </row>
    <row r="4240" ht="15.75" customHeight="1">
      <c r="A4240" s="7"/>
      <c r="B4240" s="7" t="str">
        <f>IFERROR(__xludf.DUMMYFUNCTION("""COMPUTED_VALUE"""),"HTML/CSS;JavaScript;PHP;SQL")</f>
        <v>HTML/CSS;JavaScript;PHP;SQL</v>
      </c>
      <c r="C4240" s="9" t="str">
        <f>IFERROR(__xludf.DUMMYFUNCTION("""COMPUTED_VALUE"""),"Kotlin")</f>
        <v>Kotlin</v>
      </c>
      <c r="D4240" s="9" t="str">
        <f>IFERROR(__xludf.DUMMYFUNCTION("""COMPUTED_VALUE"""),"TypeScript")</f>
        <v>TypeScript</v>
      </c>
      <c r="E4240" s="9" t="str">
        <f>IFERROR(__xludf.DUMMYFUNCTION("""COMPUTED_VALUE"""),"SQL")</f>
        <v>SQL</v>
      </c>
      <c r="F4240" s="9" t="str">
        <f>IFERROR(__xludf.DUMMYFUNCTION("""COMPUTED_VALUE"""),"Python")</f>
        <v>Python</v>
      </c>
      <c r="G4240" s="9" t="str">
        <f>IFERROR(__xludf.DUMMYFUNCTION("""COMPUTED_VALUE"""),"R")</f>
        <v>R</v>
      </c>
      <c r="H4240" s="9" t="str">
        <f>IFERROR(__xludf.DUMMYFUNCTION("""COMPUTED_VALUE"""),"JavaScript")</f>
        <v>JavaScript</v>
      </c>
      <c r="I4240" s="9" t="str">
        <f>IFERROR(__xludf.DUMMYFUNCTION("""COMPUTED_VALUE"""),"HTML/CSS")</f>
        <v>HTML/CSS</v>
      </c>
      <c r="J4240" s="9" t="str">
        <f>IFERROR(__xludf.DUMMYFUNCTION("""COMPUTED_VALUE"""),"JavaScript")</f>
        <v>JavaScript</v>
      </c>
      <c r="K4240" s="9" t="str">
        <f>IFERROR(__xludf.DUMMYFUNCTION("""COMPUTED_VALUE"""),"C#")</f>
        <v>C#</v>
      </c>
      <c r="L4240" s="9" t="str">
        <f>IFERROR(__xludf.DUMMYFUNCTION("""COMPUTED_VALUE"""),"TypeScript")</f>
        <v>TypeScript</v>
      </c>
      <c r="M4240" s="9" t="s">
        <v>39</v>
      </c>
    </row>
    <row r="4241" ht="15.75" customHeight="1">
      <c r="A4241" s="7"/>
      <c r="B4241" s="7" t="str">
        <f>IFERROR(__xludf.DUMMYFUNCTION("""COMPUTED_VALUE"""),"Python")</f>
        <v>Python</v>
      </c>
      <c r="C4241" s="9" t="str">
        <f>IFERROR(__xludf.DUMMYFUNCTION("""COMPUTED_VALUE"""),"Python")</f>
        <v>Python</v>
      </c>
      <c r="D4241" s="9" t="str">
        <f>IFERROR(__xludf.DUMMYFUNCTION("""COMPUTED_VALUE"""),"C#")</f>
        <v>C#</v>
      </c>
      <c r="E4241" s="9" t="str">
        <f>IFERROR(__xludf.DUMMYFUNCTION("""COMPUTED_VALUE"""),"TypeScript")</f>
        <v>TypeScript</v>
      </c>
      <c r="F4241" s="9" t="str">
        <f>IFERROR(__xludf.DUMMYFUNCTION("""COMPUTED_VALUE"""),"C#")</f>
        <v>C#</v>
      </c>
      <c r="G4241" s="9" t="str">
        <f>IFERROR(__xludf.DUMMYFUNCTION("""COMPUTED_VALUE"""),"C")</f>
        <v>C</v>
      </c>
      <c r="H4241" s="9" t="str">
        <f>IFERROR(__xludf.DUMMYFUNCTION("""COMPUTED_VALUE"""),"PHP")</f>
        <v>PHP</v>
      </c>
      <c r="I4241" s="9" t="str">
        <f>IFERROR(__xludf.DUMMYFUNCTION("""COMPUTED_VALUE"""),"JavaScript")</f>
        <v>JavaScript</v>
      </c>
      <c r="J4241" s="9" t="str">
        <f>IFERROR(__xludf.DUMMYFUNCTION("""COMPUTED_VALUE"""),"Bash/Shell/PowerShell")</f>
        <v>Bash/Shell/PowerShell</v>
      </c>
      <c r="K4241" s="9" t="str">
        <f>IFERROR(__xludf.DUMMYFUNCTION("""COMPUTED_VALUE"""),"HTML/CSS")</f>
        <v>HTML/CSS</v>
      </c>
      <c r="L4241" s="9" t="str">
        <f>IFERROR(__xludf.DUMMYFUNCTION("""COMPUTED_VALUE"""),"Other(s):")</f>
        <v>Other(s):</v>
      </c>
      <c r="M4241" s="9" t="s">
        <v>22</v>
      </c>
    </row>
    <row r="4242" ht="15.75" customHeight="1">
      <c r="A4242" s="7"/>
      <c r="B4242" s="7" t="str">
        <f>IFERROR(__xludf.DUMMYFUNCTION("""COMPUTED_VALUE"""),"Bash/Shell/PowerShell;C;C++;C#;HTML/CSS;JavaScript;PHP;Python;Rust;SQL")</f>
        <v>Bash/Shell/PowerShell;C;C++;C#;HTML/CSS;JavaScript;PHP;Python;Rust;SQL</v>
      </c>
      <c r="C4242" s="9" t="str">
        <f>IFERROR(__xludf.DUMMYFUNCTION("""COMPUTED_VALUE"""),"SQL")</f>
        <v>SQL</v>
      </c>
      <c r="D4242" s="9" t="str">
        <f>IFERROR(__xludf.DUMMYFUNCTION("""COMPUTED_VALUE"""),"HTML/CSS")</f>
        <v>HTML/CSS</v>
      </c>
      <c r="E4242" s="9" t="str">
        <f>IFERROR(__xludf.DUMMYFUNCTION("""COMPUTED_VALUE"""),"Other(s):")</f>
        <v>Other(s):</v>
      </c>
      <c r="F4242" s="9" t="str">
        <f>IFERROR(__xludf.DUMMYFUNCTION("""COMPUTED_VALUE"""),"HTML/CSS")</f>
        <v>HTML/CSS</v>
      </c>
      <c r="G4242" s="9" t="str">
        <f>IFERROR(__xludf.DUMMYFUNCTION("""COMPUTED_VALUE"""),"C++")</f>
        <v>C++</v>
      </c>
      <c r="H4242" s="9" t="str">
        <f>IFERROR(__xludf.DUMMYFUNCTION("""COMPUTED_VALUE"""),"Python")</f>
        <v>Python</v>
      </c>
      <c r="I4242" s="9" t="str">
        <f>IFERROR(__xludf.DUMMYFUNCTION("""COMPUTED_VALUE"""),"SQL")</f>
        <v>SQL</v>
      </c>
      <c r="J4242" s="9" t="str">
        <f>IFERROR(__xludf.DUMMYFUNCTION("""COMPUTED_VALUE"""),"C")</f>
        <v>C</v>
      </c>
      <c r="K4242" s="9" t="str">
        <f>IFERROR(__xludf.DUMMYFUNCTION("""COMPUTED_VALUE"""),"JavaScript")</f>
        <v>JavaScript</v>
      </c>
      <c r="L4242" s="9" t="str">
        <f>IFERROR(__xludf.DUMMYFUNCTION("""COMPUTED_VALUE"""),"C#")</f>
        <v>C#</v>
      </c>
      <c r="M4242" s="9" t="s">
        <v>27</v>
      </c>
    </row>
    <row r="4243" ht="15.75" customHeight="1">
      <c r="A4243" s="7"/>
      <c r="B4243" s="7" t="str">
        <f>IFERROR(__xludf.DUMMYFUNCTION("""COMPUTED_VALUE"""),"Bash/Shell/PowerShell;C++;HTML/CSS;JavaScript;PHP;SQL")</f>
        <v>Bash/Shell/PowerShell;C++;HTML/CSS;JavaScript;PHP;SQL</v>
      </c>
      <c r="C4243" s="9" t="str">
        <f>IFERROR(__xludf.DUMMYFUNCTION("""COMPUTED_VALUE"""),"Assembly")</f>
        <v>Assembly</v>
      </c>
      <c r="D4243" s="9" t="str">
        <f>IFERROR(__xludf.DUMMYFUNCTION("""COMPUTED_VALUE"""),"Java")</f>
        <v>Java</v>
      </c>
      <c r="E4243" s="9" t="str">
        <f>IFERROR(__xludf.DUMMYFUNCTION("""COMPUTED_VALUE"""),"HTML/CSS")</f>
        <v>HTML/CSS</v>
      </c>
      <c r="F4243" s="9" t="str">
        <f>IFERROR(__xludf.DUMMYFUNCTION("""COMPUTED_VALUE"""),"Java")</f>
        <v>Java</v>
      </c>
      <c r="G4243" s="9" t="str">
        <f>IFERROR(__xludf.DUMMYFUNCTION("""COMPUTED_VALUE"""),"HTML/CSS")</f>
        <v>HTML/CSS</v>
      </c>
      <c r="H4243" s="9" t="str">
        <f>IFERROR(__xludf.DUMMYFUNCTION("""COMPUTED_VALUE"""),"R")</f>
        <v>R</v>
      </c>
      <c r="I4243" s="9" t="str">
        <f>IFERROR(__xludf.DUMMYFUNCTION("""COMPUTED_VALUE"""),"Bash/Shell/PowerShell")</f>
        <v>Bash/Shell/PowerShell</v>
      </c>
      <c r="J4243" s="9" t="str">
        <f>IFERROR(__xludf.DUMMYFUNCTION("""COMPUTED_VALUE"""),"HTML/CSS")</f>
        <v>HTML/CSS</v>
      </c>
      <c r="K4243" s="9" t="str">
        <f>IFERROR(__xludf.DUMMYFUNCTION("""COMPUTED_VALUE"""),"TypeScript")</f>
        <v>TypeScript</v>
      </c>
      <c r="L4243" s="9" t="str">
        <f>IFERROR(__xludf.DUMMYFUNCTION("""COMPUTED_VALUE"""),"Go")</f>
        <v>Go</v>
      </c>
      <c r="M4243" s="9" t="s">
        <v>38</v>
      </c>
    </row>
    <row r="4244" ht="15.75" customHeight="1">
      <c r="A4244" s="7"/>
      <c r="B4244" s="7" t="str">
        <f>IFERROR(__xludf.DUMMYFUNCTION("""COMPUTED_VALUE"""),"HTML/CSS;Java;R;SQL")</f>
        <v>HTML/CSS;Java;R;SQL</v>
      </c>
      <c r="C4244" s="9" t="str">
        <f>IFERROR(__xludf.DUMMYFUNCTION("""COMPUTED_VALUE"""),"Bash/Shell/PowerShell")</f>
        <v>Bash/Shell/PowerShell</v>
      </c>
      <c r="D4244" s="9" t="str">
        <f>IFERROR(__xludf.DUMMYFUNCTION("""COMPUTED_VALUE"""),"JavaScript")</f>
        <v>JavaScript</v>
      </c>
      <c r="E4244" s="9" t="str">
        <f>IFERROR(__xludf.DUMMYFUNCTION("""COMPUTED_VALUE"""),"JavaScript")</f>
        <v>JavaScript</v>
      </c>
      <c r="F4244" s="9" t="str">
        <f>IFERROR(__xludf.DUMMYFUNCTION("""COMPUTED_VALUE"""),"JavaScript")</f>
        <v>JavaScript</v>
      </c>
      <c r="G4244" s="9" t="str">
        <f>IFERROR(__xludf.DUMMYFUNCTION("""COMPUTED_VALUE"""),"Python")</f>
        <v>Python</v>
      </c>
      <c r="H4244" s="9" t="str">
        <f>IFERROR(__xludf.DUMMYFUNCTION("""COMPUTED_VALUE"""),"SQL")</f>
        <v>SQL</v>
      </c>
      <c r="I4244" s="9" t="str">
        <f>IFERROR(__xludf.DUMMYFUNCTION("""COMPUTED_VALUE"""),"PHP")</f>
        <v>PHP</v>
      </c>
      <c r="J4244" s="9" t="str">
        <f>IFERROR(__xludf.DUMMYFUNCTION("""COMPUTED_VALUE"""),"Java")</f>
        <v>Java</v>
      </c>
      <c r="K4244" s="9" t="str">
        <f>IFERROR(__xludf.DUMMYFUNCTION("""COMPUTED_VALUE"""),"HTML/CSS")</f>
        <v>HTML/CSS</v>
      </c>
      <c r="L4244" s="9" t="str">
        <f>IFERROR(__xludf.DUMMYFUNCTION("""COMPUTED_VALUE"""),"HTML/CSS")</f>
        <v>HTML/CSS</v>
      </c>
      <c r="M4244" s="9" t="s">
        <v>30</v>
      </c>
    </row>
    <row r="4245" ht="15.75" customHeight="1">
      <c r="A4245" s="7"/>
      <c r="B4245" s="7" t="str">
        <f>IFERROR(__xludf.DUMMYFUNCTION("""COMPUTED_VALUE"""),"C#;HTML/CSS;JavaScript;SQL;TypeScript")</f>
        <v>C#;HTML/CSS;JavaScript;SQL;TypeScript</v>
      </c>
      <c r="C4245" s="9" t="str">
        <f>IFERROR(__xludf.DUMMYFUNCTION("""COMPUTED_VALUE"""),"C")</f>
        <v>C</v>
      </c>
      <c r="D4245" s="9" t="str">
        <f>IFERROR(__xludf.DUMMYFUNCTION("""COMPUTED_VALUE"""),"Swift")</f>
        <v>Swift</v>
      </c>
      <c r="E4245" s="9" t="str">
        <f>IFERROR(__xludf.DUMMYFUNCTION("""COMPUTED_VALUE"""),"Python")</f>
        <v>Python</v>
      </c>
      <c r="F4245" s="9" t="str">
        <f>IFERROR(__xludf.DUMMYFUNCTION("""COMPUTED_VALUE"""),"Python")</f>
        <v>Python</v>
      </c>
      <c r="G4245" s="9" t="str">
        <f>IFERROR(__xludf.DUMMYFUNCTION("""COMPUTED_VALUE"""),"Bash/Shell/PowerShell")</f>
        <v>Bash/Shell/PowerShell</v>
      </c>
      <c r="H4245" s="9" t="str">
        <f>IFERROR(__xludf.DUMMYFUNCTION("""COMPUTED_VALUE"""),"TypeScript")</f>
        <v>TypeScript</v>
      </c>
      <c r="I4245" s="9" t="str">
        <f>IFERROR(__xludf.DUMMYFUNCTION("""COMPUTED_VALUE"""),"Bash/Shell/PowerShell")</f>
        <v>Bash/Shell/PowerShell</v>
      </c>
      <c r="J4245" s="9" t="str">
        <f>IFERROR(__xludf.DUMMYFUNCTION("""COMPUTED_VALUE"""),"JavaScript")</f>
        <v>JavaScript</v>
      </c>
      <c r="K4245" s="9" t="str">
        <f>IFERROR(__xludf.DUMMYFUNCTION("""COMPUTED_VALUE"""),"JavaScript")</f>
        <v>JavaScript</v>
      </c>
      <c r="L4245" s="9" t="str">
        <f>IFERROR(__xludf.DUMMYFUNCTION("""COMPUTED_VALUE"""),"JavaScript")</f>
        <v>JavaScript</v>
      </c>
      <c r="M4245" s="9" t="s">
        <v>25</v>
      </c>
    </row>
    <row r="4246" ht="15.75" customHeight="1">
      <c r="A4246" s="7"/>
      <c r="B4246" s="7" t="str">
        <f>IFERROR(__xludf.DUMMYFUNCTION("""COMPUTED_VALUE"""),"Bash/Shell/PowerShell;JavaScript;Python;SQL;TypeScript")</f>
        <v>Bash/Shell/PowerShell;JavaScript;Python;SQL;TypeScript</v>
      </c>
      <c r="C4246" s="9" t="str">
        <f>IFERROR(__xludf.DUMMYFUNCTION("""COMPUTED_VALUE"""),"C++")</f>
        <v>C++</v>
      </c>
      <c r="D4246" s="9" t="str">
        <f>IFERROR(__xludf.DUMMYFUNCTION("""COMPUTED_VALUE"""),"Other(s):")</f>
        <v>Other(s):</v>
      </c>
      <c r="E4246" s="9" t="str">
        <f>IFERROR(__xludf.DUMMYFUNCTION("""COMPUTED_VALUE"""),"Other(s):")</f>
        <v>Other(s):</v>
      </c>
      <c r="F4246" s="9" t="str">
        <f>IFERROR(__xludf.DUMMYFUNCTION("""COMPUTED_VALUE"""),"Bash/Shell/PowerShell")</f>
        <v>Bash/Shell/PowerShell</v>
      </c>
      <c r="G4246" s="9" t="str">
        <f>IFERROR(__xludf.DUMMYFUNCTION("""COMPUTED_VALUE"""),"Java")</f>
        <v>Java</v>
      </c>
      <c r="H4246" s="9" t="str">
        <f>IFERROR(__xludf.DUMMYFUNCTION("""COMPUTED_VALUE"""),"HTML/CSS")</f>
        <v>HTML/CSS</v>
      </c>
      <c r="I4246" s="9" t="str">
        <f>IFERROR(__xludf.DUMMYFUNCTION("""COMPUTED_VALUE"""),"Dart")</f>
        <v>Dart</v>
      </c>
      <c r="J4246" s="9" t="str">
        <f>IFERROR(__xludf.DUMMYFUNCTION("""COMPUTED_VALUE"""),"Objective-C")</f>
        <v>Objective-C</v>
      </c>
      <c r="K4246" s="9" t="str">
        <f>IFERROR(__xludf.DUMMYFUNCTION("""COMPUTED_VALUE"""),"Bash/Shell/PowerShell")</f>
        <v>Bash/Shell/PowerShell</v>
      </c>
      <c r="L4246" s="9" t="str">
        <f>IFERROR(__xludf.DUMMYFUNCTION("""COMPUTED_VALUE"""),"Python")</f>
        <v>Python</v>
      </c>
      <c r="M4246" s="9" t="s">
        <v>23</v>
      </c>
    </row>
    <row r="4247" ht="15.75" customHeight="1">
      <c r="A4247" s="7"/>
      <c r="B4247" s="7" t="str">
        <f>IFERROR(__xludf.DUMMYFUNCTION("""COMPUTED_VALUE"""),"C++;HTML/CSS;Java;JavaScript;PHP;Python;SQL")</f>
        <v>C++;HTML/CSS;Java;JavaScript;PHP;Python;SQL</v>
      </c>
      <c r="C4247" s="9" t="str">
        <f>IFERROR(__xludf.DUMMYFUNCTION("""COMPUTED_VALUE"""),"HTML/CSS")</f>
        <v>HTML/CSS</v>
      </c>
      <c r="D4247" s="9" t="str">
        <f>IFERROR(__xludf.DUMMYFUNCTION("""COMPUTED_VALUE"""),"Bash/Shell/PowerShell")</f>
        <v>Bash/Shell/PowerShell</v>
      </c>
      <c r="E4247" s="9" t="str">
        <f>IFERROR(__xludf.DUMMYFUNCTION("""COMPUTED_VALUE"""),"Dart")</f>
        <v>Dart</v>
      </c>
      <c r="F4247" s="9" t="str">
        <f>IFERROR(__xludf.DUMMYFUNCTION("""COMPUTED_VALUE"""),"HTML/CSS")</f>
        <v>HTML/CSS</v>
      </c>
      <c r="G4247" s="9" t="str">
        <f>IFERROR(__xludf.DUMMYFUNCTION("""COMPUTED_VALUE"""),"Bash/Shell/PowerShell")</f>
        <v>Bash/Shell/PowerShell</v>
      </c>
      <c r="H4247" s="9" t="str">
        <f>IFERROR(__xludf.DUMMYFUNCTION("""COMPUTED_VALUE"""),"Java")</f>
        <v>Java</v>
      </c>
      <c r="I4247" s="9" t="str">
        <f>IFERROR(__xludf.DUMMYFUNCTION("""COMPUTED_VALUE"""),"HTML/CSS")</f>
        <v>HTML/CSS</v>
      </c>
      <c r="J4247" s="9" t="str">
        <f>IFERROR(__xludf.DUMMYFUNCTION("""COMPUTED_VALUE"""),"SQL")</f>
        <v>SQL</v>
      </c>
      <c r="K4247" s="9" t="str">
        <f>IFERROR(__xludf.DUMMYFUNCTION("""COMPUTED_VALUE"""),"C++")</f>
        <v>C++</v>
      </c>
      <c r="L4247" s="9" t="str">
        <f>IFERROR(__xludf.DUMMYFUNCTION("""COMPUTED_VALUE"""),"SQL")</f>
        <v>SQL</v>
      </c>
      <c r="M4247" s="9" t="s">
        <v>24</v>
      </c>
    </row>
    <row r="4248" ht="15.75" customHeight="1">
      <c r="A4248" s="7"/>
      <c r="B4248" s="7" t="str">
        <f>IFERROR(__xludf.DUMMYFUNCTION("""COMPUTED_VALUE"""),"HTML/CSS;JavaScript")</f>
        <v>HTML/CSS;JavaScript</v>
      </c>
      <c r="C4248" s="9" t="str">
        <f>IFERROR(__xludf.DUMMYFUNCTION("""COMPUTED_VALUE"""),"Java")</f>
        <v>Java</v>
      </c>
      <c r="D4248" s="9" t="str">
        <f>IFERROR(__xludf.DUMMYFUNCTION("""COMPUTED_VALUE"""),"C++")</f>
        <v>C++</v>
      </c>
      <c r="E4248" s="9" t="str">
        <f>IFERROR(__xludf.DUMMYFUNCTION("""COMPUTED_VALUE"""),"HTML/CSS")</f>
        <v>HTML/CSS</v>
      </c>
      <c r="F4248" s="9" t="str">
        <f>IFERROR(__xludf.DUMMYFUNCTION("""COMPUTED_VALUE"""),"PHP")</f>
        <v>PHP</v>
      </c>
      <c r="G4248" s="9" t="str">
        <f>IFERROR(__xludf.DUMMYFUNCTION("""COMPUTED_VALUE"""),"C#")</f>
        <v>C#</v>
      </c>
      <c r="H4248" s="9" t="str">
        <f>IFERROR(__xludf.DUMMYFUNCTION("""COMPUTED_VALUE"""),"JavaScript")</f>
        <v>JavaScript</v>
      </c>
      <c r="I4248" s="9" t="str">
        <f>IFERROR(__xludf.DUMMYFUNCTION("""COMPUTED_VALUE"""),"JavaScript")</f>
        <v>JavaScript</v>
      </c>
      <c r="J4248" s="9" t="str">
        <f>IFERROR(__xludf.DUMMYFUNCTION("""COMPUTED_VALUE"""),"Python")</f>
        <v>Python</v>
      </c>
      <c r="K4248" s="9" t="str">
        <f>IFERROR(__xludf.DUMMYFUNCTION("""COMPUTED_VALUE"""),"Python")</f>
        <v>Python</v>
      </c>
      <c r="L4248" s="9" t="str">
        <f>IFERROR(__xludf.DUMMYFUNCTION("""COMPUTED_VALUE"""),"TypeScript")</f>
        <v>TypeScript</v>
      </c>
      <c r="M4248" s="9" t="s">
        <v>20</v>
      </c>
    </row>
    <row r="4249" ht="15.75" customHeight="1">
      <c r="A4249" s="7"/>
      <c r="B4249" s="7" t="str">
        <f>IFERROR(__xludf.DUMMYFUNCTION("""COMPUTED_VALUE"""),"HTML/CSS;Objective-C;Swift")</f>
        <v>HTML/CSS;Objective-C;Swift</v>
      </c>
      <c r="C4249" s="9" t="str">
        <f>IFERROR(__xludf.DUMMYFUNCTION("""COMPUTED_VALUE"""),"JavaScript")</f>
        <v>JavaScript</v>
      </c>
      <c r="D4249" s="9" t="str">
        <f>IFERROR(__xludf.DUMMYFUNCTION("""COMPUTED_VALUE"""),"HTML/CSS")</f>
        <v>HTML/CSS</v>
      </c>
      <c r="E4249" s="9" t="str">
        <f>IFERROR(__xludf.DUMMYFUNCTION("""COMPUTED_VALUE"""),"Java")</f>
        <v>Java</v>
      </c>
      <c r="F4249" s="9" t="str">
        <f>IFERROR(__xludf.DUMMYFUNCTION("""COMPUTED_VALUE"""),"Assembly")</f>
        <v>Assembly</v>
      </c>
      <c r="G4249" s="9" t="str">
        <f>IFERROR(__xludf.DUMMYFUNCTION("""COMPUTED_VALUE"""),"HTML/CSS")</f>
        <v>HTML/CSS</v>
      </c>
      <c r="H4249" s="9" t="str">
        <f>IFERROR(__xludf.DUMMYFUNCTION("""COMPUTED_VALUE"""),"SQL")</f>
        <v>SQL</v>
      </c>
      <c r="I4249" s="9" t="str">
        <f>IFERROR(__xludf.DUMMYFUNCTION("""COMPUTED_VALUE"""),"PHP")</f>
        <v>PHP</v>
      </c>
      <c r="J4249" s="9" t="str">
        <f>IFERROR(__xludf.DUMMYFUNCTION("""COMPUTED_VALUE"""),"Bash/Shell/PowerShell")</f>
        <v>Bash/Shell/PowerShell</v>
      </c>
      <c r="K4249" s="9" t="str">
        <f>IFERROR(__xludf.DUMMYFUNCTION("""COMPUTED_VALUE"""),"Assembly")</f>
        <v>Assembly</v>
      </c>
      <c r="L4249" s="9" t="str">
        <f>IFERROR(__xludf.DUMMYFUNCTION("""COMPUTED_VALUE"""),"WebAssembly")</f>
        <v>WebAssembly</v>
      </c>
      <c r="M4249" s="9" t="s">
        <v>21</v>
      </c>
    </row>
    <row r="4250" ht="15.75" customHeight="1">
      <c r="A4250" s="7"/>
      <c r="B4250" s="7" t="str">
        <f>IFERROR(__xludf.DUMMYFUNCTION("""COMPUTED_VALUE"""),"Java;VBA")</f>
        <v>Java;VBA</v>
      </c>
      <c r="C4250" s="9" t="str">
        <f>IFERROR(__xludf.DUMMYFUNCTION("""COMPUTED_VALUE"""),"PHP")</f>
        <v>PHP</v>
      </c>
      <c r="D4250" s="9" t="str">
        <f>IFERROR(__xludf.DUMMYFUNCTION("""COMPUTED_VALUE"""),"Java")</f>
        <v>Java</v>
      </c>
      <c r="E4250" s="9" t="str">
        <f>IFERROR(__xludf.DUMMYFUNCTION("""COMPUTED_VALUE"""),"Python")</f>
        <v>Python</v>
      </c>
      <c r="F4250" s="9" t="str">
        <f>IFERROR(__xludf.DUMMYFUNCTION("""COMPUTED_VALUE"""),"C")</f>
        <v>C</v>
      </c>
      <c r="G4250" s="9" t="str">
        <f>IFERROR(__xludf.DUMMYFUNCTION("""COMPUTED_VALUE"""),"JavaScript")</f>
        <v>JavaScript</v>
      </c>
      <c r="H4250" s="9" t="str">
        <f>IFERROR(__xludf.DUMMYFUNCTION("""COMPUTED_VALUE"""),"Go")</f>
        <v>Go</v>
      </c>
      <c r="I4250" s="9" t="str">
        <f>IFERROR(__xludf.DUMMYFUNCTION("""COMPUTED_VALUE"""),"SQL")</f>
        <v>SQL</v>
      </c>
      <c r="J4250" s="9" t="str">
        <f>IFERROR(__xludf.DUMMYFUNCTION("""COMPUTED_VALUE"""),"C#")</f>
        <v>C#</v>
      </c>
      <c r="K4250" s="9" t="str">
        <f>IFERROR(__xludf.DUMMYFUNCTION("""COMPUTED_VALUE"""),"C#")</f>
        <v>C#</v>
      </c>
      <c r="L4250" s="9" t="str">
        <f>IFERROR(__xludf.DUMMYFUNCTION("""COMPUTED_VALUE"""),"Bash/Shell/PowerShell")</f>
        <v>Bash/Shell/PowerShell</v>
      </c>
      <c r="M4250" s="9" t="s">
        <v>37</v>
      </c>
    </row>
    <row r="4251" ht="15.75" customHeight="1">
      <c r="A4251" s="7"/>
      <c r="B4251" s="7" t="str">
        <f>IFERROR(__xludf.DUMMYFUNCTION("""COMPUTED_VALUE"""),"Bash/Shell/PowerShell;C;C++;C#;HTML/CSS;Java;JavaScript;Objective-C;PHP;SQL;Other(s):")</f>
        <v>Bash/Shell/PowerShell;C;C++;C#;HTML/CSS;Java;JavaScript;Objective-C;PHP;SQL;Other(s):</v>
      </c>
      <c r="C4251" s="9" t="str">
        <f>IFERROR(__xludf.DUMMYFUNCTION("""COMPUTED_VALUE"""),"Python")</f>
        <v>Python</v>
      </c>
      <c r="D4251" s="9" t="str">
        <f>IFERROR(__xludf.DUMMYFUNCTION("""COMPUTED_VALUE"""),"JavaScript")</f>
        <v>JavaScript</v>
      </c>
      <c r="E4251" s="9" t="str">
        <f>IFERROR(__xludf.DUMMYFUNCTION("""COMPUTED_VALUE"""),"HTML/CSS")</f>
        <v>HTML/CSS</v>
      </c>
      <c r="F4251" s="9" t="str">
        <f>IFERROR(__xludf.DUMMYFUNCTION("""COMPUTED_VALUE"""),"C++")</f>
        <v>C++</v>
      </c>
      <c r="G4251" s="9" t="str">
        <f>IFERROR(__xludf.DUMMYFUNCTION("""COMPUTED_VALUE"""),"PHP")</f>
        <v>PHP</v>
      </c>
      <c r="H4251" s="9" t="str">
        <f>IFERROR(__xludf.DUMMYFUNCTION("""COMPUTED_VALUE"""),"HTML/CSS")</f>
        <v>HTML/CSS</v>
      </c>
      <c r="I4251" s="9" t="str">
        <f>IFERROR(__xludf.DUMMYFUNCTION("""COMPUTED_VALUE"""),"C++")</f>
        <v>C++</v>
      </c>
      <c r="J4251" s="9" t="str">
        <f>IFERROR(__xludf.DUMMYFUNCTION("""COMPUTED_VALUE"""),"HTML/CSS")</f>
        <v>HTML/CSS</v>
      </c>
      <c r="K4251" s="9" t="str">
        <f>IFERROR(__xludf.DUMMYFUNCTION("""COMPUTED_VALUE"""),"Rust")</f>
        <v>Rust</v>
      </c>
      <c r="L4251" s="9" t="str">
        <f>IFERROR(__xludf.DUMMYFUNCTION("""COMPUTED_VALUE"""),"HTML/CSS")</f>
        <v>HTML/CSS</v>
      </c>
      <c r="M4251" s="9" t="s">
        <v>22</v>
      </c>
    </row>
    <row r="4252" ht="15.75" customHeight="1">
      <c r="A4252" s="7"/>
      <c r="B4252" s="7" t="str">
        <f>IFERROR(__xludf.DUMMYFUNCTION("""COMPUTED_VALUE"""),"Bash/Shell/PowerShell;C++;Java;Python;SQL")</f>
        <v>Bash/Shell/PowerShell;C++;Java;Python;SQL</v>
      </c>
      <c r="C4252" s="9" t="str">
        <f>IFERROR(__xludf.DUMMYFUNCTION("""COMPUTED_VALUE"""),"Ruby")</f>
        <v>Ruby</v>
      </c>
      <c r="D4252" s="9" t="str">
        <f>IFERROR(__xludf.DUMMYFUNCTION("""COMPUTED_VALUE"""),"Other(s):")</f>
        <v>Other(s):</v>
      </c>
      <c r="E4252" s="9" t="str">
        <f>IFERROR(__xludf.DUMMYFUNCTION("""COMPUTED_VALUE"""),"Java")</f>
        <v>Java</v>
      </c>
      <c r="F4252" s="9" t="str">
        <f>IFERROR(__xludf.DUMMYFUNCTION("""COMPUTED_VALUE"""),"Java")</f>
        <v>Java</v>
      </c>
      <c r="G4252" s="9" t="str">
        <f>IFERROR(__xludf.DUMMYFUNCTION("""COMPUTED_VALUE"""),"Python")</f>
        <v>Python</v>
      </c>
      <c r="H4252" s="9" t="str">
        <f>IFERROR(__xludf.DUMMYFUNCTION("""COMPUTED_VALUE"""),"Java")</f>
        <v>Java</v>
      </c>
      <c r="I4252" s="9" t="str">
        <f>IFERROR(__xludf.DUMMYFUNCTION("""COMPUTED_VALUE"""),"C#")</f>
        <v>C#</v>
      </c>
      <c r="J4252" s="9" t="str">
        <f>IFERROR(__xludf.DUMMYFUNCTION("""COMPUTED_VALUE"""),"JavaScript")</f>
        <v>JavaScript</v>
      </c>
      <c r="K4252" s="9" t="str">
        <f>IFERROR(__xludf.DUMMYFUNCTION("""COMPUTED_VALUE"""),"C#")</f>
        <v>C#</v>
      </c>
      <c r="L4252" s="9" t="str">
        <f>IFERROR(__xludf.DUMMYFUNCTION("""COMPUTED_VALUE"""),"JavaScript")</f>
        <v>JavaScript</v>
      </c>
      <c r="M4252" s="9" t="s">
        <v>31</v>
      </c>
    </row>
    <row r="4253" ht="15.75" customHeight="1">
      <c r="A4253" s="7"/>
      <c r="B4253" s="7" t="str">
        <f>IFERROR(__xludf.DUMMYFUNCTION("""COMPUTED_VALUE"""),"Java;JavaScript;SQL;TypeScript")</f>
        <v>Java;JavaScript;SQL;TypeScript</v>
      </c>
      <c r="C4253" s="9" t="str">
        <f>IFERROR(__xludf.DUMMYFUNCTION("""COMPUTED_VALUE"""),"SQL")</f>
        <v>SQL</v>
      </c>
      <c r="D4253" s="9" t="str">
        <f>IFERROR(__xludf.DUMMYFUNCTION("""COMPUTED_VALUE"""),"C")</f>
        <v>C</v>
      </c>
      <c r="E4253" s="9" t="str">
        <f>IFERROR(__xludf.DUMMYFUNCTION("""COMPUTED_VALUE"""),"JavaScript")</f>
        <v>JavaScript</v>
      </c>
      <c r="F4253" s="9" t="str">
        <f>IFERROR(__xludf.DUMMYFUNCTION("""COMPUTED_VALUE"""),"Other(s):")</f>
        <v>Other(s):</v>
      </c>
      <c r="G4253" s="9" t="str">
        <f>IFERROR(__xludf.DUMMYFUNCTION("""COMPUTED_VALUE"""),"Ruby")</f>
        <v>Ruby</v>
      </c>
      <c r="H4253" s="9" t="str">
        <f>IFERROR(__xludf.DUMMYFUNCTION("""COMPUTED_VALUE"""),"JavaScript")</f>
        <v>JavaScript</v>
      </c>
      <c r="I4253" s="9" t="str">
        <f>IFERROR(__xludf.DUMMYFUNCTION("""COMPUTED_VALUE"""),"SQL")</f>
        <v>SQL</v>
      </c>
      <c r="J4253" s="9" t="str">
        <f>IFERROR(__xludf.DUMMYFUNCTION("""COMPUTED_VALUE"""),"PHP")</f>
        <v>PHP</v>
      </c>
      <c r="K4253" s="9" t="str">
        <f>IFERROR(__xludf.DUMMYFUNCTION("""COMPUTED_VALUE"""),"Java")</f>
        <v>Java</v>
      </c>
      <c r="L4253" s="9" t="str">
        <f>IFERROR(__xludf.DUMMYFUNCTION("""COMPUTED_VALUE"""),"Bash/Shell/PowerShell")</f>
        <v>Bash/Shell/PowerShell</v>
      </c>
      <c r="M4253" s="9" t="s">
        <v>27</v>
      </c>
    </row>
    <row r="4254" ht="15.75" customHeight="1">
      <c r="A4254" s="7"/>
      <c r="B4254" s="7" t="str">
        <f>IFERROR(__xludf.DUMMYFUNCTION("""COMPUTED_VALUE"""),"Bash/Shell/PowerShell;C++;JavaScript;Kotlin")</f>
        <v>Bash/Shell/PowerShell;C++;JavaScript;Kotlin</v>
      </c>
      <c r="C4254" s="9" t="str">
        <f>IFERROR(__xludf.DUMMYFUNCTION("""COMPUTED_VALUE"""),"Bash/Shell/PowerShell")</f>
        <v>Bash/Shell/PowerShell</v>
      </c>
      <c r="D4254" s="9" t="str">
        <f>IFERROR(__xludf.DUMMYFUNCTION("""COMPUTED_VALUE"""),"C++")</f>
        <v>C++</v>
      </c>
      <c r="E4254" s="9" t="str">
        <f>IFERROR(__xludf.DUMMYFUNCTION("""COMPUTED_VALUE"""),"PHP")</f>
        <v>PHP</v>
      </c>
      <c r="F4254" s="9" t="str">
        <f>IFERROR(__xludf.DUMMYFUNCTION("""COMPUTED_VALUE"""),"Assembly")</f>
        <v>Assembly</v>
      </c>
      <c r="G4254" s="9" t="str">
        <f>IFERROR(__xludf.DUMMYFUNCTION("""COMPUTED_VALUE"""),"SQL")</f>
        <v>SQL</v>
      </c>
      <c r="H4254" s="9" t="str">
        <f>IFERROR(__xludf.DUMMYFUNCTION("""COMPUTED_VALUE"""),"SQL")</f>
        <v>SQL</v>
      </c>
      <c r="I4254" s="9" t="str">
        <f>IFERROR(__xludf.DUMMYFUNCTION("""COMPUTED_VALUE"""),"VBA")</f>
        <v>VBA</v>
      </c>
      <c r="J4254" s="9" t="str">
        <f>IFERROR(__xludf.DUMMYFUNCTION("""COMPUTED_VALUE"""),"Python")</f>
        <v>Python</v>
      </c>
      <c r="K4254" s="9" t="str">
        <f>IFERROR(__xludf.DUMMYFUNCTION("""COMPUTED_VALUE"""),"C#")</f>
        <v>C#</v>
      </c>
      <c r="L4254" s="9" t="str">
        <f>IFERROR(__xludf.DUMMYFUNCTION("""COMPUTED_VALUE"""),"HTML/CSS")</f>
        <v>HTML/CSS</v>
      </c>
      <c r="M4254" s="9" t="s">
        <v>30</v>
      </c>
    </row>
    <row r="4255" ht="15.75" customHeight="1">
      <c r="A4255" s="7"/>
      <c r="B4255" s="7" t="str">
        <f>IFERROR(__xludf.DUMMYFUNCTION("""COMPUTED_VALUE"""),"Bash/Shell/PowerShell;HTML/CSS;Java;JavaScript;Kotlin;PHP;Python;SQL;WebAssembly")</f>
        <v>Bash/Shell/PowerShell;HTML/CSS;Java;JavaScript;Kotlin;PHP;Python;SQL;WebAssembly</v>
      </c>
      <c r="C4255" s="9" t="str">
        <f>IFERROR(__xludf.DUMMYFUNCTION("""COMPUTED_VALUE"""),"C")</f>
        <v>C</v>
      </c>
      <c r="D4255" s="9" t="str">
        <f>IFERROR(__xludf.DUMMYFUNCTION("""COMPUTED_VALUE"""),"C#")</f>
        <v>C#</v>
      </c>
      <c r="E4255" s="9" t="str">
        <f>IFERROR(__xludf.DUMMYFUNCTION("""COMPUTED_VALUE"""),"SQL")</f>
        <v>SQL</v>
      </c>
      <c r="F4255" s="9" t="str">
        <f>IFERROR(__xludf.DUMMYFUNCTION("""COMPUTED_VALUE"""),"Bash/Shell/PowerShell")</f>
        <v>Bash/Shell/PowerShell</v>
      </c>
      <c r="G4255" s="9" t="str">
        <f>IFERROR(__xludf.DUMMYFUNCTION("""COMPUTED_VALUE"""),"Assembly")</f>
        <v>Assembly</v>
      </c>
      <c r="H4255" s="9" t="str">
        <f>IFERROR(__xludf.DUMMYFUNCTION("""COMPUTED_VALUE"""),"TypeScript")</f>
        <v>TypeScript</v>
      </c>
      <c r="I4255" s="9" t="str">
        <f>IFERROR(__xludf.DUMMYFUNCTION("""COMPUTED_VALUE"""),"Bash/Shell/PowerShell")</f>
        <v>Bash/Shell/PowerShell</v>
      </c>
      <c r="J4255" s="9" t="str">
        <f>IFERROR(__xludf.DUMMYFUNCTION("""COMPUTED_VALUE"""),"SQL")</f>
        <v>SQL</v>
      </c>
      <c r="K4255" s="9" t="str">
        <f>IFERROR(__xludf.DUMMYFUNCTION("""COMPUTED_VALUE"""),"HTML/CSS")</f>
        <v>HTML/CSS</v>
      </c>
      <c r="L4255" s="9" t="str">
        <f>IFERROR(__xludf.DUMMYFUNCTION("""COMPUTED_VALUE"""),"Java")</f>
        <v>Java</v>
      </c>
      <c r="M4255" s="9" t="s">
        <v>25</v>
      </c>
    </row>
    <row r="4256" ht="15.75" customHeight="1">
      <c r="A4256" s="7"/>
      <c r="B4256" s="7" t="str">
        <f>IFERROR(__xludf.DUMMYFUNCTION("""COMPUTED_VALUE"""),"Bash/Shell/PowerShell;HTML/CSS;Java;JavaScript;SQL;Other(s):")</f>
        <v>Bash/Shell/PowerShell;HTML/CSS;Java;JavaScript;SQL;Other(s):</v>
      </c>
      <c r="C4256" s="9" t="str">
        <f>IFERROR(__xludf.DUMMYFUNCTION("""COMPUTED_VALUE"""),"HTML/CSS")</f>
        <v>HTML/CSS</v>
      </c>
      <c r="D4256" s="9" t="str">
        <f>IFERROR(__xludf.DUMMYFUNCTION("""COMPUTED_VALUE"""),"HTML/CSS")</f>
        <v>HTML/CSS</v>
      </c>
      <c r="E4256" s="9" t="str">
        <f>IFERROR(__xludf.DUMMYFUNCTION("""COMPUTED_VALUE"""),"HTML/CSS")</f>
        <v>HTML/CSS</v>
      </c>
      <c r="F4256" s="9" t="str">
        <f>IFERROR(__xludf.DUMMYFUNCTION("""COMPUTED_VALUE"""),"C")</f>
        <v>C</v>
      </c>
      <c r="G4256" s="9" t="str">
        <f>IFERROR(__xludf.DUMMYFUNCTION("""COMPUTED_VALUE"""),"Bash/Shell/PowerShell")</f>
        <v>Bash/Shell/PowerShell</v>
      </c>
      <c r="H4256" s="9" t="str">
        <f>IFERROR(__xludf.DUMMYFUNCTION("""COMPUTED_VALUE"""),"Elixir")</f>
        <v>Elixir</v>
      </c>
      <c r="I4256" s="9" t="str">
        <f>IFERROR(__xludf.DUMMYFUNCTION("""COMPUTED_VALUE"""),"C")</f>
        <v>C</v>
      </c>
      <c r="J4256" s="9" t="str">
        <f>IFERROR(__xludf.DUMMYFUNCTION("""COMPUTED_VALUE"""),"TypeScript")</f>
        <v>TypeScript</v>
      </c>
      <c r="K4256" s="9" t="str">
        <f>IFERROR(__xludf.DUMMYFUNCTION("""COMPUTED_VALUE"""),"JavaScript")</f>
        <v>JavaScript</v>
      </c>
      <c r="L4256" s="9" t="str">
        <f>IFERROR(__xludf.DUMMYFUNCTION("""COMPUTED_VALUE"""),"Python")</f>
        <v>Python</v>
      </c>
      <c r="M4256" s="9" t="s">
        <v>24</v>
      </c>
    </row>
    <row r="4257" ht="15.75" customHeight="1">
      <c r="A4257" s="7"/>
      <c r="B4257" s="7" t="str">
        <f>IFERROR(__xludf.DUMMYFUNCTION("""COMPUTED_VALUE"""),"C;C++;HTML/CSS;JavaScript;Python;WebAssembly")</f>
        <v>C;C++;HTML/CSS;JavaScript;Python;WebAssembly</v>
      </c>
      <c r="C4257" s="9" t="str">
        <f>IFERROR(__xludf.DUMMYFUNCTION("""COMPUTED_VALUE"""),"JavaScript")</f>
        <v>JavaScript</v>
      </c>
      <c r="D4257" s="9" t="str">
        <f>IFERROR(__xludf.DUMMYFUNCTION("""COMPUTED_VALUE"""),"Objective-C")</f>
        <v>Objective-C</v>
      </c>
      <c r="E4257" s="9" t="str">
        <f>IFERROR(__xludf.DUMMYFUNCTION("""COMPUTED_VALUE"""),"Java")</f>
        <v>Java</v>
      </c>
      <c r="F4257" s="9" t="str">
        <f>IFERROR(__xludf.DUMMYFUNCTION("""COMPUTED_VALUE"""),"C++")</f>
        <v>C++</v>
      </c>
      <c r="G4257" s="9" t="str">
        <f>IFERROR(__xludf.DUMMYFUNCTION("""COMPUTED_VALUE"""),"C#")</f>
        <v>C#</v>
      </c>
      <c r="H4257" s="9" t="str">
        <f>IFERROR(__xludf.DUMMYFUNCTION("""COMPUTED_VALUE"""),"HTML/CSS")</f>
        <v>HTML/CSS</v>
      </c>
      <c r="I4257" s="9" t="str">
        <f>IFERROR(__xludf.DUMMYFUNCTION("""COMPUTED_VALUE"""),"C#")</f>
        <v>C#</v>
      </c>
      <c r="J4257" s="9" t="str">
        <f>IFERROR(__xludf.DUMMYFUNCTION("""COMPUTED_VALUE"""),"Bash/Shell/PowerShell")</f>
        <v>Bash/Shell/PowerShell</v>
      </c>
      <c r="K4257" s="9" t="str">
        <f>IFERROR(__xludf.DUMMYFUNCTION("""COMPUTED_VALUE"""),"SQL")</f>
        <v>SQL</v>
      </c>
      <c r="L4257" s="9" t="str">
        <f>IFERROR(__xludf.DUMMYFUNCTION("""COMPUTED_VALUE"""),"R")</f>
        <v>R</v>
      </c>
      <c r="M4257" s="9" t="s">
        <v>21</v>
      </c>
    </row>
    <row r="4258" ht="15.75" customHeight="1">
      <c r="A4258" s="7"/>
      <c r="B4258" s="7" t="str">
        <f>IFERROR(__xludf.DUMMYFUNCTION("""COMPUTED_VALUE"""),"HTML/CSS;JavaScript;PHP;SQL;VBA")</f>
        <v>HTML/CSS;JavaScript;PHP;SQL;VBA</v>
      </c>
      <c r="C4258" s="9" t="str">
        <f>IFERROR(__xludf.DUMMYFUNCTION("""COMPUTED_VALUE"""),"Python")</f>
        <v>Python</v>
      </c>
      <c r="D4258" s="9" t="str">
        <f>IFERROR(__xludf.DUMMYFUNCTION("""COMPUTED_VALUE"""),"Python")</f>
        <v>Python</v>
      </c>
      <c r="E4258" s="9" t="str">
        <f>IFERROR(__xludf.DUMMYFUNCTION("""COMPUTED_VALUE"""),"JavaScript")</f>
        <v>JavaScript</v>
      </c>
      <c r="F4258" s="9" t="str">
        <f>IFERROR(__xludf.DUMMYFUNCTION("""COMPUTED_VALUE"""),"C#")</f>
        <v>C#</v>
      </c>
      <c r="G4258" s="9" t="str">
        <f>IFERROR(__xludf.DUMMYFUNCTION("""COMPUTED_VALUE"""),"HTML/CSS")</f>
        <v>HTML/CSS</v>
      </c>
      <c r="H4258" s="9" t="str">
        <f>IFERROR(__xludf.DUMMYFUNCTION("""COMPUTED_VALUE"""),"JavaScript")</f>
        <v>JavaScript</v>
      </c>
      <c r="I4258" s="9" t="str">
        <f>IFERROR(__xludf.DUMMYFUNCTION("""COMPUTED_VALUE"""),"HTML/CSS")</f>
        <v>HTML/CSS</v>
      </c>
      <c r="J4258" s="9" t="str">
        <f>IFERROR(__xludf.DUMMYFUNCTION("""COMPUTED_VALUE"""),"C++")</f>
        <v>C++</v>
      </c>
      <c r="K4258" s="9" t="str">
        <f>IFERROR(__xludf.DUMMYFUNCTION("""COMPUTED_VALUE"""),"Assembly")</f>
        <v>Assembly</v>
      </c>
      <c r="L4258" s="9" t="str">
        <f>IFERROR(__xludf.DUMMYFUNCTION("""COMPUTED_VALUE"""),"SQL")</f>
        <v>SQL</v>
      </c>
      <c r="M4258" s="9" t="s">
        <v>22</v>
      </c>
    </row>
    <row r="4259" ht="15.75" customHeight="1">
      <c r="A4259" s="7"/>
      <c r="B4259" s="7" t="str">
        <f>IFERROR(__xludf.DUMMYFUNCTION("""COMPUTED_VALUE"""),"C++;C#;HTML/CSS;JavaScript;TypeScript")</f>
        <v>C++;C#;HTML/CSS;JavaScript;TypeScript</v>
      </c>
      <c r="C4259" s="9" t="str">
        <f>IFERROR(__xludf.DUMMYFUNCTION("""COMPUTED_VALUE"""),"Ruby")</f>
        <v>Ruby</v>
      </c>
      <c r="D4259" s="9" t="str">
        <f>IFERROR(__xludf.DUMMYFUNCTION("""COMPUTED_VALUE"""),"SQL")</f>
        <v>SQL</v>
      </c>
      <c r="E4259" s="9" t="str">
        <f>IFERROR(__xludf.DUMMYFUNCTION("""COMPUTED_VALUE"""),"Kotlin")</f>
        <v>Kotlin</v>
      </c>
      <c r="F4259" s="9" t="str">
        <f>IFERROR(__xludf.DUMMYFUNCTION("""COMPUTED_VALUE"""),"Elixir")</f>
        <v>Elixir</v>
      </c>
      <c r="G4259" s="9" t="str">
        <f>IFERROR(__xludf.DUMMYFUNCTION("""COMPUTED_VALUE"""),"Java")</f>
        <v>Java</v>
      </c>
      <c r="H4259" s="9" t="str">
        <f>IFERROR(__xludf.DUMMYFUNCTION("""COMPUTED_VALUE"""),"SQL")</f>
        <v>SQL</v>
      </c>
      <c r="I4259" s="9" t="str">
        <f>IFERROR(__xludf.DUMMYFUNCTION("""COMPUTED_VALUE"""),"Java")</f>
        <v>Java</v>
      </c>
      <c r="J4259" s="9" t="str">
        <f>IFERROR(__xludf.DUMMYFUNCTION("""COMPUTED_VALUE"""),"HTML/CSS")</f>
        <v>HTML/CSS</v>
      </c>
      <c r="K4259" s="9" t="str">
        <f>IFERROR(__xludf.DUMMYFUNCTION("""COMPUTED_VALUE"""),"C")</f>
        <v>C</v>
      </c>
      <c r="L4259" s="9" t="str">
        <f>IFERROR(__xludf.DUMMYFUNCTION("""COMPUTED_VALUE"""),"C#")</f>
        <v>C#</v>
      </c>
      <c r="M4259" s="9" t="s">
        <v>31</v>
      </c>
    </row>
    <row r="4260" ht="15.75" customHeight="1">
      <c r="A4260" s="7"/>
      <c r="B4260" s="7" t="str">
        <f>IFERROR(__xludf.DUMMYFUNCTION("""COMPUTED_VALUE"""),"Assembly;C;C++;C#;Dart;HTML/CSS;Java;JavaScript;Objective-C;PHP;Python;R;SQL;TypeScript")</f>
        <v>Assembly;C;C++;C#;Dart;HTML/CSS;Java;JavaScript;Objective-C;PHP;Python;R;SQL;TypeScript</v>
      </c>
      <c r="C4260" s="9" t="str">
        <f>IFERROR(__xludf.DUMMYFUNCTION("""COMPUTED_VALUE"""),"SQL")</f>
        <v>SQL</v>
      </c>
      <c r="D4260" s="9" t="str">
        <f>IFERROR(__xludf.DUMMYFUNCTION("""COMPUTED_VALUE"""),"TypeScript")</f>
        <v>TypeScript</v>
      </c>
      <c r="E4260" s="9" t="str">
        <f>IFERROR(__xludf.DUMMYFUNCTION("""COMPUTED_VALUE"""),"C")</f>
        <v>C</v>
      </c>
      <c r="F4260" s="9" t="str">
        <f>IFERROR(__xludf.DUMMYFUNCTION("""COMPUTED_VALUE"""),"Erlang")</f>
        <v>Erlang</v>
      </c>
      <c r="G4260" s="9" t="str">
        <f>IFERROR(__xludf.DUMMYFUNCTION("""COMPUTED_VALUE"""),"JavaScript")</f>
        <v>JavaScript</v>
      </c>
      <c r="H4260" s="9" t="str">
        <f>IFERROR(__xludf.DUMMYFUNCTION("""COMPUTED_VALUE"""),"TypeScript")</f>
        <v>TypeScript</v>
      </c>
      <c r="I4260" s="9" t="str">
        <f>IFERROR(__xludf.DUMMYFUNCTION("""COMPUTED_VALUE"""),"JavaScript")</f>
        <v>JavaScript</v>
      </c>
      <c r="J4260" s="9" t="str">
        <f>IFERROR(__xludf.DUMMYFUNCTION("""COMPUTED_VALUE"""),"Java")</f>
        <v>Java</v>
      </c>
      <c r="K4260" s="9" t="str">
        <f>IFERROR(__xludf.DUMMYFUNCTION("""COMPUTED_VALUE"""),"C++")</f>
        <v>C++</v>
      </c>
      <c r="L4260" s="9" t="str">
        <f>IFERROR(__xludf.DUMMYFUNCTION("""COMPUTED_VALUE"""),"HTML/CSS")</f>
        <v>HTML/CSS</v>
      </c>
      <c r="M4260" s="9" t="s">
        <v>27</v>
      </c>
    </row>
    <row r="4261" ht="15.75" customHeight="1">
      <c r="A4261" s="7"/>
      <c r="B4261" s="7" t="str">
        <f>IFERROR(__xludf.DUMMYFUNCTION("""COMPUTED_VALUE"""),"Bash/Shell/PowerShell;C++;Go;HTML/CSS;Java;JavaScript;Objective-C;Python;SQL")</f>
        <v>Bash/Shell/PowerShell;C++;Go;HTML/CSS;Java;JavaScript;Objective-C;Python;SQL</v>
      </c>
      <c r="C4261" s="9" t="str">
        <f>IFERROR(__xludf.DUMMYFUNCTION("""COMPUTED_VALUE"""),"TypeScript")</f>
        <v>TypeScript</v>
      </c>
      <c r="D4261" s="9" t="str">
        <f>IFERROR(__xludf.DUMMYFUNCTION("""COMPUTED_VALUE"""),"C")</f>
        <v>C</v>
      </c>
      <c r="E4261" s="9" t="str">
        <f>IFERROR(__xludf.DUMMYFUNCTION("""COMPUTED_VALUE"""),"C++")</f>
        <v>C++</v>
      </c>
      <c r="F4261" s="9" t="str">
        <f>IFERROR(__xludf.DUMMYFUNCTION("""COMPUTED_VALUE"""),"Go")</f>
        <v>Go</v>
      </c>
      <c r="G4261" s="9" t="str">
        <f>IFERROR(__xludf.DUMMYFUNCTION("""COMPUTED_VALUE"""),"PHP")</f>
        <v>PHP</v>
      </c>
      <c r="H4261" s="9" t="str">
        <f>IFERROR(__xludf.DUMMYFUNCTION("""COMPUTED_VALUE"""),"Other(s):")</f>
        <v>Other(s):</v>
      </c>
      <c r="I4261" s="9" t="str">
        <f>IFERROR(__xludf.DUMMYFUNCTION("""COMPUTED_VALUE"""),"PHP")</f>
        <v>PHP</v>
      </c>
      <c r="J4261" s="9" t="str">
        <f>IFERROR(__xludf.DUMMYFUNCTION("""COMPUTED_VALUE"""),"JavaScript")</f>
        <v>JavaScript</v>
      </c>
      <c r="K4261" s="9" t="str">
        <f>IFERROR(__xludf.DUMMYFUNCTION("""COMPUTED_VALUE"""),"JavaScript")</f>
        <v>JavaScript</v>
      </c>
      <c r="L4261" s="9" t="str">
        <f>IFERROR(__xludf.DUMMYFUNCTION("""COMPUTED_VALUE"""),"JavaScript")</f>
        <v>JavaScript</v>
      </c>
      <c r="M4261" s="9" t="s">
        <v>33</v>
      </c>
    </row>
    <row r="4262" ht="15.75" customHeight="1">
      <c r="A4262" s="7"/>
      <c r="B4262" s="7" t="str">
        <f>IFERROR(__xludf.DUMMYFUNCTION("""COMPUTED_VALUE"""),"Java;JavaScript;PHP")</f>
        <v>Java;JavaScript;PHP</v>
      </c>
      <c r="C4262" s="9" t="str">
        <f>IFERROR(__xludf.DUMMYFUNCTION("""COMPUTED_VALUE"""),"C++")</f>
        <v>C++</v>
      </c>
      <c r="D4262" s="9" t="str">
        <f>IFERROR(__xludf.DUMMYFUNCTION("""COMPUTED_VALUE"""),"C#")</f>
        <v>C#</v>
      </c>
      <c r="E4262" s="9" t="str">
        <f>IFERROR(__xludf.DUMMYFUNCTION("""COMPUTED_VALUE"""),"Objective-C")</f>
        <v>Objective-C</v>
      </c>
      <c r="F4262" s="9" t="str">
        <f>IFERROR(__xludf.DUMMYFUNCTION("""COMPUTED_VALUE"""),"HTML/CSS")</f>
        <v>HTML/CSS</v>
      </c>
      <c r="G4262" s="9" t="str">
        <f>IFERROR(__xludf.DUMMYFUNCTION("""COMPUTED_VALUE"""),"Python")</f>
        <v>Python</v>
      </c>
      <c r="H4262" s="9" t="str">
        <f>IFERROR(__xludf.DUMMYFUNCTION("""COMPUTED_VALUE"""),"Bash/Shell/PowerShell")</f>
        <v>Bash/Shell/PowerShell</v>
      </c>
      <c r="I4262" s="9" t="str">
        <f>IFERROR(__xludf.DUMMYFUNCTION("""COMPUTED_VALUE"""),"Python")</f>
        <v>Python</v>
      </c>
      <c r="J4262" s="9" t="str">
        <f>IFERROR(__xludf.DUMMYFUNCTION("""COMPUTED_VALUE"""),"Python")</f>
        <v>Python</v>
      </c>
      <c r="K4262" s="9" t="str">
        <f>IFERROR(__xludf.DUMMYFUNCTION("""COMPUTED_VALUE"""),"Python")</f>
        <v>Python</v>
      </c>
      <c r="L4262" s="9" t="str">
        <f>IFERROR(__xludf.DUMMYFUNCTION("""COMPUTED_VALUE"""),"SQL")</f>
        <v>SQL</v>
      </c>
      <c r="M4262" s="9" t="s">
        <v>23</v>
      </c>
    </row>
    <row r="4263" ht="15.75" customHeight="1">
      <c r="A4263" s="7"/>
      <c r="B4263" s="7" t="str">
        <f>IFERROR(__xludf.DUMMYFUNCTION("""COMPUTED_VALUE"""),"Bash/Shell/PowerShell;JavaScript;Ruby;SQL;TypeScript;VBA")</f>
        <v>Bash/Shell/PowerShell;JavaScript;Ruby;SQL;TypeScript;VBA</v>
      </c>
      <c r="C4263" s="9" t="str">
        <f>IFERROR(__xludf.DUMMYFUNCTION("""COMPUTED_VALUE"""),"C#")</f>
        <v>C#</v>
      </c>
      <c r="D4263" s="9" t="str">
        <f>IFERROR(__xludf.DUMMYFUNCTION("""COMPUTED_VALUE"""),"Java")</f>
        <v>Java</v>
      </c>
      <c r="E4263" s="9" t="str">
        <f>IFERROR(__xludf.DUMMYFUNCTION("""COMPUTED_VALUE"""),"SQL")</f>
        <v>SQL</v>
      </c>
      <c r="F4263" s="9" t="str">
        <f>IFERROR(__xludf.DUMMYFUNCTION("""COMPUTED_VALUE"""),"Java")</f>
        <v>Java</v>
      </c>
      <c r="G4263" s="9" t="str">
        <f>IFERROR(__xludf.DUMMYFUNCTION("""COMPUTED_VALUE"""),"SQL")</f>
        <v>SQL</v>
      </c>
      <c r="H4263" s="9" t="str">
        <f>IFERROR(__xludf.DUMMYFUNCTION("""COMPUTED_VALUE"""),"C")</f>
        <v>C</v>
      </c>
      <c r="I4263" s="9" t="str">
        <f>IFERROR(__xludf.DUMMYFUNCTION("""COMPUTED_VALUE"""),"SQL")</f>
        <v>SQL</v>
      </c>
      <c r="J4263" s="9" t="str">
        <f>IFERROR(__xludf.DUMMYFUNCTION("""COMPUTED_VALUE"""),"SQL")</f>
        <v>SQL</v>
      </c>
      <c r="K4263" s="9" t="str">
        <f>IFERROR(__xludf.DUMMYFUNCTION("""COMPUTED_VALUE"""),"Ruby")</f>
        <v>Ruby</v>
      </c>
      <c r="L4263" s="9" t="str">
        <f>IFERROR(__xludf.DUMMYFUNCTION("""COMPUTED_VALUE"""),"TypeScript")</f>
        <v>TypeScript</v>
      </c>
      <c r="M4263" s="9" t="s">
        <v>26</v>
      </c>
    </row>
    <row r="4264" ht="15.75" customHeight="1">
      <c r="A4264" s="7"/>
      <c r="B4264" s="7" t="str">
        <f>IFERROR(__xludf.DUMMYFUNCTION("""COMPUTED_VALUE"""),"Bash/Shell/PowerShell;C#;HTML/CSS;JavaScript;SQL;TypeScript")</f>
        <v>Bash/Shell/PowerShell;C#;HTML/CSS;JavaScript;SQL;TypeScript</v>
      </c>
      <c r="C4264" s="9" t="str">
        <f>IFERROR(__xludf.DUMMYFUNCTION("""COMPUTED_VALUE"""),"Bash/Shell/PowerShell")</f>
        <v>Bash/Shell/PowerShell</v>
      </c>
      <c r="D4264" s="9" t="str">
        <f>IFERROR(__xludf.DUMMYFUNCTION("""COMPUTED_VALUE"""),"Python")</f>
        <v>Python</v>
      </c>
      <c r="E4264" s="9" t="str">
        <f>IFERROR(__xludf.DUMMYFUNCTION("""COMPUTED_VALUE"""),"Swift")</f>
        <v>Swift</v>
      </c>
      <c r="F4264" s="9" t="str">
        <f>IFERROR(__xludf.DUMMYFUNCTION("""COMPUTED_VALUE"""),"JavaScript")</f>
        <v>JavaScript</v>
      </c>
      <c r="G4264" s="9" t="str">
        <f>IFERROR(__xludf.DUMMYFUNCTION("""COMPUTED_VALUE"""),"C#")</f>
        <v>C#</v>
      </c>
      <c r="H4264" s="9" t="str">
        <f>IFERROR(__xludf.DUMMYFUNCTION("""COMPUTED_VALUE"""),"C++")</f>
        <v>C++</v>
      </c>
      <c r="I4264" s="9" t="str">
        <f>IFERROR(__xludf.DUMMYFUNCTION("""COMPUTED_VALUE"""),"Bash/Shell/PowerShell")</f>
        <v>Bash/Shell/PowerShell</v>
      </c>
      <c r="J4264" s="9" t="str">
        <f>IFERROR(__xludf.DUMMYFUNCTION("""COMPUTED_VALUE"""),"TypeScript")</f>
        <v>TypeScript</v>
      </c>
      <c r="K4264" s="9" t="str">
        <f>IFERROR(__xludf.DUMMYFUNCTION("""COMPUTED_VALUE"""),"Rust")</f>
        <v>Rust</v>
      </c>
      <c r="L4264" s="9" t="str">
        <f>IFERROR(__xludf.DUMMYFUNCTION("""COMPUTED_VALUE"""),"Bash/Shell/PowerShell")</f>
        <v>Bash/Shell/PowerShell</v>
      </c>
      <c r="M4264" s="9" t="s">
        <v>30</v>
      </c>
    </row>
    <row r="4265" ht="15.75" customHeight="1">
      <c r="A4265" s="7"/>
      <c r="B4265" s="7" t="str">
        <f>IFERROR(__xludf.DUMMYFUNCTION("""COMPUTED_VALUE"""),"Bash/Shell/PowerShell;C++;C#;HTML/CSS;JavaScript;Objective-C;PHP;Python;Ruby;SQL;TypeScript")</f>
        <v>Bash/Shell/PowerShell;C++;C#;HTML/CSS;JavaScript;Objective-C;PHP;Python;Ruby;SQL;TypeScript</v>
      </c>
      <c r="C4265" s="9" t="str">
        <f>IFERROR(__xludf.DUMMYFUNCTION("""COMPUTED_VALUE"""),"Go")</f>
        <v>Go</v>
      </c>
      <c r="D4265" s="9" t="str">
        <f>IFERROR(__xludf.DUMMYFUNCTION("""COMPUTED_VALUE"""),"SQL")</f>
        <v>SQL</v>
      </c>
      <c r="E4265" s="9" t="str">
        <f>IFERROR(__xludf.DUMMYFUNCTION("""COMPUTED_VALUE"""),"HTML/CSS")</f>
        <v>HTML/CSS</v>
      </c>
      <c r="F4265" s="9" t="str">
        <f>IFERROR(__xludf.DUMMYFUNCTION("""COMPUTED_VALUE"""),"Python")</f>
        <v>Python</v>
      </c>
      <c r="G4265" s="9" t="str">
        <f>IFERROR(__xludf.DUMMYFUNCTION("""COMPUTED_VALUE"""),"HTML/CSS")</f>
        <v>HTML/CSS</v>
      </c>
      <c r="H4265" s="9" t="str">
        <f>IFERROR(__xludf.DUMMYFUNCTION("""COMPUTED_VALUE"""),"C#")</f>
        <v>C#</v>
      </c>
      <c r="I4265" s="9" t="str">
        <f>IFERROR(__xludf.DUMMYFUNCTION("""COMPUTED_VALUE"""),"C")</f>
        <v>C</v>
      </c>
      <c r="J4265" s="9" t="str">
        <f>IFERROR(__xludf.DUMMYFUNCTION("""COMPUTED_VALUE"""),"Java")</f>
        <v>Java</v>
      </c>
      <c r="K4265" s="9" t="str">
        <f>IFERROR(__xludf.DUMMYFUNCTION("""COMPUTED_VALUE"""),"Bash/Shell/PowerShell")</f>
        <v>Bash/Shell/PowerShell</v>
      </c>
      <c r="L4265" s="9" t="str">
        <f>IFERROR(__xludf.DUMMYFUNCTION("""COMPUTED_VALUE"""),"Go")</f>
        <v>Go</v>
      </c>
      <c r="M4265" s="9" t="s">
        <v>36</v>
      </c>
    </row>
    <row r="4266" ht="15.75" customHeight="1">
      <c r="A4266" s="7"/>
      <c r="B4266" s="7" t="str">
        <f>IFERROR(__xludf.DUMMYFUNCTION("""COMPUTED_VALUE"""),"Bash/Shell/PowerShell;Java;JavaScript;SQL;Swift")</f>
        <v>Bash/Shell/PowerShell;Java;JavaScript;SQL;Swift</v>
      </c>
      <c r="C4266" s="9" t="str">
        <f>IFERROR(__xludf.DUMMYFUNCTION("""COMPUTED_VALUE"""),"JavaScript")</f>
        <v>JavaScript</v>
      </c>
      <c r="D4266" s="9" t="str">
        <f>IFERROR(__xludf.DUMMYFUNCTION("""COMPUTED_VALUE"""),"Swift")</f>
        <v>Swift</v>
      </c>
      <c r="E4266" s="9" t="str">
        <f>IFERROR(__xludf.DUMMYFUNCTION("""COMPUTED_VALUE"""),"JavaScript")</f>
        <v>JavaScript</v>
      </c>
      <c r="F4266" s="9" t="str">
        <f>IFERROR(__xludf.DUMMYFUNCTION("""COMPUTED_VALUE"""),"SQL")</f>
        <v>SQL</v>
      </c>
      <c r="G4266" s="9" t="str">
        <f>IFERROR(__xludf.DUMMYFUNCTION("""COMPUTED_VALUE"""),"JavaScript")</f>
        <v>JavaScript</v>
      </c>
      <c r="H4266" s="9" t="str">
        <f>IFERROR(__xludf.DUMMYFUNCTION("""COMPUTED_VALUE"""),"HTML/CSS")</f>
        <v>HTML/CSS</v>
      </c>
      <c r="I4266" s="9" t="str">
        <f>IFERROR(__xludf.DUMMYFUNCTION("""COMPUTED_VALUE"""),"C++")</f>
        <v>C++</v>
      </c>
      <c r="J4266" s="9" t="str">
        <f>IFERROR(__xludf.DUMMYFUNCTION("""COMPUTED_VALUE"""),"Kotlin")</f>
        <v>Kotlin</v>
      </c>
      <c r="K4266" s="9" t="str">
        <f>IFERROR(__xludf.DUMMYFUNCTION("""COMPUTED_VALUE"""),"C")</f>
        <v>C</v>
      </c>
      <c r="L4266" s="9" t="str">
        <f>IFERROR(__xludf.DUMMYFUNCTION("""COMPUTED_VALUE"""),"HTML/CSS")</f>
        <v>HTML/CSS</v>
      </c>
      <c r="M4266" s="9" t="s">
        <v>21</v>
      </c>
    </row>
    <row r="4267" ht="15.75" customHeight="1">
      <c r="A4267" s="7"/>
      <c r="B4267" s="7" t="str">
        <f>IFERROR(__xludf.DUMMYFUNCTION("""COMPUTED_VALUE"""),"Go;HTML/CSS;JavaScript;Python;SQL")</f>
        <v>Go;HTML/CSS;JavaScript;Python;SQL</v>
      </c>
      <c r="C4267" s="9" t="str">
        <f>IFERROR(__xludf.DUMMYFUNCTION("""COMPUTED_VALUE"""),"Python")</f>
        <v>Python</v>
      </c>
      <c r="D4267" s="9" t="str">
        <f>IFERROR(__xludf.DUMMYFUNCTION("""COMPUTED_VALUE"""),"HTML/CSS")</f>
        <v>HTML/CSS</v>
      </c>
      <c r="E4267" s="9" t="str">
        <f>IFERROR(__xludf.DUMMYFUNCTION("""COMPUTED_VALUE"""),"PHP")</f>
        <v>PHP</v>
      </c>
      <c r="F4267" s="9" t="str">
        <f>IFERROR(__xludf.DUMMYFUNCTION("""COMPUTED_VALUE"""),"Bash/Shell/PowerShell")</f>
        <v>Bash/Shell/PowerShell</v>
      </c>
      <c r="G4267" s="9" t="str">
        <f>IFERROR(__xludf.DUMMYFUNCTION("""COMPUTED_VALUE"""),"SQL")</f>
        <v>SQL</v>
      </c>
      <c r="H4267" s="9" t="str">
        <f>IFERROR(__xludf.DUMMYFUNCTION("""COMPUTED_VALUE"""),"Java")</f>
        <v>Java</v>
      </c>
      <c r="I4267" s="9" t="str">
        <f>IFERROR(__xludf.DUMMYFUNCTION("""COMPUTED_VALUE"""),"C#")</f>
        <v>C#</v>
      </c>
      <c r="J4267" s="9" t="str">
        <f>IFERROR(__xludf.DUMMYFUNCTION("""COMPUTED_VALUE"""),"C#")</f>
        <v>C#</v>
      </c>
      <c r="K4267" s="9" t="str">
        <f>IFERROR(__xludf.DUMMYFUNCTION("""COMPUTED_VALUE"""),"C++")</f>
        <v>C++</v>
      </c>
      <c r="L4267" s="9" t="str">
        <f>IFERROR(__xludf.DUMMYFUNCTION("""COMPUTED_VALUE"""),"JavaScript")</f>
        <v>JavaScript</v>
      </c>
      <c r="M4267" s="9" t="s">
        <v>22</v>
      </c>
    </row>
    <row r="4268" ht="15.75" customHeight="1">
      <c r="A4268" s="7"/>
      <c r="B4268" s="7" t="str">
        <f>IFERROR(__xludf.DUMMYFUNCTION("""COMPUTED_VALUE"""),"Bash/Shell/PowerShell;HTML/CSS;Java;JavaScript")</f>
        <v>Bash/Shell/PowerShell;HTML/CSS;Java;JavaScript</v>
      </c>
      <c r="C4268" s="9" t="str">
        <f>IFERROR(__xludf.DUMMYFUNCTION("""COMPUTED_VALUE"""),"Rust")</f>
        <v>Rust</v>
      </c>
      <c r="D4268" s="9" t="str">
        <f>IFERROR(__xludf.DUMMYFUNCTION("""COMPUTED_VALUE"""),"Java")</f>
        <v>Java</v>
      </c>
      <c r="E4268" s="9" t="str">
        <f>IFERROR(__xludf.DUMMYFUNCTION("""COMPUTED_VALUE"""),"SQL")</f>
        <v>SQL</v>
      </c>
      <c r="F4268" s="9" t="str">
        <f>IFERROR(__xludf.DUMMYFUNCTION("""COMPUTED_VALUE"""),"C")</f>
        <v>C</v>
      </c>
      <c r="G4268" s="9" t="str">
        <f>IFERROR(__xludf.DUMMYFUNCTION("""COMPUTED_VALUE"""),"Bash/Shell/PowerShell")</f>
        <v>Bash/Shell/PowerShell</v>
      </c>
      <c r="H4268" s="9" t="str">
        <f>IFERROR(__xludf.DUMMYFUNCTION("""COMPUTED_VALUE"""),"JavaScript")</f>
        <v>JavaScript</v>
      </c>
      <c r="I4268" s="9" t="str">
        <f>IFERROR(__xludf.DUMMYFUNCTION("""COMPUTED_VALUE"""),"HTML/CSS")</f>
        <v>HTML/CSS</v>
      </c>
      <c r="J4268" s="9" t="str">
        <f>IFERROR(__xludf.DUMMYFUNCTION("""COMPUTED_VALUE"""),"HTML/CSS")</f>
        <v>HTML/CSS</v>
      </c>
      <c r="K4268" s="9" t="str">
        <f>IFERROR(__xludf.DUMMYFUNCTION("""COMPUTED_VALUE"""),"C#")</f>
        <v>C#</v>
      </c>
      <c r="L4268" s="9" t="str">
        <f>IFERROR(__xludf.DUMMYFUNCTION("""COMPUTED_VALUE"""),"SQL")</f>
        <v>SQL</v>
      </c>
      <c r="M4268" s="9" t="s">
        <v>32</v>
      </c>
    </row>
    <row r="4269" ht="15.75" customHeight="1">
      <c r="A4269" s="7"/>
      <c r="B4269" s="7" t="str">
        <f>IFERROR(__xludf.DUMMYFUNCTION("""COMPUTED_VALUE"""),"Assembly;Bash/Shell/PowerShell;C;C++;C#;Java;Python;Other(s):")</f>
        <v>Assembly;Bash/Shell/PowerShell;C;C++;C#;Java;Python;Other(s):</v>
      </c>
      <c r="C4269" s="9" t="str">
        <f>IFERROR(__xludf.DUMMYFUNCTION("""COMPUTED_VALUE"""),"SQL")</f>
        <v>SQL</v>
      </c>
      <c r="D4269" s="9" t="str">
        <f>IFERROR(__xludf.DUMMYFUNCTION("""COMPUTED_VALUE"""),"JavaScript")</f>
        <v>JavaScript</v>
      </c>
      <c r="E4269" s="9" t="str">
        <f>IFERROR(__xludf.DUMMYFUNCTION("""COMPUTED_VALUE"""),"Other(s):")</f>
        <v>Other(s):</v>
      </c>
      <c r="F4269" s="9" t="str">
        <f>IFERROR(__xludf.DUMMYFUNCTION("""COMPUTED_VALUE"""),"C++")</f>
        <v>C++</v>
      </c>
      <c r="G4269" s="9" t="str">
        <f>IFERROR(__xludf.DUMMYFUNCTION("""COMPUTED_VALUE"""),"C#")</f>
        <v>C#</v>
      </c>
      <c r="H4269" s="9" t="str">
        <f>IFERROR(__xludf.DUMMYFUNCTION("""COMPUTED_VALUE"""),"Python")</f>
        <v>Python</v>
      </c>
      <c r="I4269" s="9" t="str">
        <f>IFERROR(__xludf.DUMMYFUNCTION("""COMPUTED_VALUE"""),"Java")</f>
        <v>Java</v>
      </c>
      <c r="J4269" s="9" t="str">
        <f>IFERROR(__xludf.DUMMYFUNCTION("""COMPUTED_VALUE"""),"JavaScript")</f>
        <v>JavaScript</v>
      </c>
      <c r="K4269" s="9" t="str">
        <f>IFERROR(__xludf.DUMMYFUNCTION("""COMPUTED_VALUE"""),"HTML/CSS")</f>
        <v>HTML/CSS</v>
      </c>
      <c r="L4269" s="9" t="str">
        <f>IFERROR(__xludf.DUMMYFUNCTION("""COMPUTED_VALUE"""),"C#")</f>
        <v>C#</v>
      </c>
      <c r="M4269" s="9" t="s">
        <v>27</v>
      </c>
    </row>
    <row r="4270" ht="15.75" customHeight="1">
      <c r="A4270" s="7"/>
      <c r="B4270" s="7" t="str">
        <f>IFERROR(__xludf.DUMMYFUNCTION("""COMPUTED_VALUE"""),"C++;C#;HTML/CSS;Java;JavaScript;PHP;SQL")</f>
        <v>C++;C#;HTML/CSS;Java;JavaScript;PHP;SQL</v>
      </c>
      <c r="C4270" s="9" t="str">
        <f>IFERROR(__xludf.DUMMYFUNCTION("""COMPUTED_VALUE"""),"Dart")</f>
        <v>Dart</v>
      </c>
      <c r="D4270" s="9" t="str">
        <f>IFERROR(__xludf.DUMMYFUNCTION("""COMPUTED_VALUE"""),"Python")</f>
        <v>Python</v>
      </c>
      <c r="E4270" s="9" t="str">
        <f>IFERROR(__xludf.DUMMYFUNCTION("""COMPUTED_VALUE"""),"Java")</f>
        <v>Java</v>
      </c>
      <c r="F4270" s="9" t="str">
        <f>IFERROR(__xludf.DUMMYFUNCTION("""COMPUTED_VALUE"""),"C#")</f>
        <v>C#</v>
      </c>
      <c r="G4270" s="9" t="str">
        <f>IFERROR(__xludf.DUMMYFUNCTION("""COMPUTED_VALUE"""),"HTML/CSS")</f>
        <v>HTML/CSS</v>
      </c>
      <c r="H4270" s="9" t="str">
        <f>IFERROR(__xludf.DUMMYFUNCTION("""COMPUTED_VALUE"""),"SQL")</f>
        <v>SQL</v>
      </c>
      <c r="I4270" s="9" t="str">
        <f>IFERROR(__xludf.DUMMYFUNCTION("""COMPUTED_VALUE"""),"JavaScript")</f>
        <v>JavaScript</v>
      </c>
      <c r="J4270" s="9" t="str">
        <f>IFERROR(__xludf.DUMMYFUNCTION("""COMPUTED_VALUE"""),"SQL")</f>
        <v>SQL</v>
      </c>
      <c r="K4270" s="9" t="str">
        <f>IFERROR(__xludf.DUMMYFUNCTION("""COMPUTED_VALUE"""),"JavaScript")</f>
        <v>JavaScript</v>
      </c>
      <c r="L4270" s="9" t="str">
        <f>IFERROR(__xludf.DUMMYFUNCTION("""COMPUTED_VALUE"""),"HTML/CSS")</f>
        <v>HTML/CSS</v>
      </c>
      <c r="M4270" s="9" t="s">
        <v>47</v>
      </c>
    </row>
    <row r="4271" ht="15.75" customHeight="1">
      <c r="A4271" s="7"/>
      <c r="B4271" s="7" t="str">
        <f>IFERROR(__xludf.DUMMYFUNCTION("""COMPUTED_VALUE"""),"Bash/Shell/PowerShell;C#;F#;HTML/CSS;JavaScript;SQL;TypeScript")</f>
        <v>Bash/Shell/PowerShell;C#;F#;HTML/CSS;JavaScript;SQL;TypeScript</v>
      </c>
      <c r="C4271" s="9" t="str">
        <f>IFERROR(__xludf.DUMMYFUNCTION("""COMPUTED_VALUE"""),"HTML/CSS")</f>
        <v>HTML/CSS</v>
      </c>
      <c r="D4271" s="9" t="str">
        <f>IFERROR(__xludf.DUMMYFUNCTION("""COMPUTED_VALUE"""),"Scala")</f>
        <v>Scala</v>
      </c>
      <c r="E4271" s="9" t="str">
        <f>IFERROR(__xludf.DUMMYFUNCTION("""COMPUTED_VALUE"""),"JavaScript")</f>
        <v>JavaScript</v>
      </c>
      <c r="F4271" s="9" t="str">
        <f>IFERROR(__xludf.DUMMYFUNCTION("""COMPUTED_VALUE"""),"HTML/CSS")</f>
        <v>HTML/CSS</v>
      </c>
      <c r="G4271" s="9" t="str">
        <f>IFERROR(__xludf.DUMMYFUNCTION("""COMPUTED_VALUE"""),"TypeScript")</f>
        <v>TypeScript</v>
      </c>
      <c r="H4271" s="9" t="str">
        <f>IFERROR(__xludf.DUMMYFUNCTION("""COMPUTED_VALUE"""),"HTML/CSS")</f>
        <v>HTML/CSS</v>
      </c>
      <c r="I4271" s="9" t="str">
        <f>IFERROR(__xludf.DUMMYFUNCTION("""COMPUTED_VALUE"""),"Python")</f>
        <v>Python</v>
      </c>
      <c r="J4271" s="9" t="str">
        <f>IFERROR(__xludf.DUMMYFUNCTION("""COMPUTED_VALUE"""),"Bash/Shell/PowerShell")</f>
        <v>Bash/Shell/PowerShell</v>
      </c>
      <c r="K4271" s="9" t="str">
        <f>IFERROR(__xludf.DUMMYFUNCTION("""COMPUTED_VALUE"""),"C")</f>
        <v>C</v>
      </c>
      <c r="L4271" s="9" t="str">
        <f>IFERROR(__xludf.DUMMYFUNCTION("""COMPUTED_VALUE"""),"JavaScript")</f>
        <v>JavaScript</v>
      </c>
      <c r="M4271" s="9" t="s">
        <v>24</v>
      </c>
    </row>
    <row r="4272" ht="15.75" customHeight="1">
      <c r="A4272" s="7"/>
      <c r="B4272" s="7" t="str">
        <f>IFERROR(__xludf.DUMMYFUNCTION("""COMPUTED_VALUE"""),"JavaScript;Ruby")</f>
        <v>JavaScript;Ruby</v>
      </c>
      <c r="C4272" s="9" t="str">
        <f>IFERROR(__xludf.DUMMYFUNCTION("""COMPUTED_VALUE"""),"JavaScript")</f>
        <v>JavaScript</v>
      </c>
      <c r="D4272" s="9" t="str">
        <f>IFERROR(__xludf.DUMMYFUNCTION("""COMPUTED_VALUE"""),"SQL")</f>
        <v>SQL</v>
      </c>
      <c r="E4272" s="9" t="str">
        <f>IFERROR(__xludf.DUMMYFUNCTION("""COMPUTED_VALUE"""),"Python")</f>
        <v>Python</v>
      </c>
      <c r="F4272" s="9" t="str">
        <f>IFERROR(__xludf.DUMMYFUNCTION("""COMPUTED_VALUE"""),"Java")</f>
        <v>Java</v>
      </c>
      <c r="G4272" s="9" t="str">
        <f>IFERROR(__xludf.DUMMYFUNCTION("""COMPUTED_VALUE"""),"Bash/Shell/PowerShell")</f>
        <v>Bash/Shell/PowerShell</v>
      </c>
      <c r="H4272" s="9" t="str">
        <f>IFERROR(__xludf.DUMMYFUNCTION("""COMPUTED_VALUE"""),"Java")</f>
        <v>Java</v>
      </c>
      <c r="I4272" s="9" t="str">
        <f>IFERROR(__xludf.DUMMYFUNCTION("""COMPUTED_VALUE"""),"SQL")</f>
        <v>SQL</v>
      </c>
      <c r="J4272" s="9" t="str">
        <f>IFERROR(__xludf.DUMMYFUNCTION("""COMPUTED_VALUE"""),"C++")</f>
        <v>C++</v>
      </c>
      <c r="K4272" s="9" t="str">
        <f>IFERROR(__xludf.DUMMYFUNCTION("""COMPUTED_VALUE"""),"Go")</f>
        <v>Go</v>
      </c>
      <c r="L4272" s="9" t="str">
        <f>IFERROR(__xludf.DUMMYFUNCTION("""COMPUTED_VALUE"""),"PHP")</f>
        <v>PHP</v>
      </c>
      <c r="M4272" s="9" t="s">
        <v>21</v>
      </c>
    </row>
    <row r="4273" ht="15.75" customHeight="1">
      <c r="A4273" s="7"/>
      <c r="B4273" s="7" t="str">
        <f>IFERROR(__xludf.DUMMYFUNCTION("""COMPUTED_VALUE"""),"HTML/CSS;Java;JavaScript;Python;SQL;TypeScript")</f>
        <v>HTML/CSS;Java;JavaScript;Python;SQL;TypeScript</v>
      </c>
      <c r="C4273" s="9" t="str">
        <f>IFERROR(__xludf.DUMMYFUNCTION("""COMPUTED_VALUE"""),"Kotlin")</f>
        <v>Kotlin</v>
      </c>
      <c r="D4273" s="9" t="str">
        <f>IFERROR(__xludf.DUMMYFUNCTION("""COMPUTED_VALUE"""),"Other(s):")</f>
        <v>Other(s):</v>
      </c>
      <c r="E4273" s="9" t="str">
        <f>IFERROR(__xludf.DUMMYFUNCTION("""COMPUTED_VALUE"""),"Scala")</f>
        <v>Scala</v>
      </c>
      <c r="F4273" s="9" t="str">
        <f>IFERROR(__xludf.DUMMYFUNCTION("""COMPUTED_VALUE"""),"JavaScript")</f>
        <v>JavaScript</v>
      </c>
      <c r="G4273" s="9" t="str">
        <f>IFERROR(__xludf.DUMMYFUNCTION("""COMPUTED_VALUE"""),"HTML/CSS")</f>
        <v>HTML/CSS</v>
      </c>
      <c r="H4273" s="9" t="str">
        <f>IFERROR(__xludf.DUMMYFUNCTION("""COMPUTED_VALUE"""),"Python")</f>
        <v>Python</v>
      </c>
      <c r="I4273" s="9" t="str">
        <f>IFERROR(__xludf.DUMMYFUNCTION("""COMPUTED_VALUE"""),"TypeScript")</f>
        <v>TypeScript</v>
      </c>
      <c r="J4273" s="9" t="str">
        <f>IFERROR(__xludf.DUMMYFUNCTION("""COMPUTED_VALUE"""),"C#")</f>
        <v>C#</v>
      </c>
      <c r="K4273" s="9" t="str">
        <f>IFERROR(__xludf.DUMMYFUNCTION("""COMPUTED_VALUE"""),"JavaScript")</f>
        <v>JavaScript</v>
      </c>
      <c r="L4273" s="9" t="str">
        <f>IFERROR(__xludf.DUMMYFUNCTION("""COMPUTED_VALUE"""),"Python")</f>
        <v>Python</v>
      </c>
      <c r="M4273" s="9" t="s">
        <v>39</v>
      </c>
    </row>
    <row r="4274" ht="15.75" customHeight="1">
      <c r="A4274" s="7"/>
      <c r="B4274" s="7" t="str">
        <f>IFERROR(__xludf.DUMMYFUNCTION("""COMPUTED_VALUE"""),"HTML/CSS;Java;JavaScript;SQL")</f>
        <v>HTML/CSS;Java;JavaScript;SQL</v>
      </c>
      <c r="C4274" s="9" t="str">
        <f>IFERROR(__xludf.DUMMYFUNCTION("""COMPUTED_VALUE"""),"Rust")</f>
        <v>Rust</v>
      </c>
      <c r="D4274" s="9" t="str">
        <f>IFERROR(__xludf.DUMMYFUNCTION("""COMPUTED_VALUE"""),"Bash/Shell/PowerShell")</f>
        <v>Bash/Shell/PowerShell</v>
      </c>
      <c r="E4274" s="9" t="str">
        <f>IFERROR(__xludf.DUMMYFUNCTION("""COMPUTED_VALUE"""),"SQL")</f>
        <v>SQL</v>
      </c>
      <c r="F4274" s="9" t="str">
        <f>IFERROR(__xludf.DUMMYFUNCTION("""COMPUTED_VALUE"""),"PHP")</f>
        <v>PHP</v>
      </c>
      <c r="G4274" s="9" t="str">
        <f>IFERROR(__xludf.DUMMYFUNCTION("""COMPUTED_VALUE"""),"JavaScript")</f>
        <v>JavaScript</v>
      </c>
      <c r="H4274" s="9" t="str">
        <f>IFERROR(__xludf.DUMMYFUNCTION("""COMPUTED_VALUE"""),"SQL")</f>
        <v>SQL</v>
      </c>
      <c r="I4274" s="9" t="str">
        <f>IFERROR(__xludf.DUMMYFUNCTION("""COMPUTED_VALUE"""),"Bash/Shell/PowerShell")</f>
        <v>Bash/Shell/PowerShell</v>
      </c>
      <c r="J4274" s="9" t="str">
        <f>IFERROR(__xludf.DUMMYFUNCTION("""COMPUTED_VALUE"""),"HTML/CSS")</f>
        <v>HTML/CSS</v>
      </c>
      <c r="K4274" s="9" t="str">
        <f>IFERROR(__xludf.DUMMYFUNCTION("""COMPUTED_VALUE"""),"Rust")</f>
        <v>Rust</v>
      </c>
      <c r="L4274" s="9" t="str">
        <f>IFERROR(__xludf.DUMMYFUNCTION("""COMPUTED_VALUE"""),"C")</f>
        <v>C</v>
      </c>
      <c r="M4274" s="9" t="s">
        <v>32</v>
      </c>
    </row>
    <row r="4275" ht="15.75" customHeight="1">
      <c r="A4275" s="7"/>
      <c r="B4275" s="7" t="str">
        <f>IFERROR(__xludf.DUMMYFUNCTION("""COMPUTED_VALUE"""),"C++;HTML/CSS;Java")</f>
        <v>C++;HTML/CSS;Java</v>
      </c>
      <c r="C4275" s="9" t="str">
        <f>IFERROR(__xludf.DUMMYFUNCTION("""COMPUTED_VALUE"""),"Java")</f>
        <v>Java</v>
      </c>
      <c r="D4275" s="9" t="str">
        <f>IFERROR(__xludf.DUMMYFUNCTION("""COMPUTED_VALUE"""),"HTML/CSS")</f>
        <v>HTML/CSS</v>
      </c>
      <c r="E4275" s="9" t="str">
        <f>IFERROR(__xludf.DUMMYFUNCTION("""COMPUTED_VALUE"""),"C#")</f>
        <v>C#</v>
      </c>
      <c r="F4275" s="9" t="str">
        <f>IFERROR(__xludf.DUMMYFUNCTION("""COMPUTED_VALUE"""),"Python")</f>
        <v>Python</v>
      </c>
      <c r="G4275" s="9" t="str">
        <f>IFERROR(__xludf.DUMMYFUNCTION("""COMPUTED_VALUE"""),"PHP")</f>
        <v>PHP</v>
      </c>
      <c r="H4275" s="9" t="str">
        <f>IFERROR(__xludf.DUMMYFUNCTION("""COMPUTED_VALUE"""),"Bash/Shell/PowerShell")</f>
        <v>Bash/Shell/PowerShell</v>
      </c>
      <c r="I4275" s="9" t="str">
        <f>IFERROR(__xludf.DUMMYFUNCTION("""COMPUTED_VALUE"""),"HTML/CSS")</f>
        <v>HTML/CSS</v>
      </c>
      <c r="J4275" s="9" t="str">
        <f>IFERROR(__xludf.DUMMYFUNCTION("""COMPUTED_VALUE"""),"Java")</f>
        <v>Java</v>
      </c>
      <c r="K4275" s="9" t="str">
        <f>IFERROR(__xludf.DUMMYFUNCTION("""COMPUTED_VALUE"""),"TypeScript")</f>
        <v>TypeScript</v>
      </c>
      <c r="L4275" s="9" t="str">
        <f>IFERROR(__xludf.DUMMYFUNCTION("""COMPUTED_VALUE"""),"C++")</f>
        <v>C++</v>
      </c>
      <c r="M4275" s="9" t="s">
        <v>20</v>
      </c>
    </row>
    <row r="4276" ht="15.75" customHeight="1">
      <c r="A4276" s="7"/>
      <c r="B4276" s="7" t="str">
        <f>IFERROR(__xludf.DUMMYFUNCTION("""COMPUTED_VALUE"""),"C#;HTML/CSS;PHP;Python")</f>
        <v>C#;HTML/CSS;PHP;Python</v>
      </c>
      <c r="C4276" s="9" t="str">
        <f>IFERROR(__xludf.DUMMYFUNCTION("""COMPUTED_VALUE"""),"SQL")</f>
        <v>SQL</v>
      </c>
      <c r="D4276" s="9" t="str">
        <f>IFERROR(__xludf.DUMMYFUNCTION("""COMPUTED_VALUE"""),"JavaScript")</f>
        <v>JavaScript</v>
      </c>
      <c r="E4276" s="9" t="str">
        <f>IFERROR(__xludf.DUMMYFUNCTION("""COMPUTED_VALUE"""),"F#")</f>
        <v>F#</v>
      </c>
      <c r="F4276" s="9" t="str">
        <f>IFERROR(__xludf.DUMMYFUNCTION("""COMPUTED_VALUE"""),"SQL")</f>
        <v>SQL</v>
      </c>
      <c r="G4276" s="9" t="str">
        <f>IFERROR(__xludf.DUMMYFUNCTION("""COMPUTED_VALUE"""),"Python")</f>
        <v>Python</v>
      </c>
      <c r="H4276" s="9" t="str">
        <f>IFERROR(__xludf.DUMMYFUNCTION("""COMPUTED_VALUE"""),"C")</f>
        <v>C</v>
      </c>
      <c r="I4276" s="9" t="str">
        <f>IFERROR(__xludf.DUMMYFUNCTION("""COMPUTED_VALUE"""),"JavaScript")</f>
        <v>JavaScript</v>
      </c>
      <c r="J4276" s="9" t="str">
        <f>IFERROR(__xludf.DUMMYFUNCTION("""COMPUTED_VALUE"""),"JavaScript")</f>
        <v>JavaScript</v>
      </c>
      <c r="K4276" s="9" t="str">
        <f>IFERROR(__xludf.DUMMYFUNCTION("""COMPUTED_VALUE"""),"HTML/CSS")</f>
        <v>HTML/CSS</v>
      </c>
      <c r="L4276" s="9" t="str">
        <f>IFERROR(__xludf.DUMMYFUNCTION("""COMPUTED_VALUE"""),"Objective-C")</f>
        <v>Objective-C</v>
      </c>
      <c r="M4276" s="9" t="s">
        <v>27</v>
      </c>
    </row>
    <row r="4277" ht="15.75" customHeight="1">
      <c r="A4277" s="7"/>
      <c r="B4277" s="7" t="str">
        <f>IFERROR(__xludf.DUMMYFUNCTION("""COMPUTED_VALUE"""),"Bash/Shell/PowerShell;Clojure;Go;HTML/CSS;Java;JavaScript;Kotlin;Python;SQL")</f>
        <v>Bash/Shell/PowerShell;Clojure;Go;HTML/CSS;Java;JavaScript;Kotlin;Python;SQL</v>
      </c>
      <c r="C4277" s="9" t="str">
        <f>IFERROR(__xludf.DUMMYFUNCTION("""COMPUTED_VALUE"""),"Other(s):")</f>
        <v>Other(s):</v>
      </c>
      <c r="D4277" s="9" t="str">
        <f>IFERROR(__xludf.DUMMYFUNCTION("""COMPUTED_VALUE"""),"Kotlin")</f>
        <v>Kotlin</v>
      </c>
      <c r="E4277" s="9" t="str">
        <f>IFERROR(__xludf.DUMMYFUNCTION("""COMPUTED_VALUE"""),"HTML/CSS")</f>
        <v>HTML/CSS</v>
      </c>
      <c r="F4277" s="9" t="str">
        <f>IFERROR(__xludf.DUMMYFUNCTION("""COMPUTED_VALUE"""),"C++")</f>
        <v>C++</v>
      </c>
      <c r="G4277" s="9" t="str">
        <f>IFERROR(__xludf.DUMMYFUNCTION("""COMPUTED_VALUE"""),"SQL")</f>
        <v>SQL</v>
      </c>
      <c r="H4277" s="9" t="str">
        <f>IFERROR(__xludf.DUMMYFUNCTION("""COMPUTED_VALUE"""),"C++")</f>
        <v>C++</v>
      </c>
      <c r="I4277" s="9" t="str">
        <f>IFERROR(__xludf.DUMMYFUNCTION("""COMPUTED_VALUE"""),"PHP")</f>
        <v>PHP</v>
      </c>
      <c r="J4277" s="9" t="str">
        <f>IFERROR(__xludf.DUMMYFUNCTION("""COMPUTED_VALUE"""),"PHP")</f>
        <v>PHP</v>
      </c>
      <c r="K4277" s="9" t="str">
        <f>IFERROR(__xludf.DUMMYFUNCTION("""COMPUTED_VALUE"""),"Java")</f>
        <v>Java</v>
      </c>
      <c r="L4277" s="9" t="str">
        <f>IFERROR(__xludf.DUMMYFUNCTION("""COMPUTED_VALUE"""),"Swift")</f>
        <v>Swift</v>
      </c>
      <c r="M4277" s="9" t="s">
        <v>35</v>
      </c>
    </row>
    <row r="4278" ht="15.75" customHeight="1">
      <c r="A4278" s="7"/>
      <c r="B4278" s="7" t="str">
        <f>IFERROR(__xludf.DUMMYFUNCTION("""COMPUTED_VALUE"""),"C#;HTML/CSS;Java;JavaScript;SQL")</f>
        <v>C#;HTML/CSS;Java;JavaScript;SQL</v>
      </c>
      <c r="C4278" s="9" t="str">
        <f>IFERROR(__xludf.DUMMYFUNCTION("""COMPUTED_VALUE"""),"Bash/Shell/PowerShell")</f>
        <v>Bash/Shell/PowerShell</v>
      </c>
      <c r="D4278" s="9" t="str">
        <f>IFERROR(__xludf.DUMMYFUNCTION("""COMPUTED_VALUE"""),"Python")</f>
        <v>Python</v>
      </c>
      <c r="E4278" s="9" t="str">
        <f>IFERROR(__xludf.DUMMYFUNCTION("""COMPUTED_VALUE"""),"C")</f>
        <v>C</v>
      </c>
      <c r="F4278" s="9" t="str">
        <f>IFERROR(__xludf.DUMMYFUNCTION("""COMPUTED_VALUE"""),"HTML/CSS")</f>
        <v>HTML/CSS</v>
      </c>
      <c r="G4278" s="9" t="str">
        <f>IFERROR(__xludf.DUMMYFUNCTION("""COMPUTED_VALUE"""),"Bash/Shell/PowerShell")</f>
        <v>Bash/Shell/PowerShell</v>
      </c>
      <c r="H4278" s="9" t="str">
        <f>IFERROR(__xludf.DUMMYFUNCTION("""COMPUTED_VALUE"""),"Java")</f>
        <v>Java</v>
      </c>
      <c r="I4278" s="9" t="str">
        <f>IFERROR(__xludf.DUMMYFUNCTION("""COMPUTED_VALUE"""),"SQL")</f>
        <v>SQL</v>
      </c>
      <c r="J4278" s="9" t="str">
        <f>IFERROR(__xludf.DUMMYFUNCTION("""COMPUTED_VALUE"""),"Python")</f>
        <v>Python</v>
      </c>
      <c r="K4278" s="9" t="str">
        <f>IFERROR(__xludf.DUMMYFUNCTION("""COMPUTED_VALUE"""),"JavaScript")</f>
        <v>JavaScript</v>
      </c>
      <c r="L4278" s="9" t="str">
        <f>IFERROR(__xludf.DUMMYFUNCTION("""COMPUTED_VALUE"""),"Bash/Shell/PowerShell")</f>
        <v>Bash/Shell/PowerShell</v>
      </c>
      <c r="M4278" s="9" t="s">
        <v>30</v>
      </c>
    </row>
    <row r="4279" ht="15.75" customHeight="1">
      <c r="A4279" s="7"/>
      <c r="B4279" s="7" t="str">
        <f>IFERROR(__xludf.DUMMYFUNCTION("""COMPUTED_VALUE"""),"Bash/Shell/PowerShell;HTML/CSS;Java;JavaScript;PHP;SQL;TypeScript")</f>
        <v>Bash/Shell/PowerShell;HTML/CSS;Java;JavaScript;PHP;SQL;TypeScript</v>
      </c>
      <c r="C4279" s="9" t="str">
        <f>IFERROR(__xludf.DUMMYFUNCTION("""COMPUTED_VALUE"""),"C#")</f>
        <v>C#</v>
      </c>
      <c r="D4279" s="9" t="str">
        <f>IFERROR(__xludf.DUMMYFUNCTION("""COMPUTED_VALUE"""),"TypeScript")</f>
        <v>TypeScript</v>
      </c>
      <c r="E4279" s="9" t="str">
        <f>IFERROR(__xludf.DUMMYFUNCTION("""COMPUTED_VALUE"""),"Java")</f>
        <v>Java</v>
      </c>
      <c r="F4279" s="9" t="str">
        <f>IFERROR(__xludf.DUMMYFUNCTION("""COMPUTED_VALUE"""),"JavaScript")</f>
        <v>JavaScript</v>
      </c>
      <c r="G4279" s="9" t="str">
        <f>IFERROR(__xludf.DUMMYFUNCTION("""COMPUTED_VALUE"""),"Java")</f>
        <v>Java</v>
      </c>
      <c r="H4279" s="9" t="str">
        <f>IFERROR(__xludf.DUMMYFUNCTION("""COMPUTED_VALUE"""),"Python")</f>
        <v>Python</v>
      </c>
      <c r="I4279" s="9" t="str">
        <f>IFERROR(__xludf.DUMMYFUNCTION("""COMPUTED_VALUE"""),"Bash/Shell/PowerShell")</f>
        <v>Bash/Shell/PowerShell</v>
      </c>
      <c r="J4279" s="9" t="str">
        <f>IFERROR(__xludf.DUMMYFUNCTION("""COMPUTED_VALUE"""),"SQL")</f>
        <v>SQL</v>
      </c>
      <c r="K4279" s="9" t="str">
        <f>IFERROR(__xludf.DUMMYFUNCTION("""COMPUTED_VALUE"""),"PHP")</f>
        <v>PHP</v>
      </c>
      <c r="L4279" s="9" t="str">
        <f>IFERROR(__xludf.DUMMYFUNCTION("""COMPUTED_VALUE"""),"HTML/CSS")</f>
        <v>HTML/CSS</v>
      </c>
      <c r="M4279" s="9" t="s">
        <v>26</v>
      </c>
    </row>
    <row r="4280" ht="15.75" customHeight="1">
      <c r="A4280" s="7"/>
      <c r="B4280" s="7" t="str">
        <f>IFERROR(__xludf.DUMMYFUNCTION("""COMPUTED_VALUE"""),"Elixir;HTML/CSS;JavaScript;PHP;SQL")</f>
        <v>Elixir;HTML/CSS;JavaScript;PHP;SQL</v>
      </c>
      <c r="C4280" s="9" t="str">
        <f>IFERROR(__xludf.DUMMYFUNCTION("""COMPUTED_VALUE"""),"HTML/CSS")</f>
        <v>HTML/CSS</v>
      </c>
      <c r="D4280" s="9" t="str">
        <f>IFERROR(__xludf.DUMMYFUNCTION("""COMPUTED_VALUE"""),"C#")</f>
        <v>C#</v>
      </c>
      <c r="E4280" s="9" t="str">
        <f>IFERROR(__xludf.DUMMYFUNCTION("""COMPUTED_VALUE"""),"Python")</f>
        <v>Python</v>
      </c>
      <c r="F4280" s="9" t="str">
        <f>IFERROR(__xludf.DUMMYFUNCTION("""COMPUTED_VALUE"""),"SQL")</f>
        <v>SQL</v>
      </c>
      <c r="G4280" s="9" t="str">
        <f>IFERROR(__xludf.DUMMYFUNCTION("""COMPUTED_VALUE"""),"Kotlin")</f>
        <v>Kotlin</v>
      </c>
      <c r="H4280" s="9" t="str">
        <f>IFERROR(__xludf.DUMMYFUNCTION("""COMPUTED_VALUE"""),"C++")</f>
        <v>C++</v>
      </c>
      <c r="I4280" s="9" t="str">
        <f>IFERROR(__xludf.DUMMYFUNCTION("""COMPUTED_VALUE"""),"Go")</f>
        <v>Go</v>
      </c>
      <c r="J4280" s="9" t="str">
        <f>IFERROR(__xludf.DUMMYFUNCTION("""COMPUTED_VALUE"""),"TypeScript")</f>
        <v>TypeScript</v>
      </c>
      <c r="K4280" s="9" t="str">
        <f>IFERROR(__xludf.DUMMYFUNCTION("""COMPUTED_VALUE"""),"C")</f>
        <v>C</v>
      </c>
      <c r="L4280" s="9" t="str">
        <f>IFERROR(__xludf.DUMMYFUNCTION("""COMPUTED_VALUE"""),"JavaScript")</f>
        <v>JavaScript</v>
      </c>
      <c r="M4280" s="9" t="s">
        <v>24</v>
      </c>
    </row>
    <row r="4281" ht="15.75" customHeight="1">
      <c r="A4281" s="7"/>
      <c r="B4281" s="7" t="str">
        <f>IFERROR(__xludf.DUMMYFUNCTION("""COMPUTED_VALUE"""),"C++;C#;Python")</f>
        <v>C++;C#;Python</v>
      </c>
      <c r="C4281" s="9" t="str">
        <f>IFERROR(__xludf.DUMMYFUNCTION("""COMPUTED_VALUE"""),"Java")</f>
        <v>Java</v>
      </c>
      <c r="D4281" s="9" t="str">
        <f>IFERROR(__xludf.DUMMYFUNCTION("""COMPUTED_VALUE"""),"Java")</f>
        <v>Java</v>
      </c>
      <c r="E4281" s="9" t="str">
        <f>IFERROR(__xludf.DUMMYFUNCTION("""COMPUTED_VALUE"""),"Assembly")</f>
        <v>Assembly</v>
      </c>
      <c r="F4281" s="9" t="str">
        <f>IFERROR(__xludf.DUMMYFUNCTION("""COMPUTED_VALUE"""),"TypeScript")</f>
        <v>TypeScript</v>
      </c>
      <c r="G4281" s="9" t="str">
        <f>IFERROR(__xludf.DUMMYFUNCTION("""COMPUTED_VALUE"""),"Python")</f>
        <v>Python</v>
      </c>
      <c r="H4281" s="9" t="str">
        <f>IFERROR(__xludf.DUMMYFUNCTION("""COMPUTED_VALUE"""),"C#")</f>
        <v>C#</v>
      </c>
      <c r="I4281" s="9" t="str">
        <f>IFERROR(__xludf.DUMMYFUNCTION("""COMPUTED_VALUE"""),"HTML/CSS")</f>
        <v>HTML/CSS</v>
      </c>
      <c r="J4281" s="9" t="str">
        <f>IFERROR(__xludf.DUMMYFUNCTION("""COMPUTED_VALUE"""),"HTML/CSS")</f>
        <v>HTML/CSS</v>
      </c>
      <c r="K4281" s="9" t="str">
        <f>IFERROR(__xludf.DUMMYFUNCTION("""COMPUTED_VALUE"""),"C++")</f>
        <v>C++</v>
      </c>
      <c r="L4281" s="9" t="str">
        <f>IFERROR(__xludf.DUMMYFUNCTION("""COMPUTED_VALUE"""),"PHP")</f>
        <v>PHP</v>
      </c>
      <c r="M4281" s="9" t="s">
        <v>20</v>
      </c>
    </row>
    <row r="4282" ht="15.75" customHeight="1">
      <c r="A4282" s="7"/>
      <c r="B4282" s="7" t="str">
        <f>IFERROR(__xludf.DUMMYFUNCTION("""COMPUTED_VALUE"""),"Assembly;Python")</f>
        <v>Assembly;Python</v>
      </c>
      <c r="C4282" s="9" t="str">
        <f>IFERROR(__xludf.DUMMYFUNCTION("""COMPUTED_VALUE"""),"JavaScript")</f>
        <v>JavaScript</v>
      </c>
      <c r="D4282" s="9" t="str">
        <f>IFERROR(__xludf.DUMMYFUNCTION("""COMPUTED_VALUE"""),"SQL")</f>
        <v>SQL</v>
      </c>
      <c r="E4282" s="9" t="str">
        <f>IFERROR(__xludf.DUMMYFUNCTION("""COMPUTED_VALUE"""),"Bash/Shell/PowerShell")</f>
        <v>Bash/Shell/PowerShell</v>
      </c>
      <c r="F4282" s="9" t="str">
        <f>IFERROR(__xludf.DUMMYFUNCTION("""COMPUTED_VALUE"""),"VBA")</f>
        <v>VBA</v>
      </c>
      <c r="G4282" s="9" t="str">
        <f>IFERROR(__xludf.DUMMYFUNCTION("""COMPUTED_VALUE"""),"Ruby")</f>
        <v>Ruby</v>
      </c>
      <c r="H4282" s="9" t="str">
        <f>IFERROR(__xludf.DUMMYFUNCTION("""COMPUTED_VALUE"""),"Java")</f>
        <v>Java</v>
      </c>
      <c r="I4282" s="9" t="str">
        <f>IFERROR(__xludf.DUMMYFUNCTION("""COMPUTED_VALUE"""),"JavaScript")</f>
        <v>JavaScript</v>
      </c>
      <c r="J4282" s="9" t="str">
        <f>IFERROR(__xludf.DUMMYFUNCTION("""COMPUTED_VALUE"""),"Java")</f>
        <v>Java</v>
      </c>
      <c r="K4282" s="9" t="str">
        <f>IFERROR(__xludf.DUMMYFUNCTION("""COMPUTED_VALUE"""),"C#")</f>
        <v>C#</v>
      </c>
      <c r="L4282" s="9" t="str">
        <f>IFERROR(__xludf.DUMMYFUNCTION("""COMPUTED_VALUE"""),"Python")</f>
        <v>Python</v>
      </c>
      <c r="M4282" s="9" t="s">
        <v>21</v>
      </c>
    </row>
    <row r="4283" ht="15.75" customHeight="1">
      <c r="A4283" s="7"/>
      <c r="B4283" s="7" t="str">
        <f>IFERROR(__xludf.DUMMYFUNCTION("""COMPUTED_VALUE"""),"C;C++;Java;Python;R;VBA;Other(s):")</f>
        <v>C;C++;Java;Python;R;VBA;Other(s):</v>
      </c>
      <c r="C4283" s="9" t="str">
        <f>IFERROR(__xludf.DUMMYFUNCTION("""COMPUTED_VALUE"""),"SQL")</f>
        <v>SQL</v>
      </c>
      <c r="D4283" s="9" t="str">
        <f>IFERROR(__xludf.DUMMYFUNCTION("""COMPUTED_VALUE"""),"Assembly")</f>
        <v>Assembly</v>
      </c>
      <c r="E4283" s="9" t="str">
        <f>IFERROR(__xludf.DUMMYFUNCTION("""COMPUTED_VALUE"""),"C++")</f>
        <v>C++</v>
      </c>
      <c r="F4283" s="9" t="str">
        <f>IFERROR(__xludf.DUMMYFUNCTION("""COMPUTED_VALUE"""),"C#")</f>
        <v>C#</v>
      </c>
      <c r="G4283" s="9" t="str">
        <f>IFERROR(__xludf.DUMMYFUNCTION("""COMPUTED_VALUE"""),"SQL")</f>
        <v>SQL</v>
      </c>
      <c r="H4283" s="9" t="str">
        <f>IFERROR(__xludf.DUMMYFUNCTION("""COMPUTED_VALUE"""),"JavaScript")</f>
        <v>JavaScript</v>
      </c>
      <c r="I4283" s="9" t="str">
        <f>IFERROR(__xludf.DUMMYFUNCTION("""COMPUTED_VALUE"""),"PHP")</f>
        <v>PHP</v>
      </c>
      <c r="J4283" s="9" t="str">
        <f>IFERROR(__xludf.DUMMYFUNCTION("""COMPUTED_VALUE"""),"JavaScript")</f>
        <v>JavaScript</v>
      </c>
      <c r="K4283" s="9" t="str">
        <f>IFERROR(__xludf.DUMMYFUNCTION("""COMPUTED_VALUE"""),"C#")</f>
        <v>C#</v>
      </c>
      <c r="L4283" s="9" t="str">
        <f>IFERROR(__xludf.DUMMYFUNCTION("""COMPUTED_VALUE"""),"SQL")</f>
        <v>SQL</v>
      </c>
      <c r="M4283" s="9" t="s">
        <v>27</v>
      </c>
    </row>
    <row r="4284" ht="15.75" customHeight="1">
      <c r="A4284" s="7"/>
      <c r="B4284" s="7" t="str">
        <f>IFERROR(__xludf.DUMMYFUNCTION("""COMPUTED_VALUE"""),"Java;SQL")</f>
        <v>Java;SQL</v>
      </c>
      <c r="C4284" s="9" t="str">
        <f>IFERROR(__xludf.DUMMYFUNCTION("""COMPUTED_VALUE"""),"Other(s):")</f>
        <v>Other(s):</v>
      </c>
      <c r="D4284" s="9" t="str">
        <f>IFERROR(__xludf.DUMMYFUNCTION("""COMPUTED_VALUE"""),"C")</f>
        <v>C</v>
      </c>
      <c r="E4284" s="9" t="str">
        <f>IFERROR(__xludf.DUMMYFUNCTION("""COMPUTED_VALUE"""),"C#")</f>
        <v>C#</v>
      </c>
      <c r="F4284" s="9" t="str">
        <f>IFERROR(__xludf.DUMMYFUNCTION("""COMPUTED_VALUE"""),"JavaScript")</f>
        <v>JavaScript</v>
      </c>
      <c r="G4284" s="9" t="str">
        <f>IFERROR(__xludf.DUMMYFUNCTION("""COMPUTED_VALUE"""),"Bash/Shell/PowerShell")</f>
        <v>Bash/Shell/PowerShell</v>
      </c>
      <c r="H4284" s="9" t="str">
        <f>IFERROR(__xludf.DUMMYFUNCTION("""COMPUTED_VALUE"""),"C")</f>
        <v>C</v>
      </c>
      <c r="I4284" s="9" t="str">
        <f>IFERROR(__xludf.DUMMYFUNCTION("""COMPUTED_VALUE"""),"SQL")</f>
        <v>SQL</v>
      </c>
      <c r="J4284" s="9" t="str">
        <f>IFERROR(__xludf.DUMMYFUNCTION("""COMPUTED_VALUE"""),"PHP")</f>
        <v>PHP</v>
      </c>
      <c r="K4284" s="9" t="str">
        <f>IFERROR(__xludf.DUMMYFUNCTION("""COMPUTED_VALUE"""),"HTML/CSS")</f>
        <v>HTML/CSS</v>
      </c>
      <c r="L4284" s="9" t="str">
        <f>IFERROR(__xludf.DUMMYFUNCTION("""COMPUTED_VALUE"""),"TypeScript")</f>
        <v>TypeScript</v>
      </c>
      <c r="M4284" s="9" t="s">
        <v>35</v>
      </c>
    </row>
    <row r="4285" ht="15.75" customHeight="1">
      <c r="A4285" s="7"/>
      <c r="B4285" s="7" t="str">
        <f>IFERROR(__xludf.DUMMYFUNCTION("""COMPUTED_VALUE"""),"HTML/CSS;JavaScript;Ruby;SQL")</f>
        <v>HTML/CSS;JavaScript;Ruby;SQL</v>
      </c>
      <c r="C4285" s="9" t="str">
        <f>IFERROR(__xludf.DUMMYFUNCTION("""COMPUTED_VALUE"""),"HTML/CSS")</f>
        <v>HTML/CSS</v>
      </c>
      <c r="D4285" s="9" t="str">
        <f>IFERROR(__xludf.DUMMYFUNCTION("""COMPUTED_VALUE"""),"C++")</f>
        <v>C++</v>
      </c>
      <c r="E4285" s="9" t="str">
        <f>IFERROR(__xludf.DUMMYFUNCTION("""COMPUTED_VALUE"""),"HTML/CSS")</f>
        <v>HTML/CSS</v>
      </c>
      <c r="F4285" s="9" t="str">
        <f>IFERROR(__xludf.DUMMYFUNCTION("""COMPUTED_VALUE"""),"HTML/CSS")</f>
        <v>HTML/CSS</v>
      </c>
      <c r="G4285" s="9" t="str">
        <f>IFERROR(__xludf.DUMMYFUNCTION("""COMPUTED_VALUE"""),"C#")</f>
        <v>C#</v>
      </c>
      <c r="H4285" s="9" t="str">
        <f>IFERROR(__xludf.DUMMYFUNCTION("""COMPUTED_VALUE"""),"C++")</f>
        <v>C++</v>
      </c>
      <c r="I4285" s="9" t="str">
        <f>IFERROR(__xludf.DUMMYFUNCTION("""COMPUTED_VALUE"""),"Bash/Shell/PowerShell")</f>
        <v>Bash/Shell/PowerShell</v>
      </c>
      <c r="J4285" s="9" t="str">
        <f>IFERROR(__xludf.DUMMYFUNCTION("""COMPUTED_VALUE"""),"Python")</f>
        <v>Python</v>
      </c>
      <c r="K4285" s="9" t="str">
        <f>IFERROR(__xludf.DUMMYFUNCTION("""COMPUTED_VALUE"""),"JavaScript")</f>
        <v>JavaScript</v>
      </c>
      <c r="L4285" s="9" t="str">
        <f>IFERROR(__xludf.DUMMYFUNCTION("""COMPUTED_VALUE"""),"PHP")</f>
        <v>PHP</v>
      </c>
      <c r="M4285" s="9" t="s">
        <v>24</v>
      </c>
    </row>
    <row r="4286" ht="15.75" customHeight="1">
      <c r="A4286" s="7"/>
      <c r="B4286" s="7" t="str">
        <f>IFERROR(__xludf.DUMMYFUNCTION("""COMPUTED_VALUE"""),"C#;HTML/CSS;Java;JavaScript;Kotlin;Scala;SQL")</f>
        <v>C#;HTML/CSS;Java;JavaScript;Kotlin;Scala;SQL</v>
      </c>
      <c r="C4286" s="9" t="str">
        <f>IFERROR(__xludf.DUMMYFUNCTION("""COMPUTED_VALUE"""),"JavaScript")</f>
        <v>JavaScript</v>
      </c>
      <c r="D4286" s="9" t="str">
        <f>IFERROR(__xludf.DUMMYFUNCTION("""COMPUTED_VALUE"""),"C#")</f>
        <v>C#</v>
      </c>
      <c r="E4286" s="9" t="str">
        <f>IFERROR(__xludf.DUMMYFUNCTION("""COMPUTED_VALUE"""),"JavaScript")</f>
        <v>JavaScript</v>
      </c>
      <c r="F4286" s="9" t="str">
        <f>IFERROR(__xludf.DUMMYFUNCTION("""COMPUTED_VALUE"""),"PHP")</f>
        <v>PHP</v>
      </c>
      <c r="G4286" s="9" t="str">
        <f>IFERROR(__xludf.DUMMYFUNCTION("""COMPUTED_VALUE"""),"Go")</f>
        <v>Go</v>
      </c>
      <c r="H4286" s="9" t="str">
        <f>IFERROR(__xludf.DUMMYFUNCTION("""COMPUTED_VALUE"""),"HTML/CSS")</f>
        <v>HTML/CSS</v>
      </c>
      <c r="I4286" s="9" t="str">
        <f>IFERROR(__xludf.DUMMYFUNCTION("""COMPUTED_VALUE"""),"C")</f>
        <v>C</v>
      </c>
      <c r="J4286" s="9" t="str">
        <f>IFERROR(__xludf.DUMMYFUNCTION("""COMPUTED_VALUE"""),"SQL")</f>
        <v>SQL</v>
      </c>
      <c r="K4286" s="9" t="str">
        <f>IFERROR(__xludf.DUMMYFUNCTION("""COMPUTED_VALUE"""),"PHP")</f>
        <v>PHP</v>
      </c>
      <c r="L4286" s="9" t="str">
        <f>IFERROR(__xludf.DUMMYFUNCTION("""COMPUTED_VALUE"""),"R")</f>
        <v>R</v>
      </c>
      <c r="M4286" s="9" t="s">
        <v>21</v>
      </c>
    </row>
    <row r="4287" ht="15.75" customHeight="1">
      <c r="A4287" s="7"/>
      <c r="B4287" s="7" t="str">
        <f>IFERROR(__xludf.DUMMYFUNCTION("""COMPUTED_VALUE"""),"C#;Java")</f>
        <v>C#;Java</v>
      </c>
      <c r="C4287" s="9" t="str">
        <f>IFERROR(__xludf.DUMMYFUNCTION("""COMPUTED_VALUE"""),"Python")</f>
        <v>Python</v>
      </c>
      <c r="D4287" s="9" t="str">
        <f>IFERROR(__xludf.DUMMYFUNCTION("""COMPUTED_VALUE"""),"Java")</f>
        <v>Java</v>
      </c>
      <c r="E4287" s="9" t="str">
        <f>IFERROR(__xludf.DUMMYFUNCTION("""COMPUTED_VALUE"""),"Python")</f>
        <v>Python</v>
      </c>
      <c r="F4287" s="9" t="str">
        <f>IFERROR(__xludf.DUMMYFUNCTION("""COMPUTED_VALUE"""),"SQL")</f>
        <v>SQL</v>
      </c>
      <c r="G4287" s="9" t="str">
        <f>IFERROR(__xludf.DUMMYFUNCTION("""COMPUTED_VALUE"""),"HTML/CSS")</f>
        <v>HTML/CSS</v>
      </c>
      <c r="H4287" s="9" t="str">
        <f>IFERROR(__xludf.DUMMYFUNCTION("""COMPUTED_VALUE"""),"JavaScript")</f>
        <v>JavaScript</v>
      </c>
      <c r="I4287" s="9" t="str">
        <f>IFERROR(__xludf.DUMMYFUNCTION("""COMPUTED_VALUE"""),"C++")</f>
        <v>C++</v>
      </c>
      <c r="J4287" s="9" t="str">
        <f>IFERROR(__xludf.DUMMYFUNCTION("""COMPUTED_VALUE"""),"C#")</f>
        <v>C#</v>
      </c>
      <c r="K4287" s="9" t="str">
        <f>IFERROR(__xludf.DUMMYFUNCTION("""COMPUTED_VALUE"""),"SQL")</f>
        <v>SQL</v>
      </c>
      <c r="L4287" s="9" t="str">
        <f>IFERROR(__xludf.DUMMYFUNCTION("""COMPUTED_VALUE"""),"HTML/CSS")</f>
        <v>HTML/CSS</v>
      </c>
      <c r="M4287" s="9" t="s">
        <v>22</v>
      </c>
    </row>
    <row r="4288" ht="15.75" customHeight="1">
      <c r="A4288" s="7"/>
      <c r="B4288" s="7" t="str">
        <f>IFERROR(__xludf.DUMMYFUNCTION("""COMPUTED_VALUE"""),"Bash/Shell/PowerShell;C++;HTML/CSS;JavaScript;PHP;Python;SQL")</f>
        <v>Bash/Shell/PowerShell;C++;HTML/CSS;JavaScript;PHP;Python;SQL</v>
      </c>
      <c r="C4288" s="9" t="str">
        <f>IFERROR(__xludf.DUMMYFUNCTION("""COMPUTED_VALUE"""),"TypeScript")</f>
        <v>TypeScript</v>
      </c>
      <c r="D4288" s="9" t="str">
        <f>IFERROR(__xludf.DUMMYFUNCTION("""COMPUTED_VALUE"""),"Python")</f>
        <v>Python</v>
      </c>
      <c r="E4288" s="9" t="str">
        <f>IFERROR(__xludf.DUMMYFUNCTION("""COMPUTED_VALUE"""),"R")</f>
        <v>R</v>
      </c>
      <c r="F4288" s="9" t="str">
        <f>IFERROR(__xludf.DUMMYFUNCTION("""COMPUTED_VALUE"""),"Python")</f>
        <v>Python</v>
      </c>
      <c r="G4288" s="9" t="str">
        <f>IFERROR(__xludf.DUMMYFUNCTION("""COMPUTED_VALUE"""),"Java")</f>
        <v>Java</v>
      </c>
      <c r="H4288" s="9" t="str">
        <f>IFERROR(__xludf.DUMMYFUNCTION("""COMPUTED_VALUE"""),"HTML/CSS")</f>
        <v>HTML/CSS</v>
      </c>
      <c r="I4288" s="9" t="str">
        <f>IFERROR(__xludf.DUMMYFUNCTION("""COMPUTED_VALUE"""),"C#")</f>
        <v>C#</v>
      </c>
      <c r="J4288" s="9" t="str">
        <f>IFERROR(__xludf.DUMMYFUNCTION("""COMPUTED_VALUE"""),"HTML/CSS")</f>
        <v>HTML/CSS</v>
      </c>
      <c r="K4288" s="9" t="str">
        <f>IFERROR(__xludf.DUMMYFUNCTION("""COMPUTED_VALUE"""),"Bash/Shell/PowerShell")</f>
        <v>Bash/Shell/PowerShell</v>
      </c>
      <c r="L4288" s="9" t="str">
        <f>IFERROR(__xludf.DUMMYFUNCTION("""COMPUTED_VALUE"""),"Java")</f>
        <v>Java</v>
      </c>
      <c r="M4288" s="9" t="s">
        <v>33</v>
      </c>
    </row>
    <row r="4289" ht="15.75" customHeight="1">
      <c r="A4289" s="7"/>
      <c r="B4289" s="7" t="str">
        <f>IFERROR(__xludf.DUMMYFUNCTION("""COMPUTED_VALUE"""),"Bash/Shell/PowerShell;C;C++;HTML/CSS;Java;JavaScript;Kotlin;Python;SQL")</f>
        <v>Bash/Shell/PowerShell;C;C++;HTML/CSS;Java;JavaScript;Kotlin;Python;SQL</v>
      </c>
      <c r="C4289" s="9" t="str">
        <f>IFERROR(__xludf.DUMMYFUNCTION("""COMPUTED_VALUE"""),"C")</f>
        <v>C</v>
      </c>
      <c r="D4289" s="9" t="str">
        <f>IFERROR(__xludf.DUMMYFUNCTION("""COMPUTED_VALUE"""),"SQL")</f>
        <v>SQL</v>
      </c>
      <c r="E4289" s="9" t="str">
        <f>IFERROR(__xludf.DUMMYFUNCTION("""COMPUTED_VALUE"""),"SQL")</f>
        <v>SQL</v>
      </c>
      <c r="F4289" s="9" t="str">
        <f>IFERROR(__xludf.DUMMYFUNCTION("""COMPUTED_VALUE"""),"C#")</f>
        <v>C#</v>
      </c>
      <c r="G4289" s="9" t="str">
        <f>IFERROR(__xludf.DUMMYFUNCTION("""COMPUTED_VALUE"""),"JavaScript")</f>
        <v>JavaScript</v>
      </c>
      <c r="H4289" s="9" t="str">
        <f>IFERROR(__xludf.DUMMYFUNCTION("""COMPUTED_VALUE"""),"JavaScript")</f>
        <v>JavaScript</v>
      </c>
      <c r="I4289" s="9" t="str">
        <f>IFERROR(__xludf.DUMMYFUNCTION("""COMPUTED_VALUE"""),"Elixir")</f>
        <v>Elixir</v>
      </c>
      <c r="J4289" s="9" t="str">
        <f>IFERROR(__xludf.DUMMYFUNCTION("""COMPUTED_VALUE"""),"Java")</f>
        <v>Java</v>
      </c>
      <c r="K4289" s="9" t="str">
        <f>IFERROR(__xludf.DUMMYFUNCTION("""COMPUTED_VALUE"""),"C")</f>
        <v>C</v>
      </c>
      <c r="L4289" s="9" t="str">
        <f>IFERROR(__xludf.DUMMYFUNCTION("""COMPUTED_VALUE"""),"JavaScript")</f>
        <v>JavaScript</v>
      </c>
      <c r="M4289" s="9" t="s">
        <v>25</v>
      </c>
    </row>
    <row r="4290" ht="15.75" customHeight="1">
      <c r="A4290" s="7"/>
      <c r="B4290" s="7" t="str">
        <f>IFERROR(__xludf.DUMMYFUNCTION("""COMPUTED_VALUE"""),"C;C++;C#;Java;Other(s):")</f>
        <v>C;C++;C#;Java;Other(s):</v>
      </c>
      <c r="C4290" s="9" t="str">
        <f>IFERROR(__xludf.DUMMYFUNCTION("""COMPUTED_VALUE"""),"C++")</f>
        <v>C++</v>
      </c>
      <c r="D4290" s="9" t="str">
        <f>IFERROR(__xludf.DUMMYFUNCTION("""COMPUTED_VALUE"""),"Bash/Shell/PowerShell")</f>
        <v>Bash/Shell/PowerShell</v>
      </c>
      <c r="E4290" s="9" t="str">
        <f>IFERROR(__xludf.DUMMYFUNCTION("""COMPUTED_VALUE"""),"Other(s):")</f>
        <v>Other(s):</v>
      </c>
      <c r="F4290" s="9" t="str">
        <f>IFERROR(__xludf.DUMMYFUNCTION("""COMPUTED_VALUE"""),"HTML/CSS")</f>
        <v>HTML/CSS</v>
      </c>
      <c r="G4290" s="9" t="str">
        <f>IFERROR(__xludf.DUMMYFUNCTION("""COMPUTED_VALUE"""),"Kotlin")</f>
        <v>Kotlin</v>
      </c>
      <c r="H4290" s="9" t="str">
        <f>IFERROR(__xludf.DUMMYFUNCTION("""COMPUTED_VALUE"""),"PHP")</f>
        <v>PHP</v>
      </c>
      <c r="I4290" s="9" t="str">
        <f>IFERROR(__xludf.DUMMYFUNCTION("""COMPUTED_VALUE"""),"Erlang")</f>
        <v>Erlang</v>
      </c>
      <c r="J4290" s="9" t="str">
        <f>IFERROR(__xludf.DUMMYFUNCTION("""COMPUTED_VALUE"""),"JavaScript")</f>
        <v>JavaScript</v>
      </c>
      <c r="K4290" s="9" t="str">
        <f>IFERROR(__xludf.DUMMYFUNCTION("""COMPUTED_VALUE"""),"C++")</f>
        <v>C++</v>
      </c>
      <c r="L4290" s="9" t="str">
        <f>IFERROR(__xludf.DUMMYFUNCTION("""COMPUTED_VALUE"""),"Kotlin")</f>
        <v>Kotlin</v>
      </c>
      <c r="M4290" s="9" t="s">
        <v>23</v>
      </c>
    </row>
    <row r="4291" ht="15.75" customHeight="1">
      <c r="A4291" s="7"/>
      <c r="B4291" s="7" t="str">
        <f>IFERROR(__xludf.DUMMYFUNCTION("""COMPUTED_VALUE"""),"HTML/CSS;JavaScript;Ruby;SQL")</f>
        <v>HTML/CSS;JavaScript;Ruby;SQL</v>
      </c>
      <c r="C4291" s="9" t="str">
        <f>IFERROR(__xludf.DUMMYFUNCTION("""COMPUTED_VALUE"""),"Bash/Shell/PowerShell")</f>
        <v>Bash/Shell/PowerShell</v>
      </c>
      <c r="D4291" s="9" t="str">
        <f>IFERROR(__xludf.DUMMYFUNCTION("""COMPUTED_VALUE"""),"HTML/CSS")</f>
        <v>HTML/CSS</v>
      </c>
      <c r="E4291" s="9" t="str">
        <f>IFERROR(__xludf.DUMMYFUNCTION("""COMPUTED_VALUE"""),"JavaScript")</f>
        <v>JavaScript</v>
      </c>
      <c r="F4291" s="9" t="str">
        <f>IFERROR(__xludf.DUMMYFUNCTION("""COMPUTED_VALUE"""),"SQL")</f>
        <v>SQL</v>
      </c>
      <c r="G4291" s="9" t="str">
        <f>IFERROR(__xludf.DUMMYFUNCTION("""COMPUTED_VALUE"""),"SQL")</f>
        <v>SQL</v>
      </c>
      <c r="H4291" s="9" t="str">
        <f>IFERROR(__xludf.DUMMYFUNCTION("""COMPUTED_VALUE"""),"SQL")</f>
        <v>SQL</v>
      </c>
      <c r="I4291" s="9" t="str">
        <f>IFERROR(__xludf.DUMMYFUNCTION("""COMPUTED_VALUE"""),"Go")</f>
        <v>Go</v>
      </c>
      <c r="J4291" s="9" t="str">
        <f>IFERROR(__xludf.DUMMYFUNCTION("""COMPUTED_VALUE"""),"SQL")</f>
        <v>SQL</v>
      </c>
      <c r="K4291" s="9" t="str">
        <f>IFERROR(__xludf.DUMMYFUNCTION("""COMPUTED_VALUE"""),"HTML/CSS")</f>
        <v>HTML/CSS</v>
      </c>
      <c r="L4291" s="9" t="str">
        <f>IFERROR(__xludf.DUMMYFUNCTION("""COMPUTED_VALUE"""),"Python")</f>
        <v>Python</v>
      </c>
      <c r="M4291" s="9" t="s">
        <v>30</v>
      </c>
    </row>
    <row r="4292" ht="15.75" customHeight="1">
      <c r="A4292" s="7"/>
      <c r="B4292" s="7" t="str">
        <f>IFERROR(__xludf.DUMMYFUNCTION("""COMPUTED_VALUE"""),"Bash/Shell/PowerShell;C;C#;Go;JavaScript;Python;SQL")</f>
        <v>Bash/Shell/PowerShell;C;C#;Go;JavaScript;Python;SQL</v>
      </c>
      <c r="C4292" s="9" t="str">
        <f>IFERROR(__xludf.DUMMYFUNCTION("""COMPUTED_VALUE"""),"HTML/CSS")</f>
        <v>HTML/CSS</v>
      </c>
      <c r="D4292" s="9" t="str">
        <f>IFERROR(__xludf.DUMMYFUNCTION("""COMPUTED_VALUE"""),"JavaScript")</f>
        <v>JavaScript</v>
      </c>
      <c r="E4292" s="9" t="str">
        <f>IFERROR(__xludf.DUMMYFUNCTION("""COMPUTED_VALUE"""),"PHP")</f>
        <v>PHP</v>
      </c>
      <c r="F4292" s="9" t="str">
        <f>IFERROR(__xludf.DUMMYFUNCTION("""COMPUTED_VALUE"""),"Bash/Shell/PowerShell")</f>
        <v>Bash/Shell/PowerShell</v>
      </c>
      <c r="G4292" s="9" t="str">
        <f>IFERROR(__xludf.DUMMYFUNCTION("""COMPUTED_VALUE"""),"TypeScript")</f>
        <v>TypeScript</v>
      </c>
      <c r="H4292" s="9" t="str">
        <f>IFERROR(__xludf.DUMMYFUNCTION("""COMPUTED_VALUE"""),"Bash/Shell/PowerShell")</f>
        <v>Bash/Shell/PowerShell</v>
      </c>
      <c r="I4292" s="9" t="str">
        <f>IFERROR(__xludf.DUMMYFUNCTION("""COMPUTED_VALUE"""),"HTML/CSS")</f>
        <v>HTML/CSS</v>
      </c>
      <c r="J4292" s="9" t="str">
        <f>IFERROR(__xludf.DUMMYFUNCTION("""COMPUTED_VALUE"""),"TypeScript")</f>
        <v>TypeScript</v>
      </c>
      <c r="K4292" s="9" t="str">
        <f>IFERROR(__xludf.DUMMYFUNCTION("""COMPUTED_VALUE"""),"Java")</f>
        <v>Java</v>
      </c>
      <c r="L4292" s="9" t="str">
        <f>IFERROR(__xludf.DUMMYFUNCTION("""COMPUTED_VALUE"""),"SQL")</f>
        <v>SQL</v>
      </c>
      <c r="M4292" s="9" t="s">
        <v>24</v>
      </c>
    </row>
    <row r="4293" ht="15.75" customHeight="1">
      <c r="A4293" s="7"/>
      <c r="B4293" s="7" t="str">
        <f>IFERROR(__xludf.DUMMYFUNCTION("""COMPUTED_VALUE"""),"Dart;HTML/CSS;Java;JavaScript;PHP;Python;SQL;VBA")</f>
        <v>Dart;HTML/CSS;Java;JavaScript;PHP;Python;SQL;VBA</v>
      </c>
      <c r="C4293" s="9" t="str">
        <f>IFERROR(__xludf.DUMMYFUNCTION("""COMPUTED_VALUE"""),"JavaScript")</f>
        <v>JavaScript</v>
      </c>
      <c r="D4293" s="9" t="str">
        <f>IFERROR(__xludf.DUMMYFUNCTION("""COMPUTED_VALUE"""),"Scala")</f>
        <v>Scala</v>
      </c>
      <c r="E4293" s="9" t="str">
        <f>IFERROR(__xludf.DUMMYFUNCTION("""COMPUTED_VALUE"""),"SQL")</f>
        <v>SQL</v>
      </c>
      <c r="F4293" s="9" t="str">
        <f>IFERROR(__xludf.DUMMYFUNCTION("""COMPUTED_VALUE"""),"C#")</f>
        <v>C#</v>
      </c>
      <c r="G4293" s="9" t="str">
        <f>IFERROR(__xludf.DUMMYFUNCTION("""COMPUTED_VALUE"""),"Clojure")</f>
        <v>Clojure</v>
      </c>
      <c r="H4293" s="9" t="str">
        <f>IFERROR(__xludf.DUMMYFUNCTION("""COMPUTED_VALUE"""),"C++")</f>
        <v>C++</v>
      </c>
      <c r="I4293" s="9" t="str">
        <f>IFERROR(__xludf.DUMMYFUNCTION("""COMPUTED_VALUE"""),"Java")</f>
        <v>Java</v>
      </c>
      <c r="J4293" s="9" t="str">
        <f>IFERROR(__xludf.DUMMYFUNCTION("""COMPUTED_VALUE"""),"C")</f>
        <v>C</v>
      </c>
      <c r="K4293" s="9" t="str">
        <f>IFERROR(__xludf.DUMMYFUNCTION("""COMPUTED_VALUE"""),"JavaScript")</f>
        <v>JavaScript</v>
      </c>
      <c r="L4293" s="9" t="str">
        <f>IFERROR(__xludf.DUMMYFUNCTION("""COMPUTED_VALUE"""),"HTML/CSS")</f>
        <v>HTML/CSS</v>
      </c>
      <c r="M4293" s="9" t="s">
        <v>21</v>
      </c>
    </row>
    <row r="4294" ht="15.75" customHeight="1">
      <c r="A4294" s="7"/>
      <c r="B4294" s="7" t="str">
        <f>IFERROR(__xludf.DUMMYFUNCTION("""COMPUTED_VALUE"""),"C;C++;HTML/CSS;Java;JavaScript;PHP")</f>
        <v>C;C++;HTML/CSS;Java;JavaScript;PHP</v>
      </c>
      <c r="C4294" s="9" t="str">
        <f>IFERROR(__xludf.DUMMYFUNCTION("""COMPUTED_VALUE"""),"PHP")</f>
        <v>PHP</v>
      </c>
      <c r="D4294" s="9" t="str">
        <f>IFERROR(__xludf.DUMMYFUNCTION("""COMPUTED_VALUE"""),"SQL")</f>
        <v>SQL</v>
      </c>
      <c r="E4294" s="9" t="str">
        <f>IFERROR(__xludf.DUMMYFUNCTION("""COMPUTED_VALUE"""),"HTML/CSS")</f>
        <v>HTML/CSS</v>
      </c>
      <c r="F4294" s="9" t="str">
        <f>IFERROR(__xludf.DUMMYFUNCTION("""COMPUTED_VALUE"""),"Java")</f>
        <v>Java</v>
      </c>
      <c r="G4294" s="9" t="str">
        <f>IFERROR(__xludf.DUMMYFUNCTION("""COMPUTED_VALUE"""),"JavaScript")</f>
        <v>JavaScript</v>
      </c>
      <c r="H4294" s="9" t="str">
        <f>IFERROR(__xludf.DUMMYFUNCTION("""COMPUTED_VALUE"""),"Python")</f>
        <v>Python</v>
      </c>
      <c r="I4294" s="9" t="str">
        <f>IFERROR(__xludf.DUMMYFUNCTION("""COMPUTED_VALUE"""),"JavaScript")</f>
        <v>JavaScript</v>
      </c>
      <c r="J4294" s="9" t="str">
        <f>IFERROR(__xludf.DUMMYFUNCTION("""COMPUTED_VALUE"""),"C++")</f>
        <v>C++</v>
      </c>
      <c r="K4294" s="9" t="str">
        <f>IFERROR(__xludf.DUMMYFUNCTION("""COMPUTED_VALUE"""),"Python")</f>
        <v>Python</v>
      </c>
      <c r="L4294" s="9" t="str">
        <f>IFERROR(__xludf.DUMMYFUNCTION("""COMPUTED_VALUE"""),"JavaScript")</f>
        <v>JavaScript</v>
      </c>
      <c r="M4294" s="9" t="s">
        <v>37</v>
      </c>
    </row>
    <row r="4295" ht="15.75" customHeight="1">
      <c r="A4295" s="7"/>
      <c r="B4295" s="7" t="str">
        <f>IFERROR(__xludf.DUMMYFUNCTION("""COMPUTED_VALUE"""),"Python;Swift")</f>
        <v>Python;Swift</v>
      </c>
      <c r="C4295" s="9" t="str">
        <f>IFERROR(__xludf.DUMMYFUNCTION("""COMPUTED_VALUE"""),"Python")</f>
        <v>Python</v>
      </c>
      <c r="D4295" s="9" t="str">
        <f>IFERROR(__xludf.DUMMYFUNCTION("""COMPUTED_VALUE"""),"TypeScript")</f>
        <v>TypeScript</v>
      </c>
      <c r="E4295" s="9" t="str">
        <f>IFERROR(__xludf.DUMMYFUNCTION("""COMPUTED_VALUE"""),"JavaScript")</f>
        <v>JavaScript</v>
      </c>
      <c r="F4295" s="9" t="str">
        <f>IFERROR(__xludf.DUMMYFUNCTION("""COMPUTED_VALUE"""),"JavaScript")</f>
        <v>JavaScript</v>
      </c>
      <c r="G4295" s="9" t="str">
        <f>IFERROR(__xludf.DUMMYFUNCTION("""COMPUTED_VALUE"""),"Assembly")</f>
        <v>Assembly</v>
      </c>
      <c r="H4295" s="9" t="str">
        <f>IFERROR(__xludf.DUMMYFUNCTION("""COMPUTED_VALUE"""),"HTML/CSS")</f>
        <v>HTML/CSS</v>
      </c>
      <c r="I4295" s="9" t="str">
        <f>IFERROR(__xludf.DUMMYFUNCTION("""COMPUTED_VALUE"""),"Kotlin")</f>
        <v>Kotlin</v>
      </c>
      <c r="J4295" s="9" t="str">
        <f>IFERROR(__xludf.DUMMYFUNCTION("""COMPUTED_VALUE"""),"C#")</f>
        <v>C#</v>
      </c>
      <c r="K4295" s="9" t="str">
        <f>IFERROR(__xludf.DUMMYFUNCTION("""COMPUTED_VALUE"""),"SQL")</f>
        <v>SQL</v>
      </c>
      <c r="L4295" s="9" t="str">
        <f>IFERROR(__xludf.DUMMYFUNCTION("""COMPUTED_VALUE"""),"PHP")</f>
        <v>PHP</v>
      </c>
      <c r="M4295" s="9" t="s">
        <v>22</v>
      </c>
    </row>
    <row r="4296" ht="15.75" customHeight="1">
      <c r="A4296" s="7"/>
      <c r="B4296" s="7" t="str">
        <f>IFERROR(__xludf.DUMMYFUNCTION("""COMPUTED_VALUE"""),"Bash/Shell/PowerShell;HTML/CSS;JavaScript;SQL;TypeScript")</f>
        <v>Bash/Shell/PowerShell;HTML/CSS;JavaScript;SQL;TypeScript</v>
      </c>
      <c r="C4296" s="9" t="str">
        <f>IFERROR(__xludf.DUMMYFUNCTION("""COMPUTED_VALUE"""),"SQL")</f>
        <v>SQL</v>
      </c>
      <c r="D4296" s="9" t="str">
        <f>IFERROR(__xludf.DUMMYFUNCTION("""COMPUTED_VALUE"""),"Assembly")</f>
        <v>Assembly</v>
      </c>
      <c r="E4296" s="9" t="str">
        <f>IFERROR(__xludf.DUMMYFUNCTION("""COMPUTED_VALUE"""),"PHP")</f>
        <v>PHP</v>
      </c>
      <c r="F4296" s="9" t="str">
        <f>IFERROR(__xludf.DUMMYFUNCTION("""COMPUTED_VALUE"""),"SQL")</f>
        <v>SQL</v>
      </c>
      <c r="G4296" s="9" t="str">
        <f>IFERROR(__xludf.DUMMYFUNCTION("""COMPUTED_VALUE"""),"C")</f>
        <v>C</v>
      </c>
      <c r="H4296" s="9" t="str">
        <f>IFERROR(__xludf.DUMMYFUNCTION("""COMPUTED_VALUE"""),"JavaScript")</f>
        <v>JavaScript</v>
      </c>
      <c r="I4296" s="9" t="str">
        <f>IFERROR(__xludf.DUMMYFUNCTION("""COMPUTED_VALUE"""),"Objective-C")</f>
        <v>Objective-C</v>
      </c>
      <c r="J4296" s="9" t="str">
        <f>IFERROR(__xludf.DUMMYFUNCTION("""COMPUTED_VALUE"""),"Python")</f>
        <v>Python</v>
      </c>
      <c r="K4296" s="9" t="str">
        <f>IFERROR(__xludf.DUMMYFUNCTION("""COMPUTED_VALUE"""),"HTML/CSS")</f>
        <v>HTML/CSS</v>
      </c>
      <c r="L4296" s="9" t="str">
        <f>IFERROR(__xludf.DUMMYFUNCTION("""COMPUTED_VALUE"""),"Ruby")</f>
        <v>Ruby</v>
      </c>
      <c r="M4296" s="9" t="s">
        <v>27</v>
      </c>
    </row>
    <row r="4297" ht="15.75" customHeight="1">
      <c r="A4297" s="7"/>
      <c r="B4297" s="7" t="str">
        <f>IFERROR(__xludf.DUMMYFUNCTION("""COMPUTED_VALUE"""),"Bash/Shell/PowerShell;C")</f>
        <v>Bash/Shell/PowerShell;C</v>
      </c>
      <c r="C4297" s="9" t="str">
        <f>IFERROR(__xludf.DUMMYFUNCTION("""COMPUTED_VALUE"""),"C")</f>
        <v>C</v>
      </c>
      <c r="D4297" s="9" t="str">
        <f>IFERROR(__xludf.DUMMYFUNCTION("""COMPUTED_VALUE"""),"Bash/Shell/PowerShell")</f>
        <v>Bash/Shell/PowerShell</v>
      </c>
      <c r="E4297" s="9" t="str">
        <f>IFERROR(__xludf.DUMMYFUNCTION("""COMPUTED_VALUE"""),"Bash/Shell/PowerShell")</f>
        <v>Bash/Shell/PowerShell</v>
      </c>
      <c r="F4297" s="9" t="str">
        <f>IFERROR(__xludf.DUMMYFUNCTION("""COMPUTED_VALUE"""),"TypeScript")</f>
        <v>TypeScript</v>
      </c>
      <c r="G4297" s="9" t="str">
        <f>IFERROR(__xludf.DUMMYFUNCTION("""COMPUTED_VALUE"""),"C#")</f>
        <v>C#</v>
      </c>
      <c r="H4297" s="9" t="str">
        <f>IFERROR(__xludf.DUMMYFUNCTION("""COMPUTED_VALUE"""),"PHP")</f>
        <v>PHP</v>
      </c>
      <c r="I4297" s="9" t="str">
        <f>IFERROR(__xludf.DUMMYFUNCTION("""COMPUTED_VALUE"""),"Python")</f>
        <v>Python</v>
      </c>
      <c r="J4297" s="9" t="str">
        <f>IFERROR(__xludf.DUMMYFUNCTION("""COMPUTED_VALUE"""),"Bash/Shell/PowerShell")</f>
        <v>Bash/Shell/PowerShell</v>
      </c>
      <c r="K4297" s="9" t="str">
        <f>IFERROR(__xludf.DUMMYFUNCTION("""COMPUTED_VALUE"""),"JavaScript")</f>
        <v>JavaScript</v>
      </c>
      <c r="L4297" s="9" t="str">
        <f>IFERROR(__xludf.DUMMYFUNCTION("""COMPUTED_VALUE"""),"SQL")</f>
        <v>SQL</v>
      </c>
      <c r="M4297" s="9" t="s">
        <v>25</v>
      </c>
    </row>
    <row r="4298" ht="15.75" customHeight="1">
      <c r="A4298" s="7"/>
      <c r="B4298" s="7" t="str">
        <f>IFERROR(__xludf.DUMMYFUNCTION("""COMPUTED_VALUE"""),"C;C++;Python")</f>
        <v>C;C++;Python</v>
      </c>
      <c r="C4298" s="9" t="str">
        <f>IFERROR(__xludf.DUMMYFUNCTION("""COMPUTED_VALUE"""),"HTML/CSS")</f>
        <v>HTML/CSS</v>
      </c>
      <c r="D4298" s="9" t="str">
        <f>IFERROR(__xludf.DUMMYFUNCTION("""COMPUTED_VALUE"""),"C")</f>
        <v>C</v>
      </c>
      <c r="E4298" s="9" t="str">
        <f>IFERROR(__xludf.DUMMYFUNCTION("""COMPUTED_VALUE"""),"C")</f>
        <v>C</v>
      </c>
      <c r="F4298" s="9" t="str">
        <f>IFERROR(__xludf.DUMMYFUNCTION("""COMPUTED_VALUE"""),"HTML/CSS")</f>
        <v>HTML/CSS</v>
      </c>
      <c r="G4298" s="9" t="str">
        <f>IFERROR(__xludf.DUMMYFUNCTION("""COMPUTED_VALUE"""),"Bash/Shell/PowerShell")</f>
        <v>Bash/Shell/PowerShell</v>
      </c>
      <c r="H4298" s="9" t="str">
        <f>IFERROR(__xludf.DUMMYFUNCTION("""COMPUTED_VALUE"""),"SQL")</f>
        <v>SQL</v>
      </c>
      <c r="I4298" s="9" t="str">
        <f>IFERROR(__xludf.DUMMYFUNCTION("""COMPUTED_VALUE"""),"R")</f>
        <v>R</v>
      </c>
      <c r="J4298" s="9" t="str">
        <f>IFERROR(__xludf.DUMMYFUNCTION("""COMPUTED_VALUE"""),"C")</f>
        <v>C</v>
      </c>
      <c r="K4298" s="9" t="str">
        <f>IFERROR(__xludf.DUMMYFUNCTION("""COMPUTED_VALUE"""),"PHP")</f>
        <v>PHP</v>
      </c>
      <c r="L4298" s="9" t="str">
        <f>IFERROR(__xludf.DUMMYFUNCTION("""COMPUTED_VALUE"""),"C++")</f>
        <v>C++</v>
      </c>
      <c r="M4298" s="9" t="s">
        <v>24</v>
      </c>
    </row>
    <row r="4299" ht="15.75" customHeight="1">
      <c r="A4299" s="7"/>
      <c r="B4299" s="7" t="str">
        <f>IFERROR(__xludf.DUMMYFUNCTION("""COMPUTED_VALUE"""),"HTML/CSS;JavaScript;Python")</f>
        <v>HTML/CSS;JavaScript;Python</v>
      </c>
      <c r="C4299" s="9" t="str">
        <f>IFERROR(__xludf.DUMMYFUNCTION("""COMPUTED_VALUE"""),"JavaScript")</f>
        <v>JavaScript</v>
      </c>
      <c r="D4299" s="9" t="str">
        <f>IFERROR(__xludf.DUMMYFUNCTION("""COMPUTED_VALUE"""),"C++")</f>
        <v>C++</v>
      </c>
      <c r="E4299" s="9" t="str">
        <f>IFERROR(__xludf.DUMMYFUNCTION("""COMPUTED_VALUE"""),"C++")</f>
        <v>C++</v>
      </c>
      <c r="F4299" s="9" t="str">
        <f>IFERROR(__xludf.DUMMYFUNCTION("""COMPUTED_VALUE"""),"Java")</f>
        <v>Java</v>
      </c>
      <c r="G4299" s="9" t="str">
        <f>IFERROR(__xludf.DUMMYFUNCTION("""COMPUTED_VALUE"""),"Go")</f>
        <v>Go</v>
      </c>
      <c r="H4299" s="9" t="str">
        <f>IFERROR(__xludf.DUMMYFUNCTION("""COMPUTED_VALUE"""),"Bash/Shell/PowerShell")</f>
        <v>Bash/Shell/PowerShell</v>
      </c>
      <c r="I4299" s="9" t="str">
        <f>IFERROR(__xludf.DUMMYFUNCTION("""COMPUTED_VALUE"""),"Swift")</f>
        <v>Swift</v>
      </c>
      <c r="J4299" s="9" t="str">
        <f>IFERROR(__xludf.DUMMYFUNCTION("""COMPUTED_VALUE"""),"C++")</f>
        <v>C++</v>
      </c>
      <c r="K4299" s="9" t="str">
        <f>IFERROR(__xludf.DUMMYFUNCTION("""COMPUTED_VALUE"""),"HTML/CSS")</f>
        <v>HTML/CSS</v>
      </c>
      <c r="L4299" s="9" t="str">
        <f>IFERROR(__xludf.DUMMYFUNCTION("""COMPUTED_VALUE"""),"C#")</f>
        <v>C#</v>
      </c>
      <c r="M4299" s="9" t="s">
        <v>21</v>
      </c>
    </row>
    <row r="4300" ht="15.75" customHeight="1">
      <c r="A4300" s="7"/>
      <c r="B4300" s="7" t="str">
        <f>IFERROR(__xludf.DUMMYFUNCTION("""COMPUTED_VALUE"""),"HTML/CSS;JavaScript;PHP;SQL")</f>
        <v>HTML/CSS;JavaScript;PHP;SQL</v>
      </c>
      <c r="C4300" s="9" t="str">
        <f>IFERROR(__xludf.DUMMYFUNCTION("""COMPUTED_VALUE"""),"Python")</f>
        <v>Python</v>
      </c>
      <c r="D4300" s="9" t="str">
        <f>IFERROR(__xludf.DUMMYFUNCTION("""COMPUTED_VALUE"""),"C#")</f>
        <v>C#</v>
      </c>
      <c r="E4300" s="9" t="str">
        <f>IFERROR(__xludf.DUMMYFUNCTION("""COMPUTED_VALUE"""),"HTML/CSS")</f>
        <v>HTML/CSS</v>
      </c>
      <c r="F4300" s="9" t="str">
        <f>IFERROR(__xludf.DUMMYFUNCTION("""COMPUTED_VALUE"""),"JavaScript")</f>
        <v>JavaScript</v>
      </c>
      <c r="G4300" s="9" t="str">
        <f>IFERROR(__xludf.DUMMYFUNCTION("""COMPUTED_VALUE"""),"HTML/CSS")</f>
        <v>HTML/CSS</v>
      </c>
      <c r="H4300" s="9" t="str">
        <f>IFERROR(__xludf.DUMMYFUNCTION("""COMPUTED_VALUE"""),"HTML/CSS")</f>
        <v>HTML/CSS</v>
      </c>
      <c r="I4300" s="9" t="str">
        <f>IFERROR(__xludf.DUMMYFUNCTION("""COMPUTED_VALUE"""),"TypeScript")</f>
        <v>TypeScript</v>
      </c>
      <c r="J4300" s="9" t="str">
        <f>IFERROR(__xludf.DUMMYFUNCTION("""COMPUTED_VALUE"""),"C#")</f>
        <v>C#</v>
      </c>
      <c r="K4300" s="9" t="str">
        <f>IFERROR(__xludf.DUMMYFUNCTION("""COMPUTED_VALUE"""),"Python")</f>
        <v>Python</v>
      </c>
      <c r="L4300" s="9" t="str">
        <f>IFERROR(__xludf.DUMMYFUNCTION("""COMPUTED_VALUE"""),"HTML/CSS")</f>
        <v>HTML/CSS</v>
      </c>
      <c r="M4300" s="9" t="s">
        <v>22</v>
      </c>
    </row>
    <row r="4301" ht="15.75" customHeight="1">
      <c r="A4301" s="7"/>
      <c r="B4301" s="7" t="str">
        <f>IFERROR(__xludf.DUMMYFUNCTION("""COMPUTED_VALUE"""),"Bash/Shell/PowerShell;HTML/CSS;Java;JavaScript;SQL")</f>
        <v>Bash/Shell/PowerShell;HTML/CSS;Java;JavaScript;SQL</v>
      </c>
      <c r="C4301" s="9" t="str">
        <f>IFERROR(__xludf.DUMMYFUNCTION("""COMPUTED_VALUE"""),"SQL")</f>
        <v>SQL</v>
      </c>
      <c r="D4301" s="9" t="str">
        <f>IFERROR(__xludf.DUMMYFUNCTION("""COMPUTED_VALUE"""),"F#")</f>
        <v>F#</v>
      </c>
      <c r="E4301" s="9" t="str">
        <f>IFERROR(__xludf.DUMMYFUNCTION("""COMPUTED_VALUE"""),"Java")</f>
        <v>Java</v>
      </c>
      <c r="F4301" s="9" t="str">
        <f>IFERROR(__xludf.DUMMYFUNCTION("""COMPUTED_VALUE"""),"PHP")</f>
        <v>PHP</v>
      </c>
      <c r="G4301" s="9" t="str">
        <f>IFERROR(__xludf.DUMMYFUNCTION("""COMPUTED_VALUE"""),"JavaScript")</f>
        <v>JavaScript</v>
      </c>
      <c r="H4301" s="9" t="str">
        <f>IFERROR(__xludf.DUMMYFUNCTION("""COMPUTED_VALUE"""),"JavaScript")</f>
        <v>JavaScript</v>
      </c>
      <c r="I4301" s="9" t="str">
        <f>IFERROR(__xludf.DUMMYFUNCTION("""COMPUTED_VALUE"""),"JavaScript")</f>
        <v>JavaScript</v>
      </c>
      <c r="J4301" s="9" t="str">
        <f>IFERROR(__xludf.DUMMYFUNCTION("""COMPUTED_VALUE"""),"SQL")</f>
        <v>SQL</v>
      </c>
      <c r="K4301" s="9" t="str">
        <f>IFERROR(__xludf.DUMMYFUNCTION("""COMPUTED_VALUE"""),"R")</f>
        <v>R</v>
      </c>
      <c r="L4301" s="9" t="str">
        <f>IFERROR(__xludf.DUMMYFUNCTION("""COMPUTED_VALUE"""),"JavaScript")</f>
        <v>JavaScript</v>
      </c>
      <c r="M4301" s="9" t="s">
        <v>27</v>
      </c>
    </row>
    <row r="4302" ht="15.75" customHeight="1">
      <c r="A4302" s="7"/>
      <c r="B4302" s="7" t="str">
        <f>IFERROR(__xludf.DUMMYFUNCTION("""COMPUTED_VALUE"""),"Bash/Shell/PowerShell;C++;Java;JavaScript;Objective-C;Swift")</f>
        <v>Bash/Shell/PowerShell;C++;Java;JavaScript;Objective-C;Swift</v>
      </c>
      <c r="C4302" s="9" t="str">
        <f>IFERROR(__xludf.DUMMYFUNCTION("""COMPUTED_VALUE"""),"TypeScript")</f>
        <v>TypeScript</v>
      </c>
      <c r="D4302" s="9" t="str">
        <f>IFERROR(__xludf.DUMMYFUNCTION("""COMPUTED_VALUE"""),"Go")</f>
        <v>Go</v>
      </c>
      <c r="E4302" s="9" t="str">
        <f>IFERROR(__xludf.DUMMYFUNCTION("""COMPUTED_VALUE"""),"JavaScript")</f>
        <v>JavaScript</v>
      </c>
      <c r="F4302" s="9" t="str">
        <f>IFERROR(__xludf.DUMMYFUNCTION("""COMPUTED_VALUE"""),"TypeScript")</f>
        <v>TypeScript</v>
      </c>
      <c r="G4302" s="9" t="str">
        <f>IFERROR(__xludf.DUMMYFUNCTION("""COMPUTED_VALUE"""),"PHP")</f>
        <v>PHP</v>
      </c>
      <c r="H4302" s="9" t="str">
        <f>IFERROR(__xludf.DUMMYFUNCTION("""COMPUTED_VALUE"""),"SQL")</f>
        <v>SQL</v>
      </c>
      <c r="I4302" s="9" t="str">
        <f>IFERROR(__xludf.DUMMYFUNCTION("""COMPUTED_VALUE"""),"Ruby")</f>
        <v>Ruby</v>
      </c>
      <c r="J4302" s="9" t="str">
        <f>IFERROR(__xludf.DUMMYFUNCTION("""COMPUTED_VALUE"""),"Assembly")</f>
        <v>Assembly</v>
      </c>
      <c r="K4302" s="9" t="str">
        <f>IFERROR(__xludf.DUMMYFUNCTION("""COMPUTED_VALUE"""),"SQL")</f>
        <v>SQL</v>
      </c>
      <c r="L4302" s="9" t="str">
        <f>IFERROR(__xludf.DUMMYFUNCTION("""COMPUTED_VALUE"""),"PHP")</f>
        <v>PHP</v>
      </c>
      <c r="M4302" s="9" t="s">
        <v>33</v>
      </c>
    </row>
    <row r="4303" ht="15.75" customHeight="1">
      <c r="A4303" s="7"/>
      <c r="B4303" s="7" t="str">
        <f>IFERROR(__xludf.DUMMYFUNCTION("""COMPUTED_VALUE"""),"Go;Python;SQL;Other(s):")</f>
        <v>Go;Python;SQL;Other(s):</v>
      </c>
      <c r="C4303" s="9" t="str">
        <f>IFERROR(__xludf.DUMMYFUNCTION("""COMPUTED_VALUE"""),"C++")</f>
        <v>C++</v>
      </c>
      <c r="D4303" s="9" t="str">
        <f>IFERROR(__xludf.DUMMYFUNCTION("""COMPUTED_VALUE"""),"HTML/CSS")</f>
        <v>HTML/CSS</v>
      </c>
      <c r="E4303" s="9" t="str">
        <f>IFERROR(__xludf.DUMMYFUNCTION("""COMPUTED_VALUE"""),"Objective-C")</f>
        <v>Objective-C</v>
      </c>
      <c r="F4303" s="9" t="str">
        <f>IFERROR(__xludf.DUMMYFUNCTION("""COMPUTED_VALUE"""),"C#")</f>
        <v>C#</v>
      </c>
      <c r="G4303" s="9" t="str">
        <f>IFERROR(__xludf.DUMMYFUNCTION("""COMPUTED_VALUE"""),"Python")</f>
        <v>Python</v>
      </c>
      <c r="H4303" s="9" t="str">
        <f>IFERROR(__xludf.DUMMYFUNCTION("""COMPUTED_VALUE"""),"HTML/CSS")</f>
        <v>HTML/CSS</v>
      </c>
      <c r="I4303" s="9" t="str">
        <f>IFERROR(__xludf.DUMMYFUNCTION("""COMPUTED_VALUE"""),"TypeScript")</f>
        <v>TypeScript</v>
      </c>
      <c r="J4303" s="9" t="str">
        <f>IFERROR(__xludf.DUMMYFUNCTION("""COMPUTED_VALUE"""),"Bash/Shell/PowerShell")</f>
        <v>Bash/Shell/PowerShell</v>
      </c>
      <c r="K4303" s="9" t="str">
        <f>IFERROR(__xludf.DUMMYFUNCTION("""COMPUTED_VALUE"""),"C#")</f>
        <v>C#</v>
      </c>
      <c r="L4303" s="9" t="str">
        <f>IFERROR(__xludf.DUMMYFUNCTION("""COMPUTED_VALUE"""),"SQL")</f>
        <v>SQL</v>
      </c>
      <c r="M4303" s="9" t="s">
        <v>23</v>
      </c>
    </row>
    <row r="4304" ht="15.75" customHeight="1">
      <c r="A4304" s="7"/>
      <c r="B4304" s="7" t="str">
        <f>IFERROR(__xludf.DUMMYFUNCTION("""COMPUTED_VALUE"""),"Bash/Shell/PowerShell;Java;Python")</f>
        <v>Bash/Shell/PowerShell;Java;Python</v>
      </c>
      <c r="C4304" s="9" t="str">
        <f>IFERROR(__xludf.DUMMYFUNCTION("""COMPUTED_VALUE"""),"HTML/CSS")</f>
        <v>HTML/CSS</v>
      </c>
      <c r="D4304" s="9" t="str">
        <f>IFERROR(__xludf.DUMMYFUNCTION("""COMPUTED_VALUE"""),"Java")</f>
        <v>Java</v>
      </c>
      <c r="E4304" s="9" t="str">
        <f>IFERROR(__xludf.DUMMYFUNCTION("""COMPUTED_VALUE"""),"SQL")</f>
        <v>SQL</v>
      </c>
      <c r="F4304" s="9" t="str">
        <f>IFERROR(__xludf.DUMMYFUNCTION("""COMPUTED_VALUE"""),"HTML/CSS")</f>
        <v>HTML/CSS</v>
      </c>
      <c r="G4304" s="9" t="str">
        <f>IFERROR(__xludf.DUMMYFUNCTION("""COMPUTED_VALUE"""),"R")</f>
        <v>R</v>
      </c>
      <c r="H4304" s="9" t="str">
        <f>IFERROR(__xludf.DUMMYFUNCTION("""COMPUTED_VALUE"""),"Java")</f>
        <v>Java</v>
      </c>
      <c r="I4304" s="9" t="str">
        <f>IFERROR(__xludf.DUMMYFUNCTION("""COMPUTED_VALUE"""),"C")</f>
        <v>C</v>
      </c>
      <c r="J4304" s="9" t="str">
        <f>IFERROR(__xludf.DUMMYFUNCTION("""COMPUTED_VALUE"""),"C")</f>
        <v>C</v>
      </c>
      <c r="K4304" s="9" t="str">
        <f>IFERROR(__xludf.DUMMYFUNCTION("""COMPUTED_VALUE"""),"Other(s):")</f>
        <v>Other(s):</v>
      </c>
      <c r="L4304" s="9" t="str">
        <f>IFERROR(__xludf.DUMMYFUNCTION("""COMPUTED_VALUE"""),"Bash/Shell/PowerShell")</f>
        <v>Bash/Shell/PowerShell</v>
      </c>
      <c r="M4304" s="9" t="s">
        <v>24</v>
      </c>
    </row>
    <row r="4305" ht="15.75" customHeight="1">
      <c r="A4305" s="7"/>
      <c r="B4305" s="7" t="str">
        <f>IFERROR(__xludf.DUMMYFUNCTION("""COMPUTED_VALUE"""),"C;C++")</f>
        <v>C;C++</v>
      </c>
      <c r="C4305" s="9" t="str">
        <f>IFERROR(__xludf.DUMMYFUNCTION("""COMPUTED_VALUE"""),"JavaScript")</f>
        <v>JavaScript</v>
      </c>
      <c r="D4305" s="9" t="str">
        <f>IFERROR(__xludf.DUMMYFUNCTION("""COMPUTED_VALUE"""),"JavaScript")</f>
        <v>JavaScript</v>
      </c>
      <c r="E4305" s="9" t="str">
        <f>IFERROR(__xludf.DUMMYFUNCTION("""COMPUTED_VALUE"""),"Java")</f>
        <v>Java</v>
      </c>
      <c r="F4305" s="9" t="str">
        <f>IFERROR(__xludf.DUMMYFUNCTION("""COMPUTED_VALUE"""),"Java")</f>
        <v>Java</v>
      </c>
      <c r="G4305" s="9" t="str">
        <f>IFERROR(__xludf.DUMMYFUNCTION("""COMPUTED_VALUE"""),"Ruby")</f>
        <v>Ruby</v>
      </c>
      <c r="H4305" s="9" t="str">
        <f>IFERROR(__xludf.DUMMYFUNCTION("""COMPUTED_VALUE"""),"JavaScript")</f>
        <v>JavaScript</v>
      </c>
      <c r="I4305" s="9" t="str">
        <f>IFERROR(__xludf.DUMMYFUNCTION("""COMPUTED_VALUE"""),"C++")</f>
        <v>C++</v>
      </c>
      <c r="J4305" s="9" t="str">
        <f>IFERROR(__xludf.DUMMYFUNCTION("""COMPUTED_VALUE"""),"C++")</f>
        <v>C++</v>
      </c>
      <c r="K4305" s="9" t="str">
        <f>IFERROR(__xludf.DUMMYFUNCTION("""COMPUTED_VALUE"""),"C#")</f>
        <v>C#</v>
      </c>
      <c r="L4305" s="9" t="str">
        <f>IFERROR(__xludf.DUMMYFUNCTION("""COMPUTED_VALUE"""),"HTML/CSS")</f>
        <v>HTML/CSS</v>
      </c>
      <c r="M4305" s="9" t="s">
        <v>21</v>
      </c>
    </row>
    <row r="4306" ht="15.75" customHeight="1">
      <c r="A4306" s="7"/>
      <c r="B4306" s="7" t="str">
        <f>IFERROR(__xludf.DUMMYFUNCTION("""COMPUTED_VALUE"""),"Bash/Shell/PowerShell;HTML/CSS;JavaScript;Ruby;SQL")</f>
        <v>Bash/Shell/PowerShell;HTML/CSS;JavaScript;Ruby;SQL</v>
      </c>
      <c r="C4306" s="9" t="str">
        <f>IFERROR(__xludf.DUMMYFUNCTION("""COMPUTED_VALUE"""),"Rust")</f>
        <v>Rust</v>
      </c>
      <c r="D4306" s="9" t="str">
        <f>IFERROR(__xludf.DUMMYFUNCTION("""COMPUTED_VALUE"""),"Kotlin")</f>
        <v>Kotlin</v>
      </c>
      <c r="E4306" s="9" t="str">
        <f>IFERROR(__xludf.DUMMYFUNCTION("""COMPUTED_VALUE"""),"JavaScript")</f>
        <v>JavaScript</v>
      </c>
      <c r="F4306" s="9" t="str">
        <f>IFERROR(__xludf.DUMMYFUNCTION("""COMPUTED_VALUE"""),"JavaScript")</f>
        <v>JavaScript</v>
      </c>
      <c r="G4306" s="9" t="str">
        <f>IFERROR(__xludf.DUMMYFUNCTION("""COMPUTED_VALUE"""),"SQL")</f>
        <v>SQL</v>
      </c>
      <c r="H4306" s="9" t="str">
        <f>IFERROR(__xludf.DUMMYFUNCTION("""COMPUTED_VALUE"""),"PHP")</f>
        <v>PHP</v>
      </c>
      <c r="I4306" s="9" t="str">
        <f>IFERROR(__xludf.DUMMYFUNCTION("""COMPUTED_VALUE"""),"C#")</f>
        <v>C#</v>
      </c>
      <c r="J4306" s="9" t="str">
        <f>IFERROR(__xludf.DUMMYFUNCTION("""COMPUTED_VALUE"""),"HTML/CSS")</f>
        <v>HTML/CSS</v>
      </c>
      <c r="K4306" s="9" t="str">
        <f>IFERROR(__xludf.DUMMYFUNCTION("""COMPUTED_VALUE"""),"HTML/CSS")</f>
        <v>HTML/CSS</v>
      </c>
      <c r="L4306" s="9" t="str">
        <f>IFERROR(__xludf.DUMMYFUNCTION("""COMPUTED_VALUE"""),"Java")</f>
        <v>Java</v>
      </c>
      <c r="M4306" s="9" t="s">
        <v>32</v>
      </c>
    </row>
    <row r="4307" ht="15.75" customHeight="1">
      <c r="A4307" s="7"/>
      <c r="B4307" s="7" t="str">
        <f>IFERROR(__xludf.DUMMYFUNCTION("""COMPUTED_VALUE"""),"C#;HTML/CSS;Java;JavaScript;Objective-C;SQL;TypeScript;VBA")</f>
        <v>C#;HTML/CSS;Java;JavaScript;Objective-C;SQL;TypeScript;VBA</v>
      </c>
      <c r="C4307" s="9" t="str">
        <f>IFERROR(__xludf.DUMMYFUNCTION("""COMPUTED_VALUE"""),"SQL")</f>
        <v>SQL</v>
      </c>
      <c r="D4307" s="9" t="str">
        <f>IFERROR(__xludf.DUMMYFUNCTION("""COMPUTED_VALUE"""),"Objective-C")</f>
        <v>Objective-C</v>
      </c>
      <c r="E4307" s="9" t="str">
        <f>IFERROR(__xludf.DUMMYFUNCTION("""COMPUTED_VALUE"""),"Assembly")</f>
        <v>Assembly</v>
      </c>
      <c r="F4307" s="9" t="str">
        <f>IFERROR(__xludf.DUMMYFUNCTION("""COMPUTED_VALUE"""),"PHP")</f>
        <v>PHP</v>
      </c>
      <c r="G4307" s="9" t="str">
        <f>IFERROR(__xludf.DUMMYFUNCTION("""COMPUTED_VALUE"""),"VBA")</f>
        <v>VBA</v>
      </c>
      <c r="H4307" s="9" t="str">
        <f>IFERROR(__xludf.DUMMYFUNCTION("""COMPUTED_VALUE"""),"SQL")</f>
        <v>SQL</v>
      </c>
      <c r="I4307" s="9" t="str">
        <f>IFERROR(__xludf.DUMMYFUNCTION("""COMPUTED_VALUE"""),"HTML/CSS")</f>
        <v>HTML/CSS</v>
      </c>
      <c r="J4307" s="9" t="str">
        <f>IFERROR(__xludf.DUMMYFUNCTION("""COMPUTED_VALUE"""),"Java")</f>
        <v>Java</v>
      </c>
      <c r="K4307" s="9" t="str">
        <f>IFERROR(__xludf.DUMMYFUNCTION("""COMPUTED_VALUE"""),"JavaScript")</f>
        <v>JavaScript</v>
      </c>
      <c r="L4307" s="9" t="str">
        <f>IFERROR(__xludf.DUMMYFUNCTION("""COMPUTED_VALUE"""),"JavaScript")</f>
        <v>JavaScript</v>
      </c>
      <c r="M4307" s="9" t="s">
        <v>27</v>
      </c>
    </row>
    <row r="4308" ht="15.75" customHeight="1">
      <c r="A4308" s="7"/>
      <c r="B4308" s="7" t="str">
        <f>IFERROR(__xludf.DUMMYFUNCTION("""COMPUTED_VALUE"""),"HTML/CSS;JavaScript;Python;SQL")</f>
        <v>HTML/CSS;JavaScript;Python;SQL</v>
      </c>
      <c r="C4308" s="9" t="str">
        <f>IFERROR(__xludf.DUMMYFUNCTION("""COMPUTED_VALUE"""),"TypeScript")</f>
        <v>TypeScript</v>
      </c>
      <c r="D4308" s="9" t="str">
        <f>IFERROR(__xludf.DUMMYFUNCTION("""COMPUTED_VALUE"""),"PHP")</f>
        <v>PHP</v>
      </c>
      <c r="E4308" s="9" t="str">
        <f>IFERROR(__xludf.DUMMYFUNCTION("""COMPUTED_VALUE"""),"Bash/Shell/PowerShell")</f>
        <v>Bash/Shell/PowerShell</v>
      </c>
      <c r="F4308" s="9" t="str">
        <f>IFERROR(__xludf.DUMMYFUNCTION("""COMPUTED_VALUE"""),"R")</f>
        <v>R</v>
      </c>
      <c r="G4308" s="9" t="str">
        <f>IFERROR(__xludf.DUMMYFUNCTION("""COMPUTED_VALUE"""),"Bash/Shell/PowerShell")</f>
        <v>Bash/Shell/PowerShell</v>
      </c>
      <c r="H4308" s="9" t="str">
        <f>IFERROR(__xludf.DUMMYFUNCTION("""COMPUTED_VALUE"""),"Bash/Shell/PowerShell")</f>
        <v>Bash/Shell/PowerShell</v>
      </c>
      <c r="I4308" s="9" t="str">
        <f>IFERROR(__xludf.DUMMYFUNCTION("""COMPUTED_VALUE"""),"Java")</f>
        <v>Java</v>
      </c>
      <c r="J4308" s="9" t="str">
        <f>IFERROR(__xludf.DUMMYFUNCTION("""COMPUTED_VALUE"""),"JavaScript")</f>
        <v>JavaScript</v>
      </c>
      <c r="K4308" s="9" t="str">
        <f>IFERROR(__xludf.DUMMYFUNCTION("""COMPUTED_VALUE"""),"HTML/CSS")</f>
        <v>HTML/CSS</v>
      </c>
      <c r="L4308" s="9" t="str">
        <f>IFERROR(__xludf.DUMMYFUNCTION("""COMPUTED_VALUE"""),"Bash/Shell/PowerShell")</f>
        <v>Bash/Shell/PowerShell</v>
      </c>
      <c r="M4308" s="9" t="s">
        <v>33</v>
      </c>
    </row>
    <row r="4309" ht="15.75" customHeight="1">
      <c r="A4309" s="7"/>
      <c r="B4309" s="7" t="str">
        <f>IFERROR(__xludf.DUMMYFUNCTION("""COMPUTED_VALUE"""),"HTML/CSS;JavaScript;PHP;SQL;TypeScript;Other(s):")</f>
        <v>HTML/CSS;JavaScript;PHP;SQL;TypeScript;Other(s):</v>
      </c>
      <c r="C4309" s="9" t="str">
        <f>IFERROR(__xludf.DUMMYFUNCTION("""COMPUTED_VALUE"""),"Other(s):")</f>
        <v>Other(s):</v>
      </c>
      <c r="D4309" s="9" t="str">
        <f>IFERROR(__xludf.DUMMYFUNCTION("""COMPUTED_VALUE"""),"Python")</f>
        <v>Python</v>
      </c>
      <c r="E4309" s="9" t="str">
        <f>IFERROR(__xludf.DUMMYFUNCTION("""COMPUTED_VALUE"""),"C")</f>
        <v>C</v>
      </c>
      <c r="F4309" s="9" t="str">
        <f>IFERROR(__xludf.DUMMYFUNCTION("""COMPUTED_VALUE"""),"SQL")</f>
        <v>SQL</v>
      </c>
      <c r="G4309" s="9" t="str">
        <f>IFERROR(__xludf.DUMMYFUNCTION("""COMPUTED_VALUE"""),"HTML/CSS")</f>
        <v>HTML/CSS</v>
      </c>
      <c r="H4309" s="9" t="str">
        <f>IFERROR(__xludf.DUMMYFUNCTION("""COMPUTED_VALUE"""),"Java")</f>
        <v>Java</v>
      </c>
      <c r="I4309" s="9" t="str">
        <f>IFERROR(__xludf.DUMMYFUNCTION("""COMPUTED_VALUE"""),"JavaScript")</f>
        <v>JavaScript</v>
      </c>
      <c r="J4309" s="9" t="str">
        <f>IFERROR(__xludf.DUMMYFUNCTION("""COMPUTED_VALUE"""),"Python")</f>
        <v>Python</v>
      </c>
      <c r="K4309" s="9" t="str">
        <f>IFERROR(__xludf.DUMMYFUNCTION("""COMPUTED_VALUE"""),"Java")</f>
        <v>Java</v>
      </c>
      <c r="L4309" s="9" t="str">
        <f>IFERROR(__xludf.DUMMYFUNCTION("""COMPUTED_VALUE"""),"C#")</f>
        <v>C#</v>
      </c>
      <c r="M4309" s="9" t="s">
        <v>35</v>
      </c>
    </row>
    <row r="4310" ht="15.75" customHeight="1">
      <c r="A4310" s="7"/>
      <c r="B4310" s="7" t="str">
        <f>IFERROR(__xludf.DUMMYFUNCTION("""COMPUTED_VALUE"""),"Java")</f>
        <v>Java</v>
      </c>
      <c r="C4310" s="9" t="str">
        <f>IFERROR(__xludf.DUMMYFUNCTION("""COMPUTED_VALUE"""),"Bash/Shell/PowerShell")</f>
        <v>Bash/Shell/PowerShell</v>
      </c>
      <c r="D4310" s="9" t="str">
        <f>IFERROR(__xludf.DUMMYFUNCTION("""COMPUTED_VALUE"""),"R")</f>
        <v>R</v>
      </c>
      <c r="E4310" s="9" t="str">
        <f>IFERROR(__xludf.DUMMYFUNCTION("""COMPUTED_VALUE"""),"C++")</f>
        <v>C++</v>
      </c>
      <c r="F4310" s="9" t="str">
        <f>IFERROR(__xludf.DUMMYFUNCTION("""COMPUTED_VALUE"""),"VBA")</f>
        <v>VBA</v>
      </c>
      <c r="G4310" s="9" t="str">
        <f>IFERROR(__xludf.DUMMYFUNCTION("""COMPUTED_VALUE"""),"Java")</f>
        <v>Java</v>
      </c>
      <c r="H4310" s="9" t="str">
        <f>IFERROR(__xludf.DUMMYFUNCTION("""COMPUTED_VALUE"""),"JavaScript")</f>
        <v>JavaScript</v>
      </c>
      <c r="I4310" s="9" t="str">
        <f>IFERROR(__xludf.DUMMYFUNCTION("""COMPUTED_VALUE"""),"SQL")</f>
        <v>SQL</v>
      </c>
      <c r="J4310" s="9" t="str">
        <f>IFERROR(__xludf.DUMMYFUNCTION("""COMPUTED_VALUE"""),"Python")</f>
        <v>Python</v>
      </c>
      <c r="K4310" s="9" t="str">
        <f>IFERROR(__xludf.DUMMYFUNCTION("""COMPUTED_VALUE"""),"JavaScript")</f>
        <v>JavaScript</v>
      </c>
      <c r="L4310" s="9" t="str">
        <f>IFERROR(__xludf.DUMMYFUNCTION("""COMPUTED_VALUE"""),"HTML/CSS")</f>
        <v>HTML/CSS</v>
      </c>
      <c r="M4310" s="9" t="s">
        <v>30</v>
      </c>
    </row>
    <row r="4311" ht="15.75" customHeight="1">
      <c r="A4311" s="7"/>
      <c r="B4311" s="7" t="str">
        <f>IFERROR(__xludf.DUMMYFUNCTION("""COMPUTED_VALUE"""),"Bash/Shell/PowerShell;HTML/CSS;JavaScript;Python;SQL")</f>
        <v>Bash/Shell/PowerShell;HTML/CSS;JavaScript;Python;SQL</v>
      </c>
      <c r="C4311" s="9" t="str">
        <f>IFERROR(__xludf.DUMMYFUNCTION("""COMPUTED_VALUE"""),"Objective-C")</f>
        <v>Objective-C</v>
      </c>
      <c r="D4311" s="9" t="str">
        <f>IFERROR(__xludf.DUMMYFUNCTION("""COMPUTED_VALUE"""),"Ruby")</f>
        <v>Ruby</v>
      </c>
      <c r="E4311" s="9" t="str">
        <f>IFERROR(__xludf.DUMMYFUNCTION("""COMPUTED_VALUE"""),"C#")</f>
        <v>C#</v>
      </c>
      <c r="F4311" s="9" t="str">
        <f>IFERROR(__xludf.DUMMYFUNCTION("""COMPUTED_VALUE"""),"HTML/CSS")</f>
        <v>HTML/CSS</v>
      </c>
      <c r="G4311" s="9" t="str">
        <f>IFERROR(__xludf.DUMMYFUNCTION("""COMPUTED_VALUE"""),"JavaScript")</f>
        <v>JavaScript</v>
      </c>
      <c r="H4311" s="9" t="str">
        <f>IFERROR(__xludf.DUMMYFUNCTION("""COMPUTED_VALUE"""),"PHP")</f>
        <v>PHP</v>
      </c>
      <c r="I4311" s="9" t="str">
        <f>IFERROR(__xludf.DUMMYFUNCTION("""COMPUTED_VALUE"""),"TypeScript")</f>
        <v>TypeScript</v>
      </c>
      <c r="J4311" s="9" t="str">
        <f>IFERROR(__xludf.DUMMYFUNCTION("""COMPUTED_VALUE"""),"C#")</f>
        <v>C#</v>
      </c>
      <c r="K4311" s="9" t="str">
        <f>IFERROR(__xludf.DUMMYFUNCTION("""COMPUTED_VALUE"""),"Kotlin")</f>
        <v>Kotlin</v>
      </c>
      <c r="L4311" s="9" t="str">
        <f>IFERROR(__xludf.DUMMYFUNCTION("""COMPUTED_VALUE"""),"JavaScript")</f>
        <v>JavaScript</v>
      </c>
      <c r="M4311" s="9" t="s">
        <v>41</v>
      </c>
    </row>
    <row r="4312" ht="15.75" customHeight="1">
      <c r="A4312" s="7"/>
      <c r="B4312" s="7" t="str">
        <f>IFERROR(__xludf.DUMMYFUNCTION("""COMPUTED_VALUE"""),"Bash/Shell/PowerShell;Go;JavaScript;PHP;Scala;SQL")</f>
        <v>Bash/Shell/PowerShell;Go;JavaScript;PHP;Scala;SQL</v>
      </c>
      <c r="C4312" s="9" t="str">
        <f>IFERROR(__xludf.DUMMYFUNCTION("""COMPUTED_VALUE"""),"Ruby")</f>
        <v>Ruby</v>
      </c>
      <c r="D4312" s="9" t="str">
        <f>IFERROR(__xludf.DUMMYFUNCTION("""COMPUTED_VALUE"""),"Rust")</f>
        <v>Rust</v>
      </c>
      <c r="E4312" s="9" t="str">
        <f>IFERROR(__xludf.DUMMYFUNCTION("""COMPUTED_VALUE"""),"HTML/CSS")</f>
        <v>HTML/CSS</v>
      </c>
      <c r="F4312" s="9" t="str">
        <f>IFERROR(__xludf.DUMMYFUNCTION("""COMPUTED_VALUE"""),"Java")</f>
        <v>Java</v>
      </c>
      <c r="G4312" s="9" t="str">
        <f>IFERROR(__xludf.DUMMYFUNCTION("""COMPUTED_VALUE"""),"Python")</f>
        <v>Python</v>
      </c>
      <c r="H4312" s="9" t="str">
        <f>IFERROR(__xludf.DUMMYFUNCTION("""COMPUTED_VALUE"""),"C#")</f>
        <v>C#</v>
      </c>
      <c r="I4312" s="9" t="str">
        <f>IFERROR(__xludf.DUMMYFUNCTION("""COMPUTED_VALUE"""),"Bash/Shell/PowerShell")</f>
        <v>Bash/Shell/PowerShell</v>
      </c>
      <c r="J4312" s="9" t="str">
        <f>IFERROR(__xludf.DUMMYFUNCTION("""COMPUTED_VALUE"""),"HTML/CSS")</f>
        <v>HTML/CSS</v>
      </c>
      <c r="K4312" s="9" t="str">
        <f>IFERROR(__xludf.DUMMYFUNCTION("""COMPUTED_VALUE"""),"SQL")</f>
        <v>SQL</v>
      </c>
      <c r="L4312" s="9" t="str">
        <f>IFERROR(__xludf.DUMMYFUNCTION("""COMPUTED_VALUE"""),"Python")</f>
        <v>Python</v>
      </c>
      <c r="M4312" s="9" t="s">
        <v>31</v>
      </c>
    </row>
    <row r="4313" ht="15.75" customHeight="1">
      <c r="A4313" s="7"/>
      <c r="B4313" s="7" t="str">
        <f>IFERROR(__xludf.DUMMYFUNCTION("""COMPUTED_VALUE"""),"HTML/CSS;JavaScript;PHP")</f>
        <v>HTML/CSS;JavaScript;PHP</v>
      </c>
      <c r="C4313" s="9" t="str">
        <f>IFERROR(__xludf.DUMMYFUNCTION("""COMPUTED_VALUE"""),"Swift")</f>
        <v>Swift</v>
      </c>
      <c r="D4313" s="9" t="str">
        <f>IFERROR(__xludf.DUMMYFUNCTION("""COMPUTED_VALUE"""),"Scala")</f>
        <v>Scala</v>
      </c>
      <c r="E4313" s="9" t="str">
        <f>IFERROR(__xludf.DUMMYFUNCTION("""COMPUTED_VALUE"""),"Java")</f>
        <v>Java</v>
      </c>
      <c r="F4313" s="9" t="str">
        <f>IFERROR(__xludf.DUMMYFUNCTION("""COMPUTED_VALUE"""),"JavaScript")</f>
        <v>JavaScript</v>
      </c>
      <c r="G4313" s="9" t="str">
        <f>IFERROR(__xludf.DUMMYFUNCTION("""COMPUTED_VALUE"""),"Ruby")</f>
        <v>Ruby</v>
      </c>
      <c r="H4313" s="9" t="str">
        <f>IFERROR(__xludf.DUMMYFUNCTION("""COMPUTED_VALUE"""),"HTML/CSS")</f>
        <v>HTML/CSS</v>
      </c>
      <c r="I4313" s="9" t="str">
        <f>IFERROR(__xludf.DUMMYFUNCTION("""COMPUTED_VALUE"""),"C++")</f>
        <v>C++</v>
      </c>
      <c r="J4313" s="9" t="str">
        <f>IFERROR(__xludf.DUMMYFUNCTION("""COMPUTED_VALUE"""),"JavaScript")</f>
        <v>JavaScript</v>
      </c>
      <c r="K4313" s="9" t="str">
        <f>IFERROR(__xludf.DUMMYFUNCTION("""COMPUTED_VALUE"""),"TypeScript")</f>
        <v>TypeScript</v>
      </c>
      <c r="L4313" s="9" t="str">
        <f>IFERROR(__xludf.DUMMYFUNCTION("""COMPUTED_VALUE"""),"SQL")</f>
        <v>SQL</v>
      </c>
      <c r="M4313" s="9" t="s">
        <v>40</v>
      </c>
    </row>
    <row r="4314" ht="15.75" customHeight="1">
      <c r="A4314" s="7"/>
      <c r="B4314" s="7" t="str">
        <f>IFERROR(__xludf.DUMMYFUNCTION("""COMPUTED_VALUE"""),"HTML/CSS;JavaScript;Python;R;SQL")</f>
        <v>HTML/CSS;JavaScript;Python;R;SQL</v>
      </c>
      <c r="C4314" s="9" t="str">
        <f>IFERROR(__xludf.DUMMYFUNCTION("""COMPUTED_VALUE"""),"C")</f>
        <v>C</v>
      </c>
      <c r="D4314" s="9" t="str">
        <f>IFERROR(__xludf.DUMMYFUNCTION("""COMPUTED_VALUE"""),"SQL")</f>
        <v>SQL</v>
      </c>
      <c r="E4314" s="9" t="str">
        <f>IFERROR(__xludf.DUMMYFUNCTION("""COMPUTED_VALUE"""),"JavaScript")</f>
        <v>JavaScript</v>
      </c>
      <c r="F4314" s="9" t="str">
        <f>IFERROR(__xludf.DUMMYFUNCTION("""COMPUTED_VALUE"""),"PHP")</f>
        <v>PHP</v>
      </c>
      <c r="G4314" s="9" t="str">
        <f>IFERROR(__xludf.DUMMYFUNCTION("""COMPUTED_VALUE"""),"SQL")</f>
        <v>SQL</v>
      </c>
      <c r="H4314" s="9" t="str">
        <f>IFERROR(__xludf.DUMMYFUNCTION("""COMPUTED_VALUE"""),"JavaScript")</f>
        <v>JavaScript</v>
      </c>
      <c r="I4314" s="9" t="str">
        <f>IFERROR(__xludf.DUMMYFUNCTION("""COMPUTED_VALUE"""),"C#")</f>
        <v>C#</v>
      </c>
      <c r="J4314" s="9" t="str">
        <f>IFERROR(__xludf.DUMMYFUNCTION("""COMPUTED_VALUE"""),"Kotlin")</f>
        <v>Kotlin</v>
      </c>
      <c r="K4314" s="9" t="str">
        <f>IFERROR(__xludf.DUMMYFUNCTION("""COMPUTED_VALUE"""),"C")</f>
        <v>C</v>
      </c>
      <c r="L4314" s="9" t="str">
        <f>IFERROR(__xludf.DUMMYFUNCTION("""COMPUTED_VALUE"""),"TypeScript")</f>
        <v>TypeScript</v>
      </c>
      <c r="M4314" s="9" t="s">
        <v>25</v>
      </c>
    </row>
    <row r="4315" ht="15.75" customHeight="1">
      <c r="A4315" s="7"/>
      <c r="B4315" s="7" t="str">
        <f>IFERROR(__xludf.DUMMYFUNCTION("""COMPUTED_VALUE"""),"HTML/CSS;Java;JavaScript;PHP")</f>
        <v>HTML/CSS;Java;JavaScript;PHP</v>
      </c>
      <c r="C4315" s="9" t="str">
        <f>IFERROR(__xludf.DUMMYFUNCTION("""COMPUTED_VALUE"""),"Go")</f>
        <v>Go</v>
      </c>
      <c r="D4315" s="9" t="str">
        <f>IFERROR(__xludf.DUMMYFUNCTION("""COMPUTED_VALUE"""),"Swift")</f>
        <v>Swift</v>
      </c>
      <c r="E4315" s="9" t="str">
        <f>IFERROR(__xludf.DUMMYFUNCTION("""COMPUTED_VALUE"""),"SQL")</f>
        <v>SQL</v>
      </c>
      <c r="F4315" s="9" t="str">
        <f>IFERROR(__xludf.DUMMYFUNCTION("""COMPUTED_VALUE"""),"SQL")</f>
        <v>SQL</v>
      </c>
      <c r="G4315" s="9" t="str">
        <f>IFERROR(__xludf.DUMMYFUNCTION("""COMPUTED_VALUE"""),"TypeScript")</f>
        <v>TypeScript</v>
      </c>
      <c r="H4315" s="9" t="str">
        <f>IFERROR(__xludf.DUMMYFUNCTION("""COMPUTED_VALUE"""),"SQL")</f>
        <v>SQL</v>
      </c>
      <c r="I4315" s="9" t="str">
        <f>IFERROR(__xludf.DUMMYFUNCTION("""COMPUTED_VALUE"""),"Dart")</f>
        <v>Dart</v>
      </c>
      <c r="J4315" s="9" t="str">
        <f>IFERROR(__xludf.DUMMYFUNCTION("""COMPUTED_VALUE"""),"PHP")</f>
        <v>PHP</v>
      </c>
      <c r="K4315" s="9" t="str">
        <f>IFERROR(__xludf.DUMMYFUNCTION("""COMPUTED_VALUE"""),"C#")</f>
        <v>C#</v>
      </c>
      <c r="L4315" s="9" t="str">
        <f>IFERROR(__xludf.DUMMYFUNCTION("""COMPUTED_VALUE"""),"Go")</f>
        <v>Go</v>
      </c>
      <c r="M4315" s="9" t="s">
        <v>36</v>
      </c>
    </row>
    <row r="4316" ht="15.75" customHeight="1">
      <c r="A4316" s="7"/>
      <c r="B4316" s="7" t="str">
        <f>IFERROR(__xludf.DUMMYFUNCTION("""COMPUTED_VALUE"""),"Assembly;Bash/Shell/PowerShell;C;C++;C#;HTML/CSS;JavaScript;PHP")</f>
        <v>Assembly;Bash/Shell/PowerShell;C;C++;C#;HTML/CSS;JavaScript;PHP</v>
      </c>
      <c r="C4316" s="9" t="str">
        <f>IFERROR(__xludf.DUMMYFUNCTION("""COMPUTED_VALUE"""),"JavaScript")</f>
        <v>JavaScript</v>
      </c>
      <c r="D4316" s="9" t="str">
        <f>IFERROR(__xludf.DUMMYFUNCTION("""COMPUTED_VALUE"""),"TypeScript")</f>
        <v>TypeScript</v>
      </c>
      <c r="E4316" s="9" t="str">
        <f>IFERROR(__xludf.DUMMYFUNCTION("""COMPUTED_VALUE"""),"VBA")</f>
        <v>VBA</v>
      </c>
      <c r="F4316" s="9" t="str">
        <f>IFERROR(__xludf.DUMMYFUNCTION("""COMPUTED_VALUE"""),"TypeScript")</f>
        <v>TypeScript</v>
      </c>
      <c r="G4316" s="9" t="str">
        <f>IFERROR(__xludf.DUMMYFUNCTION("""COMPUTED_VALUE"""),"C")</f>
        <v>C</v>
      </c>
      <c r="H4316" s="9" t="str">
        <f>IFERROR(__xludf.DUMMYFUNCTION("""COMPUTED_VALUE"""),"TypeScript")</f>
        <v>TypeScript</v>
      </c>
      <c r="I4316" s="9" t="str">
        <f>IFERROR(__xludf.DUMMYFUNCTION("""COMPUTED_VALUE"""),"HTML/CSS")</f>
        <v>HTML/CSS</v>
      </c>
      <c r="J4316" s="9" t="str">
        <f>IFERROR(__xludf.DUMMYFUNCTION("""COMPUTED_VALUE"""),"SQL")</f>
        <v>SQL</v>
      </c>
      <c r="K4316" s="9" t="str">
        <f>IFERROR(__xludf.DUMMYFUNCTION("""COMPUTED_VALUE"""),"HTML/CSS")</f>
        <v>HTML/CSS</v>
      </c>
      <c r="L4316" s="9" t="str">
        <f>IFERROR(__xludf.DUMMYFUNCTION("""COMPUTED_VALUE"""),"HTML/CSS")</f>
        <v>HTML/CSS</v>
      </c>
      <c r="M4316" s="9" t="s">
        <v>21</v>
      </c>
    </row>
    <row r="4317" ht="15.75" customHeight="1">
      <c r="A4317" s="7"/>
      <c r="B4317" s="7" t="str">
        <f>IFERROR(__xludf.DUMMYFUNCTION("""COMPUTED_VALUE"""),"C;C#;HTML/CSS;Java;JavaScript;Python")</f>
        <v>C;C#;HTML/CSS;Java;JavaScript;Python</v>
      </c>
      <c r="C4317" s="9" t="str">
        <f>IFERROR(__xludf.DUMMYFUNCTION("""COMPUTED_VALUE"""),"SQL")</f>
        <v>SQL</v>
      </c>
      <c r="D4317" s="9" t="str">
        <f>IFERROR(__xludf.DUMMYFUNCTION("""COMPUTED_VALUE"""),"VBA")</f>
        <v>VBA</v>
      </c>
      <c r="E4317" s="9" t="str">
        <f>IFERROR(__xludf.DUMMYFUNCTION("""COMPUTED_VALUE"""),"HTML/CSS")</f>
        <v>HTML/CSS</v>
      </c>
      <c r="F4317" s="9" t="str">
        <f>IFERROR(__xludf.DUMMYFUNCTION("""COMPUTED_VALUE"""),"HTML/CSS")</f>
        <v>HTML/CSS</v>
      </c>
      <c r="G4317" s="9" t="str">
        <f>IFERROR(__xludf.DUMMYFUNCTION("""COMPUTED_VALUE"""),"C++")</f>
        <v>C++</v>
      </c>
      <c r="H4317" s="9" t="str">
        <f>IFERROR(__xludf.DUMMYFUNCTION("""COMPUTED_VALUE"""),"C#")</f>
        <v>C#</v>
      </c>
      <c r="I4317" s="9" t="str">
        <f>IFERROR(__xludf.DUMMYFUNCTION("""COMPUTED_VALUE"""),"Java")</f>
        <v>Java</v>
      </c>
      <c r="J4317" s="9" t="str">
        <f>IFERROR(__xludf.DUMMYFUNCTION("""COMPUTED_VALUE"""),"Bash/Shell/PowerShell")</f>
        <v>Bash/Shell/PowerShell</v>
      </c>
      <c r="K4317" s="9" t="str">
        <f>IFERROR(__xludf.DUMMYFUNCTION("""COMPUTED_VALUE"""),"Java")</f>
        <v>Java</v>
      </c>
      <c r="L4317" s="9" t="str">
        <f>IFERROR(__xludf.DUMMYFUNCTION("""COMPUTED_VALUE"""),"Java")</f>
        <v>Java</v>
      </c>
      <c r="M4317" s="9" t="s">
        <v>27</v>
      </c>
    </row>
    <row r="4318" ht="15.75" customHeight="1">
      <c r="A4318" s="7"/>
      <c r="B4318" s="7" t="str">
        <f>IFERROR(__xludf.DUMMYFUNCTION("""COMPUTED_VALUE"""),"C#;HTML/CSS;Java;JavaScript;PHP;SQL")</f>
        <v>C#;HTML/CSS;Java;JavaScript;PHP;SQL</v>
      </c>
      <c r="C4318" s="9" t="str">
        <f>IFERROR(__xludf.DUMMYFUNCTION("""COMPUTED_VALUE"""),"TypeScript")</f>
        <v>TypeScript</v>
      </c>
      <c r="D4318" s="9" t="str">
        <f>IFERROR(__xludf.DUMMYFUNCTION("""COMPUTED_VALUE"""),"WebAssembly")</f>
        <v>WebAssembly</v>
      </c>
      <c r="E4318" s="9" t="str">
        <f>IFERROR(__xludf.DUMMYFUNCTION("""COMPUTED_VALUE"""),"Java")</f>
        <v>Java</v>
      </c>
      <c r="F4318" s="9" t="str">
        <f>IFERROR(__xludf.DUMMYFUNCTION("""COMPUTED_VALUE"""),"Java")</f>
        <v>Java</v>
      </c>
      <c r="G4318" s="9" t="str">
        <f>IFERROR(__xludf.DUMMYFUNCTION("""COMPUTED_VALUE"""),"C#")</f>
        <v>C#</v>
      </c>
      <c r="H4318" s="9" t="str">
        <f>IFERROR(__xludf.DUMMYFUNCTION("""COMPUTED_VALUE"""),"HTML/CSS")</f>
        <v>HTML/CSS</v>
      </c>
      <c r="I4318" s="9" t="str">
        <f>IFERROR(__xludf.DUMMYFUNCTION("""COMPUTED_VALUE"""),"JavaScript")</f>
        <v>JavaScript</v>
      </c>
      <c r="J4318" s="9" t="str">
        <f>IFERROR(__xludf.DUMMYFUNCTION("""COMPUTED_VALUE"""),"HTML/CSS")</f>
        <v>HTML/CSS</v>
      </c>
      <c r="K4318" s="9" t="str">
        <f>IFERROR(__xludf.DUMMYFUNCTION("""COMPUTED_VALUE"""),"JavaScript")</f>
        <v>JavaScript</v>
      </c>
      <c r="L4318" s="9" t="str">
        <f>IFERROR(__xludf.DUMMYFUNCTION("""COMPUTED_VALUE"""),"JavaScript")</f>
        <v>JavaScript</v>
      </c>
      <c r="M4318" s="9" t="s">
        <v>33</v>
      </c>
    </row>
    <row r="4319" ht="15.75" customHeight="1">
      <c r="A4319" s="7"/>
      <c r="B4319" s="7" t="str">
        <f>IFERROR(__xludf.DUMMYFUNCTION("""COMPUTED_VALUE"""),"HTML/CSS;PHP;TypeScript")</f>
        <v>HTML/CSS;PHP;TypeScript</v>
      </c>
      <c r="C4319" s="9" t="str">
        <f>IFERROR(__xludf.DUMMYFUNCTION("""COMPUTED_VALUE"""),"Java")</f>
        <v>Java</v>
      </c>
      <c r="D4319" s="9" t="str">
        <f>IFERROR(__xludf.DUMMYFUNCTION("""COMPUTED_VALUE"""),"Bash/Shell/PowerShell")</f>
        <v>Bash/Shell/PowerShell</v>
      </c>
      <c r="E4319" s="9" t="str">
        <f>IFERROR(__xludf.DUMMYFUNCTION("""COMPUTED_VALUE"""),"JavaScript")</f>
        <v>JavaScript</v>
      </c>
      <c r="F4319" s="9" t="str">
        <f>IFERROR(__xludf.DUMMYFUNCTION("""COMPUTED_VALUE"""),"JavaScript")</f>
        <v>JavaScript</v>
      </c>
      <c r="G4319" s="9" t="str">
        <f>IFERROR(__xludf.DUMMYFUNCTION("""COMPUTED_VALUE"""),"HTML/CSS")</f>
        <v>HTML/CSS</v>
      </c>
      <c r="H4319" s="9" t="str">
        <f>IFERROR(__xludf.DUMMYFUNCTION("""COMPUTED_VALUE"""),"JavaScript")</f>
        <v>JavaScript</v>
      </c>
      <c r="I4319" s="9" t="str">
        <f>IFERROR(__xludf.DUMMYFUNCTION("""COMPUTED_VALUE"""),"PHP")</f>
        <v>PHP</v>
      </c>
      <c r="J4319" s="9" t="str">
        <f>IFERROR(__xludf.DUMMYFUNCTION("""COMPUTED_VALUE"""),"JavaScript")</f>
        <v>JavaScript</v>
      </c>
      <c r="K4319" s="9" t="str">
        <f>IFERROR(__xludf.DUMMYFUNCTION("""COMPUTED_VALUE"""),"PHP")</f>
        <v>PHP</v>
      </c>
      <c r="L4319" s="9" t="str">
        <f>IFERROR(__xludf.DUMMYFUNCTION("""COMPUTED_VALUE"""),"Python")</f>
        <v>Python</v>
      </c>
      <c r="M4319" s="9" t="s">
        <v>20</v>
      </c>
    </row>
    <row r="4320" ht="15.75" customHeight="1">
      <c r="A4320" s="7"/>
      <c r="B4320" s="7" t="str">
        <f>IFERROR(__xludf.DUMMYFUNCTION("""COMPUTED_VALUE"""),"C#;JavaScript;SQL")</f>
        <v>C#;JavaScript;SQL</v>
      </c>
      <c r="C4320" s="9" t="str">
        <f>IFERROR(__xludf.DUMMYFUNCTION("""COMPUTED_VALUE"""),"JavaScript")</f>
        <v>JavaScript</v>
      </c>
      <c r="D4320" s="9" t="str">
        <f>IFERROR(__xludf.DUMMYFUNCTION("""COMPUTED_VALUE"""),"C#")</f>
        <v>C#</v>
      </c>
      <c r="E4320" s="9" t="str">
        <f>IFERROR(__xludf.DUMMYFUNCTION("""COMPUTED_VALUE"""),"PHP")</f>
        <v>PHP</v>
      </c>
      <c r="F4320" s="9" t="str">
        <f>IFERROR(__xludf.DUMMYFUNCTION("""COMPUTED_VALUE"""),"PHP")</f>
        <v>PHP</v>
      </c>
      <c r="G4320" s="9" t="str">
        <f>IFERROR(__xludf.DUMMYFUNCTION("""COMPUTED_VALUE"""),"JavaScript")</f>
        <v>JavaScript</v>
      </c>
      <c r="H4320" s="9" t="str">
        <f>IFERROR(__xludf.DUMMYFUNCTION("""COMPUTED_VALUE"""),"SQL")</f>
        <v>SQL</v>
      </c>
      <c r="I4320" s="9" t="str">
        <f>IFERROR(__xludf.DUMMYFUNCTION("""COMPUTED_VALUE"""),"Python")</f>
        <v>Python</v>
      </c>
      <c r="J4320" s="9" t="str">
        <f>IFERROR(__xludf.DUMMYFUNCTION("""COMPUTED_VALUE"""),"PHP")</f>
        <v>PHP</v>
      </c>
      <c r="K4320" s="9" t="str">
        <f>IFERROR(__xludf.DUMMYFUNCTION("""COMPUTED_VALUE"""),"SQL")</f>
        <v>SQL</v>
      </c>
      <c r="L4320" s="9" t="str">
        <f>IFERROR(__xludf.DUMMYFUNCTION("""COMPUTED_VALUE"""),"Ruby")</f>
        <v>Ruby</v>
      </c>
      <c r="M4320" s="9" t="s">
        <v>21</v>
      </c>
    </row>
    <row r="4321" ht="15.75" customHeight="1">
      <c r="A4321" s="7"/>
      <c r="B4321" s="7" t="str">
        <f>IFERROR(__xludf.DUMMYFUNCTION("""COMPUTED_VALUE"""),"Bash/Shell/PowerShell;HTML/CSS;JavaScript;Python")</f>
        <v>Bash/Shell/PowerShell;HTML/CSS;JavaScript;Python</v>
      </c>
      <c r="C4321" s="9" t="str">
        <f>IFERROR(__xludf.DUMMYFUNCTION("""COMPUTED_VALUE"""),"PHP")</f>
        <v>PHP</v>
      </c>
      <c r="D4321" s="9" t="str">
        <f>IFERROR(__xludf.DUMMYFUNCTION("""COMPUTED_VALUE"""),"Java")</f>
        <v>Java</v>
      </c>
      <c r="E4321" s="9" t="str">
        <f>IFERROR(__xludf.DUMMYFUNCTION("""COMPUTED_VALUE"""),"Other(s):")</f>
        <v>Other(s):</v>
      </c>
      <c r="F4321" s="9" t="str">
        <f>IFERROR(__xludf.DUMMYFUNCTION("""COMPUTED_VALUE"""),"TypeScript")</f>
        <v>TypeScript</v>
      </c>
      <c r="G4321" s="9" t="str">
        <f>IFERROR(__xludf.DUMMYFUNCTION("""COMPUTED_VALUE"""),"SQL")</f>
        <v>SQL</v>
      </c>
      <c r="H4321" s="9" t="str">
        <f>IFERROR(__xludf.DUMMYFUNCTION("""COMPUTED_VALUE"""),"TypeScript")</f>
        <v>TypeScript</v>
      </c>
      <c r="I4321" s="9" t="str">
        <f>IFERROR(__xludf.DUMMYFUNCTION("""COMPUTED_VALUE"""),"SQL")</f>
        <v>SQL</v>
      </c>
      <c r="J4321" s="9" t="str">
        <f>IFERROR(__xludf.DUMMYFUNCTION("""COMPUTED_VALUE"""),"SQL")</f>
        <v>SQL</v>
      </c>
      <c r="K4321" s="9" t="str">
        <f>IFERROR(__xludf.DUMMYFUNCTION("""COMPUTED_VALUE"""),"C#")</f>
        <v>C#</v>
      </c>
      <c r="L4321" s="9" t="str">
        <f>IFERROR(__xludf.DUMMYFUNCTION("""COMPUTED_VALUE"""),"SQL")</f>
        <v>SQL</v>
      </c>
      <c r="M4321" s="9" t="s">
        <v>37</v>
      </c>
    </row>
    <row r="4322" ht="15.75" customHeight="1">
      <c r="A4322" s="7"/>
      <c r="B4322" s="7" t="str">
        <f>IFERROR(__xludf.DUMMYFUNCTION("""COMPUTED_VALUE"""),"Bash/Shell/PowerShell;C#;HTML/CSS;JavaScript;SQL")</f>
        <v>Bash/Shell/PowerShell;C#;HTML/CSS;JavaScript;SQL</v>
      </c>
      <c r="C4322" s="9" t="str">
        <f>IFERROR(__xludf.DUMMYFUNCTION("""COMPUTED_VALUE"""),"Python")</f>
        <v>Python</v>
      </c>
      <c r="D4322" s="9" t="str">
        <f>IFERROR(__xludf.DUMMYFUNCTION("""COMPUTED_VALUE"""),"Python")</f>
        <v>Python</v>
      </c>
      <c r="E4322" s="9" t="str">
        <f>IFERROR(__xludf.DUMMYFUNCTION("""COMPUTED_VALUE"""),"C#")</f>
        <v>C#</v>
      </c>
      <c r="F4322" s="9" t="str">
        <f>IFERROR(__xludf.DUMMYFUNCTION("""COMPUTED_VALUE"""),"Bash/Shell/PowerShell")</f>
        <v>Bash/Shell/PowerShell</v>
      </c>
      <c r="G4322" s="9" t="str">
        <f>IFERROR(__xludf.DUMMYFUNCTION("""COMPUTED_VALUE"""),"Assembly")</f>
        <v>Assembly</v>
      </c>
      <c r="H4322" s="9" t="str">
        <f>IFERROR(__xludf.DUMMYFUNCTION("""COMPUTED_VALUE"""),"Assembly")</f>
        <v>Assembly</v>
      </c>
      <c r="I4322" s="9" t="str">
        <f>IFERROR(__xludf.DUMMYFUNCTION("""COMPUTED_VALUE"""),"TypeScript")</f>
        <v>TypeScript</v>
      </c>
      <c r="J4322" s="9" t="str">
        <f>IFERROR(__xludf.DUMMYFUNCTION("""COMPUTED_VALUE"""),"VBA")</f>
        <v>VBA</v>
      </c>
      <c r="K4322" s="9" t="str">
        <f>IFERROR(__xludf.DUMMYFUNCTION("""COMPUTED_VALUE"""),"HTML/CSS")</f>
        <v>HTML/CSS</v>
      </c>
      <c r="L4322" s="9" t="str">
        <f>IFERROR(__xludf.DUMMYFUNCTION("""COMPUTED_VALUE"""),"Bash/Shell/PowerShell")</f>
        <v>Bash/Shell/PowerShell</v>
      </c>
      <c r="M4322" s="9" t="s">
        <v>22</v>
      </c>
    </row>
    <row r="4323" ht="15.75" customHeight="1">
      <c r="A4323" s="7"/>
      <c r="B4323" s="7" t="str">
        <f>IFERROR(__xludf.DUMMYFUNCTION("""COMPUTED_VALUE"""),"C#;HTML/CSS;JavaScript;Python")</f>
        <v>C#;HTML/CSS;JavaScript;Python</v>
      </c>
      <c r="C4323" s="9" t="str">
        <f>IFERROR(__xludf.DUMMYFUNCTION("""COMPUTED_VALUE"""),"C++")</f>
        <v>C++</v>
      </c>
      <c r="D4323" s="9" t="str">
        <f>IFERROR(__xludf.DUMMYFUNCTION("""COMPUTED_VALUE"""),"Go")</f>
        <v>Go</v>
      </c>
      <c r="E4323" s="9" t="str">
        <f>IFERROR(__xludf.DUMMYFUNCTION("""COMPUTED_VALUE"""),"HTML/CSS")</f>
        <v>HTML/CSS</v>
      </c>
      <c r="F4323" s="9" t="str">
        <f>IFERROR(__xludf.DUMMYFUNCTION("""COMPUTED_VALUE"""),"Go")</f>
        <v>Go</v>
      </c>
      <c r="G4323" s="9" t="str">
        <f>IFERROR(__xludf.DUMMYFUNCTION("""COMPUTED_VALUE"""),"Bash/Shell/PowerShell")</f>
        <v>Bash/Shell/PowerShell</v>
      </c>
      <c r="H4323" s="9" t="str">
        <f>IFERROR(__xludf.DUMMYFUNCTION("""COMPUTED_VALUE"""),"Bash/Shell/PowerShell")</f>
        <v>Bash/Shell/PowerShell</v>
      </c>
      <c r="I4323" s="9" t="str">
        <f>IFERROR(__xludf.DUMMYFUNCTION("""COMPUTED_VALUE"""),"Assembly")</f>
        <v>Assembly</v>
      </c>
      <c r="J4323" s="9" t="str">
        <f>IFERROR(__xludf.DUMMYFUNCTION("""COMPUTED_VALUE"""),"Other(s):")</f>
        <v>Other(s):</v>
      </c>
      <c r="K4323" s="9" t="str">
        <f>IFERROR(__xludf.DUMMYFUNCTION("""COMPUTED_VALUE"""),"JavaScript")</f>
        <v>JavaScript</v>
      </c>
      <c r="L4323" s="9" t="str">
        <f>IFERROR(__xludf.DUMMYFUNCTION("""COMPUTED_VALUE"""),"HTML/CSS")</f>
        <v>HTML/CSS</v>
      </c>
      <c r="M4323" s="9" t="s">
        <v>23</v>
      </c>
    </row>
    <row r="4324" ht="15.75" customHeight="1">
      <c r="A4324" s="7"/>
      <c r="B4324" s="7" t="str">
        <f>IFERROR(__xludf.DUMMYFUNCTION("""COMPUTED_VALUE"""),"C;C++;Java")</f>
        <v>C;C++;Java</v>
      </c>
      <c r="C4324" s="9" t="str">
        <f>IFERROR(__xludf.DUMMYFUNCTION("""COMPUTED_VALUE"""),"Java")</f>
        <v>Java</v>
      </c>
      <c r="D4324" s="9" t="str">
        <f>IFERROR(__xludf.DUMMYFUNCTION("""COMPUTED_VALUE"""),"HTML/CSS")</f>
        <v>HTML/CSS</v>
      </c>
      <c r="E4324" s="9" t="str">
        <f>IFERROR(__xludf.DUMMYFUNCTION("""COMPUTED_VALUE"""),"JavaScript")</f>
        <v>JavaScript</v>
      </c>
      <c r="F4324" s="9" t="str">
        <f>IFERROR(__xludf.DUMMYFUNCTION("""COMPUTED_VALUE"""),"HTML/CSS")</f>
        <v>HTML/CSS</v>
      </c>
      <c r="G4324" s="9" t="str">
        <f>IFERROR(__xludf.DUMMYFUNCTION("""COMPUTED_VALUE"""),"C")</f>
        <v>C</v>
      </c>
      <c r="H4324" s="9" t="str">
        <f>IFERROR(__xludf.DUMMYFUNCTION("""COMPUTED_VALUE"""),"C++")</f>
        <v>C++</v>
      </c>
      <c r="I4324" s="9" t="str">
        <f>IFERROR(__xludf.DUMMYFUNCTION("""COMPUTED_VALUE"""),"Bash/Shell/PowerShell")</f>
        <v>Bash/Shell/PowerShell</v>
      </c>
      <c r="J4324" s="9" t="str">
        <f>IFERROR(__xludf.DUMMYFUNCTION("""COMPUTED_VALUE"""),"Bash/Shell/PowerShell")</f>
        <v>Bash/Shell/PowerShell</v>
      </c>
      <c r="K4324" s="9" t="str">
        <f>IFERROR(__xludf.DUMMYFUNCTION("""COMPUTED_VALUE"""),"SQL")</f>
        <v>SQL</v>
      </c>
      <c r="L4324" s="9" t="str">
        <f>IFERROR(__xludf.DUMMYFUNCTION("""COMPUTED_VALUE"""),"Java")</f>
        <v>Java</v>
      </c>
      <c r="M4324" s="9" t="s">
        <v>20</v>
      </c>
    </row>
    <row r="4325" ht="15.75" customHeight="1">
      <c r="A4325" s="7"/>
      <c r="B4325" s="7" t="str">
        <f>IFERROR(__xludf.DUMMYFUNCTION("""COMPUTED_VALUE"""),"C#;SQL;TypeScript")</f>
        <v>C#;SQL;TypeScript</v>
      </c>
      <c r="C4325" s="9" t="str">
        <f>IFERROR(__xludf.DUMMYFUNCTION("""COMPUTED_VALUE"""),"SQL")</f>
        <v>SQL</v>
      </c>
      <c r="D4325" s="9" t="str">
        <f>IFERROR(__xludf.DUMMYFUNCTION("""COMPUTED_VALUE"""),"JavaScript")</f>
        <v>JavaScript</v>
      </c>
      <c r="E4325" s="9" t="str">
        <f>IFERROR(__xludf.DUMMYFUNCTION("""COMPUTED_VALUE"""),"SQL")</f>
        <v>SQL</v>
      </c>
      <c r="F4325" s="9" t="str">
        <f>IFERROR(__xludf.DUMMYFUNCTION("""COMPUTED_VALUE"""),"JavaScript")</f>
        <v>JavaScript</v>
      </c>
      <c r="G4325" s="9" t="str">
        <f>IFERROR(__xludf.DUMMYFUNCTION("""COMPUTED_VALUE"""),"HTML/CSS")</f>
        <v>HTML/CSS</v>
      </c>
      <c r="H4325" s="9" t="str">
        <f>IFERROR(__xludf.DUMMYFUNCTION("""COMPUTED_VALUE"""),"HTML/CSS")</f>
        <v>HTML/CSS</v>
      </c>
      <c r="I4325" s="9" t="str">
        <f>IFERROR(__xludf.DUMMYFUNCTION("""COMPUTED_VALUE"""),"C")</f>
        <v>C</v>
      </c>
      <c r="J4325" s="9" t="str">
        <f>IFERROR(__xludf.DUMMYFUNCTION("""COMPUTED_VALUE"""),"C")</f>
        <v>C</v>
      </c>
      <c r="K4325" s="9" t="str">
        <f>IFERROR(__xludf.DUMMYFUNCTION("""COMPUTED_VALUE"""),"C++")</f>
        <v>C++</v>
      </c>
      <c r="L4325" s="9" t="str">
        <f>IFERROR(__xludf.DUMMYFUNCTION("""COMPUTED_VALUE"""),"JavaScript")</f>
        <v>JavaScript</v>
      </c>
      <c r="M4325" s="9" t="s">
        <v>27</v>
      </c>
    </row>
    <row r="4326" ht="15.75" customHeight="1">
      <c r="A4326" s="7"/>
      <c r="B4326" s="7" t="str">
        <f>IFERROR(__xludf.DUMMYFUNCTION("""COMPUTED_VALUE"""),"Bash/Shell/PowerShell;C#;HTML/CSS;JavaScript;SQL")</f>
        <v>Bash/Shell/PowerShell;C#;HTML/CSS;JavaScript;SQL</v>
      </c>
      <c r="C4326" s="9" t="str">
        <f>IFERROR(__xludf.DUMMYFUNCTION("""COMPUTED_VALUE"""),"Swift")</f>
        <v>Swift</v>
      </c>
      <c r="D4326" s="9" t="str">
        <f>IFERROR(__xludf.DUMMYFUNCTION("""COMPUTED_VALUE"""),"Kotlin")</f>
        <v>Kotlin</v>
      </c>
      <c r="E4326" s="9" t="str">
        <f>IFERROR(__xludf.DUMMYFUNCTION("""COMPUTED_VALUE"""),"C#")</f>
        <v>C#</v>
      </c>
      <c r="F4326" s="9" t="str">
        <f>IFERROR(__xludf.DUMMYFUNCTION("""COMPUTED_VALUE"""),"PHP")</f>
        <v>PHP</v>
      </c>
      <c r="G4326" s="9" t="str">
        <f>IFERROR(__xludf.DUMMYFUNCTION("""COMPUTED_VALUE"""),"Java")</f>
        <v>Java</v>
      </c>
      <c r="H4326" s="9" t="str">
        <f>IFERROR(__xludf.DUMMYFUNCTION("""COMPUTED_VALUE"""),"JavaScript")</f>
        <v>JavaScript</v>
      </c>
      <c r="I4326" s="9" t="str">
        <f>IFERROR(__xludf.DUMMYFUNCTION("""COMPUTED_VALUE"""),"C#")</f>
        <v>C#</v>
      </c>
      <c r="J4326" s="9" t="str">
        <f>IFERROR(__xludf.DUMMYFUNCTION("""COMPUTED_VALUE"""),"C++")</f>
        <v>C++</v>
      </c>
      <c r="K4326" s="9" t="str">
        <f>IFERROR(__xludf.DUMMYFUNCTION("""COMPUTED_VALUE"""),"C#")</f>
        <v>C#</v>
      </c>
      <c r="L4326" s="9" t="str">
        <f>IFERROR(__xludf.DUMMYFUNCTION("""COMPUTED_VALUE"""),"Python")</f>
        <v>Python</v>
      </c>
      <c r="M4326" s="9" t="s">
        <v>40</v>
      </c>
    </row>
    <row r="4327" ht="15.75" customHeight="1">
      <c r="A4327" s="7"/>
      <c r="B4327" s="7" t="str">
        <f>IFERROR(__xludf.DUMMYFUNCTION("""COMPUTED_VALUE"""),"HTML/CSS;Java;JavaScript;Python;TypeScript")</f>
        <v>HTML/CSS;Java;JavaScript;Python;TypeScript</v>
      </c>
      <c r="C4327" s="9" t="str">
        <f>IFERROR(__xludf.DUMMYFUNCTION("""COMPUTED_VALUE"""),"C#")</f>
        <v>C#</v>
      </c>
      <c r="D4327" s="9" t="str">
        <f>IFERROR(__xludf.DUMMYFUNCTION("""COMPUTED_VALUE"""),"HTML/CSS")</f>
        <v>HTML/CSS</v>
      </c>
      <c r="E4327" s="9" t="str">
        <f>IFERROR(__xludf.DUMMYFUNCTION("""COMPUTED_VALUE"""),"HTML/CSS")</f>
        <v>HTML/CSS</v>
      </c>
      <c r="F4327" s="9" t="str">
        <f>IFERROR(__xludf.DUMMYFUNCTION("""COMPUTED_VALUE"""),"SQL")</f>
        <v>SQL</v>
      </c>
      <c r="G4327" s="9" t="str">
        <f>IFERROR(__xludf.DUMMYFUNCTION("""COMPUTED_VALUE"""),"JavaScript")</f>
        <v>JavaScript</v>
      </c>
      <c r="H4327" s="9" t="str">
        <f>IFERROR(__xludf.DUMMYFUNCTION("""COMPUTED_VALUE"""),"PHP")</f>
        <v>PHP</v>
      </c>
      <c r="I4327" s="9" t="str">
        <f>IFERROR(__xludf.DUMMYFUNCTION("""COMPUTED_VALUE"""),"HTML/CSS")</f>
        <v>HTML/CSS</v>
      </c>
      <c r="J4327" s="9" t="str">
        <f>IFERROR(__xludf.DUMMYFUNCTION("""COMPUTED_VALUE"""),"C#")</f>
        <v>C#</v>
      </c>
      <c r="K4327" s="9" t="str">
        <f>IFERROR(__xludf.DUMMYFUNCTION("""COMPUTED_VALUE"""),"C#")</f>
        <v>C#</v>
      </c>
      <c r="L4327" s="9" t="str">
        <f>IFERROR(__xludf.DUMMYFUNCTION("""COMPUTED_VALUE"""),"Assembly")</f>
        <v>Assembly</v>
      </c>
      <c r="M4327" s="9" t="s">
        <v>26</v>
      </c>
    </row>
    <row r="4328" ht="15.75" customHeight="1">
      <c r="A4328" s="7"/>
      <c r="B4328" s="7" t="str">
        <f>IFERROR(__xludf.DUMMYFUNCTION("""COMPUTED_VALUE"""),"Bash/Shell/PowerShell;HTML/CSS;Java;JavaScript;PHP")</f>
        <v>Bash/Shell/PowerShell;HTML/CSS;Java;JavaScript;PHP</v>
      </c>
      <c r="C4328" s="9" t="str">
        <f>IFERROR(__xludf.DUMMYFUNCTION("""COMPUTED_VALUE"""),"HTML/CSS")</f>
        <v>HTML/CSS</v>
      </c>
      <c r="D4328" s="9" t="str">
        <f>IFERROR(__xludf.DUMMYFUNCTION("""COMPUTED_VALUE"""),"JavaScript")</f>
        <v>JavaScript</v>
      </c>
      <c r="E4328" s="9" t="str">
        <f>IFERROR(__xludf.DUMMYFUNCTION("""COMPUTED_VALUE"""),"JavaScript")</f>
        <v>JavaScript</v>
      </c>
      <c r="F4328" s="9" t="str">
        <f>IFERROR(__xludf.DUMMYFUNCTION("""COMPUTED_VALUE"""),"C#")</f>
        <v>C#</v>
      </c>
      <c r="G4328" s="9" t="str">
        <f>IFERROR(__xludf.DUMMYFUNCTION("""COMPUTED_VALUE"""),"Objective-C")</f>
        <v>Objective-C</v>
      </c>
      <c r="H4328" s="9" t="str">
        <f>IFERROR(__xludf.DUMMYFUNCTION("""COMPUTED_VALUE"""),"Python")</f>
        <v>Python</v>
      </c>
      <c r="I4328" s="9" t="str">
        <f>IFERROR(__xludf.DUMMYFUNCTION("""COMPUTED_VALUE"""),"Ruby")</f>
        <v>Ruby</v>
      </c>
      <c r="J4328" s="9" t="str">
        <f>IFERROR(__xludf.DUMMYFUNCTION("""COMPUTED_VALUE"""),"Go")</f>
        <v>Go</v>
      </c>
      <c r="K4328" s="9" t="str">
        <f>IFERROR(__xludf.DUMMYFUNCTION("""COMPUTED_VALUE"""),"HTML/CSS")</f>
        <v>HTML/CSS</v>
      </c>
      <c r="L4328" s="9" t="str">
        <f>IFERROR(__xludf.DUMMYFUNCTION("""COMPUTED_VALUE"""),"Bash/Shell/PowerShell")</f>
        <v>Bash/Shell/PowerShell</v>
      </c>
      <c r="M4328" s="9" t="s">
        <v>24</v>
      </c>
    </row>
    <row r="4329" ht="15.75" customHeight="1">
      <c r="A4329" s="7"/>
      <c r="B4329" s="7" t="str">
        <f>IFERROR(__xludf.DUMMYFUNCTION("""COMPUTED_VALUE"""),"Java;JavaScript;PHP;SQL;TypeScript")</f>
        <v>Java;JavaScript;PHP;SQL;TypeScript</v>
      </c>
      <c r="C4329" s="9" t="str">
        <f>IFERROR(__xludf.DUMMYFUNCTION("""COMPUTED_VALUE"""),"JavaScript")</f>
        <v>JavaScript</v>
      </c>
      <c r="D4329" s="9" t="str">
        <f>IFERROR(__xludf.DUMMYFUNCTION("""COMPUTED_VALUE"""),"Python")</f>
        <v>Python</v>
      </c>
      <c r="E4329" s="9" t="str">
        <f>IFERROR(__xludf.DUMMYFUNCTION("""COMPUTED_VALUE"""),"PHP")</f>
        <v>PHP</v>
      </c>
      <c r="F4329" s="9" t="str">
        <f>IFERROR(__xludf.DUMMYFUNCTION("""COMPUTED_VALUE"""),"Python")</f>
        <v>Python</v>
      </c>
      <c r="G4329" s="9" t="str">
        <f>IFERROR(__xludf.DUMMYFUNCTION("""COMPUTED_VALUE"""),"PHP")</f>
        <v>PHP</v>
      </c>
      <c r="H4329" s="9" t="str">
        <f>IFERROR(__xludf.DUMMYFUNCTION("""COMPUTED_VALUE"""),"R")</f>
        <v>R</v>
      </c>
      <c r="I4329" s="9" t="str">
        <f>IFERROR(__xludf.DUMMYFUNCTION("""COMPUTED_VALUE"""),"SQL")</f>
        <v>SQL</v>
      </c>
      <c r="J4329" s="9" t="str">
        <f>IFERROR(__xludf.DUMMYFUNCTION("""COMPUTED_VALUE"""),"HTML/CSS")</f>
        <v>HTML/CSS</v>
      </c>
      <c r="K4329" s="9" t="str">
        <f>IFERROR(__xludf.DUMMYFUNCTION("""COMPUTED_VALUE"""),"JavaScript")</f>
        <v>JavaScript</v>
      </c>
      <c r="L4329" s="9" t="str">
        <f>IFERROR(__xludf.DUMMYFUNCTION("""COMPUTED_VALUE"""),"C")</f>
        <v>C</v>
      </c>
      <c r="M4329" s="9" t="s">
        <v>21</v>
      </c>
    </row>
    <row r="4330" ht="15.75" customHeight="1">
      <c r="A4330" s="7"/>
      <c r="B4330" s="7" t="str">
        <f>IFERROR(__xludf.DUMMYFUNCTION("""COMPUTED_VALUE"""),"Java;JavaScript;SQL")</f>
        <v>Java;JavaScript;SQL</v>
      </c>
      <c r="C4330" s="9" t="str">
        <f>IFERROR(__xludf.DUMMYFUNCTION("""COMPUTED_VALUE"""),"SQL")</f>
        <v>SQL</v>
      </c>
      <c r="D4330" s="9" t="str">
        <f>IFERROR(__xludf.DUMMYFUNCTION("""COMPUTED_VALUE"""),"Bash/Shell/PowerShell")</f>
        <v>Bash/Shell/PowerShell</v>
      </c>
      <c r="E4330" s="9" t="str">
        <f>IFERROR(__xludf.DUMMYFUNCTION("""COMPUTED_VALUE"""),"SQL")</f>
        <v>SQL</v>
      </c>
      <c r="F4330" s="9" t="str">
        <f>IFERROR(__xludf.DUMMYFUNCTION("""COMPUTED_VALUE"""),"SQL")</f>
        <v>SQL</v>
      </c>
      <c r="G4330" s="9" t="str">
        <f>IFERROR(__xludf.DUMMYFUNCTION("""COMPUTED_VALUE"""),"Python")</f>
        <v>Python</v>
      </c>
      <c r="H4330" s="9" t="str">
        <f>IFERROR(__xludf.DUMMYFUNCTION("""COMPUTED_VALUE"""),"SQL")</f>
        <v>SQL</v>
      </c>
      <c r="I4330" s="9" t="str">
        <f>IFERROR(__xludf.DUMMYFUNCTION("""COMPUTED_VALUE"""),"TypeScript")</f>
        <v>TypeScript</v>
      </c>
      <c r="J4330" s="9" t="str">
        <f>IFERROR(__xludf.DUMMYFUNCTION("""COMPUTED_VALUE"""),"JavaScript")</f>
        <v>JavaScript</v>
      </c>
      <c r="K4330" s="9" t="str">
        <f>IFERROR(__xludf.DUMMYFUNCTION("""COMPUTED_VALUE"""),"SQL")</f>
        <v>SQL</v>
      </c>
      <c r="L4330" s="9" t="str">
        <f>IFERROR(__xludf.DUMMYFUNCTION("""COMPUTED_VALUE"""),"C++")</f>
        <v>C++</v>
      </c>
      <c r="M4330" s="9" t="s">
        <v>27</v>
      </c>
    </row>
    <row r="4331" ht="15.75" customHeight="1">
      <c r="A4331" s="7"/>
      <c r="B4331" s="7" t="str">
        <f>IFERROR(__xludf.DUMMYFUNCTION("""COMPUTED_VALUE"""),"Bash/Shell/PowerShell;Go;HTML/CSS;Java;JavaScript;Rust;Scala;SQL")</f>
        <v>Bash/Shell/PowerShell;Go;HTML/CSS;Java;JavaScript;Rust;Scala;SQL</v>
      </c>
      <c r="C4331" s="9" t="str">
        <f>IFERROR(__xludf.DUMMYFUNCTION("""COMPUTED_VALUE"""),"HTML/CSS")</f>
        <v>HTML/CSS</v>
      </c>
      <c r="D4331" s="9" t="str">
        <f>IFERROR(__xludf.DUMMYFUNCTION("""COMPUTED_VALUE"""),"C++")</f>
        <v>C++</v>
      </c>
      <c r="E4331" s="9" t="str">
        <f>IFERROR(__xludf.DUMMYFUNCTION("""COMPUTED_VALUE"""),"C#")</f>
        <v>C#</v>
      </c>
      <c r="F4331" s="9" t="str">
        <f>IFERROR(__xludf.DUMMYFUNCTION("""COMPUTED_VALUE"""),"HTML/CSS")</f>
        <v>HTML/CSS</v>
      </c>
      <c r="G4331" s="9" t="str">
        <f>IFERROR(__xludf.DUMMYFUNCTION("""COMPUTED_VALUE"""),"SQL")</f>
        <v>SQL</v>
      </c>
      <c r="H4331" s="9" t="str">
        <f>IFERROR(__xludf.DUMMYFUNCTION("""COMPUTED_VALUE"""),"HTML/CSS")</f>
        <v>HTML/CSS</v>
      </c>
      <c r="I4331" s="9" t="str">
        <f>IFERROR(__xludf.DUMMYFUNCTION("""COMPUTED_VALUE"""),"JavaScript")</f>
        <v>JavaScript</v>
      </c>
      <c r="J4331" s="9" t="str">
        <f>IFERROR(__xludf.DUMMYFUNCTION("""COMPUTED_VALUE"""),"PHP")</f>
        <v>PHP</v>
      </c>
      <c r="K4331" s="9" t="str">
        <f>IFERROR(__xludf.DUMMYFUNCTION("""COMPUTED_VALUE"""),"TypeScript")</f>
        <v>TypeScript</v>
      </c>
      <c r="L4331" s="9" t="str">
        <f>IFERROR(__xludf.DUMMYFUNCTION("""COMPUTED_VALUE"""),"C#")</f>
        <v>C#</v>
      </c>
      <c r="M4331" s="9" t="s">
        <v>24</v>
      </c>
    </row>
    <row r="4332" ht="15.75" customHeight="1">
      <c r="A4332" s="7"/>
      <c r="B4332" s="7" t="str">
        <f>IFERROR(__xludf.DUMMYFUNCTION("""COMPUTED_VALUE"""),"Bash/Shell/PowerShell;C++;C#;HTML/CSS;JavaScript;PHP;SQL")</f>
        <v>Bash/Shell/PowerShell;C++;C#;HTML/CSS;JavaScript;PHP;SQL</v>
      </c>
      <c r="C4332" s="9" t="str">
        <f>IFERROR(__xludf.DUMMYFUNCTION("""COMPUTED_VALUE"""),"Java")</f>
        <v>Java</v>
      </c>
      <c r="D4332" s="9" t="str">
        <f>IFERROR(__xludf.DUMMYFUNCTION("""COMPUTED_VALUE"""),"C#")</f>
        <v>C#</v>
      </c>
      <c r="E4332" s="9" t="str">
        <f>IFERROR(__xludf.DUMMYFUNCTION("""COMPUTED_VALUE"""),"JavaScript")</f>
        <v>JavaScript</v>
      </c>
      <c r="F4332" s="9" t="str">
        <f>IFERROR(__xludf.DUMMYFUNCTION("""COMPUTED_VALUE"""),"JavaScript")</f>
        <v>JavaScript</v>
      </c>
      <c r="G4332" s="9" t="str">
        <f>IFERROR(__xludf.DUMMYFUNCTION("""COMPUTED_VALUE"""),"Swift")</f>
        <v>Swift</v>
      </c>
      <c r="H4332" s="9" t="str">
        <f>IFERROR(__xludf.DUMMYFUNCTION("""COMPUTED_VALUE"""),"PHP")</f>
        <v>PHP</v>
      </c>
      <c r="I4332" s="9" t="str">
        <f>IFERROR(__xludf.DUMMYFUNCTION("""COMPUTED_VALUE"""),"C#")</f>
        <v>C#</v>
      </c>
      <c r="J4332" s="9" t="str">
        <f>IFERROR(__xludf.DUMMYFUNCTION("""COMPUTED_VALUE"""),"Ruby")</f>
        <v>Ruby</v>
      </c>
      <c r="K4332" s="9" t="str">
        <f>IFERROR(__xludf.DUMMYFUNCTION("""COMPUTED_VALUE"""),"Bash/Shell/PowerShell")</f>
        <v>Bash/Shell/PowerShell</v>
      </c>
      <c r="L4332" s="9" t="str">
        <f>IFERROR(__xludf.DUMMYFUNCTION("""COMPUTED_VALUE"""),"Go")</f>
        <v>Go</v>
      </c>
      <c r="M4332" s="9" t="s">
        <v>20</v>
      </c>
    </row>
    <row r="4333" ht="15.75" customHeight="1">
      <c r="A4333" s="7"/>
      <c r="B4333" s="7" t="str">
        <f>IFERROR(__xludf.DUMMYFUNCTION("""COMPUTED_VALUE"""),"C;C++;C#;HTML/CSS;Java;JavaScript;Objective-C;PHP;Python;R;Ruby;SQL;Swift;VBA;Other(s):")</f>
        <v>C;C++;C#;HTML/CSS;Java;JavaScript;Objective-C;PHP;Python;R;Ruby;SQL;Swift;VBA;Other(s):</v>
      </c>
      <c r="C4333" s="9" t="str">
        <f>IFERROR(__xludf.DUMMYFUNCTION("""COMPUTED_VALUE"""),"PHP")</f>
        <v>PHP</v>
      </c>
      <c r="D4333" s="9" t="str">
        <f>IFERROR(__xludf.DUMMYFUNCTION("""COMPUTED_VALUE"""),"HTML/CSS")</f>
        <v>HTML/CSS</v>
      </c>
      <c r="E4333" s="9" t="str">
        <f>IFERROR(__xludf.DUMMYFUNCTION("""COMPUTED_VALUE"""),"SQL")</f>
        <v>SQL</v>
      </c>
      <c r="F4333" s="9" t="str">
        <f>IFERROR(__xludf.DUMMYFUNCTION("""COMPUTED_VALUE"""),"Other(s):")</f>
        <v>Other(s):</v>
      </c>
      <c r="G4333" s="9" t="str">
        <f>IFERROR(__xludf.DUMMYFUNCTION("""COMPUTED_VALUE"""),"Bash/Shell/PowerShell")</f>
        <v>Bash/Shell/PowerShell</v>
      </c>
      <c r="H4333" s="9" t="str">
        <f>IFERROR(__xludf.DUMMYFUNCTION("""COMPUTED_VALUE"""),"SQL")</f>
        <v>SQL</v>
      </c>
      <c r="I4333" s="9" t="str">
        <f>IFERROR(__xludf.DUMMYFUNCTION("""COMPUTED_VALUE"""),"Java")</f>
        <v>Java</v>
      </c>
      <c r="J4333" s="9" t="str">
        <f>IFERROR(__xludf.DUMMYFUNCTION("""COMPUTED_VALUE"""),"SQL")</f>
        <v>SQL</v>
      </c>
      <c r="K4333" s="9" t="str">
        <f>IFERROR(__xludf.DUMMYFUNCTION("""COMPUTED_VALUE"""),"HTML/CSS")</f>
        <v>HTML/CSS</v>
      </c>
      <c r="L4333" s="9" t="str">
        <f>IFERROR(__xludf.DUMMYFUNCTION("""COMPUTED_VALUE"""),"HTML/CSS")</f>
        <v>HTML/CSS</v>
      </c>
      <c r="M4333" s="9" t="s">
        <v>37</v>
      </c>
    </row>
    <row r="4334" ht="15.75" customHeight="1">
      <c r="A4334" s="7"/>
      <c r="B4334" s="7" t="str">
        <f>IFERROR(__xludf.DUMMYFUNCTION("""COMPUTED_VALUE"""),"JavaScript;Objective-C;TypeScript")</f>
        <v>JavaScript;Objective-C;TypeScript</v>
      </c>
      <c r="C4334" s="9" t="str">
        <f>IFERROR(__xludf.DUMMYFUNCTION("""COMPUTED_VALUE"""),"SQL")</f>
        <v>SQL</v>
      </c>
      <c r="D4334" s="9" t="str">
        <f>IFERROR(__xludf.DUMMYFUNCTION("""COMPUTED_VALUE"""),"JavaScript")</f>
        <v>JavaScript</v>
      </c>
      <c r="E4334" s="9" t="str">
        <f>IFERROR(__xludf.DUMMYFUNCTION("""COMPUTED_VALUE"""),"C++")</f>
        <v>C++</v>
      </c>
      <c r="F4334" s="9" t="str">
        <f>IFERROR(__xludf.DUMMYFUNCTION("""COMPUTED_VALUE"""),"C#")</f>
        <v>C#</v>
      </c>
      <c r="G4334" s="9" t="str">
        <f>IFERROR(__xludf.DUMMYFUNCTION("""COMPUTED_VALUE"""),"C#")</f>
        <v>C#</v>
      </c>
      <c r="H4334" s="9" t="str">
        <f>IFERROR(__xludf.DUMMYFUNCTION("""COMPUTED_VALUE"""),"Bash/Shell/PowerShell")</f>
        <v>Bash/Shell/PowerShell</v>
      </c>
      <c r="I4334" s="9" t="str">
        <f>IFERROR(__xludf.DUMMYFUNCTION("""COMPUTED_VALUE"""),"JavaScript")</f>
        <v>JavaScript</v>
      </c>
      <c r="J4334" s="9" t="str">
        <f>IFERROR(__xludf.DUMMYFUNCTION("""COMPUTED_VALUE"""),"Bash/Shell/PowerShell")</f>
        <v>Bash/Shell/PowerShell</v>
      </c>
      <c r="K4334" s="9" t="str">
        <f>IFERROR(__xludf.DUMMYFUNCTION("""COMPUTED_VALUE"""),"JavaScript")</f>
        <v>JavaScript</v>
      </c>
      <c r="L4334" s="9" t="str">
        <f>IFERROR(__xludf.DUMMYFUNCTION("""COMPUTED_VALUE"""),"Java")</f>
        <v>Java</v>
      </c>
      <c r="M4334" s="9" t="s">
        <v>27</v>
      </c>
    </row>
    <row r="4335" ht="15.75" customHeight="1">
      <c r="A4335" s="7"/>
      <c r="B4335" s="7" t="str">
        <f>IFERROR(__xludf.DUMMYFUNCTION("""COMPUTED_VALUE"""),"HTML/CSS;Python;Ruby;SQL")</f>
        <v>HTML/CSS;Python;Ruby;SQL</v>
      </c>
      <c r="C4335" s="9" t="str">
        <f>IFERROR(__xludf.DUMMYFUNCTION("""COMPUTED_VALUE"""),"C#")</f>
        <v>C#</v>
      </c>
      <c r="D4335" s="9" t="str">
        <f>IFERROR(__xludf.DUMMYFUNCTION("""COMPUTED_VALUE"""),"Python")</f>
        <v>Python</v>
      </c>
      <c r="E4335" s="9" t="str">
        <f>IFERROR(__xludf.DUMMYFUNCTION("""COMPUTED_VALUE"""),"Objective-C")</f>
        <v>Objective-C</v>
      </c>
      <c r="F4335" s="9" t="str">
        <f>IFERROR(__xludf.DUMMYFUNCTION("""COMPUTED_VALUE"""),"HTML/CSS")</f>
        <v>HTML/CSS</v>
      </c>
      <c r="G4335" s="9" t="str">
        <f>IFERROR(__xludf.DUMMYFUNCTION("""COMPUTED_VALUE"""),"HTML/CSS")</f>
        <v>HTML/CSS</v>
      </c>
      <c r="H4335" s="9" t="str">
        <f>IFERROR(__xludf.DUMMYFUNCTION("""COMPUTED_VALUE"""),"C#")</f>
        <v>C#</v>
      </c>
      <c r="I4335" s="9" t="str">
        <f>IFERROR(__xludf.DUMMYFUNCTION("""COMPUTED_VALUE"""),"SQL")</f>
        <v>SQL</v>
      </c>
      <c r="J4335" s="9" t="str">
        <f>IFERROR(__xludf.DUMMYFUNCTION("""COMPUTED_VALUE"""),"C++")</f>
        <v>C++</v>
      </c>
      <c r="K4335" s="9" t="str">
        <f>IFERROR(__xludf.DUMMYFUNCTION("""COMPUTED_VALUE"""),"PHP")</f>
        <v>PHP</v>
      </c>
      <c r="L4335" s="9" t="str">
        <f>IFERROR(__xludf.DUMMYFUNCTION("""COMPUTED_VALUE"""),"JavaScript")</f>
        <v>JavaScript</v>
      </c>
      <c r="M4335" s="9" t="s">
        <v>26</v>
      </c>
    </row>
    <row r="4336" ht="15.75" customHeight="1">
      <c r="A4336" s="7"/>
      <c r="B4336" s="7" t="str">
        <f>IFERROR(__xludf.DUMMYFUNCTION("""COMPUTED_VALUE"""),"C#;HTML/CSS;JavaScript;PHP;Python;SQL;TypeScript;WebAssembly")</f>
        <v>C#;HTML/CSS;JavaScript;PHP;Python;SQL;TypeScript;WebAssembly</v>
      </c>
      <c r="C4336" s="9" t="str">
        <f>IFERROR(__xludf.DUMMYFUNCTION("""COMPUTED_VALUE"""),"Clojure")</f>
        <v>Clojure</v>
      </c>
      <c r="D4336" s="9" t="str">
        <f>IFERROR(__xludf.DUMMYFUNCTION("""COMPUTED_VALUE"""),"SQL")</f>
        <v>SQL</v>
      </c>
      <c r="E4336" s="9" t="str">
        <f>IFERROR(__xludf.DUMMYFUNCTION("""COMPUTED_VALUE"""),"Bash/Shell/PowerShell")</f>
        <v>Bash/Shell/PowerShell</v>
      </c>
      <c r="F4336" s="9" t="str">
        <f>IFERROR(__xludf.DUMMYFUNCTION("""COMPUTED_VALUE"""),"Java")</f>
        <v>Java</v>
      </c>
      <c r="G4336" s="9" t="str">
        <f>IFERROR(__xludf.DUMMYFUNCTION("""COMPUTED_VALUE"""),"JavaScript")</f>
        <v>JavaScript</v>
      </c>
      <c r="H4336" s="9" t="str">
        <f>IFERROR(__xludf.DUMMYFUNCTION("""COMPUTED_VALUE"""),"HTML/CSS")</f>
        <v>HTML/CSS</v>
      </c>
      <c r="I4336" s="9" t="str">
        <f>IFERROR(__xludf.DUMMYFUNCTION("""COMPUTED_VALUE"""),"Bash/Shell/PowerShell")</f>
        <v>Bash/Shell/PowerShell</v>
      </c>
      <c r="J4336" s="9" t="str">
        <f>IFERROR(__xludf.DUMMYFUNCTION("""COMPUTED_VALUE"""),"HTML/CSS")</f>
        <v>HTML/CSS</v>
      </c>
      <c r="K4336" s="9" t="str">
        <f>IFERROR(__xludf.DUMMYFUNCTION("""COMPUTED_VALUE"""),"Python")</f>
        <v>Python</v>
      </c>
      <c r="L4336" s="9" t="str">
        <f>IFERROR(__xludf.DUMMYFUNCTION("""COMPUTED_VALUE"""),"PHP")</f>
        <v>PHP</v>
      </c>
      <c r="M4336" s="9" t="s">
        <v>44</v>
      </c>
    </row>
    <row r="4337" ht="15.75" customHeight="1">
      <c r="A4337" s="7"/>
      <c r="B4337" s="7" t="str">
        <f>IFERROR(__xludf.DUMMYFUNCTION("""COMPUTED_VALUE"""),"Clojure;HTML/CSS;Java;JavaScript;SQL")</f>
        <v>Clojure;HTML/CSS;Java;JavaScript;SQL</v>
      </c>
      <c r="C4337" s="9" t="str">
        <f>IFERROR(__xludf.DUMMYFUNCTION("""COMPUTED_VALUE"""),"JavaScript")</f>
        <v>JavaScript</v>
      </c>
      <c r="D4337" s="9" t="str">
        <f>IFERROR(__xludf.DUMMYFUNCTION("""COMPUTED_VALUE"""),"TypeScript")</f>
        <v>TypeScript</v>
      </c>
      <c r="E4337" s="9" t="str">
        <f>IFERROR(__xludf.DUMMYFUNCTION("""COMPUTED_VALUE"""),"JavaScript")</f>
        <v>JavaScript</v>
      </c>
      <c r="F4337" s="9" t="str">
        <f>IFERROR(__xludf.DUMMYFUNCTION("""COMPUTED_VALUE"""),"JavaScript")</f>
        <v>JavaScript</v>
      </c>
      <c r="G4337" s="9" t="str">
        <f>IFERROR(__xludf.DUMMYFUNCTION("""COMPUTED_VALUE"""),"SQL")</f>
        <v>SQL</v>
      </c>
      <c r="H4337" s="9" t="str">
        <f>IFERROR(__xludf.DUMMYFUNCTION("""COMPUTED_VALUE"""),"JavaScript")</f>
        <v>JavaScript</v>
      </c>
      <c r="I4337" s="9" t="str">
        <f>IFERROR(__xludf.DUMMYFUNCTION("""COMPUTED_VALUE"""),"HTML/CSS")</f>
        <v>HTML/CSS</v>
      </c>
      <c r="J4337" s="9" t="str">
        <f>IFERROR(__xludf.DUMMYFUNCTION("""COMPUTED_VALUE"""),"JavaScript")</f>
        <v>JavaScript</v>
      </c>
      <c r="K4337" s="9" t="str">
        <f>IFERROR(__xludf.DUMMYFUNCTION("""COMPUTED_VALUE"""),"SQL")</f>
        <v>SQL</v>
      </c>
      <c r="L4337" s="9" t="str">
        <f>IFERROR(__xludf.DUMMYFUNCTION("""COMPUTED_VALUE"""),"Python")</f>
        <v>Python</v>
      </c>
      <c r="M4337" s="9" t="s">
        <v>21</v>
      </c>
    </row>
    <row r="4338" ht="15.75" customHeight="1">
      <c r="A4338" s="7"/>
      <c r="B4338" s="7" t="str">
        <f>IFERROR(__xludf.DUMMYFUNCTION("""COMPUTED_VALUE"""),"Other(s):")</f>
        <v>Other(s):</v>
      </c>
      <c r="C4338" s="9" t="str">
        <f>IFERROR(__xludf.DUMMYFUNCTION("""COMPUTED_VALUE"""),"PHP")</f>
        <v>PHP</v>
      </c>
      <c r="D4338" s="9" t="str">
        <f>IFERROR(__xludf.DUMMYFUNCTION("""COMPUTED_VALUE"""),"Clojure")</f>
        <v>Clojure</v>
      </c>
      <c r="E4338" s="9" t="str">
        <f>IFERROR(__xludf.DUMMYFUNCTION("""COMPUTED_VALUE"""),"PHP")</f>
        <v>PHP</v>
      </c>
      <c r="F4338" s="9" t="str">
        <f>IFERROR(__xludf.DUMMYFUNCTION("""COMPUTED_VALUE"""),"SQL")</f>
        <v>SQL</v>
      </c>
      <c r="G4338" s="9" t="str">
        <f>IFERROR(__xludf.DUMMYFUNCTION("""COMPUTED_VALUE"""),"TypeScript")</f>
        <v>TypeScript</v>
      </c>
      <c r="H4338" s="9" t="str">
        <f>IFERROR(__xludf.DUMMYFUNCTION("""COMPUTED_VALUE"""),"SQL")</f>
        <v>SQL</v>
      </c>
      <c r="I4338" s="9" t="str">
        <f>IFERROR(__xludf.DUMMYFUNCTION("""COMPUTED_VALUE"""),"JavaScript")</f>
        <v>JavaScript</v>
      </c>
      <c r="J4338" s="9" t="str">
        <f>IFERROR(__xludf.DUMMYFUNCTION("""COMPUTED_VALUE"""),"PHP")</f>
        <v>PHP</v>
      </c>
      <c r="K4338" s="9" t="str">
        <f>IFERROR(__xludf.DUMMYFUNCTION("""COMPUTED_VALUE"""),"TypeScript")</f>
        <v>TypeScript</v>
      </c>
      <c r="L4338" s="9" t="str">
        <f>IFERROR(__xludf.DUMMYFUNCTION("""COMPUTED_VALUE"""),"Ruby")</f>
        <v>Ruby</v>
      </c>
      <c r="M4338" s="9" t="s">
        <v>37</v>
      </c>
    </row>
    <row r="4339" ht="15.75" customHeight="1">
      <c r="A4339" s="7"/>
      <c r="B4339" s="7" t="str">
        <f>IFERROR(__xludf.DUMMYFUNCTION("""COMPUTED_VALUE"""),"Bash/Shell/PowerShell;HTML/CSS;Java;JavaScript;PHP;Python;SQL")</f>
        <v>Bash/Shell/PowerShell;HTML/CSS;Java;JavaScript;PHP;Python;SQL</v>
      </c>
      <c r="C4339" s="9" t="str">
        <f>IFERROR(__xludf.DUMMYFUNCTION("""COMPUTED_VALUE"""),"Python")</f>
        <v>Python</v>
      </c>
      <c r="D4339" s="9" t="str">
        <f>IFERROR(__xludf.DUMMYFUNCTION("""COMPUTED_VALUE"""),"Other(s):")</f>
        <v>Other(s):</v>
      </c>
      <c r="E4339" s="9" t="str">
        <f>IFERROR(__xludf.DUMMYFUNCTION("""COMPUTED_VALUE"""),"TypeScript")</f>
        <v>TypeScript</v>
      </c>
      <c r="F4339" s="9" t="str">
        <f>IFERROR(__xludf.DUMMYFUNCTION("""COMPUTED_VALUE"""),"Java")</f>
        <v>Java</v>
      </c>
      <c r="G4339" s="9" t="str">
        <f>IFERROR(__xludf.DUMMYFUNCTION("""COMPUTED_VALUE"""),"Bash/Shell/PowerShell")</f>
        <v>Bash/Shell/PowerShell</v>
      </c>
      <c r="H4339" s="9" t="str">
        <f>IFERROR(__xludf.DUMMYFUNCTION("""COMPUTED_VALUE"""),"TypeScript")</f>
        <v>TypeScript</v>
      </c>
      <c r="I4339" s="9" t="str">
        <f>IFERROR(__xludf.DUMMYFUNCTION("""COMPUTED_VALUE"""),"PHP")</f>
        <v>PHP</v>
      </c>
      <c r="J4339" s="9" t="str">
        <f>IFERROR(__xludf.DUMMYFUNCTION("""COMPUTED_VALUE"""),"Python")</f>
        <v>Python</v>
      </c>
      <c r="K4339" s="9" t="str">
        <f>IFERROR(__xludf.DUMMYFUNCTION("""COMPUTED_VALUE"""),"HTML/CSS")</f>
        <v>HTML/CSS</v>
      </c>
      <c r="L4339" s="9" t="str">
        <f>IFERROR(__xludf.DUMMYFUNCTION("""COMPUTED_VALUE"""),"SQL")</f>
        <v>SQL</v>
      </c>
      <c r="M4339" s="9" t="s">
        <v>22</v>
      </c>
    </row>
    <row r="4340" ht="15.75" customHeight="1">
      <c r="A4340" s="7"/>
      <c r="B4340" s="7" t="str">
        <f>IFERROR(__xludf.DUMMYFUNCTION("""COMPUTED_VALUE"""),"Bash/Shell/PowerShell;C#;HTML/CSS;Java;JavaScript;Python;SQL;WebAssembly")</f>
        <v>Bash/Shell/PowerShell;C#;HTML/CSS;Java;JavaScript;Python;SQL;WebAssembly</v>
      </c>
      <c r="C4340" s="9" t="str">
        <f>IFERROR(__xludf.DUMMYFUNCTION("""COMPUTED_VALUE"""),"R")</f>
        <v>R</v>
      </c>
      <c r="D4340" s="9" t="str">
        <f>IFERROR(__xludf.DUMMYFUNCTION("""COMPUTED_VALUE"""),"Bash/Shell/PowerShell")</f>
        <v>Bash/Shell/PowerShell</v>
      </c>
      <c r="E4340" s="9" t="str">
        <f>IFERROR(__xludf.DUMMYFUNCTION("""COMPUTED_VALUE"""),"HTML/CSS")</f>
        <v>HTML/CSS</v>
      </c>
      <c r="F4340" s="9" t="str">
        <f>IFERROR(__xludf.DUMMYFUNCTION("""COMPUTED_VALUE"""),"Assembly")</f>
        <v>Assembly</v>
      </c>
      <c r="G4340" s="9" t="str">
        <f>IFERROR(__xludf.DUMMYFUNCTION("""COMPUTED_VALUE"""),"C++")</f>
        <v>C++</v>
      </c>
      <c r="H4340" s="9" t="str">
        <f>IFERROR(__xludf.DUMMYFUNCTION("""COMPUTED_VALUE"""),"Java")</f>
        <v>Java</v>
      </c>
      <c r="I4340" s="9" t="str">
        <f>IFERROR(__xludf.DUMMYFUNCTION("""COMPUTED_VALUE"""),"SQL")</f>
        <v>SQL</v>
      </c>
      <c r="J4340" s="9" t="str">
        <f>IFERROR(__xludf.DUMMYFUNCTION("""COMPUTED_VALUE"""),"SQL")</f>
        <v>SQL</v>
      </c>
      <c r="K4340" s="9" t="str">
        <f>IFERROR(__xludf.DUMMYFUNCTION("""COMPUTED_VALUE"""),"Java")</f>
        <v>Java</v>
      </c>
      <c r="L4340" s="9" t="str">
        <f>IFERROR(__xludf.DUMMYFUNCTION("""COMPUTED_VALUE"""),"TypeScript")</f>
        <v>TypeScript</v>
      </c>
      <c r="M4340" s="9" t="s">
        <v>29</v>
      </c>
    </row>
    <row r="4341" ht="15.75" customHeight="1">
      <c r="A4341" s="7"/>
      <c r="B4341" s="7" t="str">
        <f>IFERROR(__xludf.DUMMYFUNCTION("""COMPUTED_VALUE"""),"HTML/CSS;Java;JavaScript;PHP;Python;SQL")</f>
        <v>HTML/CSS;Java;JavaScript;PHP;Python;SQL</v>
      </c>
      <c r="C4341" s="9" t="str">
        <f>IFERROR(__xludf.DUMMYFUNCTION("""COMPUTED_VALUE"""),"SQL")</f>
        <v>SQL</v>
      </c>
      <c r="D4341" s="9" t="str">
        <f>IFERROR(__xludf.DUMMYFUNCTION("""COMPUTED_VALUE"""),"HTML/CSS")</f>
        <v>HTML/CSS</v>
      </c>
      <c r="E4341" s="9" t="str">
        <f>IFERROR(__xludf.DUMMYFUNCTION("""COMPUTED_VALUE"""),"JavaScript")</f>
        <v>JavaScript</v>
      </c>
      <c r="F4341" s="9" t="str">
        <f>IFERROR(__xludf.DUMMYFUNCTION("""COMPUTED_VALUE"""),"Bash/Shell/PowerShell")</f>
        <v>Bash/Shell/PowerShell</v>
      </c>
      <c r="G4341" s="9" t="str">
        <f>IFERROR(__xludf.DUMMYFUNCTION("""COMPUTED_VALUE"""),"Java")</f>
        <v>Java</v>
      </c>
      <c r="H4341" s="9" t="str">
        <f>IFERROR(__xludf.DUMMYFUNCTION("""COMPUTED_VALUE"""),"SQL")</f>
        <v>SQL</v>
      </c>
      <c r="I4341" s="9" t="str">
        <f>IFERROR(__xludf.DUMMYFUNCTION("""COMPUTED_VALUE"""),"C")</f>
        <v>C</v>
      </c>
      <c r="J4341" s="9" t="str">
        <f>IFERROR(__xludf.DUMMYFUNCTION("""COMPUTED_VALUE"""),"TypeScript")</f>
        <v>TypeScript</v>
      </c>
      <c r="K4341" s="9" t="str">
        <f>IFERROR(__xludf.DUMMYFUNCTION("""COMPUTED_VALUE"""),"JavaScript")</f>
        <v>JavaScript</v>
      </c>
      <c r="L4341" s="9" t="str">
        <f>IFERROR(__xludf.DUMMYFUNCTION("""COMPUTED_VALUE"""),"HTML/CSS")</f>
        <v>HTML/CSS</v>
      </c>
      <c r="M4341" s="9" t="s">
        <v>27</v>
      </c>
    </row>
    <row r="4342" ht="15.75" customHeight="1">
      <c r="A4342" s="7"/>
      <c r="B4342" s="7" t="str">
        <f>IFERROR(__xludf.DUMMYFUNCTION("""COMPUTED_VALUE"""),"Bash/Shell/PowerShell;C;Java;Objective-C;Python;Swift")</f>
        <v>Bash/Shell/PowerShell;C;Java;Objective-C;Python;Swift</v>
      </c>
      <c r="C4342" s="9" t="str">
        <f>IFERROR(__xludf.DUMMYFUNCTION("""COMPUTED_VALUE"""),"C#")</f>
        <v>C#</v>
      </c>
      <c r="D4342" s="9" t="str">
        <f>IFERROR(__xludf.DUMMYFUNCTION("""COMPUTED_VALUE"""),"Java")</f>
        <v>Java</v>
      </c>
      <c r="E4342" s="9" t="str">
        <f>IFERROR(__xludf.DUMMYFUNCTION("""COMPUTED_VALUE"""),"Python")</f>
        <v>Python</v>
      </c>
      <c r="F4342" s="9" t="str">
        <f>IFERROR(__xludf.DUMMYFUNCTION("""COMPUTED_VALUE"""),"C++")</f>
        <v>C++</v>
      </c>
      <c r="G4342" s="9" t="str">
        <f>IFERROR(__xludf.DUMMYFUNCTION("""COMPUTED_VALUE"""),"JavaScript")</f>
        <v>JavaScript</v>
      </c>
      <c r="H4342" s="9" t="str">
        <f>IFERROR(__xludf.DUMMYFUNCTION("""COMPUTED_VALUE"""),"Bash/Shell/PowerShell")</f>
        <v>Bash/Shell/PowerShell</v>
      </c>
      <c r="I4342" s="9" t="str">
        <f>IFERROR(__xludf.DUMMYFUNCTION("""COMPUTED_VALUE"""),"C++")</f>
        <v>C++</v>
      </c>
      <c r="J4342" s="9" t="str">
        <f>IFERROR(__xludf.DUMMYFUNCTION("""COMPUTED_VALUE"""),"C#")</f>
        <v>C#</v>
      </c>
      <c r="K4342" s="9" t="str">
        <f>IFERROR(__xludf.DUMMYFUNCTION("""COMPUTED_VALUE"""),"SQL")</f>
        <v>SQL</v>
      </c>
      <c r="L4342" s="9" t="str">
        <f>IFERROR(__xludf.DUMMYFUNCTION("""COMPUTED_VALUE"""),"Java")</f>
        <v>Java</v>
      </c>
      <c r="M4342" s="9" t="s">
        <v>26</v>
      </c>
    </row>
    <row r="4343" ht="15.75" customHeight="1">
      <c r="A4343" s="7"/>
      <c r="B4343" s="7" t="str">
        <f>IFERROR(__xludf.DUMMYFUNCTION("""COMPUTED_VALUE"""),"Assembly;C#;HTML/CSS;Java;JavaScript;Objective-C;SQL;Swift;VBA;Other(s):")</f>
        <v>Assembly;C#;HTML/CSS;Java;JavaScript;Objective-C;SQL;Swift;VBA;Other(s):</v>
      </c>
      <c r="C4343" s="9" t="str">
        <f>IFERROR(__xludf.DUMMYFUNCTION("""COMPUTED_VALUE"""),"Java")</f>
        <v>Java</v>
      </c>
      <c r="D4343" s="9" t="str">
        <f>IFERROR(__xludf.DUMMYFUNCTION("""COMPUTED_VALUE"""),"JavaScript")</f>
        <v>JavaScript</v>
      </c>
      <c r="E4343" s="9" t="str">
        <f>IFERROR(__xludf.DUMMYFUNCTION("""COMPUTED_VALUE"""),"SQL")</f>
        <v>SQL</v>
      </c>
      <c r="F4343" s="9" t="str">
        <f>IFERROR(__xludf.DUMMYFUNCTION("""COMPUTED_VALUE"""),"Clojure")</f>
        <v>Clojure</v>
      </c>
      <c r="G4343" s="9" t="str">
        <f>IFERROR(__xludf.DUMMYFUNCTION("""COMPUTED_VALUE"""),"Python")</f>
        <v>Python</v>
      </c>
      <c r="H4343" s="9" t="str">
        <f>IFERROR(__xludf.DUMMYFUNCTION("""COMPUTED_VALUE"""),"C#")</f>
        <v>C#</v>
      </c>
      <c r="I4343" s="9" t="str">
        <f>IFERROR(__xludf.DUMMYFUNCTION("""COMPUTED_VALUE"""),"C#")</f>
        <v>C#</v>
      </c>
      <c r="J4343" s="9" t="str">
        <f>IFERROR(__xludf.DUMMYFUNCTION("""COMPUTED_VALUE"""),"Python")</f>
        <v>Python</v>
      </c>
      <c r="K4343" s="9" t="str">
        <f>IFERROR(__xludf.DUMMYFUNCTION("""COMPUTED_VALUE"""),"TypeScript")</f>
        <v>TypeScript</v>
      </c>
      <c r="L4343" s="9" t="str">
        <f>IFERROR(__xludf.DUMMYFUNCTION("""COMPUTED_VALUE"""),"JavaScript")</f>
        <v>JavaScript</v>
      </c>
      <c r="M4343" s="9" t="s">
        <v>20</v>
      </c>
    </row>
    <row r="4344" ht="15.75" customHeight="1">
      <c r="A4344" s="7"/>
      <c r="B4344" s="7" t="str">
        <f>IFERROR(__xludf.DUMMYFUNCTION("""COMPUTED_VALUE"""),"Bash/Shell/PowerShell;C;HTML/CSS;JavaScript;Python;Ruby")</f>
        <v>Bash/Shell/PowerShell;C;HTML/CSS;JavaScript;Python;Ruby</v>
      </c>
      <c r="C4344" s="9" t="str">
        <f>IFERROR(__xludf.DUMMYFUNCTION("""COMPUTED_VALUE"""),"JavaScript")</f>
        <v>JavaScript</v>
      </c>
      <c r="D4344" s="9" t="str">
        <f>IFERROR(__xludf.DUMMYFUNCTION("""COMPUTED_VALUE"""),"Bash/Shell/PowerShell")</f>
        <v>Bash/Shell/PowerShell</v>
      </c>
      <c r="E4344" s="9" t="str">
        <f>IFERROR(__xludf.DUMMYFUNCTION("""COMPUTED_VALUE"""),"VBA")</f>
        <v>VBA</v>
      </c>
      <c r="F4344" s="9" t="str">
        <f>IFERROR(__xludf.DUMMYFUNCTION("""COMPUTED_VALUE"""),"Go")</f>
        <v>Go</v>
      </c>
      <c r="G4344" s="9" t="str">
        <f>IFERROR(__xludf.DUMMYFUNCTION("""COMPUTED_VALUE"""),"Bash/Shell/PowerShell")</f>
        <v>Bash/Shell/PowerShell</v>
      </c>
      <c r="H4344" s="9" t="str">
        <f>IFERROR(__xludf.DUMMYFUNCTION("""COMPUTED_VALUE"""),"HTML/CSS")</f>
        <v>HTML/CSS</v>
      </c>
      <c r="I4344" s="9" t="str">
        <f>IFERROR(__xludf.DUMMYFUNCTION("""COMPUTED_VALUE"""),"HTML/CSS")</f>
        <v>HTML/CSS</v>
      </c>
      <c r="J4344" s="9" t="str">
        <f>IFERROR(__xludf.DUMMYFUNCTION("""COMPUTED_VALUE"""),"HTML/CSS")</f>
        <v>HTML/CSS</v>
      </c>
      <c r="K4344" s="9" t="str">
        <f>IFERROR(__xludf.DUMMYFUNCTION("""COMPUTED_VALUE"""),"Java")</f>
        <v>Java</v>
      </c>
      <c r="L4344" s="9" t="str">
        <f>IFERROR(__xludf.DUMMYFUNCTION("""COMPUTED_VALUE"""),"SQL")</f>
        <v>SQL</v>
      </c>
      <c r="M4344" s="9" t="s">
        <v>21</v>
      </c>
    </row>
    <row r="4345" ht="15.75" customHeight="1">
      <c r="A4345" s="7"/>
      <c r="B4345" s="7" t="str">
        <f>IFERROR(__xludf.DUMMYFUNCTION("""COMPUTED_VALUE"""),"Bash/Shell/PowerShell;HTML/CSS;SQL")</f>
        <v>Bash/Shell/PowerShell;HTML/CSS;SQL</v>
      </c>
      <c r="C4345" s="9" t="str">
        <f>IFERROR(__xludf.DUMMYFUNCTION("""COMPUTED_VALUE"""),"SQL")</f>
        <v>SQL</v>
      </c>
      <c r="D4345" s="9" t="str">
        <f>IFERROR(__xludf.DUMMYFUNCTION("""COMPUTED_VALUE"""),"HTML/CSS")</f>
        <v>HTML/CSS</v>
      </c>
      <c r="E4345" s="9" t="str">
        <f>IFERROR(__xludf.DUMMYFUNCTION("""COMPUTED_VALUE"""),"C#")</f>
        <v>C#</v>
      </c>
      <c r="F4345" s="9" t="str">
        <f>IFERROR(__xludf.DUMMYFUNCTION("""COMPUTED_VALUE"""),"Python")</f>
        <v>Python</v>
      </c>
      <c r="G4345" s="9" t="str">
        <f>IFERROR(__xludf.DUMMYFUNCTION("""COMPUTED_VALUE"""),"HTML/CSS")</f>
        <v>HTML/CSS</v>
      </c>
      <c r="H4345" s="9" t="str">
        <f>IFERROR(__xludf.DUMMYFUNCTION("""COMPUTED_VALUE"""),"JavaScript")</f>
        <v>JavaScript</v>
      </c>
      <c r="I4345" s="9" t="str">
        <f>IFERROR(__xludf.DUMMYFUNCTION("""COMPUTED_VALUE"""),"Java")</f>
        <v>Java</v>
      </c>
      <c r="J4345" s="9" t="str">
        <f>IFERROR(__xludf.DUMMYFUNCTION("""COMPUTED_VALUE"""),"JavaScript")</f>
        <v>JavaScript</v>
      </c>
      <c r="K4345" s="9" t="str">
        <f>IFERROR(__xludf.DUMMYFUNCTION("""COMPUTED_VALUE"""),"Kotlin")</f>
        <v>Kotlin</v>
      </c>
      <c r="L4345" s="9" t="str">
        <f>IFERROR(__xludf.DUMMYFUNCTION("""COMPUTED_VALUE"""),"VBA")</f>
        <v>VBA</v>
      </c>
      <c r="M4345" s="9" t="s">
        <v>27</v>
      </c>
    </row>
    <row r="4346" ht="15.75" customHeight="1">
      <c r="A4346" s="7"/>
      <c r="B4346" s="7" t="str">
        <f>IFERROR(__xludf.DUMMYFUNCTION("""COMPUTED_VALUE"""),"Bash/Shell/PowerShell;HTML/CSS;JavaScript;Scala;SQL")</f>
        <v>Bash/Shell/PowerShell;HTML/CSS;JavaScript;Scala;SQL</v>
      </c>
      <c r="C4346" s="9" t="str">
        <f>IFERROR(__xludf.DUMMYFUNCTION("""COMPUTED_VALUE"""),"Bash/Shell/PowerShell")</f>
        <v>Bash/Shell/PowerShell</v>
      </c>
      <c r="D4346" s="9" t="str">
        <f>IFERROR(__xludf.DUMMYFUNCTION("""COMPUTED_VALUE"""),"JavaScript")</f>
        <v>JavaScript</v>
      </c>
      <c r="E4346" s="9" t="str">
        <f>IFERROR(__xludf.DUMMYFUNCTION("""COMPUTED_VALUE"""),"HTML/CSS")</f>
        <v>HTML/CSS</v>
      </c>
      <c r="F4346" s="9" t="str">
        <f>IFERROR(__xludf.DUMMYFUNCTION("""COMPUTED_VALUE"""),"Bash/Shell/PowerShell")</f>
        <v>Bash/Shell/PowerShell</v>
      </c>
      <c r="G4346" s="9" t="str">
        <f>IFERROR(__xludf.DUMMYFUNCTION("""COMPUTED_VALUE"""),"Java")</f>
        <v>Java</v>
      </c>
      <c r="H4346" s="9" t="str">
        <f>IFERROR(__xludf.DUMMYFUNCTION("""COMPUTED_VALUE"""),"Bash/Shell/PowerShell")</f>
        <v>Bash/Shell/PowerShell</v>
      </c>
      <c r="I4346" s="9" t="str">
        <f>IFERROR(__xludf.DUMMYFUNCTION("""COMPUTED_VALUE"""),"HTML/CSS")</f>
        <v>HTML/CSS</v>
      </c>
      <c r="J4346" s="9" t="str">
        <f>IFERROR(__xludf.DUMMYFUNCTION("""COMPUTED_VALUE"""),"PHP")</f>
        <v>PHP</v>
      </c>
      <c r="K4346" s="9" t="str">
        <f>IFERROR(__xludf.DUMMYFUNCTION("""COMPUTED_VALUE"""),"Python")</f>
        <v>Python</v>
      </c>
      <c r="L4346" s="9" t="str">
        <f>IFERROR(__xludf.DUMMYFUNCTION("""COMPUTED_VALUE"""),"Bash/Shell/PowerShell")</f>
        <v>Bash/Shell/PowerShell</v>
      </c>
      <c r="M4346" s="9" t="s">
        <v>30</v>
      </c>
    </row>
    <row r="4347" ht="15.75" customHeight="1">
      <c r="A4347" s="7"/>
      <c r="B4347" s="7" t="str">
        <f>IFERROR(__xludf.DUMMYFUNCTION("""COMPUTED_VALUE"""),"Bash/Shell/PowerShell;Go;HTML/CSS;Python;SQL;VBA")</f>
        <v>Bash/Shell/PowerShell;Go;HTML/CSS;Python;SQL;VBA</v>
      </c>
      <c r="C4347" s="9" t="str">
        <f>IFERROR(__xludf.DUMMYFUNCTION("""COMPUTED_VALUE"""),"C")</f>
        <v>C</v>
      </c>
      <c r="D4347" s="9" t="str">
        <f>IFERROR(__xludf.DUMMYFUNCTION("""COMPUTED_VALUE"""),"Python")</f>
        <v>Python</v>
      </c>
      <c r="E4347" s="9" t="str">
        <f>IFERROR(__xludf.DUMMYFUNCTION("""COMPUTED_VALUE"""),"Assembly")</f>
        <v>Assembly</v>
      </c>
      <c r="F4347" s="9" t="str">
        <f>IFERROR(__xludf.DUMMYFUNCTION("""COMPUTED_VALUE"""),"Java")</f>
        <v>Java</v>
      </c>
      <c r="G4347" s="9" t="str">
        <f>IFERROR(__xludf.DUMMYFUNCTION("""COMPUTED_VALUE"""),"JavaScript")</f>
        <v>JavaScript</v>
      </c>
      <c r="H4347" s="9" t="str">
        <f>IFERROR(__xludf.DUMMYFUNCTION("""COMPUTED_VALUE"""),"C++")</f>
        <v>C++</v>
      </c>
      <c r="I4347" s="9" t="str">
        <f>IFERROR(__xludf.DUMMYFUNCTION("""COMPUTED_VALUE"""),"Java")</f>
        <v>Java</v>
      </c>
      <c r="J4347" s="9" t="str">
        <f>IFERROR(__xludf.DUMMYFUNCTION("""COMPUTED_VALUE"""),"SQL")</f>
        <v>SQL</v>
      </c>
      <c r="K4347" s="9" t="str">
        <f>IFERROR(__xludf.DUMMYFUNCTION("""COMPUTED_VALUE"""),"Bash/Shell/PowerShell")</f>
        <v>Bash/Shell/PowerShell</v>
      </c>
      <c r="L4347" s="9" t="str">
        <f>IFERROR(__xludf.DUMMYFUNCTION("""COMPUTED_VALUE"""),"Java")</f>
        <v>Java</v>
      </c>
      <c r="M4347" s="9" t="s">
        <v>25</v>
      </c>
    </row>
    <row r="4348" ht="15.75" customHeight="1">
      <c r="A4348" s="7"/>
      <c r="B4348" s="7" t="str">
        <f>IFERROR(__xludf.DUMMYFUNCTION("""COMPUTED_VALUE"""),"C#;Elixir;Erlang;F#;JavaScript;TypeScript")</f>
        <v>C#;Elixir;Erlang;F#;JavaScript;TypeScript</v>
      </c>
      <c r="C4348" s="9" t="str">
        <f>IFERROR(__xludf.DUMMYFUNCTION("""COMPUTED_VALUE"""),"C#")</f>
        <v>C#</v>
      </c>
      <c r="D4348" s="9" t="str">
        <f>IFERROR(__xludf.DUMMYFUNCTION("""COMPUTED_VALUE"""),"Bash/Shell/PowerShell")</f>
        <v>Bash/Shell/PowerShell</v>
      </c>
      <c r="E4348" s="9" t="str">
        <f>IFERROR(__xludf.DUMMYFUNCTION("""COMPUTED_VALUE"""),"Bash/Shell/PowerShell")</f>
        <v>Bash/Shell/PowerShell</v>
      </c>
      <c r="F4348" s="9" t="str">
        <f>IFERROR(__xludf.DUMMYFUNCTION("""COMPUTED_VALUE"""),"JavaScript")</f>
        <v>JavaScript</v>
      </c>
      <c r="G4348" s="9" t="str">
        <f>IFERROR(__xludf.DUMMYFUNCTION("""COMPUTED_VALUE"""),"Python")</f>
        <v>Python</v>
      </c>
      <c r="H4348" s="9" t="str">
        <f>IFERROR(__xludf.DUMMYFUNCTION("""COMPUTED_VALUE"""),"JavaScript")</f>
        <v>JavaScript</v>
      </c>
      <c r="I4348" s="9" t="str">
        <f>IFERROR(__xludf.DUMMYFUNCTION("""COMPUTED_VALUE"""),"JavaScript")</f>
        <v>JavaScript</v>
      </c>
      <c r="J4348" s="9" t="str">
        <f>IFERROR(__xludf.DUMMYFUNCTION("""COMPUTED_VALUE"""),"Bash/Shell/PowerShell")</f>
        <v>Bash/Shell/PowerShell</v>
      </c>
      <c r="K4348" s="9" t="str">
        <f>IFERROR(__xludf.DUMMYFUNCTION("""COMPUTED_VALUE"""),"C#")</f>
        <v>C#</v>
      </c>
      <c r="L4348" s="9" t="str">
        <f>IFERROR(__xludf.DUMMYFUNCTION("""COMPUTED_VALUE"""),"JavaScript")</f>
        <v>JavaScript</v>
      </c>
      <c r="M4348" s="9" t="s">
        <v>26</v>
      </c>
    </row>
    <row r="4349" ht="15.75" customHeight="1">
      <c r="A4349" s="7"/>
      <c r="B4349" s="7" t="str">
        <f>IFERROR(__xludf.DUMMYFUNCTION("""COMPUTED_VALUE"""),"Bash/Shell/PowerShell;HTML/CSS;Java;JavaScript;Python;SQL;Other(s):")</f>
        <v>Bash/Shell/PowerShell;HTML/CSS;Java;JavaScript;Python;SQL;Other(s):</v>
      </c>
      <c r="C4349" s="9" t="str">
        <f>IFERROR(__xludf.DUMMYFUNCTION("""COMPUTED_VALUE"""),"HTML/CSS")</f>
        <v>HTML/CSS</v>
      </c>
      <c r="D4349" s="9" t="str">
        <f>IFERROR(__xludf.DUMMYFUNCTION("""COMPUTED_VALUE"""),"C++")</f>
        <v>C++</v>
      </c>
      <c r="E4349" s="9" t="str">
        <f>IFERROR(__xludf.DUMMYFUNCTION("""COMPUTED_VALUE"""),"C")</f>
        <v>C</v>
      </c>
      <c r="F4349" s="9" t="str">
        <f>IFERROR(__xludf.DUMMYFUNCTION("""COMPUTED_VALUE"""),"SQL")</f>
        <v>SQL</v>
      </c>
      <c r="G4349" s="9" t="str">
        <f>IFERROR(__xludf.DUMMYFUNCTION("""COMPUTED_VALUE"""),"SQL")</f>
        <v>SQL</v>
      </c>
      <c r="H4349" s="9" t="str">
        <f>IFERROR(__xludf.DUMMYFUNCTION("""COMPUTED_VALUE"""),"Rust")</f>
        <v>Rust</v>
      </c>
      <c r="I4349" s="9" t="str">
        <f>IFERROR(__xludf.DUMMYFUNCTION("""COMPUTED_VALUE"""),"SQL")</f>
        <v>SQL</v>
      </c>
      <c r="J4349" s="9" t="str">
        <f>IFERROR(__xludf.DUMMYFUNCTION("""COMPUTED_VALUE"""),"Java")</f>
        <v>Java</v>
      </c>
      <c r="K4349" s="9" t="str">
        <f>IFERROR(__xludf.DUMMYFUNCTION("""COMPUTED_VALUE"""),"HTML/CSS")</f>
        <v>HTML/CSS</v>
      </c>
      <c r="L4349" s="9" t="str">
        <f>IFERROR(__xludf.DUMMYFUNCTION("""COMPUTED_VALUE"""),"Python")</f>
        <v>Python</v>
      </c>
      <c r="M4349" s="9" t="s">
        <v>24</v>
      </c>
    </row>
    <row r="4350" ht="15.75" customHeight="1">
      <c r="A4350" s="7"/>
      <c r="B4350" s="7" t="str">
        <f>IFERROR(__xludf.DUMMYFUNCTION("""COMPUTED_VALUE"""),"Bash/Shell/PowerShell;HTML/CSS;JavaScript;TypeScript")</f>
        <v>Bash/Shell/PowerShell;HTML/CSS;JavaScript;TypeScript</v>
      </c>
      <c r="C4350" s="9" t="str">
        <f>IFERROR(__xludf.DUMMYFUNCTION("""COMPUTED_VALUE"""),"JavaScript")</f>
        <v>JavaScript</v>
      </c>
      <c r="D4350" s="9" t="str">
        <f>IFERROR(__xludf.DUMMYFUNCTION("""COMPUTED_VALUE"""),"Java")</f>
        <v>Java</v>
      </c>
      <c r="E4350" s="9" t="str">
        <f>IFERROR(__xludf.DUMMYFUNCTION("""COMPUTED_VALUE"""),"HTML/CSS")</f>
        <v>HTML/CSS</v>
      </c>
      <c r="F4350" s="9" t="str">
        <f>IFERROR(__xludf.DUMMYFUNCTION("""COMPUTED_VALUE"""),"Bash/Shell/PowerShell")</f>
        <v>Bash/Shell/PowerShell</v>
      </c>
      <c r="G4350" s="9" t="str">
        <f>IFERROR(__xludf.DUMMYFUNCTION("""COMPUTED_VALUE"""),"C#")</f>
        <v>C#</v>
      </c>
      <c r="H4350" s="9" t="str">
        <f>IFERROR(__xludf.DUMMYFUNCTION("""COMPUTED_VALUE"""),"Other(s):")</f>
        <v>Other(s):</v>
      </c>
      <c r="I4350" s="9" t="str">
        <f>IFERROR(__xludf.DUMMYFUNCTION("""COMPUTED_VALUE"""),"C#")</f>
        <v>C#</v>
      </c>
      <c r="J4350" s="9" t="str">
        <f>IFERROR(__xludf.DUMMYFUNCTION("""COMPUTED_VALUE"""),"Assembly")</f>
        <v>Assembly</v>
      </c>
      <c r="K4350" s="9" t="str">
        <f>IFERROR(__xludf.DUMMYFUNCTION("""COMPUTED_VALUE"""),"JavaScript")</f>
        <v>JavaScript</v>
      </c>
      <c r="L4350" s="9" t="str">
        <f>IFERROR(__xludf.DUMMYFUNCTION("""COMPUTED_VALUE"""),"SQL")</f>
        <v>SQL</v>
      </c>
      <c r="M4350" s="9" t="s">
        <v>21</v>
      </c>
    </row>
    <row r="4351" ht="15.75" customHeight="1">
      <c r="A4351" s="7"/>
      <c r="B4351" s="7" t="str">
        <f>IFERROR(__xludf.DUMMYFUNCTION("""COMPUTED_VALUE"""),"Bash/Shell/PowerShell;Java;Kotlin;Python;Scala;SQL")</f>
        <v>Bash/Shell/PowerShell;Java;Kotlin;Python;Scala;SQL</v>
      </c>
      <c r="C4351" s="9" t="str">
        <f>IFERROR(__xludf.DUMMYFUNCTION("""COMPUTED_VALUE"""),"PHP")</f>
        <v>PHP</v>
      </c>
      <c r="D4351" s="9" t="str">
        <f>IFERROR(__xludf.DUMMYFUNCTION("""COMPUTED_VALUE"""),"C#")</f>
        <v>C#</v>
      </c>
      <c r="E4351" s="9" t="str">
        <f>IFERROR(__xludf.DUMMYFUNCTION("""COMPUTED_VALUE"""),"Java")</f>
        <v>Java</v>
      </c>
      <c r="F4351" s="9" t="str">
        <f>IFERROR(__xludf.DUMMYFUNCTION("""COMPUTED_VALUE"""),"C#")</f>
        <v>C#</v>
      </c>
      <c r="G4351" s="9" t="str">
        <f>IFERROR(__xludf.DUMMYFUNCTION("""COMPUTED_VALUE"""),"HTML/CSS")</f>
        <v>HTML/CSS</v>
      </c>
      <c r="H4351" s="9" t="str">
        <f>IFERROR(__xludf.DUMMYFUNCTION("""COMPUTED_VALUE"""),"Erlang")</f>
        <v>Erlang</v>
      </c>
      <c r="I4351" s="9" t="str">
        <f>IFERROR(__xludf.DUMMYFUNCTION("""COMPUTED_VALUE"""),"HTML/CSS")</f>
        <v>HTML/CSS</v>
      </c>
      <c r="J4351" s="9" t="str">
        <f>IFERROR(__xludf.DUMMYFUNCTION("""COMPUTED_VALUE"""),"Bash/Shell/PowerShell")</f>
        <v>Bash/Shell/PowerShell</v>
      </c>
      <c r="K4351" s="9" t="str">
        <f>IFERROR(__xludf.DUMMYFUNCTION("""COMPUTED_VALUE"""),"SQL")</f>
        <v>SQL</v>
      </c>
      <c r="L4351" s="9" t="str">
        <f>IFERROR(__xludf.DUMMYFUNCTION("""COMPUTED_VALUE"""),"Bash/Shell/PowerShell")</f>
        <v>Bash/Shell/PowerShell</v>
      </c>
      <c r="M4351" s="9" t="s">
        <v>37</v>
      </c>
    </row>
    <row r="4352" ht="15.75" customHeight="1">
      <c r="A4352" s="7"/>
      <c r="B4352" s="7" t="str">
        <f>IFERROR(__xludf.DUMMYFUNCTION("""COMPUTED_VALUE"""),"HTML/CSS;Python;SQL")</f>
        <v>HTML/CSS;Python;SQL</v>
      </c>
      <c r="C4352" s="9" t="str">
        <f>IFERROR(__xludf.DUMMYFUNCTION("""COMPUTED_VALUE"""),"Python")</f>
        <v>Python</v>
      </c>
      <c r="D4352" s="9" t="str">
        <f>IFERROR(__xludf.DUMMYFUNCTION("""COMPUTED_VALUE"""),"R")</f>
        <v>R</v>
      </c>
      <c r="E4352" s="9" t="str">
        <f>IFERROR(__xludf.DUMMYFUNCTION("""COMPUTED_VALUE"""),"Python")</f>
        <v>Python</v>
      </c>
      <c r="F4352" s="9" t="str">
        <f>IFERROR(__xludf.DUMMYFUNCTION("""COMPUTED_VALUE"""),"Java")</f>
        <v>Java</v>
      </c>
      <c r="G4352" s="9" t="str">
        <f>IFERROR(__xludf.DUMMYFUNCTION("""COMPUTED_VALUE"""),"Java")</f>
        <v>Java</v>
      </c>
      <c r="H4352" s="9" t="str">
        <f>IFERROR(__xludf.DUMMYFUNCTION("""COMPUTED_VALUE"""),"HTML/CSS")</f>
        <v>HTML/CSS</v>
      </c>
      <c r="I4352" s="9" t="str">
        <f>IFERROR(__xludf.DUMMYFUNCTION("""COMPUTED_VALUE"""),"JavaScript")</f>
        <v>JavaScript</v>
      </c>
      <c r="J4352" s="9" t="str">
        <f>IFERROR(__xludf.DUMMYFUNCTION("""COMPUTED_VALUE"""),"Java")</f>
        <v>Java</v>
      </c>
      <c r="K4352" s="9" t="str">
        <f>IFERROR(__xludf.DUMMYFUNCTION("""COMPUTED_VALUE"""),"TypeScript")</f>
        <v>TypeScript</v>
      </c>
      <c r="L4352" s="9" t="str">
        <f>IFERROR(__xludf.DUMMYFUNCTION("""COMPUTED_VALUE"""),"Java")</f>
        <v>Java</v>
      </c>
      <c r="M4352" s="9" t="s">
        <v>22</v>
      </c>
    </row>
    <row r="4353" ht="15.75" customHeight="1">
      <c r="A4353" s="7"/>
      <c r="B4353" s="7" t="str">
        <f>IFERROR(__xludf.DUMMYFUNCTION("""COMPUTED_VALUE"""),"Bash/Shell/PowerShell;Go;HTML/CSS;Java;JavaScript;Python;Ruby;Scala;SQL")</f>
        <v>Bash/Shell/PowerShell;Go;HTML/CSS;Java;JavaScript;Python;Ruby;Scala;SQL</v>
      </c>
      <c r="C4353" s="9" t="str">
        <f>IFERROR(__xludf.DUMMYFUNCTION("""COMPUTED_VALUE"""),"Bash/Shell/PowerShell")</f>
        <v>Bash/Shell/PowerShell</v>
      </c>
      <c r="D4353" s="9" t="str">
        <f>IFERROR(__xludf.DUMMYFUNCTION("""COMPUTED_VALUE"""),"C#")</f>
        <v>C#</v>
      </c>
      <c r="E4353" s="9" t="str">
        <f>IFERROR(__xludf.DUMMYFUNCTION("""COMPUTED_VALUE"""),"Assembly")</f>
        <v>Assembly</v>
      </c>
      <c r="F4353" s="9" t="str">
        <f>IFERROR(__xludf.DUMMYFUNCTION("""COMPUTED_VALUE"""),"JavaScript")</f>
        <v>JavaScript</v>
      </c>
      <c r="G4353" s="9" t="str">
        <f>IFERROR(__xludf.DUMMYFUNCTION("""COMPUTED_VALUE"""),"JavaScript")</f>
        <v>JavaScript</v>
      </c>
      <c r="H4353" s="9" t="str">
        <f>IFERROR(__xludf.DUMMYFUNCTION("""COMPUTED_VALUE"""),"Java")</f>
        <v>Java</v>
      </c>
      <c r="I4353" s="9" t="str">
        <f>IFERROR(__xludf.DUMMYFUNCTION("""COMPUTED_VALUE"""),"PHP")</f>
        <v>PHP</v>
      </c>
      <c r="J4353" s="9" t="str">
        <f>IFERROR(__xludf.DUMMYFUNCTION("""COMPUTED_VALUE"""),"Python")</f>
        <v>Python</v>
      </c>
      <c r="K4353" s="9" t="str">
        <f>IFERROR(__xludf.DUMMYFUNCTION("""COMPUTED_VALUE"""),"HTML/CSS")</f>
        <v>HTML/CSS</v>
      </c>
      <c r="L4353" s="9" t="str">
        <f>IFERROR(__xludf.DUMMYFUNCTION("""COMPUTED_VALUE"""),"SQL")</f>
        <v>SQL</v>
      </c>
      <c r="M4353" s="9" t="s">
        <v>30</v>
      </c>
    </row>
    <row r="4354" ht="15.75" customHeight="1">
      <c r="A4354" s="7"/>
      <c r="B4354" s="7" t="str">
        <f>IFERROR(__xludf.DUMMYFUNCTION("""COMPUTED_VALUE"""),"C++;C#;HTML/CSS;JavaScript;SQL;TypeScript")</f>
        <v>C++;C#;HTML/CSS;JavaScript;SQL;TypeScript</v>
      </c>
      <c r="C4354" s="9" t="str">
        <f>IFERROR(__xludf.DUMMYFUNCTION("""COMPUTED_VALUE"""),"Java")</f>
        <v>Java</v>
      </c>
      <c r="D4354" s="9" t="str">
        <f>IFERROR(__xludf.DUMMYFUNCTION("""COMPUTED_VALUE"""),"HTML/CSS")</f>
        <v>HTML/CSS</v>
      </c>
      <c r="E4354" s="9" t="str">
        <f>IFERROR(__xludf.DUMMYFUNCTION("""COMPUTED_VALUE"""),"Bash/Shell/PowerShell")</f>
        <v>Bash/Shell/PowerShell</v>
      </c>
      <c r="F4354" s="9" t="str">
        <f>IFERROR(__xludf.DUMMYFUNCTION("""COMPUTED_VALUE"""),"R")</f>
        <v>R</v>
      </c>
      <c r="G4354" s="9" t="str">
        <f>IFERROR(__xludf.DUMMYFUNCTION("""COMPUTED_VALUE"""),"Python")</f>
        <v>Python</v>
      </c>
      <c r="H4354" s="9" t="str">
        <f>IFERROR(__xludf.DUMMYFUNCTION("""COMPUTED_VALUE"""),"JavaScript")</f>
        <v>JavaScript</v>
      </c>
      <c r="I4354" s="9" t="str">
        <f>IFERROR(__xludf.DUMMYFUNCTION("""COMPUTED_VALUE"""),"SQL")</f>
        <v>SQL</v>
      </c>
      <c r="J4354" s="9" t="str">
        <f>IFERROR(__xludf.DUMMYFUNCTION("""COMPUTED_VALUE"""),"Ruby")</f>
        <v>Ruby</v>
      </c>
      <c r="K4354" s="9" t="str">
        <f>IFERROR(__xludf.DUMMYFUNCTION("""COMPUTED_VALUE"""),"JavaScript")</f>
        <v>JavaScript</v>
      </c>
      <c r="L4354" s="9" t="str">
        <f>IFERROR(__xludf.DUMMYFUNCTION("""COMPUTED_VALUE"""),"Other(s):")</f>
        <v>Other(s):</v>
      </c>
      <c r="M4354" s="9" t="s">
        <v>20</v>
      </c>
    </row>
    <row r="4355" ht="15.75" customHeight="1">
      <c r="A4355" s="7"/>
      <c r="B4355" s="7" t="str">
        <f>IFERROR(__xludf.DUMMYFUNCTION("""COMPUTED_VALUE"""),"HTML/CSS;JavaScript;PHP;TypeScript")</f>
        <v>HTML/CSS;JavaScript;PHP;TypeScript</v>
      </c>
      <c r="C4355" s="9" t="str">
        <f>IFERROR(__xludf.DUMMYFUNCTION("""COMPUTED_VALUE"""),"SQL")</f>
        <v>SQL</v>
      </c>
      <c r="D4355" s="9" t="str">
        <f>IFERROR(__xludf.DUMMYFUNCTION("""COMPUTED_VALUE"""),"JavaScript")</f>
        <v>JavaScript</v>
      </c>
      <c r="E4355" s="9" t="str">
        <f>IFERROR(__xludf.DUMMYFUNCTION("""COMPUTED_VALUE"""),"C")</f>
        <v>C</v>
      </c>
      <c r="F4355" s="9" t="str">
        <f>IFERROR(__xludf.DUMMYFUNCTION("""COMPUTED_VALUE"""),"SQL")</f>
        <v>SQL</v>
      </c>
      <c r="G4355" s="9" t="str">
        <f>IFERROR(__xludf.DUMMYFUNCTION("""COMPUTED_VALUE"""),"Bash/Shell/PowerShell")</f>
        <v>Bash/Shell/PowerShell</v>
      </c>
      <c r="H4355" s="9" t="str">
        <f>IFERROR(__xludf.DUMMYFUNCTION("""COMPUTED_VALUE"""),"Python")</f>
        <v>Python</v>
      </c>
      <c r="I4355" s="9" t="str">
        <f>IFERROR(__xludf.DUMMYFUNCTION("""COMPUTED_VALUE"""),"Assembly")</f>
        <v>Assembly</v>
      </c>
      <c r="J4355" s="9" t="str">
        <f>IFERROR(__xludf.DUMMYFUNCTION("""COMPUTED_VALUE"""),"C#")</f>
        <v>C#</v>
      </c>
      <c r="K4355" s="9" t="str">
        <f>IFERROR(__xludf.DUMMYFUNCTION("""COMPUTED_VALUE"""),"PHP")</f>
        <v>PHP</v>
      </c>
      <c r="L4355" s="9" t="str">
        <f>IFERROR(__xludf.DUMMYFUNCTION("""COMPUTED_VALUE"""),"C#")</f>
        <v>C#</v>
      </c>
      <c r="M4355" s="9" t="s">
        <v>27</v>
      </c>
    </row>
    <row r="4356" ht="15.75" customHeight="1">
      <c r="A4356" s="7"/>
      <c r="B4356" s="7" t="str">
        <f>IFERROR(__xludf.DUMMYFUNCTION("""COMPUTED_VALUE"""),"Bash/Shell/PowerShell;C#;HTML/CSS;JavaScript;SQL;TypeScript")</f>
        <v>Bash/Shell/PowerShell;C#;HTML/CSS;JavaScript;SQL;TypeScript</v>
      </c>
      <c r="C4356" s="9" t="str">
        <f>IFERROR(__xludf.DUMMYFUNCTION("""COMPUTED_VALUE"""),"Java")</f>
        <v>Java</v>
      </c>
      <c r="D4356" s="9" t="str">
        <f>IFERROR(__xludf.DUMMYFUNCTION("""COMPUTED_VALUE"""),"SQL")</f>
        <v>SQL</v>
      </c>
      <c r="E4356" s="9" t="str">
        <f>IFERROR(__xludf.DUMMYFUNCTION("""COMPUTED_VALUE"""),"C++")</f>
        <v>C++</v>
      </c>
      <c r="F4356" s="9" t="str">
        <f>IFERROR(__xludf.DUMMYFUNCTION("""COMPUTED_VALUE"""),"Go")</f>
        <v>Go</v>
      </c>
      <c r="G4356" s="9" t="str">
        <f>IFERROR(__xludf.DUMMYFUNCTION("""COMPUTED_VALUE"""),"Go")</f>
        <v>Go</v>
      </c>
      <c r="H4356" s="9" t="str">
        <f>IFERROR(__xludf.DUMMYFUNCTION("""COMPUTED_VALUE"""),"SQL")</f>
        <v>SQL</v>
      </c>
      <c r="I4356" s="9" t="str">
        <f>IFERROR(__xludf.DUMMYFUNCTION("""COMPUTED_VALUE"""),"C#")</f>
        <v>C#</v>
      </c>
      <c r="J4356" s="9" t="str">
        <f>IFERROR(__xludf.DUMMYFUNCTION("""COMPUTED_VALUE"""),"HTML/CSS")</f>
        <v>HTML/CSS</v>
      </c>
      <c r="K4356" s="9" t="str">
        <f>IFERROR(__xludf.DUMMYFUNCTION("""COMPUTED_VALUE"""),"Bash/Shell/PowerShell")</f>
        <v>Bash/Shell/PowerShell</v>
      </c>
      <c r="L4356" s="9" t="str">
        <f>IFERROR(__xludf.DUMMYFUNCTION("""COMPUTED_VALUE"""),"HTML/CSS")</f>
        <v>HTML/CSS</v>
      </c>
      <c r="M4356" s="9" t="s">
        <v>20</v>
      </c>
    </row>
    <row r="4357" ht="15.75" customHeight="1">
      <c r="A4357" s="7"/>
      <c r="B4357" s="7" t="str">
        <f>IFERROR(__xludf.DUMMYFUNCTION("""COMPUTED_VALUE"""),"Python")</f>
        <v>Python</v>
      </c>
      <c r="C4357" s="9" t="str">
        <f>IFERROR(__xludf.DUMMYFUNCTION("""COMPUTED_VALUE"""),"C#")</f>
        <v>C#</v>
      </c>
      <c r="D4357" s="9" t="str">
        <f>IFERROR(__xludf.DUMMYFUNCTION("""COMPUTED_VALUE"""),"Bash/Shell/PowerShell")</f>
        <v>Bash/Shell/PowerShell</v>
      </c>
      <c r="E4357" s="9" t="str">
        <f>IFERROR(__xludf.DUMMYFUNCTION("""COMPUTED_VALUE"""),"HTML/CSS")</f>
        <v>HTML/CSS</v>
      </c>
      <c r="F4357" s="9" t="str">
        <f>IFERROR(__xludf.DUMMYFUNCTION("""COMPUTED_VALUE"""),"JavaScript")</f>
        <v>JavaScript</v>
      </c>
      <c r="G4357" s="9" t="str">
        <f>IFERROR(__xludf.DUMMYFUNCTION("""COMPUTED_VALUE"""),"HTML/CSS")</f>
        <v>HTML/CSS</v>
      </c>
      <c r="H4357" s="9" t="str">
        <f>IFERROR(__xludf.DUMMYFUNCTION("""COMPUTED_VALUE"""),"HTML/CSS")</f>
        <v>HTML/CSS</v>
      </c>
      <c r="I4357" s="9" t="str">
        <f>IFERROR(__xludf.DUMMYFUNCTION("""COMPUTED_VALUE"""),"HTML/CSS")</f>
        <v>HTML/CSS</v>
      </c>
      <c r="J4357" s="9" t="str">
        <f>IFERROR(__xludf.DUMMYFUNCTION("""COMPUTED_VALUE"""),"JavaScript")</f>
        <v>JavaScript</v>
      </c>
      <c r="K4357" s="9" t="str">
        <f>IFERROR(__xludf.DUMMYFUNCTION("""COMPUTED_VALUE"""),"Go")</f>
        <v>Go</v>
      </c>
      <c r="L4357" s="9" t="str">
        <f>IFERROR(__xludf.DUMMYFUNCTION("""COMPUTED_VALUE"""),"JavaScript")</f>
        <v>JavaScript</v>
      </c>
      <c r="M4357" s="9" t="s">
        <v>26</v>
      </c>
    </row>
    <row r="4358" ht="15.75" customHeight="1">
      <c r="A4358" s="7"/>
      <c r="B4358" s="7" t="str">
        <f>IFERROR(__xludf.DUMMYFUNCTION("""COMPUTED_VALUE"""),"C#;HTML/CSS;JavaScript;Python;SQL")</f>
        <v>C#;HTML/CSS;JavaScript;Python;SQL</v>
      </c>
      <c r="C4358" s="9" t="str">
        <f>IFERROR(__xludf.DUMMYFUNCTION("""COMPUTED_VALUE"""),"Clojure")</f>
        <v>Clojure</v>
      </c>
      <c r="D4358" s="9" t="str">
        <f>IFERROR(__xludf.DUMMYFUNCTION("""COMPUTED_VALUE"""),"HTML/CSS")</f>
        <v>HTML/CSS</v>
      </c>
      <c r="E4358" s="9" t="str">
        <f>IFERROR(__xludf.DUMMYFUNCTION("""COMPUTED_VALUE"""),"Java")</f>
        <v>Java</v>
      </c>
      <c r="F4358" s="9" t="str">
        <f>IFERROR(__xludf.DUMMYFUNCTION("""COMPUTED_VALUE"""),"Python")</f>
        <v>Python</v>
      </c>
      <c r="G4358" s="9" t="str">
        <f>IFERROR(__xludf.DUMMYFUNCTION("""COMPUTED_VALUE"""),"JavaScript")</f>
        <v>JavaScript</v>
      </c>
      <c r="H4358" s="9" t="str">
        <f>IFERROR(__xludf.DUMMYFUNCTION("""COMPUTED_VALUE"""),"JavaScript")</f>
        <v>JavaScript</v>
      </c>
      <c r="I4358" s="9" t="str">
        <f>IFERROR(__xludf.DUMMYFUNCTION("""COMPUTED_VALUE"""),"JavaScript")</f>
        <v>JavaScript</v>
      </c>
      <c r="J4358" s="9" t="str">
        <f>IFERROR(__xludf.DUMMYFUNCTION("""COMPUTED_VALUE"""),"TypeScript")</f>
        <v>TypeScript</v>
      </c>
      <c r="K4358" s="9" t="str">
        <f>IFERROR(__xludf.DUMMYFUNCTION("""COMPUTED_VALUE"""),"JavaScript")</f>
        <v>JavaScript</v>
      </c>
      <c r="L4358" s="9" t="str">
        <f>IFERROR(__xludf.DUMMYFUNCTION("""COMPUTED_VALUE"""),"SQL")</f>
        <v>SQL</v>
      </c>
      <c r="M4358" s="9" t="s">
        <v>44</v>
      </c>
    </row>
    <row r="4359" ht="15.75" customHeight="1">
      <c r="A4359" s="7"/>
      <c r="B4359" s="7" t="str">
        <f>IFERROR(__xludf.DUMMYFUNCTION("""COMPUTED_VALUE"""),"Bash/Shell/PowerShell;C#;HTML/CSS;JavaScript;Python;SQL")</f>
        <v>Bash/Shell/PowerShell;C#;HTML/CSS;JavaScript;Python;SQL</v>
      </c>
      <c r="C4359" s="9" t="str">
        <f>IFERROR(__xludf.DUMMYFUNCTION("""COMPUTED_VALUE"""),"JavaScript")</f>
        <v>JavaScript</v>
      </c>
      <c r="D4359" s="9" t="str">
        <f>IFERROR(__xludf.DUMMYFUNCTION("""COMPUTED_VALUE"""),"JavaScript")</f>
        <v>JavaScript</v>
      </c>
      <c r="E4359" s="9" t="str">
        <f>IFERROR(__xludf.DUMMYFUNCTION("""COMPUTED_VALUE"""),"JavaScript")</f>
        <v>JavaScript</v>
      </c>
      <c r="F4359" s="9" t="str">
        <f>IFERROR(__xludf.DUMMYFUNCTION("""COMPUTED_VALUE"""),"SQL")</f>
        <v>SQL</v>
      </c>
      <c r="G4359" s="9" t="str">
        <f>IFERROR(__xludf.DUMMYFUNCTION("""COMPUTED_VALUE"""),"WebAssembly")</f>
        <v>WebAssembly</v>
      </c>
      <c r="H4359" s="9" t="str">
        <f>IFERROR(__xludf.DUMMYFUNCTION("""COMPUTED_VALUE"""),"SQL")</f>
        <v>SQL</v>
      </c>
      <c r="I4359" s="9" t="str">
        <f>IFERROR(__xludf.DUMMYFUNCTION("""COMPUTED_VALUE"""),"SQL")</f>
        <v>SQL</v>
      </c>
      <c r="J4359" s="9" t="str">
        <f>IFERROR(__xludf.DUMMYFUNCTION("""COMPUTED_VALUE"""),"JavaScript")</f>
        <v>JavaScript</v>
      </c>
      <c r="K4359" s="9" t="str">
        <f>IFERROR(__xludf.DUMMYFUNCTION("""COMPUTED_VALUE"""),"Python")</f>
        <v>Python</v>
      </c>
      <c r="L4359" s="9" t="str">
        <f>IFERROR(__xludf.DUMMYFUNCTION("""COMPUTED_VALUE"""),"TypeScript")</f>
        <v>TypeScript</v>
      </c>
      <c r="M4359" s="9" t="s">
        <v>21</v>
      </c>
    </row>
    <row r="4360" ht="15.75" customHeight="1">
      <c r="A4360" s="7"/>
      <c r="B4360" s="7" t="str">
        <f>IFERROR(__xludf.DUMMYFUNCTION("""COMPUTED_VALUE"""),"HTML/CSS;Java;JavaScript;PHP;SQL;TypeScript")</f>
        <v>HTML/CSS;Java;JavaScript;PHP;SQL;TypeScript</v>
      </c>
      <c r="C4360" s="9" t="str">
        <f>IFERROR(__xludf.DUMMYFUNCTION("""COMPUTED_VALUE"""),"TypeScript")</f>
        <v>TypeScript</v>
      </c>
      <c r="D4360" s="9" t="str">
        <f>IFERROR(__xludf.DUMMYFUNCTION("""COMPUTED_VALUE"""),"Python")</f>
        <v>Python</v>
      </c>
      <c r="E4360" s="9" t="str">
        <f>IFERROR(__xludf.DUMMYFUNCTION("""COMPUTED_VALUE"""),"PHP")</f>
        <v>PHP</v>
      </c>
      <c r="F4360" s="9" t="str">
        <f>IFERROR(__xludf.DUMMYFUNCTION("""COMPUTED_VALUE"""),"TypeScript")</f>
        <v>TypeScript</v>
      </c>
      <c r="G4360" s="9" t="str">
        <f>IFERROR(__xludf.DUMMYFUNCTION("""COMPUTED_VALUE"""),"Bash/Shell/PowerShell")</f>
        <v>Bash/Shell/PowerShell</v>
      </c>
      <c r="H4360" s="9" t="str">
        <f>IFERROR(__xludf.DUMMYFUNCTION("""COMPUTED_VALUE"""),"HTML/CSS")</f>
        <v>HTML/CSS</v>
      </c>
      <c r="I4360" s="9" t="str">
        <f>IFERROR(__xludf.DUMMYFUNCTION("""COMPUTED_VALUE"""),"Bash/Shell/PowerShell")</f>
        <v>Bash/Shell/PowerShell</v>
      </c>
      <c r="J4360" s="9" t="str">
        <f>IFERROR(__xludf.DUMMYFUNCTION("""COMPUTED_VALUE"""),"Python")</f>
        <v>Python</v>
      </c>
      <c r="K4360" s="9" t="str">
        <f>IFERROR(__xludf.DUMMYFUNCTION("""COMPUTED_VALUE"""),"SQL")</f>
        <v>SQL</v>
      </c>
      <c r="L4360" s="9" t="str">
        <f>IFERROR(__xludf.DUMMYFUNCTION("""COMPUTED_VALUE"""),"HTML/CSS")</f>
        <v>HTML/CSS</v>
      </c>
      <c r="M4360" s="9" t="s">
        <v>33</v>
      </c>
    </row>
    <row r="4361" ht="15.75" customHeight="1">
      <c r="A4361" s="7"/>
      <c r="B4361" s="7" t="str">
        <f>IFERROR(__xludf.DUMMYFUNCTION("""COMPUTED_VALUE"""),"HTML/CSS;JavaScript;PHP;TypeScript")</f>
        <v>HTML/CSS;JavaScript;PHP;TypeScript</v>
      </c>
      <c r="C4361" s="9" t="str">
        <f>IFERROR(__xludf.DUMMYFUNCTION("""COMPUTED_VALUE"""),"Go")</f>
        <v>Go</v>
      </c>
      <c r="D4361" s="9" t="str">
        <f>IFERROR(__xludf.DUMMYFUNCTION("""COMPUTED_VALUE"""),"Scala")</f>
        <v>Scala</v>
      </c>
      <c r="E4361" s="9" t="str">
        <f>IFERROR(__xludf.DUMMYFUNCTION("""COMPUTED_VALUE"""),"Python")</f>
        <v>Python</v>
      </c>
      <c r="F4361" s="9" t="str">
        <f>IFERROR(__xludf.DUMMYFUNCTION("""COMPUTED_VALUE"""),"HTML/CSS")</f>
        <v>HTML/CSS</v>
      </c>
      <c r="G4361" s="9" t="str">
        <f>IFERROR(__xludf.DUMMYFUNCTION("""COMPUTED_VALUE"""),"Go")</f>
        <v>Go</v>
      </c>
      <c r="H4361" s="9" t="str">
        <f>IFERROR(__xludf.DUMMYFUNCTION("""COMPUTED_VALUE"""),"JavaScript")</f>
        <v>JavaScript</v>
      </c>
      <c r="I4361" s="9" t="str">
        <f>IFERROR(__xludf.DUMMYFUNCTION("""COMPUTED_VALUE"""),"C++")</f>
        <v>C++</v>
      </c>
      <c r="J4361" s="9" t="str">
        <f>IFERROR(__xludf.DUMMYFUNCTION("""COMPUTED_VALUE"""),"Rust")</f>
        <v>Rust</v>
      </c>
      <c r="K4361" s="9" t="str">
        <f>IFERROR(__xludf.DUMMYFUNCTION("""COMPUTED_VALUE"""),"Bash/Shell/PowerShell")</f>
        <v>Bash/Shell/PowerShell</v>
      </c>
      <c r="L4361" s="9" t="str">
        <f>IFERROR(__xludf.DUMMYFUNCTION("""COMPUTED_VALUE"""),"JavaScript")</f>
        <v>JavaScript</v>
      </c>
      <c r="M4361" s="9" t="s">
        <v>36</v>
      </c>
    </row>
    <row r="4362" ht="15.75" customHeight="1">
      <c r="A4362" s="7"/>
      <c r="B4362" s="7" t="str">
        <f>IFERROR(__xludf.DUMMYFUNCTION("""COMPUTED_VALUE"""),"Python")</f>
        <v>Python</v>
      </c>
      <c r="C4362" s="9" t="str">
        <f>IFERROR(__xludf.DUMMYFUNCTION("""COMPUTED_VALUE"""),"HTML/CSS")</f>
        <v>HTML/CSS</v>
      </c>
      <c r="D4362" s="9" t="str">
        <f>IFERROR(__xludf.DUMMYFUNCTION("""COMPUTED_VALUE"""),"SQL")</f>
        <v>SQL</v>
      </c>
      <c r="E4362" s="9" t="str">
        <f>IFERROR(__xludf.DUMMYFUNCTION("""COMPUTED_VALUE"""),"Ruby")</f>
        <v>Ruby</v>
      </c>
      <c r="F4362" s="9" t="str">
        <f>IFERROR(__xludf.DUMMYFUNCTION("""COMPUTED_VALUE"""),"Java")</f>
        <v>Java</v>
      </c>
      <c r="G4362" s="9" t="str">
        <f>IFERROR(__xludf.DUMMYFUNCTION("""COMPUTED_VALUE"""),"Java")</f>
        <v>Java</v>
      </c>
      <c r="H4362" s="9" t="str">
        <f>IFERROR(__xludf.DUMMYFUNCTION("""COMPUTED_VALUE"""),"PHP")</f>
        <v>PHP</v>
      </c>
      <c r="I4362" s="9" t="str">
        <f>IFERROR(__xludf.DUMMYFUNCTION("""COMPUTED_VALUE"""),"C#")</f>
        <v>C#</v>
      </c>
      <c r="J4362" s="9" t="str">
        <f>IFERROR(__xludf.DUMMYFUNCTION("""COMPUTED_VALUE"""),"SQL")</f>
        <v>SQL</v>
      </c>
      <c r="K4362" s="9" t="str">
        <f>IFERROR(__xludf.DUMMYFUNCTION("""COMPUTED_VALUE"""),"C")</f>
        <v>C</v>
      </c>
      <c r="L4362" s="9" t="str">
        <f>IFERROR(__xludf.DUMMYFUNCTION("""COMPUTED_VALUE"""),"Python")</f>
        <v>Python</v>
      </c>
      <c r="M4362" s="9" t="s">
        <v>24</v>
      </c>
    </row>
    <row r="4363" ht="15.75" customHeight="1">
      <c r="A4363" s="7"/>
      <c r="B4363" s="7" t="str">
        <f>IFERROR(__xludf.DUMMYFUNCTION("""COMPUTED_VALUE"""),"Bash/Shell/PowerShell;HTML/CSS;Objective-C;PHP;SQL;Swift")</f>
        <v>Bash/Shell/PowerShell;HTML/CSS;Objective-C;PHP;SQL;Swift</v>
      </c>
      <c r="C4363" s="9" t="str">
        <f>IFERROR(__xludf.DUMMYFUNCTION("""COMPUTED_VALUE"""),"JavaScript")</f>
        <v>JavaScript</v>
      </c>
      <c r="D4363" s="9" t="str">
        <f>IFERROR(__xludf.DUMMYFUNCTION("""COMPUTED_VALUE"""),"R")</f>
        <v>R</v>
      </c>
      <c r="E4363" s="9" t="str">
        <f>IFERROR(__xludf.DUMMYFUNCTION("""COMPUTED_VALUE"""),"SQL")</f>
        <v>SQL</v>
      </c>
      <c r="F4363" s="9" t="str">
        <f>IFERROR(__xludf.DUMMYFUNCTION("""COMPUTED_VALUE"""),"JavaScript")</f>
        <v>JavaScript</v>
      </c>
      <c r="G4363" s="9" t="str">
        <f>IFERROR(__xludf.DUMMYFUNCTION("""COMPUTED_VALUE"""),"HTML/CSS")</f>
        <v>HTML/CSS</v>
      </c>
      <c r="H4363" s="9" t="str">
        <f>IFERROR(__xludf.DUMMYFUNCTION("""COMPUTED_VALUE"""),"SQL")</f>
        <v>SQL</v>
      </c>
      <c r="I4363" s="9" t="str">
        <f>IFERROR(__xludf.DUMMYFUNCTION("""COMPUTED_VALUE"""),"HTML/CSS")</f>
        <v>HTML/CSS</v>
      </c>
      <c r="J4363" s="9" t="str">
        <f>IFERROR(__xludf.DUMMYFUNCTION("""COMPUTED_VALUE"""),"HTML/CSS")</f>
        <v>HTML/CSS</v>
      </c>
      <c r="K4363" s="9" t="str">
        <f>IFERROR(__xludf.DUMMYFUNCTION("""COMPUTED_VALUE"""),"C++")</f>
        <v>C++</v>
      </c>
      <c r="L4363" s="9" t="str">
        <f>IFERROR(__xludf.DUMMYFUNCTION("""COMPUTED_VALUE"""),"SQL")</f>
        <v>SQL</v>
      </c>
      <c r="M4363" s="9" t="s">
        <v>21</v>
      </c>
    </row>
    <row r="4364" ht="15.75" customHeight="1">
      <c r="A4364" s="7"/>
      <c r="B4364" s="7" t="str">
        <f>IFERROR(__xludf.DUMMYFUNCTION("""COMPUTED_VALUE"""),"C;Java;Python")</f>
        <v>C;Java;Python</v>
      </c>
      <c r="C4364" s="9" t="str">
        <f>IFERROR(__xludf.DUMMYFUNCTION("""COMPUTED_VALUE"""),"Python")</f>
        <v>Python</v>
      </c>
      <c r="D4364" s="9" t="str">
        <f>IFERROR(__xludf.DUMMYFUNCTION("""COMPUTED_VALUE"""),"HTML/CSS")</f>
        <v>HTML/CSS</v>
      </c>
      <c r="E4364" s="9" t="str">
        <f>IFERROR(__xludf.DUMMYFUNCTION("""COMPUTED_VALUE"""),"HTML/CSS")</f>
        <v>HTML/CSS</v>
      </c>
      <c r="F4364" s="9" t="str">
        <f>IFERROR(__xludf.DUMMYFUNCTION("""COMPUTED_VALUE"""),"PHP")</f>
        <v>PHP</v>
      </c>
      <c r="G4364" s="9" t="str">
        <f>IFERROR(__xludf.DUMMYFUNCTION("""COMPUTED_VALUE"""),"JavaScript")</f>
        <v>JavaScript</v>
      </c>
      <c r="H4364" s="9" t="str">
        <f>IFERROR(__xludf.DUMMYFUNCTION("""COMPUTED_VALUE"""),"Other(s):")</f>
        <v>Other(s):</v>
      </c>
      <c r="I4364" s="9" t="str">
        <f>IFERROR(__xludf.DUMMYFUNCTION("""COMPUTED_VALUE"""),"Java")</f>
        <v>Java</v>
      </c>
      <c r="J4364" s="9" t="str">
        <f>IFERROR(__xludf.DUMMYFUNCTION("""COMPUTED_VALUE"""),"JavaScript")</f>
        <v>JavaScript</v>
      </c>
      <c r="K4364" s="9" t="str">
        <f>IFERROR(__xludf.DUMMYFUNCTION("""COMPUTED_VALUE"""),"Java")</f>
        <v>Java</v>
      </c>
      <c r="L4364" s="9" t="str">
        <f>IFERROR(__xludf.DUMMYFUNCTION("""COMPUTED_VALUE"""),"Bash/Shell/PowerShell")</f>
        <v>Bash/Shell/PowerShell</v>
      </c>
      <c r="M4364" s="9" t="s">
        <v>22</v>
      </c>
    </row>
    <row r="4365" ht="15.75" customHeight="1">
      <c r="A4365" s="7"/>
      <c r="B4365" s="7" t="str">
        <f>IFERROR(__xludf.DUMMYFUNCTION("""COMPUTED_VALUE"""),"Bash/Shell/PowerShell;HTML/CSS;Java;JavaScript;PHP;Python")</f>
        <v>Bash/Shell/PowerShell;HTML/CSS;Java;JavaScript;PHP;Python</v>
      </c>
      <c r="C4365" s="9" t="str">
        <f>IFERROR(__xludf.DUMMYFUNCTION("""COMPUTED_VALUE"""),"SQL")</f>
        <v>SQL</v>
      </c>
      <c r="D4365" s="9" t="str">
        <f>IFERROR(__xludf.DUMMYFUNCTION("""COMPUTED_VALUE"""),"JavaScript")</f>
        <v>JavaScript</v>
      </c>
      <c r="E4365" s="9" t="str">
        <f>IFERROR(__xludf.DUMMYFUNCTION("""COMPUTED_VALUE"""),"Python")</f>
        <v>Python</v>
      </c>
      <c r="F4365" s="9" t="str">
        <f>IFERROR(__xludf.DUMMYFUNCTION("""COMPUTED_VALUE"""),"Python")</f>
        <v>Python</v>
      </c>
      <c r="G4365" s="9" t="str">
        <f>IFERROR(__xludf.DUMMYFUNCTION("""COMPUTED_VALUE"""),"HTML/CSS")</f>
        <v>HTML/CSS</v>
      </c>
      <c r="H4365" s="9" t="str">
        <f>IFERROR(__xludf.DUMMYFUNCTION("""COMPUTED_VALUE"""),"C#")</f>
        <v>C#</v>
      </c>
      <c r="I4365" s="9" t="str">
        <f>IFERROR(__xludf.DUMMYFUNCTION("""COMPUTED_VALUE"""),"JavaScript")</f>
        <v>JavaScript</v>
      </c>
      <c r="J4365" s="9" t="str">
        <f>IFERROR(__xludf.DUMMYFUNCTION("""COMPUTED_VALUE"""),"C#")</f>
        <v>C#</v>
      </c>
      <c r="K4365" s="9" t="str">
        <f>IFERROR(__xludf.DUMMYFUNCTION("""COMPUTED_VALUE"""),"Python")</f>
        <v>Python</v>
      </c>
      <c r="L4365" s="9" t="str">
        <f>IFERROR(__xludf.DUMMYFUNCTION("""COMPUTED_VALUE"""),"C++")</f>
        <v>C++</v>
      </c>
      <c r="M4365" s="9" t="s">
        <v>27</v>
      </c>
    </row>
    <row r="4366" ht="15.75" customHeight="1">
      <c r="A4366" s="7"/>
      <c r="B4366" s="7" t="str">
        <f>IFERROR(__xludf.DUMMYFUNCTION("""COMPUTED_VALUE"""),"Bash/Shell/PowerShell;C;C++;C#;Clojure;Java;JavaScript;Kotlin;Python;TypeScript")</f>
        <v>Bash/Shell/PowerShell;C;C++;C#;Clojure;Java;JavaScript;Kotlin;Python;TypeScript</v>
      </c>
      <c r="C4366" s="9" t="str">
        <f>IFERROR(__xludf.DUMMYFUNCTION("""COMPUTED_VALUE"""),"TypeScript")</f>
        <v>TypeScript</v>
      </c>
      <c r="D4366" s="9" t="str">
        <f>IFERROR(__xludf.DUMMYFUNCTION("""COMPUTED_VALUE"""),"PHP")</f>
        <v>PHP</v>
      </c>
      <c r="E4366" s="9" t="str">
        <f>IFERROR(__xludf.DUMMYFUNCTION("""COMPUTED_VALUE"""),"HTML/CSS")</f>
        <v>HTML/CSS</v>
      </c>
      <c r="F4366" s="9" t="str">
        <f>IFERROR(__xludf.DUMMYFUNCTION("""COMPUTED_VALUE"""),"SQL")</f>
        <v>SQL</v>
      </c>
      <c r="G4366" s="9" t="str">
        <f>IFERROR(__xludf.DUMMYFUNCTION("""COMPUTED_VALUE"""),"Java")</f>
        <v>Java</v>
      </c>
      <c r="H4366" s="9" t="str">
        <f>IFERROR(__xludf.DUMMYFUNCTION("""COMPUTED_VALUE"""),"Clojure")</f>
        <v>Clojure</v>
      </c>
      <c r="I4366" s="9" t="str">
        <f>IFERROR(__xludf.DUMMYFUNCTION("""COMPUTED_VALUE"""),"PHP")</f>
        <v>PHP</v>
      </c>
      <c r="J4366" s="9" t="str">
        <f>IFERROR(__xludf.DUMMYFUNCTION("""COMPUTED_VALUE"""),"C")</f>
        <v>C</v>
      </c>
      <c r="K4366" s="9" t="str">
        <f>IFERROR(__xludf.DUMMYFUNCTION("""COMPUTED_VALUE"""),"Rust")</f>
        <v>Rust</v>
      </c>
      <c r="L4366" s="9" t="str">
        <f>IFERROR(__xludf.DUMMYFUNCTION("""COMPUTED_VALUE"""),"HTML/CSS")</f>
        <v>HTML/CSS</v>
      </c>
      <c r="M4366" s="9" t="s">
        <v>33</v>
      </c>
    </row>
    <row r="4367" ht="15.75" customHeight="1">
      <c r="A4367" s="7"/>
      <c r="B4367" s="7" t="str">
        <f>IFERROR(__xludf.DUMMYFUNCTION("""COMPUTED_VALUE"""),"Bash/Shell/PowerShell;C;C++;C#;HTML/CSS;Java;JavaScript;PHP;Python;SQL;VBA;Other(s):")</f>
        <v>Bash/Shell/PowerShell;C;C++;C#;HTML/CSS;Java;JavaScript;PHP;Python;SQL;VBA;Other(s):</v>
      </c>
      <c r="C4367" s="9" t="str">
        <f>IFERROR(__xludf.DUMMYFUNCTION("""COMPUTED_VALUE"""),"C#")</f>
        <v>C#</v>
      </c>
      <c r="D4367" s="9" t="str">
        <f>IFERROR(__xludf.DUMMYFUNCTION("""COMPUTED_VALUE"""),"Ruby")</f>
        <v>Ruby</v>
      </c>
      <c r="E4367" s="9" t="str">
        <f>IFERROR(__xludf.DUMMYFUNCTION("""COMPUTED_VALUE"""),"Java")</f>
        <v>Java</v>
      </c>
      <c r="F4367" s="9" t="str">
        <f>IFERROR(__xludf.DUMMYFUNCTION("""COMPUTED_VALUE"""),"Assembly")</f>
        <v>Assembly</v>
      </c>
      <c r="G4367" s="9" t="str">
        <f>IFERROR(__xludf.DUMMYFUNCTION("""COMPUTED_VALUE"""),"JavaScript")</f>
        <v>JavaScript</v>
      </c>
      <c r="H4367" s="9" t="str">
        <f>IFERROR(__xludf.DUMMYFUNCTION("""COMPUTED_VALUE"""),"HTML/CSS")</f>
        <v>HTML/CSS</v>
      </c>
      <c r="I4367" s="9" t="str">
        <f>IFERROR(__xludf.DUMMYFUNCTION("""COMPUTED_VALUE"""),"SQL")</f>
        <v>SQL</v>
      </c>
      <c r="J4367" s="9" t="str">
        <f>IFERROR(__xludf.DUMMYFUNCTION("""COMPUTED_VALUE"""),"C++")</f>
        <v>C++</v>
      </c>
      <c r="K4367" s="9" t="str">
        <f>IFERROR(__xludf.DUMMYFUNCTION("""COMPUTED_VALUE"""),"Bash/Shell/PowerShell")</f>
        <v>Bash/Shell/PowerShell</v>
      </c>
      <c r="L4367" s="9" t="str">
        <f>IFERROR(__xludf.DUMMYFUNCTION("""COMPUTED_VALUE"""),"Java")</f>
        <v>Java</v>
      </c>
      <c r="M4367" s="9" t="s">
        <v>26</v>
      </c>
    </row>
    <row r="4368" ht="15.75" customHeight="1">
      <c r="A4368" s="7"/>
      <c r="B4368" s="7" t="str">
        <f>IFERROR(__xludf.DUMMYFUNCTION("""COMPUTED_VALUE"""),"Bash/Shell/PowerShell;HTML/CSS;JavaScript;Python")</f>
        <v>Bash/Shell/PowerShell;HTML/CSS;JavaScript;Python</v>
      </c>
      <c r="C4368" s="9" t="str">
        <f>IFERROR(__xludf.DUMMYFUNCTION("""COMPUTED_VALUE"""),"HTML/CSS")</f>
        <v>HTML/CSS</v>
      </c>
      <c r="D4368" s="9" t="str">
        <f>IFERROR(__xludf.DUMMYFUNCTION("""COMPUTED_VALUE"""),"Clojure")</f>
        <v>Clojure</v>
      </c>
      <c r="E4368" s="9" t="str">
        <f>IFERROR(__xludf.DUMMYFUNCTION("""COMPUTED_VALUE"""),"JavaScript")</f>
        <v>JavaScript</v>
      </c>
      <c r="F4368" s="9" t="str">
        <f>IFERROR(__xludf.DUMMYFUNCTION("""COMPUTED_VALUE"""),"Bash/Shell/PowerShell")</f>
        <v>Bash/Shell/PowerShell</v>
      </c>
      <c r="G4368" s="9" t="str">
        <f>IFERROR(__xludf.DUMMYFUNCTION("""COMPUTED_VALUE"""),"Kotlin")</f>
        <v>Kotlin</v>
      </c>
      <c r="H4368" s="9" t="str">
        <f>IFERROR(__xludf.DUMMYFUNCTION("""COMPUTED_VALUE"""),"Java")</f>
        <v>Java</v>
      </c>
      <c r="I4368" s="9" t="str">
        <f>IFERROR(__xludf.DUMMYFUNCTION("""COMPUTED_VALUE"""),"VBA")</f>
        <v>VBA</v>
      </c>
      <c r="J4368" s="9" t="str">
        <f>IFERROR(__xludf.DUMMYFUNCTION("""COMPUTED_VALUE"""),"Other(s):")</f>
        <v>Other(s):</v>
      </c>
      <c r="K4368" s="9" t="str">
        <f>IFERROR(__xludf.DUMMYFUNCTION("""COMPUTED_VALUE"""),"C")</f>
        <v>C</v>
      </c>
      <c r="L4368" s="9" t="str">
        <f>IFERROR(__xludf.DUMMYFUNCTION("""COMPUTED_VALUE"""),"JavaScript")</f>
        <v>JavaScript</v>
      </c>
      <c r="M4368" s="9" t="s">
        <v>24</v>
      </c>
    </row>
    <row r="4369" ht="15.75" customHeight="1">
      <c r="A4369" s="7"/>
      <c r="B4369" s="7" t="str">
        <f>IFERROR(__xludf.DUMMYFUNCTION("""COMPUTED_VALUE"""),"Bash/Shell/PowerShell;C#;HTML/CSS;Java;JavaScript;SQL")</f>
        <v>Bash/Shell/PowerShell;C#;HTML/CSS;Java;JavaScript;SQL</v>
      </c>
      <c r="C4369" s="9" t="str">
        <f>IFERROR(__xludf.DUMMYFUNCTION("""COMPUTED_VALUE"""),"Java")</f>
        <v>Java</v>
      </c>
      <c r="D4369" s="9" t="str">
        <f>IFERROR(__xludf.DUMMYFUNCTION("""COMPUTED_VALUE"""),"HTML/CSS")</f>
        <v>HTML/CSS</v>
      </c>
      <c r="E4369" s="9" t="str">
        <f>IFERROR(__xludf.DUMMYFUNCTION("""COMPUTED_VALUE"""),"Assembly")</f>
        <v>Assembly</v>
      </c>
      <c r="F4369" s="9" t="str">
        <f>IFERROR(__xludf.DUMMYFUNCTION("""COMPUTED_VALUE"""),"C")</f>
        <v>C</v>
      </c>
      <c r="G4369" s="9" t="str">
        <f>IFERROR(__xludf.DUMMYFUNCTION("""COMPUTED_VALUE"""),"SQL")</f>
        <v>SQL</v>
      </c>
      <c r="H4369" s="9" t="str">
        <f>IFERROR(__xludf.DUMMYFUNCTION("""COMPUTED_VALUE"""),"JavaScript")</f>
        <v>JavaScript</v>
      </c>
      <c r="I4369" s="9" t="str">
        <f>IFERROR(__xludf.DUMMYFUNCTION("""COMPUTED_VALUE"""),"C#")</f>
        <v>C#</v>
      </c>
      <c r="J4369" s="9" t="str">
        <f>IFERROR(__xludf.DUMMYFUNCTION("""COMPUTED_VALUE"""),"Bash/Shell/PowerShell")</f>
        <v>Bash/Shell/PowerShell</v>
      </c>
      <c r="K4369" s="9" t="str">
        <f>IFERROR(__xludf.DUMMYFUNCTION("""COMPUTED_VALUE"""),"Go")</f>
        <v>Go</v>
      </c>
      <c r="L4369" s="9" t="str">
        <f>IFERROR(__xludf.DUMMYFUNCTION("""COMPUTED_VALUE"""),"Kotlin")</f>
        <v>Kotlin</v>
      </c>
      <c r="M4369" s="9" t="s">
        <v>20</v>
      </c>
    </row>
    <row r="4370" ht="15.75" customHeight="1">
      <c r="A4370" s="7"/>
      <c r="B4370" s="7" t="str">
        <f>IFERROR(__xludf.DUMMYFUNCTION("""COMPUTED_VALUE"""),"C;C++;C#;HTML/CSS;Java;JavaScript;Python;Ruby;TypeScript")</f>
        <v>C;C++;C#;HTML/CSS;Java;JavaScript;Python;Ruby;TypeScript</v>
      </c>
      <c r="C4370" s="9" t="str">
        <f>IFERROR(__xludf.DUMMYFUNCTION("""COMPUTED_VALUE"""),"JavaScript")</f>
        <v>JavaScript</v>
      </c>
      <c r="D4370" s="9" t="str">
        <f>IFERROR(__xludf.DUMMYFUNCTION("""COMPUTED_VALUE"""),"JavaScript")</f>
        <v>JavaScript</v>
      </c>
      <c r="E4370" s="9" t="str">
        <f>IFERROR(__xludf.DUMMYFUNCTION("""COMPUTED_VALUE"""),"Bash/Shell/PowerShell")</f>
        <v>Bash/Shell/PowerShell</v>
      </c>
      <c r="F4370" s="9" t="str">
        <f>IFERROR(__xludf.DUMMYFUNCTION("""COMPUTED_VALUE"""),"Dart")</f>
        <v>Dart</v>
      </c>
      <c r="G4370" s="9" t="str">
        <f>IFERROR(__xludf.DUMMYFUNCTION("""COMPUTED_VALUE"""),"C++")</f>
        <v>C++</v>
      </c>
      <c r="H4370" s="9" t="str">
        <f>IFERROR(__xludf.DUMMYFUNCTION("""COMPUTED_VALUE"""),"TypeScript")</f>
        <v>TypeScript</v>
      </c>
      <c r="I4370" s="9" t="str">
        <f>IFERROR(__xludf.DUMMYFUNCTION("""COMPUTED_VALUE"""),"Bash/Shell/PowerShell")</f>
        <v>Bash/Shell/PowerShell</v>
      </c>
      <c r="J4370" s="9" t="str">
        <f>IFERROR(__xludf.DUMMYFUNCTION("""COMPUTED_VALUE"""),"C++")</f>
        <v>C++</v>
      </c>
      <c r="K4370" s="9" t="str">
        <f>IFERROR(__xludf.DUMMYFUNCTION("""COMPUTED_VALUE"""),"HTML/CSS")</f>
        <v>HTML/CSS</v>
      </c>
      <c r="L4370" s="9" t="str">
        <f>IFERROR(__xludf.DUMMYFUNCTION("""COMPUTED_VALUE"""),"Objective-C")</f>
        <v>Objective-C</v>
      </c>
      <c r="M4370" s="9" t="s">
        <v>21</v>
      </c>
    </row>
    <row r="4371" ht="15.75" customHeight="1">
      <c r="A4371" s="7"/>
      <c r="B4371" s="7" t="str">
        <f>IFERROR(__xludf.DUMMYFUNCTION("""COMPUTED_VALUE"""),"Bash/Shell/PowerShell;C;C++;HTML/CSS;JavaScript;Python;SQL;TypeScript;Other(s):")</f>
        <v>Bash/Shell/PowerShell;C;C++;HTML/CSS;JavaScript;Python;SQL;TypeScript;Other(s):</v>
      </c>
      <c r="C4371" s="9" t="str">
        <f>IFERROR(__xludf.DUMMYFUNCTION("""COMPUTED_VALUE"""),"SQL")</f>
        <v>SQL</v>
      </c>
      <c r="D4371" s="9" t="str">
        <f>IFERROR(__xludf.DUMMYFUNCTION("""COMPUTED_VALUE"""),"PHP")</f>
        <v>PHP</v>
      </c>
      <c r="E4371" s="9" t="str">
        <f>IFERROR(__xludf.DUMMYFUNCTION("""COMPUTED_VALUE"""),"C")</f>
        <v>C</v>
      </c>
      <c r="F4371" s="9" t="str">
        <f>IFERROR(__xludf.DUMMYFUNCTION("""COMPUTED_VALUE"""),"HTML/CSS")</f>
        <v>HTML/CSS</v>
      </c>
      <c r="G4371" s="9" t="str">
        <f>IFERROR(__xludf.DUMMYFUNCTION("""COMPUTED_VALUE"""),"HTML/CSS")</f>
        <v>HTML/CSS</v>
      </c>
      <c r="H4371" s="9" t="str">
        <f>IFERROR(__xludf.DUMMYFUNCTION("""COMPUTED_VALUE"""),"HTML/CSS")</f>
        <v>HTML/CSS</v>
      </c>
      <c r="I4371" s="9" t="str">
        <f>IFERROR(__xludf.DUMMYFUNCTION("""COMPUTED_VALUE"""),"HTML/CSS")</f>
        <v>HTML/CSS</v>
      </c>
      <c r="J4371" s="9" t="str">
        <f>IFERROR(__xludf.DUMMYFUNCTION("""COMPUTED_VALUE"""),"C#")</f>
        <v>C#</v>
      </c>
      <c r="K4371" s="9" t="str">
        <f>IFERROR(__xludf.DUMMYFUNCTION("""COMPUTED_VALUE"""),"JavaScript")</f>
        <v>JavaScript</v>
      </c>
      <c r="L4371" s="9" t="str">
        <f>IFERROR(__xludf.DUMMYFUNCTION("""COMPUTED_VALUE"""),"Swift")</f>
        <v>Swift</v>
      </c>
      <c r="M4371" s="9" t="s">
        <v>27</v>
      </c>
    </row>
    <row r="4372" ht="15.75" customHeight="1">
      <c r="A4372" s="7"/>
      <c r="B4372" s="7" t="str">
        <f>IFERROR(__xludf.DUMMYFUNCTION("""COMPUTED_VALUE"""),"Bash/Shell/PowerShell;C;C++;C#;Java")</f>
        <v>Bash/Shell/PowerShell;C;C++;C#;Java</v>
      </c>
      <c r="C4372" s="9" t="str">
        <f>IFERROR(__xludf.DUMMYFUNCTION("""COMPUTED_VALUE"""),"Bash/Shell/PowerShell")</f>
        <v>Bash/Shell/PowerShell</v>
      </c>
      <c r="D4372" s="9" t="str">
        <f>IFERROR(__xludf.DUMMYFUNCTION("""COMPUTED_VALUE"""),"Swift")</f>
        <v>Swift</v>
      </c>
      <c r="E4372" s="9" t="str">
        <f>IFERROR(__xludf.DUMMYFUNCTION("""COMPUTED_VALUE"""),"C++")</f>
        <v>C++</v>
      </c>
      <c r="F4372" s="9" t="str">
        <f>IFERROR(__xludf.DUMMYFUNCTION("""COMPUTED_VALUE"""),"JavaScript")</f>
        <v>JavaScript</v>
      </c>
      <c r="G4372" s="9" t="str">
        <f>IFERROR(__xludf.DUMMYFUNCTION("""COMPUTED_VALUE"""),"Rust")</f>
        <v>Rust</v>
      </c>
      <c r="H4372" s="9" t="str">
        <f>IFERROR(__xludf.DUMMYFUNCTION("""COMPUTED_VALUE"""),"JavaScript")</f>
        <v>JavaScript</v>
      </c>
      <c r="I4372" s="9" t="str">
        <f>IFERROR(__xludf.DUMMYFUNCTION("""COMPUTED_VALUE"""),"JavaScript")</f>
        <v>JavaScript</v>
      </c>
      <c r="J4372" s="9" t="str">
        <f>IFERROR(__xludf.DUMMYFUNCTION("""COMPUTED_VALUE"""),"HTML/CSS")</f>
        <v>HTML/CSS</v>
      </c>
      <c r="K4372" s="9" t="str">
        <f>IFERROR(__xludf.DUMMYFUNCTION("""COMPUTED_VALUE"""),"Python")</f>
        <v>Python</v>
      </c>
      <c r="L4372" s="9" t="str">
        <f>IFERROR(__xludf.DUMMYFUNCTION("""COMPUTED_VALUE"""),"TypeScript")</f>
        <v>TypeScript</v>
      </c>
      <c r="M4372" s="9" t="s">
        <v>30</v>
      </c>
    </row>
    <row r="4373" ht="15.75" customHeight="1">
      <c r="A4373" s="7"/>
      <c r="B4373" s="7" t="str">
        <f>IFERROR(__xludf.DUMMYFUNCTION("""COMPUTED_VALUE"""),"HTML/CSS;JavaScript;PHP;SQL")</f>
        <v>HTML/CSS;JavaScript;PHP;SQL</v>
      </c>
      <c r="C4373" s="9" t="str">
        <f>IFERROR(__xludf.DUMMYFUNCTION("""COMPUTED_VALUE"""),"C")</f>
        <v>C</v>
      </c>
      <c r="D4373" s="9" t="str">
        <f>IFERROR(__xludf.DUMMYFUNCTION("""COMPUTED_VALUE"""),"HTML/CSS")</f>
        <v>HTML/CSS</v>
      </c>
      <c r="E4373" s="9" t="str">
        <f>IFERROR(__xludf.DUMMYFUNCTION("""COMPUTED_VALUE"""),"C#")</f>
        <v>C#</v>
      </c>
      <c r="F4373" s="9" t="str">
        <f>IFERROR(__xludf.DUMMYFUNCTION("""COMPUTED_VALUE"""),"Objective-C")</f>
        <v>Objective-C</v>
      </c>
      <c r="G4373" s="9" t="str">
        <f>IFERROR(__xludf.DUMMYFUNCTION("""COMPUTED_VALUE"""),"TypeScript")</f>
        <v>TypeScript</v>
      </c>
      <c r="H4373" s="9" t="str">
        <f>IFERROR(__xludf.DUMMYFUNCTION("""COMPUTED_VALUE"""),"PHP")</f>
        <v>PHP</v>
      </c>
      <c r="I4373" s="9" t="str">
        <f>IFERROR(__xludf.DUMMYFUNCTION("""COMPUTED_VALUE"""),"PHP")</f>
        <v>PHP</v>
      </c>
      <c r="J4373" s="9" t="str">
        <f>IFERROR(__xludf.DUMMYFUNCTION("""COMPUTED_VALUE"""),"Java")</f>
        <v>Java</v>
      </c>
      <c r="K4373" s="9" t="str">
        <f>IFERROR(__xludf.DUMMYFUNCTION("""COMPUTED_VALUE"""),"Ruby")</f>
        <v>Ruby</v>
      </c>
      <c r="L4373" s="9" t="str">
        <f>IFERROR(__xludf.DUMMYFUNCTION("""COMPUTED_VALUE"""),"C#")</f>
        <v>C#</v>
      </c>
      <c r="M4373" s="9" t="s">
        <v>25</v>
      </c>
    </row>
    <row r="4374" ht="15.75" customHeight="1">
      <c r="A4374" s="7"/>
      <c r="B4374" s="7" t="str">
        <f>IFERROR(__xludf.DUMMYFUNCTION("""COMPUTED_VALUE"""),"Bash/Shell/PowerShell;C#;HTML/CSS;JavaScript;SQL;TypeScript")</f>
        <v>Bash/Shell/PowerShell;C#;HTML/CSS;JavaScript;SQL;TypeScript</v>
      </c>
      <c r="C4374" s="9" t="str">
        <f>IFERROR(__xludf.DUMMYFUNCTION("""COMPUTED_VALUE"""),"C++")</f>
        <v>C++</v>
      </c>
      <c r="D4374" s="9" t="str">
        <f>IFERROR(__xludf.DUMMYFUNCTION("""COMPUTED_VALUE"""),"Java")</f>
        <v>Java</v>
      </c>
      <c r="E4374" s="9" t="str">
        <f>IFERROR(__xludf.DUMMYFUNCTION("""COMPUTED_VALUE"""),"HTML/CSS")</f>
        <v>HTML/CSS</v>
      </c>
      <c r="F4374" s="9" t="str">
        <f>IFERROR(__xludf.DUMMYFUNCTION("""COMPUTED_VALUE"""),"Python")</f>
        <v>Python</v>
      </c>
      <c r="G4374" s="9" t="str">
        <f>IFERROR(__xludf.DUMMYFUNCTION("""COMPUTED_VALUE"""),"Other(s):")</f>
        <v>Other(s):</v>
      </c>
      <c r="H4374" s="9" t="str">
        <f>IFERROR(__xludf.DUMMYFUNCTION("""COMPUTED_VALUE"""),"Python")</f>
        <v>Python</v>
      </c>
      <c r="I4374" s="9" t="str">
        <f>IFERROR(__xludf.DUMMYFUNCTION("""COMPUTED_VALUE"""),"SQL")</f>
        <v>SQL</v>
      </c>
      <c r="J4374" s="9" t="str">
        <f>IFERROR(__xludf.DUMMYFUNCTION("""COMPUTED_VALUE"""),"JavaScript")</f>
        <v>JavaScript</v>
      </c>
      <c r="K4374" s="9" t="str">
        <f>IFERROR(__xludf.DUMMYFUNCTION("""COMPUTED_VALUE"""),"Rust")</f>
        <v>Rust</v>
      </c>
      <c r="L4374" s="9" t="str">
        <f>IFERROR(__xludf.DUMMYFUNCTION("""COMPUTED_VALUE"""),"JavaScript")</f>
        <v>JavaScript</v>
      </c>
      <c r="M4374" s="9" t="s">
        <v>23</v>
      </c>
    </row>
    <row r="4375" ht="15.75" customHeight="1">
      <c r="A4375" s="7"/>
      <c r="B4375" s="7" t="str">
        <f>IFERROR(__xludf.DUMMYFUNCTION("""COMPUTED_VALUE"""),"Java;Kotlin")</f>
        <v>Java;Kotlin</v>
      </c>
      <c r="C4375" s="9" t="str">
        <f>IFERROR(__xludf.DUMMYFUNCTION("""COMPUTED_VALUE"""),"Python")</f>
        <v>Python</v>
      </c>
      <c r="D4375" s="9" t="str">
        <f>IFERROR(__xludf.DUMMYFUNCTION("""COMPUTED_VALUE"""),"JavaScript")</f>
        <v>JavaScript</v>
      </c>
      <c r="E4375" s="9" t="str">
        <f>IFERROR(__xludf.DUMMYFUNCTION("""COMPUTED_VALUE"""),"SQL")</f>
        <v>SQL</v>
      </c>
      <c r="F4375" s="9" t="str">
        <f>IFERROR(__xludf.DUMMYFUNCTION("""COMPUTED_VALUE"""),"Ruby")</f>
        <v>Ruby</v>
      </c>
      <c r="G4375" s="9" t="str">
        <f>IFERROR(__xludf.DUMMYFUNCTION("""COMPUTED_VALUE"""),"C")</f>
        <v>C</v>
      </c>
      <c r="H4375" s="9" t="str">
        <f>IFERROR(__xludf.DUMMYFUNCTION("""COMPUTED_VALUE"""),"Ruby")</f>
        <v>Ruby</v>
      </c>
      <c r="I4375" s="9" t="str">
        <f>IFERROR(__xludf.DUMMYFUNCTION("""COMPUTED_VALUE"""),"Java")</f>
        <v>Java</v>
      </c>
      <c r="J4375" s="9" t="str">
        <f>IFERROR(__xludf.DUMMYFUNCTION("""COMPUTED_VALUE"""),"PHP")</f>
        <v>PHP</v>
      </c>
      <c r="K4375" s="9" t="str">
        <f>IFERROR(__xludf.DUMMYFUNCTION("""COMPUTED_VALUE"""),"SQL")</f>
        <v>SQL</v>
      </c>
      <c r="L4375" s="9" t="str">
        <f>IFERROR(__xludf.DUMMYFUNCTION("""COMPUTED_VALUE"""),"SQL")</f>
        <v>SQL</v>
      </c>
      <c r="M4375" s="9" t="s">
        <v>22</v>
      </c>
    </row>
    <row r="4376" ht="15.75" customHeight="1">
      <c r="A4376" s="7"/>
      <c r="B4376" s="7" t="str">
        <f>IFERROR(__xludf.DUMMYFUNCTION("""COMPUTED_VALUE"""),"Java;JavaScript;SQL;VBA")</f>
        <v>Java;JavaScript;SQL;VBA</v>
      </c>
      <c r="C4376" s="9" t="str">
        <f>IFERROR(__xludf.DUMMYFUNCTION("""COMPUTED_VALUE"""),"Bash/Shell/PowerShell")</f>
        <v>Bash/Shell/PowerShell</v>
      </c>
      <c r="D4376" s="9" t="str">
        <f>IFERROR(__xludf.DUMMYFUNCTION("""COMPUTED_VALUE"""),"SQL")</f>
        <v>SQL</v>
      </c>
      <c r="E4376" s="9" t="str">
        <f>IFERROR(__xludf.DUMMYFUNCTION("""COMPUTED_VALUE"""),"JavaScript")</f>
        <v>JavaScript</v>
      </c>
      <c r="F4376" s="9" t="str">
        <f>IFERROR(__xludf.DUMMYFUNCTION("""COMPUTED_VALUE"""),"SQL")</f>
        <v>SQL</v>
      </c>
      <c r="G4376" s="9" t="str">
        <f>IFERROR(__xludf.DUMMYFUNCTION("""COMPUTED_VALUE"""),"C++")</f>
        <v>C++</v>
      </c>
      <c r="H4376" s="9" t="str">
        <f>IFERROR(__xludf.DUMMYFUNCTION("""COMPUTED_VALUE"""),"SQL")</f>
        <v>SQL</v>
      </c>
      <c r="I4376" s="9" t="str">
        <f>IFERROR(__xludf.DUMMYFUNCTION("""COMPUTED_VALUE"""),"Kotlin")</f>
        <v>Kotlin</v>
      </c>
      <c r="J4376" s="9" t="str">
        <f>IFERROR(__xludf.DUMMYFUNCTION("""COMPUTED_VALUE"""),"SQL")</f>
        <v>SQL</v>
      </c>
      <c r="K4376" s="9" t="str">
        <f>IFERROR(__xludf.DUMMYFUNCTION("""COMPUTED_VALUE"""),"Swift")</f>
        <v>Swift</v>
      </c>
      <c r="L4376" s="9" t="str">
        <f>IFERROR(__xludf.DUMMYFUNCTION("""COMPUTED_VALUE"""),"TypeScript")</f>
        <v>TypeScript</v>
      </c>
      <c r="M4376" s="9" t="s">
        <v>30</v>
      </c>
    </row>
    <row r="4377" ht="15.75" customHeight="1">
      <c r="A4377" s="7"/>
      <c r="B4377" s="7" t="str">
        <f>IFERROR(__xludf.DUMMYFUNCTION("""COMPUTED_VALUE"""),"Assembly;C;C++;HTML/CSS;Objective-C;PHP;Python;SQL;Swift")</f>
        <v>Assembly;C;C++;HTML/CSS;Objective-C;PHP;Python;SQL;Swift</v>
      </c>
      <c r="C4377" s="9" t="str">
        <f>IFERROR(__xludf.DUMMYFUNCTION("""COMPUTED_VALUE"""),"C")</f>
        <v>C</v>
      </c>
      <c r="D4377" s="9" t="str">
        <f>IFERROR(__xludf.DUMMYFUNCTION("""COMPUTED_VALUE"""),"Python")</f>
        <v>Python</v>
      </c>
      <c r="E4377" s="9" t="str">
        <f>IFERROR(__xludf.DUMMYFUNCTION("""COMPUTED_VALUE"""),"SQL")</f>
        <v>SQL</v>
      </c>
      <c r="F4377" s="9" t="str">
        <f>IFERROR(__xludf.DUMMYFUNCTION("""COMPUTED_VALUE"""),"Swift")</f>
        <v>Swift</v>
      </c>
      <c r="G4377" s="9" t="str">
        <f>IFERROR(__xludf.DUMMYFUNCTION("""COMPUTED_VALUE"""),"Java")</f>
        <v>Java</v>
      </c>
      <c r="H4377" s="9" t="str">
        <f>IFERROR(__xludf.DUMMYFUNCTION("""COMPUTED_VALUE"""),"HTML/CSS")</f>
        <v>HTML/CSS</v>
      </c>
      <c r="I4377" s="9" t="str">
        <f>IFERROR(__xludf.DUMMYFUNCTION("""COMPUTED_VALUE"""),"Go")</f>
        <v>Go</v>
      </c>
      <c r="J4377" s="9" t="str">
        <f>IFERROR(__xludf.DUMMYFUNCTION("""COMPUTED_VALUE"""),"Bash/Shell/PowerShell")</f>
        <v>Bash/Shell/PowerShell</v>
      </c>
      <c r="K4377" s="9" t="str">
        <f>IFERROR(__xludf.DUMMYFUNCTION("""COMPUTED_VALUE"""),"TypeScript")</f>
        <v>TypeScript</v>
      </c>
      <c r="L4377" s="9" t="str">
        <f>IFERROR(__xludf.DUMMYFUNCTION("""COMPUTED_VALUE"""),"Bash/Shell/PowerShell")</f>
        <v>Bash/Shell/PowerShell</v>
      </c>
      <c r="M4377" s="9" t="s">
        <v>25</v>
      </c>
    </row>
    <row r="4378" ht="15.75" customHeight="1">
      <c r="A4378" s="7"/>
      <c r="B4378" s="7" t="str">
        <f>IFERROR(__xludf.DUMMYFUNCTION("""COMPUTED_VALUE"""),"Bash/Shell/PowerShell;C;HTML/CSS;Java;JavaScript;Python;SQL;Swift")</f>
        <v>Bash/Shell/PowerShell;C;HTML/CSS;Java;JavaScript;Python;SQL;Swift</v>
      </c>
      <c r="C4378" s="9" t="str">
        <f>IFERROR(__xludf.DUMMYFUNCTION("""COMPUTED_VALUE"""),"C++")</f>
        <v>C++</v>
      </c>
      <c r="D4378" s="9" t="str">
        <f>IFERROR(__xludf.DUMMYFUNCTION("""COMPUTED_VALUE"""),"Other(s):")</f>
        <v>Other(s):</v>
      </c>
      <c r="E4378" s="9" t="str">
        <f>IFERROR(__xludf.DUMMYFUNCTION("""COMPUTED_VALUE"""),"TypeScript")</f>
        <v>TypeScript</v>
      </c>
      <c r="F4378" s="9" t="str">
        <f>IFERROR(__xludf.DUMMYFUNCTION("""COMPUTED_VALUE"""),"TypeScript")</f>
        <v>TypeScript</v>
      </c>
      <c r="G4378" s="9" t="str">
        <f>IFERROR(__xludf.DUMMYFUNCTION("""COMPUTED_VALUE"""),"Kotlin")</f>
        <v>Kotlin</v>
      </c>
      <c r="H4378" s="9" t="str">
        <f>IFERROR(__xludf.DUMMYFUNCTION("""COMPUTED_VALUE"""),"Java")</f>
        <v>Java</v>
      </c>
      <c r="I4378" s="9" t="str">
        <f>IFERROR(__xludf.DUMMYFUNCTION("""COMPUTED_VALUE"""),"HTML/CSS")</f>
        <v>HTML/CSS</v>
      </c>
      <c r="J4378" s="9" t="str">
        <f>IFERROR(__xludf.DUMMYFUNCTION("""COMPUTED_VALUE"""),"C#")</f>
        <v>C#</v>
      </c>
      <c r="K4378" s="9" t="str">
        <f>IFERROR(__xludf.DUMMYFUNCTION("""COMPUTED_VALUE"""),"WebAssembly")</f>
        <v>WebAssembly</v>
      </c>
      <c r="L4378" s="9" t="str">
        <f>IFERROR(__xludf.DUMMYFUNCTION("""COMPUTED_VALUE"""),"C#")</f>
        <v>C#</v>
      </c>
      <c r="M4378" s="9" t="s">
        <v>23</v>
      </c>
    </row>
    <row r="4379" ht="15.75" customHeight="1">
      <c r="A4379" s="7"/>
      <c r="B4379" s="7" t="str">
        <f>IFERROR(__xludf.DUMMYFUNCTION("""COMPUTED_VALUE"""),"Bash/Shell/PowerShell;C++;HTML/CSS;JavaScript;PHP;Python;R;Ruby;SQL;VBA")</f>
        <v>Bash/Shell/PowerShell;C++;HTML/CSS;JavaScript;PHP;Python;R;Ruby;SQL;VBA</v>
      </c>
      <c r="C4379" s="9" t="str">
        <f>IFERROR(__xludf.DUMMYFUNCTION("""COMPUTED_VALUE"""),"C#")</f>
        <v>C#</v>
      </c>
      <c r="D4379" s="9" t="str">
        <f>IFERROR(__xludf.DUMMYFUNCTION("""COMPUTED_VALUE"""),"Bash/Shell/PowerShell")</f>
        <v>Bash/Shell/PowerShell</v>
      </c>
      <c r="E4379" s="9" t="str">
        <f>IFERROR(__xludf.DUMMYFUNCTION("""COMPUTED_VALUE"""),"Java")</f>
        <v>Java</v>
      </c>
      <c r="F4379" s="9" t="str">
        <f>IFERROR(__xludf.DUMMYFUNCTION("""COMPUTED_VALUE"""),"Bash/Shell/PowerShell")</f>
        <v>Bash/Shell/PowerShell</v>
      </c>
      <c r="G4379" s="9" t="str">
        <f>IFERROR(__xludf.DUMMYFUNCTION("""COMPUTED_VALUE"""),"Python")</f>
        <v>Python</v>
      </c>
      <c r="H4379" s="9" t="str">
        <f>IFERROR(__xludf.DUMMYFUNCTION("""COMPUTED_VALUE"""),"JavaScript")</f>
        <v>JavaScript</v>
      </c>
      <c r="I4379" s="9" t="str">
        <f>IFERROR(__xludf.DUMMYFUNCTION("""COMPUTED_VALUE"""),"Java")</f>
        <v>Java</v>
      </c>
      <c r="J4379" s="9" t="str">
        <f>IFERROR(__xludf.DUMMYFUNCTION("""COMPUTED_VALUE"""),"Go")</f>
        <v>Go</v>
      </c>
      <c r="K4379" s="9" t="str">
        <f>IFERROR(__xludf.DUMMYFUNCTION("""COMPUTED_VALUE"""),"Other(s):")</f>
        <v>Other(s):</v>
      </c>
      <c r="L4379" s="9" t="str">
        <f>IFERROR(__xludf.DUMMYFUNCTION("""COMPUTED_VALUE"""),"F#")</f>
        <v>F#</v>
      </c>
      <c r="M4379" s="9" t="s">
        <v>26</v>
      </c>
    </row>
    <row r="4380" ht="15.75" customHeight="1">
      <c r="A4380" s="7"/>
      <c r="B4380" s="7" t="str">
        <f>IFERROR(__xludf.DUMMYFUNCTION("""COMPUTED_VALUE"""),"Bash/Shell/PowerShell;C++;Java;Python;Other(s):")</f>
        <v>Bash/Shell/PowerShell;C++;Java;Python;Other(s):</v>
      </c>
      <c r="C4380" s="9" t="str">
        <f>IFERROR(__xludf.DUMMYFUNCTION("""COMPUTED_VALUE"""),"HTML/CSS")</f>
        <v>HTML/CSS</v>
      </c>
      <c r="D4380" s="9" t="str">
        <f>IFERROR(__xludf.DUMMYFUNCTION("""COMPUTED_VALUE"""),"Go")</f>
        <v>Go</v>
      </c>
      <c r="E4380" s="9" t="str">
        <f>IFERROR(__xludf.DUMMYFUNCTION("""COMPUTED_VALUE"""),"Python")</f>
        <v>Python</v>
      </c>
      <c r="F4380" s="9" t="str">
        <f>IFERROR(__xludf.DUMMYFUNCTION("""COMPUTED_VALUE"""),"Java")</f>
        <v>Java</v>
      </c>
      <c r="G4380" s="9" t="str">
        <f>IFERROR(__xludf.DUMMYFUNCTION("""COMPUTED_VALUE"""),"HTML/CSS")</f>
        <v>HTML/CSS</v>
      </c>
      <c r="H4380" s="9" t="str">
        <f>IFERROR(__xludf.DUMMYFUNCTION("""COMPUTED_VALUE"""),"Kotlin")</f>
        <v>Kotlin</v>
      </c>
      <c r="I4380" s="9" t="str">
        <f>IFERROR(__xludf.DUMMYFUNCTION("""COMPUTED_VALUE"""),"JavaScript")</f>
        <v>JavaScript</v>
      </c>
      <c r="J4380" s="9" t="str">
        <f>IFERROR(__xludf.DUMMYFUNCTION("""COMPUTED_VALUE"""),"JavaScript")</f>
        <v>JavaScript</v>
      </c>
      <c r="K4380" s="9" t="str">
        <f>IFERROR(__xludf.DUMMYFUNCTION("""COMPUTED_VALUE"""),"JavaScript")</f>
        <v>JavaScript</v>
      </c>
      <c r="L4380" s="9" t="str">
        <f>IFERROR(__xludf.DUMMYFUNCTION("""COMPUTED_VALUE"""),"HTML/CSS")</f>
        <v>HTML/CSS</v>
      </c>
      <c r="M4380" s="9" t="s">
        <v>24</v>
      </c>
    </row>
    <row r="4381" ht="15.75" customHeight="1">
      <c r="A4381" s="7"/>
      <c r="B4381" s="7" t="str">
        <f>IFERROR(__xludf.DUMMYFUNCTION("""COMPUTED_VALUE"""),"C++;C#;HTML/CSS;Java;JavaScript;Python;SQL;VBA")</f>
        <v>C++;C#;HTML/CSS;Java;JavaScript;Python;SQL;VBA</v>
      </c>
      <c r="C4381" s="9" t="str">
        <f>IFERROR(__xludf.DUMMYFUNCTION("""COMPUTED_VALUE"""),"Java")</f>
        <v>Java</v>
      </c>
      <c r="D4381" s="9" t="str">
        <f>IFERROR(__xludf.DUMMYFUNCTION("""COMPUTED_VALUE"""),"HTML/CSS")</f>
        <v>HTML/CSS</v>
      </c>
      <c r="E4381" s="9" t="str">
        <f>IFERROR(__xludf.DUMMYFUNCTION("""COMPUTED_VALUE"""),"Ruby")</f>
        <v>Ruby</v>
      </c>
      <c r="F4381" s="9" t="str">
        <f>IFERROR(__xludf.DUMMYFUNCTION("""COMPUTED_VALUE"""),"Python")</f>
        <v>Python</v>
      </c>
      <c r="G4381" s="9" t="str">
        <f>IFERROR(__xludf.DUMMYFUNCTION("""COMPUTED_VALUE"""),"Java")</f>
        <v>Java</v>
      </c>
      <c r="H4381" s="9" t="str">
        <f>IFERROR(__xludf.DUMMYFUNCTION("""COMPUTED_VALUE"""),"Python")</f>
        <v>Python</v>
      </c>
      <c r="I4381" s="9" t="str">
        <f>IFERROR(__xludf.DUMMYFUNCTION("""COMPUTED_VALUE"""),"PHP")</f>
        <v>PHP</v>
      </c>
      <c r="J4381" s="9" t="str">
        <f>IFERROR(__xludf.DUMMYFUNCTION("""COMPUTED_VALUE"""),"HTML/CSS")</f>
        <v>HTML/CSS</v>
      </c>
      <c r="K4381" s="9" t="str">
        <f>IFERROR(__xludf.DUMMYFUNCTION("""COMPUTED_VALUE"""),"Ruby")</f>
        <v>Ruby</v>
      </c>
      <c r="L4381" s="9" t="str">
        <f>IFERROR(__xludf.DUMMYFUNCTION("""COMPUTED_VALUE"""),"JavaScript")</f>
        <v>JavaScript</v>
      </c>
      <c r="M4381" s="9" t="s">
        <v>20</v>
      </c>
    </row>
    <row r="4382" ht="15.75" customHeight="1">
      <c r="A4382" s="7"/>
      <c r="B4382" s="7" t="str">
        <f>IFERROR(__xludf.DUMMYFUNCTION("""COMPUTED_VALUE"""),"Bash/Shell/PowerShell;HTML/CSS;JavaScript;PHP;Python;SQL")</f>
        <v>Bash/Shell/PowerShell;HTML/CSS;JavaScript;PHP;Python;SQL</v>
      </c>
      <c r="C4382" s="9" t="str">
        <f>IFERROR(__xludf.DUMMYFUNCTION("""COMPUTED_VALUE"""),"JavaScript")</f>
        <v>JavaScript</v>
      </c>
      <c r="D4382" s="9" t="str">
        <f>IFERROR(__xludf.DUMMYFUNCTION("""COMPUTED_VALUE"""),"JavaScript")</f>
        <v>JavaScript</v>
      </c>
      <c r="E4382" s="9" t="str">
        <f>IFERROR(__xludf.DUMMYFUNCTION("""COMPUTED_VALUE"""),"Scala")</f>
        <v>Scala</v>
      </c>
      <c r="F4382" s="9" t="str">
        <f>IFERROR(__xludf.DUMMYFUNCTION("""COMPUTED_VALUE"""),"Ruby")</f>
        <v>Ruby</v>
      </c>
      <c r="G4382" s="9" t="str">
        <f>IFERROR(__xludf.DUMMYFUNCTION("""COMPUTED_VALUE"""),"PHP")</f>
        <v>PHP</v>
      </c>
      <c r="H4382" s="9" t="str">
        <f>IFERROR(__xludf.DUMMYFUNCTION("""COMPUTED_VALUE"""),"HTML/CSS")</f>
        <v>HTML/CSS</v>
      </c>
      <c r="I4382" s="9" t="str">
        <f>IFERROR(__xludf.DUMMYFUNCTION("""COMPUTED_VALUE"""),"Python")</f>
        <v>Python</v>
      </c>
      <c r="J4382" s="9" t="str">
        <f>IFERROR(__xludf.DUMMYFUNCTION("""COMPUTED_VALUE"""),"JavaScript")</f>
        <v>JavaScript</v>
      </c>
      <c r="K4382" s="9" t="str">
        <f>IFERROR(__xludf.DUMMYFUNCTION("""COMPUTED_VALUE"""),"TypeScript")</f>
        <v>TypeScript</v>
      </c>
      <c r="L4382" s="9" t="str">
        <f>IFERROR(__xludf.DUMMYFUNCTION("""COMPUTED_VALUE"""),"PHP")</f>
        <v>PHP</v>
      </c>
      <c r="M4382" s="9" t="s">
        <v>21</v>
      </c>
    </row>
    <row r="4383" ht="15.75" customHeight="1">
      <c r="A4383" s="7"/>
      <c r="B4383" s="7" t="str">
        <f>IFERROR(__xludf.DUMMYFUNCTION("""COMPUTED_VALUE"""),"HTML/CSS;Java;JavaScript;PHP;SQL")</f>
        <v>HTML/CSS;Java;JavaScript;PHP;SQL</v>
      </c>
      <c r="C4383" s="9" t="str">
        <f>IFERROR(__xludf.DUMMYFUNCTION("""COMPUTED_VALUE"""),"PHP")</f>
        <v>PHP</v>
      </c>
      <c r="D4383" s="9" t="str">
        <f>IFERROR(__xludf.DUMMYFUNCTION("""COMPUTED_VALUE"""),"Kotlin")</f>
        <v>Kotlin</v>
      </c>
      <c r="E4383" s="9" t="str">
        <f>IFERROR(__xludf.DUMMYFUNCTION("""COMPUTED_VALUE"""),"HTML/CSS")</f>
        <v>HTML/CSS</v>
      </c>
      <c r="F4383" s="9" t="str">
        <f>IFERROR(__xludf.DUMMYFUNCTION("""COMPUTED_VALUE"""),"Elixir")</f>
        <v>Elixir</v>
      </c>
      <c r="G4383" s="9" t="str">
        <f>IFERROR(__xludf.DUMMYFUNCTION("""COMPUTED_VALUE"""),"VBA")</f>
        <v>VBA</v>
      </c>
      <c r="H4383" s="9" t="str">
        <f>IFERROR(__xludf.DUMMYFUNCTION("""COMPUTED_VALUE"""),"Java")</f>
        <v>Java</v>
      </c>
      <c r="I4383" s="9" t="str">
        <f>IFERROR(__xludf.DUMMYFUNCTION("""COMPUTED_VALUE"""),"Scala")</f>
        <v>Scala</v>
      </c>
      <c r="J4383" s="9" t="str">
        <f>IFERROR(__xludf.DUMMYFUNCTION("""COMPUTED_VALUE"""),"PHP")</f>
        <v>PHP</v>
      </c>
      <c r="K4383" s="9" t="str">
        <f>IFERROR(__xludf.DUMMYFUNCTION("""COMPUTED_VALUE"""),"C++")</f>
        <v>C++</v>
      </c>
      <c r="L4383" s="9" t="str">
        <f>IFERROR(__xludf.DUMMYFUNCTION("""COMPUTED_VALUE"""),"SQL")</f>
        <v>SQL</v>
      </c>
      <c r="M4383" s="9" t="s">
        <v>37</v>
      </c>
    </row>
    <row r="4384" ht="15.75" customHeight="1">
      <c r="A4384" s="7"/>
      <c r="B4384" s="7" t="str">
        <f>IFERROR(__xludf.DUMMYFUNCTION("""COMPUTED_VALUE"""),"Java;PHP;Python;R;SQL")</f>
        <v>Java;PHP;Python;R;SQL</v>
      </c>
      <c r="C4384" s="9" t="str">
        <f>IFERROR(__xludf.DUMMYFUNCTION("""COMPUTED_VALUE"""),"Python")</f>
        <v>Python</v>
      </c>
      <c r="D4384" s="9" t="str">
        <f>IFERROR(__xludf.DUMMYFUNCTION("""COMPUTED_VALUE"""),"Python")</f>
        <v>Python</v>
      </c>
      <c r="E4384" s="9" t="str">
        <f>IFERROR(__xludf.DUMMYFUNCTION("""COMPUTED_VALUE"""),"JavaScript")</f>
        <v>JavaScript</v>
      </c>
      <c r="F4384" s="9" t="str">
        <f>IFERROR(__xludf.DUMMYFUNCTION("""COMPUTED_VALUE"""),"Java")</f>
        <v>Java</v>
      </c>
      <c r="G4384" s="9" t="str">
        <f>IFERROR(__xludf.DUMMYFUNCTION("""COMPUTED_VALUE"""),"C#")</f>
        <v>C#</v>
      </c>
      <c r="H4384" s="9" t="str">
        <f>IFERROR(__xludf.DUMMYFUNCTION("""COMPUTED_VALUE"""),"JavaScript")</f>
        <v>JavaScript</v>
      </c>
      <c r="I4384" s="9" t="str">
        <f>IFERROR(__xludf.DUMMYFUNCTION("""COMPUTED_VALUE"""),"SQL")</f>
        <v>SQL</v>
      </c>
      <c r="J4384" s="9" t="str">
        <f>IFERROR(__xludf.DUMMYFUNCTION("""COMPUTED_VALUE"""),"SQL")</f>
        <v>SQL</v>
      </c>
      <c r="K4384" s="9" t="str">
        <f>IFERROR(__xludf.DUMMYFUNCTION("""COMPUTED_VALUE"""),"C#")</f>
        <v>C#</v>
      </c>
      <c r="L4384" s="9" t="str">
        <f>IFERROR(__xludf.DUMMYFUNCTION("""COMPUTED_VALUE"""),"HTML/CSS")</f>
        <v>HTML/CSS</v>
      </c>
      <c r="M4384" s="9" t="s">
        <v>22</v>
      </c>
    </row>
    <row r="4385" ht="15.75" customHeight="1">
      <c r="A4385" s="7"/>
      <c r="B4385" s="7" t="str">
        <f>IFERROR(__xludf.DUMMYFUNCTION("""COMPUTED_VALUE"""),"Python")</f>
        <v>Python</v>
      </c>
      <c r="C4385" s="9" t="str">
        <f>IFERROR(__xludf.DUMMYFUNCTION("""COMPUTED_VALUE"""),"Bash/Shell/PowerShell")</f>
        <v>Bash/Shell/PowerShell</v>
      </c>
      <c r="D4385" s="9" t="str">
        <f>IFERROR(__xludf.DUMMYFUNCTION("""COMPUTED_VALUE"""),"Ruby")</f>
        <v>Ruby</v>
      </c>
      <c r="E4385" s="9" t="str">
        <f>IFERROR(__xludf.DUMMYFUNCTION("""COMPUTED_VALUE"""),"PHP")</f>
        <v>PHP</v>
      </c>
      <c r="F4385" s="9" t="str">
        <f>IFERROR(__xludf.DUMMYFUNCTION("""COMPUTED_VALUE"""),"Kotlin")</f>
        <v>Kotlin</v>
      </c>
      <c r="G4385" s="9" t="str">
        <f>IFERROR(__xludf.DUMMYFUNCTION("""COMPUTED_VALUE"""),"HTML/CSS")</f>
        <v>HTML/CSS</v>
      </c>
      <c r="H4385" s="9" t="str">
        <f>IFERROR(__xludf.DUMMYFUNCTION("""COMPUTED_VALUE"""),"Assembly")</f>
        <v>Assembly</v>
      </c>
      <c r="I4385" s="9" t="str">
        <f>IFERROR(__xludf.DUMMYFUNCTION("""COMPUTED_VALUE"""),"TypeScript")</f>
        <v>TypeScript</v>
      </c>
      <c r="J4385" s="9" t="str">
        <f>IFERROR(__xludf.DUMMYFUNCTION("""COMPUTED_VALUE"""),"Bash/Shell/PowerShell")</f>
        <v>Bash/Shell/PowerShell</v>
      </c>
      <c r="K4385" s="9" t="str">
        <f>IFERROR(__xludf.DUMMYFUNCTION("""COMPUTED_VALUE"""),"Python")</f>
        <v>Python</v>
      </c>
      <c r="L4385" s="9" t="str">
        <f>IFERROR(__xludf.DUMMYFUNCTION("""COMPUTED_VALUE"""),"Java")</f>
        <v>Java</v>
      </c>
      <c r="M4385" s="9" t="s">
        <v>30</v>
      </c>
    </row>
    <row r="4386" ht="15.75" customHeight="1">
      <c r="A4386" s="7"/>
      <c r="B4386" s="7" t="str">
        <f>IFERROR(__xludf.DUMMYFUNCTION("""COMPUTED_VALUE"""),"Bash/Shell/PowerShell;C++;HTML/CSS;Java;JavaScript;PHP;Python;Ruby;SQL;TypeScript")</f>
        <v>Bash/Shell/PowerShell;C++;HTML/CSS;Java;JavaScript;PHP;Python;Ruby;SQL;TypeScript</v>
      </c>
      <c r="C4386" s="9" t="str">
        <f>IFERROR(__xludf.DUMMYFUNCTION("""COMPUTED_VALUE"""),"C++")</f>
        <v>C++</v>
      </c>
      <c r="D4386" s="9" t="str">
        <f>IFERROR(__xludf.DUMMYFUNCTION("""COMPUTED_VALUE"""),"SQL")</f>
        <v>SQL</v>
      </c>
      <c r="E4386" s="9" t="str">
        <f>IFERROR(__xludf.DUMMYFUNCTION("""COMPUTED_VALUE"""),"SQL")</f>
        <v>SQL</v>
      </c>
      <c r="F4386" s="9" t="str">
        <f>IFERROR(__xludf.DUMMYFUNCTION("""COMPUTED_VALUE"""),"Python")</f>
        <v>Python</v>
      </c>
      <c r="G4386" s="9" t="str">
        <f>IFERROR(__xludf.DUMMYFUNCTION("""COMPUTED_VALUE"""),"Java")</f>
        <v>Java</v>
      </c>
      <c r="H4386" s="9" t="str">
        <f>IFERROR(__xludf.DUMMYFUNCTION("""COMPUTED_VALUE"""),"Bash/Shell/PowerShell")</f>
        <v>Bash/Shell/PowerShell</v>
      </c>
      <c r="I4386" s="9" t="str">
        <f>IFERROR(__xludf.DUMMYFUNCTION("""COMPUTED_VALUE"""),"Bash/Shell/PowerShell")</f>
        <v>Bash/Shell/PowerShell</v>
      </c>
      <c r="J4386" s="9" t="str">
        <f>IFERROR(__xludf.DUMMYFUNCTION("""COMPUTED_VALUE"""),"C")</f>
        <v>C</v>
      </c>
      <c r="K4386" s="9" t="str">
        <f>IFERROR(__xludf.DUMMYFUNCTION("""COMPUTED_VALUE"""),"Rust")</f>
        <v>Rust</v>
      </c>
      <c r="L4386" s="9" t="str">
        <f>IFERROR(__xludf.DUMMYFUNCTION("""COMPUTED_VALUE"""),"JavaScript")</f>
        <v>JavaScript</v>
      </c>
      <c r="M4386" s="9" t="s">
        <v>23</v>
      </c>
    </row>
    <row r="4387" ht="15.75" customHeight="1">
      <c r="A4387" s="7"/>
      <c r="B4387" s="7" t="str">
        <f>IFERROR(__xludf.DUMMYFUNCTION("""COMPUTED_VALUE"""),"C++;Dart;HTML/CSS;Java;JavaScript;Kotlin;SQL;TypeScript")</f>
        <v>C++;Dart;HTML/CSS;Java;JavaScript;Kotlin;SQL;TypeScript</v>
      </c>
      <c r="C4387" s="9" t="str">
        <f>IFERROR(__xludf.DUMMYFUNCTION("""COMPUTED_VALUE"""),"C#")</f>
        <v>C#</v>
      </c>
      <c r="D4387" s="9" t="str">
        <f>IFERROR(__xludf.DUMMYFUNCTION("""COMPUTED_VALUE"""),"Java")</f>
        <v>Java</v>
      </c>
      <c r="E4387" s="9" t="str">
        <f>IFERROR(__xludf.DUMMYFUNCTION("""COMPUTED_VALUE"""),"Assembly")</f>
        <v>Assembly</v>
      </c>
      <c r="F4387" s="9" t="str">
        <f>IFERROR(__xludf.DUMMYFUNCTION("""COMPUTED_VALUE"""),"Rust")</f>
        <v>Rust</v>
      </c>
      <c r="G4387" s="9" t="str">
        <f>IFERROR(__xludf.DUMMYFUNCTION("""COMPUTED_VALUE"""),"JavaScript")</f>
        <v>JavaScript</v>
      </c>
      <c r="H4387" s="9" t="str">
        <f>IFERROR(__xludf.DUMMYFUNCTION("""COMPUTED_VALUE"""),"HTML/CSS")</f>
        <v>HTML/CSS</v>
      </c>
      <c r="I4387" s="9" t="str">
        <f>IFERROR(__xludf.DUMMYFUNCTION("""COMPUTED_VALUE"""),"JavaScript")</f>
        <v>JavaScript</v>
      </c>
      <c r="J4387" s="9" t="str">
        <f>IFERROR(__xludf.DUMMYFUNCTION("""COMPUTED_VALUE"""),"C++")</f>
        <v>C++</v>
      </c>
      <c r="K4387" s="9" t="str">
        <f>IFERROR(__xludf.DUMMYFUNCTION("""COMPUTED_VALUE"""),"Other(s):")</f>
        <v>Other(s):</v>
      </c>
      <c r="L4387" s="9" t="str">
        <f>IFERROR(__xludf.DUMMYFUNCTION("""COMPUTED_VALUE"""),"R")</f>
        <v>R</v>
      </c>
      <c r="M4387" s="9" t="s">
        <v>26</v>
      </c>
    </row>
    <row r="4388" ht="15.75" customHeight="1">
      <c r="A4388" s="7"/>
      <c r="B4388" s="7" t="str">
        <f>IFERROR(__xludf.DUMMYFUNCTION("""COMPUTED_VALUE"""),"Bash/Shell/PowerShell;HTML/CSS;Python")</f>
        <v>Bash/Shell/PowerShell;HTML/CSS;Python</v>
      </c>
      <c r="C4388" s="9" t="str">
        <f>IFERROR(__xludf.DUMMYFUNCTION("""COMPUTED_VALUE"""),"HTML/CSS")</f>
        <v>HTML/CSS</v>
      </c>
      <c r="D4388" s="9" t="str">
        <f>IFERROR(__xludf.DUMMYFUNCTION("""COMPUTED_VALUE"""),"JavaScript")</f>
        <v>JavaScript</v>
      </c>
      <c r="E4388" s="9" t="str">
        <f>IFERROR(__xludf.DUMMYFUNCTION("""COMPUTED_VALUE"""),"C")</f>
        <v>C</v>
      </c>
      <c r="F4388" s="9" t="str">
        <f>IFERROR(__xludf.DUMMYFUNCTION("""COMPUTED_VALUE"""),"SQL")</f>
        <v>SQL</v>
      </c>
      <c r="G4388" s="9" t="str">
        <f>IFERROR(__xludf.DUMMYFUNCTION("""COMPUTED_VALUE"""),"PHP")</f>
        <v>PHP</v>
      </c>
      <c r="H4388" s="9" t="str">
        <f>IFERROR(__xludf.DUMMYFUNCTION("""COMPUTED_VALUE"""),"Java")</f>
        <v>Java</v>
      </c>
      <c r="I4388" s="9" t="str">
        <f>IFERROR(__xludf.DUMMYFUNCTION("""COMPUTED_VALUE"""),"Python")</f>
        <v>Python</v>
      </c>
      <c r="J4388" s="9" t="str">
        <f>IFERROR(__xludf.DUMMYFUNCTION("""COMPUTED_VALUE"""),"Java")</f>
        <v>Java</v>
      </c>
      <c r="K4388" s="9" t="str">
        <f>IFERROR(__xludf.DUMMYFUNCTION("""COMPUTED_VALUE"""),"Assembly")</f>
        <v>Assembly</v>
      </c>
      <c r="L4388" s="9" t="str">
        <f>IFERROR(__xludf.DUMMYFUNCTION("""COMPUTED_VALUE"""),"SQL")</f>
        <v>SQL</v>
      </c>
      <c r="M4388" s="9" t="s">
        <v>24</v>
      </c>
    </row>
    <row r="4389" ht="15.75" customHeight="1">
      <c r="A4389" s="7"/>
      <c r="B4389" s="7" t="str">
        <f>IFERROR(__xludf.DUMMYFUNCTION("""COMPUTED_VALUE"""),"C;C#;HTML/CSS;Java;JavaScript;PHP")</f>
        <v>C;C#;HTML/CSS;Java;JavaScript;PHP</v>
      </c>
      <c r="C4389" s="9" t="str">
        <f>IFERROR(__xludf.DUMMYFUNCTION("""COMPUTED_VALUE"""),"JavaScript")</f>
        <v>JavaScript</v>
      </c>
      <c r="D4389" s="9" t="str">
        <f>IFERROR(__xludf.DUMMYFUNCTION("""COMPUTED_VALUE"""),"SQL")</f>
        <v>SQL</v>
      </c>
      <c r="E4389" s="9" t="str">
        <f>IFERROR(__xludf.DUMMYFUNCTION("""COMPUTED_VALUE"""),"C++")</f>
        <v>C++</v>
      </c>
      <c r="F4389" s="9" t="str">
        <f>IFERROR(__xludf.DUMMYFUNCTION("""COMPUTED_VALUE"""),"Other(s):")</f>
        <v>Other(s):</v>
      </c>
      <c r="G4389" s="9" t="str">
        <f>IFERROR(__xludf.DUMMYFUNCTION("""COMPUTED_VALUE"""),"SQL")</f>
        <v>SQL</v>
      </c>
      <c r="H4389" s="9" t="str">
        <f>IFERROR(__xludf.DUMMYFUNCTION("""COMPUTED_VALUE"""),"JavaScript")</f>
        <v>JavaScript</v>
      </c>
      <c r="I4389" s="9" t="str">
        <f>IFERROR(__xludf.DUMMYFUNCTION("""COMPUTED_VALUE"""),"Scala")</f>
        <v>Scala</v>
      </c>
      <c r="J4389" s="9" t="str">
        <f>IFERROR(__xludf.DUMMYFUNCTION("""COMPUTED_VALUE"""),"Python")</f>
        <v>Python</v>
      </c>
      <c r="K4389" s="9" t="str">
        <f>IFERROR(__xludf.DUMMYFUNCTION("""COMPUTED_VALUE"""),"C")</f>
        <v>C</v>
      </c>
      <c r="L4389" s="9" t="str">
        <f>IFERROR(__xludf.DUMMYFUNCTION("""COMPUTED_VALUE"""),"Elixir")</f>
        <v>Elixir</v>
      </c>
      <c r="M4389" s="9" t="s">
        <v>21</v>
      </c>
    </row>
    <row r="4390" ht="15.75" customHeight="1">
      <c r="A4390" s="7"/>
      <c r="B4390" s="7" t="str">
        <f>IFERROR(__xludf.DUMMYFUNCTION("""COMPUTED_VALUE"""),"HTML/CSS;JavaScript;PHP;Python;R")</f>
        <v>HTML/CSS;JavaScript;PHP;Python;R</v>
      </c>
      <c r="C4390" s="9" t="str">
        <f>IFERROR(__xludf.DUMMYFUNCTION("""COMPUTED_VALUE"""),"Python")</f>
        <v>Python</v>
      </c>
      <c r="D4390" s="9" t="str">
        <f>IFERROR(__xludf.DUMMYFUNCTION("""COMPUTED_VALUE"""),"Bash/Shell/PowerShell")</f>
        <v>Bash/Shell/PowerShell</v>
      </c>
      <c r="E4390" s="9" t="str">
        <f>IFERROR(__xludf.DUMMYFUNCTION("""COMPUTED_VALUE"""),"HTML/CSS")</f>
        <v>HTML/CSS</v>
      </c>
      <c r="F4390" s="9" t="str">
        <f>IFERROR(__xludf.DUMMYFUNCTION("""COMPUTED_VALUE"""),"Bash/Shell/PowerShell")</f>
        <v>Bash/Shell/PowerShell</v>
      </c>
      <c r="G4390" s="9" t="str">
        <f>IFERROR(__xludf.DUMMYFUNCTION("""COMPUTED_VALUE"""),"TypeScript")</f>
        <v>TypeScript</v>
      </c>
      <c r="H4390" s="9" t="str">
        <f>IFERROR(__xludf.DUMMYFUNCTION("""COMPUTED_VALUE"""),"Python")</f>
        <v>Python</v>
      </c>
      <c r="I4390" s="9" t="str">
        <f>IFERROR(__xludf.DUMMYFUNCTION("""COMPUTED_VALUE"""),"SQL")</f>
        <v>SQL</v>
      </c>
      <c r="J4390" s="9" t="str">
        <f>IFERROR(__xludf.DUMMYFUNCTION("""COMPUTED_VALUE"""),"SQL")</f>
        <v>SQL</v>
      </c>
      <c r="K4390" s="9" t="str">
        <f>IFERROR(__xludf.DUMMYFUNCTION("""COMPUTED_VALUE"""),"C++")</f>
        <v>C++</v>
      </c>
      <c r="L4390" s="9" t="str">
        <f>IFERROR(__xludf.DUMMYFUNCTION("""COMPUTED_VALUE"""),"Go")</f>
        <v>Go</v>
      </c>
      <c r="M4390" s="9" t="s">
        <v>22</v>
      </c>
    </row>
    <row r="4391" ht="15.75" customHeight="1">
      <c r="A4391" s="7"/>
      <c r="B4391" s="7" t="str">
        <f>IFERROR(__xludf.DUMMYFUNCTION("""COMPUTED_VALUE"""),"Bash/Shell/PowerShell;C++;Go;Java;Kotlin;Python;Scala;TypeScript")</f>
        <v>Bash/Shell/PowerShell;C++;Go;Java;Kotlin;Python;Scala;TypeScript</v>
      </c>
      <c r="C4391" s="9" t="str">
        <f>IFERROR(__xludf.DUMMYFUNCTION("""COMPUTED_VALUE"""),"Bash/Shell/PowerShell")</f>
        <v>Bash/Shell/PowerShell</v>
      </c>
      <c r="D4391" s="9" t="str">
        <f>IFERROR(__xludf.DUMMYFUNCTION("""COMPUTED_VALUE"""),"C++")</f>
        <v>C++</v>
      </c>
      <c r="E4391" s="9" t="str">
        <f>IFERROR(__xludf.DUMMYFUNCTION("""COMPUTED_VALUE"""),"Java")</f>
        <v>Java</v>
      </c>
      <c r="F4391" s="9" t="str">
        <f>IFERROR(__xludf.DUMMYFUNCTION("""COMPUTED_VALUE"""),"Java")</f>
        <v>Java</v>
      </c>
      <c r="G4391" s="9" t="str">
        <f>IFERROR(__xludf.DUMMYFUNCTION("""COMPUTED_VALUE"""),"Bash/Shell/PowerShell")</f>
        <v>Bash/Shell/PowerShell</v>
      </c>
      <c r="H4391" s="9" t="str">
        <f>IFERROR(__xludf.DUMMYFUNCTION("""COMPUTED_VALUE"""),"SQL")</f>
        <v>SQL</v>
      </c>
      <c r="I4391" s="9" t="str">
        <f>IFERROR(__xludf.DUMMYFUNCTION("""COMPUTED_VALUE"""),"C#")</f>
        <v>C#</v>
      </c>
      <c r="J4391" s="9" t="str">
        <f>IFERROR(__xludf.DUMMYFUNCTION("""COMPUTED_VALUE"""),"C")</f>
        <v>C</v>
      </c>
      <c r="K4391" s="9" t="str">
        <f>IFERROR(__xludf.DUMMYFUNCTION("""COMPUTED_VALUE"""),"C#")</f>
        <v>C#</v>
      </c>
      <c r="L4391" s="9" t="str">
        <f>IFERROR(__xludf.DUMMYFUNCTION("""COMPUTED_VALUE"""),"Kotlin")</f>
        <v>Kotlin</v>
      </c>
      <c r="M4391" s="9" t="s">
        <v>30</v>
      </c>
    </row>
    <row r="4392" ht="15.75" customHeight="1">
      <c r="A4392" s="7"/>
      <c r="B4392" s="7" t="str">
        <f>IFERROR(__xludf.DUMMYFUNCTION("""COMPUTED_VALUE"""),"Bash/Shell/PowerShell;C;C++;Go;HTML/CSS;JavaScript")</f>
        <v>Bash/Shell/PowerShell;C;C++;Go;HTML/CSS;JavaScript</v>
      </c>
      <c r="C4392" s="9" t="str">
        <f>IFERROR(__xludf.DUMMYFUNCTION("""COMPUTED_VALUE"""),"C#")</f>
        <v>C#</v>
      </c>
      <c r="D4392" s="9" t="str">
        <f>IFERROR(__xludf.DUMMYFUNCTION("""COMPUTED_VALUE"""),"HTML/CSS")</f>
        <v>HTML/CSS</v>
      </c>
      <c r="E4392" s="9" t="str">
        <f>IFERROR(__xludf.DUMMYFUNCTION("""COMPUTED_VALUE"""),"Objective-C")</f>
        <v>Objective-C</v>
      </c>
      <c r="F4392" s="9" t="str">
        <f>IFERROR(__xludf.DUMMYFUNCTION("""COMPUTED_VALUE"""),"JavaScript")</f>
        <v>JavaScript</v>
      </c>
      <c r="G4392" s="9" t="str">
        <f>IFERROR(__xludf.DUMMYFUNCTION("""COMPUTED_VALUE"""),"Java")</f>
        <v>Java</v>
      </c>
      <c r="H4392" s="9" t="str">
        <f>IFERROR(__xludf.DUMMYFUNCTION("""COMPUTED_VALUE"""),"C#")</f>
        <v>C#</v>
      </c>
      <c r="I4392" s="9" t="str">
        <f>IFERROR(__xludf.DUMMYFUNCTION("""COMPUTED_VALUE"""),"HTML/CSS")</f>
        <v>HTML/CSS</v>
      </c>
      <c r="J4392" s="9" t="str">
        <f>IFERROR(__xludf.DUMMYFUNCTION("""COMPUTED_VALUE"""),"C++")</f>
        <v>C++</v>
      </c>
      <c r="K4392" s="9" t="str">
        <f>IFERROR(__xludf.DUMMYFUNCTION("""COMPUTED_VALUE"""),"HTML/CSS")</f>
        <v>HTML/CSS</v>
      </c>
      <c r="L4392" s="9" t="str">
        <f>IFERROR(__xludf.DUMMYFUNCTION("""COMPUTED_VALUE"""),"Ruby")</f>
        <v>Ruby</v>
      </c>
      <c r="M4392" s="9" t="s">
        <v>26</v>
      </c>
    </row>
    <row r="4393" ht="15.75" customHeight="1">
      <c r="A4393" s="7"/>
      <c r="B4393" s="7" t="str">
        <f>IFERROR(__xludf.DUMMYFUNCTION("""COMPUTED_VALUE"""),"Bash/Shell/PowerShell;HTML/CSS;JavaScript")</f>
        <v>Bash/Shell/PowerShell;HTML/CSS;JavaScript</v>
      </c>
      <c r="C4393" s="9" t="str">
        <f>IFERROR(__xludf.DUMMYFUNCTION("""COMPUTED_VALUE"""),"HTML/CSS")</f>
        <v>HTML/CSS</v>
      </c>
      <c r="D4393" s="9" t="str">
        <f>IFERROR(__xludf.DUMMYFUNCTION("""COMPUTED_VALUE"""),"JavaScript")</f>
        <v>JavaScript</v>
      </c>
      <c r="E4393" s="9" t="str">
        <f>IFERROR(__xludf.DUMMYFUNCTION("""COMPUTED_VALUE"""),"Python")</f>
        <v>Python</v>
      </c>
      <c r="F4393" s="9" t="str">
        <f>IFERROR(__xludf.DUMMYFUNCTION("""COMPUTED_VALUE"""),"SQL")</f>
        <v>SQL</v>
      </c>
      <c r="G4393" s="9" t="str">
        <f>IFERROR(__xludf.DUMMYFUNCTION("""COMPUTED_VALUE"""),"JavaScript")</f>
        <v>JavaScript</v>
      </c>
      <c r="H4393" s="9" t="str">
        <f>IFERROR(__xludf.DUMMYFUNCTION("""COMPUTED_VALUE"""),"HTML/CSS")</f>
        <v>HTML/CSS</v>
      </c>
      <c r="I4393" s="9" t="str">
        <f>IFERROR(__xludf.DUMMYFUNCTION("""COMPUTED_VALUE"""),"Java")</f>
        <v>Java</v>
      </c>
      <c r="J4393" s="9" t="str">
        <f>IFERROR(__xludf.DUMMYFUNCTION("""COMPUTED_VALUE"""),"C#")</f>
        <v>C#</v>
      </c>
      <c r="K4393" s="9" t="str">
        <f>IFERROR(__xludf.DUMMYFUNCTION("""COMPUTED_VALUE"""),"Java")</f>
        <v>Java</v>
      </c>
      <c r="L4393" s="9" t="str">
        <f>IFERROR(__xludf.DUMMYFUNCTION("""COMPUTED_VALUE"""),"Swift")</f>
        <v>Swift</v>
      </c>
      <c r="M4393" s="9" t="s">
        <v>24</v>
      </c>
    </row>
    <row r="4394" ht="15.75" customHeight="1">
      <c r="A4394" s="7"/>
      <c r="B4394" s="7" t="str">
        <f>IFERROR(__xludf.DUMMYFUNCTION("""COMPUTED_VALUE"""),"C#")</f>
        <v>C#</v>
      </c>
      <c r="C4394" s="9" t="str">
        <f>IFERROR(__xludf.DUMMYFUNCTION("""COMPUTED_VALUE"""),"Java")</f>
        <v>Java</v>
      </c>
      <c r="D4394" s="9" t="str">
        <f>IFERROR(__xludf.DUMMYFUNCTION("""COMPUTED_VALUE"""),"Python")</f>
        <v>Python</v>
      </c>
      <c r="E4394" s="9" t="str">
        <f>IFERROR(__xludf.DUMMYFUNCTION("""COMPUTED_VALUE"""),"SQL")</f>
        <v>SQL</v>
      </c>
      <c r="F4394" s="9" t="str">
        <f>IFERROR(__xludf.DUMMYFUNCTION("""COMPUTED_VALUE"""),"Swift")</f>
        <v>Swift</v>
      </c>
      <c r="G4394" s="9" t="str">
        <f>IFERROR(__xludf.DUMMYFUNCTION("""COMPUTED_VALUE"""),"SQL")</f>
        <v>SQL</v>
      </c>
      <c r="H4394" s="9" t="str">
        <f>IFERROR(__xludf.DUMMYFUNCTION("""COMPUTED_VALUE"""),"JavaScript")</f>
        <v>JavaScript</v>
      </c>
      <c r="I4394" s="9" t="str">
        <f>IFERROR(__xludf.DUMMYFUNCTION("""COMPUTED_VALUE"""),"JavaScript")</f>
        <v>JavaScript</v>
      </c>
      <c r="J4394" s="9" t="str">
        <f>IFERROR(__xludf.DUMMYFUNCTION("""COMPUTED_VALUE"""),"HTML/CSS")</f>
        <v>HTML/CSS</v>
      </c>
      <c r="K4394" s="9" t="str">
        <f>IFERROR(__xludf.DUMMYFUNCTION("""COMPUTED_VALUE"""),"JavaScript")</f>
        <v>JavaScript</v>
      </c>
      <c r="L4394" s="9" t="str">
        <f>IFERROR(__xludf.DUMMYFUNCTION("""COMPUTED_VALUE"""),"TypeScript")</f>
        <v>TypeScript</v>
      </c>
      <c r="M4394" s="9" t="s">
        <v>20</v>
      </c>
    </row>
    <row r="4395" ht="15.75" customHeight="1">
      <c r="A4395" s="7"/>
      <c r="B4395" s="7" t="str">
        <f>IFERROR(__xludf.DUMMYFUNCTION("""COMPUTED_VALUE"""),"Java;JavaScript")</f>
        <v>Java;JavaScript</v>
      </c>
      <c r="C4395" s="9" t="str">
        <f>IFERROR(__xludf.DUMMYFUNCTION("""COMPUTED_VALUE"""),"JavaScript")</f>
        <v>JavaScript</v>
      </c>
      <c r="D4395" s="9" t="str">
        <f>IFERROR(__xludf.DUMMYFUNCTION("""COMPUTED_VALUE"""),"SQL")</f>
        <v>SQL</v>
      </c>
      <c r="E4395" s="9" t="str">
        <f>IFERROR(__xludf.DUMMYFUNCTION("""COMPUTED_VALUE"""),"Assembly")</f>
        <v>Assembly</v>
      </c>
      <c r="F4395" s="9" t="str">
        <f>IFERROR(__xludf.DUMMYFUNCTION("""COMPUTED_VALUE"""),"Ruby")</f>
        <v>Ruby</v>
      </c>
      <c r="G4395" s="9" t="str">
        <f>IFERROR(__xludf.DUMMYFUNCTION("""COMPUTED_VALUE"""),"Bash/Shell/PowerShell")</f>
        <v>Bash/Shell/PowerShell</v>
      </c>
      <c r="H4395" s="9" t="str">
        <f>IFERROR(__xludf.DUMMYFUNCTION("""COMPUTED_VALUE"""),"SQL")</f>
        <v>SQL</v>
      </c>
      <c r="I4395" s="9" t="str">
        <f>IFERROR(__xludf.DUMMYFUNCTION("""COMPUTED_VALUE"""),"Objective-C")</f>
        <v>Objective-C</v>
      </c>
      <c r="J4395" s="9" t="str">
        <f>IFERROR(__xludf.DUMMYFUNCTION("""COMPUTED_VALUE"""),"Java")</f>
        <v>Java</v>
      </c>
      <c r="K4395" s="9" t="str">
        <f>IFERROR(__xludf.DUMMYFUNCTION("""COMPUTED_VALUE"""),"PHP")</f>
        <v>PHP</v>
      </c>
      <c r="L4395" s="9" t="str">
        <f>IFERROR(__xludf.DUMMYFUNCTION("""COMPUTED_VALUE"""),"C++")</f>
        <v>C++</v>
      </c>
      <c r="M4395" s="9" t="s">
        <v>21</v>
      </c>
    </row>
    <row r="4396" ht="15.75" customHeight="1">
      <c r="A4396" s="7"/>
      <c r="B4396" s="7" t="str">
        <f>IFERROR(__xludf.DUMMYFUNCTION("""COMPUTED_VALUE"""),"C++;C#;HTML/CSS;TypeScript")</f>
        <v>C++;C#;HTML/CSS;TypeScript</v>
      </c>
      <c r="C4396" s="9" t="str">
        <f>IFERROR(__xludf.DUMMYFUNCTION("""COMPUTED_VALUE"""),"Python")</f>
        <v>Python</v>
      </c>
      <c r="D4396" s="9" t="str">
        <f>IFERROR(__xludf.DUMMYFUNCTION("""COMPUTED_VALUE"""),"C#")</f>
        <v>C#</v>
      </c>
      <c r="E4396" s="9" t="str">
        <f>IFERROR(__xludf.DUMMYFUNCTION("""COMPUTED_VALUE"""),"C++")</f>
        <v>C++</v>
      </c>
      <c r="F4396" s="9" t="str">
        <f>IFERROR(__xludf.DUMMYFUNCTION("""COMPUTED_VALUE"""),"C++")</f>
        <v>C++</v>
      </c>
      <c r="G4396" s="9" t="str">
        <f>IFERROR(__xludf.DUMMYFUNCTION("""COMPUTED_VALUE"""),"C#")</f>
        <v>C#</v>
      </c>
      <c r="H4396" s="9" t="str">
        <f>IFERROR(__xludf.DUMMYFUNCTION("""COMPUTED_VALUE"""),"Java")</f>
        <v>Java</v>
      </c>
      <c r="I4396" s="9" t="str">
        <f>IFERROR(__xludf.DUMMYFUNCTION("""COMPUTED_VALUE"""),"SQL")</f>
        <v>SQL</v>
      </c>
      <c r="J4396" s="9" t="str">
        <f>IFERROR(__xludf.DUMMYFUNCTION("""COMPUTED_VALUE"""),"JavaScript")</f>
        <v>JavaScript</v>
      </c>
      <c r="K4396" s="9" t="str">
        <f>IFERROR(__xludf.DUMMYFUNCTION("""COMPUTED_VALUE"""),"SQL")</f>
        <v>SQL</v>
      </c>
      <c r="L4396" s="9" t="str">
        <f>IFERROR(__xludf.DUMMYFUNCTION("""COMPUTED_VALUE"""),"Python")</f>
        <v>Python</v>
      </c>
      <c r="M4396" s="9" t="s">
        <v>22</v>
      </c>
    </row>
    <row r="4397" ht="15.75" customHeight="1">
      <c r="A4397" s="7"/>
      <c r="B4397" s="7" t="str">
        <f>IFERROR(__xludf.DUMMYFUNCTION("""COMPUTED_VALUE"""),"Bash/Shell/PowerShell;JavaScript;Python;Scala;SQL")</f>
        <v>Bash/Shell/PowerShell;JavaScript;Python;Scala;SQL</v>
      </c>
      <c r="C4397" s="9" t="str">
        <f>IFERROR(__xludf.DUMMYFUNCTION("""COMPUTED_VALUE"""),"SQL")</f>
        <v>SQL</v>
      </c>
      <c r="D4397" s="9" t="str">
        <f>IFERROR(__xludf.DUMMYFUNCTION("""COMPUTED_VALUE"""),"HTML/CSS")</f>
        <v>HTML/CSS</v>
      </c>
      <c r="E4397" s="9" t="str">
        <f>IFERROR(__xludf.DUMMYFUNCTION("""COMPUTED_VALUE"""),"C#")</f>
        <v>C#</v>
      </c>
      <c r="F4397" s="9" t="str">
        <f>IFERROR(__xludf.DUMMYFUNCTION("""COMPUTED_VALUE"""),"HTML/CSS")</f>
        <v>HTML/CSS</v>
      </c>
      <c r="G4397" s="9" t="str">
        <f>IFERROR(__xludf.DUMMYFUNCTION("""COMPUTED_VALUE"""),"HTML/CSS")</f>
        <v>HTML/CSS</v>
      </c>
      <c r="H4397" s="9" t="str">
        <f>IFERROR(__xludf.DUMMYFUNCTION("""COMPUTED_VALUE"""),"Python")</f>
        <v>Python</v>
      </c>
      <c r="I4397" s="9" t="str">
        <f>IFERROR(__xludf.DUMMYFUNCTION("""COMPUTED_VALUE"""),"TypeScript")</f>
        <v>TypeScript</v>
      </c>
      <c r="J4397" s="9" t="str">
        <f>IFERROR(__xludf.DUMMYFUNCTION("""COMPUTED_VALUE"""),"PHP")</f>
        <v>PHP</v>
      </c>
      <c r="K4397" s="9" t="str">
        <f>IFERROR(__xludf.DUMMYFUNCTION("""COMPUTED_VALUE"""),"Java")</f>
        <v>Java</v>
      </c>
      <c r="L4397" s="9" t="str">
        <f>IFERROR(__xludf.DUMMYFUNCTION("""COMPUTED_VALUE"""),"Java")</f>
        <v>Java</v>
      </c>
      <c r="M4397" s="9" t="s">
        <v>27</v>
      </c>
    </row>
    <row r="4398" ht="15.75" customHeight="1">
      <c r="A4398" s="7"/>
      <c r="B4398" s="7" t="str">
        <f>IFERROR(__xludf.DUMMYFUNCTION("""COMPUTED_VALUE"""),"SQL")</f>
        <v>SQL</v>
      </c>
      <c r="C4398" s="9" t="str">
        <f>IFERROR(__xludf.DUMMYFUNCTION("""COMPUTED_VALUE"""),"Bash/Shell/PowerShell")</f>
        <v>Bash/Shell/PowerShell</v>
      </c>
      <c r="D4398" s="9" t="str">
        <f>IFERROR(__xludf.DUMMYFUNCTION("""COMPUTED_VALUE"""),"Java")</f>
        <v>Java</v>
      </c>
      <c r="E4398" s="9" t="str">
        <f>IFERROR(__xludf.DUMMYFUNCTION("""COMPUTED_VALUE"""),"HTML/CSS")</f>
        <v>HTML/CSS</v>
      </c>
      <c r="F4398" s="9" t="str">
        <f>IFERROR(__xludf.DUMMYFUNCTION("""COMPUTED_VALUE"""),"Java")</f>
        <v>Java</v>
      </c>
      <c r="G4398" s="9" t="str">
        <f>IFERROR(__xludf.DUMMYFUNCTION("""COMPUTED_VALUE"""),"JavaScript")</f>
        <v>JavaScript</v>
      </c>
      <c r="H4398" s="9" t="str">
        <f>IFERROR(__xludf.DUMMYFUNCTION("""COMPUTED_VALUE"""),"Bash/Shell/PowerShell")</f>
        <v>Bash/Shell/PowerShell</v>
      </c>
      <c r="I4398" s="9" t="str">
        <f>IFERROR(__xludf.DUMMYFUNCTION("""COMPUTED_VALUE"""),"Bash/Shell/PowerShell")</f>
        <v>Bash/Shell/PowerShell</v>
      </c>
      <c r="J4398" s="9" t="str">
        <f>IFERROR(__xludf.DUMMYFUNCTION("""COMPUTED_VALUE"""),"SQL")</f>
        <v>SQL</v>
      </c>
      <c r="K4398" s="9" t="str">
        <f>IFERROR(__xludf.DUMMYFUNCTION("""COMPUTED_VALUE"""),"C#")</f>
        <v>C#</v>
      </c>
      <c r="L4398" s="9" t="str">
        <f>IFERROR(__xludf.DUMMYFUNCTION("""COMPUTED_VALUE"""),"C++")</f>
        <v>C++</v>
      </c>
      <c r="M4398" s="9" t="s">
        <v>30</v>
      </c>
    </row>
    <row r="4399" ht="15.75" customHeight="1">
      <c r="A4399" s="7"/>
      <c r="B4399" s="7" t="str">
        <f>IFERROR(__xludf.DUMMYFUNCTION("""COMPUTED_VALUE"""),"Assembly;C++;C#;HTML/CSS;Java;JavaScript;Kotlin;PHP;Python;SQL")</f>
        <v>Assembly;C++;C#;HTML/CSS;Java;JavaScript;Kotlin;PHP;Python;SQL</v>
      </c>
      <c r="C4399" s="9" t="str">
        <f>IFERROR(__xludf.DUMMYFUNCTION("""COMPUTED_VALUE"""),"C#")</f>
        <v>C#</v>
      </c>
      <c r="D4399" s="9" t="str">
        <f>IFERROR(__xludf.DUMMYFUNCTION("""COMPUTED_VALUE"""),"JavaScript")</f>
        <v>JavaScript</v>
      </c>
      <c r="E4399" s="9" t="str">
        <f>IFERROR(__xludf.DUMMYFUNCTION("""COMPUTED_VALUE"""),"Java")</f>
        <v>Java</v>
      </c>
      <c r="F4399" s="9" t="str">
        <f>IFERROR(__xludf.DUMMYFUNCTION("""COMPUTED_VALUE"""),"JavaScript")</f>
        <v>JavaScript</v>
      </c>
      <c r="G4399" s="9" t="str">
        <f>IFERROR(__xludf.DUMMYFUNCTION("""COMPUTED_VALUE"""),"Python")</f>
        <v>Python</v>
      </c>
      <c r="H4399" s="9" t="str">
        <f>IFERROR(__xludf.DUMMYFUNCTION("""COMPUTED_VALUE"""),"C#")</f>
        <v>C#</v>
      </c>
      <c r="I4399" s="9" t="str">
        <f>IFERROR(__xludf.DUMMYFUNCTION("""COMPUTED_VALUE"""),"C")</f>
        <v>C</v>
      </c>
      <c r="J4399" s="9" t="str">
        <f>IFERROR(__xludf.DUMMYFUNCTION("""COMPUTED_VALUE"""),"C#")</f>
        <v>C#</v>
      </c>
      <c r="K4399" s="9" t="str">
        <f>IFERROR(__xludf.DUMMYFUNCTION("""COMPUTED_VALUE"""),"Go")</f>
        <v>Go</v>
      </c>
      <c r="L4399" s="9" t="str">
        <f>IFERROR(__xludf.DUMMYFUNCTION("""COMPUTED_VALUE"""),"Python")</f>
        <v>Python</v>
      </c>
      <c r="M4399" s="9" t="s">
        <v>26</v>
      </c>
    </row>
    <row r="4400" ht="15.75" customHeight="1">
      <c r="A4400" s="7"/>
      <c r="B4400" s="7" t="str">
        <f>IFERROR(__xludf.DUMMYFUNCTION("""COMPUTED_VALUE"""),"C;C++;Go;HTML/CSS;JavaScript;SQL;Other(s):")</f>
        <v>C;C++;Go;HTML/CSS;JavaScript;SQL;Other(s):</v>
      </c>
      <c r="C4400" s="9" t="str">
        <f>IFERROR(__xludf.DUMMYFUNCTION("""COMPUTED_VALUE"""),"HTML/CSS")</f>
        <v>HTML/CSS</v>
      </c>
      <c r="D4400" s="9" t="str">
        <f>IFERROR(__xludf.DUMMYFUNCTION("""COMPUTED_VALUE"""),"PHP")</f>
        <v>PHP</v>
      </c>
      <c r="E4400" s="9" t="str">
        <f>IFERROR(__xludf.DUMMYFUNCTION("""COMPUTED_VALUE"""),"JavaScript")</f>
        <v>JavaScript</v>
      </c>
      <c r="F4400" s="9" t="str">
        <f>IFERROR(__xludf.DUMMYFUNCTION("""COMPUTED_VALUE"""),"PHP")</f>
        <v>PHP</v>
      </c>
      <c r="G4400" s="9" t="str">
        <f>IFERROR(__xludf.DUMMYFUNCTION("""COMPUTED_VALUE"""),"TypeScript")</f>
        <v>TypeScript</v>
      </c>
      <c r="H4400" s="9" t="str">
        <f>IFERROR(__xludf.DUMMYFUNCTION("""COMPUTED_VALUE"""),"HTML/CSS")</f>
        <v>HTML/CSS</v>
      </c>
      <c r="I4400" s="9" t="str">
        <f>IFERROR(__xludf.DUMMYFUNCTION("""COMPUTED_VALUE"""),"C#")</f>
        <v>C#</v>
      </c>
      <c r="J4400" s="9" t="str">
        <f>IFERROR(__xludf.DUMMYFUNCTION("""COMPUTED_VALUE"""),"Bash/Shell/PowerShell")</f>
        <v>Bash/Shell/PowerShell</v>
      </c>
      <c r="K4400" s="9" t="str">
        <f>IFERROR(__xludf.DUMMYFUNCTION("""COMPUTED_VALUE"""),"HTML/CSS")</f>
        <v>HTML/CSS</v>
      </c>
      <c r="L4400" s="9" t="str">
        <f>IFERROR(__xludf.DUMMYFUNCTION("""COMPUTED_VALUE"""),"Assembly")</f>
        <v>Assembly</v>
      </c>
      <c r="M4400" s="9" t="s">
        <v>24</v>
      </c>
    </row>
    <row r="4401" ht="15.75" customHeight="1">
      <c r="A4401" s="7"/>
      <c r="B4401" s="7" t="str">
        <f>IFERROR(__xludf.DUMMYFUNCTION("""COMPUTED_VALUE"""),"C;Java;Python")</f>
        <v>C;Java;Python</v>
      </c>
      <c r="C4401" s="9" t="str">
        <f>IFERROR(__xludf.DUMMYFUNCTION("""COMPUTED_VALUE"""),"JavaScript")</f>
        <v>JavaScript</v>
      </c>
      <c r="D4401" s="9" t="str">
        <f>IFERROR(__xludf.DUMMYFUNCTION("""COMPUTED_VALUE"""),"SQL")</f>
        <v>SQL</v>
      </c>
      <c r="E4401" s="9" t="str">
        <f>IFERROR(__xludf.DUMMYFUNCTION("""COMPUTED_VALUE"""),"PHP")</f>
        <v>PHP</v>
      </c>
      <c r="F4401" s="9" t="str">
        <f>IFERROR(__xludf.DUMMYFUNCTION("""COMPUTED_VALUE"""),"Python")</f>
        <v>Python</v>
      </c>
      <c r="G4401" s="9" t="str">
        <f>IFERROR(__xludf.DUMMYFUNCTION("""COMPUTED_VALUE"""),"HTML/CSS")</f>
        <v>HTML/CSS</v>
      </c>
      <c r="H4401" s="9" t="str">
        <f>IFERROR(__xludf.DUMMYFUNCTION("""COMPUTED_VALUE"""),"JavaScript")</f>
        <v>JavaScript</v>
      </c>
      <c r="I4401" s="9" t="str">
        <f>IFERROR(__xludf.DUMMYFUNCTION("""COMPUTED_VALUE"""),"HTML/CSS")</f>
        <v>HTML/CSS</v>
      </c>
      <c r="J4401" s="9" t="str">
        <f>IFERROR(__xludf.DUMMYFUNCTION("""COMPUTED_VALUE"""),"Clojure")</f>
        <v>Clojure</v>
      </c>
      <c r="K4401" s="9" t="str">
        <f>IFERROR(__xludf.DUMMYFUNCTION("""COMPUTED_VALUE"""),"Java")</f>
        <v>Java</v>
      </c>
      <c r="L4401" s="9" t="str">
        <f>IFERROR(__xludf.DUMMYFUNCTION("""COMPUTED_VALUE"""),"Bash/Shell/PowerShell")</f>
        <v>Bash/Shell/PowerShell</v>
      </c>
      <c r="M4401" s="9" t="s">
        <v>21</v>
      </c>
    </row>
    <row r="4402" ht="15.75" customHeight="1">
      <c r="A4402" s="7"/>
      <c r="B4402" s="7" t="str">
        <f>IFERROR(__xludf.DUMMYFUNCTION("""COMPUTED_VALUE"""),"Assembly;C++;HTML/CSS;Java;SQL")</f>
        <v>Assembly;C++;HTML/CSS;Java;SQL</v>
      </c>
      <c r="C4402" s="9" t="str">
        <f>IFERROR(__xludf.DUMMYFUNCTION("""COMPUTED_VALUE"""),"Python")</f>
        <v>Python</v>
      </c>
      <c r="D4402" s="9" t="str">
        <f>IFERROR(__xludf.DUMMYFUNCTION("""COMPUTED_VALUE"""),"Other(s):")</f>
        <v>Other(s):</v>
      </c>
      <c r="E4402" s="9" t="str">
        <f>IFERROR(__xludf.DUMMYFUNCTION("""COMPUTED_VALUE"""),"Python")</f>
        <v>Python</v>
      </c>
      <c r="F4402" s="9" t="str">
        <f>IFERROR(__xludf.DUMMYFUNCTION("""COMPUTED_VALUE"""),"SQL")</f>
        <v>SQL</v>
      </c>
      <c r="G4402" s="9" t="str">
        <f>IFERROR(__xludf.DUMMYFUNCTION("""COMPUTED_VALUE"""),"JavaScript")</f>
        <v>JavaScript</v>
      </c>
      <c r="H4402" s="9" t="str">
        <f>IFERROR(__xludf.DUMMYFUNCTION("""COMPUTED_VALUE"""),"C")</f>
        <v>C</v>
      </c>
      <c r="I4402" s="9" t="str">
        <f>IFERROR(__xludf.DUMMYFUNCTION("""COMPUTED_VALUE"""),"Java")</f>
        <v>Java</v>
      </c>
      <c r="J4402" s="9" t="str">
        <f>IFERROR(__xludf.DUMMYFUNCTION("""COMPUTED_VALUE"""),"HTML/CSS")</f>
        <v>HTML/CSS</v>
      </c>
      <c r="K4402" s="9" t="str">
        <f>IFERROR(__xludf.DUMMYFUNCTION("""COMPUTED_VALUE"""),"JavaScript")</f>
        <v>JavaScript</v>
      </c>
      <c r="L4402" s="9" t="str">
        <f>IFERROR(__xludf.DUMMYFUNCTION("""COMPUTED_VALUE"""),"C")</f>
        <v>C</v>
      </c>
      <c r="M4402" s="9" t="s">
        <v>22</v>
      </c>
    </row>
    <row r="4403" ht="15.75" customHeight="1">
      <c r="A4403" s="7"/>
      <c r="B4403" s="7" t="str">
        <f>IFERROR(__xludf.DUMMYFUNCTION("""COMPUTED_VALUE"""),"HTML/CSS;JavaScript")</f>
        <v>HTML/CSS;JavaScript</v>
      </c>
      <c r="C4403" s="9" t="str">
        <f>IFERROR(__xludf.DUMMYFUNCTION("""COMPUTED_VALUE"""),"SQL")</f>
        <v>SQL</v>
      </c>
      <c r="D4403" s="9" t="str">
        <f>IFERROR(__xludf.DUMMYFUNCTION("""COMPUTED_VALUE"""),"C#")</f>
        <v>C#</v>
      </c>
      <c r="E4403" s="9" t="str">
        <f>IFERROR(__xludf.DUMMYFUNCTION("""COMPUTED_VALUE"""),"SQL")</f>
        <v>SQL</v>
      </c>
      <c r="F4403" s="9" t="str">
        <f>IFERROR(__xludf.DUMMYFUNCTION("""COMPUTED_VALUE"""),"C#")</f>
        <v>C#</v>
      </c>
      <c r="G4403" s="9" t="str">
        <f>IFERROR(__xludf.DUMMYFUNCTION("""COMPUTED_VALUE"""),"SQL")</f>
        <v>SQL</v>
      </c>
      <c r="H4403" s="9" t="str">
        <f>IFERROR(__xludf.DUMMYFUNCTION("""COMPUTED_VALUE"""),"C++")</f>
        <v>C++</v>
      </c>
      <c r="I4403" s="9" t="str">
        <f>IFERROR(__xludf.DUMMYFUNCTION("""COMPUTED_VALUE"""),"JavaScript")</f>
        <v>JavaScript</v>
      </c>
      <c r="J4403" s="9" t="str">
        <f>IFERROR(__xludf.DUMMYFUNCTION("""COMPUTED_VALUE"""),"JavaScript")</f>
        <v>JavaScript</v>
      </c>
      <c r="K4403" s="9" t="str">
        <f>IFERROR(__xludf.DUMMYFUNCTION("""COMPUTED_VALUE"""),"SQL")</f>
        <v>SQL</v>
      </c>
      <c r="L4403" s="9" t="str">
        <f>IFERROR(__xludf.DUMMYFUNCTION("""COMPUTED_VALUE"""),"C++")</f>
        <v>C++</v>
      </c>
      <c r="M4403" s="9" t="s">
        <v>27</v>
      </c>
    </row>
    <row r="4404" ht="15.75" customHeight="1">
      <c r="A4404" s="7"/>
      <c r="B4404" s="7" t="str">
        <f>IFERROR(__xludf.DUMMYFUNCTION("""COMPUTED_VALUE"""),"Bash/Shell/PowerShell;C#;HTML/CSS;Java;JavaScript;PHP;Ruby;SQL;VBA")</f>
        <v>Bash/Shell/PowerShell;C#;HTML/CSS;Java;JavaScript;PHP;Ruby;SQL;VBA</v>
      </c>
      <c r="C4404" s="9" t="str">
        <f>IFERROR(__xludf.DUMMYFUNCTION("""COMPUTED_VALUE"""),"C")</f>
        <v>C</v>
      </c>
      <c r="D4404" s="9" t="str">
        <f>IFERROR(__xludf.DUMMYFUNCTION("""COMPUTED_VALUE"""),"HTML/CSS")</f>
        <v>HTML/CSS</v>
      </c>
      <c r="E4404" s="9" t="str">
        <f>IFERROR(__xludf.DUMMYFUNCTION("""COMPUTED_VALUE"""),"C#")</f>
        <v>C#</v>
      </c>
      <c r="F4404" s="9" t="str">
        <f>IFERROR(__xludf.DUMMYFUNCTION("""COMPUTED_VALUE"""),"HTML/CSS")</f>
        <v>HTML/CSS</v>
      </c>
      <c r="G4404" s="9" t="str">
        <f>IFERROR(__xludf.DUMMYFUNCTION("""COMPUTED_VALUE"""),"Assembly")</f>
        <v>Assembly</v>
      </c>
      <c r="H4404" s="9" t="str">
        <f>IFERROR(__xludf.DUMMYFUNCTION("""COMPUTED_VALUE"""),"Python")</f>
        <v>Python</v>
      </c>
      <c r="I4404" s="9" t="str">
        <f>IFERROR(__xludf.DUMMYFUNCTION("""COMPUTED_VALUE"""),"Python")</f>
        <v>Python</v>
      </c>
      <c r="J4404" s="9" t="str">
        <f>IFERROR(__xludf.DUMMYFUNCTION("""COMPUTED_VALUE"""),"Python")</f>
        <v>Python</v>
      </c>
      <c r="K4404" s="9" t="str">
        <f>IFERROR(__xludf.DUMMYFUNCTION("""COMPUTED_VALUE"""),"Bash/Shell/PowerShell")</f>
        <v>Bash/Shell/PowerShell</v>
      </c>
      <c r="L4404" s="9" t="str">
        <f>IFERROR(__xludf.DUMMYFUNCTION("""COMPUTED_VALUE"""),"C#")</f>
        <v>C#</v>
      </c>
      <c r="M4404" s="9" t="s">
        <v>25</v>
      </c>
    </row>
    <row r="4405" ht="15.75" customHeight="1">
      <c r="A4405" s="7"/>
      <c r="B4405" s="7" t="str">
        <f>IFERROR(__xludf.DUMMYFUNCTION("""COMPUTED_VALUE"""),"Bash/Shell/PowerShell;Go;Python;Ruby;SQL")</f>
        <v>Bash/Shell/PowerShell;Go;Python;Ruby;SQL</v>
      </c>
      <c r="C4405" s="9" t="str">
        <f>IFERROR(__xludf.DUMMYFUNCTION("""COMPUTED_VALUE"""),"C++")</f>
        <v>C++</v>
      </c>
      <c r="D4405" s="9" t="str">
        <f>IFERROR(__xludf.DUMMYFUNCTION("""COMPUTED_VALUE"""),"JavaScript")</f>
        <v>JavaScript</v>
      </c>
      <c r="E4405" s="9" t="str">
        <f>IFERROR(__xludf.DUMMYFUNCTION("""COMPUTED_VALUE"""),"HTML/CSS")</f>
        <v>HTML/CSS</v>
      </c>
      <c r="F4405" s="9" t="str">
        <f>IFERROR(__xludf.DUMMYFUNCTION("""COMPUTED_VALUE"""),"JavaScript")</f>
        <v>JavaScript</v>
      </c>
      <c r="G4405" s="9" t="str">
        <f>IFERROR(__xludf.DUMMYFUNCTION("""COMPUTED_VALUE"""),"Go")</f>
        <v>Go</v>
      </c>
      <c r="H4405" s="9" t="str">
        <f>IFERROR(__xludf.DUMMYFUNCTION("""COMPUTED_VALUE"""),"Bash/Shell/PowerShell")</f>
        <v>Bash/Shell/PowerShell</v>
      </c>
      <c r="I4405" s="9" t="str">
        <f>IFERROR(__xludf.DUMMYFUNCTION("""COMPUTED_VALUE"""),"SQL")</f>
        <v>SQL</v>
      </c>
      <c r="J4405" s="9" t="str">
        <f>IFERROR(__xludf.DUMMYFUNCTION("""COMPUTED_VALUE"""),"SQL")</f>
        <v>SQL</v>
      </c>
      <c r="K4405" s="9" t="str">
        <f>IFERROR(__xludf.DUMMYFUNCTION("""COMPUTED_VALUE"""),"C")</f>
        <v>C</v>
      </c>
      <c r="L4405" s="9" t="str">
        <f>IFERROR(__xludf.DUMMYFUNCTION("""COMPUTED_VALUE"""),"HTML/CSS")</f>
        <v>HTML/CSS</v>
      </c>
      <c r="M4405" s="9" t="s">
        <v>23</v>
      </c>
    </row>
    <row r="4406" ht="15.75" customHeight="1">
      <c r="A4406" s="7"/>
      <c r="B4406" s="7" t="str">
        <f>IFERROR(__xludf.DUMMYFUNCTION("""COMPUTED_VALUE"""),"C++;Python;SQL")</f>
        <v>C++;Python;SQL</v>
      </c>
      <c r="C4406" s="9" t="str">
        <f>IFERROR(__xludf.DUMMYFUNCTION("""COMPUTED_VALUE"""),"C#")</f>
        <v>C#</v>
      </c>
      <c r="D4406" s="9" t="str">
        <f>IFERROR(__xludf.DUMMYFUNCTION("""COMPUTED_VALUE"""),"SQL")</f>
        <v>SQL</v>
      </c>
      <c r="E4406" s="9" t="str">
        <f>IFERROR(__xludf.DUMMYFUNCTION("""COMPUTED_VALUE"""),"JavaScript")</f>
        <v>JavaScript</v>
      </c>
      <c r="F4406" s="9" t="str">
        <f>IFERROR(__xludf.DUMMYFUNCTION("""COMPUTED_VALUE"""),"SQL")</f>
        <v>SQL</v>
      </c>
      <c r="G4406" s="9" t="str">
        <f>IFERROR(__xludf.DUMMYFUNCTION("""COMPUTED_VALUE"""),"Java")</f>
        <v>Java</v>
      </c>
      <c r="H4406" s="9" t="str">
        <f>IFERROR(__xludf.DUMMYFUNCTION("""COMPUTED_VALUE"""),"Go")</f>
        <v>Go</v>
      </c>
      <c r="I4406" s="9" t="str">
        <f>IFERROR(__xludf.DUMMYFUNCTION("""COMPUTED_VALUE"""),"TypeScript")</f>
        <v>TypeScript</v>
      </c>
      <c r="J4406" s="9" t="str">
        <f>IFERROR(__xludf.DUMMYFUNCTION("""COMPUTED_VALUE"""),"TypeScript")</f>
        <v>TypeScript</v>
      </c>
      <c r="K4406" s="9" t="str">
        <f>IFERROR(__xludf.DUMMYFUNCTION("""COMPUTED_VALUE"""),"C++")</f>
        <v>C++</v>
      </c>
      <c r="L4406" s="9" t="str">
        <f>IFERROR(__xludf.DUMMYFUNCTION("""COMPUTED_VALUE"""),"Java")</f>
        <v>Java</v>
      </c>
      <c r="M4406" s="9" t="s">
        <v>26</v>
      </c>
    </row>
    <row r="4407" ht="15.75" customHeight="1">
      <c r="A4407" s="7"/>
      <c r="B4407" s="7" t="str">
        <f>IFERROR(__xludf.DUMMYFUNCTION("""COMPUTED_VALUE"""),"Bash/Shell/PowerShell;C#;HTML/CSS;JavaScript;TypeScript")</f>
        <v>Bash/Shell/PowerShell;C#;HTML/CSS;JavaScript;TypeScript</v>
      </c>
      <c r="C4407" s="9" t="str">
        <f>IFERROR(__xludf.DUMMYFUNCTION("""COMPUTED_VALUE"""),"HTML/CSS")</f>
        <v>HTML/CSS</v>
      </c>
      <c r="D4407" s="9" t="str">
        <f>IFERROR(__xludf.DUMMYFUNCTION("""COMPUTED_VALUE"""),"Bash/Shell/PowerShell")</f>
        <v>Bash/Shell/PowerShell</v>
      </c>
      <c r="E4407" s="9" t="str">
        <f>IFERROR(__xludf.DUMMYFUNCTION("""COMPUTED_VALUE"""),"SQL")</f>
        <v>SQL</v>
      </c>
      <c r="F4407" s="9" t="str">
        <f>IFERROR(__xludf.DUMMYFUNCTION("""COMPUTED_VALUE"""),"TypeScript")</f>
        <v>TypeScript</v>
      </c>
      <c r="G4407" s="9" t="str">
        <f>IFERROR(__xludf.DUMMYFUNCTION("""COMPUTED_VALUE"""),"Python")</f>
        <v>Python</v>
      </c>
      <c r="H4407" s="9" t="str">
        <f>IFERROR(__xludf.DUMMYFUNCTION("""COMPUTED_VALUE"""),"C")</f>
        <v>C</v>
      </c>
      <c r="I4407" s="9" t="str">
        <f>IFERROR(__xludf.DUMMYFUNCTION("""COMPUTED_VALUE"""),"Bash/Shell/PowerShell")</f>
        <v>Bash/Shell/PowerShell</v>
      </c>
      <c r="J4407" s="9" t="str">
        <f>IFERROR(__xludf.DUMMYFUNCTION("""COMPUTED_VALUE"""),"C++")</f>
        <v>C++</v>
      </c>
      <c r="K4407" s="9" t="str">
        <f>IFERROR(__xludf.DUMMYFUNCTION("""COMPUTED_VALUE"""),"HTML/CSS")</f>
        <v>HTML/CSS</v>
      </c>
      <c r="L4407" s="9" t="str">
        <f>IFERROR(__xludf.DUMMYFUNCTION("""COMPUTED_VALUE"""),"JavaScript")</f>
        <v>JavaScript</v>
      </c>
      <c r="M4407" s="9" t="s">
        <v>24</v>
      </c>
    </row>
    <row r="4408" ht="15.75" customHeight="1">
      <c r="A4408" s="7"/>
      <c r="B4408" s="7" t="str">
        <f>IFERROR(__xludf.DUMMYFUNCTION("""COMPUTED_VALUE"""),"Bash/Shell/PowerShell;C;C++;Go;HTML/CSS;Java;JavaScript;PHP;Python;SQL")</f>
        <v>Bash/Shell/PowerShell;C;C++;Go;HTML/CSS;Java;JavaScript;PHP;Python;SQL</v>
      </c>
      <c r="C4408" s="9" t="str">
        <f>IFERROR(__xludf.DUMMYFUNCTION("""COMPUTED_VALUE"""),"Assembly")</f>
        <v>Assembly</v>
      </c>
      <c r="D4408" s="9" t="str">
        <f>IFERROR(__xludf.DUMMYFUNCTION("""COMPUTED_VALUE"""),"Python")</f>
        <v>Python</v>
      </c>
      <c r="E4408" s="9" t="str">
        <f>IFERROR(__xludf.DUMMYFUNCTION("""COMPUTED_VALUE"""),"Swift")</f>
        <v>Swift</v>
      </c>
      <c r="F4408" s="9" t="str">
        <f>IFERROR(__xludf.DUMMYFUNCTION("""COMPUTED_VALUE"""),"HTML/CSS")</f>
        <v>HTML/CSS</v>
      </c>
      <c r="G4408" s="9" t="str">
        <f>IFERROR(__xludf.DUMMYFUNCTION("""COMPUTED_VALUE"""),"SQL")</f>
        <v>SQL</v>
      </c>
      <c r="H4408" s="9" t="str">
        <f>IFERROR(__xludf.DUMMYFUNCTION("""COMPUTED_VALUE"""),"C++")</f>
        <v>C++</v>
      </c>
      <c r="I4408" s="9" t="str">
        <f>IFERROR(__xludf.DUMMYFUNCTION("""COMPUTED_VALUE"""),"C")</f>
        <v>C</v>
      </c>
      <c r="J4408" s="9" t="str">
        <f>IFERROR(__xludf.DUMMYFUNCTION("""COMPUTED_VALUE"""),"C#")</f>
        <v>C#</v>
      </c>
      <c r="K4408" s="9" t="str">
        <f>IFERROR(__xludf.DUMMYFUNCTION("""COMPUTED_VALUE"""),"Java")</f>
        <v>Java</v>
      </c>
      <c r="L4408" s="9" t="str">
        <f>IFERROR(__xludf.DUMMYFUNCTION("""COMPUTED_VALUE"""),"PHP")</f>
        <v>PHP</v>
      </c>
      <c r="M4408" s="9" t="s">
        <v>38</v>
      </c>
    </row>
    <row r="4409" ht="15.75" customHeight="1">
      <c r="A4409" s="7"/>
      <c r="B4409" s="7" t="str">
        <f>IFERROR(__xludf.DUMMYFUNCTION("""COMPUTED_VALUE"""),"Bash/Shell/PowerShell;C++;C#;HTML/CSS;Java;Python;SQL")</f>
        <v>Bash/Shell/PowerShell;C++;C#;HTML/CSS;Java;Python;SQL</v>
      </c>
      <c r="C4409" s="9" t="str">
        <f>IFERROR(__xludf.DUMMYFUNCTION("""COMPUTED_VALUE"""),"Bash/Shell/PowerShell")</f>
        <v>Bash/Shell/PowerShell</v>
      </c>
      <c r="D4409" s="9" t="str">
        <f>IFERROR(__xludf.DUMMYFUNCTION("""COMPUTED_VALUE"""),"HTML/CSS")</f>
        <v>HTML/CSS</v>
      </c>
      <c r="E4409" s="9" t="str">
        <f>IFERROR(__xludf.DUMMYFUNCTION("""COMPUTED_VALUE"""),"TypeScript")</f>
        <v>TypeScript</v>
      </c>
      <c r="F4409" s="9" t="str">
        <f>IFERROR(__xludf.DUMMYFUNCTION("""COMPUTED_VALUE"""),"Java")</f>
        <v>Java</v>
      </c>
      <c r="G4409" s="9" t="str">
        <f>IFERROR(__xludf.DUMMYFUNCTION("""COMPUTED_VALUE"""),"VBA")</f>
        <v>VBA</v>
      </c>
      <c r="H4409" s="9" t="str">
        <f>IFERROR(__xludf.DUMMYFUNCTION("""COMPUTED_VALUE"""),"HTML/CSS")</f>
        <v>HTML/CSS</v>
      </c>
      <c r="I4409" s="9" t="str">
        <f>IFERROR(__xludf.DUMMYFUNCTION("""COMPUTED_VALUE"""),"C++")</f>
        <v>C++</v>
      </c>
      <c r="J4409" s="9" t="str">
        <f>IFERROR(__xludf.DUMMYFUNCTION("""COMPUTED_VALUE"""),"HTML/CSS")</f>
        <v>HTML/CSS</v>
      </c>
      <c r="K4409" s="9" t="str">
        <f>IFERROR(__xludf.DUMMYFUNCTION("""COMPUTED_VALUE"""),"Python")</f>
        <v>Python</v>
      </c>
      <c r="L4409" s="9" t="str">
        <f>IFERROR(__xludf.DUMMYFUNCTION("""COMPUTED_VALUE"""),"Python")</f>
        <v>Python</v>
      </c>
      <c r="M4409" s="9" t="s">
        <v>30</v>
      </c>
    </row>
    <row r="4410" ht="15.75" customHeight="1">
      <c r="A4410" s="7"/>
      <c r="B4410" s="7" t="str">
        <f>IFERROR(__xludf.DUMMYFUNCTION("""COMPUTED_VALUE"""),"HTML/CSS;JavaScript;Python;SQL")</f>
        <v>HTML/CSS;JavaScript;Python;SQL</v>
      </c>
      <c r="C4410" s="9" t="str">
        <f>IFERROR(__xludf.DUMMYFUNCTION("""COMPUTED_VALUE"""),"C")</f>
        <v>C</v>
      </c>
      <c r="D4410" s="9" t="str">
        <f>IFERROR(__xludf.DUMMYFUNCTION("""COMPUTED_VALUE"""),"Java")</f>
        <v>Java</v>
      </c>
      <c r="E4410" s="9" t="str">
        <f>IFERROR(__xludf.DUMMYFUNCTION("""COMPUTED_VALUE"""),"C#")</f>
        <v>C#</v>
      </c>
      <c r="F4410" s="9" t="str">
        <f>IFERROR(__xludf.DUMMYFUNCTION("""COMPUTED_VALUE"""),"JavaScript")</f>
        <v>JavaScript</v>
      </c>
      <c r="G4410" s="9" t="str">
        <f>IFERROR(__xludf.DUMMYFUNCTION("""COMPUTED_VALUE"""),"JavaScript")</f>
        <v>JavaScript</v>
      </c>
      <c r="H4410" s="9" t="str">
        <f>IFERROR(__xludf.DUMMYFUNCTION("""COMPUTED_VALUE"""),"Python")</f>
        <v>Python</v>
      </c>
      <c r="I4410" s="9" t="str">
        <f>IFERROR(__xludf.DUMMYFUNCTION("""COMPUTED_VALUE"""),"C#")</f>
        <v>C#</v>
      </c>
      <c r="J4410" s="9" t="str">
        <f>IFERROR(__xludf.DUMMYFUNCTION("""COMPUTED_VALUE"""),"Java")</f>
        <v>Java</v>
      </c>
      <c r="K4410" s="9" t="str">
        <f>IFERROR(__xludf.DUMMYFUNCTION("""COMPUTED_VALUE"""),"SQL")</f>
        <v>SQL</v>
      </c>
      <c r="L4410" s="9" t="str">
        <f>IFERROR(__xludf.DUMMYFUNCTION("""COMPUTED_VALUE"""),"SQL")</f>
        <v>SQL</v>
      </c>
      <c r="M4410" s="9" t="s">
        <v>25</v>
      </c>
    </row>
    <row r="4411" ht="15.75" customHeight="1">
      <c r="A4411" s="7"/>
      <c r="B4411" s="7" t="str">
        <f>IFERROR(__xludf.DUMMYFUNCTION("""COMPUTED_VALUE"""),"Clojure;Go;HTML/CSS;JavaScript;Python;SQL")</f>
        <v>Clojure;Go;HTML/CSS;JavaScript;Python;SQL</v>
      </c>
      <c r="C4411" s="9" t="str">
        <f>IFERROR(__xludf.DUMMYFUNCTION("""COMPUTED_VALUE"""),"C++")</f>
        <v>C++</v>
      </c>
      <c r="D4411" s="9" t="str">
        <f>IFERROR(__xludf.DUMMYFUNCTION("""COMPUTED_VALUE"""),"JavaScript")</f>
        <v>JavaScript</v>
      </c>
      <c r="E4411" s="9" t="str">
        <f>IFERROR(__xludf.DUMMYFUNCTION("""COMPUTED_VALUE"""),"Java")</f>
        <v>Java</v>
      </c>
      <c r="F4411" s="9" t="str">
        <f>IFERROR(__xludf.DUMMYFUNCTION("""COMPUTED_VALUE"""),"PHP")</f>
        <v>PHP</v>
      </c>
      <c r="G4411" s="9" t="str">
        <f>IFERROR(__xludf.DUMMYFUNCTION("""COMPUTED_VALUE"""),"PHP")</f>
        <v>PHP</v>
      </c>
      <c r="H4411" s="9" t="str">
        <f>IFERROR(__xludf.DUMMYFUNCTION("""COMPUTED_VALUE"""),"Ruby")</f>
        <v>Ruby</v>
      </c>
      <c r="I4411" s="9" t="str">
        <f>IFERROR(__xludf.DUMMYFUNCTION("""COMPUTED_VALUE"""),"HTML/CSS")</f>
        <v>HTML/CSS</v>
      </c>
      <c r="J4411" s="9" t="str">
        <f>IFERROR(__xludf.DUMMYFUNCTION("""COMPUTED_VALUE"""),"JavaScript")</f>
        <v>JavaScript</v>
      </c>
      <c r="K4411" s="9" t="str">
        <f>IFERROR(__xludf.DUMMYFUNCTION("""COMPUTED_VALUE"""),"VBA")</f>
        <v>VBA</v>
      </c>
      <c r="L4411" s="9" t="str">
        <f>IFERROR(__xludf.DUMMYFUNCTION("""COMPUTED_VALUE"""),"VBA")</f>
        <v>VBA</v>
      </c>
      <c r="M4411" s="9" t="s">
        <v>23</v>
      </c>
    </row>
    <row r="4412" ht="15.75" customHeight="1">
      <c r="A4412" s="7"/>
      <c r="B4412" s="7" t="str">
        <f>IFERROR(__xludf.DUMMYFUNCTION("""COMPUTED_VALUE"""),"HTML/CSS;Java;JavaScript;Kotlin;Objective-C;Swift")</f>
        <v>HTML/CSS;Java;JavaScript;Kotlin;Objective-C;Swift</v>
      </c>
      <c r="C4412" s="9" t="str">
        <f>IFERROR(__xludf.DUMMYFUNCTION("""COMPUTED_VALUE"""),"HTML/CSS")</f>
        <v>HTML/CSS</v>
      </c>
      <c r="D4412" s="9" t="str">
        <f>IFERROR(__xludf.DUMMYFUNCTION("""COMPUTED_VALUE"""),"TypeScript")</f>
        <v>TypeScript</v>
      </c>
      <c r="E4412" s="9" t="str">
        <f>IFERROR(__xludf.DUMMYFUNCTION("""COMPUTED_VALUE"""),"Kotlin")</f>
        <v>Kotlin</v>
      </c>
      <c r="F4412" s="9" t="str">
        <f>IFERROR(__xludf.DUMMYFUNCTION("""COMPUTED_VALUE"""),"Swift")</f>
        <v>Swift</v>
      </c>
      <c r="G4412" s="9" t="str">
        <f>IFERROR(__xludf.DUMMYFUNCTION("""COMPUTED_VALUE"""),"SQL")</f>
        <v>SQL</v>
      </c>
      <c r="H4412" s="9" t="str">
        <f>IFERROR(__xludf.DUMMYFUNCTION("""COMPUTED_VALUE"""),"SQL")</f>
        <v>SQL</v>
      </c>
      <c r="I4412" s="9" t="str">
        <f>IFERROR(__xludf.DUMMYFUNCTION("""COMPUTED_VALUE"""),"Java")</f>
        <v>Java</v>
      </c>
      <c r="J4412" s="9" t="str">
        <f>IFERROR(__xludf.DUMMYFUNCTION("""COMPUTED_VALUE"""),"PHP")</f>
        <v>PHP</v>
      </c>
      <c r="K4412" s="9" t="str">
        <f>IFERROR(__xludf.DUMMYFUNCTION("""COMPUTED_VALUE"""),"Bash/Shell/PowerShell")</f>
        <v>Bash/Shell/PowerShell</v>
      </c>
      <c r="L4412" s="9" t="str">
        <f>IFERROR(__xludf.DUMMYFUNCTION("""COMPUTED_VALUE"""),"C")</f>
        <v>C</v>
      </c>
      <c r="M4412" s="9" t="s">
        <v>24</v>
      </c>
    </row>
    <row r="4413" ht="15.75" customHeight="1">
      <c r="A4413" s="7"/>
      <c r="B4413" s="7" t="str">
        <f>IFERROR(__xludf.DUMMYFUNCTION("""COMPUTED_VALUE"""),"C#;JavaScript")</f>
        <v>C#;JavaScript</v>
      </c>
      <c r="C4413" s="9" t="str">
        <f>IFERROR(__xludf.DUMMYFUNCTION("""COMPUTED_VALUE"""),"Java")</f>
        <v>Java</v>
      </c>
      <c r="D4413" s="9" t="str">
        <f>IFERROR(__xludf.DUMMYFUNCTION("""COMPUTED_VALUE"""),"C")</f>
        <v>C</v>
      </c>
      <c r="E4413" s="9" t="str">
        <f>IFERROR(__xludf.DUMMYFUNCTION("""COMPUTED_VALUE"""),"Objective-C")</f>
        <v>Objective-C</v>
      </c>
      <c r="F4413" s="9" t="str">
        <f>IFERROR(__xludf.DUMMYFUNCTION("""COMPUTED_VALUE"""),"F#")</f>
        <v>F#</v>
      </c>
      <c r="G4413" s="9" t="str">
        <f>IFERROR(__xludf.DUMMYFUNCTION("""COMPUTED_VALUE"""),"Bash/Shell/PowerShell")</f>
        <v>Bash/Shell/PowerShell</v>
      </c>
      <c r="H4413" s="9" t="str">
        <f>IFERROR(__xludf.DUMMYFUNCTION("""COMPUTED_VALUE"""),"Bash/Shell/PowerShell")</f>
        <v>Bash/Shell/PowerShell</v>
      </c>
      <c r="I4413" s="9" t="str">
        <f>IFERROR(__xludf.DUMMYFUNCTION("""COMPUTED_VALUE"""),"JavaScript")</f>
        <v>JavaScript</v>
      </c>
      <c r="J4413" s="9" t="str">
        <f>IFERROR(__xludf.DUMMYFUNCTION("""COMPUTED_VALUE"""),"Python")</f>
        <v>Python</v>
      </c>
      <c r="K4413" s="9" t="str">
        <f>IFERROR(__xludf.DUMMYFUNCTION("""COMPUTED_VALUE"""),"C++")</f>
        <v>C++</v>
      </c>
      <c r="L4413" s="9" t="str">
        <f>IFERROR(__xludf.DUMMYFUNCTION("""COMPUTED_VALUE"""),"C++")</f>
        <v>C++</v>
      </c>
      <c r="M4413" s="9" t="s">
        <v>20</v>
      </c>
    </row>
    <row r="4414" ht="15.75" customHeight="1">
      <c r="A4414" s="7"/>
      <c r="B4414" s="7" t="str">
        <f>IFERROR(__xludf.DUMMYFUNCTION("""COMPUTED_VALUE"""),"C++;JavaScript")</f>
        <v>C++;JavaScript</v>
      </c>
      <c r="C4414" s="9" t="str">
        <f>IFERROR(__xludf.DUMMYFUNCTION("""COMPUTED_VALUE"""),"JavaScript")</f>
        <v>JavaScript</v>
      </c>
      <c r="D4414" s="9" t="str">
        <f>IFERROR(__xludf.DUMMYFUNCTION("""COMPUTED_VALUE"""),"Java")</f>
        <v>Java</v>
      </c>
      <c r="E4414" s="9" t="str">
        <f>IFERROR(__xludf.DUMMYFUNCTION("""COMPUTED_VALUE"""),"Swift")</f>
        <v>Swift</v>
      </c>
      <c r="F4414" s="9" t="str">
        <f>IFERROR(__xludf.DUMMYFUNCTION("""COMPUTED_VALUE"""),"HTML/CSS")</f>
        <v>HTML/CSS</v>
      </c>
      <c r="G4414" s="9" t="str">
        <f>IFERROR(__xludf.DUMMYFUNCTION("""COMPUTED_VALUE"""),"HTML/CSS")</f>
        <v>HTML/CSS</v>
      </c>
      <c r="H4414" s="9" t="str">
        <f>IFERROR(__xludf.DUMMYFUNCTION("""COMPUTED_VALUE"""),"C#")</f>
        <v>C#</v>
      </c>
      <c r="I4414" s="9" t="str">
        <f>IFERROR(__xludf.DUMMYFUNCTION("""COMPUTED_VALUE"""),"PHP")</f>
        <v>PHP</v>
      </c>
      <c r="J4414" s="9" t="str">
        <f>IFERROR(__xludf.DUMMYFUNCTION("""COMPUTED_VALUE"""),"Bash/Shell/PowerShell")</f>
        <v>Bash/Shell/PowerShell</v>
      </c>
      <c r="K4414" s="9" t="str">
        <f>IFERROR(__xludf.DUMMYFUNCTION("""COMPUTED_VALUE"""),"Elixir")</f>
        <v>Elixir</v>
      </c>
      <c r="L4414" s="9" t="str">
        <f>IFERROR(__xludf.DUMMYFUNCTION("""COMPUTED_VALUE"""),"HTML/CSS")</f>
        <v>HTML/CSS</v>
      </c>
      <c r="M4414" s="9" t="s">
        <v>21</v>
      </c>
    </row>
    <row r="4415" ht="15.75" customHeight="1">
      <c r="A4415" s="7"/>
      <c r="B4415" s="7" t="str">
        <f>IFERROR(__xludf.DUMMYFUNCTION("""COMPUTED_VALUE"""),"R")</f>
        <v>R</v>
      </c>
      <c r="C4415" s="9" t="str">
        <f>IFERROR(__xludf.DUMMYFUNCTION("""COMPUTED_VALUE"""),"PHP")</f>
        <v>PHP</v>
      </c>
      <c r="D4415" s="9" t="str">
        <f>IFERROR(__xludf.DUMMYFUNCTION("""COMPUTED_VALUE"""),"HTML/CSS")</f>
        <v>HTML/CSS</v>
      </c>
      <c r="E4415" s="9" t="str">
        <f>IFERROR(__xludf.DUMMYFUNCTION("""COMPUTED_VALUE"""),"Other(s):")</f>
        <v>Other(s):</v>
      </c>
      <c r="F4415" s="9" t="str">
        <f>IFERROR(__xludf.DUMMYFUNCTION("""COMPUTED_VALUE"""),"Assembly")</f>
        <v>Assembly</v>
      </c>
      <c r="G4415" s="9" t="str">
        <f>IFERROR(__xludf.DUMMYFUNCTION("""COMPUTED_VALUE"""),"Java")</f>
        <v>Java</v>
      </c>
      <c r="H4415" s="9" t="str">
        <f>IFERROR(__xludf.DUMMYFUNCTION("""COMPUTED_VALUE"""),"JavaScript")</f>
        <v>JavaScript</v>
      </c>
      <c r="I4415" s="9" t="str">
        <f>IFERROR(__xludf.DUMMYFUNCTION("""COMPUTED_VALUE"""),"Python")</f>
        <v>Python</v>
      </c>
      <c r="J4415" s="9" t="str">
        <f>IFERROR(__xludf.DUMMYFUNCTION("""COMPUTED_VALUE"""),"HTML/CSS")</f>
        <v>HTML/CSS</v>
      </c>
      <c r="K4415" s="9" t="str">
        <f>IFERROR(__xludf.DUMMYFUNCTION("""COMPUTED_VALUE"""),"Go")</f>
        <v>Go</v>
      </c>
      <c r="L4415" s="9" t="str">
        <f>IFERROR(__xludf.DUMMYFUNCTION("""COMPUTED_VALUE"""),"PHP")</f>
        <v>PHP</v>
      </c>
      <c r="M4415" s="9" t="s">
        <v>37</v>
      </c>
    </row>
    <row r="4416" ht="15.75" customHeight="1">
      <c r="A4416" s="7"/>
      <c r="B4416" s="7" t="str">
        <f>IFERROR(__xludf.DUMMYFUNCTION("""COMPUTED_VALUE"""),"HTML/CSS;Java;JavaScript;Swift;TypeScript")</f>
        <v>HTML/CSS;Java;JavaScript;Swift;TypeScript</v>
      </c>
      <c r="C4416" s="9" t="str">
        <f>IFERROR(__xludf.DUMMYFUNCTION("""COMPUTED_VALUE"""),"Python")</f>
        <v>Python</v>
      </c>
      <c r="D4416" s="9" t="str">
        <f>IFERROR(__xludf.DUMMYFUNCTION("""COMPUTED_VALUE"""),"Java")</f>
        <v>Java</v>
      </c>
      <c r="E4416" s="9" t="str">
        <f>IFERROR(__xludf.DUMMYFUNCTION("""COMPUTED_VALUE"""),"HTML/CSS")</f>
        <v>HTML/CSS</v>
      </c>
      <c r="F4416" s="9" t="str">
        <f>IFERROR(__xludf.DUMMYFUNCTION("""COMPUTED_VALUE"""),"Bash/Shell/PowerShell")</f>
        <v>Bash/Shell/PowerShell</v>
      </c>
      <c r="G4416" s="9" t="str">
        <f>IFERROR(__xludf.DUMMYFUNCTION("""COMPUTED_VALUE"""),"JavaScript")</f>
        <v>JavaScript</v>
      </c>
      <c r="H4416" s="9" t="str">
        <f>IFERROR(__xludf.DUMMYFUNCTION("""COMPUTED_VALUE"""),"SQL")</f>
        <v>SQL</v>
      </c>
      <c r="I4416" s="9" t="str">
        <f>IFERROR(__xludf.DUMMYFUNCTION("""COMPUTED_VALUE"""),"SQL")</f>
        <v>SQL</v>
      </c>
      <c r="J4416" s="9" t="str">
        <f>IFERROR(__xludf.DUMMYFUNCTION("""COMPUTED_VALUE"""),"Java")</f>
        <v>Java</v>
      </c>
      <c r="K4416" s="9" t="str">
        <f>IFERROR(__xludf.DUMMYFUNCTION("""COMPUTED_VALUE"""),"HTML/CSS")</f>
        <v>HTML/CSS</v>
      </c>
      <c r="L4416" s="9" t="str">
        <f>IFERROR(__xludf.DUMMYFUNCTION("""COMPUTED_VALUE"""),"C#")</f>
        <v>C#</v>
      </c>
      <c r="M4416" s="9" t="s">
        <v>22</v>
      </c>
    </row>
    <row r="4417" ht="15.75" customHeight="1">
      <c r="A4417" s="7"/>
      <c r="B4417" s="7" t="str">
        <f>IFERROR(__xludf.DUMMYFUNCTION("""COMPUTED_VALUE"""),"C#;HTML/CSS;JavaScript;Kotlin;Python;SQL")</f>
        <v>C#;HTML/CSS;JavaScript;Kotlin;Python;SQL</v>
      </c>
      <c r="C4417" s="9" t="str">
        <f>IFERROR(__xludf.DUMMYFUNCTION("""COMPUTED_VALUE"""),"SQL")</f>
        <v>SQL</v>
      </c>
      <c r="D4417" s="9" t="str">
        <f>IFERROR(__xludf.DUMMYFUNCTION("""COMPUTED_VALUE"""),"JavaScript")</f>
        <v>JavaScript</v>
      </c>
      <c r="E4417" s="9" t="str">
        <f>IFERROR(__xludf.DUMMYFUNCTION("""COMPUTED_VALUE"""),"Java")</f>
        <v>Java</v>
      </c>
      <c r="F4417" s="9" t="str">
        <f>IFERROR(__xludf.DUMMYFUNCTION("""COMPUTED_VALUE"""),"C")</f>
        <v>C</v>
      </c>
      <c r="G4417" s="9" t="str">
        <f>IFERROR(__xludf.DUMMYFUNCTION("""COMPUTED_VALUE"""),"Kotlin")</f>
        <v>Kotlin</v>
      </c>
      <c r="H4417" s="9" t="str">
        <f>IFERROR(__xludf.DUMMYFUNCTION("""COMPUTED_VALUE"""),"Bash/Shell/PowerShell")</f>
        <v>Bash/Shell/PowerShell</v>
      </c>
      <c r="I4417" s="9" t="str">
        <f>IFERROR(__xludf.DUMMYFUNCTION("""COMPUTED_VALUE"""),"Dart")</f>
        <v>Dart</v>
      </c>
      <c r="J4417" s="9" t="str">
        <f>IFERROR(__xludf.DUMMYFUNCTION("""COMPUTED_VALUE"""),"Python")</f>
        <v>Python</v>
      </c>
      <c r="K4417" s="9" t="str">
        <f>IFERROR(__xludf.DUMMYFUNCTION("""COMPUTED_VALUE"""),"Java")</f>
        <v>Java</v>
      </c>
      <c r="L4417" s="9" t="str">
        <f>IFERROR(__xludf.DUMMYFUNCTION("""COMPUTED_VALUE"""),"Java")</f>
        <v>Java</v>
      </c>
      <c r="M4417" s="9" t="s">
        <v>27</v>
      </c>
    </row>
    <row r="4418" ht="15.75" customHeight="1">
      <c r="A4418" s="7"/>
      <c r="B4418" s="7" t="str">
        <f>IFERROR(__xludf.DUMMYFUNCTION("""COMPUTED_VALUE"""),"C#;HTML/CSS;JavaScript;PHP;SQL")</f>
        <v>C#;HTML/CSS;JavaScript;PHP;SQL</v>
      </c>
      <c r="C4418" s="9" t="str">
        <f>IFERROR(__xludf.DUMMYFUNCTION("""COMPUTED_VALUE"""),"TypeScript")</f>
        <v>TypeScript</v>
      </c>
      <c r="D4418" s="9" t="str">
        <f>IFERROR(__xludf.DUMMYFUNCTION("""COMPUTED_VALUE"""),"Kotlin")</f>
        <v>Kotlin</v>
      </c>
      <c r="E4418" s="9" t="str">
        <f>IFERROR(__xludf.DUMMYFUNCTION("""COMPUTED_VALUE"""),"JavaScript")</f>
        <v>JavaScript</v>
      </c>
      <c r="F4418" s="9" t="str">
        <f>IFERROR(__xludf.DUMMYFUNCTION("""COMPUTED_VALUE"""),"C++")</f>
        <v>C++</v>
      </c>
      <c r="G4418" s="9" t="str">
        <f>IFERROR(__xludf.DUMMYFUNCTION("""COMPUTED_VALUE"""),"Python")</f>
        <v>Python</v>
      </c>
      <c r="H4418" s="9" t="str">
        <f>IFERROR(__xludf.DUMMYFUNCTION("""COMPUTED_VALUE"""),"HTML/CSS")</f>
        <v>HTML/CSS</v>
      </c>
      <c r="I4418" s="9" t="str">
        <f>IFERROR(__xludf.DUMMYFUNCTION("""COMPUTED_VALUE"""),"HTML/CSS")</f>
        <v>HTML/CSS</v>
      </c>
      <c r="J4418" s="9" t="str">
        <f>IFERROR(__xludf.DUMMYFUNCTION("""COMPUTED_VALUE"""),"R")</f>
        <v>R</v>
      </c>
      <c r="K4418" s="9" t="str">
        <f>IFERROR(__xludf.DUMMYFUNCTION("""COMPUTED_VALUE"""),"JavaScript")</f>
        <v>JavaScript</v>
      </c>
      <c r="L4418" s="9" t="str">
        <f>IFERROR(__xludf.DUMMYFUNCTION("""COMPUTED_VALUE"""),"Bash/Shell/PowerShell")</f>
        <v>Bash/Shell/PowerShell</v>
      </c>
      <c r="M4418" s="9" t="s">
        <v>33</v>
      </c>
    </row>
    <row r="4419" ht="15.75" customHeight="1">
      <c r="A4419" s="7"/>
      <c r="B4419" s="7" t="str">
        <f>IFERROR(__xludf.DUMMYFUNCTION("""COMPUTED_VALUE"""),"HTML/CSS;PHP;SQL")</f>
        <v>HTML/CSS;PHP;SQL</v>
      </c>
      <c r="C4419" s="9" t="str">
        <f>IFERROR(__xludf.DUMMYFUNCTION("""COMPUTED_VALUE"""),"Bash/Shell/PowerShell")</f>
        <v>Bash/Shell/PowerShell</v>
      </c>
      <c r="D4419" s="9" t="str">
        <f>IFERROR(__xludf.DUMMYFUNCTION("""COMPUTED_VALUE"""),"Scala")</f>
        <v>Scala</v>
      </c>
      <c r="E4419" s="9" t="str">
        <f>IFERROR(__xludf.DUMMYFUNCTION("""COMPUTED_VALUE"""),"PHP")</f>
        <v>PHP</v>
      </c>
      <c r="F4419" s="9" t="str">
        <f>IFERROR(__xludf.DUMMYFUNCTION("""COMPUTED_VALUE"""),"HTML/CSS")</f>
        <v>HTML/CSS</v>
      </c>
      <c r="G4419" s="9" t="str">
        <f>IFERROR(__xludf.DUMMYFUNCTION("""COMPUTED_VALUE"""),"SQL")</f>
        <v>SQL</v>
      </c>
      <c r="H4419" s="9" t="str">
        <f>IFERROR(__xludf.DUMMYFUNCTION("""COMPUTED_VALUE"""),"Java")</f>
        <v>Java</v>
      </c>
      <c r="I4419" s="9" t="str">
        <f>IFERROR(__xludf.DUMMYFUNCTION("""COMPUTED_VALUE"""),"JavaScript")</f>
        <v>JavaScript</v>
      </c>
      <c r="J4419" s="9" t="str">
        <f>IFERROR(__xludf.DUMMYFUNCTION("""COMPUTED_VALUE"""),"Bash/Shell/PowerShell")</f>
        <v>Bash/Shell/PowerShell</v>
      </c>
      <c r="K4419" s="9" t="str">
        <f>IFERROR(__xludf.DUMMYFUNCTION("""COMPUTED_VALUE"""),"PHP")</f>
        <v>PHP</v>
      </c>
      <c r="L4419" s="9" t="str">
        <f>IFERROR(__xludf.DUMMYFUNCTION("""COMPUTED_VALUE"""),"C")</f>
        <v>C</v>
      </c>
      <c r="M4419" s="9" t="s">
        <v>30</v>
      </c>
    </row>
    <row r="4420" ht="15.75" customHeight="1">
      <c r="A4420" s="7"/>
      <c r="B4420" s="7" t="str">
        <f>IFERROR(__xludf.DUMMYFUNCTION("""COMPUTED_VALUE"""),"Bash/Shell/PowerShell;R")</f>
        <v>Bash/Shell/PowerShell;R</v>
      </c>
      <c r="C4420" s="9" t="str">
        <f>IFERROR(__xludf.DUMMYFUNCTION("""COMPUTED_VALUE"""),"C++")</f>
        <v>C++</v>
      </c>
      <c r="D4420" s="9" t="str">
        <f>IFERROR(__xludf.DUMMYFUNCTION("""COMPUTED_VALUE"""),"Bash/Shell/PowerShell")</f>
        <v>Bash/Shell/PowerShell</v>
      </c>
      <c r="E4420" s="9" t="str">
        <f>IFERROR(__xludf.DUMMYFUNCTION("""COMPUTED_VALUE"""),"Bash/Shell/PowerShell")</f>
        <v>Bash/Shell/PowerShell</v>
      </c>
      <c r="F4420" s="9" t="str">
        <f>IFERROR(__xludf.DUMMYFUNCTION("""COMPUTED_VALUE"""),"Python")</f>
        <v>Python</v>
      </c>
      <c r="G4420" s="9" t="str">
        <f>IFERROR(__xludf.DUMMYFUNCTION("""COMPUTED_VALUE"""),"TypeScript")</f>
        <v>TypeScript</v>
      </c>
      <c r="H4420" s="9" t="str">
        <f>IFERROR(__xludf.DUMMYFUNCTION("""COMPUTED_VALUE"""),"JavaScript")</f>
        <v>JavaScript</v>
      </c>
      <c r="I4420" s="9" t="str">
        <f>IFERROR(__xludf.DUMMYFUNCTION("""COMPUTED_VALUE"""),"Python")</f>
        <v>Python</v>
      </c>
      <c r="J4420" s="9" t="str">
        <f>IFERROR(__xludf.DUMMYFUNCTION("""COMPUTED_VALUE"""),"C")</f>
        <v>C</v>
      </c>
      <c r="K4420" s="9" t="str">
        <f>IFERROR(__xludf.DUMMYFUNCTION("""COMPUTED_VALUE"""),"Ruby")</f>
        <v>Ruby</v>
      </c>
      <c r="L4420" s="9" t="str">
        <f>IFERROR(__xludf.DUMMYFUNCTION("""COMPUTED_VALUE"""),"C++")</f>
        <v>C++</v>
      </c>
      <c r="M4420" s="9" t="s">
        <v>23</v>
      </c>
    </row>
    <row r="4421" ht="15.75" customHeight="1">
      <c r="A4421" s="7"/>
      <c r="B4421" s="7" t="str">
        <f>IFERROR(__xludf.DUMMYFUNCTION("""COMPUTED_VALUE"""),"Bash/Shell/PowerShell;C#;HTML/CSS;JavaScript;SQL")</f>
        <v>Bash/Shell/PowerShell;C#;HTML/CSS;JavaScript;SQL</v>
      </c>
      <c r="C4421" s="9" t="str">
        <f>IFERROR(__xludf.DUMMYFUNCTION("""COMPUTED_VALUE"""),"R")</f>
        <v>R</v>
      </c>
      <c r="D4421" s="9" t="str">
        <f>IFERROR(__xludf.DUMMYFUNCTION("""COMPUTED_VALUE"""),"C")</f>
        <v>C</v>
      </c>
      <c r="E4421" s="9" t="str">
        <f>IFERROR(__xludf.DUMMYFUNCTION("""COMPUTED_VALUE"""),"Go")</f>
        <v>Go</v>
      </c>
      <c r="F4421" s="9" t="str">
        <f>IFERROR(__xludf.DUMMYFUNCTION("""COMPUTED_VALUE"""),"Python")</f>
        <v>Python</v>
      </c>
      <c r="G4421" s="9" t="str">
        <f>IFERROR(__xludf.DUMMYFUNCTION("""COMPUTED_VALUE"""),"HTML/CSS")</f>
        <v>HTML/CSS</v>
      </c>
      <c r="H4421" s="9" t="str">
        <f>IFERROR(__xludf.DUMMYFUNCTION("""COMPUTED_VALUE"""),"TypeScript")</f>
        <v>TypeScript</v>
      </c>
      <c r="I4421" s="9" t="str">
        <f>IFERROR(__xludf.DUMMYFUNCTION("""COMPUTED_VALUE"""),"Ruby")</f>
        <v>Ruby</v>
      </c>
      <c r="J4421" s="9" t="str">
        <f>IFERROR(__xludf.DUMMYFUNCTION("""COMPUTED_VALUE"""),"HTML/CSS")</f>
        <v>HTML/CSS</v>
      </c>
      <c r="K4421" s="9" t="str">
        <f>IFERROR(__xludf.DUMMYFUNCTION("""COMPUTED_VALUE"""),"SQL")</f>
        <v>SQL</v>
      </c>
      <c r="L4421" s="9" t="str">
        <f>IFERROR(__xludf.DUMMYFUNCTION("""COMPUTED_VALUE"""),"HTML/CSS")</f>
        <v>HTML/CSS</v>
      </c>
      <c r="M4421" s="9" t="s">
        <v>29</v>
      </c>
    </row>
    <row r="4422" ht="15.75" customHeight="1">
      <c r="A4422" s="7"/>
      <c r="B4422" s="7" t="str">
        <f>IFERROR(__xludf.DUMMYFUNCTION("""COMPUTED_VALUE"""),"Assembly;Bash/Shell/PowerShell;C;C++;C#;HTML/CSS;Objective-C;PHP;SQL")</f>
        <v>Assembly;Bash/Shell/PowerShell;C;C++;C#;HTML/CSS;Objective-C;PHP;SQL</v>
      </c>
      <c r="C4422" s="9" t="str">
        <f>IFERROR(__xludf.DUMMYFUNCTION("""COMPUTED_VALUE"""),"Other(s):")</f>
        <v>Other(s):</v>
      </c>
      <c r="D4422" s="9" t="str">
        <f>IFERROR(__xludf.DUMMYFUNCTION("""COMPUTED_VALUE"""),"Go")</f>
        <v>Go</v>
      </c>
      <c r="E4422" s="9" t="str">
        <f>IFERROR(__xludf.DUMMYFUNCTION("""COMPUTED_VALUE"""),"HTML/CSS")</f>
        <v>HTML/CSS</v>
      </c>
      <c r="F4422" s="9" t="str">
        <f>IFERROR(__xludf.DUMMYFUNCTION("""COMPUTED_VALUE"""),"R")</f>
        <v>R</v>
      </c>
      <c r="G4422" s="9" t="str">
        <f>IFERROR(__xludf.DUMMYFUNCTION("""COMPUTED_VALUE"""),"JavaScript")</f>
        <v>JavaScript</v>
      </c>
      <c r="H4422" s="9" t="str">
        <f>IFERROR(__xludf.DUMMYFUNCTION("""COMPUTED_VALUE"""),"Java")</f>
        <v>Java</v>
      </c>
      <c r="I4422" s="9" t="str">
        <f>IFERROR(__xludf.DUMMYFUNCTION("""COMPUTED_VALUE"""),"SQL")</f>
        <v>SQL</v>
      </c>
      <c r="J4422" s="9" t="str">
        <f>IFERROR(__xludf.DUMMYFUNCTION("""COMPUTED_VALUE"""),"JavaScript")</f>
        <v>JavaScript</v>
      </c>
      <c r="K4422" s="9" t="str">
        <f>IFERROR(__xludf.DUMMYFUNCTION("""COMPUTED_VALUE"""),"Other(s):")</f>
        <v>Other(s):</v>
      </c>
      <c r="L4422" s="9" t="str">
        <f>IFERROR(__xludf.DUMMYFUNCTION("""COMPUTED_VALUE"""),"Java")</f>
        <v>Java</v>
      </c>
      <c r="M4422" s="9" t="s">
        <v>35</v>
      </c>
    </row>
    <row r="4423" ht="15.75" customHeight="1">
      <c r="A4423" s="7"/>
      <c r="B4423" s="7" t="str">
        <f>IFERROR(__xludf.DUMMYFUNCTION("""COMPUTED_VALUE"""),"C#;SQL")</f>
        <v>C#;SQL</v>
      </c>
      <c r="C4423" s="9" t="str">
        <f>IFERROR(__xludf.DUMMYFUNCTION("""COMPUTED_VALUE"""),"HTML/CSS")</f>
        <v>HTML/CSS</v>
      </c>
      <c r="D4423" s="9" t="str">
        <f>IFERROR(__xludf.DUMMYFUNCTION("""COMPUTED_VALUE"""),"HTML/CSS")</f>
        <v>HTML/CSS</v>
      </c>
      <c r="E4423" s="9" t="str">
        <f>IFERROR(__xludf.DUMMYFUNCTION("""COMPUTED_VALUE"""),"Java")</f>
        <v>Java</v>
      </c>
      <c r="F4423" s="9" t="str">
        <f>IFERROR(__xludf.DUMMYFUNCTION("""COMPUTED_VALUE"""),"Assembly")</f>
        <v>Assembly</v>
      </c>
      <c r="G4423" s="9" t="str">
        <f>IFERROR(__xludf.DUMMYFUNCTION("""COMPUTED_VALUE"""),"C")</f>
        <v>C</v>
      </c>
      <c r="H4423" s="9" t="str">
        <f>IFERROR(__xludf.DUMMYFUNCTION("""COMPUTED_VALUE"""),"JavaScript")</f>
        <v>JavaScript</v>
      </c>
      <c r="I4423" s="9" t="str">
        <f>IFERROR(__xludf.DUMMYFUNCTION("""COMPUTED_VALUE"""),"TypeScript")</f>
        <v>TypeScript</v>
      </c>
      <c r="J4423" s="9" t="str">
        <f>IFERROR(__xludf.DUMMYFUNCTION("""COMPUTED_VALUE"""),"Python")</f>
        <v>Python</v>
      </c>
      <c r="K4423" s="9" t="str">
        <f>IFERROR(__xludf.DUMMYFUNCTION("""COMPUTED_VALUE"""),"C")</f>
        <v>C</v>
      </c>
      <c r="L4423" s="9" t="str">
        <f>IFERROR(__xludf.DUMMYFUNCTION("""COMPUTED_VALUE"""),"JavaScript")</f>
        <v>JavaScript</v>
      </c>
      <c r="M4423" s="9" t="s">
        <v>24</v>
      </c>
    </row>
    <row r="4424" ht="15.75" customHeight="1">
      <c r="A4424" s="7"/>
      <c r="B4424" s="7" t="str">
        <f>IFERROR(__xludf.DUMMYFUNCTION("""COMPUTED_VALUE"""),"C;Dart;HTML/CSS;Java;JavaScript;Kotlin;PHP;Python;SQL")</f>
        <v>C;Dart;HTML/CSS;Java;JavaScript;Kotlin;PHP;Python;SQL</v>
      </c>
      <c r="C4424" s="9" t="str">
        <f>IFERROR(__xludf.DUMMYFUNCTION("""COMPUTED_VALUE"""),"Java")</f>
        <v>Java</v>
      </c>
      <c r="D4424" s="9" t="str">
        <f>IFERROR(__xludf.DUMMYFUNCTION("""COMPUTED_VALUE"""),"Java")</f>
        <v>Java</v>
      </c>
      <c r="E4424" s="9" t="str">
        <f>IFERROR(__xludf.DUMMYFUNCTION("""COMPUTED_VALUE"""),"JavaScript")</f>
        <v>JavaScript</v>
      </c>
      <c r="F4424" s="9" t="str">
        <f>IFERROR(__xludf.DUMMYFUNCTION("""COMPUTED_VALUE"""),"C")</f>
        <v>C</v>
      </c>
      <c r="G4424" s="9" t="str">
        <f>IFERROR(__xludf.DUMMYFUNCTION("""COMPUTED_VALUE"""),"C++")</f>
        <v>C++</v>
      </c>
      <c r="H4424" s="9" t="str">
        <f>IFERROR(__xludf.DUMMYFUNCTION("""COMPUTED_VALUE"""),"TypeScript")</f>
        <v>TypeScript</v>
      </c>
      <c r="I4424" s="9" t="str">
        <f>IFERROR(__xludf.DUMMYFUNCTION("""COMPUTED_VALUE"""),"HTML/CSS")</f>
        <v>HTML/CSS</v>
      </c>
      <c r="J4424" s="9" t="str">
        <f>IFERROR(__xludf.DUMMYFUNCTION("""COMPUTED_VALUE"""),"SQL")</f>
        <v>SQL</v>
      </c>
      <c r="K4424" s="9" t="str">
        <f>IFERROR(__xludf.DUMMYFUNCTION("""COMPUTED_VALUE"""),"C++")</f>
        <v>C++</v>
      </c>
      <c r="L4424" s="9" t="str">
        <f>IFERROR(__xludf.DUMMYFUNCTION("""COMPUTED_VALUE"""),"SQL")</f>
        <v>SQL</v>
      </c>
      <c r="M4424" s="9" t="s">
        <v>20</v>
      </c>
    </row>
    <row r="4425" ht="15.75" customHeight="1">
      <c r="A4425" s="7"/>
      <c r="B4425" s="7" t="str">
        <f>IFERROR(__xludf.DUMMYFUNCTION("""COMPUTED_VALUE"""),"Java")</f>
        <v>Java</v>
      </c>
      <c r="C4425" s="9" t="str">
        <f>IFERROR(__xludf.DUMMYFUNCTION("""COMPUTED_VALUE"""),"JavaScript")</f>
        <v>JavaScript</v>
      </c>
      <c r="D4425" s="9" t="str">
        <f>IFERROR(__xludf.DUMMYFUNCTION("""COMPUTED_VALUE"""),"JavaScript")</f>
        <v>JavaScript</v>
      </c>
      <c r="E4425" s="9" t="str">
        <f>IFERROR(__xludf.DUMMYFUNCTION("""COMPUTED_VALUE"""),"Python")</f>
        <v>Python</v>
      </c>
      <c r="F4425" s="9" t="str">
        <f>IFERROR(__xludf.DUMMYFUNCTION("""COMPUTED_VALUE"""),"C++")</f>
        <v>C++</v>
      </c>
      <c r="G4425" s="9" t="str">
        <f>IFERROR(__xludf.DUMMYFUNCTION("""COMPUTED_VALUE"""),"HTML/CSS")</f>
        <v>HTML/CSS</v>
      </c>
      <c r="H4425" s="9" t="str">
        <f>IFERROR(__xludf.DUMMYFUNCTION("""COMPUTED_VALUE"""),"Assembly")</f>
        <v>Assembly</v>
      </c>
      <c r="I4425" s="9" t="str">
        <f>IFERROR(__xludf.DUMMYFUNCTION("""COMPUTED_VALUE"""),"JavaScript")</f>
        <v>JavaScript</v>
      </c>
      <c r="J4425" s="9" t="str">
        <f>IFERROR(__xludf.DUMMYFUNCTION("""COMPUTED_VALUE"""),"Swift")</f>
        <v>Swift</v>
      </c>
      <c r="K4425" s="9" t="str">
        <f>IFERROR(__xludf.DUMMYFUNCTION("""COMPUTED_VALUE"""),"Dart")</f>
        <v>Dart</v>
      </c>
      <c r="L4425" s="9" t="str">
        <f>IFERROR(__xludf.DUMMYFUNCTION("""COMPUTED_VALUE"""),"Other(s):")</f>
        <v>Other(s):</v>
      </c>
      <c r="M4425" s="9" t="s">
        <v>21</v>
      </c>
    </row>
    <row r="4426" ht="15.75" customHeight="1">
      <c r="A4426" s="7"/>
      <c r="B4426" s="7" t="str">
        <f>IFERROR(__xludf.DUMMYFUNCTION("""COMPUTED_VALUE"""),"Bash/Shell/PowerShell;C++;C#;F#;HTML/CSS;JavaScript;Objective-C;PHP;Python;SQL;VBA")</f>
        <v>Bash/Shell/PowerShell;C++;C#;F#;HTML/CSS;JavaScript;Objective-C;PHP;Python;SQL;VBA</v>
      </c>
      <c r="C4426" s="9" t="str">
        <f>IFERROR(__xludf.DUMMYFUNCTION("""COMPUTED_VALUE"""),"Objective-C")</f>
        <v>Objective-C</v>
      </c>
      <c r="D4426" s="9" t="str">
        <f>IFERROR(__xludf.DUMMYFUNCTION("""COMPUTED_VALUE"""),"PHP")</f>
        <v>PHP</v>
      </c>
      <c r="E4426" s="9" t="str">
        <f>IFERROR(__xludf.DUMMYFUNCTION("""COMPUTED_VALUE"""),"Ruby")</f>
        <v>Ruby</v>
      </c>
      <c r="F4426" s="9" t="str">
        <f>IFERROR(__xludf.DUMMYFUNCTION("""COMPUTED_VALUE"""),"HTML/CSS")</f>
        <v>HTML/CSS</v>
      </c>
      <c r="G4426" s="9" t="str">
        <f>IFERROR(__xludf.DUMMYFUNCTION("""COMPUTED_VALUE"""),"Python")</f>
        <v>Python</v>
      </c>
      <c r="H4426" s="9" t="str">
        <f>IFERROR(__xludf.DUMMYFUNCTION("""COMPUTED_VALUE"""),"Bash/Shell/PowerShell")</f>
        <v>Bash/Shell/PowerShell</v>
      </c>
      <c r="I4426" s="9" t="str">
        <f>IFERROR(__xludf.DUMMYFUNCTION("""COMPUTED_VALUE"""),"Bash/Shell/PowerShell")</f>
        <v>Bash/Shell/PowerShell</v>
      </c>
      <c r="J4426" s="9" t="str">
        <f>IFERROR(__xludf.DUMMYFUNCTION("""COMPUTED_VALUE"""),"Java")</f>
        <v>Java</v>
      </c>
      <c r="K4426" s="9" t="str">
        <f>IFERROR(__xludf.DUMMYFUNCTION("""COMPUTED_VALUE"""),"HTML/CSS")</f>
        <v>HTML/CSS</v>
      </c>
      <c r="L4426" s="9" t="str">
        <f>IFERROR(__xludf.DUMMYFUNCTION("""COMPUTED_VALUE"""),"Java")</f>
        <v>Java</v>
      </c>
      <c r="M4426" s="9" t="s">
        <v>41</v>
      </c>
    </row>
    <row r="4427" ht="15.75" customHeight="1">
      <c r="A4427" s="7"/>
      <c r="B4427" s="7" t="str">
        <f>IFERROR(__xludf.DUMMYFUNCTION("""COMPUTED_VALUE"""),"C;HTML/CSS;JavaScript;PHP;SQL")</f>
        <v>C;HTML/CSS;JavaScript;PHP;SQL</v>
      </c>
      <c r="C4427" s="9" t="str">
        <f>IFERROR(__xludf.DUMMYFUNCTION("""COMPUTED_VALUE"""),"SQL")</f>
        <v>SQL</v>
      </c>
      <c r="D4427" s="9" t="str">
        <f>IFERROR(__xludf.DUMMYFUNCTION("""COMPUTED_VALUE"""),"Python")</f>
        <v>Python</v>
      </c>
      <c r="E4427" s="9" t="str">
        <f>IFERROR(__xludf.DUMMYFUNCTION("""COMPUTED_VALUE"""),"Rust")</f>
        <v>Rust</v>
      </c>
      <c r="F4427" s="9" t="str">
        <f>IFERROR(__xludf.DUMMYFUNCTION("""COMPUTED_VALUE"""),"Java")</f>
        <v>Java</v>
      </c>
      <c r="G4427" s="9" t="str">
        <f>IFERROR(__xludf.DUMMYFUNCTION("""COMPUTED_VALUE"""),"SQL")</f>
        <v>SQL</v>
      </c>
      <c r="H4427" s="9" t="str">
        <f>IFERROR(__xludf.DUMMYFUNCTION("""COMPUTED_VALUE"""),"C")</f>
        <v>C</v>
      </c>
      <c r="I4427" s="9" t="str">
        <f>IFERROR(__xludf.DUMMYFUNCTION("""COMPUTED_VALUE"""),"C#")</f>
        <v>C#</v>
      </c>
      <c r="J4427" s="9" t="str">
        <f>IFERROR(__xludf.DUMMYFUNCTION("""COMPUTED_VALUE"""),"Ruby")</f>
        <v>Ruby</v>
      </c>
      <c r="K4427" s="9" t="str">
        <f>IFERROR(__xludf.DUMMYFUNCTION("""COMPUTED_VALUE"""),"Java")</f>
        <v>Java</v>
      </c>
      <c r="L4427" s="9" t="str">
        <f>IFERROR(__xludf.DUMMYFUNCTION("""COMPUTED_VALUE"""),"C")</f>
        <v>C</v>
      </c>
      <c r="M4427" s="9" t="s">
        <v>27</v>
      </c>
    </row>
    <row r="4428" ht="15.75" customHeight="1">
      <c r="A4428" s="7"/>
      <c r="B4428" s="7" t="str">
        <f>IFERROR(__xludf.DUMMYFUNCTION("""COMPUTED_VALUE"""),"C;Dart;F#;HTML/CSS;Java;PHP;Python;R;Scala;SQL;Swift")</f>
        <v>C;Dart;F#;HTML/CSS;Java;PHP;Python;R;Scala;SQL;Swift</v>
      </c>
      <c r="C4428" s="9" t="str">
        <f>IFERROR(__xludf.DUMMYFUNCTION("""COMPUTED_VALUE"""),"Swift")</f>
        <v>Swift</v>
      </c>
      <c r="D4428" s="9" t="str">
        <f>IFERROR(__xludf.DUMMYFUNCTION("""COMPUTED_VALUE"""),"SQL")</f>
        <v>SQL</v>
      </c>
      <c r="E4428" s="9" t="str">
        <f>IFERROR(__xludf.DUMMYFUNCTION("""COMPUTED_VALUE"""),"SQL")</f>
        <v>SQL</v>
      </c>
      <c r="F4428" s="9" t="str">
        <f>IFERROR(__xludf.DUMMYFUNCTION("""COMPUTED_VALUE"""),"JavaScript")</f>
        <v>JavaScript</v>
      </c>
      <c r="G4428" s="9" t="str">
        <f>IFERROR(__xludf.DUMMYFUNCTION("""COMPUTED_VALUE"""),"Bash/Shell/PowerShell")</f>
        <v>Bash/Shell/PowerShell</v>
      </c>
      <c r="H4428" s="9" t="str">
        <f>IFERROR(__xludf.DUMMYFUNCTION("""COMPUTED_VALUE"""),"C++")</f>
        <v>C++</v>
      </c>
      <c r="I4428" s="9" t="str">
        <f>IFERROR(__xludf.DUMMYFUNCTION("""COMPUTED_VALUE"""),"HTML/CSS")</f>
        <v>HTML/CSS</v>
      </c>
      <c r="J4428" s="9" t="str">
        <f>IFERROR(__xludf.DUMMYFUNCTION("""COMPUTED_VALUE"""),"Scala")</f>
        <v>Scala</v>
      </c>
      <c r="K4428" s="9" t="str">
        <f>IFERROR(__xludf.DUMMYFUNCTION("""COMPUTED_VALUE"""),"JavaScript")</f>
        <v>JavaScript</v>
      </c>
      <c r="L4428" s="9" t="str">
        <f>IFERROR(__xludf.DUMMYFUNCTION("""COMPUTED_VALUE"""),"C++")</f>
        <v>C++</v>
      </c>
      <c r="M4428" s="9" t="s">
        <v>40</v>
      </c>
    </row>
    <row r="4429" ht="15.75" customHeight="1">
      <c r="A4429" s="7"/>
      <c r="B4429" s="7" t="str">
        <f>IFERROR(__xludf.DUMMYFUNCTION("""COMPUTED_VALUE"""),"Bash/Shell/PowerShell;C;C++;Elixir;HTML/CSS;JavaScript;Rust;TypeScript;WebAssembly")</f>
        <v>Bash/Shell/PowerShell;C;C++;Elixir;HTML/CSS;JavaScript;Rust;TypeScript;WebAssembly</v>
      </c>
      <c r="C4429" s="9" t="str">
        <f>IFERROR(__xludf.DUMMYFUNCTION("""COMPUTED_VALUE"""),"Bash/Shell/PowerShell")</f>
        <v>Bash/Shell/PowerShell</v>
      </c>
      <c r="D4429" s="9" t="str">
        <f>IFERROR(__xludf.DUMMYFUNCTION("""COMPUTED_VALUE"""),"TypeScript")</f>
        <v>TypeScript</v>
      </c>
      <c r="E4429" s="9" t="str">
        <f>IFERROR(__xludf.DUMMYFUNCTION("""COMPUTED_VALUE"""),"Swift")</f>
        <v>Swift</v>
      </c>
      <c r="F4429" s="9" t="str">
        <f>IFERROR(__xludf.DUMMYFUNCTION("""COMPUTED_VALUE"""),"PHP")</f>
        <v>PHP</v>
      </c>
      <c r="G4429" s="9" t="str">
        <f>IFERROR(__xludf.DUMMYFUNCTION("""COMPUTED_VALUE"""),"C#")</f>
        <v>C#</v>
      </c>
      <c r="H4429" s="9" t="str">
        <f>IFERROR(__xludf.DUMMYFUNCTION("""COMPUTED_VALUE"""),"C#")</f>
        <v>C#</v>
      </c>
      <c r="I4429" s="9" t="str">
        <f>IFERROR(__xludf.DUMMYFUNCTION("""COMPUTED_VALUE"""),"JavaScript")</f>
        <v>JavaScript</v>
      </c>
      <c r="J4429" s="9" t="str">
        <f>IFERROR(__xludf.DUMMYFUNCTION("""COMPUTED_VALUE"""),"SQL")</f>
        <v>SQL</v>
      </c>
      <c r="K4429" s="9" t="str">
        <f>IFERROR(__xludf.DUMMYFUNCTION("""COMPUTED_VALUE"""),"VBA")</f>
        <v>VBA</v>
      </c>
      <c r="L4429" s="9" t="str">
        <f>IFERROR(__xludf.DUMMYFUNCTION("""COMPUTED_VALUE"""),"Ruby")</f>
        <v>Ruby</v>
      </c>
      <c r="M4429" s="9" t="s">
        <v>30</v>
      </c>
    </row>
    <row r="4430" ht="15.75" customHeight="1">
      <c r="A4430" s="7"/>
      <c r="B4430" s="7" t="str">
        <f>IFERROR(__xludf.DUMMYFUNCTION("""COMPUTED_VALUE"""),"HTML/CSS;JavaScript;SQL")</f>
        <v>HTML/CSS;JavaScript;SQL</v>
      </c>
      <c r="C4430" s="9" t="str">
        <f>IFERROR(__xludf.DUMMYFUNCTION("""COMPUTED_VALUE"""),"Python")</f>
        <v>Python</v>
      </c>
      <c r="D4430" s="9" t="str">
        <f>IFERROR(__xludf.DUMMYFUNCTION("""COMPUTED_VALUE"""),"Bash/Shell/PowerShell")</f>
        <v>Bash/Shell/PowerShell</v>
      </c>
      <c r="E4430" s="9" t="str">
        <f>IFERROR(__xludf.DUMMYFUNCTION("""COMPUTED_VALUE"""),"TypeScript")</f>
        <v>TypeScript</v>
      </c>
      <c r="F4430" s="9" t="str">
        <f>IFERROR(__xludf.DUMMYFUNCTION("""COMPUTED_VALUE"""),"Python")</f>
        <v>Python</v>
      </c>
      <c r="G4430" s="9" t="str">
        <f>IFERROR(__xludf.DUMMYFUNCTION("""COMPUTED_VALUE"""),"HTML/CSS")</f>
        <v>HTML/CSS</v>
      </c>
      <c r="H4430" s="9" t="str">
        <f>IFERROR(__xludf.DUMMYFUNCTION("""COMPUTED_VALUE"""),"Go")</f>
        <v>Go</v>
      </c>
      <c r="I4430" s="9" t="str">
        <f>IFERROR(__xludf.DUMMYFUNCTION("""COMPUTED_VALUE"""),"PHP")</f>
        <v>PHP</v>
      </c>
      <c r="J4430" s="9" t="str">
        <f>IFERROR(__xludf.DUMMYFUNCTION("""COMPUTED_VALUE"""),"C")</f>
        <v>C</v>
      </c>
      <c r="K4430" s="9" t="str">
        <f>IFERROR(__xludf.DUMMYFUNCTION("""COMPUTED_VALUE"""),"C")</f>
        <v>C</v>
      </c>
      <c r="L4430" s="9" t="str">
        <f>IFERROR(__xludf.DUMMYFUNCTION("""COMPUTED_VALUE"""),"Other(s):")</f>
        <v>Other(s):</v>
      </c>
      <c r="M4430" s="9" t="s">
        <v>22</v>
      </c>
    </row>
    <row r="4431" ht="15.75" customHeight="1">
      <c r="A4431" s="7"/>
      <c r="B4431" s="7" t="str">
        <f>IFERROR(__xludf.DUMMYFUNCTION("""COMPUTED_VALUE"""),"HTML/CSS;JavaScript")</f>
        <v>HTML/CSS;JavaScript</v>
      </c>
      <c r="C4431" s="9" t="str">
        <f>IFERROR(__xludf.DUMMYFUNCTION("""COMPUTED_VALUE"""),"R")</f>
        <v>R</v>
      </c>
      <c r="D4431" s="9" t="str">
        <f>IFERROR(__xludf.DUMMYFUNCTION("""COMPUTED_VALUE"""),"Dart")</f>
        <v>Dart</v>
      </c>
      <c r="E4431" s="9" t="str">
        <f>IFERROR(__xludf.DUMMYFUNCTION("""COMPUTED_VALUE"""),"WebAssembly")</f>
        <v>WebAssembly</v>
      </c>
      <c r="F4431" s="9" t="str">
        <f>IFERROR(__xludf.DUMMYFUNCTION("""COMPUTED_VALUE"""),"R")</f>
        <v>R</v>
      </c>
      <c r="G4431" s="9" t="str">
        <f>IFERROR(__xludf.DUMMYFUNCTION("""COMPUTED_VALUE"""),"Java")</f>
        <v>Java</v>
      </c>
      <c r="H4431" s="9" t="str">
        <f>IFERROR(__xludf.DUMMYFUNCTION("""COMPUTED_VALUE"""),"HTML/CSS")</f>
        <v>HTML/CSS</v>
      </c>
      <c r="I4431" s="9" t="str">
        <f>IFERROR(__xludf.DUMMYFUNCTION("""COMPUTED_VALUE"""),"Python")</f>
        <v>Python</v>
      </c>
      <c r="J4431" s="9" t="str">
        <f>IFERROR(__xludf.DUMMYFUNCTION("""COMPUTED_VALUE"""),"C++")</f>
        <v>C++</v>
      </c>
      <c r="K4431" s="9" t="str">
        <f>IFERROR(__xludf.DUMMYFUNCTION("""COMPUTED_VALUE"""),"C++")</f>
        <v>C++</v>
      </c>
      <c r="L4431" s="9" t="str">
        <f>IFERROR(__xludf.DUMMYFUNCTION("""COMPUTED_VALUE"""),"Java")</f>
        <v>Java</v>
      </c>
      <c r="M4431" s="9" t="s">
        <v>29</v>
      </c>
    </row>
    <row r="4432" ht="15.75" customHeight="1">
      <c r="A4432" s="7"/>
      <c r="B4432" s="7" t="str">
        <f>IFERROR(__xludf.DUMMYFUNCTION("""COMPUTED_VALUE"""),"Bash/Shell/PowerShell;C++;C#;JavaScript;Python;Swift")</f>
        <v>Bash/Shell/PowerShell;C++;C#;JavaScript;Python;Swift</v>
      </c>
      <c r="C4432" s="9" t="str">
        <f>IFERROR(__xludf.DUMMYFUNCTION("""COMPUTED_VALUE"""),"Other(s):")</f>
        <v>Other(s):</v>
      </c>
      <c r="D4432" s="9" t="str">
        <f>IFERROR(__xludf.DUMMYFUNCTION("""COMPUTED_VALUE"""),"HTML/CSS")</f>
        <v>HTML/CSS</v>
      </c>
      <c r="E4432" s="9" t="str">
        <f>IFERROR(__xludf.DUMMYFUNCTION("""COMPUTED_VALUE"""),"Assembly")</f>
        <v>Assembly</v>
      </c>
      <c r="F4432" s="9" t="str">
        <f>IFERROR(__xludf.DUMMYFUNCTION("""COMPUTED_VALUE"""),"SQL")</f>
        <v>SQL</v>
      </c>
      <c r="G4432" s="9" t="str">
        <f>IFERROR(__xludf.DUMMYFUNCTION("""COMPUTED_VALUE"""),"JavaScript")</f>
        <v>JavaScript</v>
      </c>
      <c r="H4432" s="9" t="str">
        <f>IFERROR(__xludf.DUMMYFUNCTION("""COMPUTED_VALUE"""),"Java")</f>
        <v>Java</v>
      </c>
      <c r="I4432" s="9" t="str">
        <f>IFERROR(__xludf.DUMMYFUNCTION("""COMPUTED_VALUE"""),"Scala")</f>
        <v>Scala</v>
      </c>
      <c r="J4432" s="9" t="str">
        <f>IFERROR(__xludf.DUMMYFUNCTION("""COMPUTED_VALUE"""),"Java")</f>
        <v>Java</v>
      </c>
      <c r="K4432" s="9" t="str">
        <f>IFERROR(__xludf.DUMMYFUNCTION("""COMPUTED_VALUE"""),"Go")</f>
        <v>Go</v>
      </c>
      <c r="L4432" s="9" t="str">
        <f>IFERROR(__xludf.DUMMYFUNCTION("""COMPUTED_VALUE"""),"JavaScript")</f>
        <v>JavaScript</v>
      </c>
      <c r="M4432" s="9" t="s">
        <v>35</v>
      </c>
    </row>
    <row r="4433" ht="15.75" customHeight="1">
      <c r="A4433" s="7"/>
      <c r="B4433" s="7" t="str">
        <f>IFERROR(__xludf.DUMMYFUNCTION("""COMPUTED_VALUE"""),"HTML/CSS;JavaScript;TypeScript;WebAssembly")</f>
        <v>HTML/CSS;JavaScript;TypeScript;WebAssembly</v>
      </c>
      <c r="C4433" s="9" t="str">
        <f>IFERROR(__xludf.DUMMYFUNCTION("""COMPUTED_VALUE"""),"Dart")</f>
        <v>Dart</v>
      </c>
      <c r="D4433" s="9" t="str">
        <f>IFERROR(__xludf.DUMMYFUNCTION("""COMPUTED_VALUE"""),"Java")</f>
        <v>Java</v>
      </c>
      <c r="E4433" s="9" t="str">
        <f>IFERROR(__xludf.DUMMYFUNCTION("""COMPUTED_VALUE"""),"C")</f>
        <v>C</v>
      </c>
      <c r="F4433" s="9" t="str">
        <f>IFERROR(__xludf.DUMMYFUNCTION("""COMPUTED_VALUE"""),"Swift")</f>
        <v>Swift</v>
      </c>
      <c r="G4433" s="9" t="str">
        <f>IFERROR(__xludf.DUMMYFUNCTION("""COMPUTED_VALUE"""),"Objective-C")</f>
        <v>Objective-C</v>
      </c>
      <c r="H4433" s="9" t="str">
        <f>IFERROR(__xludf.DUMMYFUNCTION("""COMPUTED_VALUE"""),"JavaScript")</f>
        <v>JavaScript</v>
      </c>
      <c r="I4433" s="9" t="str">
        <f>IFERROR(__xludf.DUMMYFUNCTION("""COMPUTED_VALUE"""),"SQL")</f>
        <v>SQL</v>
      </c>
      <c r="J4433" s="9" t="str">
        <f>IFERROR(__xludf.DUMMYFUNCTION("""COMPUTED_VALUE"""),"Other(s):")</f>
        <v>Other(s):</v>
      </c>
      <c r="K4433" s="9" t="str">
        <f>IFERROR(__xludf.DUMMYFUNCTION("""COMPUTED_VALUE"""),"HTML/CSS")</f>
        <v>HTML/CSS</v>
      </c>
      <c r="L4433" s="9" t="str">
        <f>IFERROR(__xludf.DUMMYFUNCTION("""COMPUTED_VALUE"""),"Kotlin")</f>
        <v>Kotlin</v>
      </c>
      <c r="M4433" s="9" t="s">
        <v>47</v>
      </c>
    </row>
    <row r="4434" ht="15.75" customHeight="1">
      <c r="A4434" s="7"/>
      <c r="B4434" s="7" t="str">
        <f>IFERROR(__xludf.DUMMYFUNCTION("""COMPUTED_VALUE"""),"Assembly;C++;Dart;HTML/CSS;JavaScript;PHP;Python;SQL;TypeScript")</f>
        <v>Assembly;C++;Dart;HTML/CSS;JavaScript;PHP;Python;SQL;TypeScript</v>
      </c>
      <c r="C4434" s="9" t="str">
        <f>IFERROR(__xludf.DUMMYFUNCTION("""COMPUTED_VALUE"""),"Java")</f>
        <v>Java</v>
      </c>
      <c r="D4434" s="9" t="str">
        <f>IFERROR(__xludf.DUMMYFUNCTION("""COMPUTED_VALUE"""),"JavaScript")</f>
        <v>JavaScript</v>
      </c>
      <c r="E4434" s="9" t="str">
        <f>IFERROR(__xludf.DUMMYFUNCTION("""COMPUTED_VALUE"""),"C++")</f>
        <v>C++</v>
      </c>
      <c r="F4434" s="9" t="str">
        <f>IFERROR(__xludf.DUMMYFUNCTION("""COMPUTED_VALUE"""),"Other(s):")</f>
        <v>Other(s):</v>
      </c>
      <c r="G4434" s="9" t="str">
        <f>IFERROR(__xludf.DUMMYFUNCTION("""COMPUTED_VALUE"""),"PHP")</f>
        <v>PHP</v>
      </c>
      <c r="H4434" s="9" t="str">
        <f>IFERROR(__xludf.DUMMYFUNCTION("""COMPUTED_VALUE"""),"PHP")</f>
        <v>PHP</v>
      </c>
      <c r="I4434" s="9" t="str">
        <f>IFERROR(__xludf.DUMMYFUNCTION("""COMPUTED_VALUE"""),"C++")</f>
        <v>C++</v>
      </c>
      <c r="J4434" s="9" t="str">
        <f>IFERROR(__xludf.DUMMYFUNCTION("""COMPUTED_VALUE"""),"Bash/Shell/PowerShell")</f>
        <v>Bash/Shell/PowerShell</v>
      </c>
      <c r="K4434" s="9" t="str">
        <f>IFERROR(__xludf.DUMMYFUNCTION("""COMPUTED_VALUE"""),"JavaScript")</f>
        <v>JavaScript</v>
      </c>
      <c r="L4434" s="9" t="str">
        <f>IFERROR(__xludf.DUMMYFUNCTION("""COMPUTED_VALUE"""),"Python")</f>
        <v>Python</v>
      </c>
      <c r="M4434" s="9" t="s">
        <v>20</v>
      </c>
    </row>
    <row r="4435" ht="15.75" customHeight="1">
      <c r="A4435" s="7"/>
      <c r="B4435" s="7" t="str">
        <f>IFERROR(__xludf.DUMMYFUNCTION("""COMPUTED_VALUE"""),"Elixir;Swift")</f>
        <v>Elixir;Swift</v>
      </c>
      <c r="C4435" s="9" t="str">
        <f>IFERROR(__xludf.DUMMYFUNCTION("""COMPUTED_VALUE"""),"JavaScript")</f>
        <v>JavaScript</v>
      </c>
      <c r="D4435" s="9" t="str">
        <f>IFERROR(__xludf.DUMMYFUNCTION("""COMPUTED_VALUE"""),"Kotlin")</f>
        <v>Kotlin</v>
      </c>
      <c r="E4435" s="9" t="str">
        <f>IFERROR(__xludf.DUMMYFUNCTION("""COMPUTED_VALUE"""),"HTML/CSS")</f>
        <v>HTML/CSS</v>
      </c>
      <c r="F4435" s="9" t="str">
        <f>IFERROR(__xludf.DUMMYFUNCTION("""COMPUTED_VALUE"""),"Bash/Shell/PowerShell")</f>
        <v>Bash/Shell/PowerShell</v>
      </c>
      <c r="G4435" s="9" t="str">
        <f>IFERROR(__xludf.DUMMYFUNCTION("""COMPUTED_VALUE"""),"SQL")</f>
        <v>SQL</v>
      </c>
      <c r="H4435" s="9" t="str">
        <f>IFERROR(__xludf.DUMMYFUNCTION("""COMPUTED_VALUE"""),"Python")</f>
        <v>Python</v>
      </c>
      <c r="I4435" s="9" t="str">
        <f>IFERROR(__xludf.DUMMYFUNCTION("""COMPUTED_VALUE"""),"HTML/CSS")</f>
        <v>HTML/CSS</v>
      </c>
      <c r="J4435" s="9" t="str">
        <f>IFERROR(__xludf.DUMMYFUNCTION("""COMPUTED_VALUE"""),"Python")</f>
        <v>Python</v>
      </c>
      <c r="K4435" s="9" t="str">
        <f>IFERROR(__xludf.DUMMYFUNCTION("""COMPUTED_VALUE"""),"Python")</f>
        <v>Python</v>
      </c>
      <c r="L4435" s="9" t="str">
        <f>IFERROR(__xludf.DUMMYFUNCTION("""COMPUTED_VALUE"""),"Ruby")</f>
        <v>Ruby</v>
      </c>
      <c r="M4435" s="9" t="s">
        <v>21</v>
      </c>
    </row>
    <row r="4436" ht="15.75" customHeight="1">
      <c r="A4436" s="7"/>
      <c r="B4436" s="7" t="str">
        <f>IFERROR(__xludf.DUMMYFUNCTION("""COMPUTED_VALUE"""),"C#;HTML/CSS;Java;JavaScript;SQL;TypeScript;Other(s):")</f>
        <v>C#;HTML/CSS;Java;JavaScript;SQL;TypeScript;Other(s):</v>
      </c>
      <c r="C4436" s="9" t="str">
        <f>IFERROR(__xludf.DUMMYFUNCTION("""COMPUTED_VALUE"""),"Kotlin")</f>
        <v>Kotlin</v>
      </c>
      <c r="D4436" s="9" t="str">
        <f>IFERROR(__xludf.DUMMYFUNCTION("""COMPUTED_VALUE"""),"Objective-C")</f>
        <v>Objective-C</v>
      </c>
      <c r="E4436" s="9" t="str">
        <f>IFERROR(__xludf.DUMMYFUNCTION("""COMPUTED_VALUE"""),"Java")</f>
        <v>Java</v>
      </c>
      <c r="F4436" s="9" t="str">
        <f>IFERROR(__xludf.DUMMYFUNCTION("""COMPUTED_VALUE"""),"C++")</f>
        <v>C++</v>
      </c>
      <c r="G4436" s="9" t="str">
        <f>IFERROR(__xludf.DUMMYFUNCTION("""COMPUTED_VALUE"""),"Swift")</f>
        <v>Swift</v>
      </c>
      <c r="H4436" s="9" t="str">
        <f>IFERROR(__xludf.DUMMYFUNCTION("""COMPUTED_VALUE"""),"SQL")</f>
        <v>SQL</v>
      </c>
      <c r="I4436" s="9" t="str">
        <f>IFERROR(__xludf.DUMMYFUNCTION("""COMPUTED_VALUE"""),"Java")</f>
        <v>Java</v>
      </c>
      <c r="J4436" s="9" t="str">
        <f>IFERROR(__xludf.DUMMYFUNCTION("""COMPUTED_VALUE"""),"R")</f>
        <v>R</v>
      </c>
      <c r="K4436" s="9" t="str">
        <f>IFERROR(__xludf.DUMMYFUNCTION("""COMPUTED_VALUE"""),"Ruby")</f>
        <v>Ruby</v>
      </c>
      <c r="L4436" s="9" t="str">
        <f>IFERROR(__xludf.DUMMYFUNCTION("""COMPUTED_VALUE"""),"Scala")</f>
        <v>Scala</v>
      </c>
      <c r="M4436" s="9" t="s">
        <v>39</v>
      </c>
    </row>
    <row r="4437" ht="15.75" customHeight="1">
      <c r="A4437" s="7"/>
      <c r="B4437" s="7" t="str">
        <f>IFERROR(__xludf.DUMMYFUNCTION("""COMPUTED_VALUE"""),"Java;SQL")</f>
        <v>Java;SQL</v>
      </c>
      <c r="C4437" s="9" t="str">
        <f>IFERROR(__xludf.DUMMYFUNCTION("""COMPUTED_VALUE"""),"Swift")</f>
        <v>Swift</v>
      </c>
      <c r="D4437" s="9" t="str">
        <f>IFERROR(__xludf.DUMMYFUNCTION("""COMPUTED_VALUE"""),"PHP")</f>
        <v>PHP</v>
      </c>
      <c r="E4437" s="9" t="str">
        <f>IFERROR(__xludf.DUMMYFUNCTION("""COMPUTED_VALUE"""),"JavaScript")</f>
        <v>JavaScript</v>
      </c>
      <c r="F4437" s="9" t="str">
        <f>IFERROR(__xludf.DUMMYFUNCTION("""COMPUTED_VALUE"""),"C#")</f>
        <v>C#</v>
      </c>
      <c r="G4437" s="9" t="str">
        <f>IFERROR(__xludf.DUMMYFUNCTION("""COMPUTED_VALUE"""),"Assembly")</f>
        <v>Assembly</v>
      </c>
      <c r="H4437" s="9" t="str">
        <f>IFERROR(__xludf.DUMMYFUNCTION("""COMPUTED_VALUE"""),"Bash/Shell/PowerShell")</f>
        <v>Bash/Shell/PowerShell</v>
      </c>
      <c r="I4437" s="9" t="str">
        <f>IFERROR(__xludf.DUMMYFUNCTION("""COMPUTED_VALUE"""),"JavaScript")</f>
        <v>JavaScript</v>
      </c>
      <c r="J4437" s="9" t="str">
        <f>IFERROR(__xludf.DUMMYFUNCTION("""COMPUTED_VALUE"""),"SQL")</f>
        <v>SQL</v>
      </c>
      <c r="K4437" s="9" t="str">
        <f>IFERROR(__xludf.DUMMYFUNCTION("""COMPUTED_VALUE"""),"TypeScript")</f>
        <v>TypeScript</v>
      </c>
      <c r="L4437" s="9" t="str">
        <f>IFERROR(__xludf.DUMMYFUNCTION("""COMPUTED_VALUE"""),"Other(s):")</f>
        <v>Other(s):</v>
      </c>
      <c r="M4437" s="9" t="s">
        <v>40</v>
      </c>
    </row>
    <row r="4438" ht="15.75" customHeight="1">
      <c r="A4438" s="7"/>
      <c r="B4438" s="7" t="str">
        <f>IFERROR(__xludf.DUMMYFUNCTION("""COMPUTED_VALUE"""),"HTML/CSS;JavaScript;PHP;SQL")</f>
        <v>HTML/CSS;JavaScript;PHP;SQL</v>
      </c>
      <c r="C4438" s="9" t="str">
        <f>IFERROR(__xludf.DUMMYFUNCTION("""COMPUTED_VALUE"""),"C++")</f>
        <v>C++</v>
      </c>
      <c r="D4438" s="9" t="str">
        <f>IFERROR(__xludf.DUMMYFUNCTION("""COMPUTED_VALUE"""),"Python")</f>
        <v>Python</v>
      </c>
      <c r="E4438" s="9" t="str">
        <f>IFERROR(__xludf.DUMMYFUNCTION("""COMPUTED_VALUE"""),"Ruby")</f>
        <v>Ruby</v>
      </c>
      <c r="F4438" s="9" t="str">
        <f>IFERROR(__xludf.DUMMYFUNCTION("""COMPUTED_VALUE"""),"JavaScript")</f>
        <v>JavaScript</v>
      </c>
      <c r="G4438" s="9" t="str">
        <f>IFERROR(__xludf.DUMMYFUNCTION("""COMPUTED_VALUE"""),"Bash/Shell/PowerShell")</f>
        <v>Bash/Shell/PowerShell</v>
      </c>
      <c r="H4438" s="9" t="str">
        <f>IFERROR(__xludf.DUMMYFUNCTION("""COMPUTED_VALUE"""),"HTML/CSS")</f>
        <v>HTML/CSS</v>
      </c>
      <c r="I4438" s="9" t="str">
        <f>IFERROR(__xludf.DUMMYFUNCTION("""COMPUTED_VALUE"""),"Python")</f>
        <v>Python</v>
      </c>
      <c r="J4438" s="9" t="str">
        <f>IFERROR(__xludf.DUMMYFUNCTION("""COMPUTED_VALUE"""),"Assembly")</f>
        <v>Assembly</v>
      </c>
      <c r="K4438" s="9" t="str">
        <f>IFERROR(__xludf.DUMMYFUNCTION("""COMPUTED_VALUE"""),"C#")</f>
        <v>C#</v>
      </c>
      <c r="L4438" s="9" t="str">
        <f>IFERROR(__xludf.DUMMYFUNCTION("""COMPUTED_VALUE"""),"C#")</f>
        <v>C#</v>
      </c>
      <c r="M4438" s="9" t="s">
        <v>23</v>
      </c>
    </row>
    <row r="4439" ht="15.75" customHeight="1">
      <c r="A4439" s="7"/>
      <c r="B4439" s="7" t="str">
        <f>IFERROR(__xludf.DUMMYFUNCTION("""COMPUTED_VALUE"""),"Bash/Shell/PowerShell;C;C++;Clojure;HTML/CSS;Java;JavaScript")</f>
        <v>Bash/Shell/PowerShell;C;C++;Clojure;HTML/CSS;Java;JavaScript</v>
      </c>
      <c r="C4439" s="9" t="str">
        <f>IFERROR(__xludf.DUMMYFUNCTION("""COMPUTED_VALUE"""),"C#")</f>
        <v>C#</v>
      </c>
      <c r="D4439" s="9" t="str">
        <f>IFERROR(__xludf.DUMMYFUNCTION("""COMPUTED_VALUE"""),"SQL")</f>
        <v>SQL</v>
      </c>
      <c r="E4439" s="9" t="str">
        <f>IFERROR(__xludf.DUMMYFUNCTION("""COMPUTED_VALUE"""),"Bash/Shell/PowerShell")</f>
        <v>Bash/Shell/PowerShell</v>
      </c>
      <c r="F4439" s="9" t="str">
        <f>IFERROR(__xludf.DUMMYFUNCTION("""COMPUTED_VALUE"""),"TypeScript")</f>
        <v>TypeScript</v>
      </c>
      <c r="G4439" s="9" t="str">
        <f>IFERROR(__xludf.DUMMYFUNCTION("""COMPUTED_VALUE"""),"C")</f>
        <v>C</v>
      </c>
      <c r="H4439" s="9" t="str">
        <f>IFERROR(__xludf.DUMMYFUNCTION("""COMPUTED_VALUE"""),"JavaScript")</f>
        <v>JavaScript</v>
      </c>
      <c r="I4439" s="9" t="str">
        <f>IFERROR(__xludf.DUMMYFUNCTION("""COMPUTED_VALUE"""),"TypeScript")</f>
        <v>TypeScript</v>
      </c>
      <c r="J4439" s="9" t="str">
        <f>IFERROR(__xludf.DUMMYFUNCTION("""COMPUTED_VALUE"""),"Ruby")</f>
        <v>Ruby</v>
      </c>
      <c r="K4439" s="9" t="str">
        <f>IFERROR(__xludf.DUMMYFUNCTION("""COMPUTED_VALUE"""),"HTML/CSS")</f>
        <v>HTML/CSS</v>
      </c>
      <c r="L4439" s="9" t="str">
        <f>IFERROR(__xludf.DUMMYFUNCTION("""COMPUTED_VALUE"""),"HTML/CSS")</f>
        <v>HTML/CSS</v>
      </c>
      <c r="M4439" s="9" t="s">
        <v>26</v>
      </c>
    </row>
    <row r="4440" ht="15.75" customHeight="1">
      <c r="A4440" s="7"/>
      <c r="B4440" s="7" t="str">
        <f>IFERROR(__xludf.DUMMYFUNCTION("""COMPUTED_VALUE"""),"Bash/Shell/PowerShell;C#;HTML/CSS;TypeScript")</f>
        <v>Bash/Shell/PowerShell;C#;HTML/CSS;TypeScript</v>
      </c>
      <c r="C4440" s="9" t="str">
        <f>IFERROR(__xludf.DUMMYFUNCTION("""COMPUTED_VALUE"""),"HTML/CSS")</f>
        <v>HTML/CSS</v>
      </c>
      <c r="D4440" s="9" t="str">
        <f>IFERROR(__xludf.DUMMYFUNCTION("""COMPUTED_VALUE"""),"Swift")</f>
        <v>Swift</v>
      </c>
      <c r="E4440" s="9" t="str">
        <f>IFERROR(__xludf.DUMMYFUNCTION("""COMPUTED_VALUE"""),"Go")</f>
        <v>Go</v>
      </c>
      <c r="F4440" s="9" t="str">
        <f>IFERROR(__xludf.DUMMYFUNCTION("""COMPUTED_VALUE"""),"C#")</f>
        <v>C#</v>
      </c>
      <c r="G4440" s="9" t="str">
        <f>IFERROR(__xludf.DUMMYFUNCTION("""COMPUTED_VALUE"""),"C++")</f>
        <v>C++</v>
      </c>
      <c r="H4440" s="9" t="str">
        <f>IFERROR(__xludf.DUMMYFUNCTION("""COMPUTED_VALUE"""),"Python")</f>
        <v>Python</v>
      </c>
      <c r="I4440" s="9" t="str">
        <f>IFERROR(__xludf.DUMMYFUNCTION("""COMPUTED_VALUE"""),"C#")</f>
        <v>C#</v>
      </c>
      <c r="J4440" s="9" t="str">
        <f>IFERROR(__xludf.DUMMYFUNCTION("""COMPUTED_VALUE"""),"WebAssembly")</f>
        <v>WebAssembly</v>
      </c>
      <c r="K4440" s="9" t="str">
        <f>IFERROR(__xludf.DUMMYFUNCTION("""COMPUTED_VALUE"""),"JavaScript")</f>
        <v>JavaScript</v>
      </c>
      <c r="L4440" s="9" t="str">
        <f>IFERROR(__xludf.DUMMYFUNCTION("""COMPUTED_VALUE"""),"JavaScript")</f>
        <v>JavaScript</v>
      </c>
      <c r="M4440" s="9" t="s">
        <v>24</v>
      </c>
    </row>
    <row r="4441" ht="15.75" customHeight="1">
      <c r="A4441" s="7"/>
      <c r="B4441" s="7" t="str">
        <f>IFERROR(__xludf.DUMMYFUNCTION("""COMPUTED_VALUE"""),"Bash/Shell/PowerShell;C++;HTML/CSS;Java;JavaScript;Python")</f>
        <v>Bash/Shell/PowerShell;C++;HTML/CSS;Java;JavaScript;Python</v>
      </c>
      <c r="C4441" s="9" t="str">
        <f>IFERROR(__xludf.DUMMYFUNCTION("""COMPUTED_VALUE"""),"JavaScript")</f>
        <v>JavaScript</v>
      </c>
      <c r="D4441" s="9" t="str">
        <f>IFERROR(__xludf.DUMMYFUNCTION("""COMPUTED_VALUE"""),"Assembly")</f>
        <v>Assembly</v>
      </c>
      <c r="E4441" s="9" t="str">
        <f>IFERROR(__xludf.DUMMYFUNCTION("""COMPUTED_VALUE"""),"HTML/CSS")</f>
        <v>HTML/CSS</v>
      </c>
      <c r="F4441" s="9" t="str">
        <f>IFERROR(__xludf.DUMMYFUNCTION("""COMPUTED_VALUE"""),"HTML/CSS")</f>
        <v>HTML/CSS</v>
      </c>
      <c r="G4441" s="9" t="str">
        <f>IFERROR(__xludf.DUMMYFUNCTION("""COMPUTED_VALUE"""),"HTML/CSS")</f>
        <v>HTML/CSS</v>
      </c>
      <c r="H4441" s="9" t="str">
        <f>IFERROR(__xludf.DUMMYFUNCTION("""COMPUTED_VALUE"""),"Ruby")</f>
        <v>Ruby</v>
      </c>
      <c r="I4441" s="9" t="str">
        <f>IFERROR(__xludf.DUMMYFUNCTION("""COMPUTED_VALUE"""),"HTML/CSS")</f>
        <v>HTML/CSS</v>
      </c>
      <c r="J4441" s="9" t="str">
        <f>IFERROR(__xludf.DUMMYFUNCTION("""COMPUTED_VALUE"""),"Other(s):")</f>
        <v>Other(s):</v>
      </c>
      <c r="K4441" s="9" t="str">
        <f>IFERROR(__xludf.DUMMYFUNCTION("""COMPUTED_VALUE"""),"SQL")</f>
        <v>SQL</v>
      </c>
      <c r="L4441" s="9" t="str">
        <f>IFERROR(__xludf.DUMMYFUNCTION("""COMPUTED_VALUE"""),"SQL")</f>
        <v>SQL</v>
      </c>
      <c r="M4441" s="9" t="s">
        <v>21</v>
      </c>
    </row>
    <row r="4442" ht="15.75" customHeight="1">
      <c r="A4442" s="7"/>
      <c r="B4442" s="7" t="str">
        <f>IFERROR(__xludf.DUMMYFUNCTION("""COMPUTED_VALUE"""),"C;C++;HTML/CSS;Java;JavaScript;PHP;Python")</f>
        <v>C;C++;HTML/CSS;Java;JavaScript;PHP;Python</v>
      </c>
      <c r="C4442" s="9" t="str">
        <f>IFERROR(__xludf.DUMMYFUNCTION("""COMPUTED_VALUE"""),"SQL")</f>
        <v>SQL</v>
      </c>
      <c r="D4442" s="9" t="str">
        <f>IFERROR(__xludf.DUMMYFUNCTION("""COMPUTED_VALUE"""),"C")</f>
        <v>C</v>
      </c>
      <c r="E4442" s="9" t="str">
        <f>IFERROR(__xludf.DUMMYFUNCTION("""COMPUTED_VALUE"""),"Kotlin")</f>
        <v>Kotlin</v>
      </c>
      <c r="F4442" s="9" t="str">
        <f>IFERROR(__xludf.DUMMYFUNCTION("""COMPUTED_VALUE"""),"JavaScript")</f>
        <v>JavaScript</v>
      </c>
      <c r="G4442" s="9" t="str">
        <f>IFERROR(__xludf.DUMMYFUNCTION("""COMPUTED_VALUE"""),"JavaScript")</f>
        <v>JavaScript</v>
      </c>
      <c r="H4442" s="9" t="str">
        <f>IFERROR(__xludf.DUMMYFUNCTION("""COMPUTED_VALUE"""),"SQL")</f>
        <v>SQL</v>
      </c>
      <c r="I4442" s="9" t="str">
        <f>IFERROR(__xludf.DUMMYFUNCTION("""COMPUTED_VALUE"""),"JavaScript")</f>
        <v>JavaScript</v>
      </c>
      <c r="J4442" s="9" t="str">
        <f>IFERROR(__xludf.DUMMYFUNCTION("""COMPUTED_VALUE"""),"C#")</f>
        <v>C#</v>
      </c>
      <c r="K4442" s="9" t="str">
        <f>IFERROR(__xludf.DUMMYFUNCTION("""COMPUTED_VALUE"""),"HTML/CSS")</f>
        <v>HTML/CSS</v>
      </c>
      <c r="L4442" s="9" t="str">
        <f>IFERROR(__xludf.DUMMYFUNCTION("""COMPUTED_VALUE"""),"Python")</f>
        <v>Python</v>
      </c>
      <c r="M4442" s="9" t="s">
        <v>27</v>
      </c>
    </row>
    <row r="4443" ht="15.75" customHeight="1">
      <c r="A4443" s="7"/>
      <c r="B4443" s="7" t="str">
        <f>IFERROR(__xludf.DUMMYFUNCTION("""COMPUTED_VALUE"""),"HTML/CSS;Java;JavaScript;PHP;Python;R;SQL")</f>
        <v>HTML/CSS;Java;JavaScript;PHP;Python;R;SQL</v>
      </c>
      <c r="C4443" s="9" t="str">
        <f>IFERROR(__xludf.DUMMYFUNCTION("""COMPUTED_VALUE"""),"TypeScript")</f>
        <v>TypeScript</v>
      </c>
      <c r="D4443" s="9" t="str">
        <f>IFERROR(__xludf.DUMMYFUNCTION("""COMPUTED_VALUE"""),"C++")</f>
        <v>C++</v>
      </c>
      <c r="E4443" s="9" t="str">
        <f>IFERROR(__xludf.DUMMYFUNCTION("""COMPUTED_VALUE"""),"Python")</f>
        <v>Python</v>
      </c>
      <c r="F4443" s="9" t="str">
        <f>IFERROR(__xludf.DUMMYFUNCTION("""COMPUTED_VALUE"""),"Python")</f>
        <v>Python</v>
      </c>
      <c r="G4443" s="9" t="str">
        <f>IFERROR(__xludf.DUMMYFUNCTION("""COMPUTED_VALUE"""),"SQL")</f>
        <v>SQL</v>
      </c>
      <c r="H4443" s="9" t="str">
        <f>IFERROR(__xludf.DUMMYFUNCTION("""COMPUTED_VALUE"""),"C++")</f>
        <v>C++</v>
      </c>
      <c r="I4443" s="9" t="str">
        <f>IFERROR(__xludf.DUMMYFUNCTION("""COMPUTED_VALUE"""),"SQL")</f>
        <v>SQL</v>
      </c>
      <c r="J4443" s="9" t="str">
        <f>IFERROR(__xludf.DUMMYFUNCTION("""COMPUTED_VALUE"""),"HTML/CSS")</f>
        <v>HTML/CSS</v>
      </c>
      <c r="K4443" s="9" t="str">
        <f>IFERROR(__xludf.DUMMYFUNCTION("""COMPUTED_VALUE"""),"JavaScript")</f>
        <v>JavaScript</v>
      </c>
      <c r="L4443" s="9" t="str">
        <f>IFERROR(__xludf.DUMMYFUNCTION("""COMPUTED_VALUE"""),"VBA")</f>
        <v>VBA</v>
      </c>
      <c r="M4443" s="9" t="s">
        <v>33</v>
      </c>
    </row>
    <row r="4444" ht="15.75" customHeight="1">
      <c r="A4444" s="7"/>
      <c r="B4444" s="7" t="str">
        <f>IFERROR(__xludf.DUMMYFUNCTION("""COMPUTED_VALUE"""),"Bash/Shell/PowerShell;C#;HTML/CSS;JavaScript;SQL;TypeScript")</f>
        <v>Bash/Shell/PowerShell;C#;HTML/CSS;JavaScript;SQL;TypeScript</v>
      </c>
      <c r="C4444" s="9" t="str">
        <f>IFERROR(__xludf.DUMMYFUNCTION("""COMPUTED_VALUE"""),"Elixir")</f>
        <v>Elixir</v>
      </c>
      <c r="D4444" s="9" t="str">
        <f>IFERROR(__xludf.DUMMYFUNCTION("""COMPUTED_VALUE"""),"C#")</f>
        <v>C#</v>
      </c>
      <c r="E4444" s="9" t="str">
        <f>IFERROR(__xludf.DUMMYFUNCTION("""COMPUTED_VALUE"""),"SQL")</f>
        <v>SQL</v>
      </c>
      <c r="F4444" s="9" t="str">
        <f>IFERROR(__xludf.DUMMYFUNCTION("""COMPUTED_VALUE"""),"SQL")</f>
        <v>SQL</v>
      </c>
      <c r="G4444" s="9" t="str">
        <f>IFERROR(__xludf.DUMMYFUNCTION("""COMPUTED_VALUE"""),"Bash/Shell/PowerShell")</f>
        <v>Bash/Shell/PowerShell</v>
      </c>
      <c r="H4444" s="9" t="str">
        <f>IFERROR(__xludf.DUMMYFUNCTION("""COMPUTED_VALUE"""),"C#")</f>
        <v>C#</v>
      </c>
      <c r="I4444" s="9" t="str">
        <f>IFERROR(__xludf.DUMMYFUNCTION("""COMPUTED_VALUE"""),"Assembly")</f>
        <v>Assembly</v>
      </c>
      <c r="J4444" s="9" t="str">
        <f>IFERROR(__xludf.DUMMYFUNCTION("""COMPUTED_VALUE"""),"JavaScript")</f>
        <v>JavaScript</v>
      </c>
      <c r="K4444" s="9" t="str">
        <f>IFERROR(__xludf.DUMMYFUNCTION("""COMPUTED_VALUE"""),"SQL")</f>
        <v>SQL</v>
      </c>
      <c r="L4444" s="9" t="str">
        <f>IFERROR(__xludf.DUMMYFUNCTION("""COMPUTED_VALUE"""),"Bash/Shell/PowerShell")</f>
        <v>Bash/Shell/PowerShell</v>
      </c>
      <c r="M4444" s="9" t="s">
        <v>42</v>
      </c>
    </row>
    <row r="4445" ht="15.75" customHeight="1">
      <c r="A4445" s="7"/>
      <c r="B4445" s="7" t="str">
        <f>IFERROR(__xludf.DUMMYFUNCTION("""COMPUTED_VALUE"""),"HTML/CSS;Java;JavaScript;Python;Ruby;Swift")</f>
        <v>HTML/CSS;Java;JavaScript;Python;Ruby;Swift</v>
      </c>
      <c r="C4445" s="9" t="str">
        <f>IFERROR(__xludf.DUMMYFUNCTION("""COMPUTED_VALUE"""),"HTML/CSS")</f>
        <v>HTML/CSS</v>
      </c>
      <c r="D4445" s="9" t="str">
        <f>IFERROR(__xludf.DUMMYFUNCTION("""COMPUTED_VALUE"""),"HTML/CSS")</f>
        <v>HTML/CSS</v>
      </c>
      <c r="E4445" s="9" t="str">
        <f>IFERROR(__xludf.DUMMYFUNCTION("""COMPUTED_VALUE"""),"Bash/Shell/PowerShell")</f>
        <v>Bash/Shell/PowerShell</v>
      </c>
      <c r="F4445" s="9" t="str">
        <f>IFERROR(__xludf.DUMMYFUNCTION("""COMPUTED_VALUE"""),"Bash/Shell/PowerShell")</f>
        <v>Bash/Shell/PowerShell</v>
      </c>
      <c r="G4445" s="9" t="str">
        <f>IFERROR(__xludf.DUMMYFUNCTION("""COMPUTED_VALUE"""),"C")</f>
        <v>C</v>
      </c>
      <c r="H4445" s="9" t="str">
        <f>IFERROR(__xludf.DUMMYFUNCTION("""COMPUTED_VALUE"""),"HTML/CSS")</f>
        <v>HTML/CSS</v>
      </c>
      <c r="I4445" s="9" t="str">
        <f>IFERROR(__xludf.DUMMYFUNCTION("""COMPUTED_VALUE"""),"Bash/Shell/PowerShell")</f>
        <v>Bash/Shell/PowerShell</v>
      </c>
      <c r="J4445" s="9" t="str">
        <f>IFERROR(__xludf.DUMMYFUNCTION("""COMPUTED_VALUE"""),"Python")</f>
        <v>Python</v>
      </c>
      <c r="K4445" s="9" t="str">
        <f>IFERROR(__xludf.DUMMYFUNCTION("""COMPUTED_VALUE"""),"Bash/Shell/PowerShell")</f>
        <v>Bash/Shell/PowerShell</v>
      </c>
      <c r="L4445" s="9" t="str">
        <f>IFERROR(__xludf.DUMMYFUNCTION("""COMPUTED_VALUE"""),"Java")</f>
        <v>Java</v>
      </c>
      <c r="M4445" s="9" t="s">
        <v>24</v>
      </c>
    </row>
    <row r="4446" ht="15.75" customHeight="1">
      <c r="A4446" s="7"/>
      <c r="B4446" s="7" t="str">
        <f>IFERROR(__xludf.DUMMYFUNCTION("""COMPUTED_VALUE"""),"HTML/CSS;Java;JavaScript;PHP;SQL;Other(s):")</f>
        <v>HTML/CSS;Java;JavaScript;PHP;SQL;Other(s):</v>
      </c>
      <c r="C4446" s="9" t="str">
        <f>IFERROR(__xludf.DUMMYFUNCTION("""COMPUTED_VALUE"""),"JavaScript")</f>
        <v>JavaScript</v>
      </c>
      <c r="D4446" s="9" t="str">
        <f>IFERROR(__xludf.DUMMYFUNCTION("""COMPUTED_VALUE"""),"JavaScript")</f>
        <v>JavaScript</v>
      </c>
      <c r="E4446" s="9" t="str">
        <f>IFERROR(__xludf.DUMMYFUNCTION("""COMPUTED_VALUE"""),"Objective-C")</f>
        <v>Objective-C</v>
      </c>
      <c r="F4446" s="9" t="str">
        <f>IFERROR(__xludf.DUMMYFUNCTION("""COMPUTED_VALUE"""),"C#")</f>
        <v>C#</v>
      </c>
      <c r="G4446" s="9" t="str">
        <f>IFERROR(__xludf.DUMMYFUNCTION("""COMPUTED_VALUE"""),"HTML/CSS")</f>
        <v>HTML/CSS</v>
      </c>
      <c r="H4446" s="9" t="str">
        <f>IFERROR(__xludf.DUMMYFUNCTION("""COMPUTED_VALUE"""),"JavaScript")</f>
        <v>JavaScript</v>
      </c>
      <c r="I4446" s="9" t="str">
        <f>IFERROR(__xludf.DUMMYFUNCTION("""COMPUTED_VALUE"""),"C++")</f>
        <v>C++</v>
      </c>
      <c r="J4446" s="9" t="str">
        <f>IFERROR(__xludf.DUMMYFUNCTION("""COMPUTED_VALUE"""),"SQL")</f>
        <v>SQL</v>
      </c>
      <c r="K4446" s="9" t="str">
        <f>IFERROR(__xludf.DUMMYFUNCTION("""COMPUTED_VALUE"""),"Java")</f>
        <v>Java</v>
      </c>
      <c r="L4446" s="9" t="str">
        <f>IFERROR(__xludf.DUMMYFUNCTION("""COMPUTED_VALUE"""),"JavaScript")</f>
        <v>JavaScript</v>
      </c>
      <c r="M4446" s="9" t="s">
        <v>21</v>
      </c>
    </row>
    <row r="4447" ht="15.75" customHeight="1">
      <c r="A4447" s="7"/>
      <c r="B4447" s="7" t="str">
        <f>IFERROR(__xludf.DUMMYFUNCTION("""COMPUTED_VALUE"""),"HTML/CSS;JavaScript;Ruby;Rust;SQL")</f>
        <v>HTML/CSS;JavaScript;Ruby;Rust;SQL</v>
      </c>
      <c r="C4447" s="9" t="str">
        <f>IFERROR(__xludf.DUMMYFUNCTION("""COMPUTED_VALUE"""),"Python")</f>
        <v>Python</v>
      </c>
      <c r="D4447" s="9" t="str">
        <f>IFERROR(__xludf.DUMMYFUNCTION("""COMPUTED_VALUE"""),"SQL")</f>
        <v>SQL</v>
      </c>
      <c r="E4447" s="9" t="str">
        <f>IFERROR(__xludf.DUMMYFUNCTION("""COMPUTED_VALUE"""),"Python")</f>
        <v>Python</v>
      </c>
      <c r="F4447" s="9" t="str">
        <f>IFERROR(__xludf.DUMMYFUNCTION("""COMPUTED_VALUE"""),"HTML/CSS")</f>
        <v>HTML/CSS</v>
      </c>
      <c r="G4447" s="9" t="str">
        <f>IFERROR(__xludf.DUMMYFUNCTION("""COMPUTED_VALUE"""),"Java")</f>
        <v>Java</v>
      </c>
      <c r="H4447" s="9" t="str">
        <f>IFERROR(__xludf.DUMMYFUNCTION("""COMPUTED_VALUE"""),"PHP")</f>
        <v>PHP</v>
      </c>
      <c r="I4447" s="9" t="str">
        <f>IFERROR(__xludf.DUMMYFUNCTION("""COMPUTED_VALUE"""),"HTML/CSS")</f>
        <v>HTML/CSS</v>
      </c>
      <c r="J4447" s="9" t="str">
        <f>IFERROR(__xludf.DUMMYFUNCTION("""COMPUTED_VALUE"""),"HTML/CSS")</f>
        <v>HTML/CSS</v>
      </c>
      <c r="K4447" s="9" t="str">
        <f>IFERROR(__xludf.DUMMYFUNCTION("""COMPUTED_VALUE"""),"SQL")</f>
        <v>SQL</v>
      </c>
      <c r="L4447" s="9" t="str">
        <f>IFERROR(__xludf.DUMMYFUNCTION("""COMPUTED_VALUE"""),"Python")</f>
        <v>Python</v>
      </c>
      <c r="M4447" s="9" t="s">
        <v>22</v>
      </c>
    </row>
    <row r="4448" ht="15.75" customHeight="1">
      <c r="A4448" s="7"/>
      <c r="B4448" s="7" t="str">
        <f>IFERROR(__xludf.DUMMYFUNCTION("""COMPUTED_VALUE"""),"HTML/CSS;JavaScript;PHP;Ruby;SQL;TypeScript")</f>
        <v>HTML/CSS;JavaScript;PHP;Ruby;SQL;TypeScript</v>
      </c>
      <c r="C4448" s="9" t="str">
        <f>IFERROR(__xludf.DUMMYFUNCTION("""COMPUTED_VALUE"""),"Ruby")</f>
        <v>Ruby</v>
      </c>
      <c r="D4448" s="9" t="str">
        <f>IFERROR(__xludf.DUMMYFUNCTION("""COMPUTED_VALUE"""),"Bash/Shell/PowerShell")</f>
        <v>Bash/Shell/PowerShell</v>
      </c>
      <c r="E4448" s="9" t="str">
        <f>IFERROR(__xludf.DUMMYFUNCTION("""COMPUTED_VALUE"""),"Swift")</f>
        <v>Swift</v>
      </c>
      <c r="F4448" s="9" t="str">
        <f>IFERROR(__xludf.DUMMYFUNCTION("""COMPUTED_VALUE"""),"JavaScript")</f>
        <v>JavaScript</v>
      </c>
      <c r="G4448" s="9" t="str">
        <f>IFERROR(__xludf.DUMMYFUNCTION("""COMPUTED_VALUE"""),"JavaScript")</f>
        <v>JavaScript</v>
      </c>
      <c r="H4448" s="9" t="str">
        <f>IFERROR(__xludf.DUMMYFUNCTION("""COMPUTED_VALUE"""),"SQL")</f>
        <v>SQL</v>
      </c>
      <c r="I4448" s="9" t="str">
        <f>IFERROR(__xludf.DUMMYFUNCTION("""COMPUTED_VALUE"""),"Java")</f>
        <v>Java</v>
      </c>
      <c r="J4448" s="9" t="str">
        <f>IFERROR(__xludf.DUMMYFUNCTION("""COMPUTED_VALUE"""),"Java")</f>
        <v>Java</v>
      </c>
      <c r="K4448" s="9" t="str">
        <f>IFERROR(__xludf.DUMMYFUNCTION("""COMPUTED_VALUE"""),"HTML/CSS")</f>
        <v>HTML/CSS</v>
      </c>
      <c r="L4448" s="9" t="str">
        <f>IFERROR(__xludf.DUMMYFUNCTION("""COMPUTED_VALUE"""),"Bash/Shell/PowerShell")</f>
        <v>Bash/Shell/PowerShell</v>
      </c>
      <c r="M4448" s="9" t="s">
        <v>31</v>
      </c>
    </row>
    <row r="4449" ht="15.75" customHeight="1">
      <c r="A4449" s="7"/>
      <c r="B4449" s="7" t="str">
        <f>IFERROR(__xludf.DUMMYFUNCTION("""COMPUTED_VALUE"""),"HTML/CSS;JavaScript;PHP")</f>
        <v>HTML/CSS;JavaScript;PHP</v>
      </c>
      <c r="C4449" s="9" t="str">
        <f>IFERROR(__xludf.DUMMYFUNCTION("""COMPUTED_VALUE"""),"SQL")</f>
        <v>SQL</v>
      </c>
      <c r="D4449" s="9" t="str">
        <f>IFERROR(__xludf.DUMMYFUNCTION("""COMPUTED_VALUE"""),"HTML/CSS")</f>
        <v>HTML/CSS</v>
      </c>
      <c r="E4449" s="9" t="str">
        <f>IFERROR(__xludf.DUMMYFUNCTION("""COMPUTED_VALUE"""),"Assembly")</f>
        <v>Assembly</v>
      </c>
      <c r="F4449" s="9" t="str">
        <f>IFERROR(__xludf.DUMMYFUNCTION("""COMPUTED_VALUE"""),"PHP")</f>
        <v>PHP</v>
      </c>
      <c r="G4449" s="9" t="str">
        <f>IFERROR(__xludf.DUMMYFUNCTION("""COMPUTED_VALUE"""),"Ruby")</f>
        <v>Ruby</v>
      </c>
      <c r="H4449" s="9" t="str">
        <f>IFERROR(__xludf.DUMMYFUNCTION("""COMPUTED_VALUE"""),"VBA")</f>
        <v>VBA</v>
      </c>
      <c r="I4449" s="9" t="str">
        <f>IFERROR(__xludf.DUMMYFUNCTION("""COMPUTED_VALUE"""),"JavaScript")</f>
        <v>JavaScript</v>
      </c>
      <c r="J4449" s="9" t="str">
        <f>IFERROR(__xludf.DUMMYFUNCTION("""COMPUTED_VALUE"""),"JavaScript")</f>
        <v>JavaScript</v>
      </c>
      <c r="K4449" s="9" t="str">
        <f>IFERROR(__xludf.DUMMYFUNCTION("""COMPUTED_VALUE"""),"JavaScript")</f>
        <v>JavaScript</v>
      </c>
      <c r="L4449" s="9" t="str">
        <f>IFERROR(__xludf.DUMMYFUNCTION("""COMPUTED_VALUE"""),"JavaScript")</f>
        <v>JavaScript</v>
      </c>
      <c r="M4449" s="9" t="s">
        <v>27</v>
      </c>
    </row>
    <row r="4450" ht="15.75" customHeight="1">
      <c r="A4450" s="7"/>
      <c r="B4450" s="7" t="str">
        <f>IFERROR(__xludf.DUMMYFUNCTION("""COMPUTED_VALUE"""),"Bash/Shell/PowerShell;HTML/CSS;Java")</f>
        <v>Bash/Shell/PowerShell;HTML/CSS;Java</v>
      </c>
      <c r="C4450" s="9" t="str">
        <f>IFERROR(__xludf.DUMMYFUNCTION("""COMPUTED_VALUE"""),"C#")</f>
        <v>C#</v>
      </c>
      <c r="D4450" s="9" t="str">
        <f>IFERROR(__xludf.DUMMYFUNCTION("""COMPUTED_VALUE"""),"JavaScript")</f>
        <v>JavaScript</v>
      </c>
      <c r="E4450" s="9" t="str">
        <f>IFERROR(__xludf.DUMMYFUNCTION("""COMPUTED_VALUE"""),"Bash/Shell/PowerShell")</f>
        <v>Bash/Shell/PowerShell</v>
      </c>
      <c r="F4450" s="9" t="str">
        <f>IFERROR(__xludf.DUMMYFUNCTION("""COMPUTED_VALUE"""),"SQL")</f>
        <v>SQL</v>
      </c>
      <c r="G4450" s="9" t="str">
        <f>IFERROR(__xludf.DUMMYFUNCTION("""COMPUTED_VALUE"""),"SQL")</f>
        <v>SQL</v>
      </c>
      <c r="H4450" s="9" t="str">
        <f>IFERROR(__xludf.DUMMYFUNCTION("""COMPUTED_VALUE"""),"HTML/CSS")</f>
        <v>HTML/CSS</v>
      </c>
      <c r="I4450" s="9" t="str">
        <f>IFERROR(__xludf.DUMMYFUNCTION("""COMPUTED_VALUE"""),"Python")</f>
        <v>Python</v>
      </c>
      <c r="J4450" s="9" t="str">
        <f>IFERROR(__xludf.DUMMYFUNCTION("""COMPUTED_VALUE"""),"Ruby")</f>
        <v>Ruby</v>
      </c>
      <c r="K4450" s="9" t="str">
        <f>IFERROR(__xludf.DUMMYFUNCTION("""COMPUTED_VALUE"""),"PHP")</f>
        <v>PHP</v>
      </c>
      <c r="L4450" s="9" t="str">
        <f>IFERROR(__xludf.DUMMYFUNCTION("""COMPUTED_VALUE"""),"Python")</f>
        <v>Python</v>
      </c>
      <c r="M4450" s="9" t="s">
        <v>26</v>
      </c>
    </row>
    <row r="4451" ht="15.75" customHeight="1">
      <c r="A4451" s="7"/>
      <c r="B4451" s="7" t="str">
        <f>IFERROR(__xludf.DUMMYFUNCTION("""COMPUTED_VALUE"""),"HTML/CSS;JavaScript;PHP")</f>
        <v>HTML/CSS;JavaScript;PHP</v>
      </c>
      <c r="C4451" s="9" t="str">
        <f>IFERROR(__xludf.DUMMYFUNCTION("""COMPUTED_VALUE"""),"Java")</f>
        <v>Java</v>
      </c>
      <c r="D4451" s="9" t="str">
        <f>IFERROR(__xludf.DUMMYFUNCTION("""COMPUTED_VALUE"""),"Python")</f>
        <v>Python</v>
      </c>
      <c r="E4451" s="9" t="str">
        <f>IFERROR(__xludf.DUMMYFUNCTION("""COMPUTED_VALUE"""),"C")</f>
        <v>C</v>
      </c>
      <c r="F4451" s="9" t="str">
        <f>IFERROR(__xludf.DUMMYFUNCTION("""COMPUTED_VALUE"""),"Bash/Shell/PowerShell")</f>
        <v>Bash/Shell/PowerShell</v>
      </c>
      <c r="G4451" s="9" t="str">
        <f>IFERROR(__xludf.DUMMYFUNCTION("""COMPUTED_VALUE"""),"Other(s):")</f>
        <v>Other(s):</v>
      </c>
      <c r="H4451" s="9" t="str">
        <f>IFERROR(__xludf.DUMMYFUNCTION("""COMPUTED_VALUE"""),"Java")</f>
        <v>Java</v>
      </c>
      <c r="I4451" s="9" t="str">
        <f>IFERROR(__xludf.DUMMYFUNCTION("""COMPUTED_VALUE"""),"Other(s):")</f>
        <v>Other(s):</v>
      </c>
      <c r="J4451" s="9" t="str">
        <f>IFERROR(__xludf.DUMMYFUNCTION("""COMPUTED_VALUE"""),"TypeScript")</f>
        <v>TypeScript</v>
      </c>
      <c r="K4451" s="9" t="str">
        <f>IFERROR(__xludf.DUMMYFUNCTION("""COMPUTED_VALUE"""),"SQL")</f>
        <v>SQL</v>
      </c>
      <c r="L4451" s="9" t="str">
        <f>IFERROR(__xludf.DUMMYFUNCTION("""COMPUTED_VALUE"""),"Ruby")</f>
        <v>Ruby</v>
      </c>
      <c r="M4451" s="9" t="s">
        <v>20</v>
      </c>
    </row>
    <row r="4452" ht="15.75" customHeight="1">
      <c r="A4452" s="7"/>
      <c r="B4452" s="7" t="str">
        <f>IFERROR(__xludf.DUMMYFUNCTION("""COMPUTED_VALUE"""),"C;C++;C#;Clojure;Elixir;HTML/CSS;JavaScript;TypeScript;WebAssembly")</f>
        <v>C;C++;C#;Clojure;Elixir;HTML/CSS;JavaScript;TypeScript;WebAssembly</v>
      </c>
      <c r="C4452" s="9" t="str">
        <f>IFERROR(__xludf.DUMMYFUNCTION("""COMPUTED_VALUE"""),"SQL")</f>
        <v>SQL</v>
      </c>
      <c r="D4452" s="9" t="str">
        <f>IFERROR(__xludf.DUMMYFUNCTION("""COMPUTED_VALUE"""),"SQL")</f>
        <v>SQL</v>
      </c>
      <c r="E4452" s="9" t="str">
        <f>IFERROR(__xludf.DUMMYFUNCTION("""COMPUTED_VALUE"""),"C++")</f>
        <v>C++</v>
      </c>
      <c r="F4452" s="9" t="str">
        <f>IFERROR(__xludf.DUMMYFUNCTION("""COMPUTED_VALUE"""),"Python")</f>
        <v>Python</v>
      </c>
      <c r="G4452" s="9" t="str">
        <f>IFERROR(__xludf.DUMMYFUNCTION("""COMPUTED_VALUE"""),"HTML/CSS")</f>
        <v>HTML/CSS</v>
      </c>
      <c r="H4452" s="9" t="str">
        <f>IFERROR(__xludf.DUMMYFUNCTION("""COMPUTED_VALUE"""),"JavaScript")</f>
        <v>JavaScript</v>
      </c>
      <c r="I4452" s="9" t="str">
        <f>IFERROR(__xludf.DUMMYFUNCTION("""COMPUTED_VALUE"""),"Bash/Shell/PowerShell")</f>
        <v>Bash/Shell/PowerShell</v>
      </c>
      <c r="J4452" s="9" t="str">
        <f>IFERROR(__xludf.DUMMYFUNCTION("""COMPUTED_VALUE"""),"Bash/Shell/PowerShell")</f>
        <v>Bash/Shell/PowerShell</v>
      </c>
      <c r="K4452" s="9" t="str">
        <f>IFERROR(__xludf.DUMMYFUNCTION("""COMPUTED_VALUE"""),"Bash/Shell/PowerShell")</f>
        <v>Bash/Shell/PowerShell</v>
      </c>
      <c r="L4452" s="9" t="str">
        <f>IFERROR(__xludf.DUMMYFUNCTION("""COMPUTED_VALUE"""),"SQL")</f>
        <v>SQL</v>
      </c>
      <c r="M4452" s="9" t="s">
        <v>27</v>
      </c>
    </row>
    <row r="4453" ht="15.75" customHeight="1">
      <c r="A4453" s="7"/>
      <c r="B4453" s="7" t="str">
        <f>IFERROR(__xludf.DUMMYFUNCTION("""COMPUTED_VALUE"""),"Bash/Shell/PowerShell;Java;PHP")</f>
        <v>Bash/Shell/PowerShell;Java;PHP</v>
      </c>
      <c r="C4453" s="9" t="str">
        <f>IFERROR(__xludf.DUMMYFUNCTION("""COMPUTED_VALUE"""),"HTML/CSS")</f>
        <v>HTML/CSS</v>
      </c>
      <c r="D4453" s="9" t="str">
        <f>IFERROR(__xludf.DUMMYFUNCTION("""COMPUTED_VALUE"""),"VBA")</f>
        <v>VBA</v>
      </c>
      <c r="E4453" s="9" t="str">
        <f>IFERROR(__xludf.DUMMYFUNCTION("""COMPUTED_VALUE"""),"HTML/CSS")</f>
        <v>HTML/CSS</v>
      </c>
      <c r="F4453" s="9" t="str">
        <f>IFERROR(__xludf.DUMMYFUNCTION("""COMPUTED_VALUE"""),"Ruby")</f>
        <v>Ruby</v>
      </c>
      <c r="G4453" s="9" t="str">
        <f>IFERROR(__xludf.DUMMYFUNCTION("""COMPUTED_VALUE"""),"Java")</f>
        <v>Java</v>
      </c>
      <c r="H4453" s="9" t="str">
        <f>IFERROR(__xludf.DUMMYFUNCTION("""COMPUTED_VALUE"""),"Ruby")</f>
        <v>Ruby</v>
      </c>
      <c r="I4453" s="9" t="str">
        <f>IFERROR(__xludf.DUMMYFUNCTION("""COMPUTED_VALUE"""),"C#")</f>
        <v>C#</v>
      </c>
      <c r="J4453" s="9" t="str">
        <f>IFERROR(__xludf.DUMMYFUNCTION("""COMPUTED_VALUE"""),"C#")</f>
        <v>C#</v>
      </c>
      <c r="K4453" s="9" t="str">
        <f>IFERROR(__xludf.DUMMYFUNCTION("""COMPUTED_VALUE"""),"C++")</f>
        <v>C++</v>
      </c>
      <c r="L4453" s="9" t="str">
        <f>IFERROR(__xludf.DUMMYFUNCTION("""COMPUTED_VALUE"""),"TypeScript")</f>
        <v>TypeScript</v>
      </c>
      <c r="M4453" s="9" t="s">
        <v>24</v>
      </c>
    </row>
    <row r="4454" ht="15.75" customHeight="1">
      <c r="A4454" s="7"/>
      <c r="B4454" s="7" t="str">
        <f>IFERROR(__xludf.DUMMYFUNCTION("""COMPUTED_VALUE"""),"HTML/CSS;Python")</f>
        <v>HTML/CSS;Python</v>
      </c>
      <c r="C4454" s="9" t="str">
        <f>IFERROR(__xludf.DUMMYFUNCTION("""COMPUTED_VALUE"""),"JavaScript")</f>
        <v>JavaScript</v>
      </c>
      <c r="D4454" s="9" t="str">
        <f>IFERROR(__xludf.DUMMYFUNCTION("""COMPUTED_VALUE"""),"C++")</f>
        <v>C++</v>
      </c>
      <c r="E4454" s="9" t="str">
        <f>IFERROR(__xludf.DUMMYFUNCTION("""COMPUTED_VALUE"""),"JavaScript")</f>
        <v>JavaScript</v>
      </c>
      <c r="F4454" s="9" t="str">
        <f>IFERROR(__xludf.DUMMYFUNCTION("""COMPUTED_VALUE"""),"Bash/Shell/PowerShell")</f>
        <v>Bash/Shell/PowerShell</v>
      </c>
      <c r="G4454" s="9" t="str">
        <f>IFERROR(__xludf.DUMMYFUNCTION("""COMPUTED_VALUE"""),"JavaScript")</f>
        <v>JavaScript</v>
      </c>
      <c r="H4454" s="9" t="str">
        <f>IFERROR(__xludf.DUMMYFUNCTION("""COMPUTED_VALUE"""),"SQL")</f>
        <v>SQL</v>
      </c>
      <c r="I4454" s="9" t="str">
        <f>IFERROR(__xludf.DUMMYFUNCTION("""COMPUTED_VALUE"""),"HTML/CSS")</f>
        <v>HTML/CSS</v>
      </c>
      <c r="J4454" s="9" t="str">
        <f>IFERROR(__xludf.DUMMYFUNCTION("""COMPUTED_VALUE"""),"HTML/CSS")</f>
        <v>HTML/CSS</v>
      </c>
      <c r="K4454" s="9" t="str">
        <f>IFERROR(__xludf.DUMMYFUNCTION("""COMPUTED_VALUE"""),"HTML/CSS")</f>
        <v>HTML/CSS</v>
      </c>
      <c r="L4454" s="9" t="str">
        <f>IFERROR(__xludf.DUMMYFUNCTION("""COMPUTED_VALUE"""),"Bash/Shell/PowerShell")</f>
        <v>Bash/Shell/PowerShell</v>
      </c>
      <c r="M4454" s="9" t="s">
        <v>21</v>
      </c>
    </row>
    <row r="4455" ht="15.75" customHeight="1">
      <c r="A4455" s="7"/>
      <c r="B4455" s="7" t="str">
        <f>IFERROR(__xludf.DUMMYFUNCTION("""COMPUTED_VALUE"""),"Bash/Shell/PowerShell;Go;HTML/CSS;JavaScript;Python;SQL;Other(s):")</f>
        <v>Bash/Shell/PowerShell;Go;HTML/CSS;JavaScript;Python;SQL;Other(s):</v>
      </c>
      <c r="C4455" s="9" t="str">
        <f>IFERROR(__xludf.DUMMYFUNCTION("""COMPUTED_VALUE"""),"Bash/Shell/PowerShell")</f>
        <v>Bash/Shell/PowerShell</v>
      </c>
      <c r="D4455" s="9" t="str">
        <f>IFERROR(__xludf.DUMMYFUNCTION("""COMPUTED_VALUE"""),"C#")</f>
        <v>C#</v>
      </c>
      <c r="E4455" s="9" t="str">
        <f>IFERROR(__xludf.DUMMYFUNCTION("""COMPUTED_VALUE"""),"PHP")</f>
        <v>PHP</v>
      </c>
      <c r="F4455" s="9" t="str">
        <f>IFERROR(__xludf.DUMMYFUNCTION("""COMPUTED_VALUE"""),"Go")</f>
        <v>Go</v>
      </c>
      <c r="G4455" s="9" t="str">
        <f>IFERROR(__xludf.DUMMYFUNCTION("""COMPUTED_VALUE"""),"SQL")</f>
        <v>SQL</v>
      </c>
      <c r="H4455" s="9" t="str">
        <f>IFERROR(__xludf.DUMMYFUNCTION("""COMPUTED_VALUE"""),"TypeScript")</f>
        <v>TypeScript</v>
      </c>
      <c r="I4455" s="9" t="str">
        <f>IFERROR(__xludf.DUMMYFUNCTION("""COMPUTED_VALUE"""),"JavaScript")</f>
        <v>JavaScript</v>
      </c>
      <c r="J4455" s="9" t="str">
        <f>IFERROR(__xludf.DUMMYFUNCTION("""COMPUTED_VALUE"""),"JavaScript")</f>
        <v>JavaScript</v>
      </c>
      <c r="K4455" s="9" t="str">
        <f>IFERROR(__xludf.DUMMYFUNCTION("""COMPUTED_VALUE"""),"Java")</f>
        <v>Java</v>
      </c>
      <c r="L4455" s="9" t="str">
        <f>IFERROR(__xludf.DUMMYFUNCTION("""COMPUTED_VALUE"""),"Go")</f>
        <v>Go</v>
      </c>
      <c r="M4455" s="9" t="s">
        <v>30</v>
      </c>
    </row>
    <row r="4456" ht="15.75" customHeight="1">
      <c r="A4456" s="7"/>
      <c r="B4456" s="7" t="str">
        <f>IFERROR(__xludf.DUMMYFUNCTION("""COMPUTED_VALUE"""),"HTML/CSS;JavaScript;PHP;SQL;Other(s):")</f>
        <v>HTML/CSS;JavaScript;PHP;SQL;Other(s):</v>
      </c>
      <c r="C4456" s="9" t="str">
        <f>IFERROR(__xludf.DUMMYFUNCTION("""COMPUTED_VALUE"""),"Go")</f>
        <v>Go</v>
      </c>
      <c r="D4456" s="9" t="str">
        <f>IFERROR(__xludf.DUMMYFUNCTION("""COMPUTED_VALUE"""),"HTML/CSS")</f>
        <v>HTML/CSS</v>
      </c>
      <c r="E4456" s="9" t="str">
        <f>IFERROR(__xludf.DUMMYFUNCTION("""COMPUTED_VALUE"""),"Ruby")</f>
        <v>Ruby</v>
      </c>
      <c r="F4456" s="9" t="str">
        <f>IFERROR(__xludf.DUMMYFUNCTION("""COMPUTED_VALUE"""),"Java")</f>
        <v>Java</v>
      </c>
      <c r="G4456" s="9" t="str">
        <f>IFERROR(__xludf.DUMMYFUNCTION("""COMPUTED_VALUE"""),"C#")</f>
        <v>C#</v>
      </c>
      <c r="H4456" s="9" t="str">
        <f>IFERROR(__xludf.DUMMYFUNCTION("""COMPUTED_VALUE"""),"C#")</f>
        <v>C#</v>
      </c>
      <c r="I4456" s="9" t="str">
        <f>IFERROR(__xludf.DUMMYFUNCTION("""COMPUTED_VALUE"""),"PHP")</f>
        <v>PHP</v>
      </c>
      <c r="J4456" s="9" t="str">
        <f>IFERROR(__xludf.DUMMYFUNCTION("""COMPUTED_VALUE"""),"SQL")</f>
        <v>SQL</v>
      </c>
      <c r="K4456" s="9" t="str">
        <f>IFERROR(__xludf.DUMMYFUNCTION("""COMPUTED_VALUE"""),"JavaScript")</f>
        <v>JavaScript</v>
      </c>
      <c r="L4456" s="9" t="str">
        <f>IFERROR(__xludf.DUMMYFUNCTION("""COMPUTED_VALUE"""),"HTML/CSS")</f>
        <v>HTML/CSS</v>
      </c>
      <c r="M4456" s="9" t="s">
        <v>36</v>
      </c>
    </row>
    <row r="4457" ht="15.75" customHeight="1">
      <c r="A4457" s="7"/>
      <c r="B4457" s="7" t="str">
        <f>IFERROR(__xludf.DUMMYFUNCTION("""COMPUTED_VALUE"""),"C#;HTML/CSS;JavaScript;SQL;TypeScript")</f>
        <v>C#;HTML/CSS;JavaScript;SQL;TypeScript</v>
      </c>
      <c r="C4457" s="9" t="str">
        <f>IFERROR(__xludf.DUMMYFUNCTION("""COMPUTED_VALUE"""),"HTML/CSS")</f>
        <v>HTML/CSS</v>
      </c>
      <c r="D4457" s="9" t="str">
        <f>IFERROR(__xludf.DUMMYFUNCTION("""COMPUTED_VALUE"""),"JavaScript")</f>
        <v>JavaScript</v>
      </c>
      <c r="E4457" s="9" t="str">
        <f>IFERROR(__xludf.DUMMYFUNCTION("""COMPUTED_VALUE"""),"C++")</f>
        <v>C++</v>
      </c>
      <c r="F4457" s="9" t="str">
        <f>IFERROR(__xludf.DUMMYFUNCTION("""COMPUTED_VALUE"""),"Python")</f>
        <v>Python</v>
      </c>
      <c r="G4457" s="9" t="str">
        <f>IFERROR(__xludf.DUMMYFUNCTION("""COMPUTED_VALUE"""),"JavaScript")</f>
        <v>JavaScript</v>
      </c>
      <c r="H4457" s="9" t="str">
        <f>IFERROR(__xludf.DUMMYFUNCTION("""COMPUTED_VALUE"""),"HTML/CSS")</f>
        <v>HTML/CSS</v>
      </c>
      <c r="I4457" s="9" t="str">
        <f>IFERROR(__xludf.DUMMYFUNCTION("""COMPUTED_VALUE"""),"SQL")</f>
        <v>SQL</v>
      </c>
      <c r="J4457" s="9" t="str">
        <f>IFERROR(__xludf.DUMMYFUNCTION("""COMPUTED_VALUE"""),"VBA")</f>
        <v>VBA</v>
      </c>
      <c r="K4457" s="9" t="str">
        <f>IFERROR(__xludf.DUMMYFUNCTION("""COMPUTED_VALUE"""),"Python")</f>
        <v>Python</v>
      </c>
      <c r="L4457" s="9" t="str">
        <f>IFERROR(__xludf.DUMMYFUNCTION("""COMPUTED_VALUE"""),"Java")</f>
        <v>Java</v>
      </c>
      <c r="M4457" s="9" t="s">
        <v>24</v>
      </c>
    </row>
    <row r="4458" ht="15.75" customHeight="1">
      <c r="A4458" s="7"/>
      <c r="B4458" s="7" t="str">
        <f>IFERROR(__xludf.DUMMYFUNCTION("""COMPUTED_VALUE"""),"Bash/Shell/PowerShell;C#;JavaScript;Python;SQL;WebAssembly")</f>
        <v>Bash/Shell/PowerShell;C#;JavaScript;Python;SQL;WebAssembly</v>
      </c>
      <c r="C4458" s="9" t="str">
        <f>IFERROR(__xludf.DUMMYFUNCTION("""COMPUTED_VALUE"""),"Java")</f>
        <v>Java</v>
      </c>
      <c r="D4458" s="9" t="str">
        <f>IFERROR(__xludf.DUMMYFUNCTION("""COMPUTED_VALUE"""),"Python")</f>
        <v>Python</v>
      </c>
      <c r="E4458" s="9" t="str">
        <f>IFERROR(__xludf.DUMMYFUNCTION("""COMPUTED_VALUE"""),"Go")</f>
        <v>Go</v>
      </c>
      <c r="F4458" s="9" t="str">
        <f>IFERROR(__xludf.DUMMYFUNCTION("""COMPUTED_VALUE"""),"Other(s):")</f>
        <v>Other(s):</v>
      </c>
      <c r="G4458" s="9" t="str">
        <f>IFERROR(__xludf.DUMMYFUNCTION("""COMPUTED_VALUE"""),"Python")</f>
        <v>Python</v>
      </c>
      <c r="H4458" s="9" t="str">
        <f>IFERROR(__xludf.DUMMYFUNCTION("""COMPUTED_VALUE"""),"JavaScript")</f>
        <v>JavaScript</v>
      </c>
      <c r="I4458" s="9" t="str">
        <f>IFERROR(__xludf.DUMMYFUNCTION("""COMPUTED_VALUE"""),"TypeScript")</f>
        <v>TypeScript</v>
      </c>
      <c r="J4458" s="9" t="str">
        <f>IFERROR(__xludf.DUMMYFUNCTION("""COMPUTED_VALUE"""),"Assembly")</f>
        <v>Assembly</v>
      </c>
      <c r="K4458" s="9" t="str">
        <f>IFERROR(__xludf.DUMMYFUNCTION("""COMPUTED_VALUE"""),"SQL")</f>
        <v>SQL</v>
      </c>
      <c r="L4458" s="9" t="str">
        <f>IFERROR(__xludf.DUMMYFUNCTION("""COMPUTED_VALUE"""),"JavaScript")</f>
        <v>JavaScript</v>
      </c>
      <c r="M4458" s="9" t="s">
        <v>20</v>
      </c>
    </row>
    <row r="4459" ht="15.75" customHeight="1">
      <c r="A4459" s="7"/>
      <c r="B4459" s="7" t="str">
        <f>IFERROR(__xludf.DUMMYFUNCTION("""COMPUTED_VALUE"""),"Bash/Shell/PowerShell;C++;HTML/CSS;JavaScript;Python;TypeScript")</f>
        <v>Bash/Shell/PowerShell;C++;HTML/CSS;JavaScript;Python;TypeScript</v>
      </c>
      <c r="C4459" s="9" t="str">
        <f>IFERROR(__xludf.DUMMYFUNCTION("""COMPUTED_VALUE"""),"JavaScript")</f>
        <v>JavaScript</v>
      </c>
      <c r="D4459" s="9" t="str">
        <f>IFERROR(__xludf.DUMMYFUNCTION("""COMPUTED_VALUE"""),"SQL")</f>
        <v>SQL</v>
      </c>
      <c r="E4459" s="9" t="str">
        <f>IFERROR(__xludf.DUMMYFUNCTION("""COMPUTED_VALUE"""),"Bash/Shell/PowerShell")</f>
        <v>Bash/Shell/PowerShell</v>
      </c>
      <c r="F4459" s="9" t="str">
        <f>IFERROR(__xludf.DUMMYFUNCTION("""COMPUTED_VALUE"""),"HTML/CSS")</f>
        <v>HTML/CSS</v>
      </c>
      <c r="G4459" s="9" t="str">
        <f>IFERROR(__xludf.DUMMYFUNCTION("""COMPUTED_VALUE"""),"SQL")</f>
        <v>SQL</v>
      </c>
      <c r="H4459" s="9" t="str">
        <f>IFERROR(__xludf.DUMMYFUNCTION("""COMPUTED_VALUE"""),"SQL")</f>
        <v>SQL</v>
      </c>
      <c r="I4459" s="9" t="str">
        <f>IFERROR(__xludf.DUMMYFUNCTION("""COMPUTED_VALUE"""),"VBA")</f>
        <v>VBA</v>
      </c>
      <c r="J4459" s="9" t="str">
        <f>IFERROR(__xludf.DUMMYFUNCTION("""COMPUTED_VALUE"""),"R")</f>
        <v>R</v>
      </c>
      <c r="K4459" s="9" t="str">
        <f>IFERROR(__xludf.DUMMYFUNCTION("""COMPUTED_VALUE"""),"Bash/Shell/PowerShell")</f>
        <v>Bash/Shell/PowerShell</v>
      </c>
      <c r="L4459" s="9" t="str">
        <f>IFERROR(__xludf.DUMMYFUNCTION("""COMPUTED_VALUE"""),"Python")</f>
        <v>Python</v>
      </c>
      <c r="M4459" s="9" t="s">
        <v>21</v>
      </c>
    </row>
    <row r="4460" ht="15.75" customHeight="1">
      <c r="A4460" s="7"/>
      <c r="B4460" s="7" t="str">
        <f>IFERROR(__xludf.DUMMYFUNCTION("""COMPUTED_VALUE"""),"Bash/Shell/PowerShell;C++;Python")</f>
        <v>Bash/Shell/PowerShell;C++;Python</v>
      </c>
      <c r="C4460" s="9" t="str">
        <f>IFERROR(__xludf.DUMMYFUNCTION("""COMPUTED_VALUE"""),"PHP")</f>
        <v>PHP</v>
      </c>
      <c r="D4460" s="9" t="str">
        <f>IFERROR(__xludf.DUMMYFUNCTION("""COMPUTED_VALUE"""),"TypeScript")</f>
        <v>TypeScript</v>
      </c>
      <c r="E4460" s="9" t="str">
        <f>IFERROR(__xludf.DUMMYFUNCTION("""COMPUTED_VALUE"""),"C#")</f>
        <v>C#</v>
      </c>
      <c r="F4460" s="9" t="str">
        <f>IFERROR(__xludf.DUMMYFUNCTION("""COMPUTED_VALUE"""),"Python")</f>
        <v>Python</v>
      </c>
      <c r="G4460" s="9" t="str">
        <f>IFERROR(__xludf.DUMMYFUNCTION("""COMPUTED_VALUE"""),"VBA")</f>
        <v>VBA</v>
      </c>
      <c r="H4460" s="9" t="str">
        <f>IFERROR(__xludf.DUMMYFUNCTION("""COMPUTED_VALUE"""),"C#")</f>
        <v>C#</v>
      </c>
      <c r="I4460" s="9" t="str">
        <f>IFERROR(__xludf.DUMMYFUNCTION("""COMPUTED_VALUE"""),"Assembly")</f>
        <v>Assembly</v>
      </c>
      <c r="J4460" s="9" t="str">
        <f>IFERROR(__xludf.DUMMYFUNCTION("""COMPUTED_VALUE"""),"Bash/Shell/PowerShell")</f>
        <v>Bash/Shell/PowerShell</v>
      </c>
      <c r="K4460" s="9" t="str">
        <f>IFERROR(__xludf.DUMMYFUNCTION("""COMPUTED_VALUE"""),"Go")</f>
        <v>Go</v>
      </c>
      <c r="L4460" s="9" t="str">
        <f>IFERROR(__xludf.DUMMYFUNCTION("""COMPUTED_VALUE"""),"Assembly")</f>
        <v>Assembly</v>
      </c>
      <c r="M4460" s="9" t="s">
        <v>37</v>
      </c>
    </row>
    <row r="4461" ht="15.75" customHeight="1">
      <c r="A4461" s="7"/>
      <c r="B4461" s="7" t="str">
        <f>IFERROR(__xludf.DUMMYFUNCTION("""COMPUTED_VALUE"""),"C;C++;Erlang")</f>
        <v>C;C++;Erlang</v>
      </c>
      <c r="C4461" s="9" t="str">
        <f>IFERROR(__xludf.DUMMYFUNCTION("""COMPUTED_VALUE"""),"C#")</f>
        <v>C#</v>
      </c>
      <c r="D4461" s="9" t="str">
        <f>IFERROR(__xludf.DUMMYFUNCTION("""COMPUTED_VALUE"""),"HTML/CSS")</f>
        <v>HTML/CSS</v>
      </c>
      <c r="E4461" s="9" t="str">
        <f>IFERROR(__xludf.DUMMYFUNCTION("""COMPUTED_VALUE"""),"Go")</f>
        <v>Go</v>
      </c>
      <c r="F4461" s="9" t="str">
        <f>IFERROR(__xludf.DUMMYFUNCTION("""COMPUTED_VALUE"""),"SQL")</f>
        <v>SQL</v>
      </c>
      <c r="G4461" s="9" t="str">
        <f>IFERROR(__xludf.DUMMYFUNCTION("""COMPUTED_VALUE"""),"HTML/CSS")</f>
        <v>HTML/CSS</v>
      </c>
      <c r="H4461" s="9" t="str">
        <f>IFERROR(__xludf.DUMMYFUNCTION("""COMPUTED_VALUE"""),"HTML/CSS")</f>
        <v>HTML/CSS</v>
      </c>
      <c r="I4461" s="9" t="str">
        <f>IFERROR(__xludf.DUMMYFUNCTION("""COMPUTED_VALUE"""),"Bash/Shell/PowerShell")</f>
        <v>Bash/Shell/PowerShell</v>
      </c>
      <c r="J4461" s="9" t="str">
        <f>IFERROR(__xludf.DUMMYFUNCTION("""COMPUTED_VALUE"""),"C")</f>
        <v>C</v>
      </c>
      <c r="K4461" s="9" t="str">
        <f>IFERROR(__xludf.DUMMYFUNCTION("""COMPUTED_VALUE"""),"HTML/CSS")</f>
        <v>HTML/CSS</v>
      </c>
      <c r="L4461" s="9" t="str">
        <f>IFERROR(__xludf.DUMMYFUNCTION("""COMPUTED_VALUE"""),"Bash/Shell/PowerShell")</f>
        <v>Bash/Shell/PowerShell</v>
      </c>
      <c r="M4461" s="9" t="s">
        <v>26</v>
      </c>
    </row>
    <row r="4462" ht="15.75" customHeight="1">
      <c r="A4462" s="7"/>
      <c r="B4462" s="7" t="str">
        <f>IFERROR(__xludf.DUMMYFUNCTION("""COMPUTED_VALUE"""),"Bash/Shell/PowerShell;C#;HTML/CSS;JavaScript;Rust;SQL;TypeScript;VBA")</f>
        <v>Bash/Shell/PowerShell;C#;HTML/CSS;JavaScript;Rust;SQL;TypeScript;VBA</v>
      </c>
      <c r="C4462" s="9" t="str">
        <f>IFERROR(__xludf.DUMMYFUNCTION("""COMPUTED_VALUE"""),"HTML/CSS")</f>
        <v>HTML/CSS</v>
      </c>
      <c r="D4462" s="9" t="str">
        <f>IFERROR(__xludf.DUMMYFUNCTION("""COMPUTED_VALUE"""),"Java")</f>
        <v>Java</v>
      </c>
      <c r="E4462" s="9" t="str">
        <f>IFERROR(__xludf.DUMMYFUNCTION("""COMPUTED_VALUE"""),"HTML/CSS")</f>
        <v>HTML/CSS</v>
      </c>
      <c r="F4462" s="9" t="str">
        <f>IFERROR(__xludf.DUMMYFUNCTION("""COMPUTED_VALUE"""),"Assembly")</f>
        <v>Assembly</v>
      </c>
      <c r="G4462" s="9" t="str">
        <f>IFERROR(__xludf.DUMMYFUNCTION("""COMPUTED_VALUE"""),"Java")</f>
        <v>Java</v>
      </c>
      <c r="H4462" s="9" t="str">
        <f>IFERROR(__xludf.DUMMYFUNCTION("""COMPUTED_VALUE"""),"Java")</f>
        <v>Java</v>
      </c>
      <c r="I4462" s="9" t="str">
        <f>IFERROR(__xludf.DUMMYFUNCTION("""COMPUTED_VALUE"""),"C")</f>
        <v>C</v>
      </c>
      <c r="J4462" s="9" t="str">
        <f>IFERROR(__xludf.DUMMYFUNCTION("""COMPUTED_VALUE"""),"C++")</f>
        <v>C++</v>
      </c>
      <c r="K4462" s="9" t="str">
        <f>IFERROR(__xludf.DUMMYFUNCTION("""COMPUTED_VALUE"""),"JavaScript")</f>
        <v>JavaScript</v>
      </c>
      <c r="L4462" s="9" t="str">
        <f>IFERROR(__xludf.DUMMYFUNCTION("""COMPUTED_VALUE"""),"C")</f>
        <v>C</v>
      </c>
      <c r="M4462" s="9" t="s">
        <v>24</v>
      </c>
    </row>
    <row r="4463" ht="15.75" customHeight="1">
      <c r="A4463" s="7"/>
      <c r="B4463" s="7" t="str">
        <f>IFERROR(__xludf.DUMMYFUNCTION("""COMPUTED_VALUE"""),"C#;HTML/CSS;JavaScript;PHP;Python;SQL")</f>
        <v>C#;HTML/CSS;JavaScript;PHP;Python;SQL</v>
      </c>
      <c r="C4463" s="9" t="str">
        <f>IFERROR(__xludf.DUMMYFUNCTION("""COMPUTED_VALUE"""),"JavaScript")</f>
        <v>JavaScript</v>
      </c>
      <c r="D4463" s="9" t="str">
        <f>IFERROR(__xludf.DUMMYFUNCTION("""COMPUTED_VALUE"""),"C")</f>
        <v>C</v>
      </c>
      <c r="E4463" s="9" t="str">
        <f>IFERROR(__xludf.DUMMYFUNCTION("""COMPUTED_VALUE"""),"JavaScript")</f>
        <v>JavaScript</v>
      </c>
      <c r="F4463" s="9" t="str">
        <f>IFERROR(__xludf.DUMMYFUNCTION("""COMPUTED_VALUE"""),"HTML/CSS")</f>
        <v>HTML/CSS</v>
      </c>
      <c r="G4463" s="9" t="str">
        <f>IFERROR(__xludf.DUMMYFUNCTION("""COMPUTED_VALUE"""),"JavaScript")</f>
        <v>JavaScript</v>
      </c>
      <c r="H4463" s="9" t="str">
        <f>IFERROR(__xludf.DUMMYFUNCTION("""COMPUTED_VALUE"""),"PHP")</f>
        <v>PHP</v>
      </c>
      <c r="I4463" s="9" t="str">
        <f>IFERROR(__xludf.DUMMYFUNCTION("""COMPUTED_VALUE"""),"Python")</f>
        <v>Python</v>
      </c>
      <c r="J4463" s="9" t="str">
        <f>IFERROR(__xludf.DUMMYFUNCTION("""COMPUTED_VALUE"""),"HTML/CSS")</f>
        <v>HTML/CSS</v>
      </c>
      <c r="K4463" s="9" t="str">
        <f>IFERROR(__xludf.DUMMYFUNCTION("""COMPUTED_VALUE"""),"C#")</f>
        <v>C#</v>
      </c>
      <c r="L4463" s="9" t="str">
        <f>IFERROR(__xludf.DUMMYFUNCTION("""COMPUTED_VALUE"""),"C++")</f>
        <v>C++</v>
      </c>
      <c r="M4463" s="9" t="s">
        <v>21</v>
      </c>
    </row>
    <row r="4464" ht="15.75" customHeight="1">
      <c r="A4464" s="7"/>
      <c r="B4464" s="7" t="str">
        <f>IFERROR(__xludf.DUMMYFUNCTION("""COMPUTED_VALUE"""),"Bash/Shell/PowerShell;HTML/CSS;JavaScript;PHP;Ruby;SQL")</f>
        <v>Bash/Shell/PowerShell;HTML/CSS;JavaScript;PHP;Ruby;SQL</v>
      </c>
      <c r="C4464" s="9" t="str">
        <f>IFERROR(__xludf.DUMMYFUNCTION("""COMPUTED_VALUE"""),"SQL")</f>
        <v>SQL</v>
      </c>
      <c r="D4464" s="9" t="str">
        <f>IFERROR(__xludf.DUMMYFUNCTION("""COMPUTED_VALUE"""),"C++")</f>
        <v>C++</v>
      </c>
      <c r="E4464" s="9" t="str">
        <f>IFERROR(__xludf.DUMMYFUNCTION("""COMPUTED_VALUE"""),"PHP")</f>
        <v>PHP</v>
      </c>
      <c r="F4464" s="9" t="str">
        <f>IFERROR(__xludf.DUMMYFUNCTION("""COMPUTED_VALUE"""),"JavaScript")</f>
        <v>JavaScript</v>
      </c>
      <c r="G4464" s="9" t="str">
        <f>IFERROR(__xludf.DUMMYFUNCTION("""COMPUTED_VALUE"""),"SQL")</f>
        <v>SQL</v>
      </c>
      <c r="H4464" s="9" t="str">
        <f>IFERROR(__xludf.DUMMYFUNCTION("""COMPUTED_VALUE"""),"SQL")</f>
        <v>SQL</v>
      </c>
      <c r="I4464" s="9" t="str">
        <f>IFERROR(__xludf.DUMMYFUNCTION("""COMPUTED_VALUE"""),"Bash/Shell/PowerShell")</f>
        <v>Bash/Shell/PowerShell</v>
      </c>
      <c r="J4464" s="9" t="str">
        <f>IFERROR(__xludf.DUMMYFUNCTION("""COMPUTED_VALUE"""),"Java")</f>
        <v>Java</v>
      </c>
      <c r="K4464" s="9" t="str">
        <f>IFERROR(__xludf.DUMMYFUNCTION("""COMPUTED_VALUE"""),"HTML/CSS")</f>
        <v>HTML/CSS</v>
      </c>
      <c r="L4464" s="9" t="str">
        <f>IFERROR(__xludf.DUMMYFUNCTION("""COMPUTED_VALUE"""),"HTML/CSS")</f>
        <v>HTML/CSS</v>
      </c>
      <c r="M4464" s="9" t="s">
        <v>27</v>
      </c>
    </row>
    <row r="4465" ht="15.75" customHeight="1">
      <c r="A4465" s="7"/>
      <c r="B4465" s="7" t="str">
        <f>IFERROR(__xludf.DUMMYFUNCTION("""COMPUTED_VALUE"""),"HTML/CSS;Java;SQL")</f>
        <v>HTML/CSS;Java;SQL</v>
      </c>
      <c r="C4465" s="9" t="str">
        <f>IFERROR(__xludf.DUMMYFUNCTION("""COMPUTED_VALUE"""),"Bash/Shell/PowerShell")</f>
        <v>Bash/Shell/PowerShell</v>
      </c>
      <c r="D4465" s="9" t="str">
        <f>IFERROR(__xludf.DUMMYFUNCTION("""COMPUTED_VALUE"""),"C#")</f>
        <v>C#</v>
      </c>
      <c r="E4465" s="9" t="str">
        <f>IFERROR(__xludf.DUMMYFUNCTION("""COMPUTED_VALUE"""),"Python")</f>
        <v>Python</v>
      </c>
      <c r="F4465" s="9" t="str">
        <f>IFERROR(__xludf.DUMMYFUNCTION("""COMPUTED_VALUE"""),"Ruby")</f>
        <v>Ruby</v>
      </c>
      <c r="G4465" s="9" t="str">
        <f>IFERROR(__xludf.DUMMYFUNCTION("""COMPUTED_VALUE"""),"Bash/Shell/PowerShell")</f>
        <v>Bash/Shell/PowerShell</v>
      </c>
      <c r="H4465" s="9" t="str">
        <f>IFERROR(__xludf.DUMMYFUNCTION("""COMPUTED_VALUE"""),"Java")</f>
        <v>Java</v>
      </c>
      <c r="I4465" s="9" t="str">
        <f>IFERROR(__xludf.DUMMYFUNCTION("""COMPUTED_VALUE"""),"C")</f>
        <v>C</v>
      </c>
      <c r="J4465" s="9" t="str">
        <f>IFERROR(__xludf.DUMMYFUNCTION("""COMPUTED_VALUE"""),"Kotlin")</f>
        <v>Kotlin</v>
      </c>
      <c r="K4465" s="9" t="str">
        <f>IFERROR(__xludf.DUMMYFUNCTION("""COMPUTED_VALUE"""),"JavaScript")</f>
        <v>JavaScript</v>
      </c>
      <c r="L4465" s="9" t="str">
        <f>IFERROR(__xludf.DUMMYFUNCTION("""COMPUTED_VALUE"""),"Java")</f>
        <v>Java</v>
      </c>
      <c r="M4465" s="9" t="s">
        <v>30</v>
      </c>
    </row>
    <row r="4466" ht="15.75" customHeight="1">
      <c r="A4466" s="7"/>
      <c r="B4466" s="7" t="str">
        <f>IFERROR(__xludf.DUMMYFUNCTION("""COMPUTED_VALUE"""),"C;C#;Java;JavaScript;Kotlin;Python;Rust;Other(s):")</f>
        <v>C;C#;Java;JavaScript;Kotlin;Python;Rust;Other(s):</v>
      </c>
      <c r="C4466" s="9" t="str">
        <f>IFERROR(__xludf.DUMMYFUNCTION("""COMPUTED_VALUE"""),"C#")</f>
        <v>C#</v>
      </c>
      <c r="D4466" s="9" t="str">
        <f>IFERROR(__xludf.DUMMYFUNCTION("""COMPUTED_VALUE"""),"HTML/CSS")</f>
        <v>HTML/CSS</v>
      </c>
      <c r="E4466" s="9" t="str">
        <f>IFERROR(__xludf.DUMMYFUNCTION("""COMPUTED_VALUE"""),"SQL")</f>
        <v>SQL</v>
      </c>
      <c r="F4466" s="9" t="str">
        <f>IFERROR(__xludf.DUMMYFUNCTION("""COMPUTED_VALUE"""),"TypeScript")</f>
        <v>TypeScript</v>
      </c>
      <c r="G4466" s="9" t="str">
        <f>IFERROR(__xludf.DUMMYFUNCTION("""COMPUTED_VALUE"""),"HTML/CSS")</f>
        <v>HTML/CSS</v>
      </c>
      <c r="H4466" s="9" t="str">
        <f>IFERROR(__xludf.DUMMYFUNCTION("""COMPUTED_VALUE"""),"JavaScript")</f>
        <v>JavaScript</v>
      </c>
      <c r="I4466" s="9" t="str">
        <f>IFERROR(__xludf.DUMMYFUNCTION("""COMPUTED_VALUE"""),"C#")</f>
        <v>C#</v>
      </c>
      <c r="J4466" s="9" t="str">
        <f>IFERROR(__xludf.DUMMYFUNCTION("""COMPUTED_VALUE"""),"Python")</f>
        <v>Python</v>
      </c>
      <c r="K4466" s="9" t="str">
        <f>IFERROR(__xludf.DUMMYFUNCTION("""COMPUTED_VALUE"""),"SQL")</f>
        <v>SQL</v>
      </c>
      <c r="L4466" s="9" t="str">
        <f>IFERROR(__xludf.DUMMYFUNCTION("""COMPUTED_VALUE"""),"JavaScript")</f>
        <v>JavaScript</v>
      </c>
      <c r="M4466" s="9" t="s">
        <v>26</v>
      </c>
    </row>
    <row r="4467" ht="15.75" customHeight="1">
      <c r="A4467" s="7"/>
      <c r="B4467" s="7" t="str">
        <f>IFERROR(__xludf.DUMMYFUNCTION("""COMPUTED_VALUE"""),"Bash/Shell/PowerShell;C++;C#;Python")</f>
        <v>Bash/Shell/PowerShell;C++;C#;Python</v>
      </c>
      <c r="C4467" s="9" t="str">
        <f>IFERROR(__xludf.DUMMYFUNCTION("""COMPUTED_VALUE"""),"F#")</f>
        <v>F#</v>
      </c>
      <c r="D4467" s="9" t="str">
        <f>IFERROR(__xludf.DUMMYFUNCTION("""COMPUTED_VALUE"""),"JavaScript")</f>
        <v>JavaScript</v>
      </c>
      <c r="E4467" s="9" t="str">
        <f>IFERROR(__xludf.DUMMYFUNCTION("""COMPUTED_VALUE"""),"VBA")</f>
        <v>VBA</v>
      </c>
      <c r="F4467" s="9" t="str">
        <f>IFERROR(__xludf.DUMMYFUNCTION("""COMPUTED_VALUE"""),"Bash/Shell/PowerShell")</f>
        <v>Bash/Shell/PowerShell</v>
      </c>
      <c r="G4467" s="9" t="str">
        <f>IFERROR(__xludf.DUMMYFUNCTION("""COMPUTED_VALUE"""),"JavaScript")</f>
        <v>JavaScript</v>
      </c>
      <c r="H4467" s="9" t="str">
        <f>IFERROR(__xludf.DUMMYFUNCTION("""COMPUTED_VALUE"""),"C")</f>
        <v>C</v>
      </c>
      <c r="I4467" s="9" t="str">
        <f>IFERROR(__xludf.DUMMYFUNCTION("""COMPUTED_VALUE"""),"HTML/CSS")</f>
        <v>HTML/CSS</v>
      </c>
      <c r="J4467" s="9" t="str">
        <f>IFERROR(__xludf.DUMMYFUNCTION("""COMPUTED_VALUE"""),"Bash/Shell/PowerShell")</f>
        <v>Bash/Shell/PowerShell</v>
      </c>
      <c r="K4467" s="9" t="str">
        <f>IFERROR(__xludf.DUMMYFUNCTION("""COMPUTED_VALUE"""),"C#")</f>
        <v>C#</v>
      </c>
      <c r="L4467" s="9" t="str">
        <f>IFERROR(__xludf.DUMMYFUNCTION("""COMPUTED_VALUE"""),"PHP")</f>
        <v>PHP</v>
      </c>
      <c r="M4467" s="9" t="s">
        <v>45</v>
      </c>
    </row>
    <row r="4468" ht="15.75" customHeight="1">
      <c r="A4468" s="7"/>
      <c r="B4468" s="7" t="str">
        <f>IFERROR(__xludf.DUMMYFUNCTION("""COMPUTED_VALUE"""),"Bash/Shell/PowerShell;Java;Python")</f>
        <v>Bash/Shell/PowerShell;Java;Python</v>
      </c>
      <c r="C4468" s="9" t="str">
        <f>IFERROR(__xludf.DUMMYFUNCTION("""COMPUTED_VALUE"""),"Java")</f>
        <v>Java</v>
      </c>
      <c r="D4468" s="9" t="str">
        <f>IFERROR(__xludf.DUMMYFUNCTION("""COMPUTED_VALUE"""),"TypeScript")</f>
        <v>TypeScript</v>
      </c>
      <c r="E4468" s="9" t="str">
        <f>IFERROR(__xludf.DUMMYFUNCTION("""COMPUTED_VALUE"""),"HTML/CSS")</f>
        <v>HTML/CSS</v>
      </c>
      <c r="F4468" s="9" t="str">
        <f>IFERROR(__xludf.DUMMYFUNCTION("""COMPUTED_VALUE"""),"Python")</f>
        <v>Python</v>
      </c>
      <c r="G4468" s="9" t="str">
        <f>IFERROR(__xludf.DUMMYFUNCTION("""COMPUTED_VALUE"""),"PHP")</f>
        <v>PHP</v>
      </c>
      <c r="H4468" s="9" t="str">
        <f>IFERROR(__xludf.DUMMYFUNCTION("""COMPUTED_VALUE"""),"C++")</f>
        <v>C++</v>
      </c>
      <c r="I4468" s="9" t="str">
        <f>IFERROR(__xludf.DUMMYFUNCTION("""COMPUTED_VALUE"""),"Java")</f>
        <v>Java</v>
      </c>
      <c r="J4468" s="9" t="str">
        <f>IFERROR(__xludf.DUMMYFUNCTION("""COMPUTED_VALUE"""),"C#")</f>
        <v>C#</v>
      </c>
      <c r="K4468" s="9" t="str">
        <f>IFERROR(__xludf.DUMMYFUNCTION("""COMPUTED_VALUE"""),"HTML/CSS")</f>
        <v>HTML/CSS</v>
      </c>
      <c r="L4468" s="9" t="str">
        <f>IFERROR(__xludf.DUMMYFUNCTION("""COMPUTED_VALUE"""),"Python")</f>
        <v>Python</v>
      </c>
      <c r="M4468" s="9" t="s">
        <v>20</v>
      </c>
    </row>
    <row r="4469" ht="15.75" customHeight="1">
      <c r="A4469" s="7"/>
      <c r="B4469" s="7" t="str">
        <f>IFERROR(__xludf.DUMMYFUNCTION("""COMPUTED_VALUE"""),"HTML/CSS;JavaScript;Ruby;SQL")</f>
        <v>HTML/CSS;JavaScript;Ruby;SQL</v>
      </c>
      <c r="C4469" s="9" t="str">
        <f>IFERROR(__xludf.DUMMYFUNCTION("""COMPUTED_VALUE"""),"Kotlin")</f>
        <v>Kotlin</v>
      </c>
      <c r="D4469" s="9" t="str">
        <f>IFERROR(__xludf.DUMMYFUNCTION("""COMPUTED_VALUE"""),"HTML/CSS")</f>
        <v>HTML/CSS</v>
      </c>
      <c r="E4469" s="9" t="str">
        <f>IFERROR(__xludf.DUMMYFUNCTION("""COMPUTED_VALUE"""),"JavaScript")</f>
        <v>JavaScript</v>
      </c>
      <c r="F4469" s="9" t="str">
        <f>IFERROR(__xludf.DUMMYFUNCTION("""COMPUTED_VALUE"""),"SQL")</f>
        <v>SQL</v>
      </c>
      <c r="G4469" s="9" t="str">
        <f>IFERROR(__xludf.DUMMYFUNCTION("""COMPUTED_VALUE"""),"SQL")</f>
        <v>SQL</v>
      </c>
      <c r="H4469" s="9" t="str">
        <f>IFERROR(__xludf.DUMMYFUNCTION("""COMPUTED_VALUE"""),"C#")</f>
        <v>C#</v>
      </c>
      <c r="I4469" s="9" t="str">
        <f>IFERROR(__xludf.DUMMYFUNCTION("""COMPUTED_VALUE"""),"JavaScript")</f>
        <v>JavaScript</v>
      </c>
      <c r="J4469" s="9" t="str">
        <f>IFERROR(__xludf.DUMMYFUNCTION("""COMPUTED_VALUE"""),"Go")</f>
        <v>Go</v>
      </c>
      <c r="K4469" s="9" t="str">
        <f>IFERROR(__xludf.DUMMYFUNCTION("""COMPUTED_VALUE"""),"JavaScript")</f>
        <v>JavaScript</v>
      </c>
      <c r="L4469" s="9" t="str">
        <f>IFERROR(__xludf.DUMMYFUNCTION("""COMPUTED_VALUE"""),"SQL")</f>
        <v>SQL</v>
      </c>
      <c r="M4469" s="9" t="s">
        <v>39</v>
      </c>
    </row>
    <row r="4470" ht="15.75" customHeight="1">
      <c r="A4470" s="7"/>
      <c r="B4470" s="7" t="str">
        <f>IFERROR(__xludf.DUMMYFUNCTION("""COMPUTED_VALUE"""),"HTML/CSS;JavaScript;PHP;SQL")</f>
        <v>HTML/CSS;JavaScript;PHP;SQL</v>
      </c>
      <c r="C4470" s="9" t="str">
        <f>IFERROR(__xludf.DUMMYFUNCTION("""COMPUTED_VALUE"""),"Scala")</f>
        <v>Scala</v>
      </c>
      <c r="D4470" s="9" t="str">
        <f>IFERROR(__xludf.DUMMYFUNCTION("""COMPUTED_VALUE"""),"JavaScript")</f>
        <v>JavaScript</v>
      </c>
      <c r="E4470" s="9" t="str">
        <f>IFERROR(__xludf.DUMMYFUNCTION("""COMPUTED_VALUE"""),"PHP")</f>
        <v>PHP</v>
      </c>
      <c r="F4470" s="9" t="str">
        <f>IFERROR(__xludf.DUMMYFUNCTION("""COMPUTED_VALUE"""),"Bash/Shell/PowerShell")</f>
        <v>Bash/Shell/PowerShell</v>
      </c>
      <c r="G4470" s="9" t="str">
        <f>IFERROR(__xludf.DUMMYFUNCTION("""COMPUTED_VALUE"""),"Bash/Shell/PowerShell")</f>
        <v>Bash/Shell/PowerShell</v>
      </c>
      <c r="H4470" s="9" t="str">
        <f>IFERROR(__xludf.DUMMYFUNCTION("""COMPUTED_VALUE"""),"PHP")</f>
        <v>PHP</v>
      </c>
      <c r="I4470" s="9" t="str">
        <f>IFERROR(__xludf.DUMMYFUNCTION("""COMPUTED_VALUE"""),"Python")</f>
        <v>Python</v>
      </c>
      <c r="J4470" s="9" t="str">
        <f>IFERROR(__xludf.DUMMYFUNCTION("""COMPUTED_VALUE"""),"HTML/CSS")</f>
        <v>HTML/CSS</v>
      </c>
      <c r="K4470" s="9" t="str">
        <f>IFERROR(__xludf.DUMMYFUNCTION("""COMPUTED_VALUE"""),"SQL")</f>
        <v>SQL</v>
      </c>
      <c r="L4470" s="9" t="str">
        <f>IFERROR(__xludf.DUMMYFUNCTION("""COMPUTED_VALUE"""),"TypeScript")</f>
        <v>TypeScript</v>
      </c>
      <c r="M4470" s="9" t="s">
        <v>46</v>
      </c>
    </row>
    <row r="4471" ht="15.75" customHeight="1">
      <c r="A4471" s="7"/>
      <c r="B4471" s="7" t="str">
        <f>IFERROR(__xludf.DUMMYFUNCTION("""COMPUTED_VALUE"""),"Bash/Shell/PowerShell;HTML/CSS;JavaScript;Python;SQL")</f>
        <v>Bash/Shell/PowerShell;HTML/CSS;JavaScript;Python;SQL</v>
      </c>
      <c r="C4471" s="9" t="str">
        <f>IFERROR(__xludf.DUMMYFUNCTION("""COMPUTED_VALUE"""),"SQL")</f>
        <v>SQL</v>
      </c>
      <c r="D4471" s="9" t="str">
        <f>IFERROR(__xludf.DUMMYFUNCTION("""COMPUTED_VALUE"""),"Python")</f>
        <v>Python</v>
      </c>
      <c r="E4471" s="9" t="str">
        <f>IFERROR(__xludf.DUMMYFUNCTION("""COMPUTED_VALUE"""),"SQL")</f>
        <v>SQL</v>
      </c>
      <c r="F4471" s="9" t="str">
        <f>IFERROR(__xludf.DUMMYFUNCTION("""COMPUTED_VALUE"""),"C#")</f>
        <v>C#</v>
      </c>
      <c r="G4471" s="9" t="str">
        <f>IFERROR(__xludf.DUMMYFUNCTION("""COMPUTED_VALUE"""),"C#")</f>
        <v>C#</v>
      </c>
      <c r="H4471" s="9" t="str">
        <f>IFERROR(__xludf.DUMMYFUNCTION("""COMPUTED_VALUE"""),"Bash/Shell/PowerShell")</f>
        <v>Bash/Shell/PowerShell</v>
      </c>
      <c r="I4471" s="9" t="str">
        <f>IFERROR(__xludf.DUMMYFUNCTION("""COMPUTED_VALUE"""),"R")</f>
        <v>R</v>
      </c>
      <c r="J4471" s="9" t="str">
        <f>IFERROR(__xludf.DUMMYFUNCTION("""COMPUTED_VALUE"""),"JavaScript")</f>
        <v>JavaScript</v>
      </c>
      <c r="K4471" s="9" t="str">
        <f>IFERROR(__xludf.DUMMYFUNCTION("""COMPUTED_VALUE"""),"Bash/Shell/PowerShell")</f>
        <v>Bash/Shell/PowerShell</v>
      </c>
      <c r="L4471" s="9" t="str">
        <f>IFERROR(__xludf.DUMMYFUNCTION("""COMPUTED_VALUE"""),"VBA")</f>
        <v>VBA</v>
      </c>
      <c r="M4471" s="9" t="s">
        <v>27</v>
      </c>
    </row>
    <row r="4472" ht="15.75" customHeight="1">
      <c r="A4472" s="7"/>
      <c r="B4472" s="7" t="str">
        <f>IFERROR(__xludf.DUMMYFUNCTION("""COMPUTED_VALUE"""),"HTML/CSS;JavaScript")</f>
        <v>HTML/CSS;JavaScript</v>
      </c>
      <c r="C4472" s="9" t="str">
        <f>IFERROR(__xludf.DUMMYFUNCTION("""COMPUTED_VALUE"""),"TypeScript")</f>
        <v>TypeScript</v>
      </c>
      <c r="D4472" s="9" t="str">
        <f>IFERROR(__xludf.DUMMYFUNCTION("""COMPUTED_VALUE"""),"R")</f>
        <v>R</v>
      </c>
      <c r="E4472" s="9" t="str">
        <f>IFERROR(__xludf.DUMMYFUNCTION("""COMPUTED_VALUE"""),"TypeScript")</f>
        <v>TypeScript</v>
      </c>
      <c r="F4472" s="9" t="str">
        <f>IFERROR(__xludf.DUMMYFUNCTION("""COMPUTED_VALUE"""),"HTML/CSS")</f>
        <v>HTML/CSS</v>
      </c>
      <c r="G4472" s="9" t="str">
        <f>IFERROR(__xludf.DUMMYFUNCTION("""COMPUTED_VALUE"""),"HTML/CSS")</f>
        <v>HTML/CSS</v>
      </c>
      <c r="H4472" s="9" t="str">
        <f>IFERROR(__xludf.DUMMYFUNCTION("""COMPUTED_VALUE"""),"C")</f>
        <v>C</v>
      </c>
      <c r="I4472" s="9" t="str">
        <f>IFERROR(__xludf.DUMMYFUNCTION("""COMPUTED_VALUE"""),"SQL")</f>
        <v>SQL</v>
      </c>
      <c r="J4472" s="9" t="str">
        <f>IFERROR(__xludf.DUMMYFUNCTION("""COMPUTED_VALUE"""),"Python")</f>
        <v>Python</v>
      </c>
      <c r="K4472" s="9" t="str">
        <f>IFERROR(__xludf.DUMMYFUNCTION("""COMPUTED_VALUE"""),"C")</f>
        <v>C</v>
      </c>
      <c r="L4472" s="9" t="str">
        <f>IFERROR(__xludf.DUMMYFUNCTION("""COMPUTED_VALUE"""),"Java")</f>
        <v>Java</v>
      </c>
      <c r="M4472" s="9" t="s">
        <v>33</v>
      </c>
    </row>
    <row r="4473" ht="15.75" customHeight="1">
      <c r="A4473" s="7"/>
      <c r="B4473" s="7" t="str">
        <f>IFERROR(__xludf.DUMMYFUNCTION("""COMPUTED_VALUE"""),"Bash/Shell/PowerShell;C++;Python;R;VBA")</f>
        <v>Bash/Shell/PowerShell;C++;Python;R;VBA</v>
      </c>
      <c r="C4473" s="9" t="str">
        <f>IFERROR(__xludf.DUMMYFUNCTION("""COMPUTED_VALUE"""),"C#")</f>
        <v>C#</v>
      </c>
      <c r="D4473" s="9" t="str">
        <f>IFERROR(__xludf.DUMMYFUNCTION("""COMPUTED_VALUE"""),"VBA")</f>
        <v>VBA</v>
      </c>
      <c r="E4473" s="9" t="str">
        <f>IFERROR(__xludf.DUMMYFUNCTION("""COMPUTED_VALUE"""),"Other(s):")</f>
        <v>Other(s):</v>
      </c>
      <c r="F4473" s="9" t="str">
        <f>IFERROR(__xludf.DUMMYFUNCTION("""COMPUTED_VALUE"""),"Java")</f>
        <v>Java</v>
      </c>
      <c r="G4473" s="9" t="str">
        <f>IFERROR(__xludf.DUMMYFUNCTION("""COMPUTED_VALUE"""),"JavaScript")</f>
        <v>JavaScript</v>
      </c>
      <c r="H4473" s="9" t="str">
        <f>IFERROR(__xludf.DUMMYFUNCTION("""COMPUTED_VALUE"""),"C++")</f>
        <v>C++</v>
      </c>
      <c r="I4473" s="9" t="str">
        <f>IFERROR(__xludf.DUMMYFUNCTION("""COMPUTED_VALUE"""),"Bash/Shell/PowerShell")</f>
        <v>Bash/Shell/PowerShell</v>
      </c>
      <c r="J4473" s="9" t="str">
        <f>IFERROR(__xludf.DUMMYFUNCTION("""COMPUTED_VALUE"""),"Ruby")</f>
        <v>Ruby</v>
      </c>
      <c r="K4473" s="9" t="str">
        <f>IFERROR(__xludf.DUMMYFUNCTION("""COMPUTED_VALUE"""),"Dart")</f>
        <v>Dart</v>
      </c>
      <c r="L4473" s="9" t="str">
        <f>IFERROR(__xludf.DUMMYFUNCTION("""COMPUTED_VALUE"""),"SQL")</f>
        <v>SQL</v>
      </c>
      <c r="M4473" s="9" t="s">
        <v>26</v>
      </c>
    </row>
    <row r="4474" ht="15.75" customHeight="1">
      <c r="A4474" s="7"/>
      <c r="B4474" s="7" t="str">
        <f>IFERROR(__xludf.DUMMYFUNCTION("""COMPUTED_VALUE"""),"Bash/Shell/PowerShell;Java;Kotlin;Python;Ruby")</f>
        <v>Bash/Shell/PowerShell;Java;Kotlin;Python;Ruby</v>
      </c>
      <c r="C4474" s="9" t="str">
        <f>IFERROR(__xludf.DUMMYFUNCTION("""COMPUTED_VALUE"""),"Bash/Shell/PowerShell")</f>
        <v>Bash/Shell/PowerShell</v>
      </c>
      <c r="D4474" s="9" t="str">
        <f>IFERROR(__xludf.DUMMYFUNCTION("""COMPUTED_VALUE"""),"Bash/Shell/PowerShell")</f>
        <v>Bash/Shell/PowerShell</v>
      </c>
      <c r="E4474" s="9" t="str">
        <f>IFERROR(__xludf.DUMMYFUNCTION("""COMPUTED_VALUE"""),"HTML/CSS")</f>
        <v>HTML/CSS</v>
      </c>
      <c r="F4474" s="9" t="str">
        <f>IFERROR(__xludf.DUMMYFUNCTION("""COMPUTED_VALUE"""),"JavaScript")</f>
        <v>JavaScript</v>
      </c>
      <c r="G4474" s="9" t="str">
        <f>IFERROR(__xludf.DUMMYFUNCTION("""COMPUTED_VALUE"""),"SQL")</f>
        <v>SQL</v>
      </c>
      <c r="H4474" s="9" t="str">
        <f>IFERROR(__xludf.DUMMYFUNCTION("""COMPUTED_VALUE"""),"Java")</f>
        <v>Java</v>
      </c>
      <c r="I4474" s="9" t="str">
        <f>IFERROR(__xludf.DUMMYFUNCTION("""COMPUTED_VALUE"""),"C")</f>
        <v>C</v>
      </c>
      <c r="J4474" s="9" t="str">
        <f>IFERROR(__xludf.DUMMYFUNCTION("""COMPUTED_VALUE"""),"SQL")</f>
        <v>SQL</v>
      </c>
      <c r="K4474" s="9" t="str">
        <f>IFERROR(__xludf.DUMMYFUNCTION("""COMPUTED_VALUE"""),"HTML/CSS")</f>
        <v>HTML/CSS</v>
      </c>
      <c r="L4474" s="9" t="str">
        <f>IFERROR(__xludf.DUMMYFUNCTION("""COMPUTED_VALUE"""),"JavaScript")</f>
        <v>JavaScript</v>
      </c>
      <c r="M4474" s="9" t="s">
        <v>30</v>
      </c>
    </row>
    <row r="4475" ht="15.75" customHeight="1">
      <c r="A4475" s="7"/>
      <c r="B4475" s="7" t="str">
        <f>IFERROR(__xludf.DUMMYFUNCTION("""COMPUTED_VALUE"""),"Bash/Shell/PowerShell;C;C++;JavaScript;Python")</f>
        <v>Bash/Shell/PowerShell;C;C++;JavaScript;Python</v>
      </c>
      <c r="C4475" s="9" t="str">
        <f>IFERROR(__xludf.DUMMYFUNCTION("""COMPUTED_VALUE"""),"C++")</f>
        <v>C++</v>
      </c>
      <c r="D4475" s="9" t="str">
        <f>IFERROR(__xludf.DUMMYFUNCTION("""COMPUTED_VALUE"""),"C#")</f>
        <v>C#</v>
      </c>
      <c r="E4475" s="9" t="str">
        <f>IFERROR(__xludf.DUMMYFUNCTION("""COMPUTED_VALUE"""),"JavaScript")</f>
        <v>JavaScript</v>
      </c>
      <c r="F4475" s="9" t="str">
        <f>IFERROR(__xludf.DUMMYFUNCTION("""COMPUTED_VALUE"""),"Python")</f>
        <v>Python</v>
      </c>
      <c r="G4475" s="9" t="str">
        <f>IFERROR(__xludf.DUMMYFUNCTION("""COMPUTED_VALUE"""),"TypeScript")</f>
        <v>TypeScript</v>
      </c>
      <c r="H4475" s="9" t="str">
        <f>IFERROR(__xludf.DUMMYFUNCTION("""COMPUTED_VALUE"""),"Python")</f>
        <v>Python</v>
      </c>
      <c r="I4475" s="9" t="str">
        <f>IFERROR(__xludf.DUMMYFUNCTION("""COMPUTED_VALUE"""),"HTML/CSS")</f>
        <v>HTML/CSS</v>
      </c>
      <c r="J4475" s="9" t="str">
        <f>IFERROR(__xludf.DUMMYFUNCTION("""COMPUTED_VALUE"""),"TypeScript")</f>
        <v>TypeScript</v>
      </c>
      <c r="K4475" s="9" t="str">
        <f>IFERROR(__xludf.DUMMYFUNCTION("""COMPUTED_VALUE"""),"Java")</f>
        <v>Java</v>
      </c>
      <c r="L4475" s="9" t="str">
        <f>IFERROR(__xludf.DUMMYFUNCTION("""COMPUTED_VALUE"""),"PHP")</f>
        <v>PHP</v>
      </c>
      <c r="M4475" s="9" t="s">
        <v>23</v>
      </c>
    </row>
    <row r="4476" ht="15.75" customHeight="1">
      <c r="A4476" s="7"/>
      <c r="B4476" s="7" t="str">
        <f>IFERROR(__xludf.DUMMYFUNCTION("""COMPUTED_VALUE"""),"Bash/Shell/PowerShell;C#;HTML/CSS;JavaScript;Objective-C;PHP;Python;SQL;TypeScript")</f>
        <v>Bash/Shell/PowerShell;C#;HTML/CSS;JavaScript;Objective-C;PHP;Python;SQL;TypeScript</v>
      </c>
      <c r="C4476" s="9" t="str">
        <f>IFERROR(__xludf.DUMMYFUNCTION("""COMPUTED_VALUE"""),"C#")</f>
        <v>C#</v>
      </c>
      <c r="D4476" s="9" t="str">
        <f>IFERROR(__xludf.DUMMYFUNCTION("""COMPUTED_VALUE"""),"HTML/CSS")</f>
        <v>HTML/CSS</v>
      </c>
      <c r="E4476" s="9" t="str">
        <f>IFERROR(__xludf.DUMMYFUNCTION("""COMPUTED_VALUE"""),"PHP")</f>
        <v>PHP</v>
      </c>
      <c r="F4476" s="9" t="str">
        <f>IFERROR(__xludf.DUMMYFUNCTION("""COMPUTED_VALUE"""),"R")</f>
        <v>R</v>
      </c>
      <c r="G4476" s="9" t="str">
        <f>IFERROR(__xludf.DUMMYFUNCTION("""COMPUTED_VALUE"""),"C#")</f>
        <v>C#</v>
      </c>
      <c r="H4476" s="9" t="str">
        <f>IFERROR(__xludf.DUMMYFUNCTION("""COMPUTED_VALUE"""),"SQL")</f>
        <v>SQL</v>
      </c>
      <c r="I4476" s="9" t="str">
        <f>IFERROR(__xludf.DUMMYFUNCTION("""COMPUTED_VALUE"""),"Java")</f>
        <v>Java</v>
      </c>
      <c r="J4476" s="9" t="str">
        <f>IFERROR(__xludf.DUMMYFUNCTION("""COMPUTED_VALUE"""),"Bash/Shell/PowerShell")</f>
        <v>Bash/Shell/PowerShell</v>
      </c>
      <c r="K4476" s="9" t="str">
        <f>IFERROR(__xludf.DUMMYFUNCTION("""COMPUTED_VALUE"""),"JavaScript")</f>
        <v>JavaScript</v>
      </c>
      <c r="L4476" s="9" t="str">
        <f>IFERROR(__xludf.DUMMYFUNCTION("""COMPUTED_VALUE"""),"Java")</f>
        <v>Java</v>
      </c>
      <c r="M4476" s="9" t="s">
        <v>26</v>
      </c>
    </row>
    <row r="4477" ht="15.75" customHeight="1">
      <c r="A4477" s="7"/>
      <c r="B4477" s="7" t="str">
        <f>IFERROR(__xludf.DUMMYFUNCTION("""COMPUTED_VALUE"""),"Assembly;Bash/Shell/PowerShell;C;C++;HTML/CSS;Java;JavaScript;Python;SQL;WebAssembly")</f>
        <v>Assembly;Bash/Shell/PowerShell;C;C++;HTML/CSS;Java;JavaScript;Python;SQL;WebAssembly</v>
      </c>
      <c r="C4477" s="9" t="str">
        <f>IFERROR(__xludf.DUMMYFUNCTION("""COMPUTED_VALUE"""),"HTML/CSS")</f>
        <v>HTML/CSS</v>
      </c>
      <c r="D4477" s="9" t="str">
        <f>IFERROR(__xludf.DUMMYFUNCTION("""COMPUTED_VALUE"""),"JavaScript")</f>
        <v>JavaScript</v>
      </c>
      <c r="E4477" s="9" t="str">
        <f>IFERROR(__xludf.DUMMYFUNCTION("""COMPUTED_VALUE"""),"SQL")</f>
        <v>SQL</v>
      </c>
      <c r="F4477" s="9" t="str">
        <f>IFERROR(__xludf.DUMMYFUNCTION("""COMPUTED_VALUE"""),"SQL")</f>
        <v>SQL</v>
      </c>
      <c r="G4477" s="9" t="str">
        <f>IFERROR(__xludf.DUMMYFUNCTION("""COMPUTED_VALUE"""),"HTML/CSS")</f>
        <v>HTML/CSS</v>
      </c>
      <c r="H4477" s="9" t="str">
        <f>IFERROR(__xludf.DUMMYFUNCTION("""COMPUTED_VALUE"""),"HTML/CSS")</f>
        <v>HTML/CSS</v>
      </c>
      <c r="I4477" s="9" t="str">
        <f>IFERROR(__xludf.DUMMYFUNCTION("""COMPUTED_VALUE"""),"JavaScript")</f>
        <v>JavaScript</v>
      </c>
      <c r="J4477" s="9" t="str">
        <f>IFERROR(__xludf.DUMMYFUNCTION("""COMPUTED_VALUE"""),"Java")</f>
        <v>Java</v>
      </c>
      <c r="K4477" s="9" t="str">
        <f>IFERROR(__xludf.DUMMYFUNCTION("""COMPUTED_VALUE"""),"PHP")</f>
        <v>PHP</v>
      </c>
      <c r="L4477" s="9" t="str">
        <f>IFERROR(__xludf.DUMMYFUNCTION("""COMPUTED_VALUE"""),"C#")</f>
        <v>C#</v>
      </c>
      <c r="M4477" s="9" t="s">
        <v>24</v>
      </c>
    </row>
    <row r="4478" ht="15.75" customHeight="1">
      <c r="A4478" s="7"/>
      <c r="B4478" s="7" t="str">
        <f>IFERROR(__xludf.DUMMYFUNCTION("""COMPUTED_VALUE"""),"HTML/CSS;Java;JavaScript;Objective-C;PHP;Python;SQL;Swift")</f>
        <v>HTML/CSS;Java;JavaScript;Objective-C;PHP;Python;SQL;Swift</v>
      </c>
      <c r="C4478" s="9" t="str">
        <f>IFERROR(__xludf.DUMMYFUNCTION("""COMPUTED_VALUE"""),"JavaScript")</f>
        <v>JavaScript</v>
      </c>
      <c r="D4478" s="9" t="str">
        <f>IFERROR(__xludf.DUMMYFUNCTION("""COMPUTED_VALUE"""),"SQL")</f>
        <v>SQL</v>
      </c>
      <c r="E4478" s="9" t="str">
        <f>IFERROR(__xludf.DUMMYFUNCTION("""COMPUTED_VALUE"""),"Other(s):")</f>
        <v>Other(s):</v>
      </c>
      <c r="F4478" s="9" t="str">
        <f>IFERROR(__xludf.DUMMYFUNCTION("""COMPUTED_VALUE"""),"Swift")</f>
        <v>Swift</v>
      </c>
      <c r="G4478" s="9" t="str">
        <f>IFERROR(__xludf.DUMMYFUNCTION("""COMPUTED_VALUE"""),"JavaScript")</f>
        <v>JavaScript</v>
      </c>
      <c r="H4478" s="9" t="str">
        <f>IFERROR(__xludf.DUMMYFUNCTION("""COMPUTED_VALUE"""),"JavaScript")</f>
        <v>JavaScript</v>
      </c>
      <c r="I4478" s="9" t="str">
        <f>IFERROR(__xludf.DUMMYFUNCTION("""COMPUTED_VALUE"""),"PHP")</f>
        <v>PHP</v>
      </c>
      <c r="J4478" s="9" t="str">
        <f>IFERROR(__xludf.DUMMYFUNCTION("""COMPUTED_VALUE"""),"Python")</f>
        <v>Python</v>
      </c>
      <c r="K4478" s="9" t="str">
        <f>IFERROR(__xludf.DUMMYFUNCTION("""COMPUTED_VALUE"""),"SQL")</f>
        <v>SQL</v>
      </c>
      <c r="L4478" s="9" t="str">
        <f>IFERROR(__xludf.DUMMYFUNCTION("""COMPUTED_VALUE"""),"Dart")</f>
        <v>Dart</v>
      </c>
      <c r="M4478" s="9" t="s">
        <v>21</v>
      </c>
    </row>
    <row r="4479" ht="15.75" customHeight="1">
      <c r="A4479" s="7"/>
      <c r="B4479" s="7" t="str">
        <f>IFERROR(__xludf.DUMMYFUNCTION("""COMPUTED_VALUE"""),"JavaScript")</f>
        <v>JavaScript</v>
      </c>
      <c r="C4479" s="9" t="str">
        <f>IFERROR(__xludf.DUMMYFUNCTION("""COMPUTED_VALUE"""),"PHP")</f>
        <v>PHP</v>
      </c>
      <c r="D4479" s="9" t="str">
        <f>IFERROR(__xludf.DUMMYFUNCTION("""COMPUTED_VALUE"""),"TypeScript")</f>
        <v>TypeScript</v>
      </c>
      <c r="E4479" s="9" t="str">
        <f>IFERROR(__xludf.DUMMYFUNCTION("""COMPUTED_VALUE"""),"C++")</f>
        <v>C++</v>
      </c>
      <c r="F4479" s="9" t="str">
        <f>IFERROR(__xludf.DUMMYFUNCTION("""COMPUTED_VALUE"""),"TypeScript")</f>
        <v>TypeScript</v>
      </c>
      <c r="G4479" s="9" t="str">
        <f>IFERROR(__xludf.DUMMYFUNCTION("""COMPUTED_VALUE"""),"SQL")</f>
        <v>SQL</v>
      </c>
      <c r="H4479" s="9" t="str">
        <f>IFERROR(__xludf.DUMMYFUNCTION("""COMPUTED_VALUE"""),"PHP")</f>
        <v>PHP</v>
      </c>
      <c r="I4479" s="9" t="str">
        <f>IFERROR(__xludf.DUMMYFUNCTION("""COMPUTED_VALUE"""),"Python")</f>
        <v>Python</v>
      </c>
      <c r="J4479" s="9" t="str">
        <f>IFERROR(__xludf.DUMMYFUNCTION("""COMPUTED_VALUE"""),"R")</f>
        <v>R</v>
      </c>
      <c r="K4479" s="9" t="str">
        <f>IFERROR(__xludf.DUMMYFUNCTION("""COMPUTED_VALUE"""),"Other(s):")</f>
        <v>Other(s):</v>
      </c>
      <c r="L4479" s="9" t="str">
        <f>IFERROR(__xludf.DUMMYFUNCTION("""COMPUTED_VALUE"""),"F#")</f>
        <v>F#</v>
      </c>
      <c r="M4479" s="9" t="s">
        <v>37</v>
      </c>
    </row>
    <row r="4480" ht="15.75" customHeight="1">
      <c r="A4480" s="7"/>
      <c r="B4480" s="7" t="str">
        <f>IFERROR(__xludf.DUMMYFUNCTION("""COMPUTED_VALUE"""),"HTML/CSS;JavaScript;PHP;Python;SQL;TypeScript")</f>
        <v>HTML/CSS;JavaScript;PHP;Python;SQL;TypeScript</v>
      </c>
      <c r="C4480" s="9" t="str">
        <f>IFERROR(__xludf.DUMMYFUNCTION("""COMPUTED_VALUE"""),"Python")</f>
        <v>Python</v>
      </c>
      <c r="D4480" s="9" t="str">
        <f>IFERROR(__xludf.DUMMYFUNCTION("""COMPUTED_VALUE"""),"C#")</f>
        <v>C#</v>
      </c>
      <c r="E4480" s="9" t="str">
        <f>IFERROR(__xludf.DUMMYFUNCTION("""COMPUTED_VALUE"""),"Dart")</f>
        <v>Dart</v>
      </c>
      <c r="F4480" s="9" t="str">
        <f>IFERROR(__xludf.DUMMYFUNCTION("""COMPUTED_VALUE"""),"Other(s):")</f>
        <v>Other(s):</v>
      </c>
      <c r="G4480" s="9" t="str">
        <f>IFERROR(__xludf.DUMMYFUNCTION("""COMPUTED_VALUE"""),"Bash/Shell/PowerShell")</f>
        <v>Bash/Shell/PowerShell</v>
      </c>
      <c r="H4480" s="9" t="str">
        <f>IFERROR(__xludf.DUMMYFUNCTION("""COMPUTED_VALUE"""),"VBA")</f>
        <v>VBA</v>
      </c>
      <c r="I4480" s="9" t="str">
        <f>IFERROR(__xludf.DUMMYFUNCTION("""COMPUTED_VALUE"""),"C++")</f>
        <v>C++</v>
      </c>
      <c r="J4480" s="9" t="str">
        <f>IFERROR(__xludf.DUMMYFUNCTION("""COMPUTED_VALUE"""),"Scala")</f>
        <v>Scala</v>
      </c>
      <c r="K4480" s="9" t="str">
        <f>IFERROR(__xludf.DUMMYFUNCTION("""COMPUTED_VALUE"""),"HTML/CSS")</f>
        <v>HTML/CSS</v>
      </c>
      <c r="L4480" s="9" t="str">
        <f>IFERROR(__xludf.DUMMYFUNCTION("""COMPUTED_VALUE"""),"Java")</f>
        <v>Java</v>
      </c>
      <c r="M4480" s="9" t="s">
        <v>22</v>
      </c>
    </row>
    <row r="4481" ht="15.75" customHeight="1">
      <c r="A4481" s="7"/>
      <c r="B4481" s="7" t="str">
        <f>IFERROR(__xludf.DUMMYFUNCTION("""COMPUTED_VALUE"""),"C#;HTML/CSS;JavaScript;SQL")</f>
        <v>C#;HTML/CSS;JavaScript;SQL</v>
      </c>
      <c r="C4481" s="9" t="str">
        <f>IFERROR(__xludf.DUMMYFUNCTION("""COMPUTED_VALUE"""),"SQL")</f>
        <v>SQL</v>
      </c>
      <c r="D4481" s="9" t="str">
        <f>IFERROR(__xludf.DUMMYFUNCTION("""COMPUTED_VALUE"""),"HTML/CSS")</f>
        <v>HTML/CSS</v>
      </c>
      <c r="E4481" s="9" t="str">
        <f>IFERROR(__xludf.DUMMYFUNCTION("""COMPUTED_VALUE"""),"Go")</f>
        <v>Go</v>
      </c>
      <c r="F4481" s="9" t="str">
        <f>IFERROR(__xludf.DUMMYFUNCTION("""COMPUTED_VALUE"""),"Bash/Shell/PowerShell")</f>
        <v>Bash/Shell/PowerShell</v>
      </c>
      <c r="G4481" s="9" t="str">
        <f>IFERROR(__xludf.DUMMYFUNCTION("""COMPUTED_VALUE"""),"Python")</f>
        <v>Python</v>
      </c>
      <c r="H4481" s="9" t="str">
        <f>IFERROR(__xludf.DUMMYFUNCTION("""COMPUTED_VALUE"""),"Other(s):")</f>
        <v>Other(s):</v>
      </c>
      <c r="I4481" s="9" t="str">
        <f>IFERROR(__xludf.DUMMYFUNCTION("""COMPUTED_VALUE"""),"Java")</f>
        <v>Java</v>
      </c>
      <c r="J4481" s="9" t="str">
        <f>IFERROR(__xludf.DUMMYFUNCTION("""COMPUTED_VALUE"""),"SQL")</f>
        <v>SQL</v>
      </c>
      <c r="K4481" s="9" t="str">
        <f>IFERROR(__xludf.DUMMYFUNCTION("""COMPUTED_VALUE"""),"JavaScript")</f>
        <v>JavaScript</v>
      </c>
      <c r="L4481" s="9" t="str">
        <f>IFERROR(__xludf.DUMMYFUNCTION("""COMPUTED_VALUE"""),"PHP")</f>
        <v>PHP</v>
      </c>
      <c r="M4481" s="9" t="s">
        <v>27</v>
      </c>
    </row>
    <row r="4482" ht="15.75" customHeight="1">
      <c r="A4482" s="7"/>
      <c r="B4482" s="7" t="str">
        <f>IFERROR(__xludf.DUMMYFUNCTION("""COMPUTED_VALUE"""),"Bash/Shell/PowerShell;HTML/CSS;JavaScript;PHP")</f>
        <v>Bash/Shell/PowerShell;HTML/CSS;JavaScript;PHP</v>
      </c>
      <c r="C4482" s="9" t="str">
        <f>IFERROR(__xludf.DUMMYFUNCTION("""COMPUTED_VALUE"""),"TypeScript")</f>
        <v>TypeScript</v>
      </c>
      <c r="D4482" s="9" t="str">
        <f>IFERROR(__xludf.DUMMYFUNCTION("""COMPUTED_VALUE"""),"JavaScript")</f>
        <v>JavaScript</v>
      </c>
      <c r="E4482" s="9" t="str">
        <f>IFERROR(__xludf.DUMMYFUNCTION("""COMPUTED_VALUE"""),"HTML/CSS")</f>
        <v>HTML/CSS</v>
      </c>
      <c r="F4482" s="9" t="str">
        <f>IFERROR(__xludf.DUMMYFUNCTION("""COMPUTED_VALUE"""),"C")</f>
        <v>C</v>
      </c>
      <c r="G4482" s="9" t="str">
        <f>IFERROR(__xludf.DUMMYFUNCTION("""COMPUTED_VALUE"""),"SQL")</f>
        <v>SQL</v>
      </c>
      <c r="H4482" s="9" t="str">
        <f>IFERROR(__xludf.DUMMYFUNCTION("""COMPUTED_VALUE"""),"C#")</f>
        <v>C#</v>
      </c>
      <c r="I4482" s="9" t="str">
        <f>IFERROR(__xludf.DUMMYFUNCTION("""COMPUTED_VALUE"""),"JavaScript")</f>
        <v>JavaScript</v>
      </c>
      <c r="J4482" s="9" t="str">
        <f>IFERROR(__xludf.DUMMYFUNCTION("""COMPUTED_VALUE"""),"Bash/Shell/PowerShell")</f>
        <v>Bash/Shell/PowerShell</v>
      </c>
      <c r="K4482" s="9" t="str">
        <f>IFERROR(__xludf.DUMMYFUNCTION("""COMPUTED_VALUE"""),"SQL")</f>
        <v>SQL</v>
      </c>
      <c r="L4482" s="9" t="str">
        <f>IFERROR(__xludf.DUMMYFUNCTION("""COMPUTED_VALUE"""),"VBA")</f>
        <v>VBA</v>
      </c>
      <c r="M4482" s="9" t="s">
        <v>33</v>
      </c>
    </row>
    <row r="4483" ht="15.75" customHeight="1">
      <c r="A4483" s="7"/>
      <c r="B4483" s="7" t="str">
        <f>IFERROR(__xludf.DUMMYFUNCTION("""COMPUTED_VALUE"""),"HTML/CSS;JavaScript;Python")</f>
        <v>HTML/CSS;JavaScript;Python</v>
      </c>
      <c r="C4483" s="9" t="str">
        <f>IFERROR(__xludf.DUMMYFUNCTION("""COMPUTED_VALUE"""),"HTML/CSS")</f>
        <v>HTML/CSS</v>
      </c>
      <c r="D4483" s="9" t="str">
        <f>IFERROR(__xludf.DUMMYFUNCTION("""COMPUTED_VALUE"""),"SQL")</f>
        <v>SQL</v>
      </c>
      <c r="E4483" s="9" t="str">
        <f>IFERROR(__xludf.DUMMYFUNCTION("""COMPUTED_VALUE"""),"SQL")</f>
        <v>SQL</v>
      </c>
      <c r="F4483" s="9" t="str">
        <f>IFERROR(__xludf.DUMMYFUNCTION("""COMPUTED_VALUE"""),"C++")</f>
        <v>C++</v>
      </c>
      <c r="G4483" s="9" t="str">
        <f>IFERROR(__xludf.DUMMYFUNCTION("""COMPUTED_VALUE"""),"Bash/Shell/PowerShell")</f>
        <v>Bash/Shell/PowerShell</v>
      </c>
      <c r="H4483" s="9" t="str">
        <f>IFERROR(__xludf.DUMMYFUNCTION("""COMPUTED_VALUE"""),"HTML/CSS")</f>
        <v>HTML/CSS</v>
      </c>
      <c r="I4483" s="9" t="str">
        <f>IFERROR(__xludf.DUMMYFUNCTION("""COMPUTED_VALUE"""),"Kotlin")</f>
        <v>Kotlin</v>
      </c>
      <c r="J4483" s="9" t="str">
        <f>IFERROR(__xludf.DUMMYFUNCTION("""COMPUTED_VALUE"""),"C#")</f>
        <v>C#</v>
      </c>
      <c r="K4483" s="9" t="str">
        <f>IFERROR(__xludf.DUMMYFUNCTION("""COMPUTED_VALUE"""),"VBA")</f>
        <v>VBA</v>
      </c>
      <c r="L4483" s="9" t="str">
        <f>IFERROR(__xludf.DUMMYFUNCTION("""COMPUTED_VALUE"""),"HTML/CSS")</f>
        <v>HTML/CSS</v>
      </c>
      <c r="M4483" s="9" t="s">
        <v>24</v>
      </c>
    </row>
    <row r="4484" ht="15.75" customHeight="1">
      <c r="A4484" s="7"/>
      <c r="B4484" s="7" t="str">
        <f>IFERROR(__xludf.DUMMYFUNCTION("""COMPUTED_VALUE"""),"Assembly;Bash/Shell/PowerShell;C;C++;C#;Go;HTML/CSS;Java;JavaScript;PHP;Python;SQL")</f>
        <v>Assembly;Bash/Shell/PowerShell;C;C++;C#;Go;HTML/CSS;Java;JavaScript;PHP;Python;SQL</v>
      </c>
      <c r="C4484" s="9" t="str">
        <f>IFERROR(__xludf.DUMMYFUNCTION("""COMPUTED_VALUE"""),"JavaScript")</f>
        <v>JavaScript</v>
      </c>
      <c r="D4484" s="9" t="str">
        <f>IFERROR(__xludf.DUMMYFUNCTION("""COMPUTED_VALUE"""),"TypeScript")</f>
        <v>TypeScript</v>
      </c>
      <c r="E4484" s="9" t="str">
        <f>IFERROR(__xludf.DUMMYFUNCTION("""COMPUTED_VALUE"""),"VBA")</f>
        <v>VBA</v>
      </c>
      <c r="F4484" s="9" t="str">
        <f>IFERROR(__xludf.DUMMYFUNCTION("""COMPUTED_VALUE"""),"Java")</f>
        <v>Java</v>
      </c>
      <c r="G4484" s="9" t="str">
        <f>IFERROR(__xludf.DUMMYFUNCTION("""COMPUTED_VALUE"""),"C")</f>
        <v>C</v>
      </c>
      <c r="H4484" s="9" t="str">
        <f>IFERROR(__xludf.DUMMYFUNCTION("""COMPUTED_VALUE"""),"Java")</f>
        <v>Java</v>
      </c>
      <c r="I4484" s="9" t="str">
        <f>IFERROR(__xludf.DUMMYFUNCTION("""COMPUTED_VALUE"""),"Objective-C")</f>
        <v>Objective-C</v>
      </c>
      <c r="J4484" s="9" t="str">
        <f>IFERROR(__xludf.DUMMYFUNCTION("""COMPUTED_VALUE"""),"Go")</f>
        <v>Go</v>
      </c>
      <c r="K4484" s="9" t="str">
        <f>IFERROR(__xludf.DUMMYFUNCTION("""COMPUTED_VALUE"""),"Other(s):")</f>
        <v>Other(s):</v>
      </c>
      <c r="L4484" s="9" t="str">
        <f>IFERROR(__xludf.DUMMYFUNCTION("""COMPUTED_VALUE"""),"JavaScript")</f>
        <v>JavaScript</v>
      </c>
      <c r="M4484" s="9" t="s">
        <v>21</v>
      </c>
    </row>
    <row r="4485" ht="15.75" customHeight="1">
      <c r="A4485" s="7"/>
      <c r="B4485" s="7" t="str">
        <f>IFERROR(__xludf.DUMMYFUNCTION("""COMPUTED_VALUE"""),"Bash/Shell/PowerShell;C#;SQL")</f>
        <v>Bash/Shell/PowerShell;C#;SQL</v>
      </c>
      <c r="C4485" s="9" t="str">
        <f>IFERROR(__xludf.DUMMYFUNCTION("""COMPUTED_VALUE"""),"PHP")</f>
        <v>PHP</v>
      </c>
      <c r="D4485" s="9" t="str">
        <f>IFERROR(__xludf.DUMMYFUNCTION("""COMPUTED_VALUE"""),"C++")</f>
        <v>C++</v>
      </c>
      <c r="E4485" s="9" t="str">
        <f>IFERROR(__xludf.DUMMYFUNCTION("""COMPUTED_VALUE"""),"Assembly")</f>
        <v>Assembly</v>
      </c>
      <c r="F4485" s="9" t="str">
        <f>IFERROR(__xludf.DUMMYFUNCTION("""COMPUTED_VALUE"""),"Python")</f>
        <v>Python</v>
      </c>
      <c r="G4485" s="9" t="str">
        <f>IFERROR(__xludf.DUMMYFUNCTION("""COMPUTED_VALUE"""),"C++")</f>
        <v>C++</v>
      </c>
      <c r="H4485" s="9" t="str">
        <f>IFERROR(__xludf.DUMMYFUNCTION("""COMPUTED_VALUE"""),"JavaScript")</f>
        <v>JavaScript</v>
      </c>
      <c r="I4485" s="9" t="str">
        <f>IFERROR(__xludf.DUMMYFUNCTION("""COMPUTED_VALUE"""),"Python")</f>
        <v>Python</v>
      </c>
      <c r="J4485" s="9" t="str">
        <f>IFERROR(__xludf.DUMMYFUNCTION("""COMPUTED_VALUE"""),"HTML/CSS")</f>
        <v>HTML/CSS</v>
      </c>
      <c r="K4485" s="9" t="str">
        <f>IFERROR(__xludf.DUMMYFUNCTION("""COMPUTED_VALUE"""),"C#")</f>
        <v>C#</v>
      </c>
      <c r="L4485" s="9" t="str">
        <f>IFERROR(__xludf.DUMMYFUNCTION("""COMPUTED_VALUE"""),"Python")</f>
        <v>Python</v>
      </c>
      <c r="M4485" s="9" t="s">
        <v>37</v>
      </c>
    </row>
    <row r="4486" ht="15.75" customHeight="1">
      <c r="A4486" s="7"/>
      <c r="B4486" s="7" t="str">
        <f>IFERROR(__xludf.DUMMYFUNCTION("""COMPUTED_VALUE"""),"C#;HTML/CSS")</f>
        <v>C#;HTML/CSS</v>
      </c>
      <c r="C4486" s="9" t="str">
        <f>IFERROR(__xludf.DUMMYFUNCTION("""COMPUTED_VALUE"""),"SQL")</f>
        <v>SQL</v>
      </c>
      <c r="D4486" s="9" t="str">
        <f>IFERROR(__xludf.DUMMYFUNCTION("""COMPUTED_VALUE"""),"C#")</f>
        <v>C#</v>
      </c>
      <c r="E4486" s="9" t="str">
        <f>IFERROR(__xludf.DUMMYFUNCTION("""COMPUTED_VALUE"""),"Bash/Shell/PowerShell")</f>
        <v>Bash/Shell/PowerShell</v>
      </c>
      <c r="F4486" s="9" t="str">
        <f>IFERROR(__xludf.DUMMYFUNCTION("""COMPUTED_VALUE"""),"Assembly")</f>
        <v>Assembly</v>
      </c>
      <c r="G4486" s="9" t="str">
        <f>IFERROR(__xludf.DUMMYFUNCTION("""COMPUTED_VALUE"""),"C#")</f>
        <v>C#</v>
      </c>
      <c r="H4486" s="9" t="str">
        <f>IFERROR(__xludf.DUMMYFUNCTION("""COMPUTED_VALUE"""),"Python")</f>
        <v>Python</v>
      </c>
      <c r="I4486" s="9" t="str">
        <f>IFERROR(__xludf.DUMMYFUNCTION("""COMPUTED_VALUE"""),"Swift")</f>
        <v>Swift</v>
      </c>
      <c r="J4486" s="9" t="str">
        <f>IFERROR(__xludf.DUMMYFUNCTION("""COMPUTED_VALUE"""),"Python")</f>
        <v>Python</v>
      </c>
      <c r="K4486" s="9" t="str">
        <f>IFERROR(__xludf.DUMMYFUNCTION("""COMPUTED_VALUE"""),"HTML/CSS")</f>
        <v>HTML/CSS</v>
      </c>
      <c r="L4486" s="9" t="str">
        <f>IFERROR(__xludf.DUMMYFUNCTION("""COMPUTED_VALUE"""),"C#")</f>
        <v>C#</v>
      </c>
      <c r="M4486" s="9" t="s">
        <v>27</v>
      </c>
    </row>
    <row r="4487" ht="15.75" customHeight="1">
      <c r="A4487" s="7"/>
      <c r="B4487" s="7" t="str">
        <f>IFERROR(__xludf.DUMMYFUNCTION("""COMPUTED_VALUE"""),"Assembly;Bash/Shell/PowerShell;C;C++;C#;Dart;HTML/CSS;Java;JavaScript;PHP;Python;Ruby;Scala;SQL;TypeScript")</f>
        <v>Assembly;Bash/Shell/PowerShell;C;C++;C#;Dart;HTML/CSS;Java;JavaScript;PHP;Python;Ruby;Scala;SQL;TypeScript</v>
      </c>
      <c r="C4487" s="9" t="str">
        <f>IFERROR(__xludf.DUMMYFUNCTION("""COMPUTED_VALUE"""),"TypeScript")</f>
        <v>TypeScript</v>
      </c>
      <c r="D4487" s="9" t="str">
        <f>IFERROR(__xludf.DUMMYFUNCTION("""COMPUTED_VALUE"""),"HTML/CSS")</f>
        <v>HTML/CSS</v>
      </c>
      <c r="E4487" s="9" t="str">
        <f>IFERROR(__xludf.DUMMYFUNCTION("""COMPUTED_VALUE"""),"C")</f>
        <v>C</v>
      </c>
      <c r="F4487" s="9" t="str">
        <f>IFERROR(__xludf.DUMMYFUNCTION("""COMPUTED_VALUE"""),"Bash/Shell/PowerShell")</f>
        <v>Bash/Shell/PowerShell</v>
      </c>
      <c r="G4487" s="9" t="str">
        <f>IFERROR(__xludf.DUMMYFUNCTION("""COMPUTED_VALUE"""),"Python")</f>
        <v>Python</v>
      </c>
      <c r="H4487" s="9" t="str">
        <f>IFERROR(__xludf.DUMMYFUNCTION("""COMPUTED_VALUE"""),"SQL")</f>
        <v>SQL</v>
      </c>
      <c r="I4487" s="9" t="str">
        <f>IFERROR(__xludf.DUMMYFUNCTION("""COMPUTED_VALUE"""),"Python")</f>
        <v>Python</v>
      </c>
      <c r="J4487" s="9" t="str">
        <f>IFERROR(__xludf.DUMMYFUNCTION("""COMPUTED_VALUE"""),"SQL")</f>
        <v>SQL</v>
      </c>
      <c r="K4487" s="9" t="str">
        <f>IFERROR(__xludf.DUMMYFUNCTION("""COMPUTED_VALUE"""),"JavaScript")</f>
        <v>JavaScript</v>
      </c>
      <c r="L4487" s="9" t="str">
        <f>IFERROR(__xludf.DUMMYFUNCTION("""COMPUTED_VALUE"""),"HTML/CSS")</f>
        <v>HTML/CSS</v>
      </c>
      <c r="M4487" s="9" t="s">
        <v>33</v>
      </c>
    </row>
    <row r="4488" ht="15.75" customHeight="1">
      <c r="A4488" s="7"/>
      <c r="B4488" s="7" t="str">
        <f>IFERROR(__xludf.DUMMYFUNCTION("""COMPUTED_VALUE"""),"Bash/Shell/PowerShell;C;Go;HTML/CSS;Java;JavaScript;PHP;Ruby;SQL;TypeScript")</f>
        <v>Bash/Shell/PowerShell;C;Go;HTML/CSS;Java;JavaScript;PHP;Ruby;SQL;TypeScript</v>
      </c>
      <c r="C4488" s="9" t="str">
        <f>IFERROR(__xludf.DUMMYFUNCTION("""COMPUTED_VALUE"""),"Bash/Shell/PowerShell")</f>
        <v>Bash/Shell/PowerShell</v>
      </c>
      <c r="D4488" s="9" t="str">
        <f>IFERROR(__xludf.DUMMYFUNCTION("""COMPUTED_VALUE"""),"Java")</f>
        <v>Java</v>
      </c>
      <c r="E4488" s="9" t="str">
        <f>IFERROR(__xludf.DUMMYFUNCTION("""COMPUTED_VALUE"""),"C++")</f>
        <v>C++</v>
      </c>
      <c r="F4488" s="9" t="str">
        <f>IFERROR(__xludf.DUMMYFUNCTION("""COMPUTED_VALUE"""),"C")</f>
        <v>C</v>
      </c>
      <c r="G4488" s="9" t="str">
        <f>IFERROR(__xludf.DUMMYFUNCTION("""COMPUTED_VALUE"""),"SQL")</f>
        <v>SQL</v>
      </c>
      <c r="H4488" s="9" t="str">
        <f>IFERROR(__xludf.DUMMYFUNCTION("""COMPUTED_VALUE"""),"VBA")</f>
        <v>VBA</v>
      </c>
      <c r="I4488" s="9" t="str">
        <f>IFERROR(__xludf.DUMMYFUNCTION("""COMPUTED_VALUE"""),"SQL")</f>
        <v>SQL</v>
      </c>
      <c r="J4488" s="9" t="str">
        <f>IFERROR(__xludf.DUMMYFUNCTION("""COMPUTED_VALUE"""),"VBA")</f>
        <v>VBA</v>
      </c>
      <c r="K4488" s="9" t="str">
        <f>IFERROR(__xludf.DUMMYFUNCTION("""COMPUTED_VALUE"""),"C++")</f>
        <v>C++</v>
      </c>
      <c r="L4488" s="9" t="str">
        <f>IFERROR(__xludf.DUMMYFUNCTION("""COMPUTED_VALUE"""),"JavaScript")</f>
        <v>JavaScript</v>
      </c>
      <c r="M4488" s="9" t="s">
        <v>30</v>
      </c>
    </row>
    <row r="4489" ht="15.75" customHeight="1">
      <c r="A4489" s="7"/>
      <c r="B4489" s="7" t="str">
        <f>IFERROR(__xludf.DUMMYFUNCTION("""COMPUTED_VALUE"""),"Bash/Shell/PowerShell;C++;C#;Clojure;F#;Go;HTML/CSS;Java;JavaScript;Kotlin;Python;Ruby;Rust;Scala;SQL")</f>
        <v>Bash/Shell/PowerShell;C++;C#;Clojure;F#;Go;HTML/CSS;Java;JavaScript;Kotlin;Python;Ruby;Rust;Scala;SQL</v>
      </c>
      <c r="C4489" s="9" t="str">
        <f>IFERROR(__xludf.DUMMYFUNCTION("""COMPUTED_VALUE"""),"C++")</f>
        <v>C++</v>
      </c>
      <c r="D4489" s="9" t="str">
        <f>IFERROR(__xludf.DUMMYFUNCTION("""COMPUTED_VALUE"""),"JavaScript")</f>
        <v>JavaScript</v>
      </c>
      <c r="E4489" s="9" t="str">
        <f>IFERROR(__xludf.DUMMYFUNCTION("""COMPUTED_VALUE"""),"HTML/CSS")</f>
        <v>HTML/CSS</v>
      </c>
      <c r="F4489" s="9" t="str">
        <f>IFERROR(__xludf.DUMMYFUNCTION("""COMPUTED_VALUE"""),"Python")</f>
        <v>Python</v>
      </c>
      <c r="G4489" s="9" t="str">
        <f>IFERROR(__xludf.DUMMYFUNCTION("""COMPUTED_VALUE"""),"Other(s):")</f>
        <v>Other(s):</v>
      </c>
      <c r="H4489" s="9" t="str">
        <f>IFERROR(__xludf.DUMMYFUNCTION("""COMPUTED_VALUE"""),"C#")</f>
        <v>C#</v>
      </c>
      <c r="I4489" s="9" t="str">
        <f>IFERROR(__xludf.DUMMYFUNCTION("""COMPUTED_VALUE"""),"Bash/Shell/PowerShell")</f>
        <v>Bash/Shell/PowerShell</v>
      </c>
      <c r="J4489" s="9" t="str">
        <f>IFERROR(__xludf.DUMMYFUNCTION("""COMPUTED_VALUE"""),"C#")</f>
        <v>C#</v>
      </c>
      <c r="K4489" s="9" t="str">
        <f>IFERROR(__xludf.DUMMYFUNCTION("""COMPUTED_VALUE"""),"JavaScript")</f>
        <v>JavaScript</v>
      </c>
      <c r="L4489" s="9" t="str">
        <f>IFERROR(__xludf.DUMMYFUNCTION("""COMPUTED_VALUE"""),"SQL")</f>
        <v>SQL</v>
      </c>
      <c r="M4489" s="9" t="s">
        <v>23</v>
      </c>
    </row>
    <row r="4490" ht="15.75" customHeight="1">
      <c r="A4490" s="7"/>
      <c r="B4490" s="7" t="str">
        <f>IFERROR(__xludf.DUMMYFUNCTION("""COMPUTED_VALUE"""),"HTML/CSS;Java;JavaScript;PHP;SQL;Swift")</f>
        <v>HTML/CSS;Java;JavaScript;PHP;SQL;Swift</v>
      </c>
      <c r="C4490" s="9" t="str">
        <f>IFERROR(__xludf.DUMMYFUNCTION("""COMPUTED_VALUE"""),"C#")</f>
        <v>C#</v>
      </c>
      <c r="D4490" s="9" t="str">
        <f>IFERROR(__xludf.DUMMYFUNCTION("""COMPUTED_VALUE"""),"SQL")</f>
        <v>SQL</v>
      </c>
      <c r="E4490" s="9" t="str">
        <f>IFERROR(__xludf.DUMMYFUNCTION("""COMPUTED_VALUE"""),"Java")</f>
        <v>Java</v>
      </c>
      <c r="F4490" s="9" t="str">
        <f>IFERROR(__xludf.DUMMYFUNCTION("""COMPUTED_VALUE"""),"HTML/CSS")</f>
        <v>HTML/CSS</v>
      </c>
      <c r="G4490" s="9" t="str">
        <f>IFERROR(__xludf.DUMMYFUNCTION("""COMPUTED_VALUE"""),"Assembly")</f>
        <v>Assembly</v>
      </c>
      <c r="H4490" s="9" t="str">
        <f>IFERROR(__xludf.DUMMYFUNCTION("""COMPUTED_VALUE"""),"HTML/CSS")</f>
        <v>HTML/CSS</v>
      </c>
      <c r="I4490" s="9" t="str">
        <f>IFERROR(__xludf.DUMMYFUNCTION("""COMPUTED_VALUE"""),"HTML/CSS")</f>
        <v>HTML/CSS</v>
      </c>
      <c r="J4490" s="9" t="str">
        <f>IFERROR(__xludf.DUMMYFUNCTION("""COMPUTED_VALUE"""),"HTML/CSS")</f>
        <v>HTML/CSS</v>
      </c>
      <c r="K4490" s="9" t="str">
        <f>IFERROR(__xludf.DUMMYFUNCTION("""COMPUTED_VALUE"""),"Python")</f>
        <v>Python</v>
      </c>
      <c r="L4490" s="9" t="str">
        <f>IFERROR(__xludf.DUMMYFUNCTION("""COMPUTED_VALUE"""),"Swift")</f>
        <v>Swift</v>
      </c>
      <c r="M4490" s="9" t="s">
        <v>26</v>
      </c>
    </row>
    <row r="4491" ht="15.75" customHeight="1">
      <c r="A4491" s="7"/>
      <c r="B4491" s="7" t="str">
        <f>IFERROR(__xludf.DUMMYFUNCTION("""COMPUTED_VALUE"""),"C#;HTML/CSS;Java;SQL")</f>
        <v>C#;HTML/CSS;Java;SQL</v>
      </c>
      <c r="C4491" s="9" t="str">
        <f>IFERROR(__xludf.DUMMYFUNCTION("""COMPUTED_VALUE"""),"HTML/CSS")</f>
        <v>HTML/CSS</v>
      </c>
      <c r="D4491" s="9" t="str">
        <f>IFERROR(__xludf.DUMMYFUNCTION("""COMPUTED_VALUE"""),"Bash/Shell/PowerShell")</f>
        <v>Bash/Shell/PowerShell</v>
      </c>
      <c r="E4491" s="9" t="str">
        <f>IFERROR(__xludf.DUMMYFUNCTION("""COMPUTED_VALUE"""),"JavaScript")</f>
        <v>JavaScript</v>
      </c>
      <c r="F4491" s="9" t="str">
        <f>IFERROR(__xludf.DUMMYFUNCTION("""COMPUTED_VALUE"""),"JavaScript")</f>
        <v>JavaScript</v>
      </c>
      <c r="G4491" s="9" t="str">
        <f>IFERROR(__xludf.DUMMYFUNCTION("""COMPUTED_VALUE"""),"Bash/Shell/PowerShell")</f>
        <v>Bash/Shell/PowerShell</v>
      </c>
      <c r="H4491" s="9" t="str">
        <f>IFERROR(__xludf.DUMMYFUNCTION("""COMPUTED_VALUE"""),"Java")</f>
        <v>Java</v>
      </c>
      <c r="I4491" s="9" t="str">
        <f>IFERROR(__xludf.DUMMYFUNCTION("""COMPUTED_VALUE"""),"Java")</f>
        <v>Java</v>
      </c>
      <c r="J4491" s="9" t="str">
        <f>IFERROR(__xludf.DUMMYFUNCTION("""COMPUTED_VALUE"""),"JavaScript")</f>
        <v>JavaScript</v>
      </c>
      <c r="K4491" s="9" t="str">
        <f>IFERROR(__xludf.DUMMYFUNCTION("""COMPUTED_VALUE"""),"VBA")</f>
        <v>VBA</v>
      </c>
      <c r="L4491" s="9" t="str">
        <f>IFERROR(__xludf.DUMMYFUNCTION("""COMPUTED_VALUE"""),"HTML/CSS")</f>
        <v>HTML/CSS</v>
      </c>
      <c r="M4491" s="9" t="s">
        <v>24</v>
      </c>
    </row>
    <row r="4492" ht="15.75" customHeight="1">
      <c r="A4492" s="7"/>
      <c r="B4492" s="7" t="str">
        <f>IFERROR(__xludf.DUMMYFUNCTION("""COMPUTED_VALUE"""),"HTML/CSS;Python;SQL")</f>
        <v>HTML/CSS;Python;SQL</v>
      </c>
      <c r="C4492" s="9" t="str">
        <f>IFERROR(__xludf.DUMMYFUNCTION("""COMPUTED_VALUE"""),"Java")</f>
        <v>Java</v>
      </c>
      <c r="D4492" s="9" t="str">
        <f>IFERROR(__xludf.DUMMYFUNCTION("""COMPUTED_VALUE"""),"C#")</f>
        <v>C#</v>
      </c>
      <c r="E4492" s="9" t="str">
        <f>IFERROR(__xludf.DUMMYFUNCTION("""COMPUTED_VALUE"""),"Python")</f>
        <v>Python</v>
      </c>
      <c r="F4492" s="9" t="str">
        <f>IFERROR(__xludf.DUMMYFUNCTION("""COMPUTED_VALUE"""),"PHP")</f>
        <v>PHP</v>
      </c>
      <c r="G4492" s="9" t="str">
        <f>IFERROR(__xludf.DUMMYFUNCTION("""COMPUTED_VALUE"""),"C")</f>
        <v>C</v>
      </c>
      <c r="H4492" s="9" t="str">
        <f>IFERROR(__xludf.DUMMYFUNCTION("""COMPUTED_VALUE"""),"JavaScript")</f>
        <v>JavaScript</v>
      </c>
      <c r="I4492" s="9" t="str">
        <f>IFERROR(__xludf.DUMMYFUNCTION("""COMPUTED_VALUE"""),"JavaScript")</f>
        <v>JavaScript</v>
      </c>
      <c r="J4492" s="9" t="str">
        <f>IFERROR(__xludf.DUMMYFUNCTION("""COMPUTED_VALUE"""),"SQL")</f>
        <v>SQL</v>
      </c>
      <c r="K4492" s="9" t="str">
        <f>IFERROR(__xludf.DUMMYFUNCTION("""COMPUTED_VALUE"""),"HTML/CSS")</f>
        <v>HTML/CSS</v>
      </c>
      <c r="L4492" s="9" t="str">
        <f>IFERROR(__xludf.DUMMYFUNCTION("""COMPUTED_VALUE"""),"JavaScript")</f>
        <v>JavaScript</v>
      </c>
      <c r="M4492" s="9" t="s">
        <v>20</v>
      </c>
    </row>
    <row r="4493" ht="15.75" customHeight="1">
      <c r="A4493" s="7"/>
      <c r="B4493" s="7" t="str">
        <f>IFERROR(__xludf.DUMMYFUNCTION("""COMPUTED_VALUE"""),"HTML/CSS;JavaScript;PHP;SQL")</f>
        <v>HTML/CSS;JavaScript;PHP;SQL</v>
      </c>
      <c r="C4493" s="9" t="str">
        <f>IFERROR(__xludf.DUMMYFUNCTION("""COMPUTED_VALUE"""),"JavaScript")</f>
        <v>JavaScript</v>
      </c>
      <c r="D4493" s="9" t="str">
        <f>IFERROR(__xludf.DUMMYFUNCTION("""COMPUTED_VALUE"""),"Elixir")</f>
        <v>Elixir</v>
      </c>
      <c r="E4493" s="9" t="str">
        <f>IFERROR(__xludf.DUMMYFUNCTION("""COMPUTED_VALUE"""),"SQL")</f>
        <v>SQL</v>
      </c>
      <c r="F4493" s="9" t="str">
        <f>IFERROR(__xludf.DUMMYFUNCTION("""COMPUTED_VALUE"""),"C++")</f>
        <v>C++</v>
      </c>
      <c r="G4493" s="9" t="str">
        <f>IFERROR(__xludf.DUMMYFUNCTION("""COMPUTED_VALUE"""),"C++")</f>
        <v>C++</v>
      </c>
      <c r="H4493" s="9" t="str">
        <f>IFERROR(__xludf.DUMMYFUNCTION("""COMPUTED_VALUE"""),"Python")</f>
        <v>Python</v>
      </c>
      <c r="I4493" s="9" t="str">
        <f>IFERROR(__xludf.DUMMYFUNCTION("""COMPUTED_VALUE"""),"PHP")</f>
        <v>PHP</v>
      </c>
      <c r="J4493" s="9" t="str">
        <f>IFERROR(__xludf.DUMMYFUNCTION("""COMPUTED_VALUE"""),"TypeScript")</f>
        <v>TypeScript</v>
      </c>
      <c r="K4493" s="9" t="str">
        <f>IFERROR(__xludf.DUMMYFUNCTION("""COMPUTED_VALUE"""),"JavaScript")</f>
        <v>JavaScript</v>
      </c>
      <c r="L4493" s="9" t="str">
        <f>IFERROR(__xludf.DUMMYFUNCTION("""COMPUTED_VALUE"""),"Python")</f>
        <v>Python</v>
      </c>
      <c r="M4493" s="9" t="s">
        <v>21</v>
      </c>
    </row>
    <row r="4494" ht="15.75" customHeight="1">
      <c r="A4494" s="7"/>
      <c r="B4494" s="7" t="str">
        <f>IFERROR(__xludf.DUMMYFUNCTION("""COMPUTED_VALUE"""),"C;C++;C#;HTML/CSS;JavaScript")</f>
        <v>C;C++;C#;HTML/CSS;JavaScript</v>
      </c>
      <c r="C4494" s="9" t="str">
        <f>IFERROR(__xludf.DUMMYFUNCTION("""COMPUTED_VALUE"""),"Objective-C")</f>
        <v>Objective-C</v>
      </c>
      <c r="D4494" s="9" t="str">
        <f>IFERROR(__xludf.DUMMYFUNCTION("""COMPUTED_VALUE"""),"HTML/CSS")</f>
        <v>HTML/CSS</v>
      </c>
      <c r="E4494" s="9" t="str">
        <f>IFERROR(__xludf.DUMMYFUNCTION("""COMPUTED_VALUE"""),"TypeScript")</f>
        <v>TypeScript</v>
      </c>
      <c r="F4494" s="9" t="str">
        <f>IFERROR(__xludf.DUMMYFUNCTION("""COMPUTED_VALUE"""),"C#")</f>
        <v>C#</v>
      </c>
      <c r="G4494" s="9" t="str">
        <f>IFERROR(__xludf.DUMMYFUNCTION("""COMPUTED_VALUE"""),"HTML/CSS")</f>
        <v>HTML/CSS</v>
      </c>
      <c r="H4494" s="9" t="str">
        <f>IFERROR(__xludf.DUMMYFUNCTION("""COMPUTED_VALUE"""),"SQL")</f>
        <v>SQL</v>
      </c>
      <c r="I4494" s="9" t="str">
        <f>IFERROR(__xludf.DUMMYFUNCTION("""COMPUTED_VALUE"""),"Bash/Shell/PowerShell")</f>
        <v>Bash/Shell/PowerShell</v>
      </c>
      <c r="J4494" s="9" t="str">
        <f>IFERROR(__xludf.DUMMYFUNCTION("""COMPUTED_VALUE"""),"Java")</f>
        <v>Java</v>
      </c>
      <c r="K4494" s="9" t="str">
        <f>IFERROR(__xludf.DUMMYFUNCTION("""COMPUTED_VALUE"""),"C")</f>
        <v>C</v>
      </c>
      <c r="L4494" s="9" t="str">
        <f>IFERROR(__xludf.DUMMYFUNCTION("""COMPUTED_VALUE"""),"TypeScript")</f>
        <v>TypeScript</v>
      </c>
      <c r="M4494" s="9" t="s">
        <v>41</v>
      </c>
    </row>
    <row r="4495" ht="15.75" customHeight="1">
      <c r="A4495" s="7"/>
      <c r="B4495" s="7" t="str">
        <f>IFERROR(__xludf.DUMMYFUNCTION("""COMPUTED_VALUE"""),"Java;Kotlin;Python")</f>
        <v>Java;Kotlin;Python</v>
      </c>
      <c r="C4495" s="9" t="str">
        <f>IFERROR(__xludf.DUMMYFUNCTION("""COMPUTED_VALUE"""),"PHP")</f>
        <v>PHP</v>
      </c>
      <c r="D4495" s="9" t="str">
        <f>IFERROR(__xludf.DUMMYFUNCTION("""COMPUTED_VALUE"""),"Java")</f>
        <v>Java</v>
      </c>
      <c r="E4495" s="9" t="str">
        <f>IFERROR(__xludf.DUMMYFUNCTION("""COMPUTED_VALUE"""),"C++")</f>
        <v>C++</v>
      </c>
      <c r="F4495" s="9" t="str">
        <f>IFERROR(__xludf.DUMMYFUNCTION("""COMPUTED_VALUE"""),"Dart")</f>
        <v>Dart</v>
      </c>
      <c r="G4495" s="9" t="str">
        <f>IFERROR(__xludf.DUMMYFUNCTION("""COMPUTED_VALUE"""),"JavaScript")</f>
        <v>JavaScript</v>
      </c>
      <c r="H4495" s="9" t="str">
        <f>IFERROR(__xludf.DUMMYFUNCTION("""COMPUTED_VALUE"""),"TypeScript")</f>
        <v>TypeScript</v>
      </c>
      <c r="I4495" s="9" t="str">
        <f>IFERROR(__xludf.DUMMYFUNCTION("""COMPUTED_VALUE"""),"Go")</f>
        <v>Go</v>
      </c>
      <c r="J4495" s="9" t="str">
        <f>IFERROR(__xludf.DUMMYFUNCTION("""COMPUTED_VALUE"""),"JavaScript")</f>
        <v>JavaScript</v>
      </c>
      <c r="K4495" s="9" t="str">
        <f>IFERROR(__xludf.DUMMYFUNCTION("""COMPUTED_VALUE"""),"C++")</f>
        <v>C++</v>
      </c>
      <c r="L4495" s="9" t="str">
        <f>IFERROR(__xludf.DUMMYFUNCTION("""COMPUTED_VALUE"""),"C++")</f>
        <v>C++</v>
      </c>
      <c r="M4495" s="9" t="s">
        <v>37</v>
      </c>
    </row>
    <row r="4496" ht="15.75" customHeight="1">
      <c r="A4496" s="7"/>
      <c r="B4496" s="7" t="str">
        <f>IFERROR(__xludf.DUMMYFUNCTION("""COMPUTED_VALUE"""),"C#;HTML/CSS;JavaScript;SQL;TypeScript")</f>
        <v>C#;HTML/CSS;JavaScript;SQL;TypeScript</v>
      </c>
      <c r="C4496" s="9" t="str">
        <f>IFERROR(__xludf.DUMMYFUNCTION("""COMPUTED_VALUE"""),"SQL")</f>
        <v>SQL</v>
      </c>
      <c r="D4496" s="9" t="str">
        <f>IFERROR(__xludf.DUMMYFUNCTION("""COMPUTED_VALUE"""),"JavaScript")</f>
        <v>JavaScript</v>
      </c>
      <c r="E4496" s="9" t="str">
        <f>IFERROR(__xludf.DUMMYFUNCTION("""COMPUTED_VALUE"""),"C#")</f>
        <v>C#</v>
      </c>
      <c r="F4496" s="9" t="str">
        <f>IFERROR(__xludf.DUMMYFUNCTION("""COMPUTED_VALUE"""),"Java")</f>
        <v>Java</v>
      </c>
      <c r="G4496" s="9" t="str">
        <f>IFERROR(__xludf.DUMMYFUNCTION("""COMPUTED_VALUE"""),"Python")</f>
        <v>Python</v>
      </c>
      <c r="H4496" s="9" t="str">
        <f>IFERROR(__xludf.DUMMYFUNCTION("""COMPUTED_VALUE"""),"VBA")</f>
        <v>VBA</v>
      </c>
      <c r="I4496" s="9" t="str">
        <f>IFERROR(__xludf.DUMMYFUNCTION("""COMPUTED_VALUE"""),"HTML/CSS")</f>
        <v>HTML/CSS</v>
      </c>
      <c r="J4496" s="9" t="str">
        <f>IFERROR(__xludf.DUMMYFUNCTION("""COMPUTED_VALUE"""),"Objective-C")</f>
        <v>Objective-C</v>
      </c>
      <c r="K4496" s="9" t="str">
        <f>IFERROR(__xludf.DUMMYFUNCTION("""COMPUTED_VALUE"""),"Java")</f>
        <v>Java</v>
      </c>
      <c r="L4496" s="9" t="str">
        <f>IFERROR(__xludf.DUMMYFUNCTION("""COMPUTED_VALUE"""),"Go")</f>
        <v>Go</v>
      </c>
      <c r="M4496" s="9" t="s">
        <v>27</v>
      </c>
    </row>
    <row r="4497" ht="15.75" customHeight="1">
      <c r="A4497" s="7"/>
      <c r="B4497" s="7" t="str">
        <f>IFERROR(__xludf.DUMMYFUNCTION("""COMPUTED_VALUE"""),"HTML/CSS;JavaScript;PHP;SQL;TypeScript")</f>
        <v>HTML/CSS;JavaScript;PHP;SQL;TypeScript</v>
      </c>
      <c r="C4497" s="9" t="str">
        <f>IFERROR(__xludf.DUMMYFUNCTION("""COMPUTED_VALUE"""),"VBA")</f>
        <v>VBA</v>
      </c>
      <c r="D4497" s="9" t="str">
        <f>IFERROR(__xludf.DUMMYFUNCTION("""COMPUTED_VALUE"""),"PHP")</f>
        <v>PHP</v>
      </c>
      <c r="E4497" s="9" t="str">
        <f>IFERROR(__xludf.DUMMYFUNCTION("""COMPUTED_VALUE"""),"HTML/CSS")</f>
        <v>HTML/CSS</v>
      </c>
      <c r="F4497" s="9" t="str">
        <f>IFERROR(__xludf.DUMMYFUNCTION("""COMPUTED_VALUE"""),"Kotlin")</f>
        <v>Kotlin</v>
      </c>
      <c r="G4497" s="9" t="str">
        <f>IFERROR(__xludf.DUMMYFUNCTION("""COMPUTED_VALUE"""),"R")</f>
        <v>R</v>
      </c>
      <c r="H4497" s="9" t="str">
        <f>IFERROR(__xludf.DUMMYFUNCTION("""COMPUTED_VALUE"""),"C")</f>
        <v>C</v>
      </c>
      <c r="I4497" s="9" t="str">
        <f>IFERROR(__xludf.DUMMYFUNCTION("""COMPUTED_VALUE"""),"HTML/CSS")</f>
        <v>HTML/CSS</v>
      </c>
      <c r="J4497" s="9" t="str">
        <f>IFERROR(__xludf.DUMMYFUNCTION("""COMPUTED_VALUE"""),"Swift")</f>
        <v>Swift</v>
      </c>
      <c r="K4497" s="9" t="str">
        <f>IFERROR(__xludf.DUMMYFUNCTION("""COMPUTED_VALUE"""),"JavaScript")</f>
        <v>JavaScript</v>
      </c>
      <c r="L4497" s="9" t="str">
        <f>IFERROR(__xludf.DUMMYFUNCTION("""COMPUTED_VALUE"""),"Java")</f>
        <v>Java</v>
      </c>
      <c r="M4497" s="9" t="s">
        <v>28</v>
      </c>
    </row>
    <row r="4498" ht="15.75" customHeight="1">
      <c r="A4498" s="7"/>
      <c r="B4498" s="7" t="str">
        <f>IFERROR(__xludf.DUMMYFUNCTION("""COMPUTED_VALUE"""),"Bash/Shell/PowerShell;HTML/CSS;JavaScript;Python;SQL;TypeScript")</f>
        <v>Bash/Shell/PowerShell;HTML/CSS;JavaScript;Python;SQL;TypeScript</v>
      </c>
      <c r="C4498" s="9" t="str">
        <f>IFERROR(__xludf.DUMMYFUNCTION("""COMPUTED_VALUE"""),"Bash/Shell/PowerShell")</f>
        <v>Bash/Shell/PowerShell</v>
      </c>
      <c r="D4498" s="9" t="str">
        <f>IFERROR(__xludf.DUMMYFUNCTION("""COMPUTED_VALUE"""),"Python")</f>
        <v>Python</v>
      </c>
      <c r="E4498" s="9" t="str">
        <f>IFERROR(__xludf.DUMMYFUNCTION("""COMPUTED_VALUE"""),"Java")</f>
        <v>Java</v>
      </c>
      <c r="F4498" s="9" t="str">
        <f>IFERROR(__xludf.DUMMYFUNCTION("""COMPUTED_VALUE"""),"C#")</f>
        <v>C#</v>
      </c>
      <c r="G4498" s="9" t="str">
        <f>IFERROR(__xludf.DUMMYFUNCTION("""COMPUTED_VALUE"""),"HTML/CSS")</f>
        <v>HTML/CSS</v>
      </c>
      <c r="H4498" s="9" t="str">
        <f>IFERROR(__xludf.DUMMYFUNCTION("""COMPUTED_VALUE"""),"C++")</f>
        <v>C++</v>
      </c>
      <c r="I4498" s="9" t="str">
        <f>IFERROR(__xludf.DUMMYFUNCTION("""COMPUTED_VALUE"""),"JavaScript")</f>
        <v>JavaScript</v>
      </c>
      <c r="J4498" s="9" t="str">
        <f>IFERROR(__xludf.DUMMYFUNCTION("""COMPUTED_VALUE"""),"HTML/CSS")</f>
        <v>HTML/CSS</v>
      </c>
      <c r="K4498" s="9" t="str">
        <f>IFERROR(__xludf.DUMMYFUNCTION("""COMPUTED_VALUE"""),"Python")</f>
        <v>Python</v>
      </c>
      <c r="L4498" s="9" t="str">
        <f>IFERROR(__xludf.DUMMYFUNCTION("""COMPUTED_VALUE"""),"JavaScript")</f>
        <v>JavaScript</v>
      </c>
      <c r="M4498" s="9" t="s">
        <v>30</v>
      </c>
    </row>
    <row r="4499" ht="15.75" customHeight="1">
      <c r="A4499" s="7"/>
      <c r="B4499" s="7" t="str">
        <f>IFERROR(__xludf.DUMMYFUNCTION("""COMPUTED_VALUE"""),"HTML/CSS;Java;JavaScript;PHP;SQL;VBA")</f>
        <v>HTML/CSS;Java;JavaScript;PHP;SQL;VBA</v>
      </c>
      <c r="C4499" s="9" t="str">
        <f>IFERROR(__xludf.DUMMYFUNCTION("""COMPUTED_VALUE"""),"C#")</f>
        <v>C#</v>
      </c>
      <c r="D4499" s="9" t="str">
        <f>IFERROR(__xludf.DUMMYFUNCTION("""COMPUTED_VALUE"""),"Ruby")</f>
        <v>Ruby</v>
      </c>
      <c r="E4499" s="9" t="str">
        <f>IFERROR(__xludf.DUMMYFUNCTION("""COMPUTED_VALUE"""),"JavaScript")</f>
        <v>JavaScript</v>
      </c>
      <c r="F4499" s="9" t="str">
        <f>IFERROR(__xludf.DUMMYFUNCTION("""COMPUTED_VALUE"""),"HTML/CSS")</f>
        <v>HTML/CSS</v>
      </c>
      <c r="G4499" s="9" t="str">
        <f>IFERROR(__xludf.DUMMYFUNCTION("""COMPUTED_VALUE"""),"Java")</f>
        <v>Java</v>
      </c>
      <c r="H4499" s="9" t="str">
        <f>IFERROR(__xludf.DUMMYFUNCTION("""COMPUTED_VALUE"""),"C#")</f>
        <v>C#</v>
      </c>
      <c r="I4499" s="9" t="str">
        <f>IFERROR(__xludf.DUMMYFUNCTION("""COMPUTED_VALUE"""),"C#")</f>
        <v>C#</v>
      </c>
      <c r="J4499" s="9" t="str">
        <f>IFERROR(__xludf.DUMMYFUNCTION("""COMPUTED_VALUE"""),"PHP")</f>
        <v>PHP</v>
      </c>
      <c r="K4499" s="9" t="str">
        <f>IFERROR(__xludf.DUMMYFUNCTION("""COMPUTED_VALUE"""),"Bash/Shell/PowerShell")</f>
        <v>Bash/Shell/PowerShell</v>
      </c>
      <c r="L4499" s="9" t="str">
        <f>IFERROR(__xludf.DUMMYFUNCTION("""COMPUTED_VALUE"""),"Python")</f>
        <v>Python</v>
      </c>
      <c r="M4499" s="9" t="s">
        <v>26</v>
      </c>
    </row>
    <row r="4500" ht="15.75" customHeight="1">
      <c r="A4500" s="7"/>
      <c r="B4500" s="7" t="str">
        <f>IFERROR(__xludf.DUMMYFUNCTION("""COMPUTED_VALUE"""),"C;C++;HTML/CSS;JavaScript;Python;R;SQL;Other(s):")</f>
        <v>C;C++;HTML/CSS;JavaScript;Python;R;SQL;Other(s):</v>
      </c>
      <c r="C4500" s="9" t="str">
        <f>IFERROR(__xludf.DUMMYFUNCTION("""COMPUTED_VALUE"""),"Java")</f>
        <v>Java</v>
      </c>
      <c r="D4500" s="9" t="str">
        <f>IFERROR(__xludf.DUMMYFUNCTION("""COMPUTED_VALUE"""),"SQL")</f>
        <v>SQL</v>
      </c>
      <c r="E4500" s="9" t="str">
        <f>IFERROR(__xludf.DUMMYFUNCTION("""COMPUTED_VALUE"""),"Kotlin")</f>
        <v>Kotlin</v>
      </c>
      <c r="F4500" s="9" t="str">
        <f>IFERROR(__xludf.DUMMYFUNCTION("""COMPUTED_VALUE"""),"Java")</f>
        <v>Java</v>
      </c>
      <c r="G4500" s="9" t="str">
        <f>IFERROR(__xludf.DUMMYFUNCTION("""COMPUTED_VALUE"""),"JavaScript")</f>
        <v>JavaScript</v>
      </c>
      <c r="H4500" s="9" t="str">
        <f>IFERROR(__xludf.DUMMYFUNCTION("""COMPUTED_VALUE"""),"HTML/CSS")</f>
        <v>HTML/CSS</v>
      </c>
      <c r="I4500" s="9" t="str">
        <f>IFERROR(__xludf.DUMMYFUNCTION("""COMPUTED_VALUE"""),"HTML/CSS")</f>
        <v>HTML/CSS</v>
      </c>
      <c r="J4500" s="9" t="str">
        <f>IFERROR(__xludf.DUMMYFUNCTION("""COMPUTED_VALUE"""),"HTML/CSS")</f>
        <v>HTML/CSS</v>
      </c>
      <c r="K4500" s="9" t="str">
        <f>IFERROR(__xludf.DUMMYFUNCTION("""COMPUTED_VALUE"""),"HTML/CSS")</f>
        <v>HTML/CSS</v>
      </c>
      <c r="L4500" s="9" t="str">
        <f>IFERROR(__xludf.DUMMYFUNCTION("""COMPUTED_VALUE"""),"Bash/Shell/PowerShell")</f>
        <v>Bash/Shell/PowerShell</v>
      </c>
      <c r="M4500" s="9" t="s">
        <v>20</v>
      </c>
    </row>
    <row r="4501" ht="15.75" customHeight="1">
      <c r="A4501" s="7"/>
      <c r="B4501" s="7" t="str">
        <f>IFERROR(__xludf.DUMMYFUNCTION("""COMPUTED_VALUE"""),"Bash/Shell/PowerShell;HTML/CSS;Java;JavaScript;Python;SQL;Swift;TypeScript;Other(s):")</f>
        <v>Bash/Shell/PowerShell;HTML/CSS;Java;JavaScript;Python;SQL;Swift;TypeScript;Other(s):</v>
      </c>
      <c r="C4501" s="9" t="str">
        <f>IFERROR(__xludf.DUMMYFUNCTION("""COMPUTED_VALUE"""),"JavaScript")</f>
        <v>JavaScript</v>
      </c>
      <c r="D4501" s="9" t="str">
        <f>IFERROR(__xludf.DUMMYFUNCTION("""COMPUTED_VALUE"""),"Java")</f>
        <v>Java</v>
      </c>
      <c r="E4501" s="9" t="str">
        <f>IFERROR(__xludf.DUMMYFUNCTION("""COMPUTED_VALUE"""),"SQL")</f>
        <v>SQL</v>
      </c>
      <c r="F4501" s="9" t="str">
        <f>IFERROR(__xludf.DUMMYFUNCTION("""COMPUTED_VALUE"""),"JavaScript")</f>
        <v>JavaScript</v>
      </c>
      <c r="G4501" s="9" t="str">
        <f>IFERROR(__xludf.DUMMYFUNCTION("""COMPUTED_VALUE"""),"SQL")</f>
        <v>SQL</v>
      </c>
      <c r="H4501" s="9" t="str">
        <f>IFERROR(__xludf.DUMMYFUNCTION("""COMPUTED_VALUE"""),"Java")</f>
        <v>Java</v>
      </c>
      <c r="I4501" s="9" t="str">
        <f>IFERROR(__xludf.DUMMYFUNCTION("""COMPUTED_VALUE"""),"JavaScript")</f>
        <v>JavaScript</v>
      </c>
      <c r="J4501" s="9" t="str">
        <f>IFERROR(__xludf.DUMMYFUNCTION("""COMPUTED_VALUE"""),"JavaScript")</f>
        <v>JavaScript</v>
      </c>
      <c r="K4501" s="9" t="str">
        <f>IFERROR(__xludf.DUMMYFUNCTION("""COMPUTED_VALUE"""),"Java")</f>
        <v>Java</v>
      </c>
      <c r="L4501" s="9" t="str">
        <f>IFERROR(__xludf.DUMMYFUNCTION("""COMPUTED_VALUE"""),"HTML/CSS")</f>
        <v>HTML/CSS</v>
      </c>
      <c r="M4501" s="9" t="s">
        <v>21</v>
      </c>
    </row>
    <row r="4502" ht="15.75" customHeight="1">
      <c r="A4502" s="7"/>
      <c r="B4502" s="7" t="str">
        <f>IFERROR(__xludf.DUMMYFUNCTION("""COMPUTED_VALUE"""),"Assembly;Bash/Shell/PowerShell;C++;HTML/CSS;JavaScript;PHP;SQL")</f>
        <v>Assembly;Bash/Shell/PowerShell;C++;HTML/CSS;JavaScript;PHP;SQL</v>
      </c>
      <c r="C4502" s="9" t="str">
        <f>IFERROR(__xludf.DUMMYFUNCTION("""COMPUTED_VALUE"""),"Python")</f>
        <v>Python</v>
      </c>
      <c r="D4502" s="9" t="str">
        <f>IFERROR(__xludf.DUMMYFUNCTION("""COMPUTED_VALUE"""),"Bash/Shell/PowerShell")</f>
        <v>Bash/Shell/PowerShell</v>
      </c>
      <c r="E4502" s="9" t="str">
        <f>IFERROR(__xludf.DUMMYFUNCTION("""COMPUTED_VALUE"""),"TypeScript")</f>
        <v>TypeScript</v>
      </c>
      <c r="F4502" s="9" t="str">
        <f>IFERROR(__xludf.DUMMYFUNCTION("""COMPUTED_VALUE"""),"HTML/CSS")</f>
        <v>HTML/CSS</v>
      </c>
      <c r="G4502" s="9" t="str">
        <f>IFERROR(__xludf.DUMMYFUNCTION("""COMPUTED_VALUE"""),"C#")</f>
        <v>C#</v>
      </c>
      <c r="H4502" s="9" t="str">
        <f>IFERROR(__xludf.DUMMYFUNCTION("""COMPUTED_VALUE"""),"JavaScript")</f>
        <v>JavaScript</v>
      </c>
      <c r="I4502" s="9" t="str">
        <f>IFERROR(__xludf.DUMMYFUNCTION("""COMPUTED_VALUE"""),"SQL")</f>
        <v>SQL</v>
      </c>
      <c r="J4502" s="9" t="str">
        <f>IFERROR(__xludf.DUMMYFUNCTION("""COMPUTED_VALUE"""),"PHP")</f>
        <v>PHP</v>
      </c>
      <c r="K4502" s="9" t="str">
        <f>IFERROR(__xludf.DUMMYFUNCTION("""COMPUTED_VALUE"""),"JavaScript")</f>
        <v>JavaScript</v>
      </c>
      <c r="L4502" s="9" t="str">
        <f>IFERROR(__xludf.DUMMYFUNCTION("""COMPUTED_VALUE"""),"JavaScript")</f>
        <v>JavaScript</v>
      </c>
      <c r="M4502" s="9" t="s">
        <v>22</v>
      </c>
    </row>
    <row r="4503" ht="15.75" customHeight="1">
      <c r="A4503" s="7"/>
      <c r="B4503" s="7" t="str">
        <f>IFERROR(__xludf.DUMMYFUNCTION("""COMPUTED_VALUE"""),"Bash/Shell/PowerShell;HTML/CSS;Java;JavaScript;Kotlin;PHP;SQL")</f>
        <v>Bash/Shell/PowerShell;HTML/CSS;Java;JavaScript;Kotlin;PHP;SQL</v>
      </c>
      <c r="C4503" s="9" t="str">
        <f>IFERROR(__xludf.DUMMYFUNCTION("""COMPUTED_VALUE"""),"SQL")</f>
        <v>SQL</v>
      </c>
      <c r="D4503" s="9" t="str">
        <f>IFERROR(__xludf.DUMMYFUNCTION("""COMPUTED_VALUE"""),"HTML/CSS")</f>
        <v>HTML/CSS</v>
      </c>
      <c r="E4503" s="9" t="str">
        <f>IFERROR(__xludf.DUMMYFUNCTION("""COMPUTED_VALUE"""),"HTML/CSS")</f>
        <v>HTML/CSS</v>
      </c>
      <c r="F4503" s="9" t="str">
        <f>IFERROR(__xludf.DUMMYFUNCTION("""COMPUTED_VALUE"""),"JavaScript")</f>
        <v>JavaScript</v>
      </c>
      <c r="G4503" s="9" t="str">
        <f>IFERROR(__xludf.DUMMYFUNCTION("""COMPUTED_VALUE"""),"HTML/CSS")</f>
        <v>HTML/CSS</v>
      </c>
      <c r="H4503" s="9" t="str">
        <f>IFERROR(__xludf.DUMMYFUNCTION("""COMPUTED_VALUE"""),"PHP")</f>
        <v>PHP</v>
      </c>
      <c r="I4503" s="9" t="str">
        <f>IFERROR(__xludf.DUMMYFUNCTION("""COMPUTED_VALUE"""),"VBA")</f>
        <v>VBA</v>
      </c>
      <c r="J4503" s="9" t="str">
        <f>IFERROR(__xludf.DUMMYFUNCTION("""COMPUTED_VALUE"""),"HTML/CSS")</f>
        <v>HTML/CSS</v>
      </c>
      <c r="K4503" s="9" t="str">
        <f>IFERROR(__xludf.DUMMYFUNCTION("""COMPUTED_VALUE"""),"PHP")</f>
        <v>PHP</v>
      </c>
      <c r="L4503" s="9" t="str">
        <f>IFERROR(__xludf.DUMMYFUNCTION("""COMPUTED_VALUE"""),"PHP")</f>
        <v>PHP</v>
      </c>
      <c r="M4503" s="9" t="s">
        <v>27</v>
      </c>
    </row>
    <row r="4504" ht="15.75" customHeight="1">
      <c r="A4504" s="7"/>
      <c r="B4504" s="7" t="str">
        <f>IFERROR(__xludf.DUMMYFUNCTION("""COMPUTED_VALUE"""),"Bash/Shell/PowerShell;C;C++;Elixir;Erlang;JavaScript;Other(s):")</f>
        <v>Bash/Shell/PowerShell;C;C++;Elixir;Erlang;JavaScript;Other(s):</v>
      </c>
      <c r="C4504" s="9" t="str">
        <f>IFERROR(__xludf.DUMMYFUNCTION("""COMPUTED_VALUE"""),"C#")</f>
        <v>C#</v>
      </c>
      <c r="D4504" s="9" t="str">
        <f>IFERROR(__xludf.DUMMYFUNCTION("""COMPUTED_VALUE"""),"JavaScript")</f>
        <v>JavaScript</v>
      </c>
      <c r="E4504" s="9" t="str">
        <f>IFERROR(__xludf.DUMMYFUNCTION("""COMPUTED_VALUE"""),"Java")</f>
        <v>Java</v>
      </c>
      <c r="F4504" s="9" t="str">
        <f>IFERROR(__xludf.DUMMYFUNCTION("""COMPUTED_VALUE"""),"TypeScript")</f>
        <v>TypeScript</v>
      </c>
      <c r="G4504" s="9" t="str">
        <f>IFERROR(__xludf.DUMMYFUNCTION("""COMPUTED_VALUE"""),"Java")</f>
        <v>Java</v>
      </c>
      <c r="H4504" s="9" t="str">
        <f>IFERROR(__xludf.DUMMYFUNCTION("""COMPUTED_VALUE"""),"Python")</f>
        <v>Python</v>
      </c>
      <c r="I4504" s="9" t="str">
        <f>IFERROR(__xludf.DUMMYFUNCTION("""COMPUTED_VALUE"""),"C#")</f>
        <v>C#</v>
      </c>
      <c r="J4504" s="9" t="str">
        <f>IFERROR(__xludf.DUMMYFUNCTION("""COMPUTED_VALUE"""),"JavaScript")</f>
        <v>JavaScript</v>
      </c>
      <c r="K4504" s="9" t="str">
        <f>IFERROR(__xludf.DUMMYFUNCTION("""COMPUTED_VALUE"""),"Bash/Shell/PowerShell")</f>
        <v>Bash/Shell/PowerShell</v>
      </c>
      <c r="L4504" s="9" t="str">
        <f>IFERROR(__xludf.DUMMYFUNCTION("""COMPUTED_VALUE"""),"Python")</f>
        <v>Python</v>
      </c>
      <c r="M4504" s="9" t="s">
        <v>26</v>
      </c>
    </row>
    <row r="4505" ht="15.75" customHeight="1">
      <c r="A4505" s="7"/>
      <c r="B4505" s="7" t="str">
        <f>IFERROR(__xludf.DUMMYFUNCTION("""COMPUTED_VALUE"""),"HTML/CSS;JavaScript;PHP;SQL")</f>
        <v>HTML/CSS;JavaScript;PHP;SQL</v>
      </c>
      <c r="C4505" s="9" t="str">
        <f>IFERROR(__xludf.DUMMYFUNCTION("""COMPUTED_VALUE"""),"C++")</f>
        <v>C++</v>
      </c>
      <c r="D4505" s="9" t="str">
        <f>IFERROR(__xludf.DUMMYFUNCTION("""COMPUTED_VALUE"""),"PHP")</f>
        <v>PHP</v>
      </c>
      <c r="E4505" s="9" t="str">
        <f>IFERROR(__xludf.DUMMYFUNCTION("""COMPUTED_VALUE"""),"JavaScript")</f>
        <v>JavaScript</v>
      </c>
      <c r="F4505" s="9" t="str">
        <f>IFERROR(__xludf.DUMMYFUNCTION("""COMPUTED_VALUE"""),"HTML/CSS")</f>
        <v>HTML/CSS</v>
      </c>
      <c r="G4505" s="9" t="str">
        <f>IFERROR(__xludf.DUMMYFUNCTION("""COMPUTED_VALUE"""),"JavaScript")</f>
        <v>JavaScript</v>
      </c>
      <c r="H4505" s="9" t="str">
        <f>IFERROR(__xludf.DUMMYFUNCTION("""COMPUTED_VALUE"""),"SQL")</f>
        <v>SQL</v>
      </c>
      <c r="I4505" s="9" t="str">
        <f>IFERROR(__xludf.DUMMYFUNCTION("""COMPUTED_VALUE"""),"HTML/CSS")</f>
        <v>HTML/CSS</v>
      </c>
      <c r="J4505" s="9" t="str">
        <f>IFERROR(__xludf.DUMMYFUNCTION("""COMPUTED_VALUE"""),"PHP")</f>
        <v>PHP</v>
      </c>
      <c r="K4505" s="9" t="str">
        <f>IFERROR(__xludf.DUMMYFUNCTION("""COMPUTED_VALUE"""),"C")</f>
        <v>C</v>
      </c>
      <c r="L4505" s="9" t="str">
        <f>IFERROR(__xludf.DUMMYFUNCTION("""COMPUTED_VALUE"""),"SQL")</f>
        <v>SQL</v>
      </c>
      <c r="M4505" s="9" t="s">
        <v>23</v>
      </c>
    </row>
    <row r="4506" ht="15.75" customHeight="1">
      <c r="A4506" s="7"/>
      <c r="B4506" s="7" t="str">
        <f>IFERROR(__xludf.DUMMYFUNCTION("""COMPUTED_VALUE"""),"Bash/Shell/PowerShell;C#;HTML/CSS;JavaScript;SQL;TypeScript")</f>
        <v>Bash/Shell/PowerShell;C#;HTML/CSS;JavaScript;SQL;TypeScript</v>
      </c>
      <c r="C4506" s="9" t="str">
        <f>IFERROR(__xludf.DUMMYFUNCTION("""COMPUTED_VALUE"""),"HTML/CSS")</f>
        <v>HTML/CSS</v>
      </c>
      <c r="D4506" s="9" t="str">
        <f>IFERROR(__xludf.DUMMYFUNCTION("""COMPUTED_VALUE"""),"Python")</f>
        <v>Python</v>
      </c>
      <c r="E4506" s="9" t="str">
        <f>IFERROR(__xludf.DUMMYFUNCTION("""COMPUTED_VALUE"""),"Python")</f>
        <v>Python</v>
      </c>
      <c r="F4506" s="9" t="str">
        <f>IFERROR(__xludf.DUMMYFUNCTION("""COMPUTED_VALUE"""),"JavaScript")</f>
        <v>JavaScript</v>
      </c>
      <c r="G4506" s="9" t="str">
        <f>IFERROR(__xludf.DUMMYFUNCTION("""COMPUTED_VALUE"""),"R")</f>
        <v>R</v>
      </c>
      <c r="H4506" s="9" t="str">
        <f>IFERROR(__xludf.DUMMYFUNCTION("""COMPUTED_VALUE"""),"Bash/Shell/PowerShell")</f>
        <v>Bash/Shell/PowerShell</v>
      </c>
      <c r="I4506" s="9" t="str">
        <f>IFERROR(__xludf.DUMMYFUNCTION("""COMPUTED_VALUE"""),"JavaScript")</f>
        <v>JavaScript</v>
      </c>
      <c r="J4506" s="9" t="str">
        <f>IFERROR(__xludf.DUMMYFUNCTION("""COMPUTED_VALUE"""),"SQL")</f>
        <v>SQL</v>
      </c>
      <c r="K4506" s="9" t="str">
        <f>IFERROR(__xludf.DUMMYFUNCTION("""COMPUTED_VALUE"""),"Python")</f>
        <v>Python</v>
      </c>
      <c r="L4506" s="9" t="str">
        <f>IFERROR(__xludf.DUMMYFUNCTION("""COMPUTED_VALUE"""),"Assembly")</f>
        <v>Assembly</v>
      </c>
      <c r="M4506" s="9" t="s">
        <v>24</v>
      </c>
    </row>
    <row r="4507" ht="15.75" customHeight="1">
      <c r="A4507" s="7"/>
      <c r="B4507" s="7" t="str">
        <f>IFERROR(__xludf.DUMMYFUNCTION("""COMPUTED_VALUE"""),"C#;JavaScript;Python")</f>
        <v>C#;JavaScript;Python</v>
      </c>
      <c r="C4507" s="9" t="str">
        <f>IFERROR(__xludf.DUMMYFUNCTION("""COMPUTED_VALUE"""),"JavaScript")</f>
        <v>JavaScript</v>
      </c>
      <c r="D4507" s="9" t="str">
        <f>IFERROR(__xludf.DUMMYFUNCTION("""COMPUTED_VALUE"""),"SQL")</f>
        <v>SQL</v>
      </c>
      <c r="E4507" s="9" t="str">
        <f>IFERROR(__xludf.DUMMYFUNCTION("""COMPUTED_VALUE"""),"SQL")</f>
        <v>SQL</v>
      </c>
      <c r="F4507" s="9" t="str">
        <f>IFERROR(__xludf.DUMMYFUNCTION("""COMPUTED_VALUE"""),"SQL")</f>
        <v>SQL</v>
      </c>
      <c r="G4507" s="9" t="str">
        <f>IFERROR(__xludf.DUMMYFUNCTION("""COMPUTED_VALUE"""),"SQL")</f>
        <v>SQL</v>
      </c>
      <c r="H4507" s="9" t="str">
        <f>IFERROR(__xludf.DUMMYFUNCTION("""COMPUTED_VALUE"""),"C#")</f>
        <v>C#</v>
      </c>
      <c r="I4507" s="9" t="str">
        <f>IFERROR(__xludf.DUMMYFUNCTION("""COMPUTED_VALUE"""),"PHP")</f>
        <v>PHP</v>
      </c>
      <c r="J4507" s="9" t="str">
        <f>IFERROR(__xludf.DUMMYFUNCTION("""COMPUTED_VALUE"""),"TypeScript")</f>
        <v>TypeScript</v>
      </c>
      <c r="K4507" s="9" t="str">
        <f>IFERROR(__xludf.DUMMYFUNCTION("""COMPUTED_VALUE"""),"Other(s):")</f>
        <v>Other(s):</v>
      </c>
      <c r="L4507" s="9" t="str">
        <f>IFERROR(__xludf.DUMMYFUNCTION("""COMPUTED_VALUE"""),"C")</f>
        <v>C</v>
      </c>
      <c r="M4507" s="9" t="s">
        <v>21</v>
      </c>
    </row>
    <row r="4508" ht="15.75" customHeight="1">
      <c r="A4508" s="7"/>
      <c r="B4508" s="7" t="str">
        <f>IFERROR(__xludf.DUMMYFUNCTION("""COMPUTED_VALUE"""),"Bash/Shell/PowerShell;Java;Python;SQL")</f>
        <v>Bash/Shell/PowerShell;Java;Python;SQL</v>
      </c>
      <c r="C4508" s="9" t="str">
        <f>IFERROR(__xludf.DUMMYFUNCTION("""COMPUTED_VALUE"""),"R")</f>
        <v>R</v>
      </c>
      <c r="D4508" s="9" t="str">
        <f>IFERROR(__xludf.DUMMYFUNCTION("""COMPUTED_VALUE"""),"VBA")</f>
        <v>VBA</v>
      </c>
      <c r="E4508" s="9" t="str">
        <f>IFERROR(__xludf.DUMMYFUNCTION("""COMPUTED_VALUE"""),"Bash/Shell/PowerShell")</f>
        <v>Bash/Shell/PowerShell</v>
      </c>
      <c r="F4508" s="9" t="str">
        <f>IFERROR(__xludf.DUMMYFUNCTION("""COMPUTED_VALUE"""),"Assembly")</f>
        <v>Assembly</v>
      </c>
      <c r="G4508" s="9" t="str">
        <f>IFERROR(__xludf.DUMMYFUNCTION("""COMPUTED_VALUE"""),"TypeScript")</f>
        <v>TypeScript</v>
      </c>
      <c r="H4508" s="9" t="str">
        <f>IFERROR(__xludf.DUMMYFUNCTION("""COMPUTED_VALUE"""),"HTML/CSS")</f>
        <v>HTML/CSS</v>
      </c>
      <c r="I4508" s="9" t="str">
        <f>IFERROR(__xludf.DUMMYFUNCTION("""COMPUTED_VALUE"""),"Python")</f>
        <v>Python</v>
      </c>
      <c r="J4508" s="9" t="str">
        <f>IFERROR(__xludf.DUMMYFUNCTION("""COMPUTED_VALUE"""),"Bash/Shell/PowerShell")</f>
        <v>Bash/Shell/PowerShell</v>
      </c>
      <c r="K4508" s="9" t="str">
        <f>IFERROR(__xludf.DUMMYFUNCTION("""COMPUTED_VALUE"""),"HTML/CSS")</f>
        <v>HTML/CSS</v>
      </c>
      <c r="L4508" s="9" t="str">
        <f>IFERROR(__xludf.DUMMYFUNCTION("""COMPUTED_VALUE"""),"HTML/CSS")</f>
        <v>HTML/CSS</v>
      </c>
      <c r="M4508" s="9" t="s">
        <v>29</v>
      </c>
    </row>
    <row r="4509" ht="15.75" customHeight="1">
      <c r="A4509" s="7"/>
      <c r="B4509" s="7" t="str">
        <f>IFERROR(__xludf.DUMMYFUNCTION("""COMPUTED_VALUE"""),"Swift")</f>
        <v>Swift</v>
      </c>
      <c r="C4509" s="9" t="str">
        <f>IFERROR(__xludf.DUMMYFUNCTION("""COMPUTED_VALUE"""),"Ruby")</f>
        <v>Ruby</v>
      </c>
      <c r="D4509" s="9" t="str">
        <f>IFERROR(__xludf.DUMMYFUNCTION("""COMPUTED_VALUE"""),"Assembly")</f>
        <v>Assembly</v>
      </c>
      <c r="E4509" s="9" t="str">
        <f>IFERROR(__xludf.DUMMYFUNCTION("""COMPUTED_VALUE"""),"C++")</f>
        <v>C++</v>
      </c>
      <c r="F4509" s="9" t="str">
        <f>IFERROR(__xludf.DUMMYFUNCTION("""COMPUTED_VALUE"""),"C")</f>
        <v>C</v>
      </c>
      <c r="G4509" s="9" t="str">
        <f>IFERROR(__xludf.DUMMYFUNCTION("""COMPUTED_VALUE"""),"VBA")</f>
        <v>VBA</v>
      </c>
      <c r="H4509" s="9" t="str">
        <f>IFERROR(__xludf.DUMMYFUNCTION("""COMPUTED_VALUE"""),"JavaScript")</f>
        <v>JavaScript</v>
      </c>
      <c r="I4509" s="9" t="str">
        <f>IFERROR(__xludf.DUMMYFUNCTION("""COMPUTED_VALUE"""),"Ruby")</f>
        <v>Ruby</v>
      </c>
      <c r="J4509" s="9" t="str">
        <f>IFERROR(__xludf.DUMMYFUNCTION("""COMPUTED_VALUE"""),"C")</f>
        <v>C</v>
      </c>
      <c r="K4509" s="9" t="str">
        <f>IFERROR(__xludf.DUMMYFUNCTION("""COMPUTED_VALUE"""),"JavaScript")</f>
        <v>JavaScript</v>
      </c>
      <c r="L4509" s="9" t="str">
        <f>IFERROR(__xludf.DUMMYFUNCTION("""COMPUTED_VALUE"""),"JavaScript")</f>
        <v>JavaScript</v>
      </c>
      <c r="M4509" s="9" t="s">
        <v>31</v>
      </c>
    </row>
    <row r="4510" ht="15.75" customHeight="1">
      <c r="A4510" s="7"/>
      <c r="B4510" s="7" t="str">
        <f>IFERROR(__xludf.DUMMYFUNCTION("""COMPUTED_VALUE"""),"Bash/Shell/PowerShell;HTML/CSS;JavaScript;SQL;TypeScript")</f>
        <v>Bash/Shell/PowerShell;HTML/CSS;JavaScript;SQL;TypeScript</v>
      </c>
      <c r="C4510" s="9" t="str">
        <f>IFERROR(__xludf.DUMMYFUNCTION("""COMPUTED_VALUE"""),"SQL")</f>
        <v>SQL</v>
      </c>
      <c r="D4510" s="9" t="str">
        <f>IFERROR(__xludf.DUMMYFUNCTION("""COMPUTED_VALUE"""),"Bash/Shell/PowerShell")</f>
        <v>Bash/Shell/PowerShell</v>
      </c>
      <c r="E4510" s="9" t="str">
        <f>IFERROR(__xludf.DUMMYFUNCTION("""COMPUTED_VALUE"""),"C#")</f>
        <v>C#</v>
      </c>
      <c r="F4510" s="9" t="str">
        <f>IFERROR(__xludf.DUMMYFUNCTION("""COMPUTED_VALUE"""),"C++")</f>
        <v>C++</v>
      </c>
      <c r="G4510" s="9" t="str">
        <f>IFERROR(__xludf.DUMMYFUNCTION("""COMPUTED_VALUE"""),"Kotlin")</f>
        <v>Kotlin</v>
      </c>
      <c r="H4510" s="9" t="str">
        <f>IFERROR(__xludf.DUMMYFUNCTION("""COMPUTED_VALUE"""),"Objective-C")</f>
        <v>Objective-C</v>
      </c>
      <c r="I4510" s="9" t="str">
        <f>IFERROR(__xludf.DUMMYFUNCTION("""COMPUTED_VALUE"""),"SQL")</f>
        <v>SQL</v>
      </c>
      <c r="J4510" s="9" t="str">
        <f>IFERROR(__xludf.DUMMYFUNCTION("""COMPUTED_VALUE"""),"C++")</f>
        <v>C++</v>
      </c>
      <c r="K4510" s="9" t="str">
        <f>IFERROR(__xludf.DUMMYFUNCTION("""COMPUTED_VALUE"""),"Python")</f>
        <v>Python</v>
      </c>
      <c r="L4510" s="9" t="str">
        <f>IFERROR(__xludf.DUMMYFUNCTION("""COMPUTED_VALUE"""),"SQL")</f>
        <v>SQL</v>
      </c>
      <c r="M4510" s="9" t="s">
        <v>27</v>
      </c>
    </row>
    <row r="4511" ht="15.75" customHeight="1">
      <c r="A4511" s="7"/>
      <c r="B4511" s="7" t="str">
        <f>IFERROR(__xludf.DUMMYFUNCTION("""COMPUTED_VALUE"""),"Bash/Shell/PowerShell;HTML/CSS;JavaScript;Ruby;SQL")</f>
        <v>Bash/Shell/PowerShell;HTML/CSS;JavaScript;Ruby;SQL</v>
      </c>
      <c r="C4511" s="9" t="str">
        <f>IFERROR(__xludf.DUMMYFUNCTION("""COMPUTED_VALUE"""),"Bash/Shell/PowerShell")</f>
        <v>Bash/Shell/PowerShell</v>
      </c>
      <c r="D4511" s="9" t="str">
        <f>IFERROR(__xludf.DUMMYFUNCTION("""COMPUTED_VALUE"""),"C")</f>
        <v>C</v>
      </c>
      <c r="E4511" s="9" t="str">
        <f>IFERROR(__xludf.DUMMYFUNCTION("""COMPUTED_VALUE"""),"HTML/CSS")</f>
        <v>HTML/CSS</v>
      </c>
      <c r="F4511" s="9" t="str">
        <f>IFERROR(__xludf.DUMMYFUNCTION("""COMPUTED_VALUE"""),"Clojure")</f>
        <v>Clojure</v>
      </c>
      <c r="G4511" s="9" t="str">
        <f>IFERROR(__xludf.DUMMYFUNCTION("""COMPUTED_VALUE"""),"Python")</f>
        <v>Python</v>
      </c>
      <c r="H4511" s="9" t="str">
        <f>IFERROR(__xludf.DUMMYFUNCTION("""COMPUTED_VALUE"""),"Python")</f>
        <v>Python</v>
      </c>
      <c r="I4511" s="9" t="str">
        <f>IFERROR(__xludf.DUMMYFUNCTION("""COMPUTED_VALUE"""),"TypeScript")</f>
        <v>TypeScript</v>
      </c>
      <c r="J4511" s="9" t="str">
        <f>IFERROR(__xludf.DUMMYFUNCTION("""COMPUTED_VALUE"""),"C#")</f>
        <v>C#</v>
      </c>
      <c r="K4511" s="9" t="str">
        <f>IFERROR(__xludf.DUMMYFUNCTION("""COMPUTED_VALUE"""),"Bash/Shell/PowerShell")</f>
        <v>Bash/Shell/PowerShell</v>
      </c>
      <c r="L4511" s="9" t="str">
        <f>IFERROR(__xludf.DUMMYFUNCTION("""COMPUTED_VALUE"""),"C++")</f>
        <v>C++</v>
      </c>
      <c r="M4511" s="9" t="s">
        <v>30</v>
      </c>
    </row>
    <row r="4512" ht="15.75" customHeight="1">
      <c r="A4512" s="7"/>
      <c r="B4512" s="7" t="str">
        <f>IFERROR(__xludf.DUMMYFUNCTION("""COMPUTED_VALUE"""),"Bash/Shell/PowerShell;HTML/CSS;Java;JavaScript;Python;SQL;TypeScript")</f>
        <v>Bash/Shell/PowerShell;HTML/CSS;Java;JavaScript;Python;SQL;TypeScript</v>
      </c>
      <c r="C4512" s="9" t="str">
        <f>IFERROR(__xludf.DUMMYFUNCTION("""COMPUTED_VALUE"""),"Java")</f>
        <v>Java</v>
      </c>
      <c r="D4512" s="9" t="str">
        <f>IFERROR(__xludf.DUMMYFUNCTION("""COMPUTED_VALUE"""),"C++")</f>
        <v>C++</v>
      </c>
      <c r="E4512" s="9" t="str">
        <f>IFERROR(__xludf.DUMMYFUNCTION("""COMPUTED_VALUE"""),"JavaScript")</f>
        <v>JavaScript</v>
      </c>
      <c r="F4512" s="9" t="str">
        <f>IFERROR(__xludf.DUMMYFUNCTION("""COMPUTED_VALUE"""),"HTML/CSS")</f>
        <v>HTML/CSS</v>
      </c>
      <c r="G4512" s="9" t="str">
        <f>IFERROR(__xludf.DUMMYFUNCTION("""COMPUTED_VALUE"""),"SQL")</f>
        <v>SQL</v>
      </c>
      <c r="H4512" s="9" t="str">
        <f>IFERROR(__xludf.DUMMYFUNCTION("""COMPUTED_VALUE"""),"SQL")</f>
        <v>SQL</v>
      </c>
      <c r="I4512" s="9" t="str">
        <f>IFERROR(__xludf.DUMMYFUNCTION("""COMPUTED_VALUE"""),"VBA")</f>
        <v>VBA</v>
      </c>
      <c r="J4512" s="9" t="str">
        <f>IFERROR(__xludf.DUMMYFUNCTION("""COMPUTED_VALUE"""),"JavaScript")</f>
        <v>JavaScript</v>
      </c>
      <c r="K4512" s="9" t="str">
        <f>IFERROR(__xludf.DUMMYFUNCTION("""COMPUTED_VALUE"""),"HTML/CSS")</f>
        <v>HTML/CSS</v>
      </c>
      <c r="L4512" s="9" t="str">
        <f>IFERROR(__xludf.DUMMYFUNCTION("""COMPUTED_VALUE"""),"HTML/CSS")</f>
        <v>HTML/CSS</v>
      </c>
      <c r="M4512" s="9" t="s">
        <v>20</v>
      </c>
    </row>
    <row r="4513" ht="15.75" customHeight="1">
      <c r="A4513" s="7"/>
      <c r="B4513" s="7" t="str">
        <f>IFERROR(__xludf.DUMMYFUNCTION("""COMPUTED_VALUE"""),"Bash/Shell/PowerShell;HTML/CSS;Java;JavaScript;SQL")</f>
        <v>Bash/Shell/PowerShell;HTML/CSS;Java;JavaScript;SQL</v>
      </c>
      <c r="C4513" s="9" t="str">
        <f>IFERROR(__xludf.DUMMYFUNCTION("""COMPUTED_VALUE"""),"JavaScript")</f>
        <v>JavaScript</v>
      </c>
      <c r="D4513" s="9" t="str">
        <f>IFERROR(__xludf.DUMMYFUNCTION("""COMPUTED_VALUE"""),"C#")</f>
        <v>C#</v>
      </c>
      <c r="E4513" s="9" t="str">
        <f>IFERROR(__xludf.DUMMYFUNCTION("""COMPUTED_VALUE"""),"Bash/Shell/PowerShell")</f>
        <v>Bash/Shell/PowerShell</v>
      </c>
      <c r="F4513" s="9" t="str">
        <f>IFERROR(__xludf.DUMMYFUNCTION("""COMPUTED_VALUE"""),"Java")</f>
        <v>Java</v>
      </c>
      <c r="G4513" s="9" t="str">
        <f>IFERROR(__xludf.DUMMYFUNCTION("""COMPUTED_VALUE"""),"Python")</f>
        <v>Python</v>
      </c>
      <c r="H4513" s="9" t="str">
        <f>IFERROR(__xludf.DUMMYFUNCTION("""COMPUTED_VALUE"""),"C")</f>
        <v>C</v>
      </c>
      <c r="I4513" s="9" t="str">
        <f>IFERROR(__xludf.DUMMYFUNCTION("""COMPUTED_VALUE"""),"HTML/CSS")</f>
        <v>HTML/CSS</v>
      </c>
      <c r="J4513" s="9" t="str">
        <f>IFERROR(__xludf.DUMMYFUNCTION("""COMPUTED_VALUE"""),"Objective-C")</f>
        <v>Objective-C</v>
      </c>
      <c r="K4513" s="9" t="str">
        <f>IFERROR(__xludf.DUMMYFUNCTION("""COMPUTED_VALUE"""),"PHP")</f>
        <v>PHP</v>
      </c>
      <c r="L4513" s="9" t="str">
        <f>IFERROR(__xludf.DUMMYFUNCTION("""COMPUTED_VALUE"""),"Java")</f>
        <v>Java</v>
      </c>
      <c r="M4513" s="9" t="s">
        <v>21</v>
      </c>
    </row>
    <row r="4514" ht="15.75" customHeight="1">
      <c r="A4514" s="7"/>
      <c r="B4514" s="7" t="str">
        <f>IFERROR(__xludf.DUMMYFUNCTION("""COMPUTED_VALUE"""),"C#;HTML/CSS;JavaScript;SQL;TypeScript")</f>
        <v>C#;HTML/CSS;JavaScript;SQL;TypeScript</v>
      </c>
      <c r="C4514" s="9" t="str">
        <f>IFERROR(__xludf.DUMMYFUNCTION("""COMPUTED_VALUE"""),"Python")</f>
        <v>Python</v>
      </c>
      <c r="D4514" s="9" t="str">
        <f>IFERROR(__xludf.DUMMYFUNCTION("""COMPUTED_VALUE"""),"HTML/CSS")</f>
        <v>HTML/CSS</v>
      </c>
      <c r="E4514" s="9" t="str">
        <f>IFERROR(__xludf.DUMMYFUNCTION("""COMPUTED_VALUE"""),"HTML/CSS")</f>
        <v>HTML/CSS</v>
      </c>
      <c r="F4514" s="9" t="str">
        <f>IFERROR(__xludf.DUMMYFUNCTION("""COMPUTED_VALUE"""),"JavaScript")</f>
        <v>JavaScript</v>
      </c>
      <c r="G4514" s="9" t="str">
        <f>IFERROR(__xludf.DUMMYFUNCTION("""COMPUTED_VALUE"""),"Bash/Shell/PowerShell")</f>
        <v>Bash/Shell/PowerShell</v>
      </c>
      <c r="H4514" s="9" t="str">
        <f>IFERROR(__xludf.DUMMYFUNCTION("""COMPUTED_VALUE"""),"HTML/CSS")</f>
        <v>HTML/CSS</v>
      </c>
      <c r="I4514" s="9" t="str">
        <f>IFERROR(__xludf.DUMMYFUNCTION("""COMPUTED_VALUE"""),"JavaScript")</f>
        <v>JavaScript</v>
      </c>
      <c r="J4514" s="9" t="str">
        <f>IFERROR(__xludf.DUMMYFUNCTION("""COMPUTED_VALUE"""),"Swift")</f>
        <v>Swift</v>
      </c>
      <c r="K4514" s="9" t="str">
        <f>IFERROR(__xludf.DUMMYFUNCTION("""COMPUTED_VALUE"""),"Python")</f>
        <v>Python</v>
      </c>
      <c r="L4514" s="9" t="str">
        <f>IFERROR(__xludf.DUMMYFUNCTION("""COMPUTED_VALUE"""),"JavaScript")</f>
        <v>JavaScript</v>
      </c>
      <c r="M4514" s="9" t="s">
        <v>22</v>
      </c>
    </row>
    <row r="4515" ht="15.75" customHeight="1">
      <c r="A4515" s="7"/>
      <c r="B4515" s="7" t="str">
        <f>IFERROR(__xludf.DUMMYFUNCTION("""COMPUTED_VALUE"""),"Bash/Shell/PowerShell;C;C++;C#;Dart;F#;Go;HTML/CSS;JavaScript;PHP;R;Rust;SQL;TypeScript")</f>
        <v>Bash/Shell/PowerShell;C;C++;C#;Dart;F#;Go;HTML/CSS;JavaScript;PHP;R;Rust;SQL;TypeScript</v>
      </c>
      <c r="C4515" s="9" t="str">
        <f>IFERROR(__xludf.DUMMYFUNCTION("""COMPUTED_VALUE"""),"R")</f>
        <v>R</v>
      </c>
      <c r="D4515" s="9" t="str">
        <f>IFERROR(__xludf.DUMMYFUNCTION("""COMPUTED_VALUE"""),"Java")</f>
        <v>Java</v>
      </c>
      <c r="E4515" s="9" t="str">
        <f>IFERROR(__xludf.DUMMYFUNCTION("""COMPUTED_VALUE"""),"Java")</f>
        <v>Java</v>
      </c>
      <c r="F4515" s="9" t="str">
        <f>IFERROR(__xludf.DUMMYFUNCTION("""COMPUTED_VALUE"""),"Ruby")</f>
        <v>Ruby</v>
      </c>
      <c r="G4515" s="9" t="str">
        <f>IFERROR(__xludf.DUMMYFUNCTION("""COMPUTED_VALUE"""),"C")</f>
        <v>C</v>
      </c>
      <c r="H4515" s="9" t="str">
        <f>IFERROR(__xludf.DUMMYFUNCTION("""COMPUTED_VALUE"""),"Java")</f>
        <v>Java</v>
      </c>
      <c r="I4515" s="9" t="str">
        <f>IFERROR(__xludf.DUMMYFUNCTION("""COMPUTED_VALUE"""),"PHP")</f>
        <v>PHP</v>
      </c>
      <c r="J4515" s="9" t="str">
        <f>IFERROR(__xludf.DUMMYFUNCTION("""COMPUTED_VALUE"""),"Assembly")</f>
        <v>Assembly</v>
      </c>
      <c r="K4515" s="9" t="str">
        <f>IFERROR(__xludf.DUMMYFUNCTION("""COMPUTED_VALUE"""),"SQL")</f>
        <v>SQL</v>
      </c>
      <c r="L4515" s="9" t="str">
        <f>IFERROR(__xludf.DUMMYFUNCTION("""COMPUTED_VALUE"""),"PHP")</f>
        <v>PHP</v>
      </c>
      <c r="M4515" s="9" t="s">
        <v>29</v>
      </c>
    </row>
    <row r="4516" ht="15.75" customHeight="1">
      <c r="A4516" s="7"/>
      <c r="B4516" s="7" t="str">
        <f>IFERROR(__xludf.DUMMYFUNCTION("""COMPUTED_VALUE"""),"C#;F#;HTML/CSS;JavaScript;PHP;Python;SQL;VBA")</f>
        <v>C#;F#;HTML/CSS;JavaScript;PHP;Python;SQL;VBA</v>
      </c>
      <c r="C4516" s="9" t="str">
        <f>IFERROR(__xludf.DUMMYFUNCTION("""COMPUTED_VALUE"""),"Ruby")</f>
        <v>Ruby</v>
      </c>
      <c r="D4516" s="9" t="str">
        <f>IFERROR(__xludf.DUMMYFUNCTION("""COMPUTED_VALUE"""),"JavaScript")</f>
        <v>JavaScript</v>
      </c>
      <c r="E4516" s="9" t="str">
        <f>IFERROR(__xludf.DUMMYFUNCTION("""COMPUTED_VALUE"""),"JavaScript")</f>
        <v>JavaScript</v>
      </c>
      <c r="F4516" s="9" t="str">
        <f>IFERROR(__xludf.DUMMYFUNCTION("""COMPUTED_VALUE"""),"TypeScript")</f>
        <v>TypeScript</v>
      </c>
      <c r="G4516" s="9" t="str">
        <f>IFERROR(__xludf.DUMMYFUNCTION("""COMPUTED_VALUE"""),"Go")</f>
        <v>Go</v>
      </c>
      <c r="H4516" s="9" t="str">
        <f>IFERROR(__xludf.DUMMYFUNCTION("""COMPUTED_VALUE"""),"JavaScript")</f>
        <v>JavaScript</v>
      </c>
      <c r="I4516" s="9" t="str">
        <f>IFERROR(__xludf.DUMMYFUNCTION("""COMPUTED_VALUE"""),"SQL")</f>
        <v>SQL</v>
      </c>
      <c r="J4516" s="9" t="str">
        <f>IFERROR(__xludf.DUMMYFUNCTION("""COMPUTED_VALUE"""),"Bash/Shell/PowerShell")</f>
        <v>Bash/Shell/PowerShell</v>
      </c>
      <c r="K4516" s="9" t="str">
        <f>IFERROR(__xludf.DUMMYFUNCTION("""COMPUTED_VALUE"""),"C#")</f>
        <v>C#</v>
      </c>
      <c r="L4516" s="9" t="str">
        <f>IFERROR(__xludf.DUMMYFUNCTION("""COMPUTED_VALUE"""),"Python")</f>
        <v>Python</v>
      </c>
      <c r="M4516" s="9" t="s">
        <v>31</v>
      </c>
    </row>
    <row r="4517" ht="15.75" customHeight="1">
      <c r="A4517" s="7"/>
      <c r="B4517" s="7" t="str">
        <f>IFERROR(__xludf.DUMMYFUNCTION("""COMPUTED_VALUE"""),"HTML/CSS;JavaScript;R;SQL")</f>
        <v>HTML/CSS;JavaScript;R;SQL</v>
      </c>
      <c r="C4517" s="9" t="str">
        <f>IFERROR(__xludf.DUMMYFUNCTION("""COMPUTED_VALUE"""),"C#")</f>
        <v>C#</v>
      </c>
      <c r="D4517" s="9" t="str">
        <f>IFERROR(__xludf.DUMMYFUNCTION("""COMPUTED_VALUE"""),"PHP")</f>
        <v>PHP</v>
      </c>
      <c r="E4517" s="9" t="str">
        <f>IFERROR(__xludf.DUMMYFUNCTION("""COMPUTED_VALUE"""),"PHP")</f>
        <v>PHP</v>
      </c>
      <c r="F4517" s="9" t="str">
        <f>IFERROR(__xludf.DUMMYFUNCTION("""COMPUTED_VALUE"""),"Other(s):")</f>
        <v>Other(s):</v>
      </c>
      <c r="G4517" s="9" t="str">
        <f>IFERROR(__xludf.DUMMYFUNCTION("""COMPUTED_VALUE"""),"HTML/CSS")</f>
        <v>HTML/CSS</v>
      </c>
      <c r="H4517" s="9" t="str">
        <f>IFERROR(__xludf.DUMMYFUNCTION("""COMPUTED_VALUE"""),"PHP")</f>
        <v>PHP</v>
      </c>
      <c r="I4517" s="9" t="str">
        <f>IFERROR(__xludf.DUMMYFUNCTION("""COMPUTED_VALUE"""),"HTML/CSS")</f>
        <v>HTML/CSS</v>
      </c>
      <c r="J4517" s="9" t="str">
        <f>IFERROR(__xludf.DUMMYFUNCTION("""COMPUTED_VALUE"""),"C")</f>
        <v>C</v>
      </c>
      <c r="K4517" s="9" t="str">
        <f>IFERROR(__xludf.DUMMYFUNCTION("""COMPUTED_VALUE"""),"HTML/CSS")</f>
        <v>HTML/CSS</v>
      </c>
      <c r="L4517" s="9" t="str">
        <f>IFERROR(__xludf.DUMMYFUNCTION("""COMPUTED_VALUE"""),"SQL")</f>
        <v>SQL</v>
      </c>
      <c r="M4517" s="9" t="s">
        <v>26</v>
      </c>
    </row>
    <row r="4518" ht="15.75" customHeight="1">
      <c r="A4518" s="7"/>
      <c r="B4518" s="7" t="str">
        <f>IFERROR(__xludf.DUMMYFUNCTION("""COMPUTED_VALUE"""),"Bash/Shell/PowerShell;C++;Go;HTML/CSS;Java;JavaScript;PHP;SQL")</f>
        <v>Bash/Shell/PowerShell;C++;Go;HTML/CSS;Java;JavaScript;PHP;SQL</v>
      </c>
      <c r="C4518" s="9" t="str">
        <f>IFERROR(__xludf.DUMMYFUNCTION("""COMPUTED_VALUE"""),"C")</f>
        <v>C</v>
      </c>
      <c r="D4518" s="9" t="str">
        <f>IFERROR(__xludf.DUMMYFUNCTION("""COMPUTED_VALUE"""),"Python")</f>
        <v>Python</v>
      </c>
      <c r="E4518" s="9" t="str">
        <f>IFERROR(__xludf.DUMMYFUNCTION("""COMPUTED_VALUE"""),"SQL")</f>
        <v>SQL</v>
      </c>
      <c r="F4518" s="9" t="str">
        <f>IFERROR(__xludf.DUMMYFUNCTION("""COMPUTED_VALUE"""),"HTML/CSS")</f>
        <v>HTML/CSS</v>
      </c>
      <c r="G4518" s="9" t="str">
        <f>IFERROR(__xludf.DUMMYFUNCTION("""COMPUTED_VALUE"""),"JavaScript")</f>
        <v>JavaScript</v>
      </c>
      <c r="H4518" s="9" t="str">
        <f>IFERROR(__xludf.DUMMYFUNCTION("""COMPUTED_VALUE"""),"Python")</f>
        <v>Python</v>
      </c>
      <c r="I4518" s="9" t="str">
        <f>IFERROR(__xludf.DUMMYFUNCTION("""COMPUTED_VALUE"""),"JavaScript")</f>
        <v>JavaScript</v>
      </c>
      <c r="J4518" s="9" t="str">
        <f>IFERROR(__xludf.DUMMYFUNCTION("""COMPUTED_VALUE"""),"Python")</f>
        <v>Python</v>
      </c>
      <c r="K4518" s="9" t="str">
        <f>IFERROR(__xludf.DUMMYFUNCTION("""COMPUTED_VALUE"""),"JavaScript")</f>
        <v>JavaScript</v>
      </c>
      <c r="L4518" s="9" t="str">
        <f>IFERROR(__xludf.DUMMYFUNCTION("""COMPUTED_VALUE"""),"C#")</f>
        <v>C#</v>
      </c>
      <c r="M4518" s="9" t="s">
        <v>25</v>
      </c>
    </row>
    <row r="4519" ht="15.75" customHeight="1">
      <c r="A4519" s="7"/>
      <c r="B4519" s="7" t="str">
        <f>IFERROR(__xludf.DUMMYFUNCTION("""COMPUTED_VALUE"""),"Assembly;Bash/Shell/PowerShell;C;C++;HTML/CSS;Java;JavaScript;R;SQL;TypeScript;Other(s):")</f>
        <v>Assembly;Bash/Shell/PowerShell;C;C++;HTML/CSS;Java;JavaScript;R;SQL;TypeScript;Other(s):</v>
      </c>
      <c r="C4519" s="9" t="str">
        <f>IFERROR(__xludf.DUMMYFUNCTION("""COMPUTED_VALUE"""),"C++")</f>
        <v>C++</v>
      </c>
      <c r="D4519" s="9" t="str">
        <f>IFERROR(__xludf.DUMMYFUNCTION("""COMPUTED_VALUE"""),"SQL")</f>
        <v>SQL</v>
      </c>
      <c r="E4519" s="9" t="str">
        <f>IFERROR(__xludf.DUMMYFUNCTION("""COMPUTED_VALUE"""),"Java")</f>
        <v>Java</v>
      </c>
      <c r="F4519" s="9" t="str">
        <f>IFERROR(__xludf.DUMMYFUNCTION("""COMPUTED_VALUE"""),"JavaScript")</f>
        <v>JavaScript</v>
      </c>
      <c r="G4519" s="9" t="str">
        <f>IFERROR(__xludf.DUMMYFUNCTION("""COMPUTED_VALUE"""),"Python")</f>
        <v>Python</v>
      </c>
      <c r="H4519" s="9" t="str">
        <f>IFERROR(__xludf.DUMMYFUNCTION("""COMPUTED_VALUE"""),"Ruby")</f>
        <v>Ruby</v>
      </c>
      <c r="I4519" s="9" t="str">
        <f>IFERROR(__xludf.DUMMYFUNCTION("""COMPUTED_VALUE"""),"HTML/CSS")</f>
        <v>HTML/CSS</v>
      </c>
      <c r="J4519" s="9" t="str">
        <f>IFERROR(__xludf.DUMMYFUNCTION("""COMPUTED_VALUE"""),"SQL")</f>
        <v>SQL</v>
      </c>
      <c r="K4519" s="9" t="str">
        <f>IFERROR(__xludf.DUMMYFUNCTION("""COMPUTED_VALUE"""),"PHP")</f>
        <v>PHP</v>
      </c>
      <c r="L4519" s="9" t="str">
        <f>IFERROR(__xludf.DUMMYFUNCTION("""COMPUTED_VALUE"""),"Go")</f>
        <v>Go</v>
      </c>
      <c r="M4519" s="9" t="s">
        <v>23</v>
      </c>
    </row>
    <row r="4520" ht="15.75" customHeight="1">
      <c r="A4520" s="7"/>
      <c r="B4520" s="7" t="str">
        <f>IFERROR(__xludf.DUMMYFUNCTION("""COMPUTED_VALUE"""),"Bash/Shell/PowerShell;Java;Other(s):")</f>
        <v>Bash/Shell/PowerShell;Java;Other(s):</v>
      </c>
      <c r="C4520" s="9" t="str">
        <f>IFERROR(__xludf.DUMMYFUNCTION("""COMPUTED_VALUE"""),"HTML/CSS")</f>
        <v>HTML/CSS</v>
      </c>
      <c r="D4520" s="9" t="str">
        <f>IFERROR(__xludf.DUMMYFUNCTION("""COMPUTED_VALUE"""),"Swift")</f>
        <v>Swift</v>
      </c>
      <c r="E4520" s="9" t="str">
        <f>IFERROR(__xludf.DUMMYFUNCTION("""COMPUTED_VALUE"""),"Assembly")</f>
        <v>Assembly</v>
      </c>
      <c r="F4520" s="9" t="str">
        <f>IFERROR(__xludf.DUMMYFUNCTION("""COMPUTED_VALUE"""),"PHP")</f>
        <v>PHP</v>
      </c>
      <c r="G4520" s="9" t="str">
        <f>IFERROR(__xludf.DUMMYFUNCTION("""COMPUTED_VALUE"""),"SQL")</f>
        <v>SQL</v>
      </c>
      <c r="H4520" s="9" t="str">
        <f>IFERROR(__xludf.DUMMYFUNCTION("""COMPUTED_VALUE"""),"SQL")</f>
        <v>SQL</v>
      </c>
      <c r="I4520" s="9" t="str">
        <f>IFERROR(__xludf.DUMMYFUNCTION("""COMPUTED_VALUE"""),"JavaScript")</f>
        <v>JavaScript</v>
      </c>
      <c r="J4520" s="9" t="str">
        <f>IFERROR(__xludf.DUMMYFUNCTION("""COMPUTED_VALUE"""),"Bash/Shell/PowerShell")</f>
        <v>Bash/Shell/PowerShell</v>
      </c>
      <c r="K4520" s="9" t="str">
        <f>IFERROR(__xludf.DUMMYFUNCTION("""COMPUTED_VALUE"""),"SQL")</f>
        <v>SQL</v>
      </c>
      <c r="L4520" s="9" t="str">
        <f>IFERROR(__xludf.DUMMYFUNCTION("""COMPUTED_VALUE"""),"HTML/CSS")</f>
        <v>HTML/CSS</v>
      </c>
      <c r="M4520" s="9" t="s">
        <v>24</v>
      </c>
    </row>
    <row r="4521" ht="15.75" customHeight="1">
      <c r="A4521" s="7"/>
      <c r="B4521" s="7" t="str">
        <f>IFERROR(__xludf.DUMMYFUNCTION("""COMPUTED_VALUE"""),"Assembly;Bash/Shell/PowerShell;C;HTML/CSS;Java;JavaScript;Python;SQL")</f>
        <v>Assembly;Bash/Shell/PowerShell;C;HTML/CSS;Java;JavaScript;Python;SQL</v>
      </c>
      <c r="C4521" s="9" t="str">
        <f>IFERROR(__xludf.DUMMYFUNCTION("""COMPUTED_VALUE"""),"Java")</f>
        <v>Java</v>
      </c>
      <c r="D4521" s="9" t="str">
        <f>IFERROR(__xludf.DUMMYFUNCTION("""COMPUTED_VALUE"""),"TypeScript")</f>
        <v>TypeScript</v>
      </c>
      <c r="E4521" s="9" t="str">
        <f>IFERROR(__xludf.DUMMYFUNCTION("""COMPUTED_VALUE"""),"Bash/Shell/PowerShell")</f>
        <v>Bash/Shell/PowerShell</v>
      </c>
      <c r="F4521" s="9" t="str">
        <f>IFERROR(__xludf.DUMMYFUNCTION("""COMPUTED_VALUE"""),"HTML/CSS")</f>
        <v>HTML/CSS</v>
      </c>
      <c r="G4521" s="9" t="str">
        <f>IFERROR(__xludf.DUMMYFUNCTION("""COMPUTED_VALUE"""),"Bash/Shell/PowerShell")</f>
        <v>Bash/Shell/PowerShell</v>
      </c>
      <c r="H4521" s="9" t="str">
        <f>IFERROR(__xludf.DUMMYFUNCTION("""COMPUTED_VALUE"""),"HTML/CSS")</f>
        <v>HTML/CSS</v>
      </c>
      <c r="I4521" s="9" t="str">
        <f>IFERROR(__xludf.DUMMYFUNCTION("""COMPUTED_VALUE"""),"Kotlin")</f>
        <v>Kotlin</v>
      </c>
      <c r="J4521" s="9" t="str">
        <f>IFERROR(__xludf.DUMMYFUNCTION("""COMPUTED_VALUE"""),"C")</f>
        <v>C</v>
      </c>
      <c r="K4521" s="9" t="str">
        <f>IFERROR(__xludf.DUMMYFUNCTION("""COMPUTED_VALUE"""),"Bash/Shell/PowerShell")</f>
        <v>Bash/Shell/PowerShell</v>
      </c>
      <c r="L4521" s="9" t="str">
        <f>IFERROR(__xludf.DUMMYFUNCTION("""COMPUTED_VALUE"""),"JavaScript")</f>
        <v>JavaScript</v>
      </c>
      <c r="M4521" s="9" t="s">
        <v>20</v>
      </c>
    </row>
    <row r="4522" ht="15.75" customHeight="1">
      <c r="A4522" s="7"/>
      <c r="B4522" s="7" t="str">
        <f>IFERROR(__xludf.DUMMYFUNCTION("""COMPUTED_VALUE"""),"Other(s):")</f>
        <v>Other(s):</v>
      </c>
      <c r="C4522" s="9" t="str">
        <f>IFERROR(__xludf.DUMMYFUNCTION("""COMPUTED_VALUE"""),"Python")</f>
        <v>Python</v>
      </c>
      <c r="D4522" s="9" t="str">
        <f>IFERROR(__xludf.DUMMYFUNCTION("""COMPUTED_VALUE"""),"VBA")</f>
        <v>VBA</v>
      </c>
      <c r="E4522" s="9" t="str">
        <f>IFERROR(__xludf.DUMMYFUNCTION("""COMPUTED_VALUE"""),"C")</f>
        <v>C</v>
      </c>
      <c r="F4522" s="9" t="str">
        <f>IFERROR(__xludf.DUMMYFUNCTION("""COMPUTED_VALUE"""),"Java")</f>
        <v>Java</v>
      </c>
      <c r="G4522" s="9" t="str">
        <f>IFERROR(__xludf.DUMMYFUNCTION("""COMPUTED_VALUE"""),"HTML/CSS")</f>
        <v>HTML/CSS</v>
      </c>
      <c r="H4522" s="9" t="str">
        <f>IFERROR(__xludf.DUMMYFUNCTION("""COMPUTED_VALUE"""),"JavaScript")</f>
        <v>JavaScript</v>
      </c>
      <c r="I4522" s="9" t="str">
        <f>IFERROR(__xludf.DUMMYFUNCTION("""COMPUTED_VALUE"""),"PHP")</f>
        <v>PHP</v>
      </c>
      <c r="J4522" s="9" t="str">
        <f>IFERROR(__xludf.DUMMYFUNCTION("""COMPUTED_VALUE"""),"C++")</f>
        <v>C++</v>
      </c>
      <c r="K4522" s="9" t="str">
        <f>IFERROR(__xludf.DUMMYFUNCTION("""COMPUTED_VALUE"""),"C++")</f>
        <v>C++</v>
      </c>
      <c r="L4522" s="9" t="str">
        <f>IFERROR(__xludf.DUMMYFUNCTION("""COMPUTED_VALUE"""),"PHP")</f>
        <v>PHP</v>
      </c>
      <c r="M4522" s="9" t="s">
        <v>22</v>
      </c>
    </row>
    <row r="4523" ht="15.75" customHeight="1">
      <c r="A4523" s="7"/>
      <c r="B4523" s="7" t="str">
        <f>IFERROR(__xludf.DUMMYFUNCTION("""COMPUTED_VALUE"""),"C++")</f>
        <v>C++</v>
      </c>
      <c r="C4523" s="9" t="str">
        <f>IFERROR(__xludf.DUMMYFUNCTION("""COMPUTED_VALUE"""),"Rust")</f>
        <v>Rust</v>
      </c>
      <c r="D4523" s="9" t="str">
        <f>IFERROR(__xludf.DUMMYFUNCTION("""COMPUTED_VALUE"""),"Bash/Shell/PowerShell")</f>
        <v>Bash/Shell/PowerShell</v>
      </c>
      <c r="E4523" s="9" t="str">
        <f>IFERROR(__xludf.DUMMYFUNCTION("""COMPUTED_VALUE"""),"C++")</f>
        <v>C++</v>
      </c>
      <c r="F4523" s="9" t="str">
        <f>IFERROR(__xludf.DUMMYFUNCTION("""COMPUTED_VALUE"""),"JavaScript")</f>
        <v>JavaScript</v>
      </c>
      <c r="G4523" s="9" t="str">
        <f>IFERROR(__xludf.DUMMYFUNCTION("""COMPUTED_VALUE"""),"Java")</f>
        <v>Java</v>
      </c>
      <c r="H4523" s="9" t="str">
        <f>IFERROR(__xludf.DUMMYFUNCTION("""COMPUTED_VALUE"""),"Python")</f>
        <v>Python</v>
      </c>
      <c r="I4523" s="9" t="str">
        <f>IFERROR(__xludf.DUMMYFUNCTION("""COMPUTED_VALUE"""),"Python")</f>
        <v>Python</v>
      </c>
      <c r="J4523" s="9" t="str">
        <f>IFERROR(__xludf.DUMMYFUNCTION("""COMPUTED_VALUE"""),"C#")</f>
        <v>C#</v>
      </c>
      <c r="K4523" s="9" t="str">
        <f>IFERROR(__xludf.DUMMYFUNCTION("""COMPUTED_VALUE"""),"Java")</f>
        <v>Java</v>
      </c>
      <c r="L4523" s="9" t="str">
        <f>IFERROR(__xludf.DUMMYFUNCTION("""COMPUTED_VALUE"""),"SQL")</f>
        <v>SQL</v>
      </c>
      <c r="M4523" s="9" t="s">
        <v>32</v>
      </c>
    </row>
    <row r="4524" ht="15.75" customHeight="1">
      <c r="A4524" s="7"/>
      <c r="B4524" s="7" t="str">
        <f>IFERROR(__xludf.DUMMYFUNCTION("""COMPUTED_VALUE"""),"Assembly;Bash/Shell/PowerShell;C;HTML/CSS;JavaScript;SQL;TypeScript")</f>
        <v>Assembly;Bash/Shell/PowerShell;C;HTML/CSS;JavaScript;SQL;TypeScript</v>
      </c>
      <c r="C4524" s="9" t="str">
        <f>IFERROR(__xludf.DUMMYFUNCTION("""COMPUTED_VALUE"""),"SQL")</f>
        <v>SQL</v>
      </c>
      <c r="D4524" s="9" t="str">
        <f>IFERROR(__xludf.DUMMYFUNCTION("""COMPUTED_VALUE"""),"C")</f>
        <v>C</v>
      </c>
      <c r="E4524" s="9" t="str">
        <f>IFERROR(__xludf.DUMMYFUNCTION("""COMPUTED_VALUE"""),"C#")</f>
        <v>C#</v>
      </c>
      <c r="F4524" s="9" t="str">
        <f>IFERROR(__xludf.DUMMYFUNCTION("""COMPUTED_VALUE"""),"PHP")</f>
        <v>PHP</v>
      </c>
      <c r="G4524" s="9" t="str">
        <f>IFERROR(__xludf.DUMMYFUNCTION("""COMPUTED_VALUE"""),"JavaScript")</f>
        <v>JavaScript</v>
      </c>
      <c r="H4524" s="9" t="str">
        <f>IFERROR(__xludf.DUMMYFUNCTION("""COMPUTED_VALUE"""),"C")</f>
        <v>C</v>
      </c>
      <c r="I4524" s="9" t="str">
        <f>IFERROR(__xludf.DUMMYFUNCTION("""COMPUTED_VALUE"""),"SQL")</f>
        <v>SQL</v>
      </c>
      <c r="J4524" s="9" t="str">
        <f>IFERROR(__xludf.DUMMYFUNCTION("""COMPUTED_VALUE"""),"SQL")</f>
        <v>SQL</v>
      </c>
      <c r="K4524" s="9" t="str">
        <f>IFERROR(__xludf.DUMMYFUNCTION("""COMPUTED_VALUE"""),"PHP")</f>
        <v>PHP</v>
      </c>
      <c r="L4524" s="9" t="str">
        <f>IFERROR(__xludf.DUMMYFUNCTION("""COMPUTED_VALUE"""),"Swift")</f>
        <v>Swift</v>
      </c>
      <c r="M4524" s="9" t="s">
        <v>27</v>
      </c>
    </row>
    <row r="4525" ht="15.75" customHeight="1">
      <c r="A4525" s="7"/>
      <c r="B4525" s="7" t="str">
        <f>IFERROR(__xludf.DUMMYFUNCTION("""COMPUTED_VALUE"""),"HTML/CSS;JavaScript;TypeScript")</f>
        <v>HTML/CSS;JavaScript;TypeScript</v>
      </c>
      <c r="C4525" s="9" t="str">
        <f>IFERROR(__xludf.DUMMYFUNCTION("""COMPUTED_VALUE"""),"C#")</f>
        <v>C#</v>
      </c>
      <c r="D4525" s="9" t="str">
        <f>IFERROR(__xludf.DUMMYFUNCTION("""COMPUTED_VALUE"""),"HTML/CSS")</f>
        <v>HTML/CSS</v>
      </c>
      <c r="E4525" s="9" t="str">
        <f>IFERROR(__xludf.DUMMYFUNCTION("""COMPUTED_VALUE"""),"HTML/CSS")</f>
        <v>HTML/CSS</v>
      </c>
      <c r="F4525" s="9" t="str">
        <f>IFERROR(__xludf.DUMMYFUNCTION("""COMPUTED_VALUE"""),"Ruby")</f>
        <v>Ruby</v>
      </c>
      <c r="G4525" s="9" t="str">
        <f>IFERROR(__xludf.DUMMYFUNCTION("""COMPUTED_VALUE"""),"SQL")</f>
        <v>SQL</v>
      </c>
      <c r="H4525" s="9" t="str">
        <f>IFERROR(__xludf.DUMMYFUNCTION("""COMPUTED_VALUE"""),"C++")</f>
        <v>C++</v>
      </c>
      <c r="I4525" s="9" t="str">
        <f>IFERROR(__xludf.DUMMYFUNCTION("""COMPUTED_VALUE"""),"C#")</f>
        <v>C#</v>
      </c>
      <c r="J4525" s="9" t="str">
        <f>IFERROR(__xludf.DUMMYFUNCTION("""COMPUTED_VALUE"""),"Bash/Shell/PowerShell")</f>
        <v>Bash/Shell/PowerShell</v>
      </c>
      <c r="K4525" s="9" t="str">
        <f>IFERROR(__xludf.DUMMYFUNCTION("""COMPUTED_VALUE"""),"Ruby")</f>
        <v>Ruby</v>
      </c>
      <c r="L4525" s="9" t="str">
        <f>IFERROR(__xludf.DUMMYFUNCTION("""COMPUTED_VALUE"""),"TypeScript")</f>
        <v>TypeScript</v>
      </c>
      <c r="M4525" s="9" t="s">
        <v>26</v>
      </c>
    </row>
    <row r="4526" ht="15.75" customHeight="1">
      <c r="A4526" s="7"/>
      <c r="B4526" s="7" t="str">
        <f>IFERROR(__xludf.DUMMYFUNCTION("""COMPUTED_VALUE"""),"C;C++;Java;Kotlin")</f>
        <v>C;C++;Java;Kotlin</v>
      </c>
      <c r="C4526" s="9" t="str">
        <f>IFERROR(__xludf.DUMMYFUNCTION("""COMPUTED_VALUE"""),"HTML/CSS")</f>
        <v>HTML/CSS</v>
      </c>
      <c r="D4526" s="9" t="str">
        <f>IFERROR(__xludf.DUMMYFUNCTION("""COMPUTED_VALUE"""),"Java")</f>
        <v>Java</v>
      </c>
      <c r="E4526" s="9" t="str">
        <f>IFERROR(__xludf.DUMMYFUNCTION("""COMPUTED_VALUE"""),"Java")</f>
        <v>Java</v>
      </c>
      <c r="F4526" s="9" t="str">
        <f>IFERROR(__xludf.DUMMYFUNCTION("""COMPUTED_VALUE"""),"SQL")</f>
        <v>SQL</v>
      </c>
      <c r="G4526" s="9" t="str">
        <f>IFERROR(__xludf.DUMMYFUNCTION("""COMPUTED_VALUE"""),"HTML/CSS")</f>
        <v>HTML/CSS</v>
      </c>
      <c r="H4526" s="9" t="str">
        <f>IFERROR(__xludf.DUMMYFUNCTION("""COMPUTED_VALUE"""),"C#")</f>
        <v>C#</v>
      </c>
      <c r="I4526" s="9" t="str">
        <f>IFERROR(__xludf.DUMMYFUNCTION("""COMPUTED_VALUE"""),"HTML/CSS")</f>
        <v>HTML/CSS</v>
      </c>
      <c r="J4526" s="9" t="str">
        <f>IFERROR(__xludf.DUMMYFUNCTION("""COMPUTED_VALUE"""),"HTML/CSS")</f>
        <v>HTML/CSS</v>
      </c>
      <c r="K4526" s="9" t="str">
        <f>IFERROR(__xludf.DUMMYFUNCTION("""COMPUTED_VALUE"""),"Scala")</f>
        <v>Scala</v>
      </c>
      <c r="L4526" s="9" t="str">
        <f>IFERROR(__xludf.DUMMYFUNCTION("""COMPUTED_VALUE"""),"Assembly")</f>
        <v>Assembly</v>
      </c>
      <c r="M4526" s="9" t="s">
        <v>24</v>
      </c>
    </row>
    <row r="4527" ht="15.75" customHeight="1">
      <c r="A4527" s="7"/>
      <c r="B4527" s="7" t="str">
        <f>IFERROR(__xludf.DUMMYFUNCTION("""COMPUTED_VALUE"""),"Java")</f>
        <v>Java</v>
      </c>
      <c r="C4527" s="9" t="str">
        <f>IFERROR(__xludf.DUMMYFUNCTION("""COMPUTED_VALUE"""),"JavaScript")</f>
        <v>JavaScript</v>
      </c>
      <c r="D4527" s="9" t="str">
        <f>IFERROR(__xludf.DUMMYFUNCTION("""COMPUTED_VALUE"""),"JavaScript")</f>
        <v>JavaScript</v>
      </c>
      <c r="E4527" s="9" t="str">
        <f>IFERROR(__xludf.DUMMYFUNCTION("""COMPUTED_VALUE"""),"JavaScript")</f>
        <v>JavaScript</v>
      </c>
      <c r="F4527" s="9" t="str">
        <f>IFERROR(__xludf.DUMMYFUNCTION("""COMPUTED_VALUE"""),"C#")</f>
        <v>C#</v>
      </c>
      <c r="G4527" s="9" t="str">
        <f>IFERROR(__xludf.DUMMYFUNCTION("""COMPUTED_VALUE"""),"JavaScript")</f>
        <v>JavaScript</v>
      </c>
      <c r="H4527" s="9" t="str">
        <f>IFERROR(__xludf.DUMMYFUNCTION("""COMPUTED_VALUE"""),"HTML/CSS")</f>
        <v>HTML/CSS</v>
      </c>
      <c r="I4527" s="9" t="str">
        <f>IFERROR(__xludf.DUMMYFUNCTION("""COMPUTED_VALUE"""),"JavaScript")</f>
        <v>JavaScript</v>
      </c>
      <c r="J4527" s="9" t="str">
        <f>IFERROR(__xludf.DUMMYFUNCTION("""COMPUTED_VALUE"""),"Java")</f>
        <v>Java</v>
      </c>
      <c r="K4527" s="9" t="str">
        <f>IFERROR(__xludf.DUMMYFUNCTION("""COMPUTED_VALUE"""),"C#")</f>
        <v>C#</v>
      </c>
      <c r="L4527" s="9" t="str">
        <f>IFERROR(__xludf.DUMMYFUNCTION("""COMPUTED_VALUE"""),"C")</f>
        <v>C</v>
      </c>
      <c r="M4527" s="9" t="s">
        <v>21</v>
      </c>
    </row>
    <row r="4528" ht="15.75" customHeight="1">
      <c r="A4528" s="7"/>
      <c r="B4528" s="7" t="str">
        <f>IFERROR(__xludf.DUMMYFUNCTION("""COMPUTED_VALUE"""),"HTML/CSS;R;Other(s):")</f>
        <v>HTML/CSS;R;Other(s):</v>
      </c>
      <c r="C4528" s="9" t="str">
        <f>IFERROR(__xludf.DUMMYFUNCTION("""COMPUTED_VALUE"""),"PHP")</f>
        <v>PHP</v>
      </c>
      <c r="D4528" s="9" t="str">
        <f>IFERROR(__xludf.DUMMYFUNCTION("""COMPUTED_VALUE"""),"Objective-C")</f>
        <v>Objective-C</v>
      </c>
      <c r="E4528" s="9" t="str">
        <f>IFERROR(__xludf.DUMMYFUNCTION("""COMPUTED_VALUE"""),"Python")</f>
        <v>Python</v>
      </c>
      <c r="F4528" s="9" t="str">
        <f>IFERROR(__xludf.DUMMYFUNCTION("""COMPUTED_VALUE"""),"HTML/CSS")</f>
        <v>HTML/CSS</v>
      </c>
      <c r="G4528" s="9" t="str">
        <f>IFERROR(__xludf.DUMMYFUNCTION("""COMPUTED_VALUE"""),"Bash/Shell/PowerShell")</f>
        <v>Bash/Shell/PowerShell</v>
      </c>
      <c r="H4528" s="9" t="str">
        <f>IFERROR(__xludf.DUMMYFUNCTION("""COMPUTED_VALUE"""),"Java")</f>
        <v>Java</v>
      </c>
      <c r="I4528" s="9" t="str">
        <f>IFERROR(__xludf.DUMMYFUNCTION("""COMPUTED_VALUE"""),"HTML/CSS")</f>
        <v>HTML/CSS</v>
      </c>
      <c r="J4528" s="9" t="str">
        <f>IFERROR(__xludf.DUMMYFUNCTION("""COMPUTED_VALUE"""),"JavaScript")</f>
        <v>JavaScript</v>
      </c>
      <c r="K4528" s="9" t="str">
        <f>IFERROR(__xludf.DUMMYFUNCTION("""COMPUTED_VALUE"""),"HTML/CSS")</f>
        <v>HTML/CSS</v>
      </c>
      <c r="L4528" s="9" t="str">
        <f>IFERROR(__xludf.DUMMYFUNCTION("""COMPUTED_VALUE"""),"C++")</f>
        <v>C++</v>
      </c>
      <c r="M4528" s="9" t="s">
        <v>37</v>
      </c>
    </row>
    <row r="4529" ht="15.75" customHeight="1">
      <c r="A4529" s="7"/>
      <c r="B4529" s="7" t="str">
        <f>IFERROR(__xludf.DUMMYFUNCTION("""COMPUTED_VALUE"""),"Assembly;C;C#;HTML/CSS;Java;JavaScript;PHP;SQL;VBA")</f>
        <v>Assembly;C;C#;HTML/CSS;Java;JavaScript;PHP;SQL;VBA</v>
      </c>
      <c r="C4529" s="9" t="str">
        <f>IFERROR(__xludf.DUMMYFUNCTION("""COMPUTED_VALUE"""),"Python")</f>
        <v>Python</v>
      </c>
      <c r="D4529" s="9" t="str">
        <f>IFERROR(__xludf.DUMMYFUNCTION("""COMPUTED_VALUE"""),"PHP")</f>
        <v>PHP</v>
      </c>
      <c r="E4529" s="9" t="str">
        <f>IFERROR(__xludf.DUMMYFUNCTION("""COMPUTED_VALUE"""),"SQL")</f>
        <v>SQL</v>
      </c>
      <c r="F4529" s="9" t="str">
        <f>IFERROR(__xludf.DUMMYFUNCTION("""COMPUTED_VALUE"""),"JavaScript")</f>
        <v>JavaScript</v>
      </c>
      <c r="G4529" s="9" t="str">
        <f>IFERROR(__xludf.DUMMYFUNCTION("""COMPUTED_VALUE"""),"C")</f>
        <v>C</v>
      </c>
      <c r="H4529" s="9" t="str">
        <f>IFERROR(__xludf.DUMMYFUNCTION("""COMPUTED_VALUE"""),"JavaScript")</f>
        <v>JavaScript</v>
      </c>
      <c r="I4529" s="9" t="str">
        <f>IFERROR(__xludf.DUMMYFUNCTION("""COMPUTED_VALUE"""),"JavaScript")</f>
        <v>JavaScript</v>
      </c>
      <c r="J4529" s="9" t="str">
        <f>IFERROR(__xludf.DUMMYFUNCTION("""COMPUTED_VALUE"""),"PHP")</f>
        <v>PHP</v>
      </c>
      <c r="K4529" s="9" t="str">
        <f>IFERROR(__xludf.DUMMYFUNCTION("""COMPUTED_VALUE"""),"JavaScript")</f>
        <v>JavaScript</v>
      </c>
      <c r="L4529" s="9" t="str">
        <f>IFERROR(__xludf.DUMMYFUNCTION("""COMPUTED_VALUE"""),"HTML/CSS")</f>
        <v>HTML/CSS</v>
      </c>
      <c r="M4529" s="9" t="s">
        <v>22</v>
      </c>
    </row>
    <row r="4530" ht="15.75" customHeight="1">
      <c r="A4530" s="7"/>
      <c r="B4530" s="7" t="str">
        <f>IFERROR(__xludf.DUMMYFUNCTION("""COMPUTED_VALUE"""),"C++;C#;HTML/CSS;JavaScript;PHP;SQL;Other(s):")</f>
        <v>C++;C#;HTML/CSS;JavaScript;PHP;SQL;Other(s):</v>
      </c>
      <c r="C4530" s="9" t="str">
        <f>IFERROR(__xludf.DUMMYFUNCTION("""COMPUTED_VALUE"""),"SQL")</f>
        <v>SQL</v>
      </c>
      <c r="D4530" s="9" t="str">
        <f>IFERROR(__xludf.DUMMYFUNCTION("""COMPUTED_VALUE"""),"Python")</f>
        <v>Python</v>
      </c>
      <c r="E4530" s="9" t="str">
        <f>IFERROR(__xludf.DUMMYFUNCTION("""COMPUTED_VALUE"""),"TypeScript")</f>
        <v>TypeScript</v>
      </c>
      <c r="F4530" s="9" t="str">
        <f>IFERROR(__xludf.DUMMYFUNCTION("""COMPUTED_VALUE"""),"Objective-C")</f>
        <v>Objective-C</v>
      </c>
      <c r="G4530" s="9" t="str">
        <f>IFERROR(__xludf.DUMMYFUNCTION("""COMPUTED_VALUE"""),"Java")</f>
        <v>Java</v>
      </c>
      <c r="H4530" s="9" t="str">
        <f>IFERROR(__xludf.DUMMYFUNCTION("""COMPUTED_VALUE"""),"Python")</f>
        <v>Python</v>
      </c>
      <c r="I4530" s="9" t="str">
        <f>IFERROR(__xludf.DUMMYFUNCTION("""COMPUTED_VALUE"""),"PHP")</f>
        <v>PHP</v>
      </c>
      <c r="J4530" s="9" t="str">
        <f>IFERROR(__xludf.DUMMYFUNCTION("""COMPUTED_VALUE"""),"Ruby")</f>
        <v>Ruby</v>
      </c>
      <c r="K4530" s="9" t="str">
        <f>IFERROR(__xludf.DUMMYFUNCTION("""COMPUTED_VALUE"""),"Python")</f>
        <v>Python</v>
      </c>
      <c r="L4530" s="9" t="str">
        <f>IFERROR(__xludf.DUMMYFUNCTION("""COMPUTED_VALUE"""),"Java")</f>
        <v>Java</v>
      </c>
      <c r="M4530" s="9" t="s">
        <v>27</v>
      </c>
    </row>
    <row r="4531" ht="15.75" customHeight="1">
      <c r="A4531" s="7"/>
      <c r="B4531" s="7" t="str">
        <f>IFERROR(__xludf.DUMMYFUNCTION("""COMPUTED_VALUE"""),"Bash/Shell/PowerShell;HTML/CSS;Java;JavaScript;SQL")</f>
        <v>Bash/Shell/PowerShell;HTML/CSS;Java;JavaScript;SQL</v>
      </c>
      <c r="C4531" s="9" t="str">
        <f>IFERROR(__xludf.DUMMYFUNCTION("""COMPUTED_VALUE"""),"Assembly")</f>
        <v>Assembly</v>
      </c>
      <c r="D4531" s="9" t="str">
        <f>IFERROR(__xludf.DUMMYFUNCTION("""COMPUTED_VALUE"""),"SQL")</f>
        <v>SQL</v>
      </c>
      <c r="E4531" s="9" t="str">
        <f>IFERROR(__xludf.DUMMYFUNCTION("""COMPUTED_VALUE"""),"C++")</f>
        <v>C++</v>
      </c>
      <c r="F4531" s="9" t="str">
        <f>IFERROR(__xludf.DUMMYFUNCTION("""COMPUTED_VALUE"""),"PHP")</f>
        <v>PHP</v>
      </c>
      <c r="G4531" s="9" t="str">
        <f>IFERROR(__xludf.DUMMYFUNCTION("""COMPUTED_VALUE"""),"JavaScript")</f>
        <v>JavaScript</v>
      </c>
      <c r="H4531" s="9" t="str">
        <f>IFERROR(__xludf.DUMMYFUNCTION("""COMPUTED_VALUE"""),"C++")</f>
        <v>C++</v>
      </c>
      <c r="I4531" s="9" t="str">
        <f>IFERROR(__xludf.DUMMYFUNCTION("""COMPUTED_VALUE"""),"Rust")</f>
        <v>Rust</v>
      </c>
      <c r="J4531" s="9" t="str">
        <f>IFERROR(__xludf.DUMMYFUNCTION("""COMPUTED_VALUE"""),"SQL")</f>
        <v>SQL</v>
      </c>
      <c r="K4531" s="9" t="str">
        <f>IFERROR(__xludf.DUMMYFUNCTION("""COMPUTED_VALUE"""),"TypeScript")</f>
        <v>TypeScript</v>
      </c>
      <c r="L4531" s="9" t="str">
        <f>IFERROR(__xludf.DUMMYFUNCTION("""COMPUTED_VALUE"""),"JavaScript")</f>
        <v>JavaScript</v>
      </c>
      <c r="M4531" s="9" t="s">
        <v>38</v>
      </c>
    </row>
    <row r="4532" ht="15.75" customHeight="1">
      <c r="A4532" s="7"/>
      <c r="B4532" s="7" t="str">
        <f>IFERROR(__xludf.DUMMYFUNCTION("""COMPUTED_VALUE"""),"HTML/CSS;JavaScript")</f>
        <v>HTML/CSS;JavaScript</v>
      </c>
      <c r="C4532" s="9" t="str">
        <f>IFERROR(__xludf.DUMMYFUNCTION("""COMPUTED_VALUE"""),"Bash/Shell/PowerShell")</f>
        <v>Bash/Shell/PowerShell</v>
      </c>
      <c r="D4532" s="9" t="str">
        <f>IFERROR(__xludf.DUMMYFUNCTION("""COMPUTED_VALUE"""),"Bash/Shell/PowerShell")</f>
        <v>Bash/Shell/PowerShell</v>
      </c>
      <c r="E4532" s="9" t="str">
        <f>IFERROR(__xludf.DUMMYFUNCTION("""COMPUTED_VALUE"""),"Java")</f>
        <v>Java</v>
      </c>
      <c r="F4532" s="9" t="str">
        <f>IFERROR(__xludf.DUMMYFUNCTION("""COMPUTED_VALUE"""),"SQL")</f>
        <v>SQL</v>
      </c>
      <c r="G4532" s="9" t="str">
        <f>IFERROR(__xludf.DUMMYFUNCTION("""COMPUTED_VALUE"""),"PHP")</f>
        <v>PHP</v>
      </c>
      <c r="H4532" s="9" t="str">
        <f>IFERROR(__xludf.DUMMYFUNCTION("""COMPUTED_VALUE"""),"HTML/CSS")</f>
        <v>HTML/CSS</v>
      </c>
      <c r="I4532" s="9" t="str">
        <f>IFERROR(__xludf.DUMMYFUNCTION("""COMPUTED_VALUE"""),"SQL")</f>
        <v>SQL</v>
      </c>
      <c r="J4532" s="9" t="str">
        <f>IFERROR(__xludf.DUMMYFUNCTION("""COMPUTED_VALUE"""),"TypeScript")</f>
        <v>TypeScript</v>
      </c>
      <c r="K4532" s="9" t="str">
        <f>IFERROR(__xludf.DUMMYFUNCTION("""COMPUTED_VALUE"""),"Bash/Shell/PowerShell")</f>
        <v>Bash/Shell/PowerShell</v>
      </c>
      <c r="L4532" s="9" t="str">
        <f>IFERROR(__xludf.DUMMYFUNCTION("""COMPUTED_VALUE"""),"VBA")</f>
        <v>VBA</v>
      </c>
      <c r="M4532" s="9" t="s">
        <v>30</v>
      </c>
    </row>
    <row r="4533" ht="15.75" customHeight="1">
      <c r="A4533" s="7"/>
      <c r="B4533" s="7" t="str">
        <f>IFERROR(__xludf.DUMMYFUNCTION("""COMPUTED_VALUE"""),"C++;HTML/CSS;Java;Python")</f>
        <v>C++;HTML/CSS;Java;Python</v>
      </c>
      <c r="C4533" s="9" t="str">
        <f>IFERROR(__xludf.DUMMYFUNCTION("""COMPUTED_VALUE"""),"C")</f>
        <v>C</v>
      </c>
      <c r="D4533" s="9" t="str">
        <f>IFERROR(__xludf.DUMMYFUNCTION("""COMPUTED_VALUE"""),"Elixir")</f>
        <v>Elixir</v>
      </c>
      <c r="E4533" s="9" t="str">
        <f>IFERROR(__xludf.DUMMYFUNCTION("""COMPUTED_VALUE"""),"Python")</f>
        <v>Python</v>
      </c>
      <c r="F4533" s="9" t="str">
        <f>IFERROR(__xludf.DUMMYFUNCTION("""COMPUTED_VALUE"""),"TypeScript")</f>
        <v>TypeScript</v>
      </c>
      <c r="G4533" s="9" t="str">
        <f>IFERROR(__xludf.DUMMYFUNCTION("""COMPUTED_VALUE"""),"Python")</f>
        <v>Python</v>
      </c>
      <c r="H4533" s="9" t="str">
        <f>IFERROR(__xludf.DUMMYFUNCTION("""COMPUTED_VALUE"""),"Java")</f>
        <v>Java</v>
      </c>
      <c r="I4533" s="9" t="str">
        <f>IFERROR(__xludf.DUMMYFUNCTION("""COMPUTED_VALUE"""),"Assembly")</f>
        <v>Assembly</v>
      </c>
      <c r="J4533" s="9" t="str">
        <f>IFERROR(__xludf.DUMMYFUNCTION("""COMPUTED_VALUE"""),"C++")</f>
        <v>C++</v>
      </c>
      <c r="K4533" s="9" t="str">
        <f>IFERROR(__xludf.DUMMYFUNCTION("""COMPUTED_VALUE"""),"HTML/CSS")</f>
        <v>HTML/CSS</v>
      </c>
      <c r="L4533" s="9" t="str">
        <f>IFERROR(__xludf.DUMMYFUNCTION("""COMPUTED_VALUE"""),"HTML/CSS")</f>
        <v>HTML/CSS</v>
      </c>
      <c r="M4533" s="9" t="s">
        <v>25</v>
      </c>
    </row>
    <row r="4534" ht="15.75" customHeight="1">
      <c r="A4534" s="7"/>
      <c r="B4534" s="7" t="str">
        <f>IFERROR(__xludf.DUMMYFUNCTION("""COMPUTED_VALUE"""),"HTML/CSS;JavaScript;Ruby;TypeScript")</f>
        <v>HTML/CSS;JavaScript;Ruby;TypeScript</v>
      </c>
      <c r="C4534" s="9" t="str">
        <f>IFERROR(__xludf.DUMMYFUNCTION("""COMPUTED_VALUE"""),"C++")</f>
        <v>C++</v>
      </c>
      <c r="D4534" s="9" t="str">
        <f>IFERROR(__xludf.DUMMYFUNCTION("""COMPUTED_VALUE"""),"HTML/CSS")</f>
        <v>HTML/CSS</v>
      </c>
      <c r="E4534" s="9" t="str">
        <f>IFERROR(__xludf.DUMMYFUNCTION("""COMPUTED_VALUE"""),"Bash/Shell/PowerShell")</f>
        <v>Bash/Shell/PowerShell</v>
      </c>
      <c r="F4534" s="9" t="str">
        <f>IFERROR(__xludf.DUMMYFUNCTION("""COMPUTED_VALUE"""),"Bash/Shell/PowerShell")</f>
        <v>Bash/Shell/PowerShell</v>
      </c>
      <c r="G4534" s="9" t="str">
        <f>IFERROR(__xludf.DUMMYFUNCTION("""COMPUTED_VALUE"""),"R")</f>
        <v>R</v>
      </c>
      <c r="H4534" s="9" t="str">
        <f>IFERROR(__xludf.DUMMYFUNCTION("""COMPUTED_VALUE"""),"SQL")</f>
        <v>SQL</v>
      </c>
      <c r="I4534" s="9" t="str">
        <f>IFERROR(__xludf.DUMMYFUNCTION("""COMPUTED_VALUE"""),"Bash/Shell/PowerShell")</f>
        <v>Bash/Shell/PowerShell</v>
      </c>
      <c r="J4534" s="9" t="str">
        <f>IFERROR(__xludf.DUMMYFUNCTION("""COMPUTED_VALUE"""),"Java")</f>
        <v>Java</v>
      </c>
      <c r="K4534" s="9" t="str">
        <f>IFERROR(__xludf.DUMMYFUNCTION("""COMPUTED_VALUE"""),"Java")</f>
        <v>Java</v>
      </c>
      <c r="L4534" s="9" t="str">
        <f>IFERROR(__xludf.DUMMYFUNCTION("""COMPUTED_VALUE"""),"JavaScript")</f>
        <v>JavaScript</v>
      </c>
      <c r="M4534" s="9" t="s">
        <v>23</v>
      </c>
    </row>
    <row r="4535" ht="15.75" customHeight="1">
      <c r="A4535" s="7"/>
      <c r="B4535" s="7" t="str">
        <f>IFERROR(__xludf.DUMMYFUNCTION("""COMPUTED_VALUE"""),"Bash/Shell/PowerShell;HTML/CSS;JavaScript;Python;SQL")</f>
        <v>Bash/Shell/PowerShell;HTML/CSS;JavaScript;Python;SQL</v>
      </c>
      <c r="C4535" s="9" t="str">
        <f>IFERROR(__xludf.DUMMYFUNCTION("""COMPUTED_VALUE"""),"C#")</f>
        <v>C#</v>
      </c>
      <c r="D4535" s="9" t="str">
        <f>IFERROR(__xludf.DUMMYFUNCTION("""COMPUTED_VALUE"""),"Java")</f>
        <v>Java</v>
      </c>
      <c r="E4535" s="9" t="str">
        <f>IFERROR(__xludf.DUMMYFUNCTION("""COMPUTED_VALUE"""),"C#")</f>
        <v>C#</v>
      </c>
      <c r="F4535" s="9" t="str">
        <f>IFERROR(__xludf.DUMMYFUNCTION("""COMPUTED_VALUE"""),"HTML/CSS")</f>
        <v>HTML/CSS</v>
      </c>
      <c r="G4535" s="9" t="str">
        <f>IFERROR(__xludf.DUMMYFUNCTION("""COMPUTED_VALUE"""),"SQL")</f>
        <v>SQL</v>
      </c>
      <c r="H4535" s="9" t="str">
        <f>IFERROR(__xludf.DUMMYFUNCTION("""COMPUTED_VALUE"""),"Bash/Shell/PowerShell")</f>
        <v>Bash/Shell/PowerShell</v>
      </c>
      <c r="I4535" s="9" t="str">
        <f>IFERROR(__xludf.DUMMYFUNCTION("""COMPUTED_VALUE"""),"C++")</f>
        <v>C++</v>
      </c>
      <c r="J4535" s="9" t="str">
        <f>IFERROR(__xludf.DUMMYFUNCTION("""COMPUTED_VALUE"""),"SQL")</f>
        <v>SQL</v>
      </c>
      <c r="K4535" s="9" t="str">
        <f>IFERROR(__xludf.DUMMYFUNCTION("""COMPUTED_VALUE"""),"JavaScript")</f>
        <v>JavaScript</v>
      </c>
      <c r="L4535" s="9" t="str">
        <f>IFERROR(__xludf.DUMMYFUNCTION("""COMPUTED_VALUE"""),"PHP")</f>
        <v>PHP</v>
      </c>
      <c r="M4535" s="9" t="s">
        <v>26</v>
      </c>
    </row>
    <row r="4536" ht="15.75" customHeight="1">
      <c r="A4536" s="7"/>
      <c r="B4536" s="7" t="str">
        <f>IFERROR(__xludf.DUMMYFUNCTION("""COMPUTED_VALUE"""),"Java;JavaScript;SQL")</f>
        <v>Java;JavaScript;SQL</v>
      </c>
      <c r="C4536" s="9" t="str">
        <f>IFERROR(__xludf.DUMMYFUNCTION("""COMPUTED_VALUE"""),"Python")</f>
        <v>Python</v>
      </c>
      <c r="D4536" s="9" t="str">
        <f>IFERROR(__xludf.DUMMYFUNCTION("""COMPUTED_VALUE"""),"JavaScript")</f>
        <v>JavaScript</v>
      </c>
      <c r="E4536" s="9" t="str">
        <f>IFERROR(__xludf.DUMMYFUNCTION("""COMPUTED_VALUE"""),"HTML/CSS")</f>
        <v>HTML/CSS</v>
      </c>
      <c r="F4536" s="9" t="str">
        <f>IFERROR(__xludf.DUMMYFUNCTION("""COMPUTED_VALUE"""),"JavaScript")</f>
        <v>JavaScript</v>
      </c>
      <c r="G4536" s="9" t="str">
        <f>IFERROR(__xludf.DUMMYFUNCTION("""COMPUTED_VALUE"""),"Assembly")</f>
        <v>Assembly</v>
      </c>
      <c r="H4536" s="9" t="str">
        <f>IFERROR(__xludf.DUMMYFUNCTION("""COMPUTED_VALUE"""),"C")</f>
        <v>C</v>
      </c>
      <c r="I4536" s="9" t="str">
        <f>IFERROR(__xludf.DUMMYFUNCTION("""COMPUTED_VALUE"""),"C#")</f>
        <v>C#</v>
      </c>
      <c r="J4536" s="9" t="str">
        <f>IFERROR(__xludf.DUMMYFUNCTION("""COMPUTED_VALUE"""),"C++")</f>
        <v>C++</v>
      </c>
      <c r="K4536" s="9" t="str">
        <f>IFERROR(__xludf.DUMMYFUNCTION("""COMPUTED_VALUE"""),"Objective-C")</f>
        <v>Objective-C</v>
      </c>
      <c r="L4536" s="9" t="str">
        <f>IFERROR(__xludf.DUMMYFUNCTION("""COMPUTED_VALUE"""),"SQL")</f>
        <v>SQL</v>
      </c>
      <c r="M4536" s="9" t="s">
        <v>22</v>
      </c>
    </row>
    <row r="4537" ht="15.75" customHeight="1">
      <c r="A4537" s="7"/>
      <c r="B4537" s="7" t="str">
        <f>IFERROR(__xludf.DUMMYFUNCTION("""COMPUTED_VALUE"""),"Bash/Shell/PowerShell;Clojure;HTML/CSS;JavaScript;Ruby")</f>
        <v>Bash/Shell/PowerShell;Clojure;HTML/CSS;JavaScript;Ruby</v>
      </c>
      <c r="C4537" s="9" t="str">
        <f>IFERROR(__xludf.DUMMYFUNCTION("""COMPUTED_VALUE"""),"Ruby")</f>
        <v>Ruby</v>
      </c>
      <c r="D4537" s="9" t="str">
        <f>IFERROR(__xludf.DUMMYFUNCTION("""COMPUTED_VALUE"""),"Python")</f>
        <v>Python</v>
      </c>
      <c r="E4537" s="9" t="str">
        <f>IFERROR(__xludf.DUMMYFUNCTION("""COMPUTED_VALUE"""),"JavaScript")</f>
        <v>JavaScript</v>
      </c>
      <c r="F4537" s="9" t="str">
        <f>IFERROR(__xludf.DUMMYFUNCTION("""COMPUTED_VALUE"""),"Python")</f>
        <v>Python</v>
      </c>
      <c r="G4537" s="9" t="str">
        <f>IFERROR(__xludf.DUMMYFUNCTION("""COMPUTED_VALUE"""),"Bash/Shell/PowerShell")</f>
        <v>Bash/Shell/PowerShell</v>
      </c>
      <c r="H4537" s="9" t="str">
        <f>IFERROR(__xludf.DUMMYFUNCTION("""COMPUTED_VALUE"""),"C++")</f>
        <v>C++</v>
      </c>
      <c r="I4537" s="9" t="str">
        <f>IFERROR(__xludf.DUMMYFUNCTION("""COMPUTED_VALUE"""),"C")</f>
        <v>C</v>
      </c>
      <c r="J4537" s="9" t="str">
        <f>IFERROR(__xludf.DUMMYFUNCTION("""COMPUTED_VALUE"""),"Java")</f>
        <v>Java</v>
      </c>
      <c r="K4537" s="9" t="str">
        <f>IFERROR(__xludf.DUMMYFUNCTION("""COMPUTED_VALUE"""),"Python")</f>
        <v>Python</v>
      </c>
      <c r="L4537" s="9" t="str">
        <f>IFERROR(__xludf.DUMMYFUNCTION("""COMPUTED_VALUE"""),"Assembly")</f>
        <v>Assembly</v>
      </c>
      <c r="M4537" s="9" t="s">
        <v>31</v>
      </c>
    </row>
    <row r="4538" ht="15.75" customHeight="1">
      <c r="A4538" s="7"/>
      <c r="B4538" s="7" t="str">
        <f>IFERROR(__xludf.DUMMYFUNCTION("""COMPUTED_VALUE"""),"C#;HTML/CSS;Java;JavaScript;Python;TypeScript")</f>
        <v>C#;HTML/CSS;Java;JavaScript;Python;TypeScript</v>
      </c>
      <c r="C4538" s="9" t="str">
        <f>IFERROR(__xludf.DUMMYFUNCTION("""COMPUTED_VALUE"""),"C#")</f>
        <v>C#</v>
      </c>
      <c r="D4538" s="9" t="str">
        <f>IFERROR(__xludf.DUMMYFUNCTION("""COMPUTED_VALUE"""),"SQL")</f>
        <v>SQL</v>
      </c>
      <c r="E4538" s="9" t="str">
        <f>IFERROR(__xludf.DUMMYFUNCTION("""COMPUTED_VALUE"""),"SQL")</f>
        <v>SQL</v>
      </c>
      <c r="F4538" s="9" t="str">
        <f>IFERROR(__xludf.DUMMYFUNCTION("""COMPUTED_VALUE"""),"SQL")</f>
        <v>SQL</v>
      </c>
      <c r="G4538" s="9" t="str">
        <f>IFERROR(__xludf.DUMMYFUNCTION("""COMPUTED_VALUE"""),"C")</f>
        <v>C</v>
      </c>
      <c r="H4538" s="9" t="str">
        <f>IFERROR(__xludf.DUMMYFUNCTION("""COMPUTED_VALUE"""),"C#")</f>
        <v>C#</v>
      </c>
      <c r="I4538" s="9" t="str">
        <f>IFERROR(__xludf.DUMMYFUNCTION("""COMPUTED_VALUE"""),"C++")</f>
        <v>C++</v>
      </c>
      <c r="J4538" s="9" t="str">
        <f>IFERROR(__xludf.DUMMYFUNCTION("""COMPUTED_VALUE"""),"JavaScript")</f>
        <v>JavaScript</v>
      </c>
      <c r="K4538" s="9" t="str">
        <f>IFERROR(__xludf.DUMMYFUNCTION("""COMPUTED_VALUE"""),"SQL")</f>
        <v>SQL</v>
      </c>
      <c r="L4538" s="9" t="str">
        <f>IFERROR(__xludf.DUMMYFUNCTION("""COMPUTED_VALUE"""),"Bash/Shell/PowerShell")</f>
        <v>Bash/Shell/PowerShell</v>
      </c>
      <c r="M4538" s="9" t="s">
        <v>26</v>
      </c>
    </row>
    <row r="4539" ht="15.75" customHeight="1">
      <c r="A4539" s="7"/>
      <c r="B4539" s="7" t="str">
        <f>IFERROR(__xludf.DUMMYFUNCTION("""COMPUTED_VALUE"""),"Bash/Shell/PowerShell;C;C++;HTML/CSS;Python")</f>
        <v>Bash/Shell/PowerShell;C;C++;HTML/CSS;Python</v>
      </c>
      <c r="C4539" s="9" t="str">
        <f>IFERROR(__xludf.DUMMYFUNCTION("""COMPUTED_VALUE"""),"HTML/CSS")</f>
        <v>HTML/CSS</v>
      </c>
      <c r="D4539" s="9" t="str">
        <f>IFERROR(__xludf.DUMMYFUNCTION("""COMPUTED_VALUE"""),"TypeScript")</f>
        <v>TypeScript</v>
      </c>
      <c r="E4539" s="9" t="str">
        <f>IFERROR(__xludf.DUMMYFUNCTION("""COMPUTED_VALUE"""),"TypeScript")</f>
        <v>TypeScript</v>
      </c>
      <c r="F4539" s="9" t="str">
        <f>IFERROR(__xludf.DUMMYFUNCTION("""COMPUTED_VALUE"""),"TypeScript")</f>
        <v>TypeScript</v>
      </c>
      <c r="G4539" s="9" t="str">
        <f>IFERROR(__xludf.DUMMYFUNCTION("""COMPUTED_VALUE"""),"C++")</f>
        <v>C++</v>
      </c>
      <c r="H4539" s="9" t="str">
        <f>IFERROR(__xludf.DUMMYFUNCTION("""COMPUTED_VALUE"""),"HTML/CSS")</f>
        <v>HTML/CSS</v>
      </c>
      <c r="I4539" s="9" t="str">
        <f>IFERROR(__xludf.DUMMYFUNCTION("""COMPUTED_VALUE"""),"C#")</f>
        <v>C#</v>
      </c>
      <c r="J4539" s="9" t="str">
        <f>IFERROR(__xludf.DUMMYFUNCTION("""COMPUTED_VALUE"""),"Python")</f>
        <v>Python</v>
      </c>
      <c r="K4539" s="9" t="str">
        <f>IFERROR(__xludf.DUMMYFUNCTION("""COMPUTED_VALUE"""),"C")</f>
        <v>C</v>
      </c>
      <c r="L4539" s="9" t="str">
        <f>IFERROR(__xludf.DUMMYFUNCTION("""COMPUTED_VALUE"""),"C")</f>
        <v>C</v>
      </c>
      <c r="M4539" s="9" t="s">
        <v>24</v>
      </c>
    </row>
    <row r="4540" ht="15.75" customHeight="1">
      <c r="A4540" s="7"/>
      <c r="B4540" s="7" t="str">
        <f>IFERROR(__xludf.DUMMYFUNCTION("""COMPUTED_VALUE"""),"HTML/CSS;Java;JavaScript;Python;R;Rust")</f>
        <v>HTML/CSS;Java;JavaScript;Python;R;Rust</v>
      </c>
      <c r="C4540" s="9" t="str">
        <f>IFERROR(__xludf.DUMMYFUNCTION("""COMPUTED_VALUE"""),"JavaScript")</f>
        <v>JavaScript</v>
      </c>
      <c r="D4540" s="9" t="str">
        <f>IFERROR(__xludf.DUMMYFUNCTION("""COMPUTED_VALUE"""),"Java")</f>
        <v>Java</v>
      </c>
      <c r="E4540" s="9" t="str">
        <f>IFERROR(__xludf.DUMMYFUNCTION("""COMPUTED_VALUE"""),"VBA")</f>
        <v>VBA</v>
      </c>
      <c r="F4540" s="9" t="str">
        <f>IFERROR(__xludf.DUMMYFUNCTION("""COMPUTED_VALUE"""),"JavaScript")</f>
        <v>JavaScript</v>
      </c>
      <c r="G4540" s="9" t="str">
        <f>IFERROR(__xludf.DUMMYFUNCTION("""COMPUTED_VALUE"""),"HTML/CSS")</f>
        <v>HTML/CSS</v>
      </c>
      <c r="H4540" s="9" t="str">
        <f>IFERROR(__xludf.DUMMYFUNCTION("""COMPUTED_VALUE"""),"Java")</f>
        <v>Java</v>
      </c>
      <c r="I4540" s="9" t="str">
        <f>IFERROR(__xludf.DUMMYFUNCTION("""COMPUTED_VALUE"""),"HTML/CSS")</f>
        <v>HTML/CSS</v>
      </c>
      <c r="J4540" s="9" t="str">
        <f>IFERROR(__xludf.DUMMYFUNCTION("""COMPUTED_VALUE"""),"C#")</f>
        <v>C#</v>
      </c>
      <c r="K4540" s="9" t="str">
        <f>IFERROR(__xludf.DUMMYFUNCTION("""COMPUTED_VALUE"""),"C++")</f>
        <v>C++</v>
      </c>
      <c r="L4540" s="9" t="str">
        <f>IFERROR(__xludf.DUMMYFUNCTION("""COMPUTED_VALUE"""),"C++")</f>
        <v>C++</v>
      </c>
      <c r="M4540" s="9" t="s">
        <v>21</v>
      </c>
    </row>
    <row r="4541" ht="15.75" customHeight="1">
      <c r="A4541" s="7"/>
      <c r="B4541" s="7" t="str">
        <f>IFERROR(__xludf.DUMMYFUNCTION("""COMPUTED_VALUE"""),"HTML/CSS;Java;Python;SQL")</f>
        <v>HTML/CSS;Java;Python;SQL</v>
      </c>
      <c r="C4541" s="9" t="str">
        <f>IFERROR(__xludf.DUMMYFUNCTION("""COMPUTED_VALUE"""),"Objective-C")</f>
        <v>Objective-C</v>
      </c>
      <c r="D4541" s="9" t="str">
        <f>IFERROR(__xludf.DUMMYFUNCTION("""COMPUTED_VALUE"""),"Java")</f>
        <v>Java</v>
      </c>
      <c r="E4541" s="9" t="str">
        <f>IFERROR(__xludf.DUMMYFUNCTION("""COMPUTED_VALUE"""),"Clojure")</f>
        <v>Clojure</v>
      </c>
      <c r="F4541" s="9" t="str">
        <f>IFERROR(__xludf.DUMMYFUNCTION("""COMPUTED_VALUE"""),"PHP")</f>
        <v>PHP</v>
      </c>
      <c r="G4541" s="9" t="str">
        <f>IFERROR(__xludf.DUMMYFUNCTION("""COMPUTED_VALUE"""),"Java")</f>
        <v>Java</v>
      </c>
      <c r="H4541" s="9" t="str">
        <f>IFERROR(__xludf.DUMMYFUNCTION("""COMPUTED_VALUE"""),"JavaScript")</f>
        <v>JavaScript</v>
      </c>
      <c r="I4541" s="9" t="str">
        <f>IFERROR(__xludf.DUMMYFUNCTION("""COMPUTED_VALUE"""),"Java")</f>
        <v>Java</v>
      </c>
      <c r="J4541" s="9" t="str">
        <f>IFERROR(__xludf.DUMMYFUNCTION("""COMPUTED_VALUE"""),"JavaScript")</f>
        <v>JavaScript</v>
      </c>
      <c r="K4541" s="9" t="str">
        <f>IFERROR(__xludf.DUMMYFUNCTION("""COMPUTED_VALUE"""),"C#")</f>
        <v>C#</v>
      </c>
      <c r="L4541" s="9" t="str">
        <f>IFERROR(__xludf.DUMMYFUNCTION("""COMPUTED_VALUE"""),"Bash/Shell/PowerShell")</f>
        <v>Bash/Shell/PowerShell</v>
      </c>
      <c r="M4541" s="9" t="s">
        <v>41</v>
      </c>
    </row>
    <row r="4542" ht="15.75" customHeight="1">
      <c r="A4542" s="7"/>
      <c r="B4542" s="7" t="str">
        <f>IFERROR(__xludf.DUMMYFUNCTION("""COMPUTED_VALUE"""),"Java")</f>
        <v>Java</v>
      </c>
      <c r="C4542" s="9" t="str">
        <f>IFERROR(__xludf.DUMMYFUNCTION("""COMPUTED_VALUE"""),"Python")</f>
        <v>Python</v>
      </c>
      <c r="D4542" s="9" t="str">
        <f>IFERROR(__xludf.DUMMYFUNCTION("""COMPUTED_VALUE"""),"SQL")</f>
        <v>SQL</v>
      </c>
      <c r="E4542" s="9" t="str">
        <f>IFERROR(__xludf.DUMMYFUNCTION("""COMPUTED_VALUE"""),"HTML/CSS")</f>
        <v>HTML/CSS</v>
      </c>
      <c r="F4542" s="9" t="str">
        <f>IFERROR(__xludf.DUMMYFUNCTION("""COMPUTED_VALUE"""),"JavaScript")</f>
        <v>JavaScript</v>
      </c>
      <c r="G4542" s="9" t="str">
        <f>IFERROR(__xludf.DUMMYFUNCTION("""COMPUTED_VALUE"""),"Python")</f>
        <v>Python</v>
      </c>
      <c r="H4542" s="9" t="str">
        <f>IFERROR(__xludf.DUMMYFUNCTION("""COMPUTED_VALUE"""),"PHP")</f>
        <v>PHP</v>
      </c>
      <c r="I4542" s="9" t="str">
        <f>IFERROR(__xludf.DUMMYFUNCTION("""COMPUTED_VALUE"""),"JavaScript")</f>
        <v>JavaScript</v>
      </c>
      <c r="J4542" s="9" t="str">
        <f>IFERROR(__xludf.DUMMYFUNCTION("""COMPUTED_VALUE"""),"TypeScript")</f>
        <v>TypeScript</v>
      </c>
      <c r="K4542" s="9" t="str">
        <f>IFERROR(__xludf.DUMMYFUNCTION("""COMPUTED_VALUE"""),"HTML/CSS")</f>
        <v>HTML/CSS</v>
      </c>
      <c r="L4542" s="9" t="str">
        <f>IFERROR(__xludf.DUMMYFUNCTION("""COMPUTED_VALUE"""),"C#")</f>
        <v>C#</v>
      </c>
      <c r="M4542" s="9" t="s">
        <v>22</v>
      </c>
    </row>
    <row r="4543" ht="15.75" customHeight="1">
      <c r="A4543" s="7"/>
      <c r="B4543" s="7" t="str">
        <f>IFERROR(__xludf.DUMMYFUNCTION("""COMPUTED_VALUE"""),"HTML/CSS;JavaScript;TypeScript")</f>
        <v>HTML/CSS;JavaScript;TypeScript</v>
      </c>
      <c r="C4543" s="9" t="str">
        <f>IFERROR(__xludf.DUMMYFUNCTION("""COMPUTED_VALUE"""),"Swift")</f>
        <v>Swift</v>
      </c>
      <c r="D4543" s="9" t="str">
        <f>IFERROR(__xludf.DUMMYFUNCTION("""COMPUTED_VALUE"""),"C#")</f>
        <v>C#</v>
      </c>
      <c r="E4543" s="9" t="str">
        <f>IFERROR(__xludf.DUMMYFUNCTION("""COMPUTED_VALUE"""),"JavaScript")</f>
        <v>JavaScript</v>
      </c>
      <c r="F4543" s="9" t="str">
        <f>IFERROR(__xludf.DUMMYFUNCTION("""COMPUTED_VALUE"""),"Python")</f>
        <v>Python</v>
      </c>
      <c r="G4543" s="9" t="str">
        <f>IFERROR(__xludf.DUMMYFUNCTION("""COMPUTED_VALUE"""),"SQL")</f>
        <v>SQL</v>
      </c>
      <c r="H4543" s="9" t="str">
        <f>IFERROR(__xludf.DUMMYFUNCTION("""COMPUTED_VALUE"""),"SQL")</f>
        <v>SQL</v>
      </c>
      <c r="I4543" s="9" t="str">
        <f>IFERROR(__xludf.DUMMYFUNCTION("""COMPUTED_VALUE"""),"PHP")</f>
        <v>PHP</v>
      </c>
      <c r="J4543" s="9" t="str">
        <f>IFERROR(__xludf.DUMMYFUNCTION("""COMPUTED_VALUE"""),"Bash/Shell/PowerShell")</f>
        <v>Bash/Shell/PowerShell</v>
      </c>
      <c r="K4543" s="9" t="str">
        <f>IFERROR(__xludf.DUMMYFUNCTION("""COMPUTED_VALUE"""),"Java")</f>
        <v>Java</v>
      </c>
      <c r="L4543" s="9" t="str">
        <f>IFERROR(__xludf.DUMMYFUNCTION("""COMPUTED_VALUE"""),"C#")</f>
        <v>C#</v>
      </c>
      <c r="M4543" s="9" t="s">
        <v>40</v>
      </c>
    </row>
    <row r="4544" ht="15.75" customHeight="1">
      <c r="A4544" s="7"/>
      <c r="B4544" s="7" t="str">
        <f>IFERROR(__xludf.DUMMYFUNCTION("""COMPUTED_VALUE"""),"C#;HTML/CSS;JavaScript;SQL")</f>
        <v>C#;HTML/CSS;JavaScript;SQL</v>
      </c>
      <c r="C4544" s="9" t="str">
        <f>IFERROR(__xludf.DUMMYFUNCTION("""COMPUTED_VALUE"""),"Bash/Shell/PowerShell")</f>
        <v>Bash/Shell/PowerShell</v>
      </c>
      <c r="D4544" s="9" t="str">
        <f>IFERROR(__xludf.DUMMYFUNCTION("""COMPUTED_VALUE"""),"HTML/CSS")</f>
        <v>HTML/CSS</v>
      </c>
      <c r="E4544" s="9" t="str">
        <f>IFERROR(__xludf.DUMMYFUNCTION("""COMPUTED_VALUE"""),"PHP")</f>
        <v>PHP</v>
      </c>
      <c r="F4544" s="9" t="str">
        <f>IFERROR(__xludf.DUMMYFUNCTION("""COMPUTED_VALUE"""),"Other(s):")</f>
        <v>Other(s):</v>
      </c>
      <c r="G4544" s="9" t="str">
        <f>IFERROR(__xludf.DUMMYFUNCTION("""COMPUTED_VALUE"""),"Bash/Shell/PowerShell")</f>
        <v>Bash/Shell/PowerShell</v>
      </c>
      <c r="H4544" s="9" t="str">
        <f>IFERROR(__xludf.DUMMYFUNCTION("""COMPUTED_VALUE"""),"Java")</f>
        <v>Java</v>
      </c>
      <c r="I4544" s="9" t="str">
        <f>IFERROR(__xludf.DUMMYFUNCTION("""COMPUTED_VALUE"""),"Python")</f>
        <v>Python</v>
      </c>
      <c r="J4544" s="9" t="str">
        <f>IFERROR(__xludf.DUMMYFUNCTION("""COMPUTED_VALUE"""),"C#")</f>
        <v>C#</v>
      </c>
      <c r="K4544" s="9" t="str">
        <f>IFERROR(__xludf.DUMMYFUNCTION("""COMPUTED_VALUE"""),"JavaScript")</f>
        <v>JavaScript</v>
      </c>
      <c r="L4544" s="9" t="str">
        <f>IFERROR(__xludf.DUMMYFUNCTION("""COMPUTED_VALUE"""),"C")</f>
        <v>C</v>
      </c>
      <c r="M4544" s="9" t="s">
        <v>30</v>
      </c>
    </row>
    <row r="4545" ht="15.75" customHeight="1">
      <c r="A4545" s="7"/>
      <c r="B4545" s="7" t="str">
        <f>IFERROR(__xludf.DUMMYFUNCTION("""COMPUTED_VALUE"""),"HTML/CSS;JavaScript;Python")</f>
        <v>HTML/CSS;JavaScript;Python</v>
      </c>
      <c r="C4545" s="9" t="str">
        <f>IFERROR(__xludf.DUMMYFUNCTION("""COMPUTED_VALUE"""),"C++")</f>
        <v>C++</v>
      </c>
      <c r="D4545" s="9" t="str">
        <f>IFERROR(__xludf.DUMMYFUNCTION("""COMPUTED_VALUE"""),"JavaScript")</f>
        <v>JavaScript</v>
      </c>
      <c r="E4545" s="9" t="str">
        <f>IFERROR(__xludf.DUMMYFUNCTION("""COMPUTED_VALUE"""),"SQL")</f>
        <v>SQL</v>
      </c>
      <c r="F4545" s="9" t="str">
        <f>IFERROR(__xludf.DUMMYFUNCTION("""COMPUTED_VALUE"""),"Bash/Shell/PowerShell")</f>
        <v>Bash/Shell/PowerShell</v>
      </c>
      <c r="G4545" s="9" t="str">
        <f>IFERROR(__xludf.DUMMYFUNCTION("""COMPUTED_VALUE"""),"C#")</f>
        <v>C#</v>
      </c>
      <c r="H4545" s="9" t="str">
        <f>IFERROR(__xludf.DUMMYFUNCTION("""COMPUTED_VALUE"""),"Python")</f>
        <v>Python</v>
      </c>
      <c r="I4545" s="9" t="str">
        <f>IFERROR(__xludf.DUMMYFUNCTION("""COMPUTED_VALUE"""),"SQL")</f>
        <v>SQL</v>
      </c>
      <c r="J4545" s="9" t="str">
        <f>IFERROR(__xludf.DUMMYFUNCTION("""COMPUTED_VALUE"""),"HTML/CSS")</f>
        <v>HTML/CSS</v>
      </c>
      <c r="K4545" s="9" t="str">
        <f>IFERROR(__xludf.DUMMYFUNCTION("""COMPUTED_VALUE"""),"PHP")</f>
        <v>PHP</v>
      </c>
      <c r="L4545" s="9" t="str">
        <f>IFERROR(__xludf.DUMMYFUNCTION("""COMPUTED_VALUE"""),"C++")</f>
        <v>C++</v>
      </c>
      <c r="M4545" s="9" t="s">
        <v>23</v>
      </c>
    </row>
    <row r="4546" ht="15.75" customHeight="1">
      <c r="A4546" s="7"/>
      <c r="B4546" s="7" t="str">
        <f>IFERROR(__xludf.DUMMYFUNCTION("""COMPUTED_VALUE"""),"C#;JavaScript")</f>
        <v>C#;JavaScript</v>
      </c>
      <c r="C4546" s="9" t="str">
        <f>IFERROR(__xludf.DUMMYFUNCTION("""COMPUTED_VALUE"""),"HTML/CSS")</f>
        <v>HTML/CSS</v>
      </c>
      <c r="D4546" s="9" t="str">
        <f>IFERROR(__xludf.DUMMYFUNCTION("""COMPUTED_VALUE"""),"SQL")</f>
        <v>SQL</v>
      </c>
      <c r="E4546" s="9" t="str">
        <f>IFERROR(__xludf.DUMMYFUNCTION("""COMPUTED_VALUE"""),"Java")</f>
        <v>Java</v>
      </c>
      <c r="F4546" s="9" t="str">
        <f>IFERROR(__xludf.DUMMYFUNCTION("""COMPUTED_VALUE"""),"Python")</f>
        <v>Python</v>
      </c>
      <c r="G4546" s="9" t="str">
        <f>IFERROR(__xludf.DUMMYFUNCTION("""COMPUTED_VALUE"""),"F#")</f>
        <v>F#</v>
      </c>
      <c r="H4546" s="9" t="str">
        <f>IFERROR(__xludf.DUMMYFUNCTION("""COMPUTED_VALUE"""),"Bash/Shell/PowerShell")</f>
        <v>Bash/Shell/PowerShell</v>
      </c>
      <c r="I4546" s="9" t="str">
        <f>IFERROR(__xludf.DUMMYFUNCTION("""COMPUTED_VALUE"""),"Swift")</f>
        <v>Swift</v>
      </c>
      <c r="J4546" s="9" t="str">
        <f>IFERROR(__xludf.DUMMYFUNCTION("""COMPUTED_VALUE"""),"JavaScript")</f>
        <v>JavaScript</v>
      </c>
      <c r="K4546" s="9" t="str">
        <f>IFERROR(__xludf.DUMMYFUNCTION("""COMPUTED_VALUE"""),"Python")</f>
        <v>Python</v>
      </c>
      <c r="L4546" s="9" t="str">
        <f>IFERROR(__xludf.DUMMYFUNCTION("""COMPUTED_VALUE"""),"HTML/CSS")</f>
        <v>HTML/CSS</v>
      </c>
      <c r="M4546" s="9" t="s">
        <v>24</v>
      </c>
    </row>
    <row r="4547" ht="15.75" customHeight="1">
      <c r="A4547" s="7"/>
      <c r="B4547" s="7" t="str">
        <f>IFERROR(__xludf.DUMMYFUNCTION("""COMPUTED_VALUE"""),"JavaScript")</f>
        <v>JavaScript</v>
      </c>
      <c r="C4547" s="9" t="str">
        <f>IFERROR(__xludf.DUMMYFUNCTION("""COMPUTED_VALUE"""),"Java")</f>
        <v>Java</v>
      </c>
      <c r="D4547" s="9" t="str">
        <f>IFERROR(__xludf.DUMMYFUNCTION("""COMPUTED_VALUE"""),"Bash/Shell/PowerShell")</f>
        <v>Bash/Shell/PowerShell</v>
      </c>
      <c r="E4547" s="9" t="str">
        <f>IFERROR(__xludf.DUMMYFUNCTION("""COMPUTED_VALUE"""),"Python")</f>
        <v>Python</v>
      </c>
      <c r="F4547" s="9" t="str">
        <f>IFERROR(__xludf.DUMMYFUNCTION("""COMPUTED_VALUE"""),"C++")</f>
        <v>C++</v>
      </c>
      <c r="G4547" s="9" t="str">
        <f>IFERROR(__xludf.DUMMYFUNCTION("""COMPUTED_VALUE"""),"HTML/CSS")</f>
        <v>HTML/CSS</v>
      </c>
      <c r="H4547" s="9" t="str">
        <f>IFERROR(__xludf.DUMMYFUNCTION("""COMPUTED_VALUE"""),"HTML/CSS")</f>
        <v>HTML/CSS</v>
      </c>
      <c r="I4547" s="9" t="str">
        <f>IFERROR(__xludf.DUMMYFUNCTION("""COMPUTED_VALUE"""),"Bash/Shell/PowerShell")</f>
        <v>Bash/Shell/PowerShell</v>
      </c>
      <c r="J4547" s="9" t="str">
        <f>IFERROR(__xludf.DUMMYFUNCTION("""COMPUTED_VALUE"""),"PHP")</f>
        <v>PHP</v>
      </c>
      <c r="K4547" s="9" t="str">
        <f>IFERROR(__xludf.DUMMYFUNCTION("""COMPUTED_VALUE"""),"SQL")</f>
        <v>SQL</v>
      </c>
      <c r="L4547" s="9" t="str">
        <f>IFERROR(__xludf.DUMMYFUNCTION("""COMPUTED_VALUE"""),"JavaScript")</f>
        <v>JavaScript</v>
      </c>
      <c r="M4547" s="9" t="s">
        <v>20</v>
      </c>
    </row>
    <row r="4548" ht="15.75" customHeight="1">
      <c r="A4548" s="7"/>
      <c r="B4548" s="7" t="str">
        <f>IFERROR(__xludf.DUMMYFUNCTION("""COMPUTED_VALUE"""),"Bash/Shell/PowerShell;C;C++;C#;HTML/CSS;SQL;Other(s):")</f>
        <v>Bash/Shell/PowerShell;C;C++;C#;HTML/CSS;SQL;Other(s):</v>
      </c>
      <c r="C4548" s="9" t="str">
        <f>IFERROR(__xludf.DUMMYFUNCTION("""COMPUTED_VALUE"""),"Ruby")</f>
        <v>Ruby</v>
      </c>
      <c r="D4548" s="9" t="str">
        <f>IFERROR(__xludf.DUMMYFUNCTION("""COMPUTED_VALUE"""),"C#")</f>
        <v>C#</v>
      </c>
      <c r="E4548" s="9" t="str">
        <f>IFERROR(__xludf.DUMMYFUNCTION("""COMPUTED_VALUE"""),"Scala")</f>
        <v>Scala</v>
      </c>
      <c r="F4548" s="9" t="str">
        <f>IFERROR(__xludf.DUMMYFUNCTION("""COMPUTED_VALUE"""),"C#")</f>
        <v>C#</v>
      </c>
      <c r="G4548" s="9" t="str">
        <f>IFERROR(__xludf.DUMMYFUNCTION("""COMPUTED_VALUE"""),"Java")</f>
        <v>Java</v>
      </c>
      <c r="H4548" s="9" t="str">
        <f>IFERROR(__xludf.DUMMYFUNCTION("""COMPUTED_VALUE"""),"Java")</f>
        <v>Java</v>
      </c>
      <c r="I4548" s="9" t="str">
        <f>IFERROR(__xludf.DUMMYFUNCTION("""COMPUTED_VALUE"""),"C#")</f>
        <v>C#</v>
      </c>
      <c r="J4548" s="9" t="str">
        <f>IFERROR(__xludf.DUMMYFUNCTION("""COMPUTED_VALUE"""),"Python")</f>
        <v>Python</v>
      </c>
      <c r="K4548" s="9" t="str">
        <f>IFERROR(__xludf.DUMMYFUNCTION("""COMPUTED_VALUE"""),"Bash/Shell/PowerShell")</f>
        <v>Bash/Shell/PowerShell</v>
      </c>
      <c r="L4548" s="9" t="str">
        <f>IFERROR(__xludf.DUMMYFUNCTION("""COMPUTED_VALUE"""),"PHP")</f>
        <v>PHP</v>
      </c>
      <c r="M4548" s="9" t="s">
        <v>31</v>
      </c>
    </row>
    <row r="4549" ht="15.75" customHeight="1">
      <c r="A4549" s="7"/>
      <c r="B4549" s="7" t="str">
        <f>IFERROR(__xludf.DUMMYFUNCTION("""COMPUTED_VALUE"""),"Python;Other(s):")</f>
        <v>Python;Other(s):</v>
      </c>
      <c r="C4549" s="9" t="str">
        <f>IFERROR(__xludf.DUMMYFUNCTION("""COMPUTED_VALUE"""),"SQL")</f>
        <v>SQL</v>
      </c>
      <c r="D4549" s="9" t="str">
        <f>IFERROR(__xludf.DUMMYFUNCTION("""COMPUTED_VALUE"""),"HTML/CSS")</f>
        <v>HTML/CSS</v>
      </c>
      <c r="E4549" s="9" t="str">
        <f>IFERROR(__xludf.DUMMYFUNCTION("""COMPUTED_VALUE"""),"SQL")</f>
        <v>SQL</v>
      </c>
      <c r="F4549" s="9" t="str">
        <f>IFERROR(__xludf.DUMMYFUNCTION("""COMPUTED_VALUE"""),"HTML/CSS")</f>
        <v>HTML/CSS</v>
      </c>
      <c r="G4549" s="9" t="str">
        <f>IFERROR(__xludf.DUMMYFUNCTION("""COMPUTED_VALUE"""),"JavaScript")</f>
        <v>JavaScript</v>
      </c>
      <c r="H4549" s="9" t="str">
        <f>IFERROR(__xludf.DUMMYFUNCTION("""COMPUTED_VALUE"""),"JavaScript")</f>
        <v>JavaScript</v>
      </c>
      <c r="I4549" s="9" t="str">
        <f>IFERROR(__xludf.DUMMYFUNCTION("""COMPUTED_VALUE"""),"HTML/CSS")</f>
        <v>HTML/CSS</v>
      </c>
      <c r="J4549" s="9" t="str">
        <f>IFERROR(__xludf.DUMMYFUNCTION("""COMPUTED_VALUE"""),"Ruby")</f>
        <v>Ruby</v>
      </c>
      <c r="K4549" s="9" t="str">
        <f>IFERROR(__xludf.DUMMYFUNCTION("""COMPUTED_VALUE"""),"JavaScript")</f>
        <v>JavaScript</v>
      </c>
      <c r="L4549" s="9" t="str">
        <f>IFERROR(__xludf.DUMMYFUNCTION("""COMPUTED_VALUE"""),"Python")</f>
        <v>Python</v>
      </c>
      <c r="M4549" s="9" t="s">
        <v>27</v>
      </c>
    </row>
    <row r="4550" ht="15.75" customHeight="1">
      <c r="A4550" s="7"/>
      <c r="B4550" s="7" t="str">
        <f>IFERROR(__xludf.DUMMYFUNCTION("""COMPUTED_VALUE"""),"Bash/Shell/PowerShell;Python;Scala;SQL;Other(s):")</f>
        <v>Bash/Shell/PowerShell;Python;Scala;SQL;Other(s):</v>
      </c>
      <c r="C4550" s="9" t="str">
        <f>IFERROR(__xludf.DUMMYFUNCTION("""COMPUTED_VALUE"""),"TypeScript")</f>
        <v>TypeScript</v>
      </c>
      <c r="D4550" s="9" t="str">
        <f>IFERROR(__xludf.DUMMYFUNCTION("""COMPUTED_VALUE"""),"Java")</f>
        <v>Java</v>
      </c>
      <c r="E4550" s="9" t="str">
        <f>IFERROR(__xludf.DUMMYFUNCTION("""COMPUTED_VALUE"""),"C#")</f>
        <v>C#</v>
      </c>
      <c r="F4550" s="9" t="str">
        <f>IFERROR(__xludf.DUMMYFUNCTION("""COMPUTED_VALUE"""),"Java")</f>
        <v>Java</v>
      </c>
      <c r="G4550" s="9" t="str">
        <f>IFERROR(__xludf.DUMMYFUNCTION("""COMPUTED_VALUE"""),"Kotlin")</f>
        <v>Kotlin</v>
      </c>
      <c r="H4550" s="9" t="str">
        <f>IFERROR(__xludf.DUMMYFUNCTION("""COMPUTED_VALUE"""),"Kotlin")</f>
        <v>Kotlin</v>
      </c>
      <c r="I4550" s="9" t="str">
        <f>IFERROR(__xludf.DUMMYFUNCTION("""COMPUTED_VALUE"""),"JavaScript")</f>
        <v>JavaScript</v>
      </c>
      <c r="J4550" s="9" t="str">
        <f>IFERROR(__xludf.DUMMYFUNCTION("""COMPUTED_VALUE"""),"SQL")</f>
        <v>SQL</v>
      </c>
      <c r="K4550" s="9" t="str">
        <f>IFERROR(__xludf.DUMMYFUNCTION("""COMPUTED_VALUE"""),"Python")</f>
        <v>Python</v>
      </c>
      <c r="L4550" s="9" t="str">
        <f>IFERROR(__xludf.DUMMYFUNCTION("""COMPUTED_VALUE"""),"SQL")</f>
        <v>SQL</v>
      </c>
      <c r="M4550" s="9" t="s">
        <v>33</v>
      </c>
    </row>
    <row r="4551" ht="15.75" customHeight="1">
      <c r="A4551" s="7"/>
      <c r="B4551" s="7" t="str">
        <f>IFERROR(__xludf.DUMMYFUNCTION("""COMPUTED_VALUE"""),"HTML/CSS;JavaScript;TypeScript")</f>
        <v>HTML/CSS;JavaScript;TypeScript</v>
      </c>
      <c r="C4551" s="9" t="str">
        <f>IFERROR(__xludf.DUMMYFUNCTION("""COMPUTED_VALUE"""),"Bash/Shell/PowerShell")</f>
        <v>Bash/Shell/PowerShell</v>
      </c>
      <c r="D4551" s="9" t="str">
        <f>IFERROR(__xludf.DUMMYFUNCTION("""COMPUTED_VALUE"""),"JavaScript")</f>
        <v>JavaScript</v>
      </c>
      <c r="E4551" s="9" t="str">
        <f>IFERROR(__xludf.DUMMYFUNCTION("""COMPUTED_VALUE"""),"SQL")</f>
        <v>SQL</v>
      </c>
      <c r="F4551" s="9" t="str">
        <f>IFERROR(__xludf.DUMMYFUNCTION("""COMPUTED_VALUE"""),"JavaScript")</f>
        <v>JavaScript</v>
      </c>
      <c r="G4551" s="9" t="str">
        <f>IFERROR(__xludf.DUMMYFUNCTION("""COMPUTED_VALUE"""),"SQL")</f>
        <v>SQL</v>
      </c>
      <c r="H4551" s="9" t="str">
        <f>IFERROR(__xludf.DUMMYFUNCTION("""COMPUTED_VALUE"""),"Python")</f>
        <v>Python</v>
      </c>
      <c r="I4551" s="9" t="str">
        <f>IFERROR(__xludf.DUMMYFUNCTION("""COMPUTED_VALUE"""),"SQL")</f>
        <v>SQL</v>
      </c>
      <c r="J4551" s="9" t="str">
        <f>IFERROR(__xludf.DUMMYFUNCTION("""COMPUTED_VALUE"""),"TypeScript")</f>
        <v>TypeScript</v>
      </c>
      <c r="K4551" s="9" t="str">
        <f>IFERROR(__xludf.DUMMYFUNCTION("""COMPUTED_VALUE"""),"Java")</f>
        <v>Java</v>
      </c>
      <c r="L4551" s="9" t="str">
        <f>IFERROR(__xludf.DUMMYFUNCTION("""COMPUTED_VALUE"""),"Other(s):")</f>
        <v>Other(s):</v>
      </c>
      <c r="M4551" s="9" t="s">
        <v>30</v>
      </c>
    </row>
    <row r="4552" ht="15.75" customHeight="1">
      <c r="A4552" s="7"/>
      <c r="B4552" s="7" t="str">
        <f>IFERROR(__xludf.DUMMYFUNCTION("""COMPUTED_VALUE"""),"JavaScript;R;SQL")</f>
        <v>JavaScript;R;SQL</v>
      </c>
      <c r="C4552" s="9" t="str">
        <f>IFERROR(__xludf.DUMMYFUNCTION("""COMPUTED_VALUE"""),"C")</f>
        <v>C</v>
      </c>
      <c r="D4552" s="9" t="str">
        <f>IFERROR(__xludf.DUMMYFUNCTION("""COMPUTED_VALUE"""),"SQL")</f>
        <v>SQL</v>
      </c>
      <c r="E4552" s="9" t="str">
        <f>IFERROR(__xludf.DUMMYFUNCTION("""COMPUTED_VALUE"""),"HTML/CSS")</f>
        <v>HTML/CSS</v>
      </c>
      <c r="F4552" s="9" t="str">
        <f>IFERROR(__xludf.DUMMYFUNCTION("""COMPUTED_VALUE"""),"PHP")</f>
        <v>PHP</v>
      </c>
      <c r="G4552" s="9" t="str">
        <f>IFERROR(__xludf.DUMMYFUNCTION("""COMPUTED_VALUE"""),"TypeScript")</f>
        <v>TypeScript</v>
      </c>
      <c r="H4552" s="9" t="str">
        <f>IFERROR(__xludf.DUMMYFUNCTION("""COMPUTED_VALUE"""),"SQL")</f>
        <v>SQL</v>
      </c>
      <c r="I4552" s="9" t="str">
        <f>IFERROR(__xludf.DUMMYFUNCTION("""COMPUTED_VALUE"""),"TypeScript")</f>
        <v>TypeScript</v>
      </c>
      <c r="J4552" s="9" t="str">
        <f>IFERROR(__xludf.DUMMYFUNCTION("""COMPUTED_VALUE"""),"Objective-C")</f>
        <v>Objective-C</v>
      </c>
      <c r="K4552" s="9" t="str">
        <f>IFERROR(__xludf.DUMMYFUNCTION("""COMPUTED_VALUE"""),"JavaScript")</f>
        <v>JavaScript</v>
      </c>
      <c r="L4552" s="9" t="str">
        <f>IFERROR(__xludf.DUMMYFUNCTION("""COMPUTED_VALUE"""),"C")</f>
        <v>C</v>
      </c>
      <c r="M4552" s="9" t="s">
        <v>25</v>
      </c>
    </row>
    <row r="4553" ht="15.75" customHeight="1">
      <c r="A4553" s="7"/>
      <c r="B4553" s="7" t="str">
        <f>IFERROR(__xludf.DUMMYFUNCTION("""COMPUTED_VALUE"""),"Ruby")</f>
        <v>Ruby</v>
      </c>
      <c r="C4553" s="9" t="str">
        <f>IFERROR(__xludf.DUMMYFUNCTION("""COMPUTED_VALUE"""),"C++")</f>
        <v>C++</v>
      </c>
      <c r="D4553" s="9" t="str">
        <f>IFERROR(__xludf.DUMMYFUNCTION("""COMPUTED_VALUE"""),"C#")</f>
        <v>C#</v>
      </c>
      <c r="E4553" s="9" t="str">
        <f>IFERROR(__xludf.DUMMYFUNCTION("""COMPUTED_VALUE"""),"Java")</f>
        <v>Java</v>
      </c>
      <c r="F4553" s="9" t="str">
        <f>IFERROR(__xludf.DUMMYFUNCTION("""COMPUTED_VALUE"""),"Python")</f>
        <v>Python</v>
      </c>
      <c r="G4553" s="9" t="str">
        <f>IFERROR(__xludf.DUMMYFUNCTION("""COMPUTED_VALUE"""),"C#")</f>
        <v>C#</v>
      </c>
      <c r="H4553" s="9" t="str">
        <f>IFERROR(__xludf.DUMMYFUNCTION("""COMPUTED_VALUE"""),"TypeScript")</f>
        <v>TypeScript</v>
      </c>
      <c r="I4553" s="9" t="str">
        <f>IFERROR(__xludf.DUMMYFUNCTION("""COMPUTED_VALUE"""),"Bash/Shell/PowerShell")</f>
        <v>Bash/Shell/PowerShell</v>
      </c>
      <c r="J4553" s="9" t="str">
        <f>IFERROR(__xludf.DUMMYFUNCTION("""COMPUTED_VALUE"""),"Swift")</f>
        <v>Swift</v>
      </c>
      <c r="K4553" s="9" t="str">
        <f>IFERROR(__xludf.DUMMYFUNCTION("""COMPUTED_VALUE"""),"SQL")</f>
        <v>SQL</v>
      </c>
      <c r="L4553" s="9" t="str">
        <f>IFERROR(__xludf.DUMMYFUNCTION("""COMPUTED_VALUE"""),"C#")</f>
        <v>C#</v>
      </c>
      <c r="M4553" s="9" t="s">
        <v>23</v>
      </c>
    </row>
    <row r="4554" ht="15.75" customHeight="1">
      <c r="A4554" s="7"/>
      <c r="B4554" s="7" t="str">
        <f>IFERROR(__xludf.DUMMYFUNCTION("""COMPUTED_VALUE"""),"Bash/Shell/PowerShell;C++;Java;JavaScript")</f>
        <v>Bash/Shell/PowerShell;C++;Java;JavaScript</v>
      </c>
      <c r="C4554" s="9" t="str">
        <f>IFERROR(__xludf.DUMMYFUNCTION("""COMPUTED_VALUE"""),"JavaScript")</f>
        <v>JavaScript</v>
      </c>
      <c r="D4554" s="9" t="str">
        <f>IFERROR(__xludf.DUMMYFUNCTION("""COMPUTED_VALUE"""),"F#")</f>
        <v>F#</v>
      </c>
      <c r="E4554" s="9" t="str">
        <f>IFERROR(__xludf.DUMMYFUNCTION("""COMPUTED_VALUE"""),"JavaScript")</f>
        <v>JavaScript</v>
      </c>
      <c r="F4554" s="9" t="str">
        <f>IFERROR(__xludf.DUMMYFUNCTION("""COMPUTED_VALUE"""),"Bash/Shell/PowerShell")</f>
        <v>Bash/Shell/PowerShell</v>
      </c>
      <c r="G4554" s="9" t="str">
        <f>IFERROR(__xludf.DUMMYFUNCTION("""COMPUTED_VALUE"""),"HTML/CSS")</f>
        <v>HTML/CSS</v>
      </c>
      <c r="H4554" s="9" t="str">
        <f>IFERROR(__xludf.DUMMYFUNCTION("""COMPUTED_VALUE"""),"Bash/Shell/PowerShell")</f>
        <v>Bash/Shell/PowerShell</v>
      </c>
      <c r="I4554" s="9" t="str">
        <f>IFERROR(__xludf.DUMMYFUNCTION("""COMPUTED_VALUE"""),"HTML/CSS")</f>
        <v>HTML/CSS</v>
      </c>
      <c r="J4554" s="9" t="str">
        <f>IFERROR(__xludf.DUMMYFUNCTION("""COMPUTED_VALUE"""),"C#")</f>
        <v>C#</v>
      </c>
      <c r="K4554" s="9" t="str">
        <f>IFERROR(__xludf.DUMMYFUNCTION("""COMPUTED_VALUE"""),"Bash/Shell/PowerShell")</f>
        <v>Bash/Shell/PowerShell</v>
      </c>
      <c r="L4554" s="9" t="str">
        <f>IFERROR(__xludf.DUMMYFUNCTION("""COMPUTED_VALUE"""),"Python")</f>
        <v>Python</v>
      </c>
      <c r="M4554" s="9" t="s">
        <v>21</v>
      </c>
    </row>
    <row r="4555" ht="15.75" customHeight="1">
      <c r="A4555" s="7"/>
      <c r="B4555" s="7" t="str">
        <f>IFERROR(__xludf.DUMMYFUNCTION("""COMPUTED_VALUE"""),"C#;HTML/CSS;Java;JavaScript;Kotlin;SQL;TypeScript")</f>
        <v>C#;HTML/CSS;Java;JavaScript;Kotlin;SQL;TypeScript</v>
      </c>
      <c r="C4555" s="9" t="str">
        <f>IFERROR(__xludf.DUMMYFUNCTION("""COMPUTED_VALUE"""),"Bash/Shell/PowerShell")</f>
        <v>Bash/Shell/PowerShell</v>
      </c>
      <c r="D4555" s="9" t="str">
        <f>IFERROR(__xludf.DUMMYFUNCTION("""COMPUTED_VALUE"""),"Go")</f>
        <v>Go</v>
      </c>
      <c r="E4555" s="9" t="str">
        <f>IFERROR(__xludf.DUMMYFUNCTION("""COMPUTED_VALUE"""),"Python")</f>
        <v>Python</v>
      </c>
      <c r="F4555" s="9" t="str">
        <f>IFERROR(__xludf.DUMMYFUNCTION("""COMPUTED_VALUE"""),"Java")</f>
        <v>Java</v>
      </c>
      <c r="G4555" s="9" t="str">
        <f>IFERROR(__xludf.DUMMYFUNCTION("""COMPUTED_VALUE"""),"JavaScript")</f>
        <v>JavaScript</v>
      </c>
      <c r="H4555" s="9" t="str">
        <f>IFERROR(__xludf.DUMMYFUNCTION("""COMPUTED_VALUE"""),"HTML/CSS")</f>
        <v>HTML/CSS</v>
      </c>
      <c r="I4555" s="9" t="str">
        <f>IFERROR(__xludf.DUMMYFUNCTION("""COMPUTED_VALUE"""),"Java")</f>
        <v>Java</v>
      </c>
      <c r="J4555" s="9" t="str">
        <f>IFERROR(__xludf.DUMMYFUNCTION("""COMPUTED_VALUE"""),"Java")</f>
        <v>Java</v>
      </c>
      <c r="K4555" s="9" t="str">
        <f>IFERROR(__xludf.DUMMYFUNCTION("""COMPUTED_VALUE"""),"C#")</f>
        <v>C#</v>
      </c>
      <c r="L4555" s="9" t="str">
        <f>IFERROR(__xludf.DUMMYFUNCTION("""COMPUTED_VALUE"""),"Bash/Shell/PowerShell")</f>
        <v>Bash/Shell/PowerShell</v>
      </c>
      <c r="M4555" s="9" t="s">
        <v>30</v>
      </c>
    </row>
    <row r="4556" ht="15.75" customHeight="1">
      <c r="A4556" s="7"/>
      <c r="B4556" s="7" t="str">
        <f>IFERROR(__xludf.DUMMYFUNCTION("""COMPUTED_VALUE"""),"HTML/CSS;Java;JavaScript;Python;Ruby")</f>
        <v>HTML/CSS;Java;JavaScript;Python;Ruby</v>
      </c>
      <c r="C4556" s="9" t="str">
        <f>IFERROR(__xludf.DUMMYFUNCTION("""COMPUTED_VALUE"""),"HTML/CSS")</f>
        <v>HTML/CSS</v>
      </c>
      <c r="D4556" s="9" t="str">
        <f>IFERROR(__xludf.DUMMYFUNCTION("""COMPUTED_VALUE"""),"HTML/CSS")</f>
        <v>HTML/CSS</v>
      </c>
      <c r="E4556" s="9" t="str">
        <f>IFERROR(__xludf.DUMMYFUNCTION("""COMPUTED_VALUE"""),"SQL")</f>
        <v>SQL</v>
      </c>
      <c r="F4556" s="9" t="str">
        <f>IFERROR(__xludf.DUMMYFUNCTION("""COMPUTED_VALUE"""),"SQL")</f>
        <v>SQL</v>
      </c>
      <c r="G4556" s="9" t="str">
        <f>IFERROR(__xludf.DUMMYFUNCTION("""COMPUTED_VALUE"""),"PHP")</f>
        <v>PHP</v>
      </c>
      <c r="H4556" s="9" t="str">
        <f>IFERROR(__xludf.DUMMYFUNCTION("""COMPUTED_VALUE"""),"Java")</f>
        <v>Java</v>
      </c>
      <c r="I4556" s="9" t="str">
        <f>IFERROR(__xludf.DUMMYFUNCTION("""COMPUTED_VALUE"""),"JavaScript")</f>
        <v>JavaScript</v>
      </c>
      <c r="J4556" s="9" t="str">
        <f>IFERROR(__xludf.DUMMYFUNCTION("""COMPUTED_VALUE"""),"R")</f>
        <v>R</v>
      </c>
      <c r="K4556" s="9" t="str">
        <f>IFERROR(__xludf.DUMMYFUNCTION("""COMPUTED_VALUE"""),"HTML/CSS")</f>
        <v>HTML/CSS</v>
      </c>
      <c r="L4556" s="9" t="str">
        <f>IFERROR(__xludf.DUMMYFUNCTION("""COMPUTED_VALUE"""),"HTML/CSS")</f>
        <v>HTML/CSS</v>
      </c>
      <c r="M4556" s="9" t="s">
        <v>24</v>
      </c>
    </row>
    <row r="4557" ht="15.75" customHeight="1">
      <c r="A4557" s="7"/>
      <c r="B4557" s="7" t="str">
        <f>IFERROR(__xludf.DUMMYFUNCTION("""COMPUTED_VALUE"""),"HTML/CSS;JavaScript;PHP;Python;TypeScript")</f>
        <v>HTML/CSS;JavaScript;PHP;Python;TypeScript</v>
      </c>
      <c r="C4557" s="9" t="str">
        <f>IFERROR(__xludf.DUMMYFUNCTION("""COMPUTED_VALUE"""),"PHP")</f>
        <v>PHP</v>
      </c>
      <c r="D4557" s="9" t="str">
        <f>IFERROR(__xludf.DUMMYFUNCTION("""COMPUTED_VALUE"""),"Java")</f>
        <v>Java</v>
      </c>
      <c r="E4557" s="9" t="str">
        <f>IFERROR(__xludf.DUMMYFUNCTION("""COMPUTED_VALUE"""),"Bash/Shell/PowerShell")</f>
        <v>Bash/Shell/PowerShell</v>
      </c>
      <c r="F4557" s="9" t="str">
        <f>IFERROR(__xludf.DUMMYFUNCTION("""COMPUTED_VALUE"""),"Assembly")</f>
        <v>Assembly</v>
      </c>
      <c r="G4557" s="9" t="str">
        <f>IFERROR(__xludf.DUMMYFUNCTION("""COMPUTED_VALUE"""),"Python")</f>
        <v>Python</v>
      </c>
      <c r="H4557" s="9" t="str">
        <f>IFERROR(__xludf.DUMMYFUNCTION("""COMPUTED_VALUE"""),"JavaScript")</f>
        <v>JavaScript</v>
      </c>
      <c r="I4557" s="9" t="str">
        <f>IFERROR(__xludf.DUMMYFUNCTION("""COMPUTED_VALUE"""),"SQL")</f>
        <v>SQL</v>
      </c>
      <c r="J4557" s="9" t="str">
        <f>IFERROR(__xludf.DUMMYFUNCTION("""COMPUTED_VALUE"""),"SQL")</f>
        <v>SQL</v>
      </c>
      <c r="K4557" s="9" t="str">
        <f>IFERROR(__xludf.DUMMYFUNCTION("""COMPUTED_VALUE"""),"JavaScript")</f>
        <v>JavaScript</v>
      </c>
      <c r="L4557" s="9" t="str">
        <f>IFERROR(__xludf.DUMMYFUNCTION("""COMPUTED_VALUE"""),"JavaScript")</f>
        <v>JavaScript</v>
      </c>
      <c r="M4557" s="9" t="s">
        <v>37</v>
      </c>
    </row>
    <row r="4558" ht="15.75" customHeight="1">
      <c r="A4558" s="7"/>
      <c r="B4558" s="7" t="str">
        <f>IFERROR(__xludf.DUMMYFUNCTION("""COMPUTED_VALUE"""),"C;C++;C#;HTML/CSS;JavaScript;PHP;Python;SQL")</f>
        <v>C;C++;C#;HTML/CSS;JavaScript;PHP;Python;SQL</v>
      </c>
      <c r="C4558" s="9" t="str">
        <f>IFERROR(__xludf.DUMMYFUNCTION("""COMPUTED_VALUE"""),"Bash/Shell/PowerShell")</f>
        <v>Bash/Shell/PowerShell</v>
      </c>
      <c r="D4558" s="9" t="str">
        <f>IFERROR(__xludf.DUMMYFUNCTION("""COMPUTED_VALUE"""),"JavaScript")</f>
        <v>JavaScript</v>
      </c>
      <c r="E4558" s="9" t="str">
        <f>IFERROR(__xludf.DUMMYFUNCTION("""COMPUTED_VALUE"""),"HTML/CSS")</f>
        <v>HTML/CSS</v>
      </c>
      <c r="F4558" s="9" t="str">
        <f>IFERROR(__xludf.DUMMYFUNCTION("""COMPUTED_VALUE"""),"C")</f>
        <v>C</v>
      </c>
      <c r="G4558" s="9" t="str">
        <f>IFERROR(__xludf.DUMMYFUNCTION("""COMPUTED_VALUE"""),"TypeScript")</f>
        <v>TypeScript</v>
      </c>
      <c r="H4558" s="9" t="str">
        <f>IFERROR(__xludf.DUMMYFUNCTION("""COMPUTED_VALUE"""),"SQL")</f>
        <v>SQL</v>
      </c>
      <c r="I4558" s="9" t="str">
        <f>IFERROR(__xludf.DUMMYFUNCTION("""COMPUTED_VALUE"""),"Bash/Shell/PowerShell")</f>
        <v>Bash/Shell/PowerShell</v>
      </c>
      <c r="J4558" s="9" t="str">
        <f>IFERROR(__xludf.DUMMYFUNCTION("""COMPUTED_VALUE"""),"C#")</f>
        <v>C#</v>
      </c>
      <c r="K4558" s="9" t="str">
        <f>IFERROR(__xludf.DUMMYFUNCTION("""COMPUTED_VALUE"""),"SQL")</f>
        <v>SQL</v>
      </c>
      <c r="L4558" s="9" t="str">
        <f>IFERROR(__xludf.DUMMYFUNCTION("""COMPUTED_VALUE"""),"Python")</f>
        <v>Python</v>
      </c>
      <c r="M4558" s="9" t="s">
        <v>30</v>
      </c>
    </row>
    <row r="4559" ht="15.75" customHeight="1">
      <c r="A4559" s="7"/>
      <c r="B4559" s="7" t="str">
        <f>IFERROR(__xludf.DUMMYFUNCTION("""COMPUTED_VALUE"""),"Go;Java;JavaScript;Kotlin;Ruby;SQL;TypeScript")</f>
        <v>Go;Java;JavaScript;Kotlin;Ruby;SQL;TypeScript</v>
      </c>
      <c r="C4559" s="9" t="str">
        <f>IFERROR(__xludf.DUMMYFUNCTION("""COMPUTED_VALUE"""),"C")</f>
        <v>C</v>
      </c>
      <c r="D4559" s="9" t="str">
        <f>IFERROR(__xludf.DUMMYFUNCTION("""COMPUTED_VALUE"""),"Kotlin")</f>
        <v>Kotlin</v>
      </c>
      <c r="E4559" s="9" t="str">
        <f>IFERROR(__xludf.DUMMYFUNCTION("""COMPUTED_VALUE"""),"JavaScript")</f>
        <v>JavaScript</v>
      </c>
      <c r="F4559" s="9" t="str">
        <f>IFERROR(__xludf.DUMMYFUNCTION("""COMPUTED_VALUE"""),"C++")</f>
        <v>C++</v>
      </c>
      <c r="G4559" s="9" t="str">
        <f>IFERROR(__xludf.DUMMYFUNCTION("""COMPUTED_VALUE"""),"Java")</f>
        <v>Java</v>
      </c>
      <c r="H4559" s="9" t="str">
        <f>IFERROR(__xludf.DUMMYFUNCTION("""COMPUTED_VALUE"""),"C#")</f>
        <v>C#</v>
      </c>
      <c r="I4559" s="9" t="str">
        <f>IFERROR(__xludf.DUMMYFUNCTION("""COMPUTED_VALUE"""),"Go")</f>
        <v>Go</v>
      </c>
      <c r="J4559" s="9" t="str">
        <f>IFERROR(__xludf.DUMMYFUNCTION("""COMPUTED_VALUE"""),"HTML/CSS")</f>
        <v>HTML/CSS</v>
      </c>
      <c r="K4559" s="9" t="str">
        <f>IFERROR(__xludf.DUMMYFUNCTION("""COMPUTED_VALUE"""),"TypeScript")</f>
        <v>TypeScript</v>
      </c>
      <c r="L4559" s="9" t="str">
        <f>IFERROR(__xludf.DUMMYFUNCTION("""COMPUTED_VALUE"""),"SQL")</f>
        <v>SQL</v>
      </c>
      <c r="M4559" s="9" t="s">
        <v>25</v>
      </c>
    </row>
    <row r="4560" ht="15.75" customHeight="1">
      <c r="A4560" s="7"/>
      <c r="B4560" s="7" t="str">
        <f>IFERROR(__xludf.DUMMYFUNCTION("""COMPUTED_VALUE"""),"C#;HTML/CSS;JavaScript;SQL")</f>
        <v>C#;HTML/CSS;JavaScript;SQL</v>
      </c>
      <c r="C4560" s="9" t="str">
        <f>IFERROR(__xludf.DUMMYFUNCTION("""COMPUTED_VALUE"""),"C++")</f>
        <v>C++</v>
      </c>
      <c r="D4560" s="9" t="str">
        <f>IFERROR(__xludf.DUMMYFUNCTION("""COMPUTED_VALUE"""),"Python")</f>
        <v>Python</v>
      </c>
      <c r="E4560" s="9" t="str">
        <f>IFERROR(__xludf.DUMMYFUNCTION("""COMPUTED_VALUE"""),"Python")</f>
        <v>Python</v>
      </c>
      <c r="F4560" s="9" t="str">
        <f>IFERROR(__xludf.DUMMYFUNCTION("""COMPUTED_VALUE"""),"HTML/CSS")</f>
        <v>HTML/CSS</v>
      </c>
      <c r="G4560" s="9" t="str">
        <f>IFERROR(__xludf.DUMMYFUNCTION("""COMPUTED_VALUE"""),"Scala")</f>
        <v>Scala</v>
      </c>
      <c r="H4560" s="9" t="str">
        <f>IFERROR(__xludf.DUMMYFUNCTION("""COMPUTED_VALUE"""),"HTML/CSS")</f>
        <v>HTML/CSS</v>
      </c>
      <c r="I4560" s="9" t="str">
        <f>IFERROR(__xludf.DUMMYFUNCTION("""COMPUTED_VALUE"""),"HTML/CSS")</f>
        <v>HTML/CSS</v>
      </c>
      <c r="J4560" s="9" t="str">
        <f>IFERROR(__xludf.DUMMYFUNCTION("""COMPUTED_VALUE"""),"JavaScript")</f>
        <v>JavaScript</v>
      </c>
      <c r="K4560" s="9" t="str">
        <f>IFERROR(__xludf.DUMMYFUNCTION("""COMPUTED_VALUE"""),"HTML/CSS")</f>
        <v>HTML/CSS</v>
      </c>
      <c r="L4560" s="9" t="str">
        <f>IFERROR(__xludf.DUMMYFUNCTION("""COMPUTED_VALUE"""),"Bash/Shell/PowerShell")</f>
        <v>Bash/Shell/PowerShell</v>
      </c>
      <c r="M4560" s="9" t="s">
        <v>23</v>
      </c>
    </row>
    <row r="4561" ht="15.75" customHeight="1">
      <c r="A4561" s="7"/>
      <c r="B4561" s="7" t="str">
        <f>IFERROR(__xludf.DUMMYFUNCTION("""COMPUTED_VALUE"""),"C#;HTML/CSS;JavaScript")</f>
        <v>C#;HTML/CSS;JavaScript</v>
      </c>
      <c r="C4561" s="9" t="str">
        <f>IFERROR(__xludf.DUMMYFUNCTION("""COMPUTED_VALUE"""),"Python")</f>
        <v>Python</v>
      </c>
      <c r="D4561" s="9" t="str">
        <f>IFERROR(__xludf.DUMMYFUNCTION("""COMPUTED_VALUE"""),"R")</f>
        <v>R</v>
      </c>
      <c r="E4561" s="9" t="str">
        <f>IFERROR(__xludf.DUMMYFUNCTION("""COMPUTED_VALUE"""),"Assembly")</f>
        <v>Assembly</v>
      </c>
      <c r="F4561" s="9" t="str">
        <f>IFERROR(__xludf.DUMMYFUNCTION("""COMPUTED_VALUE"""),"Java")</f>
        <v>Java</v>
      </c>
      <c r="G4561" s="9" t="str">
        <f>IFERROR(__xludf.DUMMYFUNCTION("""COMPUTED_VALUE"""),"C++")</f>
        <v>C++</v>
      </c>
      <c r="H4561" s="9" t="str">
        <f>IFERROR(__xludf.DUMMYFUNCTION("""COMPUTED_VALUE"""),"JavaScript")</f>
        <v>JavaScript</v>
      </c>
      <c r="I4561" s="9" t="str">
        <f>IFERROR(__xludf.DUMMYFUNCTION("""COMPUTED_VALUE"""),"Java")</f>
        <v>Java</v>
      </c>
      <c r="J4561" s="9" t="str">
        <f>IFERROR(__xludf.DUMMYFUNCTION("""COMPUTED_VALUE"""),"TypeScript")</f>
        <v>TypeScript</v>
      </c>
      <c r="K4561" s="9" t="str">
        <f>IFERROR(__xludf.DUMMYFUNCTION("""COMPUTED_VALUE"""),"JavaScript")</f>
        <v>JavaScript</v>
      </c>
      <c r="L4561" s="9" t="str">
        <f>IFERROR(__xludf.DUMMYFUNCTION("""COMPUTED_VALUE"""),"Clojure")</f>
        <v>Clojure</v>
      </c>
      <c r="M4561" s="9" t="s">
        <v>22</v>
      </c>
    </row>
    <row r="4562" ht="15.75" customHeight="1">
      <c r="A4562" s="7"/>
      <c r="B4562" s="7" t="str">
        <f>IFERROR(__xludf.DUMMYFUNCTION("""COMPUTED_VALUE"""),"Go;PHP")</f>
        <v>Go;PHP</v>
      </c>
      <c r="C4562" s="9" t="str">
        <f>IFERROR(__xludf.DUMMYFUNCTION("""COMPUTED_VALUE"""),"R")</f>
        <v>R</v>
      </c>
      <c r="D4562" s="9" t="str">
        <f>IFERROR(__xludf.DUMMYFUNCTION("""COMPUTED_VALUE"""),"SQL")</f>
        <v>SQL</v>
      </c>
      <c r="E4562" s="9" t="str">
        <f>IFERROR(__xludf.DUMMYFUNCTION("""COMPUTED_VALUE"""),"Bash/Shell/PowerShell")</f>
        <v>Bash/Shell/PowerShell</v>
      </c>
      <c r="F4562" s="9" t="str">
        <f>IFERROR(__xludf.DUMMYFUNCTION("""COMPUTED_VALUE"""),"Python")</f>
        <v>Python</v>
      </c>
      <c r="G4562" s="9" t="str">
        <f>IFERROR(__xludf.DUMMYFUNCTION("""COMPUTED_VALUE"""),"Python")</f>
        <v>Python</v>
      </c>
      <c r="H4562" s="9" t="str">
        <f>IFERROR(__xludf.DUMMYFUNCTION("""COMPUTED_VALUE"""),"SQL")</f>
        <v>SQL</v>
      </c>
      <c r="I4562" s="9" t="str">
        <f>IFERROR(__xludf.DUMMYFUNCTION("""COMPUTED_VALUE"""),"JavaScript")</f>
        <v>JavaScript</v>
      </c>
      <c r="J4562" s="9" t="str">
        <f>IFERROR(__xludf.DUMMYFUNCTION("""COMPUTED_VALUE"""),"C#")</f>
        <v>C#</v>
      </c>
      <c r="K4562" s="9" t="str">
        <f>IFERROR(__xludf.DUMMYFUNCTION("""COMPUTED_VALUE"""),"SQL")</f>
        <v>SQL</v>
      </c>
      <c r="L4562" s="9" t="str">
        <f>IFERROR(__xludf.DUMMYFUNCTION("""COMPUTED_VALUE"""),"Java")</f>
        <v>Java</v>
      </c>
      <c r="M4562" s="9" t="s">
        <v>29</v>
      </c>
    </row>
    <row r="4563" ht="15.75" customHeight="1">
      <c r="A4563" s="7"/>
      <c r="B4563" s="7" t="str">
        <f>IFERROR(__xludf.DUMMYFUNCTION("""COMPUTED_VALUE"""),"C;C++;HTML/CSS;JavaScript;Python;TypeScript")</f>
        <v>C;C++;HTML/CSS;JavaScript;Python;TypeScript</v>
      </c>
      <c r="C4563" s="9" t="str">
        <f>IFERROR(__xludf.DUMMYFUNCTION("""COMPUTED_VALUE"""),"SQL")</f>
        <v>SQL</v>
      </c>
      <c r="D4563" s="9" t="str">
        <f>IFERROR(__xludf.DUMMYFUNCTION("""COMPUTED_VALUE"""),"TypeScript")</f>
        <v>TypeScript</v>
      </c>
      <c r="E4563" s="9" t="str">
        <f>IFERROR(__xludf.DUMMYFUNCTION("""COMPUTED_VALUE"""),"C")</f>
        <v>C</v>
      </c>
      <c r="F4563" s="9" t="str">
        <f>IFERROR(__xludf.DUMMYFUNCTION("""COMPUTED_VALUE"""),"SQL")</f>
        <v>SQL</v>
      </c>
      <c r="G4563" s="9" t="str">
        <f>IFERROR(__xludf.DUMMYFUNCTION("""COMPUTED_VALUE"""),"Ruby")</f>
        <v>Ruby</v>
      </c>
      <c r="H4563" s="9" t="str">
        <f>IFERROR(__xludf.DUMMYFUNCTION("""COMPUTED_VALUE"""),"Bash/Shell/PowerShell")</f>
        <v>Bash/Shell/PowerShell</v>
      </c>
      <c r="I4563" s="9" t="str">
        <f>IFERROR(__xludf.DUMMYFUNCTION("""COMPUTED_VALUE"""),"PHP")</f>
        <v>PHP</v>
      </c>
      <c r="J4563" s="9" t="str">
        <f>IFERROR(__xludf.DUMMYFUNCTION("""COMPUTED_VALUE"""),"Go")</f>
        <v>Go</v>
      </c>
      <c r="K4563" s="9" t="str">
        <f>IFERROR(__xludf.DUMMYFUNCTION("""COMPUTED_VALUE"""),"TypeScript")</f>
        <v>TypeScript</v>
      </c>
      <c r="L4563" s="9" t="str">
        <f>IFERROR(__xludf.DUMMYFUNCTION("""COMPUTED_VALUE"""),"JavaScript")</f>
        <v>JavaScript</v>
      </c>
      <c r="M4563" s="9" t="s">
        <v>27</v>
      </c>
    </row>
    <row r="4564" ht="15.75" customHeight="1">
      <c r="A4564" s="7"/>
      <c r="B4564" s="7" t="str">
        <f>IFERROR(__xludf.DUMMYFUNCTION("""COMPUTED_VALUE"""),"Bash/Shell/PowerShell;C#;Java;JavaScript;SQL")</f>
        <v>Bash/Shell/PowerShell;C#;Java;JavaScript;SQL</v>
      </c>
      <c r="C4564" s="9" t="str">
        <f>IFERROR(__xludf.DUMMYFUNCTION("""COMPUTED_VALUE"""),"Other(s):")</f>
        <v>Other(s):</v>
      </c>
      <c r="D4564" s="9" t="str">
        <f>IFERROR(__xludf.DUMMYFUNCTION("""COMPUTED_VALUE"""),"Bash/Shell/PowerShell")</f>
        <v>Bash/Shell/PowerShell</v>
      </c>
      <c r="E4564" s="9" t="str">
        <f>IFERROR(__xludf.DUMMYFUNCTION("""COMPUTED_VALUE"""),"C++")</f>
        <v>C++</v>
      </c>
      <c r="F4564" s="9" t="str">
        <f>IFERROR(__xludf.DUMMYFUNCTION("""COMPUTED_VALUE"""),"C++")</f>
        <v>C++</v>
      </c>
      <c r="G4564" s="9" t="str">
        <f>IFERROR(__xludf.DUMMYFUNCTION("""COMPUTED_VALUE"""),"SQL")</f>
        <v>SQL</v>
      </c>
      <c r="H4564" s="9" t="str">
        <f>IFERROR(__xludf.DUMMYFUNCTION("""COMPUTED_VALUE"""),"HTML/CSS")</f>
        <v>HTML/CSS</v>
      </c>
      <c r="I4564" s="9" t="str">
        <f>IFERROR(__xludf.DUMMYFUNCTION("""COMPUTED_VALUE"""),"SQL")</f>
        <v>SQL</v>
      </c>
      <c r="J4564" s="9" t="str">
        <f>IFERROR(__xludf.DUMMYFUNCTION("""COMPUTED_VALUE"""),"HTML/CSS")</f>
        <v>HTML/CSS</v>
      </c>
      <c r="K4564" s="9" t="str">
        <f>IFERROR(__xludf.DUMMYFUNCTION("""COMPUTED_VALUE"""),"Bash/Shell/PowerShell")</f>
        <v>Bash/Shell/PowerShell</v>
      </c>
      <c r="L4564" s="9" t="str">
        <f>IFERROR(__xludf.DUMMYFUNCTION("""COMPUTED_VALUE"""),"Ruby")</f>
        <v>Ruby</v>
      </c>
      <c r="M4564" s="9" t="s">
        <v>35</v>
      </c>
    </row>
    <row r="4565" ht="15.75" customHeight="1">
      <c r="A4565" s="7"/>
      <c r="B4565" s="7" t="str">
        <f>IFERROR(__xludf.DUMMYFUNCTION("""COMPUTED_VALUE"""),"HTML/CSS;Java;JavaScript;Python")</f>
        <v>HTML/CSS;Java;JavaScript;Python</v>
      </c>
      <c r="C4565" s="9" t="str">
        <f>IFERROR(__xludf.DUMMYFUNCTION("""COMPUTED_VALUE"""),"JavaScript")</f>
        <v>JavaScript</v>
      </c>
      <c r="D4565" s="9" t="str">
        <f>IFERROR(__xludf.DUMMYFUNCTION("""COMPUTED_VALUE"""),"HTML/CSS")</f>
        <v>HTML/CSS</v>
      </c>
      <c r="E4565" s="9" t="str">
        <f>IFERROR(__xludf.DUMMYFUNCTION("""COMPUTED_VALUE"""),"HTML/CSS")</f>
        <v>HTML/CSS</v>
      </c>
      <c r="F4565" s="9" t="str">
        <f>IFERROR(__xludf.DUMMYFUNCTION("""COMPUTED_VALUE"""),"HTML/CSS")</f>
        <v>HTML/CSS</v>
      </c>
      <c r="G4565" s="9" t="str">
        <f>IFERROR(__xludf.DUMMYFUNCTION("""COMPUTED_VALUE"""),"TypeScript")</f>
        <v>TypeScript</v>
      </c>
      <c r="H4565" s="9" t="str">
        <f>IFERROR(__xludf.DUMMYFUNCTION("""COMPUTED_VALUE"""),"Python")</f>
        <v>Python</v>
      </c>
      <c r="I4565" s="9" t="str">
        <f>IFERROR(__xludf.DUMMYFUNCTION("""COMPUTED_VALUE"""),"Bash/Shell/PowerShell")</f>
        <v>Bash/Shell/PowerShell</v>
      </c>
      <c r="J4565" s="9" t="str">
        <f>IFERROR(__xludf.DUMMYFUNCTION("""COMPUTED_VALUE"""),"JavaScript")</f>
        <v>JavaScript</v>
      </c>
      <c r="K4565" s="9" t="str">
        <f>IFERROR(__xludf.DUMMYFUNCTION("""COMPUTED_VALUE"""),"C")</f>
        <v>C</v>
      </c>
      <c r="L4565" s="9" t="str">
        <f>IFERROR(__xludf.DUMMYFUNCTION("""COMPUTED_VALUE"""),"SQL")</f>
        <v>SQL</v>
      </c>
      <c r="M4565" s="9" t="s">
        <v>21</v>
      </c>
    </row>
    <row r="4566" ht="15.75" customHeight="1">
      <c r="A4566" s="7"/>
      <c r="B4566" s="7" t="str">
        <f>IFERROR(__xludf.DUMMYFUNCTION("""COMPUTED_VALUE"""),"Bash/Shell/PowerShell;C#;HTML/CSS;JavaScript;SQL;VBA")</f>
        <v>Bash/Shell/PowerShell;C#;HTML/CSS;JavaScript;SQL;VBA</v>
      </c>
      <c r="C4566" s="9" t="str">
        <f>IFERROR(__xludf.DUMMYFUNCTION("""COMPUTED_VALUE"""),"PHP")</f>
        <v>PHP</v>
      </c>
      <c r="D4566" s="9" t="str">
        <f>IFERROR(__xludf.DUMMYFUNCTION("""COMPUTED_VALUE"""),"Java")</f>
        <v>Java</v>
      </c>
      <c r="E4566" s="9" t="str">
        <f>IFERROR(__xludf.DUMMYFUNCTION("""COMPUTED_VALUE"""),"Python")</f>
        <v>Python</v>
      </c>
      <c r="F4566" s="9" t="str">
        <f>IFERROR(__xludf.DUMMYFUNCTION("""COMPUTED_VALUE"""),"Java")</f>
        <v>Java</v>
      </c>
      <c r="G4566" s="9" t="str">
        <f>IFERROR(__xludf.DUMMYFUNCTION("""COMPUTED_VALUE"""),"Bash/Shell/PowerShell")</f>
        <v>Bash/Shell/PowerShell</v>
      </c>
      <c r="H4566" s="9" t="str">
        <f>IFERROR(__xludf.DUMMYFUNCTION("""COMPUTED_VALUE"""),"SQL")</f>
        <v>SQL</v>
      </c>
      <c r="I4566" s="9" t="str">
        <f>IFERROR(__xludf.DUMMYFUNCTION("""COMPUTED_VALUE"""),"C++")</f>
        <v>C++</v>
      </c>
      <c r="J4566" s="9" t="str">
        <f>IFERROR(__xludf.DUMMYFUNCTION("""COMPUTED_VALUE"""),"PHP")</f>
        <v>PHP</v>
      </c>
      <c r="K4566" s="9" t="str">
        <f>IFERROR(__xludf.DUMMYFUNCTION("""COMPUTED_VALUE"""),"Go")</f>
        <v>Go</v>
      </c>
      <c r="L4566" s="9" t="str">
        <f>IFERROR(__xludf.DUMMYFUNCTION("""COMPUTED_VALUE"""),"C#")</f>
        <v>C#</v>
      </c>
      <c r="M4566" s="9" t="s">
        <v>37</v>
      </c>
    </row>
    <row r="4567" ht="15.75" customHeight="1">
      <c r="A4567" s="7"/>
      <c r="B4567" s="7" t="str">
        <f>IFERROR(__xludf.DUMMYFUNCTION("""COMPUTED_VALUE"""),"Bash/Shell/PowerShell;C;C++;Go;HTML/CSS;JavaScript;Python;SQL")</f>
        <v>Bash/Shell/PowerShell;C;C++;Go;HTML/CSS;JavaScript;Python;SQL</v>
      </c>
      <c r="C4567" s="9" t="str">
        <f>IFERROR(__xludf.DUMMYFUNCTION("""COMPUTED_VALUE"""),"SQL")</f>
        <v>SQL</v>
      </c>
      <c r="D4567" s="9" t="str">
        <f>IFERROR(__xludf.DUMMYFUNCTION("""COMPUTED_VALUE"""),"JavaScript")</f>
        <v>JavaScript</v>
      </c>
      <c r="E4567" s="9" t="str">
        <f>IFERROR(__xludf.DUMMYFUNCTION("""COMPUTED_VALUE"""),"VBA")</f>
        <v>VBA</v>
      </c>
      <c r="F4567" s="9" t="str">
        <f>IFERROR(__xludf.DUMMYFUNCTION("""COMPUTED_VALUE"""),"JavaScript")</f>
        <v>JavaScript</v>
      </c>
      <c r="G4567" s="9" t="str">
        <f>IFERROR(__xludf.DUMMYFUNCTION("""COMPUTED_VALUE"""),"C")</f>
        <v>C</v>
      </c>
      <c r="H4567" s="9" t="str">
        <f>IFERROR(__xludf.DUMMYFUNCTION("""COMPUTED_VALUE"""),"Assembly")</f>
        <v>Assembly</v>
      </c>
      <c r="I4567" s="9" t="str">
        <f>IFERROR(__xludf.DUMMYFUNCTION("""COMPUTED_VALUE"""),"C#")</f>
        <v>C#</v>
      </c>
      <c r="J4567" s="9" t="str">
        <f>IFERROR(__xludf.DUMMYFUNCTION("""COMPUTED_VALUE"""),"Python")</f>
        <v>Python</v>
      </c>
      <c r="K4567" s="9" t="str">
        <f>IFERROR(__xludf.DUMMYFUNCTION("""COMPUTED_VALUE"""),"HTML/CSS")</f>
        <v>HTML/CSS</v>
      </c>
      <c r="L4567" s="9" t="str">
        <f>IFERROR(__xludf.DUMMYFUNCTION("""COMPUTED_VALUE"""),"HTML/CSS")</f>
        <v>HTML/CSS</v>
      </c>
      <c r="M4567" s="9" t="s">
        <v>27</v>
      </c>
    </row>
    <row r="4568" ht="15.75" customHeight="1">
      <c r="A4568" s="7"/>
      <c r="B4568" s="7" t="str">
        <f>IFERROR(__xludf.DUMMYFUNCTION("""COMPUTED_VALUE"""),"HTML/CSS;JavaScript;PHP;Python;R")</f>
        <v>HTML/CSS;JavaScript;PHP;Python;R</v>
      </c>
      <c r="C4568" s="9" t="str">
        <f>IFERROR(__xludf.DUMMYFUNCTION("""COMPUTED_VALUE"""),"Bash/Shell/PowerShell")</f>
        <v>Bash/Shell/PowerShell</v>
      </c>
      <c r="D4568" s="9" t="str">
        <f>IFERROR(__xludf.DUMMYFUNCTION("""COMPUTED_VALUE"""),"Other(s):")</f>
        <v>Other(s):</v>
      </c>
      <c r="E4568" s="9" t="str">
        <f>IFERROR(__xludf.DUMMYFUNCTION("""COMPUTED_VALUE"""),"C")</f>
        <v>C</v>
      </c>
      <c r="F4568" s="9" t="str">
        <f>IFERROR(__xludf.DUMMYFUNCTION("""COMPUTED_VALUE"""),"PHP")</f>
        <v>PHP</v>
      </c>
      <c r="G4568" s="9" t="str">
        <f>IFERROR(__xludf.DUMMYFUNCTION("""COMPUTED_VALUE"""),"Python")</f>
        <v>Python</v>
      </c>
      <c r="H4568" s="9" t="str">
        <f>IFERROR(__xludf.DUMMYFUNCTION("""COMPUTED_VALUE"""),"Bash/Shell/PowerShell")</f>
        <v>Bash/Shell/PowerShell</v>
      </c>
      <c r="I4568" s="9" t="str">
        <f>IFERROR(__xludf.DUMMYFUNCTION("""COMPUTED_VALUE"""),"HTML/CSS")</f>
        <v>HTML/CSS</v>
      </c>
      <c r="J4568" s="9" t="str">
        <f>IFERROR(__xludf.DUMMYFUNCTION("""COMPUTED_VALUE"""),"Rust")</f>
        <v>Rust</v>
      </c>
      <c r="K4568" s="9" t="str">
        <f>IFERROR(__xludf.DUMMYFUNCTION("""COMPUTED_VALUE"""),"Java")</f>
        <v>Java</v>
      </c>
      <c r="L4568" s="9" t="str">
        <f>IFERROR(__xludf.DUMMYFUNCTION("""COMPUTED_VALUE"""),"JavaScript")</f>
        <v>JavaScript</v>
      </c>
      <c r="M4568" s="9" t="s">
        <v>30</v>
      </c>
    </row>
    <row r="4569" ht="15.75" customHeight="1">
      <c r="A4569" s="7"/>
      <c r="B4569" s="7" t="str">
        <f>IFERROR(__xludf.DUMMYFUNCTION("""COMPUTED_VALUE"""),"Bash/Shell/PowerShell;Clojure;HTML/CSS;Java;JavaScript;PHP;SQL;Other(s):")</f>
        <v>Bash/Shell/PowerShell;Clojure;HTML/CSS;Java;JavaScript;PHP;SQL;Other(s):</v>
      </c>
      <c r="C4569" s="9" t="str">
        <f>IFERROR(__xludf.DUMMYFUNCTION("""COMPUTED_VALUE"""),"C#")</f>
        <v>C#</v>
      </c>
      <c r="D4569" s="9" t="str">
        <f>IFERROR(__xludf.DUMMYFUNCTION("""COMPUTED_VALUE"""),"Assembly")</f>
        <v>Assembly</v>
      </c>
      <c r="E4569" s="9" t="str">
        <f>IFERROR(__xludf.DUMMYFUNCTION("""COMPUTED_VALUE"""),"HTML/CSS")</f>
        <v>HTML/CSS</v>
      </c>
      <c r="F4569" s="9" t="str">
        <f>IFERROR(__xludf.DUMMYFUNCTION("""COMPUTED_VALUE"""),"SQL")</f>
        <v>SQL</v>
      </c>
      <c r="G4569" s="9" t="str">
        <f>IFERROR(__xludf.DUMMYFUNCTION("""COMPUTED_VALUE"""),"Ruby")</f>
        <v>Ruby</v>
      </c>
      <c r="H4569" s="9" t="str">
        <f>IFERROR(__xludf.DUMMYFUNCTION("""COMPUTED_VALUE"""),"C")</f>
        <v>C</v>
      </c>
      <c r="I4569" s="9" t="str">
        <f>IFERROR(__xludf.DUMMYFUNCTION("""COMPUTED_VALUE"""),"Java")</f>
        <v>Java</v>
      </c>
      <c r="J4569" s="9" t="str">
        <f>IFERROR(__xludf.DUMMYFUNCTION("""COMPUTED_VALUE"""),"SQL")</f>
        <v>SQL</v>
      </c>
      <c r="K4569" s="9" t="str">
        <f>IFERROR(__xludf.DUMMYFUNCTION("""COMPUTED_VALUE"""),"JavaScript")</f>
        <v>JavaScript</v>
      </c>
      <c r="L4569" s="9" t="str">
        <f>IFERROR(__xludf.DUMMYFUNCTION("""COMPUTED_VALUE"""),"PHP")</f>
        <v>PHP</v>
      </c>
      <c r="M4569" s="9" t="s">
        <v>26</v>
      </c>
    </row>
    <row r="4570" ht="15.75" customHeight="1">
      <c r="A4570" s="7"/>
      <c r="B4570" s="7" t="str">
        <f>IFERROR(__xludf.DUMMYFUNCTION("""COMPUTED_VALUE"""),"C#;HTML/CSS;JavaScript;SQL;Other(s):")</f>
        <v>C#;HTML/CSS;JavaScript;SQL;Other(s):</v>
      </c>
      <c r="C4570" s="9" t="str">
        <f>IFERROR(__xludf.DUMMYFUNCTION("""COMPUTED_VALUE"""),"HTML/CSS")</f>
        <v>HTML/CSS</v>
      </c>
      <c r="D4570" s="9" t="str">
        <f>IFERROR(__xludf.DUMMYFUNCTION("""COMPUTED_VALUE"""),"C")</f>
        <v>C</v>
      </c>
      <c r="E4570" s="9" t="str">
        <f>IFERROR(__xludf.DUMMYFUNCTION("""COMPUTED_VALUE"""),"Java")</f>
        <v>Java</v>
      </c>
      <c r="F4570" s="9" t="str">
        <f>IFERROR(__xludf.DUMMYFUNCTION("""COMPUTED_VALUE"""),"C")</f>
        <v>C</v>
      </c>
      <c r="G4570" s="9" t="str">
        <f>IFERROR(__xludf.DUMMYFUNCTION("""COMPUTED_VALUE"""),"Bash/Shell/PowerShell")</f>
        <v>Bash/Shell/PowerShell</v>
      </c>
      <c r="H4570" s="9" t="str">
        <f>IFERROR(__xludf.DUMMYFUNCTION("""COMPUTED_VALUE"""),"C++")</f>
        <v>C++</v>
      </c>
      <c r="I4570" s="9" t="str">
        <f>IFERROR(__xludf.DUMMYFUNCTION("""COMPUTED_VALUE"""),"JavaScript")</f>
        <v>JavaScript</v>
      </c>
      <c r="J4570" s="9" t="str">
        <f>IFERROR(__xludf.DUMMYFUNCTION("""COMPUTED_VALUE"""),"Assembly")</f>
        <v>Assembly</v>
      </c>
      <c r="K4570" s="9" t="str">
        <f>IFERROR(__xludf.DUMMYFUNCTION("""COMPUTED_VALUE"""),"Kotlin")</f>
        <v>Kotlin</v>
      </c>
      <c r="L4570" s="9" t="str">
        <f>IFERROR(__xludf.DUMMYFUNCTION("""COMPUTED_VALUE"""),"SQL")</f>
        <v>SQL</v>
      </c>
      <c r="M4570" s="9" t="s">
        <v>24</v>
      </c>
    </row>
    <row r="4571" ht="15.75" customHeight="1">
      <c r="A4571" s="7"/>
      <c r="B4571" s="7" t="str">
        <f>IFERROR(__xludf.DUMMYFUNCTION("""COMPUTED_VALUE"""),"Python;SQL;VBA")</f>
        <v>Python;SQL;VBA</v>
      </c>
      <c r="C4571" s="9" t="str">
        <f>IFERROR(__xludf.DUMMYFUNCTION("""COMPUTED_VALUE"""),"JavaScript")</f>
        <v>JavaScript</v>
      </c>
      <c r="D4571" s="9" t="str">
        <f>IFERROR(__xludf.DUMMYFUNCTION("""COMPUTED_VALUE"""),"C++")</f>
        <v>C++</v>
      </c>
      <c r="E4571" s="9" t="str">
        <f>IFERROR(__xludf.DUMMYFUNCTION("""COMPUTED_VALUE"""),"JavaScript")</f>
        <v>JavaScript</v>
      </c>
      <c r="F4571" s="9" t="str">
        <f>IFERROR(__xludf.DUMMYFUNCTION("""COMPUTED_VALUE"""),"C++")</f>
        <v>C++</v>
      </c>
      <c r="G4571" s="9" t="str">
        <f>IFERROR(__xludf.DUMMYFUNCTION("""COMPUTED_VALUE"""),"C#")</f>
        <v>C#</v>
      </c>
      <c r="H4571" s="9" t="str">
        <f>IFERROR(__xludf.DUMMYFUNCTION("""COMPUTED_VALUE"""),"Python")</f>
        <v>Python</v>
      </c>
      <c r="I4571" s="9" t="str">
        <f>IFERROR(__xludf.DUMMYFUNCTION("""COMPUTED_VALUE"""),"Kotlin")</f>
        <v>Kotlin</v>
      </c>
      <c r="J4571" s="9" t="str">
        <f>IFERROR(__xludf.DUMMYFUNCTION("""COMPUTED_VALUE"""),"C#")</f>
        <v>C#</v>
      </c>
      <c r="K4571" s="9" t="str">
        <f>IFERROR(__xludf.DUMMYFUNCTION("""COMPUTED_VALUE"""),"Objective-C")</f>
        <v>Objective-C</v>
      </c>
      <c r="L4571" s="9" t="str">
        <f>IFERROR(__xludf.DUMMYFUNCTION("""COMPUTED_VALUE"""),"VBA")</f>
        <v>VBA</v>
      </c>
      <c r="M4571" s="9" t="s">
        <v>21</v>
      </c>
    </row>
    <row r="4572" ht="15.75" customHeight="1">
      <c r="A4572" s="7"/>
      <c r="B4572" s="7" t="str">
        <f>IFERROR(__xludf.DUMMYFUNCTION("""COMPUTED_VALUE"""),"Java;Kotlin")</f>
        <v>Java;Kotlin</v>
      </c>
      <c r="C4572" s="9" t="str">
        <f>IFERROR(__xludf.DUMMYFUNCTION("""COMPUTED_VALUE"""),"SQL")</f>
        <v>SQL</v>
      </c>
      <c r="D4572" s="9" t="str">
        <f>IFERROR(__xludf.DUMMYFUNCTION("""COMPUTED_VALUE"""),"Python")</f>
        <v>Python</v>
      </c>
      <c r="E4572" s="9" t="str">
        <f>IFERROR(__xludf.DUMMYFUNCTION("""COMPUTED_VALUE"""),"Python")</f>
        <v>Python</v>
      </c>
      <c r="F4572" s="9" t="str">
        <f>IFERROR(__xludf.DUMMYFUNCTION("""COMPUTED_VALUE"""),"Python")</f>
        <v>Python</v>
      </c>
      <c r="G4572" s="9" t="str">
        <f>IFERROR(__xludf.DUMMYFUNCTION("""COMPUTED_VALUE"""),"HTML/CSS")</f>
        <v>HTML/CSS</v>
      </c>
      <c r="H4572" s="9" t="str">
        <f>IFERROR(__xludf.DUMMYFUNCTION("""COMPUTED_VALUE"""),"Scala")</f>
        <v>Scala</v>
      </c>
      <c r="I4572" s="9" t="str">
        <f>IFERROR(__xludf.DUMMYFUNCTION("""COMPUTED_VALUE"""),"Python")</f>
        <v>Python</v>
      </c>
      <c r="J4572" s="9" t="str">
        <f>IFERROR(__xludf.DUMMYFUNCTION("""COMPUTED_VALUE"""),"Dart")</f>
        <v>Dart</v>
      </c>
      <c r="K4572" s="9" t="str">
        <f>IFERROR(__xludf.DUMMYFUNCTION("""COMPUTED_VALUE"""),"Python")</f>
        <v>Python</v>
      </c>
      <c r="L4572" s="9" t="str">
        <f>IFERROR(__xludf.DUMMYFUNCTION("""COMPUTED_VALUE"""),"Assembly")</f>
        <v>Assembly</v>
      </c>
      <c r="M4572" s="9" t="s">
        <v>27</v>
      </c>
    </row>
    <row r="4573" ht="15.75" customHeight="1">
      <c r="A4573" s="7"/>
      <c r="B4573" s="7" t="str">
        <f>IFERROR(__xludf.DUMMYFUNCTION("""COMPUTED_VALUE"""),"C#;HTML/CSS;JavaScript;TypeScript")</f>
        <v>C#;HTML/CSS;JavaScript;TypeScript</v>
      </c>
      <c r="C4573" s="9" t="str">
        <f>IFERROR(__xludf.DUMMYFUNCTION("""COMPUTED_VALUE"""),"TypeScript")</f>
        <v>TypeScript</v>
      </c>
      <c r="D4573" s="9" t="str">
        <f>IFERROR(__xludf.DUMMYFUNCTION("""COMPUTED_VALUE"""),"C")</f>
        <v>C</v>
      </c>
      <c r="E4573" s="9" t="str">
        <f>IFERROR(__xludf.DUMMYFUNCTION("""COMPUTED_VALUE"""),"HTML/CSS")</f>
        <v>HTML/CSS</v>
      </c>
      <c r="F4573" s="9" t="str">
        <f>IFERROR(__xludf.DUMMYFUNCTION("""COMPUTED_VALUE"""),"C")</f>
        <v>C</v>
      </c>
      <c r="G4573" s="9" t="str">
        <f>IFERROR(__xludf.DUMMYFUNCTION("""COMPUTED_VALUE"""),"JavaScript")</f>
        <v>JavaScript</v>
      </c>
      <c r="H4573" s="9" t="str">
        <f>IFERROR(__xludf.DUMMYFUNCTION("""COMPUTED_VALUE"""),"Other(s):")</f>
        <v>Other(s):</v>
      </c>
      <c r="I4573" s="9" t="str">
        <f>IFERROR(__xludf.DUMMYFUNCTION("""COMPUTED_VALUE"""),"SQL")</f>
        <v>SQL</v>
      </c>
      <c r="J4573" s="9" t="str">
        <f>IFERROR(__xludf.DUMMYFUNCTION("""COMPUTED_VALUE"""),"SQL")</f>
        <v>SQL</v>
      </c>
      <c r="K4573" s="9" t="str">
        <f>IFERROR(__xludf.DUMMYFUNCTION("""COMPUTED_VALUE"""),"Ruby")</f>
        <v>Ruby</v>
      </c>
      <c r="L4573" s="9" t="str">
        <f>IFERROR(__xludf.DUMMYFUNCTION("""COMPUTED_VALUE"""),"C#")</f>
        <v>C#</v>
      </c>
      <c r="M4573" s="9" t="s">
        <v>33</v>
      </c>
    </row>
    <row r="4574" ht="15.75" customHeight="1">
      <c r="A4574" s="7"/>
      <c r="B4574" s="7" t="str">
        <f>IFERROR(__xludf.DUMMYFUNCTION("""COMPUTED_VALUE"""),"HTML/CSS;Java;JavaScript;Python;SQL")</f>
        <v>HTML/CSS;Java;JavaScript;Python;SQL</v>
      </c>
      <c r="C4574" s="9" t="str">
        <f>IFERROR(__xludf.DUMMYFUNCTION("""COMPUTED_VALUE"""),"Python")</f>
        <v>Python</v>
      </c>
      <c r="D4574" s="9" t="str">
        <f>IFERROR(__xludf.DUMMYFUNCTION("""COMPUTED_VALUE"""),"C++")</f>
        <v>C++</v>
      </c>
      <c r="E4574" s="9" t="str">
        <f>IFERROR(__xludf.DUMMYFUNCTION("""COMPUTED_VALUE"""),"JavaScript")</f>
        <v>JavaScript</v>
      </c>
      <c r="F4574" s="9" t="str">
        <f>IFERROR(__xludf.DUMMYFUNCTION("""COMPUTED_VALUE"""),"C++")</f>
        <v>C++</v>
      </c>
      <c r="G4574" s="9" t="str">
        <f>IFERROR(__xludf.DUMMYFUNCTION("""COMPUTED_VALUE"""),"PHP")</f>
        <v>PHP</v>
      </c>
      <c r="H4574" s="9" t="str">
        <f>IFERROR(__xludf.DUMMYFUNCTION("""COMPUTED_VALUE"""),"C")</f>
        <v>C</v>
      </c>
      <c r="I4574" s="9" t="str">
        <f>IFERROR(__xludf.DUMMYFUNCTION("""COMPUTED_VALUE"""),"Bash/Shell/PowerShell")</f>
        <v>Bash/Shell/PowerShell</v>
      </c>
      <c r="J4574" s="9" t="str">
        <f>IFERROR(__xludf.DUMMYFUNCTION("""COMPUTED_VALUE"""),"Other(s):")</f>
        <v>Other(s):</v>
      </c>
      <c r="K4574" s="9" t="str">
        <f>IFERROR(__xludf.DUMMYFUNCTION("""COMPUTED_VALUE"""),"Swift")</f>
        <v>Swift</v>
      </c>
      <c r="L4574" s="9" t="str">
        <f>IFERROR(__xludf.DUMMYFUNCTION("""COMPUTED_VALUE"""),"Java")</f>
        <v>Java</v>
      </c>
      <c r="M4574" s="9" t="s">
        <v>22</v>
      </c>
    </row>
    <row r="4575" ht="15.75" customHeight="1">
      <c r="A4575" s="7"/>
      <c r="B4575" s="7" t="str">
        <f>IFERROR(__xludf.DUMMYFUNCTION("""COMPUTED_VALUE"""),"Assembly;C;C++;C#;HTML/CSS;Java;TypeScript")</f>
        <v>Assembly;C;C++;C#;HTML/CSS;Java;TypeScript</v>
      </c>
      <c r="C4575" s="9" t="str">
        <f>IFERROR(__xludf.DUMMYFUNCTION("""COMPUTED_VALUE"""),"Other(s):")</f>
        <v>Other(s):</v>
      </c>
      <c r="D4575" s="9" t="str">
        <f>IFERROR(__xludf.DUMMYFUNCTION("""COMPUTED_VALUE"""),"C#")</f>
        <v>C#</v>
      </c>
      <c r="E4575" s="9" t="str">
        <f>IFERROR(__xludf.DUMMYFUNCTION("""COMPUTED_VALUE"""),"Python")</f>
        <v>Python</v>
      </c>
      <c r="F4575" s="9" t="str">
        <f>IFERROR(__xludf.DUMMYFUNCTION("""COMPUTED_VALUE"""),"C#")</f>
        <v>C#</v>
      </c>
      <c r="G4575" s="9" t="str">
        <f>IFERROR(__xludf.DUMMYFUNCTION("""COMPUTED_VALUE"""),"Ruby")</f>
        <v>Ruby</v>
      </c>
      <c r="H4575" s="9" t="str">
        <f>IFERROR(__xludf.DUMMYFUNCTION("""COMPUTED_VALUE"""),"Go")</f>
        <v>Go</v>
      </c>
      <c r="I4575" s="9" t="str">
        <f>IFERROR(__xludf.DUMMYFUNCTION("""COMPUTED_VALUE"""),"HTML/CSS")</f>
        <v>HTML/CSS</v>
      </c>
      <c r="J4575" s="9" t="str">
        <f>IFERROR(__xludf.DUMMYFUNCTION("""COMPUTED_VALUE"""),"C++")</f>
        <v>C++</v>
      </c>
      <c r="K4575" s="9" t="str">
        <f>IFERROR(__xludf.DUMMYFUNCTION("""COMPUTED_VALUE"""),"JavaScript")</f>
        <v>JavaScript</v>
      </c>
      <c r="L4575" s="9" t="str">
        <f>IFERROR(__xludf.DUMMYFUNCTION("""COMPUTED_VALUE"""),"JavaScript")</f>
        <v>JavaScript</v>
      </c>
      <c r="M4575" s="9" t="s">
        <v>35</v>
      </c>
    </row>
    <row r="4576" ht="15.75" customHeight="1">
      <c r="A4576" s="7"/>
      <c r="B4576" s="7" t="str">
        <f>IFERROR(__xludf.DUMMYFUNCTION("""COMPUTED_VALUE"""),"Bash/Shell/PowerShell;C#;HTML/CSS;Python;R;SQL")</f>
        <v>Bash/Shell/PowerShell;C#;HTML/CSS;Python;R;SQL</v>
      </c>
      <c r="C4576" s="9" t="str">
        <f>IFERROR(__xludf.DUMMYFUNCTION("""COMPUTED_VALUE"""),"Dart")</f>
        <v>Dart</v>
      </c>
      <c r="D4576" s="9" t="str">
        <f>IFERROR(__xludf.DUMMYFUNCTION("""COMPUTED_VALUE"""),"HTML/CSS")</f>
        <v>HTML/CSS</v>
      </c>
      <c r="E4576" s="9" t="str">
        <f>IFERROR(__xludf.DUMMYFUNCTION("""COMPUTED_VALUE"""),"SQL")</f>
        <v>SQL</v>
      </c>
      <c r="F4576" s="9" t="str">
        <f>IFERROR(__xludf.DUMMYFUNCTION("""COMPUTED_VALUE"""),"Python")</f>
        <v>Python</v>
      </c>
      <c r="G4576" s="9" t="str">
        <f>IFERROR(__xludf.DUMMYFUNCTION("""COMPUTED_VALUE"""),"SQL")</f>
        <v>SQL</v>
      </c>
      <c r="H4576" s="9" t="str">
        <f>IFERROR(__xludf.DUMMYFUNCTION("""COMPUTED_VALUE"""),"HTML/CSS")</f>
        <v>HTML/CSS</v>
      </c>
      <c r="I4576" s="9" t="str">
        <f>IFERROR(__xludf.DUMMYFUNCTION("""COMPUTED_VALUE"""),"JavaScript")</f>
        <v>JavaScript</v>
      </c>
      <c r="J4576" s="9" t="str">
        <f>IFERROR(__xludf.DUMMYFUNCTION("""COMPUTED_VALUE"""),"HTML/CSS")</f>
        <v>HTML/CSS</v>
      </c>
      <c r="K4576" s="9" t="str">
        <f>IFERROR(__xludf.DUMMYFUNCTION("""COMPUTED_VALUE"""),"TypeScript")</f>
        <v>TypeScript</v>
      </c>
      <c r="L4576" s="9" t="str">
        <f>IFERROR(__xludf.DUMMYFUNCTION("""COMPUTED_VALUE"""),"SQL")</f>
        <v>SQL</v>
      </c>
      <c r="M4576" s="9" t="s">
        <v>47</v>
      </c>
    </row>
    <row r="4577" ht="15.75" customHeight="1">
      <c r="A4577" s="7"/>
      <c r="B4577" s="7" t="str">
        <f>IFERROR(__xludf.DUMMYFUNCTION("""COMPUTED_VALUE"""),"C#;Other(s):")</f>
        <v>C#;Other(s):</v>
      </c>
      <c r="C4577" s="9" t="str">
        <f>IFERROR(__xludf.DUMMYFUNCTION("""COMPUTED_VALUE"""),"Java")</f>
        <v>Java</v>
      </c>
      <c r="D4577" s="9" t="str">
        <f>IFERROR(__xludf.DUMMYFUNCTION("""COMPUTED_VALUE"""),"Objective-C")</f>
        <v>Objective-C</v>
      </c>
      <c r="E4577" s="9" t="str">
        <f>IFERROR(__xludf.DUMMYFUNCTION("""COMPUTED_VALUE"""),"C")</f>
        <v>C</v>
      </c>
      <c r="F4577" s="9" t="str">
        <f>IFERROR(__xludf.DUMMYFUNCTION("""COMPUTED_VALUE"""),"R")</f>
        <v>R</v>
      </c>
      <c r="G4577" s="9" t="str">
        <f>IFERROR(__xludf.DUMMYFUNCTION("""COMPUTED_VALUE"""),"C")</f>
        <v>C</v>
      </c>
      <c r="H4577" s="9" t="str">
        <f>IFERROR(__xludf.DUMMYFUNCTION("""COMPUTED_VALUE"""),"JavaScript")</f>
        <v>JavaScript</v>
      </c>
      <c r="I4577" s="9" t="str">
        <f>IFERROR(__xludf.DUMMYFUNCTION("""COMPUTED_VALUE"""),"Python")</f>
        <v>Python</v>
      </c>
      <c r="J4577" s="9" t="str">
        <f>IFERROR(__xludf.DUMMYFUNCTION("""COMPUTED_VALUE"""),"Java")</f>
        <v>Java</v>
      </c>
      <c r="K4577" s="9" t="str">
        <f>IFERROR(__xludf.DUMMYFUNCTION("""COMPUTED_VALUE"""),"Python")</f>
        <v>Python</v>
      </c>
      <c r="L4577" s="9" t="str">
        <f>IFERROR(__xludf.DUMMYFUNCTION("""COMPUTED_VALUE"""),"C#")</f>
        <v>C#</v>
      </c>
      <c r="M4577" s="9" t="s">
        <v>20</v>
      </c>
    </row>
    <row r="4578" ht="15.75" customHeight="1">
      <c r="A4578" s="7"/>
      <c r="B4578" s="7" t="str">
        <f>IFERROR(__xludf.DUMMYFUNCTION("""COMPUTED_VALUE"""),"Bash/Shell/PowerShell;C#;HTML/CSS;Java;JavaScript;Kotlin;PHP;Python;SQL;Swift")</f>
        <v>Bash/Shell/PowerShell;C#;HTML/CSS;Java;JavaScript;Kotlin;PHP;Python;SQL;Swift</v>
      </c>
      <c r="C4578" s="9" t="str">
        <f>IFERROR(__xludf.DUMMYFUNCTION("""COMPUTED_VALUE"""),"Swift")</f>
        <v>Swift</v>
      </c>
      <c r="D4578" s="9" t="str">
        <f>IFERROR(__xludf.DUMMYFUNCTION("""COMPUTED_VALUE"""),"SQL")</f>
        <v>SQL</v>
      </c>
      <c r="E4578" s="9" t="str">
        <f>IFERROR(__xludf.DUMMYFUNCTION("""COMPUTED_VALUE"""),"C++")</f>
        <v>C++</v>
      </c>
      <c r="F4578" s="9" t="str">
        <f>IFERROR(__xludf.DUMMYFUNCTION("""COMPUTED_VALUE"""),"C++")</f>
        <v>C++</v>
      </c>
      <c r="G4578" s="9" t="str">
        <f>IFERROR(__xludf.DUMMYFUNCTION("""COMPUTED_VALUE"""),"C++")</f>
        <v>C++</v>
      </c>
      <c r="H4578" s="9" t="str">
        <f>IFERROR(__xludf.DUMMYFUNCTION("""COMPUTED_VALUE"""),"PHP")</f>
        <v>PHP</v>
      </c>
      <c r="I4578" s="9" t="str">
        <f>IFERROR(__xludf.DUMMYFUNCTION("""COMPUTED_VALUE"""),"R")</f>
        <v>R</v>
      </c>
      <c r="J4578" s="9" t="str">
        <f>IFERROR(__xludf.DUMMYFUNCTION("""COMPUTED_VALUE"""),"JavaScript")</f>
        <v>JavaScript</v>
      </c>
      <c r="K4578" s="9" t="str">
        <f>IFERROR(__xludf.DUMMYFUNCTION("""COMPUTED_VALUE"""),"Java")</f>
        <v>Java</v>
      </c>
      <c r="L4578" s="9" t="str">
        <f>IFERROR(__xludf.DUMMYFUNCTION("""COMPUTED_VALUE"""),"Java")</f>
        <v>Java</v>
      </c>
      <c r="M4578" s="9" t="s">
        <v>40</v>
      </c>
    </row>
    <row r="4579" ht="15.75" customHeight="1">
      <c r="A4579" s="7"/>
      <c r="B4579" s="7" t="str">
        <f>IFERROR(__xludf.DUMMYFUNCTION("""COMPUTED_VALUE"""),"Java;JavaScript;PHP;R;SQL")</f>
        <v>Java;JavaScript;PHP;R;SQL</v>
      </c>
      <c r="C4579" s="9" t="str">
        <f>IFERROR(__xludf.DUMMYFUNCTION("""COMPUTED_VALUE"""),"Bash/Shell/PowerShell")</f>
        <v>Bash/Shell/PowerShell</v>
      </c>
      <c r="D4579" s="9" t="str">
        <f>IFERROR(__xludf.DUMMYFUNCTION("""COMPUTED_VALUE"""),"Swift")</f>
        <v>Swift</v>
      </c>
      <c r="E4579" s="9" t="str">
        <f>IFERROR(__xludf.DUMMYFUNCTION("""COMPUTED_VALUE"""),"Java")</f>
        <v>Java</v>
      </c>
      <c r="F4579" s="9" t="str">
        <f>IFERROR(__xludf.DUMMYFUNCTION("""COMPUTED_VALUE"""),"C#")</f>
        <v>C#</v>
      </c>
      <c r="G4579" s="9" t="str">
        <f>IFERROR(__xludf.DUMMYFUNCTION("""COMPUTED_VALUE"""),"C#")</f>
        <v>C#</v>
      </c>
      <c r="H4579" s="9" t="str">
        <f>IFERROR(__xludf.DUMMYFUNCTION("""COMPUTED_VALUE"""),"Ruby")</f>
        <v>Ruby</v>
      </c>
      <c r="I4579" s="9" t="str">
        <f>IFERROR(__xludf.DUMMYFUNCTION("""COMPUTED_VALUE"""),"Ruby")</f>
        <v>Ruby</v>
      </c>
      <c r="J4579" s="9" t="str">
        <f>IFERROR(__xludf.DUMMYFUNCTION("""COMPUTED_VALUE"""),"SQL")</f>
        <v>SQL</v>
      </c>
      <c r="K4579" s="9" t="str">
        <f>IFERROR(__xludf.DUMMYFUNCTION("""COMPUTED_VALUE"""),"JavaScript")</f>
        <v>JavaScript</v>
      </c>
      <c r="L4579" s="9" t="str">
        <f>IFERROR(__xludf.DUMMYFUNCTION("""COMPUTED_VALUE"""),"VBA")</f>
        <v>VBA</v>
      </c>
      <c r="M4579" s="9" t="s">
        <v>30</v>
      </c>
    </row>
    <row r="4580" ht="15.75" customHeight="1">
      <c r="A4580" s="7"/>
      <c r="B4580" s="7" t="str">
        <f>IFERROR(__xludf.DUMMYFUNCTION("""COMPUTED_VALUE"""),"Bash/Shell/PowerShell;C;C++;C#;Go;HTML/CSS;Java;JavaScript;R;SQL;TypeScript;WebAssembly")</f>
        <v>Bash/Shell/PowerShell;C;C++;C#;Go;HTML/CSS;Java;JavaScript;R;SQL;TypeScript;WebAssembly</v>
      </c>
      <c r="C4580" s="9" t="str">
        <f>IFERROR(__xludf.DUMMYFUNCTION("""COMPUTED_VALUE"""),"C++")</f>
        <v>C++</v>
      </c>
      <c r="D4580" s="9" t="str">
        <f>IFERROR(__xludf.DUMMYFUNCTION("""COMPUTED_VALUE"""),"TypeScript")</f>
        <v>TypeScript</v>
      </c>
      <c r="E4580" s="9" t="str">
        <f>IFERROR(__xludf.DUMMYFUNCTION("""COMPUTED_VALUE"""),"Kotlin")</f>
        <v>Kotlin</v>
      </c>
      <c r="F4580" s="9" t="str">
        <f>IFERROR(__xludf.DUMMYFUNCTION("""COMPUTED_VALUE"""),"Python")</f>
        <v>Python</v>
      </c>
      <c r="G4580" s="9" t="str">
        <f>IFERROR(__xludf.DUMMYFUNCTION("""COMPUTED_VALUE"""),"HTML/CSS")</f>
        <v>HTML/CSS</v>
      </c>
      <c r="H4580" s="9" t="str">
        <f>IFERROR(__xludf.DUMMYFUNCTION("""COMPUTED_VALUE"""),"SQL")</f>
        <v>SQL</v>
      </c>
      <c r="I4580" s="9" t="str">
        <f>IFERROR(__xludf.DUMMYFUNCTION("""COMPUTED_VALUE"""),"SQL")</f>
        <v>SQL</v>
      </c>
      <c r="J4580" s="9" t="str">
        <f>IFERROR(__xludf.DUMMYFUNCTION("""COMPUTED_VALUE"""),"TypeScript")</f>
        <v>TypeScript</v>
      </c>
      <c r="K4580" s="9" t="str">
        <f>IFERROR(__xludf.DUMMYFUNCTION("""COMPUTED_VALUE"""),"SQL")</f>
        <v>SQL</v>
      </c>
      <c r="L4580" s="9" t="str">
        <f>IFERROR(__xludf.DUMMYFUNCTION("""COMPUTED_VALUE"""),"Dart")</f>
        <v>Dart</v>
      </c>
      <c r="M4580" s="9" t="s">
        <v>23</v>
      </c>
    </row>
    <row r="4581" ht="15.75" customHeight="1">
      <c r="A4581" s="7"/>
      <c r="B4581" s="7" t="str">
        <f>IFERROR(__xludf.DUMMYFUNCTION("""COMPUTED_VALUE"""),"C;C++;Java")</f>
        <v>C;C++;Java</v>
      </c>
      <c r="C4581" s="9" t="str">
        <f>IFERROR(__xludf.DUMMYFUNCTION("""COMPUTED_VALUE"""),"C#")</f>
        <v>C#</v>
      </c>
      <c r="D4581" s="9" t="str">
        <f>IFERROR(__xludf.DUMMYFUNCTION("""COMPUTED_VALUE"""),"Other(s):")</f>
        <v>Other(s):</v>
      </c>
      <c r="E4581" s="9" t="str">
        <f>IFERROR(__xludf.DUMMYFUNCTION("""COMPUTED_VALUE"""),"SQL")</f>
        <v>SQL</v>
      </c>
      <c r="F4581" s="9" t="str">
        <f>IFERROR(__xludf.DUMMYFUNCTION("""COMPUTED_VALUE"""),"C#")</f>
        <v>C#</v>
      </c>
      <c r="G4581" s="9" t="str">
        <f>IFERROR(__xludf.DUMMYFUNCTION("""COMPUTED_VALUE"""),"Java")</f>
        <v>Java</v>
      </c>
      <c r="H4581" s="9" t="str">
        <f>IFERROR(__xludf.DUMMYFUNCTION("""COMPUTED_VALUE"""),"TypeScript")</f>
        <v>TypeScript</v>
      </c>
      <c r="I4581" s="9" t="str">
        <f>IFERROR(__xludf.DUMMYFUNCTION("""COMPUTED_VALUE"""),"C#")</f>
        <v>C#</v>
      </c>
      <c r="J4581" s="9" t="str">
        <f>IFERROR(__xludf.DUMMYFUNCTION("""COMPUTED_VALUE"""),"Bash/Shell/PowerShell")</f>
        <v>Bash/Shell/PowerShell</v>
      </c>
      <c r="K4581" s="9" t="str">
        <f>IFERROR(__xludf.DUMMYFUNCTION("""COMPUTED_VALUE"""),"Bash/Shell/PowerShell")</f>
        <v>Bash/Shell/PowerShell</v>
      </c>
      <c r="L4581" s="9" t="str">
        <f>IFERROR(__xludf.DUMMYFUNCTION("""COMPUTED_VALUE"""),"HTML/CSS")</f>
        <v>HTML/CSS</v>
      </c>
      <c r="M4581" s="9" t="s">
        <v>26</v>
      </c>
    </row>
    <row r="4582" ht="15.75" customHeight="1">
      <c r="A4582" s="7"/>
      <c r="B4582" s="7" t="str">
        <f>IFERROR(__xludf.DUMMYFUNCTION("""COMPUTED_VALUE"""),"HTML/CSS;Java;Python;SQL")</f>
        <v>HTML/CSS;Java;Python;SQL</v>
      </c>
      <c r="C4582" s="9" t="str">
        <f>IFERROR(__xludf.DUMMYFUNCTION("""COMPUTED_VALUE"""),"HTML/CSS")</f>
        <v>HTML/CSS</v>
      </c>
      <c r="D4582" s="9" t="str">
        <f>IFERROR(__xludf.DUMMYFUNCTION("""COMPUTED_VALUE"""),"Bash/Shell/PowerShell")</f>
        <v>Bash/Shell/PowerShell</v>
      </c>
      <c r="E4582" s="9" t="str">
        <f>IFERROR(__xludf.DUMMYFUNCTION("""COMPUTED_VALUE"""),"Other(s):")</f>
        <v>Other(s):</v>
      </c>
      <c r="F4582" s="9" t="str">
        <f>IFERROR(__xludf.DUMMYFUNCTION("""COMPUTED_VALUE"""),"SQL")</f>
        <v>SQL</v>
      </c>
      <c r="G4582" s="9" t="str">
        <f>IFERROR(__xludf.DUMMYFUNCTION("""COMPUTED_VALUE"""),"JavaScript")</f>
        <v>JavaScript</v>
      </c>
      <c r="H4582" s="9" t="str">
        <f>IFERROR(__xludf.DUMMYFUNCTION("""COMPUTED_VALUE"""),"Assembly")</f>
        <v>Assembly</v>
      </c>
      <c r="I4582" s="9" t="str">
        <f>IFERROR(__xludf.DUMMYFUNCTION("""COMPUTED_VALUE"""),"HTML/CSS")</f>
        <v>HTML/CSS</v>
      </c>
      <c r="J4582" s="9" t="str">
        <f>IFERROR(__xludf.DUMMYFUNCTION("""COMPUTED_VALUE"""),"C#")</f>
        <v>C#</v>
      </c>
      <c r="K4582" s="9" t="str">
        <f>IFERROR(__xludf.DUMMYFUNCTION("""COMPUTED_VALUE"""),"HTML/CSS")</f>
        <v>HTML/CSS</v>
      </c>
      <c r="L4582" s="9" t="str">
        <f>IFERROR(__xludf.DUMMYFUNCTION("""COMPUTED_VALUE"""),"Java")</f>
        <v>Java</v>
      </c>
      <c r="M4582" s="9" t="s">
        <v>24</v>
      </c>
    </row>
    <row r="4583" ht="15.75" customHeight="1">
      <c r="A4583" s="7"/>
      <c r="B4583" s="7" t="str">
        <f>IFERROR(__xludf.DUMMYFUNCTION("""COMPUTED_VALUE"""),"Bash/Shell/PowerShell;C;C++;HTML/CSS;Java;JavaScript;PHP;Python;SQL")</f>
        <v>Bash/Shell/PowerShell;C;C++;HTML/CSS;Java;JavaScript;PHP;Python;SQL</v>
      </c>
      <c r="C4583" s="9" t="str">
        <f>IFERROR(__xludf.DUMMYFUNCTION("""COMPUTED_VALUE"""),"Java")</f>
        <v>Java</v>
      </c>
      <c r="D4583" s="9" t="str">
        <f>IFERROR(__xludf.DUMMYFUNCTION("""COMPUTED_VALUE"""),"C++")</f>
        <v>C++</v>
      </c>
      <c r="E4583" s="9" t="str">
        <f>IFERROR(__xludf.DUMMYFUNCTION("""COMPUTED_VALUE"""),"Bash/Shell/PowerShell")</f>
        <v>Bash/Shell/PowerShell</v>
      </c>
      <c r="F4583" s="9" t="str">
        <f>IFERROR(__xludf.DUMMYFUNCTION("""COMPUTED_VALUE"""),"Python")</f>
        <v>Python</v>
      </c>
      <c r="G4583" s="9" t="str">
        <f>IFERROR(__xludf.DUMMYFUNCTION("""COMPUTED_VALUE"""),"PHP")</f>
        <v>PHP</v>
      </c>
      <c r="H4583" s="9" t="str">
        <f>IFERROR(__xludf.DUMMYFUNCTION("""COMPUTED_VALUE"""),"Bash/Shell/PowerShell")</f>
        <v>Bash/Shell/PowerShell</v>
      </c>
      <c r="I4583" s="9" t="str">
        <f>IFERROR(__xludf.DUMMYFUNCTION("""COMPUTED_VALUE"""),"JavaScript")</f>
        <v>JavaScript</v>
      </c>
      <c r="J4583" s="9" t="str">
        <f>IFERROR(__xludf.DUMMYFUNCTION("""COMPUTED_VALUE"""),"Dart")</f>
        <v>Dart</v>
      </c>
      <c r="K4583" s="9" t="str">
        <f>IFERROR(__xludf.DUMMYFUNCTION("""COMPUTED_VALUE"""),"JavaScript")</f>
        <v>JavaScript</v>
      </c>
      <c r="L4583" s="9" t="str">
        <f>IFERROR(__xludf.DUMMYFUNCTION("""COMPUTED_VALUE"""),"JavaScript")</f>
        <v>JavaScript</v>
      </c>
      <c r="M4583" s="9" t="s">
        <v>20</v>
      </c>
    </row>
    <row r="4584" ht="15.75" customHeight="1">
      <c r="A4584" s="7"/>
      <c r="B4584" s="7" t="str">
        <f>IFERROR(__xludf.DUMMYFUNCTION("""COMPUTED_VALUE"""),"C#;HTML/CSS;JavaScript;SQL;TypeScript")</f>
        <v>C#;HTML/CSS;JavaScript;SQL;TypeScript</v>
      </c>
      <c r="C4584" s="9" t="str">
        <f>IFERROR(__xludf.DUMMYFUNCTION("""COMPUTED_VALUE"""),"JavaScript")</f>
        <v>JavaScript</v>
      </c>
      <c r="D4584" s="9" t="str">
        <f>IFERROR(__xludf.DUMMYFUNCTION("""COMPUTED_VALUE"""),"C#")</f>
        <v>C#</v>
      </c>
      <c r="E4584" s="9" t="str">
        <f>IFERROR(__xludf.DUMMYFUNCTION("""COMPUTED_VALUE"""),"C#")</f>
        <v>C#</v>
      </c>
      <c r="F4584" s="9" t="str">
        <f>IFERROR(__xludf.DUMMYFUNCTION("""COMPUTED_VALUE"""),"R")</f>
        <v>R</v>
      </c>
      <c r="G4584" s="9" t="str">
        <f>IFERROR(__xludf.DUMMYFUNCTION("""COMPUTED_VALUE"""),"Scala")</f>
        <v>Scala</v>
      </c>
      <c r="H4584" s="9" t="str">
        <f>IFERROR(__xludf.DUMMYFUNCTION("""COMPUTED_VALUE"""),"C")</f>
        <v>C</v>
      </c>
      <c r="I4584" s="9" t="str">
        <f>IFERROR(__xludf.DUMMYFUNCTION("""COMPUTED_VALUE"""),"SQL")</f>
        <v>SQL</v>
      </c>
      <c r="J4584" s="9" t="str">
        <f>IFERROR(__xludf.DUMMYFUNCTION("""COMPUTED_VALUE"""),"HTML/CSS")</f>
        <v>HTML/CSS</v>
      </c>
      <c r="K4584" s="9" t="str">
        <f>IFERROR(__xludf.DUMMYFUNCTION("""COMPUTED_VALUE"""),"SQL")</f>
        <v>SQL</v>
      </c>
      <c r="L4584" s="9" t="str">
        <f>IFERROR(__xludf.DUMMYFUNCTION("""COMPUTED_VALUE"""),"Python")</f>
        <v>Python</v>
      </c>
      <c r="M4584" s="9" t="s">
        <v>21</v>
      </c>
    </row>
    <row r="4585" ht="15.75" customHeight="1">
      <c r="A4585" s="7"/>
      <c r="B4585" s="7" t="str">
        <f>IFERROR(__xludf.DUMMYFUNCTION("""COMPUTED_VALUE"""),"HTML/CSS;JavaScript")</f>
        <v>HTML/CSS;JavaScript</v>
      </c>
      <c r="C4585" s="9" t="str">
        <f>IFERROR(__xludf.DUMMYFUNCTION("""COMPUTED_VALUE"""),"PHP")</f>
        <v>PHP</v>
      </c>
      <c r="D4585" s="9" t="str">
        <f>IFERROR(__xludf.DUMMYFUNCTION("""COMPUTED_VALUE"""),"JavaScript")</f>
        <v>JavaScript</v>
      </c>
      <c r="E4585" s="9" t="str">
        <f>IFERROR(__xludf.DUMMYFUNCTION("""COMPUTED_VALUE"""),"HTML/CSS")</f>
        <v>HTML/CSS</v>
      </c>
      <c r="F4585" s="9" t="str">
        <f>IFERROR(__xludf.DUMMYFUNCTION("""COMPUTED_VALUE"""),"SQL")</f>
        <v>SQL</v>
      </c>
      <c r="G4585" s="9" t="str">
        <f>IFERROR(__xludf.DUMMYFUNCTION("""COMPUTED_VALUE"""),"TypeScript")</f>
        <v>TypeScript</v>
      </c>
      <c r="H4585" s="9" t="str">
        <f>IFERROR(__xludf.DUMMYFUNCTION("""COMPUTED_VALUE"""),"Java")</f>
        <v>Java</v>
      </c>
      <c r="I4585" s="9" t="str">
        <f>IFERROR(__xludf.DUMMYFUNCTION("""COMPUTED_VALUE"""),"TypeScript")</f>
        <v>TypeScript</v>
      </c>
      <c r="J4585" s="9" t="str">
        <f>IFERROR(__xludf.DUMMYFUNCTION("""COMPUTED_VALUE"""),"JavaScript")</f>
        <v>JavaScript</v>
      </c>
      <c r="K4585" s="9" t="str">
        <f>IFERROR(__xludf.DUMMYFUNCTION("""COMPUTED_VALUE"""),"Other(s):")</f>
        <v>Other(s):</v>
      </c>
      <c r="L4585" s="9" t="str">
        <f>IFERROR(__xludf.DUMMYFUNCTION("""COMPUTED_VALUE"""),"Scala")</f>
        <v>Scala</v>
      </c>
      <c r="M4585" s="9" t="s">
        <v>37</v>
      </c>
    </row>
    <row r="4586" ht="15.75" customHeight="1">
      <c r="A4586" s="7"/>
      <c r="B4586" s="7" t="str">
        <f>IFERROR(__xludf.DUMMYFUNCTION("""COMPUTED_VALUE"""),"Bash/Shell/PowerShell;C;Python")</f>
        <v>Bash/Shell/PowerShell;C;Python</v>
      </c>
      <c r="C4586" s="9" t="str">
        <f>IFERROR(__xludf.DUMMYFUNCTION("""COMPUTED_VALUE"""),"Python")</f>
        <v>Python</v>
      </c>
      <c r="D4586" s="9" t="str">
        <f>IFERROR(__xludf.DUMMYFUNCTION("""COMPUTED_VALUE"""),"SQL")</f>
        <v>SQL</v>
      </c>
      <c r="E4586" s="9" t="str">
        <f>IFERROR(__xludf.DUMMYFUNCTION("""COMPUTED_VALUE"""),"JavaScript")</f>
        <v>JavaScript</v>
      </c>
      <c r="F4586" s="9" t="str">
        <f>IFERROR(__xludf.DUMMYFUNCTION("""COMPUTED_VALUE"""),"Assembly")</f>
        <v>Assembly</v>
      </c>
      <c r="G4586" s="9" t="str">
        <f>IFERROR(__xludf.DUMMYFUNCTION("""COMPUTED_VALUE"""),"C++")</f>
        <v>C++</v>
      </c>
      <c r="H4586" s="9" t="str">
        <f>IFERROR(__xludf.DUMMYFUNCTION("""COMPUTED_VALUE"""),"Python")</f>
        <v>Python</v>
      </c>
      <c r="I4586" s="9" t="str">
        <f>IFERROR(__xludf.DUMMYFUNCTION("""COMPUTED_VALUE"""),"Assembly")</f>
        <v>Assembly</v>
      </c>
      <c r="J4586" s="9" t="str">
        <f>IFERROR(__xludf.DUMMYFUNCTION("""COMPUTED_VALUE"""),"Objective-C")</f>
        <v>Objective-C</v>
      </c>
      <c r="K4586" s="9" t="str">
        <f>IFERROR(__xludf.DUMMYFUNCTION("""COMPUTED_VALUE"""),"C")</f>
        <v>C</v>
      </c>
      <c r="L4586" s="9" t="str">
        <f>IFERROR(__xludf.DUMMYFUNCTION("""COMPUTED_VALUE"""),"SQL")</f>
        <v>SQL</v>
      </c>
      <c r="M4586" s="9" t="s">
        <v>22</v>
      </c>
    </row>
    <row r="4587" ht="15.75" customHeight="1">
      <c r="A4587" s="7"/>
      <c r="B4587" s="7" t="str">
        <f>IFERROR(__xludf.DUMMYFUNCTION("""COMPUTED_VALUE"""),"Bash/Shell/PowerShell;JavaScript;Python;SQL")</f>
        <v>Bash/Shell/PowerShell;JavaScript;Python;SQL</v>
      </c>
      <c r="C4587" s="9" t="str">
        <f>IFERROR(__xludf.DUMMYFUNCTION("""COMPUTED_VALUE"""),"SQL")</f>
        <v>SQL</v>
      </c>
      <c r="D4587" s="9" t="str">
        <f>IFERROR(__xludf.DUMMYFUNCTION("""COMPUTED_VALUE"""),"Bash/Shell/PowerShell")</f>
        <v>Bash/Shell/PowerShell</v>
      </c>
      <c r="E4587" s="9" t="str">
        <f>IFERROR(__xludf.DUMMYFUNCTION("""COMPUTED_VALUE"""),"Kotlin")</f>
        <v>Kotlin</v>
      </c>
      <c r="F4587" s="9" t="str">
        <f>IFERROR(__xludf.DUMMYFUNCTION("""COMPUTED_VALUE"""),"Bash/Shell/PowerShell")</f>
        <v>Bash/Shell/PowerShell</v>
      </c>
      <c r="G4587" s="9" t="str">
        <f>IFERROR(__xludf.DUMMYFUNCTION("""COMPUTED_VALUE"""),"C#")</f>
        <v>C#</v>
      </c>
      <c r="H4587" s="9" t="str">
        <f>IFERROR(__xludf.DUMMYFUNCTION("""COMPUTED_VALUE"""),"Rust")</f>
        <v>Rust</v>
      </c>
      <c r="I4587" s="9" t="str">
        <f>IFERROR(__xludf.DUMMYFUNCTION("""COMPUTED_VALUE"""),"Bash/Shell/PowerShell")</f>
        <v>Bash/Shell/PowerShell</v>
      </c>
      <c r="J4587" s="9" t="str">
        <f>IFERROR(__xludf.DUMMYFUNCTION("""COMPUTED_VALUE"""),"PHP")</f>
        <v>PHP</v>
      </c>
      <c r="K4587" s="9" t="str">
        <f>IFERROR(__xludf.DUMMYFUNCTION("""COMPUTED_VALUE"""),"C++")</f>
        <v>C++</v>
      </c>
      <c r="L4587" s="9" t="str">
        <f>IFERROR(__xludf.DUMMYFUNCTION("""COMPUTED_VALUE"""),"Java")</f>
        <v>Java</v>
      </c>
      <c r="M4587" s="9" t="s">
        <v>27</v>
      </c>
    </row>
    <row r="4588" ht="15.75" customHeight="1">
      <c r="A4588" s="7"/>
      <c r="B4588" s="7" t="str">
        <f>IFERROR(__xludf.DUMMYFUNCTION("""COMPUTED_VALUE"""),"Bash/Shell/PowerShell;Python;R;Other(s):")</f>
        <v>Bash/Shell/PowerShell;Python;R;Other(s):</v>
      </c>
      <c r="C4588" s="9" t="str">
        <f>IFERROR(__xludf.DUMMYFUNCTION("""COMPUTED_VALUE"""),"TypeScript")</f>
        <v>TypeScript</v>
      </c>
      <c r="D4588" s="9" t="str">
        <f>IFERROR(__xludf.DUMMYFUNCTION("""COMPUTED_VALUE"""),"HTML/CSS")</f>
        <v>HTML/CSS</v>
      </c>
      <c r="E4588" s="9" t="str">
        <f>IFERROR(__xludf.DUMMYFUNCTION("""COMPUTED_VALUE"""),"PHP")</f>
        <v>PHP</v>
      </c>
      <c r="F4588" s="9" t="str">
        <f>IFERROR(__xludf.DUMMYFUNCTION("""COMPUTED_VALUE"""),"C")</f>
        <v>C</v>
      </c>
      <c r="G4588" s="9" t="str">
        <f>IFERROR(__xludf.DUMMYFUNCTION("""COMPUTED_VALUE"""),"Java")</f>
        <v>Java</v>
      </c>
      <c r="H4588" s="9" t="str">
        <f>IFERROR(__xludf.DUMMYFUNCTION("""COMPUTED_VALUE"""),"Bash/Shell/PowerShell")</f>
        <v>Bash/Shell/PowerShell</v>
      </c>
      <c r="I4588" s="9" t="str">
        <f>IFERROR(__xludf.DUMMYFUNCTION("""COMPUTED_VALUE"""),"C")</f>
        <v>C</v>
      </c>
      <c r="J4588" s="9" t="str">
        <f>IFERROR(__xludf.DUMMYFUNCTION("""COMPUTED_VALUE"""),"SQL")</f>
        <v>SQL</v>
      </c>
      <c r="K4588" s="9" t="str">
        <f>IFERROR(__xludf.DUMMYFUNCTION("""COMPUTED_VALUE"""),"C#")</f>
        <v>C#</v>
      </c>
      <c r="L4588" s="9" t="str">
        <f>IFERROR(__xludf.DUMMYFUNCTION("""COMPUTED_VALUE"""),"Kotlin")</f>
        <v>Kotlin</v>
      </c>
      <c r="M4588" s="9" t="s">
        <v>33</v>
      </c>
    </row>
    <row r="4589" ht="15.75" customHeight="1">
      <c r="A4589" s="7"/>
      <c r="B4589" s="7" t="str">
        <f>IFERROR(__xludf.DUMMYFUNCTION("""COMPUTED_VALUE"""),"C#;HTML/CSS")</f>
        <v>C#;HTML/CSS</v>
      </c>
      <c r="C4589" s="9" t="str">
        <f>IFERROR(__xludf.DUMMYFUNCTION("""COMPUTED_VALUE"""),"C#")</f>
        <v>C#</v>
      </c>
      <c r="D4589" s="9" t="str">
        <f>IFERROR(__xludf.DUMMYFUNCTION("""COMPUTED_VALUE"""),"JavaScript")</f>
        <v>JavaScript</v>
      </c>
      <c r="E4589" s="9" t="str">
        <f>IFERROR(__xludf.DUMMYFUNCTION("""COMPUTED_VALUE"""),"Python")</f>
        <v>Python</v>
      </c>
      <c r="F4589" s="9" t="str">
        <f>IFERROR(__xludf.DUMMYFUNCTION("""COMPUTED_VALUE"""),"HTML/CSS")</f>
        <v>HTML/CSS</v>
      </c>
      <c r="G4589" s="9" t="str">
        <f>IFERROR(__xludf.DUMMYFUNCTION("""COMPUTED_VALUE"""),"PHP")</f>
        <v>PHP</v>
      </c>
      <c r="H4589" s="9" t="str">
        <f>IFERROR(__xludf.DUMMYFUNCTION("""COMPUTED_VALUE"""),"C")</f>
        <v>C</v>
      </c>
      <c r="I4589" s="9" t="str">
        <f>IFERROR(__xludf.DUMMYFUNCTION("""COMPUTED_VALUE"""),"C++")</f>
        <v>C++</v>
      </c>
      <c r="J4589" s="9" t="str">
        <f>IFERROR(__xludf.DUMMYFUNCTION("""COMPUTED_VALUE"""),"Swift")</f>
        <v>Swift</v>
      </c>
      <c r="K4589" s="9" t="str">
        <f>IFERROR(__xludf.DUMMYFUNCTION("""COMPUTED_VALUE"""),"Bash/Shell/PowerShell")</f>
        <v>Bash/Shell/PowerShell</v>
      </c>
      <c r="L4589" s="9" t="str">
        <f>IFERROR(__xludf.DUMMYFUNCTION("""COMPUTED_VALUE"""),"Bash/Shell/PowerShell")</f>
        <v>Bash/Shell/PowerShell</v>
      </c>
      <c r="M4589" s="9" t="s">
        <v>26</v>
      </c>
    </row>
    <row r="4590" ht="15.75" customHeight="1">
      <c r="A4590" s="7"/>
      <c r="B4590" s="7" t="str">
        <f>IFERROR(__xludf.DUMMYFUNCTION("""COMPUTED_VALUE"""),"Bash/Shell/PowerShell;C;C++;C#;F#;HTML/CSS;Java;JavaScript;Kotlin;PHP;Python;SQL;TypeScript")</f>
        <v>Bash/Shell/PowerShell;C;C++;C#;F#;HTML/CSS;Java;JavaScript;Kotlin;PHP;Python;SQL;TypeScript</v>
      </c>
      <c r="C4590" s="9" t="str">
        <f>IFERROR(__xludf.DUMMYFUNCTION("""COMPUTED_VALUE"""),"SQL")</f>
        <v>SQL</v>
      </c>
      <c r="D4590" s="9" t="str">
        <f>IFERROR(__xludf.DUMMYFUNCTION("""COMPUTED_VALUE"""),"Python")</f>
        <v>Python</v>
      </c>
      <c r="E4590" s="9" t="str">
        <f>IFERROR(__xludf.DUMMYFUNCTION("""COMPUTED_VALUE"""),"SQL")</f>
        <v>SQL</v>
      </c>
      <c r="F4590" s="9" t="str">
        <f>IFERROR(__xludf.DUMMYFUNCTION("""COMPUTED_VALUE"""),"Java")</f>
        <v>Java</v>
      </c>
      <c r="G4590" s="9" t="str">
        <f>IFERROR(__xludf.DUMMYFUNCTION("""COMPUTED_VALUE"""),"SQL")</f>
        <v>SQL</v>
      </c>
      <c r="H4590" s="9" t="str">
        <f>IFERROR(__xludf.DUMMYFUNCTION("""COMPUTED_VALUE"""),"C++")</f>
        <v>C++</v>
      </c>
      <c r="I4590" s="9" t="str">
        <f>IFERROR(__xludf.DUMMYFUNCTION("""COMPUTED_VALUE"""),"Java")</f>
        <v>Java</v>
      </c>
      <c r="J4590" s="9" t="str">
        <f>IFERROR(__xludf.DUMMYFUNCTION("""COMPUTED_VALUE"""),"Bash/Shell/PowerShell")</f>
        <v>Bash/Shell/PowerShell</v>
      </c>
      <c r="K4590" s="9" t="str">
        <f>IFERROR(__xludf.DUMMYFUNCTION("""COMPUTED_VALUE"""),"Elixir")</f>
        <v>Elixir</v>
      </c>
      <c r="L4590" s="9" t="str">
        <f>IFERROR(__xludf.DUMMYFUNCTION("""COMPUTED_VALUE"""),"C")</f>
        <v>C</v>
      </c>
      <c r="M4590" s="9" t="s">
        <v>27</v>
      </c>
    </row>
    <row r="4591" ht="15.75" customHeight="1">
      <c r="A4591" s="7"/>
      <c r="B4591" s="7" t="str">
        <f>IFERROR(__xludf.DUMMYFUNCTION("""COMPUTED_VALUE"""),"Bash/Shell/PowerShell;C#;HTML/CSS;JavaScript;SQL;TypeScript")</f>
        <v>Bash/Shell/PowerShell;C#;HTML/CSS;JavaScript;SQL;TypeScript</v>
      </c>
      <c r="C4591" s="9" t="str">
        <f>IFERROR(__xludf.DUMMYFUNCTION("""COMPUTED_VALUE"""),"Other(s):")</f>
        <v>Other(s):</v>
      </c>
      <c r="D4591" s="9" t="str">
        <f>IFERROR(__xludf.DUMMYFUNCTION("""COMPUTED_VALUE"""),"SQL")</f>
        <v>SQL</v>
      </c>
      <c r="E4591" s="9" t="str">
        <f>IFERROR(__xludf.DUMMYFUNCTION("""COMPUTED_VALUE"""),"TypeScript")</f>
        <v>TypeScript</v>
      </c>
      <c r="F4591" s="9" t="str">
        <f>IFERROR(__xludf.DUMMYFUNCTION("""COMPUTED_VALUE"""),"JavaScript")</f>
        <v>JavaScript</v>
      </c>
      <c r="G4591" s="9" t="str">
        <f>IFERROR(__xludf.DUMMYFUNCTION("""COMPUTED_VALUE"""),"C#")</f>
        <v>C#</v>
      </c>
      <c r="H4591" s="9" t="str">
        <f>IFERROR(__xludf.DUMMYFUNCTION("""COMPUTED_VALUE"""),"C#")</f>
        <v>C#</v>
      </c>
      <c r="I4591" s="9" t="str">
        <f>IFERROR(__xludf.DUMMYFUNCTION("""COMPUTED_VALUE"""),"JavaScript")</f>
        <v>JavaScript</v>
      </c>
      <c r="J4591" s="9" t="str">
        <f>IFERROR(__xludf.DUMMYFUNCTION("""COMPUTED_VALUE"""),"Python")</f>
        <v>Python</v>
      </c>
      <c r="K4591" s="9" t="str">
        <f>IFERROR(__xludf.DUMMYFUNCTION("""COMPUTED_VALUE"""),"HTML/CSS")</f>
        <v>HTML/CSS</v>
      </c>
      <c r="L4591" s="9" t="str">
        <f>IFERROR(__xludf.DUMMYFUNCTION("""COMPUTED_VALUE"""),"C++")</f>
        <v>C++</v>
      </c>
      <c r="M4591" s="9" t="s">
        <v>35</v>
      </c>
    </row>
    <row r="4592" ht="15.75" customHeight="1">
      <c r="A4592" s="7"/>
      <c r="B4592" s="7" t="str">
        <f>IFERROR(__xludf.DUMMYFUNCTION("""COMPUTED_VALUE"""),"HTML/CSS;JavaScript;Python;TypeScript")</f>
        <v>HTML/CSS;JavaScript;Python;TypeScript</v>
      </c>
      <c r="C4592" s="9" t="str">
        <f>IFERROR(__xludf.DUMMYFUNCTION("""COMPUTED_VALUE"""),"HTML/CSS")</f>
        <v>HTML/CSS</v>
      </c>
      <c r="D4592" s="9" t="str">
        <f>IFERROR(__xludf.DUMMYFUNCTION("""COMPUTED_VALUE"""),"TypeScript")</f>
        <v>TypeScript</v>
      </c>
      <c r="E4592" s="9" t="str">
        <f>IFERROR(__xludf.DUMMYFUNCTION("""COMPUTED_VALUE"""),"Java")</f>
        <v>Java</v>
      </c>
      <c r="F4592" s="9" t="str">
        <f>IFERROR(__xludf.DUMMYFUNCTION("""COMPUTED_VALUE"""),"PHP")</f>
        <v>PHP</v>
      </c>
      <c r="G4592" s="9" t="str">
        <f>IFERROR(__xludf.DUMMYFUNCTION("""COMPUTED_VALUE"""),"HTML/CSS")</f>
        <v>HTML/CSS</v>
      </c>
      <c r="H4592" s="9" t="str">
        <f>IFERROR(__xludf.DUMMYFUNCTION("""COMPUTED_VALUE"""),"Go")</f>
        <v>Go</v>
      </c>
      <c r="I4592" s="9" t="str">
        <f>IFERROR(__xludf.DUMMYFUNCTION("""COMPUTED_VALUE"""),"Python")</f>
        <v>Python</v>
      </c>
      <c r="J4592" s="9" t="str">
        <f>IFERROR(__xludf.DUMMYFUNCTION("""COMPUTED_VALUE"""),"Other(s):")</f>
        <v>Other(s):</v>
      </c>
      <c r="K4592" s="9" t="str">
        <f>IFERROR(__xludf.DUMMYFUNCTION("""COMPUTED_VALUE"""),"Java")</f>
        <v>Java</v>
      </c>
      <c r="L4592" s="9" t="str">
        <f>IFERROR(__xludf.DUMMYFUNCTION("""COMPUTED_VALUE"""),"Go")</f>
        <v>Go</v>
      </c>
      <c r="M4592" s="9" t="s">
        <v>24</v>
      </c>
    </row>
    <row r="4593" ht="15.75" customHeight="1">
      <c r="A4593" s="7"/>
      <c r="B4593" s="7" t="str">
        <f>IFERROR(__xludf.DUMMYFUNCTION("""COMPUTED_VALUE"""),"Bash/Shell/PowerShell;C;C++;Java;Kotlin")</f>
        <v>Bash/Shell/PowerShell;C;C++;Java;Kotlin</v>
      </c>
      <c r="C4593" s="9" t="str">
        <f>IFERROR(__xludf.DUMMYFUNCTION("""COMPUTED_VALUE"""),"Java")</f>
        <v>Java</v>
      </c>
      <c r="D4593" s="9" t="str">
        <f>IFERROR(__xludf.DUMMYFUNCTION("""COMPUTED_VALUE"""),"Other(s):")</f>
        <v>Other(s):</v>
      </c>
      <c r="E4593" s="9" t="str">
        <f>IFERROR(__xludf.DUMMYFUNCTION("""COMPUTED_VALUE"""),"JavaScript")</f>
        <v>JavaScript</v>
      </c>
      <c r="F4593" s="9" t="str">
        <f>IFERROR(__xludf.DUMMYFUNCTION("""COMPUTED_VALUE"""),"Python")</f>
        <v>Python</v>
      </c>
      <c r="G4593" s="9" t="str">
        <f>IFERROR(__xludf.DUMMYFUNCTION("""COMPUTED_VALUE"""),"JavaScript")</f>
        <v>JavaScript</v>
      </c>
      <c r="H4593" s="9" t="str">
        <f>IFERROR(__xludf.DUMMYFUNCTION("""COMPUTED_VALUE"""),"HTML/CSS")</f>
        <v>HTML/CSS</v>
      </c>
      <c r="I4593" s="9" t="str">
        <f>IFERROR(__xludf.DUMMYFUNCTION("""COMPUTED_VALUE"""),"SQL")</f>
        <v>SQL</v>
      </c>
      <c r="J4593" s="9" t="str">
        <f>IFERROR(__xludf.DUMMYFUNCTION("""COMPUTED_VALUE"""),"C#")</f>
        <v>C#</v>
      </c>
      <c r="K4593" s="9" t="str">
        <f>IFERROR(__xludf.DUMMYFUNCTION("""COMPUTED_VALUE"""),"JavaScript")</f>
        <v>JavaScript</v>
      </c>
      <c r="L4593" s="9" t="str">
        <f>IFERROR(__xludf.DUMMYFUNCTION("""COMPUTED_VALUE"""),"HTML/CSS")</f>
        <v>HTML/CSS</v>
      </c>
      <c r="M4593" s="9" t="s">
        <v>20</v>
      </c>
    </row>
    <row r="4594" ht="15.75" customHeight="1">
      <c r="A4594" s="7"/>
      <c r="B4594" s="7" t="str">
        <f>IFERROR(__xludf.DUMMYFUNCTION("""COMPUTED_VALUE"""),"Bash/Shell/PowerShell;Go;HTML/CSS;JavaScript;PHP;Ruby;SQL")</f>
        <v>Bash/Shell/PowerShell;Go;HTML/CSS;JavaScript;PHP;Ruby;SQL</v>
      </c>
      <c r="C4594" s="9" t="str">
        <f>IFERROR(__xludf.DUMMYFUNCTION("""COMPUTED_VALUE"""),"PHP")</f>
        <v>PHP</v>
      </c>
      <c r="D4594" s="9" t="str">
        <f>IFERROR(__xludf.DUMMYFUNCTION("""COMPUTED_VALUE"""),"Go")</f>
        <v>Go</v>
      </c>
      <c r="E4594" s="9" t="str">
        <f>IFERROR(__xludf.DUMMYFUNCTION("""COMPUTED_VALUE"""),"SQL")</f>
        <v>SQL</v>
      </c>
      <c r="F4594" s="9" t="str">
        <f>IFERROR(__xludf.DUMMYFUNCTION("""COMPUTED_VALUE"""),"SQL")</f>
        <v>SQL</v>
      </c>
      <c r="G4594" s="9" t="str">
        <f>IFERROR(__xludf.DUMMYFUNCTION("""COMPUTED_VALUE"""),"SQL")</f>
        <v>SQL</v>
      </c>
      <c r="H4594" s="9" t="str">
        <f>IFERROR(__xludf.DUMMYFUNCTION("""COMPUTED_VALUE"""),"JavaScript")</f>
        <v>JavaScript</v>
      </c>
      <c r="I4594" s="9" t="str">
        <f>IFERROR(__xludf.DUMMYFUNCTION("""COMPUTED_VALUE"""),"HTML/CSS")</f>
        <v>HTML/CSS</v>
      </c>
      <c r="J4594" s="9" t="str">
        <f>IFERROR(__xludf.DUMMYFUNCTION("""COMPUTED_VALUE"""),"HTML/CSS")</f>
        <v>HTML/CSS</v>
      </c>
      <c r="K4594" s="9" t="str">
        <f>IFERROR(__xludf.DUMMYFUNCTION("""COMPUTED_VALUE"""),"Python")</f>
        <v>Python</v>
      </c>
      <c r="L4594" s="9" t="str">
        <f>IFERROR(__xludf.DUMMYFUNCTION("""COMPUTED_VALUE"""),"Java")</f>
        <v>Java</v>
      </c>
      <c r="M4594" s="9" t="s">
        <v>37</v>
      </c>
    </row>
    <row r="4595" ht="15.75" customHeight="1">
      <c r="A4595" s="7"/>
      <c r="B4595" s="7" t="str">
        <f>IFERROR(__xludf.DUMMYFUNCTION("""COMPUTED_VALUE"""),"Assembly;Bash/Shell/PowerShell;C;C++;C#;Java;JavaScript;PHP;SQL;VBA")</f>
        <v>Assembly;Bash/Shell/PowerShell;C;C++;C#;Java;JavaScript;PHP;SQL;VBA</v>
      </c>
      <c r="C4595" s="9" t="str">
        <f>IFERROR(__xludf.DUMMYFUNCTION("""COMPUTED_VALUE"""),"SQL")</f>
        <v>SQL</v>
      </c>
      <c r="D4595" s="9" t="str">
        <f>IFERROR(__xludf.DUMMYFUNCTION("""COMPUTED_VALUE"""),"JavaScript")</f>
        <v>JavaScript</v>
      </c>
      <c r="E4595" s="9" t="str">
        <f>IFERROR(__xludf.DUMMYFUNCTION("""COMPUTED_VALUE"""),"HTML/CSS")</f>
        <v>HTML/CSS</v>
      </c>
      <c r="F4595" s="9" t="str">
        <f>IFERROR(__xludf.DUMMYFUNCTION("""COMPUTED_VALUE"""),"Bash/Shell/PowerShell")</f>
        <v>Bash/Shell/PowerShell</v>
      </c>
      <c r="G4595" s="9" t="str">
        <f>IFERROR(__xludf.DUMMYFUNCTION("""COMPUTED_VALUE"""),"Assembly")</f>
        <v>Assembly</v>
      </c>
      <c r="H4595" s="9" t="str">
        <f>IFERROR(__xludf.DUMMYFUNCTION("""COMPUTED_VALUE"""),"Ruby")</f>
        <v>Ruby</v>
      </c>
      <c r="I4595" s="9" t="str">
        <f>IFERROR(__xludf.DUMMYFUNCTION("""COMPUTED_VALUE"""),"JavaScript")</f>
        <v>JavaScript</v>
      </c>
      <c r="J4595" s="9" t="str">
        <f>IFERROR(__xludf.DUMMYFUNCTION("""COMPUTED_VALUE"""),"Java")</f>
        <v>Java</v>
      </c>
      <c r="K4595" s="9" t="str">
        <f>IFERROR(__xludf.DUMMYFUNCTION("""COMPUTED_VALUE"""),"SQL")</f>
        <v>SQL</v>
      </c>
      <c r="L4595" s="9" t="str">
        <f>IFERROR(__xludf.DUMMYFUNCTION("""COMPUTED_VALUE"""),"JavaScript")</f>
        <v>JavaScript</v>
      </c>
      <c r="M4595" s="9" t="s">
        <v>27</v>
      </c>
    </row>
    <row r="4596" ht="15.75" customHeight="1">
      <c r="A4596" s="7"/>
      <c r="B4596" s="7" t="str">
        <f>IFERROR(__xludf.DUMMYFUNCTION("""COMPUTED_VALUE"""),"JavaScript;Python;SQL")</f>
        <v>JavaScript;Python;SQL</v>
      </c>
      <c r="C4596" s="9" t="str">
        <f>IFERROR(__xludf.DUMMYFUNCTION("""COMPUTED_VALUE"""),"C")</f>
        <v>C</v>
      </c>
      <c r="D4596" s="9" t="str">
        <f>IFERROR(__xludf.DUMMYFUNCTION("""COMPUTED_VALUE"""),"C++")</f>
        <v>C++</v>
      </c>
      <c r="E4596" s="9" t="str">
        <f>IFERROR(__xludf.DUMMYFUNCTION("""COMPUTED_VALUE"""),"JavaScript")</f>
        <v>JavaScript</v>
      </c>
      <c r="F4596" s="9" t="str">
        <f>IFERROR(__xludf.DUMMYFUNCTION("""COMPUTED_VALUE"""),"C++")</f>
        <v>C++</v>
      </c>
      <c r="G4596" s="9" t="str">
        <f>IFERROR(__xludf.DUMMYFUNCTION("""COMPUTED_VALUE"""),"Bash/Shell/PowerShell")</f>
        <v>Bash/Shell/PowerShell</v>
      </c>
      <c r="H4596" s="9" t="str">
        <f>IFERROR(__xludf.DUMMYFUNCTION("""COMPUTED_VALUE"""),"SQL")</f>
        <v>SQL</v>
      </c>
      <c r="I4596" s="9" t="str">
        <f>IFERROR(__xludf.DUMMYFUNCTION("""COMPUTED_VALUE"""),"PHP")</f>
        <v>PHP</v>
      </c>
      <c r="J4596" s="9" t="str">
        <f>IFERROR(__xludf.DUMMYFUNCTION("""COMPUTED_VALUE"""),"JavaScript")</f>
        <v>JavaScript</v>
      </c>
      <c r="K4596" s="9" t="str">
        <f>IFERROR(__xludf.DUMMYFUNCTION("""COMPUTED_VALUE"""),"VBA")</f>
        <v>VBA</v>
      </c>
      <c r="L4596" s="9" t="str">
        <f>IFERROR(__xludf.DUMMYFUNCTION("""COMPUTED_VALUE"""),"PHP")</f>
        <v>PHP</v>
      </c>
      <c r="M4596" s="9" t="s">
        <v>25</v>
      </c>
    </row>
    <row r="4597" ht="15.75" customHeight="1">
      <c r="A4597" s="7"/>
      <c r="B4597" s="7" t="str">
        <f>IFERROR(__xludf.DUMMYFUNCTION("""COMPUTED_VALUE"""),"C#;Dart;HTML/CSS;Java;JavaScript;Python;SQL;Swift")</f>
        <v>C#;Dart;HTML/CSS;Java;JavaScript;Python;SQL;Swift</v>
      </c>
      <c r="C4597" s="9" t="str">
        <f>IFERROR(__xludf.DUMMYFUNCTION("""COMPUTED_VALUE"""),"C++")</f>
        <v>C++</v>
      </c>
      <c r="D4597" s="9" t="str">
        <f>IFERROR(__xludf.DUMMYFUNCTION("""COMPUTED_VALUE"""),"JavaScript")</f>
        <v>JavaScript</v>
      </c>
      <c r="E4597" s="9" t="str">
        <f>IFERROR(__xludf.DUMMYFUNCTION("""COMPUTED_VALUE"""),"Bash/Shell/PowerShell")</f>
        <v>Bash/Shell/PowerShell</v>
      </c>
      <c r="F4597" s="9" t="str">
        <f>IFERROR(__xludf.DUMMYFUNCTION("""COMPUTED_VALUE"""),"HTML/CSS")</f>
        <v>HTML/CSS</v>
      </c>
      <c r="G4597" s="9" t="str">
        <f>IFERROR(__xludf.DUMMYFUNCTION("""COMPUTED_VALUE"""),"C++")</f>
        <v>C++</v>
      </c>
      <c r="H4597" s="9" t="str">
        <f>IFERROR(__xludf.DUMMYFUNCTION("""COMPUTED_VALUE"""),"JavaScript")</f>
        <v>JavaScript</v>
      </c>
      <c r="I4597" s="9" t="str">
        <f>IFERROR(__xludf.DUMMYFUNCTION("""COMPUTED_VALUE"""),"Ruby")</f>
        <v>Ruby</v>
      </c>
      <c r="J4597" s="9" t="str">
        <f>IFERROR(__xludf.DUMMYFUNCTION("""COMPUTED_VALUE"""),"SQL")</f>
        <v>SQL</v>
      </c>
      <c r="K4597" s="9" t="str">
        <f>IFERROR(__xludf.DUMMYFUNCTION("""COMPUTED_VALUE"""),"C")</f>
        <v>C</v>
      </c>
      <c r="L4597" s="9" t="str">
        <f>IFERROR(__xludf.DUMMYFUNCTION("""COMPUTED_VALUE"""),"Python")</f>
        <v>Python</v>
      </c>
      <c r="M4597" s="9" t="s">
        <v>23</v>
      </c>
    </row>
    <row r="4598" ht="15.75" customHeight="1">
      <c r="A4598" s="7"/>
      <c r="B4598" s="7" t="str">
        <f>IFERROR(__xludf.DUMMYFUNCTION("""COMPUTED_VALUE"""),"C;Java")</f>
        <v>C;Java</v>
      </c>
      <c r="C4598" s="9" t="str">
        <f>IFERROR(__xludf.DUMMYFUNCTION("""COMPUTED_VALUE"""),"C#")</f>
        <v>C#</v>
      </c>
      <c r="D4598" s="9" t="str">
        <f>IFERROR(__xludf.DUMMYFUNCTION("""COMPUTED_VALUE"""),"Python")</f>
        <v>Python</v>
      </c>
      <c r="E4598" s="9" t="str">
        <f>IFERROR(__xludf.DUMMYFUNCTION("""COMPUTED_VALUE"""),"Java")</f>
        <v>Java</v>
      </c>
      <c r="F4598" s="9" t="str">
        <f>IFERROR(__xludf.DUMMYFUNCTION("""COMPUTED_VALUE"""),"JavaScript")</f>
        <v>JavaScript</v>
      </c>
      <c r="G4598" s="9" t="str">
        <f>IFERROR(__xludf.DUMMYFUNCTION("""COMPUTED_VALUE"""),"HTML/CSS")</f>
        <v>HTML/CSS</v>
      </c>
      <c r="H4598" s="9" t="str">
        <f>IFERROR(__xludf.DUMMYFUNCTION("""COMPUTED_VALUE"""),"Python")</f>
        <v>Python</v>
      </c>
      <c r="I4598" s="9" t="str">
        <f>IFERROR(__xludf.DUMMYFUNCTION("""COMPUTED_VALUE"""),"Python")</f>
        <v>Python</v>
      </c>
      <c r="J4598" s="9" t="str">
        <f>IFERROR(__xludf.DUMMYFUNCTION("""COMPUTED_VALUE"""),"TypeScript")</f>
        <v>TypeScript</v>
      </c>
      <c r="K4598" s="9" t="str">
        <f>IFERROR(__xludf.DUMMYFUNCTION("""COMPUTED_VALUE"""),"C++")</f>
        <v>C++</v>
      </c>
      <c r="L4598" s="9" t="str">
        <f>IFERROR(__xludf.DUMMYFUNCTION("""COMPUTED_VALUE"""),"SQL")</f>
        <v>SQL</v>
      </c>
      <c r="M4598" s="9" t="s">
        <v>26</v>
      </c>
    </row>
    <row r="4599" ht="15.75" customHeight="1">
      <c r="A4599" s="7"/>
      <c r="B4599" s="7" t="str">
        <f>IFERROR(__xludf.DUMMYFUNCTION("""COMPUTED_VALUE"""),"C#;HTML/CSS;JavaScript;TypeScript")</f>
        <v>C#;HTML/CSS;JavaScript;TypeScript</v>
      </c>
      <c r="C4599" s="9" t="str">
        <f>IFERROR(__xludf.DUMMYFUNCTION("""COMPUTED_VALUE"""),"Python")</f>
        <v>Python</v>
      </c>
      <c r="D4599" s="9" t="str">
        <f>IFERROR(__xludf.DUMMYFUNCTION("""COMPUTED_VALUE"""),"SQL")</f>
        <v>SQL</v>
      </c>
      <c r="E4599" s="9" t="str">
        <f>IFERROR(__xludf.DUMMYFUNCTION("""COMPUTED_VALUE"""),"Python")</f>
        <v>Python</v>
      </c>
      <c r="F4599" s="9" t="str">
        <f>IFERROR(__xludf.DUMMYFUNCTION("""COMPUTED_VALUE"""),"Python")</f>
        <v>Python</v>
      </c>
      <c r="G4599" s="9" t="str">
        <f>IFERROR(__xludf.DUMMYFUNCTION("""COMPUTED_VALUE"""),"Rust")</f>
        <v>Rust</v>
      </c>
      <c r="H4599" s="9" t="str">
        <f>IFERROR(__xludf.DUMMYFUNCTION("""COMPUTED_VALUE"""),"Ruby")</f>
        <v>Ruby</v>
      </c>
      <c r="I4599" s="9" t="str">
        <f>IFERROR(__xludf.DUMMYFUNCTION("""COMPUTED_VALUE"""),"Bash/Shell/PowerShell")</f>
        <v>Bash/Shell/PowerShell</v>
      </c>
      <c r="J4599" s="9" t="str">
        <f>IFERROR(__xludf.DUMMYFUNCTION("""COMPUTED_VALUE"""),"Java")</f>
        <v>Java</v>
      </c>
      <c r="K4599" s="9" t="str">
        <f>IFERROR(__xludf.DUMMYFUNCTION("""COMPUTED_VALUE"""),"Python")</f>
        <v>Python</v>
      </c>
      <c r="L4599" s="9" t="str">
        <f>IFERROR(__xludf.DUMMYFUNCTION("""COMPUTED_VALUE"""),"Assembly")</f>
        <v>Assembly</v>
      </c>
      <c r="M4599" s="9" t="s">
        <v>22</v>
      </c>
    </row>
    <row r="4600" ht="15.75" customHeight="1">
      <c r="A4600" s="7"/>
      <c r="B4600" s="7" t="str">
        <f>IFERROR(__xludf.DUMMYFUNCTION("""COMPUTED_VALUE"""),"Bash/Shell/PowerShell;C#;SQL")</f>
        <v>Bash/Shell/PowerShell;C#;SQL</v>
      </c>
      <c r="C4600" s="9" t="str">
        <f>IFERROR(__xludf.DUMMYFUNCTION("""COMPUTED_VALUE"""),"Bash/Shell/PowerShell")</f>
        <v>Bash/Shell/PowerShell</v>
      </c>
      <c r="D4600" s="9" t="str">
        <f>IFERROR(__xludf.DUMMYFUNCTION("""COMPUTED_VALUE"""),"Java")</f>
        <v>Java</v>
      </c>
      <c r="E4600" s="9" t="str">
        <f>IFERROR(__xludf.DUMMYFUNCTION("""COMPUTED_VALUE"""),"C++")</f>
        <v>C++</v>
      </c>
      <c r="F4600" s="9" t="str">
        <f>IFERROR(__xludf.DUMMYFUNCTION("""COMPUTED_VALUE"""),"R")</f>
        <v>R</v>
      </c>
      <c r="G4600" s="9" t="str">
        <f>IFERROR(__xludf.DUMMYFUNCTION("""COMPUTED_VALUE"""),"C#")</f>
        <v>C#</v>
      </c>
      <c r="H4600" s="9" t="str">
        <f>IFERROR(__xludf.DUMMYFUNCTION("""COMPUTED_VALUE"""),"Bash/Shell/PowerShell")</f>
        <v>Bash/Shell/PowerShell</v>
      </c>
      <c r="I4600" s="9" t="str">
        <f>IFERROR(__xludf.DUMMYFUNCTION("""COMPUTED_VALUE"""),"HTML/CSS")</f>
        <v>HTML/CSS</v>
      </c>
      <c r="J4600" s="9" t="str">
        <f>IFERROR(__xludf.DUMMYFUNCTION("""COMPUTED_VALUE"""),"Kotlin")</f>
        <v>Kotlin</v>
      </c>
      <c r="K4600" s="9" t="str">
        <f>IFERROR(__xludf.DUMMYFUNCTION("""COMPUTED_VALUE"""),"Swift")</f>
        <v>Swift</v>
      </c>
      <c r="L4600" s="9" t="str">
        <f>IFERROR(__xludf.DUMMYFUNCTION("""COMPUTED_VALUE"""),"Bash/Shell/PowerShell")</f>
        <v>Bash/Shell/PowerShell</v>
      </c>
      <c r="M4600" s="9" t="s">
        <v>30</v>
      </c>
    </row>
    <row r="4601" ht="15.75" customHeight="1">
      <c r="A4601" s="7"/>
      <c r="B4601" s="7" t="str">
        <f>IFERROR(__xludf.DUMMYFUNCTION("""COMPUTED_VALUE"""),"Bash/Shell/PowerShell;C#;Dart;HTML/CSS;JavaScript;Python;Ruby;SQL")</f>
        <v>Bash/Shell/PowerShell;C#;Dart;HTML/CSS;JavaScript;Python;Ruby;SQL</v>
      </c>
      <c r="C4601" s="9" t="str">
        <f>IFERROR(__xludf.DUMMYFUNCTION("""COMPUTED_VALUE"""),"Java")</f>
        <v>Java</v>
      </c>
      <c r="D4601" s="9" t="str">
        <f>IFERROR(__xludf.DUMMYFUNCTION("""COMPUTED_VALUE"""),"JavaScript")</f>
        <v>JavaScript</v>
      </c>
      <c r="E4601" s="9" t="str">
        <f>IFERROR(__xludf.DUMMYFUNCTION("""COMPUTED_VALUE"""),"HTML/CSS")</f>
        <v>HTML/CSS</v>
      </c>
      <c r="F4601" s="9" t="str">
        <f>IFERROR(__xludf.DUMMYFUNCTION("""COMPUTED_VALUE"""),"Rust")</f>
        <v>Rust</v>
      </c>
      <c r="G4601" s="9" t="str">
        <f>IFERROR(__xludf.DUMMYFUNCTION("""COMPUTED_VALUE"""),"Java")</f>
        <v>Java</v>
      </c>
      <c r="H4601" s="9" t="str">
        <f>IFERROR(__xludf.DUMMYFUNCTION("""COMPUTED_VALUE"""),"Go")</f>
        <v>Go</v>
      </c>
      <c r="I4601" s="9" t="str">
        <f>IFERROR(__xludf.DUMMYFUNCTION("""COMPUTED_VALUE"""),"JavaScript")</f>
        <v>JavaScript</v>
      </c>
      <c r="J4601" s="9" t="str">
        <f>IFERROR(__xludf.DUMMYFUNCTION("""COMPUTED_VALUE"""),"PHP")</f>
        <v>PHP</v>
      </c>
      <c r="K4601" s="9" t="str">
        <f>IFERROR(__xludf.DUMMYFUNCTION("""COMPUTED_VALUE"""),"Bash/Shell/PowerShell")</f>
        <v>Bash/Shell/PowerShell</v>
      </c>
      <c r="L4601" s="9" t="str">
        <f>IFERROR(__xludf.DUMMYFUNCTION("""COMPUTED_VALUE"""),"C")</f>
        <v>C</v>
      </c>
      <c r="M4601" s="9" t="s">
        <v>20</v>
      </c>
    </row>
    <row r="4602" ht="15.75" customHeight="1">
      <c r="A4602" s="7"/>
      <c r="B4602" s="7" t="str">
        <f>IFERROR(__xludf.DUMMYFUNCTION("""COMPUTED_VALUE"""),"Bash/Shell/PowerShell;HTML/CSS;Java;JavaScript;Python;SQL;Swift;TypeScript")</f>
        <v>Bash/Shell/PowerShell;HTML/CSS;Java;JavaScript;Python;SQL;Swift;TypeScript</v>
      </c>
      <c r="C4602" s="9" t="str">
        <f>IFERROR(__xludf.DUMMYFUNCTION("""COMPUTED_VALUE"""),"Kotlin")</f>
        <v>Kotlin</v>
      </c>
      <c r="D4602" s="9" t="str">
        <f>IFERROR(__xludf.DUMMYFUNCTION("""COMPUTED_VALUE"""),"Kotlin")</f>
        <v>Kotlin</v>
      </c>
      <c r="E4602" s="9" t="str">
        <f>IFERROR(__xludf.DUMMYFUNCTION("""COMPUTED_VALUE"""),"JavaScript")</f>
        <v>JavaScript</v>
      </c>
      <c r="F4602" s="9" t="str">
        <f>IFERROR(__xludf.DUMMYFUNCTION("""COMPUTED_VALUE"""),"SQL")</f>
        <v>SQL</v>
      </c>
      <c r="G4602" s="9" t="str">
        <f>IFERROR(__xludf.DUMMYFUNCTION("""COMPUTED_VALUE"""),"Objective-C")</f>
        <v>Objective-C</v>
      </c>
      <c r="H4602" s="9" t="str">
        <f>IFERROR(__xludf.DUMMYFUNCTION("""COMPUTED_VALUE"""),"HTML/CSS")</f>
        <v>HTML/CSS</v>
      </c>
      <c r="I4602" s="9" t="str">
        <f>IFERROR(__xludf.DUMMYFUNCTION("""COMPUTED_VALUE"""),"Ruby")</f>
        <v>Ruby</v>
      </c>
      <c r="J4602" s="9" t="str">
        <f>IFERROR(__xludf.DUMMYFUNCTION("""COMPUTED_VALUE"""),"C#")</f>
        <v>C#</v>
      </c>
      <c r="K4602" s="9" t="str">
        <f>IFERROR(__xludf.DUMMYFUNCTION("""COMPUTED_VALUE"""),"HTML/CSS")</f>
        <v>HTML/CSS</v>
      </c>
      <c r="L4602" s="9" t="str">
        <f>IFERROR(__xludf.DUMMYFUNCTION("""COMPUTED_VALUE"""),"C++")</f>
        <v>C++</v>
      </c>
      <c r="M4602" s="9" t="s">
        <v>39</v>
      </c>
    </row>
    <row r="4603" ht="15.75" customHeight="1">
      <c r="A4603" s="7"/>
      <c r="B4603" s="7" t="str">
        <f>IFERROR(__xludf.DUMMYFUNCTION("""COMPUTED_VALUE"""),"Bash/Shell/PowerShell;HTML/CSS;PHP;Ruby;SQL;VBA")</f>
        <v>Bash/Shell/PowerShell;HTML/CSS;PHP;Ruby;SQL;VBA</v>
      </c>
      <c r="C4603" s="9" t="str">
        <f>IFERROR(__xludf.DUMMYFUNCTION("""COMPUTED_VALUE"""),"Python")</f>
        <v>Python</v>
      </c>
      <c r="D4603" s="9" t="str">
        <f>IFERROR(__xludf.DUMMYFUNCTION("""COMPUTED_VALUE"""),"Objective-C")</f>
        <v>Objective-C</v>
      </c>
      <c r="E4603" s="9" t="str">
        <f>IFERROR(__xludf.DUMMYFUNCTION("""COMPUTED_VALUE"""),"PHP")</f>
        <v>PHP</v>
      </c>
      <c r="F4603" s="9" t="str">
        <f>IFERROR(__xludf.DUMMYFUNCTION("""COMPUTED_VALUE"""),"Bash/Shell/PowerShell")</f>
        <v>Bash/Shell/PowerShell</v>
      </c>
      <c r="G4603" s="9" t="str">
        <f>IFERROR(__xludf.DUMMYFUNCTION("""COMPUTED_VALUE"""),"SQL")</f>
        <v>SQL</v>
      </c>
      <c r="H4603" s="9" t="str">
        <f>IFERROR(__xludf.DUMMYFUNCTION("""COMPUTED_VALUE"""),"Java")</f>
        <v>Java</v>
      </c>
      <c r="I4603" s="9" t="str">
        <f>IFERROR(__xludf.DUMMYFUNCTION("""COMPUTED_VALUE"""),"SQL")</f>
        <v>SQL</v>
      </c>
      <c r="J4603" s="9" t="str">
        <f>IFERROR(__xludf.DUMMYFUNCTION("""COMPUTED_VALUE"""),"HTML/CSS")</f>
        <v>HTML/CSS</v>
      </c>
      <c r="K4603" s="9" t="str">
        <f>IFERROR(__xludf.DUMMYFUNCTION("""COMPUTED_VALUE"""),"Java")</f>
        <v>Java</v>
      </c>
      <c r="L4603" s="9" t="str">
        <f>IFERROR(__xludf.DUMMYFUNCTION("""COMPUTED_VALUE"""),"HTML/CSS")</f>
        <v>HTML/CSS</v>
      </c>
      <c r="M4603" s="9" t="s">
        <v>22</v>
      </c>
    </row>
    <row r="4604" ht="15.75" customHeight="1">
      <c r="A4604" s="7"/>
      <c r="B4604" s="7" t="str">
        <f>IFERROR(__xludf.DUMMYFUNCTION("""COMPUTED_VALUE"""),"Bash/Shell/PowerShell;HTML/CSS;Java;JavaScript;PHP;SQL;TypeScript")</f>
        <v>Bash/Shell/PowerShell;HTML/CSS;Java;JavaScript;PHP;SQL;TypeScript</v>
      </c>
      <c r="C4604" s="9" t="str">
        <f>IFERROR(__xludf.DUMMYFUNCTION("""COMPUTED_VALUE"""),"SQL")</f>
        <v>SQL</v>
      </c>
      <c r="D4604" s="9" t="str">
        <f>IFERROR(__xludf.DUMMYFUNCTION("""COMPUTED_VALUE"""),"Rust")</f>
        <v>Rust</v>
      </c>
      <c r="E4604" s="9" t="str">
        <f>IFERROR(__xludf.DUMMYFUNCTION("""COMPUTED_VALUE"""),"HTML/CSS")</f>
        <v>HTML/CSS</v>
      </c>
      <c r="F4604" s="9" t="str">
        <f>IFERROR(__xludf.DUMMYFUNCTION("""COMPUTED_VALUE"""),"HTML/CSS")</f>
        <v>HTML/CSS</v>
      </c>
      <c r="G4604" s="9" t="str">
        <f>IFERROR(__xludf.DUMMYFUNCTION("""COMPUTED_VALUE"""),"C++")</f>
        <v>C++</v>
      </c>
      <c r="H4604" s="9" t="str">
        <f>IFERROR(__xludf.DUMMYFUNCTION("""COMPUTED_VALUE"""),"JavaScript")</f>
        <v>JavaScript</v>
      </c>
      <c r="I4604" s="9" t="str">
        <f>IFERROR(__xludf.DUMMYFUNCTION("""COMPUTED_VALUE"""),"C#")</f>
        <v>C#</v>
      </c>
      <c r="J4604" s="9" t="str">
        <f>IFERROR(__xludf.DUMMYFUNCTION("""COMPUTED_VALUE"""),"Java")</f>
        <v>Java</v>
      </c>
      <c r="K4604" s="9" t="str">
        <f>IFERROR(__xludf.DUMMYFUNCTION("""COMPUTED_VALUE"""),"JavaScript")</f>
        <v>JavaScript</v>
      </c>
      <c r="L4604" s="9" t="str">
        <f>IFERROR(__xludf.DUMMYFUNCTION("""COMPUTED_VALUE"""),"Java")</f>
        <v>Java</v>
      </c>
      <c r="M4604" s="9" t="s">
        <v>27</v>
      </c>
    </row>
    <row r="4605" ht="15.75" customHeight="1">
      <c r="A4605" s="7"/>
      <c r="B4605" s="7" t="str">
        <f>IFERROR(__xludf.DUMMYFUNCTION("""COMPUTED_VALUE"""),"Bash/Shell/PowerShell;C;C#;HTML/CSS;JavaScript;Python;SQL;TypeScript;VBA;Other(s):")</f>
        <v>Bash/Shell/PowerShell;C;C#;HTML/CSS;JavaScript;Python;SQL;TypeScript;VBA;Other(s):</v>
      </c>
      <c r="C4605" s="9" t="str">
        <f>IFERROR(__xludf.DUMMYFUNCTION("""COMPUTED_VALUE"""),"Other(s):")</f>
        <v>Other(s):</v>
      </c>
      <c r="D4605" s="9" t="str">
        <f>IFERROR(__xludf.DUMMYFUNCTION("""COMPUTED_VALUE"""),"Swift")</f>
        <v>Swift</v>
      </c>
      <c r="E4605" s="9" t="str">
        <f>IFERROR(__xludf.DUMMYFUNCTION("""COMPUTED_VALUE"""),"JavaScript")</f>
        <v>JavaScript</v>
      </c>
      <c r="F4605" s="9" t="str">
        <f>IFERROR(__xludf.DUMMYFUNCTION("""COMPUTED_VALUE"""),"Java")</f>
        <v>Java</v>
      </c>
      <c r="G4605" s="9" t="str">
        <f>IFERROR(__xludf.DUMMYFUNCTION("""COMPUTED_VALUE"""),"HTML/CSS")</f>
        <v>HTML/CSS</v>
      </c>
      <c r="H4605" s="9" t="str">
        <f>IFERROR(__xludf.DUMMYFUNCTION("""COMPUTED_VALUE"""),"PHP")</f>
        <v>PHP</v>
      </c>
      <c r="I4605" s="9" t="str">
        <f>IFERROR(__xludf.DUMMYFUNCTION("""COMPUTED_VALUE"""),"Bash/Shell/PowerShell")</f>
        <v>Bash/Shell/PowerShell</v>
      </c>
      <c r="J4605" s="9" t="str">
        <f>IFERROR(__xludf.DUMMYFUNCTION("""COMPUTED_VALUE"""),"JavaScript")</f>
        <v>JavaScript</v>
      </c>
      <c r="K4605" s="9" t="str">
        <f>IFERROR(__xludf.DUMMYFUNCTION("""COMPUTED_VALUE"""),"Assembly")</f>
        <v>Assembly</v>
      </c>
      <c r="L4605" s="9" t="str">
        <f>IFERROR(__xludf.DUMMYFUNCTION("""COMPUTED_VALUE"""),"Python")</f>
        <v>Python</v>
      </c>
      <c r="M4605" s="9" t="s">
        <v>35</v>
      </c>
    </row>
    <row r="4606" ht="15.75" customHeight="1">
      <c r="A4606" s="7"/>
      <c r="B4606" s="7" t="str">
        <f>IFERROR(__xludf.DUMMYFUNCTION("""COMPUTED_VALUE"""),"Bash/Shell/PowerShell;HTML/CSS;JavaScript;Python;SQL")</f>
        <v>Bash/Shell/PowerShell;HTML/CSS;JavaScript;Python;SQL</v>
      </c>
      <c r="C4606" s="9" t="str">
        <f>IFERROR(__xludf.DUMMYFUNCTION("""COMPUTED_VALUE"""),"Bash/Shell/PowerShell")</f>
        <v>Bash/Shell/PowerShell</v>
      </c>
      <c r="D4606" s="9" t="str">
        <f>IFERROR(__xludf.DUMMYFUNCTION("""COMPUTED_VALUE"""),"TypeScript")</f>
        <v>TypeScript</v>
      </c>
      <c r="E4606" s="9" t="str">
        <f>IFERROR(__xludf.DUMMYFUNCTION("""COMPUTED_VALUE"""),"PHP")</f>
        <v>PHP</v>
      </c>
      <c r="F4606" s="9" t="str">
        <f>IFERROR(__xludf.DUMMYFUNCTION("""COMPUTED_VALUE"""),"JavaScript")</f>
        <v>JavaScript</v>
      </c>
      <c r="G4606" s="9" t="str">
        <f>IFERROR(__xludf.DUMMYFUNCTION("""COMPUTED_VALUE"""),"PHP")</f>
        <v>PHP</v>
      </c>
      <c r="H4606" s="9" t="str">
        <f>IFERROR(__xludf.DUMMYFUNCTION("""COMPUTED_VALUE"""),"SQL")</f>
        <v>SQL</v>
      </c>
      <c r="I4606" s="9" t="str">
        <f>IFERROR(__xludf.DUMMYFUNCTION("""COMPUTED_VALUE"""),"HTML/CSS")</f>
        <v>HTML/CSS</v>
      </c>
      <c r="J4606" s="9" t="str">
        <f>IFERROR(__xludf.DUMMYFUNCTION("""COMPUTED_VALUE"""),"SQL")</f>
        <v>SQL</v>
      </c>
      <c r="K4606" s="9" t="str">
        <f>IFERROR(__xludf.DUMMYFUNCTION("""COMPUTED_VALUE"""),"Bash/Shell/PowerShell")</f>
        <v>Bash/Shell/PowerShell</v>
      </c>
      <c r="L4606" s="9" t="str">
        <f>IFERROR(__xludf.DUMMYFUNCTION("""COMPUTED_VALUE"""),"SQL")</f>
        <v>SQL</v>
      </c>
      <c r="M4606" s="9" t="s">
        <v>30</v>
      </c>
    </row>
    <row r="4607" ht="15.75" customHeight="1">
      <c r="A4607" s="7"/>
      <c r="B4607" s="7" t="str">
        <f>IFERROR(__xludf.DUMMYFUNCTION("""COMPUTED_VALUE"""),"Bash/Shell/PowerShell;HTML/CSS;Java;JavaScript;SQL")</f>
        <v>Bash/Shell/PowerShell;HTML/CSS;Java;JavaScript;SQL</v>
      </c>
      <c r="C4607" s="9" t="str">
        <f>IFERROR(__xludf.DUMMYFUNCTION("""COMPUTED_VALUE"""),"HTML/CSS")</f>
        <v>HTML/CSS</v>
      </c>
      <c r="D4607" s="9" t="str">
        <f>IFERROR(__xludf.DUMMYFUNCTION("""COMPUTED_VALUE"""),"Bash/Shell/PowerShell")</f>
        <v>Bash/Shell/PowerShell</v>
      </c>
      <c r="E4607" s="9" t="str">
        <f>IFERROR(__xludf.DUMMYFUNCTION("""COMPUTED_VALUE"""),"Ruby")</f>
        <v>Ruby</v>
      </c>
      <c r="F4607" s="9" t="str">
        <f>IFERROR(__xludf.DUMMYFUNCTION("""COMPUTED_VALUE"""),"Kotlin")</f>
        <v>Kotlin</v>
      </c>
      <c r="G4607" s="9" t="str">
        <f>IFERROR(__xludf.DUMMYFUNCTION("""COMPUTED_VALUE"""),"Python")</f>
        <v>Python</v>
      </c>
      <c r="H4607" s="9" t="str">
        <f>IFERROR(__xludf.DUMMYFUNCTION("""COMPUTED_VALUE"""),"Bash/Shell/PowerShell")</f>
        <v>Bash/Shell/PowerShell</v>
      </c>
      <c r="I4607" s="9" t="str">
        <f>IFERROR(__xludf.DUMMYFUNCTION("""COMPUTED_VALUE"""),"JavaScript")</f>
        <v>JavaScript</v>
      </c>
      <c r="J4607" s="9" t="str">
        <f>IFERROR(__xludf.DUMMYFUNCTION("""COMPUTED_VALUE"""),"TypeScript")</f>
        <v>TypeScript</v>
      </c>
      <c r="K4607" s="9" t="str">
        <f>IFERROR(__xludf.DUMMYFUNCTION("""COMPUTED_VALUE"""),"C")</f>
        <v>C</v>
      </c>
      <c r="L4607" s="9" t="str">
        <f>IFERROR(__xludf.DUMMYFUNCTION("""COMPUTED_VALUE"""),"Bash/Shell/PowerShell")</f>
        <v>Bash/Shell/PowerShell</v>
      </c>
      <c r="M4607" s="9" t="s">
        <v>24</v>
      </c>
    </row>
    <row r="4608" ht="15.75" customHeight="1">
      <c r="A4608" s="7"/>
      <c r="B4608" s="7" t="str">
        <f>IFERROR(__xludf.DUMMYFUNCTION("""COMPUTED_VALUE"""),"Bash/Shell/PowerShell;C;C++;C#;Go;HTML/CSS;Java;JavaScript;PHP;Python;TypeScript")</f>
        <v>Bash/Shell/PowerShell;C;C++;C#;Go;HTML/CSS;Java;JavaScript;PHP;Python;TypeScript</v>
      </c>
      <c r="C4608" s="9" t="str">
        <f>IFERROR(__xludf.DUMMYFUNCTION("""COMPUTED_VALUE"""),"JavaScript")</f>
        <v>JavaScript</v>
      </c>
      <c r="D4608" s="9" t="str">
        <f>IFERROR(__xludf.DUMMYFUNCTION("""COMPUTED_VALUE"""),"C")</f>
        <v>C</v>
      </c>
      <c r="E4608" s="9" t="str">
        <f>IFERROR(__xludf.DUMMYFUNCTION("""COMPUTED_VALUE"""),"SQL")</f>
        <v>SQL</v>
      </c>
      <c r="F4608" s="9" t="str">
        <f>IFERROR(__xludf.DUMMYFUNCTION("""COMPUTED_VALUE"""),"PHP")</f>
        <v>PHP</v>
      </c>
      <c r="G4608" s="9" t="str">
        <f>IFERROR(__xludf.DUMMYFUNCTION("""COMPUTED_VALUE"""),"C")</f>
        <v>C</v>
      </c>
      <c r="H4608" s="9" t="str">
        <f>IFERROR(__xludf.DUMMYFUNCTION("""COMPUTED_VALUE"""),"HTML/CSS")</f>
        <v>HTML/CSS</v>
      </c>
      <c r="I4608" s="9" t="str">
        <f>IFERROR(__xludf.DUMMYFUNCTION("""COMPUTED_VALUE"""),"PHP")</f>
        <v>PHP</v>
      </c>
      <c r="J4608" s="9" t="str">
        <f>IFERROR(__xludf.DUMMYFUNCTION("""COMPUTED_VALUE"""),"Bash/Shell/PowerShell")</f>
        <v>Bash/Shell/PowerShell</v>
      </c>
      <c r="K4608" s="9" t="str">
        <f>IFERROR(__xludf.DUMMYFUNCTION("""COMPUTED_VALUE"""),"C++")</f>
        <v>C++</v>
      </c>
      <c r="L4608" s="9" t="str">
        <f>IFERROR(__xludf.DUMMYFUNCTION("""COMPUTED_VALUE"""),"C#")</f>
        <v>C#</v>
      </c>
      <c r="M4608" s="9" t="s">
        <v>21</v>
      </c>
    </row>
    <row r="4609" ht="15.75" customHeight="1">
      <c r="A4609" s="7"/>
      <c r="B4609" s="7" t="str">
        <f>IFERROR(__xludf.DUMMYFUNCTION("""COMPUTED_VALUE"""),"Python;R;Swift;Other(s):")</f>
        <v>Python;R;Swift;Other(s):</v>
      </c>
      <c r="C4609" s="9" t="str">
        <f>IFERROR(__xludf.DUMMYFUNCTION("""COMPUTED_VALUE"""),"PHP")</f>
        <v>PHP</v>
      </c>
      <c r="D4609" s="9" t="str">
        <f>IFERROR(__xludf.DUMMYFUNCTION("""COMPUTED_VALUE"""),"C++")</f>
        <v>C++</v>
      </c>
      <c r="E4609" s="9" t="str">
        <f>IFERROR(__xludf.DUMMYFUNCTION("""COMPUTED_VALUE"""),"Python")</f>
        <v>Python</v>
      </c>
      <c r="F4609" s="9" t="str">
        <f>IFERROR(__xludf.DUMMYFUNCTION("""COMPUTED_VALUE"""),"Ruby")</f>
        <v>Ruby</v>
      </c>
      <c r="G4609" s="9" t="str">
        <f>IFERROR(__xludf.DUMMYFUNCTION("""COMPUTED_VALUE"""),"C++")</f>
        <v>C++</v>
      </c>
      <c r="H4609" s="9" t="str">
        <f>IFERROR(__xludf.DUMMYFUNCTION("""COMPUTED_VALUE"""),"JavaScript")</f>
        <v>JavaScript</v>
      </c>
      <c r="I4609" s="9" t="str">
        <f>IFERROR(__xludf.DUMMYFUNCTION("""COMPUTED_VALUE"""),"SQL")</f>
        <v>SQL</v>
      </c>
      <c r="J4609" s="9" t="str">
        <f>IFERROR(__xludf.DUMMYFUNCTION("""COMPUTED_VALUE"""),"C")</f>
        <v>C</v>
      </c>
      <c r="K4609" s="9" t="str">
        <f>IFERROR(__xludf.DUMMYFUNCTION("""COMPUTED_VALUE"""),"HTML/CSS")</f>
        <v>HTML/CSS</v>
      </c>
      <c r="L4609" s="9" t="str">
        <f>IFERROR(__xludf.DUMMYFUNCTION("""COMPUTED_VALUE"""),"HTML/CSS")</f>
        <v>HTML/CSS</v>
      </c>
      <c r="M4609" s="9" t="s">
        <v>37</v>
      </c>
    </row>
    <row r="4610" ht="15.75" customHeight="1">
      <c r="A4610" s="7"/>
      <c r="B4610" s="7" t="str">
        <f>IFERROR(__xludf.DUMMYFUNCTION("""COMPUTED_VALUE"""),"Bash/Shell/PowerShell;C;C#;HTML/CSS;Java;JavaScript;PHP;Python;R;SQL;VBA")</f>
        <v>Bash/Shell/PowerShell;C;C#;HTML/CSS;Java;JavaScript;PHP;Python;R;SQL;VBA</v>
      </c>
      <c r="C4610" s="9" t="str">
        <f>IFERROR(__xludf.DUMMYFUNCTION("""COMPUTED_VALUE"""),"Python")</f>
        <v>Python</v>
      </c>
      <c r="D4610" s="9" t="str">
        <f>IFERROR(__xludf.DUMMYFUNCTION("""COMPUTED_VALUE"""),"Go")</f>
        <v>Go</v>
      </c>
      <c r="E4610" s="9" t="str">
        <f>IFERROR(__xludf.DUMMYFUNCTION("""COMPUTED_VALUE"""),"HTML/CSS")</f>
        <v>HTML/CSS</v>
      </c>
      <c r="F4610" s="9" t="str">
        <f>IFERROR(__xludf.DUMMYFUNCTION("""COMPUTED_VALUE"""),"SQL")</f>
        <v>SQL</v>
      </c>
      <c r="G4610" s="9" t="str">
        <f>IFERROR(__xludf.DUMMYFUNCTION("""COMPUTED_VALUE"""),"C#")</f>
        <v>C#</v>
      </c>
      <c r="H4610" s="9" t="str">
        <f>IFERROR(__xludf.DUMMYFUNCTION("""COMPUTED_VALUE"""),"PHP")</f>
        <v>PHP</v>
      </c>
      <c r="I4610" s="9" t="str">
        <f>IFERROR(__xludf.DUMMYFUNCTION("""COMPUTED_VALUE"""),"Bash/Shell/PowerShell")</f>
        <v>Bash/Shell/PowerShell</v>
      </c>
      <c r="J4610" s="9" t="str">
        <f>IFERROR(__xludf.DUMMYFUNCTION("""COMPUTED_VALUE"""),"Python")</f>
        <v>Python</v>
      </c>
      <c r="K4610" s="9" t="str">
        <f>IFERROR(__xludf.DUMMYFUNCTION("""COMPUTED_VALUE"""),"JavaScript")</f>
        <v>JavaScript</v>
      </c>
      <c r="L4610" s="9" t="str">
        <f>IFERROR(__xludf.DUMMYFUNCTION("""COMPUTED_VALUE"""),"SQL")</f>
        <v>SQL</v>
      </c>
      <c r="M4610" s="9" t="s">
        <v>22</v>
      </c>
    </row>
    <row r="4611" ht="15.75" customHeight="1">
      <c r="A4611" s="7"/>
      <c r="B4611" s="7" t="str">
        <f>IFERROR(__xludf.DUMMYFUNCTION("""COMPUTED_VALUE"""),"C;C++;C#;Python;R;SQL;Other(s):")</f>
        <v>C;C++;C#;Python;R;SQL;Other(s):</v>
      </c>
      <c r="C4611" s="9" t="str">
        <f>IFERROR(__xludf.DUMMYFUNCTION("""COMPUTED_VALUE"""),"Ruby")</f>
        <v>Ruby</v>
      </c>
      <c r="D4611" s="9" t="str">
        <f>IFERROR(__xludf.DUMMYFUNCTION("""COMPUTED_VALUE"""),"HTML/CSS")</f>
        <v>HTML/CSS</v>
      </c>
      <c r="E4611" s="9" t="str">
        <f>IFERROR(__xludf.DUMMYFUNCTION("""COMPUTED_VALUE"""),"Java")</f>
        <v>Java</v>
      </c>
      <c r="F4611" s="9" t="str">
        <f>IFERROR(__xludf.DUMMYFUNCTION("""COMPUTED_VALUE"""),"TypeScript")</f>
        <v>TypeScript</v>
      </c>
      <c r="G4611" s="9" t="str">
        <f>IFERROR(__xludf.DUMMYFUNCTION("""COMPUTED_VALUE"""),"HTML/CSS")</f>
        <v>HTML/CSS</v>
      </c>
      <c r="H4611" s="9" t="str">
        <f>IFERROR(__xludf.DUMMYFUNCTION("""COMPUTED_VALUE"""),"SQL")</f>
        <v>SQL</v>
      </c>
      <c r="I4611" s="9" t="str">
        <f>IFERROR(__xludf.DUMMYFUNCTION("""COMPUTED_VALUE"""),"HTML/CSS")</f>
        <v>HTML/CSS</v>
      </c>
      <c r="J4611" s="9" t="str">
        <f>IFERROR(__xludf.DUMMYFUNCTION("""COMPUTED_VALUE"""),"C")</f>
        <v>C</v>
      </c>
      <c r="K4611" s="9" t="str">
        <f>IFERROR(__xludf.DUMMYFUNCTION("""COMPUTED_VALUE"""),"PHP")</f>
        <v>PHP</v>
      </c>
      <c r="L4611" s="9" t="str">
        <f>IFERROR(__xludf.DUMMYFUNCTION("""COMPUTED_VALUE"""),"TypeScript")</f>
        <v>TypeScript</v>
      </c>
      <c r="M4611" s="9" t="s">
        <v>31</v>
      </c>
    </row>
    <row r="4612" ht="15.75" customHeight="1">
      <c r="A4612" s="7"/>
      <c r="B4612" s="7" t="str">
        <f>IFERROR(__xludf.DUMMYFUNCTION("""COMPUTED_VALUE"""),"C++;C#;HTML/CSS;Java;JavaScript;SQL")</f>
        <v>C++;C#;HTML/CSS;Java;JavaScript;SQL</v>
      </c>
      <c r="C4612" s="9" t="str">
        <f>IFERROR(__xludf.DUMMYFUNCTION("""COMPUTED_VALUE"""),"SQL")</f>
        <v>SQL</v>
      </c>
      <c r="D4612" s="9" t="str">
        <f>IFERROR(__xludf.DUMMYFUNCTION("""COMPUTED_VALUE"""),"JavaScript")</f>
        <v>JavaScript</v>
      </c>
      <c r="E4612" s="9" t="str">
        <f>IFERROR(__xludf.DUMMYFUNCTION("""COMPUTED_VALUE"""),"Kotlin")</f>
        <v>Kotlin</v>
      </c>
      <c r="F4612" s="9" t="str">
        <f>IFERROR(__xludf.DUMMYFUNCTION("""COMPUTED_VALUE"""),"HTML/CSS")</f>
        <v>HTML/CSS</v>
      </c>
      <c r="G4612" s="9" t="str">
        <f>IFERROR(__xludf.DUMMYFUNCTION("""COMPUTED_VALUE"""),"Python")</f>
        <v>Python</v>
      </c>
      <c r="H4612" s="9" t="str">
        <f>IFERROR(__xludf.DUMMYFUNCTION("""COMPUTED_VALUE"""),"TypeScript")</f>
        <v>TypeScript</v>
      </c>
      <c r="I4612" s="9" t="str">
        <f>IFERROR(__xludf.DUMMYFUNCTION("""COMPUTED_VALUE"""),"Java")</f>
        <v>Java</v>
      </c>
      <c r="J4612" s="9" t="str">
        <f>IFERROR(__xludf.DUMMYFUNCTION("""COMPUTED_VALUE"""),"C#")</f>
        <v>C#</v>
      </c>
      <c r="K4612" s="9" t="str">
        <f>IFERROR(__xludf.DUMMYFUNCTION("""COMPUTED_VALUE"""),"Python")</f>
        <v>Python</v>
      </c>
      <c r="L4612" s="9" t="str">
        <f>IFERROR(__xludf.DUMMYFUNCTION("""COMPUTED_VALUE"""),"Assembly")</f>
        <v>Assembly</v>
      </c>
      <c r="M4612" s="9" t="s">
        <v>27</v>
      </c>
    </row>
    <row r="4613" ht="15.75" customHeight="1">
      <c r="A4613" s="7"/>
      <c r="B4613" s="7" t="str">
        <f>IFERROR(__xludf.DUMMYFUNCTION("""COMPUTED_VALUE"""),"Bash/Shell/PowerShell;JavaScript")</f>
        <v>Bash/Shell/PowerShell;JavaScript</v>
      </c>
      <c r="C4613" s="9" t="str">
        <f>IFERROR(__xludf.DUMMYFUNCTION("""COMPUTED_VALUE"""),"Swift")</f>
        <v>Swift</v>
      </c>
      <c r="D4613" s="9" t="str">
        <f>IFERROR(__xludf.DUMMYFUNCTION("""COMPUTED_VALUE"""),"Python")</f>
        <v>Python</v>
      </c>
      <c r="E4613" s="9" t="str">
        <f>IFERROR(__xludf.DUMMYFUNCTION("""COMPUTED_VALUE"""),"Bash/Shell/PowerShell")</f>
        <v>Bash/Shell/PowerShell</v>
      </c>
      <c r="F4613" s="9" t="str">
        <f>IFERROR(__xludf.DUMMYFUNCTION("""COMPUTED_VALUE"""),"Java")</f>
        <v>Java</v>
      </c>
      <c r="G4613" s="9" t="str">
        <f>IFERROR(__xludf.DUMMYFUNCTION("""COMPUTED_VALUE"""),"SQL")</f>
        <v>SQL</v>
      </c>
      <c r="H4613" s="9" t="str">
        <f>IFERROR(__xludf.DUMMYFUNCTION("""COMPUTED_VALUE"""),"HTML/CSS")</f>
        <v>HTML/CSS</v>
      </c>
      <c r="I4613" s="9" t="str">
        <f>IFERROR(__xludf.DUMMYFUNCTION("""COMPUTED_VALUE"""),"JavaScript")</f>
        <v>JavaScript</v>
      </c>
      <c r="J4613" s="9" t="str">
        <f>IFERROR(__xludf.DUMMYFUNCTION("""COMPUTED_VALUE"""),"Java")</f>
        <v>Java</v>
      </c>
      <c r="K4613" s="9" t="str">
        <f>IFERROR(__xludf.DUMMYFUNCTION("""COMPUTED_VALUE"""),"SQL")</f>
        <v>SQL</v>
      </c>
      <c r="L4613" s="9" t="str">
        <f>IFERROR(__xludf.DUMMYFUNCTION("""COMPUTED_VALUE"""),"Bash/Shell/PowerShell")</f>
        <v>Bash/Shell/PowerShell</v>
      </c>
      <c r="M4613" s="9" t="s">
        <v>40</v>
      </c>
    </row>
    <row r="4614" ht="15.75" customHeight="1">
      <c r="A4614" s="7"/>
      <c r="B4614" s="7" t="str">
        <f>IFERROR(__xludf.DUMMYFUNCTION("""COMPUTED_VALUE"""),"C#;HTML/CSS;JavaScript;Objective-C;SQL;TypeScript")</f>
        <v>C#;HTML/CSS;JavaScript;Objective-C;SQL;TypeScript</v>
      </c>
      <c r="C4614" s="9" t="str">
        <f>IFERROR(__xludf.DUMMYFUNCTION("""COMPUTED_VALUE"""),"C")</f>
        <v>C</v>
      </c>
      <c r="D4614" s="9" t="str">
        <f>IFERROR(__xludf.DUMMYFUNCTION("""COMPUTED_VALUE"""),"WebAssembly")</f>
        <v>WebAssembly</v>
      </c>
      <c r="E4614" s="9" t="str">
        <f>IFERROR(__xludf.DUMMYFUNCTION("""COMPUTED_VALUE"""),"HTML/CSS")</f>
        <v>HTML/CSS</v>
      </c>
      <c r="F4614" s="9" t="str">
        <f>IFERROR(__xludf.DUMMYFUNCTION("""COMPUTED_VALUE"""),"Python")</f>
        <v>Python</v>
      </c>
      <c r="G4614" s="9" t="str">
        <f>IFERROR(__xludf.DUMMYFUNCTION("""COMPUTED_VALUE"""),"C#")</f>
        <v>C#</v>
      </c>
      <c r="H4614" s="9" t="str">
        <f>IFERROR(__xludf.DUMMYFUNCTION("""COMPUTED_VALUE"""),"JavaScript")</f>
        <v>JavaScript</v>
      </c>
      <c r="I4614" s="9" t="str">
        <f>IFERROR(__xludf.DUMMYFUNCTION("""COMPUTED_VALUE"""),"PHP")</f>
        <v>PHP</v>
      </c>
      <c r="J4614" s="9" t="str">
        <f>IFERROR(__xludf.DUMMYFUNCTION("""COMPUTED_VALUE"""),"Python")</f>
        <v>Python</v>
      </c>
      <c r="K4614" s="9" t="str">
        <f>IFERROR(__xludf.DUMMYFUNCTION("""COMPUTED_VALUE"""),"VBA")</f>
        <v>VBA</v>
      </c>
      <c r="L4614" s="9" t="str">
        <f>IFERROR(__xludf.DUMMYFUNCTION("""COMPUTED_VALUE"""),"C#")</f>
        <v>C#</v>
      </c>
      <c r="M4614" s="9" t="s">
        <v>25</v>
      </c>
    </row>
    <row r="4615" ht="15.75" customHeight="1">
      <c r="A4615" s="7"/>
      <c r="B4615" s="7" t="str">
        <f>IFERROR(__xludf.DUMMYFUNCTION("""COMPUTED_VALUE"""),"HTML/CSS;PHP;SQL")</f>
        <v>HTML/CSS;PHP;SQL</v>
      </c>
      <c r="C4615" s="9" t="str">
        <f>IFERROR(__xludf.DUMMYFUNCTION("""COMPUTED_VALUE"""),"C++")</f>
        <v>C++</v>
      </c>
      <c r="D4615" s="9" t="str">
        <f>IFERROR(__xludf.DUMMYFUNCTION("""COMPUTED_VALUE"""),"Other(s):")</f>
        <v>Other(s):</v>
      </c>
      <c r="E4615" s="9" t="str">
        <f>IFERROR(__xludf.DUMMYFUNCTION("""COMPUTED_VALUE"""),"Java")</f>
        <v>Java</v>
      </c>
      <c r="F4615" s="9" t="str">
        <f>IFERROR(__xludf.DUMMYFUNCTION("""COMPUTED_VALUE"""),"R")</f>
        <v>R</v>
      </c>
      <c r="G4615" s="9" t="str">
        <f>IFERROR(__xludf.DUMMYFUNCTION("""COMPUTED_VALUE"""),"HTML/CSS")</f>
        <v>HTML/CSS</v>
      </c>
      <c r="H4615" s="9" t="str">
        <f>IFERROR(__xludf.DUMMYFUNCTION("""COMPUTED_VALUE"""),"TypeScript")</f>
        <v>TypeScript</v>
      </c>
      <c r="I4615" s="9" t="str">
        <f>IFERROR(__xludf.DUMMYFUNCTION("""COMPUTED_VALUE"""),"SQL")</f>
        <v>SQL</v>
      </c>
      <c r="J4615" s="9" t="str">
        <f>IFERROR(__xludf.DUMMYFUNCTION("""COMPUTED_VALUE"""),"SQL")</f>
        <v>SQL</v>
      </c>
      <c r="K4615" s="9" t="str">
        <f>IFERROR(__xludf.DUMMYFUNCTION("""COMPUTED_VALUE"""),"Java")</f>
        <v>Java</v>
      </c>
      <c r="L4615" s="9" t="str">
        <f>IFERROR(__xludf.DUMMYFUNCTION("""COMPUTED_VALUE"""),"Erlang")</f>
        <v>Erlang</v>
      </c>
      <c r="M4615" s="9" t="s">
        <v>23</v>
      </c>
    </row>
    <row r="4616" ht="15.75" customHeight="1">
      <c r="A4616" s="7"/>
      <c r="B4616" s="7" t="str">
        <f>IFERROR(__xludf.DUMMYFUNCTION("""COMPUTED_VALUE"""),"C#;HTML/CSS;JavaScript;SQL")</f>
        <v>C#;HTML/CSS;JavaScript;SQL</v>
      </c>
      <c r="C4616" s="9" t="str">
        <f>IFERROR(__xludf.DUMMYFUNCTION("""COMPUTED_VALUE"""),"HTML/CSS")</f>
        <v>HTML/CSS</v>
      </c>
      <c r="D4616" s="9" t="str">
        <f>IFERROR(__xludf.DUMMYFUNCTION("""COMPUTED_VALUE"""),"Bash/Shell/PowerShell")</f>
        <v>Bash/Shell/PowerShell</v>
      </c>
      <c r="E4616" s="9" t="str">
        <f>IFERROR(__xludf.DUMMYFUNCTION("""COMPUTED_VALUE"""),"JavaScript")</f>
        <v>JavaScript</v>
      </c>
      <c r="F4616" s="9" t="str">
        <f>IFERROR(__xludf.DUMMYFUNCTION("""COMPUTED_VALUE"""),"C++")</f>
        <v>C++</v>
      </c>
      <c r="G4616" s="9" t="str">
        <f>IFERROR(__xludf.DUMMYFUNCTION("""COMPUTED_VALUE"""),"JavaScript")</f>
        <v>JavaScript</v>
      </c>
      <c r="H4616" s="9" t="str">
        <f>IFERROR(__xludf.DUMMYFUNCTION("""COMPUTED_VALUE"""),"C#")</f>
        <v>C#</v>
      </c>
      <c r="I4616" s="9" t="str">
        <f>IFERROR(__xludf.DUMMYFUNCTION("""COMPUTED_VALUE"""),"Bash/Shell/PowerShell")</f>
        <v>Bash/Shell/PowerShell</v>
      </c>
      <c r="J4616" s="9" t="str">
        <f>IFERROR(__xludf.DUMMYFUNCTION("""COMPUTED_VALUE"""),"VBA")</f>
        <v>VBA</v>
      </c>
      <c r="K4616" s="9" t="str">
        <f>IFERROR(__xludf.DUMMYFUNCTION("""COMPUTED_VALUE"""),"Kotlin")</f>
        <v>Kotlin</v>
      </c>
      <c r="L4616" s="9" t="str">
        <f>IFERROR(__xludf.DUMMYFUNCTION("""COMPUTED_VALUE"""),"HTML/CSS")</f>
        <v>HTML/CSS</v>
      </c>
      <c r="M4616" s="9" t="s">
        <v>24</v>
      </c>
    </row>
    <row r="4617" ht="15.75" customHeight="1">
      <c r="A4617" s="7"/>
      <c r="B4617" s="7" t="str">
        <f>IFERROR(__xludf.DUMMYFUNCTION("""COMPUTED_VALUE"""),"Bash/Shell/PowerShell;HTML/CSS;Java;JavaScript;PHP;SQL;TypeScript")</f>
        <v>Bash/Shell/PowerShell;HTML/CSS;Java;JavaScript;PHP;SQL;TypeScript</v>
      </c>
      <c r="C4617" s="9" t="str">
        <f>IFERROR(__xludf.DUMMYFUNCTION("""COMPUTED_VALUE"""),"Objective-C")</f>
        <v>Objective-C</v>
      </c>
      <c r="D4617" s="9" t="str">
        <f>IFERROR(__xludf.DUMMYFUNCTION("""COMPUTED_VALUE"""),"HTML/CSS")</f>
        <v>HTML/CSS</v>
      </c>
      <c r="E4617" s="9" t="str">
        <f>IFERROR(__xludf.DUMMYFUNCTION("""COMPUTED_VALUE"""),"Python")</f>
        <v>Python</v>
      </c>
      <c r="F4617" s="9" t="str">
        <f>IFERROR(__xludf.DUMMYFUNCTION("""COMPUTED_VALUE"""),"Python")</f>
        <v>Python</v>
      </c>
      <c r="G4617" s="9" t="str">
        <f>IFERROR(__xludf.DUMMYFUNCTION("""COMPUTED_VALUE"""),"HTML/CSS")</f>
        <v>HTML/CSS</v>
      </c>
      <c r="H4617" s="9" t="str">
        <f>IFERROR(__xludf.DUMMYFUNCTION("""COMPUTED_VALUE"""),"Dart")</f>
        <v>Dart</v>
      </c>
      <c r="I4617" s="9" t="str">
        <f>IFERROR(__xludf.DUMMYFUNCTION("""COMPUTED_VALUE"""),"HTML/CSS")</f>
        <v>HTML/CSS</v>
      </c>
      <c r="J4617" s="9" t="str">
        <f>IFERROR(__xludf.DUMMYFUNCTION("""COMPUTED_VALUE"""),"Other(s):")</f>
        <v>Other(s):</v>
      </c>
      <c r="K4617" s="9" t="str">
        <f>IFERROR(__xludf.DUMMYFUNCTION("""COMPUTED_VALUE"""),"HTML/CSS")</f>
        <v>HTML/CSS</v>
      </c>
      <c r="L4617" s="9" t="str">
        <f>IFERROR(__xludf.DUMMYFUNCTION("""COMPUTED_VALUE"""),"Java")</f>
        <v>Java</v>
      </c>
      <c r="M4617" s="9" t="s">
        <v>41</v>
      </c>
    </row>
    <row r="4618" ht="15.75" customHeight="1">
      <c r="A4618" s="7"/>
      <c r="B4618" s="7" t="str">
        <f>IFERROR(__xludf.DUMMYFUNCTION("""COMPUTED_VALUE"""),"Assembly;C;C#;JavaScript")</f>
        <v>Assembly;C;C#;JavaScript</v>
      </c>
      <c r="C4618" s="9" t="str">
        <f>IFERROR(__xludf.DUMMYFUNCTION("""COMPUTED_VALUE"""),"Swift")</f>
        <v>Swift</v>
      </c>
      <c r="D4618" s="9" t="str">
        <f>IFERROR(__xludf.DUMMYFUNCTION("""COMPUTED_VALUE"""),"JavaScript")</f>
        <v>JavaScript</v>
      </c>
      <c r="E4618" s="9" t="str">
        <f>IFERROR(__xludf.DUMMYFUNCTION("""COMPUTED_VALUE"""),"TypeScript")</f>
        <v>TypeScript</v>
      </c>
      <c r="F4618" s="9" t="str">
        <f>IFERROR(__xludf.DUMMYFUNCTION("""COMPUTED_VALUE"""),"Rust")</f>
        <v>Rust</v>
      </c>
      <c r="G4618" s="9" t="str">
        <f>IFERROR(__xludf.DUMMYFUNCTION("""COMPUTED_VALUE"""),"Java")</f>
        <v>Java</v>
      </c>
      <c r="H4618" s="9" t="str">
        <f>IFERROR(__xludf.DUMMYFUNCTION("""COMPUTED_VALUE"""),"HTML/CSS")</f>
        <v>HTML/CSS</v>
      </c>
      <c r="I4618" s="9" t="str">
        <f>IFERROR(__xludf.DUMMYFUNCTION("""COMPUTED_VALUE"""),"JavaScript")</f>
        <v>JavaScript</v>
      </c>
      <c r="J4618" s="9" t="str">
        <f>IFERROR(__xludf.DUMMYFUNCTION("""COMPUTED_VALUE"""),"Bash/Shell/PowerShell")</f>
        <v>Bash/Shell/PowerShell</v>
      </c>
      <c r="K4618" s="9" t="str">
        <f>IFERROR(__xludf.DUMMYFUNCTION("""COMPUTED_VALUE"""),"JavaScript")</f>
        <v>JavaScript</v>
      </c>
      <c r="L4618" s="9" t="str">
        <f>IFERROR(__xludf.DUMMYFUNCTION("""COMPUTED_VALUE"""),"JavaScript")</f>
        <v>JavaScript</v>
      </c>
      <c r="M4618" s="9" t="s">
        <v>40</v>
      </c>
    </row>
    <row r="4619" ht="15.75" customHeight="1">
      <c r="A4619" s="7"/>
      <c r="B4619" s="7" t="str">
        <f>IFERROR(__xludf.DUMMYFUNCTION("""COMPUTED_VALUE"""),"C#;Python;SQL")</f>
        <v>C#;Python;SQL</v>
      </c>
      <c r="C4619" s="9" t="str">
        <f>IFERROR(__xludf.DUMMYFUNCTION("""COMPUTED_VALUE"""),"Bash/Shell/PowerShell")</f>
        <v>Bash/Shell/PowerShell</v>
      </c>
      <c r="D4619" s="9" t="str">
        <f>IFERROR(__xludf.DUMMYFUNCTION("""COMPUTED_VALUE"""),"R")</f>
        <v>R</v>
      </c>
      <c r="E4619" s="9" t="str">
        <f>IFERROR(__xludf.DUMMYFUNCTION("""COMPUTED_VALUE"""),"Bash/Shell/PowerShell")</f>
        <v>Bash/Shell/PowerShell</v>
      </c>
      <c r="F4619" s="9" t="str">
        <f>IFERROR(__xludf.DUMMYFUNCTION("""COMPUTED_VALUE"""),"C#")</f>
        <v>C#</v>
      </c>
      <c r="G4619" s="9" t="str">
        <f>IFERROR(__xludf.DUMMYFUNCTION("""COMPUTED_VALUE"""),"Ruby")</f>
        <v>Ruby</v>
      </c>
      <c r="H4619" s="9" t="str">
        <f>IFERROR(__xludf.DUMMYFUNCTION("""COMPUTED_VALUE"""),"Java")</f>
        <v>Java</v>
      </c>
      <c r="I4619" s="9" t="str">
        <f>IFERROR(__xludf.DUMMYFUNCTION("""COMPUTED_VALUE"""),"Python")</f>
        <v>Python</v>
      </c>
      <c r="J4619" s="9" t="str">
        <f>IFERROR(__xludf.DUMMYFUNCTION("""COMPUTED_VALUE"""),"C#")</f>
        <v>C#</v>
      </c>
      <c r="K4619" s="9" t="str">
        <f>IFERROR(__xludf.DUMMYFUNCTION("""COMPUTED_VALUE"""),"PHP")</f>
        <v>PHP</v>
      </c>
      <c r="L4619" s="9" t="str">
        <f>IFERROR(__xludf.DUMMYFUNCTION("""COMPUTED_VALUE"""),"PHP")</f>
        <v>PHP</v>
      </c>
      <c r="M4619" s="9" t="s">
        <v>30</v>
      </c>
    </row>
    <row r="4620" ht="15.75" customHeight="1">
      <c r="A4620" s="7"/>
      <c r="B4620" s="7" t="str">
        <f>IFERROR(__xludf.DUMMYFUNCTION("""COMPUTED_VALUE"""),"Java;JavaScript;Kotlin")</f>
        <v>Java;JavaScript;Kotlin</v>
      </c>
      <c r="C4620" s="9" t="str">
        <f>IFERROR(__xludf.DUMMYFUNCTION("""COMPUTED_VALUE"""),"HTML/CSS")</f>
        <v>HTML/CSS</v>
      </c>
      <c r="D4620" s="9" t="str">
        <f>IFERROR(__xludf.DUMMYFUNCTION("""COMPUTED_VALUE"""),"VBA")</f>
        <v>VBA</v>
      </c>
      <c r="E4620" s="9" t="str">
        <f>IFERROR(__xludf.DUMMYFUNCTION("""COMPUTED_VALUE"""),"Java")</f>
        <v>Java</v>
      </c>
      <c r="F4620" s="9" t="str">
        <f>IFERROR(__xludf.DUMMYFUNCTION("""COMPUTED_VALUE"""),"F#")</f>
        <v>F#</v>
      </c>
      <c r="G4620" s="9" t="str">
        <f>IFERROR(__xludf.DUMMYFUNCTION("""COMPUTED_VALUE"""),"HTML/CSS")</f>
        <v>HTML/CSS</v>
      </c>
      <c r="H4620" s="9" t="str">
        <f>IFERROR(__xludf.DUMMYFUNCTION("""COMPUTED_VALUE"""),"JavaScript")</f>
        <v>JavaScript</v>
      </c>
      <c r="I4620" s="9" t="str">
        <f>IFERROR(__xludf.DUMMYFUNCTION("""COMPUTED_VALUE"""),"C")</f>
        <v>C</v>
      </c>
      <c r="J4620" s="9" t="str">
        <f>IFERROR(__xludf.DUMMYFUNCTION("""COMPUTED_VALUE"""),"HTML/CSS")</f>
        <v>HTML/CSS</v>
      </c>
      <c r="K4620" s="9" t="str">
        <f>IFERROR(__xludf.DUMMYFUNCTION("""COMPUTED_VALUE"""),"SQL")</f>
        <v>SQL</v>
      </c>
      <c r="L4620" s="9" t="str">
        <f>IFERROR(__xludf.DUMMYFUNCTION("""COMPUTED_VALUE"""),"Python")</f>
        <v>Python</v>
      </c>
      <c r="M4620" s="9" t="s">
        <v>24</v>
      </c>
    </row>
    <row r="4621" ht="15.75" customHeight="1">
      <c r="A4621" s="7"/>
      <c r="B4621" s="7" t="str">
        <f>IFERROR(__xludf.DUMMYFUNCTION("""COMPUTED_VALUE"""),"HTML/CSS;JavaScript;Ruby;TypeScript")</f>
        <v>HTML/CSS;JavaScript;Ruby;TypeScript</v>
      </c>
      <c r="C4621" s="9" t="str">
        <f>IFERROR(__xludf.DUMMYFUNCTION("""COMPUTED_VALUE"""),"JavaScript")</f>
        <v>JavaScript</v>
      </c>
      <c r="D4621" s="9" t="str">
        <f>IFERROR(__xludf.DUMMYFUNCTION("""COMPUTED_VALUE"""),"Other(s):")</f>
        <v>Other(s):</v>
      </c>
      <c r="E4621" s="9" t="str">
        <f>IFERROR(__xludf.DUMMYFUNCTION("""COMPUTED_VALUE"""),"SQL")</f>
        <v>SQL</v>
      </c>
      <c r="F4621" s="9" t="str">
        <f>IFERROR(__xludf.DUMMYFUNCTION("""COMPUTED_VALUE"""),"Ruby")</f>
        <v>Ruby</v>
      </c>
      <c r="G4621" s="9" t="str">
        <f>IFERROR(__xludf.DUMMYFUNCTION("""COMPUTED_VALUE"""),"JavaScript")</f>
        <v>JavaScript</v>
      </c>
      <c r="H4621" s="9" t="str">
        <f>IFERROR(__xludf.DUMMYFUNCTION("""COMPUTED_VALUE"""),"PHP")</f>
        <v>PHP</v>
      </c>
      <c r="I4621" s="9" t="str">
        <f>IFERROR(__xludf.DUMMYFUNCTION("""COMPUTED_VALUE"""),"C++")</f>
        <v>C++</v>
      </c>
      <c r="J4621" s="9" t="str">
        <f>IFERROR(__xludf.DUMMYFUNCTION("""COMPUTED_VALUE"""),"JavaScript")</f>
        <v>JavaScript</v>
      </c>
      <c r="K4621" s="9" t="str">
        <f>IFERROR(__xludf.DUMMYFUNCTION("""COMPUTED_VALUE"""),"C")</f>
        <v>C</v>
      </c>
      <c r="L4621" s="9" t="str">
        <f>IFERROR(__xludf.DUMMYFUNCTION("""COMPUTED_VALUE"""),"SQL")</f>
        <v>SQL</v>
      </c>
      <c r="M4621" s="9" t="s">
        <v>21</v>
      </c>
    </row>
    <row r="4622" ht="15.75" customHeight="1">
      <c r="A4622" s="7"/>
      <c r="B4622" s="7" t="str">
        <f>IFERROR(__xludf.DUMMYFUNCTION("""COMPUTED_VALUE"""),"HTML/CSS;Java;JavaScript;SQL;Other(s):")</f>
        <v>HTML/CSS;Java;JavaScript;SQL;Other(s):</v>
      </c>
      <c r="C4622" s="9" t="str">
        <f>IFERROR(__xludf.DUMMYFUNCTION("""COMPUTED_VALUE"""),"Python")</f>
        <v>Python</v>
      </c>
      <c r="D4622" s="9" t="str">
        <f>IFERROR(__xludf.DUMMYFUNCTION("""COMPUTED_VALUE"""),"C#")</f>
        <v>C#</v>
      </c>
      <c r="E4622" s="9" t="str">
        <f>IFERROR(__xludf.DUMMYFUNCTION("""COMPUTED_VALUE"""),"C#")</f>
        <v>C#</v>
      </c>
      <c r="F4622" s="9" t="str">
        <f>IFERROR(__xludf.DUMMYFUNCTION("""COMPUTED_VALUE"""),"SQL")</f>
        <v>SQL</v>
      </c>
      <c r="G4622" s="9" t="str">
        <f>IFERROR(__xludf.DUMMYFUNCTION("""COMPUTED_VALUE"""),"Python")</f>
        <v>Python</v>
      </c>
      <c r="H4622" s="9" t="str">
        <f>IFERROR(__xludf.DUMMYFUNCTION("""COMPUTED_VALUE"""),"SQL")</f>
        <v>SQL</v>
      </c>
      <c r="I4622" s="9" t="str">
        <f>IFERROR(__xludf.DUMMYFUNCTION("""COMPUTED_VALUE"""),"Go")</f>
        <v>Go</v>
      </c>
      <c r="J4622" s="9" t="str">
        <f>IFERROR(__xludf.DUMMYFUNCTION("""COMPUTED_VALUE"""),"SQL")</f>
        <v>SQL</v>
      </c>
      <c r="K4622" s="9" t="str">
        <f>IFERROR(__xludf.DUMMYFUNCTION("""COMPUTED_VALUE"""),"C++")</f>
        <v>C++</v>
      </c>
      <c r="L4622" s="9" t="str">
        <f>IFERROR(__xludf.DUMMYFUNCTION("""COMPUTED_VALUE"""),"Assembly")</f>
        <v>Assembly</v>
      </c>
      <c r="M4622" s="9" t="s">
        <v>22</v>
      </c>
    </row>
    <row r="4623" ht="15.75" customHeight="1">
      <c r="A4623" s="7"/>
      <c r="B4623" s="7" t="str">
        <f>IFERROR(__xludf.DUMMYFUNCTION("""COMPUTED_VALUE"""),"C++;C#;HTML/CSS;Java;JavaScript;SQL;TypeScript;VBA")</f>
        <v>C++;C#;HTML/CSS;Java;JavaScript;SQL;TypeScript;VBA</v>
      </c>
      <c r="C4623" s="9" t="str">
        <f>IFERROR(__xludf.DUMMYFUNCTION("""COMPUTED_VALUE"""),"R")</f>
        <v>R</v>
      </c>
      <c r="D4623" s="9" t="str">
        <f>IFERROR(__xludf.DUMMYFUNCTION("""COMPUTED_VALUE"""),"HTML/CSS")</f>
        <v>HTML/CSS</v>
      </c>
      <c r="E4623" s="9" t="str">
        <f>IFERROR(__xludf.DUMMYFUNCTION("""COMPUTED_VALUE"""),"HTML/CSS")</f>
        <v>HTML/CSS</v>
      </c>
      <c r="F4623" s="9" t="str">
        <f>IFERROR(__xludf.DUMMYFUNCTION("""COMPUTED_VALUE"""),"HTML/CSS")</f>
        <v>HTML/CSS</v>
      </c>
      <c r="G4623" s="9" t="str">
        <f>IFERROR(__xludf.DUMMYFUNCTION("""COMPUTED_VALUE"""),"HTML/CSS")</f>
        <v>HTML/CSS</v>
      </c>
      <c r="H4623" s="9" t="str">
        <f>IFERROR(__xludf.DUMMYFUNCTION("""COMPUTED_VALUE"""),"JavaScript")</f>
        <v>JavaScript</v>
      </c>
      <c r="I4623" s="9" t="str">
        <f>IFERROR(__xludf.DUMMYFUNCTION("""COMPUTED_VALUE"""),"HTML/CSS")</f>
        <v>HTML/CSS</v>
      </c>
      <c r="J4623" s="9" t="str">
        <f>IFERROR(__xludf.DUMMYFUNCTION("""COMPUTED_VALUE"""),"TypeScript")</f>
        <v>TypeScript</v>
      </c>
      <c r="K4623" s="9" t="str">
        <f>IFERROR(__xludf.DUMMYFUNCTION("""COMPUTED_VALUE"""),"HTML/CSS")</f>
        <v>HTML/CSS</v>
      </c>
      <c r="L4623" s="9" t="str">
        <f>IFERROR(__xludf.DUMMYFUNCTION("""COMPUTED_VALUE"""),"Bash/Shell/PowerShell")</f>
        <v>Bash/Shell/PowerShell</v>
      </c>
      <c r="M4623" s="9" t="s">
        <v>29</v>
      </c>
    </row>
    <row r="4624" ht="15.75" customHeight="1">
      <c r="A4624" s="7"/>
      <c r="B4624" s="7" t="str">
        <f>IFERROR(__xludf.DUMMYFUNCTION("""COMPUTED_VALUE"""),"Bash/Shell/PowerShell;HTML/CSS;Java;JavaScript;Python;R;Scala;SQL")</f>
        <v>Bash/Shell/PowerShell;HTML/CSS;Java;JavaScript;Python;R;Scala;SQL</v>
      </c>
      <c r="C4624" s="9" t="str">
        <f>IFERROR(__xludf.DUMMYFUNCTION("""COMPUTED_VALUE"""),"SQL")</f>
        <v>SQL</v>
      </c>
      <c r="D4624" s="9" t="str">
        <f>IFERROR(__xludf.DUMMYFUNCTION("""COMPUTED_VALUE"""),"JavaScript")</f>
        <v>JavaScript</v>
      </c>
      <c r="E4624" s="9" t="str">
        <f>IFERROR(__xludf.DUMMYFUNCTION("""COMPUTED_VALUE"""),"JavaScript")</f>
        <v>JavaScript</v>
      </c>
      <c r="F4624" s="9" t="str">
        <f>IFERROR(__xludf.DUMMYFUNCTION("""COMPUTED_VALUE"""),"Java")</f>
        <v>Java</v>
      </c>
      <c r="G4624" s="9" t="str">
        <f>IFERROR(__xludf.DUMMYFUNCTION("""COMPUTED_VALUE"""),"JavaScript")</f>
        <v>JavaScript</v>
      </c>
      <c r="H4624" s="9" t="str">
        <f>IFERROR(__xludf.DUMMYFUNCTION("""COMPUTED_VALUE"""),"Python")</f>
        <v>Python</v>
      </c>
      <c r="I4624" s="9" t="str">
        <f>IFERROR(__xludf.DUMMYFUNCTION("""COMPUTED_VALUE"""),"JavaScript")</f>
        <v>JavaScript</v>
      </c>
      <c r="J4624" s="9" t="str">
        <f>IFERROR(__xludf.DUMMYFUNCTION("""COMPUTED_VALUE"""),"VBA")</f>
        <v>VBA</v>
      </c>
      <c r="K4624" s="9" t="str">
        <f>IFERROR(__xludf.DUMMYFUNCTION("""COMPUTED_VALUE"""),"JavaScript")</f>
        <v>JavaScript</v>
      </c>
      <c r="L4624" s="9" t="str">
        <f>IFERROR(__xludf.DUMMYFUNCTION("""COMPUTED_VALUE"""),"C")</f>
        <v>C</v>
      </c>
      <c r="M4624" s="9" t="s">
        <v>27</v>
      </c>
    </row>
    <row r="4625" ht="15.75" customHeight="1">
      <c r="A4625" s="7"/>
      <c r="B4625" s="7" t="str">
        <f>IFERROR(__xludf.DUMMYFUNCTION("""COMPUTED_VALUE"""),"C#;HTML/CSS;JavaScript;PHP;SQL;Other(s):")</f>
        <v>C#;HTML/CSS;JavaScript;PHP;SQL;Other(s):</v>
      </c>
      <c r="C4625" s="9" t="str">
        <f>IFERROR(__xludf.DUMMYFUNCTION("""COMPUTED_VALUE"""),"HTML/CSS")</f>
        <v>HTML/CSS</v>
      </c>
      <c r="D4625" s="9" t="str">
        <f>IFERROR(__xludf.DUMMYFUNCTION("""COMPUTED_VALUE"""),"TypeScript")</f>
        <v>TypeScript</v>
      </c>
      <c r="E4625" s="9" t="str">
        <f>IFERROR(__xludf.DUMMYFUNCTION("""COMPUTED_VALUE"""),"SQL")</f>
        <v>SQL</v>
      </c>
      <c r="F4625" s="9" t="str">
        <f>IFERROR(__xludf.DUMMYFUNCTION("""COMPUTED_VALUE"""),"JavaScript")</f>
        <v>JavaScript</v>
      </c>
      <c r="G4625" s="9" t="str">
        <f>IFERROR(__xludf.DUMMYFUNCTION("""COMPUTED_VALUE"""),"SQL")</f>
        <v>SQL</v>
      </c>
      <c r="H4625" s="9" t="str">
        <f>IFERROR(__xludf.DUMMYFUNCTION("""COMPUTED_VALUE"""),"TypeScript")</f>
        <v>TypeScript</v>
      </c>
      <c r="I4625" s="9" t="str">
        <f>IFERROR(__xludf.DUMMYFUNCTION("""COMPUTED_VALUE"""),"PHP")</f>
        <v>PHP</v>
      </c>
      <c r="J4625" s="9" t="str">
        <f>IFERROR(__xludf.DUMMYFUNCTION("""COMPUTED_VALUE"""),"Bash/Shell/PowerShell")</f>
        <v>Bash/Shell/PowerShell</v>
      </c>
      <c r="K4625" s="9" t="str">
        <f>IFERROR(__xludf.DUMMYFUNCTION("""COMPUTED_VALUE"""),"PHP")</f>
        <v>PHP</v>
      </c>
      <c r="L4625" s="9" t="str">
        <f>IFERROR(__xludf.DUMMYFUNCTION("""COMPUTED_VALUE"""),"C++")</f>
        <v>C++</v>
      </c>
      <c r="M4625" s="9" t="s">
        <v>24</v>
      </c>
    </row>
    <row r="4626" ht="15.75" customHeight="1">
      <c r="A4626" s="7"/>
      <c r="B4626" s="7" t="str">
        <f>IFERROR(__xludf.DUMMYFUNCTION("""COMPUTED_VALUE"""),"Bash/Shell/PowerShell;Python;R")</f>
        <v>Bash/Shell/PowerShell;Python;R</v>
      </c>
      <c r="C4626" s="9" t="str">
        <f>IFERROR(__xludf.DUMMYFUNCTION("""COMPUTED_VALUE"""),"JavaScript")</f>
        <v>JavaScript</v>
      </c>
      <c r="D4626" s="9" t="str">
        <f>IFERROR(__xludf.DUMMYFUNCTION("""COMPUTED_VALUE"""),"Dart")</f>
        <v>Dart</v>
      </c>
      <c r="E4626" s="9" t="str">
        <f>IFERROR(__xludf.DUMMYFUNCTION("""COMPUTED_VALUE"""),"TypeScript")</f>
        <v>TypeScript</v>
      </c>
      <c r="F4626" s="9" t="str">
        <f>IFERROR(__xludf.DUMMYFUNCTION("""COMPUTED_VALUE"""),"PHP")</f>
        <v>PHP</v>
      </c>
      <c r="G4626" s="9" t="str">
        <f>IFERROR(__xludf.DUMMYFUNCTION("""COMPUTED_VALUE"""),"TypeScript")</f>
        <v>TypeScript</v>
      </c>
      <c r="H4626" s="9" t="str">
        <f>IFERROR(__xludf.DUMMYFUNCTION("""COMPUTED_VALUE"""),"HTML/CSS")</f>
        <v>HTML/CSS</v>
      </c>
      <c r="I4626" s="9" t="str">
        <f>IFERROR(__xludf.DUMMYFUNCTION("""COMPUTED_VALUE"""),"SQL")</f>
        <v>SQL</v>
      </c>
      <c r="J4626" s="9" t="str">
        <f>IFERROR(__xludf.DUMMYFUNCTION("""COMPUTED_VALUE"""),"C")</f>
        <v>C</v>
      </c>
      <c r="K4626" s="9" t="str">
        <f>IFERROR(__xludf.DUMMYFUNCTION("""COMPUTED_VALUE"""),"SQL")</f>
        <v>SQL</v>
      </c>
      <c r="L4626" s="9" t="str">
        <f>IFERROR(__xludf.DUMMYFUNCTION("""COMPUTED_VALUE"""),"HTML/CSS")</f>
        <v>HTML/CSS</v>
      </c>
      <c r="M4626" s="9" t="s">
        <v>21</v>
      </c>
    </row>
    <row r="4627" ht="15.75" customHeight="1">
      <c r="A4627" s="7"/>
      <c r="B4627" s="7" t="str">
        <f>IFERROR(__xludf.DUMMYFUNCTION("""COMPUTED_VALUE"""),"Bash/Shell/PowerShell;Go;HTML/CSS;Java;JavaScript;SQL")</f>
        <v>Bash/Shell/PowerShell;Go;HTML/CSS;Java;JavaScript;SQL</v>
      </c>
      <c r="C4627" s="9" t="str">
        <f>IFERROR(__xludf.DUMMYFUNCTION("""COMPUTED_VALUE"""),"TypeScript")</f>
        <v>TypeScript</v>
      </c>
      <c r="D4627" s="9" t="str">
        <f>IFERROR(__xludf.DUMMYFUNCTION("""COMPUTED_VALUE"""),"Java")</f>
        <v>Java</v>
      </c>
      <c r="E4627" s="9" t="str">
        <f>IFERROR(__xludf.DUMMYFUNCTION("""COMPUTED_VALUE"""),"Assembly")</f>
        <v>Assembly</v>
      </c>
      <c r="F4627" s="9" t="str">
        <f>IFERROR(__xludf.DUMMYFUNCTION("""COMPUTED_VALUE"""),"TypeScript")</f>
        <v>TypeScript</v>
      </c>
      <c r="G4627" s="9" t="str">
        <f>IFERROR(__xludf.DUMMYFUNCTION("""COMPUTED_VALUE"""),"VBA")</f>
        <v>VBA</v>
      </c>
      <c r="H4627" s="9" t="str">
        <f>IFERROR(__xludf.DUMMYFUNCTION("""COMPUTED_VALUE"""),"JavaScript")</f>
        <v>JavaScript</v>
      </c>
      <c r="I4627" s="9" t="str">
        <f>IFERROR(__xludf.DUMMYFUNCTION("""COMPUTED_VALUE"""),"Bash/Shell/PowerShell")</f>
        <v>Bash/Shell/PowerShell</v>
      </c>
      <c r="J4627" s="9" t="str">
        <f>IFERROR(__xludf.DUMMYFUNCTION("""COMPUTED_VALUE"""),"C++")</f>
        <v>C++</v>
      </c>
      <c r="K4627" s="9" t="str">
        <f>IFERROR(__xludf.DUMMYFUNCTION("""COMPUTED_VALUE"""),"C")</f>
        <v>C</v>
      </c>
      <c r="L4627" s="9" t="str">
        <f>IFERROR(__xludf.DUMMYFUNCTION("""COMPUTED_VALUE"""),"Java")</f>
        <v>Java</v>
      </c>
      <c r="M4627" s="9" t="s">
        <v>33</v>
      </c>
    </row>
    <row r="4628" ht="15.75" customHeight="1">
      <c r="A4628" s="7"/>
      <c r="B4628" s="7" t="str">
        <f>IFERROR(__xludf.DUMMYFUNCTION("""COMPUTED_VALUE"""),"Bash/Shell/PowerShell;C++;C#;HTML/CSS;Java;JavaScript;Swift;TypeScript")</f>
        <v>Bash/Shell/PowerShell;C++;C#;HTML/CSS;Java;JavaScript;Swift;TypeScript</v>
      </c>
      <c r="C4628" s="9" t="str">
        <f>IFERROR(__xludf.DUMMYFUNCTION("""COMPUTED_VALUE"""),"Bash/Shell/PowerShell")</f>
        <v>Bash/Shell/PowerShell</v>
      </c>
      <c r="D4628" s="9" t="str">
        <f>IFERROR(__xludf.DUMMYFUNCTION("""COMPUTED_VALUE"""),"JavaScript")</f>
        <v>JavaScript</v>
      </c>
      <c r="E4628" s="9" t="str">
        <f>IFERROR(__xludf.DUMMYFUNCTION("""COMPUTED_VALUE"""),"Bash/Shell/PowerShell")</f>
        <v>Bash/Shell/PowerShell</v>
      </c>
      <c r="F4628" s="9" t="str">
        <f>IFERROR(__xludf.DUMMYFUNCTION("""COMPUTED_VALUE"""),"Bash/Shell/PowerShell")</f>
        <v>Bash/Shell/PowerShell</v>
      </c>
      <c r="G4628" s="9" t="str">
        <f>IFERROR(__xludf.DUMMYFUNCTION("""COMPUTED_VALUE"""),"C#")</f>
        <v>C#</v>
      </c>
      <c r="H4628" s="9" t="str">
        <f>IFERROR(__xludf.DUMMYFUNCTION("""COMPUTED_VALUE"""),"PHP")</f>
        <v>PHP</v>
      </c>
      <c r="I4628" s="9" t="str">
        <f>IFERROR(__xludf.DUMMYFUNCTION("""COMPUTED_VALUE"""),"HTML/CSS")</f>
        <v>HTML/CSS</v>
      </c>
      <c r="J4628" s="9" t="str">
        <f>IFERROR(__xludf.DUMMYFUNCTION("""COMPUTED_VALUE"""),"Java")</f>
        <v>Java</v>
      </c>
      <c r="K4628" s="9" t="str">
        <f>IFERROR(__xludf.DUMMYFUNCTION("""COMPUTED_VALUE"""),"Java")</f>
        <v>Java</v>
      </c>
      <c r="L4628" s="9" t="str">
        <f>IFERROR(__xludf.DUMMYFUNCTION("""COMPUTED_VALUE"""),"JavaScript")</f>
        <v>JavaScript</v>
      </c>
      <c r="M4628" s="9" t="s">
        <v>30</v>
      </c>
    </row>
    <row r="4629" ht="15.75" customHeight="1">
      <c r="A4629" s="7"/>
      <c r="B4629" s="7" t="str">
        <f>IFERROR(__xludf.DUMMYFUNCTION("""COMPUTED_VALUE"""),"C;HTML/CSS;Java;Python;SQL")</f>
        <v>C;HTML/CSS;Java;Python;SQL</v>
      </c>
      <c r="C4629" s="9" t="str">
        <f>IFERROR(__xludf.DUMMYFUNCTION("""COMPUTED_VALUE"""),"C#")</f>
        <v>C#</v>
      </c>
      <c r="D4629" s="9" t="str">
        <f>IFERROR(__xludf.DUMMYFUNCTION("""COMPUTED_VALUE"""),"Kotlin")</f>
        <v>Kotlin</v>
      </c>
      <c r="E4629" s="9" t="str">
        <f>IFERROR(__xludf.DUMMYFUNCTION("""COMPUTED_VALUE"""),"C")</f>
        <v>C</v>
      </c>
      <c r="F4629" s="9" t="str">
        <f>IFERROR(__xludf.DUMMYFUNCTION("""COMPUTED_VALUE"""),"C")</f>
        <v>C</v>
      </c>
      <c r="G4629" s="9" t="str">
        <f>IFERROR(__xludf.DUMMYFUNCTION("""COMPUTED_VALUE"""),"SQL")</f>
        <v>SQL</v>
      </c>
      <c r="H4629" s="9" t="str">
        <f>IFERROR(__xludf.DUMMYFUNCTION("""COMPUTED_VALUE"""),"TypeScript")</f>
        <v>TypeScript</v>
      </c>
      <c r="I4629" s="9" t="str">
        <f>IFERROR(__xludf.DUMMYFUNCTION("""COMPUTED_VALUE"""),"Java")</f>
        <v>Java</v>
      </c>
      <c r="J4629" s="9" t="str">
        <f>IFERROR(__xludf.DUMMYFUNCTION("""COMPUTED_VALUE"""),"JavaScript")</f>
        <v>JavaScript</v>
      </c>
      <c r="K4629" s="9" t="str">
        <f>IFERROR(__xludf.DUMMYFUNCTION("""COMPUTED_VALUE"""),"Python")</f>
        <v>Python</v>
      </c>
      <c r="L4629" s="9" t="str">
        <f>IFERROR(__xludf.DUMMYFUNCTION("""COMPUTED_VALUE"""),"Python")</f>
        <v>Python</v>
      </c>
      <c r="M4629" s="9" t="s">
        <v>26</v>
      </c>
    </row>
    <row r="4630" ht="15.75" customHeight="1">
      <c r="A4630" s="7"/>
      <c r="B4630" s="7" t="str">
        <f>IFERROR(__xludf.DUMMYFUNCTION("""COMPUTED_VALUE"""),"C;C++;C#;JavaScript;Python;TypeScript;WebAssembly")</f>
        <v>C;C++;C#;JavaScript;Python;TypeScript;WebAssembly</v>
      </c>
      <c r="C4630" s="9" t="str">
        <f>IFERROR(__xludf.DUMMYFUNCTION("""COMPUTED_VALUE"""),"HTML/CSS")</f>
        <v>HTML/CSS</v>
      </c>
      <c r="D4630" s="9" t="str">
        <f>IFERROR(__xludf.DUMMYFUNCTION("""COMPUTED_VALUE"""),"Assembly")</f>
        <v>Assembly</v>
      </c>
      <c r="E4630" s="9" t="str">
        <f>IFERROR(__xludf.DUMMYFUNCTION("""COMPUTED_VALUE"""),"Dart")</f>
        <v>Dart</v>
      </c>
      <c r="F4630" s="9" t="str">
        <f>IFERROR(__xludf.DUMMYFUNCTION("""COMPUTED_VALUE"""),"C++")</f>
        <v>C++</v>
      </c>
      <c r="G4630" s="9" t="str">
        <f>IFERROR(__xludf.DUMMYFUNCTION("""COMPUTED_VALUE"""),"VBA")</f>
        <v>VBA</v>
      </c>
      <c r="H4630" s="9" t="str">
        <f>IFERROR(__xludf.DUMMYFUNCTION("""COMPUTED_VALUE"""),"C#")</f>
        <v>C#</v>
      </c>
      <c r="I4630" s="9" t="str">
        <f>IFERROR(__xludf.DUMMYFUNCTION("""COMPUTED_VALUE"""),"JavaScript")</f>
        <v>JavaScript</v>
      </c>
      <c r="J4630" s="9" t="str">
        <f>IFERROR(__xludf.DUMMYFUNCTION("""COMPUTED_VALUE"""),"Kotlin")</f>
        <v>Kotlin</v>
      </c>
      <c r="K4630" s="9" t="str">
        <f>IFERROR(__xludf.DUMMYFUNCTION("""COMPUTED_VALUE"""),"Bash/Shell/PowerShell")</f>
        <v>Bash/Shell/PowerShell</v>
      </c>
      <c r="L4630" s="9" t="str">
        <f>IFERROR(__xludf.DUMMYFUNCTION("""COMPUTED_VALUE"""),"SQL")</f>
        <v>SQL</v>
      </c>
      <c r="M4630" s="9" t="s">
        <v>24</v>
      </c>
    </row>
    <row r="4631" ht="15.75" customHeight="1">
      <c r="A4631" s="7"/>
      <c r="B4631" s="7" t="str">
        <f>IFERROR(__xludf.DUMMYFUNCTION("""COMPUTED_VALUE"""),"C;C#")</f>
        <v>C;C#</v>
      </c>
      <c r="C4631" s="9" t="str">
        <f>IFERROR(__xludf.DUMMYFUNCTION("""COMPUTED_VALUE"""),"Java")</f>
        <v>Java</v>
      </c>
      <c r="D4631" s="9" t="str">
        <f>IFERROR(__xludf.DUMMYFUNCTION("""COMPUTED_VALUE"""),"Bash/Shell/PowerShell")</f>
        <v>Bash/Shell/PowerShell</v>
      </c>
      <c r="E4631" s="9" t="str">
        <f>IFERROR(__xludf.DUMMYFUNCTION("""COMPUTED_VALUE"""),"Java")</f>
        <v>Java</v>
      </c>
      <c r="F4631" s="9" t="str">
        <f>IFERROR(__xludf.DUMMYFUNCTION("""COMPUTED_VALUE"""),"HTML/CSS")</f>
        <v>HTML/CSS</v>
      </c>
      <c r="G4631" s="9" t="str">
        <f>IFERROR(__xludf.DUMMYFUNCTION("""COMPUTED_VALUE"""),"Other(s):")</f>
        <v>Other(s):</v>
      </c>
      <c r="H4631" s="9" t="str">
        <f>IFERROR(__xludf.DUMMYFUNCTION("""COMPUTED_VALUE"""),"HTML/CSS")</f>
        <v>HTML/CSS</v>
      </c>
      <c r="I4631" s="9" t="str">
        <f>IFERROR(__xludf.DUMMYFUNCTION("""COMPUTED_VALUE"""),"Kotlin")</f>
        <v>Kotlin</v>
      </c>
      <c r="J4631" s="9" t="str">
        <f>IFERROR(__xludf.DUMMYFUNCTION("""COMPUTED_VALUE"""),"Python")</f>
        <v>Python</v>
      </c>
      <c r="K4631" s="9" t="str">
        <f>IFERROR(__xludf.DUMMYFUNCTION("""COMPUTED_VALUE"""),"HTML/CSS")</f>
        <v>HTML/CSS</v>
      </c>
      <c r="L4631" s="9" t="str">
        <f>IFERROR(__xludf.DUMMYFUNCTION("""COMPUTED_VALUE"""),"HTML/CSS")</f>
        <v>HTML/CSS</v>
      </c>
      <c r="M4631" s="9" t="s">
        <v>20</v>
      </c>
    </row>
    <row r="4632" ht="15.75" customHeight="1">
      <c r="A4632" s="7"/>
      <c r="B4632" s="7" t="str">
        <f>IFERROR(__xludf.DUMMYFUNCTION("""COMPUTED_VALUE"""),"Bash/Shell/PowerShell;C#;HTML/CSS;JavaScript;PHP;SQL")</f>
        <v>Bash/Shell/PowerShell;C#;HTML/CSS;JavaScript;PHP;SQL</v>
      </c>
      <c r="C4632" s="9" t="str">
        <f>IFERROR(__xludf.DUMMYFUNCTION("""COMPUTED_VALUE"""),"JavaScript")</f>
        <v>JavaScript</v>
      </c>
      <c r="D4632" s="9" t="str">
        <f>IFERROR(__xludf.DUMMYFUNCTION("""COMPUTED_VALUE"""),"C")</f>
        <v>C</v>
      </c>
      <c r="E4632" s="9" t="str">
        <f>IFERROR(__xludf.DUMMYFUNCTION("""COMPUTED_VALUE"""),"Python")</f>
        <v>Python</v>
      </c>
      <c r="F4632" s="9" t="str">
        <f>IFERROR(__xludf.DUMMYFUNCTION("""COMPUTED_VALUE"""),"Java")</f>
        <v>Java</v>
      </c>
      <c r="G4632" s="9" t="str">
        <f>IFERROR(__xludf.DUMMYFUNCTION("""COMPUTED_VALUE"""),"Java")</f>
        <v>Java</v>
      </c>
      <c r="H4632" s="9" t="str">
        <f>IFERROR(__xludf.DUMMYFUNCTION("""COMPUTED_VALUE"""),"Java")</f>
        <v>Java</v>
      </c>
      <c r="I4632" s="9" t="str">
        <f>IFERROR(__xludf.DUMMYFUNCTION("""COMPUTED_VALUE"""),"Python")</f>
        <v>Python</v>
      </c>
      <c r="J4632" s="9" t="str">
        <f>IFERROR(__xludf.DUMMYFUNCTION("""COMPUTED_VALUE"""),"SQL")</f>
        <v>SQL</v>
      </c>
      <c r="K4632" s="9" t="str">
        <f>IFERROR(__xludf.DUMMYFUNCTION("""COMPUTED_VALUE"""),"JavaScript")</f>
        <v>JavaScript</v>
      </c>
      <c r="L4632" s="9" t="str">
        <f>IFERROR(__xludf.DUMMYFUNCTION("""COMPUTED_VALUE"""),"JavaScript")</f>
        <v>JavaScript</v>
      </c>
      <c r="M4632" s="9" t="s">
        <v>21</v>
      </c>
    </row>
    <row r="4633" ht="15.75" customHeight="1">
      <c r="A4633" s="7"/>
      <c r="B4633" s="7" t="str">
        <f>IFERROR(__xludf.DUMMYFUNCTION("""COMPUTED_VALUE"""),"HTML/CSS;Java;JavaScript;PHP;SQL;Other(s):")</f>
        <v>HTML/CSS;Java;JavaScript;PHP;SQL;Other(s):</v>
      </c>
      <c r="C4633" s="9" t="str">
        <f>IFERROR(__xludf.DUMMYFUNCTION("""COMPUTED_VALUE"""),"PHP")</f>
        <v>PHP</v>
      </c>
      <c r="D4633" s="9" t="str">
        <f>IFERROR(__xludf.DUMMYFUNCTION("""COMPUTED_VALUE"""),"C++")</f>
        <v>C++</v>
      </c>
      <c r="E4633" s="9" t="str">
        <f>IFERROR(__xludf.DUMMYFUNCTION("""COMPUTED_VALUE"""),"R")</f>
        <v>R</v>
      </c>
      <c r="F4633" s="9" t="str">
        <f>IFERROR(__xludf.DUMMYFUNCTION("""COMPUTED_VALUE"""),"JavaScript")</f>
        <v>JavaScript</v>
      </c>
      <c r="G4633" s="9" t="str">
        <f>IFERROR(__xludf.DUMMYFUNCTION("""COMPUTED_VALUE"""),"Python")</f>
        <v>Python</v>
      </c>
      <c r="H4633" s="9" t="str">
        <f>IFERROR(__xludf.DUMMYFUNCTION("""COMPUTED_VALUE"""),"JavaScript")</f>
        <v>JavaScript</v>
      </c>
      <c r="I4633" s="9" t="str">
        <f>IFERROR(__xludf.DUMMYFUNCTION("""COMPUTED_VALUE"""),"R")</f>
        <v>R</v>
      </c>
      <c r="J4633" s="9" t="str">
        <f>IFERROR(__xludf.DUMMYFUNCTION("""COMPUTED_VALUE"""),"Go")</f>
        <v>Go</v>
      </c>
      <c r="K4633" s="9" t="str">
        <f>IFERROR(__xludf.DUMMYFUNCTION("""COMPUTED_VALUE"""),"PHP")</f>
        <v>PHP</v>
      </c>
      <c r="L4633" s="9" t="str">
        <f>IFERROR(__xludf.DUMMYFUNCTION("""COMPUTED_VALUE"""),"PHP")</f>
        <v>PHP</v>
      </c>
      <c r="M4633" s="9" t="s">
        <v>37</v>
      </c>
    </row>
    <row r="4634" ht="15.75" customHeight="1">
      <c r="A4634" s="7"/>
      <c r="B4634" s="7" t="str">
        <f>IFERROR(__xludf.DUMMYFUNCTION("""COMPUTED_VALUE"""),"C++;C#;Python")</f>
        <v>C++;C#;Python</v>
      </c>
      <c r="C4634" s="9" t="str">
        <f>IFERROR(__xludf.DUMMYFUNCTION("""COMPUTED_VALUE"""),"Python")</f>
        <v>Python</v>
      </c>
      <c r="D4634" s="9" t="str">
        <f>IFERROR(__xludf.DUMMYFUNCTION("""COMPUTED_VALUE"""),"C#")</f>
        <v>C#</v>
      </c>
      <c r="E4634" s="9" t="str">
        <f>IFERROR(__xludf.DUMMYFUNCTION("""COMPUTED_VALUE"""),"SQL")</f>
        <v>SQL</v>
      </c>
      <c r="F4634" s="9" t="str">
        <f>IFERROR(__xludf.DUMMYFUNCTION("""COMPUTED_VALUE"""),"PHP")</f>
        <v>PHP</v>
      </c>
      <c r="G4634" s="9" t="str">
        <f>IFERROR(__xludf.DUMMYFUNCTION("""COMPUTED_VALUE"""),"SQL")</f>
        <v>SQL</v>
      </c>
      <c r="H4634" s="9" t="str">
        <f>IFERROR(__xludf.DUMMYFUNCTION("""COMPUTED_VALUE"""),"PHP")</f>
        <v>PHP</v>
      </c>
      <c r="I4634" s="9" t="str">
        <f>IFERROR(__xludf.DUMMYFUNCTION("""COMPUTED_VALUE"""),"TypeScript")</f>
        <v>TypeScript</v>
      </c>
      <c r="J4634" s="9" t="str">
        <f>IFERROR(__xludf.DUMMYFUNCTION("""COMPUTED_VALUE"""),"HTML/CSS")</f>
        <v>HTML/CSS</v>
      </c>
      <c r="K4634" s="9" t="str">
        <f>IFERROR(__xludf.DUMMYFUNCTION("""COMPUTED_VALUE"""),"Scala")</f>
        <v>Scala</v>
      </c>
      <c r="L4634" s="9" t="str">
        <f>IFERROR(__xludf.DUMMYFUNCTION("""COMPUTED_VALUE"""),"Python")</f>
        <v>Python</v>
      </c>
      <c r="M4634" s="9" t="s">
        <v>22</v>
      </c>
    </row>
    <row r="4635" ht="15.75" customHeight="1">
      <c r="A4635" s="7"/>
      <c r="B4635" s="7" t="str">
        <f>IFERROR(__xludf.DUMMYFUNCTION("""COMPUTED_VALUE"""),"C#;HTML/CSS;JavaScript;Python;SQL")</f>
        <v>C#;HTML/CSS;JavaScript;Python;SQL</v>
      </c>
      <c r="C4635" s="9" t="str">
        <f>IFERROR(__xludf.DUMMYFUNCTION("""COMPUTED_VALUE"""),"Rust")</f>
        <v>Rust</v>
      </c>
      <c r="D4635" s="9" t="str">
        <f>IFERROR(__xludf.DUMMYFUNCTION("""COMPUTED_VALUE"""),"Clojure")</f>
        <v>Clojure</v>
      </c>
      <c r="E4635" s="9" t="str">
        <f>IFERROR(__xludf.DUMMYFUNCTION("""COMPUTED_VALUE"""),"Java")</f>
        <v>Java</v>
      </c>
      <c r="F4635" s="9" t="str">
        <f>IFERROR(__xludf.DUMMYFUNCTION("""COMPUTED_VALUE"""),"Python")</f>
        <v>Python</v>
      </c>
      <c r="G4635" s="9" t="str">
        <f>IFERROR(__xludf.DUMMYFUNCTION("""COMPUTED_VALUE"""),"C#")</f>
        <v>C#</v>
      </c>
      <c r="H4635" s="9" t="str">
        <f>IFERROR(__xludf.DUMMYFUNCTION("""COMPUTED_VALUE"""),"SQL")</f>
        <v>SQL</v>
      </c>
      <c r="I4635" s="9" t="str">
        <f>IFERROR(__xludf.DUMMYFUNCTION("""COMPUTED_VALUE"""),"Python")</f>
        <v>Python</v>
      </c>
      <c r="J4635" s="9" t="str">
        <f>IFERROR(__xludf.DUMMYFUNCTION("""COMPUTED_VALUE"""),"JavaScript")</f>
        <v>JavaScript</v>
      </c>
      <c r="K4635" s="9" t="str">
        <f>IFERROR(__xludf.DUMMYFUNCTION("""COMPUTED_VALUE"""),"Bash/Shell/PowerShell")</f>
        <v>Bash/Shell/PowerShell</v>
      </c>
      <c r="L4635" s="9" t="str">
        <f>IFERROR(__xludf.DUMMYFUNCTION("""COMPUTED_VALUE"""),"SQL")</f>
        <v>SQL</v>
      </c>
      <c r="M4635" s="9" t="s">
        <v>32</v>
      </c>
    </row>
    <row r="4636" ht="15.75" customHeight="1">
      <c r="A4636" s="7"/>
      <c r="B4636" s="7" t="str">
        <f>IFERROR(__xludf.DUMMYFUNCTION("""COMPUTED_VALUE"""),"Bash/Shell/PowerShell;C;C++;C#;Python")</f>
        <v>Bash/Shell/PowerShell;C;C++;C#;Python</v>
      </c>
      <c r="C4636" s="9" t="str">
        <f>IFERROR(__xludf.DUMMYFUNCTION("""COMPUTED_VALUE"""),"SQL")</f>
        <v>SQL</v>
      </c>
      <c r="D4636" s="9" t="str">
        <f>IFERROR(__xludf.DUMMYFUNCTION("""COMPUTED_VALUE"""),"F#")</f>
        <v>F#</v>
      </c>
      <c r="E4636" s="9" t="str">
        <f>IFERROR(__xludf.DUMMYFUNCTION("""COMPUTED_VALUE"""),"Kotlin")</f>
        <v>Kotlin</v>
      </c>
      <c r="F4636" s="9" t="str">
        <f>IFERROR(__xludf.DUMMYFUNCTION("""COMPUTED_VALUE"""),"Bash/Shell/PowerShell")</f>
        <v>Bash/Shell/PowerShell</v>
      </c>
      <c r="G4636" s="9" t="str">
        <f>IFERROR(__xludf.DUMMYFUNCTION("""COMPUTED_VALUE"""),"C")</f>
        <v>C</v>
      </c>
      <c r="H4636" s="9" t="str">
        <f>IFERROR(__xludf.DUMMYFUNCTION("""COMPUTED_VALUE"""),"C++")</f>
        <v>C++</v>
      </c>
      <c r="I4636" s="9" t="str">
        <f>IFERROR(__xludf.DUMMYFUNCTION("""COMPUTED_VALUE"""),"R")</f>
        <v>R</v>
      </c>
      <c r="J4636" s="9" t="str">
        <f>IFERROR(__xludf.DUMMYFUNCTION("""COMPUTED_VALUE"""),"Python")</f>
        <v>Python</v>
      </c>
      <c r="K4636" s="9" t="str">
        <f>IFERROR(__xludf.DUMMYFUNCTION("""COMPUTED_VALUE"""),"HTML/CSS")</f>
        <v>HTML/CSS</v>
      </c>
      <c r="L4636" s="9" t="str">
        <f>IFERROR(__xludf.DUMMYFUNCTION("""COMPUTED_VALUE"""),"Other(s):")</f>
        <v>Other(s):</v>
      </c>
      <c r="M4636" s="9" t="s">
        <v>27</v>
      </c>
    </row>
    <row r="4637" ht="15.75" customHeight="1">
      <c r="A4637" s="7"/>
      <c r="B4637" s="7" t="str">
        <f>IFERROR(__xludf.DUMMYFUNCTION("""COMPUTED_VALUE"""),"HTML/CSS;JavaScript;PHP;SQL")</f>
        <v>HTML/CSS;JavaScript;PHP;SQL</v>
      </c>
      <c r="C4637" s="9" t="str">
        <f>IFERROR(__xludf.DUMMYFUNCTION("""COMPUTED_VALUE"""),"C#")</f>
        <v>C#</v>
      </c>
      <c r="D4637" s="9" t="str">
        <f>IFERROR(__xludf.DUMMYFUNCTION("""COMPUTED_VALUE"""),"Go")</f>
        <v>Go</v>
      </c>
      <c r="E4637" s="9" t="str">
        <f>IFERROR(__xludf.DUMMYFUNCTION("""COMPUTED_VALUE"""),"Bash/Shell/PowerShell")</f>
        <v>Bash/Shell/PowerShell</v>
      </c>
      <c r="F4637" s="9" t="str">
        <f>IFERROR(__xludf.DUMMYFUNCTION("""COMPUTED_VALUE"""),"C")</f>
        <v>C</v>
      </c>
      <c r="G4637" s="9" t="str">
        <f>IFERROR(__xludf.DUMMYFUNCTION("""COMPUTED_VALUE"""),"C++")</f>
        <v>C++</v>
      </c>
      <c r="H4637" s="9" t="str">
        <f>IFERROR(__xludf.DUMMYFUNCTION("""COMPUTED_VALUE"""),"C#")</f>
        <v>C#</v>
      </c>
      <c r="I4637" s="9" t="str">
        <f>IFERROR(__xludf.DUMMYFUNCTION("""COMPUTED_VALUE"""),"Bash/Shell/PowerShell")</f>
        <v>Bash/Shell/PowerShell</v>
      </c>
      <c r="J4637" s="9" t="str">
        <f>IFERROR(__xludf.DUMMYFUNCTION("""COMPUTED_VALUE"""),"SQL")</f>
        <v>SQL</v>
      </c>
      <c r="K4637" s="9" t="str">
        <f>IFERROR(__xludf.DUMMYFUNCTION("""COMPUTED_VALUE"""),"JavaScript")</f>
        <v>JavaScript</v>
      </c>
      <c r="L4637" s="9" t="str">
        <f>IFERROR(__xludf.DUMMYFUNCTION("""COMPUTED_VALUE"""),"HTML/CSS")</f>
        <v>HTML/CSS</v>
      </c>
      <c r="M4637" s="9" t="s">
        <v>26</v>
      </c>
    </row>
    <row r="4638" ht="15.75" customHeight="1">
      <c r="A4638" s="7"/>
      <c r="B4638" s="7" t="str">
        <f>IFERROR(__xludf.DUMMYFUNCTION("""COMPUTED_VALUE"""),"C#;HTML/CSS;JavaScript;Objective-C;Swift")</f>
        <v>C#;HTML/CSS;JavaScript;Objective-C;Swift</v>
      </c>
      <c r="C4638" s="9" t="str">
        <f>IFERROR(__xludf.DUMMYFUNCTION("""COMPUTED_VALUE"""),"HTML/CSS")</f>
        <v>HTML/CSS</v>
      </c>
      <c r="D4638" s="9" t="str">
        <f>IFERROR(__xludf.DUMMYFUNCTION("""COMPUTED_VALUE"""),"HTML/CSS")</f>
        <v>HTML/CSS</v>
      </c>
      <c r="E4638" s="9" t="str">
        <f>IFERROR(__xludf.DUMMYFUNCTION("""COMPUTED_VALUE"""),"HTML/CSS")</f>
        <v>HTML/CSS</v>
      </c>
      <c r="F4638" s="9" t="str">
        <f>IFERROR(__xludf.DUMMYFUNCTION("""COMPUTED_VALUE"""),"C++")</f>
        <v>C++</v>
      </c>
      <c r="G4638" s="9" t="str">
        <f>IFERROR(__xludf.DUMMYFUNCTION("""COMPUTED_VALUE"""),"C#")</f>
        <v>C#</v>
      </c>
      <c r="H4638" s="9" t="str">
        <f>IFERROR(__xludf.DUMMYFUNCTION("""COMPUTED_VALUE"""),"HTML/CSS")</f>
        <v>HTML/CSS</v>
      </c>
      <c r="I4638" s="9" t="str">
        <f>IFERROR(__xludf.DUMMYFUNCTION("""COMPUTED_VALUE"""),"HTML/CSS")</f>
        <v>HTML/CSS</v>
      </c>
      <c r="J4638" s="9" t="str">
        <f>IFERROR(__xludf.DUMMYFUNCTION("""COMPUTED_VALUE"""),"Bash/Shell/PowerShell")</f>
        <v>Bash/Shell/PowerShell</v>
      </c>
      <c r="K4638" s="9" t="str">
        <f>IFERROR(__xludf.DUMMYFUNCTION("""COMPUTED_VALUE"""),"PHP")</f>
        <v>PHP</v>
      </c>
      <c r="L4638" s="9" t="str">
        <f>IFERROR(__xludf.DUMMYFUNCTION("""COMPUTED_VALUE"""),"PHP")</f>
        <v>PHP</v>
      </c>
      <c r="M4638" s="9" t="s">
        <v>24</v>
      </c>
    </row>
    <row r="4639" ht="15.75" customHeight="1">
      <c r="A4639" s="7"/>
      <c r="B4639" s="7" t="str">
        <f>IFERROR(__xludf.DUMMYFUNCTION("""COMPUTED_VALUE"""),"C#;HTML/CSS;JavaScript;Python;SQL;TypeScript")</f>
        <v>C#;HTML/CSS;JavaScript;Python;SQL;TypeScript</v>
      </c>
      <c r="C4639" s="9" t="str">
        <f>IFERROR(__xludf.DUMMYFUNCTION("""COMPUTED_VALUE"""),"JavaScript")</f>
        <v>JavaScript</v>
      </c>
      <c r="D4639" s="9" t="str">
        <f>IFERROR(__xludf.DUMMYFUNCTION("""COMPUTED_VALUE"""),"Java")</f>
        <v>Java</v>
      </c>
      <c r="E4639" s="9" t="str">
        <f>IFERROR(__xludf.DUMMYFUNCTION("""COMPUTED_VALUE"""),"PHP")</f>
        <v>PHP</v>
      </c>
      <c r="F4639" s="9" t="str">
        <f>IFERROR(__xludf.DUMMYFUNCTION("""COMPUTED_VALUE"""),"C#")</f>
        <v>C#</v>
      </c>
      <c r="G4639" s="9" t="str">
        <f>IFERROR(__xludf.DUMMYFUNCTION("""COMPUTED_VALUE"""),"HTML/CSS")</f>
        <v>HTML/CSS</v>
      </c>
      <c r="H4639" s="9" t="str">
        <f>IFERROR(__xludf.DUMMYFUNCTION("""COMPUTED_VALUE"""),"Java")</f>
        <v>Java</v>
      </c>
      <c r="I4639" s="9" t="str">
        <f>IFERROR(__xludf.DUMMYFUNCTION("""COMPUTED_VALUE"""),"Java")</f>
        <v>Java</v>
      </c>
      <c r="J4639" s="9" t="str">
        <f>IFERROR(__xludf.DUMMYFUNCTION("""COMPUTED_VALUE"""),"HTML/CSS")</f>
        <v>HTML/CSS</v>
      </c>
      <c r="K4639" s="9" t="str">
        <f>IFERROR(__xludf.DUMMYFUNCTION("""COMPUTED_VALUE"""),"Python")</f>
        <v>Python</v>
      </c>
      <c r="L4639" s="9" t="str">
        <f>IFERROR(__xludf.DUMMYFUNCTION("""COMPUTED_VALUE"""),"SQL")</f>
        <v>SQL</v>
      </c>
      <c r="M4639" s="9" t="s">
        <v>21</v>
      </c>
    </row>
    <row r="4640" ht="15.75" customHeight="1">
      <c r="A4640" s="7"/>
      <c r="B4640" s="7" t="str">
        <f>IFERROR(__xludf.DUMMYFUNCTION("""COMPUTED_VALUE"""),"HTML/CSS;Java;JavaScript;Python")</f>
        <v>HTML/CSS;Java;JavaScript;Python</v>
      </c>
      <c r="C4640" s="9" t="str">
        <f>IFERROR(__xludf.DUMMYFUNCTION("""COMPUTED_VALUE"""),"PHP")</f>
        <v>PHP</v>
      </c>
      <c r="D4640" s="9" t="str">
        <f>IFERROR(__xludf.DUMMYFUNCTION("""COMPUTED_VALUE"""),"JavaScript")</f>
        <v>JavaScript</v>
      </c>
      <c r="E4640" s="9" t="str">
        <f>IFERROR(__xludf.DUMMYFUNCTION("""COMPUTED_VALUE"""),"HTML/CSS")</f>
        <v>HTML/CSS</v>
      </c>
      <c r="F4640" s="9" t="str">
        <f>IFERROR(__xludf.DUMMYFUNCTION("""COMPUTED_VALUE"""),"HTML/CSS")</f>
        <v>HTML/CSS</v>
      </c>
      <c r="G4640" s="9" t="str">
        <f>IFERROR(__xludf.DUMMYFUNCTION("""COMPUTED_VALUE"""),"Java")</f>
        <v>Java</v>
      </c>
      <c r="H4640" s="9" t="str">
        <f>IFERROR(__xludf.DUMMYFUNCTION("""COMPUTED_VALUE"""),"JavaScript")</f>
        <v>JavaScript</v>
      </c>
      <c r="I4640" s="9" t="str">
        <f>IFERROR(__xludf.DUMMYFUNCTION("""COMPUTED_VALUE"""),"PHP")</f>
        <v>PHP</v>
      </c>
      <c r="J4640" s="9" t="str">
        <f>IFERROR(__xludf.DUMMYFUNCTION("""COMPUTED_VALUE"""),"Java")</f>
        <v>Java</v>
      </c>
      <c r="K4640" s="9" t="str">
        <f>IFERROR(__xludf.DUMMYFUNCTION("""COMPUTED_VALUE"""),"TypeScript")</f>
        <v>TypeScript</v>
      </c>
      <c r="L4640" s="9" t="str">
        <f>IFERROR(__xludf.DUMMYFUNCTION("""COMPUTED_VALUE"""),"Python")</f>
        <v>Python</v>
      </c>
      <c r="M4640" s="9" t="s">
        <v>37</v>
      </c>
    </row>
    <row r="4641" ht="15.75" customHeight="1">
      <c r="A4641" s="7"/>
      <c r="B4641" s="7" t="str">
        <f>IFERROR(__xludf.DUMMYFUNCTION("""COMPUTED_VALUE"""),"C#;Java;SQL;VBA")</f>
        <v>C#;Java;SQL;VBA</v>
      </c>
      <c r="C4641" s="9" t="str">
        <f>IFERROR(__xludf.DUMMYFUNCTION("""COMPUTED_VALUE"""),"SQL")</f>
        <v>SQL</v>
      </c>
      <c r="D4641" s="9" t="str">
        <f>IFERROR(__xludf.DUMMYFUNCTION("""COMPUTED_VALUE"""),"Kotlin")</f>
        <v>Kotlin</v>
      </c>
      <c r="E4641" s="9" t="str">
        <f>IFERROR(__xludf.DUMMYFUNCTION("""COMPUTED_VALUE"""),"JavaScript")</f>
        <v>JavaScript</v>
      </c>
      <c r="F4641" s="9" t="str">
        <f>IFERROR(__xludf.DUMMYFUNCTION("""COMPUTED_VALUE"""),"Java")</f>
        <v>Java</v>
      </c>
      <c r="G4641" s="9" t="str">
        <f>IFERROR(__xludf.DUMMYFUNCTION("""COMPUTED_VALUE"""),"JavaScript")</f>
        <v>JavaScript</v>
      </c>
      <c r="H4641" s="9" t="str">
        <f>IFERROR(__xludf.DUMMYFUNCTION("""COMPUTED_VALUE"""),"Kotlin")</f>
        <v>Kotlin</v>
      </c>
      <c r="I4641" s="9" t="str">
        <f>IFERROR(__xludf.DUMMYFUNCTION("""COMPUTED_VALUE"""),"SQL")</f>
        <v>SQL</v>
      </c>
      <c r="J4641" s="9" t="str">
        <f>IFERROR(__xludf.DUMMYFUNCTION("""COMPUTED_VALUE"""),"JavaScript")</f>
        <v>JavaScript</v>
      </c>
      <c r="K4641" s="9" t="str">
        <f>IFERROR(__xludf.DUMMYFUNCTION("""COMPUTED_VALUE"""),"Bash/Shell/PowerShell")</f>
        <v>Bash/Shell/PowerShell</v>
      </c>
      <c r="L4641" s="9" t="str">
        <f>IFERROR(__xludf.DUMMYFUNCTION("""COMPUTED_VALUE"""),"R")</f>
        <v>R</v>
      </c>
      <c r="M4641" s="9" t="s">
        <v>27</v>
      </c>
    </row>
    <row r="4642" ht="15.75" customHeight="1">
      <c r="A4642" s="7"/>
      <c r="B4642" s="7" t="str">
        <f>IFERROR(__xludf.DUMMYFUNCTION("""COMPUTED_VALUE"""),"HTML/CSS;JavaScript")</f>
        <v>HTML/CSS;JavaScript</v>
      </c>
      <c r="C4642" s="9" t="str">
        <f>IFERROR(__xludf.DUMMYFUNCTION("""COMPUTED_VALUE"""),"TypeScript")</f>
        <v>TypeScript</v>
      </c>
      <c r="D4642" s="9" t="str">
        <f>IFERROR(__xludf.DUMMYFUNCTION("""COMPUTED_VALUE"""),"PHP")</f>
        <v>PHP</v>
      </c>
      <c r="E4642" s="9" t="str">
        <f>IFERROR(__xludf.DUMMYFUNCTION("""COMPUTED_VALUE"""),"Python")</f>
        <v>Python</v>
      </c>
      <c r="F4642" s="9" t="str">
        <f>IFERROR(__xludf.DUMMYFUNCTION("""COMPUTED_VALUE"""),"JavaScript")</f>
        <v>JavaScript</v>
      </c>
      <c r="G4642" s="9" t="str">
        <f>IFERROR(__xludf.DUMMYFUNCTION("""COMPUTED_VALUE"""),"Objective-C")</f>
        <v>Objective-C</v>
      </c>
      <c r="H4642" s="9" t="str">
        <f>IFERROR(__xludf.DUMMYFUNCTION("""COMPUTED_VALUE"""),"SQL")</f>
        <v>SQL</v>
      </c>
      <c r="I4642" s="9" t="str">
        <f>IFERROR(__xludf.DUMMYFUNCTION("""COMPUTED_VALUE"""),"C#")</f>
        <v>C#</v>
      </c>
      <c r="J4642" s="9" t="str">
        <f>IFERROR(__xludf.DUMMYFUNCTION("""COMPUTED_VALUE"""),"PHP")</f>
        <v>PHP</v>
      </c>
      <c r="K4642" s="9" t="str">
        <f>IFERROR(__xludf.DUMMYFUNCTION("""COMPUTED_VALUE"""),"C")</f>
        <v>C</v>
      </c>
      <c r="L4642" s="9" t="str">
        <f>IFERROR(__xludf.DUMMYFUNCTION("""COMPUTED_VALUE"""),"SQL")</f>
        <v>SQL</v>
      </c>
      <c r="M4642" s="9" t="s">
        <v>33</v>
      </c>
    </row>
    <row r="4643" ht="15.75" customHeight="1">
      <c r="A4643" s="7"/>
      <c r="B4643" s="7" t="str">
        <f>IFERROR(__xludf.DUMMYFUNCTION("""COMPUTED_VALUE"""),"C++;Java;Python")</f>
        <v>C++;Java;Python</v>
      </c>
      <c r="C4643" s="9" t="str">
        <f>IFERROR(__xludf.DUMMYFUNCTION("""COMPUTED_VALUE"""),"C++")</f>
        <v>C++</v>
      </c>
      <c r="D4643" s="9" t="str">
        <f>IFERROR(__xludf.DUMMYFUNCTION("""COMPUTED_VALUE"""),"Python")</f>
        <v>Python</v>
      </c>
      <c r="E4643" s="9" t="str">
        <f>IFERROR(__xludf.DUMMYFUNCTION("""COMPUTED_VALUE"""),"TypeScript")</f>
        <v>TypeScript</v>
      </c>
      <c r="F4643" s="9" t="str">
        <f>IFERROR(__xludf.DUMMYFUNCTION("""COMPUTED_VALUE"""),"PHP")</f>
        <v>PHP</v>
      </c>
      <c r="G4643" s="9" t="str">
        <f>IFERROR(__xludf.DUMMYFUNCTION("""COMPUTED_VALUE"""),"SQL")</f>
        <v>SQL</v>
      </c>
      <c r="H4643" s="9" t="str">
        <f>IFERROR(__xludf.DUMMYFUNCTION("""COMPUTED_VALUE"""),"TypeScript")</f>
        <v>TypeScript</v>
      </c>
      <c r="I4643" s="9" t="str">
        <f>IFERROR(__xludf.DUMMYFUNCTION("""COMPUTED_VALUE"""),"Python")</f>
        <v>Python</v>
      </c>
      <c r="J4643" s="9" t="str">
        <f>IFERROR(__xludf.DUMMYFUNCTION("""COMPUTED_VALUE"""),"Python")</f>
        <v>Python</v>
      </c>
      <c r="K4643" s="9" t="str">
        <f>IFERROR(__xludf.DUMMYFUNCTION("""COMPUTED_VALUE"""),"C++")</f>
        <v>C++</v>
      </c>
      <c r="L4643" s="9" t="str">
        <f>IFERROR(__xludf.DUMMYFUNCTION("""COMPUTED_VALUE"""),"Assembly")</f>
        <v>Assembly</v>
      </c>
      <c r="M4643" s="9" t="s">
        <v>23</v>
      </c>
    </row>
    <row r="4644" ht="15.75" customHeight="1">
      <c r="A4644" s="7"/>
      <c r="B4644" s="7" t="str">
        <f>IFERROR(__xludf.DUMMYFUNCTION("""COMPUTED_VALUE"""),"C;HTML/CSS;Java;JavaScript;Python;SQL")</f>
        <v>C;HTML/CSS;Java;JavaScript;Python;SQL</v>
      </c>
      <c r="C4644" s="9" t="str">
        <f>IFERROR(__xludf.DUMMYFUNCTION("""COMPUTED_VALUE"""),"HTML/CSS")</f>
        <v>HTML/CSS</v>
      </c>
      <c r="D4644" s="9" t="str">
        <f>IFERROR(__xludf.DUMMYFUNCTION("""COMPUTED_VALUE"""),"Rust")</f>
        <v>Rust</v>
      </c>
      <c r="E4644" s="9" t="str">
        <f>IFERROR(__xludf.DUMMYFUNCTION("""COMPUTED_VALUE"""),"Bash/Shell/PowerShell")</f>
        <v>Bash/Shell/PowerShell</v>
      </c>
      <c r="F4644" s="9" t="str">
        <f>IFERROR(__xludf.DUMMYFUNCTION("""COMPUTED_VALUE"""),"SQL")</f>
        <v>SQL</v>
      </c>
      <c r="G4644" s="9" t="str">
        <f>IFERROR(__xludf.DUMMYFUNCTION("""COMPUTED_VALUE"""),"Swift")</f>
        <v>Swift</v>
      </c>
      <c r="H4644" s="9" t="str">
        <f>IFERROR(__xludf.DUMMYFUNCTION("""COMPUTED_VALUE"""),"Other(s):")</f>
        <v>Other(s):</v>
      </c>
      <c r="I4644" s="9" t="str">
        <f>IFERROR(__xludf.DUMMYFUNCTION("""COMPUTED_VALUE"""),"HTML/CSS")</f>
        <v>HTML/CSS</v>
      </c>
      <c r="J4644" s="9" t="str">
        <f>IFERROR(__xludf.DUMMYFUNCTION("""COMPUTED_VALUE"""),"SQL")</f>
        <v>SQL</v>
      </c>
      <c r="K4644" s="9" t="str">
        <f>IFERROR(__xludf.DUMMYFUNCTION("""COMPUTED_VALUE"""),"HTML/CSS")</f>
        <v>HTML/CSS</v>
      </c>
      <c r="L4644" s="9" t="str">
        <f>IFERROR(__xludf.DUMMYFUNCTION("""COMPUTED_VALUE"""),"Bash/Shell/PowerShell")</f>
        <v>Bash/Shell/PowerShell</v>
      </c>
      <c r="M4644" s="9" t="s">
        <v>24</v>
      </c>
    </row>
    <row r="4645" ht="15.75" customHeight="1">
      <c r="A4645" s="7"/>
      <c r="B4645" s="7" t="str">
        <f>IFERROR(__xludf.DUMMYFUNCTION("""COMPUTED_VALUE"""),"C;C++;C#;HTML/CSS;Java;JavaScript;PHP;SQL;VBA")</f>
        <v>C;C++;C#;HTML/CSS;Java;JavaScript;PHP;SQL;VBA</v>
      </c>
      <c r="C4645" s="9" t="str">
        <f>IFERROR(__xludf.DUMMYFUNCTION("""COMPUTED_VALUE"""),"Python")</f>
        <v>Python</v>
      </c>
      <c r="D4645" s="9" t="str">
        <f>IFERROR(__xludf.DUMMYFUNCTION("""COMPUTED_VALUE"""),"Scala")</f>
        <v>Scala</v>
      </c>
      <c r="E4645" s="9" t="str">
        <f>IFERROR(__xludf.DUMMYFUNCTION("""COMPUTED_VALUE"""),"JavaScript")</f>
        <v>JavaScript</v>
      </c>
      <c r="F4645" s="9" t="str">
        <f>IFERROR(__xludf.DUMMYFUNCTION("""COMPUTED_VALUE"""),"TypeScript")</f>
        <v>TypeScript</v>
      </c>
      <c r="G4645" s="9" t="str">
        <f>IFERROR(__xludf.DUMMYFUNCTION("""COMPUTED_VALUE"""),"Bash/Shell/PowerShell")</f>
        <v>Bash/Shell/PowerShell</v>
      </c>
      <c r="H4645" s="9" t="str">
        <f>IFERROR(__xludf.DUMMYFUNCTION("""COMPUTED_VALUE"""),"Bash/Shell/PowerShell")</f>
        <v>Bash/Shell/PowerShell</v>
      </c>
      <c r="I4645" s="9" t="str">
        <f>IFERROR(__xludf.DUMMYFUNCTION("""COMPUTED_VALUE"""),"Java")</f>
        <v>Java</v>
      </c>
      <c r="J4645" s="9" t="str">
        <f>IFERROR(__xludf.DUMMYFUNCTION("""COMPUTED_VALUE"""),"TypeScript")</f>
        <v>TypeScript</v>
      </c>
      <c r="K4645" s="9" t="str">
        <f>IFERROR(__xludf.DUMMYFUNCTION("""COMPUTED_VALUE"""),"Java")</f>
        <v>Java</v>
      </c>
      <c r="L4645" s="9" t="str">
        <f>IFERROR(__xludf.DUMMYFUNCTION("""COMPUTED_VALUE"""),"HTML/CSS")</f>
        <v>HTML/CSS</v>
      </c>
      <c r="M4645" s="9" t="s">
        <v>22</v>
      </c>
    </row>
    <row r="4646" ht="15.75" customHeight="1">
      <c r="A4646" s="7"/>
      <c r="B4646" s="7" t="str">
        <f>IFERROR(__xludf.DUMMYFUNCTION("""COMPUTED_VALUE"""),"Bash/Shell/PowerShell;C;C++;C#;HTML/CSS;Java;JavaScript;Objective-C;PHP;Python;Ruby;SQL;TypeScript;Other(s):")</f>
        <v>Bash/Shell/PowerShell;C;C++;C#;HTML/CSS;Java;JavaScript;Objective-C;PHP;Python;Ruby;SQL;TypeScript;Other(s):</v>
      </c>
      <c r="C4646" s="9" t="str">
        <f>IFERROR(__xludf.DUMMYFUNCTION("""COMPUTED_VALUE"""),"R")</f>
        <v>R</v>
      </c>
      <c r="D4646" s="9" t="str">
        <f>IFERROR(__xludf.DUMMYFUNCTION("""COMPUTED_VALUE"""),"SQL")</f>
        <v>SQL</v>
      </c>
      <c r="E4646" s="9" t="str">
        <f>IFERROR(__xludf.DUMMYFUNCTION("""COMPUTED_VALUE"""),"Assembly")</f>
        <v>Assembly</v>
      </c>
      <c r="F4646" s="9" t="str">
        <f>IFERROR(__xludf.DUMMYFUNCTION("""COMPUTED_VALUE"""),"HTML/CSS")</f>
        <v>HTML/CSS</v>
      </c>
      <c r="G4646" s="9" t="str">
        <f>IFERROR(__xludf.DUMMYFUNCTION("""COMPUTED_VALUE"""),"HTML/CSS")</f>
        <v>HTML/CSS</v>
      </c>
      <c r="H4646" s="9" t="str">
        <f>IFERROR(__xludf.DUMMYFUNCTION("""COMPUTED_VALUE"""),"HTML/CSS")</f>
        <v>HTML/CSS</v>
      </c>
      <c r="I4646" s="9" t="str">
        <f>IFERROR(__xludf.DUMMYFUNCTION("""COMPUTED_VALUE"""),"JavaScript")</f>
        <v>JavaScript</v>
      </c>
      <c r="J4646" s="9" t="str">
        <f>IFERROR(__xludf.DUMMYFUNCTION("""COMPUTED_VALUE"""),"WebAssembly")</f>
        <v>WebAssembly</v>
      </c>
      <c r="K4646" s="9" t="str">
        <f>IFERROR(__xludf.DUMMYFUNCTION("""COMPUTED_VALUE"""),"JavaScript")</f>
        <v>JavaScript</v>
      </c>
      <c r="L4646" s="9" t="str">
        <f>IFERROR(__xludf.DUMMYFUNCTION("""COMPUTED_VALUE"""),"Java")</f>
        <v>Java</v>
      </c>
      <c r="M4646" s="9" t="s">
        <v>29</v>
      </c>
    </row>
    <row r="4647" ht="15.75" customHeight="1">
      <c r="A4647" s="7"/>
      <c r="B4647" s="7" t="str">
        <f>IFERROR(__xludf.DUMMYFUNCTION("""COMPUTED_VALUE"""),"Bash/Shell/PowerShell;HTML/CSS;Java;JavaScript;SQL;TypeScript")</f>
        <v>Bash/Shell/PowerShell;HTML/CSS;Java;JavaScript;SQL;TypeScript</v>
      </c>
      <c r="C4647" s="9" t="str">
        <f>IFERROR(__xludf.DUMMYFUNCTION("""COMPUTED_VALUE"""),"SQL")</f>
        <v>SQL</v>
      </c>
      <c r="D4647" s="9" t="str">
        <f>IFERROR(__xludf.DUMMYFUNCTION("""COMPUTED_VALUE"""),"TypeScript")</f>
        <v>TypeScript</v>
      </c>
      <c r="E4647" s="9" t="str">
        <f>IFERROR(__xludf.DUMMYFUNCTION("""COMPUTED_VALUE"""),"C")</f>
        <v>C</v>
      </c>
      <c r="F4647" s="9" t="str">
        <f>IFERROR(__xludf.DUMMYFUNCTION("""COMPUTED_VALUE"""),"JavaScript")</f>
        <v>JavaScript</v>
      </c>
      <c r="G4647" s="9" t="str">
        <f>IFERROR(__xludf.DUMMYFUNCTION("""COMPUTED_VALUE"""),"JavaScript")</f>
        <v>JavaScript</v>
      </c>
      <c r="H4647" s="9" t="str">
        <f>IFERROR(__xludf.DUMMYFUNCTION("""COMPUTED_VALUE"""),"JavaScript")</f>
        <v>JavaScript</v>
      </c>
      <c r="I4647" s="9" t="str">
        <f>IFERROR(__xludf.DUMMYFUNCTION("""COMPUTED_VALUE"""),"SQL")</f>
        <v>SQL</v>
      </c>
      <c r="J4647" s="9" t="str">
        <f>IFERROR(__xludf.DUMMYFUNCTION("""COMPUTED_VALUE"""),"Assembly")</f>
        <v>Assembly</v>
      </c>
      <c r="K4647" s="9" t="str">
        <f>IFERROR(__xludf.DUMMYFUNCTION("""COMPUTED_VALUE"""),"Kotlin")</f>
        <v>Kotlin</v>
      </c>
      <c r="L4647" s="9" t="str">
        <f>IFERROR(__xludf.DUMMYFUNCTION("""COMPUTED_VALUE"""),"JavaScript")</f>
        <v>JavaScript</v>
      </c>
      <c r="M4647" s="9" t="s">
        <v>27</v>
      </c>
    </row>
    <row r="4648" ht="15.75" customHeight="1">
      <c r="A4648" s="7"/>
      <c r="B4648" s="7" t="str">
        <f>IFERROR(__xludf.DUMMYFUNCTION("""COMPUTED_VALUE"""),"Bash/Shell/PowerShell;C++;C#;HTML/CSS;Java;JavaScript;PHP;Python;TypeScript")</f>
        <v>Bash/Shell/PowerShell;C++;C#;HTML/CSS;Java;JavaScript;PHP;Python;TypeScript</v>
      </c>
      <c r="C4648" s="9" t="str">
        <f>IFERROR(__xludf.DUMMYFUNCTION("""COMPUTED_VALUE"""),"C#")</f>
        <v>C#</v>
      </c>
      <c r="D4648" s="9" t="str">
        <f>IFERROR(__xludf.DUMMYFUNCTION("""COMPUTED_VALUE"""),"WebAssembly")</f>
        <v>WebAssembly</v>
      </c>
      <c r="E4648" s="9" t="str">
        <f>IFERROR(__xludf.DUMMYFUNCTION("""COMPUTED_VALUE"""),"Python")</f>
        <v>Python</v>
      </c>
      <c r="F4648" s="9" t="str">
        <f>IFERROR(__xludf.DUMMYFUNCTION("""COMPUTED_VALUE"""),"PHP")</f>
        <v>PHP</v>
      </c>
      <c r="G4648" s="9" t="str">
        <f>IFERROR(__xludf.DUMMYFUNCTION("""COMPUTED_VALUE"""),"Objective-C")</f>
        <v>Objective-C</v>
      </c>
      <c r="H4648" s="9" t="str">
        <f>IFERROR(__xludf.DUMMYFUNCTION("""COMPUTED_VALUE"""),"PHP")</f>
        <v>PHP</v>
      </c>
      <c r="I4648" s="9" t="str">
        <f>IFERROR(__xludf.DUMMYFUNCTION("""COMPUTED_VALUE"""),"TypeScript")</f>
        <v>TypeScript</v>
      </c>
      <c r="J4648" s="9" t="str">
        <f>IFERROR(__xludf.DUMMYFUNCTION("""COMPUTED_VALUE"""),"Bash/Shell/PowerShell")</f>
        <v>Bash/Shell/PowerShell</v>
      </c>
      <c r="K4648" s="9" t="str">
        <f>IFERROR(__xludf.DUMMYFUNCTION("""COMPUTED_VALUE"""),"PHP")</f>
        <v>PHP</v>
      </c>
      <c r="L4648" s="9" t="str">
        <f>IFERROR(__xludf.DUMMYFUNCTION("""COMPUTED_VALUE"""),"PHP")</f>
        <v>PHP</v>
      </c>
      <c r="M4648" s="9" t="s">
        <v>26</v>
      </c>
    </row>
    <row r="4649" ht="15.75" customHeight="1">
      <c r="A4649" s="7"/>
      <c r="B4649" s="7" t="str">
        <f>IFERROR(__xludf.DUMMYFUNCTION("""COMPUTED_VALUE"""),"C#")</f>
        <v>C#</v>
      </c>
      <c r="C4649" s="9" t="str">
        <f>IFERROR(__xludf.DUMMYFUNCTION("""COMPUTED_VALUE"""),"HTML/CSS")</f>
        <v>HTML/CSS</v>
      </c>
      <c r="D4649" s="9" t="str">
        <f>IFERROR(__xludf.DUMMYFUNCTION("""COMPUTED_VALUE"""),"Other(s):")</f>
        <v>Other(s):</v>
      </c>
      <c r="E4649" s="9" t="str">
        <f>IFERROR(__xludf.DUMMYFUNCTION("""COMPUTED_VALUE"""),"C")</f>
        <v>C</v>
      </c>
      <c r="F4649" s="9" t="str">
        <f>IFERROR(__xludf.DUMMYFUNCTION("""COMPUTED_VALUE"""),"SQL")</f>
        <v>SQL</v>
      </c>
      <c r="G4649" s="9" t="str">
        <f>IFERROR(__xludf.DUMMYFUNCTION("""COMPUTED_VALUE"""),"PHP")</f>
        <v>PHP</v>
      </c>
      <c r="H4649" s="9" t="str">
        <f>IFERROR(__xludf.DUMMYFUNCTION("""COMPUTED_VALUE"""),"Python")</f>
        <v>Python</v>
      </c>
      <c r="I4649" s="9" t="str">
        <f>IFERROR(__xludf.DUMMYFUNCTION("""COMPUTED_VALUE"""),"Bash/Shell/PowerShell")</f>
        <v>Bash/Shell/PowerShell</v>
      </c>
      <c r="J4649" s="9" t="str">
        <f>IFERROR(__xludf.DUMMYFUNCTION("""COMPUTED_VALUE"""),"C")</f>
        <v>C</v>
      </c>
      <c r="K4649" s="9" t="str">
        <f>IFERROR(__xludf.DUMMYFUNCTION("""COMPUTED_VALUE"""),"Python")</f>
        <v>Python</v>
      </c>
      <c r="L4649" s="9" t="str">
        <f>IFERROR(__xludf.DUMMYFUNCTION("""COMPUTED_VALUE"""),"R")</f>
        <v>R</v>
      </c>
      <c r="M4649" s="9" t="s">
        <v>24</v>
      </c>
    </row>
    <row r="4650" ht="15.75" customHeight="1">
      <c r="A4650" s="7"/>
      <c r="B4650" s="7" t="str">
        <f>IFERROR(__xludf.DUMMYFUNCTION("""COMPUTED_VALUE"""),"C;HTML/CSS;JavaScript")</f>
        <v>C;HTML/CSS;JavaScript</v>
      </c>
      <c r="C4650" s="9" t="str">
        <f>IFERROR(__xludf.DUMMYFUNCTION("""COMPUTED_VALUE"""),"JavaScript")</f>
        <v>JavaScript</v>
      </c>
      <c r="D4650" s="9" t="str">
        <f>IFERROR(__xludf.DUMMYFUNCTION("""COMPUTED_VALUE"""),"C#")</f>
        <v>C#</v>
      </c>
      <c r="E4650" s="9" t="str">
        <f>IFERROR(__xludf.DUMMYFUNCTION("""COMPUTED_VALUE"""),"C++")</f>
        <v>C++</v>
      </c>
      <c r="F4650" s="9" t="str">
        <f>IFERROR(__xludf.DUMMYFUNCTION("""COMPUTED_VALUE"""),"TypeScript")</f>
        <v>TypeScript</v>
      </c>
      <c r="G4650" s="9" t="str">
        <f>IFERROR(__xludf.DUMMYFUNCTION("""COMPUTED_VALUE"""),"Python")</f>
        <v>Python</v>
      </c>
      <c r="H4650" s="9" t="str">
        <f>IFERROR(__xludf.DUMMYFUNCTION("""COMPUTED_VALUE"""),"Ruby")</f>
        <v>Ruby</v>
      </c>
      <c r="I4650" s="9" t="str">
        <f>IFERROR(__xludf.DUMMYFUNCTION("""COMPUTED_VALUE"""),"C#")</f>
        <v>C#</v>
      </c>
      <c r="J4650" s="9" t="str">
        <f>IFERROR(__xludf.DUMMYFUNCTION("""COMPUTED_VALUE"""),"C++")</f>
        <v>C++</v>
      </c>
      <c r="K4650" s="9" t="str">
        <f>IFERROR(__xludf.DUMMYFUNCTION("""COMPUTED_VALUE"""),"SQL")</f>
        <v>SQL</v>
      </c>
      <c r="L4650" s="9" t="str">
        <f>IFERROR(__xludf.DUMMYFUNCTION("""COMPUTED_VALUE"""),"SQL")</f>
        <v>SQL</v>
      </c>
      <c r="M4650" s="9" t="s">
        <v>21</v>
      </c>
    </row>
    <row r="4651" ht="15.75" customHeight="1">
      <c r="A4651" s="7"/>
      <c r="B4651" s="7" t="str">
        <f>IFERROR(__xludf.DUMMYFUNCTION("""COMPUTED_VALUE"""),"HTML/CSS;JavaScript;PHP;Ruby;SQL")</f>
        <v>HTML/CSS;JavaScript;PHP;Ruby;SQL</v>
      </c>
      <c r="C4651" s="9" t="str">
        <f>IFERROR(__xludf.DUMMYFUNCTION("""COMPUTED_VALUE"""),"SQL")</f>
        <v>SQL</v>
      </c>
      <c r="D4651" s="9" t="str">
        <f>IFERROR(__xludf.DUMMYFUNCTION("""COMPUTED_VALUE"""),"HTML/CSS")</f>
        <v>HTML/CSS</v>
      </c>
      <c r="E4651" s="9" t="str">
        <f>IFERROR(__xludf.DUMMYFUNCTION("""COMPUTED_VALUE"""),"Python")</f>
        <v>Python</v>
      </c>
      <c r="F4651" s="9" t="str">
        <f>IFERROR(__xludf.DUMMYFUNCTION("""COMPUTED_VALUE"""),"WebAssembly")</f>
        <v>WebAssembly</v>
      </c>
      <c r="G4651" s="9" t="str">
        <f>IFERROR(__xludf.DUMMYFUNCTION("""COMPUTED_VALUE"""),"SQL")</f>
        <v>SQL</v>
      </c>
      <c r="H4651" s="9" t="str">
        <f>IFERROR(__xludf.DUMMYFUNCTION("""COMPUTED_VALUE"""),"SQL")</f>
        <v>SQL</v>
      </c>
      <c r="I4651" s="9" t="str">
        <f>IFERROR(__xludf.DUMMYFUNCTION("""COMPUTED_VALUE"""),"HTML/CSS")</f>
        <v>HTML/CSS</v>
      </c>
      <c r="J4651" s="9" t="str">
        <f>IFERROR(__xludf.DUMMYFUNCTION("""COMPUTED_VALUE"""),"Go")</f>
        <v>Go</v>
      </c>
      <c r="K4651" s="9" t="str">
        <f>IFERROR(__xludf.DUMMYFUNCTION("""COMPUTED_VALUE"""),"TypeScript")</f>
        <v>TypeScript</v>
      </c>
      <c r="L4651" s="9" t="str">
        <f>IFERROR(__xludf.DUMMYFUNCTION("""COMPUTED_VALUE"""),"TypeScript")</f>
        <v>TypeScript</v>
      </c>
      <c r="M4651" s="9" t="s">
        <v>27</v>
      </c>
    </row>
    <row r="4652" ht="15.75" customHeight="1">
      <c r="A4652" s="7"/>
      <c r="B4652" s="7" t="str">
        <f>IFERROR(__xludf.DUMMYFUNCTION("""COMPUTED_VALUE"""),"C#;HTML/CSS;JavaScript;SQL;TypeScript")</f>
        <v>C#;HTML/CSS;JavaScript;SQL;TypeScript</v>
      </c>
      <c r="C4652" s="9" t="str">
        <f>IFERROR(__xludf.DUMMYFUNCTION("""COMPUTED_VALUE"""),"Bash/Shell/PowerShell")</f>
        <v>Bash/Shell/PowerShell</v>
      </c>
      <c r="D4652" s="9" t="str">
        <f>IFERROR(__xludf.DUMMYFUNCTION("""COMPUTED_VALUE"""),"JavaScript")</f>
        <v>JavaScript</v>
      </c>
      <c r="E4652" s="9" t="str">
        <f>IFERROR(__xludf.DUMMYFUNCTION("""COMPUTED_VALUE"""),"C")</f>
        <v>C</v>
      </c>
      <c r="F4652" s="9" t="str">
        <f>IFERROR(__xludf.DUMMYFUNCTION("""COMPUTED_VALUE"""),"Assembly")</f>
        <v>Assembly</v>
      </c>
      <c r="G4652" s="9" t="str">
        <f>IFERROR(__xludf.DUMMYFUNCTION("""COMPUTED_VALUE"""),"Swift")</f>
        <v>Swift</v>
      </c>
      <c r="H4652" s="9" t="str">
        <f>IFERROR(__xludf.DUMMYFUNCTION("""COMPUTED_VALUE"""),"TypeScript")</f>
        <v>TypeScript</v>
      </c>
      <c r="I4652" s="9" t="str">
        <f>IFERROR(__xludf.DUMMYFUNCTION("""COMPUTED_VALUE"""),"JavaScript")</f>
        <v>JavaScript</v>
      </c>
      <c r="J4652" s="9" t="str">
        <f>IFERROR(__xludf.DUMMYFUNCTION("""COMPUTED_VALUE"""),"Python")</f>
        <v>Python</v>
      </c>
      <c r="K4652" s="9" t="str">
        <f>IFERROR(__xludf.DUMMYFUNCTION("""COMPUTED_VALUE"""),"Other(s):")</f>
        <v>Other(s):</v>
      </c>
      <c r="L4652" s="9" t="str">
        <f>IFERROR(__xludf.DUMMYFUNCTION("""COMPUTED_VALUE"""),"Bash/Shell/PowerShell")</f>
        <v>Bash/Shell/PowerShell</v>
      </c>
      <c r="M4652" s="9" t="s">
        <v>30</v>
      </c>
    </row>
    <row r="4653" ht="15.75" customHeight="1">
      <c r="A4653" s="7"/>
      <c r="B4653" s="7" t="str">
        <f>IFERROR(__xludf.DUMMYFUNCTION("""COMPUTED_VALUE"""),"C#;HTML/CSS;TypeScript")</f>
        <v>C#;HTML/CSS;TypeScript</v>
      </c>
      <c r="C4653" s="9" t="str">
        <f>IFERROR(__xludf.DUMMYFUNCTION("""COMPUTED_VALUE"""),"HTML/CSS")</f>
        <v>HTML/CSS</v>
      </c>
      <c r="D4653" s="9" t="str">
        <f>IFERROR(__xludf.DUMMYFUNCTION("""COMPUTED_VALUE"""),"Ruby")</f>
        <v>Ruby</v>
      </c>
      <c r="E4653" s="9" t="str">
        <f>IFERROR(__xludf.DUMMYFUNCTION("""COMPUTED_VALUE"""),"C++")</f>
        <v>C++</v>
      </c>
      <c r="F4653" s="9" t="str">
        <f>IFERROR(__xludf.DUMMYFUNCTION("""COMPUTED_VALUE"""),"Bash/Shell/PowerShell")</f>
        <v>Bash/Shell/PowerShell</v>
      </c>
      <c r="G4653" s="9" t="str">
        <f>IFERROR(__xludf.DUMMYFUNCTION("""COMPUTED_VALUE"""),"TypeScript")</f>
        <v>TypeScript</v>
      </c>
      <c r="H4653" s="9" t="str">
        <f>IFERROR(__xludf.DUMMYFUNCTION("""COMPUTED_VALUE"""),"Bash/Shell/PowerShell")</f>
        <v>Bash/Shell/PowerShell</v>
      </c>
      <c r="I4653" s="9" t="str">
        <f>IFERROR(__xludf.DUMMYFUNCTION("""COMPUTED_VALUE"""),"SQL")</f>
        <v>SQL</v>
      </c>
      <c r="J4653" s="9" t="str">
        <f>IFERROR(__xludf.DUMMYFUNCTION("""COMPUTED_VALUE"""),"Rust")</f>
        <v>Rust</v>
      </c>
      <c r="K4653" s="9" t="str">
        <f>IFERROR(__xludf.DUMMYFUNCTION("""COMPUTED_VALUE"""),"HTML/CSS")</f>
        <v>HTML/CSS</v>
      </c>
      <c r="L4653" s="9" t="str">
        <f>IFERROR(__xludf.DUMMYFUNCTION("""COMPUTED_VALUE"""),"HTML/CSS")</f>
        <v>HTML/CSS</v>
      </c>
      <c r="M4653" s="9" t="s">
        <v>24</v>
      </c>
    </row>
    <row r="4654" ht="15.75" customHeight="1">
      <c r="A4654" s="7"/>
      <c r="B4654" s="7" t="str">
        <f>IFERROR(__xludf.DUMMYFUNCTION("""COMPUTED_VALUE"""),"C++;C#")</f>
        <v>C++;C#</v>
      </c>
      <c r="C4654" s="9" t="str">
        <f>IFERROR(__xludf.DUMMYFUNCTION("""COMPUTED_VALUE"""),"JavaScript")</f>
        <v>JavaScript</v>
      </c>
      <c r="D4654" s="9" t="str">
        <f>IFERROR(__xludf.DUMMYFUNCTION("""COMPUTED_VALUE"""),"SQL")</f>
        <v>SQL</v>
      </c>
      <c r="E4654" s="9" t="str">
        <f>IFERROR(__xludf.DUMMYFUNCTION("""COMPUTED_VALUE"""),"C#")</f>
        <v>C#</v>
      </c>
      <c r="F4654" s="9" t="str">
        <f>IFERROR(__xludf.DUMMYFUNCTION("""COMPUTED_VALUE"""),"C")</f>
        <v>C</v>
      </c>
      <c r="G4654" s="9" t="str">
        <f>IFERROR(__xludf.DUMMYFUNCTION("""COMPUTED_VALUE"""),"C#")</f>
        <v>C#</v>
      </c>
      <c r="H4654" s="9" t="str">
        <f>IFERROR(__xludf.DUMMYFUNCTION("""COMPUTED_VALUE"""),"C++")</f>
        <v>C++</v>
      </c>
      <c r="I4654" s="9" t="str">
        <f>IFERROR(__xludf.DUMMYFUNCTION("""COMPUTED_VALUE"""),"TypeScript")</f>
        <v>TypeScript</v>
      </c>
      <c r="J4654" s="9" t="str">
        <f>IFERROR(__xludf.DUMMYFUNCTION("""COMPUTED_VALUE"""),"Assembly")</f>
        <v>Assembly</v>
      </c>
      <c r="K4654" s="9" t="str">
        <f>IFERROR(__xludf.DUMMYFUNCTION("""COMPUTED_VALUE"""),"Java")</f>
        <v>Java</v>
      </c>
      <c r="L4654" s="9" t="str">
        <f>IFERROR(__xludf.DUMMYFUNCTION("""COMPUTED_VALUE"""),"JavaScript")</f>
        <v>JavaScript</v>
      </c>
      <c r="M4654" s="9" t="s">
        <v>21</v>
      </c>
    </row>
    <row r="4655" ht="15.75" customHeight="1">
      <c r="A4655" s="7"/>
      <c r="B4655" s="7" t="str">
        <f>IFERROR(__xludf.DUMMYFUNCTION("""COMPUTED_VALUE"""),"C#;HTML/CSS;JavaScript;SQL")</f>
        <v>C#;HTML/CSS;JavaScript;SQL</v>
      </c>
      <c r="C4655" s="9" t="str">
        <f>IFERROR(__xludf.DUMMYFUNCTION("""COMPUTED_VALUE"""),"SQL")</f>
        <v>SQL</v>
      </c>
      <c r="D4655" s="9" t="str">
        <f>IFERROR(__xludf.DUMMYFUNCTION("""COMPUTED_VALUE"""),"Bash/Shell/PowerShell")</f>
        <v>Bash/Shell/PowerShell</v>
      </c>
      <c r="E4655" s="9" t="str">
        <f>IFERROR(__xludf.DUMMYFUNCTION("""COMPUTED_VALUE"""),"HTML/CSS")</f>
        <v>HTML/CSS</v>
      </c>
      <c r="F4655" s="9" t="str">
        <f>IFERROR(__xludf.DUMMYFUNCTION("""COMPUTED_VALUE"""),"C++")</f>
        <v>C++</v>
      </c>
      <c r="G4655" s="9" t="str">
        <f>IFERROR(__xludf.DUMMYFUNCTION("""COMPUTED_VALUE"""),"Python")</f>
        <v>Python</v>
      </c>
      <c r="H4655" s="9" t="str">
        <f>IFERROR(__xludf.DUMMYFUNCTION("""COMPUTED_VALUE"""),"C#")</f>
        <v>C#</v>
      </c>
      <c r="I4655" s="9" t="str">
        <f>IFERROR(__xludf.DUMMYFUNCTION("""COMPUTED_VALUE"""),"Bash/Shell/PowerShell")</f>
        <v>Bash/Shell/PowerShell</v>
      </c>
      <c r="J4655" s="9" t="str">
        <f>IFERROR(__xludf.DUMMYFUNCTION("""COMPUTED_VALUE"""),"Bash/Shell/PowerShell")</f>
        <v>Bash/Shell/PowerShell</v>
      </c>
      <c r="K4655" s="9" t="str">
        <f>IFERROR(__xludf.DUMMYFUNCTION("""COMPUTED_VALUE"""),"JavaScript")</f>
        <v>JavaScript</v>
      </c>
      <c r="L4655" s="9" t="str">
        <f>IFERROR(__xludf.DUMMYFUNCTION("""COMPUTED_VALUE"""),"PHP")</f>
        <v>PHP</v>
      </c>
      <c r="M4655" s="9" t="s">
        <v>27</v>
      </c>
    </row>
    <row r="4656" ht="15.75" customHeight="1">
      <c r="A4656" s="7"/>
      <c r="B4656" s="7" t="str">
        <f>IFERROR(__xludf.DUMMYFUNCTION("""COMPUTED_VALUE"""),"Assembly;Bash/Shell/PowerShell;C;Python;Other(s):")</f>
        <v>Assembly;Bash/Shell/PowerShell;C;Python;Other(s):</v>
      </c>
      <c r="C4656" s="9" t="str">
        <f>IFERROR(__xludf.DUMMYFUNCTION("""COMPUTED_VALUE"""),"C#")</f>
        <v>C#</v>
      </c>
      <c r="D4656" s="9" t="str">
        <f>IFERROR(__xludf.DUMMYFUNCTION("""COMPUTED_VALUE"""),"C")</f>
        <v>C</v>
      </c>
      <c r="E4656" s="9" t="str">
        <f>IFERROR(__xludf.DUMMYFUNCTION("""COMPUTED_VALUE"""),"Java")</f>
        <v>Java</v>
      </c>
      <c r="F4656" s="9" t="str">
        <f>IFERROR(__xludf.DUMMYFUNCTION("""COMPUTED_VALUE"""),"HTML/CSS")</f>
        <v>HTML/CSS</v>
      </c>
      <c r="G4656" s="9" t="str">
        <f>IFERROR(__xludf.DUMMYFUNCTION("""COMPUTED_VALUE"""),"SQL")</f>
        <v>SQL</v>
      </c>
      <c r="H4656" s="9" t="str">
        <f>IFERROR(__xludf.DUMMYFUNCTION("""COMPUTED_VALUE"""),"HTML/CSS")</f>
        <v>HTML/CSS</v>
      </c>
      <c r="I4656" s="9" t="str">
        <f>IFERROR(__xludf.DUMMYFUNCTION("""COMPUTED_VALUE"""),"C++")</f>
        <v>C++</v>
      </c>
      <c r="J4656" s="9" t="str">
        <f>IFERROR(__xludf.DUMMYFUNCTION("""COMPUTED_VALUE"""),"C")</f>
        <v>C</v>
      </c>
      <c r="K4656" s="9" t="str">
        <f>IFERROR(__xludf.DUMMYFUNCTION("""COMPUTED_VALUE"""),"SQL")</f>
        <v>SQL</v>
      </c>
      <c r="L4656" s="9" t="str">
        <f>IFERROR(__xludf.DUMMYFUNCTION("""COMPUTED_VALUE"""),"Python")</f>
        <v>Python</v>
      </c>
      <c r="M4656" s="9" t="s">
        <v>26</v>
      </c>
    </row>
    <row r="4657" ht="15.75" customHeight="1">
      <c r="A4657" s="7"/>
      <c r="B4657" s="7" t="str">
        <f>IFERROR(__xludf.DUMMYFUNCTION("""COMPUTED_VALUE"""),"HTML/CSS;Java;JavaScript;SQL;TypeScript;Other(s):")</f>
        <v>HTML/CSS;Java;JavaScript;SQL;TypeScript;Other(s):</v>
      </c>
      <c r="C4657" s="9" t="str">
        <f>IFERROR(__xludf.DUMMYFUNCTION("""COMPUTED_VALUE"""),"HTML/CSS")</f>
        <v>HTML/CSS</v>
      </c>
      <c r="D4657" s="9" t="str">
        <f>IFERROR(__xludf.DUMMYFUNCTION("""COMPUTED_VALUE"""),"C++")</f>
        <v>C++</v>
      </c>
      <c r="E4657" s="9" t="str">
        <f>IFERROR(__xludf.DUMMYFUNCTION("""COMPUTED_VALUE"""),"JavaScript")</f>
        <v>JavaScript</v>
      </c>
      <c r="F4657" s="9" t="str">
        <f>IFERROR(__xludf.DUMMYFUNCTION("""COMPUTED_VALUE"""),"Java")</f>
        <v>Java</v>
      </c>
      <c r="G4657" s="9" t="str">
        <f>IFERROR(__xludf.DUMMYFUNCTION("""COMPUTED_VALUE"""),"PHP")</f>
        <v>PHP</v>
      </c>
      <c r="H4657" s="9" t="str">
        <f>IFERROR(__xludf.DUMMYFUNCTION("""COMPUTED_VALUE"""),"Java")</f>
        <v>Java</v>
      </c>
      <c r="I4657" s="9" t="str">
        <f>IFERROR(__xludf.DUMMYFUNCTION("""COMPUTED_VALUE"""),"HTML/CSS")</f>
        <v>HTML/CSS</v>
      </c>
      <c r="J4657" s="9" t="str">
        <f>IFERROR(__xludf.DUMMYFUNCTION("""COMPUTED_VALUE"""),"C++")</f>
        <v>C++</v>
      </c>
      <c r="K4657" s="9" t="str">
        <f>IFERROR(__xludf.DUMMYFUNCTION("""COMPUTED_VALUE"""),"Bash/Shell/PowerShell")</f>
        <v>Bash/Shell/PowerShell</v>
      </c>
      <c r="L4657" s="9" t="str">
        <f>IFERROR(__xludf.DUMMYFUNCTION("""COMPUTED_VALUE"""),"SQL")</f>
        <v>SQL</v>
      </c>
      <c r="M4657" s="9" t="s">
        <v>24</v>
      </c>
    </row>
    <row r="4658" ht="15.75" customHeight="1">
      <c r="A4658" s="7"/>
      <c r="B4658" s="7" t="str">
        <f>IFERROR(__xludf.DUMMYFUNCTION("""COMPUTED_VALUE"""),"C;C++;Java;PHP;Python;SQL")</f>
        <v>C;C++;Java;PHP;Python;SQL</v>
      </c>
      <c r="C4658" s="9" t="str">
        <f>IFERROR(__xludf.DUMMYFUNCTION("""COMPUTED_VALUE"""),"JavaScript")</f>
        <v>JavaScript</v>
      </c>
      <c r="D4658" s="9" t="str">
        <f>IFERROR(__xludf.DUMMYFUNCTION("""COMPUTED_VALUE"""),"C#")</f>
        <v>C#</v>
      </c>
      <c r="E4658" s="9" t="str">
        <f>IFERROR(__xludf.DUMMYFUNCTION("""COMPUTED_VALUE"""),"SQL")</f>
        <v>SQL</v>
      </c>
      <c r="F4658" s="9" t="str">
        <f>IFERROR(__xludf.DUMMYFUNCTION("""COMPUTED_VALUE"""),"JavaScript")</f>
        <v>JavaScript</v>
      </c>
      <c r="G4658" s="9" t="str">
        <f>IFERROR(__xludf.DUMMYFUNCTION("""COMPUTED_VALUE"""),"Bash/Shell/PowerShell")</f>
        <v>Bash/Shell/PowerShell</v>
      </c>
      <c r="H4658" s="9" t="str">
        <f>IFERROR(__xludf.DUMMYFUNCTION("""COMPUTED_VALUE"""),"JavaScript")</f>
        <v>JavaScript</v>
      </c>
      <c r="I4658" s="9" t="str">
        <f>IFERROR(__xludf.DUMMYFUNCTION("""COMPUTED_VALUE"""),"JavaScript")</f>
        <v>JavaScript</v>
      </c>
      <c r="J4658" s="9" t="str">
        <f>IFERROR(__xludf.DUMMYFUNCTION("""COMPUTED_VALUE"""),"HTML/CSS")</f>
        <v>HTML/CSS</v>
      </c>
      <c r="K4658" s="9" t="str">
        <f>IFERROR(__xludf.DUMMYFUNCTION("""COMPUTED_VALUE"""),"Clojure")</f>
        <v>Clojure</v>
      </c>
      <c r="L4658" s="9" t="str">
        <f>IFERROR(__xludf.DUMMYFUNCTION("""COMPUTED_VALUE"""),"Bash/Shell/PowerShell")</f>
        <v>Bash/Shell/PowerShell</v>
      </c>
      <c r="M4658" s="9" t="s">
        <v>21</v>
      </c>
    </row>
    <row r="4659" ht="15.75" customHeight="1">
      <c r="A4659" s="7"/>
      <c r="B4659" s="7" t="str">
        <f>IFERROR(__xludf.DUMMYFUNCTION("""COMPUTED_VALUE"""),"C#;HTML/CSS;JavaScript;SQL;VBA")</f>
        <v>C#;HTML/CSS;JavaScript;SQL;VBA</v>
      </c>
      <c r="C4659" s="9" t="str">
        <f>IFERROR(__xludf.DUMMYFUNCTION("""COMPUTED_VALUE"""),"SQL")</f>
        <v>SQL</v>
      </c>
      <c r="D4659" s="9" t="str">
        <f>IFERROR(__xludf.DUMMYFUNCTION("""COMPUTED_VALUE"""),"HTML/CSS")</f>
        <v>HTML/CSS</v>
      </c>
      <c r="E4659" s="9" t="str">
        <f>IFERROR(__xludf.DUMMYFUNCTION("""COMPUTED_VALUE"""),"TypeScript")</f>
        <v>TypeScript</v>
      </c>
      <c r="F4659" s="9" t="str">
        <f>IFERROR(__xludf.DUMMYFUNCTION("""COMPUTED_VALUE"""),"Objective-C")</f>
        <v>Objective-C</v>
      </c>
      <c r="G4659" s="9" t="str">
        <f>IFERROR(__xludf.DUMMYFUNCTION("""COMPUTED_VALUE"""),"SQL")</f>
        <v>SQL</v>
      </c>
      <c r="H4659" s="9" t="str">
        <f>IFERROR(__xludf.DUMMYFUNCTION("""COMPUTED_VALUE"""),"Python")</f>
        <v>Python</v>
      </c>
      <c r="I4659" s="9" t="str">
        <f>IFERROR(__xludf.DUMMYFUNCTION("""COMPUTED_VALUE"""),"Python")</f>
        <v>Python</v>
      </c>
      <c r="J4659" s="9" t="str">
        <f>IFERROR(__xludf.DUMMYFUNCTION("""COMPUTED_VALUE"""),"Java")</f>
        <v>Java</v>
      </c>
      <c r="K4659" s="9" t="str">
        <f>IFERROR(__xludf.DUMMYFUNCTION("""COMPUTED_VALUE"""),"Go")</f>
        <v>Go</v>
      </c>
      <c r="L4659" s="9" t="str">
        <f>IFERROR(__xludf.DUMMYFUNCTION("""COMPUTED_VALUE"""),"C")</f>
        <v>C</v>
      </c>
      <c r="M4659" s="9" t="s">
        <v>27</v>
      </c>
    </row>
    <row r="4660" ht="15.75" customHeight="1">
      <c r="A4660" s="7"/>
      <c r="B4660" s="7" t="str">
        <f>IFERROR(__xludf.DUMMYFUNCTION("""COMPUTED_VALUE"""),"C#;HTML/CSS;Java;JavaScript;Python;SQL;TypeScript")</f>
        <v>C#;HTML/CSS;Java;JavaScript;Python;SQL;TypeScript</v>
      </c>
      <c r="C4660" s="9" t="str">
        <f>IFERROR(__xludf.DUMMYFUNCTION("""COMPUTED_VALUE"""),"TypeScript")</f>
        <v>TypeScript</v>
      </c>
      <c r="D4660" s="9" t="str">
        <f>IFERROR(__xludf.DUMMYFUNCTION("""COMPUTED_VALUE"""),"Java")</f>
        <v>Java</v>
      </c>
      <c r="E4660" s="9" t="str">
        <f>IFERROR(__xludf.DUMMYFUNCTION("""COMPUTED_VALUE"""),"Bash/Shell/PowerShell")</f>
        <v>Bash/Shell/PowerShell</v>
      </c>
      <c r="F4660" s="9" t="str">
        <f>IFERROR(__xludf.DUMMYFUNCTION("""COMPUTED_VALUE"""),"PHP")</f>
        <v>PHP</v>
      </c>
      <c r="G4660" s="9" t="str">
        <f>IFERROR(__xludf.DUMMYFUNCTION("""COMPUTED_VALUE"""),"Java")</f>
        <v>Java</v>
      </c>
      <c r="H4660" s="9" t="str">
        <f>IFERROR(__xludf.DUMMYFUNCTION("""COMPUTED_VALUE"""),"Java")</f>
        <v>Java</v>
      </c>
      <c r="I4660" s="9" t="str">
        <f>IFERROR(__xludf.DUMMYFUNCTION("""COMPUTED_VALUE"""),"SQL")</f>
        <v>SQL</v>
      </c>
      <c r="J4660" s="9" t="str">
        <f>IFERROR(__xludf.DUMMYFUNCTION("""COMPUTED_VALUE"""),"JavaScript")</f>
        <v>JavaScript</v>
      </c>
      <c r="K4660" s="9" t="str">
        <f>IFERROR(__xludf.DUMMYFUNCTION("""COMPUTED_VALUE"""),"Java")</f>
        <v>Java</v>
      </c>
      <c r="L4660" s="9" t="str">
        <f>IFERROR(__xludf.DUMMYFUNCTION("""COMPUTED_VALUE"""),"C++")</f>
        <v>C++</v>
      </c>
      <c r="M4660" s="9" t="s">
        <v>33</v>
      </c>
    </row>
    <row r="4661" ht="15.75" customHeight="1">
      <c r="A4661" s="7"/>
      <c r="B4661" s="7" t="str">
        <f>IFERROR(__xludf.DUMMYFUNCTION("""COMPUTED_VALUE"""),"Assembly;C;C++;HTML/CSS;JavaScript;Python;Rust;TypeScript")</f>
        <v>Assembly;C;C++;HTML/CSS;JavaScript;Python;Rust;TypeScript</v>
      </c>
      <c r="C4661" s="9" t="str">
        <f>IFERROR(__xludf.DUMMYFUNCTION("""COMPUTED_VALUE"""),"JavaScript")</f>
        <v>JavaScript</v>
      </c>
      <c r="D4661" s="9" t="str">
        <f>IFERROR(__xludf.DUMMYFUNCTION("""COMPUTED_VALUE"""),"JavaScript")</f>
        <v>JavaScript</v>
      </c>
      <c r="E4661" s="9" t="str">
        <f>IFERROR(__xludf.DUMMYFUNCTION("""COMPUTED_VALUE"""),"Go")</f>
        <v>Go</v>
      </c>
      <c r="F4661" s="9" t="str">
        <f>IFERROR(__xludf.DUMMYFUNCTION("""COMPUTED_VALUE"""),"Python")</f>
        <v>Python</v>
      </c>
      <c r="G4661" s="9" t="str">
        <f>IFERROR(__xludf.DUMMYFUNCTION("""COMPUTED_VALUE"""),"Python")</f>
        <v>Python</v>
      </c>
      <c r="H4661" s="9" t="str">
        <f>IFERROR(__xludf.DUMMYFUNCTION("""COMPUTED_VALUE"""),"JavaScript")</f>
        <v>JavaScript</v>
      </c>
      <c r="I4661" s="9" t="str">
        <f>IFERROR(__xludf.DUMMYFUNCTION("""COMPUTED_VALUE"""),"C#")</f>
        <v>C#</v>
      </c>
      <c r="J4661" s="9" t="str">
        <f>IFERROR(__xludf.DUMMYFUNCTION("""COMPUTED_VALUE"""),"PHP")</f>
        <v>PHP</v>
      </c>
      <c r="K4661" s="9" t="str">
        <f>IFERROR(__xludf.DUMMYFUNCTION("""COMPUTED_VALUE"""),"JavaScript")</f>
        <v>JavaScript</v>
      </c>
      <c r="L4661" s="9" t="str">
        <f>IFERROR(__xludf.DUMMYFUNCTION("""COMPUTED_VALUE"""),"HTML/CSS")</f>
        <v>HTML/CSS</v>
      </c>
      <c r="M4661" s="9" t="s">
        <v>21</v>
      </c>
    </row>
    <row r="4662" ht="15.75" customHeight="1">
      <c r="A4662" s="7"/>
      <c r="B4662" s="7" t="str">
        <f>IFERROR(__xludf.DUMMYFUNCTION("""COMPUTED_VALUE"""),"Go;HTML/CSS;Java;JavaScript;Kotlin;Rust;TypeScript;WebAssembly")</f>
        <v>Go;HTML/CSS;Java;JavaScript;Kotlin;Rust;TypeScript;WebAssembly</v>
      </c>
      <c r="C4662" s="9" t="str">
        <f>IFERROR(__xludf.DUMMYFUNCTION("""COMPUTED_VALUE"""),"Ruby")</f>
        <v>Ruby</v>
      </c>
      <c r="D4662" s="9" t="str">
        <f>IFERROR(__xludf.DUMMYFUNCTION("""COMPUTED_VALUE"""),"Python")</f>
        <v>Python</v>
      </c>
      <c r="E4662" s="9" t="str">
        <f>IFERROR(__xludf.DUMMYFUNCTION("""COMPUTED_VALUE"""),"HTML/CSS")</f>
        <v>HTML/CSS</v>
      </c>
      <c r="F4662" s="9" t="str">
        <f>IFERROR(__xludf.DUMMYFUNCTION("""COMPUTED_VALUE"""),"SQL")</f>
        <v>SQL</v>
      </c>
      <c r="G4662" s="9" t="str">
        <f>IFERROR(__xludf.DUMMYFUNCTION("""COMPUTED_VALUE"""),"Scala")</f>
        <v>Scala</v>
      </c>
      <c r="H4662" s="9" t="str">
        <f>IFERROR(__xludf.DUMMYFUNCTION("""COMPUTED_VALUE"""),"Kotlin")</f>
        <v>Kotlin</v>
      </c>
      <c r="I4662" s="9" t="str">
        <f>IFERROR(__xludf.DUMMYFUNCTION("""COMPUTED_VALUE"""),"Python")</f>
        <v>Python</v>
      </c>
      <c r="J4662" s="9" t="str">
        <f>IFERROR(__xludf.DUMMYFUNCTION("""COMPUTED_VALUE"""),"Python")</f>
        <v>Python</v>
      </c>
      <c r="K4662" s="9" t="str">
        <f>IFERROR(__xludf.DUMMYFUNCTION("""COMPUTED_VALUE"""),"SQL")</f>
        <v>SQL</v>
      </c>
      <c r="L4662" s="9" t="str">
        <f>IFERROR(__xludf.DUMMYFUNCTION("""COMPUTED_VALUE"""),"Java")</f>
        <v>Java</v>
      </c>
      <c r="M4662" s="9" t="s">
        <v>31</v>
      </c>
    </row>
    <row r="4663" ht="15.75" customHeight="1">
      <c r="A4663" s="7"/>
      <c r="B4663" s="7" t="str">
        <f>IFERROR(__xludf.DUMMYFUNCTION("""COMPUTED_VALUE"""),"Assembly;C++;Java")</f>
        <v>Assembly;C++;Java</v>
      </c>
      <c r="C4663" s="9" t="str">
        <f>IFERROR(__xludf.DUMMYFUNCTION("""COMPUTED_VALUE"""),"C")</f>
        <v>C</v>
      </c>
      <c r="D4663" s="9" t="str">
        <f>IFERROR(__xludf.DUMMYFUNCTION("""COMPUTED_VALUE"""),"SQL")</f>
        <v>SQL</v>
      </c>
      <c r="E4663" s="9" t="str">
        <f>IFERROR(__xludf.DUMMYFUNCTION("""COMPUTED_VALUE"""),"JavaScript")</f>
        <v>JavaScript</v>
      </c>
      <c r="F4663" s="9" t="str">
        <f>IFERROR(__xludf.DUMMYFUNCTION("""COMPUTED_VALUE"""),"C")</f>
        <v>C</v>
      </c>
      <c r="G4663" s="9" t="str">
        <f>IFERROR(__xludf.DUMMYFUNCTION("""COMPUTED_VALUE"""),"Python")</f>
        <v>Python</v>
      </c>
      <c r="H4663" s="9" t="str">
        <f>IFERROR(__xludf.DUMMYFUNCTION("""COMPUTED_VALUE"""),"SQL")</f>
        <v>SQL</v>
      </c>
      <c r="I4663" s="9" t="str">
        <f>IFERROR(__xludf.DUMMYFUNCTION("""COMPUTED_VALUE"""),"Java")</f>
        <v>Java</v>
      </c>
      <c r="J4663" s="9" t="str">
        <f>IFERROR(__xludf.DUMMYFUNCTION("""COMPUTED_VALUE"""),"SQL")</f>
        <v>SQL</v>
      </c>
      <c r="K4663" s="9" t="str">
        <f>IFERROR(__xludf.DUMMYFUNCTION("""COMPUTED_VALUE"""),"Bash/Shell/PowerShell")</f>
        <v>Bash/Shell/PowerShell</v>
      </c>
      <c r="L4663" s="9" t="str">
        <f>IFERROR(__xludf.DUMMYFUNCTION("""COMPUTED_VALUE"""),"JavaScript")</f>
        <v>JavaScript</v>
      </c>
      <c r="M4663" s="9" t="s">
        <v>25</v>
      </c>
    </row>
    <row r="4664" ht="15.75" customHeight="1">
      <c r="A4664" s="7"/>
      <c r="B4664" s="7" t="str">
        <f>IFERROR(__xludf.DUMMYFUNCTION("""COMPUTED_VALUE"""),"Python")</f>
        <v>Python</v>
      </c>
      <c r="C4664" s="9" t="str">
        <f>IFERROR(__xludf.DUMMYFUNCTION("""COMPUTED_VALUE"""),"Python")</f>
        <v>Python</v>
      </c>
      <c r="D4664" s="9" t="str">
        <f>IFERROR(__xludf.DUMMYFUNCTION("""COMPUTED_VALUE"""),"C")</f>
        <v>C</v>
      </c>
      <c r="E4664" s="9" t="str">
        <f>IFERROR(__xludf.DUMMYFUNCTION("""COMPUTED_VALUE"""),"Python")</f>
        <v>Python</v>
      </c>
      <c r="F4664" s="9" t="str">
        <f>IFERROR(__xludf.DUMMYFUNCTION("""COMPUTED_VALUE"""),"C++")</f>
        <v>C++</v>
      </c>
      <c r="G4664" s="9" t="str">
        <f>IFERROR(__xludf.DUMMYFUNCTION("""COMPUTED_VALUE"""),"Bash/Shell/PowerShell")</f>
        <v>Bash/Shell/PowerShell</v>
      </c>
      <c r="H4664" s="9" t="str">
        <f>IFERROR(__xludf.DUMMYFUNCTION("""COMPUTED_VALUE"""),"C#")</f>
        <v>C#</v>
      </c>
      <c r="I4664" s="9" t="str">
        <f>IFERROR(__xludf.DUMMYFUNCTION("""COMPUTED_VALUE"""),"JavaScript")</f>
        <v>JavaScript</v>
      </c>
      <c r="J4664" s="9" t="str">
        <f>IFERROR(__xludf.DUMMYFUNCTION("""COMPUTED_VALUE"""),"Other(s):")</f>
        <v>Other(s):</v>
      </c>
      <c r="K4664" s="9" t="str">
        <f>IFERROR(__xludf.DUMMYFUNCTION("""COMPUTED_VALUE"""),"C#")</f>
        <v>C#</v>
      </c>
      <c r="L4664" s="9" t="str">
        <f>IFERROR(__xludf.DUMMYFUNCTION("""COMPUTED_VALUE"""),"PHP")</f>
        <v>PHP</v>
      </c>
      <c r="M4664" s="9" t="s">
        <v>22</v>
      </c>
    </row>
    <row r="4665" ht="15.75" customHeight="1">
      <c r="A4665" s="7"/>
      <c r="B4665" s="7" t="str">
        <f>IFERROR(__xludf.DUMMYFUNCTION("""COMPUTED_VALUE"""),"HTML/CSS;Java;JavaScript;SQL;TypeScript")</f>
        <v>HTML/CSS;Java;JavaScript;SQL;TypeScript</v>
      </c>
      <c r="C4665" s="9" t="str">
        <f>IFERROR(__xludf.DUMMYFUNCTION("""COMPUTED_VALUE"""),"HTML/CSS")</f>
        <v>HTML/CSS</v>
      </c>
      <c r="D4665" s="9" t="str">
        <f>IFERROR(__xludf.DUMMYFUNCTION("""COMPUTED_VALUE"""),"C++")</f>
        <v>C++</v>
      </c>
      <c r="E4665" s="9" t="str">
        <f>IFERROR(__xludf.DUMMYFUNCTION("""COMPUTED_VALUE"""),"Ruby")</f>
        <v>Ruby</v>
      </c>
      <c r="F4665" s="9" t="str">
        <f>IFERROR(__xludf.DUMMYFUNCTION("""COMPUTED_VALUE"""),"C#")</f>
        <v>C#</v>
      </c>
      <c r="G4665" s="9" t="str">
        <f>IFERROR(__xludf.DUMMYFUNCTION("""COMPUTED_VALUE"""),"C#")</f>
        <v>C#</v>
      </c>
      <c r="H4665" s="9" t="str">
        <f>IFERROR(__xludf.DUMMYFUNCTION("""COMPUTED_VALUE"""),"HTML/CSS")</f>
        <v>HTML/CSS</v>
      </c>
      <c r="I4665" s="9" t="str">
        <f>IFERROR(__xludf.DUMMYFUNCTION("""COMPUTED_VALUE"""),"TypeScript")</f>
        <v>TypeScript</v>
      </c>
      <c r="J4665" s="9" t="str">
        <f>IFERROR(__xludf.DUMMYFUNCTION("""COMPUTED_VALUE"""),"Bash/Shell/PowerShell")</f>
        <v>Bash/Shell/PowerShell</v>
      </c>
      <c r="K4665" s="9" t="str">
        <f>IFERROR(__xludf.DUMMYFUNCTION("""COMPUTED_VALUE"""),"SQL")</f>
        <v>SQL</v>
      </c>
      <c r="L4665" s="9" t="str">
        <f>IFERROR(__xludf.DUMMYFUNCTION("""COMPUTED_VALUE"""),"Python")</f>
        <v>Python</v>
      </c>
      <c r="M4665" s="9" t="s">
        <v>24</v>
      </c>
    </row>
    <row r="4666" ht="15.75" customHeight="1">
      <c r="A4666" s="7"/>
      <c r="B4666" s="7" t="str">
        <f>IFERROR(__xludf.DUMMYFUNCTION("""COMPUTED_VALUE"""),"Bash/Shell/PowerShell;C#;HTML/CSS;Java;Python;R;SQL;VBA")</f>
        <v>Bash/Shell/PowerShell;C#;HTML/CSS;Java;Python;R;SQL;VBA</v>
      </c>
      <c r="C4666" s="9" t="str">
        <f>IFERROR(__xludf.DUMMYFUNCTION("""COMPUTED_VALUE"""),"Java")</f>
        <v>Java</v>
      </c>
      <c r="D4666" s="9" t="str">
        <f>IFERROR(__xludf.DUMMYFUNCTION("""COMPUTED_VALUE"""),"HTML/CSS")</f>
        <v>HTML/CSS</v>
      </c>
      <c r="E4666" s="9" t="str">
        <f>IFERROR(__xludf.DUMMYFUNCTION("""COMPUTED_VALUE"""),"SQL")</f>
        <v>SQL</v>
      </c>
      <c r="F4666" s="9" t="str">
        <f>IFERROR(__xludf.DUMMYFUNCTION("""COMPUTED_VALUE"""),"HTML/CSS")</f>
        <v>HTML/CSS</v>
      </c>
      <c r="G4666" s="9" t="str">
        <f>IFERROR(__xludf.DUMMYFUNCTION("""COMPUTED_VALUE"""),"Go")</f>
        <v>Go</v>
      </c>
      <c r="H4666" s="9" t="str">
        <f>IFERROR(__xludf.DUMMYFUNCTION("""COMPUTED_VALUE"""),"JavaScript")</f>
        <v>JavaScript</v>
      </c>
      <c r="I4666" s="9" t="str">
        <f>IFERROR(__xludf.DUMMYFUNCTION("""COMPUTED_VALUE"""),"Other(s):")</f>
        <v>Other(s):</v>
      </c>
      <c r="J4666" s="9" t="str">
        <f>IFERROR(__xludf.DUMMYFUNCTION("""COMPUTED_VALUE"""),"C++")</f>
        <v>C++</v>
      </c>
      <c r="K4666" s="9" t="str">
        <f>IFERROR(__xludf.DUMMYFUNCTION("""COMPUTED_VALUE"""),"Java")</f>
        <v>Java</v>
      </c>
      <c r="L4666" s="9" t="str">
        <f>IFERROR(__xludf.DUMMYFUNCTION("""COMPUTED_VALUE"""),"SQL")</f>
        <v>SQL</v>
      </c>
      <c r="M4666" s="9" t="s">
        <v>20</v>
      </c>
    </row>
    <row r="4667" ht="15.75" customHeight="1">
      <c r="A4667" s="7"/>
      <c r="B4667" s="7" t="str">
        <f>IFERROR(__xludf.DUMMYFUNCTION("""COMPUTED_VALUE"""),"Objective-C;Python;Swift")</f>
        <v>Objective-C;Python;Swift</v>
      </c>
      <c r="C4667" s="9" t="str">
        <f>IFERROR(__xludf.DUMMYFUNCTION("""COMPUTED_VALUE"""),"JavaScript")</f>
        <v>JavaScript</v>
      </c>
      <c r="D4667" s="9" t="str">
        <f>IFERROR(__xludf.DUMMYFUNCTION("""COMPUTED_VALUE"""),"Java")</f>
        <v>Java</v>
      </c>
      <c r="E4667" s="9" t="str">
        <f>IFERROR(__xludf.DUMMYFUNCTION("""COMPUTED_VALUE"""),"C#")</f>
        <v>C#</v>
      </c>
      <c r="F4667" s="9" t="str">
        <f>IFERROR(__xludf.DUMMYFUNCTION("""COMPUTED_VALUE"""),"JavaScript")</f>
        <v>JavaScript</v>
      </c>
      <c r="G4667" s="9" t="str">
        <f>IFERROR(__xludf.DUMMYFUNCTION("""COMPUTED_VALUE"""),"HTML/CSS")</f>
        <v>HTML/CSS</v>
      </c>
      <c r="H4667" s="9" t="str">
        <f>IFERROR(__xludf.DUMMYFUNCTION("""COMPUTED_VALUE"""),"PHP")</f>
        <v>PHP</v>
      </c>
      <c r="I4667" s="9" t="str">
        <f>IFERROR(__xludf.DUMMYFUNCTION("""COMPUTED_VALUE"""),"C#")</f>
        <v>C#</v>
      </c>
      <c r="J4667" s="9" t="str">
        <f>IFERROR(__xludf.DUMMYFUNCTION("""COMPUTED_VALUE"""),"HTML/CSS")</f>
        <v>HTML/CSS</v>
      </c>
      <c r="K4667" s="9" t="str">
        <f>IFERROR(__xludf.DUMMYFUNCTION("""COMPUTED_VALUE"""),"Assembly")</f>
        <v>Assembly</v>
      </c>
      <c r="L4667" s="9" t="str">
        <f>IFERROR(__xludf.DUMMYFUNCTION("""COMPUTED_VALUE"""),"HTML/CSS")</f>
        <v>HTML/CSS</v>
      </c>
      <c r="M4667" s="9" t="s">
        <v>21</v>
      </c>
    </row>
    <row r="4668" ht="15.75" customHeight="1">
      <c r="A4668" s="7"/>
      <c r="B4668" s="7" t="str">
        <f>IFERROR(__xludf.DUMMYFUNCTION("""COMPUTED_VALUE"""),"Bash/Shell/PowerShell;HTML/CSS;JavaScript;Ruby;SQL")</f>
        <v>Bash/Shell/PowerShell;HTML/CSS;JavaScript;Ruby;SQL</v>
      </c>
      <c r="C4668" s="9" t="str">
        <f>IFERROR(__xludf.DUMMYFUNCTION("""COMPUTED_VALUE"""),"HTML/CSS")</f>
        <v>HTML/CSS</v>
      </c>
      <c r="D4668" s="9" t="str">
        <f>IFERROR(__xludf.DUMMYFUNCTION("""COMPUTED_VALUE"""),"JavaScript")</f>
        <v>JavaScript</v>
      </c>
      <c r="E4668" s="9" t="str">
        <f>IFERROR(__xludf.DUMMYFUNCTION("""COMPUTED_VALUE"""),"Java")</f>
        <v>Java</v>
      </c>
      <c r="F4668" s="9" t="str">
        <f>IFERROR(__xludf.DUMMYFUNCTION("""COMPUTED_VALUE"""),"SQL")</f>
        <v>SQL</v>
      </c>
      <c r="G4668" s="9" t="str">
        <f>IFERROR(__xludf.DUMMYFUNCTION("""COMPUTED_VALUE"""),"Java")</f>
        <v>Java</v>
      </c>
      <c r="H4668" s="9" t="str">
        <f>IFERROR(__xludf.DUMMYFUNCTION("""COMPUTED_VALUE"""),"SQL")</f>
        <v>SQL</v>
      </c>
      <c r="I4668" s="9" t="str">
        <f>IFERROR(__xludf.DUMMYFUNCTION("""COMPUTED_VALUE"""),"HTML/CSS")</f>
        <v>HTML/CSS</v>
      </c>
      <c r="J4668" s="9" t="str">
        <f>IFERROR(__xludf.DUMMYFUNCTION("""COMPUTED_VALUE"""),"Java")</f>
        <v>Java</v>
      </c>
      <c r="K4668" s="9" t="str">
        <f>IFERROR(__xludf.DUMMYFUNCTION("""COMPUTED_VALUE"""),"Bash/Shell/PowerShell")</f>
        <v>Bash/Shell/PowerShell</v>
      </c>
      <c r="L4668" s="9" t="str">
        <f>IFERROR(__xludf.DUMMYFUNCTION("""COMPUTED_VALUE"""),"JavaScript")</f>
        <v>JavaScript</v>
      </c>
      <c r="M4668" s="9" t="s">
        <v>24</v>
      </c>
    </row>
    <row r="4669" ht="15.75" customHeight="1">
      <c r="A4669" s="7"/>
      <c r="B4669" s="7" t="str">
        <f>IFERROR(__xludf.DUMMYFUNCTION("""COMPUTED_VALUE"""),"Bash/Shell/PowerShell;HTML/CSS;JavaScript;Python;SQL")</f>
        <v>Bash/Shell/PowerShell;HTML/CSS;JavaScript;Python;SQL</v>
      </c>
      <c r="C4669" s="9" t="str">
        <f>IFERROR(__xludf.DUMMYFUNCTION("""COMPUTED_VALUE"""),"JavaScript")</f>
        <v>JavaScript</v>
      </c>
      <c r="D4669" s="9" t="str">
        <f>IFERROR(__xludf.DUMMYFUNCTION("""COMPUTED_VALUE"""),"Python")</f>
        <v>Python</v>
      </c>
      <c r="E4669" s="9" t="str">
        <f>IFERROR(__xludf.DUMMYFUNCTION("""COMPUTED_VALUE"""),"Java")</f>
        <v>Java</v>
      </c>
      <c r="F4669" s="9" t="str">
        <f>IFERROR(__xludf.DUMMYFUNCTION("""COMPUTED_VALUE"""),"TypeScript")</f>
        <v>TypeScript</v>
      </c>
      <c r="G4669" s="9" t="str">
        <f>IFERROR(__xludf.DUMMYFUNCTION("""COMPUTED_VALUE"""),"JavaScript")</f>
        <v>JavaScript</v>
      </c>
      <c r="H4669" s="9" t="str">
        <f>IFERROR(__xludf.DUMMYFUNCTION("""COMPUTED_VALUE"""),"C")</f>
        <v>C</v>
      </c>
      <c r="I4669" s="9" t="str">
        <f>IFERROR(__xludf.DUMMYFUNCTION("""COMPUTED_VALUE"""),"SQL")</f>
        <v>SQL</v>
      </c>
      <c r="J4669" s="9" t="str">
        <f>IFERROR(__xludf.DUMMYFUNCTION("""COMPUTED_VALUE"""),"Scala")</f>
        <v>Scala</v>
      </c>
      <c r="K4669" s="9" t="str">
        <f>IFERROR(__xludf.DUMMYFUNCTION("""COMPUTED_VALUE"""),"HTML/CSS")</f>
        <v>HTML/CSS</v>
      </c>
      <c r="L4669" s="9" t="str">
        <f>IFERROR(__xludf.DUMMYFUNCTION("""COMPUTED_VALUE"""),"Bash/Shell/PowerShell")</f>
        <v>Bash/Shell/PowerShell</v>
      </c>
      <c r="M4669" s="9" t="s">
        <v>21</v>
      </c>
    </row>
    <row r="4670" ht="15.75" customHeight="1">
      <c r="A4670" s="7"/>
      <c r="B4670" s="7" t="str">
        <f>IFERROR(__xludf.DUMMYFUNCTION("""COMPUTED_VALUE"""),"Go;JavaScript;Python")</f>
        <v>Go;JavaScript;Python</v>
      </c>
      <c r="C4670" s="9" t="str">
        <f>IFERROR(__xludf.DUMMYFUNCTION("""COMPUTED_VALUE"""),"PHP")</f>
        <v>PHP</v>
      </c>
      <c r="D4670" s="9" t="str">
        <f>IFERROR(__xludf.DUMMYFUNCTION("""COMPUTED_VALUE"""),"SQL")</f>
        <v>SQL</v>
      </c>
      <c r="E4670" s="9" t="str">
        <f>IFERROR(__xludf.DUMMYFUNCTION("""COMPUTED_VALUE"""),"Kotlin")</f>
        <v>Kotlin</v>
      </c>
      <c r="F4670" s="9" t="str">
        <f>IFERROR(__xludf.DUMMYFUNCTION("""COMPUTED_VALUE"""),"VBA")</f>
        <v>VBA</v>
      </c>
      <c r="G4670" s="9" t="str">
        <f>IFERROR(__xludf.DUMMYFUNCTION("""COMPUTED_VALUE"""),"PHP")</f>
        <v>PHP</v>
      </c>
      <c r="H4670" s="9" t="str">
        <f>IFERROR(__xludf.DUMMYFUNCTION("""COMPUTED_VALUE"""),"C++")</f>
        <v>C++</v>
      </c>
      <c r="I4670" s="9" t="str">
        <f>IFERROR(__xludf.DUMMYFUNCTION("""COMPUTED_VALUE"""),"TypeScript")</f>
        <v>TypeScript</v>
      </c>
      <c r="J4670" s="9" t="str">
        <f>IFERROR(__xludf.DUMMYFUNCTION("""COMPUTED_VALUE"""),"SQL")</f>
        <v>SQL</v>
      </c>
      <c r="K4670" s="9" t="str">
        <f>IFERROR(__xludf.DUMMYFUNCTION("""COMPUTED_VALUE"""),"Java")</f>
        <v>Java</v>
      </c>
      <c r="L4670" s="9" t="str">
        <f>IFERROR(__xludf.DUMMYFUNCTION("""COMPUTED_VALUE"""),"C")</f>
        <v>C</v>
      </c>
      <c r="M4670" s="9" t="s">
        <v>37</v>
      </c>
    </row>
    <row r="4671" ht="15.75" customHeight="1">
      <c r="A4671" s="7"/>
      <c r="B4671" s="7" t="str">
        <f>IFERROR(__xludf.DUMMYFUNCTION("""COMPUTED_VALUE"""),"HTML/CSS;JavaScript;Swift")</f>
        <v>HTML/CSS;JavaScript;Swift</v>
      </c>
      <c r="C4671" s="9" t="str">
        <f>IFERROR(__xludf.DUMMYFUNCTION("""COMPUTED_VALUE"""),"SQL")</f>
        <v>SQL</v>
      </c>
      <c r="D4671" s="9" t="str">
        <f>IFERROR(__xludf.DUMMYFUNCTION("""COMPUTED_VALUE"""),"C#")</f>
        <v>C#</v>
      </c>
      <c r="E4671" s="9" t="str">
        <f>IFERROR(__xludf.DUMMYFUNCTION("""COMPUTED_VALUE"""),"Python")</f>
        <v>Python</v>
      </c>
      <c r="F4671" s="9" t="str">
        <f>IFERROR(__xludf.DUMMYFUNCTION("""COMPUTED_VALUE"""),"Bash/Shell/PowerShell")</f>
        <v>Bash/Shell/PowerShell</v>
      </c>
      <c r="G4671" s="9" t="str">
        <f>IFERROR(__xludf.DUMMYFUNCTION("""COMPUTED_VALUE"""),"Python")</f>
        <v>Python</v>
      </c>
      <c r="H4671" s="9" t="str">
        <f>IFERROR(__xludf.DUMMYFUNCTION("""COMPUTED_VALUE"""),"Python")</f>
        <v>Python</v>
      </c>
      <c r="I4671" s="9" t="str">
        <f>IFERROR(__xludf.DUMMYFUNCTION("""COMPUTED_VALUE"""),"Bash/Shell/PowerShell")</f>
        <v>Bash/Shell/PowerShell</v>
      </c>
      <c r="J4671" s="9" t="str">
        <f>IFERROR(__xludf.DUMMYFUNCTION("""COMPUTED_VALUE"""),"Bash/Shell/PowerShell")</f>
        <v>Bash/Shell/PowerShell</v>
      </c>
      <c r="K4671" s="9" t="str">
        <f>IFERROR(__xludf.DUMMYFUNCTION("""COMPUTED_VALUE"""),"JavaScript")</f>
        <v>JavaScript</v>
      </c>
      <c r="L4671" s="9" t="str">
        <f>IFERROR(__xludf.DUMMYFUNCTION("""COMPUTED_VALUE"""),"C#")</f>
        <v>C#</v>
      </c>
      <c r="M4671" s="9" t="s">
        <v>27</v>
      </c>
    </row>
    <row r="4672" ht="15.75" customHeight="1">
      <c r="A4672" s="7"/>
      <c r="B4672" s="7" t="str">
        <f>IFERROR(__xludf.DUMMYFUNCTION("""COMPUTED_VALUE"""),"Bash/Shell/PowerShell;HTML/CSS;Java;JavaScript;PHP;Python;SQL")</f>
        <v>Bash/Shell/PowerShell;HTML/CSS;Java;JavaScript;PHP;Python;SQL</v>
      </c>
      <c r="C4672" s="9" t="str">
        <f>IFERROR(__xludf.DUMMYFUNCTION("""COMPUTED_VALUE"""),"C#")</f>
        <v>C#</v>
      </c>
      <c r="D4672" s="9" t="str">
        <f>IFERROR(__xludf.DUMMYFUNCTION("""COMPUTED_VALUE"""),"F#")</f>
        <v>F#</v>
      </c>
      <c r="E4672" s="9" t="str">
        <f>IFERROR(__xludf.DUMMYFUNCTION("""COMPUTED_VALUE"""),"C")</f>
        <v>C</v>
      </c>
      <c r="F4672" s="9" t="str">
        <f>IFERROR(__xludf.DUMMYFUNCTION("""COMPUTED_VALUE"""),"C#")</f>
        <v>C#</v>
      </c>
      <c r="G4672" s="9" t="str">
        <f>IFERROR(__xludf.DUMMYFUNCTION("""COMPUTED_VALUE"""),"SQL")</f>
        <v>SQL</v>
      </c>
      <c r="H4672" s="9" t="str">
        <f>IFERROR(__xludf.DUMMYFUNCTION("""COMPUTED_VALUE"""),"Rust")</f>
        <v>Rust</v>
      </c>
      <c r="I4672" s="9" t="str">
        <f>IFERROR(__xludf.DUMMYFUNCTION("""COMPUTED_VALUE"""),"C#")</f>
        <v>C#</v>
      </c>
      <c r="J4672" s="9" t="str">
        <f>IFERROR(__xludf.DUMMYFUNCTION("""COMPUTED_VALUE"""),"HTML/CSS")</f>
        <v>HTML/CSS</v>
      </c>
      <c r="K4672" s="9" t="str">
        <f>IFERROR(__xludf.DUMMYFUNCTION("""COMPUTED_VALUE"""),"Python")</f>
        <v>Python</v>
      </c>
      <c r="L4672" s="9" t="str">
        <f>IFERROR(__xludf.DUMMYFUNCTION("""COMPUTED_VALUE"""),"HTML/CSS")</f>
        <v>HTML/CSS</v>
      </c>
      <c r="M4672" s="9" t="s">
        <v>26</v>
      </c>
    </row>
    <row r="4673" ht="15.75" customHeight="1">
      <c r="A4673" s="7"/>
      <c r="B4673" s="7" t="str">
        <f>IFERROR(__xludf.DUMMYFUNCTION("""COMPUTED_VALUE"""),"C++;Java")</f>
        <v>C++;Java</v>
      </c>
      <c r="C4673" s="9" t="str">
        <f>IFERROR(__xludf.DUMMYFUNCTION("""COMPUTED_VALUE"""),"HTML/CSS")</f>
        <v>HTML/CSS</v>
      </c>
      <c r="D4673" s="9" t="str">
        <f>IFERROR(__xludf.DUMMYFUNCTION("""COMPUTED_VALUE"""),"HTML/CSS")</f>
        <v>HTML/CSS</v>
      </c>
      <c r="E4673" s="9" t="str">
        <f>IFERROR(__xludf.DUMMYFUNCTION("""COMPUTED_VALUE"""),"C++")</f>
        <v>C++</v>
      </c>
      <c r="F4673" s="9" t="str">
        <f>IFERROR(__xludf.DUMMYFUNCTION("""COMPUTED_VALUE"""),"Dart")</f>
        <v>Dart</v>
      </c>
      <c r="G4673" s="9" t="str">
        <f>IFERROR(__xludf.DUMMYFUNCTION("""COMPUTED_VALUE"""),"Bash/Shell/PowerShell")</f>
        <v>Bash/Shell/PowerShell</v>
      </c>
      <c r="H4673" s="9" t="str">
        <f>IFERROR(__xludf.DUMMYFUNCTION("""COMPUTED_VALUE"""),"Bash/Shell/PowerShell")</f>
        <v>Bash/Shell/PowerShell</v>
      </c>
      <c r="I4673" s="9" t="str">
        <f>IFERROR(__xludf.DUMMYFUNCTION("""COMPUTED_VALUE"""),"JavaScript")</f>
        <v>JavaScript</v>
      </c>
      <c r="J4673" s="9" t="str">
        <f>IFERROR(__xludf.DUMMYFUNCTION("""COMPUTED_VALUE"""),"Java")</f>
        <v>Java</v>
      </c>
      <c r="K4673" s="9" t="str">
        <f>IFERROR(__xludf.DUMMYFUNCTION("""COMPUTED_VALUE"""),"TypeScript")</f>
        <v>TypeScript</v>
      </c>
      <c r="L4673" s="9" t="str">
        <f>IFERROR(__xludf.DUMMYFUNCTION("""COMPUTED_VALUE"""),"Java")</f>
        <v>Java</v>
      </c>
      <c r="M4673" s="9" t="s">
        <v>24</v>
      </c>
    </row>
    <row r="4674" ht="15.75" customHeight="1">
      <c r="A4674" s="7"/>
      <c r="B4674" s="7" t="str">
        <f>IFERROR(__xludf.DUMMYFUNCTION("""COMPUTED_VALUE"""),"Bash/Shell/PowerShell;Python;Other(s):")</f>
        <v>Bash/Shell/PowerShell;Python;Other(s):</v>
      </c>
      <c r="C4674" s="9" t="str">
        <f>IFERROR(__xludf.DUMMYFUNCTION("""COMPUTED_VALUE"""),"Java")</f>
        <v>Java</v>
      </c>
      <c r="D4674" s="9" t="str">
        <f>IFERROR(__xludf.DUMMYFUNCTION("""COMPUTED_VALUE"""),"SQL")</f>
        <v>SQL</v>
      </c>
      <c r="E4674" s="9" t="str">
        <f>IFERROR(__xludf.DUMMYFUNCTION("""COMPUTED_VALUE"""),"HTML/CSS")</f>
        <v>HTML/CSS</v>
      </c>
      <c r="F4674" s="9" t="str">
        <f>IFERROR(__xludf.DUMMYFUNCTION("""COMPUTED_VALUE"""),"Elixir")</f>
        <v>Elixir</v>
      </c>
      <c r="G4674" s="9" t="str">
        <f>IFERROR(__xludf.DUMMYFUNCTION("""COMPUTED_VALUE"""),"C")</f>
        <v>C</v>
      </c>
      <c r="H4674" s="9" t="str">
        <f>IFERROR(__xludf.DUMMYFUNCTION("""COMPUTED_VALUE"""),"Python")</f>
        <v>Python</v>
      </c>
      <c r="I4674" s="9" t="str">
        <f>IFERROR(__xludf.DUMMYFUNCTION("""COMPUTED_VALUE"""),"Python")</f>
        <v>Python</v>
      </c>
      <c r="J4674" s="9" t="str">
        <f>IFERROR(__xludf.DUMMYFUNCTION("""COMPUTED_VALUE"""),"TypeScript")</f>
        <v>TypeScript</v>
      </c>
      <c r="K4674" s="9" t="str">
        <f>IFERROR(__xludf.DUMMYFUNCTION("""COMPUTED_VALUE"""),"HTML/CSS")</f>
        <v>HTML/CSS</v>
      </c>
      <c r="L4674" s="9" t="str">
        <f>IFERROR(__xludf.DUMMYFUNCTION("""COMPUTED_VALUE"""),"JavaScript")</f>
        <v>JavaScript</v>
      </c>
      <c r="M4674" s="9" t="s">
        <v>20</v>
      </c>
    </row>
    <row r="4675" ht="15.75" customHeight="1">
      <c r="A4675" s="7"/>
      <c r="B4675" s="7" t="str">
        <f>IFERROR(__xludf.DUMMYFUNCTION("""COMPUTED_VALUE"""),"HTML/CSS;JavaScript;SQL;Other(s):")</f>
        <v>HTML/CSS;JavaScript;SQL;Other(s):</v>
      </c>
      <c r="C4675" s="9" t="str">
        <f>IFERROR(__xludf.DUMMYFUNCTION("""COMPUTED_VALUE"""),"JavaScript")</f>
        <v>JavaScript</v>
      </c>
      <c r="D4675" s="9" t="str">
        <f>IFERROR(__xludf.DUMMYFUNCTION("""COMPUTED_VALUE"""),"Other(s):")</f>
        <v>Other(s):</v>
      </c>
      <c r="E4675" s="9" t="str">
        <f>IFERROR(__xludf.DUMMYFUNCTION("""COMPUTED_VALUE"""),"PHP")</f>
        <v>PHP</v>
      </c>
      <c r="F4675" s="9" t="str">
        <f>IFERROR(__xludf.DUMMYFUNCTION("""COMPUTED_VALUE"""),"Erlang")</f>
        <v>Erlang</v>
      </c>
      <c r="G4675" s="9" t="str">
        <f>IFERROR(__xludf.DUMMYFUNCTION("""COMPUTED_VALUE"""),"C++")</f>
        <v>C++</v>
      </c>
      <c r="H4675" s="9" t="str">
        <f>IFERROR(__xludf.DUMMYFUNCTION("""COMPUTED_VALUE"""),"SQL")</f>
        <v>SQL</v>
      </c>
      <c r="I4675" s="9" t="str">
        <f>IFERROR(__xludf.DUMMYFUNCTION("""COMPUTED_VALUE"""),"SQL")</f>
        <v>SQL</v>
      </c>
      <c r="J4675" s="9" t="str">
        <f>IFERROR(__xludf.DUMMYFUNCTION("""COMPUTED_VALUE"""),"Bash/Shell/PowerShell")</f>
        <v>Bash/Shell/PowerShell</v>
      </c>
      <c r="K4675" s="9" t="str">
        <f>IFERROR(__xludf.DUMMYFUNCTION("""COMPUTED_VALUE"""),"Java")</f>
        <v>Java</v>
      </c>
      <c r="L4675" s="9" t="str">
        <f>IFERROR(__xludf.DUMMYFUNCTION("""COMPUTED_VALUE"""),"Python")</f>
        <v>Python</v>
      </c>
      <c r="M4675" s="9" t="s">
        <v>21</v>
      </c>
    </row>
    <row r="4676" ht="15.75" customHeight="1">
      <c r="A4676" s="7"/>
      <c r="B4676" s="7" t="str">
        <f>IFERROR(__xludf.DUMMYFUNCTION("""COMPUTED_VALUE"""),"C;C++;C#;Java;Python")</f>
        <v>C;C++;C#;Java;Python</v>
      </c>
      <c r="C4676" s="9" t="str">
        <f>IFERROR(__xludf.DUMMYFUNCTION("""COMPUTED_VALUE"""),"SQL")</f>
        <v>SQL</v>
      </c>
      <c r="D4676" s="9" t="str">
        <f>IFERROR(__xludf.DUMMYFUNCTION("""COMPUTED_VALUE"""),"C#")</f>
        <v>C#</v>
      </c>
      <c r="E4676" s="9" t="str">
        <f>IFERROR(__xludf.DUMMYFUNCTION("""COMPUTED_VALUE"""),"Other(s):")</f>
        <v>Other(s):</v>
      </c>
      <c r="F4676" s="9" t="str">
        <f>IFERROR(__xludf.DUMMYFUNCTION("""COMPUTED_VALUE"""),"Go")</f>
        <v>Go</v>
      </c>
      <c r="G4676" s="9" t="str">
        <f>IFERROR(__xludf.DUMMYFUNCTION("""COMPUTED_VALUE"""),"HTML/CSS")</f>
        <v>HTML/CSS</v>
      </c>
      <c r="H4676" s="9" t="str">
        <f>IFERROR(__xludf.DUMMYFUNCTION("""COMPUTED_VALUE"""),"C#")</f>
        <v>C#</v>
      </c>
      <c r="I4676" s="9" t="str">
        <f>IFERROR(__xludf.DUMMYFUNCTION("""COMPUTED_VALUE"""),"Bash/Shell/PowerShell")</f>
        <v>Bash/Shell/PowerShell</v>
      </c>
      <c r="J4676" s="9" t="str">
        <f>IFERROR(__xludf.DUMMYFUNCTION("""COMPUTED_VALUE"""),"HTML/CSS")</f>
        <v>HTML/CSS</v>
      </c>
      <c r="K4676" s="9" t="str">
        <f>IFERROR(__xludf.DUMMYFUNCTION("""COMPUTED_VALUE"""),"JavaScript")</f>
        <v>JavaScript</v>
      </c>
      <c r="L4676" s="9" t="str">
        <f>IFERROR(__xludf.DUMMYFUNCTION("""COMPUTED_VALUE"""),"Bash/Shell/PowerShell")</f>
        <v>Bash/Shell/PowerShell</v>
      </c>
      <c r="M4676" s="9" t="s">
        <v>27</v>
      </c>
    </row>
    <row r="4677" ht="15.75" customHeight="1">
      <c r="A4677" s="7"/>
      <c r="B4677" s="7" t="str">
        <f>IFERROR(__xludf.DUMMYFUNCTION("""COMPUTED_VALUE"""),"Bash/Shell/PowerShell;C;C#;HTML/CSS;Java;JavaScript;Kotlin;Objective-C;Python;Scala;SQL;Swift;TypeScript")</f>
        <v>Bash/Shell/PowerShell;C;C#;HTML/CSS;Java;JavaScript;Kotlin;Objective-C;Python;Scala;SQL;Swift;TypeScript</v>
      </c>
      <c r="C4677" s="9" t="str">
        <f>IFERROR(__xludf.DUMMYFUNCTION("""COMPUTED_VALUE"""),"Bash/Shell/PowerShell")</f>
        <v>Bash/Shell/PowerShell</v>
      </c>
      <c r="D4677" s="9" t="str">
        <f>IFERROR(__xludf.DUMMYFUNCTION("""COMPUTED_VALUE"""),"Python")</f>
        <v>Python</v>
      </c>
      <c r="E4677" s="9" t="str">
        <f>IFERROR(__xludf.DUMMYFUNCTION("""COMPUTED_VALUE"""),"HTML/CSS")</f>
        <v>HTML/CSS</v>
      </c>
      <c r="F4677" s="9" t="str">
        <f>IFERROR(__xludf.DUMMYFUNCTION("""COMPUTED_VALUE"""),"HTML/CSS")</f>
        <v>HTML/CSS</v>
      </c>
      <c r="G4677" s="9" t="str">
        <f>IFERROR(__xludf.DUMMYFUNCTION("""COMPUTED_VALUE"""),"JavaScript")</f>
        <v>JavaScript</v>
      </c>
      <c r="H4677" s="9" t="str">
        <f>IFERROR(__xludf.DUMMYFUNCTION("""COMPUTED_VALUE"""),"HTML/CSS")</f>
        <v>HTML/CSS</v>
      </c>
      <c r="I4677" s="9" t="str">
        <f>IFERROR(__xludf.DUMMYFUNCTION("""COMPUTED_VALUE"""),"C#")</f>
        <v>C#</v>
      </c>
      <c r="J4677" s="9" t="str">
        <f>IFERROR(__xludf.DUMMYFUNCTION("""COMPUTED_VALUE"""),"JavaScript")</f>
        <v>JavaScript</v>
      </c>
      <c r="K4677" s="9" t="str">
        <f>IFERROR(__xludf.DUMMYFUNCTION("""COMPUTED_VALUE"""),"PHP")</f>
        <v>PHP</v>
      </c>
      <c r="L4677" s="9" t="str">
        <f>IFERROR(__xludf.DUMMYFUNCTION("""COMPUTED_VALUE"""),"Java")</f>
        <v>Java</v>
      </c>
      <c r="M4677" s="9" t="s">
        <v>30</v>
      </c>
    </row>
    <row r="4678" ht="15.75" customHeight="1">
      <c r="A4678" s="7"/>
      <c r="B4678" s="7" t="str">
        <f>IFERROR(__xludf.DUMMYFUNCTION("""COMPUTED_VALUE"""),"Java;JavaScript;Python")</f>
        <v>Java;JavaScript;Python</v>
      </c>
      <c r="C4678" s="9" t="str">
        <f>IFERROR(__xludf.DUMMYFUNCTION("""COMPUTED_VALUE"""),"C#")</f>
        <v>C#</v>
      </c>
      <c r="D4678" s="9" t="str">
        <f>IFERROR(__xludf.DUMMYFUNCTION("""COMPUTED_VALUE"""),"Java")</f>
        <v>Java</v>
      </c>
      <c r="E4678" s="9" t="str">
        <f>IFERROR(__xludf.DUMMYFUNCTION("""COMPUTED_VALUE"""),"JavaScript")</f>
        <v>JavaScript</v>
      </c>
      <c r="F4678" s="9" t="str">
        <f>IFERROR(__xludf.DUMMYFUNCTION("""COMPUTED_VALUE"""),"JavaScript")</f>
        <v>JavaScript</v>
      </c>
      <c r="G4678" s="9" t="str">
        <f>IFERROR(__xludf.DUMMYFUNCTION("""COMPUTED_VALUE"""),"Python")</f>
        <v>Python</v>
      </c>
      <c r="H4678" s="9" t="str">
        <f>IFERROR(__xludf.DUMMYFUNCTION("""COMPUTED_VALUE"""),"JavaScript")</f>
        <v>JavaScript</v>
      </c>
      <c r="I4678" s="9" t="str">
        <f>IFERROR(__xludf.DUMMYFUNCTION("""COMPUTED_VALUE"""),"HTML/CSS")</f>
        <v>HTML/CSS</v>
      </c>
      <c r="J4678" s="9" t="str">
        <f>IFERROR(__xludf.DUMMYFUNCTION("""COMPUTED_VALUE"""),"PHP")</f>
        <v>PHP</v>
      </c>
      <c r="K4678" s="9" t="str">
        <f>IFERROR(__xludf.DUMMYFUNCTION("""COMPUTED_VALUE"""),"SQL")</f>
        <v>SQL</v>
      </c>
      <c r="L4678" s="9" t="str">
        <f>IFERROR(__xludf.DUMMYFUNCTION("""COMPUTED_VALUE"""),"Bash/Shell/PowerShell")</f>
        <v>Bash/Shell/PowerShell</v>
      </c>
      <c r="M4678" s="9" t="s">
        <v>26</v>
      </c>
    </row>
    <row r="4679" ht="15.75" customHeight="1">
      <c r="A4679" s="7"/>
      <c r="B4679" s="7" t="str">
        <f>IFERROR(__xludf.DUMMYFUNCTION("""COMPUTED_VALUE"""),"Bash/Shell/PowerShell;HTML/CSS;JavaScript;Ruby;SQL;TypeScript")</f>
        <v>Bash/Shell/PowerShell;HTML/CSS;JavaScript;Ruby;SQL;TypeScript</v>
      </c>
      <c r="C4679" s="9" t="str">
        <f>IFERROR(__xludf.DUMMYFUNCTION("""COMPUTED_VALUE"""),"HTML/CSS")</f>
        <v>HTML/CSS</v>
      </c>
      <c r="D4679" s="9" t="str">
        <f>IFERROR(__xludf.DUMMYFUNCTION("""COMPUTED_VALUE"""),"Kotlin")</f>
        <v>Kotlin</v>
      </c>
      <c r="E4679" s="9" t="str">
        <f>IFERROR(__xludf.DUMMYFUNCTION("""COMPUTED_VALUE"""),"PHP")</f>
        <v>PHP</v>
      </c>
      <c r="F4679" s="9" t="str">
        <f>IFERROR(__xludf.DUMMYFUNCTION("""COMPUTED_VALUE"""),"Python")</f>
        <v>Python</v>
      </c>
      <c r="G4679" s="9" t="str">
        <f>IFERROR(__xludf.DUMMYFUNCTION("""COMPUTED_VALUE"""),"SQL")</f>
        <v>SQL</v>
      </c>
      <c r="H4679" s="9" t="str">
        <f>IFERROR(__xludf.DUMMYFUNCTION("""COMPUTED_VALUE"""),"PHP")</f>
        <v>PHP</v>
      </c>
      <c r="I4679" s="9" t="str">
        <f>IFERROR(__xludf.DUMMYFUNCTION("""COMPUTED_VALUE"""),"JavaScript")</f>
        <v>JavaScript</v>
      </c>
      <c r="J4679" s="9" t="str">
        <f>IFERROR(__xludf.DUMMYFUNCTION("""COMPUTED_VALUE"""),"Python")</f>
        <v>Python</v>
      </c>
      <c r="K4679" s="9" t="str">
        <f>IFERROR(__xludf.DUMMYFUNCTION("""COMPUTED_VALUE"""),"Bash/Shell/PowerShell")</f>
        <v>Bash/Shell/PowerShell</v>
      </c>
      <c r="L4679" s="9" t="str">
        <f>IFERROR(__xludf.DUMMYFUNCTION("""COMPUTED_VALUE"""),"C++")</f>
        <v>C++</v>
      </c>
      <c r="M4679" s="9" t="s">
        <v>24</v>
      </c>
    </row>
    <row r="4680" ht="15.75" customHeight="1">
      <c r="A4680" s="7"/>
      <c r="B4680" s="7" t="str">
        <f>IFERROR(__xludf.DUMMYFUNCTION("""COMPUTED_VALUE"""),"HTML/CSS;JavaScript;PHP;SQL")</f>
        <v>HTML/CSS;JavaScript;PHP;SQL</v>
      </c>
      <c r="C4680" s="9" t="str">
        <f>IFERROR(__xludf.DUMMYFUNCTION("""COMPUTED_VALUE"""),"JavaScript")</f>
        <v>JavaScript</v>
      </c>
      <c r="D4680" s="9" t="str">
        <f>IFERROR(__xludf.DUMMYFUNCTION("""COMPUTED_VALUE"""),"C#")</f>
        <v>C#</v>
      </c>
      <c r="E4680" s="9" t="str">
        <f>IFERROR(__xludf.DUMMYFUNCTION("""COMPUTED_VALUE"""),"C#")</f>
        <v>C#</v>
      </c>
      <c r="F4680" s="9" t="str">
        <f>IFERROR(__xludf.DUMMYFUNCTION("""COMPUTED_VALUE"""),"Rust")</f>
        <v>Rust</v>
      </c>
      <c r="G4680" s="9" t="str">
        <f>IFERROR(__xludf.DUMMYFUNCTION("""COMPUTED_VALUE"""),"Bash/Shell/PowerShell")</f>
        <v>Bash/Shell/PowerShell</v>
      </c>
      <c r="H4680" s="9" t="str">
        <f>IFERROR(__xludf.DUMMYFUNCTION("""COMPUTED_VALUE"""),"SQL")</f>
        <v>SQL</v>
      </c>
      <c r="I4680" s="9" t="str">
        <f>IFERROR(__xludf.DUMMYFUNCTION("""COMPUTED_VALUE"""),"PHP")</f>
        <v>PHP</v>
      </c>
      <c r="J4680" s="9" t="str">
        <f>IFERROR(__xludf.DUMMYFUNCTION("""COMPUTED_VALUE"""),"SQL")</f>
        <v>SQL</v>
      </c>
      <c r="K4680" s="9" t="str">
        <f>IFERROR(__xludf.DUMMYFUNCTION("""COMPUTED_VALUE"""),"HTML/CSS")</f>
        <v>HTML/CSS</v>
      </c>
      <c r="L4680" s="9" t="str">
        <f>IFERROR(__xludf.DUMMYFUNCTION("""COMPUTED_VALUE"""),"C#")</f>
        <v>C#</v>
      </c>
      <c r="M4680" s="9" t="s">
        <v>21</v>
      </c>
    </row>
    <row r="4681" ht="15.75" customHeight="1">
      <c r="A4681" s="7"/>
      <c r="B4681" s="7" t="str">
        <f>IFERROR(__xludf.DUMMYFUNCTION("""COMPUTED_VALUE"""),"Assembly;Bash/Shell/PowerShell;C;C++;C#;Clojure;Dart;Elixir;Erlang;F#;Go;HTML/CSS;Java;JavaScript;Kotlin;Objective-C;PHP;Python;R;Ruby;Rust;Scala;SQL;Swift;TypeScript;VBA;WebAssembly")</f>
        <v>Assembly;Bash/Shell/PowerShell;C;C++;C#;Clojure;Dart;Elixir;Erlang;F#;Go;HTML/CSS;Java;JavaScript;Kotlin;Objective-C;PHP;Python;R;Ruby;Rust;Scala;SQL;Swift;TypeScript;VBA;WebAssembly</v>
      </c>
      <c r="C4681" s="9" t="str">
        <f>IFERROR(__xludf.DUMMYFUNCTION("""COMPUTED_VALUE"""),"Kotlin")</f>
        <v>Kotlin</v>
      </c>
      <c r="D4681" s="9" t="str">
        <f>IFERROR(__xludf.DUMMYFUNCTION("""COMPUTED_VALUE"""),"HTML/CSS")</f>
        <v>HTML/CSS</v>
      </c>
      <c r="E4681" s="9" t="str">
        <f>IFERROR(__xludf.DUMMYFUNCTION("""COMPUTED_VALUE"""),"HTML/CSS")</f>
        <v>HTML/CSS</v>
      </c>
      <c r="F4681" s="9" t="str">
        <f>IFERROR(__xludf.DUMMYFUNCTION("""COMPUTED_VALUE"""),"TypeScript")</f>
        <v>TypeScript</v>
      </c>
      <c r="G4681" s="9" t="str">
        <f>IFERROR(__xludf.DUMMYFUNCTION("""COMPUTED_VALUE"""),"C#")</f>
        <v>C#</v>
      </c>
      <c r="H4681" s="9" t="str">
        <f>IFERROR(__xludf.DUMMYFUNCTION("""COMPUTED_VALUE"""),"Bash/Shell/PowerShell")</f>
        <v>Bash/Shell/PowerShell</v>
      </c>
      <c r="I4681" s="9" t="str">
        <f>IFERROR(__xludf.DUMMYFUNCTION("""COMPUTED_VALUE"""),"SQL")</f>
        <v>SQL</v>
      </c>
      <c r="J4681" s="9" t="str">
        <f>IFERROR(__xludf.DUMMYFUNCTION("""COMPUTED_VALUE"""),"Assembly")</f>
        <v>Assembly</v>
      </c>
      <c r="K4681" s="9" t="str">
        <f>IFERROR(__xludf.DUMMYFUNCTION("""COMPUTED_VALUE"""),"Java")</f>
        <v>Java</v>
      </c>
      <c r="L4681" s="9" t="str">
        <f>IFERROR(__xludf.DUMMYFUNCTION("""COMPUTED_VALUE"""),"JavaScript")</f>
        <v>JavaScript</v>
      </c>
      <c r="M4681" s="9" t="s">
        <v>39</v>
      </c>
    </row>
    <row r="4682" ht="15.75" customHeight="1">
      <c r="A4682" s="7"/>
      <c r="B4682" s="7" t="str">
        <f>IFERROR(__xludf.DUMMYFUNCTION("""COMPUTED_VALUE"""),"Bash/Shell/PowerShell;HTML/CSS;Java;JavaScript;Python;SQL;TypeScript")</f>
        <v>Bash/Shell/PowerShell;HTML/CSS;Java;JavaScript;Python;SQL;TypeScript</v>
      </c>
      <c r="C4682" s="9" t="str">
        <f>IFERROR(__xludf.DUMMYFUNCTION("""COMPUTED_VALUE"""),"SQL")</f>
        <v>SQL</v>
      </c>
      <c r="D4682" s="9" t="str">
        <f>IFERROR(__xludf.DUMMYFUNCTION("""COMPUTED_VALUE"""),"JavaScript")</f>
        <v>JavaScript</v>
      </c>
      <c r="E4682" s="9" t="str">
        <f>IFERROR(__xludf.DUMMYFUNCTION("""COMPUTED_VALUE"""),"JavaScript")</f>
        <v>JavaScript</v>
      </c>
      <c r="F4682" s="9" t="str">
        <f>IFERROR(__xludf.DUMMYFUNCTION("""COMPUTED_VALUE"""),"HTML/CSS")</f>
        <v>HTML/CSS</v>
      </c>
      <c r="G4682" s="9" t="str">
        <f>IFERROR(__xludf.DUMMYFUNCTION("""COMPUTED_VALUE"""),"HTML/CSS")</f>
        <v>HTML/CSS</v>
      </c>
      <c r="H4682" s="9" t="str">
        <f>IFERROR(__xludf.DUMMYFUNCTION("""COMPUTED_VALUE"""),"C")</f>
        <v>C</v>
      </c>
      <c r="I4682" s="9" t="str">
        <f>IFERROR(__xludf.DUMMYFUNCTION("""COMPUTED_VALUE"""),"C#")</f>
        <v>C#</v>
      </c>
      <c r="J4682" s="9" t="str">
        <f>IFERROR(__xludf.DUMMYFUNCTION("""COMPUTED_VALUE"""),"C")</f>
        <v>C</v>
      </c>
      <c r="K4682" s="9" t="str">
        <f>IFERROR(__xludf.DUMMYFUNCTION("""COMPUTED_VALUE"""),"JavaScript")</f>
        <v>JavaScript</v>
      </c>
      <c r="L4682" s="9" t="str">
        <f>IFERROR(__xludf.DUMMYFUNCTION("""COMPUTED_VALUE"""),"Bash/Shell/PowerShell")</f>
        <v>Bash/Shell/PowerShell</v>
      </c>
      <c r="M4682" s="9" t="s">
        <v>27</v>
      </c>
    </row>
    <row r="4683" ht="15.75" customHeight="1">
      <c r="A4683" s="7"/>
      <c r="B4683" s="7" t="str">
        <f>IFERROR(__xludf.DUMMYFUNCTION("""COMPUTED_VALUE"""),"HTML/CSS;Java;JavaScript;Python;SQL")</f>
        <v>HTML/CSS;Java;JavaScript;Python;SQL</v>
      </c>
      <c r="C4683" s="9" t="str">
        <f>IFERROR(__xludf.DUMMYFUNCTION("""COMPUTED_VALUE"""),"Bash/Shell/PowerShell")</f>
        <v>Bash/Shell/PowerShell</v>
      </c>
      <c r="D4683" s="9" t="str">
        <f>IFERROR(__xludf.DUMMYFUNCTION("""COMPUTED_VALUE"""),"TypeScript")</f>
        <v>TypeScript</v>
      </c>
      <c r="E4683" s="9" t="str">
        <f>IFERROR(__xludf.DUMMYFUNCTION("""COMPUTED_VALUE"""),"Rust")</f>
        <v>Rust</v>
      </c>
      <c r="F4683" s="9" t="str">
        <f>IFERROR(__xludf.DUMMYFUNCTION("""COMPUTED_VALUE"""),"JavaScript")</f>
        <v>JavaScript</v>
      </c>
      <c r="G4683" s="9" t="str">
        <f>IFERROR(__xludf.DUMMYFUNCTION("""COMPUTED_VALUE"""),"JavaScript")</f>
        <v>JavaScript</v>
      </c>
      <c r="H4683" s="9" t="str">
        <f>IFERROR(__xludf.DUMMYFUNCTION("""COMPUTED_VALUE"""),"Go")</f>
        <v>Go</v>
      </c>
      <c r="I4683" s="9" t="str">
        <f>IFERROR(__xludf.DUMMYFUNCTION("""COMPUTED_VALUE"""),"HTML/CSS")</f>
        <v>HTML/CSS</v>
      </c>
      <c r="J4683" s="9" t="str">
        <f>IFERROR(__xludf.DUMMYFUNCTION("""COMPUTED_VALUE"""),"Dart")</f>
        <v>Dart</v>
      </c>
      <c r="K4683" s="9" t="str">
        <f>IFERROR(__xludf.DUMMYFUNCTION("""COMPUTED_VALUE"""),"Kotlin")</f>
        <v>Kotlin</v>
      </c>
      <c r="L4683" s="9" t="str">
        <f>IFERROR(__xludf.DUMMYFUNCTION("""COMPUTED_VALUE"""),"JavaScript")</f>
        <v>JavaScript</v>
      </c>
      <c r="M4683" s="9" t="s">
        <v>30</v>
      </c>
    </row>
    <row r="4684" ht="15.75" customHeight="1">
      <c r="A4684" s="7"/>
      <c r="B4684" s="7" t="str">
        <f>IFERROR(__xludf.DUMMYFUNCTION("""COMPUTED_VALUE"""),"Bash/Shell/PowerShell;Go;HTML/CSS;JavaScript;Python;Other(s):")</f>
        <v>Bash/Shell/PowerShell;Go;HTML/CSS;JavaScript;Python;Other(s):</v>
      </c>
      <c r="C4684" s="9" t="str">
        <f>IFERROR(__xludf.DUMMYFUNCTION("""COMPUTED_VALUE"""),"C#")</f>
        <v>C#</v>
      </c>
      <c r="D4684" s="9" t="str">
        <f>IFERROR(__xludf.DUMMYFUNCTION("""COMPUTED_VALUE"""),"Bash/Shell/PowerShell")</f>
        <v>Bash/Shell/PowerShell</v>
      </c>
      <c r="E4684" s="9" t="str">
        <f>IFERROR(__xludf.DUMMYFUNCTION("""COMPUTED_VALUE"""),"SQL")</f>
        <v>SQL</v>
      </c>
      <c r="F4684" s="9" t="str">
        <f>IFERROR(__xludf.DUMMYFUNCTION("""COMPUTED_VALUE"""),"PHP")</f>
        <v>PHP</v>
      </c>
      <c r="G4684" s="9" t="str">
        <f>IFERROR(__xludf.DUMMYFUNCTION("""COMPUTED_VALUE"""),"Python")</f>
        <v>Python</v>
      </c>
      <c r="H4684" s="9" t="str">
        <f>IFERROR(__xludf.DUMMYFUNCTION("""COMPUTED_VALUE"""),"HTML/CSS")</f>
        <v>HTML/CSS</v>
      </c>
      <c r="I4684" s="9" t="str">
        <f>IFERROR(__xludf.DUMMYFUNCTION("""COMPUTED_VALUE"""),"JavaScript")</f>
        <v>JavaScript</v>
      </c>
      <c r="J4684" s="9" t="str">
        <f>IFERROR(__xludf.DUMMYFUNCTION("""COMPUTED_VALUE"""),"Java")</f>
        <v>Java</v>
      </c>
      <c r="K4684" s="9" t="str">
        <f>IFERROR(__xludf.DUMMYFUNCTION("""COMPUTED_VALUE"""),"Python")</f>
        <v>Python</v>
      </c>
      <c r="L4684" s="9" t="str">
        <f>IFERROR(__xludf.DUMMYFUNCTION("""COMPUTED_VALUE"""),"Python")</f>
        <v>Python</v>
      </c>
      <c r="M4684" s="9" t="s">
        <v>26</v>
      </c>
    </row>
    <row r="4685" ht="15.75" customHeight="1">
      <c r="A4685" s="7"/>
      <c r="B4685" s="7" t="str">
        <f>IFERROR(__xludf.DUMMYFUNCTION("""COMPUTED_VALUE"""),"C#;SQL")</f>
        <v>C#;SQL</v>
      </c>
      <c r="C4685" s="9" t="str">
        <f>IFERROR(__xludf.DUMMYFUNCTION("""COMPUTED_VALUE"""),"HTML/CSS")</f>
        <v>HTML/CSS</v>
      </c>
      <c r="D4685" s="9" t="str">
        <f>IFERROR(__xludf.DUMMYFUNCTION("""COMPUTED_VALUE"""),"C#")</f>
        <v>C#</v>
      </c>
      <c r="E4685" s="9" t="str">
        <f>IFERROR(__xludf.DUMMYFUNCTION("""COMPUTED_VALUE"""),"TypeScript")</f>
        <v>TypeScript</v>
      </c>
      <c r="F4685" s="9" t="str">
        <f>IFERROR(__xludf.DUMMYFUNCTION("""COMPUTED_VALUE"""),"TypeScript")</f>
        <v>TypeScript</v>
      </c>
      <c r="G4685" s="9" t="str">
        <f>IFERROR(__xludf.DUMMYFUNCTION("""COMPUTED_VALUE"""),"SQL")</f>
        <v>SQL</v>
      </c>
      <c r="H4685" s="9" t="str">
        <f>IFERROR(__xludf.DUMMYFUNCTION("""COMPUTED_VALUE"""),"JavaScript")</f>
        <v>JavaScript</v>
      </c>
      <c r="I4685" s="9" t="str">
        <f>IFERROR(__xludf.DUMMYFUNCTION("""COMPUTED_VALUE"""),"SQL")</f>
        <v>SQL</v>
      </c>
      <c r="J4685" s="9" t="str">
        <f>IFERROR(__xludf.DUMMYFUNCTION("""COMPUTED_VALUE"""),"Kotlin")</f>
        <v>Kotlin</v>
      </c>
      <c r="K4685" s="9" t="str">
        <f>IFERROR(__xludf.DUMMYFUNCTION("""COMPUTED_VALUE"""),"SQL")</f>
        <v>SQL</v>
      </c>
      <c r="L4685" s="9" t="str">
        <f>IFERROR(__xludf.DUMMYFUNCTION("""COMPUTED_VALUE"""),"R")</f>
        <v>R</v>
      </c>
      <c r="M4685" s="9" t="s">
        <v>24</v>
      </c>
    </row>
    <row r="4686" ht="15.75" customHeight="1">
      <c r="A4686" s="7"/>
      <c r="B4686" s="7" t="str">
        <f>IFERROR(__xludf.DUMMYFUNCTION("""COMPUTED_VALUE"""),"Java;JavaScript;SQL")</f>
        <v>Java;JavaScript;SQL</v>
      </c>
      <c r="C4686" s="9" t="str">
        <f>IFERROR(__xludf.DUMMYFUNCTION("""COMPUTED_VALUE"""),"JavaScript")</f>
        <v>JavaScript</v>
      </c>
      <c r="D4686" s="9" t="str">
        <f>IFERROR(__xludf.DUMMYFUNCTION("""COMPUTED_VALUE"""),"HTML/CSS")</f>
        <v>HTML/CSS</v>
      </c>
      <c r="E4686" s="9" t="str">
        <f>IFERROR(__xludf.DUMMYFUNCTION("""COMPUTED_VALUE"""),"Bash/Shell/PowerShell")</f>
        <v>Bash/Shell/PowerShell</v>
      </c>
      <c r="F4686" s="9" t="str">
        <f>IFERROR(__xludf.DUMMYFUNCTION("""COMPUTED_VALUE"""),"Other(s):")</f>
        <v>Other(s):</v>
      </c>
      <c r="G4686" s="9" t="str">
        <f>IFERROR(__xludf.DUMMYFUNCTION("""COMPUTED_VALUE"""),"Bash/Shell/PowerShell")</f>
        <v>Bash/Shell/PowerShell</v>
      </c>
      <c r="H4686" s="9" t="str">
        <f>IFERROR(__xludf.DUMMYFUNCTION("""COMPUTED_VALUE"""),"Python")</f>
        <v>Python</v>
      </c>
      <c r="I4686" s="9" t="str">
        <f>IFERROR(__xludf.DUMMYFUNCTION("""COMPUTED_VALUE"""),"C#")</f>
        <v>C#</v>
      </c>
      <c r="J4686" s="9" t="str">
        <f>IFERROR(__xludf.DUMMYFUNCTION("""COMPUTED_VALUE"""),"HTML/CSS")</f>
        <v>HTML/CSS</v>
      </c>
      <c r="K4686" s="9" t="str">
        <f>IFERROR(__xludf.DUMMYFUNCTION("""COMPUTED_VALUE"""),"TypeScript")</f>
        <v>TypeScript</v>
      </c>
      <c r="L4686" s="9" t="str">
        <f>IFERROR(__xludf.DUMMYFUNCTION("""COMPUTED_VALUE"""),"SQL")</f>
        <v>SQL</v>
      </c>
      <c r="M4686" s="9" t="s">
        <v>21</v>
      </c>
    </row>
    <row r="4687" ht="15.75" customHeight="1">
      <c r="A4687" s="7"/>
      <c r="B4687" s="7" t="str">
        <f>IFERROR(__xludf.DUMMYFUNCTION("""COMPUTED_VALUE"""),"C;C#;HTML/CSS;Java;Python;R;SQL")</f>
        <v>C;C#;HTML/CSS;Java;Python;R;SQL</v>
      </c>
      <c r="C4687" s="9" t="str">
        <f>IFERROR(__xludf.DUMMYFUNCTION("""COMPUTED_VALUE"""),"SQL")</f>
        <v>SQL</v>
      </c>
      <c r="D4687" s="9" t="str">
        <f>IFERROR(__xludf.DUMMYFUNCTION("""COMPUTED_VALUE"""),"JavaScript")</f>
        <v>JavaScript</v>
      </c>
      <c r="E4687" s="9" t="str">
        <f>IFERROR(__xludf.DUMMYFUNCTION("""COMPUTED_VALUE"""),"HTML/CSS")</f>
        <v>HTML/CSS</v>
      </c>
      <c r="F4687" s="9" t="str">
        <f>IFERROR(__xludf.DUMMYFUNCTION("""COMPUTED_VALUE"""),"HTML/CSS")</f>
        <v>HTML/CSS</v>
      </c>
      <c r="G4687" s="9" t="str">
        <f>IFERROR(__xludf.DUMMYFUNCTION("""COMPUTED_VALUE"""),"HTML/CSS")</f>
        <v>HTML/CSS</v>
      </c>
      <c r="H4687" s="9" t="str">
        <f>IFERROR(__xludf.DUMMYFUNCTION("""COMPUTED_VALUE"""),"R")</f>
        <v>R</v>
      </c>
      <c r="I4687" s="9" t="str">
        <f>IFERROR(__xludf.DUMMYFUNCTION("""COMPUTED_VALUE"""),"Java")</f>
        <v>Java</v>
      </c>
      <c r="J4687" s="9" t="str">
        <f>IFERROR(__xludf.DUMMYFUNCTION("""COMPUTED_VALUE"""),"JavaScript")</f>
        <v>JavaScript</v>
      </c>
      <c r="K4687" s="9" t="str">
        <f>IFERROR(__xludf.DUMMYFUNCTION("""COMPUTED_VALUE"""),"Other(s):")</f>
        <v>Other(s):</v>
      </c>
      <c r="L4687" s="9" t="str">
        <f>IFERROR(__xludf.DUMMYFUNCTION("""COMPUTED_VALUE"""),"C")</f>
        <v>C</v>
      </c>
      <c r="M4687" s="9" t="s">
        <v>27</v>
      </c>
    </row>
    <row r="4688" ht="15.75" customHeight="1">
      <c r="A4688" s="7"/>
      <c r="B4688" s="7" t="str">
        <f>IFERROR(__xludf.DUMMYFUNCTION("""COMPUTED_VALUE"""),"Assembly;Bash/Shell/PowerShell;C;C++;JavaScript;Python;SQL;WebAssembly;Other(s):")</f>
        <v>Assembly;Bash/Shell/PowerShell;C;C++;JavaScript;Python;SQL;WebAssembly;Other(s):</v>
      </c>
      <c r="C4688" s="9" t="str">
        <f>IFERROR(__xludf.DUMMYFUNCTION("""COMPUTED_VALUE"""),"TypeScript")</f>
        <v>TypeScript</v>
      </c>
      <c r="D4688" s="9" t="str">
        <f>IFERROR(__xludf.DUMMYFUNCTION("""COMPUTED_VALUE"""),"Python")</f>
        <v>Python</v>
      </c>
      <c r="E4688" s="9" t="str">
        <f>IFERROR(__xludf.DUMMYFUNCTION("""COMPUTED_VALUE"""),"JavaScript")</f>
        <v>JavaScript</v>
      </c>
      <c r="F4688" s="9" t="str">
        <f>IFERROR(__xludf.DUMMYFUNCTION("""COMPUTED_VALUE"""),"Java")</f>
        <v>Java</v>
      </c>
      <c r="G4688" s="9" t="str">
        <f>IFERROR(__xludf.DUMMYFUNCTION("""COMPUTED_VALUE"""),"Java")</f>
        <v>Java</v>
      </c>
      <c r="H4688" s="9" t="str">
        <f>IFERROR(__xludf.DUMMYFUNCTION("""COMPUTED_VALUE"""),"C++")</f>
        <v>C++</v>
      </c>
      <c r="I4688" s="9" t="str">
        <f>IFERROR(__xludf.DUMMYFUNCTION("""COMPUTED_VALUE"""),"Kotlin")</f>
        <v>Kotlin</v>
      </c>
      <c r="J4688" s="9" t="str">
        <f>IFERROR(__xludf.DUMMYFUNCTION("""COMPUTED_VALUE"""),"Python")</f>
        <v>Python</v>
      </c>
      <c r="K4688" s="9" t="str">
        <f>IFERROR(__xludf.DUMMYFUNCTION("""COMPUTED_VALUE"""),"HTML/CSS")</f>
        <v>HTML/CSS</v>
      </c>
      <c r="L4688" s="9" t="str">
        <f>IFERROR(__xludf.DUMMYFUNCTION("""COMPUTED_VALUE"""),"C++")</f>
        <v>C++</v>
      </c>
      <c r="M4688" s="9" t="s">
        <v>33</v>
      </c>
    </row>
    <row r="4689" ht="15.75" customHeight="1">
      <c r="A4689" s="7"/>
      <c r="B4689" s="7" t="str">
        <f>IFERROR(__xludf.DUMMYFUNCTION("""COMPUTED_VALUE"""),"C#;HTML/CSS;PHP")</f>
        <v>C#;HTML/CSS;PHP</v>
      </c>
      <c r="C4689" s="9" t="str">
        <f>IFERROR(__xludf.DUMMYFUNCTION("""COMPUTED_VALUE"""),"Other(s):")</f>
        <v>Other(s):</v>
      </c>
      <c r="D4689" s="9" t="str">
        <f>IFERROR(__xludf.DUMMYFUNCTION("""COMPUTED_VALUE"""),"R")</f>
        <v>R</v>
      </c>
      <c r="E4689" s="9" t="str">
        <f>IFERROR(__xludf.DUMMYFUNCTION("""COMPUTED_VALUE"""),"PHP")</f>
        <v>PHP</v>
      </c>
      <c r="F4689" s="9" t="str">
        <f>IFERROR(__xludf.DUMMYFUNCTION("""COMPUTED_VALUE"""),"JavaScript")</f>
        <v>JavaScript</v>
      </c>
      <c r="G4689" s="9" t="str">
        <f>IFERROR(__xludf.DUMMYFUNCTION("""COMPUTED_VALUE"""),"JavaScript")</f>
        <v>JavaScript</v>
      </c>
      <c r="H4689" s="9" t="str">
        <f>IFERROR(__xludf.DUMMYFUNCTION("""COMPUTED_VALUE"""),"Clojure")</f>
        <v>Clojure</v>
      </c>
      <c r="I4689" s="9" t="str">
        <f>IFERROR(__xludf.DUMMYFUNCTION("""COMPUTED_VALUE"""),"Python")</f>
        <v>Python</v>
      </c>
      <c r="J4689" s="9" t="str">
        <f>IFERROR(__xludf.DUMMYFUNCTION("""COMPUTED_VALUE"""),"VBA")</f>
        <v>VBA</v>
      </c>
      <c r="K4689" s="9" t="str">
        <f>IFERROR(__xludf.DUMMYFUNCTION("""COMPUTED_VALUE"""),"JavaScript")</f>
        <v>JavaScript</v>
      </c>
      <c r="L4689" s="9" t="str">
        <f>IFERROR(__xludf.DUMMYFUNCTION("""COMPUTED_VALUE"""),"HTML/CSS")</f>
        <v>HTML/CSS</v>
      </c>
      <c r="M4689" s="9" t="s">
        <v>35</v>
      </c>
    </row>
    <row r="4690" ht="15.75" customHeight="1">
      <c r="A4690" s="7"/>
      <c r="B4690" s="7" t="str">
        <f>IFERROR(__xludf.DUMMYFUNCTION("""COMPUTED_VALUE"""),"HTML/CSS;JavaScript;Objective-C;PHP;Python;SQL;Swift")</f>
        <v>HTML/CSS;JavaScript;Objective-C;PHP;Python;SQL;Swift</v>
      </c>
      <c r="C4690" s="9" t="str">
        <f>IFERROR(__xludf.DUMMYFUNCTION("""COMPUTED_VALUE"""),"Assembly")</f>
        <v>Assembly</v>
      </c>
      <c r="D4690" s="9" t="str">
        <f>IFERROR(__xludf.DUMMYFUNCTION("""COMPUTED_VALUE"""),"SQL")</f>
        <v>SQL</v>
      </c>
      <c r="E4690" s="9" t="str">
        <f>IFERROR(__xludf.DUMMYFUNCTION("""COMPUTED_VALUE"""),"Ruby")</f>
        <v>Ruby</v>
      </c>
      <c r="F4690" s="9" t="str">
        <f>IFERROR(__xludf.DUMMYFUNCTION("""COMPUTED_VALUE"""),"PHP")</f>
        <v>PHP</v>
      </c>
      <c r="G4690" s="9" t="str">
        <f>IFERROR(__xludf.DUMMYFUNCTION("""COMPUTED_VALUE"""),"Python")</f>
        <v>Python</v>
      </c>
      <c r="H4690" s="9" t="str">
        <f>IFERROR(__xludf.DUMMYFUNCTION("""COMPUTED_VALUE"""),"Other(s):")</f>
        <v>Other(s):</v>
      </c>
      <c r="I4690" s="9" t="str">
        <f>IFERROR(__xludf.DUMMYFUNCTION("""COMPUTED_VALUE"""),"SQL")</f>
        <v>SQL</v>
      </c>
      <c r="J4690" s="9" t="str">
        <f>IFERROR(__xludf.DUMMYFUNCTION("""COMPUTED_VALUE"""),"Assembly")</f>
        <v>Assembly</v>
      </c>
      <c r="K4690" s="9" t="str">
        <f>IFERROR(__xludf.DUMMYFUNCTION("""COMPUTED_VALUE"""),"PHP")</f>
        <v>PHP</v>
      </c>
      <c r="L4690" s="9" t="str">
        <f>IFERROR(__xludf.DUMMYFUNCTION("""COMPUTED_VALUE"""),"Java")</f>
        <v>Java</v>
      </c>
      <c r="M4690" s="9" t="s">
        <v>38</v>
      </c>
    </row>
    <row r="4691" ht="15.75" customHeight="1">
      <c r="A4691" s="7"/>
      <c r="B4691" s="7" t="str">
        <f>IFERROR(__xludf.DUMMYFUNCTION("""COMPUTED_VALUE"""),"Java")</f>
        <v>Java</v>
      </c>
      <c r="C4691" s="9" t="str">
        <f>IFERROR(__xludf.DUMMYFUNCTION("""COMPUTED_VALUE"""),"HTML/CSS")</f>
        <v>HTML/CSS</v>
      </c>
      <c r="D4691" s="9" t="str">
        <f>IFERROR(__xludf.DUMMYFUNCTION("""COMPUTED_VALUE"""),"VBA")</f>
        <v>VBA</v>
      </c>
      <c r="E4691" s="9" t="str">
        <f>IFERROR(__xludf.DUMMYFUNCTION("""COMPUTED_VALUE"""),"SQL")</f>
        <v>SQL</v>
      </c>
      <c r="F4691" s="9" t="str">
        <f>IFERROR(__xludf.DUMMYFUNCTION("""COMPUTED_VALUE"""),"SQL")</f>
        <v>SQL</v>
      </c>
      <c r="G4691" s="9" t="str">
        <f>IFERROR(__xludf.DUMMYFUNCTION("""COMPUTED_VALUE"""),"TypeScript")</f>
        <v>TypeScript</v>
      </c>
      <c r="H4691" s="9" t="str">
        <f>IFERROR(__xludf.DUMMYFUNCTION("""COMPUTED_VALUE"""),"Bash/Shell/PowerShell")</f>
        <v>Bash/Shell/PowerShell</v>
      </c>
      <c r="I4691" s="9" t="str">
        <f>IFERROR(__xludf.DUMMYFUNCTION("""COMPUTED_VALUE"""),"Bash/Shell/PowerShell")</f>
        <v>Bash/Shell/PowerShell</v>
      </c>
      <c r="J4691" s="9" t="str">
        <f>IFERROR(__xludf.DUMMYFUNCTION("""COMPUTED_VALUE"""),"C++")</f>
        <v>C++</v>
      </c>
      <c r="K4691" s="9" t="str">
        <f>IFERROR(__xludf.DUMMYFUNCTION("""COMPUTED_VALUE"""),"SQL")</f>
        <v>SQL</v>
      </c>
      <c r="L4691" s="9" t="str">
        <f>IFERROR(__xludf.DUMMYFUNCTION("""COMPUTED_VALUE"""),"JavaScript")</f>
        <v>JavaScript</v>
      </c>
      <c r="M4691" s="9" t="s">
        <v>24</v>
      </c>
    </row>
    <row r="4692" ht="15.75" customHeight="1">
      <c r="A4692" s="7"/>
      <c r="B4692" s="7" t="str">
        <f>IFERROR(__xludf.DUMMYFUNCTION("""COMPUTED_VALUE"""),"C;C++;JavaScript")</f>
        <v>C;C++;JavaScript</v>
      </c>
      <c r="C4692" s="9" t="str">
        <f>IFERROR(__xludf.DUMMYFUNCTION("""COMPUTED_VALUE"""),"Java")</f>
        <v>Java</v>
      </c>
      <c r="D4692" s="9" t="str">
        <f>IFERROR(__xludf.DUMMYFUNCTION("""COMPUTED_VALUE"""),"C")</f>
        <v>C</v>
      </c>
      <c r="E4692" s="9" t="str">
        <f>IFERROR(__xludf.DUMMYFUNCTION("""COMPUTED_VALUE"""),"TypeScript")</f>
        <v>TypeScript</v>
      </c>
      <c r="F4692" s="9" t="str">
        <f>IFERROR(__xludf.DUMMYFUNCTION("""COMPUTED_VALUE"""),"C#")</f>
        <v>C#</v>
      </c>
      <c r="G4692" s="9" t="str">
        <f>IFERROR(__xludf.DUMMYFUNCTION("""COMPUTED_VALUE"""),"Bash/Shell/PowerShell")</f>
        <v>Bash/Shell/PowerShell</v>
      </c>
      <c r="H4692" s="9" t="str">
        <f>IFERROR(__xludf.DUMMYFUNCTION("""COMPUTED_VALUE"""),"HTML/CSS")</f>
        <v>HTML/CSS</v>
      </c>
      <c r="I4692" s="9" t="str">
        <f>IFERROR(__xludf.DUMMYFUNCTION("""COMPUTED_VALUE"""),"C++")</f>
        <v>C++</v>
      </c>
      <c r="J4692" s="9" t="str">
        <f>IFERROR(__xludf.DUMMYFUNCTION("""COMPUTED_VALUE"""),"HTML/CSS")</f>
        <v>HTML/CSS</v>
      </c>
      <c r="K4692" s="9" t="str">
        <f>IFERROR(__xludf.DUMMYFUNCTION("""COMPUTED_VALUE"""),"C")</f>
        <v>C</v>
      </c>
      <c r="L4692" s="9" t="str">
        <f>IFERROR(__xludf.DUMMYFUNCTION("""COMPUTED_VALUE"""),"Assembly")</f>
        <v>Assembly</v>
      </c>
      <c r="M4692" s="9" t="s">
        <v>20</v>
      </c>
    </row>
    <row r="4693" ht="15.75" customHeight="1">
      <c r="A4693" s="7"/>
      <c r="B4693" s="7" t="str">
        <f>IFERROR(__xludf.DUMMYFUNCTION("""COMPUTED_VALUE"""),"C;C#;HTML/CSS;JavaScript;PHP;Python;SQL;TypeScript;VBA;WebAssembly;Other(s):")</f>
        <v>C;C#;HTML/CSS;JavaScript;PHP;Python;SQL;TypeScript;VBA;WebAssembly;Other(s):</v>
      </c>
      <c r="C4693" s="9" t="str">
        <f>IFERROR(__xludf.DUMMYFUNCTION("""COMPUTED_VALUE"""),"JavaScript")</f>
        <v>JavaScript</v>
      </c>
      <c r="D4693" s="9" t="str">
        <f>IFERROR(__xludf.DUMMYFUNCTION("""COMPUTED_VALUE"""),"C++")</f>
        <v>C++</v>
      </c>
      <c r="E4693" s="9" t="str">
        <f>IFERROR(__xludf.DUMMYFUNCTION("""COMPUTED_VALUE"""),"Other(s):")</f>
        <v>Other(s):</v>
      </c>
      <c r="F4693" s="9" t="str">
        <f>IFERROR(__xludf.DUMMYFUNCTION("""COMPUTED_VALUE"""),"HTML/CSS")</f>
        <v>HTML/CSS</v>
      </c>
      <c r="G4693" s="9" t="str">
        <f>IFERROR(__xludf.DUMMYFUNCTION("""COMPUTED_VALUE"""),"C")</f>
        <v>C</v>
      </c>
      <c r="H4693" s="9" t="str">
        <f>IFERROR(__xludf.DUMMYFUNCTION("""COMPUTED_VALUE"""),"JavaScript")</f>
        <v>JavaScript</v>
      </c>
      <c r="I4693" s="9" t="str">
        <f>IFERROR(__xludf.DUMMYFUNCTION("""COMPUTED_VALUE"""),"HTML/CSS")</f>
        <v>HTML/CSS</v>
      </c>
      <c r="J4693" s="9" t="str">
        <f>IFERROR(__xludf.DUMMYFUNCTION("""COMPUTED_VALUE"""),"Java")</f>
        <v>Java</v>
      </c>
      <c r="K4693" s="9" t="str">
        <f>IFERROR(__xludf.DUMMYFUNCTION("""COMPUTED_VALUE"""),"Java")</f>
        <v>Java</v>
      </c>
      <c r="L4693" s="9" t="str">
        <f>IFERROR(__xludf.DUMMYFUNCTION("""COMPUTED_VALUE"""),"Bash/Shell/PowerShell")</f>
        <v>Bash/Shell/PowerShell</v>
      </c>
      <c r="M4693" s="9" t="s">
        <v>21</v>
      </c>
    </row>
    <row r="4694" ht="15.75" customHeight="1">
      <c r="A4694" s="7"/>
      <c r="B4694" s="7" t="str">
        <f>IFERROR(__xludf.DUMMYFUNCTION("""COMPUTED_VALUE"""),"Go;JavaScript")</f>
        <v>Go;JavaScript</v>
      </c>
      <c r="C4694" s="9" t="str">
        <f>IFERROR(__xludf.DUMMYFUNCTION("""COMPUTED_VALUE"""),"SQL")</f>
        <v>SQL</v>
      </c>
      <c r="D4694" s="9" t="str">
        <f>IFERROR(__xludf.DUMMYFUNCTION("""COMPUTED_VALUE"""),"Java")</f>
        <v>Java</v>
      </c>
      <c r="E4694" s="9" t="str">
        <f>IFERROR(__xludf.DUMMYFUNCTION("""COMPUTED_VALUE"""),"Bash/Shell/PowerShell")</f>
        <v>Bash/Shell/PowerShell</v>
      </c>
      <c r="F4694" s="9" t="str">
        <f>IFERROR(__xludf.DUMMYFUNCTION("""COMPUTED_VALUE"""),"JavaScript")</f>
        <v>JavaScript</v>
      </c>
      <c r="G4694" s="9" t="str">
        <f>IFERROR(__xludf.DUMMYFUNCTION("""COMPUTED_VALUE"""),"C#")</f>
        <v>C#</v>
      </c>
      <c r="H4694" s="9" t="str">
        <f>IFERROR(__xludf.DUMMYFUNCTION("""COMPUTED_VALUE"""),"PHP")</f>
        <v>PHP</v>
      </c>
      <c r="I4694" s="9" t="str">
        <f>IFERROR(__xludf.DUMMYFUNCTION("""COMPUTED_VALUE"""),"PHP")</f>
        <v>PHP</v>
      </c>
      <c r="J4694" s="9" t="str">
        <f>IFERROR(__xludf.DUMMYFUNCTION("""COMPUTED_VALUE"""),"Python")</f>
        <v>Python</v>
      </c>
      <c r="K4694" s="9" t="str">
        <f>IFERROR(__xludf.DUMMYFUNCTION("""COMPUTED_VALUE"""),"Kotlin")</f>
        <v>Kotlin</v>
      </c>
      <c r="L4694" s="9" t="str">
        <f>IFERROR(__xludf.DUMMYFUNCTION("""COMPUTED_VALUE"""),"C")</f>
        <v>C</v>
      </c>
      <c r="M4694" s="9" t="s">
        <v>27</v>
      </c>
    </row>
    <row r="4695" ht="15.75" customHeight="1">
      <c r="A4695" s="7"/>
      <c r="B4695" s="7" t="str">
        <f>IFERROR(__xludf.DUMMYFUNCTION("""COMPUTED_VALUE"""),"Bash/Shell/PowerShell;HTML/CSS;JavaScript;TypeScript")</f>
        <v>Bash/Shell/PowerShell;HTML/CSS;JavaScript;TypeScript</v>
      </c>
      <c r="C4695" s="9" t="str">
        <f>IFERROR(__xludf.DUMMYFUNCTION("""COMPUTED_VALUE"""),"JavaScript")</f>
        <v>JavaScript</v>
      </c>
      <c r="D4695" s="9" t="str">
        <f>IFERROR(__xludf.DUMMYFUNCTION("""COMPUTED_VALUE"""),"Python")</f>
        <v>Python</v>
      </c>
      <c r="E4695" s="9" t="str">
        <f>IFERROR(__xludf.DUMMYFUNCTION("""COMPUTED_VALUE"""),"C#")</f>
        <v>C#</v>
      </c>
      <c r="F4695" s="9" t="str">
        <f>IFERROR(__xludf.DUMMYFUNCTION("""COMPUTED_VALUE"""),"TypeScript")</f>
        <v>TypeScript</v>
      </c>
      <c r="G4695" s="9" t="str">
        <f>IFERROR(__xludf.DUMMYFUNCTION("""COMPUTED_VALUE"""),"Python")</f>
        <v>Python</v>
      </c>
      <c r="H4695" s="9" t="str">
        <f>IFERROR(__xludf.DUMMYFUNCTION("""COMPUTED_VALUE"""),"C#")</f>
        <v>C#</v>
      </c>
      <c r="I4695" s="9" t="str">
        <f>IFERROR(__xludf.DUMMYFUNCTION("""COMPUTED_VALUE"""),"SQL")</f>
        <v>SQL</v>
      </c>
      <c r="J4695" s="9" t="str">
        <f>IFERROR(__xludf.DUMMYFUNCTION("""COMPUTED_VALUE"""),"Ruby")</f>
        <v>Ruby</v>
      </c>
      <c r="K4695" s="9" t="str">
        <f>IFERROR(__xludf.DUMMYFUNCTION("""COMPUTED_VALUE"""),"PHP")</f>
        <v>PHP</v>
      </c>
      <c r="L4695" s="9" t="str">
        <f>IFERROR(__xludf.DUMMYFUNCTION("""COMPUTED_VALUE"""),"HTML/CSS")</f>
        <v>HTML/CSS</v>
      </c>
      <c r="M4695" s="9" t="s">
        <v>21</v>
      </c>
    </row>
    <row r="4696" ht="15.75" customHeight="1">
      <c r="A4696" s="7"/>
      <c r="B4696" s="7" t="str">
        <f>IFERROR(__xludf.DUMMYFUNCTION("""COMPUTED_VALUE"""),"HTML/CSS;JavaScript;TypeScript")</f>
        <v>HTML/CSS;JavaScript;TypeScript</v>
      </c>
      <c r="C4696" s="9" t="str">
        <f>IFERROR(__xludf.DUMMYFUNCTION("""COMPUTED_VALUE"""),"Python")</f>
        <v>Python</v>
      </c>
      <c r="D4696" s="9" t="str">
        <f>IFERROR(__xludf.DUMMYFUNCTION("""COMPUTED_VALUE"""),"SQL")</f>
        <v>SQL</v>
      </c>
      <c r="E4696" s="9" t="str">
        <f>IFERROR(__xludf.DUMMYFUNCTION("""COMPUTED_VALUE"""),"HTML/CSS")</f>
        <v>HTML/CSS</v>
      </c>
      <c r="F4696" s="9" t="str">
        <f>IFERROR(__xludf.DUMMYFUNCTION("""COMPUTED_VALUE"""),"C")</f>
        <v>C</v>
      </c>
      <c r="G4696" s="9" t="str">
        <f>IFERROR(__xludf.DUMMYFUNCTION("""COMPUTED_VALUE"""),"SQL")</f>
        <v>SQL</v>
      </c>
      <c r="H4696" s="9" t="str">
        <f>IFERROR(__xludf.DUMMYFUNCTION("""COMPUTED_VALUE"""),"HTML/CSS")</f>
        <v>HTML/CSS</v>
      </c>
      <c r="I4696" s="9" t="str">
        <f>IFERROR(__xludf.DUMMYFUNCTION("""COMPUTED_VALUE"""),"C++")</f>
        <v>C++</v>
      </c>
      <c r="J4696" s="9" t="str">
        <f>IFERROR(__xludf.DUMMYFUNCTION("""COMPUTED_VALUE"""),"Bash/Shell/PowerShell")</f>
        <v>Bash/Shell/PowerShell</v>
      </c>
      <c r="K4696" s="9" t="str">
        <f>IFERROR(__xludf.DUMMYFUNCTION("""COMPUTED_VALUE"""),"SQL")</f>
        <v>SQL</v>
      </c>
      <c r="L4696" s="9" t="str">
        <f>IFERROR(__xludf.DUMMYFUNCTION("""COMPUTED_VALUE"""),"Java")</f>
        <v>Java</v>
      </c>
      <c r="M4696" s="9" t="s">
        <v>22</v>
      </c>
    </row>
    <row r="4697" ht="15.75" customHeight="1">
      <c r="A4697" s="7"/>
      <c r="B4697" s="7" t="str">
        <f>IFERROR(__xludf.DUMMYFUNCTION("""COMPUTED_VALUE"""),"C++;HTML/CSS;Java;JavaScript;PHP;Python;SQL")</f>
        <v>C++;HTML/CSS;Java;JavaScript;PHP;Python;SQL</v>
      </c>
      <c r="C4697" s="9" t="str">
        <f>IFERROR(__xludf.DUMMYFUNCTION("""COMPUTED_VALUE"""),"HTML/CSS")</f>
        <v>HTML/CSS</v>
      </c>
      <c r="D4697" s="9" t="str">
        <f>IFERROR(__xludf.DUMMYFUNCTION("""COMPUTED_VALUE"""),"Swift")</f>
        <v>Swift</v>
      </c>
      <c r="E4697" s="9" t="str">
        <f>IFERROR(__xludf.DUMMYFUNCTION("""COMPUTED_VALUE"""),"JavaScript")</f>
        <v>JavaScript</v>
      </c>
      <c r="F4697" s="9" t="str">
        <f>IFERROR(__xludf.DUMMYFUNCTION("""COMPUTED_VALUE"""),"C++")</f>
        <v>C++</v>
      </c>
      <c r="G4697" s="9" t="str">
        <f>IFERROR(__xludf.DUMMYFUNCTION("""COMPUTED_VALUE"""),"Other(s):")</f>
        <v>Other(s):</v>
      </c>
      <c r="H4697" s="9" t="str">
        <f>IFERROR(__xludf.DUMMYFUNCTION("""COMPUTED_VALUE"""),"JavaScript")</f>
        <v>JavaScript</v>
      </c>
      <c r="I4697" s="9" t="str">
        <f>IFERROR(__xludf.DUMMYFUNCTION("""COMPUTED_VALUE"""),"HTML/CSS")</f>
        <v>HTML/CSS</v>
      </c>
      <c r="J4697" s="9" t="str">
        <f>IFERROR(__xludf.DUMMYFUNCTION("""COMPUTED_VALUE"""),"C")</f>
        <v>C</v>
      </c>
      <c r="K4697" s="9" t="str">
        <f>IFERROR(__xludf.DUMMYFUNCTION("""COMPUTED_VALUE"""),"Swift")</f>
        <v>Swift</v>
      </c>
      <c r="L4697" s="9" t="str">
        <f>IFERROR(__xludf.DUMMYFUNCTION("""COMPUTED_VALUE"""),"JavaScript")</f>
        <v>JavaScript</v>
      </c>
      <c r="M4697" s="9" t="s">
        <v>24</v>
      </c>
    </row>
    <row r="4698" ht="15.75" customHeight="1">
      <c r="A4698" s="7"/>
      <c r="B4698" s="7" t="str">
        <f>IFERROR(__xludf.DUMMYFUNCTION("""COMPUTED_VALUE"""),"Bash/Shell/PowerShell;C;C++;C#;HTML/CSS;JavaScript;PHP;Python;SQL;Other(s):")</f>
        <v>Bash/Shell/PowerShell;C;C++;C#;HTML/CSS;JavaScript;PHP;Python;SQL;Other(s):</v>
      </c>
      <c r="C4698" s="9" t="str">
        <f>IFERROR(__xludf.DUMMYFUNCTION("""COMPUTED_VALUE"""),"JavaScript")</f>
        <v>JavaScript</v>
      </c>
      <c r="D4698" s="9" t="str">
        <f>IFERROR(__xludf.DUMMYFUNCTION("""COMPUTED_VALUE"""),"VBA")</f>
        <v>VBA</v>
      </c>
      <c r="E4698" s="9" t="str">
        <f>IFERROR(__xludf.DUMMYFUNCTION("""COMPUTED_VALUE"""),"C")</f>
        <v>C</v>
      </c>
      <c r="F4698" s="9" t="str">
        <f>IFERROR(__xludf.DUMMYFUNCTION("""COMPUTED_VALUE"""),"HTML/CSS")</f>
        <v>HTML/CSS</v>
      </c>
      <c r="G4698" s="9" t="str">
        <f>IFERROR(__xludf.DUMMYFUNCTION("""COMPUTED_VALUE"""),"Bash/Shell/PowerShell")</f>
        <v>Bash/Shell/PowerShell</v>
      </c>
      <c r="H4698" s="9" t="str">
        <f>IFERROR(__xludf.DUMMYFUNCTION("""COMPUTED_VALUE"""),"SQL")</f>
        <v>SQL</v>
      </c>
      <c r="I4698" s="9" t="str">
        <f>IFERROR(__xludf.DUMMYFUNCTION("""COMPUTED_VALUE"""),"Java")</f>
        <v>Java</v>
      </c>
      <c r="J4698" s="9" t="str">
        <f>IFERROR(__xludf.DUMMYFUNCTION("""COMPUTED_VALUE"""),"C++")</f>
        <v>C++</v>
      </c>
      <c r="K4698" s="9" t="str">
        <f>IFERROR(__xludf.DUMMYFUNCTION("""COMPUTED_VALUE"""),"Java")</f>
        <v>Java</v>
      </c>
      <c r="L4698" s="9" t="str">
        <f>IFERROR(__xludf.DUMMYFUNCTION("""COMPUTED_VALUE"""),"PHP")</f>
        <v>PHP</v>
      </c>
      <c r="M4698" s="9" t="s">
        <v>21</v>
      </c>
    </row>
    <row r="4699" ht="15.75" customHeight="1">
      <c r="A4699" s="7"/>
      <c r="B4699" s="7" t="str">
        <f>IFERROR(__xludf.DUMMYFUNCTION("""COMPUTED_VALUE"""),"C#;Java;Kotlin;Objective-C;SQL")</f>
        <v>C#;Java;Kotlin;Objective-C;SQL</v>
      </c>
      <c r="C4699" s="9" t="str">
        <f>IFERROR(__xludf.DUMMYFUNCTION("""COMPUTED_VALUE"""),"Assembly")</f>
        <v>Assembly</v>
      </c>
      <c r="D4699" s="9" t="str">
        <f>IFERROR(__xludf.DUMMYFUNCTION("""COMPUTED_VALUE"""),"Bash/Shell/PowerShell")</f>
        <v>Bash/Shell/PowerShell</v>
      </c>
      <c r="E4699" s="9" t="str">
        <f>IFERROR(__xludf.DUMMYFUNCTION("""COMPUTED_VALUE"""),"C++")</f>
        <v>C++</v>
      </c>
      <c r="F4699" s="9" t="str">
        <f>IFERROR(__xludf.DUMMYFUNCTION("""COMPUTED_VALUE"""),"Java")</f>
        <v>Java</v>
      </c>
      <c r="G4699" s="9" t="str">
        <f>IFERROR(__xludf.DUMMYFUNCTION("""COMPUTED_VALUE"""),"C++")</f>
        <v>C++</v>
      </c>
      <c r="H4699" s="9" t="str">
        <f>IFERROR(__xludf.DUMMYFUNCTION("""COMPUTED_VALUE"""),"Ruby")</f>
        <v>Ruby</v>
      </c>
      <c r="I4699" s="9" t="str">
        <f>IFERROR(__xludf.DUMMYFUNCTION("""COMPUTED_VALUE"""),"JavaScript")</f>
        <v>JavaScript</v>
      </c>
      <c r="J4699" s="9" t="str">
        <f>IFERROR(__xludf.DUMMYFUNCTION("""COMPUTED_VALUE"""),"HTML/CSS")</f>
        <v>HTML/CSS</v>
      </c>
      <c r="K4699" s="9" t="str">
        <f>IFERROR(__xludf.DUMMYFUNCTION("""COMPUTED_VALUE"""),"Python")</f>
        <v>Python</v>
      </c>
      <c r="L4699" s="9" t="str">
        <f>IFERROR(__xludf.DUMMYFUNCTION("""COMPUTED_VALUE"""),"SQL")</f>
        <v>SQL</v>
      </c>
      <c r="M4699" s="9" t="s">
        <v>38</v>
      </c>
    </row>
    <row r="4700" ht="15.75" customHeight="1">
      <c r="A4700" s="7"/>
      <c r="B4700" s="7" t="str">
        <f>IFERROR(__xludf.DUMMYFUNCTION("""COMPUTED_VALUE"""),"HTML/CSS;Java;PHP;SQL")</f>
        <v>HTML/CSS;Java;PHP;SQL</v>
      </c>
      <c r="C4700" s="9" t="str">
        <f>IFERROR(__xludf.DUMMYFUNCTION("""COMPUTED_VALUE"""),"C")</f>
        <v>C</v>
      </c>
      <c r="D4700" s="9" t="str">
        <f>IFERROR(__xludf.DUMMYFUNCTION("""COMPUTED_VALUE"""),"HTML/CSS")</f>
        <v>HTML/CSS</v>
      </c>
      <c r="E4700" s="9" t="str">
        <f>IFERROR(__xludf.DUMMYFUNCTION("""COMPUTED_VALUE"""),"HTML/CSS")</f>
        <v>HTML/CSS</v>
      </c>
      <c r="F4700" s="9" t="str">
        <f>IFERROR(__xludf.DUMMYFUNCTION("""COMPUTED_VALUE"""),"Objective-C")</f>
        <v>Objective-C</v>
      </c>
      <c r="G4700" s="9" t="str">
        <f>IFERROR(__xludf.DUMMYFUNCTION("""COMPUTED_VALUE"""),"Other(s):")</f>
        <v>Other(s):</v>
      </c>
      <c r="H4700" s="9" t="str">
        <f>IFERROR(__xludf.DUMMYFUNCTION("""COMPUTED_VALUE"""),"Scala")</f>
        <v>Scala</v>
      </c>
      <c r="I4700" s="9" t="str">
        <f>IFERROR(__xludf.DUMMYFUNCTION("""COMPUTED_VALUE"""),"PHP")</f>
        <v>PHP</v>
      </c>
      <c r="J4700" s="9" t="str">
        <f>IFERROR(__xludf.DUMMYFUNCTION("""COMPUTED_VALUE"""),"Python")</f>
        <v>Python</v>
      </c>
      <c r="K4700" s="9" t="str">
        <f>IFERROR(__xludf.DUMMYFUNCTION("""COMPUTED_VALUE"""),"Python")</f>
        <v>Python</v>
      </c>
      <c r="L4700" s="9" t="str">
        <f>IFERROR(__xludf.DUMMYFUNCTION("""COMPUTED_VALUE"""),"TypeScript")</f>
        <v>TypeScript</v>
      </c>
      <c r="M4700" s="9" t="s">
        <v>25</v>
      </c>
    </row>
    <row r="4701" ht="15.75" customHeight="1">
      <c r="A4701" s="7"/>
      <c r="B4701" s="7" t="str">
        <f>IFERROR(__xludf.DUMMYFUNCTION("""COMPUTED_VALUE"""),"C++;Dart;HTML/CSS;Java;JavaScript;Kotlin;Python;Ruby;Swift;TypeScript")</f>
        <v>C++;Dart;HTML/CSS;Java;JavaScript;Kotlin;Python;Ruby;Swift;TypeScript</v>
      </c>
      <c r="C4701" s="9" t="str">
        <f>IFERROR(__xludf.DUMMYFUNCTION("""COMPUTED_VALUE"""),"C++")</f>
        <v>C++</v>
      </c>
      <c r="D4701" s="9" t="str">
        <f>IFERROR(__xludf.DUMMYFUNCTION("""COMPUTED_VALUE"""),"Java")</f>
        <v>Java</v>
      </c>
      <c r="E4701" s="9" t="str">
        <f>IFERROR(__xludf.DUMMYFUNCTION("""COMPUTED_VALUE"""),"Java")</f>
        <v>Java</v>
      </c>
      <c r="F4701" s="9" t="str">
        <f>IFERROR(__xludf.DUMMYFUNCTION("""COMPUTED_VALUE"""),"Swift")</f>
        <v>Swift</v>
      </c>
      <c r="G4701" s="9" t="str">
        <f>IFERROR(__xludf.DUMMYFUNCTION("""COMPUTED_VALUE"""),"HTML/CSS")</f>
        <v>HTML/CSS</v>
      </c>
      <c r="H4701" s="9" t="str">
        <f>IFERROR(__xludf.DUMMYFUNCTION("""COMPUTED_VALUE"""),"SQL")</f>
        <v>SQL</v>
      </c>
      <c r="I4701" s="9" t="str">
        <f>IFERROR(__xludf.DUMMYFUNCTION("""COMPUTED_VALUE"""),"SQL")</f>
        <v>SQL</v>
      </c>
      <c r="J4701" s="9" t="str">
        <f>IFERROR(__xludf.DUMMYFUNCTION("""COMPUTED_VALUE"""),"SQL")</f>
        <v>SQL</v>
      </c>
      <c r="K4701" s="9" t="str">
        <f>IFERROR(__xludf.DUMMYFUNCTION("""COMPUTED_VALUE"""),"C++")</f>
        <v>C++</v>
      </c>
      <c r="L4701" s="9" t="str">
        <f>IFERROR(__xludf.DUMMYFUNCTION("""COMPUTED_VALUE"""),"Bash/Shell/PowerShell")</f>
        <v>Bash/Shell/PowerShell</v>
      </c>
      <c r="M4701" s="9" t="s">
        <v>23</v>
      </c>
    </row>
    <row r="4702" ht="15.75" customHeight="1">
      <c r="A4702" s="7"/>
      <c r="B4702" s="7" t="str">
        <f>IFERROR(__xludf.DUMMYFUNCTION("""COMPUTED_VALUE"""),"Bash/Shell/PowerShell;HTML/CSS;JavaScript;PHP")</f>
        <v>Bash/Shell/PowerShell;HTML/CSS;JavaScript;PHP</v>
      </c>
      <c r="C4702" s="9" t="str">
        <f>IFERROR(__xludf.DUMMYFUNCTION("""COMPUTED_VALUE"""),"HTML/CSS")</f>
        <v>HTML/CSS</v>
      </c>
      <c r="D4702" s="9" t="str">
        <f>IFERROR(__xludf.DUMMYFUNCTION("""COMPUTED_VALUE"""),"JavaScript")</f>
        <v>JavaScript</v>
      </c>
      <c r="E4702" s="9" t="str">
        <f>IFERROR(__xludf.DUMMYFUNCTION("""COMPUTED_VALUE"""),"JavaScript")</f>
        <v>JavaScript</v>
      </c>
      <c r="F4702" s="9" t="str">
        <f>IFERROR(__xludf.DUMMYFUNCTION("""COMPUTED_VALUE"""),"C")</f>
        <v>C</v>
      </c>
      <c r="G4702" s="9" t="str">
        <f>IFERROR(__xludf.DUMMYFUNCTION("""COMPUTED_VALUE"""),"JavaScript")</f>
        <v>JavaScript</v>
      </c>
      <c r="H4702" s="9" t="str">
        <f>IFERROR(__xludf.DUMMYFUNCTION("""COMPUTED_VALUE"""),"TypeScript")</f>
        <v>TypeScript</v>
      </c>
      <c r="I4702" s="9" t="str">
        <f>IFERROR(__xludf.DUMMYFUNCTION("""COMPUTED_VALUE"""),"Ruby")</f>
        <v>Ruby</v>
      </c>
      <c r="J4702" s="9" t="str">
        <f>IFERROR(__xludf.DUMMYFUNCTION("""COMPUTED_VALUE"""),"Swift")</f>
        <v>Swift</v>
      </c>
      <c r="K4702" s="9" t="str">
        <f>IFERROR(__xludf.DUMMYFUNCTION("""COMPUTED_VALUE"""),"Python")</f>
        <v>Python</v>
      </c>
      <c r="L4702" s="9" t="str">
        <f>IFERROR(__xludf.DUMMYFUNCTION("""COMPUTED_VALUE"""),"Go")</f>
        <v>Go</v>
      </c>
      <c r="M4702" s="9" t="s">
        <v>24</v>
      </c>
    </row>
    <row r="4703" ht="15.75" customHeight="1">
      <c r="A4703" s="7"/>
      <c r="B4703" s="7" t="str">
        <f>IFERROR(__xludf.DUMMYFUNCTION("""COMPUTED_VALUE"""),"C++")</f>
        <v>C++</v>
      </c>
      <c r="C4703" s="9" t="str">
        <f>IFERROR(__xludf.DUMMYFUNCTION("""COMPUTED_VALUE"""),"Java")</f>
        <v>Java</v>
      </c>
      <c r="D4703" s="9" t="str">
        <f>IFERROR(__xludf.DUMMYFUNCTION("""COMPUTED_VALUE"""),"PHP")</f>
        <v>PHP</v>
      </c>
      <c r="E4703" s="9" t="str">
        <f>IFERROR(__xludf.DUMMYFUNCTION("""COMPUTED_VALUE"""),"Python")</f>
        <v>Python</v>
      </c>
      <c r="F4703" s="9" t="str">
        <f>IFERROR(__xludf.DUMMYFUNCTION("""COMPUTED_VALUE"""),"C++")</f>
        <v>C++</v>
      </c>
      <c r="G4703" s="9" t="str">
        <f>IFERROR(__xludf.DUMMYFUNCTION("""COMPUTED_VALUE"""),"Java")</f>
        <v>Java</v>
      </c>
      <c r="H4703" s="9" t="str">
        <f>IFERROR(__xludf.DUMMYFUNCTION("""COMPUTED_VALUE"""),"HTML/CSS")</f>
        <v>HTML/CSS</v>
      </c>
      <c r="I4703" s="9" t="str">
        <f>IFERROR(__xludf.DUMMYFUNCTION("""COMPUTED_VALUE"""),"Bash/Shell/PowerShell")</f>
        <v>Bash/Shell/PowerShell</v>
      </c>
      <c r="J4703" s="9" t="str">
        <f>IFERROR(__xludf.DUMMYFUNCTION("""COMPUTED_VALUE"""),"Other(s):")</f>
        <v>Other(s):</v>
      </c>
      <c r="K4703" s="9" t="str">
        <f>IFERROR(__xludf.DUMMYFUNCTION("""COMPUTED_VALUE"""),"Assembly")</f>
        <v>Assembly</v>
      </c>
      <c r="L4703" s="9" t="str">
        <f>IFERROR(__xludf.DUMMYFUNCTION("""COMPUTED_VALUE"""),"HTML/CSS")</f>
        <v>HTML/CSS</v>
      </c>
      <c r="M4703" s="9" t="s">
        <v>20</v>
      </c>
    </row>
    <row r="4704" ht="15.75" customHeight="1">
      <c r="A4704" s="7"/>
      <c r="B4704" s="7" t="str">
        <f>IFERROR(__xludf.DUMMYFUNCTION("""COMPUTED_VALUE"""),"Elixir;Erlang;HTML/CSS;JavaScript;Python;Ruby;SQL;TypeScript;Other(s):")</f>
        <v>Elixir;Erlang;HTML/CSS;JavaScript;Python;Ruby;SQL;TypeScript;Other(s):</v>
      </c>
      <c r="C4704" s="9" t="str">
        <f>IFERROR(__xludf.DUMMYFUNCTION("""COMPUTED_VALUE"""),"JavaScript")</f>
        <v>JavaScript</v>
      </c>
      <c r="D4704" s="9" t="str">
        <f>IFERROR(__xludf.DUMMYFUNCTION("""COMPUTED_VALUE"""),"Ruby")</f>
        <v>Ruby</v>
      </c>
      <c r="E4704" s="9" t="str">
        <f>IFERROR(__xludf.DUMMYFUNCTION("""COMPUTED_VALUE"""),"VBA")</f>
        <v>VBA</v>
      </c>
      <c r="F4704" s="9" t="str">
        <f>IFERROR(__xludf.DUMMYFUNCTION("""COMPUTED_VALUE"""),"HTML/CSS")</f>
        <v>HTML/CSS</v>
      </c>
      <c r="G4704" s="9" t="str">
        <f>IFERROR(__xludf.DUMMYFUNCTION("""COMPUTED_VALUE"""),"Python")</f>
        <v>Python</v>
      </c>
      <c r="H4704" s="9" t="str">
        <f>IFERROR(__xludf.DUMMYFUNCTION("""COMPUTED_VALUE"""),"JavaScript")</f>
        <v>JavaScript</v>
      </c>
      <c r="I4704" s="9" t="str">
        <f>IFERROR(__xludf.DUMMYFUNCTION("""COMPUTED_VALUE"""),"Dart")</f>
        <v>Dart</v>
      </c>
      <c r="J4704" s="9" t="str">
        <f>IFERROR(__xludf.DUMMYFUNCTION("""COMPUTED_VALUE"""),"Bash/Shell/PowerShell")</f>
        <v>Bash/Shell/PowerShell</v>
      </c>
      <c r="K4704" s="9" t="str">
        <f>IFERROR(__xludf.DUMMYFUNCTION("""COMPUTED_VALUE"""),"Bash/Shell/PowerShell")</f>
        <v>Bash/Shell/PowerShell</v>
      </c>
      <c r="L4704" s="9" t="str">
        <f>IFERROR(__xludf.DUMMYFUNCTION("""COMPUTED_VALUE"""),"Java")</f>
        <v>Java</v>
      </c>
      <c r="M4704" s="9" t="s">
        <v>21</v>
      </c>
    </row>
    <row r="4705" ht="15.75" customHeight="1">
      <c r="A4705" s="7"/>
      <c r="B4705" s="7" t="str">
        <f>IFERROR(__xludf.DUMMYFUNCTION("""COMPUTED_VALUE"""),"Bash/Shell/PowerShell;Go;HTML/CSS;Java;JavaScript;PHP;Python;R;SQL")</f>
        <v>Bash/Shell/PowerShell;Go;HTML/CSS;Java;JavaScript;PHP;Python;R;SQL</v>
      </c>
      <c r="C4705" s="9" t="str">
        <f>IFERROR(__xludf.DUMMYFUNCTION("""COMPUTED_VALUE"""),"PHP")</f>
        <v>PHP</v>
      </c>
      <c r="D4705" s="9" t="str">
        <f>IFERROR(__xludf.DUMMYFUNCTION("""COMPUTED_VALUE"""),"SQL")</f>
        <v>SQL</v>
      </c>
      <c r="E4705" s="9" t="str">
        <f>IFERROR(__xludf.DUMMYFUNCTION("""COMPUTED_VALUE"""),"Dart")</f>
        <v>Dart</v>
      </c>
      <c r="F4705" s="9" t="str">
        <f>IFERROR(__xludf.DUMMYFUNCTION("""COMPUTED_VALUE"""),"HTML/CSS")</f>
        <v>HTML/CSS</v>
      </c>
      <c r="G4705" s="9" t="str">
        <f>IFERROR(__xludf.DUMMYFUNCTION("""COMPUTED_VALUE"""),"Other(s):")</f>
        <v>Other(s):</v>
      </c>
      <c r="H4705" s="9" t="str">
        <f>IFERROR(__xludf.DUMMYFUNCTION("""COMPUTED_VALUE"""),"SQL")</f>
        <v>SQL</v>
      </c>
      <c r="I4705" s="9" t="str">
        <f>IFERROR(__xludf.DUMMYFUNCTION("""COMPUTED_VALUE"""),"Go")</f>
        <v>Go</v>
      </c>
      <c r="J4705" s="9" t="str">
        <f>IFERROR(__xludf.DUMMYFUNCTION("""COMPUTED_VALUE"""),"C#")</f>
        <v>C#</v>
      </c>
      <c r="K4705" s="9" t="str">
        <f>IFERROR(__xludf.DUMMYFUNCTION("""COMPUTED_VALUE"""),"C")</f>
        <v>C</v>
      </c>
      <c r="L4705" s="9" t="str">
        <f>IFERROR(__xludf.DUMMYFUNCTION("""COMPUTED_VALUE"""),"JavaScript")</f>
        <v>JavaScript</v>
      </c>
      <c r="M4705" s="9" t="s">
        <v>37</v>
      </c>
    </row>
    <row r="4706" ht="15.75" customHeight="1">
      <c r="A4706" s="7"/>
      <c r="B4706" s="7" t="str">
        <f>IFERROR(__xludf.DUMMYFUNCTION("""COMPUTED_VALUE"""),"HTML/CSS;JavaScript;PHP;SQL")</f>
        <v>HTML/CSS;JavaScript;PHP;SQL</v>
      </c>
      <c r="C4706" s="9" t="str">
        <f>IFERROR(__xludf.DUMMYFUNCTION("""COMPUTED_VALUE"""),"Python")</f>
        <v>Python</v>
      </c>
      <c r="D4706" s="9" t="str">
        <f>IFERROR(__xludf.DUMMYFUNCTION("""COMPUTED_VALUE"""),"TypeScript")</f>
        <v>TypeScript</v>
      </c>
      <c r="E4706" s="9" t="str">
        <f>IFERROR(__xludf.DUMMYFUNCTION("""COMPUTED_VALUE"""),"Go")</f>
        <v>Go</v>
      </c>
      <c r="F4706" s="9" t="str">
        <f>IFERROR(__xludf.DUMMYFUNCTION("""COMPUTED_VALUE"""),"JavaScript")</f>
        <v>JavaScript</v>
      </c>
      <c r="G4706" s="9" t="str">
        <f>IFERROR(__xludf.DUMMYFUNCTION("""COMPUTED_VALUE"""),"Bash/Shell/PowerShell")</f>
        <v>Bash/Shell/PowerShell</v>
      </c>
      <c r="H4706" s="9" t="str">
        <f>IFERROR(__xludf.DUMMYFUNCTION("""COMPUTED_VALUE"""),"Go")</f>
        <v>Go</v>
      </c>
      <c r="I4706" s="9" t="str">
        <f>IFERROR(__xludf.DUMMYFUNCTION("""COMPUTED_VALUE"""),"JavaScript")</f>
        <v>JavaScript</v>
      </c>
      <c r="J4706" s="9" t="str">
        <f>IFERROR(__xludf.DUMMYFUNCTION("""COMPUTED_VALUE"""),"Java")</f>
        <v>Java</v>
      </c>
      <c r="K4706" s="9" t="str">
        <f>IFERROR(__xludf.DUMMYFUNCTION("""COMPUTED_VALUE"""),"C++")</f>
        <v>C++</v>
      </c>
      <c r="L4706" s="9" t="str">
        <f>IFERROR(__xludf.DUMMYFUNCTION("""COMPUTED_VALUE"""),"Ruby")</f>
        <v>Ruby</v>
      </c>
      <c r="M4706" s="9" t="s">
        <v>22</v>
      </c>
    </row>
    <row r="4707" ht="15.75" customHeight="1">
      <c r="A4707" s="7"/>
      <c r="B4707" s="7" t="str">
        <f>IFERROR(__xludf.DUMMYFUNCTION("""COMPUTED_VALUE"""),"HTML/CSS;Java;JavaScript;PHP;SQL")</f>
        <v>HTML/CSS;Java;JavaScript;PHP;SQL</v>
      </c>
      <c r="C4707" s="9" t="str">
        <f>IFERROR(__xludf.DUMMYFUNCTION("""COMPUTED_VALUE"""),"Python")</f>
        <v>Python</v>
      </c>
      <c r="D4707" s="9" t="str">
        <f>IFERROR(__xludf.DUMMYFUNCTION("""COMPUTED_VALUE"""),"Objective-C")</f>
        <v>Objective-C</v>
      </c>
      <c r="E4707" s="9" t="str">
        <f>IFERROR(__xludf.DUMMYFUNCTION("""COMPUTED_VALUE"""),"JavaScript")</f>
        <v>JavaScript</v>
      </c>
      <c r="F4707" s="9" t="str">
        <f>IFERROR(__xludf.DUMMYFUNCTION("""COMPUTED_VALUE"""),"PHP")</f>
        <v>PHP</v>
      </c>
      <c r="G4707" s="9" t="str">
        <f>IFERROR(__xludf.DUMMYFUNCTION("""COMPUTED_VALUE"""),"C")</f>
        <v>C</v>
      </c>
      <c r="H4707" s="9" t="str">
        <f>IFERROR(__xludf.DUMMYFUNCTION("""COMPUTED_VALUE"""),"HTML/CSS")</f>
        <v>HTML/CSS</v>
      </c>
      <c r="I4707" s="9" t="str">
        <f>IFERROR(__xludf.DUMMYFUNCTION("""COMPUTED_VALUE"""),"Python")</f>
        <v>Python</v>
      </c>
      <c r="J4707" s="9" t="str">
        <f>IFERROR(__xludf.DUMMYFUNCTION("""COMPUTED_VALUE"""),"SQL")</f>
        <v>SQL</v>
      </c>
      <c r="K4707" s="9" t="str">
        <f>IFERROR(__xludf.DUMMYFUNCTION("""COMPUTED_VALUE"""),"R")</f>
        <v>R</v>
      </c>
      <c r="L4707" s="9" t="str">
        <f>IFERROR(__xludf.DUMMYFUNCTION("""COMPUTED_VALUE"""),"Bash/Shell/PowerShell")</f>
        <v>Bash/Shell/PowerShell</v>
      </c>
      <c r="M4707" s="9" t="s">
        <v>22</v>
      </c>
    </row>
    <row r="4708" ht="15.75" customHeight="1">
      <c r="A4708" s="7"/>
      <c r="B4708" s="7" t="str">
        <f>IFERROR(__xludf.DUMMYFUNCTION("""COMPUTED_VALUE"""),"C;C++;HTML/CSS;Java;JavaScript;Objective-C;Python;SQL")</f>
        <v>C;C++;HTML/CSS;Java;JavaScript;Objective-C;Python;SQL</v>
      </c>
      <c r="C4708" s="9" t="str">
        <f>IFERROR(__xludf.DUMMYFUNCTION("""COMPUTED_VALUE"""),"R")</f>
        <v>R</v>
      </c>
      <c r="D4708" s="9" t="str">
        <f>IFERROR(__xludf.DUMMYFUNCTION("""COMPUTED_VALUE"""),"Swift")</f>
        <v>Swift</v>
      </c>
      <c r="E4708" s="9" t="str">
        <f>IFERROR(__xludf.DUMMYFUNCTION("""COMPUTED_VALUE"""),"Rust")</f>
        <v>Rust</v>
      </c>
      <c r="F4708" s="9" t="str">
        <f>IFERROR(__xludf.DUMMYFUNCTION("""COMPUTED_VALUE"""),"SQL")</f>
        <v>SQL</v>
      </c>
      <c r="G4708" s="9" t="str">
        <f>IFERROR(__xludf.DUMMYFUNCTION("""COMPUTED_VALUE"""),"C++")</f>
        <v>C++</v>
      </c>
      <c r="H4708" s="9" t="str">
        <f>IFERROR(__xludf.DUMMYFUNCTION("""COMPUTED_VALUE"""),"JavaScript")</f>
        <v>JavaScript</v>
      </c>
      <c r="I4708" s="9" t="str">
        <f>IFERROR(__xludf.DUMMYFUNCTION("""COMPUTED_VALUE"""),"Ruby")</f>
        <v>Ruby</v>
      </c>
      <c r="J4708" s="9" t="str">
        <f>IFERROR(__xludf.DUMMYFUNCTION("""COMPUTED_VALUE"""),"VBA")</f>
        <v>VBA</v>
      </c>
      <c r="K4708" s="9" t="str">
        <f>IFERROR(__xludf.DUMMYFUNCTION("""COMPUTED_VALUE"""),"Other(s):")</f>
        <v>Other(s):</v>
      </c>
      <c r="L4708" s="9" t="str">
        <f>IFERROR(__xludf.DUMMYFUNCTION("""COMPUTED_VALUE"""),"Go")</f>
        <v>Go</v>
      </c>
      <c r="M4708" s="9" t="s">
        <v>29</v>
      </c>
    </row>
    <row r="4709" ht="15.75" customHeight="1">
      <c r="A4709" s="7"/>
      <c r="B4709" s="7" t="str">
        <f>IFERROR(__xludf.DUMMYFUNCTION("""COMPUTED_VALUE"""),"C++;C#;HTML/CSS;Java;JavaScript;Python;Ruby;Scala;TypeScript")</f>
        <v>C++;C#;HTML/CSS;Java;JavaScript;Python;Ruby;Scala;TypeScript</v>
      </c>
      <c r="C4709" s="9" t="str">
        <f>IFERROR(__xludf.DUMMYFUNCTION("""COMPUTED_VALUE"""),"C")</f>
        <v>C</v>
      </c>
      <c r="D4709" s="9" t="str">
        <f>IFERROR(__xludf.DUMMYFUNCTION("""COMPUTED_VALUE"""),"C")</f>
        <v>C</v>
      </c>
      <c r="E4709" s="9" t="str">
        <f>IFERROR(__xludf.DUMMYFUNCTION("""COMPUTED_VALUE"""),"WebAssembly")</f>
        <v>WebAssembly</v>
      </c>
      <c r="F4709" s="9" t="str">
        <f>IFERROR(__xludf.DUMMYFUNCTION("""COMPUTED_VALUE"""),"TypeScript")</f>
        <v>TypeScript</v>
      </c>
      <c r="G4709" s="9" t="str">
        <f>IFERROR(__xludf.DUMMYFUNCTION("""COMPUTED_VALUE"""),"C#")</f>
        <v>C#</v>
      </c>
      <c r="H4709" s="9" t="str">
        <f>IFERROR(__xludf.DUMMYFUNCTION("""COMPUTED_VALUE"""),"Assembly")</f>
        <v>Assembly</v>
      </c>
      <c r="I4709" s="9" t="str">
        <f>IFERROR(__xludf.DUMMYFUNCTION("""COMPUTED_VALUE"""),"TypeScript")</f>
        <v>TypeScript</v>
      </c>
      <c r="J4709" s="9" t="str">
        <f>IFERROR(__xludf.DUMMYFUNCTION("""COMPUTED_VALUE"""),"Bash/Shell/PowerShell")</f>
        <v>Bash/Shell/PowerShell</v>
      </c>
      <c r="K4709" s="9" t="str">
        <f>IFERROR(__xludf.DUMMYFUNCTION("""COMPUTED_VALUE"""),"Bash/Shell/PowerShell")</f>
        <v>Bash/Shell/PowerShell</v>
      </c>
      <c r="L4709" s="9" t="str">
        <f>IFERROR(__xludf.DUMMYFUNCTION("""COMPUTED_VALUE"""),"Java")</f>
        <v>Java</v>
      </c>
      <c r="M4709" s="9" t="s">
        <v>25</v>
      </c>
    </row>
    <row r="4710" ht="15.75" customHeight="1">
      <c r="A4710" s="7"/>
      <c r="B4710" s="7" t="str">
        <f>IFERROR(__xludf.DUMMYFUNCTION("""COMPUTED_VALUE"""),"HTML/CSS;Java;Kotlin;Python")</f>
        <v>HTML/CSS;Java;Kotlin;Python</v>
      </c>
      <c r="C4710" s="9" t="str">
        <f>IFERROR(__xludf.DUMMYFUNCTION("""COMPUTED_VALUE"""),"HTML/CSS")</f>
        <v>HTML/CSS</v>
      </c>
      <c r="D4710" s="9" t="str">
        <f>IFERROR(__xludf.DUMMYFUNCTION("""COMPUTED_VALUE"""),"C++")</f>
        <v>C++</v>
      </c>
      <c r="E4710" s="9" t="str">
        <f>IFERROR(__xludf.DUMMYFUNCTION("""COMPUTED_VALUE"""),"C#")</f>
        <v>C#</v>
      </c>
      <c r="F4710" s="9" t="str">
        <f>IFERROR(__xludf.DUMMYFUNCTION("""COMPUTED_VALUE"""),"HTML/CSS")</f>
        <v>HTML/CSS</v>
      </c>
      <c r="G4710" s="9" t="str">
        <f>IFERROR(__xludf.DUMMYFUNCTION("""COMPUTED_VALUE"""),"Python")</f>
        <v>Python</v>
      </c>
      <c r="H4710" s="9" t="str">
        <f>IFERROR(__xludf.DUMMYFUNCTION("""COMPUTED_VALUE"""),"C")</f>
        <v>C</v>
      </c>
      <c r="I4710" s="9" t="str">
        <f>IFERROR(__xludf.DUMMYFUNCTION("""COMPUTED_VALUE"""),"HTML/CSS")</f>
        <v>HTML/CSS</v>
      </c>
      <c r="J4710" s="9" t="str">
        <f>IFERROR(__xludf.DUMMYFUNCTION("""COMPUTED_VALUE"""),"Go")</f>
        <v>Go</v>
      </c>
      <c r="K4710" s="9" t="str">
        <f>IFERROR(__xludf.DUMMYFUNCTION("""COMPUTED_VALUE"""),"C#")</f>
        <v>C#</v>
      </c>
      <c r="L4710" s="9" t="str">
        <f>IFERROR(__xludf.DUMMYFUNCTION("""COMPUTED_VALUE"""),"Python")</f>
        <v>Python</v>
      </c>
      <c r="M4710" s="9" t="s">
        <v>24</v>
      </c>
    </row>
    <row r="4711" ht="15.75" customHeight="1">
      <c r="A4711" s="7"/>
      <c r="B4711" s="7" t="str">
        <f>IFERROR(__xludf.DUMMYFUNCTION("""COMPUTED_VALUE"""),"C;C#;HTML/CSS;Java;PHP;SQL;VBA")</f>
        <v>C;C#;HTML/CSS;Java;PHP;SQL;VBA</v>
      </c>
      <c r="C4711" s="9" t="str">
        <f>IFERROR(__xludf.DUMMYFUNCTION("""COMPUTED_VALUE"""),"Java")</f>
        <v>Java</v>
      </c>
      <c r="D4711" s="9" t="str">
        <f>IFERROR(__xludf.DUMMYFUNCTION("""COMPUTED_VALUE"""),"C#")</f>
        <v>C#</v>
      </c>
      <c r="E4711" s="9" t="str">
        <f>IFERROR(__xludf.DUMMYFUNCTION("""COMPUTED_VALUE"""),"HTML/CSS")</f>
        <v>HTML/CSS</v>
      </c>
      <c r="F4711" s="9" t="str">
        <f>IFERROR(__xludf.DUMMYFUNCTION("""COMPUTED_VALUE"""),"Java")</f>
        <v>Java</v>
      </c>
      <c r="G4711" s="9" t="str">
        <f>IFERROR(__xludf.DUMMYFUNCTION("""COMPUTED_VALUE"""),"SQL")</f>
        <v>SQL</v>
      </c>
      <c r="H4711" s="9" t="str">
        <f>IFERROR(__xludf.DUMMYFUNCTION("""COMPUTED_VALUE"""),"C++")</f>
        <v>C++</v>
      </c>
      <c r="I4711" s="9" t="str">
        <f>IFERROR(__xludf.DUMMYFUNCTION("""COMPUTED_VALUE"""),"JavaScript")</f>
        <v>JavaScript</v>
      </c>
      <c r="J4711" s="9" t="str">
        <f>IFERROR(__xludf.DUMMYFUNCTION("""COMPUTED_VALUE"""),"Java")</f>
        <v>Java</v>
      </c>
      <c r="K4711" s="9" t="str">
        <f>IFERROR(__xludf.DUMMYFUNCTION("""COMPUTED_VALUE"""),"HTML/CSS")</f>
        <v>HTML/CSS</v>
      </c>
      <c r="L4711" s="9" t="str">
        <f>IFERROR(__xludf.DUMMYFUNCTION("""COMPUTED_VALUE"""),"Scala")</f>
        <v>Scala</v>
      </c>
      <c r="M4711" s="9" t="s">
        <v>20</v>
      </c>
    </row>
    <row r="4712" ht="15.75" customHeight="1">
      <c r="A4712" s="7"/>
      <c r="B4712" s="7" t="str">
        <f>IFERROR(__xludf.DUMMYFUNCTION("""COMPUTED_VALUE"""),"Assembly;C;C++;HTML/CSS;Java;JavaScript;PHP;Python;SQL")</f>
        <v>Assembly;C;C++;HTML/CSS;Java;JavaScript;PHP;Python;SQL</v>
      </c>
      <c r="C4712" s="9" t="str">
        <f>IFERROR(__xludf.DUMMYFUNCTION("""COMPUTED_VALUE"""),"Python")</f>
        <v>Python</v>
      </c>
      <c r="D4712" s="9" t="str">
        <f>IFERROR(__xludf.DUMMYFUNCTION("""COMPUTED_VALUE"""),"HTML/CSS")</f>
        <v>HTML/CSS</v>
      </c>
      <c r="E4712" s="9" t="str">
        <f>IFERROR(__xludf.DUMMYFUNCTION("""COMPUTED_VALUE"""),"JavaScript")</f>
        <v>JavaScript</v>
      </c>
      <c r="F4712" s="9" t="str">
        <f>IFERROR(__xludf.DUMMYFUNCTION("""COMPUTED_VALUE"""),"JavaScript")</f>
        <v>JavaScript</v>
      </c>
      <c r="G4712" s="9" t="str">
        <f>IFERROR(__xludf.DUMMYFUNCTION("""COMPUTED_VALUE"""),"VBA")</f>
        <v>VBA</v>
      </c>
      <c r="H4712" s="9" t="str">
        <f>IFERROR(__xludf.DUMMYFUNCTION("""COMPUTED_VALUE"""),"C")</f>
        <v>C</v>
      </c>
      <c r="I4712" s="9" t="str">
        <f>IFERROR(__xludf.DUMMYFUNCTION("""COMPUTED_VALUE"""),"PHP")</f>
        <v>PHP</v>
      </c>
      <c r="J4712" s="9" t="str">
        <f>IFERROR(__xludf.DUMMYFUNCTION("""COMPUTED_VALUE"""),"JavaScript")</f>
        <v>JavaScript</v>
      </c>
      <c r="K4712" s="9" t="str">
        <f>IFERROR(__xludf.DUMMYFUNCTION("""COMPUTED_VALUE"""),"JavaScript")</f>
        <v>JavaScript</v>
      </c>
      <c r="L4712" s="9" t="str">
        <f>IFERROR(__xludf.DUMMYFUNCTION("""COMPUTED_VALUE"""),"Assembly")</f>
        <v>Assembly</v>
      </c>
      <c r="M4712" s="9" t="s">
        <v>22</v>
      </c>
    </row>
    <row r="4713" ht="15.75" customHeight="1">
      <c r="A4713" s="7"/>
      <c r="B4713" s="7" t="str">
        <f>IFERROR(__xludf.DUMMYFUNCTION("""COMPUTED_VALUE"""),"Bash/Shell/PowerShell;C#;HTML/CSS;JavaScript;Python;SQL;TypeScript")</f>
        <v>Bash/Shell/PowerShell;C#;HTML/CSS;JavaScript;Python;SQL;TypeScript</v>
      </c>
      <c r="C4713" s="9" t="str">
        <f>IFERROR(__xludf.DUMMYFUNCTION("""COMPUTED_VALUE"""),"R")</f>
        <v>R</v>
      </c>
      <c r="D4713" s="9" t="str">
        <f>IFERROR(__xludf.DUMMYFUNCTION("""COMPUTED_VALUE"""),"Java")</f>
        <v>Java</v>
      </c>
      <c r="E4713" s="9" t="str">
        <f>IFERROR(__xludf.DUMMYFUNCTION("""COMPUTED_VALUE"""),"SQL")</f>
        <v>SQL</v>
      </c>
      <c r="F4713" s="9" t="str">
        <f>IFERROR(__xludf.DUMMYFUNCTION("""COMPUTED_VALUE"""),"SQL")</f>
        <v>SQL</v>
      </c>
      <c r="G4713" s="9" t="str">
        <f>IFERROR(__xludf.DUMMYFUNCTION("""COMPUTED_VALUE"""),"C++")</f>
        <v>C++</v>
      </c>
      <c r="H4713" s="9" t="str">
        <f>IFERROR(__xludf.DUMMYFUNCTION("""COMPUTED_VALUE"""),"Clojure")</f>
        <v>Clojure</v>
      </c>
      <c r="I4713" s="9" t="str">
        <f>IFERROR(__xludf.DUMMYFUNCTION("""COMPUTED_VALUE"""),"SQL")</f>
        <v>SQL</v>
      </c>
      <c r="J4713" s="9" t="str">
        <f>IFERROR(__xludf.DUMMYFUNCTION("""COMPUTED_VALUE"""),"C#")</f>
        <v>C#</v>
      </c>
      <c r="K4713" s="9" t="str">
        <f>IFERROR(__xludf.DUMMYFUNCTION("""COMPUTED_VALUE"""),"SQL")</f>
        <v>SQL</v>
      </c>
      <c r="L4713" s="9" t="str">
        <f>IFERROR(__xludf.DUMMYFUNCTION("""COMPUTED_VALUE"""),"Bash/Shell/PowerShell")</f>
        <v>Bash/Shell/PowerShell</v>
      </c>
      <c r="M4713" s="9" t="s">
        <v>29</v>
      </c>
    </row>
    <row r="4714" ht="15.75" customHeight="1">
      <c r="A4714" s="7"/>
      <c r="B4714" s="7" t="str">
        <f>IFERROR(__xludf.DUMMYFUNCTION("""COMPUTED_VALUE"""),"C#;HTML/CSS;Java;JavaScript;PHP;SQL")</f>
        <v>C#;HTML/CSS;Java;JavaScript;PHP;SQL</v>
      </c>
      <c r="C4714" s="9" t="str">
        <f>IFERROR(__xludf.DUMMYFUNCTION("""COMPUTED_VALUE"""),"TypeScript")</f>
        <v>TypeScript</v>
      </c>
      <c r="D4714" s="9" t="str">
        <f>IFERROR(__xludf.DUMMYFUNCTION("""COMPUTED_VALUE"""),"JavaScript")</f>
        <v>JavaScript</v>
      </c>
      <c r="E4714" s="9" t="str">
        <f>IFERROR(__xludf.DUMMYFUNCTION("""COMPUTED_VALUE"""),"VBA")</f>
        <v>VBA</v>
      </c>
      <c r="F4714" s="9" t="str">
        <f>IFERROR(__xludf.DUMMYFUNCTION("""COMPUTED_VALUE"""),"C")</f>
        <v>C</v>
      </c>
      <c r="G4714" s="9" t="str">
        <f>IFERROR(__xludf.DUMMYFUNCTION("""COMPUTED_VALUE"""),"HTML/CSS")</f>
        <v>HTML/CSS</v>
      </c>
      <c r="H4714" s="9" t="str">
        <f>IFERROR(__xludf.DUMMYFUNCTION("""COMPUTED_VALUE"""),"HTML/CSS")</f>
        <v>HTML/CSS</v>
      </c>
      <c r="I4714" s="9" t="str">
        <f>IFERROR(__xludf.DUMMYFUNCTION("""COMPUTED_VALUE"""),"HTML/CSS")</f>
        <v>HTML/CSS</v>
      </c>
      <c r="J4714" s="9" t="str">
        <f>IFERROR(__xludf.DUMMYFUNCTION("""COMPUTED_VALUE"""),"HTML/CSS")</f>
        <v>HTML/CSS</v>
      </c>
      <c r="K4714" s="9" t="str">
        <f>IFERROR(__xludf.DUMMYFUNCTION("""COMPUTED_VALUE"""),"TypeScript")</f>
        <v>TypeScript</v>
      </c>
      <c r="L4714" s="9" t="str">
        <f>IFERROR(__xludf.DUMMYFUNCTION("""COMPUTED_VALUE"""),"C")</f>
        <v>C</v>
      </c>
      <c r="M4714" s="9" t="s">
        <v>33</v>
      </c>
    </row>
    <row r="4715" ht="15.75" customHeight="1">
      <c r="A4715" s="7"/>
      <c r="B4715" s="7" t="str">
        <f>IFERROR(__xludf.DUMMYFUNCTION("""COMPUTED_VALUE"""),"C#;HTML/CSS;Java;JavaScript;Kotlin;Python;SQL")</f>
        <v>C#;HTML/CSS;Java;JavaScript;Kotlin;Python;SQL</v>
      </c>
      <c r="C4715" s="9" t="str">
        <f>IFERROR(__xludf.DUMMYFUNCTION("""COMPUTED_VALUE"""),"Other(s):")</f>
        <v>Other(s):</v>
      </c>
      <c r="D4715" s="9" t="str">
        <f>IFERROR(__xludf.DUMMYFUNCTION("""COMPUTED_VALUE"""),"PHP")</f>
        <v>PHP</v>
      </c>
      <c r="E4715" s="9" t="str">
        <f>IFERROR(__xludf.DUMMYFUNCTION("""COMPUTED_VALUE"""),"Bash/Shell/PowerShell")</f>
        <v>Bash/Shell/PowerShell</v>
      </c>
      <c r="F4715" s="9" t="str">
        <f>IFERROR(__xludf.DUMMYFUNCTION("""COMPUTED_VALUE"""),"C++")</f>
        <v>C++</v>
      </c>
      <c r="G4715" s="9" t="str">
        <f>IFERROR(__xludf.DUMMYFUNCTION("""COMPUTED_VALUE"""),"JavaScript")</f>
        <v>JavaScript</v>
      </c>
      <c r="H4715" s="9" t="str">
        <f>IFERROR(__xludf.DUMMYFUNCTION("""COMPUTED_VALUE"""),"JavaScript")</f>
        <v>JavaScript</v>
      </c>
      <c r="I4715" s="9" t="str">
        <f>IFERROR(__xludf.DUMMYFUNCTION("""COMPUTED_VALUE"""),"Java")</f>
        <v>Java</v>
      </c>
      <c r="J4715" s="9" t="str">
        <f>IFERROR(__xludf.DUMMYFUNCTION("""COMPUTED_VALUE"""),"JavaScript")</f>
        <v>JavaScript</v>
      </c>
      <c r="K4715" s="9" t="str">
        <f>IFERROR(__xludf.DUMMYFUNCTION("""COMPUTED_VALUE"""),"Java")</f>
        <v>Java</v>
      </c>
      <c r="L4715" s="9" t="str">
        <f>IFERROR(__xludf.DUMMYFUNCTION("""COMPUTED_VALUE"""),"Objective-C")</f>
        <v>Objective-C</v>
      </c>
      <c r="M4715" s="9" t="s">
        <v>35</v>
      </c>
    </row>
    <row r="4716" ht="15.75" customHeight="1">
      <c r="A4716" s="7"/>
      <c r="B4716" s="7" t="str">
        <f>IFERROR(__xludf.DUMMYFUNCTION("""COMPUTED_VALUE"""),"Bash/Shell/PowerShell;Elixir;HTML/CSS;JavaScript;PHP;Python;Ruby;SQL;TypeScript")</f>
        <v>Bash/Shell/PowerShell;Elixir;HTML/CSS;JavaScript;PHP;Python;Ruby;SQL;TypeScript</v>
      </c>
      <c r="C4716" s="9" t="str">
        <f>IFERROR(__xludf.DUMMYFUNCTION("""COMPUTED_VALUE"""),"Bash/Shell/PowerShell")</f>
        <v>Bash/Shell/PowerShell</v>
      </c>
      <c r="D4716" s="9" t="str">
        <f>IFERROR(__xludf.DUMMYFUNCTION("""COMPUTED_VALUE"""),"SQL")</f>
        <v>SQL</v>
      </c>
      <c r="E4716" s="9" t="str">
        <f>IFERROR(__xludf.DUMMYFUNCTION("""COMPUTED_VALUE"""),"C")</f>
        <v>C</v>
      </c>
      <c r="F4716" s="9" t="str">
        <f>IFERROR(__xludf.DUMMYFUNCTION("""COMPUTED_VALUE"""),"HTML/CSS")</f>
        <v>HTML/CSS</v>
      </c>
      <c r="G4716" s="9" t="str">
        <f>IFERROR(__xludf.DUMMYFUNCTION("""COMPUTED_VALUE"""),"PHP")</f>
        <v>PHP</v>
      </c>
      <c r="H4716" s="9" t="str">
        <f>IFERROR(__xludf.DUMMYFUNCTION("""COMPUTED_VALUE"""),"TypeScript")</f>
        <v>TypeScript</v>
      </c>
      <c r="I4716" s="9" t="str">
        <f>IFERROR(__xludf.DUMMYFUNCTION("""COMPUTED_VALUE"""),"JavaScript")</f>
        <v>JavaScript</v>
      </c>
      <c r="J4716" s="9" t="str">
        <f>IFERROR(__xludf.DUMMYFUNCTION("""COMPUTED_VALUE"""),"SQL")</f>
        <v>SQL</v>
      </c>
      <c r="K4716" s="9" t="str">
        <f>IFERROR(__xludf.DUMMYFUNCTION("""COMPUTED_VALUE"""),"Other(s):")</f>
        <v>Other(s):</v>
      </c>
      <c r="L4716" s="9" t="str">
        <f>IFERROR(__xludf.DUMMYFUNCTION("""COMPUTED_VALUE"""),"Python")</f>
        <v>Python</v>
      </c>
      <c r="M4716" s="9" t="s">
        <v>30</v>
      </c>
    </row>
    <row r="4717" ht="15.75" customHeight="1">
      <c r="A4717" s="7"/>
      <c r="B4717" s="7" t="str">
        <f>IFERROR(__xludf.DUMMYFUNCTION("""COMPUTED_VALUE"""),"HTML/CSS;Java;JavaScript;SQL")</f>
        <v>HTML/CSS;Java;JavaScript;SQL</v>
      </c>
      <c r="C4717" s="9" t="str">
        <f>IFERROR(__xludf.DUMMYFUNCTION("""COMPUTED_VALUE"""),"C")</f>
        <v>C</v>
      </c>
      <c r="D4717" s="9" t="str">
        <f>IFERROR(__xludf.DUMMYFUNCTION("""COMPUTED_VALUE"""),"C#")</f>
        <v>C#</v>
      </c>
      <c r="E4717" s="9" t="str">
        <f>IFERROR(__xludf.DUMMYFUNCTION("""COMPUTED_VALUE"""),"HTML/CSS")</f>
        <v>HTML/CSS</v>
      </c>
      <c r="F4717" s="9" t="str">
        <f>IFERROR(__xludf.DUMMYFUNCTION("""COMPUTED_VALUE"""),"Python")</f>
        <v>Python</v>
      </c>
      <c r="G4717" s="9" t="str">
        <f>IFERROR(__xludf.DUMMYFUNCTION("""COMPUTED_VALUE"""),"SQL")</f>
        <v>SQL</v>
      </c>
      <c r="H4717" s="9" t="str">
        <f>IFERROR(__xludf.DUMMYFUNCTION("""COMPUTED_VALUE"""),"Other(s):")</f>
        <v>Other(s):</v>
      </c>
      <c r="I4717" s="9" t="str">
        <f>IFERROR(__xludf.DUMMYFUNCTION("""COMPUTED_VALUE"""),"SQL")</f>
        <v>SQL</v>
      </c>
      <c r="J4717" s="9" t="str">
        <f>IFERROR(__xludf.DUMMYFUNCTION("""COMPUTED_VALUE"""),"Bash/Shell/PowerShell")</f>
        <v>Bash/Shell/PowerShell</v>
      </c>
      <c r="K4717" s="9" t="str">
        <f>IFERROR(__xludf.DUMMYFUNCTION("""COMPUTED_VALUE"""),"HTML/CSS")</f>
        <v>HTML/CSS</v>
      </c>
      <c r="L4717" s="9" t="str">
        <f>IFERROR(__xludf.DUMMYFUNCTION("""COMPUTED_VALUE"""),"Swift")</f>
        <v>Swift</v>
      </c>
      <c r="M4717" s="9" t="s">
        <v>25</v>
      </c>
    </row>
    <row r="4718" ht="15.75" customHeight="1">
      <c r="A4718" s="7"/>
      <c r="B4718" s="7" t="str">
        <f>IFERROR(__xludf.DUMMYFUNCTION("""COMPUTED_VALUE"""),"Clojure;HTML/CSS;JavaScript;PHP;Python")</f>
        <v>Clojure;HTML/CSS;JavaScript;PHP;Python</v>
      </c>
      <c r="C4718" s="9" t="str">
        <f>IFERROR(__xludf.DUMMYFUNCTION("""COMPUTED_VALUE"""),"C++")</f>
        <v>C++</v>
      </c>
      <c r="D4718" s="9" t="str">
        <f>IFERROR(__xludf.DUMMYFUNCTION("""COMPUTED_VALUE"""),"Java")</f>
        <v>Java</v>
      </c>
      <c r="E4718" s="9" t="str">
        <f>IFERROR(__xludf.DUMMYFUNCTION("""COMPUTED_VALUE"""),"Java")</f>
        <v>Java</v>
      </c>
      <c r="F4718" s="9" t="str">
        <f>IFERROR(__xludf.DUMMYFUNCTION("""COMPUTED_VALUE"""),"HTML/CSS")</f>
        <v>HTML/CSS</v>
      </c>
      <c r="G4718" s="9" t="str">
        <f>IFERROR(__xludf.DUMMYFUNCTION("""COMPUTED_VALUE"""),"C")</f>
        <v>C</v>
      </c>
      <c r="H4718" s="9" t="str">
        <f>IFERROR(__xludf.DUMMYFUNCTION("""COMPUTED_VALUE"""),"Java")</f>
        <v>Java</v>
      </c>
      <c r="I4718" s="9" t="str">
        <f>IFERROR(__xludf.DUMMYFUNCTION("""COMPUTED_VALUE"""),"HTML/CSS")</f>
        <v>HTML/CSS</v>
      </c>
      <c r="J4718" s="9" t="str">
        <f>IFERROR(__xludf.DUMMYFUNCTION("""COMPUTED_VALUE"""),"C++")</f>
        <v>C++</v>
      </c>
      <c r="K4718" s="9" t="str">
        <f>IFERROR(__xludf.DUMMYFUNCTION("""COMPUTED_VALUE"""),"JavaScript")</f>
        <v>JavaScript</v>
      </c>
      <c r="L4718" s="9" t="str">
        <f>IFERROR(__xludf.DUMMYFUNCTION("""COMPUTED_VALUE"""),"Bash/Shell/PowerShell")</f>
        <v>Bash/Shell/PowerShell</v>
      </c>
      <c r="M4718" s="9" t="s">
        <v>23</v>
      </c>
    </row>
    <row r="4719" ht="15.75" customHeight="1">
      <c r="A4719" s="7"/>
      <c r="B4719" s="7" t="str">
        <f>IFERROR(__xludf.DUMMYFUNCTION("""COMPUTED_VALUE"""),"HTML/CSS;Java;JavaScript;Rust;SQL")</f>
        <v>HTML/CSS;Java;JavaScript;Rust;SQL</v>
      </c>
      <c r="C4719" s="9" t="str">
        <f>IFERROR(__xludf.DUMMYFUNCTION("""COMPUTED_VALUE"""),"C#")</f>
        <v>C#</v>
      </c>
      <c r="D4719" s="9" t="str">
        <f>IFERROR(__xludf.DUMMYFUNCTION("""COMPUTED_VALUE"""),"JavaScript")</f>
        <v>JavaScript</v>
      </c>
      <c r="E4719" s="9" t="str">
        <f>IFERROR(__xludf.DUMMYFUNCTION("""COMPUTED_VALUE"""),"JavaScript")</f>
        <v>JavaScript</v>
      </c>
      <c r="F4719" s="9" t="str">
        <f>IFERROR(__xludf.DUMMYFUNCTION("""COMPUTED_VALUE"""),"Java")</f>
        <v>Java</v>
      </c>
      <c r="G4719" s="9" t="str">
        <f>IFERROR(__xludf.DUMMYFUNCTION("""COMPUTED_VALUE"""),"HTML/CSS")</f>
        <v>HTML/CSS</v>
      </c>
      <c r="H4719" s="9" t="str">
        <f>IFERROR(__xludf.DUMMYFUNCTION("""COMPUTED_VALUE"""),"Kotlin")</f>
        <v>Kotlin</v>
      </c>
      <c r="I4719" s="9" t="str">
        <f>IFERROR(__xludf.DUMMYFUNCTION("""COMPUTED_VALUE"""),"JavaScript")</f>
        <v>JavaScript</v>
      </c>
      <c r="J4719" s="9" t="str">
        <f>IFERROR(__xludf.DUMMYFUNCTION("""COMPUTED_VALUE"""),"C#")</f>
        <v>C#</v>
      </c>
      <c r="K4719" s="9" t="str">
        <f>IFERROR(__xludf.DUMMYFUNCTION("""COMPUTED_VALUE"""),"PHP")</f>
        <v>PHP</v>
      </c>
      <c r="L4719" s="9" t="str">
        <f>IFERROR(__xludf.DUMMYFUNCTION("""COMPUTED_VALUE"""),"Go")</f>
        <v>Go</v>
      </c>
      <c r="M4719" s="9" t="s">
        <v>26</v>
      </c>
    </row>
    <row r="4720" ht="15.75" customHeight="1">
      <c r="A4720" s="7"/>
      <c r="B4720" s="7" t="str">
        <f>IFERROR(__xludf.DUMMYFUNCTION("""COMPUTED_VALUE"""),"Bash/Shell/PowerShell;C;C++;HTML/CSS;Python")</f>
        <v>Bash/Shell/PowerShell;C;C++;HTML/CSS;Python</v>
      </c>
      <c r="C4720" s="9" t="str">
        <f>IFERROR(__xludf.DUMMYFUNCTION("""COMPUTED_VALUE"""),"HTML/CSS")</f>
        <v>HTML/CSS</v>
      </c>
      <c r="D4720" s="9" t="str">
        <f>IFERROR(__xludf.DUMMYFUNCTION("""COMPUTED_VALUE"""),"Kotlin")</f>
        <v>Kotlin</v>
      </c>
      <c r="E4720" s="9" t="str">
        <f>IFERROR(__xludf.DUMMYFUNCTION("""COMPUTED_VALUE"""),"Python")</f>
        <v>Python</v>
      </c>
      <c r="F4720" s="9" t="str">
        <f>IFERROR(__xludf.DUMMYFUNCTION("""COMPUTED_VALUE"""),"JavaScript")</f>
        <v>JavaScript</v>
      </c>
      <c r="G4720" s="9" t="str">
        <f>IFERROR(__xludf.DUMMYFUNCTION("""COMPUTED_VALUE"""),"Java")</f>
        <v>Java</v>
      </c>
      <c r="H4720" s="9" t="str">
        <f>IFERROR(__xludf.DUMMYFUNCTION("""COMPUTED_VALUE"""),"Objective-C")</f>
        <v>Objective-C</v>
      </c>
      <c r="I4720" s="9" t="str">
        <f>IFERROR(__xludf.DUMMYFUNCTION("""COMPUTED_VALUE"""),"Other(s):")</f>
        <v>Other(s):</v>
      </c>
      <c r="J4720" s="9" t="str">
        <f>IFERROR(__xludf.DUMMYFUNCTION("""COMPUTED_VALUE"""),"HTML/CSS")</f>
        <v>HTML/CSS</v>
      </c>
      <c r="K4720" s="9" t="str">
        <f>IFERROR(__xludf.DUMMYFUNCTION("""COMPUTED_VALUE"""),"SQL")</f>
        <v>SQL</v>
      </c>
      <c r="L4720" s="9" t="str">
        <f>IFERROR(__xludf.DUMMYFUNCTION("""COMPUTED_VALUE"""),"Java")</f>
        <v>Java</v>
      </c>
      <c r="M4720" s="9" t="s">
        <v>24</v>
      </c>
    </row>
    <row r="4721" ht="15.75" customHeight="1">
      <c r="A4721" s="7"/>
      <c r="B4721" s="7" t="str">
        <f>IFERROR(__xludf.DUMMYFUNCTION("""COMPUTED_VALUE"""),"Go;HTML/CSS;JavaScript;Python;SQL;TypeScript")</f>
        <v>Go;HTML/CSS;JavaScript;Python;SQL;TypeScript</v>
      </c>
      <c r="C4721" s="9" t="str">
        <f>IFERROR(__xludf.DUMMYFUNCTION("""COMPUTED_VALUE"""),"Java")</f>
        <v>Java</v>
      </c>
      <c r="D4721" s="9" t="str">
        <f>IFERROR(__xludf.DUMMYFUNCTION("""COMPUTED_VALUE"""),"Bash/Shell/PowerShell")</f>
        <v>Bash/Shell/PowerShell</v>
      </c>
      <c r="E4721" s="9" t="str">
        <f>IFERROR(__xludf.DUMMYFUNCTION("""COMPUTED_VALUE"""),"Ruby")</f>
        <v>Ruby</v>
      </c>
      <c r="F4721" s="9" t="str">
        <f>IFERROR(__xludf.DUMMYFUNCTION("""COMPUTED_VALUE"""),"SQL")</f>
        <v>SQL</v>
      </c>
      <c r="G4721" s="9" t="str">
        <f>IFERROR(__xludf.DUMMYFUNCTION("""COMPUTED_VALUE"""),"JavaScript")</f>
        <v>JavaScript</v>
      </c>
      <c r="H4721" s="9" t="str">
        <f>IFERROR(__xludf.DUMMYFUNCTION("""COMPUTED_VALUE"""),"Python")</f>
        <v>Python</v>
      </c>
      <c r="I4721" s="9" t="str">
        <f>IFERROR(__xludf.DUMMYFUNCTION("""COMPUTED_VALUE"""),"SQL")</f>
        <v>SQL</v>
      </c>
      <c r="J4721" s="9" t="str">
        <f>IFERROR(__xludf.DUMMYFUNCTION("""COMPUTED_VALUE"""),"Java")</f>
        <v>Java</v>
      </c>
      <c r="K4721" s="9" t="str">
        <f>IFERROR(__xludf.DUMMYFUNCTION("""COMPUTED_VALUE"""),"TypeScript")</f>
        <v>TypeScript</v>
      </c>
      <c r="L4721" s="9" t="str">
        <f>IFERROR(__xludf.DUMMYFUNCTION("""COMPUTED_VALUE"""),"Java")</f>
        <v>Java</v>
      </c>
      <c r="M4721" s="9" t="s">
        <v>20</v>
      </c>
    </row>
    <row r="4722" ht="15.75" customHeight="1">
      <c r="A4722" s="7"/>
      <c r="B4722" s="7" t="str">
        <f>IFERROR(__xludf.DUMMYFUNCTION("""COMPUTED_VALUE"""),"Bash/Shell/PowerShell;C++;C#;JavaScript;Python")</f>
        <v>Bash/Shell/PowerShell;C++;C#;JavaScript;Python</v>
      </c>
      <c r="C4722" s="9" t="str">
        <f>IFERROR(__xludf.DUMMYFUNCTION("""COMPUTED_VALUE"""),"JavaScript")</f>
        <v>JavaScript</v>
      </c>
      <c r="D4722" s="9" t="str">
        <f>IFERROR(__xludf.DUMMYFUNCTION("""COMPUTED_VALUE"""),"Clojure")</f>
        <v>Clojure</v>
      </c>
      <c r="E4722" s="9" t="str">
        <f>IFERROR(__xludf.DUMMYFUNCTION("""COMPUTED_VALUE"""),"SQL")</f>
        <v>SQL</v>
      </c>
      <c r="F4722" s="9" t="str">
        <f>IFERROR(__xludf.DUMMYFUNCTION("""COMPUTED_VALUE"""),"TypeScript")</f>
        <v>TypeScript</v>
      </c>
      <c r="G4722" s="9" t="str">
        <f>IFERROR(__xludf.DUMMYFUNCTION("""COMPUTED_VALUE"""),"Kotlin")</f>
        <v>Kotlin</v>
      </c>
      <c r="H4722" s="9" t="str">
        <f>IFERROR(__xludf.DUMMYFUNCTION("""COMPUTED_VALUE"""),"Scala")</f>
        <v>Scala</v>
      </c>
      <c r="I4722" s="9" t="str">
        <f>IFERROR(__xludf.DUMMYFUNCTION("""COMPUTED_VALUE"""),"Bash/Shell/PowerShell")</f>
        <v>Bash/Shell/PowerShell</v>
      </c>
      <c r="J4722" s="9" t="str">
        <f>IFERROR(__xludf.DUMMYFUNCTION("""COMPUTED_VALUE"""),"JavaScript")</f>
        <v>JavaScript</v>
      </c>
      <c r="K4722" s="9" t="str">
        <f>IFERROR(__xludf.DUMMYFUNCTION("""COMPUTED_VALUE"""),"Bash/Shell/PowerShell")</f>
        <v>Bash/Shell/PowerShell</v>
      </c>
      <c r="L4722" s="9" t="str">
        <f>IFERROR(__xludf.DUMMYFUNCTION("""COMPUTED_VALUE"""),"Python")</f>
        <v>Python</v>
      </c>
      <c r="M4722" s="9" t="s">
        <v>21</v>
      </c>
    </row>
    <row r="4723" ht="15.75" customHeight="1">
      <c r="A4723" s="7"/>
      <c r="B4723" s="7" t="str">
        <f>IFERROR(__xludf.DUMMYFUNCTION("""COMPUTED_VALUE"""),"Bash/Shell/PowerShell;C++;HTML/CSS;JavaScript;Python")</f>
        <v>Bash/Shell/PowerShell;C++;HTML/CSS;JavaScript;Python</v>
      </c>
      <c r="C4723" s="9" t="str">
        <f>IFERROR(__xludf.DUMMYFUNCTION("""COMPUTED_VALUE"""),"Kotlin")</f>
        <v>Kotlin</v>
      </c>
      <c r="D4723" s="9" t="str">
        <f>IFERROR(__xludf.DUMMYFUNCTION("""COMPUTED_VALUE"""),"Go")</f>
        <v>Go</v>
      </c>
      <c r="E4723" s="9" t="str">
        <f>IFERROR(__xludf.DUMMYFUNCTION("""COMPUTED_VALUE"""),"TypeScript")</f>
        <v>TypeScript</v>
      </c>
      <c r="F4723" s="9" t="str">
        <f>IFERROR(__xludf.DUMMYFUNCTION("""COMPUTED_VALUE"""),"Bash/Shell/PowerShell")</f>
        <v>Bash/Shell/PowerShell</v>
      </c>
      <c r="G4723" s="9" t="str">
        <f>IFERROR(__xludf.DUMMYFUNCTION("""COMPUTED_VALUE"""),"Objective-C")</f>
        <v>Objective-C</v>
      </c>
      <c r="H4723" s="9" t="str">
        <f>IFERROR(__xludf.DUMMYFUNCTION("""COMPUTED_VALUE"""),"Swift")</f>
        <v>Swift</v>
      </c>
      <c r="I4723" s="9" t="str">
        <f>IFERROR(__xludf.DUMMYFUNCTION("""COMPUTED_VALUE"""),"HTML/CSS")</f>
        <v>HTML/CSS</v>
      </c>
      <c r="J4723" s="9" t="str">
        <f>IFERROR(__xludf.DUMMYFUNCTION("""COMPUTED_VALUE"""),"Scala")</f>
        <v>Scala</v>
      </c>
      <c r="K4723" s="9" t="str">
        <f>IFERROR(__xludf.DUMMYFUNCTION("""COMPUTED_VALUE"""),"C#")</f>
        <v>C#</v>
      </c>
      <c r="L4723" s="9" t="str">
        <f>IFERROR(__xludf.DUMMYFUNCTION("""COMPUTED_VALUE"""),"C#")</f>
        <v>C#</v>
      </c>
      <c r="M4723" s="9" t="s">
        <v>39</v>
      </c>
    </row>
    <row r="4724" ht="15.75" customHeight="1">
      <c r="A4724" s="7"/>
      <c r="B4724" s="7" t="str">
        <f>IFERROR(__xludf.DUMMYFUNCTION("""COMPUTED_VALUE"""),"Bash/Shell/PowerShell;Python;SQL;Other(s):")</f>
        <v>Bash/Shell/PowerShell;Python;SQL;Other(s):</v>
      </c>
      <c r="C4724" s="9" t="str">
        <f>IFERROR(__xludf.DUMMYFUNCTION("""COMPUTED_VALUE"""),"Objective-C")</f>
        <v>Objective-C</v>
      </c>
      <c r="D4724" s="9" t="str">
        <f>IFERROR(__xludf.DUMMYFUNCTION("""COMPUTED_VALUE"""),"HTML/CSS")</f>
        <v>HTML/CSS</v>
      </c>
      <c r="E4724" s="9" t="str">
        <f>IFERROR(__xludf.DUMMYFUNCTION("""COMPUTED_VALUE"""),"C#")</f>
        <v>C#</v>
      </c>
      <c r="F4724" s="9" t="str">
        <f>IFERROR(__xludf.DUMMYFUNCTION("""COMPUTED_VALUE"""),"C#")</f>
        <v>C#</v>
      </c>
      <c r="G4724" s="9" t="str">
        <f>IFERROR(__xludf.DUMMYFUNCTION("""COMPUTED_VALUE"""),"Swift")</f>
        <v>Swift</v>
      </c>
      <c r="H4724" s="9" t="str">
        <f>IFERROR(__xludf.DUMMYFUNCTION("""COMPUTED_VALUE"""),"Bash/Shell/PowerShell")</f>
        <v>Bash/Shell/PowerShell</v>
      </c>
      <c r="I4724" s="9" t="str">
        <f>IFERROR(__xludf.DUMMYFUNCTION("""COMPUTED_VALUE"""),"JavaScript")</f>
        <v>JavaScript</v>
      </c>
      <c r="J4724" s="9" t="str">
        <f>IFERROR(__xludf.DUMMYFUNCTION("""COMPUTED_VALUE"""),"SQL")</f>
        <v>SQL</v>
      </c>
      <c r="K4724" s="9" t="str">
        <f>IFERROR(__xludf.DUMMYFUNCTION("""COMPUTED_VALUE"""),"HTML/CSS")</f>
        <v>HTML/CSS</v>
      </c>
      <c r="L4724" s="9" t="str">
        <f>IFERROR(__xludf.DUMMYFUNCTION("""COMPUTED_VALUE"""),"HTML/CSS")</f>
        <v>HTML/CSS</v>
      </c>
      <c r="M4724" s="9" t="s">
        <v>41</v>
      </c>
    </row>
    <row r="4725" ht="15.75" customHeight="1">
      <c r="A4725" s="7"/>
      <c r="B4725" s="7" t="str">
        <f>IFERROR(__xludf.DUMMYFUNCTION("""COMPUTED_VALUE"""),"Bash/Shell/PowerShell;HTML/CSS;JavaScript;PHP;SQL;TypeScript")</f>
        <v>Bash/Shell/PowerShell;HTML/CSS;JavaScript;PHP;SQL;TypeScript</v>
      </c>
      <c r="C4725" s="9" t="str">
        <f>IFERROR(__xludf.DUMMYFUNCTION("""COMPUTED_VALUE"""),"PHP")</f>
        <v>PHP</v>
      </c>
      <c r="D4725" s="9" t="str">
        <f>IFERROR(__xludf.DUMMYFUNCTION("""COMPUTED_VALUE"""),"SQL")</f>
        <v>SQL</v>
      </c>
      <c r="E4725" s="9" t="str">
        <f>IFERROR(__xludf.DUMMYFUNCTION("""COMPUTED_VALUE"""),"HTML/CSS")</f>
        <v>HTML/CSS</v>
      </c>
      <c r="F4725" s="9" t="str">
        <f>IFERROR(__xludf.DUMMYFUNCTION("""COMPUTED_VALUE"""),"Go")</f>
        <v>Go</v>
      </c>
      <c r="G4725" s="9" t="str">
        <f>IFERROR(__xludf.DUMMYFUNCTION("""COMPUTED_VALUE"""),"TypeScript")</f>
        <v>TypeScript</v>
      </c>
      <c r="H4725" s="9" t="str">
        <f>IFERROR(__xludf.DUMMYFUNCTION("""COMPUTED_VALUE"""),"HTML/CSS")</f>
        <v>HTML/CSS</v>
      </c>
      <c r="I4725" s="9" t="str">
        <f>IFERROR(__xludf.DUMMYFUNCTION("""COMPUTED_VALUE"""),"Python")</f>
        <v>Python</v>
      </c>
      <c r="J4725" s="9" t="str">
        <f>IFERROR(__xludf.DUMMYFUNCTION("""COMPUTED_VALUE"""),"C#")</f>
        <v>C#</v>
      </c>
      <c r="K4725" s="9" t="str">
        <f>IFERROR(__xludf.DUMMYFUNCTION("""COMPUTED_VALUE"""),"JavaScript")</f>
        <v>JavaScript</v>
      </c>
      <c r="L4725" s="9" t="str">
        <f>IFERROR(__xludf.DUMMYFUNCTION("""COMPUTED_VALUE"""),"JavaScript")</f>
        <v>JavaScript</v>
      </c>
      <c r="M4725" s="9" t="s">
        <v>37</v>
      </c>
    </row>
    <row r="4726" ht="15.75" customHeight="1">
      <c r="A4726" s="7"/>
      <c r="B4726" s="7" t="str">
        <f>IFERROR(__xludf.DUMMYFUNCTION("""COMPUTED_VALUE"""),"Bash/Shell/PowerShell;C#;HTML/CSS;JavaScript;SQL;TypeScript")</f>
        <v>Bash/Shell/PowerShell;C#;HTML/CSS;JavaScript;SQL;TypeScript</v>
      </c>
      <c r="C4726" s="9" t="str">
        <f>IFERROR(__xludf.DUMMYFUNCTION("""COMPUTED_VALUE"""),"Python")</f>
        <v>Python</v>
      </c>
      <c r="D4726" s="9" t="str">
        <f>IFERROR(__xludf.DUMMYFUNCTION("""COMPUTED_VALUE"""),"Assembly")</f>
        <v>Assembly</v>
      </c>
      <c r="E4726" s="9" t="str">
        <f>IFERROR(__xludf.DUMMYFUNCTION("""COMPUTED_VALUE"""),"Java")</f>
        <v>Java</v>
      </c>
      <c r="F4726" s="9" t="str">
        <f>IFERROR(__xludf.DUMMYFUNCTION("""COMPUTED_VALUE"""),"HTML/CSS")</f>
        <v>HTML/CSS</v>
      </c>
      <c r="G4726" s="9" t="str">
        <f>IFERROR(__xludf.DUMMYFUNCTION("""COMPUTED_VALUE"""),"Dart")</f>
        <v>Dart</v>
      </c>
      <c r="H4726" s="9" t="str">
        <f>IFERROR(__xludf.DUMMYFUNCTION("""COMPUTED_VALUE"""),"Ruby")</f>
        <v>Ruby</v>
      </c>
      <c r="I4726" s="9" t="str">
        <f>IFERROR(__xludf.DUMMYFUNCTION("""COMPUTED_VALUE"""),"R")</f>
        <v>R</v>
      </c>
      <c r="J4726" s="9" t="str">
        <f>IFERROR(__xludf.DUMMYFUNCTION("""COMPUTED_VALUE"""),"HTML/CSS")</f>
        <v>HTML/CSS</v>
      </c>
      <c r="K4726" s="9" t="str">
        <f>IFERROR(__xludf.DUMMYFUNCTION("""COMPUTED_VALUE"""),"SQL")</f>
        <v>SQL</v>
      </c>
      <c r="L4726" s="9" t="str">
        <f>IFERROR(__xludf.DUMMYFUNCTION("""COMPUTED_VALUE"""),"SQL")</f>
        <v>SQL</v>
      </c>
      <c r="M4726" s="9" t="s">
        <v>22</v>
      </c>
    </row>
    <row r="4727" ht="15.75" customHeight="1">
      <c r="A4727" s="7"/>
      <c r="B4727" s="7" t="str">
        <f>IFERROR(__xludf.DUMMYFUNCTION("""COMPUTED_VALUE"""),"Assembly;C")</f>
        <v>Assembly;C</v>
      </c>
      <c r="C4727" s="9" t="str">
        <f>IFERROR(__xludf.DUMMYFUNCTION("""COMPUTED_VALUE"""),"Ruby")</f>
        <v>Ruby</v>
      </c>
      <c r="D4727" s="9" t="str">
        <f>IFERROR(__xludf.DUMMYFUNCTION("""COMPUTED_VALUE"""),"C#")</f>
        <v>C#</v>
      </c>
      <c r="E4727" s="9" t="str">
        <f>IFERROR(__xludf.DUMMYFUNCTION("""COMPUTED_VALUE"""),"JavaScript")</f>
        <v>JavaScript</v>
      </c>
      <c r="F4727" s="9" t="str">
        <f>IFERROR(__xludf.DUMMYFUNCTION("""COMPUTED_VALUE"""),"JavaScript")</f>
        <v>JavaScript</v>
      </c>
      <c r="G4727" s="9" t="str">
        <f>IFERROR(__xludf.DUMMYFUNCTION("""COMPUTED_VALUE"""),"Java")</f>
        <v>Java</v>
      </c>
      <c r="H4727" s="9" t="str">
        <f>IFERROR(__xludf.DUMMYFUNCTION("""COMPUTED_VALUE"""),"SQL")</f>
        <v>SQL</v>
      </c>
      <c r="I4727" s="9" t="str">
        <f>IFERROR(__xludf.DUMMYFUNCTION("""COMPUTED_VALUE"""),"Ruby")</f>
        <v>Ruby</v>
      </c>
      <c r="J4727" s="9" t="str">
        <f>IFERROR(__xludf.DUMMYFUNCTION("""COMPUTED_VALUE"""),"SQL")</f>
        <v>SQL</v>
      </c>
      <c r="K4727" s="9" t="str">
        <f>IFERROR(__xludf.DUMMYFUNCTION("""COMPUTED_VALUE"""),"C++")</f>
        <v>C++</v>
      </c>
      <c r="L4727" s="9" t="str">
        <f>IFERROR(__xludf.DUMMYFUNCTION("""COMPUTED_VALUE"""),"VBA")</f>
        <v>VBA</v>
      </c>
      <c r="M4727" s="9" t="s">
        <v>31</v>
      </c>
    </row>
    <row r="4728" ht="15.75" customHeight="1">
      <c r="A4728" s="7"/>
      <c r="B4728" s="7" t="str">
        <f>IFERROR(__xludf.DUMMYFUNCTION("""COMPUTED_VALUE"""),"Bash/Shell/PowerShell;C++;HTML/CSS;PHP")</f>
        <v>Bash/Shell/PowerShell;C++;HTML/CSS;PHP</v>
      </c>
      <c r="C4728" s="9" t="str">
        <f>IFERROR(__xludf.DUMMYFUNCTION("""COMPUTED_VALUE"""),"SQL")</f>
        <v>SQL</v>
      </c>
      <c r="D4728" s="9" t="str">
        <f>IFERROR(__xludf.DUMMYFUNCTION("""COMPUTED_VALUE"""),"JavaScript")</f>
        <v>JavaScript</v>
      </c>
      <c r="E4728" s="9" t="str">
        <f>IFERROR(__xludf.DUMMYFUNCTION("""COMPUTED_VALUE"""),"Kotlin")</f>
        <v>Kotlin</v>
      </c>
      <c r="F4728" s="9" t="str">
        <f>IFERROR(__xludf.DUMMYFUNCTION("""COMPUTED_VALUE"""),"Python")</f>
        <v>Python</v>
      </c>
      <c r="G4728" s="9" t="str">
        <f>IFERROR(__xludf.DUMMYFUNCTION("""COMPUTED_VALUE"""),"Python")</f>
        <v>Python</v>
      </c>
      <c r="H4728" s="9" t="str">
        <f>IFERROR(__xludf.DUMMYFUNCTION("""COMPUTED_VALUE"""),"Other(s):")</f>
        <v>Other(s):</v>
      </c>
      <c r="I4728" s="9" t="str">
        <f>IFERROR(__xludf.DUMMYFUNCTION("""COMPUTED_VALUE"""),"SQL")</f>
        <v>SQL</v>
      </c>
      <c r="J4728" s="9" t="str">
        <f>IFERROR(__xludf.DUMMYFUNCTION("""COMPUTED_VALUE"""),"VBA")</f>
        <v>VBA</v>
      </c>
      <c r="K4728" s="9" t="str">
        <f>IFERROR(__xludf.DUMMYFUNCTION("""COMPUTED_VALUE"""),"Java")</f>
        <v>Java</v>
      </c>
      <c r="L4728" s="9" t="str">
        <f>IFERROR(__xludf.DUMMYFUNCTION("""COMPUTED_VALUE"""),"Other(s):")</f>
        <v>Other(s):</v>
      </c>
      <c r="M4728" s="9" t="s">
        <v>27</v>
      </c>
    </row>
    <row r="4729" ht="15.75" customHeight="1">
      <c r="A4729" s="7"/>
      <c r="B4729" s="7" t="str">
        <f>IFERROR(__xludf.DUMMYFUNCTION("""COMPUTED_VALUE"""),"HTML/CSS;Java;JavaScript;TypeScript")</f>
        <v>HTML/CSS;Java;JavaScript;TypeScript</v>
      </c>
      <c r="C4729" s="9" t="str">
        <f>IFERROR(__xludf.DUMMYFUNCTION("""COMPUTED_VALUE"""),"Swift")</f>
        <v>Swift</v>
      </c>
      <c r="D4729" s="9" t="str">
        <f>IFERROR(__xludf.DUMMYFUNCTION("""COMPUTED_VALUE"""),"Python")</f>
        <v>Python</v>
      </c>
      <c r="E4729" s="9" t="str">
        <f>IFERROR(__xludf.DUMMYFUNCTION("""COMPUTED_VALUE"""),"SQL")</f>
        <v>SQL</v>
      </c>
      <c r="F4729" s="9" t="str">
        <f>IFERROR(__xludf.DUMMYFUNCTION("""COMPUTED_VALUE"""),"SQL")</f>
        <v>SQL</v>
      </c>
      <c r="G4729" s="9" t="str">
        <f>IFERROR(__xludf.DUMMYFUNCTION("""COMPUTED_VALUE"""),"HTML/CSS")</f>
        <v>HTML/CSS</v>
      </c>
      <c r="H4729" s="9" t="str">
        <f>IFERROR(__xludf.DUMMYFUNCTION("""COMPUTED_VALUE"""),"Java")</f>
        <v>Java</v>
      </c>
      <c r="I4729" s="9" t="str">
        <f>IFERROR(__xludf.DUMMYFUNCTION("""COMPUTED_VALUE"""),"Objective-C")</f>
        <v>Objective-C</v>
      </c>
      <c r="J4729" s="9" t="str">
        <f>IFERROR(__xludf.DUMMYFUNCTION("""COMPUTED_VALUE"""),"HTML/CSS")</f>
        <v>HTML/CSS</v>
      </c>
      <c r="K4729" s="9" t="str">
        <f>IFERROR(__xludf.DUMMYFUNCTION("""COMPUTED_VALUE"""),"Python")</f>
        <v>Python</v>
      </c>
      <c r="L4729" s="9" t="str">
        <f>IFERROR(__xludf.DUMMYFUNCTION("""COMPUTED_VALUE"""),"Bash/Shell/PowerShell")</f>
        <v>Bash/Shell/PowerShell</v>
      </c>
      <c r="M4729" s="9" t="s">
        <v>40</v>
      </c>
    </row>
    <row r="4730" ht="15.75" customHeight="1">
      <c r="A4730" s="7"/>
      <c r="B4730" s="7" t="str">
        <f>IFERROR(__xludf.DUMMYFUNCTION("""COMPUTED_VALUE"""),"Bash/Shell/PowerShell;C#;HTML/CSS;JavaScript;Python;R;Ruby;Rust;SQL")</f>
        <v>Bash/Shell/PowerShell;C#;HTML/CSS;JavaScript;Python;R;Ruby;Rust;SQL</v>
      </c>
      <c r="C4730" s="9" t="str">
        <f>IFERROR(__xludf.DUMMYFUNCTION("""COMPUTED_VALUE"""),"Bash/Shell/PowerShell")</f>
        <v>Bash/Shell/PowerShell</v>
      </c>
      <c r="D4730" s="9" t="str">
        <f>IFERROR(__xludf.DUMMYFUNCTION("""COMPUTED_VALUE"""),"SQL")</f>
        <v>SQL</v>
      </c>
      <c r="E4730" s="9" t="str">
        <f>IFERROR(__xludf.DUMMYFUNCTION("""COMPUTED_VALUE"""),"TypeScript")</f>
        <v>TypeScript</v>
      </c>
      <c r="F4730" s="9" t="str">
        <f>IFERROR(__xludf.DUMMYFUNCTION("""COMPUTED_VALUE"""),"TypeScript")</f>
        <v>TypeScript</v>
      </c>
      <c r="G4730" s="9" t="str">
        <f>IFERROR(__xludf.DUMMYFUNCTION("""COMPUTED_VALUE"""),"JavaScript")</f>
        <v>JavaScript</v>
      </c>
      <c r="H4730" s="9" t="str">
        <f>IFERROR(__xludf.DUMMYFUNCTION("""COMPUTED_VALUE"""),"Kotlin")</f>
        <v>Kotlin</v>
      </c>
      <c r="I4730" s="9" t="str">
        <f>IFERROR(__xludf.DUMMYFUNCTION("""COMPUTED_VALUE"""),"Swift")</f>
        <v>Swift</v>
      </c>
      <c r="J4730" s="9" t="str">
        <f>IFERROR(__xludf.DUMMYFUNCTION("""COMPUTED_VALUE"""),"Java")</f>
        <v>Java</v>
      </c>
      <c r="K4730" s="9" t="str">
        <f>IFERROR(__xludf.DUMMYFUNCTION("""COMPUTED_VALUE"""),"Ruby")</f>
        <v>Ruby</v>
      </c>
      <c r="L4730" s="9" t="str">
        <f>IFERROR(__xludf.DUMMYFUNCTION("""COMPUTED_VALUE"""),"C#")</f>
        <v>C#</v>
      </c>
      <c r="M4730" s="9" t="s">
        <v>30</v>
      </c>
    </row>
    <row r="4731" ht="15.75" customHeight="1">
      <c r="A4731" s="7"/>
      <c r="B4731" s="7" t="str">
        <f>IFERROR(__xludf.DUMMYFUNCTION("""COMPUTED_VALUE"""),"C++;Java")</f>
        <v>C++;Java</v>
      </c>
      <c r="C4731" s="9" t="str">
        <f>IFERROR(__xludf.DUMMYFUNCTION("""COMPUTED_VALUE"""),"HTML/CSS")</f>
        <v>HTML/CSS</v>
      </c>
      <c r="D4731" s="9" t="str">
        <f>IFERROR(__xludf.DUMMYFUNCTION("""COMPUTED_VALUE"""),"Assembly")</f>
        <v>Assembly</v>
      </c>
      <c r="E4731" s="9" t="str">
        <f>IFERROR(__xludf.DUMMYFUNCTION("""COMPUTED_VALUE"""),"Bash/Shell/PowerShell")</f>
        <v>Bash/Shell/PowerShell</v>
      </c>
      <c r="F4731" s="9" t="str">
        <f>IFERROR(__xludf.DUMMYFUNCTION("""COMPUTED_VALUE"""),"HTML/CSS")</f>
        <v>HTML/CSS</v>
      </c>
      <c r="G4731" s="9" t="str">
        <f>IFERROR(__xludf.DUMMYFUNCTION("""COMPUTED_VALUE"""),"PHP")</f>
        <v>PHP</v>
      </c>
      <c r="H4731" s="9" t="str">
        <f>IFERROR(__xludf.DUMMYFUNCTION("""COMPUTED_VALUE"""),"PHP")</f>
        <v>PHP</v>
      </c>
      <c r="I4731" s="9" t="str">
        <f>IFERROR(__xludf.DUMMYFUNCTION("""COMPUTED_VALUE"""),"C++")</f>
        <v>C++</v>
      </c>
      <c r="J4731" s="9" t="str">
        <f>IFERROR(__xludf.DUMMYFUNCTION("""COMPUTED_VALUE"""),"JavaScript")</f>
        <v>JavaScript</v>
      </c>
      <c r="K4731" s="9" t="str">
        <f>IFERROR(__xludf.DUMMYFUNCTION("""COMPUTED_VALUE"""),"JavaScript")</f>
        <v>JavaScript</v>
      </c>
      <c r="L4731" s="9" t="str">
        <f>IFERROR(__xludf.DUMMYFUNCTION("""COMPUTED_VALUE"""),"HTML/CSS")</f>
        <v>HTML/CSS</v>
      </c>
      <c r="M4731" s="9" t="s">
        <v>24</v>
      </c>
    </row>
    <row r="4732" ht="15.75" customHeight="1">
      <c r="A4732" s="7"/>
      <c r="B4732" s="7" t="str">
        <f>IFERROR(__xludf.DUMMYFUNCTION("""COMPUTED_VALUE"""),"Bash/Shell/PowerShell;Python")</f>
        <v>Bash/Shell/PowerShell;Python</v>
      </c>
      <c r="C4732" s="9" t="str">
        <f>IFERROR(__xludf.DUMMYFUNCTION("""COMPUTED_VALUE"""),"JavaScript")</f>
        <v>JavaScript</v>
      </c>
      <c r="D4732" s="9" t="str">
        <f>IFERROR(__xludf.DUMMYFUNCTION("""COMPUTED_VALUE"""),"C++")</f>
        <v>C++</v>
      </c>
      <c r="E4732" s="9" t="str">
        <f>IFERROR(__xludf.DUMMYFUNCTION("""COMPUTED_VALUE"""),"HTML/CSS")</f>
        <v>HTML/CSS</v>
      </c>
      <c r="F4732" s="9" t="str">
        <f>IFERROR(__xludf.DUMMYFUNCTION("""COMPUTED_VALUE"""),"Java")</f>
        <v>Java</v>
      </c>
      <c r="G4732" s="9" t="str">
        <f>IFERROR(__xludf.DUMMYFUNCTION("""COMPUTED_VALUE"""),"SQL")</f>
        <v>SQL</v>
      </c>
      <c r="H4732" s="9" t="str">
        <f>IFERROR(__xludf.DUMMYFUNCTION("""COMPUTED_VALUE"""),"SQL")</f>
        <v>SQL</v>
      </c>
      <c r="I4732" s="9" t="str">
        <f>IFERROR(__xludf.DUMMYFUNCTION("""COMPUTED_VALUE"""),"HTML/CSS")</f>
        <v>HTML/CSS</v>
      </c>
      <c r="J4732" s="9" t="str">
        <f>IFERROR(__xludf.DUMMYFUNCTION("""COMPUTED_VALUE"""),"Python")</f>
        <v>Python</v>
      </c>
      <c r="K4732" s="9" t="str">
        <f>IFERROR(__xludf.DUMMYFUNCTION("""COMPUTED_VALUE"""),"PHP")</f>
        <v>PHP</v>
      </c>
      <c r="L4732" s="9" t="str">
        <f>IFERROR(__xludf.DUMMYFUNCTION("""COMPUTED_VALUE"""),"JavaScript")</f>
        <v>JavaScript</v>
      </c>
      <c r="M4732" s="9" t="s">
        <v>21</v>
      </c>
    </row>
    <row r="4733" ht="15.75" customHeight="1">
      <c r="A4733" s="7"/>
      <c r="B4733" s="7" t="str">
        <f>IFERROR(__xludf.DUMMYFUNCTION("""COMPUTED_VALUE"""),"Bash/Shell/PowerShell;HTML/CSS;Java;JavaScript;Kotlin;SQL")</f>
        <v>Bash/Shell/PowerShell;HTML/CSS;Java;JavaScript;Kotlin;SQL</v>
      </c>
      <c r="C4733" s="9" t="str">
        <f>IFERROR(__xludf.DUMMYFUNCTION("""COMPUTED_VALUE"""),"TypeScript")</f>
        <v>TypeScript</v>
      </c>
      <c r="D4733" s="9" t="str">
        <f>IFERROR(__xludf.DUMMYFUNCTION("""COMPUTED_VALUE"""),"HTML/CSS")</f>
        <v>HTML/CSS</v>
      </c>
      <c r="E4733" s="9" t="str">
        <f>IFERROR(__xludf.DUMMYFUNCTION("""COMPUTED_VALUE"""),"Java")</f>
        <v>Java</v>
      </c>
      <c r="F4733" s="9" t="str">
        <f>IFERROR(__xludf.DUMMYFUNCTION("""COMPUTED_VALUE"""),"JavaScript")</f>
        <v>JavaScript</v>
      </c>
      <c r="G4733" s="9" t="str">
        <f>IFERROR(__xludf.DUMMYFUNCTION("""COMPUTED_VALUE"""),"Java")</f>
        <v>Java</v>
      </c>
      <c r="H4733" s="9" t="str">
        <f>IFERROR(__xludf.DUMMYFUNCTION("""COMPUTED_VALUE"""),"Other(s):")</f>
        <v>Other(s):</v>
      </c>
      <c r="I4733" s="9" t="str">
        <f>IFERROR(__xludf.DUMMYFUNCTION("""COMPUTED_VALUE"""),"JavaScript")</f>
        <v>JavaScript</v>
      </c>
      <c r="J4733" s="9" t="str">
        <f>IFERROR(__xludf.DUMMYFUNCTION("""COMPUTED_VALUE"""),"Rust")</f>
        <v>Rust</v>
      </c>
      <c r="K4733" s="9" t="str">
        <f>IFERROR(__xludf.DUMMYFUNCTION("""COMPUTED_VALUE"""),"Python")</f>
        <v>Python</v>
      </c>
      <c r="L4733" s="9" t="str">
        <f>IFERROR(__xludf.DUMMYFUNCTION("""COMPUTED_VALUE"""),"SQL")</f>
        <v>SQL</v>
      </c>
      <c r="M4733" s="9" t="s">
        <v>33</v>
      </c>
    </row>
    <row r="4734" ht="15.75" customHeight="1">
      <c r="A4734" s="7"/>
      <c r="B4734" s="7" t="str">
        <f>IFERROR(__xludf.DUMMYFUNCTION("""COMPUTED_VALUE"""),"HTML/CSS;JavaScript;Python;SQL")</f>
        <v>HTML/CSS;JavaScript;Python;SQL</v>
      </c>
      <c r="C4734" s="9" t="str">
        <f>IFERROR(__xludf.DUMMYFUNCTION("""COMPUTED_VALUE"""),"WebAssembly")</f>
        <v>WebAssembly</v>
      </c>
      <c r="D4734" s="9" t="str">
        <f>IFERROR(__xludf.DUMMYFUNCTION("""COMPUTED_VALUE"""),"Java")</f>
        <v>Java</v>
      </c>
      <c r="E4734" s="9" t="str">
        <f>IFERROR(__xludf.DUMMYFUNCTION("""COMPUTED_VALUE"""),"JavaScript")</f>
        <v>JavaScript</v>
      </c>
      <c r="F4734" s="9" t="str">
        <f>IFERROR(__xludf.DUMMYFUNCTION("""COMPUTED_VALUE"""),"C#")</f>
        <v>C#</v>
      </c>
      <c r="G4734" s="9" t="str">
        <f>IFERROR(__xludf.DUMMYFUNCTION("""COMPUTED_VALUE"""),"R")</f>
        <v>R</v>
      </c>
      <c r="H4734" s="9" t="str">
        <f>IFERROR(__xludf.DUMMYFUNCTION("""COMPUTED_VALUE"""),"C++")</f>
        <v>C++</v>
      </c>
      <c r="I4734" s="9" t="str">
        <f>IFERROR(__xludf.DUMMYFUNCTION("""COMPUTED_VALUE"""),"Python")</f>
        <v>Python</v>
      </c>
      <c r="J4734" s="9" t="str">
        <f>IFERROR(__xludf.DUMMYFUNCTION("""COMPUTED_VALUE"""),"SQL")</f>
        <v>SQL</v>
      </c>
      <c r="K4734" s="9" t="str">
        <f>IFERROR(__xludf.DUMMYFUNCTION("""COMPUTED_VALUE"""),"Bash/Shell/PowerShell")</f>
        <v>Bash/Shell/PowerShell</v>
      </c>
      <c r="L4734" s="9" t="str">
        <f>IFERROR(__xludf.DUMMYFUNCTION("""COMPUTED_VALUE"""),"Other(s):")</f>
        <v>Other(s):</v>
      </c>
      <c r="M4734" s="9" t="s">
        <v>34</v>
      </c>
    </row>
    <row r="4735" ht="15.75" customHeight="1">
      <c r="A4735" s="7"/>
      <c r="B4735" s="7" t="str">
        <f>IFERROR(__xludf.DUMMYFUNCTION("""COMPUTED_VALUE"""),"Bash/Shell/PowerShell;Go;HTML/CSS;JavaScript;Python;R")</f>
        <v>Bash/Shell/PowerShell;Go;HTML/CSS;JavaScript;Python;R</v>
      </c>
      <c r="C4735" s="9" t="str">
        <f>IFERROR(__xludf.DUMMYFUNCTION("""COMPUTED_VALUE"""),"Bash/Shell/PowerShell")</f>
        <v>Bash/Shell/PowerShell</v>
      </c>
      <c r="D4735" s="9" t="str">
        <f>IFERROR(__xludf.DUMMYFUNCTION("""COMPUTED_VALUE"""),"JavaScript")</f>
        <v>JavaScript</v>
      </c>
      <c r="E4735" s="9" t="str">
        <f>IFERROR(__xludf.DUMMYFUNCTION("""COMPUTED_VALUE"""),"PHP")</f>
        <v>PHP</v>
      </c>
      <c r="F4735" s="9" t="str">
        <f>IFERROR(__xludf.DUMMYFUNCTION("""COMPUTED_VALUE"""),"HTML/CSS")</f>
        <v>HTML/CSS</v>
      </c>
      <c r="G4735" s="9" t="str">
        <f>IFERROR(__xludf.DUMMYFUNCTION("""COMPUTED_VALUE"""),"VBA")</f>
        <v>VBA</v>
      </c>
      <c r="H4735" s="9" t="str">
        <f>IFERROR(__xludf.DUMMYFUNCTION("""COMPUTED_VALUE"""),"HTML/CSS")</f>
        <v>HTML/CSS</v>
      </c>
      <c r="I4735" s="9" t="str">
        <f>IFERROR(__xludf.DUMMYFUNCTION("""COMPUTED_VALUE"""),"Bash/Shell/PowerShell")</f>
        <v>Bash/Shell/PowerShell</v>
      </c>
      <c r="J4735" s="9" t="str">
        <f>IFERROR(__xludf.DUMMYFUNCTION("""COMPUTED_VALUE"""),"Java")</f>
        <v>Java</v>
      </c>
      <c r="K4735" s="9" t="str">
        <f>IFERROR(__xludf.DUMMYFUNCTION("""COMPUTED_VALUE"""),"Java")</f>
        <v>Java</v>
      </c>
      <c r="L4735" s="9" t="str">
        <f>IFERROR(__xludf.DUMMYFUNCTION("""COMPUTED_VALUE"""),"C#")</f>
        <v>C#</v>
      </c>
      <c r="M4735" s="9" t="s">
        <v>30</v>
      </c>
    </row>
    <row r="4736" ht="15.75" customHeight="1">
      <c r="A4736" s="7"/>
      <c r="B4736" s="7" t="str">
        <f>IFERROR(__xludf.DUMMYFUNCTION("""COMPUTED_VALUE"""),"C#;JavaScript")</f>
        <v>C#;JavaScript</v>
      </c>
      <c r="C4736" s="9" t="str">
        <f>IFERROR(__xludf.DUMMYFUNCTION("""COMPUTED_VALUE"""),"C")</f>
        <v>C</v>
      </c>
      <c r="D4736" s="9" t="str">
        <f>IFERROR(__xludf.DUMMYFUNCTION("""COMPUTED_VALUE"""),"PHP")</f>
        <v>PHP</v>
      </c>
      <c r="E4736" s="9" t="str">
        <f>IFERROR(__xludf.DUMMYFUNCTION("""COMPUTED_VALUE"""),"SQL")</f>
        <v>SQL</v>
      </c>
      <c r="F4736" s="9" t="str">
        <f>IFERROR(__xludf.DUMMYFUNCTION("""COMPUTED_VALUE"""),"JavaScript")</f>
        <v>JavaScript</v>
      </c>
      <c r="G4736" s="9" t="str">
        <f>IFERROR(__xludf.DUMMYFUNCTION("""COMPUTED_VALUE"""),"Other(s):")</f>
        <v>Other(s):</v>
      </c>
      <c r="H4736" s="9" t="str">
        <f>IFERROR(__xludf.DUMMYFUNCTION("""COMPUTED_VALUE"""),"JavaScript")</f>
        <v>JavaScript</v>
      </c>
      <c r="I4736" s="9" t="str">
        <f>IFERROR(__xludf.DUMMYFUNCTION("""COMPUTED_VALUE"""),"HTML/CSS")</f>
        <v>HTML/CSS</v>
      </c>
      <c r="J4736" s="9" t="str">
        <f>IFERROR(__xludf.DUMMYFUNCTION("""COMPUTED_VALUE"""),"Scala")</f>
        <v>Scala</v>
      </c>
      <c r="K4736" s="9" t="str">
        <f>IFERROR(__xludf.DUMMYFUNCTION("""COMPUTED_VALUE"""),"JavaScript")</f>
        <v>JavaScript</v>
      </c>
      <c r="L4736" s="9" t="str">
        <f>IFERROR(__xludf.DUMMYFUNCTION("""COMPUTED_VALUE"""),"HTML/CSS")</f>
        <v>HTML/CSS</v>
      </c>
      <c r="M4736" s="9" t="s">
        <v>25</v>
      </c>
    </row>
    <row r="4737" ht="15.75" customHeight="1">
      <c r="A4737" s="7"/>
      <c r="B4737" s="7" t="str">
        <f>IFERROR(__xludf.DUMMYFUNCTION("""COMPUTED_VALUE"""),"C#;HTML/CSS;Java;JavaScript;SQL")</f>
        <v>C#;HTML/CSS;Java;JavaScript;SQL</v>
      </c>
      <c r="C4737" s="9" t="str">
        <f>IFERROR(__xludf.DUMMYFUNCTION("""COMPUTED_VALUE"""),"Go")</f>
        <v>Go</v>
      </c>
      <c r="D4737" s="9" t="str">
        <f>IFERROR(__xludf.DUMMYFUNCTION("""COMPUTED_VALUE"""),"SQL")</f>
        <v>SQL</v>
      </c>
      <c r="E4737" s="9" t="str">
        <f>IFERROR(__xludf.DUMMYFUNCTION("""COMPUTED_VALUE"""),"HTML/CSS")</f>
        <v>HTML/CSS</v>
      </c>
      <c r="F4737" s="9" t="str">
        <f>IFERROR(__xludf.DUMMYFUNCTION("""COMPUTED_VALUE"""),"SQL")</f>
        <v>SQL</v>
      </c>
      <c r="G4737" s="9" t="str">
        <f>IFERROR(__xludf.DUMMYFUNCTION("""COMPUTED_VALUE"""),"Bash/Shell/PowerShell")</f>
        <v>Bash/Shell/PowerShell</v>
      </c>
      <c r="H4737" s="9" t="str">
        <f>IFERROR(__xludf.DUMMYFUNCTION("""COMPUTED_VALUE"""),"SQL")</f>
        <v>SQL</v>
      </c>
      <c r="I4737" s="9" t="str">
        <f>IFERROR(__xludf.DUMMYFUNCTION("""COMPUTED_VALUE"""),"JavaScript")</f>
        <v>JavaScript</v>
      </c>
      <c r="J4737" s="9" t="str">
        <f>IFERROR(__xludf.DUMMYFUNCTION("""COMPUTED_VALUE"""),"Java")</f>
        <v>Java</v>
      </c>
      <c r="K4737" s="9" t="str">
        <f>IFERROR(__xludf.DUMMYFUNCTION("""COMPUTED_VALUE"""),"Kotlin")</f>
        <v>Kotlin</v>
      </c>
      <c r="L4737" s="9" t="str">
        <f>IFERROR(__xludf.DUMMYFUNCTION("""COMPUTED_VALUE"""),"JavaScript")</f>
        <v>JavaScript</v>
      </c>
      <c r="M4737" s="9" t="s">
        <v>36</v>
      </c>
    </row>
    <row r="4738" ht="15.75" customHeight="1">
      <c r="A4738" s="7"/>
      <c r="B4738" s="7" t="str">
        <f>IFERROR(__xludf.DUMMYFUNCTION("""COMPUTED_VALUE"""),"Go;HTML/CSS;Java;JavaScript;Python;TypeScript")</f>
        <v>Go;HTML/CSS;Java;JavaScript;Python;TypeScript</v>
      </c>
      <c r="C4738" s="9" t="str">
        <f>IFERROR(__xludf.DUMMYFUNCTION("""COMPUTED_VALUE"""),"Python")</f>
        <v>Python</v>
      </c>
      <c r="D4738" s="9" t="str">
        <f>IFERROR(__xludf.DUMMYFUNCTION("""COMPUTED_VALUE"""),"C++")</f>
        <v>C++</v>
      </c>
      <c r="E4738" s="9" t="str">
        <f>IFERROR(__xludf.DUMMYFUNCTION("""COMPUTED_VALUE"""),"Java")</f>
        <v>Java</v>
      </c>
      <c r="F4738" s="9" t="str">
        <f>IFERROR(__xludf.DUMMYFUNCTION("""COMPUTED_VALUE"""),"TypeScript")</f>
        <v>TypeScript</v>
      </c>
      <c r="G4738" s="9" t="str">
        <f>IFERROR(__xludf.DUMMYFUNCTION("""COMPUTED_VALUE"""),"C#")</f>
        <v>C#</v>
      </c>
      <c r="H4738" s="9" t="str">
        <f>IFERROR(__xludf.DUMMYFUNCTION("""COMPUTED_VALUE"""),"Assembly")</f>
        <v>Assembly</v>
      </c>
      <c r="I4738" s="9" t="str">
        <f>IFERROR(__xludf.DUMMYFUNCTION("""COMPUTED_VALUE"""),"PHP")</f>
        <v>PHP</v>
      </c>
      <c r="J4738" s="9" t="str">
        <f>IFERROR(__xludf.DUMMYFUNCTION("""COMPUTED_VALUE"""),"Kotlin")</f>
        <v>Kotlin</v>
      </c>
      <c r="K4738" s="9" t="str">
        <f>IFERROR(__xludf.DUMMYFUNCTION("""COMPUTED_VALUE"""),"PHP")</f>
        <v>PHP</v>
      </c>
      <c r="L4738" s="9" t="str">
        <f>IFERROR(__xludf.DUMMYFUNCTION("""COMPUTED_VALUE"""),"SQL")</f>
        <v>SQL</v>
      </c>
      <c r="M4738" s="9" t="s">
        <v>22</v>
      </c>
    </row>
    <row r="4739" ht="15.75" customHeight="1">
      <c r="A4739" s="7"/>
      <c r="B4739" s="7" t="str">
        <f>IFERROR(__xludf.DUMMYFUNCTION("""COMPUTED_VALUE"""),"Bash/Shell/PowerShell;C++;C#;HTML/CSS;Java;JavaScript;PHP;Python;SQL")</f>
        <v>Bash/Shell/PowerShell;C++;C#;HTML/CSS;Java;JavaScript;PHP;Python;SQL</v>
      </c>
      <c r="C4739" s="9" t="str">
        <f>IFERROR(__xludf.DUMMYFUNCTION("""COMPUTED_VALUE"""),"SQL")</f>
        <v>SQL</v>
      </c>
      <c r="D4739" s="9" t="str">
        <f>IFERROR(__xludf.DUMMYFUNCTION("""COMPUTED_VALUE"""),"HTML/CSS")</f>
        <v>HTML/CSS</v>
      </c>
      <c r="E4739" s="9" t="str">
        <f>IFERROR(__xludf.DUMMYFUNCTION("""COMPUTED_VALUE"""),"JavaScript")</f>
        <v>JavaScript</v>
      </c>
      <c r="F4739" s="9" t="str">
        <f>IFERROR(__xludf.DUMMYFUNCTION("""COMPUTED_VALUE"""),"Bash/Shell/PowerShell")</f>
        <v>Bash/Shell/PowerShell</v>
      </c>
      <c r="G4739" s="9" t="str">
        <f>IFERROR(__xludf.DUMMYFUNCTION("""COMPUTED_VALUE"""),"HTML/CSS")</f>
        <v>HTML/CSS</v>
      </c>
      <c r="H4739" s="9" t="str">
        <f>IFERROR(__xludf.DUMMYFUNCTION("""COMPUTED_VALUE"""),"Bash/Shell/PowerShell")</f>
        <v>Bash/Shell/PowerShell</v>
      </c>
      <c r="I4739" s="9" t="str">
        <f>IFERROR(__xludf.DUMMYFUNCTION("""COMPUTED_VALUE"""),"SQL")</f>
        <v>SQL</v>
      </c>
      <c r="J4739" s="9" t="str">
        <f>IFERROR(__xludf.DUMMYFUNCTION("""COMPUTED_VALUE"""),"SQL")</f>
        <v>SQL</v>
      </c>
      <c r="K4739" s="9" t="str">
        <f>IFERROR(__xludf.DUMMYFUNCTION("""COMPUTED_VALUE"""),"Ruby")</f>
        <v>Ruby</v>
      </c>
      <c r="L4739" s="9" t="str">
        <f>IFERROR(__xludf.DUMMYFUNCTION("""COMPUTED_VALUE"""),"Bash/Shell/PowerShell")</f>
        <v>Bash/Shell/PowerShell</v>
      </c>
      <c r="M4739" s="9" t="s">
        <v>27</v>
      </c>
    </row>
    <row r="4740" ht="15.75" customHeight="1">
      <c r="A4740" s="7"/>
      <c r="B4740" s="7" t="str">
        <f>IFERROR(__xludf.DUMMYFUNCTION("""COMPUTED_VALUE"""),"C#;HTML/CSS;Java;Python;Scala;SQL")</f>
        <v>C#;HTML/CSS;Java;Python;Scala;SQL</v>
      </c>
      <c r="C4740" s="9" t="str">
        <f>IFERROR(__xludf.DUMMYFUNCTION("""COMPUTED_VALUE"""),"Java")</f>
        <v>Java</v>
      </c>
      <c r="D4740" s="9" t="str">
        <f>IFERROR(__xludf.DUMMYFUNCTION("""COMPUTED_VALUE"""),"Java")</f>
        <v>Java</v>
      </c>
      <c r="E4740" s="9" t="str">
        <f>IFERROR(__xludf.DUMMYFUNCTION("""COMPUTED_VALUE"""),"HTML/CSS")</f>
        <v>HTML/CSS</v>
      </c>
      <c r="F4740" s="9" t="str">
        <f>IFERROR(__xludf.DUMMYFUNCTION("""COMPUTED_VALUE"""),"C")</f>
        <v>C</v>
      </c>
      <c r="G4740" s="9" t="str">
        <f>IFERROR(__xludf.DUMMYFUNCTION("""COMPUTED_VALUE"""),"JavaScript")</f>
        <v>JavaScript</v>
      </c>
      <c r="H4740" s="9" t="str">
        <f>IFERROR(__xludf.DUMMYFUNCTION("""COMPUTED_VALUE"""),"C")</f>
        <v>C</v>
      </c>
      <c r="I4740" s="9" t="str">
        <f>IFERROR(__xludf.DUMMYFUNCTION("""COMPUTED_VALUE"""),"TypeScript")</f>
        <v>TypeScript</v>
      </c>
      <c r="J4740" s="9" t="str">
        <f>IFERROR(__xludf.DUMMYFUNCTION("""COMPUTED_VALUE"""),"C++")</f>
        <v>C++</v>
      </c>
      <c r="K4740" s="9" t="str">
        <f>IFERROR(__xludf.DUMMYFUNCTION("""COMPUTED_VALUE"""),"Bash/Shell/PowerShell")</f>
        <v>Bash/Shell/PowerShell</v>
      </c>
      <c r="L4740" s="9" t="str">
        <f>IFERROR(__xludf.DUMMYFUNCTION("""COMPUTED_VALUE"""),"Go")</f>
        <v>Go</v>
      </c>
      <c r="M4740" s="9" t="s">
        <v>20</v>
      </c>
    </row>
    <row r="4741" ht="15.75" customHeight="1">
      <c r="A4741" s="7"/>
      <c r="B4741" s="7" t="str">
        <f>IFERROR(__xludf.DUMMYFUNCTION("""COMPUTED_VALUE"""),"Bash/Shell/PowerShell;HTML/CSS;JavaScript;PHP;Python;SQL;TypeScript")</f>
        <v>Bash/Shell/PowerShell;HTML/CSS;JavaScript;PHP;Python;SQL;TypeScript</v>
      </c>
      <c r="C4741" s="9" t="str">
        <f>IFERROR(__xludf.DUMMYFUNCTION("""COMPUTED_VALUE"""),"C#")</f>
        <v>C#</v>
      </c>
      <c r="D4741" s="9" t="str">
        <f>IFERROR(__xludf.DUMMYFUNCTION("""COMPUTED_VALUE"""),"JavaScript")</f>
        <v>JavaScript</v>
      </c>
      <c r="E4741" s="9" t="str">
        <f>IFERROR(__xludf.DUMMYFUNCTION("""COMPUTED_VALUE"""),"Java")</f>
        <v>Java</v>
      </c>
      <c r="F4741" s="9" t="str">
        <f>IFERROR(__xludf.DUMMYFUNCTION("""COMPUTED_VALUE"""),"C++")</f>
        <v>C++</v>
      </c>
      <c r="G4741" s="9" t="str">
        <f>IFERROR(__xludf.DUMMYFUNCTION("""COMPUTED_VALUE"""),"Python")</f>
        <v>Python</v>
      </c>
      <c r="H4741" s="9" t="str">
        <f>IFERROR(__xludf.DUMMYFUNCTION("""COMPUTED_VALUE"""),"C++")</f>
        <v>C++</v>
      </c>
      <c r="I4741" s="9" t="str">
        <f>IFERROR(__xludf.DUMMYFUNCTION("""COMPUTED_VALUE"""),"Bash/Shell/PowerShell")</f>
        <v>Bash/Shell/PowerShell</v>
      </c>
      <c r="J4741" s="9" t="str">
        <f>IFERROR(__xludf.DUMMYFUNCTION("""COMPUTED_VALUE"""),"Bash/Shell/PowerShell")</f>
        <v>Bash/Shell/PowerShell</v>
      </c>
      <c r="K4741" s="9" t="str">
        <f>IFERROR(__xludf.DUMMYFUNCTION("""COMPUTED_VALUE"""),"C")</f>
        <v>C</v>
      </c>
      <c r="L4741" s="9" t="str">
        <f>IFERROR(__xludf.DUMMYFUNCTION("""COMPUTED_VALUE"""),"HTML/CSS")</f>
        <v>HTML/CSS</v>
      </c>
      <c r="M4741" s="9" t="s">
        <v>26</v>
      </c>
    </row>
    <row r="4742" ht="15.75" customHeight="1">
      <c r="A4742" s="7"/>
      <c r="B4742" s="7" t="str">
        <f>IFERROR(__xludf.DUMMYFUNCTION("""COMPUTED_VALUE"""),"HTML/CSS;Java;JavaScript;PHP;Python;Ruby;SQL;TypeScript")</f>
        <v>HTML/CSS;Java;JavaScript;PHP;Python;Ruby;SQL;TypeScript</v>
      </c>
      <c r="C4742" s="9" t="str">
        <f>IFERROR(__xludf.DUMMYFUNCTION("""COMPUTED_VALUE"""),"HTML/CSS")</f>
        <v>HTML/CSS</v>
      </c>
      <c r="D4742" s="9" t="str">
        <f>IFERROR(__xludf.DUMMYFUNCTION("""COMPUTED_VALUE"""),"TypeScript")</f>
        <v>TypeScript</v>
      </c>
      <c r="E4742" s="9" t="str">
        <f>IFERROR(__xludf.DUMMYFUNCTION("""COMPUTED_VALUE"""),"JavaScript")</f>
        <v>JavaScript</v>
      </c>
      <c r="F4742" s="9" t="str">
        <f>IFERROR(__xludf.DUMMYFUNCTION("""COMPUTED_VALUE"""),"JavaScript")</f>
        <v>JavaScript</v>
      </c>
      <c r="G4742" s="9" t="str">
        <f>IFERROR(__xludf.DUMMYFUNCTION("""COMPUTED_VALUE"""),"SQL")</f>
        <v>SQL</v>
      </c>
      <c r="H4742" s="9" t="str">
        <f>IFERROR(__xludf.DUMMYFUNCTION("""COMPUTED_VALUE"""),"Go")</f>
        <v>Go</v>
      </c>
      <c r="I4742" s="9" t="str">
        <f>IFERROR(__xludf.DUMMYFUNCTION("""COMPUTED_VALUE"""),"C#")</f>
        <v>C#</v>
      </c>
      <c r="J4742" s="9" t="str">
        <f>IFERROR(__xludf.DUMMYFUNCTION("""COMPUTED_VALUE"""),"C++")</f>
        <v>C++</v>
      </c>
      <c r="K4742" s="9" t="str">
        <f>IFERROR(__xludf.DUMMYFUNCTION("""COMPUTED_VALUE"""),"HTML/CSS")</f>
        <v>HTML/CSS</v>
      </c>
      <c r="L4742" s="9" t="str">
        <f>IFERROR(__xludf.DUMMYFUNCTION("""COMPUTED_VALUE"""),"Objective-C")</f>
        <v>Objective-C</v>
      </c>
      <c r="M4742" s="9" t="s">
        <v>24</v>
      </c>
    </row>
    <row r="4743" ht="15.75" customHeight="1">
      <c r="A4743" s="7"/>
      <c r="B4743" s="7" t="str">
        <f>IFERROR(__xludf.DUMMYFUNCTION("""COMPUTED_VALUE"""),"JavaScript;Other(s):")</f>
        <v>JavaScript;Other(s):</v>
      </c>
      <c r="C4743" s="9" t="str">
        <f>IFERROR(__xludf.DUMMYFUNCTION("""COMPUTED_VALUE"""),"Java")</f>
        <v>Java</v>
      </c>
      <c r="D4743" s="9" t="str">
        <f>IFERROR(__xludf.DUMMYFUNCTION("""COMPUTED_VALUE"""),"C#")</f>
        <v>C#</v>
      </c>
      <c r="E4743" s="9" t="str">
        <f>IFERROR(__xludf.DUMMYFUNCTION("""COMPUTED_VALUE"""),"PHP")</f>
        <v>PHP</v>
      </c>
      <c r="F4743" s="9" t="str">
        <f>IFERROR(__xludf.DUMMYFUNCTION("""COMPUTED_VALUE"""),"Objective-C")</f>
        <v>Objective-C</v>
      </c>
      <c r="G4743" s="9" t="str">
        <f>IFERROR(__xludf.DUMMYFUNCTION("""COMPUTED_VALUE"""),"TypeScript")</f>
        <v>TypeScript</v>
      </c>
      <c r="H4743" s="9" t="str">
        <f>IFERROR(__xludf.DUMMYFUNCTION("""COMPUTED_VALUE"""),"HTML/CSS")</f>
        <v>HTML/CSS</v>
      </c>
      <c r="I4743" s="9" t="str">
        <f>IFERROR(__xludf.DUMMYFUNCTION("""COMPUTED_VALUE"""),"HTML/CSS")</f>
        <v>HTML/CSS</v>
      </c>
      <c r="J4743" s="9" t="str">
        <f>IFERROR(__xludf.DUMMYFUNCTION("""COMPUTED_VALUE"""),"Go")</f>
        <v>Go</v>
      </c>
      <c r="K4743" s="9" t="str">
        <f>IFERROR(__xludf.DUMMYFUNCTION("""COMPUTED_VALUE"""),"JavaScript")</f>
        <v>JavaScript</v>
      </c>
      <c r="L4743" s="9" t="str">
        <f>IFERROR(__xludf.DUMMYFUNCTION("""COMPUTED_VALUE"""),"Python")</f>
        <v>Python</v>
      </c>
      <c r="M4743" s="9" t="s">
        <v>20</v>
      </c>
    </row>
    <row r="4744" ht="15.75" customHeight="1">
      <c r="A4744" s="7"/>
      <c r="B4744" s="7" t="str">
        <f>IFERROR(__xludf.DUMMYFUNCTION("""COMPUTED_VALUE"""),"C#;Java;Kotlin;Objective-C;SQL;Swift")</f>
        <v>C#;Java;Kotlin;Objective-C;SQL;Swift</v>
      </c>
      <c r="C4744" s="9" t="str">
        <f>IFERROR(__xludf.DUMMYFUNCTION("""COMPUTED_VALUE"""),"JavaScript")</f>
        <v>JavaScript</v>
      </c>
      <c r="D4744" s="9" t="str">
        <f>IFERROR(__xludf.DUMMYFUNCTION("""COMPUTED_VALUE"""),"HTML/CSS")</f>
        <v>HTML/CSS</v>
      </c>
      <c r="E4744" s="9" t="str">
        <f>IFERROR(__xludf.DUMMYFUNCTION("""COMPUTED_VALUE"""),"Python")</f>
        <v>Python</v>
      </c>
      <c r="F4744" s="9" t="str">
        <f>IFERROR(__xludf.DUMMYFUNCTION("""COMPUTED_VALUE"""),"R")</f>
        <v>R</v>
      </c>
      <c r="G4744" s="9" t="str">
        <f>IFERROR(__xludf.DUMMYFUNCTION("""COMPUTED_VALUE"""),"Bash/Shell/PowerShell")</f>
        <v>Bash/Shell/PowerShell</v>
      </c>
      <c r="H4744" s="9" t="str">
        <f>IFERROR(__xludf.DUMMYFUNCTION("""COMPUTED_VALUE"""),"Java")</f>
        <v>Java</v>
      </c>
      <c r="I4744" s="9" t="str">
        <f>IFERROR(__xludf.DUMMYFUNCTION("""COMPUTED_VALUE"""),"JavaScript")</f>
        <v>JavaScript</v>
      </c>
      <c r="J4744" s="9" t="str">
        <f>IFERROR(__xludf.DUMMYFUNCTION("""COMPUTED_VALUE"""),"HTML/CSS")</f>
        <v>HTML/CSS</v>
      </c>
      <c r="K4744" s="9" t="str">
        <f>IFERROR(__xludf.DUMMYFUNCTION("""COMPUTED_VALUE"""),"PHP")</f>
        <v>PHP</v>
      </c>
      <c r="L4744" s="9" t="str">
        <f>IFERROR(__xludf.DUMMYFUNCTION("""COMPUTED_VALUE"""),"Ruby")</f>
        <v>Ruby</v>
      </c>
      <c r="M4744" s="9" t="s">
        <v>21</v>
      </c>
    </row>
    <row r="4745" ht="15.75" customHeight="1">
      <c r="A4745" s="7"/>
      <c r="B4745" s="7" t="str">
        <f>IFERROR(__xludf.DUMMYFUNCTION("""COMPUTED_VALUE"""),"Bash/Shell/PowerShell;HTML/CSS;Java;JavaScript;PHP;SQL;Swift;Other(s):")</f>
        <v>Bash/Shell/PowerShell;HTML/CSS;Java;JavaScript;PHP;SQL;Swift;Other(s):</v>
      </c>
      <c r="C4745" s="9" t="str">
        <f>IFERROR(__xludf.DUMMYFUNCTION("""COMPUTED_VALUE"""),"Python")</f>
        <v>Python</v>
      </c>
      <c r="D4745" s="9" t="str">
        <f>IFERROR(__xludf.DUMMYFUNCTION("""COMPUTED_VALUE"""),"Java")</f>
        <v>Java</v>
      </c>
      <c r="E4745" s="9" t="str">
        <f>IFERROR(__xludf.DUMMYFUNCTION("""COMPUTED_VALUE"""),"Bash/Shell/PowerShell")</f>
        <v>Bash/Shell/PowerShell</v>
      </c>
      <c r="F4745" s="9" t="str">
        <f>IFERROR(__xludf.DUMMYFUNCTION("""COMPUTED_VALUE"""),"Ruby")</f>
        <v>Ruby</v>
      </c>
      <c r="G4745" s="9" t="str">
        <f>IFERROR(__xludf.DUMMYFUNCTION("""COMPUTED_VALUE"""),"HTML/CSS")</f>
        <v>HTML/CSS</v>
      </c>
      <c r="H4745" s="9" t="str">
        <f>IFERROR(__xludf.DUMMYFUNCTION("""COMPUTED_VALUE"""),"JavaScript")</f>
        <v>JavaScript</v>
      </c>
      <c r="I4745" s="9" t="str">
        <f>IFERROR(__xludf.DUMMYFUNCTION("""COMPUTED_VALUE"""),"SQL")</f>
        <v>SQL</v>
      </c>
      <c r="J4745" s="9" t="str">
        <f>IFERROR(__xludf.DUMMYFUNCTION("""COMPUTED_VALUE"""),"JavaScript")</f>
        <v>JavaScript</v>
      </c>
      <c r="K4745" s="9" t="str">
        <f>IFERROR(__xludf.DUMMYFUNCTION("""COMPUTED_VALUE"""),"SQL")</f>
        <v>SQL</v>
      </c>
      <c r="L4745" s="9" t="str">
        <f>IFERROR(__xludf.DUMMYFUNCTION("""COMPUTED_VALUE"""),"Rust")</f>
        <v>Rust</v>
      </c>
      <c r="M4745" s="9" t="s">
        <v>22</v>
      </c>
    </row>
    <row r="4746" ht="15.75" customHeight="1">
      <c r="A4746" s="7"/>
      <c r="B4746" s="7" t="str">
        <f>IFERROR(__xludf.DUMMYFUNCTION("""COMPUTED_VALUE"""),"Python;Other(s):")</f>
        <v>Python;Other(s):</v>
      </c>
      <c r="C4746" s="9" t="str">
        <f>IFERROR(__xludf.DUMMYFUNCTION("""COMPUTED_VALUE"""),"SQL")</f>
        <v>SQL</v>
      </c>
      <c r="D4746" s="9" t="str">
        <f>IFERROR(__xludf.DUMMYFUNCTION("""COMPUTED_VALUE"""),"JavaScript")</f>
        <v>JavaScript</v>
      </c>
      <c r="E4746" s="9" t="str">
        <f>IFERROR(__xludf.DUMMYFUNCTION("""COMPUTED_VALUE"""),"C#")</f>
        <v>C#</v>
      </c>
      <c r="F4746" s="9" t="str">
        <f>IFERROR(__xludf.DUMMYFUNCTION("""COMPUTED_VALUE"""),"Swift")</f>
        <v>Swift</v>
      </c>
      <c r="G4746" s="9" t="str">
        <f>IFERROR(__xludf.DUMMYFUNCTION("""COMPUTED_VALUE"""),"Python")</f>
        <v>Python</v>
      </c>
      <c r="H4746" s="9" t="str">
        <f>IFERROR(__xludf.DUMMYFUNCTION("""COMPUTED_VALUE"""),"Python")</f>
        <v>Python</v>
      </c>
      <c r="I4746" s="9" t="str">
        <f>IFERROR(__xludf.DUMMYFUNCTION("""COMPUTED_VALUE"""),"WebAssembly")</f>
        <v>WebAssembly</v>
      </c>
      <c r="J4746" s="9" t="str">
        <f>IFERROR(__xludf.DUMMYFUNCTION("""COMPUTED_VALUE"""),"Python")</f>
        <v>Python</v>
      </c>
      <c r="K4746" s="9" t="str">
        <f>IFERROR(__xludf.DUMMYFUNCTION("""COMPUTED_VALUE"""),"C")</f>
        <v>C</v>
      </c>
      <c r="L4746" s="9" t="str">
        <f>IFERROR(__xludf.DUMMYFUNCTION("""COMPUTED_VALUE"""),"SQL")</f>
        <v>SQL</v>
      </c>
      <c r="M4746" s="9" t="s">
        <v>27</v>
      </c>
    </row>
    <row r="4747" ht="15.75" customHeight="1">
      <c r="A4747" s="7"/>
      <c r="B4747" s="7" t="str">
        <f>IFERROR(__xludf.DUMMYFUNCTION("""COMPUTED_VALUE"""),"Assembly;C;HTML/CSS;Java;JavaScript;Python;VBA")</f>
        <v>Assembly;C;HTML/CSS;Java;JavaScript;Python;VBA</v>
      </c>
      <c r="C4747" s="9" t="str">
        <f>IFERROR(__xludf.DUMMYFUNCTION("""COMPUTED_VALUE"""),"Bash/Shell/PowerShell")</f>
        <v>Bash/Shell/PowerShell</v>
      </c>
      <c r="D4747" s="9" t="str">
        <f>IFERROR(__xludf.DUMMYFUNCTION("""COMPUTED_VALUE"""),"TypeScript")</f>
        <v>TypeScript</v>
      </c>
      <c r="E4747" s="9" t="str">
        <f>IFERROR(__xludf.DUMMYFUNCTION("""COMPUTED_VALUE"""),"HTML/CSS")</f>
        <v>HTML/CSS</v>
      </c>
      <c r="F4747" s="9" t="str">
        <f>IFERROR(__xludf.DUMMYFUNCTION("""COMPUTED_VALUE"""),"Bash/Shell/PowerShell")</f>
        <v>Bash/Shell/PowerShell</v>
      </c>
      <c r="G4747" s="9" t="str">
        <f>IFERROR(__xludf.DUMMYFUNCTION("""COMPUTED_VALUE"""),"Ruby")</f>
        <v>Ruby</v>
      </c>
      <c r="H4747" s="9" t="str">
        <f>IFERROR(__xludf.DUMMYFUNCTION("""COMPUTED_VALUE"""),"SQL")</f>
        <v>SQL</v>
      </c>
      <c r="I4747" s="9" t="str">
        <f>IFERROR(__xludf.DUMMYFUNCTION("""COMPUTED_VALUE"""),"HTML/CSS")</f>
        <v>HTML/CSS</v>
      </c>
      <c r="J4747" s="9" t="str">
        <f>IFERROR(__xludf.DUMMYFUNCTION("""COMPUTED_VALUE"""),"Rust")</f>
        <v>Rust</v>
      </c>
      <c r="K4747" s="9" t="str">
        <f>IFERROR(__xludf.DUMMYFUNCTION("""COMPUTED_VALUE"""),"C++")</f>
        <v>C++</v>
      </c>
      <c r="L4747" s="9" t="str">
        <f>IFERROR(__xludf.DUMMYFUNCTION("""COMPUTED_VALUE"""),"Swift")</f>
        <v>Swift</v>
      </c>
      <c r="M4747" s="9" t="s">
        <v>30</v>
      </c>
    </row>
    <row r="4748" ht="15.75" customHeight="1">
      <c r="A4748" s="7"/>
      <c r="B4748" s="7" t="str">
        <f>IFERROR(__xludf.DUMMYFUNCTION("""COMPUTED_VALUE"""),"C#;Java;JavaScript;SQL")</f>
        <v>C#;Java;JavaScript;SQL</v>
      </c>
      <c r="C4748" s="9" t="str">
        <f>IFERROR(__xludf.DUMMYFUNCTION("""COMPUTED_VALUE"""),"Go")</f>
        <v>Go</v>
      </c>
      <c r="D4748" s="9" t="str">
        <f>IFERROR(__xludf.DUMMYFUNCTION("""COMPUTED_VALUE"""),"VBA")</f>
        <v>VBA</v>
      </c>
      <c r="E4748" s="9" t="str">
        <f>IFERROR(__xludf.DUMMYFUNCTION("""COMPUTED_VALUE"""),"Java")</f>
        <v>Java</v>
      </c>
      <c r="F4748" s="9" t="str">
        <f>IFERROR(__xludf.DUMMYFUNCTION("""COMPUTED_VALUE"""),"Go")</f>
        <v>Go</v>
      </c>
      <c r="G4748" s="9" t="str">
        <f>IFERROR(__xludf.DUMMYFUNCTION("""COMPUTED_VALUE"""),"C")</f>
        <v>C</v>
      </c>
      <c r="H4748" s="9" t="str">
        <f>IFERROR(__xludf.DUMMYFUNCTION("""COMPUTED_VALUE"""),"Swift")</f>
        <v>Swift</v>
      </c>
      <c r="I4748" s="9" t="str">
        <f>IFERROR(__xludf.DUMMYFUNCTION("""COMPUTED_VALUE"""),"Java")</f>
        <v>Java</v>
      </c>
      <c r="J4748" s="9" t="str">
        <f>IFERROR(__xludf.DUMMYFUNCTION("""COMPUTED_VALUE"""),"Other(s):")</f>
        <v>Other(s):</v>
      </c>
      <c r="K4748" s="9" t="str">
        <f>IFERROR(__xludf.DUMMYFUNCTION("""COMPUTED_VALUE"""),"HTML/CSS")</f>
        <v>HTML/CSS</v>
      </c>
      <c r="L4748" s="9" t="str">
        <f>IFERROR(__xludf.DUMMYFUNCTION("""COMPUTED_VALUE"""),"Bash/Shell/PowerShell")</f>
        <v>Bash/Shell/PowerShell</v>
      </c>
      <c r="M4748" s="9" t="s">
        <v>36</v>
      </c>
    </row>
    <row r="4749" ht="15.75" customHeight="1">
      <c r="A4749" s="7"/>
      <c r="B4749" s="7" t="str">
        <f>IFERROR(__xludf.DUMMYFUNCTION("""COMPUTED_VALUE"""),"Assembly;Bash/Shell/PowerShell;C#;HTML/CSS;Java;SQL")</f>
        <v>Assembly;Bash/Shell/PowerShell;C#;HTML/CSS;Java;SQL</v>
      </c>
      <c r="C4749" s="9" t="str">
        <f>IFERROR(__xludf.DUMMYFUNCTION("""COMPUTED_VALUE"""),"Ruby")</f>
        <v>Ruby</v>
      </c>
      <c r="D4749" s="9" t="str">
        <f>IFERROR(__xludf.DUMMYFUNCTION("""COMPUTED_VALUE"""),"Python")</f>
        <v>Python</v>
      </c>
      <c r="E4749" s="9" t="str">
        <f>IFERROR(__xludf.DUMMYFUNCTION("""COMPUTED_VALUE"""),"JavaScript")</f>
        <v>JavaScript</v>
      </c>
      <c r="F4749" s="9" t="str">
        <f>IFERROR(__xludf.DUMMYFUNCTION("""COMPUTED_VALUE"""),"HTML/CSS")</f>
        <v>HTML/CSS</v>
      </c>
      <c r="G4749" s="9" t="str">
        <f>IFERROR(__xludf.DUMMYFUNCTION("""COMPUTED_VALUE"""),"C++")</f>
        <v>C++</v>
      </c>
      <c r="H4749" s="9" t="str">
        <f>IFERROR(__xludf.DUMMYFUNCTION("""COMPUTED_VALUE"""),"TypeScript")</f>
        <v>TypeScript</v>
      </c>
      <c r="I4749" s="9" t="str">
        <f>IFERROR(__xludf.DUMMYFUNCTION("""COMPUTED_VALUE"""),"JavaScript")</f>
        <v>JavaScript</v>
      </c>
      <c r="J4749" s="9" t="str">
        <f>IFERROR(__xludf.DUMMYFUNCTION("""COMPUTED_VALUE"""),"F#")</f>
        <v>F#</v>
      </c>
      <c r="K4749" s="9" t="str">
        <f>IFERROR(__xludf.DUMMYFUNCTION("""COMPUTED_VALUE"""),"Java")</f>
        <v>Java</v>
      </c>
      <c r="L4749" s="9" t="str">
        <f>IFERROR(__xludf.DUMMYFUNCTION("""COMPUTED_VALUE"""),"Python")</f>
        <v>Python</v>
      </c>
      <c r="M4749" s="9" t="s">
        <v>31</v>
      </c>
    </row>
    <row r="4750" ht="15.75" customHeight="1">
      <c r="A4750" s="7"/>
      <c r="B4750" s="7" t="str">
        <f>IFERROR(__xludf.DUMMYFUNCTION("""COMPUTED_VALUE"""),"Bash/Shell/PowerShell;C;C++;HTML/CSS;Java;SQL")</f>
        <v>Bash/Shell/PowerShell;C;C++;HTML/CSS;Java;SQL</v>
      </c>
      <c r="C4750" s="9" t="str">
        <f>IFERROR(__xludf.DUMMYFUNCTION("""COMPUTED_VALUE"""),"Bash/Shell/PowerShell")</f>
        <v>Bash/Shell/PowerShell</v>
      </c>
      <c r="D4750" s="9" t="str">
        <f>IFERROR(__xludf.DUMMYFUNCTION("""COMPUTED_VALUE"""),"Ruby")</f>
        <v>Ruby</v>
      </c>
      <c r="E4750" s="9" t="str">
        <f>IFERROR(__xludf.DUMMYFUNCTION("""COMPUTED_VALUE"""),"SQL")</f>
        <v>SQL</v>
      </c>
      <c r="F4750" s="9" t="str">
        <f>IFERROR(__xludf.DUMMYFUNCTION("""COMPUTED_VALUE"""),"JavaScript")</f>
        <v>JavaScript</v>
      </c>
      <c r="G4750" s="9" t="str">
        <f>IFERROR(__xludf.DUMMYFUNCTION("""COMPUTED_VALUE"""),"C#")</f>
        <v>C#</v>
      </c>
      <c r="H4750" s="9" t="str">
        <f>IFERROR(__xludf.DUMMYFUNCTION("""COMPUTED_VALUE"""),"Bash/Shell/PowerShell")</f>
        <v>Bash/Shell/PowerShell</v>
      </c>
      <c r="I4750" s="9" t="str">
        <f>IFERROR(__xludf.DUMMYFUNCTION("""COMPUTED_VALUE"""),"VBA")</f>
        <v>VBA</v>
      </c>
      <c r="J4750" s="9" t="str">
        <f>IFERROR(__xludf.DUMMYFUNCTION("""COMPUTED_VALUE"""),"HTML/CSS")</f>
        <v>HTML/CSS</v>
      </c>
      <c r="K4750" s="9" t="str">
        <f>IFERROR(__xludf.DUMMYFUNCTION("""COMPUTED_VALUE"""),"JavaScript")</f>
        <v>JavaScript</v>
      </c>
      <c r="L4750" s="9" t="str">
        <f>IFERROR(__xludf.DUMMYFUNCTION("""COMPUTED_VALUE"""),"Assembly")</f>
        <v>Assembly</v>
      </c>
      <c r="M4750" s="9" t="s">
        <v>30</v>
      </c>
    </row>
    <row r="4751" ht="15.75" customHeight="1">
      <c r="A4751" s="7"/>
      <c r="B4751" s="7" t="str">
        <f>IFERROR(__xludf.DUMMYFUNCTION("""COMPUTED_VALUE"""),"JavaScript")</f>
        <v>JavaScript</v>
      </c>
      <c r="C4751" s="9" t="str">
        <f>IFERROR(__xludf.DUMMYFUNCTION("""COMPUTED_VALUE"""),"C")</f>
        <v>C</v>
      </c>
      <c r="D4751" s="9" t="str">
        <f>IFERROR(__xludf.DUMMYFUNCTION("""COMPUTED_VALUE"""),"Bash/Shell/PowerShell")</f>
        <v>Bash/Shell/PowerShell</v>
      </c>
      <c r="E4751" s="9" t="str">
        <f>IFERROR(__xludf.DUMMYFUNCTION("""COMPUTED_VALUE"""),"TypeScript")</f>
        <v>TypeScript</v>
      </c>
      <c r="F4751" s="9" t="str">
        <f>IFERROR(__xludf.DUMMYFUNCTION("""COMPUTED_VALUE"""),"PHP")</f>
        <v>PHP</v>
      </c>
      <c r="G4751" s="9" t="str">
        <f>IFERROR(__xludf.DUMMYFUNCTION("""COMPUTED_VALUE"""),"HTML/CSS")</f>
        <v>HTML/CSS</v>
      </c>
      <c r="H4751" s="9" t="str">
        <f>IFERROR(__xludf.DUMMYFUNCTION("""COMPUTED_VALUE"""),"C++")</f>
        <v>C++</v>
      </c>
      <c r="I4751" s="9" t="str">
        <f>IFERROR(__xludf.DUMMYFUNCTION("""COMPUTED_VALUE"""),"HTML/CSS")</f>
        <v>HTML/CSS</v>
      </c>
      <c r="J4751" s="9" t="str">
        <f>IFERROR(__xludf.DUMMYFUNCTION("""COMPUTED_VALUE"""),"Python")</f>
        <v>Python</v>
      </c>
      <c r="K4751" s="9" t="str">
        <f>IFERROR(__xludf.DUMMYFUNCTION("""COMPUTED_VALUE"""),"PHP")</f>
        <v>PHP</v>
      </c>
      <c r="L4751" s="9" t="str">
        <f>IFERROR(__xludf.DUMMYFUNCTION("""COMPUTED_VALUE"""),"VBA")</f>
        <v>VBA</v>
      </c>
      <c r="M4751" s="9" t="s">
        <v>25</v>
      </c>
    </row>
    <row r="4752" ht="15.75" customHeight="1">
      <c r="A4752" s="7"/>
      <c r="B4752" s="7" t="str">
        <f>IFERROR(__xludf.DUMMYFUNCTION("""COMPUTED_VALUE"""),"HTML/CSS")</f>
        <v>HTML/CSS</v>
      </c>
      <c r="C4752" s="9" t="str">
        <f>IFERROR(__xludf.DUMMYFUNCTION("""COMPUTED_VALUE"""),"Scala")</f>
        <v>Scala</v>
      </c>
      <c r="D4752" s="9" t="str">
        <f>IFERROR(__xludf.DUMMYFUNCTION("""COMPUTED_VALUE"""),"HTML/CSS")</f>
        <v>HTML/CSS</v>
      </c>
      <c r="E4752" s="9" t="str">
        <f>IFERROR(__xludf.DUMMYFUNCTION("""COMPUTED_VALUE"""),"Other(s):")</f>
        <v>Other(s):</v>
      </c>
      <c r="F4752" s="9" t="str">
        <f>IFERROR(__xludf.DUMMYFUNCTION("""COMPUTED_VALUE"""),"Python")</f>
        <v>Python</v>
      </c>
      <c r="G4752" s="9" t="str">
        <f>IFERROR(__xludf.DUMMYFUNCTION("""COMPUTED_VALUE"""),"JavaScript")</f>
        <v>JavaScript</v>
      </c>
      <c r="H4752" s="9" t="str">
        <f>IFERROR(__xludf.DUMMYFUNCTION("""COMPUTED_VALUE"""),"C#")</f>
        <v>C#</v>
      </c>
      <c r="I4752" s="9" t="str">
        <f>IFERROR(__xludf.DUMMYFUNCTION("""COMPUTED_VALUE"""),"JavaScript")</f>
        <v>JavaScript</v>
      </c>
      <c r="J4752" s="9" t="str">
        <f>IFERROR(__xludf.DUMMYFUNCTION("""COMPUTED_VALUE"""),"R")</f>
        <v>R</v>
      </c>
      <c r="K4752" s="9" t="str">
        <f>IFERROR(__xludf.DUMMYFUNCTION("""COMPUTED_VALUE"""),"SQL")</f>
        <v>SQL</v>
      </c>
      <c r="L4752" s="9" t="str">
        <f>IFERROR(__xludf.DUMMYFUNCTION("""COMPUTED_VALUE"""),"Other(s):")</f>
        <v>Other(s):</v>
      </c>
      <c r="M4752" s="9" t="s">
        <v>46</v>
      </c>
    </row>
    <row r="4753" ht="15.75" customHeight="1">
      <c r="A4753" s="7"/>
      <c r="B4753" s="7" t="str">
        <f>IFERROR(__xludf.DUMMYFUNCTION("""COMPUTED_VALUE"""),"Bash/Shell/PowerShell;HTML/CSS;JavaScript;Python;SQL;Swift")</f>
        <v>Bash/Shell/PowerShell;HTML/CSS;JavaScript;Python;SQL;Swift</v>
      </c>
      <c r="C4753" s="9" t="str">
        <f>IFERROR(__xludf.DUMMYFUNCTION("""COMPUTED_VALUE"""),"SQL")</f>
        <v>SQL</v>
      </c>
      <c r="D4753" s="9" t="str">
        <f>IFERROR(__xludf.DUMMYFUNCTION("""COMPUTED_VALUE"""),"Java")</f>
        <v>Java</v>
      </c>
      <c r="E4753" s="9" t="str">
        <f>IFERROR(__xludf.DUMMYFUNCTION("""COMPUTED_VALUE"""),"Bash/Shell/PowerShell")</f>
        <v>Bash/Shell/PowerShell</v>
      </c>
      <c r="F4753" s="9" t="str">
        <f>IFERROR(__xludf.DUMMYFUNCTION("""COMPUTED_VALUE"""),"Ruby")</f>
        <v>Ruby</v>
      </c>
      <c r="G4753" s="9" t="str">
        <f>IFERROR(__xludf.DUMMYFUNCTION("""COMPUTED_VALUE"""),"PHP")</f>
        <v>PHP</v>
      </c>
      <c r="H4753" s="9" t="str">
        <f>IFERROR(__xludf.DUMMYFUNCTION("""COMPUTED_VALUE"""),"HTML/CSS")</f>
        <v>HTML/CSS</v>
      </c>
      <c r="I4753" s="9" t="str">
        <f>IFERROR(__xludf.DUMMYFUNCTION("""COMPUTED_VALUE"""),"Python")</f>
        <v>Python</v>
      </c>
      <c r="J4753" s="9" t="str">
        <f>IFERROR(__xludf.DUMMYFUNCTION("""COMPUTED_VALUE"""),"SQL")</f>
        <v>SQL</v>
      </c>
      <c r="K4753" s="9" t="str">
        <f>IFERROR(__xludf.DUMMYFUNCTION("""COMPUTED_VALUE"""),"Bash/Shell/PowerShell")</f>
        <v>Bash/Shell/PowerShell</v>
      </c>
      <c r="L4753" s="9" t="str">
        <f>IFERROR(__xludf.DUMMYFUNCTION("""COMPUTED_VALUE"""),"Assembly")</f>
        <v>Assembly</v>
      </c>
      <c r="M4753" s="9" t="s">
        <v>27</v>
      </c>
    </row>
    <row r="4754" ht="15.75" customHeight="1">
      <c r="A4754" s="7"/>
      <c r="B4754" s="7" t="str">
        <f>IFERROR(__xludf.DUMMYFUNCTION("""COMPUTED_VALUE"""),"Bash/Shell/PowerShell;C#;HTML/CSS;Python")</f>
        <v>Bash/Shell/PowerShell;C#;HTML/CSS;Python</v>
      </c>
      <c r="C4754" s="9" t="str">
        <f>IFERROR(__xludf.DUMMYFUNCTION("""COMPUTED_VALUE"""),"HTML/CSS")</f>
        <v>HTML/CSS</v>
      </c>
      <c r="D4754" s="9" t="str">
        <f>IFERROR(__xludf.DUMMYFUNCTION("""COMPUTED_VALUE"""),"JavaScript")</f>
        <v>JavaScript</v>
      </c>
      <c r="E4754" s="9" t="str">
        <f>IFERROR(__xludf.DUMMYFUNCTION("""COMPUTED_VALUE"""),"C#")</f>
        <v>C#</v>
      </c>
      <c r="F4754" s="9" t="str">
        <f>IFERROR(__xludf.DUMMYFUNCTION("""COMPUTED_VALUE"""),"Rust")</f>
        <v>Rust</v>
      </c>
      <c r="G4754" s="9" t="str">
        <f>IFERROR(__xludf.DUMMYFUNCTION("""COMPUTED_VALUE"""),"Python")</f>
        <v>Python</v>
      </c>
      <c r="H4754" s="9" t="str">
        <f>IFERROR(__xludf.DUMMYFUNCTION("""COMPUTED_VALUE"""),"JavaScript")</f>
        <v>JavaScript</v>
      </c>
      <c r="I4754" s="9" t="str">
        <f>IFERROR(__xludf.DUMMYFUNCTION("""COMPUTED_VALUE"""),"Bash/Shell/PowerShell")</f>
        <v>Bash/Shell/PowerShell</v>
      </c>
      <c r="J4754" s="9" t="str">
        <f>IFERROR(__xludf.DUMMYFUNCTION("""COMPUTED_VALUE"""),"C++")</f>
        <v>C++</v>
      </c>
      <c r="K4754" s="9" t="str">
        <f>IFERROR(__xludf.DUMMYFUNCTION("""COMPUTED_VALUE"""),"C#")</f>
        <v>C#</v>
      </c>
      <c r="L4754" s="9" t="str">
        <f>IFERROR(__xludf.DUMMYFUNCTION("""COMPUTED_VALUE"""),"Bash/Shell/PowerShell")</f>
        <v>Bash/Shell/PowerShell</v>
      </c>
      <c r="M4754" s="9" t="s">
        <v>24</v>
      </c>
    </row>
    <row r="4755" ht="15.75" customHeight="1">
      <c r="A4755" s="7"/>
      <c r="B4755" s="7" t="str">
        <f>IFERROR(__xludf.DUMMYFUNCTION("""COMPUTED_VALUE"""),"C#;HTML/CSS;JavaScript;PHP")</f>
        <v>C#;HTML/CSS;JavaScript;PHP</v>
      </c>
      <c r="C4755" s="9" t="str">
        <f>IFERROR(__xludf.DUMMYFUNCTION("""COMPUTED_VALUE"""),"Java")</f>
        <v>Java</v>
      </c>
      <c r="D4755" s="9" t="str">
        <f>IFERROR(__xludf.DUMMYFUNCTION("""COMPUTED_VALUE"""),"TypeScript")</f>
        <v>TypeScript</v>
      </c>
      <c r="E4755" s="9" t="str">
        <f>IFERROR(__xludf.DUMMYFUNCTION("""COMPUTED_VALUE"""),"Go")</f>
        <v>Go</v>
      </c>
      <c r="F4755" s="9" t="str">
        <f>IFERROR(__xludf.DUMMYFUNCTION("""COMPUTED_VALUE"""),"SQL")</f>
        <v>SQL</v>
      </c>
      <c r="G4755" s="9" t="str">
        <f>IFERROR(__xludf.DUMMYFUNCTION("""COMPUTED_VALUE"""),"R")</f>
        <v>R</v>
      </c>
      <c r="H4755" s="9" t="str">
        <f>IFERROR(__xludf.DUMMYFUNCTION("""COMPUTED_VALUE"""),"Kotlin")</f>
        <v>Kotlin</v>
      </c>
      <c r="I4755" s="9" t="str">
        <f>IFERROR(__xludf.DUMMYFUNCTION("""COMPUTED_VALUE"""),"C#")</f>
        <v>C#</v>
      </c>
      <c r="J4755" s="9" t="str">
        <f>IFERROR(__xludf.DUMMYFUNCTION("""COMPUTED_VALUE"""),"C#")</f>
        <v>C#</v>
      </c>
      <c r="K4755" s="9" t="str">
        <f>IFERROR(__xludf.DUMMYFUNCTION("""COMPUTED_VALUE"""),"Dart")</f>
        <v>Dart</v>
      </c>
      <c r="L4755" s="9" t="str">
        <f>IFERROR(__xludf.DUMMYFUNCTION("""COMPUTED_VALUE"""),"C")</f>
        <v>C</v>
      </c>
      <c r="M4755" s="9" t="s">
        <v>20</v>
      </c>
    </row>
    <row r="4756" ht="15.75" customHeight="1">
      <c r="A4756" s="7"/>
      <c r="B4756" s="7" t="str">
        <f>IFERROR(__xludf.DUMMYFUNCTION("""COMPUTED_VALUE"""),"Bash/Shell/PowerShell;HTML/CSS;Java;JavaScript;SQL")</f>
        <v>Bash/Shell/PowerShell;HTML/CSS;Java;JavaScript;SQL</v>
      </c>
      <c r="C4756" s="9" t="str">
        <f>IFERROR(__xludf.DUMMYFUNCTION("""COMPUTED_VALUE"""),"JavaScript")</f>
        <v>JavaScript</v>
      </c>
      <c r="D4756" s="9" t="str">
        <f>IFERROR(__xludf.DUMMYFUNCTION("""COMPUTED_VALUE"""),"Bash/Shell/PowerShell")</f>
        <v>Bash/Shell/PowerShell</v>
      </c>
      <c r="E4756" s="9" t="str">
        <f>IFERROR(__xludf.DUMMYFUNCTION("""COMPUTED_VALUE"""),"HTML/CSS")</f>
        <v>HTML/CSS</v>
      </c>
      <c r="F4756" s="9" t="str">
        <f>IFERROR(__xludf.DUMMYFUNCTION("""COMPUTED_VALUE"""),"TypeScript")</f>
        <v>TypeScript</v>
      </c>
      <c r="G4756" s="9" t="str">
        <f>IFERROR(__xludf.DUMMYFUNCTION("""COMPUTED_VALUE"""),"SQL")</f>
        <v>SQL</v>
      </c>
      <c r="H4756" s="9" t="str">
        <f>IFERROR(__xludf.DUMMYFUNCTION("""COMPUTED_VALUE"""),"Python")</f>
        <v>Python</v>
      </c>
      <c r="I4756" s="9" t="str">
        <f>IFERROR(__xludf.DUMMYFUNCTION("""COMPUTED_VALUE"""),"HTML/CSS")</f>
        <v>HTML/CSS</v>
      </c>
      <c r="J4756" s="9" t="str">
        <f>IFERROR(__xludf.DUMMYFUNCTION("""COMPUTED_VALUE"""),"Java")</f>
        <v>Java</v>
      </c>
      <c r="K4756" s="9" t="str">
        <f>IFERROR(__xludf.DUMMYFUNCTION("""COMPUTED_VALUE"""),"F#")</f>
        <v>F#</v>
      </c>
      <c r="L4756" s="9" t="str">
        <f>IFERROR(__xludf.DUMMYFUNCTION("""COMPUTED_VALUE"""),"C++")</f>
        <v>C++</v>
      </c>
      <c r="M4756" s="9" t="s">
        <v>21</v>
      </c>
    </row>
    <row r="4757" ht="15.75" customHeight="1">
      <c r="A4757" s="7"/>
      <c r="B4757" s="7" t="str">
        <f>IFERROR(__xludf.DUMMYFUNCTION("""COMPUTED_VALUE"""),"Bash/Shell/PowerShell;C++;C#;HTML/CSS;JavaScript;PHP;Python;Swift")</f>
        <v>Bash/Shell/PowerShell;C++;C#;HTML/CSS;JavaScript;PHP;Python;Swift</v>
      </c>
      <c r="C4757" s="9" t="str">
        <f>IFERROR(__xludf.DUMMYFUNCTION("""COMPUTED_VALUE"""),"R")</f>
        <v>R</v>
      </c>
      <c r="D4757" s="9" t="str">
        <f>IFERROR(__xludf.DUMMYFUNCTION("""COMPUTED_VALUE"""),"C#")</f>
        <v>C#</v>
      </c>
      <c r="E4757" s="9" t="str">
        <f>IFERROR(__xludf.DUMMYFUNCTION("""COMPUTED_VALUE"""),"JavaScript")</f>
        <v>JavaScript</v>
      </c>
      <c r="F4757" s="9" t="str">
        <f>IFERROR(__xludf.DUMMYFUNCTION("""COMPUTED_VALUE"""),"Bash/Shell/PowerShell")</f>
        <v>Bash/Shell/PowerShell</v>
      </c>
      <c r="G4757" s="9" t="str">
        <f>IFERROR(__xludf.DUMMYFUNCTION("""COMPUTED_VALUE"""),"C#")</f>
        <v>C#</v>
      </c>
      <c r="H4757" s="9" t="str">
        <f>IFERROR(__xludf.DUMMYFUNCTION("""COMPUTED_VALUE"""),"TypeScript")</f>
        <v>TypeScript</v>
      </c>
      <c r="I4757" s="9" t="str">
        <f>IFERROR(__xludf.DUMMYFUNCTION("""COMPUTED_VALUE"""),"JavaScript")</f>
        <v>JavaScript</v>
      </c>
      <c r="J4757" s="9" t="str">
        <f>IFERROR(__xludf.DUMMYFUNCTION("""COMPUTED_VALUE"""),"Python")</f>
        <v>Python</v>
      </c>
      <c r="K4757" s="9" t="str">
        <f>IFERROR(__xludf.DUMMYFUNCTION("""COMPUTED_VALUE"""),"HTML/CSS")</f>
        <v>HTML/CSS</v>
      </c>
      <c r="L4757" s="9" t="str">
        <f>IFERROR(__xludf.DUMMYFUNCTION("""COMPUTED_VALUE"""),"C#")</f>
        <v>C#</v>
      </c>
      <c r="M4757" s="9" t="s">
        <v>29</v>
      </c>
    </row>
    <row r="4758" ht="15.75" customHeight="1">
      <c r="A4758" s="7"/>
      <c r="B4758" s="7" t="str">
        <f>IFERROR(__xludf.DUMMYFUNCTION("""COMPUTED_VALUE"""),"Java")</f>
        <v>Java</v>
      </c>
      <c r="C4758" s="9" t="str">
        <f>IFERROR(__xludf.DUMMYFUNCTION("""COMPUTED_VALUE"""),"SQL")</f>
        <v>SQL</v>
      </c>
      <c r="D4758" s="9" t="str">
        <f>IFERROR(__xludf.DUMMYFUNCTION("""COMPUTED_VALUE"""),"HTML/CSS")</f>
        <v>HTML/CSS</v>
      </c>
      <c r="E4758" s="9" t="str">
        <f>IFERROR(__xludf.DUMMYFUNCTION("""COMPUTED_VALUE"""),"Kotlin")</f>
        <v>Kotlin</v>
      </c>
      <c r="F4758" s="9" t="str">
        <f>IFERROR(__xludf.DUMMYFUNCTION("""COMPUTED_VALUE"""),"Python")</f>
        <v>Python</v>
      </c>
      <c r="G4758" s="9" t="str">
        <f>IFERROR(__xludf.DUMMYFUNCTION("""COMPUTED_VALUE"""),"HTML/CSS")</f>
        <v>HTML/CSS</v>
      </c>
      <c r="H4758" s="9" t="str">
        <f>IFERROR(__xludf.DUMMYFUNCTION("""COMPUTED_VALUE"""),"Bash/Shell/PowerShell")</f>
        <v>Bash/Shell/PowerShell</v>
      </c>
      <c r="I4758" s="9" t="str">
        <f>IFERROR(__xludf.DUMMYFUNCTION("""COMPUTED_VALUE"""),"SQL")</f>
        <v>SQL</v>
      </c>
      <c r="J4758" s="9" t="str">
        <f>IFERROR(__xludf.DUMMYFUNCTION("""COMPUTED_VALUE"""),"SQL")</f>
        <v>SQL</v>
      </c>
      <c r="K4758" s="9" t="str">
        <f>IFERROR(__xludf.DUMMYFUNCTION("""COMPUTED_VALUE"""),"JavaScript")</f>
        <v>JavaScript</v>
      </c>
      <c r="L4758" s="9" t="str">
        <f>IFERROR(__xludf.DUMMYFUNCTION("""COMPUTED_VALUE"""),"HTML/CSS")</f>
        <v>HTML/CSS</v>
      </c>
      <c r="M4758" s="9" t="s">
        <v>27</v>
      </c>
    </row>
    <row r="4759" ht="15.75" customHeight="1">
      <c r="A4759" s="7"/>
      <c r="B4759" s="7" t="str">
        <f>IFERROR(__xludf.DUMMYFUNCTION("""COMPUTED_VALUE"""),"C;HTML/CSS;Java;JavaScript;PHP;SQL")</f>
        <v>C;HTML/CSS;Java;JavaScript;PHP;SQL</v>
      </c>
      <c r="C4759" s="9" t="str">
        <f>IFERROR(__xludf.DUMMYFUNCTION("""COMPUTED_VALUE"""),"C")</f>
        <v>C</v>
      </c>
      <c r="D4759" s="9" t="str">
        <f>IFERROR(__xludf.DUMMYFUNCTION("""COMPUTED_VALUE"""),"JavaScript")</f>
        <v>JavaScript</v>
      </c>
      <c r="E4759" s="9" t="str">
        <f>IFERROR(__xludf.DUMMYFUNCTION("""COMPUTED_VALUE"""),"Python")</f>
        <v>Python</v>
      </c>
      <c r="F4759" s="9" t="str">
        <f>IFERROR(__xludf.DUMMYFUNCTION("""COMPUTED_VALUE"""),"Java")</f>
        <v>Java</v>
      </c>
      <c r="G4759" s="9" t="str">
        <f>IFERROR(__xludf.DUMMYFUNCTION("""COMPUTED_VALUE"""),"JavaScript")</f>
        <v>JavaScript</v>
      </c>
      <c r="H4759" s="9" t="str">
        <f>IFERROR(__xludf.DUMMYFUNCTION("""COMPUTED_VALUE"""),"HTML/CSS")</f>
        <v>HTML/CSS</v>
      </c>
      <c r="I4759" s="9" t="str">
        <f>IFERROR(__xludf.DUMMYFUNCTION("""COMPUTED_VALUE"""),"Bash/Shell/PowerShell")</f>
        <v>Bash/Shell/PowerShell</v>
      </c>
      <c r="J4759" s="9" t="str">
        <f>IFERROR(__xludf.DUMMYFUNCTION("""COMPUTED_VALUE"""),"Swift")</f>
        <v>Swift</v>
      </c>
      <c r="K4759" s="9" t="str">
        <f>IFERROR(__xludf.DUMMYFUNCTION("""COMPUTED_VALUE"""),"Other(s):")</f>
        <v>Other(s):</v>
      </c>
      <c r="L4759" s="9" t="str">
        <f>IFERROR(__xludf.DUMMYFUNCTION("""COMPUTED_VALUE"""),"Java")</f>
        <v>Java</v>
      </c>
      <c r="M4759" s="9" t="s">
        <v>25</v>
      </c>
    </row>
    <row r="4760" ht="15.75" customHeight="1">
      <c r="A4760" s="7"/>
      <c r="B4760" s="7" t="str">
        <f>IFERROR(__xludf.DUMMYFUNCTION("""COMPUTED_VALUE"""),"C;HTML/CSS;Java;JavaScript;PHP;SQL;TypeScript")</f>
        <v>C;HTML/CSS;Java;JavaScript;PHP;SQL;TypeScript</v>
      </c>
      <c r="C4760" s="9" t="str">
        <f>IFERROR(__xludf.DUMMYFUNCTION("""COMPUTED_VALUE"""),"HTML/CSS")</f>
        <v>HTML/CSS</v>
      </c>
      <c r="D4760" s="9" t="str">
        <f>IFERROR(__xludf.DUMMYFUNCTION("""COMPUTED_VALUE"""),"Python")</f>
        <v>Python</v>
      </c>
      <c r="E4760" s="9" t="str">
        <f>IFERROR(__xludf.DUMMYFUNCTION("""COMPUTED_VALUE"""),"SQL")</f>
        <v>SQL</v>
      </c>
      <c r="F4760" s="9" t="str">
        <f>IFERROR(__xludf.DUMMYFUNCTION("""COMPUTED_VALUE"""),"Kotlin")</f>
        <v>Kotlin</v>
      </c>
      <c r="G4760" s="9" t="str">
        <f>IFERROR(__xludf.DUMMYFUNCTION("""COMPUTED_VALUE"""),"TypeScript")</f>
        <v>TypeScript</v>
      </c>
      <c r="H4760" s="9" t="str">
        <f>IFERROR(__xludf.DUMMYFUNCTION("""COMPUTED_VALUE"""),"JavaScript")</f>
        <v>JavaScript</v>
      </c>
      <c r="I4760" s="9" t="str">
        <f>IFERROR(__xludf.DUMMYFUNCTION("""COMPUTED_VALUE"""),"HTML/CSS")</f>
        <v>HTML/CSS</v>
      </c>
      <c r="J4760" s="9" t="str">
        <f>IFERROR(__xludf.DUMMYFUNCTION("""COMPUTED_VALUE"""),"Other(s):")</f>
        <v>Other(s):</v>
      </c>
      <c r="K4760" s="9" t="str">
        <f>IFERROR(__xludf.DUMMYFUNCTION("""COMPUTED_VALUE"""),"HTML/CSS")</f>
        <v>HTML/CSS</v>
      </c>
      <c r="L4760" s="9" t="str">
        <f>IFERROR(__xludf.DUMMYFUNCTION("""COMPUTED_VALUE"""),"JavaScript")</f>
        <v>JavaScript</v>
      </c>
      <c r="M4760" s="9" t="s">
        <v>24</v>
      </c>
    </row>
    <row r="4761" ht="15.75" customHeight="1">
      <c r="A4761" s="7"/>
      <c r="B4761" s="7" t="str">
        <f>IFERROR(__xludf.DUMMYFUNCTION("""COMPUTED_VALUE"""),"Bash/Shell/PowerShell;Java;JavaScript;Python;Scala;TypeScript")</f>
        <v>Bash/Shell/PowerShell;Java;JavaScript;Python;Scala;TypeScript</v>
      </c>
      <c r="C4761" s="9" t="str">
        <f>IFERROR(__xludf.DUMMYFUNCTION("""COMPUTED_VALUE"""),"Java")</f>
        <v>Java</v>
      </c>
      <c r="D4761" s="9" t="str">
        <f>IFERROR(__xludf.DUMMYFUNCTION("""COMPUTED_VALUE"""),"R")</f>
        <v>R</v>
      </c>
      <c r="E4761" s="9" t="str">
        <f>IFERROR(__xludf.DUMMYFUNCTION("""COMPUTED_VALUE"""),"TypeScript")</f>
        <v>TypeScript</v>
      </c>
      <c r="F4761" s="9" t="str">
        <f>IFERROR(__xludf.DUMMYFUNCTION("""COMPUTED_VALUE"""),"Assembly")</f>
        <v>Assembly</v>
      </c>
      <c r="G4761" s="9" t="str">
        <f>IFERROR(__xludf.DUMMYFUNCTION("""COMPUTED_VALUE"""),"C#")</f>
        <v>C#</v>
      </c>
      <c r="H4761" s="9" t="str">
        <f>IFERROR(__xludf.DUMMYFUNCTION("""COMPUTED_VALUE"""),"PHP")</f>
        <v>PHP</v>
      </c>
      <c r="I4761" s="9" t="str">
        <f>IFERROR(__xludf.DUMMYFUNCTION("""COMPUTED_VALUE"""),"Java")</f>
        <v>Java</v>
      </c>
      <c r="J4761" s="9" t="str">
        <f>IFERROR(__xludf.DUMMYFUNCTION("""COMPUTED_VALUE"""),"Bash/Shell/PowerShell")</f>
        <v>Bash/Shell/PowerShell</v>
      </c>
      <c r="K4761" s="9" t="str">
        <f>IFERROR(__xludf.DUMMYFUNCTION("""COMPUTED_VALUE"""),"Java")</f>
        <v>Java</v>
      </c>
      <c r="L4761" s="9" t="str">
        <f>IFERROR(__xludf.DUMMYFUNCTION("""COMPUTED_VALUE"""),"PHP")</f>
        <v>PHP</v>
      </c>
      <c r="M4761" s="9" t="s">
        <v>20</v>
      </c>
    </row>
    <row r="4762" ht="15.75" customHeight="1">
      <c r="A4762" s="7"/>
      <c r="B4762" s="7" t="str">
        <f>IFERROR(__xludf.DUMMYFUNCTION("""COMPUTED_VALUE"""),"C++;HTML/CSS;Python")</f>
        <v>C++;HTML/CSS;Python</v>
      </c>
      <c r="C4762" s="9" t="str">
        <f>IFERROR(__xludf.DUMMYFUNCTION("""COMPUTED_VALUE"""),"JavaScript")</f>
        <v>JavaScript</v>
      </c>
      <c r="D4762" s="9" t="str">
        <f>IFERROR(__xludf.DUMMYFUNCTION("""COMPUTED_VALUE"""),"SQL")</f>
        <v>SQL</v>
      </c>
      <c r="E4762" s="9" t="str">
        <f>IFERROR(__xludf.DUMMYFUNCTION("""COMPUTED_VALUE"""),"Swift")</f>
        <v>Swift</v>
      </c>
      <c r="F4762" s="9" t="str">
        <f>IFERROR(__xludf.DUMMYFUNCTION("""COMPUTED_VALUE"""),"Bash/Shell/PowerShell")</f>
        <v>Bash/Shell/PowerShell</v>
      </c>
      <c r="G4762" s="9" t="str">
        <f>IFERROR(__xludf.DUMMYFUNCTION("""COMPUTED_VALUE"""),"HTML/CSS")</f>
        <v>HTML/CSS</v>
      </c>
      <c r="H4762" s="9" t="str">
        <f>IFERROR(__xludf.DUMMYFUNCTION("""COMPUTED_VALUE"""),"SQL")</f>
        <v>SQL</v>
      </c>
      <c r="I4762" s="9" t="str">
        <f>IFERROR(__xludf.DUMMYFUNCTION("""COMPUTED_VALUE"""),"JavaScript")</f>
        <v>JavaScript</v>
      </c>
      <c r="J4762" s="9" t="str">
        <f>IFERROR(__xludf.DUMMYFUNCTION("""COMPUTED_VALUE"""),"HTML/CSS")</f>
        <v>HTML/CSS</v>
      </c>
      <c r="K4762" s="9" t="str">
        <f>IFERROR(__xludf.DUMMYFUNCTION("""COMPUTED_VALUE"""),"JavaScript")</f>
        <v>JavaScript</v>
      </c>
      <c r="L4762" s="9" t="str">
        <f>IFERROR(__xludf.DUMMYFUNCTION("""COMPUTED_VALUE"""),"SQL")</f>
        <v>SQL</v>
      </c>
      <c r="M4762" s="9" t="s">
        <v>21</v>
      </c>
    </row>
    <row r="4763" ht="15.75" customHeight="1">
      <c r="A4763" s="7"/>
      <c r="B4763" s="7" t="str">
        <f>IFERROR(__xludf.DUMMYFUNCTION("""COMPUTED_VALUE"""),"C;C++;C#;HTML/CSS;JavaScript;SQL")</f>
        <v>C;C++;C#;HTML/CSS;JavaScript;SQL</v>
      </c>
      <c r="C4763" s="9" t="str">
        <f>IFERROR(__xludf.DUMMYFUNCTION("""COMPUTED_VALUE"""),"Kotlin")</f>
        <v>Kotlin</v>
      </c>
      <c r="D4763" s="9" t="str">
        <f>IFERROR(__xludf.DUMMYFUNCTION("""COMPUTED_VALUE"""),"VBA")</f>
        <v>VBA</v>
      </c>
      <c r="E4763" s="9" t="str">
        <f>IFERROR(__xludf.DUMMYFUNCTION("""COMPUTED_VALUE"""),"HTML/CSS")</f>
        <v>HTML/CSS</v>
      </c>
      <c r="F4763" s="9" t="str">
        <f>IFERROR(__xludf.DUMMYFUNCTION("""COMPUTED_VALUE"""),"C")</f>
        <v>C</v>
      </c>
      <c r="G4763" s="9" t="str">
        <f>IFERROR(__xludf.DUMMYFUNCTION("""COMPUTED_VALUE"""),"JavaScript")</f>
        <v>JavaScript</v>
      </c>
      <c r="H4763" s="9" t="str">
        <f>IFERROR(__xludf.DUMMYFUNCTION("""COMPUTED_VALUE"""),"C#")</f>
        <v>C#</v>
      </c>
      <c r="I4763" s="9" t="str">
        <f>IFERROR(__xludf.DUMMYFUNCTION("""COMPUTED_VALUE"""),"SQL")</f>
        <v>SQL</v>
      </c>
      <c r="J4763" s="9" t="str">
        <f>IFERROR(__xludf.DUMMYFUNCTION("""COMPUTED_VALUE"""),"JavaScript")</f>
        <v>JavaScript</v>
      </c>
      <c r="K4763" s="9" t="str">
        <f>IFERROR(__xludf.DUMMYFUNCTION("""COMPUTED_VALUE"""),"TypeScript")</f>
        <v>TypeScript</v>
      </c>
      <c r="L4763" s="9" t="str">
        <f>IFERROR(__xludf.DUMMYFUNCTION("""COMPUTED_VALUE"""),"Bash/Shell/PowerShell")</f>
        <v>Bash/Shell/PowerShell</v>
      </c>
      <c r="M4763" s="9" t="s">
        <v>39</v>
      </c>
    </row>
    <row r="4764" ht="15.75" customHeight="1">
      <c r="A4764" s="7"/>
      <c r="B4764" s="7" t="str">
        <f>IFERROR(__xludf.DUMMYFUNCTION("""COMPUTED_VALUE"""),"R")</f>
        <v>R</v>
      </c>
      <c r="C4764" s="9" t="str">
        <f>IFERROR(__xludf.DUMMYFUNCTION("""COMPUTED_VALUE"""),"PHP")</f>
        <v>PHP</v>
      </c>
      <c r="D4764" s="9" t="str">
        <f>IFERROR(__xludf.DUMMYFUNCTION("""COMPUTED_VALUE"""),"HTML/CSS")</f>
        <v>HTML/CSS</v>
      </c>
      <c r="E4764" s="9" t="str">
        <f>IFERROR(__xludf.DUMMYFUNCTION("""COMPUTED_VALUE"""),"Java")</f>
        <v>Java</v>
      </c>
      <c r="F4764" s="9" t="str">
        <f>IFERROR(__xludf.DUMMYFUNCTION("""COMPUTED_VALUE"""),"C++")</f>
        <v>C++</v>
      </c>
      <c r="G4764" s="9" t="str">
        <f>IFERROR(__xludf.DUMMYFUNCTION("""COMPUTED_VALUE"""),"SQL")</f>
        <v>SQL</v>
      </c>
      <c r="H4764" s="9" t="str">
        <f>IFERROR(__xludf.DUMMYFUNCTION("""COMPUTED_VALUE"""),"HTML/CSS")</f>
        <v>HTML/CSS</v>
      </c>
      <c r="I4764" s="9" t="str">
        <f>IFERROR(__xludf.DUMMYFUNCTION("""COMPUTED_VALUE"""),"C")</f>
        <v>C</v>
      </c>
      <c r="J4764" s="9" t="str">
        <f>IFERROR(__xludf.DUMMYFUNCTION("""COMPUTED_VALUE"""),"PHP")</f>
        <v>PHP</v>
      </c>
      <c r="K4764" s="9" t="str">
        <f>IFERROR(__xludf.DUMMYFUNCTION("""COMPUTED_VALUE"""),"HTML/CSS")</f>
        <v>HTML/CSS</v>
      </c>
      <c r="L4764" s="9" t="str">
        <f>IFERROR(__xludf.DUMMYFUNCTION("""COMPUTED_VALUE"""),"C#")</f>
        <v>C#</v>
      </c>
      <c r="M4764" s="9" t="s">
        <v>37</v>
      </c>
    </row>
    <row r="4765" ht="15.75" customHeight="1">
      <c r="A4765" s="7"/>
      <c r="B4765" s="7" t="str">
        <f>IFERROR(__xludf.DUMMYFUNCTION("""COMPUTED_VALUE"""),"Bash/Shell/PowerShell;C;C++;Python;VBA")</f>
        <v>Bash/Shell/PowerShell;C;C++;Python;VBA</v>
      </c>
      <c r="C4765" s="9" t="str">
        <f>IFERROR(__xludf.DUMMYFUNCTION("""COMPUTED_VALUE"""),"Python")</f>
        <v>Python</v>
      </c>
      <c r="D4765" s="9" t="str">
        <f>IFERROR(__xludf.DUMMYFUNCTION("""COMPUTED_VALUE"""),"JavaScript")</f>
        <v>JavaScript</v>
      </c>
      <c r="E4765" s="9" t="str">
        <f>IFERROR(__xludf.DUMMYFUNCTION("""COMPUTED_VALUE"""),"JavaScript")</f>
        <v>JavaScript</v>
      </c>
      <c r="F4765" s="9" t="str">
        <f>IFERROR(__xludf.DUMMYFUNCTION("""COMPUTED_VALUE"""),"Elixir")</f>
        <v>Elixir</v>
      </c>
      <c r="G4765" s="9" t="str">
        <f>IFERROR(__xludf.DUMMYFUNCTION("""COMPUTED_VALUE"""),"TypeScript")</f>
        <v>TypeScript</v>
      </c>
      <c r="H4765" s="9" t="str">
        <f>IFERROR(__xludf.DUMMYFUNCTION("""COMPUTED_VALUE"""),"JavaScript")</f>
        <v>JavaScript</v>
      </c>
      <c r="I4765" s="9" t="str">
        <f>IFERROR(__xludf.DUMMYFUNCTION("""COMPUTED_VALUE"""),"HTML/CSS")</f>
        <v>HTML/CSS</v>
      </c>
      <c r="J4765" s="9" t="str">
        <f>IFERROR(__xludf.DUMMYFUNCTION("""COMPUTED_VALUE"""),"SQL")</f>
        <v>SQL</v>
      </c>
      <c r="K4765" s="9" t="str">
        <f>IFERROR(__xludf.DUMMYFUNCTION("""COMPUTED_VALUE"""),"Java")</f>
        <v>Java</v>
      </c>
      <c r="L4765" s="9" t="str">
        <f>IFERROR(__xludf.DUMMYFUNCTION("""COMPUTED_VALUE"""),"Python")</f>
        <v>Python</v>
      </c>
      <c r="M4765" s="9" t="s">
        <v>22</v>
      </c>
    </row>
    <row r="4766" ht="15.75" customHeight="1">
      <c r="A4766" s="7"/>
      <c r="B4766" s="7" t="str">
        <f>IFERROR(__xludf.DUMMYFUNCTION("""COMPUTED_VALUE"""),"C;C#;HTML/CSS;Java;JavaScript;PHP;SQL")</f>
        <v>C;C#;HTML/CSS;Java;JavaScript;PHP;SQL</v>
      </c>
      <c r="C4766" s="9" t="str">
        <f>IFERROR(__xludf.DUMMYFUNCTION("""COMPUTED_VALUE"""),"Swift")</f>
        <v>Swift</v>
      </c>
      <c r="D4766" s="9" t="str">
        <f>IFERROR(__xludf.DUMMYFUNCTION("""COMPUTED_VALUE"""),"PHP")</f>
        <v>PHP</v>
      </c>
      <c r="E4766" s="9" t="str">
        <f>IFERROR(__xludf.DUMMYFUNCTION("""COMPUTED_VALUE"""),"SQL")</f>
        <v>SQL</v>
      </c>
      <c r="F4766" s="9" t="str">
        <f>IFERROR(__xludf.DUMMYFUNCTION("""COMPUTED_VALUE"""),"Erlang")</f>
        <v>Erlang</v>
      </c>
      <c r="G4766" s="9" t="str">
        <f>IFERROR(__xludf.DUMMYFUNCTION("""COMPUTED_VALUE"""),"Go")</f>
        <v>Go</v>
      </c>
      <c r="H4766" s="9" t="str">
        <f>IFERROR(__xludf.DUMMYFUNCTION("""COMPUTED_VALUE"""),"SQL")</f>
        <v>SQL</v>
      </c>
      <c r="I4766" s="9" t="str">
        <f>IFERROR(__xludf.DUMMYFUNCTION("""COMPUTED_VALUE"""),"Java")</f>
        <v>Java</v>
      </c>
      <c r="J4766" s="9" t="str">
        <f>IFERROR(__xludf.DUMMYFUNCTION("""COMPUTED_VALUE"""),"Bash/Shell/PowerShell")</f>
        <v>Bash/Shell/PowerShell</v>
      </c>
      <c r="K4766" s="9" t="str">
        <f>IFERROR(__xludf.DUMMYFUNCTION("""COMPUTED_VALUE"""),"JavaScript")</f>
        <v>JavaScript</v>
      </c>
      <c r="L4766" s="9" t="str">
        <f>IFERROR(__xludf.DUMMYFUNCTION("""COMPUTED_VALUE"""),"SQL")</f>
        <v>SQL</v>
      </c>
      <c r="M4766" s="9" t="s">
        <v>40</v>
      </c>
    </row>
    <row r="4767" ht="15.75" customHeight="1">
      <c r="A4767" s="7"/>
      <c r="B4767" s="7" t="str">
        <f>IFERROR(__xludf.DUMMYFUNCTION("""COMPUTED_VALUE"""),"C;C++;Dart;HTML/CSS;Java;JavaScript;Python;SQL")</f>
        <v>C;C++;Dart;HTML/CSS;Java;JavaScript;Python;SQL</v>
      </c>
      <c r="C4767" s="9" t="str">
        <f>IFERROR(__xludf.DUMMYFUNCTION("""COMPUTED_VALUE"""),"C++")</f>
        <v>C++</v>
      </c>
      <c r="D4767" s="9" t="str">
        <f>IFERROR(__xludf.DUMMYFUNCTION("""COMPUTED_VALUE"""),"Python")</f>
        <v>Python</v>
      </c>
      <c r="E4767" s="9" t="str">
        <f>IFERROR(__xludf.DUMMYFUNCTION("""COMPUTED_VALUE"""),"C#")</f>
        <v>C#</v>
      </c>
      <c r="F4767" s="9" t="str">
        <f>IFERROR(__xludf.DUMMYFUNCTION("""COMPUTED_VALUE"""),"Go")</f>
        <v>Go</v>
      </c>
      <c r="G4767" s="9" t="str">
        <f>IFERROR(__xludf.DUMMYFUNCTION("""COMPUTED_VALUE"""),"HTML/CSS")</f>
        <v>HTML/CSS</v>
      </c>
      <c r="H4767" s="9" t="str">
        <f>IFERROR(__xludf.DUMMYFUNCTION("""COMPUTED_VALUE"""),"Python")</f>
        <v>Python</v>
      </c>
      <c r="I4767" s="9" t="str">
        <f>IFERROR(__xludf.DUMMYFUNCTION("""COMPUTED_VALUE"""),"JavaScript")</f>
        <v>JavaScript</v>
      </c>
      <c r="J4767" s="9" t="str">
        <f>IFERROR(__xludf.DUMMYFUNCTION("""COMPUTED_VALUE"""),"C#")</f>
        <v>C#</v>
      </c>
      <c r="K4767" s="9" t="str">
        <f>IFERROR(__xludf.DUMMYFUNCTION("""COMPUTED_VALUE"""),"Python")</f>
        <v>Python</v>
      </c>
      <c r="L4767" s="9" t="str">
        <f>IFERROR(__xludf.DUMMYFUNCTION("""COMPUTED_VALUE"""),"VBA")</f>
        <v>VBA</v>
      </c>
      <c r="M4767" s="9" t="s">
        <v>23</v>
      </c>
    </row>
    <row r="4768" ht="15.75" customHeight="1">
      <c r="A4768" s="7"/>
      <c r="B4768" s="7" t="str">
        <f>IFERROR(__xludf.DUMMYFUNCTION("""COMPUTED_VALUE"""),"C#")</f>
        <v>C#</v>
      </c>
      <c r="C4768" s="9" t="str">
        <f>IFERROR(__xludf.DUMMYFUNCTION("""COMPUTED_VALUE"""),"HTML/CSS")</f>
        <v>HTML/CSS</v>
      </c>
      <c r="D4768" s="9" t="str">
        <f>IFERROR(__xludf.DUMMYFUNCTION("""COMPUTED_VALUE"""),"Ruby")</f>
        <v>Ruby</v>
      </c>
      <c r="E4768" s="9" t="str">
        <f>IFERROR(__xludf.DUMMYFUNCTION("""COMPUTED_VALUE"""),"Java")</f>
        <v>Java</v>
      </c>
      <c r="F4768" s="9" t="str">
        <f>IFERROR(__xludf.DUMMYFUNCTION("""COMPUTED_VALUE"""),"HTML/CSS")</f>
        <v>HTML/CSS</v>
      </c>
      <c r="G4768" s="9" t="str">
        <f>IFERROR(__xludf.DUMMYFUNCTION("""COMPUTED_VALUE"""),"JavaScript")</f>
        <v>JavaScript</v>
      </c>
      <c r="H4768" s="9" t="str">
        <f>IFERROR(__xludf.DUMMYFUNCTION("""COMPUTED_VALUE"""),"HTML/CSS")</f>
        <v>HTML/CSS</v>
      </c>
      <c r="I4768" s="9" t="str">
        <f>IFERROR(__xludf.DUMMYFUNCTION("""COMPUTED_VALUE"""),"SQL")</f>
        <v>SQL</v>
      </c>
      <c r="J4768" s="9" t="str">
        <f>IFERROR(__xludf.DUMMYFUNCTION("""COMPUTED_VALUE"""),"Dart")</f>
        <v>Dart</v>
      </c>
      <c r="K4768" s="9" t="str">
        <f>IFERROR(__xludf.DUMMYFUNCTION("""COMPUTED_VALUE"""),"SQL")</f>
        <v>SQL</v>
      </c>
      <c r="L4768" s="9" t="str">
        <f>IFERROR(__xludf.DUMMYFUNCTION("""COMPUTED_VALUE"""),"C")</f>
        <v>C</v>
      </c>
      <c r="M4768" s="9" t="s">
        <v>24</v>
      </c>
    </row>
    <row r="4769" ht="15.75" customHeight="1">
      <c r="A4769" s="7"/>
      <c r="B4769" s="7" t="str">
        <f>IFERROR(__xludf.DUMMYFUNCTION("""COMPUTED_VALUE"""),"C;C#;JavaScript;SQL;VBA")</f>
        <v>C;C#;JavaScript;SQL;VBA</v>
      </c>
      <c r="C4769" s="9" t="str">
        <f>IFERROR(__xludf.DUMMYFUNCTION("""COMPUTED_VALUE"""),"Java")</f>
        <v>Java</v>
      </c>
      <c r="D4769" s="9" t="str">
        <f>IFERROR(__xludf.DUMMYFUNCTION("""COMPUTED_VALUE"""),"SQL")</f>
        <v>SQL</v>
      </c>
      <c r="E4769" s="9" t="str">
        <f>IFERROR(__xludf.DUMMYFUNCTION("""COMPUTED_VALUE"""),"JavaScript")</f>
        <v>JavaScript</v>
      </c>
      <c r="F4769" s="9" t="str">
        <f>IFERROR(__xludf.DUMMYFUNCTION("""COMPUTED_VALUE"""),"JavaScript")</f>
        <v>JavaScript</v>
      </c>
      <c r="G4769" s="9" t="str">
        <f>IFERROR(__xludf.DUMMYFUNCTION("""COMPUTED_VALUE"""),"Kotlin")</f>
        <v>Kotlin</v>
      </c>
      <c r="H4769" s="9" t="str">
        <f>IFERROR(__xludf.DUMMYFUNCTION("""COMPUTED_VALUE"""),"Java")</f>
        <v>Java</v>
      </c>
      <c r="I4769" s="9" t="str">
        <f>IFERROR(__xludf.DUMMYFUNCTION("""COMPUTED_VALUE"""),"Bash/Shell/PowerShell")</f>
        <v>Bash/Shell/PowerShell</v>
      </c>
      <c r="J4769" s="9" t="str">
        <f>IFERROR(__xludf.DUMMYFUNCTION("""COMPUTED_VALUE"""),"HTML/CSS")</f>
        <v>HTML/CSS</v>
      </c>
      <c r="K4769" s="9" t="str">
        <f>IFERROR(__xludf.DUMMYFUNCTION("""COMPUTED_VALUE"""),"HTML/CSS")</f>
        <v>HTML/CSS</v>
      </c>
      <c r="L4769" s="9" t="str">
        <f>IFERROR(__xludf.DUMMYFUNCTION("""COMPUTED_VALUE"""),"C++")</f>
        <v>C++</v>
      </c>
      <c r="M4769" s="9" t="s">
        <v>20</v>
      </c>
    </row>
    <row r="4770" ht="15.75" customHeight="1">
      <c r="A4770" s="7"/>
      <c r="B4770" s="7" t="str">
        <f>IFERROR(__xludf.DUMMYFUNCTION("""COMPUTED_VALUE"""),"Bash/Shell/PowerShell;HTML/CSS;Java;PHP;Python;SQL")</f>
        <v>Bash/Shell/PowerShell;HTML/CSS;Java;PHP;Python;SQL</v>
      </c>
      <c r="C4770" s="9" t="str">
        <f>IFERROR(__xludf.DUMMYFUNCTION("""COMPUTED_VALUE"""),"JavaScript")</f>
        <v>JavaScript</v>
      </c>
      <c r="D4770" s="9" t="str">
        <f>IFERROR(__xludf.DUMMYFUNCTION("""COMPUTED_VALUE"""),"Other(s):")</f>
        <v>Other(s):</v>
      </c>
      <c r="E4770" s="9" t="str">
        <f>IFERROR(__xludf.DUMMYFUNCTION("""COMPUTED_VALUE"""),"PHP")</f>
        <v>PHP</v>
      </c>
      <c r="F4770" s="9" t="str">
        <f>IFERROR(__xludf.DUMMYFUNCTION("""COMPUTED_VALUE"""),"Python")</f>
        <v>Python</v>
      </c>
      <c r="G4770" s="9" t="str">
        <f>IFERROR(__xludf.DUMMYFUNCTION("""COMPUTED_VALUE"""),"Python")</f>
        <v>Python</v>
      </c>
      <c r="H4770" s="9" t="str">
        <f>IFERROR(__xludf.DUMMYFUNCTION("""COMPUTED_VALUE"""),"JavaScript")</f>
        <v>JavaScript</v>
      </c>
      <c r="I4770" s="9" t="str">
        <f>IFERROR(__xludf.DUMMYFUNCTION("""COMPUTED_VALUE"""),"C#")</f>
        <v>C#</v>
      </c>
      <c r="J4770" s="9" t="str">
        <f>IFERROR(__xludf.DUMMYFUNCTION("""COMPUTED_VALUE"""),"JavaScript")</f>
        <v>JavaScript</v>
      </c>
      <c r="K4770" s="9" t="str">
        <f>IFERROR(__xludf.DUMMYFUNCTION("""COMPUTED_VALUE"""),"JavaScript")</f>
        <v>JavaScript</v>
      </c>
      <c r="L4770" s="9" t="str">
        <f>IFERROR(__xludf.DUMMYFUNCTION("""COMPUTED_VALUE"""),"HTML/CSS")</f>
        <v>HTML/CSS</v>
      </c>
      <c r="M4770" s="9" t="s">
        <v>21</v>
      </c>
    </row>
    <row r="4771" ht="15.75" customHeight="1">
      <c r="A4771" s="7"/>
      <c r="B4771" s="7" t="str">
        <f>IFERROR(__xludf.DUMMYFUNCTION("""COMPUTED_VALUE"""),"Bash/Shell/PowerShell;C#;HTML/CSS;Java;JavaScript;PHP;Python;SQL")</f>
        <v>Bash/Shell/PowerShell;C#;HTML/CSS;Java;JavaScript;PHP;Python;SQL</v>
      </c>
      <c r="C4771" s="9" t="str">
        <f>IFERROR(__xludf.DUMMYFUNCTION("""COMPUTED_VALUE"""),"Python")</f>
        <v>Python</v>
      </c>
      <c r="D4771" s="9" t="str">
        <f>IFERROR(__xludf.DUMMYFUNCTION("""COMPUTED_VALUE"""),"Bash/Shell/PowerShell")</f>
        <v>Bash/Shell/PowerShell</v>
      </c>
      <c r="E4771" s="9" t="str">
        <f>IFERROR(__xludf.DUMMYFUNCTION("""COMPUTED_VALUE"""),"SQL")</f>
        <v>SQL</v>
      </c>
      <c r="F4771" s="9" t="str">
        <f>IFERROR(__xludf.DUMMYFUNCTION("""COMPUTED_VALUE"""),"R")</f>
        <v>R</v>
      </c>
      <c r="G4771" s="9" t="str">
        <f>IFERROR(__xludf.DUMMYFUNCTION("""COMPUTED_VALUE"""),"Bash/Shell/PowerShell")</f>
        <v>Bash/Shell/PowerShell</v>
      </c>
      <c r="H4771" s="9" t="str">
        <f>IFERROR(__xludf.DUMMYFUNCTION("""COMPUTED_VALUE"""),"R")</f>
        <v>R</v>
      </c>
      <c r="I4771" s="9" t="str">
        <f>IFERROR(__xludf.DUMMYFUNCTION("""COMPUTED_VALUE"""),"Go")</f>
        <v>Go</v>
      </c>
      <c r="J4771" s="9" t="str">
        <f>IFERROR(__xludf.DUMMYFUNCTION("""COMPUTED_VALUE"""),"SQL")</f>
        <v>SQL</v>
      </c>
      <c r="K4771" s="9" t="str">
        <f>IFERROR(__xludf.DUMMYFUNCTION("""COMPUTED_VALUE"""),"PHP")</f>
        <v>PHP</v>
      </c>
      <c r="L4771" s="9" t="str">
        <f>IFERROR(__xludf.DUMMYFUNCTION("""COMPUTED_VALUE"""),"Bash/Shell/PowerShell")</f>
        <v>Bash/Shell/PowerShell</v>
      </c>
      <c r="M4771" s="9" t="s">
        <v>22</v>
      </c>
    </row>
    <row r="4772" ht="15.75" customHeight="1">
      <c r="A4772" s="7"/>
      <c r="B4772" s="7" t="str">
        <f>IFERROR(__xludf.DUMMYFUNCTION("""COMPUTED_VALUE"""),"C++;C#;Other(s):")</f>
        <v>C++;C#;Other(s):</v>
      </c>
      <c r="C4772" s="9" t="str">
        <f>IFERROR(__xludf.DUMMYFUNCTION("""COMPUTED_VALUE"""),"SQL")</f>
        <v>SQL</v>
      </c>
      <c r="D4772" s="9" t="str">
        <f>IFERROR(__xludf.DUMMYFUNCTION("""COMPUTED_VALUE"""),"Go")</f>
        <v>Go</v>
      </c>
      <c r="E4772" s="9" t="str">
        <f>IFERROR(__xludf.DUMMYFUNCTION("""COMPUTED_VALUE"""),"Swift")</f>
        <v>Swift</v>
      </c>
      <c r="F4772" s="9" t="str">
        <f>IFERROR(__xludf.DUMMYFUNCTION("""COMPUTED_VALUE"""),"Rust")</f>
        <v>Rust</v>
      </c>
      <c r="G4772" s="9" t="str">
        <f>IFERROR(__xludf.DUMMYFUNCTION("""COMPUTED_VALUE"""),"C#")</f>
        <v>C#</v>
      </c>
      <c r="H4772" s="9" t="str">
        <f>IFERROR(__xludf.DUMMYFUNCTION("""COMPUTED_VALUE"""),"SQL")</f>
        <v>SQL</v>
      </c>
      <c r="I4772" s="9" t="str">
        <f>IFERROR(__xludf.DUMMYFUNCTION("""COMPUTED_VALUE"""),"HTML/CSS")</f>
        <v>HTML/CSS</v>
      </c>
      <c r="J4772" s="9" t="str">
        <f>IFERROR(__xludf.DUMMYFUNCTION("""COMPUTED_VALUE"""),"TypeScript")</f>
        <v>TypeScript</v>
      </c>
      <c r="K4772" s="9" t="str">
        <f>IFERROR(__xludf.DUMMYFUNCTION("""COMPUTED_VALUE"""),"Ruby")</f>
        <v>Ruby</v>
      </c>
      <c r="L4772" s="9" t="str">
        <f>IFERROR(__xludf.DUMMYFUNCTION("""COMPUTED_VALUE"""),"C#")</f>
        <v>C#</v>
      </c>
      <c r="M4772" s="9" t="s">
        <v>27</v>
      </c>
    </row>
    <row r="4773" ht="15.75" customHeight="1">
      <c r="A4773" s="7"/>
      <c r="B4773" s="7" t="str">
        <f>IFERROR(__xludf.DUMMYFUNCTION("""COMPUTED_VALUE"""),"Kotlin;Swift")</f>
        <v>Kotlin;Swift</v>
      </c>
      <c r="C4773" s="9" t="str">
        <f>IFERROR(__xludf.DUMMYFUNCTION("""COMPUTED_VALUE"""),"Other(s):")</f>
        <v>Other(s):</v>
      </c>
      <c r="D4773" s="9" t="str">
        <f>IFERROR(__xludf.DUMMYFUNCTION("""COMPUTED_VALUE"""),"HTML/CSS")</f>
        <v>HTML/CSS</v>
      </c>
      <c r="E4773" s="9" t="str">
        <f>IFERROR(__xludf.DUMMYFUNCTION("""COMPUTED_VALUE"""),"Bash/Shell/PowerShell")</f>
        <v>Bash/Shell/PowerShell</v>
      </c>
      <c r="F4773" s="9" t="str">
        <f>IFERROR(__xludf.DUMMYFUNCTION("""COMPUTED_VALUE"""),"SQL")</f>
        <v>SQL</v>
      </c>
      <c r="G4773" s="9" t="str">
        <f>IFERROR(__xludf.DUMMYFUNCTION("""COMPUTED_VALUE"""),"HTML/CSS")</f>
        <v>HTML/CSS</v>
      </c>
      <c r="H4773" s="9" t="str">
        <f>IFERROR(__xludf.DUMMYFUNCTION("""COMPUTED_VALUE"""),"C#")</f>
        <v>C#</v>
      </c>
      <c r="I4773" s="9" t="str">
        <f>IFERROR(__xludf.DUMMYFUNCTION("""COMPUTED_VALUE"""),"JavaScript")</f>
        <v>JavaScript</v>
      </c>
      <c r="J4773" s="9" t="str">
        <f>IFERROR(__xludf.DUMMYFUNCTION("""COMPUTED_VALUE"""),"Assembly")</f>
        <v>Assembly</v>
      </c>
      <c r="K4773" s="9" t="str">
        <f>IFERROR(__xludf.DUMMYFUNCTION("""COMPUTED_VALUE"""),"SQL")</f>
        <v>SQL</v>
      </c>
      <c r="L4773" s="9" t="str">
        <f>IFERROR(__xludf.DUMMYFUNCTION("""COMPUTED_VALUE"""),"HTML/CSS")</f>
        <v>HTML/CSS</v>
      </c>
      <c r="M4773" s="9" t="s">
        <v>35</v>
      </c>
    </row>
    <row r="4774" ht="15.75" customHeight="1">
      <c r="A4774" s="7"/>
      <c r="B4774" s="7" t="str">
        <f>IFERROR(__xludf.DUMMYFUNCTION("""COMPUTED_VALUE"""),"C;C#;HTML/CSS;JavaScript;SQL")</f>
        <v>C;C#;HTML/CSS;JavaScript;SQL</v>
      </c>
      <c r="C4774" s="9" t="str">
        <f>IFERROR(__xludf.DUMMYFUNCTION("""COMPUTED_VALUE"""),"Java")</f>
        <v>Java</v>
      </c>
      <c r="D4774" s="9" t="str">
        <f>IFERROR(__xludf.DUMMYFUNCTION("""COMPUTED_VALUE"""),"Java")</f>
        <v>Java</v>
      </c>
      <c r="E4774" s="9" t="str">
        <f>IFERROR(__xludf.DUMMYFUNCTION("""COMPUTED_VALUE"""),"HTML/CSS")</f>
        <v>HTML/CSS</v>
      </c>
      <c r="F4774" s="9" t="str">
        <f>IFERROR(__xludf.DUMMYFUNCTION("""COMPUTED_VALUE"""),"Bash/Shell/PowerShell")</f>
        <v>Bash/Shell/PowerShell</v>
      </c>
      <c r="G4774" s="9" t="str">
        <f>IFERROR(__xludf.DUMMYFUNCTION("""COMPUTED_VALUE"""),"JavaScript")</f>
        <v>JavaScript</v>
      </c>
      <c r="H4774" s="9" t="str">
        <f>IFERROR(__xludf.DUMMYFUNCTION("""COMPUTED_VALUE"""),"HTML/CSS")</f>
        <v>HTML/CSS</v>
      </c>
      <c r="I4774" s="9" t="str">
        <f>IFERROR(__xludf.DUMMYFUNCTION("""COMPUTED_VALUE"""),"R")</f>
        <v>R</v>
      </c>
      <c r="J4774" s="9" t="str">
        <f>IFERROR(__xludf.DUMMYFUNCTION("""COMPUTED_VALUE"""),"Bash/Shell/PowerShell")</f>
        <v>Bash/Shell/PowerShell</v>
      </c>
      <c r="K4774" s="9" t="str">
        <f>IFERROR(__xludf.DUMMYFUNCTION("""COMPUTED_VALUE"""),"HTML/CSS")</f>
        <v>HTML/CSS</v>
      </c>
      <c r="L4774" s="9" t="str">
        <f>IFERROR(__xludf.DUMMYFUNCTION("""COMPUTED_VALUE"""),"Java")</f>
        <v>Java</v>
      </c>
      <c r="M4774" s="9" t="s">
        <v>20</v>
      </c>
    </row>
    <row r="4775" ht="15.75" customHeight="1">
      <c r="A4775" s="7"/>
      <c r="B4775" s="7" t="str">
        <f>IFERROR(__xludf.DUMMYFUNCTION("""COMPUTED_VALUE"""),"Go;JavaScript;Rust;TypeScript;Other(s):")</f>
        <v>Go;JavaScript;Rust;TypeScript;Other(s):</v>
      </c>
      <c r="C4775" s="9" t="str">
        <f>IFERROR(__xludf.DUMMYFUNCTION("""COMPUTED_VALUE"""),"C#")</f>
        <v>C#</v>
      </c>
      <c r="D4775" s="9" t="str">
        <f>IFERROR(__xludf.DUMMYFUNCTION("""COMPUTED_VALUE"""),"JavaScript")</f>
        <v>JavaScript</v>
      </c>
      <c r="E4775" s="9" t="str">
        <f>IFERROR(__xludf.DUMMYFUNCTION("""COMPUTED_VALUE"""),"JavaScript")</f>
        <v>JavaScript</v>
      </c>
      <c r="F4775" s="9" t="str">
        <f>IFERROR(__xludf.DUMMYFUNCTION("""COMPUTED_VALUE"""),"C++")</f>
        <v>C++</v>
      </c>
      <c r="G4775" s="9" t="str">
        <f>IFERROR(__xludf.DUMMYFUNCTION("""COMPUTED_VALUE"""),"PHP")</f>
        <v>PHP</v>
      </c>
      <c r="H4775" s="9" t="str">
        <f>IFERROR(__xludf.DUMMYFUNCTION("""COMPUTED_VALUE"""),"JavaScript")</f>
        <v>JavaScript</v>
      </c>
      <c r="I4775" s="9" t="str">
        <f>IFERROR(__xludf.DUMMYFUNCTION("""COMPUTED_VALUE"""),"SQL")</f>
        <v>SQL</v>
      </c>
      <c r="J4775" s="9" t="str">
        <f>IFERROR(__xludf.DUMMYFUNCTION("""COMPUTED_VALUE"""),"C")</f>
        <v>C</v>
      </c>
      <c r="K4775" s="9" t="str">
        <f>IFERROR(__xludf.DUMMYFUNCTION("""COMPUTED_VALUE"""),"JavaScript")</f>
        <v>JavaScript</v>
      </c>
      <c r="L4775" s="9" t="str">
        <f>IFERROR(__xludf.DUMMYFUNCTION("""COMPUTED_VALUE"""),"Bash/Shell/PowerShell")</f>
        <v>Bash/Shell/PowerShell</v>
      </c>
      <c r="M4775" s="9" t="s">
        <v>26</v>
      </c>
    </row>
    <row r="4776" ht="15.75" customHeight="1">
      <c r="A4776" s="7"/>
      <c r="B4776" s="7" t="str">
        <f>IFERROR(__xludf.DUMMYFUNCTION("""COMPUTED_VALUE"""),"Assembly;HTML/CSS;Java;JavaScript;Python;SQL;TypeScript")</f>
        <v>Assembly;HTML/CSS;Java;JavaScript;Python;SQL;TypeScript</v>
      </c>
      <c r="C4776" s="9" t="str">
        <f>IFERROR(__xludf.DUMMYFUNCTION("""COMPUTED_VALUE"""),"HTML/CSS")</f>
        <v>HTML/CSS</v>
      </c>
      <c r="D4776" s="9" t="str">
        <f>IFERROR(__xludf.DUMMYFUNCTION("""COMPUTED_VALUE"""),"Scala")</f>
        <v>Scala</v>
      </c>
      <c r="E4776" s="9" t="str">
        <f>IFERROR(__xludf.DUMMYFUNCTION("""COMPUTED_VALUE"""),"PHP")</f>
        <v>PHP</v>
      </c>
      <c r="F4776" s="9" t="str">
        <f>IFERROR(__xludf.DUMMYFUNCTION("""COMPUTED_VALUE"""),"HTML/CSS")</f>
        <v>HTML/CSS</v>
      </c>
      <c r="G4776" s="9" t="str">
        <f>IFERROR(__xludf.DUMMYFUNCTION("""COMPUTED_VALUE"""),"SQL")</f>
        <v>SQL</v>
      </c>
      <c r="H4776" s="9" t="str">
        <f>IFERROR(__xludf.DUMMYFUNCTION("""COMPUTED_VALUE"""),"SQL")</f>
        <v>SQL</v>
      </c>
      <c r="I4776" s="9" t="str">
        <f>IFERROR(__xludf.DUMMYFUNCTION("""COMPUTED_VALUE"""),"WebAssembly")</f>
        <v>WebAssembly</v>
      </c>
      <c r="J4776" s="9" t="str">
        <f>IFERROR(__xludf.DUMMYFUNCTION("""COMPUTED_VALUE"""),"C++")</f>
        <v>C++</v>
      </c>
      <c r="K4776" s="9" t="str">
        <f>IFERROR(__xludf.DUMMYFUNCTION("""COMPUTED_VALUE"""),"PHP")</f>
        <v>PHP</v>
      </c>
      <c r="L4776" s="9" t="str">
        <f>IFERROR(__xludf.DUMMYFUNCTION("""COMPUTED_VALUE"""),"C#")</f>
        <v>C#</v>
      </c>
      <c r="M4776" s="9" t="s">
        <v>24</v>
      </c>
    </row>
    <row r="4777" ht="15.75" customHeight="1">
      <c r="A4777" s="7"/>
      <c r="B4777" s="7" t="str">
        <f>IFERROR(__xludf.DUMMYFUNCTION("""COMPUTED_VALUE"""),"Bash/Shell/PowerShell;HTML/CSS;JavaScript;Python;Ruby")</f>
        <v>Bash/Shell/PowerShell;HTML/CSS;JavaScript;Python;Ruby</v>
      </c>
      <c r="C4777" s="9" t="str">
        <f>IFERROR(__xludf.DUMMYFUNCTION("""COMPUTED_VALUE"""),"Java")</f>
        <v>Java</v>
      </c>
      <c r="D4777" s="9" t="str">
        <f>IFERROR(__xludf.DUMMYFUNCTION("""COMPUTED_VALUE"""),"TypeScript")</f>
        <v>TypeScript</v>
      </c>
      <c r="E4777" s="9" t="str">
        <f>IFERROR(__xludf.DUMMYFUNCTION("""COMPUTED_VALUE"""),"Python")</f>
        <v>Python</v>
      </c>
      <c r="F4777" s="9" t="str">
        <f>IFERROR(__xludf.DUMMYFUNCTION("""COMPUTED_VALUE"""),"JavaScript")</f>
        <v>JavaScript</v>
      </c>
      <c r="G4777" s="9" t="str">
        <f>IFERROR(__xludf.DUMMYFUNCTION("""COMPUTED_VALUE"""),"Bash/Shell/PowerShell")</f>
        <v>Bash/Shell/PowerShell</v>
      </c>
      <c r="H4777" s="9" t="str">
        <f>IFERROR(__xludf.DUMMYFUNCTION("""COMPUTED_VALUE"""),"HTML/CSS")</f>
        <v>HTML/CSS</v>
      </c>
      <c r="I4777" s="9" t="str">
        <f>IFERROR(__xludf.DUMMYFUNCTION("""COMPUTED_VALUE"""),"Java")</f>
        <v>Java</v>
      </c>
      <c r="J4777" s="9" t="str">
        <f>IFERROR(__xludf.DUMMYFUNCTION("""COMPUTED_VALUE"""),"HTML/CSS")</f>
        <v>HTML/CSS</v>
      </c>
      <c r="K4777" s="9" t="str">
        <f>IFERROR(__xludf.DUMMYFUNCTION("""COMPUTED_VALUE"""),"SQL")</f>
        <v>SQL</v>
      </c>
      <c r="L4777" s="9" t="str">
        <f>IFERROR(__xludf.DUMMYFUNCTION("""COMPUTED_VALUE"""),"HTML/CSS")</f>
        <v>HTML/CSS</v>
      </c>
      <c r="M4777" s="9" t="s">
        <v>20</v>
      </c>
    </row>
    <row r="4778" ht="15.75" customHeight="1">
      <c r="A4778" s="7"/>
      <c r="B4778" s="7" t="str">
        <f>IFERROR(__xludf.DUMMYFUNCTION("""COMPUTED_VALUE"""),"HTML/CSS;Java;JavaScript;Ruby;SQL")</f>
        <v>HTML/CSS;Java;JavaScript;Ruby;SQL</v>
      </c>
      <c r="C4778" s="9" t="str">
        <f>IFERROR(__xludf.DUMMYFUNCTION("""COMPUTED_VALUE"""),"JavaScript")</f>
        <v>JavaScript</v>
      </c>
      <c r="D4778" s="9" t="str">
        <f>IFERROR(__xludf.DUMMYFUNCTION("""COMPUTED_VALUE"""),"HTML/CSS")</f>
        <v>HTML/CSS</v>
      </c>
      <c r="E4778" s="9" t="str">
        <f>IFERROR(__xludf.DUMMYFUNCTION("""COMPUTED_VALUE"""),"SQL")</f>
        <v>SQL</v>
      </c>
      <c r="F4778" s="9" t="str">
        <f>IFERROR(__xludf.DUMMYFUNCTION("""COMPUTED_VALUE"""),"Python")</f>
        <v>Python</v>
      </c>
      <c r="G4778" s="9" t="str">
        <f>IFERROR(__xludf.DUMMYFUNCTION("""COMPUTED_VALUE"""),"C#")</f>
        <v>C#</v>
      </c>
      <c r="H4778" s="9" t="str">
        <f>IFERROR(__xludf.DUMMYFUNCTION("""COMPUTED_VALUE"""),"JavaScript")</f>
        <v>JavaScript</v>
      </c>
      <c r="I4778" s="9" t="str">
        <f>IFERROR(__xludf.DUMMYFUNCTION("""COMPUTED_VALUE"""),"C#")</f>
        <v>C#</v>
      </c>
      <c r="J4778" s="9" t="str">
        <f>IFERROR(__xludf.DUMMYFUNCTION("""COMPUTED_VALUE"""),"Java")</f>
        <v>Java</v>
      </c>
      <c r="K4778" s="9" t="str">
        <f>IFERROR(__xludf.DUMMYFUNCTION("""COMPUTED_VALUE"""),"VBA")</f>
        <v>VBA</v>
      </c>
      <c r="L4778" s="9" t="str">
        <f>IFERROR(__xludf.DUMMYFUNCTION("""COMPUTED_VALUE"""),"Java")</f>
        <v>Java</v>
      </c>
      <c r="M4778" s="9" t="s">
        <v>21</v>
      </c>
    </row>
    <row r="4779" ht="15.75" customHeight="1">
      <c r="A4779" s="7"/>
      <c r="B4779" s="7" t="str">
        <f>IFERROR(__xludf.DUMMYFUNCTION("""COMPUTED_VALUE"""),"C;C++;Go;JavaScript;Objective-C;PHP;Python;Ruby;SQL;Swift;TypeScript;Other(s):")</f>
        <v>C;C++;Go;JavaScript;Objective-C;PHP;Python;Ruby;SQL;Swift;TypeScript;Other(s):</v>
      </c>
      <c r="C4779" s="9" t="str">
        <f>IFERROR(__xludf.DUMMYFUNCTION("""COMPUTED_VALUE"""),"PHP")</f>
        <v>PHP</v>
      </c>
      <c r="D4779" s="9" t="str">
        <f>IFERROR(__xludf.DUMMYFUNCTION("""COMPUTED_VALUE"""),"JavaScript")</f>
        <v>JavaScript</v>
      </c>
      <c r="E4779" s="9" t="str">
        <f>IFERROR(__xludf.DUMMYFUNCTION("""COMPUTED_VALUE"""),"Bash/Shell/PowerShell")</f>
        <v>Bash/Shell/PowerShell</v>
      </c>
      <c r="F4779" s="9" t="str">
        <f>IFERROR(__xludf.DUMMYFUNCTION("""COMPUTED_VALUE"""),"SQL")</f>
        <v>SQL</v>
      </c>
      <c r="G4779" s="9" t="str">
        <f>IFERROR(__xludf.DUMMYFUNCTION("""COMPUTED_VALUE"""),"JavaScript")</f>
        <v>JavaScript</v>
      </c>
      <c r="H4779" s="9" t="str">
        <f>IFERROR(__xludf.DUMMYFUNCTION("""COMPUTED_VALUE"""),"TypeScript")</f>
        <v>TypeScript</v>
      </c>
      <c r="I4779" s="9" t="str">
        <f>IFERROR(__xludf.DUMMYFUNCTION("""COMPUTED_VALUE"""),"HTML/CSS")</f>
        <v>HTML/CSS</v>
      </c>
      <c r="J4779" s="9" t="str">
        <f>IFERROR(__xludf.DUMMYFUNCTION("""COMPUTED_VALUE"""),"JavaScript")</f>
        <v>JavaScript</v>
      </c>
      <c r="K4779" s="9" t="str">
        <f>IFERROR(__xludf.DUMMYFUNCTION("""COMPUTED_VALUE"""),"HTML/CSS")</f>
        <v>HTML/CSS</v>
      </c>
      <c r="L4779" s="9" t="str">
        <f>IFERROR(__xludf.DUMMYFUNCTION("""COMPUTED_VALUE"""),"JavaScript")</f>
        <v>JavaScript</v>
      </c>
      <c r="M4779" s="9" t="s">
        <v>37</v>
      </c>
    </row>
    <row r="4780" ht="15.75" customHeight="1">
      <c r="A4780" s="7"/>
      <c r="B4780" s="7" t="str">
        <f>IFERROR(__xludf.DUMMYFUNCTION("""COMPUTED_VALUE"""),"Bash/Shell/PowerShell;C#;HTML/CSS;JavaScript;SQL")</f>
        <v>Bash/Shell/PowerShell;C#;HTML/CSS;JavaScript;SQL</v>
      </c>
      <c r="C4780" s="9" t="str">
        <f>IFERROR(__xludf.DUMMYFUNCTION("""COMPUTED_VALUE"""),"SQL")</f>
        <v>SQL</v>
      </c>
      <c r="D4780" s="9" t="str">
        <f>IFERROR(__xludf.DUMMYFUNCTION("""COMPUTED_VALUE"""),"Bash/Shell/PowerShell")</f>
        <v>Bash/Shell/PowerShell</v>
      </c>
      <c r="E4780" s="9" t="str">
        <f>IFERROR(__xludf.DUMMYFUNCTION("""COMPUTED_VALUE"""),"Go")</f>
        <v>Go</v>
      </c>
      <c r="F4780" s="9" t="str">
        <f>IFERROR(__xludf.DUMMYFUNCTION("""COMPUTED_VALUE"""),"Bash/Shell/PowerShell")</f>
        <v>Bash/Shell/PowerShell</v>
      </c>
      <c r="G4780" s="9" t="str">
        <f>IFERROR(__xludf.DUMMYFUNCTION("""COMPUTED_VALUE"""),"TypeScript")</f>
        <v>TypeScript</v>
      </c>
      <c r="H4780" s="9" t="str">
        <f>IFERROR(__xludf.DUMMYFUNCTION("""COMPUTED_VALUE"""),"Assembly")</f>
        <v>Assembly</v>
      </c>
      <c r="I4780" s="9" t="str">
        <f>IFERROR(__xludf.DUMMYFUNCTION("""COMPUTED_VALUE"""),"Java")</f>
        <v>Java</v>
      </c>
      <c r="J4780" s="9" t="str">
        <f>IFERROR(__xludf.DUMMYFUNCTION("""COMPUTED_VALUE"""),"Python")</f>
        <v>Python</v>
      </c>
      <c r="K4780" s="9" t="str">
        <f>IFERROR(__xludf.DUMMYFUNCTION("""COMPUTED_VALUE"""),"Java")</f>
        <v>Java</v>
      </c>
      <c r="L4780" s="9" t="str">
        <f>IFERROR(__xludf.DUMMYFUNCTION("""COMPUTED_VALUE"""),"SQL")</f>
        <v>SQL</v>
      </c>
      <c r="M4780" s="9" t="s">
        <v>27</v>
      </c>
    </row>
    <row r="4781" ht="15.75" customHeight="1">
      <c r="A4781" s="7"/>
      <c r="B4781" s="7" t="str">
        <f>IFERROR(__xludf.DUMMYFUNCTION("""COMPUTED_VALUE"""),"C;C++;C#;HTML/CSS;Java;JavaScript;Kotlin;Swift")</f>
        <v>C;C++;C#;HTML/CSS;Java;JavaScript;Kotlin;Swift</v>
      </c>
      <c r="C4781" s="9" t="str">
        <f>IFERROR(__xludf.DUMMYFUNCTION("""COMPUTED_VALUE"""),"TypeScript")</f>
        <v>TypeScript</v>
      </c>
      <c r="D4781" s="9" t="str">
        <f>IFERROR(__xludf.DUMMYFUNCTION("""COMPUTED_VALUE"""),"HTML/CSS")</f>
        <v>HTML/CSS</v>
      </c>
      <c r="E4781" s="9" t="str">
        <f>IFERROR(__xludf.DUMMYFUNCTION("""COMPUTED_VALUE"""),"HTML/CSS")</f>
        <v>HTML/CSS</v>
      </c>
      <c r="F4781" s="9" t="str">
        <f>IFERROR(__xludf.DUMMYFUNCTION("""COMPUTED_VALUE"""),"HTML/CSS")</f>
        <v>HTML/CSS</v>
      </c>
      <c r="G4781" s="9" t="str">
        <f>IFERROR(__xludf.DUMMYFUNCTION("""COMPUTED_VALUE"""),"HTML/CSS")</f>
        <v>HTML/CSS</v>
      </c>
      <c r="H4781" s="9" t="str">
        <f>IFERROR(__xludf.DUMMYFUNCTION("""COMPUTED_VALUE"""),"Bash/Shell/PowerShell")</f>
        <v>Bash/Shell/PowerShell</v>
      </c>
      <c r="I4781" s="9" t="str">
        <f>IFERROR(__xludf.DUMMYFUNCTION("""COMPUTED_VALUE"""),"JavaScript")</f>
        <v>JavaScript</v>
      </c>
      <c r="J4781" s="9" t="str">
        <f>IFERROR(__xludf.DUMMYFUNCTION("""COMPUTED_VALUE"""),"Rust")</f>
        <v>Rust</v>
      </c>
      <c r="K4781" s="9" t="str">
        <f>IFERROR(__xludf.DUMMYFUNCTION("""COMPUTED_VALUE"""),"JavaScript")</f>
        <v>JavaScript</v>
      </c>
      <c r="L4781" s="9" t="str">
        <f>IFERROR(__xludf.DUMMYFUNCTION("""COMPUTED_VALUE"""),"C")</f>
        <v>C</v>
      </c>
      <c r="M4781" s="9" t="s">
        <v>33</v>
      </c>
    </row>
    <row r="4782" ht="15.75" customHeight="1">
      <c r="A4782" s="7"/>
      <c r="B4782" s="7" t="str">
        <f>IFERROR(__xludf.DUMMYFUNCTION("""COMPUTED_VALUE"""),"C#;HTML/CSS;JavaScript;SQL")</f>
        <v>C#;HTML/CSS;JavaScript;SQL</v>
      </c>
      <c r="C4782" s="9" t="str">
        <f>IFERROR(__xludf.DUMMYFUNCTION("""COMPUTED_VALUE"""),"Java")</f>
        <v>Java</v>
      </c>
      <c r="D4782" s="9" t="str">
        <f>IFERROR(__xludf.DUMMYFUNCTION("""COMPUTED_VALUE"""),"JavaScript")</f>
        <v>JavaScript</v>
      </c>
      <c r="E4782" s="9" t="str">
        <f>IFERROR(__xludf.DUMMYFUNCTION("""COMPUTED_VALUE"""),"JavaScript")</f>
        <v>JavaScript</v>
      </c>
      <c r="F4782" s="9" t="str">
        <f>IFERROR(__xludf.DUMMYFUNCTION("""COMPUTED_VALUE"""),"Java")</f>
        <v>Java</v>
      </c>
      <c r="G4782" s="9" t="str">
        <f>IFERROR(__xludf.DUMMYFUNCTION("""COMPUTED_VALUE"""),"JavaScript")</f>
        <v>JavaScript</v>
      </c>
      <c r="H4782" s="9" t="str">
        <f>IFERROR(__xludf.DUMMYFUNCTION("""COMPUTED_VALUE"""),"C")</f>
        <v>C</v>
      </c>
      <c r="I4782" s="9" t="str">
        <f>IFERROR(__xludf.DUMMYFUNCTION("""COMPUTED_VALUE"""),"PHP")</f>
        <v>PHP</v>
      </c>
      <c r="J4782" s="9" t="str">
        <f>IFERROR(__xludf.DUMMYFUNCTION("""COMPUTED_VALUE"""),"Bash/Shell/PowerShell")</f>
        <v>Bash/Shell/PowerShell</v>
      </c>
      <c r="K4782" s="9" t="str">
        <f>IFERROR(__xludf.DUMMYFUNCTION("""COMPUTED_VALUE"""),"Python")</f>
        <v>Python</v>
      </c>
      <c r="L4782" s="9" t="str">
        <f>IFERROR(__xludf.DUMMYFUNCTION("""COMPUTED_VALUE"""),"C++")</f>
        <v>C++</v>
      </c>
      <c r="M4782" s="9" t="s">
        <v>20</v>
      </c>
    </row>
    <row r="4783" ht="15.75" customHeight="1">
      <c r="A4783" s="7"/>
      <c r="B4783" s="7" t="str">
        <f>IFERROR(__xludf.DUMMYFUNCTION("""COMPUTED_VALUE"""),"C;C#;HTML/CSS;Java;JavaScript;PHP;Python;SQL;TypeScript")</f>
        <v>C;C#;HTML/CSS;Java;JavaScript;PHP;Python;SQL;TypeScript</v>
      </c>
      <c r="C4783" s="9" t="str">
        <f>IFERROR(__xludf.DUMMYFUNCTION("""COMPUTED_VALUE"""),"JavaScript")</f>
        <v>JavaScript</v>
      </c>
      <c r="D4783" s="9" t="str">
        <f>IFERROR(__xludf.DUMMYFUNCTION("""COMPUTED_VALUE"""),"Python")</f>
        <v>Python</v>
      </c>
      <c r="E4783" s="9" t="str">
        <f>IFERROR(__xludf.DUMMYFUNCTION("""COMPUTED_VALUE"""),"Objective-C")</f>
        <v>Objective-C</v>
      </c>
      <c r="F4783" s="9" t="str">
        <f>IFERROR(__xludf.DUMMYFUNCTION("""COMPUTED_VALUE"""),"JavaScript")</f>
        <v>JavaScript</v>
      </c>
      <c r="G4783" s="9" t="str">
        <f>IFERROR(__xludf.DUMMYFUNCTION("""COMPUTED_VALUE"""),"Other(s):")</f>
        <v>Other(s):</v>
      </c>
      <c r="H4783" s="9" t="str">
        <f>IFERROR(__xludf.DUMMYFUNCTION("""COMPUTED_VALUE"""),"Java")</f>
        <v>Java</v>
      </c>
      <c r="I4783" s="9" t="str">
        <f>IFERROR(__xludf.DUMMYFUNCTION("""COMPUTED_VALUE"""),"Python")</f>
        <v>Python</v>
      </c>
      <c r="J4783" s="9" t="str">
        <f>IFERROR(__xludf.DUMMYFUNCTION("""COMPUTED_VALUE"""),"C++")</f>
        <v>C++</v>
      </c>
      <c r="K4783" s="9" t="str">
        <f>IFERROR(__xludf.DUMMYFUNCTION("""COMPUTED_VALUE"""),"SQL")</f>
        <v>SQL</v>
      </c>
      <c r="L4783" s="9" t="str">
        <f>IFERROR(__xludf.DUMMYFUNCTION("""COMPUTED_VALUE"""),"HTML/CSS")</f>
        <v>HTML/CSS</v>
      </c>
      <c r="M4783" s="9" t="s">
        <v>21</v>
      </c>
    </row>
    <row r="4784" ht="15.75" customHeight="1">
      <c r="A4784" s="7"/>
      <c r="B4784" s="7" t="str">
        <f>IFERROR(__xludf.DUMMYFUNCTION("""COMPUTED_VALUE"""),"C;C#;Python;SQL")</f>
        <v>C;C#;Python;SQL</v>
      </c>
      <c r="C4784" s="9" t="str">
        <f>IFERROR(__xludf.DUMMYFUNCTION("""COMPUTED_VALUE"""),"TypeScript")</f>
        <v>TypeScript</v>
      </c>
      <c r="D4784" s="9" t="str">
        <f>IFERROR(__xludf.DUMMYFUNCTION("""COMPUTED_VALUE"""),"SQL")</f>
        <v>SQL</v>
      </c>
      <c r="E4784" s="9" t="str">
        <f>IFERROR(__xludf.DUMMYFUNCTION("""COMPUTED_VALUE"""),"Ruby")</f>
        <v>Ruby</v>
      </c>
      <c r="F4784" s="9" t="str">
        <f>IFERROR(__xludf.DUMMYFUNCTION("""COMPUTED_VALUE"""),"Kotlin")</f>
        <v>Kotlin</v>
      </c>
      <c r="G4784" s="9" t="str">
        <f>IFERROR(__xludf.DUMMYFUNCTION("""COMPUTED_VALUE"""),"C#")</f>
        <v>C#</v>
      </c>
      <c r="H4784" s="9" t="str">
        <f>IFERROR(__xludf.DUMMYFUNCTION("""COMPUTED_VALUE"""),"JavaScript")</f>
        <v>JavaScript</v>
      </c>
      <c r="I4784" s="9" t="str">
        <f>IFERROR(__xludf.DUMMYFUNCTION("""COMPUTED_VALUE"""),"TypeScript")</f>
        <v>TypeScript</v>
      </c>
      <c r="J4784" s="9" t="str">
        <f>IFERROR(__xludf.DUMMYFUNCTION("""COMPUTED_VALUE"""),"C#")</f>
        <v>C#</v>
      </c>
      <c r="K4784" s="9" t="str">
        <f>IFERROR(__xludf.DUMMYFUNCTION("""COMPUTED_VALUE"""),"C#")</f>
        <v>C#</v>
      </c>
      <c r="L4784" s="9" t="str">
        <f>IFERROR(__xludf.DUMMYFUNCTION("""COMPUTED_VALUE"""),"JavaScript")</f>
        <v>JavaScript</v>
      </c>
      <c r="M4784" s="9" t="s">
        <v>33</v>
      </c>
    </row>
    <row r="4785" ht="15.75" customHeight="1">
      <c r="A4785" s="7"/>
      <c r="B4785" s="7" t="str">
        <f>IFERROR(__xludf.DUMMYFUNCTION("""COMPUTED_VALUE"""),"Python;Other(s):")</f>
        <v>Python;Other(s):</v>
      </c>
      <c r="C4785" s="9" t="str">
        <f>IFERROR(__xludf.DUMMYFUNCTION("""COMPUTED_VALUE"""),"Bash/Shell/PowerShell")</f>
        <v>Bash/Shell/PowerShell</v>
      </c>
      <c r="D4785" s="9" t="str">
        <f>IFERROR(__xludf.DUMMYFUNCTION("""COMPUTED_VALUE"""),"Other(s):")</f>
        <v>Other(s):</v>
      </c>
      <c r="E4785" s="9" t="str">
        <f>IFERROR(__xludf.DUMMYFUNCTION("""COMPUTED_VALUE"""),"SQL")</f>
        <v>SQL</v>
      </c>
      <c r="F4785" s="9" t="str">
        <f>IFERROR(__xludf.DUMMYFUNCTION("""COMPUTED_VALUE"""),"TypeScript")</f>
        <v>TypeScript</v>
      </c>
      <c r="G4785" s="9" t="str">
        <f>IFERROR(__xludf.DUMMYFUNCTION("""COMPUTED_VALUE"""),"HTML/CSS")</f>
        <v>HTML/CSS</v>
      </c>
      <c r="H4785" s="9" t="str">
        <f>IFERROR(__xludf.DUMMYFUNCTION("""COMPUTED_VALUE"""),"Objective-C")</f>
        <v>Objective-C</v>
      </c>
      <c r="I4785" s="9" t="str">
        <f>IFERROR(__xludf.DUMMYFUNCTION("""COMPUTED_VALUE"""),"Bash/Shell/PowerShell")</f>
        <v>Bash/Shell/PowerShell</v>
      </c>
      <c r="J4785" s="9" t="str">
        <f>IFERROR(__xludf.DUMMYFUNCTION("""COMPUTED_VALUE"""),"Python")</f>
        <v>Python</v>
      </c>
      <c r="K4785" s="9" t="str">
        <f>IFERROR(__xludf.DUMMYFUNCTION("""COMPUTED_VALUE"""),"HTML/CSS")</f>
        <v>HTML/CSS</v>
      </c>
      <c r="L4785" s="9" t="str">
        <f>IFERROR(__xludf.DUMMYFUNCTION("""COMPUTED_VALUE"""),"HTML/CSS")</f>
        <v>HTML/CSS</v>
      </c>
      <c r="M4785" s="9" t="s">
        <v>30</v>
      </c>
    </row>
    <row r="4786" ht="15.75" customHeight="1">
      <c r="A4786" s="7"/>
      <c r="B4786" s="7" t="str">
        <f>IFERROR(__xludf.DUMMYFUNCTION("""COMPUTED_VALUE"""),"HTML/CSS;JavaScript;Ruby;SQL")</f>
        <v>HTML/CSS;JavaScript;Ruby;SQL</v>
      </c>
      <c r="C4786" s="9" t="str">
        <f>IFERROR(__xludf.DUMMYFUNCTION("""COMPUTED_VALUE"""),"C")</f>
        <v>C</v>
      </c>
      <c r="D4786" s="9" t="str">
        <f>IFERROR(__xludf.DUMMYFUNCTION("""COMPUTED_VALUE"""),"C#")</f>
        <v>C#</v>
      </c>
      <c r="E4786" s="9" t="str">
        <f>IFERROR(__xludf.DUMMYFUNCTION("""COMPUTED_VALUE"""),"Swift")</f>
        <v>Swift</v>
      </c>
      <c r="F4786" s="9" t="str">
        <f>IFERROR(__xludf.DUMMYFUNCTION("""COMPUTED_VALUE"""),"HTML/CSS")</f>
        <v>HTML/CSS</v>
      </c>
      <c r="G4786" s="9" t="str">
        <f>IFERROR(__xludf.DUMMYFUNCTION("""COMPUTED_VALUE"""),"JavaScript")</f>
        <v>JavaScript</v>
      </c>
      <c r="H4786" s="9" t="str">
        <f>IFERROR(__xludf.DUMMYFUNCTION("""COMPUTED_VALUE"""),"Python")</f>
        <v>Python</v>
      </c>
      <c r="I4786" s="9" t="str">
        <f>IFERROR(__xludf.DUMMYFUNCTION("""COMPUTED_VALUE"""),"C#")</f>
        <v>C#</v>
      </c>
      <c r="J4786" s="9" t="str">
        <f>IFERROR(__xludf.DUMMYFUNCTION("""COMPUTED_VALUE"""),"C")</f>
        <v>C</v>
      </c>
      <c r="K4786" s="9" t="str">
        <f>IFERROR(__xludf.DUMMYFUNCTION("""COMPUTED_VALUE"""),"JavaScript")</f>
        <v>JavaScript</v>
      </c>
      <c r="L4786" s="9" t="str">
        <f>IFERROR(__xludf.DUMMYFUNCTION("""COMPUTED_VALUE"""),"JavaScript")</f>
        <v>JavaScript</v>
      </c>
      <c r="M4786" s="9" t="s">
        <v>25</v>
      </c>
    </row>
    <row r="4787" ht="15.75" customHeight="1">
      <c r="A4787" s="7"/>
      <c r="B4787" s="7" t="str">
        <f>IFERROR(__xludf.DUMMYFUNCTION("""COMPUTED_VALUE"""),"C#;F#;HTML/CSS;JavaScript;TypeScript")</f>
        <v>C#;F#;HTML/CSS;JavaScript;TypeScript</v>
      </c>
      <c r="C4787" s="9" t="str">
        <f>IFERROR(__xludf.DUMMYFUNCTION("""COMPUTED_VALUE"""),"C++")</f>
        <v>C++</v>
      </c>
      <c r="D4787" s="9" t="str">
        <f>IFERROR(__xludf.DUMMYFUNCTION("""COMPUTED_VALUE"""),"HTML/CSS")</f>
        <v>HTML/CSS</v>
      </c>
      <c r="E4787" s="9" t="str">
        <f>IFERROR(__xludf.DUMMYFUNCTION("""COMPUTED_VALUE"""),"TypeScript")</f>
        <v>TypeScript</v>
      </c>
      <c r="F4787" s="9" t="str">
        <f>IFERROR(__xludf.DUMMYFUNCTION("""COMPUTED_VALUE"""),"Java")</f>
        <v>Java</v>
      </c>
      <c r="G4787" s="9" t="str">
        <f>IFERROR(__xludf.DUMMYFUNCTION("""COMPUTED_VALUE"""),"PHP")</f>
        <v>PHP</v>
      </c>
      <c r="H4787" s="9" t="str">
        <f>IFERROR(__xludf.DUMMYFUNCTION("""COMPUTED_VALUE"""),"Swift")</f>
        <v>Swift</v>
      </c>
      <c r="I4787" s="9" t="str">
        <f>IFERROR(__xludf.DUMMYFUNCTION("""COMPUTED_VALUE"""),"HTML/CSS")</f>
        <v>HTML/CSS</v>
      </c>
      <c r="J4787" s="9" t="str">
        <f>IFERROR(__xludf.DUMMYFUNCTION("""COMPUTED_VALUE"""),"C++")</f>
        <v>C++</v>
      </c>
      <c r="K4787" s="9" t="str">
        <f>IFERROR(__xludf.DUMMYFUNCTION("""COMPUTED_VALUE"""),"SQL")</f>
        <v>SQL</v>
      </c>
      <c r="L4787" s="9" t="str">
        <f>IFERROR(__xludf.DUMMYFUNCTION("""COMPUTED_VALUE"""),"Python")</f>
        <v>Python</v>
      </c>
      <c r="M4787" s="9" t="s">
        <v>23</v>
      </c>
    </row>
    <row r="4788" ht="15.75" customHeight="1">
      <c r="A4788" s="7"/>
      <c r="B4788" s="7" t="str">
        <f>IFERROR(__xludf.DUMMYFUNCTION("""COMPUTED_VALUE"""),"C;C++;HTML/CSS;Java;JavaScript;Ruby")</f>
        <v>C;C++;HTML/CSS;Java;JavaScript;Ruby</v>
      </c>
      <c r="C4788" s="9" t="str">
        <f>IFERROR(__xludf.DUMMYFUNCTION("""COMPUTED_VALUE"""),"C#")</f>
        <v>C#</v>
      </c>
      <c r="D4788" s="9" t="str">
        <f>IFERROR(__xludf.DUMMYFUNCTION("""COMPUTED_VALUE"""),"Java")</f>
        <v>Java</v>
      </c>
      <c r="E4788" s="9" t="str">
        <f>IFERROR(__xludf.DUMMYFUNCTION("""COMPUTED_VALUE"""),"Bash/Shell/PowerShell")</f>
        <v>Bash/Shell/PowerShell</v>
      </c>
      <c r="F4788" s="9" t="str">
        <f>IFERROR(__xludf.DUMMYFUNCTION("""COMPUTED_VALUE"""),"JavaScript")</f>
        <v>JavaScript</v>
      </c>
      <c r="G4788" s="9" t="str">
        <f>IFERROR(__xludf.DUMMYFUNCTION("""COMPUTED_VALUE"""),"Python")</f>
        <v>Python</v>
      </c>
      <c r="H4788" s="9" t="str">
        <f>IFERROR(__xludf.DUMMYFUNCTION("""COMPUTED_VALUE"""),"Bash/Shell/PowerShell")</f>
        <v>Bash/Shell/PowerShell</v>
      </c>
      <c r="I4788" s="9" t="str">
        <f>IFERROR(__xludf.DUMMYFUNCTION("""COMPUTED_VALUE"""),"Java")</f>
        <v>Java</v>
      </c>
      <c r="J4788" s="9" t="str">
        <f>IFERROR(__xludf.DUMMYFUNCTION("""COMPUTED_VALUE"""),"C#")</f>
        <v>C#</v>
      </c>
      <c r="K4788" s="9" t="str">
        <f>IFERROR(__xludf.DUMMYFUNCTION("""COMPUTED_VALUE"""),"C")</f>
        <v>C</v>
      </c>
      <c r="L4788" s="9" t="str">
        <f>IFERROR(__xludf.DUMMYFUNCTION("""COMPUTED_VALUE"""),"Bash/Shell/PowerShell")</f>
        <v>Bash/Shell/PowerShell</v>
      </c>
      <c r="M4788" s="9" t="s">
        <v>26</v>
      </c>
    </row>
    <row r="4789" ht="15.75" customHeight="1">
      <c r="A4789" s="7"/>
      <c r="B4789" s="7" t="str">
        <f>IFERROR(__xludf.DUMMYFUNCTION("""COMPUTED_VALUE"""),"C#")</f>
        <v>C#</v>
      </c>
      <c r="C4789" s="9" t="str">
        <f>IFERROR(__xludf.DUMMYFUNCTION("""COMPUTED_VALUE"""),"Java")</f>
        <v>Java</v>
      </c>
      <c r="D4789" s="9" t="str">
        <f>IFERROR(__xludf.DUMMYFUNCTION("""COMPUTED_VALUE"""),"JavaScript")</f>
        <v>JavaScript</v>
      </c>
      <c r="E4789" s="9" t="str">
        <f>IFERROR(__xludf.DUMMYFUNCTION("""COMPUTED_VALUE"""),"Go")</f>
        <v>Go</v>
      </c>
      <c r="F4789" s="9" t="str">
        <f>IFERROR(__xludf.DUMMYFUNCTION("""COMPUTED_VALUE"""),"PHP")</f>
        <v>PHP</v>
      </c>
      <c r="G4789" s="9" t="str">
        <f>IFERROR(__xludf.DUMMYFUNCTION("""COMPUTED_VALUE"""),"SQL")</f>
        <v>SQL</v>
      </c>
      <c r="H4789" s="9" t="str">
        <f>IFERROR(__xludf.DUMMYFUNCTION("""COMPUTED_VALUE"""),"C")</f>
        <v>C</v>
      </c>
      <c r="I4789" s="9" t="str">
        <f>IFERROR(__xludf.DUMMYFUNCTION("""COMPUTED_VALUE"""),"JavaScript")</f>
        <v>JavaScript</v>
      </c>
      <c r="J4789" s="9" t="str">
        <f>IFERROR(__xludf.DUMMYFUNCTION("""COMPUTED_VALUE"""),"HTML/CSS")</f>
        <v>HTML/CSS</v>
      </c>
      <c r="K4789" s="9" t="str">
        <f>IFERROR(__xludf.DUMMYFUNCTION("""COMPUTED_VALUE"""),"C++")</f>
        <v>C++</v>
      </c>
      <c r="L4789" s="9" t="str">
        <f>IFERROR(__xludf.DUMMYFUNCTION("""COMPUTED_VALUE"""),"C#")</f>
        <v>C#</v>
      </c>
      <c r="M4789" s="9" t="s">
        <v>20</v>
      </c>
    </row>
    <row r="4790" ht="15.75" customHeight="1">
      <c r="A4790" s="7"/>
      <c r="B4790" s="7" t="str">
        <f>IFERROR(__xludf.DUMMYFUNCTION("""COMPUTED_VALUE"""),"Bash/Shell/PowerShell;Objective-C;Ruby;Swift")</f>
        <v>Bash/Shell/PowerShell;Objective-C;Ruby;Swift</v>
      </c>
      <c r="C4790" s="9" t="str">
        <f>IFERROR(__xludf.DUMMYFUNCTION("""COMPUTED_VALUE"""),"SQL")</f>
        <v>SQL</v>
      </c>
      <c r="D4790" s="9" t="str">
        <f>IFERROR(__xludf.DUMMYFUNCTION("""COMPUTED_VALUE"""),"Objective-C")</f>
        <v>Objective-C</v>
      </c>
      <c r="E4790" s="9" t="str">
        <f>IFERROR(__xludf.DUMMYFUNCTION("""COMPUTED_VALUE"""),"Java")</f>
        <v>Java</v>
      </c>
      <c r="F4790" s="9" t="str">
        <f>IFERROR(__xludf.DUMMYFUNCTION("""COMPUTED_VALUE"""),"Python")</f>
        <v>Python</v>
      </c>
      <c r="G4790" s="9" t="str">
        <f>IFERROR(__xludf.DUMMYFUNCTION("""COMPUTED_VALUE"""),"TypeScript")</f>
        <v>TypeScript</v>
      </c>
      <c r="H4790" s="9" t="str">
        <f>IFERROR(__xludf.DUMMYFUNCTION("""COMPUTED_VALUE"""),"C++")</f>
        <v>C++</v>
      </c>
      <c r="I4790" s="9" t="str">
        <f>IFERROR(__xludf.DUMMYFUNCTION("""COMPUTED_VALUE"""),"PHP")</f>
        <v>PHP</v>
      </c>
      <c r="J4790" s="9" t="str">
        <f>IFERROR(__xludf.DUMMYFUNCTION("""COMPUTED_VALUE"""),"JavaScript")</f>
        <v>JavaScript</v>
      </c>
      <c r="K4790" s="9" t="str">
        <f>IFERROR(__xludf.DUMMYFUNCTION("""COMPUTED_VALUE"""),"C#")</f>
        <v>C#</v>
      </c>
      <c r="L4790" s="9" t="str">
        <f>IFERROR(__xludf.DUMMYFUNCTION("""COMPUTED_VALUE"""),"Dart")</f>
        <v>Dart</v>
      </c>
      <c r="M4790" s="9" t="s">
        <v>27</v>
      </c>
    </row>
    <row r="4791" ht="15.75" customHeight="1">
      <c r="A4791" s="7"/>
      <c r="B4791" s="7" t="str">
        <f>IFERROR(__xludf.DUMMYFUNCTION("""COMPUTED_VALUE"""),"HTML/CSS;Java;JavaScript;PHP;SQL;TypeScript")</f>
        <v>HTML/CSS;Java;JavaScript;PHP;SQL;TypeScript</v>
      </c>
      <c r="C4791" s="9" t="str">
        <f>IFERROR(__xludf.DUMMYFUNCTION("""COMPUTED_VALUE"""),"Bash/Shell/PowerShell")</f>
        <v>Bash/Shell/PowerShell</v>
      </c>
      <c r="D4791" s="9" t="str">
        <f>IFERROR(__xludf.DUMMYFUNCTION("""COMPUTED_VALUE"""),"Scala")</f>
        <v>Scala</v>
      </c>
      <c r="E4791" s="9" t="str">
        <f>IFERROR(__xludf.DUMMYFUNCTION("""COMPUTED_VALUE"""),"Kotlin")</f>
        <v>Kotlin</v>
      </c>
      <c r="F4791" s="9" t="str">
        <f>IFERROR(__xludf.DUMMYFUNCTION("""COMPUTED_VALUE"""),"SQL")</f>
        <v>SQL</v>
      </c>
      <c r="G4791" s="9" t="str">
        <f>IFERROR(__xludf.DUMMYFUNCTION("""COMPUTED_VALUE"""),"Bash/Shell/PowerShell")</f>
        <v>Bash/Shell/PowerShell</v>
      </c>
      <c r="H4791" s="9" t="str">
        <f>IFERROR(__xludf.DUMMYFUNCTION("""COMPUTED_VALUE"""),"HTML/CSS")</f>
        <v>HTML/CSS</v>
      </c>
      <c r="I4791" s="9" t="str">
        <f>IFERROR(__xludf.DUMMYFUNCTION("""COMPUTED_VALUE"""),"Python")</f>
        <v>Python</v>
      </c>
      <c r="J4791" s="9" t="str">
        <f>IFERROR(__xludf.DUMMYFUNCTION("""COMPUTED_VALUE"""),"PHP")</f>
        <v>PHP</v>
      </c>
      <c r="K4791" s="9" t="str">
        <f>IFERROR(__xludf.DUMMYFUNCTION("""COMPUTED_VALUE"""),"Java")</f>
        <v>Java</v>
      </c>
      <c r="L4791" s="9" t="str">
        <f>IFERROR(__xludf.DUMMYFUNCTION("""COMPUTED_VALUE"""),"Java")</f>
        <v>Java</v>
      </c>
      <c r="M4791" s="9" t="s">
        <v>30</v>
      </c>
    </row>
    <row r="4792" ht="15.75" customHeight="1">
      <c r="A4792" s="7"/>
      <c r="B4792" s="7" t="str">
        <f>IFERROR(__xludf.DUMMYFUNCTION("""COMPUTED_VALUE"""),"HTML/CSS;Java;JavaScript;SQL")</f>
        <v>HTML/CSS;Java;JavaScript;SQL</v>
      </c>
      <c r="C4792" s="9" t="str">
        <f>IFERROR(__xludf.DUMMYFUNCTION("""COMPUTED_VALUE"""),"HTML/CSS")</f>
        <v>HTML/CSS</v>
      </c>
      <c r="D4792" s="9" t="str">
        <f>IFERROR(__xludf.DUMMYFUNCTION("""COMPUTED_VALUE"""),"SQL")</f>
        <v>SQL</v>
      </c>
      <c r="E4792" s="9" t="str">
        <f>IFERROR(__xludf.DUMMYFUNCTION("""COMPUTED_VALUE"""),"Python")</f>
        <v>Python</v>
      </c>
      <c r="F4792" s="9" t="str">
        <f>IFERROR(__xludf.DUMMYFUNCTION("""COMPUTED_VALUE"""),"Bash/Shell/PowerShell")</f>
        <v>Bash/Shell/PowerShell</v>
      </c>
      <c r="G4792" s="9" t="str">
        <f>IFERROR(__xludf.DUMMYFUNCTION("""COMPUTED_VALUE"""),"C#")</f>
        <v>C#</v>
      </c>
      <c r="H4792" s="9" t="str">
        <f>IFERROR(__xludf.DUMMYFUNCTION("""COMPUTED_VALUE"""),"JavaScript")</f>
        <v>JavaScript</v>
      </c>
      <c r="I4792" s="9" t="str">
        <f>IFERROR(__xludf.DUMMYFUNCTION("""COMPUTED_VALUE"""),"R")</f>
        <v>R</v>
      </c>
      <c r="J4792" s="9" t="str">
        <f>IFERROR(__xludf.DUMMYFUNCTION("""COMPUTED_VALUE"""),"HTML/CSS")</f>
        <v>HTML/CSS</v>
      </c>
      <c r="K4792" s="9" t="str">
        <f>IFERROR(__xludf.DUMMYFUNCTION("""COMPUTED_VALUE"""),"JavaScript")</f>
        <v>JavaScript</v>
      </c>
      <c r="L4792" s="9" t="str">
        <f>IFERROR(__xludf.DUMMYFUNCTION("""COMPUTED_VALUE"""),"Bash/Shell/PowerShell")</f>
        <v>Bash/Shell/PowerShell</v>
      </c>
      <c r="M4792" s="9" t="s">
        <v>24</v>
      </c>
    </row>
    <row r="4793" ht="15.75" customHeight="1">
      <c r="A4793" s="7"/>
      <c r="B4793" s="7" t="str">
        <f>IFERROR(__xludf.DUMMYFUNCTION("""COMPUTED_VALUE"""),"C#;HTML/CSS;Java;JavaScript;PHP;Python")</f>
        <v>C#;HTML/CSS;Java;JavaScript;PHP;Python</v>
      </c>
      <c r="C4793" s="9" t="str">
        <f>IFERROR(__xludf.DUMMYFUNCTION("""COMPUTED_VALUE"""),"Other(s):")</f>
        <v>Other(s):</v>
      </c>
      <c r="D4793" s="9" t="str">
        <f>IFERROR(__xludf.DUMMYFUNCTION("""COMPUTED_VALUE"""),"TypeScript")</f>
        <v>TypeScript</v>
      </c>
      <c r="E4793" s="9" t="str">
        <f>IFERROR(__xludf.DUMMYFUNCTION("""COMPUTED_VALUE"""),"Bash/Shell/PowerShell")</f>
        <v>Bash/Shell/PowerShell</v>
      </c>
      <c r="F4793" s="9" t="str">
        <f>IFERROR(__xludf.DUMMYFUNCTION("""COMPUTED_VALUE"""),"HTML/CSS")</f>
        <v>HTML/CSS</v>
      </c>
      <c r="G4793" s="9" t="str">
        <f>IFERROR(__xludf.DUMMYFUNCTION("""COMPUTED_VALUE"""),"HTML/CSS")</f>
        <v>HTML/CSS</v>
      </c>
      <c r="H4793" s="9" t="str">
        <f>IFERROR(__xludf.DUMMYFUNCTION("""COMPUTED_VALUE"""),"Python")</f>
        <v>Python</v>
      </c>
      <c r="I4793" s="9" t="str">
        <f>IFERROR(__xludf.DUMMYFUNCTION("""COMPUTED_VALUE"""),"Ruby")</f>
        <v>Ruby</v>
      </c>
      <c r="J4793" s="9" t="str">
        <f>IFERROR(__xludf.DUMMYFUNCTION("""COMPUTED_VALUE"""),"JavaScript")</f>
        <v>JavaScript</v>
      </c>
      <c r="K4793" s="9" t="str">
        <f>IFERROR(__xludf.DUMMYFUNCTION("""COMPUTED_VALUE"""),"PHP")</f>
        <v>PHP</v>
      </c>
      <c r="L4793" s="9" t="str">
        <f>IFERROR(__xludf.DUMMYFUNCTION("""COMPUTED_VALUE"""),"C#")</f>
        <v>C#</v>
      </c>
      <c r="M4793" s="9" t="s">
        <v>35</v>
      </c>
    </row>
    <row r="4794" ht="15.75" customHeight="1">
      <c r="A4794" s="7"/>
      <c r="B4794" s="7" t="str">
        <f>IFERROR(__xludf.DUMMYFUNCTION("""COMPUTED_VALUE"""),"Java;JavaScript;Objective-C;Swift")</f>
        <v>Java;JavaScript;Objective-C;Swift</v>
      </c>
      <c r="C4794" s="9" t="str">
        <f>IFERROR(__xludf.DUMMYFUNCTION("""COMPUTED_VALUE"""),"C#")</f>
        <v>C#</v>
      </c>
      <c r="D4794" s="9" t="str">
        <f>IFERROR(__xludf.DUMMYFUNCTION("""COMPUTED_VALUE"""),"Bash/Shell/PowerShell")</f>
        <v>Bash/Shell/PowerShell</v>
      </c>
      <c r="E4794" s="9" t="str">
        <f>IFERROR(__xludf.DUMMYFUNCTION("""COMPUTED_VALUE"""),"C")</f>
        <v>C</v>
      </c>
      <c r="F4794" s="9" t="str">
        <f>IFERROR(__xludf.DUMMYFUNCTION("""COMPUTED_VALUE"""),"Java")</f>
        <v>Java</v>
      </c>
      <c r="G4794" s="9" t="str">
        <f>IFERROR(__xludf.DUMMYFUNCTION("""COMPUTED_VALUE"""),"Java")</f>
        <v>Java</v>
      </c>
      <c r="H4794" s="9" t="str">
        <f>IFERROR(__xludf.DUMMYFUNCTION("""COMPUTED_VALUE"""),"Other(s):")</f>
        <v>Other(s):</v>
      </c>
      <c r="I4794" s="9" t="str">
        <f>IFERROR(__xludf.DUMMYFUNCTION("""COMPUTED_VALUE"""),"SQL")</f>
        <v>SQL</v>
      </c>
      <c r="J4794" s="9" t="str">
        <f>IFERROR(__xludf.DUMMYFUNCTION("""COMPUTED_VALUE"""),"PHP")</f>
        <v>PHP</v>
      </c>
      <c r="K4794" s="9" t="str">
        <f>IFERROR(__xludf.DUMMYFUNCTION("""COMPUTED_VALUE"""),"Python")</f>
        <v>Python</v>
      </c>
      <c r="L4794" s="9" t="str">
        <f>IFERROR(__xludf.DUMMYFUNCTION("""COMPUTED_VALUE"""),"HTML/CSS")</f>
        <v>HTML/CSS</v>
      </c>
      <c r="M4794" s="9" t="s">
        <v>26</v>
      </c>
    </row>
    <row r="4795" ht="15.75" customHeight="1">
      <c r="A4795" s="7"/>
      <c r="B4795" s="7" t="str">
        <f>IFERROR(__xludf.DUMMYFUNCTION("""COMPUTED_VALUE"""),"Bash/Shell/PowerShell;Clojure;Python")</f>
        <v>Bash/Shell/PowerShell;Clojure;Python</v>
      </c>
      <c r="C4795" s="9" t="str">
        <f>IFERROR(__xludf.DUMMYFUNCTION("""COMPUTED_VALUE"""),"HTML/CSS")</f>
        <v>HTML/CSS</v>
      </c>
      <c r="D4795" s="9" t="str">
        <f>IFERROR(__xludf.DUMMYFUNCTION("""COMPUTED_VALUE"""),"HTML/CSS")</f>
        <v>HTML/CSS</v>
      </c>
      <c r="E4795" s="9" t="str">
        <f>IFERROR(__xludf.DUMMYFUNCTION("""COMPUTED_VALUE"""),"Python")</f>
        <v>Python</v>
      </c>
      <c r="F4795" s="9" t="str">
        <f>IFERROR(__xludf.DUMMYFUNCTION("""COMPUTED_VALUE"""),"JavaScript")</f>
        <v>JavaScript</v>
      </c>
      <c r="G4795" s="9" t="str">
        <f>IFERROR(__xludf.DUMMYFUNCTION("""COMPUTED_VALUE"""),"JavaScript")</f>
        <v>JavaScript</v>
      </c>
      <c r="H4795" s="9" t="str">
        <f>IFERROR(__xludf.DUMMYFUNCTION("""COMPUTED_VALUE"""),"JavaScript")</f>
        <v>JavaScript</v>
      </c>
      <c r="I4795" s="9" t="str">
        <f>IFERROR(__xludf.DUMMYFUNCTION("""COMPUTED_VALUE"""),"VBA")</f>
        <v>VBA</v>
      </c>
      <c r="J4795" s="9" t="str">
        <f>IFERROR(__xludf.DUMMYFUNCTION("""COMPUTED_VALUE"""),"Python")</f>
        <v>Python</v>
      </c>
      <c r="K4795" s="9" t="str">
        <f>IFERROR(__xludf.DUMMYFUNCTION("""COMPUTED_VALUE"""),"SQL")</f>
        <v>SQL</v>
      </c>
      <c r="L4795" s="9" t="str">
        <f>IFERROR(__xludf.DUMMYFUNCTION("""COMPUTED_VALUE"""),"Java")</f>
        <v>Java</v>
      </c>
      <c r="M4795" s="9" t="s">
        <v>24</v>
      </c>
    </row>
    <row r="4796" ht="15.75" customHeight="1">
      <c r="A4796" s="7"/>
      <c r="B4796" s="7" t="str">
        <f>IFERROR(__xludf.DUMMYFUNCTION("""COMPUTED_VALUE"""),"Bash/Shell/PowerShell;HTML/CSS;Java;JavaScript")</f>
        <v>Bash/Shell/PowerShell;HTML/CSS;Java;JavaScript</v>
      </c>
      <c r="C4796" s="9" t="str">
        <f>IFERROR(__xludf.DUMMYFUNCTION("""COMPUTED_VALUE"""),"JavaScript")</f>
        <v>JavaScript</v>
      </c>
      <c r="D4796" s="9" t="str">
        <f>IFERROR(__xludf.DUMMYFUNCTION("""COMPUTED_VALUE"""),"JavaScript")</f>
        <v>JavaScript</v>
      </c>
      <c r="E4796" s="9" t="str">
        <f>IFERROR(__xludf.DUMMYFUNCTION("""COMPUTED_VALUE"""),"Assembly")</f>
        <v>Assembly</v>
      </c>
      <c r="F4796" s="9" t="str">
        <f>IFERROR(__xludf.DUMMYFUNCTION("""COMPUTED_VALUE"""),"PHP")</f>
        <v>PHP</v>
      </c>
      <c r="G4796" s="9" t="str">
        <f>IFERROR(__xludf.DUMMYFUNCTION("""COMPUTED_VALUE"""),"Python")</f>
        <v>Python</v>
      </c>
      <c r="H4796" s="9" t="str">
        <f>IFERROR(__xludf.DUMMYFUNCTION("""COMPUTED_VALUE"""),"SQL")</f>
        <v>SQL</v>
      </c>
      <c r="I4796" s="9" t="str">
        <f>IFERROR(__xludf.DUMMYFUNCTION("""COMPUTED_VALUE"""),"Bash/Shell/PowerShell")</f>
        <v>Bash/Shell/PowerShell</v>
      </c>
      <c r="J4796" s="9" t="str">
        <f>IFERROR(__xludf.DUMMYFUNCTION("""COMPUTED_VALUE"""),"Assembly")</f>
        <v>Assembly</v>
      </c>
      <c r="K4796" s="9" t="str">
        <f>IFERROR(__xludf.DUMMYFUNCTION("""COMPUTED_VALUE"""),"TypeScript")</f>
        <v>TypeScript</v>
      </c>
      <c r="L4796" s="9" t="str">
        <f>IFERROR(__xludf.DUMMYFUNCTION("""COMPUTED_VALUE"""),"JavaScript")</f>
        <v>JavaScript</v>
      </c>
      <c r="M4796" s="9" t="s">
        <v>21</v>
      </c>
    </row>
    <row r="4797" ht="15.75" customHeight="1">
      <c r="A4797" s="7"/>
      <c r="B4797" s="7" t="str">
        <f>IFERROR(__xludf.DUMMYFUNCTION("""COMPUTED_VALUE"""),"C;C#;JavaScript;Swift;TypeScript")</f>
        <v>C;C#;JavaScript;Swift;TypeScript</v>
      </c>
      <c r="C4797" s="9" t="str">
        <f>IFERROR(__xludf.DUMMYFUNCTION("""COMPUTED_VALUE"""),"SQL")</f>
        <v>SQL</v>
      </c>
      <c r="D4797" s="9" t="str">
        <f>IFERROR(__xludf.DUMMYFUNCTION("""COMPUTED_VALUE"""),"Python")</f>
        <v>Python</v>
      </c>
      <c r="E4797" s="9" t="str">
        <f>IFERROR(__xludf.DUMMYFUNCTION("""COMPUTED_VALUE"""),"C")</f>
        <v>C</v>
      </c>
      <c r="F4797" s="9" t="str">
        <f>IFERROR(__xludf.DUMMYFUNCTION("""COMPUTED_VALUE"""),"Ruby")</f>
        <v>Ruby</v>
      </c>
      <c r="G4797" s="9" t="str">
        <f>IFERROR(__xludf.DUMMYFUNCTION("""COMPUTED_VALUE"""),"Scala")</f>
        <v>Scala</v>
      </c>
      <c r="H4797" s="9" t="str">
        <f>IFERROR(__xludf.DUMMYFUNCTION("""COMPUTED_VALUE"""),"Bash/Shell/PowerShell")</f>
        <v>Bash/Shell/PowerShell</v>
      </c>
      <c r="I4797" s="9" t="str">
        <f>IFERROR(__xludf.DUMMYFUNCTION("""COMPUTED_VALUE"""),"C")</f>
        <v>C</v>
      </c>
      <c r="J4797" s="9" t="str">
        <f>IFERROR(__xludf.DUMMYFUNCTION("""COMPUTED_VALUE"""),"C#")</f>
        <v>C#</v>
      </c>
      <c r="K4797" s="9" t="str">
        <f>IFERROR(__xludf.DUMMYFUNCTION("""COMPUTED_VALUE"""),"Bash/Shell/PowerShell")</f>
        <v>Bash/Shell/PowerShell</v>
      </c>
      <c r="L4797" s="9" t="str">
        <f>IFERROR(__xludf.DUMMYFUNCTION("""COMPUTED_VALUE"""),"PHP")</f>
        <v>PHP</v>
      </c>
      <c r="M4797" s="9" t="s">
        <v>27</v>
      </c>
    </row>
    <row r="4798" ht="15.75" customHeight="1">
      <c r="A4798" s="7"/>
      <c r="B4798" s="7" t="str">
        <f>IFERROR(__xludf.DUMMYFUNCTION("""COMPUTED_VALUE"""),"HTML/CSS;Java;JavaScript;Ruby")</f>
        <v>HTML/CSS;Java;JavaScript;Ruby</v>
      </c>
      <c r="C4798" s="9" t="str">
        <f>IFERROR(__xludf.DUMMYFUNCTION("""COMPUTED_VALUE"""),"TypeScript")</f>
        <v>TypeScript</v>
      </c>
      <c r="D4798" s="9" t="str">
        <f>IFERROR(__xludf.DUMMYFUNCTION("""COMPUTED_VALUE"""),"SQL")</f>
        <v>SQL</v>
      </c>
      <c r="E4798" s="9" t="str">
        <f>IFERROR(__xludf.DUMMYFUNCTION("""COMPUTED_VALUE"""),"C++")</f>
        <v>C++</v>
      </c>
      <c r="F4798" s="9" t="str">
        <f>IFERROR(__xludf.DUMMYFUNCTION("""COMPUTED_VALUE"""),"SQL")</f>
        <v>SQL</v>
      </c>
      <c r="G4798" s="9" t="str">
        <f>IFERROR(__xludf.DUMMYFUNCTION("""COMPUTED_VALUE"""),"Other(s):")</f>
        <v>Other(s):</v>
      </c>
      <c r="H4798" s="9" t="str">
        <f>IFERROR(__xludf.DUMMYFUNCTION("""COMPUTED_VALUE"""),"C")</f>
        <v>C</v>
      </c>
      <c r="I4798" s="9" t="str">
        <f>IFERROR(__xludf.DUMMYFUNCTION("""COMPUTED_VALUE"""),"C++")</f>
        <v>C++</v>
      </c>
      <c r="J4798" s="9" t="str">
        <f>IFERROR(__xludf.DUMMYFUNCTION("""COMPUTED_VALUE"""),"JavaScript")</f>
        <v>JavaScript</v>
      </c>
      <c r="K4798" s="9" t="str">
        <f>IFERROR(__xludf.DUMMYFUNCTION("""COMPUTED_VALUE"""),"HTML/CSS")</f>
        <v>HTML/CSS</v>
      </c>
      <c r="L4798" s="9" t="str">
        <f>IFERROR(__xludf.DUMMYFUNCTION("""COMPUTED_VALUE"""),"Python")</f>
        <v>Python</v>
      </c>
      <c r="M4798" s="9" t="s">
        <v>33</v>
      </c>
    </row>
    <row r="4799" ht="15.75" customHeight="1">
      <c r="A4799" s="7"/>
      <c r="B4799" s="7" t="str">
        <f>IFERROR(__xludf.DUMMYFUNCTION("""COMPUTED_VALUE"""),"C;Python;Rust")</f>
        <v>C;Python;Rust</v>
      </c>
      <c r="C4799" s="9" t="str">
        <f>IFERROR(__xludf.DUMMYFUNCTION("""COMPUTED_VALUE"""),"C#")</f>
        <v>C#</v>
      </c>
      <c r="D4799" s="9" t="str">
        <f>IFERROR(__xludf.DUMMYFUNCTION("""COMPUTED_VALUE"""),"Assembly")</f>
        <v>Assembly</v>
      </c>
      <c r="E4799" s="9" t="str">
        <f>IFERROR(__xludf.DUMMYFUNCTION("""COMPUTED_VALUE"""),"C#")</f>
        <v>C#</v>
      </c>
      <c r="F4799" s="9" t="str">
        <f>IFERROR(__xludf.DUMMYFUNCTION("""COMPUTED_VALUE"""),"HTML/CSS")</f>
        <v>HTML/CSS</v>
      </c>
      <c r="G4799" s="9" t="str">
        <f>IFERROR(__xludf.DUMMYFUNCTION("""COMPUTED_VALUE"""),"Java")</f>
        <v>Java</v>
      </c>
      <c r="H4799" s="9" t="str">
        <f>IFERROR(__xludf.DUMMYFUNCTION("""COMPUTED_VALUE"""),"Go")</f>
        <v>Go</v>
      </c>
      <c r="I4799" s="9" t="str">
        <f>IFERROR(__xludf.DUMMYFUNCTION("""COMPUTED_VALUE"""),"C#")</f>
        <v>C#</v>
      </c>
      <c r="J4799" s="9" t="str">
        <f>IFERROR(__xludf.DUMMYFUNCTION("""COMPUTED_VALUE"""),"SQL")</f>
        <v>SQL</v>
      </c>
      <c r="K4799" s="9" t="str">
        <f>IFERROR(__xludf.DUMMYFUNCTION("""COMPUTED_VALUE"""),"Java")</f>
        <v>Java</v>
      </c>
      <c r="L4799" s="9" t="str">
        <f>IFERROR(__xludf.DUMMYFUNCTION("""COMPUTED_VALUE"""),"Ruby")</f>
        <v>Ruby</v>
      </c>
      <c r="M4799" s="9" t="s">
        <v>26</v>
      </c>
    </row>
    <row r="4800" ht="15.75" customHeight="1">
      <c r="A4800" s="7"/>
      <c r="B4800" s="7" t="str">
        <f>IFERROR(__xludf.DUMMYFUNCTION("""COMPUTED_VALUE"""),"HTML/CSS;Java;JavaScript;Objective-C;PHP;Ruby;Swift")</f>
        <v>HTML/CSS;Java;JavaScript;Objective-C;PHP;Ruby;Swift</v>
      </c>
      <c r="C4800" s="9" t="str">
        <f>IFERROR(__xludf.DUMMYFUNCTION("""COMPUTED_VALUE"""),"JavaScript")</f>
        <v>JavaScript</v>
      </c>
      <c r="D4800" s="9" t="str">
        <f>IFERROR(__xludf.DUMMYFUNCTION("""COMPUTED_VALUE"""),"Bash/Shell/PowerShell")</f>
        <v>Bash/Shell/PowerShell</v>
      </c>
      <c r="E4800" s="9" t="str">
        <f>IFERROR(__xludf.DUMMYFUNCTION("""COMPUTED_VALUE"""),"HTML/CSS")</f>
        <v>HTML/CSS</v>
      </c>
      <c r="F4800" s="9" t="str">
        <f>IFERROR(__xludf.DUMMYFUNCTION("""COMPUTED_VALUE"""),"Java")</f>
        <v>Java</v>
      </c>
      <c r="G4800" s="9" t="str">
        <f>IFERROR(__xludf.DUMMYFUNCTION("""COMPUTED_VALUE"""),"Bash/Shell/PowerShell")</f>
        <v>Bash/Shell/PowerShell</v>
      </c>
      <c r="H4800" s="9" t="str">
        <f>IFERROR(__xludf.DUMMYFUNCTION("""COMPUTED_VALUE"""),"HTML/CSS")</f>
        <v>HTML/CSS</v>
      </c>
      <c r="I4800" s="9" t="str">
        <f>IFERROR(__xludf.DUMMYFUNCTION("""COMPUTED_VALUE"""),"HTML/CSS")</f>
        <v>HTML/CSS</v>
      </c>
      <c r="J4800" s="9" t="str">
        <f>IFERROR(__xludf.DUMMYFUNCTION("""COMPUTED_VALUE"""),"VBA")</f>
        <v>VBA</v>
      </c>
      <c r="K4800" s="9" t="str">
        <f>IFERROR(__xludf.DUMMYFUNCTION("""COMPUTED_VALUE"""),"JavaScript")</f>
        <v>JavaScript</v>
      </c>
      <c r="L4800" s="9" t="str">
        <f>IFERROR(__xludf.DUMMYFUNCTION("""COMPUTED_VALUE"""),"SQL")</f>
        <v>SQL</v>
      </c>
      <c r="M4800" s="9" t="s">
        <v>21</v>
      </c>
    </row>
    <row r="4801" ht="15.75" customHeight="1">
      <c r="A4801" s="7"/>
      <c r="B4801" s="7" t="str">
        <f>IFERROR(__xludf.DUMMYFUNCTION("""COMPUTED_VALUE"""),"Bash/Shell/PowerShell;Java;PHP;Python")</f>
        <v>Bash/Shell/PowerShell;Java;PHP;Python</v>
      </c>
      <c r="C4801" s="9" t="str">
        <f>IFERROR(__xludf.DUMMYFUNCTION("""COMPUTED_VALUE"""),"Python")</f>
        <v>Python</v>
      </c>
      <c r="D4801" s="9" t="str">
        <f>IFERROR(__xludf.DUMMYFUNCTION("""COMPUTED_VALUE"""),"C++")</f>
        <v>C++</v>
      </c>
      <c r="E4801" s="9" t="str">
        <f>IFERROR(__xludf.DUMMYFUNCTION("""COMPUTED_VALUE"""),"Java")</f>
        <v>Java</v>
      </c>
      <c r="F4801" s="9" t="str">
        <f>IFERROR(__xludf.DUMMYFUNCTION("""COMPUTED_VALUE"""),"SQL")</f>
        <v>SQL</v>
      </c>
      <c r="G4801" s="9" t="str">
        <f>IFERROR(__xludf.DUMMYFUNCTION("""COMPUTED_VALUE"""),"C#")</f>
        <v>C#</v>
      </c>
      <c r="H4801" s="9" t="str">
        <f>IFERROR(__xludf.DUMMYFUNCTION("""COMPUTED_VALUE"""),"JavaScript")</f>
        <v>JavaScript</v>
      </c>
      <c r="I4801" s="9" t="str">
        <f>IFERROR(__xludf.DUMMYFUNCTION("""COMPUTED_VALUE"""),"JavaScript")</f>
        <v>JavaScript</v>
      </c>
      <c r="J4801" s="9" t="str">
        <f>IFERROR(__xludf.DUMMYFUNCTION("""COMPUTED_VALUE"""),"C++")</f>
        <v>C++</v>
      </c>
      <c r="K4801" s="9" t="str">
        <f>IFERROR(__xludf.DUMMYFUNCTION("""COMPUTED_VALUE"""),"SQL")</f>
        <v>SQL</v>
      </c>
      <c r="L4801" s="9" t="str">
        <f>IFERROR(__xludf.DUMMYFUNCTION("""COMPUTED_VALUE"""),"C#")</f>
        <v>C#</v>
      </c>
      <c r="M4801" s="9" t="s">
        <v>22</v>
      </c>
    </row>
    <row r="4802" ht="15.75" customHeight="1">
      <c r="A4802" s="7"/>
      <c r="B4802" s="7" t="str">
        <f>IFERROR(__xludf.DUMMYFUNCTION("""COMPUTED_VALUE"""),"C#;HTML/CSS;JavaScript;SQL")</f>
        <v>C#;HTML/CSS;JavaScript;SQL</v>
      </c>
      <c r="C4802" s="9" t="str">
        <f>IFERROR(__xludf.DUMMYFUNCTION("""COMPUTED_VALUE"""),"TypeScript")</f>
        <v>TypeScript</v>
      </c>
      <c r="D4802" s="9" t="str">
        <f>IFERROR(__xludf.DUMMYFUNCTION("""COMPUTED_VALUE"""),"C#")</f>
        <v>C#</v>
      </c>
      <c r="E4802" s="9" t="str">
        <f>IFERROR(__xludf.DUMMYFUNCTION("""COMPUTED_VALUE"""),"JavaScript")</f>
        <v>JavaScript</v>
      </c>
      <c r="F4802" s="9" t="str">
        <f>IFERROR(__xludf.DUMMYFUNCTION("""COMPUTED_VALUE"""),"Bash/Shell/PowerShell")</f>
        <v>Bash/Shell/PowerShell</v>
      </c>
      <c r="G4802" s="9" t="str">
        <f>IFERROR(__xludf.DUMMYFUNCTION("""COMPUTED_VALUE"""),"Elixir")</f>
        <v>Elixir</v>
      </c>
      <c r="H4802" s="9" t="str">
        <f>IFERROR(__xludf.DUMMYFUNCTION("""COMPUTED_VALUE"""),"Ruby")</f>
        <v>Ruby</v>
      </c>
      <c r="I4802" s="9" t="str">
        <f>IFERROR(__xludf.DUMMYFUNCTION("""COMPUTED_VALUE"""),"TypeScript")</f>
        <v>TypeScript</v>
      </c>
      <c r="J4802" s="9" t="str">
        <f>IFERROR(__xludf.DUMMYFUNCTION("""COMPUTED_VALUE"""),"HTML/CSS")</f>
        <v>HTML/CSS</v>
      </c>
      <c r="K4802" s="9" t="str">
        <f>IFERROR(__xludf.DUMMYFUNCTION("""COMPUTED_VALUE"""),"Bash/Shell/PowerShell")</f>
        <v>Bash/Shell/PowerShell</v>
      </c>
      <c r="L4802" s="9" t="str">
        <f>IFERROR(__xludf.DUMMYFUNCTION("""COMPUTED_VALUE"""),"HTML/CSS")</f>
        <v>HTML/CSS</v>
      </c>
      <c r="M4802" s="9" t="s">
        <v>33</v>
      </c>
    </row>
    <row r="4803" ht="15.75" customHeight="1">
      <c r="A4803" s="7"/>
      <c r="B4803" s="7" t="str">
        <f>IFERROR(__xludf.DUMMYFUNCTION("""COMPUTED_VALUE"""),"Bash/Shell/PowerShell;C;C++;C#;HTML/CSS;Java;JavaScript;PHP;Python;SQL;Other(s):")</f>
        <v>Bash/Shell/PowerShell;C;C++;C#;HTML/CSS;Java;JavaScript;PHP;Python;SQL;Other(s):</v>
      </c>
      <c r="C4803" s="9" t="str">
        <f>IFERROR(__xludf.DUMMYFUNCTION("""COMPUTED_VALUE"""),"C#")</f>
        <v>C#</v>
      </c>
      <c r="D4803" s="9" t="str">
        <f>IFERROR(__xludf.DUMMYFUNCTION("""COMPUTED_VALUE"""),"JavaScript")</f>
        <v>JavaScript</v>
      </c>
      <c r="E4803" s="9" t="str">
        <f>IFERROR(__xludf.DUMMYFUNCTION("""COMPUTED_VALUE"""),"Python")</f>
        <v>Python</v>
      </c>
      <c r="F4803" s="9" t="str">
        <f>IFERROR(__xludf.DUMMYFUNCTION("""COMPUTED_VALUE"""),"Java")</f>
        <v>Java</v>
      </c>
      <c r="G4803" s="9" t="str">
        <f>IFERROR(__xludf.DUMMYFUNCTION("""COMPUTED_VALUE"""),"HTML/CSS")</f>
        <v>HTML/CSS</v>
      </c>
      <c r="H4803" s="9" t="str">
        <f>IFERROR(__xludf.DUMMYFUNCTION("""COMPUTED_VALUE"""),"Scala")</f>
        <v>Scala</v>
      </c>
      <c r="I4803" s="9" t="str">
        <f>IFERROR(__xludf.DUMMYFUNCTION("""COMPUTED_VALUE"""),"C#")</f>
        <v>C#</v>
      </c>
      <c r="J4803" s="9" t="str">
        <f>IFERROR(__xludf.DUMMYFUNCTION("""COMPUTED_VALUE"""),"Java")</f>
        <v>Java</v>
      </c>
      <c r="K4803" s="9" t="str">
        <f>IFERROR(__xludf.DUMMYFUNCTION("""COMPUTED_VALUE"""),"C")</f>
        <v>C</v>
      </c>
      <c r="L4803" s="9" t="str">
        <f>IFERROR(__xludf.DUMMYFUNCTION("""COMPUTED_VALUE"""),"JavaScript")</f>
        <v>JavaScript</v>
      </c>
      <c r="M4803" s="9" t="s">
        <v>26</v>
      </c>
    </row>
    <row r="4804" ht="15.75" customHeight="1">
      <c r="A4804" s="7"/>
      <c r="B4804" s="7" t="str">
        <f>IFERROR(__xludf.DUMMYFUNCTION("""COMPUTED_VALUE"""),"Bash/Shell/PowerShell;C;C#;HTML/CSS;JavaScript;Python;R")</f>
        <v>Bash/Shell/PowerShell;C;C#;HTML/CSS;JavaScript;Python;R</v>
      </c>
      <c r="C4804" s="9" t="str">
        <f>IFERROR(__xludf.DUMMYFUNCTION("""COMPUTED_VALUE"""),"HTML/CSS")</f>
        <v>HTML/CSS</v>
      </c>
      <c r="D4804" s="9" t="str">
        <f>IFERROR(__xludf.DUMMYFUNCTION("""COMPUTED_VALUE"""),"Python")</f>
        <v>Python</v>
      </c>
      <c r="E4804" s="9" t="str">
        <f>IFERROR(__xludf.DUMMYFUNCTION("""COMPUTED_VALUE"""),"C")</f>
        <v>C</v>
      </c>
      <c r="F4804" s="9" t="str">
        <f>IFERROR(__xludf.DUMMYFUNCTION("""COMPUTED_VALUE"""),"Kotlin")</f>
        <v>Kotlin</v>
      </c>
      <c r="G4804" s="9" t="str">
        <f>IFERROR(__xludf.DUMMYFUNCTION("""COMPUTED_VALUE"""),"JavaScript")</f>
        <v>JavaScript</v>
      </c>
      <c r="H4804" s="9" t="str">
        <f>IFERROR(__xludf.DUMMYFUNCTION("""COMPUTED_VALUE"""),"SQL")</f>
        <v>SQL</v>
      </c>
      <c r="I4804" s="9" t="str">
        <f>IFERROR(__xludf.DUMMYFUNCTION("""COMPUTED_VALUE"""),"HTML/CSS")</f>
        <v>HTML/CSS</v>
      </c>
      <c r="J4804" s="9" t="str">
        <f>IFERROR(__xludf.DUMMYFUNCTION("""COMPUTED_VALUE"""),"JavaScript")</f>
        <v>JavaScript</v>
      </c>
      <c r="K4804" s="9" t="str">
        <f>IFERROR(__xludf.DUMMYFUNCTION("""COMPUTED_VALUE"""),"Python")</f>
        <v>Python</v>
      </c>
      <c r="L4804" s="9" t="str">
        <f>IFERROR(__xludf.DUMMYFUNCTION("""COMPUTED_VALUE"""),"SQL")</f>
        <v>SQL</v>
      </c>
      <c r="M4804" s="9" t="s">
        <v>24</v>
      </c>
    </row>
    <row r="4805" ht="15.75" customHeight="1">
      <c r="A4805" s="7"/>
      <c r="B4805" s="7" t="str">
        <f>IFERROR(__xludf.DUMMYFUNCTION("""COMPUTED_VALUE"""),"C;C++;HTML/CSS;Python")</f>
        <v>C;C++;HTML/CSS;Python</v>
      </c>
      <c r="C4805" s="9" t="str">
        <f>IFERROR(__xludf.DUMMYFUNCTION("""COMPUTED_VALUE"""),"Java")</f>
        <v>Java</v>
      </c>
      <c r="D4805" s="9" t="str">
        <f>IFERROR(__xludf.DUMMYFUNCTION("""COMPUTED_VALUE"""),"C#")</f>
        <v>C#</v>
      </c>
      <c r="E4805" s="9" t="str">
        <f>IFERROR(__xludf.DUMMYFUNCTION("""COMPUTED_VALUE"""),"JavaScript")</f>
        <v>JavaScript</v>
      </c>
      <c r="F4805" s="9" t="str">
        <f>IFERROR(__xludf.DUMMYFUNCTION("""COMPUTED_VALUE"""),"SQL")</f>
        <v>SQL</v>
      </c>
      <c r="G4805" s="9" t="str">
        <f>IFERROR(__xludf.DUMMYFUNCTION("""COMPUTED_VALUE"""),"SQL")</f>
        <v>SQL</v>
      </c>
      <c r="H4805" s="9" t="str">
        <f>IFERROR(__xludf.DUMMYFUNCTION("""COMPUTED_VALUE"""),"HTML/CSS")</f>
        <v>HTML/CSS</v>
      </c>
      <c r="I4805" s="9" t="str">
        <f>IFERROR(__xludf.DUMMYFUNCTION("""COMPUTED_VALUE"""),"Java")</f>
        <v>Java</v>
      </c>
      <c r="J4805" s="9" t="str">
        <f>IFERROR(__xludf.DUMMYFUNCTION("""COMPUTED_VALUE"""),"PHP")</f>
        <v>PHP</v>
      </c>
      <c r="K4805" s="9" t="str">
        <f>IFERROR(__xludf.DUMMYFUNCTION("""COMPUTED_VALUE"""),"R")</f>
        <v>R</v>
      </c>
      <c r="L4805" s="9" t="str">
        <f>IFERROR(__xludf.DUMMYFUNCTION("""COMPUTED_VALUE"""),"Bash/Shell/PowerShell")</f>
        <v>Bash/Shell/PowerShell</v>
      </c>
      <c r="M4805" s="9" t="s">
        <v>20</v>
      </c>
    </row>
    <row r="4806" ht="15.75" customHeight="1">
      <c r="A4806" s="7"/>
      <c r="B4806" s="7" t="str">
        <f>IFERROR(__xludf.DUMMYFUNCTION("""COMPUTED_VALUE"""),"Bash/Shell/PowerShell;Java")</f>
        <v>Bash/Shell/PowerShell;Java</v>
      </c>
      <c r="C4806" s="9" t="str">
        <f>IFERROR(__xludf.DUMMYFUNCTION("""COMPUTED_VALUE"""),"JavaScript")</f>
        <v>JavaScript</v>
      </c>
      <c r="D4806" s="9" t="str">
        <f>IFERROR(__xludf.DUMMYFUNCTION("""COMPUTED_VALUE"""),"HTML/CSS")</f>
        <v>HTML/CSS</v>
      </c>
      <c r="E4806" s="9" t="str">
        <f>IFERROR(__xludf.DUMMYFUNCTION("""COMPUTED_VALUE"""),"Python")</f>
        <v>Python</v>
      </c>
      <c r="F4806" s="9" t="str">
        <f>IFERROR(__xludf.DUMMYFUNCTION("""COMPUTED_VALUE"""),"Assembly")</f>
        <v>Assembly</v>
      </c>
      <c r="G4806" s="9" t="str">
        <f>IFERROR(__xludf.DUMMYFUNCTION("""COMPUTED_VALUE"""),"Bash/Shell/PowerShell")</f>
        <v>Bash/Shell/PowerShell</v>
      </c>
      <c r="H4806" s="9" t="str">
        <f>IFERROR(__xludf.DUMMYFUNCTION("""COMPUTED_VALUE"""),"Java")</f>
        <v>Java</v>
      </c>
      <c r="I4806" s="9" t="str">
        <f>IFERROR(__xludf.DUMMYFUNCTION("""COMPUTED_VALUE"""),"JavaScript")</f>
        <v>JavaScript</v>
      </c>
      <c r="J4806" s="9" t="str">
        <f>IFERROR(__xludf.DUMMYFUNCTION("""COMPUTED_VALUE"""),"SQL")</f>
        <v>SQL</v>
      </c>
      <c r="K4806" s="9" t="str">
        <f>IFERROR(__xludf.DUMMYFUNCTION("""COMPUTED_VALUE"""),"HTML/CSS")</f>
        <v>HTML/CSS</v>
      </c>
      <c r="L4806" s="9" t="str">
        <f>IFERROR(__xludf.DUMMYFUNCTION("""COMPUTED_VALUE"""),"HTML/CSS")</f>
        <v>HTML/CSS</v>
      </c>
      <c r="M4806" s="9" t="s">
        <v>21</v>
      </c>
    </row>
    <row r="4807" ht="15.75" customHeight="1">
      <c r="A4807" s="7"/>
      <c r="B4807" s="7" t="str">
        <f>IFERROR(__xludf.DUMMYFUNCTION("""COMPUTED_VALUE"""),"Bash/Shell/PowerShell;C#;HTML/CSS;JavaScript;PHP;Python;Ruby;SQL")</f>
        <v>Bash/Shell/PowerShell;C#;HTML/CSS;JavaScript;PHP;Python;Ruby;SQL</v>
      </c>
      <c r="C4807" s="9" t="str">
        <f>IFERROR(__xludf.DUMMYFUNCTION("""COMPUTED_VALUE"""),"PHP")</f>
        <v>PHP</v>
      </c>
      <c r="D4807" s="9" t="str">
        <f>IFERROR(__xludf.DUMMYFUNCTION("""COMPUTED_VALUE"""),"Java")</f>
        <v>Java</v>
      </c>
      <c r="E4807" s="9" t="str">
        <f>IFERROR(__xludf.DUMMYFUNCTION("""COMPUTED_VALUE"""),"Bash/Shell/PowerShell")</f>
        <v>Bash/Shell/PowerShell</v>
      </c>
      <c r="F4807" s="9" t="str">
        <f>IFERROR(__xludf.DUMMYFUNCTION("""COMPUTED_VALUE"""),"Bash/Shell/PowerShell")</f>
        <v>Bash/Shell/PowerShell</v>
      </c>
      <c r="G4807" s="9" t="str">
        <f>IFERROR(__xludf.DUMMYFUNCTION("""COMPUTED_VALUE"""),"HTML/CSS")</f>
        <v>HTML/CSS</v>
      </c>
      <c r="H4807" s="9" t="str">
        <f>IFERROR(__xludf.DUMMYFUNCTION("""COMPUTED_VALUE"""),"JavaScript")</f>
        <v>JavaScript</v>
      </c>
      <c r="I4807" s="9" t="str">
        <f>IFERROR(__xludf.DUMMYFUNCTION("""COMPUTED_VALUE"""),"SQL")</f>
        <v>SQL</v>
      </c>
      <c r="J4807" s="9" t="str">
        <f>IFERROR(__xludf.DUMMYFUNCTION("""COMPUTED_VALUE"""),"VBA")</f>
        <v>VBA</v>
      </c>
      <c r="K4807" s="9" t="str">
        <f>IFERROR(__xludf.DUMMYFUNCTION("""COMPUTED_VALUE"""),"Java")</f>
        <v>Java</v>
      </c>
      <c r="L4807" s="9" t="str">
        <f>IFERROR(__xludf.DUMMYFUNCTION("""COMPUTED_VALUE"""),"JavaScript")</f>
        <v>JavaScript</v>
      </c>
      <c r="M4807" s="9" t="s">
        <v>37</v>
      </c>
    </row>
    <row r="4808" ht="15.75" customHeight="1">
      <c r="A4808" s="7"/>
      <c r="B4808" s="7" t="str">
        <f>IFERROR(__xludf.DUMMYFUNCTION("""COMPUTED_VALUE"""),"Assembly;Bash/Shell/PowerShell;C#;HTML/CSS;Java;JavaScript;PHP;Python;SQL")</f>
        <v>Assembly;Bash/Shell/PowerShell;C#;HTML/CSS;Java;JavaScript;PHP;Python;SQL</v>
      </c>
      <c r="C4808" s="9" t="str">
        <f>IFERROR(__xludf.DUMMYFUNCTION("""COMPUTED_VALUE"""),"SQL")</f>
        <v>SQL</v>
      </c>
      <c r="D4808" s="9" t="str">
        <f>IFERROR(__xludf.DUMMYFUNCTION("""COMPUTED_VALUE"""),"JavaScript")</f>
        <v>JavaScript</v>
      </c>
      <c r="E4808" s="9" t="str">
        <f>IFERROR(__xludf.DUMMYFUNCTION("""COMPUTED_VALUE"""),"Go")</f>
        <v>Go</v>
      </c>
      <c r="F4808" s="9" t="str">
        <f>IFERROR(__xludf.DUMMYFUNCTION("""COMPUTED_VALUE"""),"C")</f>
        <v>C</v>
      </c>
      <c r="G4808" s="9" t="str">
        <f>IFERROR(__xludf.DUMMYFUNCTION("""COMPUTED_VALUE"""),"JavaScript")</f>
        <v>JavaScript</v>
      </c>
      <c r="H4808" s="9" t="str">
        <f>IFERROR(__xludf.DUMMYFUNCTION("""COMPUTED_VALUE"""),"SQL")</f>
        <v>SQL</v>
      </c>
      <c r="I4808" s="9" t="str">
        <f>IFERROR(__xludf.DUMMYFUNCTION("""COMPUTED_VALUE"""),"VBA")</f>
        <v>VBA</v>
      </c>
      <c r="J4808" s="9" t="str">
        <f>IFERROR(__xludf.DUMMYFUNCTION("""COMPUTED_VALUE"""),"C")</f>
        <v>C</v>
      </c>
      <c r="K4808" s="9" t="str">
        <f>IFERROR(__xludf.DUMMYFUNCTION("""COMPUTED_VALUE"""),"JavaScript")</f>
        <v>JavaScript</v>
      </c>
      <c r="L4808" s="9" t="str">
        <f>IFERROR(__xludf.DUMMYFUNCTION("""COMPUTED_VALUE"""),"PHP")</f>
        <v>PHP</v>
      </c>
      <c r="M4808" s="9" t="s">
        <v>27</v>
      </c>
    </row>
    <row r="4809" ht="15.75" customHeight="1">
      <c r="A4809" s="7"/>
      <c r="B4809" s="7" t="str">
        <f>IFERROR(__xludf.DUMMYFUNCTION("""COMPUTED_VALUE"""),"C#;HTML/CSS;JavaScript;SQL")</f>
        <v>C#;HTML/CSS;JavaScript;SQL</v>
      </c>
      <c r="C4809" s="9" t="str">
        <f>IFERROR(__xludf.DUMMYFUNCTION("""COMPUTED_VALUE"""),"C++")</f>
        <v>C++</v>
      </c>
      <c r="D4809" s="9" t="str">
        <f>IFERROR(__xludf.DUMMYFUNCTION("""COMPUTED_VALUE"""),"TypeScript")</f>
        <v>TypeScript</v>
      </c>
      <c r="E4809" s="9" t="str">
        <f>IFERROR(__xludf.DUMMYFUNCTION("""COMPUTED_VALUE"""),"JavaScript")</f>
        <v>JavaScript</v>
      </c>
      <c r="F4809" s="9" t="str">
        <f>IFERROR(__xludf.DUMMYFUNCTION("""COMPUTED_VALUE"""),"JavaScript")</f>
        <v>JavaScript</v>
      </c>
      <c r="G4809" s="9" t="str">
        <f>IFERROR(__xludf.DUMMYFUNCTION("""COMPUTED_VALUE"""),"PHP")</f>
        <v>PHP</v>
      </c>
      <c r="H4809" s="9" t="str">
        <f>IFERROR(__xludf.DUMMYFUNCTION("""COMPUTED_VALUE"""),"Bash/Shell/PowerShell")</f>
        <v>Bash/Shell/PowerShell</v>
      </c>
      <c r="I4809" s="9" t="str">
        <f>IFERROR(__xludf.DUMMYFUNCTION("""COMPUTED_VALUE"""),"C#")</f>
        <v>C#</v>
      </c>
      <c r="J4809" s="9" t="str">
        <f>IFERROR(__xludf.DUMMYFUNCTION("""COMPUTED_VALUE"""),"C++")</f>
        <v>C++</v>
      </c>
      <c r="K4809" s="9" t="str">
        <f>IFERROR(__xludf.DUMMYFUNCTION("""COMPUTED_VALUE"""),"C++")</f>
        <v>C++</v>
      </c>
      <c r="L4809" s="9" t="str">
        <f>IFERROR(__xludf.DUMMYFUNCTION("""COMPUTED_VALUE"""),"Python")</f>
        <v>Python</v>
      </c>
      <c r="M4809" s="9" t="s">
        <v>23</v>
      </c>
    </row>
    <row r="4810" ht="15.75" customHeight="1">
      <c r="A4810" s="7"/>
      <c r="B4810" s="7" t="str">
        <f>IFERROR(__xludf.DUMMYFUNCTION("""COMPUTED_VALUE"""),"Bash/Shell/PowerShell;C#;HTML/CSS;TypeScript")</f>
        <v>Bash/Shell/PowerShell;C#;HTML/CSS;TypeScript</v>
      </c>
      <c r="C4810" s="9" t="str">
        <f>IFERROR(__xludf.DUMMYFUNCTION("""COMPUTED_VALUE"""),"Go")</f>
        <v>Go</v>
      </c>
      <c r="D4810" s="9" t="str">
        <f>IFERROR(__xludf.DUMMYFUNCTION("""COMPUTED_VALUE"""),"Bash/Shell/PowerShell")</f>
        <v>Bash/Shell/PowerShell</v>
      </c>
      <c r="E4810" s="9" t="str">
        <f>IFERROR(__xludf.DUMMYFUNCTION("""COMPUTED_VALUE"""),"PHP")</f>
        <v>PHP</v>
      </c>
      <c r="F4810" s="9" t="str">
        <f>IFERROR(__xludf.DUMMYFUNCTION("""COMPUTED_VALUE"""),"Python")</f>
        <v>Python</v>
      </c>
      <c r="G4810" s="9" t="str">
        <f>IFERROR(__xludf.DUMMYFUNCTION("""COMPUTED_VALUE"""),"SQL")</f>
        <v>SQL</v>
      </c>
      <c r="H4810" s="9" t="str">
        <f>IFERROR(__xludf.DUMMYFUNCTION("""COMPUTED_VALUE"""),"C")</f>
        <v>C</v>
      </c>
      <c r="I4810" s="9" t="str">
        <f>IFERROR(__xludf.DUMMYFUNCTION("""COMPUTED_VALUE"""),"HTML/CSS")</f>
        <v>HTML/CSS</v>
      </c>
      <c r="J4810" s="9" t="str">
        <f>IFERROR(__xludf.DUMMYFUNCTION("""COMPUTED_VALUE"""),"HTML/CSS")</f>
        <v>HTML/CSS</v>
      </c>
      <c r="K4810" s="9" t="str">
        <f>IFERROR(__xludf.DUMMYFUNCTION("""COMPUTED_VALUE"""),"C#")</f>
        <v>C#</v>
      </c>
      <c r="L4810" s="9" t="str">
        <f>IFERROR(__xludf.DUMMYFUNCTION("""COMPUTED_VALUE"""),"SQL")</f>
        <v>SQL</v>
      </c>
      <c r="M4810" s="9" t="s">
        <v>36</v>
      </c>
    </row>
    <row r="4811" ht="15.75" customHeight="1">
      <c r="A4811" s="7"/>
      <c r="B4811" s="7" t="str">
        <f>IFERROR(__xludf.DUMMYFUNCTION("""COMPUTED_VALUE"""),"Bash/Shell/PowerShell;HTML/CSS;JavaScript;PHP;Python;SQL")</f>
        <v>Bash/Shell/PowerShell;HTML/CSS;JavaScript;PHP;Python;SQL</v>
      </c>
      <c r="C4811" s="9" t="str">
        <f>IFERROR(__xludf.DUMMYFUNCTION("""COMPUTED_VALUE"""),"Other(s):")</f>
        <v>Other(s):</v>
      </c>
      <c r="D4811" s="9" t="str">
        <f>IFERROR(__xludf.DUMMYFUNCTION("""COMPUTED_VALUE"""),"HTML/CSS")</f>
        <v>HTML/CSS</v>
      </c>
      <c r="E4811" s="9" t="str">
        <f>IFERROR(__xludf.DUMMYFUNCTION("""COMPUTED_VALUE"""),"Python")</f>
        <v>Python</v>
      </c>
      <c r="F4811" s="9" t="str">
        <f>IFERROR(__xludf.DUMMYFUNCTION("""COMPUTED_VALUE"""),"C#")</f>
        <v>C#</v>
      </c>
      <c r="G4811" s="9" t="str">
        <f>IFERROR(__xludf.DUMMYFUNCTION("""COMPUTED_VALUE"""),"HTML/CSS")</f>
        <v>HTML/CSS</v>
      </c>
      <c r="H4811" s="9" t="str">
        <f>IFERROR(__xludf.DUMMYFUNCTION("""COMPUTED_VALUE"""),"C#")</f>
        <v>C#</v>
      </c>
      <c r="I4811" s="9" t="str">
        <f>IFERROR(__xludf.DUMMYFUNCTION("""COMPUTED_VALUE"""),"JavaScript")</f>
        <v>JavaScript</v>
      </c>
      <c r="J4811" s="9" t="str">
        <f>IFERROR(__xludf.DUMMYFUNCTION("""COMPUTED_VALUE"""),"Java")</f>
        <v>Java</v>
      </c>
      <c r="K4811" s="9" t="str">
        <f>IFERROR(__xludf.DUMMYFUNCTION("""COMPUTED_VALUE"""),"HTML/CSS")</f>
        <v>HTML/CSS</v>
      </c>
      <c r="L4811" s="9" t="str">
        <f>IFERROR(__xludf.DUMMYFUNCTION("""COMPUTED_VALUE"""),"HTML/CSS")</f>
        <v>HTML/CSS</v>
      </c>
      <c r="M4811" s="9" t="s">
        <v>35</v>
      </c>
    </row>
    <row r="4812" ht="15.75" customHeight="1">
      <c r="A4812" s="7"/>
      <c r="B4812" s="7" t="str">
        <f>IFERROR(__xludf.DUMMYFUNCTION("""COMPUTED_VALUE"""),"Bash/Shell/PowerShell;Java;Kotlin;Python;Ruby;SQL")</f>
        <v>Bash/Shell/PowerShell;Java;Kotlin;Python;Ruby;SQL</v>
      </c>
      <c r="C4812" s="9" t="str">
        <f>IFERROR(__xludf.DUMMYFUNCTION("""COMPUTED_VALUE"""),"C#")</f>
        <v>C#</v>
      </c>
      <c r="D4812" s="9" t="str">
        <f>IFERROR(__xludf.DUMMYFUNCTION("""COMPUTED_VALUE"""),"JavaScript")</f>
        <v>JavaScript</v>
      </c>
      <c r="E4812" s="9" t="str">
        <f>IFERROR(__xludf.DUMMYFUNCTION("""COMPUTED_VALUE"""),"Other(s):")</f>
        <v>Other(s):</v>
      </c>
      <c r="F4812" s="9" t="str">
        <f>IFERROR(__xludf.DUMMYFUNCTION("""COMPUTED_VALUE"""),"HTML/CSS")</f>
        <v>HTML/CSS</v>
      </c>
      <c r="G4812" s="9" t="str">
        <f>IFERROR(__xludf.DUMMYFUNCTION("""COMPUTED_VALUE"""),"JavaScript")</f>
        <v>JavaScript</v>
      </c>
      <c r="H4812" s="9" t="str">
        <f>IFERROR(__xludf.DUMMYFUNCTION("""COMPUTED_VALUE"""),"Go")</f>
        <v>Go</v>
      </c>
      <c r="I4812" s="9" t="str">
        <f>IFERROR(__xludf.DUMMYFUNCTION("""COMPUTED_VALUE"""),"PHP")</f>
        <v>PHP</v>
      </c>
      <c r="J4812" s="9" t="str">
        <f>IFERROR(__xludf.DUMMYFUNCTION("""COMPUTED_VALUE"""),"PHP")</f>
        <v>PHP</v>
      </c>
      <c r="K4812" s="9" t="str">
        <f>IFERROR(__xludf.DUMMYFUNCTION("""COMPUTED_VALUE"""),"JavaScript")</f>
        <v>JavaScript</v>
      </c>
      <c r="L4812" s="9" t="str">
        <f>IFERROR(__xludf.DUMMYFUNCTION("""COMPUTED_VALUE"""),"JavaScript")</f>
        <v>JavaScript</v>
      </c>
      <c r="M4812" s="9" t="s">
        <v>26</v>
      </c>
    </row>
    <row r="4813" ht="15.75" customHeight="1">
      <c r="A4813" s="7"/>
      <c r="B4813" s="7" t="str">
        <f>IFERROR(__xludf.DUMMYFUNCTION("""COMPUTED_VALUE"""),"Bash/Shell/PowerShell;C#;Go;HTML/CSS;Java;JavaScript;Kotlin;SQL;TypeScript")</f>
        <v>Bash/Shell/PowerShell;C#;Go;HTML/CSS;Java;JavaScript;Kotlin;SQL;TypeScript</v>
      </c>
      <c r="C4813" s="9" t="str">
        <f>IFERROR(__xludf.DUMMYFUNCTION("""COMPUTED_VALUE"""),"HTML/CSS")</f>
        <v>HTML/CSS</v>
      </c>
      <c r="D4813" s="9" t="str">
        <f>IFERROR(__xludf.DUMMYFUNCTION("""COMPUTED_VALUE"""),"Python")</f>
        <v>Python</v>
      </c>
      <c r="E4813" s="9" t="str">
        <f>IFERROR(__xludf.DUMMYFUNCTION("""COMPUTED_VALUE"""),"C#")</f>
        <v>C#</v>
      </c>
      <c r="F4813" s="9" t="str">
        <f>IFERROR(__xludf.DUMMYFUNCTION("""COMPUTED_VALUE"""),"JavaScript")</f>
        <v>JavaScript</v>
      </c>
      <c r="G4813" s="9" t="str">
        <f>IFERROR(__xludf.DUMMYFUNCTION("""COMPUTED_VALUE"""),"Python")</f>
        <v>Python</v>
      </c>
      <c r="H4813" s="9" t="str">
        <f>IFERROR(__xludf.DUMMYFUNCTION("""COMPUTED_VALUE"""),"HTML/CSS")</f>
        <v>HTML/CSS</v>
      </c>
      <c r="I4813" s="9" t="str">
        <f>IFERROR(__xludf.DUMMYFUNCTION("""COMPUTED_VALUE"""),"SQL")</f>
        <v>SQL</v>
      </c>
      <c r="J4813" s="9" t="str">
        <f>IFERROR(__xludf.DUMMYFUNCTION("""COMPUTED_VALUE"""),"Python")</f>
        <v>Python</v>
      </c>
      <c r="K4813" s="9" t="str">
        <f>IFERROR(__xludf.DUMMYFUNCTION("""COMPUTED_VALUE"""),"Python")</f>
        <v>Python</v>
      </c>
      <c r="L4813" s="9" t="str">
        <f>IFERROR(__xludf.DUMMYFUNCTION("""COMPUTED_VALUE"""),"PHP")</f>
        <v>PHP</v>
      </c>
      <c r="M4813" s="9" t="s">
        <v>24</v>
      </c>
    </row>
    <row r="4814" ht="15.75" customHeight="1">
      <c r="A4814" s="7"/>
      <c r="B4814" s="7" t="str">
        <f>IFERROR(__xludf.DUMMYFUNCTION("""COMPUTED_VALUE"""),"Clojure;JavaScript")</f>
        <v>Clojure;JavaScript</v>
      </c>
      <c r="C4814" s="9" t="str">
        <f>IFERROR(__xludf.DUMMYFUNCTION("""COMPUTED_VALUE"""),"JavaScript")</f>
        <v>JavaScript</v>
      </c>
      <c r="D4814" s="9" t="str">
        <f>IFERROR(__xludf.DUMMYFUNCTION("""COMPUTED_VALUE"""),"SQL")</f>
        <v>SQL</v>
      </c>
      <c r="E4814" s="9" t="str">
        <f>IFERROR(__xludf.DUMMYFUNCTION("""COMPUTED_VALUE"""),"HTML/CSS")</f>
        <v>HTML/CSS</v>
      </c>
      <c r="F4814" s="9" t="str">
        <f>IFERROR(__xludf.DUMMYFUNCTION("""COMPUTED_VALUE"""),"SQL")</f>
        <v>SQL</v>
      </c>
      <c r="G4814" s="9" t="str">
        <f>IFERROR(__xludf.DUMMYFUNCTION("""COMPUTED_VALUE"""),"TypeScript")</f>
        <v>TypeScript</v>
      </c>
      <c r="H4814" s="9" t="str">
        <f>IFERROR(__xludf.DUMMYFUNCTION("""COMPUTED_VALUE"""),"Java")</f>
        <v>Java</v>
      </c>
      <c r="I4814" s="9" t="str">
        <f>IFERROR(__xludf.DUMMYFUNCTION("""COMPUTED_VALUE"""),"TypeScript")</f>
        <v>TypeScript</v>
      </c>
      <c r="J4814" s="9" t="str">
        <f>IFERROR(__xludf.DUMMYFUNCTION("""COMPUTED_VALUE"""),"SQL")</f>
        <v>SQL</v>
      </c>
      <c r="K4814" s="9" t="str">
        <f>IFERROR(__xludf.DUMMYFUNCTION("""COMPUTED_VALUE"""),"SQL")</f>
        <v>SQL</v>
      </c>
      <c r="L4814" s="9" t="str">
        <f>IFERROR(__xludf.DUMMYFUNCTION("""COMPUTED_VALUE"""),"Bash/Shell/PowerShell")</f>
        <v>Bash/Shell/PowerShell</v>
      </c>
      <c r="M4814" s="9" t="s">
        <v>21</v>
      </c>
    </row>
    <row r="4815" ht="15.75" customHeight="1">
      <c r="A4815" s="7"/>
      <c r="B4815" s="7" t="str">
        <f>IFERROR(__xludf.DUMMYFUNCTION("""COMPUTED_VALUE"""),"Assembly;C;C#")</f>
        <v>Assembly;C;C#</v>
      </c>
      <c r="C4815" s="9" t="str">
        <f>IFERROR(__xludf.DUMMYFUNCTION("""COMPUTED_VALUE"""),"SQL")</f>
        <v>SQL</v>
      </c>
      <c r="D4815" s="9" t="str">
        <f>IFERROR(__xludf.DUMMYFUNCTION("""COMPUTED_VALUE"""),"C++")</f>
        <v>C++</v>
      </c>
      <c r="E4815" s="9" t="str">
        <f>IFERROR(__xludf.DUMMYFUNCTION("""COMPUTED_VALUE"""),"TypeScript")</f>
        <v>TypeScript</v>
      </c>
      <c r="F4815" s="9" t="str">
        <f>IFERROR(__xludf.DUMMYFUNCTION("""COMPUTED_VALUE"""),"Other(s):")</f>
        <v>Other(s):</v>
      </c>
      <c r="G4815" s="9" t="str">
        <f>IFERROR(__xludf.DUMMYFUNCTION("""COMPUTED_VALUE"""),"HTML/CSS")</f>
        <v>HTML/CSS</v>
      </c>
      <c r="H4815" s="9" t="str">
        <f>IFERROR(__xludf.DUMMYFUNCTION("""COMPUTED_VALUE"""),"JavaScript")</f>
        <v>JavaScript</v>
      </c>
      <c r="I4815" s="9" t="str">
        <f>IFERROR(__xludf.DUMMYFUNCTION("""COMPUTED_VALUE"""),"Bash/Shell/PowerShell")</f>
        <v>Bash/Shell/PowerShell</v>
      </c>
      <c r="J4815" s="9" t="str">
        <f>IFERROR(__xludf.DUMMYFUNCTION("""COMPUTED_VALUE"""),"HTML/CSS")</f>
        <v>HTML/CSS</v>
      </c>
      <c r="K4815" s="9" t="str">
        <f>IFERROR(__xludf.DUMMYFUNCTION("""COMPUTED_VALUE"""),"TypeScript")</f>
        <v>TypeScript</v>
      </c>
      <c r="L4815" s="9" t="str">
        <f>IFERROR(__xludf.DUMMYFUNCTION("""COMPUTED_VALUE"""),"C")</f>
        <v>C</v>
      </c>
      <c r="M4815" s="9" t="s">
        <v>27</v>
      </c>
    </row>
    <row r="4816" ht="15.75" customHeight="1">
      <c r="A4816" s="7"/>
      <c r="B4816" s="7" t="str">
        <f>IFERROR(__xludf.DUMMYFUNCTION("""COMPUTED_VALUE"""),"Bash/Shell/PowerShell;Go;HTML/CSS;JavaScript;PHP;Python;R;Ruby;SQL;VBA")</f>
        <v>Bash/Shell/PowerShell;Go;HTML/CSS;JavaScript;PHP;Python;R;Ruby;SQL;VBA</v>
      </c>
      <c r="C4816" s="9" t="str">
        <f>IFERROR(__xludf.DUMMYFUNCTION("""COMPUTED_VALUE"""),"Assembly")</f>
        <v>Assembly</v>
      </c>
      <c r="D4816" s="9" t="str">
        <f>IFERROR(__xludf.DUMMYFUNCTION("""COMPUTED_VALUE"""),"HTML/CSS")</f>
        <v>HTML/CSS</v>
      </c>
      <c r="E4816" s="9" t="str">
        <f>IFERROR(__xludf.DUMMYFUNCTION("""COMPUTED_VALUE"""),"Bash/Shell/PowerShell")</f>
        <v>Bash/Shell/PowerShell</v>
      </c>
      <c r="F4816" s="9" t="str">
        <f>IFERROR(__xludf.DUMMYFUNCTION("""COMPUTED_VALUE"""),"Bash/Shell/PowerShell")</f>
        <v>Bash/Shell/PowerShell</v>
      </c>
      <c r="G4816" s="9" t="str">
        <f>IFERROR(__xludf.DUMMYFUNCTION("""COMPUTED_VALUE"""),"JavaScript")</f>
        <v>JavaScript</v>
      </c>
      <c r="H4816" s="9" t="str">
        <f>IFERROR(__xludf.DUMMYFUNCTION("""COMPUTED_VALUE"""),"PHP")</f>
        <v>PHP</v>
      </c>
      <c r="I4816" s="9" t="str">
        <f>IFERROR(__xludf.DUMMYFUNCTION("""COMPUTED_VALUE"""),"HTML/CSS")</f>
        <v>HTML/CSS</v>
      </c>
      <c r="J4816" s="9" t="str">
        <f>IFERROR(__xludf.DUMMYFUNCTION("""COMPUTED_VALUE"""),"JavaScript")</f>
        <v>JavaScript</v>
      </c>
      <c r="K4816" s="9" t="str">
        <f>IFERROR(__xludf.DUMMYFUNCTION("""COMPUTED_VALUE"""),"R")</f>
        <v>R</v>
      </c>
      <c r="L4816" s="9" t="str">
        <f>IFERROR(__xludf.DUMMYFUNCTION("""COMPUTED_VALUE"""),"C#")</f>
        <v>C#</v>
      </c>
      <c r="M4816" s="9" t="s">
        <v>38</v>
      </c>
    </row>
    <row r="4817" ht="15.75" customHeight="1">
      <c r="A4817" s="7"/>
      <c r="B4817" s="7" t="str">
        <f>IFERROR(__xludf.DUMMYFUNCTION("""COMPUTED_VALUE"""),"Bash/Shell/PowerShell;HTML/CSS;Java;JavaScript;Python;Ruby;SQL;TypeScript")</f>
        <v>Bash/Shell/PowerShell;HTML/CSS;Java;JavaScript;Python;Ruby;SQL;TypeScript</v>
      </c>
      <c r="C4817" s="9" t="str">
        <f>IFERROR(__xludf.DUMMYFUNCTION("""COMPUTED_VALUE"""),"Bash/Shell/PowerShell")</f>
        <v>Bash/Shell/PowerShell</v>
      </c>
      <c r="D4817" s="9" t="str">
        <f>IFERROR(__xludf.DUMMYFUNCTION("""COMPUTED_VALUE"""),"Python")</f>
        <v>Python</v>
      </c>
      <c r="E4817" s="9" t="str">
        <f>IFERROR(__xludf.DUMMYFUNCTION("""COMPUTED_VALUE"""),"C")</f>
        <v>C</v>
      </c>
      <c r="F4817" s="9" t="str">
        <f>IFERROR(__xludf.DUMMYFUNCTION("""COMPUTED_VALUE"""),"C++")</f>
        <v>C++</v>
      </c>
      <c r="G4817" s="9" t="str">
        <f>IFERROR(__xludf.DUMMYFUNCTION("""COMPUTED_VALUE"""),"HTML/CSS")</f>
        <v>HTML/CSS</v>
      </c>
      <c r="H4817" s="9" t="str">
        <f>IFERROR(__xludf.DUMMYFUNCTION("""COMPUTED_VALUE"""),"Python")</f>
        <v>Python</v>
      </c>
      <c r="I4817" s="9" t="str">
        <f>IFERROR(__xludf.DUMMYFUNCTION("""COMPUTED_VALUE"""),"Java")</f>
        <v>Java</v>
      </c>
      <c r="J4817" s="9" t="str">
        <f>IFERROR(__xludf.DUMMYFUNCTION("""COMPUTED_VALUE"""),"Ruby")</f>
        <v>Ruby</v>
      </c>
      <c r="K4817" s="9" t="str">
        <f>IFERROR(__xludf.DUMMYFUNCTION("""COMPUTED_VALUE"""),"SQL")</f>
        <v>SQL</v>
      </c>
      <c r="L4817" s="9" t="str">
        <f>IFERROR(__xludf.DUMMYFUNCTION("""COMPUTED_VALUE"""),"HTML/CSS")</f>
        <v>HTML/CSS</v>
      </c>
      <c r="M4817" s="9" t="s">
        <v>30</v>
      </c>
    </row>
    <row r="4818" ht="15.75" customHeight="1">
      <c r="A4818" s="7"/>
      <c r="B4818" s="7" t="str">
        <f>IFERROR(__xludf.DUMMYFUNCTION("""COMPUTED_VALUE"""),"C;C++")</f>
        <v>C;C++</v>
      </c>
      <c r="C4818" s="9" t="str">
        <f>IFERROR(__xludf.DUMMYFUNCTION("""COMPUTED_VALUE"""),"C")</f>
        <v>C</v>
      </c>
      <c r="D4818" s="9" t="str">
        <f>IFERROR(__xludf.DUMMYFUNCTION("""COMPUTED_VALUE"""),"Bash/Shell/PowerShell")</f>
        <v>Bash/Shell/PowerShell</v>
      </c>
      <c r="E4818" s="9" t="str">
        <f>IFERROR(__xludf.DUMMYFUNCTION("""COMPUTED_VALUE"""),"C++")</f>
        <v>C++</v>
      </c>
      <c r="F4818" s="9" t="str">
        <f>IFERROR(__xludf.DUMMYFUNCTION("""COMPUTED_VALUE"""),"HTML/CSS")</f>
        <v>HTML/CSS</v>
      </c>
      <c r="G4818" s="9" t="str">
        <f>IFERROR(__xludf.DUMMYFUNCTION("""COMPUTED_VALUE"""),"Java")</f>
        <v>Java</v>
      </c>
      <c r="H4818" s="9" t="str">
        <f>IFERROR(__xludf.DUMMYFUNCTION("""COMPUTED_VALUE"""),"TypeScript")</f>
        <v>TypeScript</v>
      </c>
      <c r="I4818" s="9" t="str">
        <f>IFERROR(__xludf.DUMMYFUNCTION("""COMPUTED_VALUE"""),"JavaScript")</f>
        <v>JavaScript</v>
      </c>
      <c r="J4818" s="9" t="str">
        <f>IFERROR(__xludf.DUMMYFUNCTION("""COMPUTED_VALUE"""),"SQL")</f>
        <v>SQL</v>
      </c>
      <c r="K4818" s="9" t="str">
        <f>IFERROR(__xludf.DUMMYFUNCTION("""COMPUTED_VALUE"""),"Bash/Shell/PowerShell")</f>
        <v>Bash/Shell/PowerShell</v>
      </c>
      <c r="L4818" s="9" t="str">
        <f>IFERROR(__xludf.DUMMYFUNCTION("""COMPUTED_VALUE"""),"Java")</f>
        <v>Java</v>
      </c>
      <c r="M4818" s="9" t="s">
        <v>25</v>
      </c>
    </row>
    <row r="4819" ht="15.75" customHeight="1">
      <c r="A4819" s="7"/>
      <c r="B4819" s="7" t="str">
        <f>IFERROR(__xludf.DUMMYFUNCTION("""COMPUTED_VALUE"""),"C#;HTML/CSS;JavaScript;SQL")</f>
        <v>C#;HTML/CSS;JavaScript;SQL</v>
      </c>
      <c r="C4819" s="9" t="str">
        <f>IFERROR(__xludf.DUMMYFUNCTION("""COMPUTED_VALUE"""),"R")</f>
        <v>R</v>
      </c>
      <c r="D4819" s="9" t="str">
        <f>IFERROR(__xludf.DUMMYFUNCTION("""COMPUTED_VALUE"""),"C")</f>
        <v>C</v>
      </c>
      <c r="E4819" s="9" t="str">
        <f>IFERROR(__xludf.DUMMYFUNCTION("""COMPUTED_VALUE"""),"Go")</f>
        <v>Go</v>
      </c>
      <c r="F4819" s="9" t="str">
        <f>IFERROR(__xludf.DUMMYFUNCTION("""COMPUTED_VALUE"""),"JavaScript")</f>
        <v>JavaScript</v>
      </c>
      <c r="G4819" s="9" t="str">
        <f>IFERROR(__xludf.DUMMYFUNCTION("""COMPUTED_VALUE"""),"JavaScript")</f>
        <v>JavaScript</v>
      </c>
      <c r="H4819" s="9" t="str">
        <f>IFERROR(__xludf.DUMMYFUNCTION("""COMPUTED_VALUE"""),"Bash/Shell/PowerShell")</f>
        <v>Bash/Shell/PowerShell</v>
      </c>
      <c r="I4819" s="9" t="str">
        <f>IFERROR(__xludf.DUMMYFUNCTION("""COMPUTED_VALUE"""),"SQL")</f>
        <v>SQL</v>
      </c>
      <c r="J4819" s="9" t="str">
        <f>IFERROR(__xludf.DUMMYFUNCTION("""COMPUTED_VALUE"""),"TypeScript")</f>
        <v>TypeScript</v>
      </c>
      <c r="K4819" s="9" t="str">
        <f>IFERROR(__xludf.DUMMYFUNCTION("""COMPUTED_VALUE"""),"HTML/CSS")</f>
        <v>HTML/CSS</v>
      </c>
      <c r="L4819" s="9" t="str">
        <f>IFERROR(__xludf.DUMMYFUNCTION("""COMPUTED_VALUE"""),"JavaScript")</f>
        <v>JavaScript</v>
      </c>
      <c r="M4819" s="9" t="s">
        <v>29</v>
      </c>
    </row>
    <row r="4820" ht="15.75" customHeight="1">
      <c r="A4820" s="7"/>
      <c r="B4820" s="7" t="str">
        <f>IFERROR(__xludf.DUMMYFUNCTION("""COMPUTED_VALUE"""),"Assembly;Bash/Shell/PowerShell;C;HTML/CSS;Java;JavaScript;Objective-C;PHP;Python;SQL;Swift")</f>
        <v>Assembly;Bash/Shell/PowerShell;C;HTML/CSS;Java;JavaScript;Objective-C;PHP;Python;SQL;Swift</v>
      </c>
      <c r="C4820" s="9" t="str">
        <f>IFERROR(__xludf.DUMMYFUNCTION("""COMPUTED_VALUE"""),"Ruby")</f>
        <v>Ruby</v>
      </c>
      <c r="D4820" s="9" t="str">
        <f>IFERROR(__xludf.DUMMYFUNCTION("""COMPUTED_VALUE"""),"C++")</f>
        <v>C++</v>
      </c>
      <c r="E4820" s="9" t="str">
        <f>IFERROR(__xludf.DUMMYFUNCTION("""COMPUTED_VALUE"""),"Java")</f>
        <v>Java</v>
      </c>
      <c r="F4820" s="9" t="str">
        <f>IFERROR(__xludf.DUMMYFUNCTION("""COMPUTED_VALUE"""),"PHP")</f>
        <v>PHP</v>
      </c>
      <c r="G4820" s="9" t="str">
        <f>IFERROR(__xludf.DUMMYFUNCTION("""COMPUTED_VALUE"""),"PHP")</f>
        <v>PHP</v>
      </c>
      <c r="H4820" s="9" t="str">
        <f>IFERROR(__xludf.DUMMYFUNCTION("""COMPUTED_VALUE"""),"JavaScript")</f>
        <v>JavaScript</v>
      </c>
      <c r="I4820" s="9" t="str">
        <f>IFERROR(__xludf.DUMMYFUNCTION("""COMPUTED_VALUE"""),"C")</f>
        <v>C</v>
      </c>
      <c r="J4820" s="9" t="str">
        <f>IFERROR(__xludf.DUMMYFUNCTION("""COMPUTED_VALUE"""),"Bash/Shell/PowerShell")</f>
        <v>Bash/Shell/PowerShell</v>
      </c>
      <c r="K4820" s="9" t="str">
        <f>IFERROR(__xludf.DUMMYFUNCTION("""COMPUTED_VALUE"""),"JavaScript")</f>
        <v>JavaScript</v>
      </c>
      <c r="L4820" s="9" t="str">
        <f>IFERROR(__xludf.DUMMYFUNCTION("""COMPUTED_VALUE"""),"Python")</f>
        <v>Python</v>
      </c>
      <c r="M4820" s="9" t="s">
        <v>31</v>
      </c>
    </row>
    <row r="4821" ht="15.75" customHeight="1">
      <c r="A4821" s="7"/>
      <c r="B4821" s="7" t="str">
        <f>IFERROR(__xludf.DUMMYFUNCTION("""COMPUTED_VALUE"""),"Bash/Shell/PowerShell;C#;HTML/CSS;JavaScript;SQL;TypeScript")</f>
        <v>Bash/Shell/PowerShell;C#;HTML/CSS;JavaScript;SQL;TypeScript</v>
      </c>
      <c r="C4821" s="9" t="str">
        <f>IFERROR(__xludf.DUMMYFUNCTION("""COMPUTED_VALUE"""),"SQL")</f>
        <v>SQL</v>
      </c>
      <c r="D4821" s="9" t="str">
        <f>IFERROR(__xludf.DUMMYFUNCTION("""COMPUTED_VALUE"""),"C#")</f>
        <v>C#</v>
      </c>
      <c r="E4821" s="9" t="str">
        <f>IFERROR(__xludf.DUMMYFUNCTION("""COMPUTED_VALUE"""),"JavaScript")</f>
        <v>JavaScript</v>
      </c>
      <c r="F4821" s="9" t="str">
        <f>IFERROR(__xludf.DUMMYFUNCTION("""COMPUTED_VALUE"""),"Python")</f>
        <v>Python</v>
      </c>
      <c r="G4821" s="9" t="str">
        <f>IFERROR(__xludf.DUMMYFUNCTION("""COMPUTED_VALUE"""),"SQL")</f>
        <v>SQL</v>
      </c>
      <c r="H4821" s="9" t="str">
        <f>IFERROR(__xludf.DUMMYFUNCTION("""COMPUTED_VALUE"""),"R")</f>
        <v>R</v>
      </c>
      <c r="I4821" s="9" t="str">
        <f>IFERROR(__xludf.DUMMYFUNCTION("""COMPUTED_VALUE"""),"C++")</f>
        <v>C++</v>
      </c>
      <c r="J4821" s="9" t="str">
        <f>IFERROR(__xludf.DUMMYFUNCTION("""COMPUTED_VALUE"""),"Java")</f>
        <v>Java</v>
      </c>
      <c r="K4821" s="9" t="str">
        <f>IFERROR(__xludf.DUMMYFUNCTION("""COMPUTED_VALUE"""),"Python")</f>
        <v>Python</v>
      </c>
      <c r="L4821" s="9" t="str">
        <f>IFERROR(__xludf.DUMMYFUNCTION("""COMPUTED_VALUE"""),"SQL")</f>
        <v>SQL</v>
      </c>
      <c r="M4821" s="9" t="s">
        <v>27</v>
      </c>
    </row>
    <row r="4822" ht="15.75" customHeight="1">
      <c r="A4822" s="7"/>
      <c r="B4822" s="7" t="str">
        <f>IFERROR(__xludf.DUMMYFUNCTION("""COMPUTED_VALUE"""),"Bash/Shell/PowerShell;C++")</f>
        <v>Bash/Shell/PowerShell;C++</v>
      </c>
      <c r="C4822" s="9" t="str">
        <f>IFERROR(__xludf.DUMMYFUNCTION("""COMPUTED_VALUE"""),"Other(s):")</f>
        <v>Other(s):</v>
      </c>
      <c r="D4822" s="9" t="str">
        <f>IFERROR(__xludf.DUMMYFUNCTION("""COMPUTED_VALUE"""),"HTML/CSS")</f>
        <v>HTML/CSS</v>
      </c>
      <c r="E4822" s="9" t="str">
        <f>IFERROR(__xludf.DUMMYFUNCTION("""COMPUTED_VALUE"""),"Python")</f>
        <v>Python</v>
      </c>
      <c r="F4822" s="9" t="str">
        <f>IFERROR(__xludf.DUMMYFUNCTION("""COMPUTED_VALUE"""),"SQL")</f>
        <v>SQL</v>
      </c>
      <c r="G4822" s="9" t="str">
        <f>IFERROR(__xludf.DUMMYFUNCTION("""COMPUTED_VALUE"""),"Bash/Shell/PowerShell")</f>
        <v>Bash/Shell/PowerShell</v>
      </c>
      <c r="H4822" s="9" t="str">
        <f>IFERROR(__xludf.DUMMYFUNCTION("""COMPUTED_VALUE"""),"C#")</f>
        <v>C#</v>
      </c>
      <c r="I4822" s="9" t="str">
        <f>IFERROR(__xludf.DUMMYFUNCTION("""COMPUTED_VALUE"""),"Python")</f>
        <v>Python</v>
      </c>
      <c r="J4822" s="9" t="str">
        <f>IFERROR(__xludf.DUMMYFUNCTION("""COMPUTED_VALUE"""),"SQL")</f>
        <v>SQL</v>
      </c>
      <c r="K4822" s="9" t="str">
        <f>IFERROR(__xludf.DUMMYFUNCTION("""COMPUTED_VALUE"""),"Ruby")</f>
        <v>Ruby</v>
      </c>
      <c r="L4822" s="9" t="str">
        <f>IFERROR(__xludf.DUMMYFUNCTION("""COMPUTED_VALUE"""),"TypeScript")</f>
        <v>TypeScript</v>
      </c>
      <c r="M4822" s="9" t="s">
        <v>35</v>
      </c>
    </row>
    <row r="4823" ht="15.75" customHeight="1">
      <c r="A4823" s="7"/>
      <c r="B4823" s="7" t="str">
        <f>IFERROR(__xludf.DUMMYFUNCTION("""COMPUTED_VALUE"""),"Java;JavaScript;Python")</f>
        <v>Java;JavaScript;Python</v>
      </c>
      <c r="C4823" s="9" t="str">
        <f>IFERROR(__xludf.DUMMYFUNCTION("""COMPUTED_VALUE"""),"Assembly")</f>
        <v>Assembly</v>
      </c>
      <c r="D4823" s="9" t="str">
        <f>IFERROR(__xludf.DUMMYFUNCTION("""COMPUTED_VALUE"""),"Java")</f>
        <v>Java</v>
      </c>
      <c r="E4823" s="9" t="str">
        <f>IFERROR(__xludf.DUMMYFUNCTION("""COMPUTED_VALUE"""),"SQL")</f>
        <v>SQL</v>
      </c>
      <c r="F4823" s="9" t="str">
        <f>IFERROR(__xludf.DUMMYFUNCTION("""COMPUTED_VALUE"""),"Bash/Shell/PowerShell")</f>
        <v>Bash/Shell/PowerShell</v>
      </c>
      <c r="G4823" s="9" t="str">
        <f>IFERROR(__xludf.DUMMYFUNCTION("""COMPUTED_VALUE"""),"SQL")</f>
        <v>SQL</v>
      </c>
      <c r="H4823" s="9" t="str">
        <f>IFERROR(__xludf.DUMMYFUNCTION("""COMPUTED_VALUE"""),"HTML/CSS")</f>
        <v>HTML/CSS</v>
      </c>
      <c r="I4823" s="9" t="str">
        <f>IFERROR(__xludf.DUMMYFUNCTION("""COMPUTED_VALUE"""),"Bash/Shell/PowerShell")</f>
        <v>Bash/Shell/PowerShell</v>
      </c>
      <c r="J4823" s="9" t="str">
        <f>IFERROR(__xludf.DUMMYFUNCTION("""COMPUTED_VALUE"""),"Bash/Shell/PowerShell")</f>
        <v>Bash/Shell/PowerShell</v>
      </c>
      <c r="K4823" s="9" t="str">
        <f>IFERROR(__xludf.DUMMYFUNCTION("""COMPUTED_VALUE"""),"SQL")</f>
        <v>SQL</v>
      </c>
      <c r="L4823" s="9" t="str">
        <f>IFERROR(__xludf.DUMMYFUNCTION("""COMPUTED_VALUE"""),"HTML/CSS")</f>
        <v>HTML/CSS</v>
      </c>
      <c r="M4823" s="9" t="s">
        <v>38</v>
      </c>
    </row>
    <row r="4824" ht="15.75" customHeight="1">
      <c r="A4824" s="7"/>
      <c r="B4824" s="7" t="str">
        <f>IFERROR(__xludf.DUMMYFUNCTION("""COMPUTED_VALUE"""),"Bash/Shell/PowerShell;HTML/CSS;Java;JavaScript;Python;SQL")</f>
        <v>Bash/Shell/PowerShell;HTML/CSS;Java;JavaScript;Python;SQL</v>
      </c>
      <c r="C4824" s="9" t="str">
        <f>IFERROR(__xludf.DUMMYFUNCTION("""COMPUTED_VALUE"""),"C")</f>
        <v>C</v>
      </c>
      <c r="D4824" s="9" t="str">
        <f>IFERROR(__xludf.DUMMYFUNCTION("""COMPUTED_VALUE"""),"JavaScript")</f>
        <v>JavaScript</v>
      </c>
      <c r="E4824" s="9" t="str">
        <f>IFERROR(__xludf.DUMMYFUNCTION("""COMPUTED_VALUE"""),"Bash/Shell/PowerShell")</f>
        <v>Bash/Shell/PowerShell</v>
      </c>
      <c r="F4824" s="9" t="str">
        <f>IFERROR(__xludf.DUMMYFUNCTION("""COMPUTED_VALUE"""),"Java")</f>
        <v>Java</v>
      </c>
      <c r="G4824" s="9" t="str">
        <f>IFERROR(__xludf.DUMMYFUNCTION("""COMPUTED_VALUE"""),"VBA")</f>
        <v>VBA</v>
      </c>
      <c r="H4824" s="9" t="str">
        <f>IFERROR(__xludf.DUMMYFUNCTION("""COMPUTED_VALUE"""),"JavaScript")</f>
        <v>JavaScript</v>
      </c>
      <c r="I4824" s="9" t="str">
        <f>IFERROR(__xludf.DUMMYFUNCTION("""COMPUTED_VALUE"""),"HTML/CSS")</f>
        <v>HTML/CSS</v>
      </c>
      <c r="J4824" s="9" t="str">
        <f>IFERROR(__xludf.DUMMYFUNCTION("""COMPUTED_VALUE"""),"Go")</f>
        <v>Go</v>
      </c>
      <c r="K4824" s="9" t="str">
        <f>IFERROR(__xludf.DUMMYFUNCTION("""COMPUTED_VALUE"""),"C#")</f>
        <v>C#</v>
      </c>
      <c r="L4824" s="9" t="str">
        <f>IFERROR(__xludf.DUMMYFUNCTION("""COMPUTED_VALUE"""),"Java")</f>
        <v>Java</v>
      </c>
      <c r="M4824" s="9" t="s">
        <v>25</v>
      </c>
    </row>
    <row r="4825" ht="15.75" customHeight="1">
      <c r="A4825" s="7"/>
      <c r="B4825" s="7" t="str">
        <f>IFERROR(__xludf.DUMMYFUNCTION("""COMPUTED_VALUE"""),"C#;HTML/CSS;Java;JavaScript;Python")</f>
        <v>C#;HTML/CSS;Java;JavaScript;Python</v>
      </c>
      <c r="C4825" s="9" t="str">
        <f>IFERROR(__xludf.DUMMYFUNCTION("""COMPUTED_VALUE"""),"C++")</f>
        <v>C++</v>
      </c>
      <c r="D4825" s="9" t="str">
        <f>IFERROR(__xludf.DUMMYFUNCTION("""COMPUTED_VALUE"""),"PHP")</f>
        <v>PHP</v>
      </c>
      <c r="E4825" s="9" t="str">
        <f>IFERROR(__xludf.DUMMYFUNCTION("""COMPUTED_VALUE"""),"HTML/CSS")</f>
        <v>HTML/CSS</v>
      </c>
      <c r="F4825" s="9" t="str">
        <f>IFERROR(__xludf.DUMMYFUNCTION("""COMPUTED_VALUE"""),"JavaScript")</f>
        <v>JavaScript</v>
      </c>
      <c r="G4825" s="9" t="str">
        <f>IFERROR(__xludf.DUMMYFUNCTION("""COMPUTED_VALUE"""),"HTML/CSS")</f>
        <v>HTML/CSS</v>
      </c>
      <c r="H4825" s="9" t="str">
        <f>IFERROR(__xludf.DUMMYFUNCTION("""COMPUTED_VALUE"""),"SQL")</f>
        <v>SQL</v>
      </c>
      <c r="I4825" s="9" t="str">
        <f>IFERROR(__xludf.DUMMYFUNCTION("""COMPUTED_VALUE"""),"JavaScript")</f>
        <v>JavaScript</v>
      </c>
      <c r="J4825" s="9" t="str">
        <f>IFERROR(__xludf.DUMMYFUNCTION("""COMPUTED_VALUE"""),"HTML/CSS")</f>
        <v>HTML/CSS</v>
      </c>
      <c r="K4825" s="9" t="str">
        <f>IFERROR(__xludf.DUMMYFUNCTION("""COMPUTED_VALUE"""),"HTML/CSS")</f>
        <v>HTML/CSS</v>
      </c>
      <c r="L4825" s="9" t="str">
        <f>IFERROR(__xludf.DUMMYFUNCTION("""COMPUTED_VALUE"""),"JavaScript")</f>
        <v>JavaScript</v>
      </c>
      <c r="M4825" s="9" t="s">
        <v>23</v>
      </c>
    </row>
    <row r="4826" ht="15.75" customHeight="1">
      <c r="A4826" s="7"/>
      <c r="B4826" s="7" t="str">
        <f>IFERROR(__xludf.DUMMYFUNCTION("""COMPUTED_VALUE"""),"Bash/Shell/PowerShell;Go;HTML/CSS;JavaScript;WebAssembly")</f>
        <v>Bash/Shell/PowerShell;Go;HTML/CSS;JavaScript;WebAssembly</v>
      </c>
      <c r="C4826" s="9" t="str">
        <f>IFERROR(__xludf.DUMMYFUNCTION("""COMPUTED_VALUE"""),"HTML/CSS")</f>
        <v>HTML/CSS</v>
      </c>
      <c r="D4826" s="9" t="str">
        <f>IFERROR(__xludf.DUMMYFUNCTION("""COMPUTED_VALUE"""),"SQL")</f>
        <v>SQL</v>
      </c>
      <c r="E4826" s="9" t="str">
        <f>IFERROR(__xludf.DUMMYFUNCTION("""COMPUTED_VALUE"""),"Java")</f>
        <v>Java</v>
      </c>
      <c r="F4826" s="9" t="str">
        <f>IFERROR(__xludf.DUMMYFUNCTION("""COMPUTED_VALUE"""),"Python")</f>
        <v>Python</v>
      </c>
      <c r="G4826" s="9" t="str">
        <f>IFERROR(__xludf.DUMMYFUNCTION("""COMPUTED_VALUE"""),"JavaScript")</f>
        <v>JavaScript</v>
      </c>
      <c r="H4826" s="9" t="str">
        <f>IFERROR(__xludf.DUMMYFUNCTION("""COMPUTED_VALUE"""),"TypeScript")</f>
        <v>TypeScript</v>
      </c>
      <c r="I4826" s="9" t="str">
        <f>IFERROR(__xludf.DUMMYFUNCTION("""COMPUTED_VALUE"""),"PHP")</f>
        <v>PHP</v>
      </c>
      <c r="J4826" s="9" t="str">
        <f>IFERROR(__xludf.DUMMYFUNCTION("""COMPUTED_VALUE"""),"JavaScript")</f>
        <v>JavaScript</v>
      </c>
      <c r="K4826" s="9" t="str">
        <f>IFERROR(__xludf.DUMMYFUNCTION("""COMPUTED_VALUE"""),"JavaScript")</f>
        <v>JavaScript</v>
      </c>
      <c r="L4826" s="9" t="str">
        <f>IFERROR(__xludf.DUMMYFUNCTION("""COMPUTED_VALUE"""),"Kotlin")</f>
        <v>Kotlin</v>
      </c>
      <c r="M4826" s="9" t="s">
        <v>24</v>
      </c>
    </row>
    <row r="4827" ht="15.75" customHeight="1">
      <c r="A4827" s="7"/>
      <c r="B4827" s="7" t="str">
        <f>IFERROR(__xludf.DUMMYFUNCTION("""COMPUTED_VALUE"""),"Bash/Shell/PowerShell;Go;Java")</f>
        <v>Bash/Shell/PowerShell;Go;Java</v>
      </c>
      <c r="C4827" s="9" t="str">
        <f>IFERROR(__xludf.DUMMYFUNCTION("""COMPUTED_VALUE"""),"Java")</f>
        <v>Java</v>
      </c>
      <c r="D4827" s="9" t="str">
        <f>IFERROR(__xludf.DUMMYFUNCTION("""COMPUTED_VALUE"""),"Bash/Shell/PowerShell")</f>
        <v>Bash/Shell/PowerShell</v>
      </c>
      <c r="E4827" s="9" t="str">
        <f>IFERROR(__xludf.DUMMYFUNCTION("""COMPUTED_VALUE"""),"JavaScript")</f>
        <v>JavaScript</v>
      </c>
      <c r="F4827" s="9" t="str">
        <f>IFERROR(__xludf.DUMMYFUNCTION("""COMPUTED_VALUE"""),"SQL")</f>
        <v>SQL</v>
      </c>
      <c r="G4827" s="9" t="str">
        <f>IFERROR(__xludf.DUMMYFUNCTION("""COMPUTED_VALUE"""),"PHP")</f>
        <v>PHP</v>
      </c>
      <c r="H4827" s="9" t="str">
        <f>IFERROR(__xludf.DUMMYFUNCTION("""COMPUTED_VALUE"""),"C++")</f>
        <v>C++</v>
      </c>
      <c r="I4827" s="9" t="str">
        <f>IFERROR(__xludf.DUMMYFUNCTION("""COMPUTED_VALUE"""),"SQL")</f>
        <v>SQL</v>
      </c>
      <c r="J4827" s="9" t="str">
        <f>IFERROR(__xludf.DUMMYFUNCTION("""COMPUTED_VALUE"""),"Python")</f>
        <v>Python</v>
      </c>
      <c r="K4827" s="9" t="str">
        <f>IFERROR(__xludf.DUMMYFUNCTION("""COMPUTED_VALUE"""),"SQL")</f>
        <v>SQL</v>
      </c>
      <c r="L4827" s="9" t="str">
        <f>IFERROR(__xludf.DUMMYFUNCTION("""COMPUTED_VALUE"""),"Python")</f>
        <v>Python</v>
      </c>
      <c r="M4827" s="9" t="s">
        <v>20</v>
      </c>
    </row>
    <row r="4828" ht="15.75" customHeight="1">
      <c r="A4828" s="7"/>
      <c r="B4828" s="7" t="str">
        <f>IFERROR(__xludf.DUMMYFUNCTION("""COMPUTED_VALUE"""),"HTML/CSS;JavaScript")</f>
        <v>HTML/CSS;JavaScript</v>
      </c>
      <c r="C4828" s="9" t="str">
        <f>IFERROR(__xludf.DUMMYFUNCTION("""COMPUTED_VALUE"""),"JavaScript")</f>
        <v>JavaScript</v>
      </c>
      <c r="D4828" s="9" t="str">
        <f>IFERROR(__xludf.DUMMYFUNCTION("""COMPUTED_VALUE"""),"HTML/CSS")</f>
        <v>HTML/CSS</v>
      </c>
      <c r="E4828" s="9" t="str">
        <f>IFERROR(__xludf.DUMMYFUNCTION("""COMPUTED_VALUE"""),"Kotlin")</f>
        <v>Kotlin</v>
      </c>
      <c r="F4828" s="9" t="str">
        <f>IFERROR(__xludf.DUMMYFUNCTION("""COMPUTED_VALUE"""),"Java")</f>
        <v>Java</v>
      </c>
      <c r="G4828" s="9" t="str">
        <f>IFERROR(__xludf.DUMMYFUNCTION("""COMPUTED_VALUE"""),"SQL")</f>
        <v>SQL</v>
      </c>
      <c r="H4828" s="9" t="str">
        <f>IFERROR(__xludf.DUMMYFUNCTION("""COMPUTED_VALUE"""),"HTML/CSS")</f>
        <v>HTML/CSS</v>
      </c>
      <c r="I4828" s="9" t="str">
        <f>IFERROR(__xludf.DUMMYFUNCTION("""COMPUTED_VALUE"""),"TypeScript")</f>
        <v>TypeScript</v>
      </c>
      <c r="J4828" s="9" t="str">
        <f>IFERROR(__xludf.DUMMYFUNCTION("""COMPUTED_VALUE"""),"C")</f>
        <v>C</v>
      </c>
      <c r="K4828" s="9" t="str">
        <f>IFERROR(__xludf.DUMMYFUNCTION("""COMPUTED_VALUE"""),"Java")</f>
        <v>Java</v>
      </c>
      <c r="L4828" s="9" t="str">
        <f>IFERROR(__xludf.DUMMYFUNCTION("""COMPUTED_VALUE"""),"SQL")</f>
        <v>SQL</v>
      </c>
      <c r="M4828" s="9" t="s">
        <v>21</v>
      </c>
    </row>
    <row r="4829" ht="15.75" customHeight="1">
      <c r="A4829" s="7"/>
      <c r="B4829" s="7" t="str">
        <f>IFERROR(__xludf.DUMMYFUNCTION("""COMPUTED_VALUE"""),"HTML/CSS;Java;JavaScript;Kotlin;SQL")</f>
        <v>HTML/CSS;Java;JavaScript;Kotlin;SQL</v>
      </c>
      <c r="C4829" s="9" t="str">
        <f>IFERROR(__xludf.DUMMYFUNCTION("""COMPUTED_VALUE"""),"Kotlin")</f>
        <v>Kotlin</v>
      </c>
      <c r="D4829" s="9" t="str">
        <f>IFERROR(__xludf.DUMMYFUNCTION("""COMPUTED_VALUE"""),"Java")</f>
        <v>Java</v>
      </c>
      <c r="E4829" s="9" t="str">
        <f>IFERROR(__xludf.DUMMYFUNCTION("""COMPUTED_VALUE"""),"Python")</f>
        <v>Python</v>
      </c>
      <c r="F4829" s="9" t="str">
        <f>IFERROR(__xludf.DUMMYFUNCTION("""COMPUTED_VALUE"""),"JavaScript")</f>
        <v>JavaScript</v>
      </c>
      <c r="G4829" s="9" t="str">
        <f>IFERROR(__xludf.DUMMYFUNCTION("""COMPUTED_VALUE"""),"Bash/Shell/PowerShell")</f>
        <v>Bash/Shell/PowerShell</v>
      </c>
      <c r="H4829" s="9" t="str">
        <f>IFERROR(__xludf.DUMMYFUNCTION("""COMPUTED_VALUE"""),"JavaScript")</f>
        <v>JavaScript</v>
      </c>
      <c r="I4829" s="9" t="str">
        <f>IFERROR(__xludf.DUMMYFUNCTION("""COMPUTED_VALUE"""),"HTML/CSS")</f>
        <v>HTML/CSS</v>
      </c>
      <c r="J4829" s="9" t="str">
        <f>IFERROR(__xludf.DUMMYFUNCTION("""COMPUTED_VALUE"""),"Java")</f>
        <v>Java</v>
      </c>
      <c r="K4829" s="9" t="str">
        <f>IFERROR(__xludf.DUMMYFUNCTION("""COMPUTED_VALUE"""),"JavaScript")</f>
        <v>JavaScript</v>
      </c>
      <c r="L4829" s="9" t="str">
        <f>IFERROR(__xludf.DUMMYFUNCTION("""COMPUTED_VALUE"""),"C#")</f>
        <v>C#</v>
      </c>
      <c r="M4829" s="9" t="s">
        <v>39</v>
      </c>
    </row>
    <row r="4830" ht="15.75" customHeight="1">
      <c r="A4830" s="7"/>
      <c r="B4830" s="7" t="str">
        <f>IFERROR(__xludf.DUMMYFUNCTION("""COMPUTED_VALUE"""),"C++;HTML/CSS;Rust;TypeScript;Other(s):")</f>
        <v>C++;HTML/CSS;Rust;TypeScript;Other(s):</v>
      </c>
      <c r="C4830" s="9" t="str">
        <f>IFERROR(__xludf.DUMMYFUNCTION("""COMPUTED_VALUE"""),"PHP")</f>
        <v>PHP</v>
      </c>
      <c r="D4830" s="9" t="str">
        <f>IFERROR(__xludf.DUMMYFUNCTION("""COMPUTED_VALUE"""),"PHP")</f>
        <v>PHP</v>
      </c>
      <c r="E4830" s="9" t="str">
        <f>IFERROR(__xludf.DUMMYFUNCTION("""COMPUTED_VALUE"""),"TypeScript")</f>
        <v>TypeScript</v>
      </c>
      <c r="F4830" s="9" t="str">
        <f>IFERROR(__xludf.DUMMYFUNCTION("""COMPUTED_VALUE"""),"Python")</f>
        <v>Python</v>
      </c>
      <c r="G4830" s="9" t="str">
        <f>IFERROR(__xludf.DUMMYFUNCTION("""COMPUTED_VALUE"""),"C")</f>
        <v>C</v>
      </c>
      <c r="H4830" s="9" t="str">
        <f>IFERROR(__xludf.DUMMYFUNCTION("""COMPUTED_VALUE"""),"TypeScript")</f>
        <v>TypeScript</v>
      </c>
      <c r="I4830" s="9" t="str">
        <f>IFERROR(__xludf.DUMMYFUNCTION("""COMPUTED_VALUE"""),"JavaScript")</f>
        <v>JavaScript</v>
      </c>
      <c r="J4830" s="9" t="str">
        <f>IFERROR(__xludf.DUMMYFUNCTION("""COMPUTED_VALUE"""),"JavaScript")</f>
        <v>JavaScript</v>
      </c>
      <c r="K4830" s="9" t="str">
        <f>IFERROR(__xludf.DUMMYFUNCTION("""COMPUTED_VALUE"""),"Kotlin")</f>
        <v>Kotlin</v>
      </c>
      <c r="L4830" s="9" t="str">
        <f>IFERROR(__xludf.DUMMYFUNCTION("""COMPUTED_VALUE"""),"HTML/CSS")</f>
        <v>HTML/CSS</v>
      </c>
      <c r="M4830" s="9" t="s">
        <v>37</v>
      </c>
    </row>
    <row r="4831" ht="15.75" customHeight="1">
      <c r="A4831" s="7"/>
      <c r="B4831" s="7" t="str">
        <f>IFERROR(__xludf.DUMMYFUNCTION("""COMPUTED_VALUE"""),"C;C++;Java;Kotlin;Python")</f>
        <v>C;C++;Java;Kotlin;Python</v>
      </c>
      <c r="C4831" s="9" t="str">
        <f>IFERROR(__xludf.DUMMYFUNCTION("""COMPUTED_VALUE"""),"Python")</f>
        <v>Python</v>
      </c>
      <c r="D4831" s="9" t="str">
        <f>IFERROR(__xludf.DUMMYFUNCTION("""COMPUTED_VALUE"""),"Python")</f>
        <v>Python</v>
      </c>
      <c r="E4831" s="9" t="str">
        <f>IFERROR(__xludf.DUMMYFUNCTION("""COMPUTED_VALUE"""),"C")</f>
        <v>C</v>
      </c>
      <c r="F4831" s="9" t="str">
        <f>IFERROR(__xludf.DUMMYFUNCTION("""COMPUTED_VALUE"""),"SQL")</f>
        <v>SQL</v>
      </c>
      <c r="G4831" s="9" t="str">
        <f>IFERROR(__xludf.DUMMYFUNCTION("""COMPUTED_VALUE"""),"Dart")</f>
        <v>Dart</v>
      </c>
      <c r="H4831" s="9" t="str">
        <f>IFERROR(__xludf.DUMMYFUNCTION("""COMPUTED_VALUE"""),"Other(s):")</f>
        <v>Other(s):</v>
      </c>
      <c r="I4831" s="9" t="str">
        <f>IFERROR(__xludf.DUMMYFUNCTION("""COMPUTED_VALUE"""),"PHP")</f>
        <v>PHP</v>
      </c>
      <c r="J4831" s="9" t="str">
        <f>IFERROR(__xludf.DUMMYFUNCTION("""COMPUTED_VALUE"""),"Kotlin")</f>
        <v>Kotlin</v>
      </c>
      <c r="K4831" s="9" t="str">
        <f>IFERROR(__xludf.DUMMYFUNCTION("""COMPUTED_VALUE"""),"Objective-C")</f>
        <v>Objective-C</v>
      </c>
      <c r="L4831" s="9" t="str">
        <f>IFERROR(__xludf.DUMMYFUNCTION("""COMPUTED_VALUE"""),"JavaScript")</f>
        <v>JavaScript</v>
      </c>
      <c r="M4831" s="9" t="s">
        <v>22</v>
      </c>
    </row>
    <row r="4832" ht="15.75" customHeight="1">
      <c r="A4832" s="7"/>
      <c r="B4832" s="7" t="str">
        <f>IFERROR(__xludf.DUMMYFUNCTION("""COMPUTED_VALUE"""),"HTML/CSS;Java;PHP;VBA")</f>
        <v>HTML/CSS;Java;PHP;VBA</v>
      </c>
      <c r="C4832" s="9" t="str">
        <f>IFERROR(__xludf.DUMMYFUNCTION("""COMPUTED_VALUE"""),"SQL")</f>
        <v>SQL</v>
      </c>
      <c r="D4832" s="9" t="str">
        <f>IFERROR(__xludf.DUMMYFUNCTION("""COMPUTED_VALUE"""),"R")</f>
        <v>R</v>
      </c>
      <c r="E4832" s="9" t="str">
        <f>IFERROR(__xludf.DUMMYFUNCTION("""COMPUTED_VALUE"""),"C++")</f>
        <v>C++</v>
      </c>
      <c r="F4832" s="9" t="str">
        <f>IFERROR(__xludf.DUMMYFUNCTION("""COMPUTED_VALUE"""),"Bash/Shell/PowerShell")</f>
        <v>Bash/Shell/PowerShell</v>
      </c>
      <c r="G4832" s="9" t="str">
        <f>IFERROR(__xludf.DUMMYFUNCTION("""COMPUTED_VALUE"""),"Go")</f>
        <v>Go</v>
      </c>
      <c r="H4832" s="9" t="str">
        <f>IFERROR(__xludf.DUMMYFUNCTION("""COMPUTED_VALUE"""),"Bash/Shell/PowerShell")</f>
        <v>Bash/Shell/PowerShell</v>
      </c>
      <c r="I4832" s="9" t="str">
        <f>IFERROR(__xludf.DUMMYFUNCTION("""COMPUTED_VALUE"""),"SQL")</f>
        <v>SQL</v>
      </c>
      <c r="J4832" s="9" t="str">
        <f>IFERROR(__xludf.DUMMYFUNCTION("""COMPUTED_VALUE"""),"Python")</f>
        <v>Python</v>
      </c>
      <c r="K4832" s="9" t="str">
        <f>IFERROR(__xludf.DUMMYFUNCTION("""COMPUTED_VALUE"""),"Python")</f>
        <v>Python</v>
      </c>
      <c r="L4832" s="9" t="str">
        <f>IFERROR(__xludf.DUMMYFUNCTION("""COMPUTED_VALUE"""),"PHP")</f>
        <v>PHP</v>
      </c>
      <c r="M4832" s="9" t="s">
        <v>27</v>
      </c>
    </row>
    <row r="4833" ht="15.75" customHeight="1">
      <c r="A4833" s="7"/>
      <c r="B4833" s="7" t="str">
        <f>IFERROR(__xludf.DUMMYFUNCTION("""COMPUTED_VALUE"""),"C#;HTML/CSS;Java;JavaScript;PHP;SQL;TypeScript")</f>
        <v>C#;HTML/CSS;Java;JavaScript;PHP;SQL;TypeScript</v>
      </c>
      <c r="C4833" s="9" t="str">
        <f>IFERROR(__xludf.DUMMYFUNCTION("""COMPUTED_VALUE"""),"JavaScript")</f>
        <v>JavaScript</v>
      </c>
      <c r="D4833" s="9" t="str">
        <f>IFERROR(__xludf.DUMMYFUNCTION("""COMPUTED_VALUE"""),"SQL")</f>
        <v>SQL</v>
      </c>
      <c r="E4833" s="9" t="str">
        <f>IFERROR(__xludf.DUMMYFUNCTION("""COMPUTED_VALUE"""),"Objective-C")</f>
        <v>Objective-C</v>
      </c>
      <c r="F4833" s="9" t="str">
        <f>IFERROR(__xludf.DUMMYFUNCTION("""COMPUTED_VALUE"""),"C#")</f>
        <v>C#</v>
      </c>
      <c r="G4833" s="9" t="str">
        <f>IFERROR(__xludf.DUMMYFUNCTION("""COMPUTED_VALUE"""),"Java")</f>
        <v>Java</v>
      </c>
      <c r="H4833" s="9" t="str">
        <f>IFERROR(__xludf.DUMMYFUNCTION("""COMPUTED_VALUE"""),"C")</f>
        <v>C</v>
      </c>
      <c r="I4833" s="9" t="str">
        <f>IFERROR(__xludf.DUMMYFUNCTION("""COMPUTED_VALUE"""),"HTML/CSS")</f>
        <v>HTML/CSS</v>
      </c>
      <c r="J4833" s="9" t="str">
        <f>IFERROR(__xludf.DUMMYFUNCTION("""COMPUTED_VALUE"""),"SQL")</f>
        <v>SQL</v>
      </c>
      <c r="K4833" s="9" t="str">
        <f>IFERROR(__xludf.DUMMYFUNCTION("""COMPUTED_VALUE"""),"Swift")</f>
        <v>Swift</v>
      </c>
      <c r="L4833" s="9" t="str">
        <f>IFERROR(__xludf.DUMMYFUNCTION("""COMPUTED_VALUE"""),"SQL")</f>
        <v>SQL</v>
      </c>
      <c r="M4833" s="9" t="s">
        <v>21</v>
      </c>
    </row>
    <row r="4834" ht="15.75" customHeight="1">
      <c r="A4834" s="7"/>
      <c r="B4834" s="7" t="str">
        <f>IFERROR(__xludf.DUMMYFUNCTION("""COMPUTED_VALUE"""),"Bash/Shell/PowerShell;Java;JavaScript;SQL")</f>
        <v>Bash/Shell/PowerShell;Java;JavaScript;SQL</v>
      </c>
      <c r="C4834" s="9" t="str">
        <f>IFERROR(__xludf.DUMMYFUNCTION("""COMPUTED_VALUE"""),"Ruby")</f>
        <v>Ruby</v>
      </c>
      <c r="D4834" s="9" t="str">
        <f>IFERROR(__xludf.DUMMYFUNCTION("""COMPUTED_VALUE"""),"Bash/Shell/PowerShell")</f>
        <v>Bash/Shell/PowerShell</v>
      </c>
      <c r="E4834" s="9" t="str">
        <f>IFERROR(__xludf.DUMMYFUNCTION("""COMPUTED_VALUE"""),"Swift")</f>
        <v>Swift</v>
      </c>
      <c r="F4834" s="9" t="str">
        <f>IFERROR(__xludf.DUMMYFUNCTION("""COMPUTED_VALUE"""),"HTML/CSS")</f>
        <v>HTML/CSS</v>
      </c>
      <c r="G4834" s="9" t="str">
        <f>IFERROR(__xludf.DUMMYFUNCTION("""COMPUTED_VALUE"""),"JavaScript")</f>
        <v>JavaScript</v>
      </c>
      <c r="H4834" s="9" t="str">
        <f>IFERROR(__xludf.DUMMYFUNCTION("""COMPUTED_VALUE"""),"C++")</f>
        <v>C++</v>
      </c>
      <c r="I4834" s="9" t="str">
        <f>IFERROR(__xludf.DUMMYFUNCTION("""COMPUTED_VALUE"""),"PHP")</f>
        <v>PHP</v>
      </c>
      <c r="J4834" s="9" t="str">
        <f>IFERROR(__xludf.DUMMYFUNCTION("""COMPUTED_VALUE"""),"Bash/Shell/PowerShell")</f>
        <v>Bash/Shell/PowerShell</v>
      </c>
      <c r="K4834" s="9" t="str">
        <f>IFERROR(__xludf.DUMMYFUNCTION("""COMPUTED_VALUE"""),"TypeScript")</f>
        <v>TypeScript</v>
      </c>
      <c r="L4834" s="9" t="str">
        <f>IFERROR(__xludf.DUMMYFUNCTION("""COMPUTED_VALUE"""),"JavaScript")</f>
        <v>JavaScript</v>
      </c>
      <c r="M4834" s="9" t="s">
        <v>31</v>
      </c>
    </row>
    <row r="4835" ht="15.75" customHeight="1">
      <c r="A4835" s="7"/>
      <c r="B4835" s="7" t="str">
        <f>IFERROR(__xludf.DUMMYFUNCTION("""COMPUTED_VALUE"""),"Bash/Shell/PowerShell;C#;HTML/CSS;JavaScript;Python;TypeScript")</f>
        <v>Bash/Shell/PowerShell;C#;HTML/CSS;JavaScript;Python;TypeScript</v>
      </c>
      <c r="C4835" s="9" t="str">
        <f>IFERROR(__xludf.DUMMYFUNCTION("""COMPUTED_VALUE"""),"SQL")</f>
        <v>SQL</v>
      </c>
      <c r="D4835" s="9" t="str">
        <f>IFERROR(__xludf.DUMMYFUNCTION("""COMPUTED_VALUE"""),"C#")</f>
        <v>C#</v>
      </c>
      <c r="E4835" s="9" t="str">
        <f>IFERROR(__xludf.DUMMYFUNCTION("""COMPUTED_VALUE"""),"TypeScript")</f>
        <v>TypeScript</v>
      </c>
      <c r="F4835" s="9" t="str">
        <f>IFERROR(__xludf.DUMMYFUNCTION("""COMPUTED_VALUE"""),"JavaScript")</f>
        <v>JavaScript</v>
      </c>
      <c r="G4835" s="9" t="str">
        <f>IFERROR(__xludf.DUMMYFUNCTION("""COMPUTED_VALUE"""),"Python")</f>
        <v>Python</v>
      </c>
      <c r="H4835" s="9" t="str">
        <f>IFERROR(__xludf.DUMMYFUNCTION("""COMPUTED_VALUE"""),"C#")</f>
        <v>C#</v>
      </c>
      <c r="I4835" s="9" t="str">
        <f>IFERROR(__xludf.DUMMYFUNCTION("""COMPUTED_VALUE"""),"R")</f>
        <v>R</v>
      </c>
      <c r="J4835" s="9" t="str">
        <f>IFERROR(__xludf.DUMMYFUNCTION("""COMPUTED_VALUE"""),"C#")</f>
        <v>C#</v>
      </c>
      <c r="K4835" s="9" t="str">
        <f>IFERROR(__xludf.DUMMYFUNCTION("""COMPUTED_VALUE"""),"SQL")</f>
        <v>SQL</v>
      </c>
      <c r="L4835" s="9" t="str">
        <f>IFERROR(__xludf.DUMMYFUNCTION("""COMPUTED_VALUE"""),"Python")</f>
        <v>Python</v>
      </c>
      <c r="M4835" s="9" t="s">
        <v>27</v>
      </c>
    </row>
    <row r="4836" ht="15.75" customHeight="1">
      <c r="A4836" s="7"/>
      <c r="B4836" s="7" t="str">
        <f>IFERROR(__xludf.DUMMYFUNCTION("""COMPUTED_VALUE"""),"HTML/CSS;JavaScript;SQL")</f>
        <v>HTML/CSS;JavaScript;SQL</v>
      </c>
      <c r="C4836" s="9" t="str">
        <f>IFERROR(__xludf.DUMMYFUNCTION("""COMPUTED_VALUE"""),"Bash/Shell/PowerShell")</f>
        <v>Bash/Shell/PowerShell</v>
      </c>
      <c r="D4836" s="9" t="str">
        <f>IFERROR(__xludf.DUMMYFUNCTION("""COMPUTED_VALUE"""),"HTML/CSS")</f>
        <v>HTML/CSS</v>
      </c>
      <c r="E4836" s="9" t="str">
        <f>IFERROR(__xludf.DUMMYFUNCTION("""COMPUTED_VALUE"""),"Bash/Shell/PowerShell")</f>
        <v>Bash/Shell/PowerShell</v>
      </c>
      <c r="F4836" s="9" t="str">
        <f>IFERROR(__xludf.DUMMYFUNCTION("""COMPUTED_VALUE"""),"Ruby")</f>
        <v>Ruby</v>
      </c>
      <c r="G4836" s="9" t="str">
        <f>IFERROR(__xludf.DUMMYFUNCTION("""COMPUTED_VALUE"""),"C#")</f>
        <v>C#</v>
      </c>
      <c r="H4836" s="9" t="str">
        <f>IFERROR(__xludf.DUMMYFUNCTION("""COMPUTED_VALUE"""),"HTML/CSS")</f>
        <v>HTML/CSS</v>
      </c>
      <c r="I4836" s="9" t="str">
        <f>IFERROR(__xludf.DUMMYFUNCTION("""COMPUTED_VALUE"""),"Other(s):")</f>
        <v>Other(s):</v>
      </c>
      <c r="J4836" s="9" t="str">
        <f>IFERROR(__xludf.DUMMYFUNCTION("""COMPUTED_VALUE"""),"Clojure")</f>
        <v>Clojure</v>
      </c>
      <c r="K4836" s="9" t="str">
        <f>IFERROR(__xludf.DUMMYFUNCTION("""COMPUTED_VALUE"""),"C++")</f>
        <v>C++</v>
      </c>
      <c r="L4836" s="9" t="str">
        <f>IFERROR(__xludf.DUMMYFUNCTION("""COMPUTED_VALUE"""),"Bash/Shell/PowerShell")</f>
        <v>Bash/Shell/PowerShell</v>
      </c>
      <c r="M4836" s="9" t="s">
        <v>30</v>
      </c>
    </row>
    <row r="4837" ht="15.75" customHeight="1">
      <c r="A4837" s="7"/>
      <c r="B4837" s="7" t="str">
        <f>IFERROR(__xludf.DUMMYFUNCTION("""COMPUTED_VALUE"""),"Assembly;Go;Java;Python;SQL;VBA")</f>
        <v>Assembly;Go;Java;Python;SQL;VBA</v>
      </c>
      <c r="C4837" s="9" t="str">
        <f>IFERROR(__xludf.DUMMYFUNCTION("""COMPUTED_VALUE"""),"C")</f>
        <v>C</v>
      </c>
      <c r="D4837" s="9" t="str">
        <f>IFERROR(__xludf.DUMMYFUNCTION("""COMPUTED_VALUE"""),"Java")</f>
        <v>Java</v>
      </c>
      <c r="E4837" s="9" t="str">
        <f>IFERROR(__xludf.DUMMYFUNCTION("""COMPUTED_VALUE"""),"JavaScript")</f>
        <v>JavaScript</v>
      </c>
      <c r="F4837" s="9" t="str">
        <f>IFERROR(__xludf.DUMMYFUNCTION("""COMPUTED_VALUE"""),"TypeScript")</f>
        <v>TypeScript</v>
      </c>
      <c r="G4837" s="9" t="str">
        <f>IFERROR(__xludf.DUMMYFUNCTION("""COMPUTED_VALUE"""),"C++")</f>
        <v>C++</v>
      </c>
      <c r="H4837" s="9" t="str">
        <f>IFERROR(__xludf.DUMMYFUNCTION("""COMPUTED_VALUE"""),"Java")</f>
        <v>Java</v>
      </c>
      <c r="I4837" s="9" t="str">
        <f>IFERROR(__xludf.DUMMYFUNCTION("""COMPUTED_VALUE"""),"Bash/Shell/PowerShell")</f>
        <v>Bash/Shell/PowerShell</v>
      </c>
      <c r="J4837" s="9" t="str">
        <f>IFERROR(__xludf.DUMMYFUNCTION("""COMPUTED_VALUE"""),"Elixir")</f>
        <v>Elixir</v>
      </c>
      <c r="K4837" s="9" t="str">
        <f>IFERROR(__xludf.DUMMYFUNCTION("""COMPUTED_VALUE"""),"HTML/CSS")</f>
        <v>HTML/CSS</v>
      </c>
      <c r="L4837" s="9" t="str">
        <f>IFERROR(__xludf.DUMMYFUNCTION("""COMPUTED_VALUE"""),"C#")</f>
        <v>C#</v>
      </c>
      <c r="M4837" s="9" t="s">
        <v>25</v>
      </c>
    </row>
    <row r="4838" ht="15.75" customHeight="1">
      <c r="A4838" s="7"/>
      <c r="B4838" s="7" t="str">
        <f>IFERROR(__xludf.DUMMYFUNCTION("""COMPUTED_VALUE"""),"JavaScript;PHP;SQL")</f>
        <v>JavaScript;PHP;SQL</v>
      </c>
      <c r="C4838" s="9" t="str">
        <f>IFERROR(__xludf.DUMMYFUNCTION("""COMPUTED_VALUE"""),"C++")</f>
        <v>C++</v>
      </c>
      <c r="D4838" s="9" t="str">
        <f>IFERROR(__xludf.DUMMYFUNCTION("""COMPUTED_VALUE"""),"JavaScript")</f>
        <v>JavaScript</v>
      </c>
      <c r="E4838" s="9" t="str">
        <f>IFERROR(__xludf.DUMMYFUNCTION("""COMPUTED_VALUE"""),"TypeScript")</f>
        <v>TypeScript</v>
      </c>
      <c r="F4838" s="9" t="str">
        <f>IFERROR(__xludf.DUMMYFUNCTION("""COMPUTED_VALUE"""),"Bash/Shell/PowerShell")</f>
        <v>Bash/Shell/PowerShell</v>
      </c>
      <c r="G4838" s="9" t="str">
        <f>IFERROR(__xludf.DUMMYFUNCTION("""COMPUTED_VALUE"""),"HTML/CSS")</f>
        <v>HTML/CSS</v>
      </c>
      <c r="H4838" s="9" t="str">
        <f>IFERROR(__xludf.DUMMYFUNCTION("""COMPUTED_VALUE"""),"Python")</f>
        <v>Python</v>
      </c>
      <c r="I4838" s="9" t="str">
        <f>IFERROR(__xludf.DUMMYFUNCTION("""COMPUTED_VALUE"""),"C")</f>
        <v>C</v>
      </c>
      <c r="J4838" s="9" t="str">
        <f>IFERROR(__xludf.DUMMYFUNCTION("""COMPUTED_VALUE"""),"Erlang")</f>
        <v>Erlang</v>
      </c>
      <c r="K4838" s="9" t="str">
        <f>IFERROR(__xludf.DUMMYFUNCTION("""COMPUTED_VALUE"""),"Java")</f>
        <v>Java</v>
      </c>
      <c r="L4838" s="9" t="str">
        <f>IFERROR(__xludf.DUMMYFUNCTION("""COMPUTED_VALUE"""),"HTML/CSS")</f>
        <v>HTML/CSS</v>
      </c>
      <c r="M4838" s="9" t="s">
        <v>23</v>
      </c>
    </row>
    <row r="4839" ht="15.75" customHeight="1">
      <c r="A4839" s="7"/>
      <c r="B4839" s="7" t="str">
        <f>IFERROR(__xludf.DUMMYFUNCTION("""COMPUTED_VALUE"""),"Bash/Shell/PowerShell;HTML/CSS;Java;JavaScript;Kotlin;Python;SQL;TypeScript")</f>
        <v>Bash/Shell/PowerShell;HTML/CSS;Java;JavaScript;Kotlin;Python;SQL;TypeScript</v>
      </c>
      <c r="C4839" s="9" t="str">
        <f>IFERROR(__xludf.DUMMYFUNCTION("""COMPUTED_VALUE"""),"HTML/CSS")</f>
        <v>HTML/CSS</v>
      </c>
      <c r="D4839" s="9" t="str">
        <f>IFERROR(__xludf.DUMMYFUNCTION("""COMPUTED_VALUE"""),"SQL")</f>
        <v>SQL</v>
      </c>
      <c r="E4839" s="9" t="str">
        <f>IFERROR(__xludf.DUMMYFUNCTION("""COMPUTED_VALUE"""),"Bash/Shell/PowerShell")</f>
        <v>Bash/Shell/PowerShell</v>
      </c>
      <c r="F4839" s="9" t="str">
        <f>IFERROR(__xludf.DUMMYFUNCTION("""COMPUTED_VALUE"""),"Java")</f>
        <v>Java</v>
      </c>
      <c r="G4839" s="9" t="str">
        <f>IFERROR(__xludf.DUMMYFUNCTION("""COMPUTED_VALUE"""),"JavaScript")</f>
        <v>JavaScript</v>
      </c>
      <c r="H4839" s="9" t="str">
        <f>IFERROR(__xludf.DUMMYFUNCTION("""COMPUTED_VALUE"""),"Ruby")</f>
        <v>Ruby</v>
      </c>
      <c r="I4839" s="9" t="str">
        <f>IFERROR(__xludf.DUMMYFUNCTION("""COMPUTED_VALUE"""),"HTML/CSS")</f>
        <v>HTML/CSS</v>
      </c>
      <c r="J4839" s="9" t="str">
        <f>IFERROR(__xludf.DUMMYFUNCTION("""COMPUTED_VALUE"""),"Go")</f>
        <v>Go</v>
      </c>
      <c r="K4839" s="9" t="str">
        <f>IFERROR(__xludf.DUMMYFUNCTION("""COMPUTED_VALUE"""),"JavaScript")</f>
        <v>JavaScript</v>
      </c>
      <c r="L4839" s="9" t="str">
        <f>IFERROR(__xludf.DUMMYFUNCTION("""COMPUTED_VALUE"""),"Java")</f>
        <v>Java</v>
      </c>
      <c r="M4839" s="9" t="s">
        <v>24</v>
      </c>
    </row>
    <row r="4840" ht="15.75" customHeight="1">
      <c r="A4840" s="7"/>
      <c r="B4840" s="7" t="str">
        <f>IFERROR(__xludf.DUMMYFUNCTION("""COMPUTED_VALUE"""),"HTML/CSS;JavaScript")</f>
        <v>HTML/CSS;JavaScript</v>
      </c>
      <c r="C4840" s="9" t="str">
        <f>IFERROR(__xludf.DUMMYFUNCTION("""COMPUTED_VALUE"""),"Python")</f>
        <v>Python</v>
      </c>
      <c r="D4840" s="9" t="str">
        <f>IFERROR(__xludf.DUMMYFUNCTION("""COMPUTED_VALUE"""),"C#")</f>
        <v>C#</v>
      </c>
      <c r="E4840" s="9" t="str">
        <f>IFERROR(__xludf.DUMMYFUNCTION("""COMPUTED_VALUE"""),"C#")</f>
        <v>C#</v>
      </c>
      <c r="F4840" s="9" t="str">
        <f>IFERROR(__xludf.DUMMYFUNCTION("""COMPUTED_VALUE"""),"Kotlin")</f>
        <v>Kotlin</v>
      </c>
      <c r="G4840" s="9" t="str">
        <f>IFERROR(__xludf.DUMMYFUNCTION("""COMPUTED_VALUE"""),"PHP")</f>
        <v>PHP</v>
      </c>
      <c r="H4840" s="9" t="str">
        <f>IFERROR(__xludf.DUMMYFUNCTION("""COMPUTED_VALUE"""),"SQL")</f>
        <v>SQL</v>
      </c>
      <c r="I4840" s="9" t="str">
        <f>IFERROR(__xludf.DUMMYFUNCTION("""COMPUTED_VALUE"""),"JavaScript")</f>
        <v>JavaScript</v>
      </c>
      <c r="J4840" s="9" t="str">
        <f>IFERROR(__xludf.DUMMYFUNCTION("""COMPUTED_VALUE"""),"HTML/CSS")</f>
        <v>HTML/CSS</v>
      </c>
      <c r="K4840" s="9" t="str">
        <f>IFERROR(__xludf.DUMMYFUNCTION("""COMPUTED_VALUE"""),"Python")</f>
        <v>Python</v>
      </c>
      <c r="L4840" s="9" t="str">
        <f>IFERROR(__xludf.DUMMYFUNCTION("""COMPUTED_VALUE"""),"JavaScript")</f>
        <v>JavaScript</v>
      </c>
      <c r="M4840" s="9" t="s">
        <v>22</v>
      </c>
    </row>
    <row r="4841" ht="15.75" customHeight="1">
      <c r="A4841" s="7"/>
      <c r="B4841" s="7" t="str">
        <f>IFERROR(__xludf.DUMMYFUNCTION("""COMPUTED_VALUE"""),"C;C++;HTML/CSS;Python;SQL")</f>
        <v>C;C++;HTML/CSS;Python;SQL</v>
      </c>
      <c r="C4841" s="9" t="str">
        <f>IFERROR(__xludf.DUMMYFUNCTION("""COMPUTED_VALUE"""),"Python")</f>
        <v>Python</v>
      </c>
      <c r="D4841" s="9" t="str">
        <f>IFERROR(__xludf.DUMMYFUNCTION("""COMPUTED_VALUE"""),"SQL")</f>
        <v>SQL</v>
      </c>
      <c r="E4841" s="9" t="str">
        <f>IFERROR(__xludf.DUMMYFUNCTION("""COMPUTED_VALUE"""),"HTML/CSS")</f>
        <v>HTML/CSS</v>
      </c>
      <c r="F4841" s="9" t="str">
        <f>IFERROR(__xludf.DUMMYFUNCTION("""COMPUTED_VALUE"""),"SQL")</f>
        <v>SQL</v>
      </c>
      <c r="G4841" s="9" t="str">
        <f>IFERROR(__xludf.DUMMYFUNCTION("""COMPUTED_VALUE"""),"SQL")</f>
        <v>SQL</v>
      </c>
      <c r="H4841" s="9" t="str">
        <f>IFERROR(__xludf.DUMMYFUNCTION("""COMPUTED_VALUE"""),"TypeScript")</f>
        <v>TypeScript</v>
      </c>
      <c r="I4841" s="9" t="str">
        <f>IFERROR(__xludf.DUMMYFUNCTION("""COMPUTED_VALUE"""),"PHP")</f>
        <v>PHP</v>
      </c>
      <c r="J4841" s="9" t="str">
        <f>IFERROR(__xludf.DUMMYFUNCTION("""COMPUTED_VALUE"""),"Java")</f>
        <v>Java</v>
      </c>
      <c r="K4841" s="9" t="str">
        <f>IFERROR(__xludf.DUMMYFUNCTION("""COMPUTED_VALUE"""),"Bash/Shell/PowerShell")</f>
        <v>Bash/Shell/PowerShell</v>
      </c>
      <c r="L4841" s="9" t="str">
        <f>IFERROR(__xludf.DUMMYFUNCTION("""COMPUTED_VALUE"""),"C#")</f>
        <v>C#</v>
      </c>
      <c r="M4841" s="9" t="s">
        <v>22</v>
      </c>
    </row>
    <row r="4842" ht="15.75" customHeight="1">
      <c r="A4842" s="7"/>
      <c r="B4842" s="7" t="str">
        <f>IFERROR(__xludf.DUMMYFUNCTION("""COMPUTED_VALUE"""),"Bash/Shell/PowerShell;C#;HTML/CSS;Java;JavaScript;Objective-C;PHP;SQL;Swift")</f>
        <v>Bash/Shell/PowerShell;C#;HTML/CSS;Java;JavaScript;Objective-C;PHP;SQL;Swift</v>
      </c>
      <c r="C4842" s="9" t="str">
        <f>IFERROR(__xludf.DUMMYFUNCTION("""COMPUTED_VALUE"""),"SQL")</f>
        <v>SQL</v>
      </c>
      <c r="D4842" s="9" t="str">
        <f>IFERROR(__xludf.DUMMYFUNCTION("""COMPUTED_VALUE"""),"Other(s):")</f>
        <v>Other(s):</v>
      </c>
      <c r="E4842" s="9" t="str">
        <f>IFERROR(__xludf.DUMMYFUNCTION("""COMPUTED_VALUE"""),"Java")</f>
        <v>Java</v>
      </c>
      <c r="F4842" s="9" t="str">
        <f>IFERROR(__xludf.DUMMYFUNCTION("""COMPUTED_VALUE"""),"Java")</f>
        <v>Java</v>
      </c>
      <c r="G4842" s="9" t="str">
        <f>IFERROR(__xludf.DUMMYFUNCTION("""COMPUTED_VALUE"""),"C")</f>
        <v>C</v>
      </c>
      <c r="H4842" s="9" t="str">
        <f>IFERROR(__xludf.DUMMYFUNCTION("""COMPUTED_VALUE"""),"Bash/Shell/PowerShell")</f>
        <v>Bash/Shell/PowerShell</v>
      </c>
      <c r="I4842" s="9" t="str">
        <f>IFERROR(__xludf.DUMMYFUNCTION("""COMPUTED_VALUE"""),"SQL")</f>
        <v>SQL</v>
      </c>
      <c r="J4842" s="9" t="str">
        <f>IFERROR(__xludf.DUMMYFUNCTION("""COMPUTED_VALUE"""),"JavaScript")</f>
        <v>JavaScript</v>
      </c>
      <c r="K4842" s="9" t="str">
        <f>IFERROR(__xludf.DUMMYFUNCTION("""COMPUTED_VALUE"""),"HTML/CSS")</f>
        <v>HTML/CSS</v>
      </c>
      <c r="L4842" s="9" t="str">
        <f>IFERROR(__xludf.DUMMYFUNCTION("""COMPUTED_VALUE"""),"Bash/Shell/PowerShell")</f>
        <v>Bash/Shell/PowerShell</v>
      </c>
      <c r="M4842" s="9" t="s">
        <v>27</v>
      </c>
    </row>
    <row r="4843" ht="15.75" customHeight="1">
      <c r="A4843" s="7"/>
      <c r="B4843" s="7" t="str">
        <f>IFERROR(__xludf.DUMMYFUNCTION("""COMPUTED_VALUE"""),"Assembly;Bash/Shell/PowerShell;C;C++;HTML/CSS;JavaScript;SQL")</f>
        <v>Assembly;Bash/Shell/PowerShell;C;C++;HTML/CSS;JavaScript;SQL</v>
      </c>
      <c r="C4843" s="9" t="str">
        <f>IFERROR(__xludf.DUMMYFUNCTION("""COMPUTED_VALUE"""),"HTML/CSS")</f>
        <v>HTML/CSS</v>
      </c>
      <c r="D4843" s="9" t="str">
        <f>IFERROR(__xludf.DUMMYFUNCTION("""COMPUTED_VALUE"""),"C#")</f>
        <v>C#</v>
      </c>
      <c r="E4843" s="9" t="str">
        <f>IFERROR(__xludf.DUMMYFUNCTION("""COMPUTED_VALUE"""),"JavaScript")</f>
        <v>JavaScript</v>
      </c>
      <c r="F4843" s="9" t="str">
        <f>IFERROR(__xludf.DUMMYFUNCTION("""COMPUTED_VALUE"""),"SQL")</f>
        <v>SQL</v>
      </c>
      <c r="G4843" s="9" t="str">
        <f>IFERROR(__xludf.DUMMYFUNCTION("""COMPUTED_VALUE"""),"HTML/CSS")</f>
        <v>HTML/CSS</v>
      </c>
      <c r="H4843" s="9" t="str">
        <f>IFERROR(__xludf.DUMMYFUNCTION("""COMPUTED_VALUE"""),"Go")</f>
        <v>Go</v>
      </c>
      <c r="I4843" s="9" t="str">
        <f>IFERROR(__xludf.DUMMYFUNCTION("""COMPUTED_VALUE"""),"Bash/Shell/PowerShell")</f>
        <v>Bash/Shell/PowerShell</v>
      </c>
      <c r="J4843" s="9" t="str">
        <f>IFERROR(__xludf.DUMMYFUNCTION("""COMPUTED_VALUE"""),"Python")</f>
        <v>Python</v>
      </c>
      <c r="K4843" s="9" t="str">
        <f>IFERROR(__xludf.DUMMYFUNCTION("""COMPUTED_VALUE"""),"JavaScript")</f>
        <v>JavaScript</v>
      </c>
      <c r="L4843" s="9" t="str">
        <f>IFERROR(__xludf.DUMMYFUNCTION("""COMPUTED_VALUE"""),"C#")</f>
        <v>C#</v>
      </c>
      <c r="M4843" s="9" t="s">
        <v>24</v>
      </c>
    </row>
    <row r="4844" ht="15.75" customHeight="1">
      <c r="A4844" s="7"/>
      <c r="B4844" s="7" t="str">
        <f>IFERROR(__xludf.DUMMYFUNCTION("""COMPUTED_VALUE"""),"Bash/Shell/PowerShell;C;HTML/CSS;Java;JavaScript;Ruby;SQL;Other(s):")</f>
        <v>Bash/Shell/PowerShell;C;HTML/CSS;Java;JavaScript;Ruby;SQL;Other(s):</v>
      </c>
      <c r="C4844" s="9" t="str">
        <f>IFERROR(__xludf.DUMMYFUNCTION("""COMPUTED_VALUE"""),"JavaScript")</f>
        <v>JavaScript</v>
      </c>
      <c r="D4844" s="9" t="str">
        <f>IFERROR(__xludf.DUMMYFUNCTION("""COMPUTED_VALUE"""),"Java")</f>
        <v>Java</v>
      </c>
      <c r="E4844" s="9" t="str">
        <f>IFERROR(__xludf.DUMMYFUNCTION("""COMPUTED_VALUE"""),"PHP")</f>
        <v>PHP</v>
      </c>
      <c r="F4844" s="9" t="str">
        <f>IFERROR(__xludf.DUMMYFUNCTION("""COMPUTED_VALUE"""),"Bash/Shell/PowerShell")</f>
        <v>Bash/Shell/PowerShell</v>
      </c>
      <c r="G4844" s="9" t="str">
        <f>IFERROR(__xludf.DUMMYFUNCTION("""COMPUTED_VALUE"""),"Java")</f>
        <v>Java</v>
      </c>
      <c r="H4844" s="9" t="str">
        <f>IFERROR(__xludf.DUMMYFUNCTION("""COMPUTED_VALUE"""),"Python")</f>
        <v>Python</v>
      </c>
      <c r="I4844" s="9" t="str">
        <f>IFERROR(__xludf.DUMMYFUNCTION("""COMPUTED_VALUE"""),"Java")</f>
        <v>Java</v>
      </c>
      <c r="J4844" s="9" t="str">
        <f>IFERROR(__xludf.DUMMYFUNCTION("""COMPUTED_VALUE"""),"R")</f>
        <v>R</v>
      </c>
      <c r="K4844" s="9" t="str">
        <f>IFERROR(__xludf.DUMMYFUNCTION("""COMPUTED_VALUE"""),"PHP")</f>
        <v>PHP</v>
      </c>
      <c r="L4844" s="9" t="str">
        <f>IFERROR(__xludf.DUMMYFUNCTION("""COMPUTED_VALUE"""),"HTML/CSS")</f>
        <v>HTML/CSS</v>
      </c>
      <c r="M4844" s="9" t="s">
        <v>21</v>
      </c>
    </row>
    <row r="4845" ht="15.75" customHeight="1">
      <c r="A4845" s="7"/>
      <c r="B4845" s="7" t="str">
        <f>IFERROR(__xludf.DUMMYFUNCTION("""COMPUTED_VALUE"""),"HTML/CSS;Java;JavaScript;SQL")</f>
        <v>HTML/CSS;Java;JavaScript;SQL</v>
      </c>
      <c r="C4845" s="9" t="str">
        <f>IFERROR(__xludf.DUMMYFUNCTION("""COMPUTED_VALUE"""),"PHP")</f>
        <v>PHP</v>
      </c>
      <c r="D4845" s="9" t="str">
        <f>IFERROR(__xludf.DUMMYFUNCTION("""COMPUTED_VALUE"""),"Objective-C")</f>
        <v>Objective-C</v>
      </c>
      <c r="E4845" s="9" t="str">
        <f>IFERROR(__xludf.DUMMYFUNCTION("""COMPUTED_VALUE"""),"Python")</f>
        <v>Python</v>
      </c>
      <c r="F4845" s="9" t="str">
        <f>IFERROR(__xludf.DUMMYFUNCTION("""COMPUTED_VALUE"""),"HTML/CSS")</f>
        <v>HTML/CSS</v>
      </c>
      <c r="G4845" s="9" t="str">
        <f>IFERROR(__xludf.DUMMYFUNCTION("""COMPUTED_VALUE"""),"JavaScript")</f>
        <v>JavaScript</v>
      </c>
      <c r="H4845" s="9" t="str">
        <f>IFERROR(__xludf.DUMMYFUNCTION("""COMPUTED_VALUE"""),"SQL")</f>
        <v>SQL</v>
      </c>
      <c r="I4845" s="9" t="str">
        <f>IFERROR(__xludf.DUMMYFUNCTION("""COMPUTED_VALUE"""),"Scala")</f>
        <v>Scala</v>
      </c>
      <c r="J4845" s="9" t="str">
        <f>IFERROR(__xludf.DUMMYFUNCTION("""COMPUTED_VALUE"""),"Ruby")</f>
        <v>Ruby</v>
      </c>
      <c r="K4845" s="9" t="str">
        <f>IFERROR(__xludf.DUMMYFUNCTION("""COMPUTED_VALUE"""),"SQL")</f>
        <v>SQL</v>
      </c>
      <c r="L4845" s="9" t="str">
        <f>IFERROR(__xludf.DUMMYFUNCTION("""COMPUTED_VALUE"""),"JavaScript")</f>
        <v>JavaScript</v>
      </c>
      <c r="M4845" s="9" t="s">
        <v>37</v>
      </c>
    </row>
    <row r="4846" ht="15.75" customHeight="1">
      <c r="A4846" s="7"/>
      <c r="B4846" s="7" t="str">
        <f>IFERROR(__xludf.DUMMYFUNCTION("""COMPUTED_VALUE"""),"C#;JavaScript;Python;SQL;VBA")</f>
        <v>C#;JavaScript;Python;SQL;VBA</v>
      </c>
      <c r="C4846" s="9" t="str">
        <f>IFERROR(__xludf.DUMMYFUNCTION("""COMPUTED_VALUE"""),"Python")</f>
        <v>Python</v>
      </c>
      <c r="D4846" s="9" t="str">
        <f>IFERROR(__xludf.DUMMYFUNCTION("""COMPUTED_VALUE"""),"VBA")</f>
        <v>VBA</v>
      </c>
      <c r="E4846" s="9" t="str">
        <f>IFERROR(__xludf.DUMMYFUNCTION("""COMPUTED_VALUE"""),"SQL")</f>
        <v>SQL</v>
      </c>
      <c r="F4846" s="9" t="str">
        <f>IFERROR(__xludf.DUMMYFUNCTION("""COMPUTED_VALUE"""),"Java")</f>
        <v>Java</v>
      </c>
      <c r="G4846" s="9" t="str">
        <f>IFERROR(__xludf.DUMMYFUNCTION("""COMPUTED_VALUE"""),"PHP")</f>
        <v>PHP</v>
      </c>
      <c r="H4846" s="9" t="str">
        <f>IFERROR(__xludf.DUMMYFUNCTION("""COMPUTED_VALUE"""),"Assembly")</f>
        <v>Assembly</v>
      </c>
      <c r="I4846" s="9" t="str">
        <f>IFERROR(__xludf.DUMMYFUNCTION("""COMPUTED_VALUE"""),"SQL")</f>
        <v>SQL</v>
      </c>
      <c r="J4846" s="9" t="str">
        <f>IFERROR(__xludf.DUMMYFUNCTION("""COMPUTED_VALUE"""),"Rust")</f>
        <v>Rust</v>
      </c>
      <c r="K4846" s="9" t="str">
        <f>IFERROR(__xludf.DUMMYFUNCTION("""COMPUTED_VALUE"""),"C")</f>
        <v>C</v>
      </c>
      <c r="L4846" s="9" t="str">
        <f>IFERROR(__xludf.DUMMYFUNCTION("""COMPUTED_VALUE"""),"Python")</f>
        <v>Python</v>
      </c>
      <c r="M4846" s="9" t="s">
        <v>22</v>
      </c>
    </row>
    <row r="4847" ht="15.75" customHeight="1">
      <c r="A4847" s="7"/>
      <c r="B4847" s="7" t="str">
        <f>IFERROR(__xludf.DUMMYFUNCTION("""COMPUTED_VALUE"""),"HTML/CSS;Java;JavaScript;SQL")</f>
        <v>HTML/CSS;Java;JavaScript;SQL</v>
      </c>
      <c r="C4847" s="9" t="str">
        <f>IFERROR(__xludf.DUMMYFUNCTION("""COMPUTED_VALUE"""),"SQL")</f>
        <v>SQL</v>
      </c>
      <c r="D4847" s="9" t="str">
        <f>IFERROR(__xludf.DUMMYFUNCTION("""COMPUTED_VALUE"""),"Bash/Shell/PowerShell")</f>
        <v>Bash/Shell/PowerShell</v>
      </c>
      <c r="E4847" s="9" t="str">
        <f>IFERROR(__xludf.DUMMYFUNCTION("""COMPUTED_VALUE"""),"TypeScript")</f>
        <v>TypeScript</v>
      </c>
      <c r="F4847" s="9" t="str">
        <f>IFERROR(__xludf.DUMMYFUNCTION("""COMPUTED_VALUE"""),"JavaScript")</f>
        <v>JavaScript</v>
      </c>
      <c r="G4847" s="9" t="str">
        <f>IFERROR(__xludf.DUMMYFUNCTION("""COMPUTED_VALUE"""),"Python")</f>
        <v>Python</v>
      </c>
      <c r="H4847" s="9" t="str">
        <f>IFERROR(__xludf.DUMMYFUNCTION("""COMPUTED_VALUE"""),"C")</f>
        <v>C</v>
      </c>
      <c r="I4847" s="9" t="str">
        <f>IFERROR(__xludf.DUMMYFUNCTION("""COMPUTED_VALUE"""),"C#")</f>
        <v>C#</v>
      </c>
      <c r="J4847" s="9" t="str">
        <f>IFERROR(__xludf.DUMMYFUNCTION("""COMPUTED_VALUE"""),"SQL")</f>
        <v>SQL</v>
      </c>
      <c r="K4847" s="9" t="str">
        <f>IFERROR(__xludf.DUMMYFUNCTION("""COMPUTED_VALUE"""),"C++")</f>
        <v>C++</v>
      </c>
      <c r="L4847" s="9" t="str">
        <f>IFERROR(__xludf.DUMMYFUNCTION("""COMPUTED_VALUE"""),"SQL")</f>
        <v>SQL</v>
      </c>
      <c r="M4847" s="9" t="s">
        <v>27</v>
      </c>
    </row>
    <row r="4848" ht="15.75" customHeight="1">
      <c r="A4848" s="7"/>
      <c r="B4848" s="7" t="str">
        <f>IFERROR(__xludf.DUMMYFUNCTION("""COMPUTED_VALUE"""),"Bash/Shell/PowerShell;HTML/CSS;JavaScript;PHP;SQL")</f>
        <v>Bash/Shell/PowerShell;HTML/CSS;JavaScript;PHP;SQL</v>
      </c>
      <c r="C4848" s="9" t="str">
        <f>IFERROR(__xludf.DUMMYFUNCTION("""COMPUTED_VALUE"""),"VBA")</f>
        <v>VBA</v>
      </c>
      <c r="D4848" s="9" t="str">
        <f>IFERROR(__xludf.DUMMYFUNCTION("""COMPUTED_VALUE"""),"C#")</f>
        <v>C#</v>
      </c>
      <c r="E4848" s="9" t="str">
        <f>IFERROR(__xludf.DUMMYFUNCTION("""COMPUTED_VALUE"""),"HTML/CSS")</f>
        <v>HTML/CSS</v>
      </c>
      <c r="F4848" s="9" t="str">
        <f>IFERROR(__xludf.DUMMYFUNCTION("""COMPUTED_VALUE"""),"SQL")</f>
        <v>SQL</v>
      </c>
      <c r="G4848" s="9" t="str">
        <f>IFERROR(__xludf.DUMMYFUNCTION("""COMPUTED_VALUE"""),"SQL")</f>
        <v>SQL</v>
      </c>
      <c r="H4848" s="9" t="str">
        <f>IFERROR(__xludf.DUMMYFUNCTION("""COMPUTED_VALUE"""),"C++")</f>
        <v>C++</v>
      </c>
      <c r="I4848" s="9" t="str">
        <f>IFERROR(__xludf.DUMMYFUNCTION("""COMPUTED_VALUE"""),"SQL")</f>
        <v>SQL</v>
      </c>
      <c r="J4848" s="9" t="str">
        <f>IFERROR(__xludf.DUMMYFUNCTION("""COMPUTED_VALUE"""),"Assembly")</f>
        <v>Assembly</v>
      </c>
      <c r="K4848" s="9" t="str">
        <f>IFERROR(__xludf.DUMMYFUNCTION("""COMPUTED_VALUE"""),"HTML/CSS")</f>
        <v>HTML/CSS</v>
      </c>
      <c r="L4848" s="9" t="str">
        <f>IFERROR(__xludf.DUMMYFUNCTION("""COMPUTED_VALUE"""),"TypeScript")</f>
        <v>TypeScript</v>
      </c>
      <c r="M4848" s="9" t="s">
        <v>28</v>
      </c>
    </row>
    <row r="4849" ht="15.75" customHeight="1">
      <c r="A4849" s="7"/>
      <c r="B4849" s="7" t="str">
        <f>IFERROR(__xludf.DUMMYFUNCTION("""COMPUTED_VALUE"""),"Bash/Shell/PowerShell;C#;HTML/CSS;JavaScript;SQL;TypeScript")</f>
        <v>Bash/Shell/PowerShell;C#;HTML/CSS;JavaScript;SQL;TypeScript</v>
      </c>
      <c r="C4849" s="9" t="str">
        <f>IFERROR(__xludf.DUMMYFUNCTION("""COMPUTED_VALUE"""),"Bash/Shell/PowerShell")</f>
        <v>Bash/Shell/PowerShell</v>
      </c>
      <c r="D4849" s="9" t="str">
        <f>IFERROR(__xludf.DUMMYFUNCTION("""COMPUTED_VALUE"""),"HTML/CSS")</f>
        <v>HTML/CSS</v>
      </c>
      <c r="E4849" s="9" t="str">
        <f>IFERROR(__xludf.DUMMYFUNCTION("""COMPUTED_VALUE"""),"JavaScript")</f>
        <v>JavaScript</v>
      </c>
      <c r="F4849" s="9" t="str">
        <f>IFERROR(__xludf.DUMMYFUNCTION("""COMPUTED_VALUE"""),"HTML/CSS")</f>
        <v>HTML/CSS</v>
      </c>
      <c r="G4849" s="9" t="str">
        <f>IFERROR(__xludf.DUMMYFUNCTION("""COMPUTED_VALUE"""),"Other(s):")</f>
        <v>Other(s):</v>
      </c>
      <c r="H4849" s="9" t="str">
        <f>IFERROR(__xludf.DUMMYFUNCTION("""COMPUTED_VALUE"""),"HTML/CSS")</f>
        <v>HTML/CSS</v>
      </c>
      <c r="I4849" s="9" t="str">
        <f>IFERROR(__xludf.DUMMYFUNCTION("""COMPUTED_VALUE"""),"Python")</f>
        <v>Python</v>
      </c>
      <c r="J4849" s="9" t="str">
        <f>IFERROR(__xludf.DUMMYFUNCTION("""COMPUTED_VALUE"""),"C")</f>
        <v>C</v>
      </c>
      <c r="K4849" s="9" t="str">
        <f>IFERROR(__xludf.DUMMYFUNCTION("""COMPUTED_VALUE"""),"JavaScript")</f>
        <v>JavaScript</v>
      </c>
      <c r="L4849" s="9" t="str">
        <f>IFERROR(__xludf.DUMMYFUNCTION("""COMPUTED_VALUE"""),"HTML/CSS")</f>
        <v>HTML/CSS</v>
      </c>
      <c r="M4849" s="9" t="s">
        <v>30</v>
      </c>
    </row>
    <row r="4850" ht="15.75" customHeight="1">
      <c r="A4850" s="7"/>
      <c r="B4850" s="7" t="str">
        <f>IFERROR(__xludf.DUMMYFUNCTION("""COMPUTED_VALUE"""),"C#;HTML/CSS;JavaScript;SQL")</f>
        <v>C#;HTML/CSS;JavaScript;SQL</v>
      </c>
      <c r="C4850" s="9" t="str">
        <f>IFERROR(__xludf.DUMMYFUNCTION("""COMPUTED_VALUE"""),"C")</f>
        <v>C</v>
      </c>
      <c r="D4850" s="9" t="str">
        <f>IFERROR(__xludf.DUMMYFUNCTION("""COMPUTED_VALUE"""),"JavaScript")</f>
        <v>JavaScript</v>
      </c>
      <c r="E4850" s="9" t="str">
        <f>IFERROR(__xludf.DUMMYFUNCTION("""COMPUTED_VALUE"""),"Kotlin")</f>
        <v>Kotlin</v>
      </c>
      <c r="F4850" s="9" t="str">
        <f>IFERROR(__xludf.DUMMYFUNCTION("""COMPUTED_VALUE"""),"JavaScript")</f>
        <v>JavaScript</v>
      </c>
      <c r="G4850" s="9" t="str">
        <f>IFERROR(__xludf.DUMMYFUNCTION("""COMPUTED_VALUE"""),"C#")</f>
        <v>C#</v>
      </c>
      <c r="H4850" s="9" t="str">
        <f>IFERROR(__xludf.DUMMYFUNCTION("""COMPUTED_VALUE"""),"Java")</f>
        <v>Java</v>
      </c>
      <c r="I4850" s="9" t="str">
        <f>IFERROR(__xludf.DUMMYFUNCTION("""COMPUTED_VALUE"""),"C")</f>
        <v>C</v>
      </c>
      <c r="J4850" s="9" t="str">
        <f>IFERROR(__xludf.DUMMYFUNCTION("""COMPUTED_VALUE"""),"C++")</f>
        <v>C++</v>
      </c>
      <c r="K4850" s="9" t="str">
        <f>IFERROR(__xludf.DUMMYFUNCTION("""COMPUTED_VALUE"""),"Python")</f>
        <v>Python</v>
      </c>
      <c r="L4850" s="9" t="str">
        <f>IFERROR(__xludf.DUMMYFUNCTION("""COMPUTED_VALUE"""),"JavaScript")</f>
        <v>JavaScript</v>
      </c>
      <c r="M4850" s="9" t="s">
        <v>25</v>
      </c>
    </row>
    <row r="4851" ht="15.75" customHeight="1">
      <c r="A4851" s="7"/>
      <c r="B4851" s="7" t="str">
        <f>IFERROR(__xludf.DUMMYFUNCTION("""COMPUTED_VALUE"""),"Bash/Shell/PowerShell;Python;SQL")</f>
        <v>Bash/Shell/PowerShell;Python;SQL</v>
      </c>
      <c r="C4851" s="9" t="str">
        <f>IFERROR(__xludf.DUMMYFUNCTION("""COMPUTED_VALUE"""),"C++")</f>
        <v>C++</v>
      </c>
      <c r="D4851" s="9" t="str">
        <f>IFERROR(__xludf.DUMMYFUNCTION("""COMPUTED_VALUE"""),"PHP")</f>
        <v>PHP</v>
      </c>
      <c r="E4851" s="9" t="str">
        <f>IFERROR(__xludf.DUMMYFUNCTION("""COMPUTED_VALUE"""),"Python")</f>
        <v>Python</v>
      </c>
      <c r="F4851" s="9" t="str">
        <f>IFERROR(__xludf.DUMMYFUNCTION("""COMPUTED_VALUE"""),"PHP")</f>
        <v>PHP</v>
      </c>
      <c r="G4851" s="9" t="str">
        <f>IFERROR(__xludf.DUMMYFUNCTION("""COMPUTED_VALUE"""),"HTML/CSS")</f>
        <v>HTML/CSS</v>
      </c>
      <c r="H4851" s="9" t="str">
        <f>IFERROR(__xludf.DUMMYFUNCTION("""COMPUTED_VALUE"""),"JavaScript")</f>
        <v>JavaScript</v>
      </c>
      <c r="I4851" s="9" t="str">
        <f>IFERROR(__xludf.DUMMYFUNCTION("""COMPUTED_VALUE"""),"C++")</f>
        <v>C++</v>
      </c>
      <c r="J4851" s="9" t="str">
        <f>IFERROR(__xludf.DUMMYFUNCTION("""COMPUTED_VALUE"""),"C#")</f>
        <v>C#</v>
      </c>
      <c r="K4851" s="9" t="str">
        <f>IFERROR(__xludf.DUMMYFUNCTION("""COMPUTED_VALUE"""),"R")</f>
        <v>R</v>
      </c>
      <c r="L4851" s="9" t="str">
        <f>IFERROR(__xludf.DUMMYFUNCTION("""COMPUTED_VALUE"""),"PHP")</f>
        <v>PHP</v>
      </c>
      <c r="M4851" s="9" t="s">
        <v>23</v>
      </c>
    </row>
    <row r="4852" ht="15.75" customHeight="1">
      <c r="A4852" s="7"/>
      <c r="B4852" s="7" t="str">
        <f>IFERROR(__xludf.DUMMYFUNCTION("""COMPUTED_VALUE"""),"Bash/Shell/PowerShell;C;C++;C#;Python;SQL;Other(s):")</f>
        <v>Bash/Shell/PowerShell;C;C++;C#;Python;SQL;Other(s):</v>
      </c>
      <c r="C4852" s="9" t="str">
        <f>IFERROR(__xludf.DUMMYFUNCTION("""COMPUTED_VALUE"""),"HTML/CSS")</f>
        <v>HTML/CSS</v>
      </c>
      <c r="D4852" s="9" t="str">
        <f>IFERROR(__xludf.DUMMYFUNCTION("""COMPUTED_VALUE"""),"Python")</f>
        <v>Python</v>
      </c>
      <c r="E4852" s="9" t="str">
        <f>IFERROR(__xludf.DUMMYFUNCTION("""COMPUTED_VALUE"""),"Scala")</f>
        <v>Scala</v>
      </c>
      <c r="F4852" s="9" t="str">
        <f>IFERROR(__xludf.DUMMYFUNCTION("""COMPUTED_VALUE"""),"TypeScript")</f>
        <v>TypeScript</v>
      </c>
      <c r="G4852" s="9" t="str">
        <f>IFERROR(__xludf.DUMMYFUNCTION("""COMPUTED_VALUE"""),"JavaScript")</f>
        <v>JavaScript</v>
      </c>
      <c r="H4852" s="9" t="str">
        <f>IFERROR(__xludf.DUMMYFUNCTION("""COMPUTED_VALUE"""),"C#")</f>
        <v>C#</v>
      </c>
      <c r="I4852" s="9" t="str">
        <f>IFERROR(__xludf.DUMMYFUNCTION("""COMPUTED_VALUE"""),"C#")</f>
        <v>C#</v>
      </c>
      <c r="J4852" s="9" t="str">
        <f>IFERROR(__xludf.DUMMYFUNCTION("""COMPUTED_VALUE"""),"HTML/CSS")</f>
        <v>HTML/CSS</v>
      </c>
      <c r="K4852" s="9" t="str">
        <f>IFERROR(__xludf.DUMMYFUNCTION("""COMPUTED_VALUE"""),"C#")</f>
        <v>C#</v>
      </c>
      <c r="L4852" s="9" t="str">
        <f>IFERROR(__xludf.DUMMYFUNCTION("""COMPUTED_VALUE"""),"Other(s):")</f>
        <v>Other(s):</v>
      </c>
      <c r="M4852" s="9" t="s">
        <v>24</v>
      </c>
    </row>
    <row r="4853" ht="15.75" customHeight="1">
      <c r="A4853" s="7"/>
      <c r="B4853" s="7" t="str">
        <f>IFERROR(__xludf.DUMMYFUNCTION("""COMPUTED_VALUE"""),"Assembly;Bash/Shell/PowerShell;C;C++;HTML/CSS;JavaScript;Python;R")</f>
        <v>Assembly;Bash/Shell/PowerShell;C;C++;HTML/CSS;JavaScript;Python;R</v>
      </c>
      <c r="C4853" s="9" t="str">
        <f>IFERROR(__xludf.DUMMYFUNCTION("""COMPUTED_VALUE"""),"Java")</f>
        <v>Java</v>
      </c>
      <c r="D4853" s="9" t="str">
        <f>IFERROR(__xludf.DUMMYFUNCTION("""COMPUTED_VALUE"""),"SQL")</f>
        <v>SQL</v>
      </c>
      <c r="E4853" s="9" t="str">
        <f>IFERROR(__xludf.DUMMYFUNCTION("""COMPUTED_VALUE"""),"SQL")</f>
        <v>SQL</v>
      </c>
      <c r="F4853" s="9" t="str">
        <f>IFERROR(__xludf.DUMMYFUNCTION("""COMPUTED_VALUE"""),"C")</f>
        <v>C</v>
      </c>
      <c r="G4853" s="9" t="str">
        <f>IFERROR(__xludf.DUMMYFUNCTION("""COMPUTED_VALUE"""),"Bash/Shell/PowerShell")</f>
        <v>Bash/Shell/PowerShell</v>
      </c>
      <c r="H4853" s="9" t="str">
        <f>IFERROR(__xludf.DUMMYFUNCTION("""COMPUTED_VALUE"""),"HTML/CSS")</f>
        <v>HTML/CSS</v>
      </c>
      <c r="I4853" s="9" t="str">
        <f>IFERROR(__xludf.DUMMYFUNCTION("""COMPUTED_VALUE"""),"HTML/CSS")</f>
        <v>HTML/CSS</v>
      </c>
      <c r="J4853" s="9" t="str">
        <f>IFERROR(__xludf.DUMMYFUNCTION("""COMPUTED_VALUE"""),"Java")</f>
        <v>Java</v>
      </c>
      <c r="K4853" s="9" t="str">
        <f>IFERROR(__xludf.DUMMYFUNCTION("""COMPUTED_VALUE"""),"HTML/CSS")</f>
        <v>HTML/CSS</v>
      </c>
      <c r="L4853" s="9" t="str">
        <f>IFERROR(__xludf.DUMMYFUNCTION("""COMPUTED_VALUE"""),"Bash/Shell/PowerShell")</f>
        <v>Bash/Shell/PowerShell</v>
      </c>
      <c r="M4853" s="9" t="s">
        <v>20</v>
      </c>
    </row>
    <row r="4854" ht="15.75" customHeight="1">
      <c r="A4854" s="7"/>
      <c r="B4854" s="7" t="str">
        <f>IFERROR(__xludf.DUMMYFUNCTION("""COMPUTED_VALUE"""),"HTML/CSS;Java;JavaScript;SQL")</f>
        <v>HTML/CSS;Java;JavaScript;SQL</v>
      </c>
      <c r="C4854" s="9" t="str">
        <f>IFERROR(__xludf.DUMMYFUNCTION("""COMPUTED_VALUE"""),"JavaScript")</f>
        <v>JavaScript</v>
      </c>
      <c r="D4854" s="9" t="str">
        <f>IFERROR(__xludf.DUMMYFUNCTION("""COMPUTED_VALUE"""),"VBA")</f>
        <v>VBA</v>
      </c>
      <c r="E4854" s="9" t="str">
        <f>IFERROR(__xludf.DUMMYFUNCTION("""COMPUTED_VALUE"""),"TypeScript")</f>
        <v>TypeScript</v>
      </c>
      <c r="F4854" s="9" t="str">
        <f>IFERROR(__xludf.DUMMYFUNCTION("""COMPUTED_VALUE"""),"C++")</f>
        <v>C++</v>
      </c>
      <c r="G4854" s="9" t="str">
        <f>IFERROR(__xludf.DUMMYFUNCTION("""COMPUTED_VALUE"""),"C")</f>
        <v>C</v>
      </c>
      <c r="H4854" s="9" t="str">
        <f>IFERROR(__xludf.DUMMYFUNCTION("""COMPUTED_VALUE"""),"JavaScript")</f>
        <v>JavaScript</v>
      </c>
      <c r="I4854" s="9" t="str">
        <f>IFERROR(__xludf.DUMMYFUNCTION("""COMPUTED_VALUE"""),"JavaScript")</f>
        <v>JavaScript</v>
      </c>
      <c r="J4854" s="9" t="str">
        <f>IFERROR(__xludf.DUMMYFUNCTION("""COMPUTED_VALUE"""),"JavaScript")</f>
        <v>JavaScript</v>
      </c>
      <c r="K4854" s="9" t="str">
        <f>IFERROR(__xludf.DUMMYFUNCTION("""COMPUTED_VALUE"""),"Bash/Shell/PowerShell")</f>
        <v>Bash/Shell/PowerShell</v>
      </c>
      <c r="L4854" s="9" t="str">
        <f>IFERROR(__xludf.DUMMYFUNCTION("""COMPUTED_VALUE"""),"C")</f>
        <v>C</v>
      </c>
      <c r="M4854" s="9" t="s">
        <v>21</v>
      </c>
    </row>
    <row r="4855" ht="15.75" customHeight="1">
      <c r="A4855" s="7"/>
      <c r="B4855" s="7" t="str">
        <f>IFERROR(__xludf.DUMMYFUNCTION("""COMPUTED_VALUE"""),"C#;HTML/CSS;Java;JavaScript;R;SQL;TypeScript;VBA")</f>
        <v>C#;HTML/CSS;Java;JavaScript;R;SQL;TypeScript;VBA</v>
      </c>
      <c r="C4855" s="9" t="str">
        <f>IFERROR(__xludf.DUMMYFUNCTION("""COMPUTED_VALUE"""),"Python")</f>
        <v>Python</v>
      </c>
      <c r="D4855" s="9" t="str">
        <f>IFERROR(__xludf.DUMMYFUNCTION("""COMPUTED_VALUE"""),"Assembly")</f>
        <v>Assembly</v>
      </c>
      <c r="E4855" s="9" t="str">
        <f>IFERROR(__xludf.DUMMYFUNCTION("""COMPUTED_VALUE"""),"HTML/CSS")</f>
        <v>HTML/CSS</v>
      </c>
      <c r="F4855" s="9" t="str">
        <f>IFERROR(__xludf.DUMMYFUNCTION("""COMPUTED_VALUE"""),"C#")</f>
        <v>C#</v>
      </c>
      <c r="G4855" s="9" t="str">
        <f>IFERROR(__xludf.DUMMYFUNCTION("""COMPUTED_VALUE"""),"C++")</f>
        <v>C++</v>
      </c>
      <c r="H4855" s="9" t="str">
        <f>IFERROR(__xludf.DUMMYFUNCTION("""COMPUTED_VALUE"""),"SQL")</f>
        <v>SQL</v>
      </c>
      <c r="I4855" s="9" t="str">
        <f>IFERROR(__xludf.DUMMYFUNCTION("""COMPUTED_VALUE"""),"PHP")</f>
        <v>PHP</v>
      </c>
      <c r="J4855" s="9" t="str">
        <f>IFERROR(__xludf.DUMMYFUNCTION("""COMPUTED_VALUE"""),"R")</f>
        <v>R</v>
      </c>
      <c r="K4855" s="9" t="str">
        <f>IFERROR(__xludf.DUMMYFUNCTION("""COMPUTED_VALUE"""),"C")</f>
        <v>C</v>
      </c>
      <c r="L4855" s="9" t="str">
        <f>IFERROR(__xludf.DUMMYFUNCTION("""COMPUTED_VALUE"""),"C++")</f>
        <v>C++</v>
      </c>
      <c r="M4855" s="9" t="s">
        <v>22</v>
      </c>
    </row>
    <row r="4856" ht="15.75" customHeight="1">
      <c r="A4856" s="7"/>
      <c r="B4856" s="7" t="str">
        <f>IFERROR(__xludf.DUMMYFUNCTION("""COMPUTED_VALUE"""),"Kotlin;Python;SQL")</f>
        <v>Kotlin;Python;SQL</v>
      </c>
      <c r="C4856" s="9" t="str">
        <f>IFERROR(__xludf.DUMMYFUNCTION("""COMPUTED_VALUE"""),"SQL")</f>
        <v>SQL</v>
      </c>
      <c r="D4856" s="9" t="str">
        <f>IFERROR(__xludf.DUMMYFUNCTION("""COMPUTED_VALUE"""),"C")</f>
        <v>C</v>
      </c>
      <c r="E4856" s="9" t="str">
        <f>IFERROR(__xludf.DUMMYFUNCTION("""COMPUTED_VALUE"""),"JavaScript")</f>
        <v>JavaScript</v>
      </c>
      <c r="F4856" s="9" t="str">
        <f>IFERROR(__xludf.DUMMYFUNCTION("""COMPUTED_VALUE"""),"HTML/CSS")</f>
        <v>HTML/CSS</v>
      </c>
      <c r="G4856" s="9" t="str">
        <f>IFERROR(__xludf.DUMMYFUNCTION("""COMPUTED_VALUE"""),"Other(s):")</f>
        <v>Other(s):</v>
      </c>
      <c r="H4856" s="9" t="str">
        <f>IFERROR(__xludf.DUMMYFUNCTION("""COMPUTED_VALUE"""),"TypeScript")</f>
        <v>TypeScript</v>
      </c>
      <c r="I4856" s="9" t="str">
        <f>IFERROR(__xludf.DUMMYFUNCTION("""COMPUTED_VALUE"""),"SQL")</f>
        <v>SQL</v>
      </c>
      <c r="J4856" s="9" t="str">
        <f>IFERROR(__xludf.DUMMYFUNCTION("""COMPUTED_VALUE"""),"SQL")</f>
        <v>SQL</v>
      </c>
      <c r="K4856" s="9" t="str">
        <f>IFERROR(__xludf.DUMMYFUNCTION("""COMPUTED_VALUE"""),"C++")</f>
        <v>C++</v>
      </c>
      <c r="L4856" s="9" t="str">
        <f>IFERROR(__xludf.DUMMYFUNCTION("""COMPUTED_VALUE"""),"Python")</f>
        <v>Python</v>
      </c>
      <c r="M4856" s="9" t="s">
        <v>27</v>
      </c>
    </row>
    <row r="4857" ht="15.75" customHeight="1">
      <c r="A4857" s="7"/>
      <c r="B4857" s="7" t="str">
        <f>IFERROR(__xludf.DUMMYFUNCTION("""COMPUTED_VALUE"""),"Python")</f>
        <v>Python</v>
      </c>
      <c r="C4857" s="9" t="str">
        <f>IFERROR(__xludf.DUMMYFUNCTION("""COMPUTED_VALUE"""),"Swift")</f>
        <v>Swift</v>
      </c>
      <c r="D4857" s="9" t="str">
        <f>IFERROR(__xludf.DUMMYFUNCTION("""COMPUTED_VALUE"""),"HTML/CSS")</f>
        <v>HTML/CSS</v>
      </c>
      <c r="E4857" s="9" t="str">
        <f>IFERROR(__xludf.DUMMYFUNCTION("""COMPUTED_VALUE"""),"TypeScript")</f>
        <v>TypeScript</v>
      </c>
      <c r="F4857" s="9" t="str">
        <f>IFERROR(__xludf.DUMMYFUNCTION("""COMPUTED_VALUE"""),"VBA")</f>
        <v>VBA</v>
      </c>
      <c r="G4857" s="9" t="str">
        <f>IFERROR(__xludf.DUMMYFUNCTION("""COMPUTED_VALUE"""),"Java")</f>
        <v>Java</v>
      </c>
      <c r="H4857" s="9" t="str">
        <f>IFERROR(__xludf.DUMMYFUNCTION("""COMPUTED_VALUE"""),"Assembly")</f>
        <v>Assembly</v>
      </c>
      <c r="I4857" s="9" t="str">
        <f>IFERROR(__xludf.DUMMYFUNCTION("""COMPUTED_VALUE"""),"TypeScript")</f>
        <v>TypeScript</v>
      </c>
      <c r="J4857" s="9" t="str">
        <f>IFERROR(__xludf.DUMMYFUNCTION("""COMPUTED_VALUE"""),"TypeScript")</f>
        <v>TypeScript</v>
      </c>
      <c r="K4857" s="9" t="str">
        <f>IFERROR(__xludf.DUMMYFUNCTION("""COMPUTED_VALUE"""),"C#")</f>
        <v>C#</v>
      </c>
      <c r="L4857" s="9" t="str">
        <f>IFERROR(__xludf.DUMMYFUNCTION("""COMPUTED_VALUE"""),"R")</f>
        <v>R</v>
      </c>
      <c r="M4857" s="9" t="s">
        <v>40</v>
      </c>
    </row>
    <row r="4858" ht="15.75" customHeight="1">
      <c r="A4858" s="7"/>
      <c r="B4858" s="7" t="str">
        <f>IFERROR(__xludf.DUMMYFUNCTION("""COMPUTED_VALUE"""),"Bash/Shell/PowerShell;C;Go;HTML/CSS;JavaScript;Python;SQL")</f>
        <v>Bash/Shell/PowerShell;C;Go;HTML/CSS;JavaScript;Python;SQL</v>
      </c>
      <c r="C4858" s="9" t="str">
        <f>IFERROR(__xludf.DUMMYFUNCTION("""COMPUTED_VALUE"""),"Assembly")</f>
        <v>Assembly</v>
      </c>
      <c r="D4858" s="9" t="str">
        <f>IFERROR(__xludf.DUMMYFUNCTION("""COMPUTED_VALUE"""),"Java")</f>
        <v>Java</v>
      </c>
      <c r="E4858" s="9" t="str">
        <f>IFERROR(__xludf.DUMMYFUNCTION("""COMPUTED_VALUE"""),"HTML/CSS")</f>
        <v>HTML/CSS</v>
      </c>
      <c r="F4858" s="9" t="str">
        <f>IFERROR(__xludf.DUMMYFUNCTION("""COMPUTED_VALUE"""),"Bash/Shell/PowerShell")</f>
        <v>Bash/Shell/PowerShell</v>
      </c>
      <c r="G4858" s="9" t="str">
        <f>IFERROR(__xludf.DUMMYFUNCTION("""COMPUTED_VALUE"""),"Kotlin")</f>
        <v>Kotlin</v>
      </c>
      <c r="H4858" s="9" t="str">
        <f>IFERROR(__xludf.DUMMYFUNCTION("""COMPUTED_VALUE"""),"Bash/Shell/PowerShell")</f>
        <v>Bash/Shell/PowerShell</v>
      </c>
      <c r="I4858" s="9" t="str">
        <f>IFERROR(__xludf.DUMMYFUNCTION("""COMPUTED_VALUE"""),"C#")</f>
        <v>C#</v>
      </c>
      <c r="J4858" s="9" t="str">
        <f>IFERROR(__xludf.DUMMYFUNCTION("""COMPUTED_VALUE"""),"VBA")</f>
        <v>VBA</v>
      </c>
      <c r="K4858" s="9" t="str">
        <f>IFERROR(__xludf.DUMMYFUNCTION("""COMPUTED_VALUE"""),"Java")</f>
        <v>Java</v>
      </c>
      <c r="L4858" s="9" t="str">
        <f>IFERROR(__xludf.DUMMYFUNCTION("""COMPUTED_VALUE"""),"SQL")</f>
        <v>SQL</v>
      </c>
      <c r="M4858" s="9" t="s">
        <v>38</v>
      </c>
    </row>
    <row r="4859" ht="15.75" customHeight="1">
      <c r="A4859" s="7"/>
      <c r="B4859" s="7" t="str">
        <f>IFERROR(__xludf.DUMMYFUNCTION("""COMPUTED_VALUE"""),"Bash/Shell/PowerShell;HTML/CSS;Java;JavaScript;SQL")</f>
        <v>Bash/Shell/PowerShell;HTML/CSS;Java;JavaScript;SQL</v>
      </c>
      <c r="C4859" s="9" t="str">
        <f>IFERROR(__xludf.DUMMYFUNCTION("""COMPUTED_VALUE"""),"Bash/Shell/PowerShell")</f>
        <v>Bash/Shell/PowerShell</v>
      </c>
      <c r="D4859" s="9" t="str">
        <f>IFERROR(__xludf.DUMMYFUNCTION("""COMPUTED_VALUE"""),"JavaScript")</f>
        <v>JavaScript</v>
      </c>
      <c r="E4859" s="9" t="str">
        <f>IFERROR(__xludf.DUMMYFUNCTION("""COMPUTED_VALUE"""),"JavaScript")</f>
        <v>JavaScript</v>
      </c>
      <c r="F4859" s="9" t="str">
        <f>IFERROR(__xludf.DUMMYFUNCTION("""COMPUTED_VALUE"""),"HTML/CSS")</f>
        <v>HTML/CSS</v>
      </c>
      <c r="G4859" s="9" t="str">
        <f>IFERROR(__xludf.DUMMYFUNCTION("""COMPUTED_VALUE"""),"Python")</f>
        <v>Python</v>
      </c>
      <c r="H4859" s="9" t="str">
        <f>IFERROR(__xludf.DUMMYFUNCTION("""COMPUTED_VALUE"""),"C")</f>
        <v>C</v>
      </c>
      <c r="I4859" s="9" t="str">
        <f>IFERROR(__xludf.DUMMYFUNCTION("""COMPUTED_VALUE"""),"HTML/CSS")</f>
        <v>HTML/CSS</v>
      </c>
      <c r="J4859" s="9" t="str">
        <f>IFERROR(__xludf.DUMMYFUNCTION("""COMPUTED_VALUE"""),"Assembly")</f>
        <v>Assembly</v>
      </c>
      <c r="K4859" s="9" t="str">
        <f>IFERROR(__xludf.DUMMYFUNCTION("""COMPUTED_VALUE"""),"JavaScript")</f>
        <v>JavaScript</v>
      </c>
      <c r="L4859" s="9" t="str">
        <f>IFERROR(__xludf.DUMMYFUNCTION("""COMPUTED_VALUE"""),"Bash/Shell/PowerShell")</f>
        <v>Bash/Shell/PowerShell</v>
      </c>
      <c r="M4859" s="9" t="s">
        <v>30</v>
      </c>
    </row>
    <row r="4860" ht="15.75" customHeight="1">
      <c r="A4860" s="7"/>
      <c r="B4860" s="7" t="str">
        <f>IFERROR(__xludf.DUMMYFUNCTION("""COMPUTED_VALUE"""),"HTML/CSS;JavaScript")</f>
        <v>HTML/CSS;JavaScript</v>
      </c>
      <c r="C4860" s="9" t="str">
        <f>IFERROR(__xludf.DUMMYFUNCTION("""COMPUTED_VALUE"""),"C")</f>
        <v>C</v>
      </c>
      <c r="D4860" s="9" t="str">
        <f>IFERROR(__xludf.DUMMYFUNCTION("""COMPUTED_VALUE"""),"PHP")</f>
        <v>PHP</v>
      </c>
      <c r="E4860" s="9" t="str">
        <f>IFERROR(__xludf.DUMMYFUNCTION("""COMPUTED_VALUE"""),"Python")</f>
        <v>Python</v>
      </c>
      <c r="F4860" s="9" t="str">
        <f>IFERROR(__xludf.DUMMYFUNCTION("""COMPUTED_VALUE"""),"Java")</f>
        <v>Java</v>
      </c>
      <c r="G4860" s="9" t="str">
        <f>IFERROR(__xludf.DUMMYFUNCTION("""COMPUTED_VALUE"""),"SQL")</f>
        <v>SQL</v>
      </c>
      <c r="H4860" s="9" t="str">
        <f>IFERROR(__xludf.DUMMYFUNCTION("""COMPUTED_VALUE"""),"C++")</f>
        <v>C++</v>
      </c>
      <c r="I4860" s="9" t="str">
        <f>IFERROR(__xludf.DUMMYFUNCTION("""COMPUTED_VALUE"""),"JavaScript")</f>
        <v>JavaScript</v>
      </c>
      <c r="J4860" s="9" t="str">
        <f>IFERROR(__xludf.DUMMYFUNCTION("""COMPUTED_VALUE"""),"Bash/Shell/PowerShell")</f>
        <v>Bash/Shell/PowerShell</v>
      </c>
      <c r="K4860" s="9" t="str">
        <f>IFERROR(__xludf.DUMMYFUNCTION("""COMPUTED_VALUE"""),"Ruby")</f>
        <v>Ruby</v>
      </c>
      <c r="L4860" s="9" t="str">
        <f>IFERROR(__xludf.DUMMYFUNCTION("""COMPUTED_VALUE"""),"C")</f>
        <v>C</v>
      </c>
      <c r="M4860" s="9" t="s">
        <v>25</v>
      </c>
    </row>
    <row r="4861" ht="15.75" customHeight="1">
      <c r="A4861" s="7"/>
      <c r="B4861" s="7" t="str">
        <f>IFERROR(__xludf.DUMMYFUNCTION("""COMPUTED_VALUE"""),"Bash/Shell/PowerShell;C;Java;JavaScript;PHP;Python;R;SQL")</f>
        <v>Bash/Shell/PowerShell;C;Java;JavaScript;PHP;Python;R;SQL</v>
      </c>
      <c r="C4861" s="9" t="str">
        <f>IFERROR(__xludf.DUMMYFUNCTION("""COMPUTED_VALUE"""),"C++")</f>
        <v>C++</v>
      </c>
      <c r="D4861" s="9" t="str">
        <f>IFERROR(__xludf.DUMMYFUNCTION("""COMPUTED_VALUE"""),"SQL")</f>
        <v>SQL</v>
      </c>
      <c r="E4861" s="9" t="str">
        <f>IFERROR(__xludf.DUMMYFUNCTION("""COMPUTED_VALUE"""),"C")</f>
        <v>C</v>
      </c>
      <c r="F4861" s="9" t="str">
        <f>IFERROR(__xludf.DUMMYFUNCTION("""COMPUTED_VALUE"""),"JavaScript")</f>
        <v>JavaScript</v>
      </c>
      <c r="G4861" s="9" t="str">
        <f>IFERROR(__xludf.DUMMYFUNCTION("""COMPUTED_VALUE"""),"HTML/CSS")</f>
        <v>HTML/CSS</v>
      </c>
      <c r="H4861" s="9" t="str">
        <f>IFERROR(__xludf.DUMMYFUNCTION("""COMPUTED_VALUE"""),"C#")</f>
        <v>C#</v>
      </c>
      <c r="I4861" s="9" t="str">
        <f>IFERROR(__xludf.DUMMYFUNCTION("""COMPUTED_VALUE"""),"SQL")</f>
        <v>SQL</v>
      </c>
      <c r="J4861" s="9" t="str">
        <f>IFERROR(__xludf.DUMMYFUNCTION("""COMPUTED_VALUE"""),"C")</f>
        <v>C</v>
      </c>
      <c r="K4861" s="9" t="str">
        <f>IFERROR(__xludf.DUMMYFUNCTION("""COMPUTED_VALUE"""),"SQL")</f>
        <v>SQL</v>
      </c>
      <c r="L4861" s="9" t="str">
        <f>IFERROR(__xludf.DUMMYFUNCTION("""COMPUTED_VALUE"""),"C++")</f>
        <v>C++</v>
      </c>
      <c r="M4861" s="9" t="s">
        <v>23</v>
      </c>
    </row>
    <row r="4862" ht="15.75" customHeight="1">
      <c r="A4862" s="7"/>
      <c r="B4862" s="7" t="str">
        <f>IFERROR(__xludf.DUMMYFUNCTION("""COMPUTED_VALUE"""),"Assembly;Bash/Shell/PowerShell;C;C++;HTML/CSS;Java;Python;SQL")</f>
        <v>Assembly;Bash/Shell/PowerShell;C;C++;HTML/CSS;Java;Python;SQL</v>
      </c>
      <c r="C4862" s="9" t="str">
        <f>IFERROR(__xludf.DUMMYFUNCTION("""COMPUTED_VALUE"""),"C#")</f>
        <v>C#</v>
      </c>
      <c r="D4862" s="9" t="str">
        <f>IFERROR(__xludf.DUMMYFUNCTION("""COMPUTED_VALUE"""),"C++")</f>
        <v>C++</v>
      </c>
      <c r="E4862" s="9" t="str">
        <f>IFERROR(__xludf.DUMMYFUNCTION("""COMPUTED_VALUE"""),"C++")</f>
        <v>C++</v>
      </c>
      <c r="F4862" s="9" t="str">
        <f>IFERROR(__xludf.DUMMYFUNCTION("""COMPUTED_VALUE"""),"Objective-C")</f>
        <v>Objective-C</v>
      </c>
      <c r="G4862" s="9" t="str">
        <f>IFERROR(__xludf.DUMMYFUNCTION("""COMPUTED_VALUE"""),"JavaScript")</f>
        <v>JavaScript</v>
      </c>
      <c r="H4862" s="9" t="str">
        <f>IFERROR(__xludf.DUMMYFUNCTION("""COMPUTED_VALUE"""),"Dart")</f>
        <v>Dart</v>
      </c>
      <c r="I4862" s="9" t="str">
        <f>IFERROR(__xludf.DUMMYFUNCTION("""COMPUTED_VALUE"""),"TypeScript")</f>
        <v>TypeScript</v>
      </c>
      <c r="J4862" s="9" t="str">
        <f>IFERROR(__xludf.DUMMYFUNCTION("""COMPUTED_VALUE"""),"HTML/CSS")</f>
        <v>HTML/CSS</v>
      </c>
      <c r="K4862" s="9" t="str">
        <f>IFERROR(__xludf.DUMMYFUNCTION("""COMPUTED_VALUE"""),"Other(s):")</f>
        <v>Other(s):</v>
      </c>
      <c r="L4862" s="9" t="str">
        <f>IFERROR(__xludf.DUMMYFUNCTION("""COMPUTED_VALUE"""),"C#")</f>
        <v>C#</v>
      </c>
      <c r="M4862" s="9" t="s">
        <v>26</v>
      </c>
    </row>
    <row r="4863" ht="15.75" customHeight="1">
      <c r="A4863" s="7"/>
      <c r="B4863" s="7" t="str">
        <f>IFERROR(__xludf.DUMMYFUNCTION("""COMPUTED_VALUE"""),"Bash/Shell/PowerShell;C#;F#;HTML/CSS;Java;JavaScript;Kotlin;SQL;TypeScript")</f>
        <v>Bash/Shell/PowerShell;C#;F#;HTML/CSS;Java;JavaScript;Kotlin;SQL;TypeScript</v>
      </c>
      <c r="C4863" s="9" t="str">
        <f>IFERROR(__xludf.DUMMYFUNCTION("""COMPUTED_VALUE"""),"Go")</f>
        <v>Go</v>
      </c>
      <c r="D4863" s="9" t="str">
        <f>IFERROR(__xludf.DUMMYFUNCTION("""COMPUTED_VALUE"""),"Python")</f>
        <v>Python</v>
      </c>
      <c r="E4863" s="9" t="str">
        <f>IFERROR(__xludf.DUMMYFUNCTION("""COMPUTED_VALUE"""),"C#")</f>
        <v>C#</v>
      </c>
      <c r="F4863" s="9" t="str">
        <f>IFERROR(__xludf.DUMMYFUNCTION("""COMPUTED_VALUE"""),"Ruby")</f>
        <v>Ruby</v>
      </c>
      <c r="G4863" s="9" t="str">
        <f>IFERROR(__xludf.DUMMYFUNCTION("""COMPUTED_VALUE"""),"Ruby")</f>
        <v>Ruby</v>
      </c>
      <c r="H4863" s="9" t="str">
        <f>IFERROR(__xludf.DUMMYFUNCTION("""COMPUTED_VALUE"""),"Go")</f>
        <v>Go</v>
      </c>
      <c r="I4863" s="9" t="str">
        <f>IFERROR(__xludf.DUMMYFUNCTION("""COMPUTED_VALUE"""),"C++")</f>
        <v>C++</v>
      </c>
      <c r="J4863" s="9" t="str">
        <f>IFERROR(__xludf.DUMMYFUNCTION("""COMPUTED_VALUE"""),"Java")</f>
        <v>Java</v>
      </c>
      <c r="K4863" s="9" t="str">
        <f>IFERROR(__xludf.DUMMYFUNCTION("""COMPUTED_VALUE"""),"Bash/Shell/PowerShell")</f>
        <v>Bash/Shell/PowerShell</v>
      </c>
      <c r="L4863" s="9" t="str">
        <f>IFERROR(__xludf.DUMMYFUNCTION("""COMPUTED_VALUE"""),"HTML/CSS")</f>
        <v>HTML/CSS</v>
      </c>
      <c r="M4863" s="9" t="s">
        <v>36</v>
      </c>
    </row>
    <row r="4864" ht="15.75" customHeight="1">
      <c r="A4864" s="7"/>
      <c r="B4864" s="7" t="str">
        <f>IFERROR(__xludf.DUMMYFUNCTION("""COMPUTED_VALUE"""),"C#;HTML/CSS;JavaScript;PHP;Python;TypeScript")</f>
        <v>C#;HTML/CSS;JavaScript;PHP;Python;TypeScript</v>
      </c>
      <c r="C4864" s="9" t="str">
        <f>IFERROR(__xludf.DUMMYFUNCTION("""COMPUTED_VALUE"""),"HTML/CSS")</f>
        <v>HTML/CSS</v>
      </c>
      <c r="D4864" s="9" t="str">
        <f>IFERROR(__xludf.DUMMYFUNCTION("""COMPUTED_VALUE"""),"Assembly")</f>
        <v>Assembly</v>
      </c>
      <c r="E4864" s="9" t="str">
        <f>IFERROR(__xludf.DUMMYFUNCTION("""COMPUTED_VALUE"""),"HTML/CSS")</f>
        <v>HTML/CSS</v>
      </c>
      <c r="F4864" s="9" t="str">
        <f>IFERROR(__xludf.DUMMYFUNCTION("""COMPUTED_VALUE"""),"Swift")</f>
        <v>Swift</v>
      </c>
      <c r="G4864" s="9" t="str">
        <f>IFERROR(__xludf.DUMMYFUNCTION("""COMPUTED_VALUE"""),"SQL")</f>
        <v>SQL</v>
      </c>
      <c r="H4864" s="9" t="str">
        <f>IFERROR(__xludf.DUMMYFUNCTION("""COMPUTED_VALUE"""),"HTML/CSS")</f>
        <v>HTML/CSS</v>
      </c>
      <c r="I4864" s="9" t="str">
        <f>IFERROR(__xludf.DUMMYFUNCTION("""COMPUTED_VALUE"""),"Bash/Shell/PowerShell")</f>
        <v>Bash/Shell/PowerShell</v>
      </c>
      <c r="J4864" s="9" t="str">
        <f>IFERROR(__xludf.DUMMYFUNCTION("""COMPUTED_VALUE"""),"JavaScript")</f>
        <v>JavaScript</v>
      </c>
      <c r="K4864" s="9" t="str">
        <f>IFERROR(__xludf.DUMMYFUNCTION("""COMPUTED_VALUE"""),"C#")</f>
        <v>C#</v>
      </c>
      <c r="L4864" s="9" t="str">
        <f>IFERROR(__xludf.DUMMYFUNCTION("""COMPUTED_VALUE"""),"JavaScript")</f>
        <v>JavaScript</v>
      </c>
      <c r="M4864" s="9" t="s">
        <v>24</v>
      </c>
    </row>
    <row r="4865" ht="15.75" customHeight="1">
      <c r="A4865" s="7"/>
      <c r="B4865" s="7" t="str">
        <f>IFERROR(__xludf.DUMMYFUNCTION("""COMPUTED_VALUE"""),"Java;Scala")</f>
        <v>Java;Scala</v>
      </c>
      <c r="C4865" s="9" t="str">
        <f>IFERROR(__xludf.DUMMYFUNCTION("""COMPUTED_VALUE"""),"Java")</f>
        <v>Java</v>
      </c>
      <c r="D4865" s="9" t="str">
        <f>IFERROR(__xludf.DUMMYFUNCTION("""COMPUTED_VALUE"""),"Bash/Shell/PowerShell")</f>
        <v>Bash/Shell/PowerShell</v>
      </c>
      <c r="E4865" s="9" t="str">
        <f>IFERROR(__xludf.DUMMYFUNCTION("""COMPUTED_VALUE"""),"JavaScript")</f>
        <v>JavaScript</v>
      </c>
      <c r="F4865" s="9" t="str">
        <f>IFERROR(__xludf.DUMMYFUNCTION("""COMPUTED_VALUE"""),"Java")</f>
        <v>Java</v>
      </c>
      <c r="G4865" s="9" t="str">
        <f>IFERROR(__xludf.DUMMYFUNCTION("""COMPUTED_VALUE"""),"C++")</f>
        <v>C++</v>
      </c>
      <c r="H4865" s="9" t="str">
        <f>IFERROR(__xludf.DUMMYFUNCTION("""COMPUTED_VALUE"""),"Java")</f>
        <v>Java</v>
      </c>
      <c r="I4865" s="9" t="str">
        <f>IFERROR(__xludf.DUMMYFUNCTION("""COMPUTED_VALUE"""),"HTML/CSS")</f>
        <v>HTML/CSS</v>
      </c>
      <c r="J4865" s="9" t="str">
        <f>IFERROR(__xludf.DUMMYFUNCTION("""COMPUTED_VALUE"""),"PHP")</f>
        <v>PHP</v>
      </c>
      <c r="K4865" s="9" t="str">
        <f>IFERROR(__xludf.DUMMYFUNCTION("""COMPUTED_VALUE"""),"HTML/CSS")</f>
        <v>HTML/CSS</v>
      </c>
      <c r="L4865" s="9" t="str">
        <f>IFERROR(__xludf.DUMMYFUNCTION("""COMPUTED_VALUE"""),"PHP")</f>
        <v>PHP</v>
      </c>
      <c r="M4865" s="9" t="s">
        <v>20</v>
      </c>
    </row>
    <row r="4866" ht="15.75" customHeight="1">
      <c r="A4866" s="7"/>
      <c r="B4866" s="7" t="str">
        <f>IFERROR(__xludf.DUMMYFUNCTION("""COMPUTED_VALUE"""),"C++;Python;Ruby;SQL;TypeScript")</f>
        <v>C++;Python;Ruby;SQL;TypeScript</v>
      </c>
      <c r="C4866" s="9" t="str">
        <f>IFERROR(__xludf.DUMMYFUNCTION("""COMPUTED_VALUE"""),"JavaScript")</f>
        <v>JavaScript</v>
      </c>
      <c r="D4866" s="9" t="str">
        <f>IFERROR(__xludf.DUMMYFUNCTION("""COMPUTED_VALUE"""),"C")</f>
        <v>C</v>
      </c>
      <c r="E4866" s="9" t="str">
        <f>IFERROR(__xludf.DUMMYFUNCTION("""COMPUTED_VALUE"""),"PHP")</f>
        <v>PHP</v>
      </c>
      <c r="F4866" s="9" t="str">
        <f>IFERROR(__xludf.DUMMYFUNCTION("""COMPUTED_VALUE"""),"Kotlin")</f>
        <v>Kotlin</v>
      </c>
      <c r="G4866" s="9" t="str">
        <f>IFERROR(__xludf.DUMMYFUNCTION("""COMPUTED_VALUE"""),"C#")</f>
        <v>C#</v>
      </c>
      <c r="H4866" s="9" t="str">
        <f>IFERROR(__xludf.DUMMYFUNCTION("""COMPUTED_VALUE"""),"JavaScript")</f>
        <v>JavaScript</v>
      </c>
      <c r="I4866" s="9" t="str">
        <f>IFERROR(__xludf.DUMMYFUNCTION("""COMPUTED_VALUE"""),"Java")</f>
        <v>Java</v>
      </c>
      <c r="J4866" s="9" t="str">
        <f>IFERROR(__xludf.DUMMYFUNCTION("""COMPUTED_VALUE"""),"Python")</f>
        <v>Python</v>
      </c>
      <c r="K4866" s="9" t="str">
        <f>IFERROR(__xludf.DUMMYFUNCTION("""COMPUTED_VALUE"""),"JavaScript")</f>
        <v>JavaScript</v>
      </c>
      <c r="L4866" s="9" t="str">
        <f>IFERROR(__xludf.DUMMYFUNCTION("""COMPUTED_VALUE"""),"Python")</f>
        <v>Python</v>
      </c>
      <c r="M4866" s="9" t="s">
        <v>21</v>
      </c>
    </row>
    <row r="4867" ht="15.75" customHeight="1">
      <c r="A4867" s="7"/>
      <c r="B4867" s="7" t="str">
        <f>IFERROR(__xludf.DUMMYFUNCTION("""COMPUTED_VALUE"""),"Bash/Shell/PowerShell;C;Python;Ruby")</f>
        <v>Bash/Shell/PowerShell;C;Python;Ruby</v>
      </c>
      <c r="C4867" s="9" t="str">
        <f>IFERROR(__xludf.DUMMYFUNCTION("""COMPUTED_VALUE"""),"PHP")</f>
        <v>PHP</v>
      </c>
      <c r="D4867" s="9" t="str">
        <f>IFERROR(__xludf.DUMMYFUNCTION("""COMPUTED_VALUE"""),"C++")</f>
        <v>C++</v>
      </c>
      <c r="E4867" s="9" t="str">
        <f>IFERROR(__xludf.DUMMYFUNCTION("""COMPUTED_VALUE"""),"SQL")</f>
        <v>SQL</v>
      </c>
      <c r="F4867" s="9" t="str">
        <f>IFERROR(__xludf.DUMMYFUNCTION("""COMPUTED_VALUE"""),"C++")</f>
        <v>C++</v>
      </c>
      <c r="G4867" s="9" t="str">
        <f>IFERROR(__xludf.DUMMYFUNCTION("""COMPUTED_VALUE"""),"HTML/CSS")</f>
        <v>HTML/CSS</v>
      </c>
      <c r="H4867" s="9" t="str">
        <f>IFERROR(__xludf.DUMMYFUNCTION("""COMPUTED_VALUE"""),"Kotlin")</f>
        <v>Kotlin</v>
      </c>
      <c r="I4867" s="9" t="str">
        <f>IFERROR(__xludf.DUMMYFUNCTION("""COMPUTED_VALUE"""),"JavaScript")</f>
        <v>JavaScript</v>
      </c>
      <c r="J4867" s="9" t="str">
        <f>IFERROR(__xludf.DUMMYFUNCTION("""COMPUTED_VALUE"""),"R")</f>
        <v>R</v>
      </c>
      <c r="K4867" s="9" t="str">
        <f>IFERROR(__xludf.DUMMYFUNCTION("""COMPUTED_VALUE"""),"SQL")</f>
        <v>SQL</v>
      </c>
      <c r="L4867" s="9" t="str">
        <f>IFERROR(__xludf.DUMMYFUNCTION("""COMPUTED_VALUE"""),"Ruby")</f>
        <v>Ruby</v>
      </c>
      <c r="M4867" s="9" t="s">
        <v>37</v>
      </c>
    </row>
    <row r="4868" ht="15.75" customHeight="1">
      <c r="A4868" s="7"/>
      <c r="B4868" s="7" t="str">
        <f>IFERROR(__xludf.DUMMYFUNCTION("""COMPUTED_VALUE"""),"Bash/Shell/PowerShell;C#;HTML/CSS;JavaScript;PHP;Ruby;SQL")</f>
        <v>Bash/Shell/PowerShell;C#;HTML/CSS;JavaScript;PHP;Ruby;SQL</v>
      </c>
      <c r="C4868" s="9" t="str">
        <f>IFERROR(__xludf.DUMMYFUNCTION("""COMPUTED_VALUE"""),"Python")</f>
        <v>Python</v>
      </c>
      <c r="D4868" s="9" t="str">
        <f>IFERROR(__xludf.DUMMYFUNCTION("""COMPUTED_VALUE"""),"C#")</f>
        <v>C#</v>
      </c>
      <c r="E4868" s="9" t="str">
        <f>IFERROR(__xludf.DUMMYFUNCTION("""COMPUTED_VALUE"""),"Assembly")</f>
        <v>Assembly</v>
      </c>
      <c r="F4868" s="9" t="str">
        <f>IFERROR(__xludf.DUMMYFUNCTION("""COMPUTED_VALUE"""),"C#")</f>
        <v>C#</v>
      </c>
      <c r="G4868" s="9" t="str">
        <f>IFERROR(__xludf.DUMMYFUNCTION("""COMPUTED_VALUE"""),"JavaScript")</f>
        <v>JavaScript</v>
      </c>
      <c r="H4868" s="9" t="str">
        <f>IFERROR(__xludf.DUMMYFUNCTION("""COMPUTED_VALUE"""),"Objective-C")</f>
        <v>Objective-C</v>
      </c>
      <c r="I4868" s="9" t="str">
        <f>IFERROR(__xludf.DUMMYFUNCTION("""COMPUTED_VALUE"""),"Python")</f>
        <v>Python</v>
      </c>
      <c r="J4868" s="9" t="str">
        <f>IFERROR(__xludf.DUMMYFUNCTION("""COMPUTED_VALUE"""),"SQL")</f>
        <v>SQL</v>
      </c>
      <c r="K4868" s="9" t="str">
        <f>IFERROR(__xludf.DUMMYFUNCTION("""COMPUTED_VALUE"""),"HTML/CSS")</f>
        <v>HTML/CSS</v>
      </c>
      <c r="L4868" s="9" t="str">
        <f>IFERROR(__xludf.DUMMYFUNCTION("""COMPUTED_VALUE"""),"SQL")</f>
        <v>SQL</v>
      </c>
      <c r="M4868" s="9" t="s">
        <v>22</v>
      </c>
    </row>
    <row r="4869" ht="15.75" customHeight="1">
      <c r="A4869" s="7"/>
      <c r="B4869" s="7" t="str">
        <f>IFERROR(__xludf.DUMMYFUNCTION("""COMPUTED_VALUE"""),"C;C++;C#;HTML/CSS;Java;JavaScript;PHP;Scala;TypeScript")</f>
        <v>C;C++;C#;HTML/CSS;Java;JavaScript;PHP;Scala;TypeScript</v>
      </c>
      <c r="C4869" s="9" t="str">
        <f>IFERROR(__xludf.DUMMYFUNCTION("""COMPUTED_VALUE"""),"R")</f>
        <v>R</v>
      </c>
      <c r="D4869" s="9" t="str">
        <f>IFERROR(__xludf.DUMMYFUNCTION("""COMPUTED_VALUE"""),"HTML/CSS")</f>
        <v>HTML/CSS</v>
      </c>
      <c r="E4869" s="9" t="str">
        <f>IFERROR(__xludf.DUMMYFUNCTION("""COMPUTED_VALUE"""),"C")</f>
        <v>C</v>
      </c>
      <c r="F4869" s="9" t="str">
        <f>IFERROR(__xludf.DUMMYFUNCTION("""COMPUTED_VALUE"""),"HTML/CSS")</f>
        <v>HTML/CSS</v>
      </c>
      <c r="G4869" s="9" t="str">
        <f>IFERROR(__xludf.DUMMYFUNCTION("""COMPUTED_VALUE"""),"PHP")</f>
        <v>PHP</v>
      </c>
      <c r="H4869" s="9" t="str">
        <f>IFERROR(__xludf.DUMMYFUNCTION("""COMPUTED_VALUE"""),"Python")</f>
        <v>Python</v>
      </c>
      <c r="I4869" s="9" t="str">
        <f>IFERROR(__xludf.DUMMYFUNCTION("""COMPUTED_VALUE"""),"SQL")</f>
        <v>SQL</v>
      </c>
      <c r="J4869" s="9" t="str">
        <f>IFERROR(__xludf.DUMMYFUNCTION("""COMPUTED_VALUE"""),"Other(s):")</f>
        <v>Other(s):</v>
      </c>
      <c r="K4869" s="9" t="str">
        <f>IFERROR(__xludf.DUMMYFUNCTION("""COMPUTED_VALUE"""),"JavaScript")</f>
        <v>JavaScript</v>
      </c>
      <c r="L4869" s="9" t="str">
        <f>IFERROR(__xludf.DUMMYFUNCTION("""COMPUTED_VALUE"""),"TypeScript")</f>
        <v>TypeScript</v>
      </c>
      <c r="M4869" s="9" t="s">
        <v>29</v>
      </c>
    </row>
    <row r="4870" ht="15.75" customHeight="1">
      <c r="A4870" s="7"/>
      <c r="B4870" s="7" t="str">
        <f>IFERROR(__xludf.DUMMYFUNCTION("""COMPUTED_VALUE"""),"C++;C#;Java;PHP;SQL")</f>
        <v>C++;C#;Java;PHP;SQL</v>
      </c>
      <c r="C4870" s="9" t="str">
        <f>IFERROR(__xludf.DUMMYFUNCTION("""COMPUTED_VALUE"""),"Ruby")</f>
        <v>Ruby</v>
      </c>
      <c r="D4870" s="9" t="str">
        <f>IFERROR(__xludf.DUMMYFUNCTION("""COMPUTED_VALUE"""),"Java")</f>
        <v>Java</v>
      </c>
      <c r="E4870" s="9" t="str">
        <f>IFERROR(__xludf.DUMMYFUNCTION("""COMPUTED_VALUE"""),"C++")</f>
        <v>C++</v>
      </c>
      <c r="F4870" s="9" t="str">
        <f>IFERROR(__xludf.DUMMYFUNCTION("""COMPUTED_VALUE"""),"Java")</f>
        <v>Java</v>
      </c>
      <c r="G4870" s="9" t="str">
        <f>IFERROR(__xludf.DUMMYFUNCTION("""COMPUTED_VALUE"""),"SQL")</f>
        <v>SQL</v>
      </c>
      <c r="H4870" s="9" t="str">
        <f>IFERROR(__xludf.DUMMYFUNCTION("""COMPUTED_VALUE"""),"Rust")</f>
        <v>Rust</v>
      </c>
      <c r="I4870" s="9" t="str">
        <f>IFERROR(__xludf.DUMMYFUNCTION("""COMPUTED_VALUE"""),"HTML/CSS")</f>
        <v>HTML/CSS</v>
      </c>
      <c r="J4870" s="9" t="str">
        <f>IFERROR(__xludf.DUMMYFUNCTION("""COMPUTED_VALUE"""),"C")</f>
        <v>C</v>
      </c>
      <c r="K4870" s="9" t="str">
        <f>IFERROR(__xludf.DUMMYFUNCTION("""COMPUTED_VALUE"""),"HTML/CSS")</f>
        <v>HTML/CSS</v>
      </c>
      <c r="L4870" s="9" t="str">
        <f>IFERROR(__xludf.DUMMYFUNCTION("""COMPUTED_VALUE"""),"C")</f>
        <v>C</v>
      </c>
      <c r="M4870" s="9" t="s">
        <v>31</v>
      </c>
    </row>
    <row r="4871" ht="15.75" customHeight="1">
      <c r="A4871" s="7"/>
      <c r="B4871" s="7" t="str">
        <f>IFERROR(__xludf.DUMMYFUNCTION("""COMPUTED_VALUE"""),"C#;HTML/CSS;JavaScript;SQL")</f>
        <v>C#;HTML/CSS;JavaScript;SQL</v>
      </c>
      <c r="C4871" s="9" t="str">
        <f>IFERROR(__xludf.DUMMYFUNCTION("""COMPUTED_VALUE"""),"Rust")</f>
        <v>Rust</v>
      </c>
      <c r="D4871" s="9" t="str">
        <f>IFERROR(__xludf.DUMMYFUNCTION("""COMPUTED_VALUE"""),"JavaScript")</f>
        <v>JavaScript</v>
      </c>
      <c r="E4871" s="9" t="str">
        <f>IFERROR(__xludf.DUMMYFUNCTION("""COMPUTED_VALUE"""),"C#")</f>
        <v>C#</v>
      </c>
      <c r="F4871" s="9" t="str">
        <f>IFERROR(__xludf.DUMMYFUNCTION("""COMPUTED_VALUE"""),"JavaScript")</f>
        <v>JavaScript</v>
      </c>
      <c r="G4871" s="9" t="str">
        <f>IFERROR(__xludf.DUMMYFUNCTION("""COMPUTED_VALUE"""),"C")</f>
        <v>C</v>
      </c>
      <c r="H4871" s="9" t="str">
        <f>IFERROR(__xludf.DUMMYFUNCTION("""COMPUTED_VALUE"""),"SQL")</f>
        <v>SQL</v>
      </c>
      <c r="I4871" s="9" t="str">
        <f>IFERROR(__xludf.DUMMYFUNCTION("""COMPUTED_VALUE"""),"JavaScript")</f>
        <v>JavaScript</v>
      </c>
      <c r="J4871" s="9" t="str">
        <f>IFERROR(__xludf.DUMMYFUNCTION("""COMPUTED_VALUE"""),"HTML/CSS")</f>
        <v>HTML/CSS</v>
      </c>
      <c r="K4871" s="9" t="str">
        <f>IFERROR(__xludf.DUMMYFUNCTION("""COMPUTED_VALUE"""),"Java")</f>
        <v>Java</v>
      </c>
      <c r="L4871" s="9" t="str">
        <f>IFERROR(__xludf.DUMMYFUNCTION("""COMPUTED_VALUE"""),"C++")</f>
        <v>C++</v>
      </c>
      <c r="M4871" s="9" t="s">
        <v>32</v>
      </c>
    </row>
    <row r="4872" ht="15.75" customHeight="1">
      <c r="A4872" s="7"/>
      <c r="B4872" s="7" t="str">
        <f>IFERROR(__xludf.DUMMYFUNCTION("""COMPUTED_VALUE"""),"Assembly;Bash/Shell/PowerShell;C++;HTML/CSS;Rust")</f>
        <v>Assembly;Bash/Shell/PowerShell;C++;HTML/CSS;Rust</v>
      </c>
      <c r="C4872" s="9" t="str">
        <f>IFERROR(__xludf.DUMMYFUNCTION("""COMPUTED_VALUE"""),"SQL")</f>
        <v>SQL</v>
      </c>
      <c r="D4872" s="9" t="str">
        <f>IFERROR(__xludf.DUMMYFUNCTION("""COMPUTED_VALUE"""),"PHP")</f>
        <v>PHP</v>
      </c>
      <c r="E4872" s="9" t="str">
        <f>IFERROR(__xludf.DUMMYFUNCTION("""COMPUTED_VALUE"""),"HTML/CSS")</f>
        <v>HTML/CSS</v>
      </c>
      <c r="F4872" s="9" t="str">
        <f>IFERROR(__xludf.DUMMYFUNCTION("""COMPUTED_VALUE"""),"Python")</f>
        <v>Python</v>
      </c>
      <c r="G4872" s="9" t="str">
        <f>IFERROR(__xludf.DUMMYFUNCTION("""COMPUTED_VALUE"""),"C++")</f>
        <v>C++</v>
      </c>
      <c r="H4872" s="9" t="str">
        <f>IFERROR(__xludf.DUMMYFUNCTION("""COMPUTED_VALUE"""),"Swift")</f>
        <v>Swift</v>
      </c>
      <c r="I4872" s="9" t="str">
        <f>IFERROR(__xludf.DUMMYFUNCTION("""COMPUTED_VALUE"""),"PHP")</f>
        <v>PHP</v>
      </c>
      <c r="J4872" s="9" t="str">
        <f>IFERROR(__xludf.DUMMYFUNCTION("""COMPUTED_VALUE"""),"Java")</f>
        <v>Java</v>
      </c>
      <c r="K4872" s="9" t="str">
        <f>IFERROR(__xludf.DUMMYFUNCTION("""COMPUTED_VALUE"""),"JavaScript")</f>
        <v>JavaScript</v>
      </c>
      <c r="L4872" s="9" t="str">
        <f>IFERROR(__xludf.DUMMYFUNCTION("""COMPUTED_VALUE"""),"HTML/CSS")</f>
        <v>HTML/CSS</v>
      </c>
      <c r="M4872" s="9" t="s">
        <v>27</v>
      </c>
    </row>
    <row r="4873" ht="15.75" customHeight="1">
      <c r="A4873" s="7"/>
      <c r="B4873" s="7" t="str">
        <f>IFERROR(__xludf.DUMMYFUNCTION("""COMPUTED_VALUE"""),"C#;Java;Objective-C;SQL")</f>
        <v>C#;Java;Objective-C;SQL</v>
      </c>
      <c r="C4873" s="9" t="str">
        <f>IFERROR(__xludf.DUMMYFUNCTION("""COMPUTED_VALUE"""),"VBA")</f>
        <v>VBA</v>
      </c>
      <c r="D4873" s="9" t="str">
        <f>IFERROR(__xludf.DUMMYFUNCTION("""COMPUTED_VALUE"""),"Python")</f>
        <v>Python</v>
      </c>
      <c r="E4873" s="9" t="str">
        <f>IFERROR(__xludf.DUMMYFUNCTION("""COMPUTED_VALUE"""),"JavaScript")</f>
        <v>JavaScript</v>
      </c>
      <c r="F4873" s="9" t="str">
        <f>IFERROR(__xludf.DUMMYFUNCTION("""COMPUTED_VALUE"""),"SQL")</f>
        <v>SQL</v>
      </c>
      <c r="G4873" s="9" t="str">
        <f>IFERROR(__xludf.DUMMYFUNCTION("""COMPUTED_VALUE"""),"HTML/CSS")</f>
        <v>HTML/CSS</v>
      </c>
      <c r="H4873" s="9" t="str">
        <f>IFERROR(__xludf.DUMMYFUNCTION("""COMPUTED_VALUE"""),"TypeScript")</f>
        <v>TypeScript</v>
      </c>
      <c r="I4873" s="9" t="str">
        <f>IFERROR(__xludf.DUMMYFUNCTION("""COMPUTED_VALUE"""),"SQL")</f>
        <v>SQL</v>
      </c>
      <c r="J4873" s="9" t="str">
        <f>IFERROR(__xludf.DUMMYFUNCTION("""COMPUTED_VALUE"""),"JavaScript")</f>
        <v>JavaScript</v>
      </c>
      <c r="K4873" s="9" t="str">
        <f>IFERROR(__xludf.DUMMYFUNCTION("""COMPUTED_VALUE"""),"TypeScript")</f>
        <v>TypeScript</v>
      </c>
      <c r="L4873" s="9" t="str">
        <f>IFERROR(__xludf.DUMMYFUNCTION("""COMPUTED_VALUE"""),"Java")</f>
        <v>Java</v>
      </c>
      <c r="M4873" s="9" t="s">
        <v>28</v>
      </c>
    </row>
    <row r="4874" ht="15.75" customHeight="1">
      <c r="A4874" s="7"/>
      <c r="B4874" s="7" t="str">
        <f>IFERROR(__xludf.DUMMYFUNCTION("""COMPUTED_VALUE"""),"C++;HTML/CSS;PHP;Python")</f>
        <v>C++;HTML/CSS;PHP;Python</v>
      </c>
      <c r="C4874" s="9" t="str">
        <f>IFERROR(__xludf.DUMMYFUNCTION("""COMPUTED_VALUE"""),"Bash/Shell/PowerShell")</f>
        <v>Bash/Shell/PowerShell</v>
      </c>
      <c r="D4874" s="9" t="str">
        <f>IFERROR(__xludf.DUMMYFUNCTION("""COMPUTED_VALUE"""),"SQL")</f>
        <v>SQL</v>
      </c>
      <c r="E4874" s="9" t="str">
        <f>IFERROR(__xludf.DUMMYFUNCTION("""COMPUTED_VALUE"""),"Python")</f>
        <v>Python</v>
      </c>
      <c r="F4874" s="9" t="str">
        <f>IFERROR(__xludf.DUMMYFUNCTION("""COMPUTED_VALUE"""),"Bash/Shell/PowerShell")</f>
        <v>Bash/Shell/PowerShell</v>
      </c>
      <c r="G4874" s="9" t="str">
        <f>IFERROR(__xludf.DUMMYFUNCTION("""COMPUTED_VALUE"""),"JavaScript")</f>
        <v>JavaScript</v>
      </c>
      <c r="H4874" s="9" t="str">
        <f>IFERROR(__xludf.DUMMYFUNCTION("""COMPUTED_VALUE"""),"WebAssembly")</f>
        <v>WebAssembly</v>
      </c>
      <c r="I4874" s="9" t="str">
        <f>IFERROR(__xludf.DUMMYFUNCTION("""COMPUTED_VALUE"""),"C")</f>
        <v>C</v>
      </c>
      <c r="J4874" s="9" t="str">
        <f>IFERROR(__xludf.DUMMYFUNCTION("""COMPUTED_VALUE"""),"Kotlin")</f>
        <v>Kotlin</v>
      </c>
      <c r="K4874" s="9" t="str">
        <f>IFERROR(__xludf.DUMMYFUNCTION("""COMPUTED_VALUE"""),"Assembly")</f>
        <v>Assembly</v>
      </c>
      <c r="L4874" s="9" t="str">
        <f>IFERROR(__xludf.DUMMYFUNCTION("""COMPUTED_VALUE"""),"JavaScript")</f>
        <v>JavaScript</v>
      </c>
      <c r="M4874" s="9" t="s">
        <v>30</v>
      </c>
    </row>
    <row r="4875" ht="15.75" customHeight="1">
      <c r="A4875" s="7"/>
      <c r="B4875" s="7" t="str">
        <f>IFERROR(__xludf.DUMMYFUNCTION("""COMPUTED_VALUE"""),"C;C++;C#;HTML/CSS;Python;SQL")</f>
        <v>C;C++;C#;HTML/CSS;Python;SQL</v>
      </c>
      <c r="C4875" s="9" t="str">
        <f>IFERROR(__xludf.DUMMYFUNCTION("""COMPUTED_VALUE"""),"JavaScript")</f>
        <v>JavaScript</v>
      </c>
      <c r="D4875" s="9" t="str">
        <f>IFERROR(__xludf.DUMMYFUNCTION("""COMPUTED_VALUE"""),"Bash/Shell/PowerShell")</f>
        <v>Bash/Shell/PowerShell</v>
      </c>
      <c r="E4875" s="9" t="str">
        <f>IFERROR(__xludf.DUMMYFUNCTION("""COMPUTED_VALUE"""),"TypeScript")</f>
        <v>TypeScript</v>
      </c>
      <c r="F4875" s="9" t="str">
        <f>IFERROR(__xludf.DUMMYFUNCTION("""COMPUTED_VALUE"""),"C++")</f>
        <v>C++</v>
      </c>
      <c r="G4875" s="9" t="str">
        <f>IFERROR(__xludf.DUMMYFUNCTION("""COMPUTED_VALUE"""),"PHP")</f>
        <v>PHP</v>
      </c>
      <c r="H4875" s="9" t="str">
        <f>IFERROR(__xludf.DUMMYFUNCTION("""COMPUTED_VALUE"""),"Bash/Shell/PowerShell")</f>
        <v>Bash/Shell/PowerShell</v>
      </c>
      <c r="I4875" s="9" t="str">
        <f>IFERROR(__xludf.DUMMYFUNCTION("""COMPUTED_VALUE"""),"C++")</f>
        <v>C++</v>
      </c>
      <c r="J4875" s="9" t="str">
        <f>IFERROR(__xludf.DUMMYFUNCTION("""COMPUTED_VALUE"""),"PHP")</f>
        <v>PHP</v>
      </c>
      <c r="K4875" s="9" t="str">
        <f>IFERROR(__xludf.DUMMYFUNCTION("""COMPUTED_VALUE"""),"Bash/Shell/PowerShell")</f>
        <v>Bash/Shell/PowerShell</v>
      </c>
      <c r="L4875" s="9" t="str">
        <f>IFERROR(__xludf.DUMMYFUNCTION("""COMPUTED_VALUE"""),"PHP")</f>
        <v>PHP</v>
      </c>
      <c r="M4875" s="9" t="s">
        <v>21</v>
      </c>
    </row>
    <row r="4876" ht="15.75" customHeight="1">
      <c r="A4876" s="7"/>
      <c r="B4876" s="7" t="str">
        <f>IFERROR(__xludf.DUMMYFUNCTION("""COMPUTED_VALUE"""),"C#;HTML/CSS;JavaScript")</f>
        <v>C#;HTML/CSS;JavaScript</v>
      </c>
      <c r="C4876" s="9" t="str">
        <f>IFERROR(__xludf.DUMMYFUNCTION("""COMPUTED_VALUE"""),"Python")</f>
        <v>Python</v>
      </c>
      <c r="D4876" s="9" t="str">
        <f>IFERROR(__xludf.DUMMYFUNCTION("""COMPUTED_VALUE"""),"HTML/CSS")</f>
        <v>HTML/CSS</v>
      </c>
      <c r="E4876" s="9" t="str">
        <f>IFERROR(__xludf.DUMMYFUNCTION("""COMPUTED_VALUE"""),"Assembly")</f>
        <v>Assembly</v>
      </c>
      <c r="F4876" s="9" t="str">
        <f>IFERROR(__xludf.DUMMYFUNCTION("""COMPUTED_VALUE"""),"C#")</f>
        <v>C#</v>
      </c>
      <c r="G4876" s="9" t="str">
        <f>IFERROR(__xludf.DUMMYFUNCTION("""COMPUTED_VALUE"""),"Python")</f>
        <v>Python</v>
      </c>
      <c r="H4876" s="9" t="str">
        <f>IFERROR(__xludf.DUMMYFUNCTION("""COMPUTED_VALUE"""),"C++")</f>
        <v>C++</v>
      </c>
      <c r="I4876" s="9" t="str">
        <f>IFERROR(__xludf.DUMMYFUNCTION("""COMPUTED_VALUE"""),"Java")</f>
        <v>Java</v>
      </c>
      <c r="J4876" s="9" t="str">
        <f>IFERROR(__xludf.DUMMYFUNCTION("""COMPUTED_VALUE"""),"Swift")</f>
        <v>Swift</v>
      </c>
      <c r="K4876" s="9" t="str">
        <f>IFERROR(__xludf.DUMMYFUNCTION("""COMPUTED_VALUE"""),"C")</f>
        <v>C</v>
      </c>
      <c r="L4876" s="9" t="str">
        <f>IFERROR(__xludf.DUMMYFUNCTION("""COMPUTED_VALUE"""),"Swift")</f>
        <v>Swift</v>
      </c>
      <c r="M4876" s="9" t="s">
        <v>22</v>
      </c>
    </row>
    <row r="4877" ht="15.75" customHeight="1">
      <c r="A4877" s="7"/>
      <c r="B4877" s="7" t="str">
        <f>IFERROR(__xludf.DUMMYFUNCTION("""COMPUTED_VALUE"""),"HTML/CSS;Java;Ruby")</f>
        <v>HTML/CSS;Java;Ruby</v>
      </c>
      <c r="C4877" s="9" t="str">
        <f>IFERROR(__xludf.DUMMYFUNCTION("""COMPUTED_VALUE"""),"SQL")</f>
        <v>SQL</v>
      </c>
      <c r="D4877" s="9" t="str">
        <f>IFERROR(__xludf.DUMMYFUNCTION("""COMPUTED_VALUE"""),"JavaScript")</f>
        <v>JavaScript</v>
      </c>
      <c r="E4877" s="9" t="str">
        <f>IFERROR(__xludf.DUMMYFUNCTION("""COMPUTED_VALUE"""),"C")</f>
        <v>C</v>
      </c>
      <c r="F4877" s="9" t="str">
        <f>IFERROR(__xludf.DUMMYFUNCTION("""COMPUTED_VALUE"""),"HTML/CSS")</f>
        <v>HTML/CSS</v>
      </c>
      <c r="G4877" s="9" t="str">
        <f>IFERROR(__xludf.DUMMYFUNCTION("""COMPUTED_VALUE"""),"C#")</f>
        <v>C#</v>
      </c>
      <c r="H4877" s="9" t="str">
        <f>IFERROR(__xludf.DUMMYFUNCTION("""COMPUTED_VALUE"""),"C#")</f>
        <v>C#</v>
      </c>
      <c r="I4877" s="9" t="str">
        <f>IFERROR(__xludf.DUMMYFUNCTION("""COMPUTED_VALUE"""),"JavaScript")</f>
        <v>JavaScript</v>
      </c>
      <c r="J4877" s="9" t="str">
        <f>IFERROR(__xludf.DUMMYFUNCTION("""COMPUTED_VALUE"""),"Go")</f>
        <v>Go</v>
      </c>
      <c r="K4877" s="9" t="str">
        <f>IFERROR(__xludf.DUMMYFUNCTION("""COMPUTED_VALUE"""),"C++")</f>
        <v>C++</v>
      </c>
      <c r="L4877" s="9" t="str">
        <f>IFERROR(__xludf.DUMMYFUNCTION("""COMPUTED_VALUE"""),"HTML/CSS")</f>
        <v>HTML/CSS</v>
      </c>
      <c r="M4877" s="9" t="s">
        <v>27</v>
      </c>
    </row>
    <row r="4878" ht="15.75" customHeight="1">
      <c r="A4878" s="7"/>
      <c r="B4878" s="7" t="str">
        <f>IFERROR(__xludf.DUMMYFUNCTION("""COMPUTED_VALUE"""),"HTML/CSS;JavaScript;Python")</f>
        <v>HTML/CSS;JavaScript;Python</v>
      </c>
      <c r="C4878" s="9" t="str">
        <f>IFERROR(__xludf.DUMMYFUNCTION("""COMPUTED_VALUE"""),"PHP")</f>
        <v>PHP</v>
      </c>
      <c r="D4878" s="9" t="str">
        <f>IFERROR(__xludf.DUMMYFUNCTION("""COMPUTED_VALUE"""),"SQL")</f>
        <v>SQL</v>
      </c>
      <c r="E4878" s="9" t="str">
        <f>IFERROR(__xludf.DUMMYFUNCTION("""COMPUTED_VALUE"""),"C++")</f>
        <v>C++</v>
      </c>
      <c r="F4878" s="9" t="str">
        <f>IFERROR(__xludf.DUMMYFUNCTION("""COMPUTED_VALUE"""),"Java")</f>
        <v>Java</v>
      </c>
      <c r="G4878" s="9" t="str">
        <f>IFERROR(__xludf.DUMMYFUNCTION("""COMPUTED_VALUE"""),"Bash/Shell/PowerShell")</f>
        <v>Bash/Shell/PowerShell</v>
      </c>
      <c r="H4878" s="9" t="str">
        <f>IFERROR(__xludf.DUMMYFUNCTION("""COMPUTED_VALUE"""),"HTML/CSS")</f>
        <v>HTML/CSS</v>
      </c>
      <c r="I4878" s="9" t="str">
        <f>IFERROR(__xludf.DUMMYFUNCTION("""COMPUTED_VALUE"""),"Python")</f>
        <v>Python</v>
      </c>
      <c r="J4878" s="9" t="str">
        <f>IFERROR(__xludf.DUMMYFUNCTION("""COMPUTED_VALUE"""),"HTML/CSS")</f>
        <v>HTML/CSS</v>
      </c>
      <c r="K4878" s="9" t="str">
        <f>IFERROR(__xludf.DUMMYFUNCTION("""COMPUTED_VALUE"""),"Python")</f>
        <v>Python</v>
      </c>
      <c r="L4878" s="9" t="str">
        <f>IFERROR(__xludf.DUMMYFUNCTION("""COMPUTED_VALUE"""),"JavaScript")</f>
        <v>JavaScript</v>
      </c>
      <c r="M4878" s="9" t="s">
        <v>37</v>
      </c>
    </row>
    <row r="4879" ht="15.75" customHeight="1">
      <c r="A4879" s="7"/>
      <c r="B4879" s="7" t="str">
        <f>IFERROR(__xludf.DUMMYFUNCTION("""COMPUTED_VALUE"""),"HTML/CSS;JavaScript;SQL;TypeScript;VBA")</f>
        <v>HTML/CSS;JavaScript;SQL;TypeScript;VBA</v>
      </c>
      <c r="C4879" s="9" t="str">
        <f>IFERROR(__xludf.DUMMYFUNCTION("""COMPUTED_VALUE"""),"Python")</f>
        <v>Python</v>
      </c>
      <c r="D4879" s="9" t="str">
        <f>IFERROR(__xludf.DUMMYFUNCTION("""COMPUTED_VALUE"""),"TypeScript")</f>
        <v>TypeScript</v>
      </c>
      <c r="E4879" s="9" t="str">
        <f>IFERROR(__xludf.DUMMYFUNCTION("""COMPUTED_VALUE"""),"C#")</f>
        <v>C#</v>
      </c>
      <c r="F4879" s="9" t="str">
        <f>IFERROR(__xludf.DUMMYFUNCTION("""COMPUTED_VALUE"""),"JavaScript")</f>
        <v>JavaScript</v>
      </c>
      <c r="G4879" s="9" t="str">
        <f>IFERROR(__xludf.DUMMYFUNCTION("""COMPUTED_VALUE"""),"Go")</f>
        <v>Go</v>
      </c>
      <c r="H4879" s="9" t="str">
        <f>IFERROR(__xludf.DUMMYFUNCTION("""COMPUTED_VALUE"""),"JavaScript")</f>
        <v>JavaScript</v>
      </c>
      <c r="I4879" s="9" t="str">
        <f>IFERROR(__xludf.DUMMYFUNCTION("""COMPUTED_VALUE"""),"HTML/CSS")</f>
        <v>HTML/CSS</v>
      </c>
      <c r="J4879" s="9" t="str">
        <f>IFERROR(__xludf.DUMMYFUNCTION("""COMPUTED_VALUE"""),"Java")</f>
        <v>Java</v>
      </c>
      <c r="K4879" s="9" t="str">
        <f>IFERROR(__xludf.DUMMYFUNCTION("""COMPUTED_VALUE"""),"Assembly")</f>
        <v>Assembly</v>
      </c>
      <c r="L4879" s="9" t="str">
        <f>IFERROR(__xludf.DUMMYFUNCTION("""COMPUTED_VALUE"""),"PHP")</f>
        <v>PHP</v>
      </c>
      <c r="M4879" s="9" t="s">
        <v>22</v>
      </c>
    </row>
    <row r="4880" ht="15.75" customHeight="1">
      <c r="A4880" s="7"/>
      <c r="B4880" s="7" t="str">
        <f>IFERROR(__xludf.DUMMYFUNCTION("""COMPUTED_VALUE"""),"C#;SQL;VBA;Other(s):")</f>
        <v>C#;SQL;VBA;Other(s):</v>
      </c>
      <c r="C4880" s="9" t="str">
        <f>IFERROR(__xludf.DUMMYFUNCTION("""COMPUTED_VALUE"""),"SQL")</f>
        <v>SQL</v>
      </c>
      <c r="D4880" s="9" t="str">
        <f>IFERROR(__xludf.DUMMYFUNCTION("""COMPUTED_VALUE"""),"Bash/Shell/PowerShell")</f>
        <v>Bash/Shell/PowerShell</v>
      </c>
      <c r="E4880" s="9" t="str">
        <f>IFERROR(__xludf.DUMMYFUNCTION("""COMPUTED_VALUE"""),"HTML/CSS")</f>
        <v>HTML/CSS</v>
      </c>
      <c r="F4880" s="9" t="str">
        <f>IFERROR(__xludf.DUMMYFUNCTION("""COMPUTED_VALUE"""),"PHP")</f>
        <v>PHP</v>
      </c>
      <c r="G4880" s="9" t="str">
        <f>IFERROR(__xludf.DUMMYFUNCTION("""COMPUTED_VALUE"""),"HTML/CSS")</f>
        <v>HTML/CSS</v>
      </c>
      <c r="H4880" s="9" t="str">
        <f>IFERROR(__xludf.DUMMYFUNCTION("""COMPUTED_VALUE"""),"SQL")</f>
        <v>SQL</v>
      </c>
      <c r="I4880" s="9" t="str">
        <f>IFERROR(__xludf.DUMMYFUNCTION("""COMPUTED_VALUE"""),"JavaScript")</f>
        <v>JavaScript</v>
      </c>
      <c r="J4880" s="9" t="str">
        <f>IFERROR(__xludf.DUMMYFUNCTION("""COMPUTED_VALUE"""),"JavaScript")</f>
        <v>JavaScript</v>
      </c>
      <c r="K4880" s="9" t="str">
        <f>IFERROR(__xludf.DUMMYFUNCTION("""COMPUTED_VALUE"""),"Bash/Shell/PowerShell")</f>
        <v>Bash/Shell/PowerShell</v>
      </c>
      <c r="L4880" s="9" t="str">
        <f>IFERROR(__xludf.DUMMYFUNCTION("""COMPUTED_VALUE"""),"Python")</f>
        <v>Python</v>
      </c>
      <c r="M4880" s="9" t="s">
        <v>27</v>
      </c>
    </row>
    <row r="4881" ht="15.75" customHeight="1">
      <c r="A4881" s="7"/>
      <c r="B4881" s="7" t="str">
        <f>IFERROR(__xludf.DUMMYFUNCTION("""COMPUTED_VALUE"""),"Java;Python;SQL")</f>
        <v>Java;Python;SQL</v>
      </c>
      <c r="C4881" s="9" t="str">
        <f>IFERROR(__xludf.DUMMYFUNCTION("""COMPUTED_VALUE"""),"Assembly")</f>
        <v>Assembly</v>
      </c>
      <c r="D4881" s="9" t="str">
        <f>IFERROR(__xludf.DUMMYFUNCTION("""COMPUTED_VALUE"""),"C++")</f>
        <v>C++</v>
      </c>
      <c r="E4881" s="9" t="str">
        <f>IFERROR(__xludf.DUMMYFUNCTION("""COMPUTED_VALUE"""),"Java")</f>
        <v>Java</v>
      </c>
      <c r="F4881" s="9" t="str">
        <f>IFERROR(__xludf.DUMMYFUNCTION("""COMPUTED_VALUE"""),"Python")</f>
        <v>Python</v>
      </c>
      <c r="G4881" s="9" t="str">
        <f>IFERROR(__xludf.DUMMYFUNCTION("""COMPUTED_VALUE"""),"Java")</f>
        <v>Java</v>
      </c>
      <c r="H4881" s="9" t="str">
        <f>IFERROR(__xludf.DUMMYFUNCTION("""COMPUTED_VALUE"""),"C#")</f>
        <v>C#</v>
      </c>
      <c r="I4881" s="9" t="str">
        <f>IFERROR(__xludf.DUMMYFUNCTION("""COMPUTED_VALUE"""),"C#")</f>
        <v>C#</v>
      </c>
      <c r="J4881" s="9" t="str">
        <f>IFERROR(__xludf.DUMMYFUNCTION("""COMPUTED_VALUE"""),"PHP")</f>
        <v>PHP</v>
      </c>
      <c r="K4881" s="9" t="str">
        <f>IFERROR(__xludf.DUMMYFUNCTION("""COMPUTED_VALUE"""),"C")</f>
        <v>C</v>
      </c>
      <c r="L4881" s="9" t="str">
        <f>IFERROR(__xludf.DUMMYFUNCTION("""COMPUTED_VALUE"""),"SQL")</f>
        <v>SQL</v>
      </c>
      <c r="M4881" s="9" t="s">
        <v>38</v>
      </c>
    </row>
    <row r="4882" ht="15.75" customHeight="1">
      <c r="A4882" s="7"/>
      <c r="B4882" s="7" t="str">
        <f>IFERROR(__xludf.DUMMYFUNCTION("""COMPUTED_VALUE"""),"C#")</f>
        <v>C#</v>
      </c>
      <c r="C4882" s="9" t="str">
        <f>IFERROR(__xludf.DUMMYFUNCTION("""COMPUTED_VALUE"""),"Bash/Shell/PowerShell")</f>
        <v>Bash/Shell/PowerShell</v>
      </c>
      <c r="D4882" s="9" t="str">
        <f>IFERROR(__xludf.DUMMYFUNCTION("""COMPUTED_VALUE"""),"C#")</f>
        <v>C#</v>
      </c>
      <c r="E4882" s="9" t="str">
        <f>IFERROR(__xludf.DUMMYFUNCTION("""COMPUTED_VALUE"""),"JavaScript")</f>
        <v>JavaScript</v>
      </c>
      <c r="F4882" s="9" t="str">
        <f>IFERROR(__xludf.DUMMYFUNCTION("""COMPUTED_VALUE"""),"R")</f>
        <v>R</v>
      </c>
      <c r="G4882" s="9" t="str">
        <f>IFERROR(__xludf.DUMMYFUNCTION("""COMPUTED_VALUE"""),"JavaScript")</f>
        <v>JavaScript</v>
      </c>
      <c r="H4882" s="9" t="str">
        <f>IFERROR(__xludf.DUMMYFUNCTION("""COMPUTED_VALUE"""),"HTML/CSS")</f>
        <v>HTML/CSS</v>
      </c>
      <c r="I4882" s="9" t="str">
        <f>IFERROR(__xludf.DUMMYFUNCTION("""COMPUTED_VALUE"""),"JavaScript")</f>
        <v>JavaScript</v>
      </c>
      <c r="J4882" s="9" t="str">
        <f>IFERROR(__xludf.DUMMYFUNCTION("""COMPUTED_VALUE"""),"Python")</f>
        <v>Python</v>
      </c>
      <c r="K4882" s="9" t="str">
        <f>IFERROR(__xludf.DUMMYFUNCTION("""COMPUTED_VALUE"""),"C++")</f>
        <v>C++</v>
      </c>
      <c r="L4882" s="9" t="str">
        <f>IFERROR(__xludf.DUMMYFUNCTION("""COMPUTED_VALUE"""),"Bash/Shell/PowerShell")</f>
        <v>Bash/Shell/PowerShell</v>
      </c>
      <c r="M4882" s="9" t="s">
        <v>30</v>
      </c>
    </row>
    <row r="4883" ht="15.75" customHeight="1">
      <c r="A4883" s="7"/>
      <c r="B4883" s="7" t="str">
        <f>IFERROR(__xludf.DUMMYFUNCTION("""COMPUTED_VALUE"""),"C;C++;C#;HTML/CSS;Java;JavaScript;Objective-C;SQL;Swift")</f>
        <v>C;C++;C#;HTML/CSS;Java;JavaScript;Objective-C;SQL;Swift</v>
      </c>
      <c r="C4883" s="9" t="str">
        <f>IFERROR(__xludf.DUMMYFUNCTION("""COMPUTED_VALUE"""),"C")</f>
        <v>C</v>
      </c>
      <c r="D4883" s="9" t="str">
        <f>IFERROR(__xludf.DUMMYFUNCTION("""COMPUTED_VALUE"""),"HTML/CSS")</f>
        <v>HTML/CSS</v>
      </c>
      <c r="E4883" s="9" t="str">
        <f>IFERROR(__xludf.DUMMYFUNCTION("""COMPUTED_VALUE"""),"VBA")</f>
        <v>VBA</v>
      </c>
      <c r="F4883" s="9" t="str">
        <f>IFERROR(__xludf.DUMMYFUNCTION("""COMPUTED_VALUE"""),"SQL")</f>
        <v>SQL</v>
      </c>
      <c r="G4883" s="9" t="str">
        <f>IFERROR(__xludf.DUMMYFUNCTION("""COMPUTED_VALUE"""),"Kotlin")</f>
        <v>Kotlin</v>
      </c>
      <c r="H4883" s="9" t="str">
        <f>IFERROR(__xludf.DUMMYFUNCTION("""COMPUTED_VALUE"""),"JavaScript")</f>
        <v>JavaScript</v>
      </c>
      <c r="I4883" s="9" t="str">
        <f>IFERROR(__xludf.DUMMYFUNCTION("""COMPUTED_VALUE"""),"PHP")</f>
        <v>PHP</v>
      </c>
      <c r="J4883" s="9" t="str">
        <f>IFERROR(__xludf.DUMMYFUNCTION("""COMPUTED_VALUE"""),"R")</f>
        <v>R</v>
      </c>
      <c r="K4883" s="9" t="str">
        <f>IFERROR(__xludf.DUMMYFUNCTION("""COMPUTED_VALUE"""),"C#")</f>
        <v>C#</v>
      </c>
      <c r="L4883" s="9" t="str">
        <f>IFERROR(__xludf.DUMMYFUNCTION("""COMPUTED_VALUE"""),"C#")</f>
        <v>C#</v>
      </c>
      <c r="M4883" s="9" t="s">
        <v>25</v>
      </c>
    </row>
    <row r="4884" ht="15.75" customHeight="1">
      <c r="A4884" s="7"/>
      <c r="B4884" s="7" t="str">
        <f>IFERROR(__xludf.DUMMYFUNCTION("""COMPUTED_VALUE"""),"Bash/Shell/PowerShell;HTML/CSS;JavaScript;Objective-C;PHP;Python;SQL;Swift;TypeScript")</f>
        <v>Bash/Shell/PowerShell;HTML/CSS;JavaScript;Objective-C;PHP;Python;SQL;Swift;TypeScript</v>
      </c>
      <c r="C4884" s="9" t="str">
        <f>IFERROR(__xludf.DUMMYFUNCTION("""COMPUTED_VALUE"""),"HTML/CSS")</f>
        <v>HTML/CSS</v>
      </c>
      <c r="D4884" s="9" t="str">
        <f>IFERROR(__xludf.DUMMYFUNCTION("""COMPUTED_VALUE"""),"JavaScript")</f>
        <v>JavaScript</v>
      </c>
      <c r="E4884" s="9" t="str">
        <f>IFERROR(__xludf.DUMMYFUNCTION("""COMPUTED_VALUE"""),"Dart")</f>
        <v>Dart</v>
      </c>
      <c r="F4884" s="9" t="str">
        <f>IFERROR(__xludf.DUMMYFUNCTION("""COMPUTED_VALUE"""),"JavaScript")</f>
        <v>JavaScript</v>
      </c>
      <c r="G4884" s="9" t="str">
        <f>IFERROR(__xludf.DUMMYFUNCTION("""COMPUTED_VALUE"""),"Python")</f>
        <v>Python</v>
      </c>
      <c r="H4884" s="9" t="str">
        <f>IFERROR(__xludf.DUMMYFUNCTION("""COMPUTED_VALUE"""),"SQL")</f>
        <v>SQL</v>
      </c>
      <c r="I4884" s="9" t="str">
        <f>IFERROR(__xludf.DUMMYFUNCTION("""COMPUTED_VALUE"""),"SQL")</f>
        <v>SQL</v>
      </c>
      <c r="J4884" s="9" t="str">
        <f>IFERROR(__xludf.DUMMYFUNCTION("""COMPUTED_VALUE"""),"SQL")</f>
        <v>SQL</v>
      </c>
      <c r="K4884" s="9" t="str">
        <f>IFERROR(__xludf.DUMMYFUNCTION("""COMPUTED_VALUE"""),"HTML/CSS")</f>
        <v>HTML/CSS</v>
      </c>
      <c r="L4884" s="9" t="str">
        <f>IFERROR(__xludf.DUMMYFUNCTION("""COMPUTED_VALUE"""),"HTML/CSS")</f>
        <v>HTML/CSS</v>
      </c>
      <c r="M4884" s="9" t="s">
        <v>24</v>
      </c>
    </row>
    <row r="4885" ht="15.75" customHeight="1">
      <c r="A4885" s="7"/>
      <c r="B4885" s="7" t="str">
        <f>IFERROR(__xludf.DUMMYFUNCTION("""COMPUTED_VALUE"""),"C#;Python;SQL")</f>
        <v>C#;Python;SQL</v>
      </c>
      <c r="C4885" s="9" t="str">
        <f>IFERROR(__xludf.DUMMYFUNCTION("""COMPUTED_VALUE"""),"Java")</f>
        <v>Java</v>
      </c>
      <c r="D4885" s="9" t="str">
        <f>IFERROR(__xludf.DUMMYFUNCTION("""COMPUTED_VALUE"""),"SQL")</f>
        <v>SQL</v>
      </c>
      <c r="E4885" s="9" t="str">
        <f>IFERROR(__xludf.DUMMYFUNCTION("""COMPUTED_VALUE"""),"HTML/CSS")</f>
        <v>HTML/CSS</v>
      </c>
      <c r="F4885" s="9" t="str">
        <f>IFERROR(__xludf.DUMMYFUNCTION("""COMPUTED_VALUE"""),"PHP")</f>
        <v>PHP</v>
      </c>
      <c r="G4885" s="9" t="str">
        <f>IFERROR(__xludf.DUMMYFUNCTION("""COMPUTED_VALUE"""),"SQL")</f>
        <v>SQL</v>
      </c>
      <c r="H4885" s="9" t="str">
        <f>IFERROR(__xludf.DUMMYFUNCTION("""COMPUTED_VALUE"""),"C#")</f>
        <v>C#</v>
      </c>
      <c r="I4885" s="9" t="str">
        <f>IFERROR(__xludf.DUMMYFUNCTION("""COMPUTED_VALUE"""),"Bash/Shell/PowerShell")</f>
        <v>Bash/Shell/PowerShell</v>
      </c>
      <c r="J4885" s="9" t="str">
        <f>IFERROR(__xludf.DUMMYFUNCTION("""COMPUTED_VALUE"""),"Java")</f>
        <v>Java</v>
      </c>
      <c r="K4885" s="9" t="str">
        <f>IFERROR(__xludf.DUMMYFUNCTION("""COMPUTED_VALUE"""),"JavaScript")</f>
        <v>JavaScript</v>
      </c>
      <c r="L4885" s="9" t="str">
        <f>IFERROR(__xludf.DUMMYFUNCTION("""COMPUTED_VALUE"""),"Java")</f>
        <v>Java</v>
      </c>
      <c r="M4885" s="9" t="s">
        <v>20</v>
      </c>
    </row>
    <row r="4886" ht="15.75" customHeight="1">
      <c r="A4886" s="7"/>
      <c r="B4886" s="7" t="str">
        <f>IFERROR(__xludf.DUMMYFUNCTION("""COMPUTED_VALUE"""),"PHP")</f>
        <v>PHP</v>
      </c>
      <c r="C4886" s="9" t="str">
        <f>IFERROR(__xludf.DUMMYFUNCTION("""COMPUTED_VALUE"""),"JavaScript")</f>
        <v>JavaScript</v>
      </c>
      <c r="D4886" s="9" t="str">
        <f>IFERROR(__xludf.DUMMYFUNCTION("""COMPUTED_VALUE"""),"C#")</f>
        <v>C#</v>
      </c>
      <c r="E4886" s="9" t="str">
        <f>IFERROR(__xludf.DUMMYFUNCTION("""COMPUTED_VALUE"""),"JavaScript")</f>
        <v>JavaScript</v>
      </c>
      <c r="F4886" s="9" t="str">
        <f>IFERROR(__xludf.DUMMYFUNCTION("""COMPUTED_VALUE"""),"Bash/Shell/PowerShell")</f>
        <v>Bash/Shell/PowerShell</v>
      </c>
      <c r="G4886" s="9" t="str">
        <f>IFERROR(__xludf.DUMMYFUNCTION("""COMPUTED_VALUE"""),"C++")</f>
        <v>C++</v>
      </c>
      <c r="H4886" s="9" t="str">
        <f>IFERROR(__xludf.DUMMYFUNCTION("""COMPUTED_VALUE"""),"Go")</f>
        <v>Go</v>
      </c>
      <c r="I4886" s="9" t="str">
        <f>IFERROR(__xludf.DUMMYFUNCTION("""COMPUTED_VALUE"""),"C#")</f>
        <v>C#</v>
      </c>
      <c r="J4886" s="9" t="str">
        <f>IFERROR(__xludf.DUMMYFUNCTION("""COMPUTED_VALUE"""),"Kotlin")</f>
        <v>Kotlin</v>
      </c>
      <c r="K4886" s="9" t="str">
        <f>IFERROR(__xludf.DUMMYFUNCTION("""COMPUTED_VALUE"""),"SQL")</f>
        <v>SQL</v>
      </c>
      <c r="L4886" s="9" t="str">
        <f>IFERROR(__xludf.DUMMYFUNCTION("""COMPUTED_VALUE"""),"JavaScript")</f>
        <v>JavaScript</v>
      </c>
      <c r="M4886" s="9" t="s">
        <v>21</v>
      </c>
    </row>
    <row r="4887" ht="15.75" customHeight="1">
      <c r="A4887" s="7"/>
      <c r="B4887" s="7" t="str">
        <f>IFERROR(__xludf.DUMMYFUNCTION("""COMPUTED_VALUE"""),"Bash/Shell/PowerShell;SQL")</f>
        <v>Bash/Shell/PowerShell;SQL</v>
      </c>
      <c r="C4887" s="9" t="str">
        <f>IFERROR(__xludf.DUMMYFUNCTION("""COMPUTED_VALUE"""),"Kotlin")</f>
        <v>Kotlin</v>
      </c>
      <c r="D4887" s="9" t="str">
        <f>IFERROR(__xludf.DUMMYFUNCTION("""COMPUTED_VALUE"""),"HTML/CSS")</f>
        <v>HTML/CSS</v>
      </c>
      <c r="E4887" s="9" t="str">
        <f>IFERROR(__xludf.DUMMYFUNCTION("""COMPUTED_VALUE"""),"PHP")</f>
        <v>PHP</v>
      </c>
      <c r="F4887" s="9" t="str">
        <f>IFERROR(__xludf.DUMMYFUNCTION("""COMPUTED_VALUE"""),"C")</f>
        <v>C</v>
      </c>
      <c r="G4887" s="9" t="str">
        <f>IFERROR(__xludf.DUMMYFUNCTION("""COMPUTED_VALUE"""),"Java")</f>
        <v>Java</v>
      </c>
      <c r="H4887" s="9" t="str">
        <f>IFERROR(__xludf.DUMMYFUNCTION("""COMPUTED_VALUE"""),"HTML/CSS")</f>
        <v>HTML/CSS</v>
      </c>
      <c r="I4887" s="9" t="str">
        <f>IFERROR(__xludf.DUMMYFUNCTION("""COMPUTED_VALUE"""),"HTML/CSS")</f>
        <v>HTML/CSS</v>
      </c>
      <c r="J4887" s="9" t="str">
        <f>IFERROR(__xludf.DUMMYFUNCTION("""COMPUTED_VALUE"""),"Assembly")</f>
        <v>Assembly</v>
      </c>
      <c r="K4887" s="9" t="str">
        <f>IFERROR(__xludf.DUMMYFUNCTION("""COMPUTED_VALUE"""),"TypeScript")</f>
        <v>TypeScript</v>
      </c>
      <c r="L4887" s="9" t="str">
        <f>IFERROR(__xludf.DUMMYFUNCTION("""COMPUTED_VALUE"""),"SQL")</f>
        <v>SQL</v>
      </c>
      <c r="M4887" s="9" t="s">
        <v>39</v>
      </c>
    </row>
    <row r="4888" ht="15.75" customHeight="1">
      <c r="A4888" s="7"/>
      <c r="B4888" s="7" t="str">
        <f>IFERROR(__xludf.DUMMYFUNCTION("""COMPUTED_VALUE"""),"Java;Python;Scala")</f>
        <v>Java;Python;Scala</v>
      </c>
      <c r="C4888" s="9" t="str">
        <f>IFERROR(__xludf.DUMMYFUNCTION("""COMPUTED_VALUE"""),"Python")</f>
        <v>Python</v>
      </c>
      <c r="D4888" s="9" t="str">
        <f>IFERROR(__xludf.DUMMYFUNCTION("""COMPUTED_VALUE"""),"JavaScript")</f>
        <v>JavaScript</v>
      </c>
      <c r="E4888" s="9" t="str">
        <f>IFERROR(__xludf.DUMMYFUNCTION("""COMPUTED_VALUE"""),"JavaScript")</f>
        <v>JavaScript</v>
      </c>
      <c r="F4888" s="9" t="str">
        <f>IFERROR(__xludf.DUMMYFUNCTION("""COMPUTED_VALUE"""),"C++")</f>
        <v>C++</v>
      </c>
      <c r="G4888" s="9" t="str">
        <f>IFERROR(__xludf.DUMMYFUNCTION("""COMPUTED_VALUE"""),"Other(s):")</f>
        <v>Other(s):</v>
      </c>
      <c r="H4888" s="9" t="str">
        <f>IFERROR(__xludf.DUMMYFUNCTION("""COMPUTED_VALUE"""),"Java")</f>
        <v>Java</v>
      </c>
      <c r="I4888" s="9" t="str">
        <f>IFERROR(__xludf.DUMMYFUNCTION("""COMPUTED_VALUE"""),"JavaScript")</f>
        <v>JavaScript</v>
      </c>
      <c r="J4888" s="9" t="str">
        <f>IFERROR(__xludf.DUMMYFUNCTION("""COMPUTED_VALUE"""),"C")</f>
        <v>C</v>
      </c>
      <c r="K4888" s="9" t="str">
        <f>IFERROR(__xludf.DUMMYFUNCTION("""COMPUTED_VALUE"""),"C#")</f>
        <v>C#</v>
      </c>
      <c r="L4888" s="9" t="str">
        <f>IFERROR(__xludf.DUMMYFUNCTION("""COMPUTED_VALUE"""),"TypeScript")</f>
        <v>TypeScript</v>
      </c>
      <c r="M4888" s="9" t="s">
        <v>22</v>
      </c>
    </row>
    <row r="4889" ht="15.75" customHeight="1">
      <c r="A4889" s="7"/>
      <c r="B4889" s="7" t="str">
        <f>IFERROR(__xludf.DUMMYFUNCTION("""COMPUTED_VALUE"""),"Python")</f>
        <v>Python</v>
      </c>
      <c r="C4889" s="9" t="str">
        <f>IFERROR(__xludf.DUMMYFUNCTION("""COMPUTED_VALUE"""),"Other(s):")</f>
        <v>Other(s):</v>
      </c>
      <c r="D4889" s="9" t="str">
        <f>IFERROR(__xludf.DUMMYFUNCTION("""COMPUTED_VALUE"""),"SQL")</f>
        <v>SQL</v>
      </c>
      <c r="E4889" s="9" t="str">
        <f>IFERROR(__xludf.DUMMYFUNCTION("""COMPUTED_VALUE"""),"PHP")</f>
        <v>PHP</v>
      </c>
      <c r="F4889" s="9" t="str">
        <f>IFERROR(__xludf.DUMMYFUNCTION("""COMPUTED_VALUE"""),"Go")</f>
        <v>Go</v>
      </c>
      <c r="G4889" s="9" t="str">
        <f>IFERROR(__xludf.DUMMYFUNCTION("""COMPUTED_VALUE"""),"Assembly")</f>
        <v>Assembly</v>
      </c>
      <c r="H4889" s="9" t="str">
        <f>IFERROR(__xludf.DUMMYFUNCTION("""COMPUTED_VALUE"""),"JavaScript")</f>
        <v>JavaScript</v>
      </c>
      <c r="I4889" s="9" t="str">
        <f>IFERROR(__xludf.DUMMYFUNCTION("""COMPUTED_VALUE"""),"SQL")</f>
        <v>SQL</v>
      </c>
      <c r="J4889" s="9" t="str">
        <f>IFERROR(__xludf.DUMMYFUNCTION("""COMPUTED_VALUE"""),"C++")</f>
        <v>C++</v>
      </c>
      <c r="K4889" s="9" t="str">
        <f>IFERROR(__xludf.DUMMYFUNCTION("""COMPUTED_VALUE"""),"HTML/CSS")</f>
        <v>HTML/CSS</v>
      </c>
      <c r="L4889" s="9" t="str">
        <f>IFERROR(__xludf.DUMMYFUNCTION("""COMPUTED_VALUE"""),"HTML/CSS")</f>
        <v>HTML/CSS</v>
      </c>
      <c r="M4889" s="9" t="s">
        <v>35</v>
      </c>
    </row>
    <row r="4890" ht="15.75" customHeight="1">
      <c r="A4890" s="7"/>
      <c r="B4890" s="7" t="str">
        <f>IFERROR(__xludf.DUMMYFUNCTION("""COMPUTED_VALUE"""),"Bash/Shell/PowerShell;C#;Go;HTML/CSS;Java;JavaScript;PHP;Python;SQL")</f>
        <v>Bash/Shell/PowerShell;C#;Go;HTML/CSS;Java;JavaScript;PHP;Python;SQL</v>
      </c>
      <c r="C4890" s="9" t="str">
        <f>IFERROR(__xludf.DUMMYFUNCTION("""COMPUTED_VALUE"""),"Bash/Shell/PowerShell")</f>
        <v>Bash/Shell/PowerShell</v>
      </c>
      <c r="D4890" s="9" t="str">
        <f>IFERROR(__xludf.DUMMYFUNCTION("""COMPUTED_VALUE"""),"Bash/Shell/PowerShell")</f>
        <v>Bash/Shell/PowerShell</v>
      </c>
      <c r="E4890" s="9" t="str">
        <f>IFERROR(__xludf.DUMMYFUNCTION("""COMPUTED_VALUE"""),"SQL")</f>
        <v>SQL</v>
      </c>
      <c r="F4890" s="9" t="str">
        <f>IFERROR(__xludf.DUMMYFUNCTION("""COMPUTED_VALUE"""),"HTML/CSS")</f>
        <v>HTML/CSS</v>
      </c>
      <c r="G4890" s="9" t="str">
        <f>IFERROR(__xludf.DUMMYFUNCTION("""COMPUTED_VALUE"""),"Bash/Shell/PowerShell")</f>
        <v>Bash/Shell/PowerShell</v>
      </c>
      <c r="H4890" s="9" t="str">
        <f>IFERROR(__xludf.DUMMYFUNCTION("""COMPUTED_VALUE"""),"Kotlin")</f>
        <v>Kotlin</v>
      </c>
      <c r="I4890" s="9" t="str">
        <f>IFERROR(__xludf.DUMMYFUNCTION("""COMPUTED_VALUE"""),"TypeScript")</f>
        <v>TypeScript</v>
      </c>
      <c r="J4890" s="9" t="str">
        <f>IFERROR(__xludf.DUMMYFUNCTION("""COMPUTED_VALUE"""),"HTML/CSS")</f>
        <v>HTML/CSS</v>
      </c>
      <c r="K4890" s="9" t="str">
        <f>IFERROR(__xludf.DUMMYFUNCTION("""COMPUTED_VALUE"""),"Python")</f>
        <v>Python</v>
      </c>
      <c r="L4890" s="9" t="str">
        <f>IFERROR(__xludf.DUMMYFUNCTION("""COMPUTED_VALUE"""),"JavaScript")</f>
        <v>JavaScript</v>
      </c>
      <c r="M4890" s="9" t="s">
        <v>30</v>
      </c>
    </row>
    <row r="4891" ht="15.75" customHeight="1">
      <c r="A4891" s="7"/>
      <c r="B4891" s="7" t="str">
        <f>IFERROR(__xludf.DUMMYFUNCTION("""COMPUTED_VALUE"""),"Bash/Shell/PowerShell;C;C++;HTML/CSS;JavaScript;Python;SQL")</f>
        <v>Bash/Shell/PowerShell;C;C++;HTML/CSS;JavaScript;Python;SQL</v>
      </c>
      <c r="C4891" s="9" t="str">
        <f>IFERROR(__xludf.DUMMYFUNCTION("""COMPUTED_VALUE"""),"Python")</f>
        <v>Python</v>
      </c>
      <c r="D4891" s="9" t="str">
        <f>IFERROR(__xludf.DUMMYFUNCTION("""COMPUTED_VALUE"""),"C#")</f>
        <v>C#</v>
      </c>
      <c r="E4891" s="9" t="str">
        <f>IFERROR(__xludf.DUMMYFUNCTION("""COMPUTED_VALUE"""),"TypeScript")</f>
        <v>TypeScript</v>
      </c>
      <c r="F4891" s="9" t="str">
        <f>IFERROR(__xludf.DUMMYFUNCTION("""COMPUTED_VALUE"""),"JavaScript")</f>
        <v>JavaScript</v>
      </c>
      <c r="G4891" s="9" t="str">
        <f>IFERROR(__xludf.DUMMYFUNCTION("""COMPUTED_VALUE"""),"C")</f>
        <v>C</v>
      </c>
      <c r="H4891" s="9" t="str">
        <f>IFERROR(__xludf.DUMMYFUNCTION("""COMPUTED_VALUE"""),"Python")</f>
        <v>Python</v>
      </c>
      <c r="I4891" s="9" t="str">
        <f>IFERROR(__xludf.DUMMYFUNCTION("""COMPUTED_VALUE"""),"VBA")</f>
        <v>VBA</v>
      </c>
      <c r="J4891" s="9" t="str">
        <f>IFERROR(__xludf.DUMMYFUNCTION("""COMPUTED_VALUE"""),"Java")</f>
        <v>Java</v>
      </c>
      <c r="K4891" s="9" t="str">
        <f>IFERROR(__xludf.DUMMYFUNCTION("""COMPUTED_VALUE"""),"SQL")</f>
        <v>SQL</v>
      </c>
      <c r="L4891" s="9" t="str">
        <f>IFERROR(__xludf.DUMMYFUNCTION("""COMPUTED_VALUE"""),"PHP")</f>
        <v>PHP</v>
      </c>
      <c r="M4891" s="9" t="s">
        <v>22</v>
      </c>
    </row>
    <row r="4892" ht="15.75" customHeight="1">
      <c r="A4892" s="7"/>
      <c r="B4892" s="7" t="str">
        <f>IFERROR(__xludf.DUMMYFUNCTION("""COMPUTED_VALUE"""),"Bash/Shell/PowerShell;C#;HTML/CSS;JavaScript;Python;SQL")</f>
        <v>Bash/Shell/PowerShell;C#;HTML/CSS;JavaScript;Python;SQL</v>
      </c>
      <c r="C4892" s="9" t="str">
        <f>IFERROR(__xludf.DUMMYFUNCTION("""COMPUTED_VALUE"""),"SQL")</f>
        <v>SQL</v>
      </c>
      <c r="D4892" s="9" t="str">
        <f>IFERROR(__xludf.DUMMYFUNCTION("""COMPUTED_VALUE"""),"HTML/CSS")</f>
        <v>HTML/CSS</v>
      </c>
      <c r="E4892" s="9" t="str">
        <f>IFERROR(__xludf.DUMMYFUNCTION("""COMPUTED_VALUE"""),"Bash/Shell/PowerShell")</f>
        <v>Bash/Shell/PowerShell</v>
      </c>
      <c r="F4892" s="9" t="str">
        <f>IFERROR(__xludf.DUMMYFUNCTION("""COMPUTED_VALUE"""),"PHP")</f>
        <v>PHP</v>
      </c>
      <c r="G4892" s="9" t="str">
        <f>IFERROR(__xludf.DUMMYFUNCTION("""COMPUTED_VALUE"""),"C++")</f>
        <v>C++</v>
      </c>
      <c r="H4892" s="9" t="str">
        <f>IFERROR(__xludf.DUMMYFUNCTION("""COMPUTED_VALUE"""),"SQL")</f>
        <v>SQL</v>
      </c>
      <c r="I4892" s="9" t="str">
        <f>IFERROR(__xludf.DUMMYFUNCTION("""COMPUTED_VALUE"""),"Bash/Shell/PowerShell")</f>
        <v>Bash/Shell/PowerShell</v>
      </c>
      <c r="J4892" s="9" t="str">
        <f>IFERROR(__xludf.DUMMYFUNCTION("""COMPUTED_VALUE"""),"JavaScript")</f>
        <v>JavaScript</v>
      </c>
      <c r="K4892" s="9" t="str">
        <f>IFERROR(__xludf.DUMMYFUNCTION("""COMPUTED_VALUE"""),"Assembly")</f>
        <v>Assembly</v>
      </c>
      <c r="L4892" s="9" t="str">
        <f>IFERROR(__xludf.DUMMYFUNCTION("""COMPUTED_VALUE"""),"SQL")</f>
        <v>SQL</v>
      </c>
      <c r="M4892" s="9" t="s">
        <v>27</v>
      </c>
    </row>
    <row r="4893" ht="15.75" customHeight="1">
      <c r="A4893" s="7"/>
      <c r="B4893" s="7" t="str">
        <f>IFERROR(__xludf.DUMMYFUNCTION("""COMPUTED_VALUE"""),"Bash/Shell/PowerShell;HTML/CSS;Java;JavaScript;Python;TypeScript")</f>
        <v>Bash/Shell/PowerShell;HTML/CSS;Java;JavaScript;Python;TypeScript</v>
      </c>
      <c r="C4893" s="9" t="str">
        <f>IFERROR(__xludf.DUMMYFUNCTION("""COMPUTED_VALUE"""),"Bash/Shell/PowerShell")</f>
        <v>Bash/Shell/PowerShell</v>
      </c>
      <c r="D4893" s="9" t="str">
        <f>IFERROR(__xludf.DUMMYFUNCTION("""COMPUTED_VALUE"""),"Java")</f>
        <v>Java</v>
      </c>
      <c r="E4893" s="9" t="str">
        <f>IFERROR(__xludf.DUMMYFUNCTION("""COMPUTED_VALUE"""),"C")</f>
        <v>C</v>
      </c>
      <c r="F4893" s="9" t="str">
        <f>IFERROR(__xludf.DUMMYFUNCTION("""COMPUTED_VALUE"""),"Python")</f>
        <v>Python</v>
      </c>
      <c r="G4893" s="9" t="str">
        <f>IFERROR(__xludf.DUMMYFUNCTION("""COMPUTED_VALUE"""),"Java")</f>
        <v>Java</v>
      </c>
      <c r="H4893" s="9" t="str">
        <f>IFERROR(__xludf.DUMMYFUNCTION("""COMPUTED_VALUE"""),"TypeScript")</f>
        <v>TypeScript</v>
      </c>
      <c r="I4893" s="9" t="str">
        <f>IFERROR(__xludf.DUMMYFUNCTION("""COMPUTED_VALUE"""),"C")</f>
        <v>C</v>
      </c>
      <c r="J4893" s="9" t="str">
        <f>IFERROR(__xludf.DUMMYFUNCTION("""COMPUTED_VALUE"""),"SQL")</f>
        <v>SQL</v>
      </c>
      <c r="K4893" s="9" t="str">
        <f>IFERROR(__xludf.DUMMYFUNCTION("""COMPUTED_VALUE"""),"Bash/Shell/PowerShell")</f>
        <v>Bash/Shell/PowerShell</v>
      </c>
      <c r="L4893" s="9" t="str">
        <f>IFERROR(__xludf.DUMMYFUNCTION("""COMPUTED_VALUE"""),"Bash/Shell/PowerShell")</f>
        <v>Bash/Shell/PowerShell</v>
      </c>
      <c r="M4893" s="9" t="s">
        <v>30</v>
      </c>
    </row>
    <row r="4894" ht="15.75" customHeight="1">
      <c r="A4894" s="7"/>
      <c r="B4894" s="7" t="str">
        <f>IFERROR(__xludf.DUMMYFUNCTION("""COMPUTED_VALUE"""),"Bash/Shell/PowerShell;C;C#;Python;SQL;Other(s):")</f>
        <v>Bash/Shell/PowerShell;C;C#;Python;SQL;Other(s):</v>
      </c>
      <c r="C4894" s="9" t="str">
        <f>IFERROR(__xludf.DUMMYFUNCTION("""COMPUTED_VALUE"""),"HTML/CSS")</f>
        <v>HTML/CSS</v>
      </c>
      <c r="D4894" s="9" t="str">
        <f>IFERROR(__xludf.DUMMYFUNCTION("""COMPUTED_VALUE"""),"JavaScript")</f>
        <v>JavaScript</v>
      </c>
      <c r="E4894" s="9" t="str">
        <f>IFERROR(__xludf.DUMMYFUNCTION("""COMPUTED_VALUE"""),"C++")</f>
        <v>C++</v>
      </c>
      <c r="F4894" s="9" t="str">
        <f>IFERROR(__xludf.DUMMYFUNCTION("""COMPUTED_VALUE"""),"SQL")</f>
        <v>SQL</v>
      </c>
      <c r="G4894" s="9" t="str">
        <f>IFERROR(__xludf.DUMMYFUNCTION("""COMPUTED_VALUE"""),"JavaScript")</f>
        <v>JavaScript</v>
      </c>
      <c r="H4894" s="9" t="str">
        <f>IFERROR(__xludf.DUMMYFUNCTION("""COMPUTED_VALUE"""),"Bash/Shell/PowerShell")</f>
        <v>Bash/Shell/PowerShell</v>
      </c>
      <c r="I4894" s="9" t="str">
        <f>IFERROR(__xludf.DUMMYFUNCTION("""COMPUTED_VALUE"""),"C++")</f>
        <v>C++</v>
      </c>
      <c r="J4894" s="9" t="str">
        <f>IFERROR(__xludf.DUMMYFUNCTION("""COMPUTED_VALUE"""),"Bash/Shell/PowerShell")</f>
        <v>Bash/Shell/PowerShell</v>
      </c>
      <c r="K4894" s="9" t="str">
        <f>IFERROR(__xludf.DUMMYFUNCTION("""COMPUTED_VALUE"""),"C")</f>
        <v>C</v>
      </c>
      <c r="L4894" s="9" t="str">
        <f>IFERROR(__xludf.DUMMYFUNCTION("""COMPUTED_VALUE"""),"Java")</f>
        <v>Java</v>
      </c>
      <c r="M4894" s="9" t="s">
        <v>24</v>
      </c>
    </row>
    <row r="4895" ht="15.75" customHeight="1">
      <c r="A4895" s="7"/>
      <c r="B4895" s="7" t="str">
        <f>IFERROR(__xludf.DUMMYFUNCTION("""COMPUTED_VALUE"""),"Bash/Shell/PowerShell;C++;Other(s):")</f>
        <v>Bash/Shell/PowerShell;C++;Other(s):</v>
      </c>
      <c r="C4895" s="9" t="str">
        <f>IFERROR(__xludf.DUMMYFUNCTION("""COMPUTED_VALUE"""),"Java")</f>
        <v>Java</v>
      </c>
      <c r="D4895" s="9" t="str">
        <f>IFERROR(__xludf.DUMMYFUNCTION("""COMPUTED_VALUE"""),"SQL")</f>
        <v>SQL</v>
      </c>
      <c r="E4895" s="9" t="str">
        <f>IFERROR(__xludf.DUMMYFUNCTION("""COMPUTED_VALUE"""),"C#")</f>
        <v>C#</v>
      </c>
      <c r="F4895" s="9" t="str">
        <f>IFERROR(__xludf.DUMMYFUNCTION("""COMPUTED_VALUE"""),"Swift")</f>
        <v>Swift</v>
      </c>
      <c r="G4895" s="9" t="str">
        <f>IFERROR(__xludf.DUMMYFUNCTION("""COMPUTED_VALUE"""),"Python")</f>
        <v>Python</v>
      </c>
      <c r="H4895" s="9" t="str">
        <f>IFERROR(__xludf.DUMMYFUNCTION("""COMPUTED_VALUE"""),"C")</f>
        <v>C</v>
      </c>
      <c r="I4895" s="9" t="str">
        <f>IFERROR(__xludf.DUMMYFUNCTION("""COMPUTED_VALUE"""),"Java")</f>
        <v>Java</v>
      </c>
      <c r="J4895" s="9" t="str">
        <f>IFERROR(__xludf.DUMMYFUNCTION("""COMPUTED_VALUE"""),"HTML/CSS")</f>
        <v>HTML/CSS</v>
      </c>
      <c r="K4895" s="9" t="str">
        <f>IFERROR(__xludf.DUMMYFUNCTION("""COMPUTED_VALUE"""),"HTML/CSS")</f>
        <v>HTML/CSS</v>
      </c>
      <c r="L4895" s="9" t="str">
        <f>IFERROR(__xludf.DUMMYFUNCTION("""COMPUTED_VALUE"""),"JavaScript")</f>
        <v>JavaScript</v>
      </c>
      <c r="M4895" s="9" t="s">
        <v>20</v>
      </c>
    </row>
    <row r="4896" ht="15.75" customHeight="1">
      <c r="A4896" s="7"/>
      <c r="B4896" s="7" t="str">
        <f>IFERROR(__xludf.DUMMYFUNCTION("""COMPUTED_VALUE"""),"HTML/CSS;JavaScript")</f>
        <v>HTML/CSS;JavaScript</v>
      </c>
      <c r="C4896" s="9" t="str">
        <f>IFERROR(__xludf.DUMMYFUNCTION("""COMPUTED_VALUE"""),"JavaScript")</f>
        <v>JavaScript</v>
      </c>
      <c r="D4896" s="9" t="str">
        <f>IFERROR(__xludf.DUMMYFUNCTION("""COMPUTED_VALUE"""),"Swift")</f>
        <v>Swift</v>
      </c>
      <c r="E4896" s="9" t="str">
        <f>IFERROR(__xludf.DUMMYFUNCTION("""COMPUTED_VALUE"""),"HTML/CSS")</f>
        <v>HTML/CSS</v>
      </c>
      <c r="F4896" s="9" t="str">
        <f>IFERROR(__xludf.DUMMYFUNCTION("""COMPUTED_VALUE"""),"Bash/Shell/PowerShell")</f>
        <v>Bash/Shell/PowerShell</v>
      </c>
      <c r="G4896" s="9" t="str">
        <f>IFERROR(__xludf.DUMMYFUNCTION("""COMPUTED_VALUE"""),"Assembly")</f>
        <v>Assembly</v>
      </c>
      <c r="H4896" s="9" t="str">
        <f>IFERROR(__xludf.DUMMYFUNCTION("""COMPUTED_VALUE"""),"HTML/CSS")</f>
        <v>HTML/CSS</v>
      </c>
      <c r="I4896" s="9" t="str">
        <f>IFERROR(__xludf.DUMMYFUNCTION("""COMPUTED_VALUE"""),"Bash/Shell/PowerShell")</f>
        <v>Bash/Shell/PowerShell</v>
      </c>
      <c r="J4896" s="9" t="str">
        <f>IFERROR(__xludf.DUMMYFUNCTION("""COMPUTED_VALUE"""),"JavaScript")</f>
        <v>JavaScript</v>
      </c>
      <c r="K4896" s="9" t="str">
        <f>IFERROR(__xludf.DUMMYFUNCTION("""COMPUTED_VALUE"""),"Java")</f>
        <v>Java</v>
      </c>
      <c r="L4896" s="9" t="str">
        <f>IFERROR(__xludf.DUMMYFUNCTION("""COMPUTED_VALUE"""),"TypeScript")</f>
        <v>TypeScript</v>
      </c>
      <c r="M4896" s="9" t="s">
        <v>21</v>
      </c>
    </row>
    <row r="4897" ht="15.75" customHeight="1">
      <c r="A4897" s="7"/>
      <c r="B4897" s="7" t="str">
        <f>IFERROR(__xludf.DUMMYFUNCTION("""COMPUTED_VALUE"""),"Java;Python;Other(s):")</f>
        <v>Java;Python;Other(s):</v>
      </c>
      <c r="C4897" s="9" t="str">
        <f>IFERROR(__xludf.DUMMYFUNCTION("""COMPUTED_VALUE"""),"Python")</f>
        <v>Python</v>
      </c>
      <c r="D4897" s="9" t="str">
        <f>IFERROR(__xludf.DUMMYFUNCTION("""COMPUTED_VALUE"""),"TypeScript")</f>
        <v>TypeScript</v>
      </c>
      <c r="E4897" s="9" t="str">
        <f>IFERROR(__xludf.DUMMYFUNCTION("""COMPUTED_VALUE"""),"JavaScript")</f>
        <v>JavaScript</v>
      </c>
      <c r="F4897" s="9" t="str">
        <f>IFERROR(__xludf.DUMMYFUNCTION("""COMPUTED_VALUE"""),"C")</f>
        <v>C</v>
      </c>
      <c r="G4897" s="9" t="str">
        <f>IFERROR(__xludf.DUMMYFUNCTION("""COMPUTED_VALUE"""),"Bash/Shell/PowerShell")</f>
        <v>Bash/Shell/PowerShell</v>
      </c>
      <c r="H4897" s="9" t="str">
        <f>IFERROR(__xludf.DUMMYFUNCTION("""COMPUTED_VALUE"""),"Java")</f>
        <v>Java</v>
      </c>
      <c r="I4897" s="9" t="str">
        <f>IFERROR(__xludf.DUMMYFUNCTION("""COMPUTED_VALUE"""),"Java")</f>
        <v>Java</v>
      </c>
      <c r="J4897" s="9" t="str">
        <f>IFERROR(__xludf.DUMMYFUNCTION("""COMPUTED_VALUE"""),"PHP")</f>
        <v>PHP</v>
      </c>
      <c r="K4897" s="9" t="str">
        <f>IFERROR(__xludf.DUMMYFUNCTION("""COMPUTED_VALUE"""),"JavaScript")</f>
        <v>JavaScript</v>
      </c>
      <c r="L4897" s="9" t="str">
        <f>IFERROR(__xludf.DUMMYFUNCTION("""COMPUTED_VALUE"""),"JavaScript")</f>
        <v>JavaScript</v>
      </c>
      <c r="M4897" s="9" t="s">
        <v>22</v>
      </c>
    </row>
    <row r="4898" ht="15.75" customHeight="1">
      <c r="A4898" s="7"/>
      <c r="B4898" s="7" t="str">
        <f>IFERROR(__xludf.DUMMYFUNCTION("""COMPUTED_VALUE"""),"Bash/Shell/PowerShell;C;C++;C#;Python;SQL;VBA")</f>
        <v>Bash/Shell/PowerShell;C;C++;C#;Python;SQL;VBA</v>
      </c>
      <c r="C4898" s="9" t="str">
        <f>IFERROR(__xludf.DUMMYFUNCTION("""COMPUTED_VALUE"""),"Swift")</f>
        <v>Swift</v>
      </c>
      <c r="D4898" s="9" t="str">
        <f>IFERROR(__xludf.DUMMYFUNCTION("""COMPUTED_VALUE"""),"Python")</f>
        <v>Python</v>
      </c>
      <c r="E4898" s="9" t="str">
        <f>IFERROR(__xludf.DUMMYFUNCTION("""COMPUTED_VALUE"""),"SQL")</f>
        <v>SQL</v>
      </c>
      <c r="F4898" s="9" t="str">
        <f>IFERROR(__xludf.DUMMYFUNCTION("""COMPUTED_VALUE"""),"Elixir")</f>
        <v>Elixir</v>
      </c>
      <c r="G4898" s="9" t="str">
        <f>IFERROR(__xludf.DUMMYFUNCTION("""COMPUTED_VALUE"""),"C")</f>
        <v>C</v>
      </c>
      <c r="H4898" s="9" t="str">
        <f>IFERROR(__xludf.DUMMYFUNCTION("""COMPUTED_VALUE"""),"JavaScript")</f>
        <v>JavaScript</v>
      </c>
      <c r="I4898" s="9" t="str">
        <f>IFERROR(__xludf.DUMMYFUNCTION("""COMPUTED_VALUE"""),"JavaScript")</f>
        <v>JavaScript</v>
      </c>
      <c r="J4898" s="9" t="str">
        <f>IFERROR(__xludf.DUMMYFUNCTION("""COMPUTED_VALUE"""),"SQL")</f>
        <v>SQL</v>
      </c>
      <c r="K4898" s="9" t="str">
        <f>IFERROR(__xludf.DUMMYFUNCTION("""COMPUTED_VALUE"""),"PHP")</f>
        <v>PHP</v>
      </c>
      <c r="L4898" s="9" t="str">
        <f>IFERROR(__xludf.DUMMYFUNCTION("""COMPUTED_VALUE"""),"Swift")</f>
        <v>Swift</v>
      </c>
      <c r="M4898" s="9" t="s">
        <v>40</v>
      </c>
    </row>
    <row r="4899" ht="15.75" customHeight="1">
      <c r="A4899" s="7"/>
      <c r="B4899" s="7" t="str">
        <f>IFERROR(__xludf.DUMMYFUNCTION("""COMPUTED_VALUE"""),"C++;HTML/CSS;JavaScript;PHP;SQL")</f>
        <v>C++;HTML/CSS;JavaScript;PHP;SQL</v>
      </c>
      <c r="C4899" s="9" t="str">
        <f>IFERROR(__xludf.DUMMYFUNCTION("""COMPUTED_VALUE"""),"HTML/CSS")</f>
        <v>HTML/CSS</v>
      </c>
      <c r="D4899" s="9" t="str">
        <f>IFERROR(__xludf.DUMMYFUNCTION("""COMPUTED_VALUE"""),"Other(s):")</f>
        <v>Other(s):</v>
      </c>
      <c r="E4899" s="9" t="str">
        <f>IFERROR(__xludf.DUMMYFUNCTION("""COMPUTED_VALUE"""),"TypeScript")</f>
        <v>TypeScript</v>
      </c>
      <c r="F4899" s="9" t="str">
        <f>IFERROR(__xludf.DUMMYFUNCTION("""COMPUTED_VALUE"""),"Go")</f>
        <v>Go</v>
      </c>
      <c r="G4899" s="9" t="str">
        <f>IFERROR(__xludf.DUMMYFUNCTION("""COMPUTED_VALUE"""),"HTML/CSS")</f>
        <v>HTML/CSS</v>
      </c>
      <c r="H4899" s="9" t="str">
        <f>IFERROR(__xludf.DUMMYFUNCTION("""COMPUTED_VALUE"""),"SQL")</f>
        <v>SQL</v>
      </c>
      <c r="I4899" s="9" t="str">
        <f>IFERROR(__xludf.DUMMYFUNCTION("""COMPUTED_VALUE"""),"Bash/Shell/PowerShell")</f>
        <v>Bash/Shell/PowerShell</v>
      </c>
      <c r="J4899" s="9" t="str">
        <f>IFERROR(__xludf.DUMMYFUNCTION("""COMPUTED_VALUE"""),"Bash/Shell/PowerShell")</f>
        <v>Bash/Shell/PowerShell</v>
      </c>
      <c r="K4899" s="9" t="str">
        <f>IFERROR(__xludf.DUMMYFUNCTION("""COMPUTED_VALUE"""),"Python")</f>
        <v>Python</v>
      </c>
      <c r="L4899" s="9" t="str">
        <f>IFERROR(__xludf.DUMMYFUNCTION("""COMPUTED_VALUE"""),"HTML/CSS")</f>
        <v>HTML/CSS</v>
      </c>
      <c r="M4899" s="9" t="s">
        <v>24</v>
      </c>
    </row>
    <row r="4900" ht="15.75" customHeight="1">
      <c r="A4900" s="7"/>
      <c r="B4900" s="7" t="str">
        <f>IFERROR(__xludf.DUMMYFUNCTION("""COMPUTED_VALUE"""),"C;HTML/CSS;Java;JavaScript;Kotlin;Objective-C;Swift;TypeScript")</f>
        <v>C;HTML/CSS;Java;JavaScript;Kotlin;Objective-C;Swift;TypeScript</v>
      </c>
      <c r="C4900" s="9" t="str">
        <f>IFERROR(__xludf.DUMMYFUNCTION("""COMPUTED_VALUE"""),"Java")</f>
        <v>Java</v>
      </c>
      <c r="D4900" s="9" t="str">
        <f>IFERROR(__xludf.DUMMYFUNCTION("""COMPUTED_VALUE"""),"Bash/Shell/PowerShell")</f>
        <v>Bash/Shell/PowerShell</v>
      </c>
      <c r="E4900" s="9" t="str">
        <f>IFERROR(__xludf.DUMMYFUNCTION("""COMPUTED_VALUE"""),"HTML/CSS")</f>
        <v>HTML/CSS</v>
      </c>
      <c r="F4900" s="9" t="str">
        <f>IFERROR(__xludf.DUMMYFUNCTION("""COMPUTED_VALUE"""),"HTML/CSS")</f>
        <v>HTML/CSS</v>
      </c>
      <c r="G4900" s="9" t="str">
        <f>IFERROR(__xludf.DUMMYFUNCTION("""COMPUTED_VALUE"""),"Java")</f>
        <v>Java</v>
      </c>
      <c r="H4900" s="9" t="str">
        <f>IFERROR(__xludf.DUMMYFUNCTION("""COMPUTED_VALUE"""),"Other(s):")</f>
        <v>Other(s):</v>
      </c>
      <c r="I4900" s="9" t="str">
        <f>IFERROR(__xludf.DUMMYFUNCTION("""COMPUTED_VALUE"""),"HTML/CSS")</f>
        <v>HTML/CSS</v>
      </c>
      <c r="J4900" s="9" t="str">
        <f>IFERROR(__xludf.DUMMYFUNCTION("""COMPUTED_VALUE"""),"C")</f>
        <v>C</v>
      </c>
      <c r="K4900" s="9" t="str">
        <f>IFERROR(__xludf.DUMMYFUNCTION("""COMPUTED_VALUE"""),"SQL")</f>
        <v>SQL</v>
      </c>
      <c r="L4900" s="9" t="str">
        <f>IFERROR(__xludf.DUMMYFUNCTION("""COMPUTED_VALUE"""),"JavaScript")</f>
        <v>JavaScript</v>
      </c>
      <c r="M4900" s="9" t="s">
        <v>20</v>
      </c>
    </row>
    <row r="4901" ht="15.75" customHeight="1">
      <c r="A4901" s="7"/>
      <c r="B4901" s="7" t="str">
        <f>IFERROR(__xludf.DUMMYFUNCTION("""COMPUTED_VALUE"""),"Dart;Java;Python")</f>
        <v>Dart;Java;Python</v>
      </c>
      <c r="C4901" s="9" t="str">
        <f>IFERROR(__xludf.DUMMYFUNCTION("""COMPUTED_VALUE"""),"JavaScript")</f>
        <v>JavaScript</v>
      </c>
      <c r="D4901" s="9" t="str">
        <f>IFERROR(__xludf.DUMMYFUNCTION("""COMPUTED_VALUE"""),"HTML/CSS")</f>
        <v>HTML/CSS</v>
      </c>
      <c r="E4901" s="9" t="str">
        <f>IFERROR(__xludf.DUMMYFUNCTION("""COMPUTED_VALUE"""),"JavaScript")</f>
        <v>JavaScript</v>
      </c>
      <c r="F4901" s="9" t="str">
        <f>IFERROR(__xludf.DUMMYFUNCTION("""COMPUTED_VALUE"""),"PHP")</f>
        <v>PHP</v>
      </c>
      <c r="G4901" s="9" t="str">
        <f>IFERROR(__xludf.DUMMYFUNCTION("""COMPUTED_VALUE"""),"JavaScript")</f>
        <v>JavaScript</v>
      </c>
      <c r="H4901" s="9" t="str">
        <f>IFERROR(__xludf.DUMMYFUNCTION("""COMPUTED_VALUE"""),"Bash/Shell/PowerShell")</f>
        <v>Bash/Shell/PowerShell</v>
      </c>
      <c r="I4901" s="9" t="str">
        <f>IFERROR(__xludf.DUMMYFUNCTION("""COMPUTED_VALUE"""),"JavaScript")</f>
        <v>JavaScript</v>
      </c>
      <c r="J4901" s="9" t="str">
        <f>IFERROR(__xludf.DUMMYFUNCTION("""COMPUTED_VALUE"""),"C#")</f>
        <v>C#</v>
      </c>
      <c r="K4901" s="9" t="str">
        <f>IFERROR(__xludf.DUMMYFUNCTION("""COMPUTED_VALUE"""),"TypeScript")</f>
        <v>TypeScript</v>
      </c>
      <c r="L4901" s="9" t="str">
        <f>IFERROR(__xludf.DUMMYFUNCTION("""COMPUTED_VALUE"""),"PHP")</f>
        <v>PHP</v>
      </c>
      <c r="M4901" s="9" t="s">
        <v>21</v>
      </c>
    </row>
    <row r="4902" ht="15.75" customHeight="1">
      <c r="A4902" s="7"/>
      <c r="B4902" s="7" t="str">
        <f>IFERROR(__xludf.DUMMYFUNCTION("""COMPUTED_VALUE"""),"HTML/CSS;JavaScript;PHP;SQL")</f>
        <v>HTML/CSS;JavaScript;PHP;SQL</v>
      </c>
      <c r="C4902" s="9" t="str">
        <f>IFERROR(__xludf.DUMMYFUNCTION("""COMPUTED_VALUE"""),"Python")</f>
        <v>Python</v>
      </c>
      <c r="D4902" s="9" t="str">
        <f>IFERROR(__xludf.DUMMYFUNCTION("""COMPUTED_VALUE"""),"JavaScript")</f>
        <v>JavaScript</v>
      </c>
      <c r="E4902" s="9" t="str">
        <f>IFERROR(__xludf.DUMMYFUNCTION("""COMPUTED_VALUE"""),"PHP")</f>
        <v>PHP</v>
      </c>
      <c r="F4902" s="9" t="str">
        <f>IFERROR(__xludf.DUMMYFUNCTION("""COMPUTED_VALUE"""),"Python")</f>
        <v>Python</v>
      </c>
      <c r="G4902" s="9" t="str">
        <f>IFERROR(__xludf.DUMMYFUNCTION("""COMPUTED_VALUE"""),"PHP")</f>
        <v>PHP</v>
      </c>
      <c r="H4902" s="9" t="str">
        <f>IFERROR(__xludf.DUMMYFUNCTION("""COMPUTED_VALUE"""),"C#")</f>
        <v>C#</v>
      </c>
      <c r="I4902" s="9" t="str">
        <f>IFERROR(__xludf.DUMMYFUNCTION("""COMPUTED_VALUE"""),"PHP")</f>
        <v>PHP</v>
      </c>
      <c r="J4902" s="9" t="str">
        <f>IFERROR(__xludf.DUMMYFUNCTION("""COMPUTED_VALUE"""),"HTML/CSS")</f>
        <v>HTML/CSS</v>
      </c>
      <c r="K4902" s="9" t="str">
        <f>IFERROR(__xludf.DUMMYFUNCTION("""COMPUTED_VALUE"""),"Bash/Shell/PowerShell")</f>
        <v>Bash/Shell/PowerShell</v>
      </c>
      <c r="L4902" s="9" t="str">
        <f>IFERROR(__xludf.DUMMYFUNCTION("""COMPUTED_VALUE"""),"Bash/Shell/PowerShell")</f>
        <v>Bash/Shell/PowerShell</v>
      </c>
      <c r="M4902" s="9" t="s">
        <v>22</v>
      </c>
    </row>
    <row r="4903" ht="15.75" customHeight="1">
      <c r="A4903" s="7"/>
      <c r="B4903" s="7" t="str">
        <f>IFERROR(__xludf.DUMMYFUNCTION("""COMPUTED_VALUE"""),"Java;R;VBA;Other(s):")</f>
        <v>Java;R;VBA;Other(s):</v>
      </c>
      <c r="C4903" s="9" t="str">
        <f>IFERROR(__xludf.DUMMYFUNCTION("""COMPUTED_VALUE"""),"SQL")</f>
        <v>SQL</v>
      </c>
      <c r="D4903" s="9" t="str">
        <f>IFERROR(__xludf.DUMMYFUNCTION("""COMPUTED_VALUE"""),"TypeScript")</f>
        <v>TypeScript</v>
      </c>
      <c r="E4903" s="9" t="str">
        <f>IFERROR(__xludf.DUMMYFUNCTION("""COMPUTED_VALUE"""),"C")</f>
        <v>C</v>
      </c>
      <c r="F4903" s="9" t="str">
        <f>IFERROR(__xludf.DUMMYFUNCTION("""COMPUTED_VALUE"""),"R")</f>
        <v>R</v>
      </c>
      <c r="G4903" s="9" t="str">
        <f>IFERROR(__xludf.DUMMYFUNCTION("""COMPUTED_VALUE"""),"SQL")</f>
        <v>SQL</v>
      </c>
      <c r="H4903" s="9" t="str">
        <f>IFERROR(__xludf.DUMMYFUNCTION("""COMPUTED_VALUE"""),"HTML/CSS")</f>
        <v>HTML/CSS</v>
      </c>
      <c r="I4903" s="9" t="str">
        <f>IFERROR(__xludf.DUMMYFUNCTION("""COMPUTED_VALUE"""),"Bash/Shell/PowerShell")</f>
        <v>Bash/Shell/PowerShell</v>
      </c>
      <c r="J4903" s="9" t="str">
        <f>IFERROR(__xludf.DUMMYFUNCTION("""COMPUTED_VALUE"""),"Java")</f>
        <v>Java</v>
      </c>
      <c r="K4903" s="9" t="str">
        <f>IFERROR(__xludf.DUMMYFUNCTION("""COMPUTED_VALUE"""),"Elixir")</f>
        <v>Elixir</v>
      </c>
      <c r="L4903" s="9" t="str">
        <f>IFERROR(__xludf.DUMMYFUNCTION("""COMPUTED_VALUE"""),"Java")</f>
        <v>Java</v>
      </c>
      <c r="M4903" s="9" t="s">
        <v>27</v>
      </c>
    </row>
    <row r="4904" ht="15.75" customHeight="1">
      <c r="A4904" s="7"/>
      <c r="B4904" s="7" t="str">
        <f>IFERROR(__xludf.DUMMYFUNCTION("""COMPUTED_VALUE"""),"Bash/Shell/PowerShell;C#;HTML/CSS;JavaScript;Python;SQL;TypeScript")</f>
        <v>Bash/Shell/PowerShell;C#;HTML/CSS;JavaScript;Python;SQL;TypeScript</v>
      </c>
      <c r="C4904" s="9" t="str">
        <f>IFERROR(__xludf.DUMMYFUNCTION("""COMPUTED_VALUE"""),"Bash/Shell/PowerShell")</f>
        <v>Bash/Shell/PowerShell</v>
      </c>
      <c r="D4904" s="9" t="str">
        <f>IFERROR(__xludf.DUMMYFUNCTION("""COMPUTED_VALUE"""),"C#")</f>
        <v>C#</v>
      </c>
      <c r="E4904" s="9" t="str">
        <f>IFERROR(__xludf.DUMMYFUNCTION("""COMPUTED_VALUE"""),"C++")</f>
        <v>C++</v>
      </c>
      <c r="F4904" s="9" t="str">
        <f>IFERROR(__xludf.DUMMYFUNCTION("""COMPUTED_VALUE"""),"Ruby")</f>
        <v>Ruby</v>
      </c>
      <c r="G4904" s="9" t="str">
        <f>IFERROR(__xludf.DUMMYFUNCTION("""COMPUTED_VALUE"""),"TypeScript")</f>
        <v>TypeScript</v>
      </c>
      <c r="H4904" s="9" t="str">
        <f>IFERROR(__xludf.DUMMYFUNCTION("""COMPUTED_VALUE"""),"Java")</f>
        <v>Java</v>
      </c>
      <c r="I4904" s="9" t="str">
        <f>IFERROR(__xludf.DUMMYFUNCTION("""COMPUTED_VALUE"""),"C#")</f>
        <v>C#</v>
      </c>
      <c r="J4904" s="9" t="str">
        <f>IFERROR(__xludf.DUMMYFUNCTION("""COMPUTED_VALUE"""),"JavaScript")</f>
        <v>JavaScript</v>
      </c>
      <c r="K4904" s="9" t="str">
        <f>IFERROR(__xludf.DUMMYFUNCTION("""COMPUTED_VALUE"""),"Go")</f>
        <v>Go</v>
      </c>
      <c r="L4904" s="9" t="str">
        <f>IFERROR(__xludf.DUMMYFUNCTION("""COMPUTED_VALUE"""),"Scala")</f>
        <v>Scala</v>
      </c>
      <c r="M4904" s="9" t="s">
        <v>30</v>
      </c>
    </row>
    <row r="4905" ht="15.75" customHeight="1">
      <c r="A4905" s="7"/>
      <c r="B4905" s="7" t="str">
        <f>IFERROR(__xludf.DUMMYFUNCTION("""COMPUTED_VALUE"""),"Bash/Shell/PowerShell;HTML/CSS;Python;Ruby")</f>
        <v>Bash/Shell/PowerShell;HTML/CSS;Python;Ruby</v>
      </c>
      <c r="C4905" s="9" t="str">
        <f>IFERROR(__xludf.DUMMYFUNCTION("""COMPUTED_VALUE"""),"HTML/CSS")</f>
        <v>HTML/CSS</v>
      </c>
      <c r="D4905" s="9" t="str">
        <f>IFERROR(__xludf.DUMMYFUNCTION("""COMPUTED_VALUE"""),"HTML/CSS")</f>
        <v>HTML/CSS</v>
      </c>
      <c r="E4905" s="9" t="str">
        <f>IFERROR(__xludf.DUMMYFUNCTION("""COMPUTED_VALUE"""),"HTML/CSS")</f>
        <v>HTML/CSS</v>
      </c>
      <c r="F4905" s="9" t="str">
        <f>IFERROR(__xludf.DUMMYFUNCTION("""COMPUTED_VALUE"""),"Rust")</f>
        <v>Rust</v>
      </c>
      <c r="G4905" s="9" t="str">
        <f>IFERROR(__xludf.DUMMYFUNCTION("""COMPUTED_VALUE"""),"C")</f>
        <v>C</v>
      </c>
      <c r="H4905" s="9" t="str">
        <f>IFERROR(__xludf.DUMMYFUNCTION("""COMPUTED_VALUE"""),"JavaScript")</f>
        <v>JavaScript</v>
      </c>
      <c r="I4905" s="9" t="str">
        <f>IFERROR(__xludf.DUMMYFUNCTION("""COMPUTED_VALUE"""),"HTML/CSS")</f>
        <v>HTML/CSS</v>
      </c>
      <c r="J4905" s="9" t="str">
        <f>IFERROR(__xludf.DUMMYFUNCTION("""COMPUTED_VALUE"""),"PHP")</f>
        <v>PHP</v>
      </c>
      <c r="K4905" s="9" t="str">
        <f>IFERROR(__xludf.DUMMYFUNCTION("""COMPUTED_VALUE"""),"Python")</f>
        <v>Python</v>
      </c>
      <c r="L4905" s="9" t="str">
        <f>IFERROR(__xludf.DUMMYFUNCTION("""COMPUTED_VALUE"""),"SQL")</f>
        <v>SQL</v>
      </c>
      <c r="M4905" s="9" t="s">
        <v>24</v>
      </c>
    </row>
    <row r="4906" ht="15.75" customHeight="1">
      <c r="A4906" s="7"/>
      <c r="B4906" s="7" t="str">
        <f>IFERROR(__xludf.DUMMYFUNCTION("""COMPUTED_VALUE"""),"C;C++;C#;HTML/CSS;JavaScript;PHP;Python;R;SQL")</f>
        <v>C;C++;C#;HTML/CSS;JavaScript;PHP;Python;R;SQL</v>
      </c>
      <c r="C4906" s="9" t="str">
        <f>IFERROR(__xludf.DUMMYFUNCTION("""COMPUTED_VALUE"""),"JavaScript")</f>
        <v>JavaScript</v>
      </c>
      <c r="D4906" s="9" t="str">
        <f>IFERROR(__xludf.DUMMYFUNCTION("""COMPUTED_VALUE"""),"Java")</f>
        <v>Java</v>
      </c>
      <c r="E4906" s="9" t="str">
        <f>IFERROR(__xludf.DUMMYFUNCTION("""COMPUTED_VALUE"""),"Java")</f>
        <v>Java</v>
      </c>
      <c r="F4906" s="9" t="str">
        <f>IFERROR(__xludf.DUMMYFUNCTION("""COMPUTED_VALUE"""),"SQL")</f>
        <v>SQL</v>
      </c>
      <c r="G4906" s="9" t="str">
        <f>IFERROR(__xludf.DUMMYFUNCTION("""COMPUTED_VALUE"""),"C++")</f>
        <v>C++</v>
      </c>
      <c r="H4906" s="9" t="str">
        <f>IFERROR(__xludf.DUMMYFUNCTION("""COMPUTED_VALUE"""),"Python")</f>
        <v>Python</v>
      </c>
      <c r="I4906" s="9" t="str">
        <f>IFERROR(__xludf.DUMMYFUNCTION("""COMPUTED_VALUE"""),"JavaScript")</f>
        <v>JavaScript</v>
      </c>
      <c r="J4906" s="9" t="str">
        <f>IFERROR(__xludf.DUMMYFUNCTION("""COMPUTED_VALUE"""),"SQL")</f>
        <v>SQL</v>
      </c>
      <c r="K4906" s="9" t="str">
        <f>IFERROR(__xludf.DUMMYFUNCTION("""COMPUTED_VALUE"""),"SQL")</f>
        <v>SQL</v>
      </c>
      <c r="L4906" s="9" t="str">
        <f>IFERROR(__xludf.DUMMYFUNCTION("""COMPUTED_VALUE"""),"Assembly")</f>
        <v>Assembly</v>
      </c>
      <c r="M4906" s="9" t="s">
        <v>21</v>
      </c>
    </row>
    <row r="4907" ht="15.75" customHeight="1">
      <c r="A4907" s="7"/>
      <c r="B4907" s="7" t="str">
        <f>IFERROR(__xludf.DUMMYFUNCTION("""COMPUTED_VALUE"""),"C#;HTML/CSS;JavaScript;TypeScript")</f>
        <v>C#;HTML/CSS;JavaScript;TypeScript</v>
      </c>
      <c r="C4907" s="9" t="str">
        <f>IFERROR(__xludf.DUMMYFUNCTION("""COMPUTED_VALUE"""),"PHP")</f>
        <v>PHP</v>
      </c>
      <c r="D4907" s="9" t="str">
        <f>IFERROR(__xludf.DUMMYFUNCTION("""COMPUTED_VALUE"""),"JavaScript")</f>
        <v>JavaScript</v>
      </c>
      <c r="E4907" s="9" t="str">
        <f>IFERROR(__xludf.DUMMYFUNCTION("""COMPUTED_VALUE"""),"PHP")</f>
        <v>PHP</v>
      </c>
      <c r="F4907" s="9" t="str">
        <f>IFERROR(__xludf.DUMMYFUNCTION("""COMPUTED_VALUE"""),"TypeScript")</f>
        <v>TypeScript</v>
      </c>
      <c r="G4907" s="9" t="str">
        <f>IFERROR(__xludf.DUMMYFUNCTION("""COMPUTED_VALUE"""),"VBA")</f>
        <v>VBA</v>
      </c>
      <c r="H4907" s="9" t="str">
        <f>IFERROR(__xludf.DUMMYFUNCTION("""COMPUTED_VALUE"""),"SQL")</f>
        <v>SQL</v>
      </c>
      <c r="I4907" s="9" t="str">
        <f>IFERROR(__xludf.DUMMYFUNCTION("""COMPUTED_VALUE"""),"PHP")</f>
        <v>PHP</v>
      </c>
      <c r="J4907" s="9" t="str">
        <f>IFERROR(__xludf.DUMMYFUNCTION("""COMPUTED_VALUE"""),"TypeScript")</f>
        <v>TypeScript</v>
      </c>
      <c r="K4907" s="9" t="str">
        <f>IFERROR(__xludf.DUMMYFUNCTION("""COMPUTED_VALUE"""),"C#")</f>
        <v>C#</v>
      </c>
      <c r="L4907" s="9" t="str">
        <f>IFERROR(__xludf.DUMMYFUNCTION("""COMPUTED_VALUE"""),"C")</f>
        <v>C</v>
      </c>
      <c r="M4907" s="9" t="s">
        <v>37</v>
      </c>
    </row>
    <row r="4908" ht="15.75" customHeight="1">
      <c r="A4908" s="7"/>
      <c r="B4908" s="7" t="str">
        <f>IFERROR(__xludf.DUMMYFUNCTION("""COMPUTED_VALUE"""),"C#;HTML/CSS;JavaScript;SQL;TypeScript")</f>
        <v>C#;HTML/CSS;JavaScript;SQL;TypeScript</v>
      </c>
      <c r="C4908" s="9" t="str">
        <f>IFERROR(__xludf.DUMMYFUNCTION("""COMPUTED_VALUE"""),"Python")</f>
        <v>Python</v>
      </c>
      <c r="D4908" s="9" t="str">
        <f>IFERROR(__xludf.DUMMYFUNCTION("""COMPUTED_VALUE"""),"SQL")</f>
        <v>SQL</v>
      </c>
      <c r="E4908" s="9" t="str">
        <f>IFERROR(__xludf.DUMMYFUNCTION("""COMPUTED_VALUE"""),"Python")</f>
        <v>Python</v>
      </c>
      <c r="F4908" s="9" t="str">
        <f>IFERROR(__xludf.DUMMYFUNCTION("""COMPUTED_VALUE"""),"Dart")</f>
        <v>Dart</v>
      </c>
      <c r="G4908" s="9" t="str">
        <f>IFERROR(__xludf.DUMMYFUNCTION("""COMPUTED_VALUE"""),"Bash/Shell/PowerShell")</f>
        <v>Bash/Shell/PowerShell</v>
      </c>
      <c r="H4908" s="9" t="str">
        <f>IFERROR(__xludf.DUMMYFUNCTION("""COMPUTED_VALUE"""),"TypeScript")</f>
        <v>TypeScript</v>
      </c>
      <c r="I4908" s="9" t="str">
        <f>IFERROR(__xludf.DUMMYFUNCTION("""COMPUTED_VALUE"""),"SQL")</f>
        <v>SQL</v>
      </c>
      <c r="J4908" s="9" t="str">
        <f>IFERROR(__xludf.DUMMYFUNCTION("""COMPUTED_VALUE"""),"HTML/CSS")</f>
        <v>HTML/CSS</v>
      </c>
      <c r="K4908" s="9" t="str">
        <f>IFERROR(__xludf.DUMMYFUNCTION("""COMPUTED_VALUE"""),"HTML/CSS")</f>
        <v>HTML/CSS</v>
      </c>
      <c r="L4908" s="9" t="str">
        <f>IFERROR(__xludf.DUMMYFUNCTION("""COMPUTED_VALUE"""),"Java")</f>
        <v>Java</v>
      </c>
      <c r="M4908" s="9" t="s">
        <v>22</v>
      </c>
    </row>
    <row r="4909" ht="15.75" customHeight="1">
      <c r="A4909" s="7"/>
      <c r="B4909" s="7" t="str">
        <f>IFERROR(__xludf.DUMMYFUNCTION("""COMPUTED_VALUE"""),"Go;HTML/CSS;JavaScript;Kotlin;Python")</f>
        <v>Go;HTML/CSS;JavaScript;Kotlin;Python</v>
      </c>
      <c r="C4909" s="9" t="str">
        <f>IFERROR(__xludf.DUMMYFUNCTION("""COMPUTED_VALUE"""),"R")</f>
        <v>R</v>
      </c>
      <c r="D4909" s="9" t="str">
        <f>IFERROR(__xludf.DUMMYFUNCTION("""COMPUTED_VALUE"""),"TypeScript")</f>
        <v>TypeScript</v>
      </c>
      <c r="E4909" s="9" t="str">
        <f>IFERROR(__xludf.DUMMYFUNCTION("""COMPUTED_VALUE"""),"SQL")</f>
        <v>SQL</v>
      </c>
      <c r="F4909" s="9" t="str">
        <f>IFERROR(__xludf.DUMMYFUNCTION("""COMPUTED_VALUE"""),"Go")</f>
        <v>Go</v>
      </c>
      <c r="G4909" s="9" t="str">
        <f>IFERROR(__xludf.DUMMYFUNCTION("""COMPUTED_VALUE"""),"HTML/CSS")</f>
        <v>HTML/CSS</v>
      </c>
      <c r="H4909" s="9" t="str">
        <f>IFERROR(__xludf.DUMMYFUNCTION("""COMPUTED_VALUE"""),"C#")</f>
        <v>C#</v>
      </c>
      <c r="I4909" s="9" t="str">
        <f>IFERROR(__xludf.DUMMYFUNCTION("""COMPUTED_VALUE"""),"C#")</f>
        <v>C#</v>
      </c>
      <c r="J4909" s="9" t="str">
        <f>IFERROR(__xludf.DUMMYFUNCTION("""COMPUTED_VALUE"""),"PHP")</f>
        <v>PHP</v>
      </c>
      <c r="K4909" s="9" t="str">
        <f>IFERROR(__xludf.DUMMYFUNCTION("""COMPUTED_VALUE"""),"Python")</f>
        <v>Python</v>
      </c>
      <c r="L4909" s="9" t="str">
        <f>IFERROR(__xludf.DUMMYFUNCTION("""COMPUTED_VALUE"""),"Python")</f>
        <v>Python</v>
      </c>
      <c r="M4909" s="9" t="s">
        <v>29</v>
      </c>
    </row>
    <row r="4910" ht="15.75" customHeight="1">
      <c r="A4910" s="7"/>
      <c r="B4910" s="7" t="str">
        <f>IFERROR(__xludf.DUMMYFUNCTION("""COMPUTED_VALUE"""),"Bash/Shell/PowerShell;C#;HTML/CSS;JavaScript;PHP;SQL")</f>
        <v>Bash/Shell/PowerShell;C#;HTML/CSS;JavaScript;PHP;SQL</v>
      </c>
      <c r="C4910" s="9" t="str">
        <f>IFERROR(__xludf.DUMMYFUNCTION("""COMPUTED_VALUE"""),"SQL")</f>
        <v>SQL</v>
      </c>
      <c r="D4910" s="9" t="str">
        <f>IFERROR(__xludf.DUMMYFUNCTION("""COMPUTED_VALUE"""),"HTML/CSS")</f>
        <v>HTML/CSS</v>
      </c>
      <c r="E4910" s="9" t="str">
        <f>IFERROR(__xludf.DUMMYFUNCTION("""COMPUTED_VALUE"""),"Java")</f>
        <v>Java</v>
      </c>
      <c r="F4910" s="9" t="str">
        <f>IFERROR(__xludf.DUMMYFUNCTION("""COMPUTED_VALUE"""),"HTML/CSS")</f>
        <v>HTML/CSS</v>
      </c>
      <c r="G4910" s="9" t="str">
        <f>IFERROR(__xludf.DUMMYFUNCTION("""COMPUTED_VALUE"""),"JavaScript")</f>
        <v>JavaScript</v>
      </c>
      <c r="H4910" s="9" t="str">
        <f>IFERROR(__xludf.DUMMYFUNCTION("""COMPUTED_VALUE"""),"C++")</f>
        <v>C++</v>
      </c>
      <c r="I4910" s="9" t="str">
        <f>IFERROR(__xludf.DUMMYFUNCTION("""COMPUTED_VALUE"""),"HTML/CSS")</f>
        <v>HTML/CSS</v>
      </c>
      <c r="J4910" s="9" t="str">
        <f>IFERROR(__xludf.DUMMYFUNCTION("""COMPUTED_VALUE"""),"Bash/Shell/PowerShell")</f>
        <v>Bash/Shell/PowerShell</v>
      </c>
      <c r="K4910" s="9" t="str">
        <f>IFERROR(__xludf.DUMMYFUNCTION("""COMPUTED_VALUE"""),"Rust")</f>
        <v>Rust</v>
      </c>
      <c r="L4910" s="9" t="str">
        <f>IFERROR(__xludf.DUMMYFUNCTION("""COMPUTED_VALUE"""),"R")</f>
        <v>R</v>
      </c>
      <c r="M4910" s="9" t="s">
        <v>27</v>
      </c>
    </row>
    <row r="4911" ht="15.75" customHeight="1">
      <c r="A4911" s="7"/>
      <c r="B4911" s="7" t="str">
        <f>IFERROR(__xludf.DUMMYFUNCTION("""COMPUTED_VALUE"""),"Bash/Shell/PowerShell;C#;JavaScript;TypeScript")</f>
        <v>Bash/Shell/PowerShell;C#;JavaScript;TypeScript</v>
      </c>
      <c r="C4911" s="9" t="str">
        <f>IFERROR(__xludf.DUMMYFUNCTION("""COMPUTED_VALUE"""),"Bash/Shell/PowerShell")</f>
        <v>Bash/Shell/PowerShell</v>
      </c>
      <c r="D4911" s="9" t="str">
        <f>IFERROR(__xludf.DUMMYFUNCTION("""COMPUTED_VALUE"""),"JavaScript")</f>
        <v>JavaScript</v>
      </c>
      <c r="E4911" s="9" t="str">
        <f>IFERROR(__xludf.DUMMYFUNCTION("""COMPUTED_VALUE"""),"HTML/CSS")</f>
        <v>HTML/CSS</v>
      </c>
      <c r="F4911" s="9" t="str">
        <f>IFERROR(__xludf.DUMMYFUNCTION("""COMPUTED_VALUE"""),"Java")</f>
        <v>Java</v>
      </c>
      <c r="G4911" s="9" t="str">
        <f>IFERROR(__xludf.DUMMYFUNCTION("""COMPUTED_VALUE"""),"PHP")</f>
        <v>PHP</v>
      </c>
      <c r="H4911" s="9" t="str">
        <f>IFERROR(__xludf.DUMMYFUNCTION("""COMPUTED_VALUE"""),"Go")</f>
        <v>Go</v>
      </c>
      <c r="I4911" s="9" t="str">
        <f>IFERROR(__xludf.DUMMYFUNCTION("""COMPUTED_VALUE"""),"JavaScript")</f>
        <v>JavaScript</v>
      </c>
      <c r="J4911" s="9" t="str">
        <f>IFERROR(__xludf.DUMMYFUNCTION("""COMPUTED_VALUE"""),"C#")</f>
        <v>C#</v>
      </c>
      <c r="K4911" s="9" t="str">
        <f>IFERROR(__xludf.DUMMYFUNCTION("""COMPUTED_VALUE"""),"SQL")</f>
        <v>SQL</v>
      </c>
      <c r="L4911" s="9" t="str">
        <f>IFERROR(__xludf.DUMMYFUNCTION("""COMPUTED_VALUE"""),"VBA")</f>
        <v>VBA</v>
      </c>
      <c r="M4911" s="9" t="s">
        <v>30</v>
      </c>
    </row>
    <row r="4912" ht="15.75" customHeight="1">
      <c r="A4912" s="7"/>
      <c r="B4912" s="7" t="str">
        <f>IFERROR(__xludf.DUMMYFUNCTION("""COMPUTED_VALUE"""),"HTML/CSS;JavaScript")</f>
        <v>HTML/CSS;JavaScript</v>
      </c>
      <c r="C4912" s="9" t="str">
        <f>IFERROR(__xludf.DUMMYFUNCTION("""COMPUTED_VALUE"""),"HTML/CSS")</f>
        <v>HTML/CSS</v>
      </c>
      <c r="D4912" s="9" t="str">
        <f>IFERROR(__xludf.DUMMYFUNCTION("""COMPUTED_VALUE"""),"PHP")</f>
        <v>PHP</v>
      </c>
      <c r="E4912" s="9" t="str">
        <f>IFERROR(__xludf.DUMMYFUNCTION("""COMPUTED_VALUE"""),"JavaScript")</f>
        <v>JavaScript</v>
      </c>
      <c r="F4912" s="9" t="str">
        <f>IFERROR(__xludf.DUMMYFUNCTION("""COMPUTED_VALUE"""),"JavaScript")</f>
        <v>JavaScript</v>
      </c>
      <c r="G4912" s="9" t="str">
        <f>IFERROR(__xludf.DUMMYFUNCTION("""COMPUTED_VALUE"""),"Python")</f>
        <v>Python</v>
      </c>
      <c r="H4912" s="9" t="str">
        <f>IFERROR(__xludf.DUMMYFUNCTION("""COMPUTED_VALUE"""),"HTML/CSS")</f>
        <v>HTML/CSS</v>
      </c>
      <c r="I4912" s="9" t="str">
        <f>IFERROR(__xludf.DUMMYFUNCTION("""COMPUTED_VALUE"""),"Python")</f>
        <v>Python</v>
      </c>
      <c r="J4912" s="9" t="str">
        <f>IFERROR(__xludf.DUMMYFUNCTION("""COMPUTED_VALUE"""),"HTML/CSS")</f>
        <v>HTML/CSS</v>
      </c>
      <c r="K4912" s="9" t="str">
        <f>IFERROR(__xludf.DUMMYFUNCTION("""COMPUTED_VALUE"""),"Bash/Shell/PowerShell")</f>
        <v>Bash/Shell/PowerShell</v>
      </c>
      <c r="L4912" s="9" t="str">
        <f>IFERROR(__xludf.DUMMYFUNCTION("""COMPUTED_VALUE"""),"Java")</f>
        <v>Java</v>
      </c>
      <c r="M4912" s="9" t="s">
        <v>24</v>
      </c>
    </row>
    <row r="4913" ht="15.75" customHeight="1">
      <c r="A4913" s="7"/>
      <c r="B4913" s="7" t="str">
        <f>IFERROR(__xludf.DUMMYFUNCTION("""COMPUTED_VALUE"""),"Other(s):")</f>
        <v>Other(s):</v>
      </c>
      <c r="C4913" s="9" t="str">
        <f>IFERROR(__xludf.DUMMYFUNCTION("""COMPUTED_VALUE"""),"JavaScript")</f>
        <v>JavaScript</v>
      </c>
      <c r="D4913" s="9" t="str">
        <f>IFERROR(__xludf.DUMMYFUNCTION("""COMPUTED_VALUE"""),"SQL")</f>
        <v>SQL</v>
      </c>
      <c r="E4913" s="9" t="str">
        <f>IFERROR(__xludf.DUMMYFUNCTION("""COMPUTED_VALUE"""),"Python")</f>
        <v>Python</v>
      </c>
      <c r="F4913" s="9" t="str">
        <f>IFERROR(__xludf.DUMMYFUNCTION("""COMPUTED_VALUE"""),"Kotlin")</f>
        <v>Kotlin</v>
      </c>
      <c r="G4913" s="9" t="str">
        <f>IFERROR(__xludf.DUMMYFUNCTION("""COMPUTED_VALUE"""),"R")</f>
        <v>R</v>
      </c>
      <c r="H4913" s="9" t="str">
        <f>IFERROR(__xludf.DUMMYFUNCTION("""COMPUTED_VALUE"""),"JavaScript")</f>
        <v>JavaScript</v>
      </c>
      <c r="I4913" s="9" t="str">
        <f>IFERROR(__xludf.DUMMYFUNCTION("""COMPUTED_VALUE"""),"Bash/Shell/PowerShell")</f>
        <v>Bash/Shell/PowerShell</v>
      </c>
      <c r="J4913" s="9" t="str">
        <f>IFERROR(__xludf.DUMMYFUNCTION("""COMPUTED_VALUE"""),"Java")</f>
        <v>Java</v>
      </c>
      <c r="K4913" s="9" t="str">
        <f>IFERROR(__xludf.DUMMYFUNCTION("""COMPUTED_VALUE"""),"C")</f>
        <v>C</v>
      </c>
      <c r="L4913" s="9" t="str">
        <f>IFERROR(__xludf.DUMMYFUNCTION("""COMPUTED_VALUE"""),"HTML/CSS")</f>
        <v>HTML/CSS</v>
      </c>
      <c r="M4913" s="9" t="s">
        <v>21</v>
      </c>
    </row>
    <row r="4914" ht="15.75" customHeight="1">
      <c r="A4914" s="7"/>
      <c r="B4914" s="7" t="str">
        <f>IFERROR(__xludf.DUMMYFUNCTION("""COMPUTED_VALUE"""),"C#;HTML/CSS;JavaScript;PHP;Python;SQL;TypeScript")</f>
        <v>C#;HTML/CSS;JavaScript;PHP;Python;SQL;TypeScript</v>
      </c>
      <c r="C4914" s="9" t="str">
        <f>IFERROR(__xludf.DUMMYFUNCTION("""COMPUTED_VALUE"""),"Python")</f>
        <v>Python</v>
      </c>
      <c r="D4914" s="9" t="str">
        <f>IFERROR(__xludf.DUMMYFUNCTION("""COMPUTED_VALUE"""),"Bash/Shell/PowerShell")</f>
        <v>Bash/Shell/PowerShell</v>
      </c>
      <c r="E4914" s="9" t="str">
        <f>IFERROR(__xludf.DUMMYFUNCTION("""COMPUTED_VALUE"""),"C#")</f>
        <v>C#</v>
      </c>
      <c r="F4914" s="9" t="str">
        <f>IFERROR(__xludf.DUMMYFUNCTION("""COMPUTED_VALUE"""),"Python")</f>
        <v>Python</v>
      </c>
      <c r="G4914" s="9" t="str">
        <f>IFERROR(__xludf.DUMMYFUNCTION("""COMPUTED_VALUE"""),"SQL")</f>
        <v>SQL</v>
      </c>
      <c r="H4914" s="9" t="str">
        <f>IFERROR(__xludf.DUMMYFUNCTION("""COMPUTED_VALUE"""),"Python")</f>
        <v>Python</v>
      </c>
      <c r="I4914" s="9" t="str">
        <f>IFERROR(__xludf.DUMMYFUNCTION("""COMPUTED_VALUE"""),"C#")</f>
        <v>C#</v>
      </c>
      <c r="J4914" s="9" t="str">
        <f>IFERROR(__xludf.DUMMYFUNCTION("""COMPUTED_VALUE"""),"JavaScript")</f>
        <v>JavaScript</v>
      </c>
      <c r="K4914" s="9" t="str">
        <f>IFERROR(__xludf.DUMMYFUNCTION("""COMPUTED_VALUE"""),"C++")</f>
        <v>C++</v>
      </c>
      <c r="L4914" s="9" t="str">
        <f>IFERROR(__xludf.DUMMYFUNCTION("""COMPUTED_VALUE"""),"Java")</f>
        <v>Java</v>
      </c>
      <c r="M4914" s="9" t="s">
        <v>22</v>
      </c>
    </row>
    <row r="4915" ht="15.75" customHeight="1">
      <c r="A4915" s="7"/>
      <c r="B4915" s="7" t="str">
        <f>IFERROR(__xludf.DUMMYFUNCTION("""COMPUTED_VALUE"""),"Bash/Shell/PowerShell;C#;HTML/CSS;Java;JavaScript;Python;Scala;Other(s):")</f>
        <v>Bash/Shell/PowerShell;C#;HTML/CSS;Java;JavaScript;Python;Scala;Other(s):</v>
      </c>
      <c r="C4915" s="9" t="str">
        <f>IFERROR(__xludf.DUMMYFUNCTION("""COMPUTED_VALUE"""),"SQL")</f>
        <v>SQL</v>
      </c>
      <c r="D4915" s="9" t="str">
        <f>IFERROR(__xludf.DUMMYFUNCTION("""COMPUTED_VALUE"""),"HTML/CSS")</f>
        <v>HTML/CSS</v>
      </c>
      <c r="E4915" s="9" t="str">
        <f>IFERROR(__xludf.DUMMYFUNCTION("""COMPUTED_VALUE"""),"Ruby")</f>
        <v>Ruby</v>
      </c>
      <c r="F4915" s="9" t="str">
        <f>IFERROR(__xludf.DUMMYFUNCTION("""COMPUTED_VALUE"""),"Bash/Shell/PowerShell")</f>
        <v>Bash/Shell/PowerShell</v>
      </c>
      <c r="G4915" s="9" t="str">
        <f>IFERROR(__xludf.DUMMYFUNCTION("""COMPUTED_VALUE"""),"WebAssembly")</f>
        <v>WebAssembly</v>
      </c>
      <c r="H4915" s="9" t="str">
        <f>IFERROR(__xludf.DUMMYFUNCTION("""COMPUTED_VALUE"""),"SQL")</f>
        <v>SQL</v>
      </c>
      <c r="I4915" s="9" t="str">
        <f>IFERROR(__xludf.DUMMYFUNCTION("""COMPUTED_VALUE"""),"HTML/CSS")</f>
        <v>HTML/CSS</v>
      </c>
      <c r="J4915" s="9" t="str">
        <f>IFERROR(__xludf.DUMMYFUNCTION("""COMPUTED_VALUE"""),"R")</f>
        <v>R</v>
      </c>
      <c r="K4915" s="9" t="str">
        <f>IFERROR(__xludf.DUMMYFUNCTION("""COMPUTED_VALUE"""),"C#")</f>
        <v>C#</v>
      </c>
      <c r="L4915" s="9" t="str">
        <f>IFERROR(__xludf.DUMMYFUNCTION("""COMPUTED_VALUE"""),"JavaScript")</f>
        <v>JavaScript</v>
      </c>
      <c r="M4915" s="9" t="s">
        <v>27</v>
      </c>
    </row>
    <row r="4916" ht="15.75" customHeight="1">
      <c r="A4916" s="7"/>
      <c r="B4916" s="7" t="str">
        <f>IFERROR(__xludf.DUMMYFUNCTION("""COMPUTED_VALUE"""),"Java")</f>
        <v>Java</v>
      </c>
      <c r="C4916" s="9" t="str">
        <f>IFERROR(__xludf.DUMMYFUNCTION("""COMPUTED_VALUE"""),"C")</f>
        <v>C</v>
      </c>
      <c r="D4916" s="9" t="str">
        <f>IFERROR(__xludf.DUMMYFUNCTION("""COMPUTED_VALUE"""),"Java")</f>
        <v>Java</v>
      </c>
      <c r="E4916" s="9" t="str">
        <f>IFERROR(__xludf.DUMMYFUNCTION("""COMPUTED_VALUE"""),"Swift")</f>
        <v>Swift</v>
      </c>
      <c r="F4916" s="9" t="str">
        <f>IFERROR(__xludf.DUMMYFUNCTION("""COMPUTED_VALUE"""),"C")</f>
        <v>C</v>
      </c>
      <c r="G4916" s="9" t="str">
        <f>IFERROR(__xludf.DUMMYFUNCTION("""COMPUTED_VALUE"""),"C++")</f>
        <v>C++</v>
      </c>
      <c r="H4916" s="9" t="str">
        <f>IFERROR(__xludf.DUMMYFUNCTION("""COMPUTED_VALUE"""),"Bash/Shell/PowerShell")</f>
        <v>Bash/Shell/PowerShell</v>
      </c>
      <c r="I4916" s="9" t="str">
        <f>IFERROR(__xludf.DUMMYFUNCTION("""COMPUTED_VALUE"""),"JavaScript")</f>
        <v>JavaScript</v>
      </c>
      <c r="J4916" s="9" t="str">
        <f>IFERROR(__xludf.DUMMYFUNCTION("""COMPUTED_VALUE"""),"SQL")</f>
        <v>SQL</v>
      </c>
      <c r="K4916" s="9" t="str">
        <f>IFERROR(__xludf.DUMMYFUNCTION("""COMPUTED_VALUE"""),"HTML/CSS")</f>
        <v>HTML/CSS</v>
      </c>
      <c r="L4916" s="9" t="str">
        <f>IFERROR(__xludf.DUMMYFUNCTION("""COMPUTED_VALUE"""),"Kotlin")</f>
        <v>Kotlin</v>
      </c>
      <c r="M4916" s="9" t="s">
        <v>25</v>
      </c>
    </row>
    <row r="4917" ht="15.75" customHeight="1">
      <c r="A4917" s="7"/>
      <c r="B4917" s="7" t="str">
        <f>IFERROR(__xludf.DUMMYFUNCTION("""COMPUTED_VALUE"""),"Bash/Shell/PowerShell;C#;Elixir;HTML/CSS;JavaScript;SQL")</f>
        <v>Bash/Shell/PowerShell;C#;Elixir;HTML/CSS;JavaScript;SQL</v>
      </c>
      <c r="C4917" s="9" t="str">
        <f>IFERROR(__xludf.DUMMYFUNCTION("""COMPUTED_VALUE"""),"C++")</f>
        <v>C++</v>
      </c>
      <c r="D4917" s="9" t="str">
        <f>IFERROR(__xludf.DUMMYFUNCTION("""COMPUTED_VALUE"""),"JavaScript")</f>
        <v>JavaScript</v>
      </c>
      <c r="E4917" s="9" t="str">
        <f>IFERROR(__xludf.DUMMYFUNCTION("""COMPUTED_VALUE"""),"Go")</f>
        <v>Go</v>
      </c>
      <c r="F4917" s="9" t="str">
        <f>IFERROR(__xludf.DUMMYFUNCTION("""COMPUTED_VALUE"""),"C#")</f>
        <v>C#</v>
      </c>
      <c r="G4917" s="9" t="str">
        <f>IFERROR(__xludf.DUMMYFUNCTION("""COMPUTED_VALUE"""),"HTML/CSS")</f>
        <v>HTML/CSS</v>
      </c>
      <c r="H4917" s="9" t="str">
        <f>IFERROR(__xludf.DUMMYFUNCTION("""COMPUTED_VALUE"""),"Go")</f>
        <v>Go</v>
      </c>
      <c r="I4917" s="9" t="str">
        <f>IFERROR(__xludf.DUMMYFUNCTION("""COMPUTED_VALUE"""),"SQL")</f>
        <v>SQL</v>
      </c>
      <c r="J4917" s="9" t="str">
        <f>IFERROR(__xludf.DUMMYFUNCTION("""COMPUTED_VALUE"""),"Python")</f>
        <v>Python</v>
      </c>
      <c r="K4917" s="9" t="str">
        <f>IFERROR(__xludf.DUMMYFUNCTION("""COMPUTED_VALUE"""),"Java")</f>
        <v>Java</v>
      </c>
      <c r="L4917" s="9" t="str">
        <f>IFERROR(__xludf.DUMMYFUNCTION("""COMPUTED_VALUE"""),"Python")</f>
        <v>Python</v>
      </c>
      <c r="M4917" s="9" t="s">
        <v>23</v>
      </c>
    </row>
    <row r="4918" ht="15.75" customHeight="1">
      <c r="A4918" s="7"/>
      <c r="B4918" s="7" t="str">
        <f>IFERROR(__xludf.DUMMYFUNCTION("""COMPUTED_VALUE"""),"Bash/Shell/PowerShell;HTML/CSS;JavaScript;PHP;SQL")</f>
        <v>Bash/Shell/PowerShell;HTML/CSS;JavaScript;PHP;SQL</v>
      </c>
      <c r="C4918" s="9" t="str">
        <f>IFERROR(__xludf.DUMMYFUNCTION("""COMPUTED_VALUE"""),"HTML/CSS")</f>
        <v>HTML/CSS</v>
      </c>
      <c r="D4918" s="9" t="str">
        <f>IFERROR(__xludf.DUMMYFUNCTION("""COMPUTED_VALUE"""),"SQL")</f>
        <v>SQL</v>
      </c>
      <c r="E4918" s="9" t="str">
        <f>IFERROR(__xludf.DUMMYFUNCTION("""COMPUTED_VALUE"""),"Java")</f>
        <v>Java</v>
      </c>
      <c r="F4918" s="9" t="str">
        <f>IFERROR(__xludf.DUMMYFUNCTION("""COMPUTED_VALUE"""),"HTML/CSS")</f>
        <v>HTML/CSS</v>
      </c>
      <c r="G4918" s="9" t="str">
        <f>IFERROR(__xludf.DUMMYFUNCTION("""COMPUTED_VALUE"""),"JavaScript")</f>
        <v>JavaScript</v>
      </c>
      <c r="H4918" s="9" t="str">
        <f>IFERROR(__xludf.DUMMYFUNCTION("""COMPUTED_VALUE"""),"HTML/CSS")</f>
        <v>HTML/CSS</v>
      </c>
      <c r="I4918" s="9" t="str">
        <f>IFERROR(__xludf.DUMMYFUNCTION("""COMPUTED_VALUE"""),"TypeScript")</f>
        <v>TypeScript</v>
      </c>
      <c r="J4918" s="9" t="str">
        <f>IFERROR(__xludf.DUMMYFUNCTION("""COMPUTED_VALUE"""),"Scala")</f>
        <v>Scala</v>
      </c>
      <c r="K4918" s="9" t="str">
        <f>IFERROR(__xludf.DUMMYFUNCTION("""COMPUTED_VALUE"""),"Python")</f>
        <v>Python</v>
      </c>
      <c r="L4918" s="9" t="str">
        <f>IFERROR(__xludf.DUMMYFUNCTION("""COMPUTED_VALUE"""),"SQL")</f>
        <v>SQL</v>
      </c>
      <c r="M4918" s="9" t="s">
        <v>24</v>
      </c>
    </row>
    <row r="4919" ht="15.75" customHeight="1">
      <c r="A4919" s="7"/>
      <c r="B4919" s="7" t="str">
        <f>IFERROR(__xludf.DUMMYFUNCTION("""COMPUTED_VALUE"""),"HTML/CSS;JavaScript;Python;TypeScript")</f>
        <v>HTML/CSS;JavaScript;Python;TypeScript</v>
      </c>
      <c r="C4919" s="9" t="str">
        <f>IFERROR(__xludf.DUMMYFUNCTION("""COMPUTED_VALUE"""),"Java")</f>
        <v>Java</v>
      </c>
      <c r="D4919" s="9" t="str">
        <f>IFERROR(__xludf.DUMMYFUNCTION("""COMPUTED_VALUE"""),"Bash/Shell/PowerShell")</f>
        <v>Bash/Shell/PowerShell</v>
      </c>
      <c r="E4919" s="9" t="str">
        <f>IFERROR(__xludf.DUMMYFUNCTION("""COMPUTED_VALUE"""),"Python")</f>
        <v>Python</v>
      </c>
      <c r="F4919" s="9" t="str">
        <f>IFERROR(__xludf.DUMMYFUNCTION("""COMPUTED_VALUE"""),"Java")</f>
        <v>Java</v>
      </c>
      <c r="G4919" s="9" t="str">
        <f>IFERROR(__xludf.DUMMYFUNCTION("""COMPUTED_VALUE"""),"SQL")</f>
        <v>SQL</v>
      </c>
      <c r="H4919" s="9" t="str">
        <f>IFERROR(__xludf.DUMMYFUNCTION("""COMPUTED_VALUE"""),"JavaScript")</f>
        <v>JavaScript</v>
      </c>
      <c r="I4919" s="9" t="str">
        <f>IFERROR(__xludf.DUMMYFUNCTION("""COMPUTED_VALUE"""),"WebAssembly")</f>
        <v>WebAssembly</v>
      </c>
      <c r="J4919" s="9" t="str">
        <f>IFERROR(__xludf.DUMMYFUNCTION("""COMPUTED_VALUE"""),"SQL")</f>
        <v>SQL</v>
      </c>
      <c r="K4919" s="9" t="str">
        <f>IFERROR(__xludf.DUMMYFUNCTION("""COMPUTED_VALUE"""),"HTML/CSS")</f>
        <v>HTML/CSS</v>
      </c>
      <c r="L4919" s="9" t="str">
        <f>IFERROR(__xludf.DUMMYFUNCTION("""COMPUTED_VALUE"""),"Bash/Shell/PowerShell")</f>
        <v>Bash/Shell/PowerShell</v>
      </c>
      <c r="M4919" s="9" t="s">
        <v>20</v>
      </c>
    </row>
    <row r="4920" ht="15.75" customHeight="1">
      <c r="A4920" s="7"/>
      <c r="B4920" s="7" t="str">
        <f>IFERROR(__xludf.DUMMYFUNCTION("""COMPUTED_VALUE"""),"HTML/CSS;JavaScript")</f>
        <v>HTML/CSS;JavaScript</v>
      </c>
      <c r="C4920" s="9" t="str">
        <f>IFERROR(__xludf.DUMMYFUNCTION("""COMPUTED_VALUE"""),"JavaScript")</f>
        <v>JavaScript</v>
      </c>
      <c r="D4920" s="9" t="str">
        <f>IFERROR(__xludf.DUMMYFUNCTION("""COMPUTED_VALUE"""),"HTML/CSS")</f>
        <v>HTML/CSS</v>
      </c>
      <c r="E4920" s="9" t="str">
        <f>IFERROR(__xludf.DUMMYFUNCTION("""COMPUTED_VALUE"""),"Other(s):")</f>
        <v>Other(s):</v>
      </c>
      <c r="F4920" s="9" t="str">
        <f>IFERROR(__xludf.DUMMYFUNCTION("""COMPUTED_VALUE"""),"JavaScript")</f>
        <v>JavaScript</v>
      </c>
      <c r="G4920" s="9" t="str">
        <f>IFERROR(__xludf.DUMMYFUNCTION("""COMPUTED_VALUE"""),"TypeScript")</f>
        <v>TypeScript</v>
      </c>
      <c r="H4920" s="9" t="str">
        <f>IFERROR(__xludf.DUMMYFUNCTION("""COMPUTED_VALUE"""),"C++")</f>
        <v>C++</v>
      </c>
      <c r="I4920" s="9" t="str">
        <f>IFERROR(__xludf.DUMMYFUNCTION("""COMPUTED_VALUE"""),"Assembly")</f>
        <v>Assembly</v>
      </c>
      <c r="J4920" s="9" t="str">
        <f>IFERROR(__xludf.DUMMYFUNCTION("""COMPUTED_VALUE"""),"Bash/Shell/PowerShell")</f>
        <v>Bash/Shell/PowerShell</v>
      </c>
      <c r="K4920" s="9" t="str">
        <f>IFERROR(__xludf.DUMMYFUNCTION("""COMPUTED_VALUE"""),"Python")</f>
        <v>Python</v>
      </c>
      <c r="L4920" s="9" t="str">
        <f>IFERROR(__xludf.DUMMYFUNCTION("""COMPUTED_VALUE"""),"C")</f>
        <v>C</v>
      </c>
      <c r="M4920" s="9" t="s">
        <v>21</v>
      </c>
    </row>
    <row r="4921" ht="15.75" customHeight="1">
      <c r="A4921" s="7"/>
      <c r="B4921" s="7" t="str">
        <f>IFERROR(__xludf.DUMMYFUNCTION("""COMPUTED_VALUE"""),"HTML/CSS;Java;JavaScript;PHP;SQL")</f>
        <v>HTML/CSS;Java;JavaScript;PHP;SQL</v>
      </c>
      <c r="C4921" s="9" t="str">
        <f>IFERROR(__xludf.DUMMYFUNCTION("""COMPUTED_VALUE"""),"Python")</f>
        <v>Python</v>
      </c>
      <c r="D4921" s="9" t="str">
        <f>IFERROR(__xludf.DUMMYFUNCTION("""COMPUTED_VALUE"""),"JavaScript")</f>
        <v>JavaScript</v>
      </c>
      <c r="E4921" s="9" t="str">
        <f>IFERROR(__xludf.DUMMYFUNCTION("""COMPUTED_VALUE"""),"C")</f>
        <v>C</v>
      </c>
      <c r="F4921" s="9" t="str">
        <f>IFERROR(__xludf.DUMMYFUNCTION("""COMPUTED_VALUE"""),"Python")</f>
        <v>Python</v>
      </c>
      <c r="G4921" s="9" t="str">
        <f>IFERROR(__xludf.DUMMYFUNCTION("""COMPUTED_VALUE"""),"C")</f>
        <v>C</v>
      </c>
      <c r="H4921" s="9" t="str">
        <f>IFERROR(__xludf.DUMMYFUNCTION("""COMPUTED_VALUE"""),"Java")</f>
        <v>Java</v>
      </c>
      <c r="I4921" s="9" t="str">
        <f>IFERROR(__xludf.DUMMYFUNCTION("""COMPUTED_VALUE"""),"C")</f>
        <v>C</v>
      </c>
      <c r="J4921" s="9" t="str">
        <f>IFERROR(__xludf.DUMMYFUNCTION("""COMPUTED_VALUE"""),"C#")</f>
        <v>C#</v>
      </c>
      <c r="K4921" s="9" t="str">
        <f>IFERROR(__xludf.DUMMYFUNCTION("""COMPUTED_VALUE"""),"R")</f>
        <v>R</v>
      </c>
      <c r="L4921" s="9" t="str">
        <f>IFERROR(__xludf.DUMMYFUNCTION("""COMPUTED_VALUE"""),"HTML/CSS")</f>
        <v>HTML/CSS</v>
      </c>
      <c r="M4921" s="9" t="s">
        <v>22</v>
      </c>
    </row>
    <row r="4922" ht="15.75" customHeight="1">
      <c r="A4922" s="7"/>
      <c r="B4922" s="7" t="str">
        <f>IFERROR(__xludf.DUMMYFUNCTION("""COMPUTED_VALUE"""),"Bash/Shell/PowerShell;SQL;VBA")</f>
        <v>Bash/Shell/PowerShell;SQL;VBA</v>
      </c>
      <c r="C4922" s="9" t="str">
        <f>IFERROR(__xludf.DUMMYFUNCTION("""COMPUTED_VALUE"""),"SQL")</f>
        <v>SQL</v>
      </c>
      <c r="D4922" s="9" t="str">
        <f>IFERROR(__xludf.DUMMYFUNCTION("""COMPUTED_VALUE"""),"PHP")</f>
        <v>PHP</v>
      </c>
      <c r="E4922" s="9" t="str">
        <f>IFERROR(__xludf.DUMMYFUNCTION("""COMPUTED_VALUE"""),"C++")</f>
        <v>C++</v>
      </c>
      <c r="F4922" s="9" t="str">
        <f>IFERROR(__xludf.DUMMYFUNCTION("""COMPUTED_VALUE"""),"R")</f>
        <v>R</v>
      </c>
      <c r="G4922" s="9" t="str">
        <f>IFERROR(__xludf.DUMMYFUNCTION("""COMPUTED_VALUE"""),"C++")</f>
        <v>C++</v>
      </c>
      <c r="H4922" s="9" t="str">
        <f>IFERROR(__xludf.DUMMYFUNCTION("""COMPUTED_VALUE"""),"Kotlin")</f>
        <v>Kotlin</v>
      </c>
      <c r="I4922" s="9" t="str">
        <f>IFERROR(__xludf.DUMMYFUNCTION("""COMPUTED_VALUE"""),"Dart")</f>
        <v>Dart</v>
      </c>
      <c r="J4922" s="9" t="str">
        <f>IFERROR(__xludf.DUMMYFUNCTION("""COMPUTED_VALUE"""),"HTML/CSS")</f>
        <v>HTML/CSS</v>
      </c>
      <c r="K4922" s="9" t="str">
        <f>IFERROR(__xludf.DUMMYFUNCTION("""COMPUTED_VALUE"""),"SQL")</f>
        <v>SQL</v>
      </c>
      <c r="L4922" s="9" t="str">
        <f>IFERROR(__xludf.DUMMYFUNCTION("""COMPUTED_VALUE"""),"Java")</f>
        <v>Java</v>
      </c>
      <c r="M4922" s="9" t="s">
        <v>27</v>
      </c>
    </row>
    <row r="4923" ht="15.75" customHeight="1">
      <c r="A4923" s="7"/>
      <c r="B4923" s="7" t="str">
        <f>IFERROR(__xludf.DUMMYFUNCTION("""COMPUTED_VALUE"""),"HTML/CSS;JavaScript;PHP;SQL")</f>
        <v>HTML/CSS;JavaScript;PHP;SQL</v>
      </c>
      <c r="C4923" s="9" t="str">
        <f>IFERROR(__xludf.DUMMYFUNCTION("""COMPUTED_VALUE"""),"C++")</f>
        <v>C++</v>
      </c>
      <c r="D4923" s="9" t="str">
        <f>IFERROR(__xludf.DUMMYFUNCTION("""COMPUTED_VALUE"""),"SQL")</f>
        <v>SQL</v>
      </c>
      <c r="E4923" s="9" t="str">
        <f>IFERROR(__xludf.DUMMYFUNCTION("""COMPUTED_VALUE"""),"HTML/CSS")</f>
        <v>HTML/CSS</v>
      </c>
      <c r="F4923" s="9" t="str">
        <f>IFERROR(__xludf.DUMMYFUNCTION("""COMPUTED_VALUE"""),"SQL")</f>
        <v>SQL</v>
      </c>
      <c r="G4923" s="9" t="str">
        <f>IFERROR(__xludf.DUMMYFUNCTION("""COMPUTED_VALUE"""),"HTML/CSS")</f>
        <v>HTML/CSS</v>
      </c>
      <c r="H4923" s="9" t="str">
        <f>IFERROR(__xludf.DUMMYFUNCTION("""COMPUTED_VALUE"""),"Python")</f>
        <v>Python</v>
      </c>
      <c r="I4923" s="9" t="str">
        <f>IFERROR(__xludf.DUMMYFUNCTION("""COMPUTED_VALUE"""),"JavaScript")</f>
        <v>JavaScript</v>
      </c>
      <c r="J4923" s="9" t="str">
        <f>IFERROR(__xludf.DUMMYFUNCTION("""COMPUTED_VALUE"""),"JavaScript")</f>
        <v>JavaScript</v>
      </c>
      <c r="K4923" s="9" t="str">
        <f>IFERROR(__xludf.DUMMYFUNCTION("""COMPUTED_VALUE"""),"Bash/Shell/PowerShell")</f>
        <v>Bash/Shell/PowerShell</v>
      </c>
      <c r="L4923" s="9" t="str">
        <f>IFERROR(__xludf.DUMMYFUNCTION("""COMPUTED_VALUE"""),"JavaScript")</f>
        <v>JavaScript</v>
      </c>
      <c r="M4923" s="9" t="s">
        <v>23</v>
      </c>
    </row>
    <row r="4924" ht="15.75" customHeight="1">
      <c r="A4924" s="7"/>
      <c r="B4924" s="7" t="str">
        <f>IFERROR(__xludf.DUMMYFUNCTION("""COMPUTED_VALUE"""),"Bash/Shell/PowerShell;C;Dart;Go;Java;JavaScript;Python")</f>
        <v>Bash/Shell/PowerShell;C;Dart;Go;Java;JavaScript;Python</v>
      </c>
      <c r="C4924" s="9" t="str">
        <f>IFERROR(__xludf.DUMMYFUNCTION("""COMPUTED_VALUE"""),"C#")</f>
        <v>C#</v>
      </c>
      <c r="D4924" s="9" t="str">
        <f>IFERROR(__xludf.DUMMYFUNCTION("""COMPUTED_VALUE"""),"Bash/Shell/PowerShell")</f>
        <v>Bash/Shell/PowerShell</v>
      </c>
      <c r="E4924" s="9" t="str">
        <f>IFERROR(__xludf.DUMMYFUNCTION("""COMPUTED_VALUE"""),"JavaScript")</f>
        <v>JavaScript</v>
      </c>
      <c r="F4924" s="9" t="str">
        <f>IFERROR(__xludf.DUMMYFUNCTION("""COMPUTED_VALUE"""),"VBA")</f>
        <v>VBA</v>
      </c>
      <c r="G4924" s="9" t="str">
        <f>IFERROR(__xludf.DUMMYFUNCTION("""COMPUTED_VALUE"""),"Java")</f>
        <v>Java</v>
      </c>
      <c r="H4924" s="9" t="str">
        <f>IFERROR(__xludf.DUMMYFUNCTION("""COMPUTED_VALUE"""),"Bash/Shell/PowerShell")</f>
        <v>Bash/Shell/PowerShell</v>
      </c>
      <c r="I4924" s="9" t="str">
        <f>IFERROR(__xludf.DUMMYFUNCTION("""COMPUTED_VALUE"""),"Other(s):")</f>
        <v>Other(s):</v>
      </c>
      <c r="J4924" s="9" t="str">
        <f>IFERROR(__xludf.DUMMYFUNCTION("""COMPUTED_VALUE"""),"SQL")</f>
        <v>SQL</v>
      </c>
      <c r="K4924" s="9" t="str">
        <f>IFERROR(__xludf.DUMMYFUNCTION("""COMPUTED_VALUE"""),"C++")</f>
        <v>C++</v>
      </c>
      <c r="L4924" s="9" t="str">
        <f>IFERROR(__xludf.DUMMYFUNCTION("""COMPUTED_VALUE"""),"Python")</f>
        <v>Python</v>
      </c>
      <c r="M4924" s="9" t="s">
        <v>26</v>
      </c>
    </row>
    <row r="4925" ht="15.75" customHeight="1">
      <c r="A4925" s="7"/>
      <c r="B4925" s="7" t="str">
        <f>IFERROR(__xludf.DUMMYFUNCTION("""COMPUTED_VALUE"""),"C#")</f>
        <v>C#</v>
      </c>
      <c r="C4925" s="9" t="str">
        <f>IFERROR(__xludf.DUMMYFUNCTION("""COMPUTED_VALUE"""),"HTML/CSS")</f>
        <v>HTML/CSS</v>
      </c>
      <c r="D4925" s="9" t="str">
        <f>IFERROR(__xludf.DUMMYFUNCTION("""COMPUTED_VALUE"""),"Java")</f>
        <v>Java</v>
      </c>
      <c r="E4925" s="9" t="str">
        <f>IFERROR(__xludf.DUMMYFUNCTION("""COMPUTED_VALUE"""),"PHP")</f>
        <v>PHP</v>
      </c>
      <c r="F4925" s="9" t="str">
        <f>IFERROR(__xludf.DUMMYFUNCTION("""COMPUTED_VALUE"""),"C#")</f>
        <v>C#</v>
      </c>
      <c r="G4925" s="9" t="str">
        <f>IFERROR(__xludf.DUMMYFUNCTION("""COMPUTED_VALUE"""),"JavaScript")</f>
        <v>JavaScript</v>
      </c>
      <c r="H4925" s="9" t="str">
        <f>IFERROR(__xludf.DUMMYFUNCTION("""COMPUTED_VALUE"""),"HTML/CSS")</f>
        <v>HTML/CSS</v>
      </c>
      <c r="I4925" s="9" t="str">
        <f>IFERROR(__xludf.DUMMYFUNCTION("""COMPUTED_VALUE"""),"Assembly")</f>
        <v>Assembly</v>
      </c>
      <c r="J4925" s="9" t="str">
        <f>IFERROR(__xludf.DUMMYFUNCTION("""COMPUTED_VALUE"""),"TypeScript")</f>
        <v>TypeScript</v>
      </c>
      <c r="K4925" s="9" t="str">
        <f>IFERROR(__xludf.DUMMYFUNCTION("""COMPUTED_VALUE"""),"C#")</f>
        <v>C#</v>
      </c>
      <c r="L4925" s="9" t="str">
        <f>IFERROR(__xludf.DUMMYFUNCTION("""COMPUTED_VALUE"""),"SQL")</f>
        <v>SQL</v>
      </c>
      <c r="M4925" s="9" t="s">
        <v>24</v>
      </c>
    </row>
    <row r="4926" ht="15.75" customHeight="1">
      <c r="A4926" s="7"/>
      <c r="B4926" s="7" t="str">
        <f>IFERROR(__xludf.DUMMYFUNCTION("""COMPUTED_VALUE"""),"C++;HTML/CSS;JavaScript;PHP;SQL")</f>
        <v>C++;HTML/CSS;JavaScript;PHP;SQL</v>
      </c>
      <c r="C4926" s="9" t="str">
        <f>IFERROR(__xludf.DUMMYFUNCTION("""COMPUTED_VALUE"""),"Java")</f>
        <v>Java</v>
      </c>
      <c r="D4926" s="9" t="str">
        <f>IFERROR(__xludf.DUMMYFUNCTION("""COMPUTED_VALUE"""),"C#")</f>
        <v>C#</v>
      </c>
      <c r="E4926" s="9" t="str">
        <f>IFERROR(__xludf.DUMMYFUNCTION("""COMPUTED_VALUE"""),"Other(s):")</f>
        <v>Other(s):</v>
      </c>
      <c r="F4926" s="9" t="str">
        <f>IFERROR(__xludf.DUMMYFUNCTION("""COMPUTED_VALUE"""),"HTML/CSS")</f>
        <v>HTML/CSS</v>
      </c>
      <c r="G4926" s="9" t="str">
        <f>IFERROR(__xludf.DUMMYFUNCTION("""COMPUTED_VALUE"""),"Ruby")</f>
        <v>Ruby</v>
      </c>
      <c r="H4926" s="9" t="str">
        <f>IFERROR(__xludf.DUMMYFUNCTION("""COMPUTED_VALUE"""),"Ruby")</f>
        <v>Ruby</v>
      </c>
      <c r="I4926" s="9" t="str">
        <f>IFERROR(__xludf.DUMMYFUNCTION("""COMPUTED_VALUE"""),"Bash/Shell/PowerShell")</f>
        <v>Bash/Shell/PowerShell</v>
      </c>
      <c r="J4926" s="9" t="str">
        <f>IFERROR(__xludf.DUMMYFUNCTION("""COMPUTED_VALUE"""),"VBA")</f>
        <v>VBA</v>
      </c>
      <c r="K4926" s="9" t="str">
        <f>IFERROR(__xludf.DUMMYFUNCTION("""COMPUTED_VALUE"""),"HTML/CSS")</f>
        <v>HTML/CSS</v>
      </c>
      <c r="L4926" s="9" t="str">
        <f>IFERROR(__xludf.DUMMYFUNCTION("""COMPUTED_VALUE"""),"TypeScript")</f>
        <v>TypeScript</v>
      </c>
      <c r="M4926" s="9" t="s">
        <v>20</v>
      </c>
    </row>
    <row r="4927" ht="15.75" customHeight="1">
      <c r="A4927" s="7"/>
      <c r="B4927" s="7" t="str">
        <f>IFERROR(__xludf.DUMMYFUNCTION("""COMPUTED_VALUE"""),"C;HTML/CSS;Java;JavaScript;PHP;Python;SQL;Other(s):")</f>
        <v>C;HTML/CSS;Java;JavaScript;PHP;Python;SQL;Other(s):</v>
      </c>
      <c r="C4927" s="9" t="str">
        <f>IFERROR(__xludf.DUMMYFUNCTION("""COMPUTED_VALUE"""),"JavaScript")</f>
        <v>JavaScript</v>
      </c>
      <c r="D4927" s="9" t="str">
        <f>IFERROR(__xludf.DUMMYFUNCTION("""COMPUTED_VALUE"""),"JavaScript")</f>
        <v>JavaScript</v>
      </c>
      <c r="E4927" s="9" t="str">
        <f>IFERROR(__xludf.DUMMYFUNCTION("""COMPUTED_VALUE"""),"C++")</f>
        <v>C++</v>
      </c>
      <c r="F4927" s="9" t="str">
        <f>IFERROR(__xludf.DUMMYFUNCTION("""COMPUTED_VALUE"""),"JavaScript")</f>
        <v>JavaScript</v>
      </c>
      <c r="G4927" s="9" t="str">
        <f>IFERROR(__xludf.DUMMYFUNCTION("""COMPUTED_VALUE"""),"Swift")</f>
        <v>Swift</v>
      </c>
      <c r="H4927" s="9" t="str">
        <f>IFERROR(__xludf.DUMMYFUNCTION("""COMPUTED_VALUE"""),"SQL")</f>
        <v>SQL</v>
      </c>
      <c r="I4927" s="9" t="str">
        <f>IFERROR(__xludf.DUMMYFUNCTION("""COMPUTED_VALUE"""),"C++")</f>
        <v>C++</v>
      </c>
      <c r="J4927" s="9" t="str">
        <f>IFERROR(__xludf.DUMMYFUNCTION("""COMPUTED_VALUE"""),"Java")</f>
        <v>Java</v>
      </c>
      <c r="K4927" s="9" t="str">
        <f>IFERROR(__xludf.DUMMYFUNCTION("""COMPUTED_VALUE"""),"Java")</f>
        <v>Java</v>
      </c>
      <c r="L4927" s="9" t="str">
        <f>IFERROR(__xludf.DUMMYFUNCTION("""COMPUTED_VALUE"""),"HTML/CSS")</f>
        <v>HTML/CSS</v>
      </c>
      <c r="M4927" s="9" t="s">
        <v>21</v>
      </c>
    </row>
    <row r="4928" ht="15.75" customHeight="1">
      <c r="A4928" s="7"/>
      <c r="B4928" s="7" t="str">
        <f>IFERROR(__xludf.DUMMYFUNCTION("""COMPUTED_VALUE"""),"C#;HTML/CSS;JavaScript")</f>
        <v>C#;HTML/CSS;JavaScript</v>
      </c>
      <c r="C4928" s="9" t="str">
        <f>IFERROR(__xludf.DUMMYFUNCTION("""COMPUTED_VALUE"""),"PHP")</f>
        <v>PHP</v>
      </c>
      <c r="D4928" s="9" t="str">
        <f>IFERROR(__xludf.DUMMYFUNCTION("""COMPUTED_VALUE"""),"SQL")</f>
        <v>SQL</v>
      </c>
      <c r="E4928" s="9" t="str">
        <f>IFERROR(__xludf.DUMMYFUNCTION("""COMPUTED_VALUE"""),"HTML/CSS")</f>
        <v>HTML/CSS</v>
      </c>
      <c r="F4928" s="9" t="str">
        <f>IFERROR(__xludf.DUMMYFUNCTION("""COMPUTED_VALUE"""),"Objective-C")</f>
        <v>Objective-C</v>
      </c>
      <c r="G4928" s="9" t="str">
        <f>IFERROR(__xludf.DUMMYFUNCTION("""COMPUTED_VALUE"""),"Bash/Shell/PowerShell")</f>
        <v>Bash/Shell/PowerShell</v>
      </c>
      <c r="H4928" s="9" t="str">
        <f>IFERROR(__xludf.DUMMYFUNCTION("""COMPUTED_VALUE"""),"C")</f>
        <v>C</v>
      </c>
      <c r="I4928" s="9" t="str">
        <f>IFERROR(__xludf.DUMMYFUNCTION("""COMPUTED_VALUE"""),"HTML/CSS")</f>
        <v>HTML/CSS</v>
      </c>
      <c r="J4928" s="9" t="str">
        <f>IFERROR(__xludf.DUMMYFUNCTION("""COMPUTED_VALUE"""),"Kotlin")</f>
        <v>Kotlin</v>
      </c>
      <c r="K4928" s="9" t="str">
        <f>IFERROR(__xludf.DUMMYFUNCTION("""COMPUTED_VALUE"""),"JavaScript")</f>
        <v>JavaScript</v>
      </c>
      <c r="L4928" s="9" t="str">
        <f>IFERROR(__xludf.DUMMYFUNCTION("""COMPUTED_VALUE"""),"SQL")</f>
        <v>SQL</v>
      </c>
      <c r="M4928" s="9" t="s">
        <v>37</v>
      </c>
    </row>
    <row r="4929" ht="15.75" customHeight="1">
      <c r="A4929" s="7"/>
      <c r="B4929" s="7" t="str">
        <f>IFERROR(__xludf.DUMMYFUNCTION("""COMPUTED_VALUE"""),"Bash/Shell/PowerShell;C;C++;Other(s):")</f>
        <v>Bash/Shell/PowerShell;C;C++;Other(s):</v>
      </c>
      <c r="C4929" s="9" t="str">
        <f>IFERROR(__xludf.DUMMYFUNCTION("""COMPUTED_VALUE"""),"SQL")</f>
        <v>SQL</v>
      </c>
      <c r="D4929" s="9" t="str">
        <f>IFERROR(__xludf.DUMMYFUNCTION("""COMPUTED_VALUE"""),"C++")</f>
        <v>C++</v>
      </c>
      <c r="E4929" s="9" t="str">
        <f>IFERROR(__xludf.DUMMYFUNCTION("""COMPUTED_VALUE"""),"JavaScript")</f>
        <v>JavaScript</v>
      </c>
      <c r="F4929" s="9" t="str">
        <f>IFERROR(__xludf.DUMMYFUNCTION("""COMPUTED_VALUE"""),"SQL")</f>
        <v>SQL</v>
      </c>
      <c r="G4929" s="9" t="str">
        <f>IFERROR(__xludf.DUMMYFUNCTION("""COMPUTED_VALUE"""),"C++")</f>
        <v>C++</v>
      </c>
      <c r="H4929" s="9" t="str">
        <f>IFERROR(__xludf.DUMMYFUNCTION("""COMPUTED_VALUE"""),"C++")</f>
        <v>C++</v>
      </c>
      <c r="I4929" s="9" t="str">
        <f>IFERROR(__xludf.DUMMYFUNCTION("""COMPUTED_VALUE"""),"Java")</f>
        <v>Java</v>
      </c>
      <c r="J4929" s="9" t="str">
        <f>IFERROR(__xludf.DUMMYFUNCTION("""COMPUTED_VALUE"""),"SQL")</f>
        <v>SQL</v>
      </c>
      <c r="K4929" s="9" t="str">
        <f>IFERROR(__xludf.DUMMYFUNCTION("""COMPUTED_VALUE"""),"SQL")</f>
        <v>SQL</v>
      </c>
      <c r="L4929" s="9" t="str">
        <f>IFERROR(__xludf.DUMMYFUNCTION("""COMPUTED_VALUE"""),"HTML/CSS")</f>
        <v>HTML/CSS</v>
      </c>
      <c r="M4929" s="9" t="s">
        <v>27</v>
      </c>
    </row>
    <row r="4930" ht="15.75" customHeight="1">
      <c r="A4930" s="7"/>
      <c r="B4930" s="7" t="str">
        <f>IFERROR(__xludf.DUMMYFUNCTION("""COMPUTED_VALUE"""),"Java;Kotlin;Python;SQL")</f>
        <v>Java;Kotlin;Python;SQL</v>
      </c>
      <c r="C4930" s="9" t="str">
        <f>IFERROR(__xludf.DUMMYFUNCTION("""COMPUTED_VALUE"""),"Objective-C")</f>
        <v>Objective-C</v>
      </c>
      <c r="D4930" s="9" t="str">
        <f>IFERROR(__xludf.DUMMYFUNCTION("""COMPUTED_VALUE"""),"C#")</f>
        <v>C#</v>
      </c>
      <c r="E4930" s="9" t="str">
        <f>IFERROR(__xludf.DUMMYFUNCTION("""COMPUTED_VALUE"""),"Kotlin")</f>
        <v>Kotlin</v>
      </c>
      <c r="F4930" s="9" t="str">
        <f>IFERROR(__xludf.DUMMYFUNCTION("""COMPUTED_VALUE"""),"Other(s):")</f>
        <v>Other(s):</v>
      </c>
      <c r="G4930" s="9" t="str">
        <f>IFERROR(__xludf.DUMMYFUNCTION("""COMPUTED_VALUE"""),"HTML/CSS")</f>
        <v>HTML/CSS</v>
      </c>
      <c r="H4930" s="9" t="str">
        <f>IFERROR(__xludf.DUMMYFUNCTION("""COMPUTED_VALUE"""),"Java")</f>
        <v>Java</v>
      </c>
      <c r="I4930" s="9" t="str">
        <f>IFERROR(__xludf.DUMMYFUNCTION("""COMPUTED_VALUE"""),"JavaScript")</f>
        <v>JavaScript</v>
      </c>
      <c r="J4930" s="9" t="str">
        <f>IFERROR(__xludf.DUMMYFUNCTION("""COMPUTED_VALUE"""),"C#")</f>
        <v>C#</v>
      </c>
      <c r="K4930" s="9" t="str">
        <f>IFERROR(__xludf.DUMMYFUNCTION("""COMPUTED_VALUE"""),"HTML/CSS")</f>
        <v>HTML/CSS</v>
      </c>
      <c r="L4930" s="9" t="str">
        <f>IFERROR(__xludf.DUMMYFUNCTION("""COMPUTED_VALUE"""),"JavaScript")</f>
        <v>JavaScript</v>
      </c>
      <c r="M4930" s="9" t="s">
        <v>41</v>
      </c>
    </row>
    <row r="4931" ht="15.75" customHeight="1">
      <c r="A4931" s="7"/>
      <c r="B4931" s="7" t="str">
        <f>IFERROR(__xludf.DUMMYFUNCTION("""COMPUTED_VALUE"""),"HTML/CSS;JavaScript;Ruby;SQL")</f>
        <v>HTML/CSS;JavaScript;Ruby;SQL</v>
      </c>
      <c r="C4931" s="9" t="str">
        <f>IFERROR(__xludf.DUMMYFUNCTION("""COMPUTED_VALUE"""),"Swift")</f>
        <v>Swift</v>
      </c>
      <c r="D4931" s="9" t="str">
        <f>IFERROR(__xludf.DUMMYFUNCTION("""COMPUTED_VALUE"""),"C#")</f>
        <v>C#</v>
      </c>
      <c r="E4931" s="9" t="str">
        <f>IFERROR(__xludf.DUMMYFUNCTION("""COMPUTED_VALUE"""),"TypeScript")</f>
        <v>TypeScript</v>
      </c>
      <c r="F4931" s="9" t="str">
        <f>IFERROR(__xludf.DUMMYFUNCTION("""COMPUTED_VALUE"""),"Bash/Shell/PowerShell")</f>
        <v>Bash/Shell/PowerShell</v>
      </c>
      <c r="G4931" s="9" t="str">
        <f>IFERROR(__xludf.DUMMYFUNCTION("""COMPUTED_VALUE"""),"JavaScript")</f>
        <v>JavaScript</v>
      </c>
      <c r="H4931" s="9" t="str">
        <f>IFERROR(__xludf.DUMMYFUNCTION("""COMPUTED_VALUE"""),"JavaScript")</f>
        <v>JavaScript</v>
      </c>
      <c r="I4931" s="9" t="str">
        <f>IFERROR(__xludf.DUMMYFUNCTION("""COMPUTED_VALUE"""),"Python")</f>
        <v>Python</v>
      </c>
      <c r="J4931" s="9" t="str">
        <f>IFERROR(__xludf.DUMMYFUNCTION("""COMPUTED_VALUE"""),"HTML/CSS")</f>
        <v>HTML/CSS</v>
      </c>
      <c r="K4931" s="9" t="str">
        <f>IFERROR(__xludf.DUMMYFUNCTION("""COMPUTED_VALUE"""),"JavaScript")</f>
        <v>JavaScript</v>
      </c>
      <c r="L4931" s="9" t="str">
        <f>IFERROR(__xludf.DUMMYFUNCTION("""COMPUTED_VALUE"""),"PHP")</f>
        <v>PHP</v>
      </c>
      <c r="M4931" s="9" t="s">
        <v>40</v>
      </c>
    </row>
    <row r="4932" ht="15.75" customHeight="1">
      <c r="A4932" s="7"/>
      <c r="B4932" s="7" t="str">
        <f>IFERROR(__xludf.DUMMYFUNCTION("""COMPUTED_VALUE"""),"C++;C#;HTML/CSS;JavaScript;PHP;SQL")</f>
        <v>C++;C#;HTML/CSS;JavaScript;PHP;SQL</v>
      </c>
      <c r="C4932" s="9" t="str">
        <f>IFERROR(__xludf.DUMMYFUNCTION("""COMPUTED_VALUE"""),"Bash/Shell/PowerShell")</f>
        <v>Bash/Shell/PowerShell</v>
      </c>
      <c r="D4932" s="9" t="str">
        <f>IFERROR(__xludf.DUMMYFUNCTION("""COMPUTED_VALUE"""),"HTML/CSS")</f>
        <v>HTML/CSS</v>
      </c>
      <c r="E4932" s="9" t="str">
        <f>IFERROR(__xludf.DUMMYFUNCTION("""COMPUTED_VALUE"""),"Other(s):")</f>
        <v>Other(s):</v>
      </c>
      <c r="F4932" s="9" t="str">
        <f>IFERROR(__xludf.DUMMYFUNCTION("""COMPUTED_VALUE"""),"HTML/CSS")</f>
        <v>HTML/CSS</v>
      </c>
      <c r="G4932" s="9" t="str">
        <f>IFERROR(__xludf.DUMMYFUNCTION("""COMPUTED_VALUE"""),"Python")</f>
        <v>Python</v>
      </c>
      <c r="H4932" s="9" t="str">
        <f>IFERROR(__xludf.DUMMYFUNCTION("""COMPUTED_VALUE"""),"PHP")</f>
        <v>PHP</v>
      </c>
      <c r="I4932" s="9" t="str">
        <f>IFERROR(__xludf.DUMMYFUNCTION("""COMPUTED_VALUE"""),"Ruby")</f>
        <v>Ruby</v>
      </c>
      <c r="J4932" s="9" t="str">
        <f>IFERROR(__xludf.DUMMYFUNCTION("""COMPUTED_VALUE"""),"Java")</f>
        <v>Java</v>
      </c>
      <c r="K4932" s="9" t="str">
        <f>IFERROR(__xludf.DUMMYFUNCTION("""COMPUTED_VALUE"""),"PHP")</f>
        <v>PHP</v>
      </c>
      <c r="L4932" s="9" t="str">
        <f>IFERROR(__xludf.DUMMYFUNCTION("""COMPUTED_VALUE"""),"SQL")</f>
        <v>SQL</v>
      </c>
      <c r="M4932" s="9" t="s">
        <v>30</v>
      </c>
    </row>
    <row r="4933" ht="15.75" customHeight="1">
      <c r="A4933" s="7"/>
      <c r="B4933" s="7" t="str">
        <f>IFERROR(__xludf.DUMMYFUNCTION("""COMPUTED_VALUE"""),"C;C++;HTML/CSS;JavaScript;PHP;Python")</f>
        <v>C;C++;HTML/CSS;JavaScript;PHP;Python</v>
      </c>
      <c r="C4933" s="9" t="str">
        <f>IFERROR(__xludf.DUMMYFUNCTION("""COMPUTED_VALUE"""),"Go")</f>
        <v>Go</v>
      </c>
      <c r="D4933" s="9" t="str">
        <f>IFERROR(__xludf.DUMMYFUNCTION("""COMPUTED_VALUE"""),"Java")</f>
        <v>Java</v>
      </c>
      <c r="E4933" s="9" t="str">
        <f>IFERROR(__xludf.DUMMYFUNCTION("""COMPUTED_VALUE"""),"Bash/Shell/PowerShell")</f>
        <v>Bash/Shell/PowerShell</v>
      </c>
      <c r="F4933" s="9" t="str">
        <f>IFERROR(__xludf.DUMMYFUNCTION("""COMPUTED_VALUE"""),"JavaScript")</f>
        <v>JavaScript</v>
      </c>
      <c r="G4933" s="9" t="str">
        <f>IFERROR(__xludf.DUMMYFUNCTION("""COMPUTED_VALUE"""),"SQL")</f>
        <v>SQL</v>
      </c>
      <c r="H4933" s="9" t="str">
        <f>IFERROR(__xludf.DUMMYFUNCTION("""COMPUTED_VALUE"""),"Ruby")</f>
        <v>Ruby</v>
      </c>
      <c r="I4933" s="9" t="str">
        <f>IFERROR(__xludf.DUMMYFUNCTION("""COMPUTED_VALUE"""),"Assembly")</f>
        <v>Assembly</v>
      </c>
      <c r="J4933" s="9" t="str">
        <f>IFERROR(__xludf.DUMMYFUNCTION("""COMPUTED_VALUE"""),"JavaScript")</f>
        <v>JavaScript</v>
      </c>
      <c r="K4933" s="9" t="str">
        <f>IFERROR(__xludf.DUMMYFUNCTION("""COMPUTED_VALUE"""),"Python")</f>
        <v>Python</v>
      </c>
      <c r="L4933" s="9" t="str">
        <f>IFERROR(__xludf.DUMMYFUNCTION("""COMPUTED_VALUE"""),"Swift")</f>
        <v>Swift</v>
      </c>
      <c r="M4933" s="9" t="s">
        <v>36</v>
      </c>
    </row>
    <row r="4934" ht="15.75" customHeight="1">
      <c r="A4934" s="7"/>
      <c r="B4934" s="7" t="str">
        <f>IFERROR(__xludf.DUMMYFUNCTION("""COMPUTED_VALUE"""),"C#")</f>
        <v>C#</v>
      </c>
      <c r="C4934" s="9" t="str">
        <f>IFERROR(__xludf.DUMMYFUNCTION("""COMPUTED_VALUE"""),"HTML/CSS")</f>
        <v>HTML/CSS</v>
      </c>
      <c r="D4934" s="9" t="str">
        <f>IFERROR(__xludf.DUMMYFUNCTION("""COMPUTED_VALUE"""),"JavaScript")</f>
        <v>JavaScript</v>
      </c>
      <c r="E4934" s="9" t="str">
        <f>IFERROR(__xludf.DUMMYFUNCTION("""COMPUTED_VALUE"""),"HTML/CSS")</f>
        <v>HTML/CSS</v>
      </c>
      <c r="F4934" s="9" t="str">
        <f>IFERROR(__xludf.DUMMYFUNCTION("""COMPUTED_VALUE"""),"Python")</f>
        <v>Python</v>
      </c>
      <c r="G4934" s="9" t="str">
        <f>IFERROR(__xludf.DUMMYFUNCTION("""COMPUTED_VALUE"""),"VBA")</f>
        <v>VBA</v>
      </c>
      <c r="H4934" s="9" t="str">
        <f>IFERROR(__xludf.DUMMYFUNCTION("""COMPUTED_VALUE"""),"Bash/Shell/PowerShell")</f>
        <v>Bash/Shell/PowerShell</v>
      </c>
      <c r="I4934" s="9" t="str">
        <f>IFERROR(__xludf.DUMMYFUNCTION("""COMPUTED_VALUE"""),"Go")</f>
        <v>Go</v>
      </c>
      <c r="J4934" s="9" t="str">
        <f>IFERROR(__xludf.DUMMYFUNCTION("""COMPUTED_VALUE"""),"Kotlin")</f>
        <v>Kotlin</v>
      </c>
      <c r="K4934" s="9" t="str">
        <f>IFERROR(__xludf.DUMMYFUNCTION("""COMPUTED_VALUE"""),"R")</f>
        <v>R</v>
      </c>
      <c r="L4934" s="9" t="str">
        <f>IFERROR(__xludf.DUMMYFUNCTION("""COMPUTED_VALUE"""),"HTML/CSS")</f>
        <v>HTML/CSS</v>
      </c>
      <c r="M4934" s="9" t="s">
        <v>24</v>
      </c>
    </row>
    <row r="4935" ht="15.75" customHeight="1">
      <c r="A4935" s="7"/>
      <c r="B4935" s="7" t="str">
        <f>IFERROR(__xludf.DUMMYFUNCTION("""COMPUTED_VALUE"""),"Bash/Shell/PowerShell;Go;HTML/CSS;Java;JavaScript;Kotlin;Python;SQL")</f>
        <v>Bash/Shell/PowerShell;Go;HTML/CSS;Java;JavaScript;Kotlin;Python;SQL</v>
      </c>
      <c r="C4935" s="9" t="str">
        <f>IFERROR(__xludf.DUMMYFUNCTION("""COMPUTED_VALUE"""),"JavaScript")</f>
        <v>JavaScript</v>
      </c>
      <c r="D4935" s="9" t="str">
        <f>IFERROR(__xludf.DUMMYFUNCTION("""COMPUTED_VALUE"""),"HTML/CSS")</f>
        <v>HTML/CSS</v>
      </c>
      <c r="E4935" s="9" t="str">
        <f>IFERROR(__xludf.DUMMYFUNCTION("""COMPUTED_VALUE"""),"JavaScript")</f>
        <v>JavaScript</v>
      </c>
      <c r="F4935" s="9" t="str">
        <f>IFERROR(__xludf.DUMMYFUNCTION("""COMPUTED_VALUE"""),"SQL")</f>
        <v>SQL</v>
      </c>
      <c r="G4935" s="9" t="str">
        <f>IFERROR(__xludf.DUMMYFUNCTION("""COMPUTED_VALUE"""),"Bash/Shell/PowerShell")</f>
        <v>Bash/Shell/PowerShell</v>
      </c>
      <c r="H4935" s="9" t="str">
        <f>IFERROR(__xludf.DUMMYFUNCTION("""COMPUTED_VALUE"""),"C#")</f>
        <v>C#</v>
      </c>
      <c r="I4935" s="9" t="str">
        <f>IFERROR(__xludf.DUMMYFUNCTION("""COMPUTED_VALUE"""),"Java")</f>
        <v>Java</v>
      </c>
      <c r="J4935" s="9" t="str">
        <f>IFERROR(__xludf.DUMMYFUNCTION("""COMPUTED_VALUE"""),"SQL")</f>
        <v>SQL</v>
      </c>
      <c r="K4935" s="9" t="str">
        <f>IFERROR(__xludf.DUMMYFUNCTION("""COMPUTED_VALUE"""),"SQL")</f>
        <v>SQL</v>
      </c>
      <c r="L4935" s="9" t="str">
        <f>IFERROR(__xludf.DUMMYFUNCTION("""COMPUTED_VALUE"""),"Java")</f>
        <v>Java</v>
      </c>
      <c r="M4935" s="9" t="s">
        <v>21</v>
      </c>
    </row>
    <row r="4936" ht="15.75" customHeight="1">
      <c r="A4936" s="7"/>
      <c r="B4936" s="7" t="str">
        <f>IFERROR(__xludf.DUMMYFUNCTION("""COMPUTED_VALUE"""),"C++;Java;Other(s):")</f>
        <v>C++;Java;Other(s):</v>
      </c>
      <c r="C4936" s="9" t="str">
        <f>IFERROR(__xludf.DUMMYFUNCTION("""COMPUTED_VALUE"""),"Python")</f>
        <v>Python</v>
      </c>
      <c r="D4936" s="9" t="str">
        <f>IFERROR(__xludf.DUMMYFUNCTION("""COMPUTED_VALUE"""),"JavaScript")</f>
        <v>JavaScript</v>
      </c>
      <c r="E4936" s="9" t="str">
        <f>IFERROR(__xludf.DUMMYFUNCTION("""COMPUTED_VALUE"""),"Python")</f>
        <v>Python</v>
      </c>
      <c r="F4936" s="9" t="str">
        <f>IFERROR(__xludf.DUMMYFUNCTION("""COMPUTED_VALUE"""),"Bash/Shell/PowerShell")</f>
        <v>Bash/Shell/PowerShell</v>
      </c>
      <c r="G4936" s="9" t="str">
        <f>IFERROR(__xludf.DUMMYFUNCTION("""COMPUTED_VALUE"""),"Python")</f>
        <v>Python</v>
      </c>
      <c r="H4936" s="9" t="str">
        <f>IFERROR(__xludf.DUMMYFUNCTION("""COMPUTED_VALUE"""),"Clojure")</f>
        <v>Clojure</v>
      </c>
      <c r="I4936" s="9" t="str">
        <f>IFERROR(__xludf.DUMMYFUNCTION("""COMPUTED_VALUE"""),"Rust")</f>
        <v>Rust</v>
      </c>
      <c r="J4936" s="9" t="str">
        <f>IFERROR(__xludf.DUMMYFUNCTION("""COMPUTED_VALUE"""),"Bash/Shell/PowerShell")</f>
        <v>Bash/Shell/PowerShell</v>
      </c>
      <c r="K4936" s="9" t="str">
        <f>IFERROR(__xludf.DUMMYFUNCTION("""COMPUTED_VALUE"""),"VBA")</f>
        <v>VBA</v>
      </c>
      <c r="L4936" s="9" t="str">
        <f>IFERROR(__xludf.DUMMYFUNCTION("""COMPUTED_VALUE"""),"JavaScript")</f>
        <v>JavaScript</v>
      </c>
      <c r="M4936" s="9" t="s">
        <v>22</v>
      </c>
    </row>
    <row r="4937" ht="15.75" customHeight="1">
      <c r="A4937" s="7"/>
      <c r="B4937" s="7" t="str">
        <f>IFERROR(__xludf.DUMMYFUNCTION("""COMPUTED_VALUE"""),"Assembly;Bash/Shell/PowerShell;C;C++;Java;JavaScript;Python")</f>
        <v>Assembly;Bash/Shell/PowerShell;C;C++;Java;JavaScript;Python</v>
      </c>
      <c r="C4937" s="9" t="str">
        <f>IFERROR(__xludf.DUMMYFUNCTION("""COMPUTED_VALUE"""),"Python")</f>
        <v>Python</v>
      </c>
      <c r="D4937" s="9" t="str">
        <f>IFERROR(__xludf.DUMMYFUNCTION("""COMPUTED_VALUE"""),"Ruby")</f>
        <v>Ruby</v>
      </c>
      <c r="E4937" s="9" t="str">
        <f>IFERROR(__xludf.DUMMYFUNCTION("""COMPUTED_VALUE"""),"SQL")</f>
        <v>SQL</v>
      </c>
      <c r="F4937" s="9" t="str">
        <f>IFERROR(__xludf.DUMMYFUNCTION("""COMPUTED_VALUE"""),"HTML/CSS")</f>
        <v>HTML/CSS</v>
      </c>
      <c r="G4937" s="9" t="str">
        <f>IFERROR(__xludf.DUMMYFUNCTION("""COMPUTED_VALUE"""),"SQL")</f>
        <v>SQL</v>
      </c>
      <c r="H4937" s="9" t="str">
        <f>IFERROR(__xludf.DUMMYFUNCTION("""COMPUTED_VALUE"""),"Go")</f>
        <v>Go</v>
      </c>
      <c r="I4937" s="9" t="str">
        <f>IFERROR(__xludf.DUMMYFUNCTION("""COMPUTED_VALUE"""),"C++")</f>
        <v>C++</v>
      </c>
      <c r="J4937" s="9" t="str">
        <f>IFERROR(__xludf.DUMMYFUNCTION("""COMPUTED_VALUE"""),"C++")</f>
        <v>C++</v>
      </c>
      <c r="K4937" s="9" t="str">
        <f>IFERROR(__xludf.DUMMYFUNCTION("""COMPUTED_VALUE"""),"C#")</f>
        <v>C#</v>
      </c>
      <c r="L4937" s="9" t="str">
        <f>IFERROR(__xludf.DUMMYFUNCTION("""COMPUTED_VALUE"""),"Scala")</f>
        <v>Scala</v>
      </c>
      <c r="M4937" s="9" t="s">
        <v>22</v>
      </c>
    </row>
    <row r="4938" ht="15.75" customHeight="1">
      <c r="A4938" s="7"/>
      <c r="B4938" s="7" t="str">
        <f>IFERROR(__xludf.DUMMYFUNCTION("""COMPUTED_VALUE"""),"Assembly;Bash/Shell/PowerShell;C;HTML/CSS;Java;JavaScript;PHP;SQL;TypeScript")</f>
        <v>Assembly;Bash/Shell/PowerShell;C;HTML/CSS;Java;JavaScript;PHP;SQL;TypeScript</v>
      </c>
      <c r="C4938" s="9" t="str">
        <f>IFERROR(__xludf.DUMMYFUNCTION("""COMPUTED_VALUE"""),"Clojure")</f>
        <v>Clojure</v>
      </c>
      <c r="D4938" s="9" t="str">
        <f>IFERROR(__xludf.DUMMYFUNCTION("""COMPUTED_VALUE"""),"HTML/CSS")</f>
        <v>HTML/CSS</v>
      </c>
      <c r="E4938" s="9" t="str">
        <f>IFERROR(__xludf.DUMMYFUNCTION("""COMPUTED_VALUE"""),"Bash/Shell/PowerShell")</f>
        <v>Bash/Shell/PowerShell</v>
      </c>
      <c r="F4938" s="9" t="str">
        <f>IFERROR(__xludf.DUMMYFUNCTION("""COMPUTED_VALUE"""),"JavaScript")</f>
        <v>JavaScript</v>
      </c>
      <c r="G4938" s="9" t="str">
        <f>IFERROR(__xludf.DUMMYFUNCTION("""COMPUTED_VALUE"""),"C")</f>
        <v>C</v>
      </c>
      <c r="H4938" s="9" t="str">
        <f>IFERROR(__xludf.DUMMYFUNCTION("""COMPUTED_VALUE"""),"Java")</f>
        <v>Java</v>
      </c>
      <c r="I4938" s="9" t="str">
        <f>IFERROR(__xludf.DUMMYFUNCTION("""COMPUTED_VALUE"""),"HTML/CSS")</f>
        <v>HTML/CSS</v>
      </c>
      <c r="J4938" s="9" t="str">
        <f>IFERROR(__xludf.DUMMYFUNCTION("""COMPUTED_VALUE"""),"Python")</f>
        <v>Python</v>
      </c>
      <c r="K4938" s="9" t="str">
        <f>IFERROR(__xludf.DUMMYFUNCTION("""COMPUTED_VALUE"""),"HTML/CSS")</f>
        <v>HTML/CSS</v>
      </c>
      <c r="L4938" s="9" t="str">
        <f>IFERROR(__xludf.DUMMYFUNCTION("""COMPUTED_VALUE"""),"SQL")</f>
        <v>SQL</v>
      </c>
      <c r="M4938" s="9" t="s">
        <v>44</v>
      </c>
    </row>
    <row r="4939" ht="15.75" customHeight="1">
      <c r="A4939" s="7"/>
      <c r="B4939" s="7" t="str">
        <f>IFERROR(__xludf.DUMMYFUNCTION("""COMPUTED_VALUE"""),"C;C++;VBA")</f>
        <v>C;C++;VBA</v>
      </c>
      <c r="C4939" s="9" t="str">
        <f>IFERROR(__xludf.DUMMYFUNCTION("""COMPUTED_VALUE"""),"Go")</f>
        <v>Go</v>
      </c>
      <c r="D4939" s="9" t="str">
        <f>IFERROR(__xludf.DUMMYFUNCTION("""COMPUTED_VALUE"""),"Java")</f>
        <v>Java</v>
      </c>
      <c r="E4939" s="9" t="str">
        <f>IFERROR(__xludf.DUMMYFUNCTION("""COMPUTED_VALUE"""),"C")</f>
        <v>C</v>
      </c>
      <c r="F4939" s="9" t="str">
        <f>IFERROR(__xludf.DUMMYFUNCTION("""COMPUTED_VALUE"""),"Python")</f>
        <v>Python</v>
      </c>
      <c r="G4939" s="9" t="str">
        <f>IFERROR(__xludf.DUMMYFUNCTION("""COMPUTED_VALUE"""),"C++")</f>
        <v>C++</v>
      </c>
      <c r="H4939" s="9" t="str">
        <f>IFERROR(__xludf.DUMMYFUNCTION("""COMPUTED_VALUE"""),"JavaScript")</f>
        <v>JavaScript</v>
      </c>
      <c r="I4939" s="9" t="str">
        <f>IFERROR(__xludf.DUMMYFUNCTION("""COMPUTED_VALUE"""),"Java")</f>
        <v>Java</v>
      </c>
      <c r="J4939" s="9" t="str">
        <f>IFERROR(__xludf.DUMMYFUNCTION("""COMPUTED_VALUE"""),"SQL")</f>
        <v>SQL</v>
      </c>
      <c r="K4939" s="9" t="str">
        <f>IFERROR(__xludf.DUMMYFUNCTION("""COMPUTED_VALUE"""),"Java")</f>
        <v>Java</v>
      </c>
      <c r="L4939" s="9" t="str">
        <f>IFERROR(__xludf.DUMMYFUNCTION("""COMPUTED_VALUE"""),"Bash/Shell/PowerShell")</f>
        <v>Bash/Shell/PowerShell</v>
      </c>
      <c r="M4939" s="9" t="s">
        <v>36</v>
      </c>
    </row>
    <row r="4940" ht="15.75" customHeight="1">
      <c r="A4940" s="7"/>
      <c r="B4940" s="7" t="str">
        <f>IFERROR(__xludf.DUMMYFUNCTION("""COMPUTED_VALUE"""),"Bash/Shell/PowerShell;HTML/CSS;JavaScript;PHP;Python;R;SQL;WebAssembly")</f>
        <v>Bash/Shell/PowerShell;HTML/CSS;JavaScript;PHP;Python;R;SQL;WebAssembly</v>
      </c>
      <c r="C4940" s="9" t="str">
        <f>IFERROR(__xludf.DUMMYFUNCTION("""COMPUTED_VALUE"""),"Python")</f>
        <v>Python</v>
      </c>
      <c r="D4940" s="9" t="str">
        <f>IFERROR(__xludf.DUMMYFUNCTION("""COMPUTED_VALUE"""),"PHP")</f>
        <v>PHP</v>
      </c>
      <c r="E4940" s="9" t="str">
        <f>IFERROR(__xludf.DUMMYFUNCTION("""COMPUTED_VALUE"""),"C++")</f>
        <v>C++</v>
      </c>
      <c r="F4940" s="9" t="str">
        <f>IFERROR(__xludf.DUMMYFUNCTION("""COMPUTED_VALUE"""),"SQL")</f>
        <v>SQL</v>
      </c>
      <c r="G4940" s="9" t="str">
        <f>IFERROR(__xludf.DUMMYFUNCTION("""COMPUTED_VALUE"""),"HTML/CSS")</f>
        <v>HTML/CSS</v>
      </c>
      <c r="H4940" s="9" t="str">
        <f>IFERROR(__xludf.DUMMYFUNCTION("""COMPUTED_VALUE"""),"SQL")</f>
        <v>SQL</v>
      </c>
      <c r="I4940" s="9" t="str">
        <f>IFERROR(__xludf.DUMMYFUNCTION("""COMPUTED_VALUE"""),"JavaScript")</f>
        <v>JavaScript</v>
      </c>
      <c r="J4940" s="9" t="str">
        <f>IFERROR(__xludf.DUMMYFUNCTION("""COMPUTED_VALUE"""),"Bash/Shell/PowerShell")</f>
        <v>Bash/Shell/PowerShell</v>
      </c>
      <c r="K4940" s="9" t="str">
        <f>IFERROR(__xludf.DUMMYFUNCTION("""COMPUTED_VALUE"""),"SQL")</f>
        <v>SQL</v>
      </c>
      <c r="L4940" s="9" t="str">
        <f>IFERROR(__xludf.DUMMYFUNCTION("""COMPUTED_VALUE"""),"HTML/CSS")</f>
        <v>HTML/CSS</v>
      </c>
      <c r="M4940" s="9" t="s">
        <v>22</v>
      </c>
    </row>
    <row r="4941" ht="15.75" customHeight="1">
      <c r="A4941" s="7"/>
      <c r="B4941" s="7" t="str">
        <f>IFERROR(__xludf.DUMMYFUNCTION("""COMPUTED_VALUE"""),"C++;HTML/CSS;JavaScript;SQL;TypeScript")</f>
        <v>C++;HTML/CSS;JavaScript;SQL;TypeScript</v>
      </c>
      <c r="C4941" s="9" t="str">
        <f>IFERROR(__xludf.DUMMYFUNCTION("""COMPUTED_VALUE"""),"Bash/Shell/PowerShell")</f>
        <v>Bash/Shell/PowerShell</v>
      </c>
      <c r="D4941" s="9" t="str">
        <f>IFERROR(__xludf.DUMMYFUNCTION("""COMPUTED_VALUE"""),"SQL")</f>
        <v>SQL</v>
      </c>
      <c r="E4941" s="9" t="str">
        <f>IFERROR(__xludf.DUMMYFUNCTION("""COMPUTED_VALUE"""),"C#")</f>
        <v>C#</v>
      </c>
      <c r="F4941" s="9" t="str">
        <f>IFERROR(__xludf.DUMMYFUNCTION("""COMPUTED_VALUE"""),"Bash/Shell/PowerShell")</f>
        <v>Bash/Shell/PowerShell</v>
      </c>
      <c r="G4941" s="9" t="str">
        <f>IFERROR(__xludf.DUMMYFUNCTION("""COMPUTED_VALUE"""),"Java")</f>
        <v>Java</v>
      </c>
      <c r="H4941" s="9" t="str">
        <f>IFERROR(__xludf.DUMMYFUNCTION("""COMPUTED_VALUE"""),"C")</f>
        <v>C</v>
      </c>
      <c r="I4941" s="9" t="str">
        <f>IFERROR(__xludf.DUMMYFUNCTION("""COMPUTED_VALUE"""),"SQL")</f>
        <v>SQL</v>
      </c>
      <c r="J4941" s="9" t="str">
        <f>IFERROR(__xludf.DUMMYFUNCTION("""COMPUTED_VALUE"""),"Go")</f>
        <v>Go</v>
      </c>
      <c r="K4941" s="9" t="str">
        <f>IFERROR(__xludf.DUMMYFUNCTION("""COMPUTED_VALUE"""),"TypeScript")</f>
        <v>TypeScript</v>
      </c>
      <c r="L4941" s="9" t="str">
        <f>IFERROR(__xludf.DUMMYFUNCTION("""COMPUTED_VALUE"""),"JavaScript")</f>
        <v>JavaScript</v>
      </c>
      <c r="M4941" s="9" t="s">
        <v>30</v>
      </c>
    </row>
    <row r="4942" ht="15.75" customHeight="1">
      <c r="A4942" s="7"/>
      <c r="B4942" s="7" t="str">
        <f>IFERROR(__xludf.DUMMYFUNCTION("""COMPUTED_VALUE"""),"C;C++;HTML/CSS;Java;JavaScript;Ruby;Swift")</f>
        <v>C;C++;HTML/CSS;Java;JavaScript;Ruby;Swift</v>
      </c>
      <c r="C4942" s="9" t="str">
        <f>IFERROR(__xludf.DUMMYFUNCTION("""COMPUTED_VALUE"""),"Go")</f>
        <v>Go</v>
      </c>
      <c r="D4942" s="9" t="str">
        <f>IFERROR(__xludf.DUMMYFUNCTION("""COMPUTED_VALUE"""),"C#")</f>
        <v>C#</v>
      </c>
      <c r="E4942" s="9" t="str">
        <f>IFERROR(__xludf.DUMMYFUNCTION("""COMPUTED_VALUE"""),"HTML/CSS")</f>
        <v>HTML/CSS</v>
      </c>
      <c r="F4942" s="9" t="str">
        <f>IFERROR(__xludf.DUMMYFUNCTION("""COMPUTED_VALUE"""),"HTML/CSS")</f>
        <v>HTML/CSS</v>
      </c>
      <c r="G4942" s="9" t="str">
        <f>IFERROR(__xludf.DUMMYFUNCTION("""COMPUTED_VALUE"""),"JavaScript")</f>
        <v>JavaScript</v>
      </c>
      <c r="H4942" s="9" t="str">
        <f>IFERROR(__xludf.DUMMYFUNCTION("""COMPUTED_VALUE"""),"C++")</f>
        <v>C++</v>
      </c>
      <c r="I4942" s="9" t="str">
        <f>IFERROR(__xludf.DUMMYFUNCTION("""COMPUTED_VALUE"""),"Bash/Shell/PowerShell")</f>
        <v>Bash/Shell/PowerShell</v>
      </c>
      <c r="J4942" s="9" t="str">
        <f>IFERROR(__xludf.DUMMYFUNCTION("""COMPUTED_VALUE"""),"HTML/CSS")</f>
        <v>HTML/CSS</v>
      </c>
      <c r="K4942" s="9" t="str">
        <f>IFERROR(__xludf.DUMMYFUNCTION("""COMPUTED_VALUE"""),"HTML/CSS")</f>
        <v>HTML/CSS</v>
      </c>
      <c r="L4942" s="9" t="str">
        <f>IFERROR(__xludf.DUMMYFUNCTION("""COMPUTED_VALUE"""),"Python")</f>
        <v>Python</v>
      </c>
      <c r="M4942" s="9" t="s">
        <v>36</v>
      </c>
    </row>
    <row r="4943" ht="15.75" customHeight="1">
      <c r="A4943" s="7"/>
      <c r="B4943" s="7" t="str">
        <f>IFERROR(__xludf.DUMMYFUNCTION("""COMPUTED_VALUE"""),"Bash/Shell/PowerShell;C++;HTML/CSS;JavaScript;Python;SQL;VBA")</f>
        <v>Bash/Shell/PowerShell;C++;HTML/CSS;JavaScript;Python;SQL;VBA</v>
      </c>
      <c r="C4943" s="9" t="str">
        <f>IFERROR(__xludf.DUMMYFUNCTION("""COMPUTED_VALUE"""),"HTML/CSS")</f>
        <v>HTML/CSS</v>
      </c>
      <c r="D4943" s="9" t="str">
        <f>IFERROR(__xludf.DUMMYFUNCTION("""COMPUTED_VALUE"""),"HTML/CSS")</f>
        <v>HTML/CSS</v>
      </c>
      <c r="E4943" s="9" t="str">
        <f>IFERROR(__xludf.DUMMYFUNCTION("""COMPUTED_VALUE"""),"Java")</f>
        <v>Java</v>
      </c>
      <c r="F4943" s="9" t="str">
        <f>IFERROR(__xludf.DUMMYFUNCTION("""COMPUTED_VALUE"""),"Java")</f>
        <v>Java</v>
      </c>
      <c r="G4943" s="9" t="str">
        <f>IFERROR(__xludf.DUMMYFUNCTION("""COMPUTED_VALUE"""),"PHP")</f>
        <v>PHP</v>
      </c>
      <c r="H4943" s="9" t="str">
        <f>IFERROR(__xludf.DUMMYFUNCTION("""COMPUTED_VALUE"""),"Java")</f>
        <v>Java</v>
      </c>
      <c r="I4943" s="9" t="str">
        <f>IFERROR(__xludf.DUMMYFUNCTION("""COMPUTED_VALUE"""),"C")</f>
        <v>C</v>
      </c>
      <c r="J4943" s="9" t="str">
        <f>IFERROR(__xludf.DUMMYFUNCTION("""COMPUTED_VALUE"""),"Python")</f>
        <v>Python</v>
      </c>
      <c r="K4943" s="9" t="str">
        <f>IFERROR(__xludf.DUMMYFUNCTION("""COMPUTED_VALUE"""),"JavaScript")</f>
        <v>JavaScript</v>
      </c>
      <c r="L4943" s="9" t="str">
        <f>IFERROR(__xludf.DUMMYFUNCTION("""COMPUTED_VALUE"""),"Java")</f>
        <v>Java</v>
      </c>
      <c r="M4943" s="9" t="s">
        <v>24</v>
      </c>
    </row>
    <row r="4944" ht="15.75" customHeight="1">
      <c r="A4944" s="7"/>
      <c r="B4944" s="7" t="str">
        <f>IFERROR(__xludf.DUMMYFUNCTION("""COMPUTED_VALUE"""),"Bash/Shell/PowerShell;Python;SQL")</f>
        <v>Bash/Shell/PowerShell;Python;SQL</v>
      </c>
      <c r="C4944" s="9" t="str">
        <f>IFERROR(__xludf.DUMMYFUNCTION("""COMPUTED_VALUE"""),"JavaScript")</f>
        <v>JavaScript</v>
      </c>
      <c r="D4944" s="9" t="str">
        <f>IFERROR(__xludf.DUMMYFUNCTION("""COMPUTED_VALUE"""),"JavaScript")</f>
        <v>JavaScript</v>
      </c>
      <c r="E4944" s="9" t="str">
        <f>IFERROR(__xludf.DUMMYFUNCTION("""COMPUTED_VALUE"""),"JavaScript")</f>
        <v>JavaScript</v>
      </c>
      <c r="F4944" s="9" t="str">
        <f>IFERROR(__xludf.DUMMYFUNCTION("""COMPUTED_VALUE"""),"JavaScript")</f>
        <v>JavaScript</v>
      </c>
      <c r="G4944" s="9" t="str">
        <f>IFERROR(__xludf.DUMMYFUNCTION("""COMPUTED_VALUE"""),"Python")</f>
        <v>Python</v>
      </c>
      <c r="H4944" s="9" t="str">
        <f>IFERROR(__xludf.DUMMYFUNCTION("""COMPUTED_VALUE"""),"Python")</f>
        <v>Python</v>
      </c>
      <c r="I4944" s="9" t="str">
        <f>IFERROR(__xludf.DUMMYFUNCTION("""COMPUTED_VALUE"""),"C++")</f>
        <v>C++</v>
      </c>
      <c r="J4944" s="9" t="str">
        <f>IFERROR(__xludf.DUMMYFUNCTION("""COMPUTED_VALUE"""),"SQL")</f>
        <v>SQL</v>
      </c>
      <c r="K4944" s="9" t="str">
        <f>IFERROR(__xludf.DUMMYFUNCTION("""COMPUTED_VALUE"""),"C++")</f>
        <v>C++</v>
      </c>
      <c r="L4944" s="9" t="str">
        <f>IFERROR(__xludf.DUMMYFUNCTION("""COMPUTED_VALUE"""),"JavaScript")</f>
        <v>JavaScript</v>
      </c>
      <c r="M4944" s="9" t="s">
        <v>21</v>
      </c>
    </row>
    <row r="4945" ht="15.75" customHeight="1">
      <c r="A4945" s="7"/>
      <c r="B4945" s="7" t="str">
        <f>IFERROR(__xludf.DUMMYFUNCTION("""COMPUTED_VALUE"""),"C;C++;HTML/CSS;Java;JavaScript;PHP;Python;SQL;Swift;TypeScript")</f>
        <v>C;C++;HTML/CSS;Java;JavaScript;PHP;Python;SQL;Swift;TypeScript</v>
      </c>
      <c r="C4945" s="9" t="str">
        <f>IFERROR(__xludf.DUMMYFUNCTION("""COMPUTED_VALUE"""),"PHP")</f>
        <v>PHP</v>
      </c>
      <c r="D4945" s="9" t="str">
        <f>IFERROR(__xludf.DUMMYFUNCTION("""COMPUTED_VALUE"""),"SQL")</f>
        <v>SQL</v>
      </c>
      <c r="E4945" s="9" t="str">
        <f>IFERROR(__xludf.DUMMYFUNCTION("""COMPUTED_VALUE"""),"PHP")</f>
        <v>PHP</v>
      </c>
      <c r="F4945" s="9" t="str">
        <f>IFERROR(__xludf.DUMMYFUNCTION("""COMPUTED_VALUE"""),"Python")</f>
        <v>Python</v>
      </c>
      <c r="G4945" s="9" t="str">
        <f>IFERROR(__xludf.DUMMYFUNCTION("""COMPUTED_VALUE"""),"SQL")</f>
        <v>SQL</v>
      </c>
      <c r="H4945" s="9" t="str">
        <f>IFERROR(__xludf.DUMMYFUNCTION("""COMPUTED_VALUE"""),"SQL")</f>
        <v>SQL</v>
      </c>
      <c r="I4945" s="9" t="str">
        <f>IFERROR(__xludf.DUMMYFUNCTION("""COMPUTED_VALUE"""),"Erlang")</f>
        <v>Erlang</v>
      </c>
      <c r="J4945" s="9" t="str">
        <f>IFERROR(__xludf.DUMMYFUNCTION("""COMPUTED_VALUE"""),"Bash/Shell/PowerShell")</f>
        <v>Bash/Shell/PowerShell</v>
      </c>
      <c r="K4945" s="9" t="str">
        <f>IFERROR(__xludf.DUMMYFUNCTION("""COMPUTED_VALUE"""),"HTML/CSS")</f>
        <v>HTML/CSS</v>
      </c>
      <c r="L4945" s="9" t="str">
        <f>IFERROR(__xludf.DUMMYFUNCTION("""COMPUTED_VALUE"""),"SQL")</f>
        <v>SQL</v>
      </c>
      <c r="M4945" s="9" t="s">
        <v>37</v>
      </c>
    </row>
    <row r="4946" ht="15.75" customHeight="1">
      <c r="A4946" s="7"/>
      <c r="B4946" s="7" t="str">
        <f>IFERROR(__xludf.DUMMYFUNCTION("""COMPUTED_VALUE"""),"Java;Kotlin")</f>
        <v>Java;Kotlin</v>
      </c>
      <c r="C4946" s="9" t="str">
        <f>IFERROR(__xludf.DUMMYFUNCTION("""COMPUTED_VALUE"""),"Python")</f>
        <v>Python</v>
      </c>
      <c r="D4946" s="9" t="str">
        <f>IFERROR(__xludf.DUMMYFUNCTION("""COMPUTED_VALUE"""),"C++")</f>
        <v>C++</v>
      </c>
      <c r="E4946" s="9" t="str">
        <f>IFERROR(__xludf.DUMMYFUNCTION("""COMPUTED_VALUE"""),"Python")</f>
        <v>Python</v>
      </c>
      <c r="F4946" s="9" t="str">
        <f>IFERROR(__xludf.DUMMYFUNCTION("""COMPUTED_VALUE"""),"SQL")</f>
        <v>SQL</v>
      </c>
      <c r="G4946" s="9" t="str">
        <f>IFERROR(__xludf.DUMMYFUNCTION("""COMPUTED_VALUE"""),"Swift")</f>
        <v>Swift</v>
      </c>
      <c r="H4946" s="9" t="str">
        <f>IFERROR(__xludf.DUMMYFUNCTION("""COMPUTED_VALUE"""),"C++")</f>
        <v>C++</v>
      </c>
      <c r="I4946" s="9" t="str">
        <f>IFERROR(__xludf.DUMMYFUNCTION("""COMPUTED_VALUE"""),"Go")</f>
        <v>Go</v>
      </c>
      <c r="J4946" s="9" t="str">
        <f>IFERROR(__xludf.DUMMYFUNCTION("""COMPUTED_VALUE"""),"Go")</f>
        <v>Go</v>
      </c>
      <c r="K4946" s="9" t="str">
        <f>IFERROR(__xludf.DUMMYFUNCTION("""COMPUTED_VALUE"""),"Java")</f>
        <v>Java</v>
      </c>
      <c r="L4946" s="9" t="str">
        <f>IFERROR(__xludf.DUMMYFUNCTION("""COMPUTED_VALUE"""),"TypeScript")</f>
        <v>TypeScript</v>
      </c>
      <c r="M4946" s="9" t="s">
        <v>22</v>
      </c>
    </row>
    <row r="4947" ht="15.75" customHeight="1">
      <c r="A4947" s="7"/>
      <c r="B4947" s="7" t="str">
        <f>IFERROR(__xludf.DUMMYFUNCTION("""COMPUTED_VALUE"""),"HTML/CSS;JavaScript;PHP")</f>
        <v>HTML/CSS;JavaScript;PHP</v>
      </c>
      <c r="C4947" s="9" t="str">
        <f>IFERROR(__xludf.DUMMYFUNCTION("""COMPUTED_VALUE"""),"HTML/CSS")</f>
        <v>HTML/CSS</v>
      </c>
      <c r="D4947" s="9" t="str">
        <f>IFERROR(__xludf.DUMMYFUNCTION("""COMPUTED_VALUE"""),"JavaScript")</f>
        <v>JavaScript</v>
      </c>
      <c r="E4947" s="9" t="str">
        <f>IFERROR(__xludf.DUMMYFUNCTION("""COMPUTED_VALUE"""),"SQL")</f>
        <v>SQL</v>
      </c>
      <c r="F4947" s="9" t="str">
        <f>IFERROR(__xludf.DUMMYFUNCTION("""COMPUTED_VALUE"""),"Bash/Shell/PowerShell")</f>
        <v>Bash/Shell/PowerShell</v>
      </c>
      <c r="G4947" s="9" t="str">
        <f>IFERROR(__xludf.DUMMYFUNCTION("""COMPUTED_VALUE"""),"TypeScript")</f>
        <v>TypeScript</v>
      </c>
      <c r="H4947" s="9" t="str">
        <f>IFERROR(__xludf.DUMMYFUNCTION("""COMPUTED_VALUE"""),"PHP")</f>
        <v>PHP</v>
      </c>
      <c r="I4947" s="9" t="str">
        <f>IFERROR(__xludf.DUMMYFUNCTION("""COMPUTED_VALUE"""),"Java")</f>
        <v>Java</v>
      </c>
      <c r="J4947" s="9" t="str">
        <f>IFERROR(__xludf.DUMMYFUNCTION("""COMPUTED_VALUE"""),"Python")</f>
        <v>Python</v>
      </c>
      <c r="K4947" s="9" t="str">
        <f>IFERROR(__xludf.DUMMYFUNCTION("""COMPUTED_VALUE"""),"JavaScript")</f>
        <v>JavaScript</v>
      </c>
      <c r="L4947" s="9" t="str">
        <f>IFERROR(__xludf.DUMMYFUNCTION("""COMPUTED_VALUE"""),"Assembly")</f>
        <v>Assembly</v>
      </c>
      <c r="M4947" s="9" t="s">
        <v>24</v>
      </c>
    </row>
    <row r="4948" ht="15.75" customHeight="1">
      <c r="A4948" s="7"/>
      <c r="B4948" s="7" t="str">
        <f>IFERROR(__xludf.DUMMYFUNCTION("""COMPUTED_VALUE"""),"C++;HTML/CSS;Java;Python;SQL")</f>
        <v>C++;HTML/CSS;Java;Python;SQL</v>
      </c>
      <c r="C4948" s="9" t="str">
        <f>IFERROR(__xludf.DUMMYFUNCTION("""COMPUTED_VALUE"""),"JavaScript")</f>
        <v>JavaScript</v>
      </c>
      <c r="D4948" s="9" t="str">
        <f>IFERROR(__xludf.DUMMYFUNCTION("""COMPUTED_VALUE"""),"SQL")</f>
        <v>SQL</v>
      </c>
      <c r="E4948" s="9" t="str">
        <f>IFERROR(__xludf.DUMMYFUNCTION("""COMPUTED_VALUE"""),"VBA")</f>
        <v>VBA</v>
      </c>
      <c r="F4948" s="9" t="str">
        <f>IFERROR(__xludf.DUMMYFUNCTION("""COMPUTED_VALUE"""),"C#")</f>
        <v>C#</v>
      </c>
      <c r="G4948" s="9" t="str">
        <f>IFERROR(__xludf.DUMMYFUNCTION("""COMPUTED_VALUE"""),"Java")</f>
        <v>Java</v>
      </c>
      <c r="H4948" s="9" t="str">
        <f>IFERROR(__xludf.DUMMYFUNCTION("""COMPUTED_VALUE"""),"C#")</f>
        <v>C#</v>
      </c>
      <c r="I4948" s="9" t="str">
        <f>IFERROR(__xludf.DUMMYFUNCTION("""COMPUTED_VALUE"""),"JavaScript")</f>
        <v>JavaScript</v>
      </c>
      <c r="J4948" s="9" t="str">
        <f>IFERROR(__xludf.DUMMYFUNCTION("""COMPUTED_VALUE"""),"R")</f>
        <v>R</v>
      </c>
      <c r="K4948" s="9" t="str">
        <f>IFERROR(__xludf.DUMMYFUNCTION("""COMPUTED_VALUE"""),"PHP")</f>
        <v>PHP</v>
      </c>
      <c r="L4948" s="9" t="str">
        <f>IFERROR(__xludf.DUMMYFUNCTION("""COMPUTED_VALUE"""),"Bash/Shell/PowerShell")</f>
        <v>Bash/Shell/PowerShell</v>
      </c>
      <c r="M4948" s="9" t="s">
        <v>21</v>
      </c>
    </row>
    <row r="4949" ht="15.75" customHeight="1">
      <c r="A4949" s="7"/>
      <c r="B4949" s="7" t="str">
        <f>IFERROR(__xludf.DUMMYFUNCTION("""COMPUTED_VALUE"""),"Dart;HTML/CSS;JavaScript;TypeScript")</f>
        <v>Dart;HTML/CSS;JavaScript;TypeScript</v>
      </c>
      <c r="C4949" s="9" t="str">
        <f>IFERROR(__xludf.DUMMYFUNCTION("""COMPUTED_VALUE"""),"PHP")</f>
        <v>PHP</v>
      </c>
      <c r="D4949" s="9" t="str">
        <f>IFERROR(__xludf.DUMMYFUNCTION("""COMPUTED_VALUE"""),"C")</f>
        <v>C</v>
      </c>
      <c r="E4949" s="9" t="str">
        <f>IFERROR(__xludf.DUMMYFUNCTION("""COMPUTED_VALUE"""),"Bash/Shell/PowerShell")</f>
        <v>Bash/Shell/PowerShell</v>
      </c>
      <c r="F4949" s="9" t="str">
        <f>IFERROR(__xludf.DUMMYFUNCTION("""COMPUTED_VALUE"""),"HTML/CSS")</f>
        <v>HTML/CSS</v>
      </c>
      <c r="G4949" s="9" t="str">
        <f>IFERROR(__xludf.DUMMYFUNCTION("""COMPUTED_VALUE"""),"Kotlin")</f>
        <v>Kotlin</v>
      </c>
      <c r="H4949" s="9" t="str">
        <f>IFERROR(__xludf.DUMMYFUNCTION("""COMPUTED_VALUE"""),"SQL")</f>
        <v>SQL</v>
      </c>
      <c r="I4949" s="9" t="str">
        <f>IFERROR(__xludf.DUMMYFUNCTION("""COMPUTED_VALUE"""),"Python")</f>
        <v>Python</v>
      </c>
      <c r="J4949" s="9" t="str">
        <f>IFERROR(__xludf.DUMMYFUNCTION("""COMPUTED_VALUE"""),"SQL")</f>
        <v>SQL</v>
      </c>
      <c r="K4949" s="9" t="str">
        <f>IFERROR(__xludf.DUMMYFUNCTION("""COMPUTED_VALUE"""),"Python")</f>
        <v>Python</v>
      </c>
      <c r="L4949" s="9" t="str">
        <f>IFERROR(__xludf.DUMMYFUNCTION("""COMPUTED_VALUE"""),"C")</f>
        <v>C</v>
      </c>
      <c r="M4949" s="9" t="s">
        <v>37</v>
      </c>
    </row>
    <row r="4950" ht="15.75" customHeight="1">
      <c r="A4950" s="7"/>
      <c r="B4950" s="7" t="str">
        <f>IFERROR(__xludf.DUMMYFUNCTION("""COMPUTED_VALUE"""),"Bash/Shell/PowerShell;C#;HTML/CSS;JavaScript;SQL;TypeScript")</f>
        <v>Bash/Shell/PowerShell;C#;HTML/CSS;JavaScript;SQL;TypeScript</v>
      </c>
      <c r="C4950" s="9" t="str">
        <f>IFERROR(__xludf.DUMMYFUNCTION("""COMPUTED_VALUE"""),"SQL")</f>
        <v>SQL</v>
      </c>
      <c r="D4950" s="9" t="str">
        <f>IFERROR(__xludf.DUMMYFUNCTION("""COMPUTED_VALUE"""),"C++")</f>
        <v>C++</v>
      </c>
      <c r="E4950" s="9" t="str">
        <f>IFERROR(__xludf.DUMMYFUNCTION("""COMPUTED_VALUE"""),"C")</f>
        <v>C</v>
      </c>
      <c r="F4950" s="9" t="str">
        <f>IFERROR(__xludf.DUMMYFUNCTION("""COMPUTED_VALUE"""),"JavaScript")</f>
        <v>JavaScript</v>
      </c>
      <c r="G4950" s="9" t="str">
        <f>IFERROR(__xludf.DUMMYFUNCTION("""COMPUTED_VALUE"""),"HTML/CSS")</f>
        <v>HTML/CSS</v>
      </c>
      <c r="H4950" s="9" t="str">
        <f>IFERROR(__xludf.DUMMYFUNCTION("""COMPUTED_VALUE"""),"SQL")</f>
        <v>SQL</v>
      </c>
      <c r="I4950" s="9" t="str">
        <f>IFERROR(__xludf.DUMMYFUNCTION("""COMPUTED_VALUE"""),"R")</f>
        <v>R</v>
      </c>
      <c r="J4950" s="9" t="str">
        <f>IFERROR(__xludf.DUMMYFUNCTION("""COMPUTED_VALUE"""),"Bash/Shell/PowerShell")</f>
        <v>Bash/Shell/PowerShell</v>
      </c>
      <c r="K4950" s="9" t="str">
        <f>IFERROR(__xludf.DUMMYFUNCTION("""COMPUTED_VALUE"""),"Ruby")</f>
        <v>Ruby</v>
      </c>
      <c r="L4950" s="9" t="str">
        <f>IFERROR(__xludf.DUMMYFUNCTION("""COMPUTED_VALUE"""),"HTML/CSS")</f>
        <v>HTML/CSS</v>
      </c>
      <c r="M4950" s="9" t="s">
        <v>27</v>
      </c>
    </row>
    <row r="4951" ht="15.75" customHeight="1">
      <c r="A4951" s="7"/>
      <c r="B4951" s="7" t="str">
        <f>IFERROR(__xludf.DUMMYFUNCTION("""COMPUTED_VALUE"""),"Bash/Shell/PowerShell;C;C++;Python")</f>
        <v>Bash/Shell/PowerShell;C;C++;Python</v>
      </c>
      <c r="C4951" s="9" t="str">
        <f>IFERROR(__xludf.DUMMYFUNCTION("""COMPUTED_VALUE"""),"Dart")</f>
        <v>Dart</v>
      </c>
      <c r="D4951" s="9" t="str">
        <f>IFERROR(__xludf.DUMMYFUNCTION("""COMPUTED_VALUE"""),"C#")</f>
        <v>C#</v>
      </c>
      <c r="E4951" s="9" t="str">
        <f>IFERROR(__xludf.DUMMYFUNCTION("""COMPUTED_VALUE"""),"HTML/CSS")</f>
        <v>HTML/CSS</v>
      </c>
      <c r="F4951" s="9" t="str">
        <f>IFERROR(__xludf.DUMMYFUNCTION("""COMPUTED_VALUE"""),"SQL")</f>
        <v>SQL</v>
      </c>
      <c r="G4951" s="9" t="str">
        <f>IFERROR(__xludf.DUMMYFUNCTION("""COMPUTED_VALUE"""),"JavaScript")</f>
        <v>JavaScript</v>
      </c>
      <c r="H4951" s="9" t="str">
        <f>IFERROR(__xludf.DUMMYFUNCTION("""COMPUTED_VALUE"""),"VBA")</f>
        <v>VBA</v>
      </c>
      <c r="I4951" s="9" t="str">
        <f>IFERROR(__xludf.DUMMYFUNCTION("""COMPUTED_VALUE"""),"Rust")</f>
        <v>Rust</v>
      </c>
      <c r="J4951" s="9" t="str">
        <f>IFERROR(__xludf.DUMMYFUNCTION("""COMPUTED_VALUE"""),"C")</f>
        <v>C</v>
      </c>
      <c r="K4951" s="9" t="str">
        <f>IFERROR(__xludf.DUMMYFUNCTION("""COMPUTED_VALUE"""),"SQL")</f>
        <v>SQL</v>
      </c>
      <c r="L4951" s="9" t="str">
        <f>IFERROR(__xludf.DUMMYFUNCTION("""COMPUTED_VALUE"""),"JavaScript")</f>
        <v>JavaScript</v>
      </c>
      <c r="M4951" s="9" t="s">
        <v>47</v>
      </c>
    </row>
    <row r="4952" ht="15.75" customHeight="1">
      <c r="A4952" s="7"/>
      <c r="B4952" s="7" t="str">
        <f>IFERROR(__xludf.DUMMYFUNCTION("""COMPUTED_VALUE"""),"Bash/Shell/PowerShell;HTML/CSS;Java;JavaScript;Python;Ruby;SQL;Swift")</f>
        <v>Bash/Shell/PowerShell;HTML/CSS;Java;JavaScript;Python;Ruby;SQL;Swift</v>
      </c>
      <c r="C4952" s="9" t="str">
        <f>IFERROR(__xludf.DUMMYFUNCTION("""COMPUTED_VALUE"""),"Java")</f>
        <v>Java</v>
      </c>
      <c r="D4952" s="9" t="str">
        <f>IFERROR(__xludf.DUMMYFUNCTION("""COMPUTED_VALUE"""),"Go")</f>
        <v>Go</v>
      </c>
      <c r="E4952" s="9" t="str">
        <f>IFERROR(__xludf.DUMMYFUNCTION("""COMPUTED_VALUE"""),"Java")</f>
        <v>Java</v>
      </c>
      <c r="F4952" s="9" t="str">
        <f>IFERROR(__xludf.DUMMYFUNCTION("""COMPUTED_VALUE"""),"VBA")</f>
        <v>VBA</v>
      </c>
      <c r="G4952" s="9" t="str">
        <f>IFERROR(__xludf.DUMMYFUNCTION("""COMPUTED_VALUE"""),"PHP")</f>
        <v>PHP</v>
      </c>
      <c r="H4952" s="9" t="str">
        <f>IFERROR(__xludf.DUMMYFUNCTION("""COMPUTED_VALUE"""),"Bash/Shell/PowerShell")</f>
        <v>Bash/Shell/PowerShell</v>
      </c>
      <c r="I4952" s="9" t="str">
        <f>IFERROR(__xludf.DUMMYFUNCTION("""COMPUTED_VALUE"""),"Scala")</f>
        <v>Scala</v>
      </c>
      <c r="J4952" s="9" t="str">
        <f>IFERROR(__xludf.DUMMYFUNCTION("""COMPUTED_VALUE"""),"C++")</f>
        <v>C++</v>
      </c>
      <c r="K4952" s="9" t="str">
        <f>IFERROR(__xludf.DUMMYFUNCTION("""COMPUTED_VALUE"""),"TypeScript")</f>
        <v>TypeScript</v>
      </c>
      <c r="L4952" s="9" t="str">
        <f>IFERROR(__xludf.DUMMYFUNCTION("""COMPUTED_VALUE"""),"Kotlin")</f>
        <v>Kotlin</v>
      </c>
      <c r="M4952" s="9" t="s">
        <v>20</v>
      </c>
    </row>
    <row r="4953" ht="15.75" customHeight="1">
      <c r="A4953" s="7"/>
      <c r="B4953" s="7" t="str">
        <f>IFERROR(__xludf.DUMMYFUNCTION("""COMPUTED_VALUE"""),"Other(s):")</f>
        <v>Other(s):</v>
      </c>
      <c r="C4953" s="9" t="str">
        <f>IFERROR(__xludf.DUMMYFUNCTION("""COMPUTED_VALUE"""),"Kotlin")</f>
        <v>Kotlin</v>
      </c>
      <c r="D4953" s="9" t="str">
        <f>IFERROR(__xludf.DUMMYFUNCTION("""COMPUTED_VALUE"""),"HTML/CSS")</f>
        <v>HTML/CSS</v>
      </c>
      <c r="E4953" s="9" t="str">
        <f>IFERROR(__xludf.DUMMYFUNCTION("""COMPUTED_VALUE"""),"JavaScript")</f>
        <v>JavaScript</v>
      </c>
      <c r="F4953" s="9" t="str">
        <f>IFERROR(__xludf.DUMMYFUNCTION("""COMPUTED_VALUE"""),"C")</f>
        <v>C</v>
      </c>
      <c r="G4953" s="9" t="str">
        <f>IFERROR(__xludf.DUMMYFUNCTION("""COMPUTED_VALUE"""),"C++")</f>
        <v>C++</v>
      </c>
      <c r="H4953" s="9" t="str">
        <f>IFERROR(__xludf.DUMMYFUNCTION("""COMPUTED_VALUE"""),"C++")</f>
        <v>C++</v>
      </c>
      <c r="I4953" s="9" t="str">
        <f>IFERROR(__xludf.DUMMYFUNCTION("""COMPUTED_VALUE"""),"SQL")</f>
        <v>SQL</v>
      </c>
      <c r="J4953" s="9" t="str">
        <f>IFERROR(__xludf.DUMMYFUNCTION("""COMPUTED_VALUE"""),"HTML/CSS")</f>
        <v>HTML/CSS</v>
      </c>
      <c r="K4953" s="9" t="str">
        <f>IFERROR(__xludf.DUMMYFUNCTION("""COMPUTED_VALUE"""),"HTML/CSS")</f>
        <v>HTML/CSS</v>
      </c>
      <c r="L4953" s="9" t="str">
        <f>IFERROR(__xludf.DUMMYFUNCTION("""COMPUTED_VALUE"""),"PHP")</f>
        <v>PHP</v>
      </c>
      <c r="M4953" s="9" t="s">
        <v>39</v>
      </c>
    </row>
    <row r="4954" ht="15.75" customHeight="1">
      <c r="A4954" s="7"/>
      <c r="B4954" s="7" t="str">
        <f>IFERROR(__xludf.DUMMYFUNCTION("""COMPUTED_VALUE"""),"Java;JavaScript")</f>
        <v>Java;JavaScript</v>
      </c>
      <c r="C4954" s="9" t="str">
        <f>IFERROR(__xludf.DUMMYFUNCTION("""COMPUTED_VALUE"""),"Python")</f>
        <v>Python</v>
      </c>
      <c r="D4954" s="9" t="str">
        <f>IFERROR(__xludf.DUMMYFUNCTION("""COMPUTED_VALUE"""),"Java")</f>
        <v>Java</v>
      </c>
      <c r="E4954" s="9" t="str">
        <f>IFERROR(__xludf.DUMMYFUNCTION("""COMPUTED_VALUE"""),"SQL")</f>
        <v>SQL</v>
      </c>
      <c r="F4954" s="9" t="str">
        <f>IFERROR(__xludf.DUMMYFUNCTION("""COMPUTED_VALUE"""),"HTML/CSS")</f>
        <v>HTML/CSS</v>
      </c>
      <c r="G4954" s="9" t="str">
        <f>IFERROR(__xludf.DUMMYFUNCTION("""COMPUTED_VALUE"""),"HTML/CSS")</f>
        <v>HTML/CSS</v>
      </c>
      <c r="H4954" s="9" t="str">
        <f>IFERROR(__xludf.DUMMYFUNCTION("""COMPUTED_VALUE"""),"Dart")</f>
        <v>Dart</v>
      </c>
      <c r="I4954" s="9" t="str">
        <f>IFERROR(__xludf.DUMMYFUNCTION("""COMPUTED_VALUE"""),"TypeScript")</f>
        <v>TypeScript</v>
      </c>
      <c r="J4954" s="9" t="str">
        <f>IFERROR(__xludf.DUMMYFUNCTION("""COMPUTED_VALUE"""),"JavaScript")</f>
        <v>JavaScript</v>
      </c>
      <c r="K4954" s="9" t="str">
        <f>IFERROR(__xludf.DUMMYFUNCTION("""COMPUTED_VALUE"""),"Ruby")</f>
        <v>Ruby</v>
      </c>
      <c r="L4954" s="9" t="str">
        <f>IFERROR(__xludf.DUMMYFUNCTION("""COMPUTED_VALUE"""),"Python")</f>
        <v>Python</v>
      </c>
      <c r="M4954" s="9" t="s">
        <v>22</v>
      </c>
    </row>
    <row r="4955" ht="15.75" customHeight="1">
      <c r="A4955" s="7"/>
      <c r="B4955" s="7" t="str">
        <f>IFERROR(__xludf.DUMMYFUNCTION("""COMPUTED_VALUE"""),"C++;C#;HTML/CSS;Java;JavaScript;SQL")</f>
        <v>C++;C#;HTML/CSS;Java;JavaScript;SQL</v>
      </c>
      <c r="C4955" s="9" t="str">
        <f>IFERROR(__xludf.DUMMYFUNCTION("""COMPUTED_VALUE"""),"Scala")</f>
        <v>Scala</v>
      </c>
      <c r="D4955" s="9" t="str">
        <f>IFERROR(__xludf.DUMMYFUNCTION("""COMPUTED_VALUE"""),"JavaScript")</f>
        <v>JavaScript</v>
      </c>
      <c r="E4955" s="9" t="str">
        <f>IFERROR(__xludf.DUMMYFUNCTION("""COMPUTED_VALUE"""),"HTML/CSS")</f>
        <v>HTML/CSS</v>
      </c>
      <c r="F4955" s="9" t="str">
        <f>IFERROR(__xludf.DUMMYFUNCTION("""COMPUTED_VALUE"""),"JavaScript")</f>
        <v>JavaScript</v>
      </c>
      <c r="G4955" s="9" t="str">
        <f>IFERROR(__xludf.DUMMYFUNCTION("""COMPUTED_VALUE"""),"Java")</f>
        <v>Java</v>
      </c>
      <c r="H4955" s="9" t="str">
        <f>IFERROR(__xludf.DUMMYFUNCTION("""COMPUTED_VALUE"""),"HTML/CSS")</f>
        <v>HTML/CSS</v>
      </c>
      <c r="I4955" s="9" t="str">
        <f>IFERROR(__xludf.DUMMYFUNCTION("""COMPUTED_VALUE"""),"C")</f>
        <v>C</v>
      </c>
      <c r="J4955" s="9" t="str">
        <f>IFERROR(__xludf.DUMMYFUNCTION("""COMPUTED_VALUE"""),"Python")</f>
        <v>Python</v>
      </c>
      <c r="K4955" s="9" t="str">
        <f>IFERROR(__xludf.DUMMYFUNCTION("""COMPUTED_VALUE"""),"SQL")</f>
        <v>SQL</v>
      </c>
      <c r="L4955" s="9" t="str">
        <f>IFERROR(__xludf.DUMMYFUNCTION("""COMPUTED_VALUE"""),"SQL")</f>
        <v>SQL</v>
      </c>
      <c r="M4955" s="9" t="s">
        <v>46</v>
      </c>
    </row>
    <row r="4956" ht="15.75" customHeight="1">
      <c r="A4956" s="7"/>
      <c r="B4956" s="7" t="str">
        <f>IFERROR(__xludf.DUMMYFUNCTION("""COMPUTED_VALUE"""),"HTML/CSS;JavaScript;PHP;SQL")</f>
        <v>HTML/CSS;JavaScript;PHP;SQL</v>
      </c>
      <c r="C4956" s="9" t="str">
        <f>IFERROR(__xludf.DUMMYFUNCTION("""COMPUTED_VALUE"""),"Swift")</f>
        <v>Swift</v>
      </c>
      <c r="D4956" s="9" t="str">
        <f>IFERROR(__xludf.DUMMYFUNCTION("""COMPUTED_VALUE"""),"Python")</f>
        <v>Python</v>
      </c>
      <c r="E4956" s="9" t="str">
        <f>IFERROR(__xludf.DUMMYFUNCTION("""COMPUTED_VALUE"""),"PHP")</f>
        <v>PHP</v>
      </c>
      <c r="F4956" s="9" t="str">
        <f>IFERROR(__xludf.DUMMYFUNCTION("""COMPUTED_VALUE"""),"Python")</f>
        <v>Python</v>
      </c>
      <c r="G4956" s="9" t="str">
        <f>IFERROR(__xludf.DUMMYFUNCTION("""COMPUTED_VALUE"""),"Python")</f>
        <v>Python</v>
      </c>
      <c r="H4956" s="9" t="str">
        <f>IFERROR(__xludf.DUMMYFUNCTION("""COMPUTED_VALUE"""),"JavaScript")</f>
        <v>JavaScript</v>
      </c>
      <c r="I4956" s="9" t="str">
        <f>IFERROR(__xludf.DUMMYFUNCTION("""COMPUTED_VALUE"""),"C++")</f>
        <v>C++</v>
      </c>
      <c r="J4956" s="9" t="str">
        <f>IFERROR(__xludf.DUMMYFUNCTION("""COMPUTED_VALUE"""),"R")</f>
        <v>R</v>
      </c>
      <c r="K4956" s="9" t="str">
        <f>IFERROR(__xludf.DUMMYFUNCTION("""COMPUTED_VALUE"""),"C")</f>
        <v>C</v>
      </c>
      <c r="L4956" s="9" t="str">
        <f>IFERROR(__xludf.DUMMYFUNCTION("""COMPUTED_VALUE"""),"Other(s):")</f>
        <v>Other(s):</v>
      </c>
      <c r="M4956" s="9" t="s">
        <v>40</v>
      </c>
    </row>
    <row r="4957" ht="15.75" customHeight="1">
      <c r="A4957" s="7"/>
      <c r="B4957" s="7" t="str">
        <f>IFERROR(__xludf.DUMMYFUNCTION("""COMPUTED_VALUE"""),"Bash/Shell/PowerShell;C#;SQL")</f>
        <v>Bash/Shell/PowerShell;C#;SQL</v>
      </c>
      <c r="C4957" s="9" t="str">
        <f>IFERROR(__xludf.DUMMYFUNCTION("""COMPUTED_VALUE"""),"C#")</f>
        <v>C#</v>
      </c>
      <c r="D4957" s="9" t="str">
        <f>IFERROR(__xludf.DUMMYFUNCTION("""COMPUTED_VALUE"""),"R")</f>
        <v>R</v>
      </c>
      <c r="E4957" s="9" t="str">
        <f>IFERROR(__xludf.DUMMYFUNCTION("""COMPUTED_VALUE"""),"SQL")</f>
        <v>SQL</v>
      </c>
      <c r="F4957" s="9" t="str">
        <f>IFERROR(__xludf.DUMMYFUNCTION("""COMPUTED_VALUE"""),"Ruby")</f>
        <v>Ruby</v>
      </c>
      <c r="G4957" s="9" t="str">
        <f>IFERROR(__xludf.DUMMYFUNCTION("""COMPUTED_VALUE"""),"SQL")</f>
        <v>SQL</v>
      </c>
      <c r="H4957" s="9" t="str">
        <f>IFERROR(__xludf.DUMMYFUNCTION("""COMPUTED_VALUE"""),"PHP")</f>
        <v>PHP</v>
      </c>
      <c r="I4957" s="9" t="str">
        <f>IFERROR(__xludf.DUMMYFUNCTION("""COMPUTED_VALUE"""),"Go")</f>
        <v>Go</v>
      </c>
      <c r="J4957" s="9" t="str">
        <f>IFERROR(__xludf.DUMMYFUNCTION("""COMPUTED_VALUE"""),"Ruby")</f>
        <v>Ruby</v>
      </c>
      <c r="K4957" s="9" t="str">
        <f>IFERROR(__xludf.DUMMYFUNCTION("""COMPUTED_VALUE"""),"C++")</f>
        <v>C++</v>
      </c>
      <c r="L4957" s="9" t="str">
        <f>IFERROR(__xludf.DUMMYFUNCTION("""COMPUTED_VALUE"""),"Bash/Shell/PowerShell")</f>
        <v>Bash/Shell/PowerShell</v>
      </c>
      <c r="M4957" s="9" t="s">
        <v>26</v>
      </c>
    </row>
    <row r="4958" ht="15.75" customHeight="1">
      <c r="A4958" s="7"/>
      <c r="B4958" s="7" t="str">
        <f>IFERROR(__xludf.DUMMYFUNCTION("""COMPUTED_VALUE"""),"HTML/CSS;Java;JavaScript;TypeScript")</f>
        <v>HTML/CSS;Java;JavaScript;TypeScript</v>
      </c>
      <c r="C4958" s="9" t="str">
        <f>IFERROR(__xludf.DUMMYFUNCTION("""COMPUTED_VALUE"""),"HTML/CSS")</f>
        <v>HTML/CSS</v>
      </c>
      <c r="D4958" s="9" t="str">
        <f>IFERROR(__xludf.DUMMYFUNCTION("""COMPUTED_VALUE"""),"Scala")</f>
        <v>Scala</v>
      </c>
      <c r="E4958" s="9" t="str">
        <f>IFERROR(__xludf.DUMMYFUNCTION("""COMPUTED_VALUE"""),"HTML/CSS")</f>
        <v>HTML/CSS</v>
      </c>
      <c r="F4958" s="9" t="str">
        <f>IFERROR(__xludf.DUMMYFUNCTION("""COMPUTED_VALUE"""),"SQL")</f>
        <v>SQL</v>
      </c>
      <c r="G4958" s="9" t="str">
        <f>IFERROR(__xludf.DUMMYFUNCTION("""COMPUTED_VALUE"""),"Dart")</f>
        <v>Dart</v>
      </c>
      <c r="H4958" s="9" t="str">
        <f>IFERROR(__xludf.DUMMYFUNCTION("""COMPUTED_VALUE"""),"Python")</f>
        <v>Python</v>
      </c>
      <c r="I4958" s="9" t="str">
        <f>IFERROR(__xludf.DUMMYFUNCTION("""COMPUTED_VALUE"""),"HTML/CSS")</f>
        <v>HTML/CSS</v>
      </c>
      <c r="J4958" s="9" t="str">
        <f>IFERROR(__xludf.DUMMYFUNCTION("""COMPUTED_VALUE"""),"SQL")</f>
        <v>SQL</v>
      </c>
      <c r="K4958" s="9" t="str">
        <f>IFERROR(__xludf.DUMMYFUNCTION("""COMPUTED_VALUE"""),"HTML/CSS")</f>
        <v>HTML/CSS</v>
      </c>
      <c r="L4958" s="9" t="str">
        <f>IFERROR(__xludf.DUMMYFUNCTION("""COMPUTED_VALUE"""),"C++")</f>
        <v>C++</v>
      </c>
      <c r="M4958" s="9" t="s">
        <v>24</v>
      </c>
    </row>
    <row r="4959" ht="15.75" customHeight="1">
      <c r="A4959" s="7"/>
      <c r="B4959" s="7" t="str">
        <f>IFERROR(__xludf.DUMMYFUNCTION("""COMPUTED_VALUE"""),"JavaScript")</f>
        <v>JavaScript</v>
      </c>
      <c r="C4959" s="9" t="str">
        <f>IFERROR(__xludf.DUMMYFUNCTION("""COMPUTED_VALUE"""),"SQL")</f>
        <v>SQL</v>
      </c>
      <c r="D4959" s="9" t="str">
        <f>IFERROR(__xludf.DUMMYFUNCTION("""COMPUTED_VALUE"""),"SQL")</f>
        <v>SQL</v>
      </c>
      <c r="E4959" s="9" t="str">
        <f>IFERROR(__xludf.DUMMYFUNCTION("""COMPUTED_VALUE"""),"Java")</f>
        <v>Java</v>
      </c>
      <c r="F4959" s="9" t="str">
        <f>IFERROR(__xludf.DUMMYFUNCTION("""COMPUTED_VALUE"""),"C#")</f>
        <v>C#</v>
      </c>
      <c r="G4959" s="9" t="str">
        <f>IFERROR(__xludf.DUMMYFUNCTION("""COMPUTED_VALUE"""),"HTML/CSS")</f>
        <v>HTML/CSS</v>
      </c>
      <c r="H4959" s="9" t="str">
        <f>IFERROR(__xludf.DUMMYFUNCTION("""COMPUTED_VALUE"""),"SQL")</f>
        <v>SQL</v>
      </c>
      <c r="I4959" s="9" t="str">
        <f>IFERROR(__xludf.DUMMYFUNCTION("""COMPUTED_VALUE"""),"Java")</f>
        <v>Java</v>
      </c>
      <c r="J4959" s="9" t="str">
        <f>IFERROR(__xludf.DUMMYFUNCTION("""COMPUTED_VALUE"""),"Python")</f>
        <v>Python</v>
      </c>
      <c r="K4959" s="9" t="str">
        <f>IFERROR(__xludf.DUMMYFUNCTION("""COMPUTED_VALUE"""),"Java")</f>
        <v>Java</v>
      </c>
      <c r="L4959" s="9" t="str">
        <f>IFERROR(__xludf.DUMMYFUNCTION("""COMPUTED_VALUE"""),"JavaScript")</f>
        <v>JavaScript</v>
      </c>
      <c r="M4959" s="9" t="s">
        <v>27</v>
      </c>
    </row>
    <row r="4960" ht="15.75" customHeight="1">
      <c r="A4960" s="7"/>
      <c r="B4960" s="7" t="str">
        <f>IFERROR(__xludf.DUMMYFUNCTION("""COMPUTED_VALUE"""),"HTML/CSS;Java;JavaScript;Python;SQL")</f>
        <v>HTML/CSS;Java;JavaScript;Python;SQL</v>
      </c>
      <c r="C4960" s="9" t="str">
        <f>IFERROR(__xludf.DUMMYFUNCTION("""COMPUTED_VALUE"""),"Bash/Shell/PowerShell")</f>
        <v>Bash/Shell/PowerShell</v>
      </c>
      <c r="D4960" s="9" t="str">
        <f>IFERROR(__xludf.DUMMYFUNCTION("""COMPUTED_VALUE"""),"VBA")</f>
        <v>VBA</v>
      </c>
      <c r="E4960" s="9" t="str">
        <f>IFERROR(__xludf.DUMMYFUNCTION("""COMPUTED_VALUE"""),"JavaScript")</f>
        <v>JavaScript</v>
      </c>
      <c r="F4960" s="9" t="str">
        <f>IFERROR(__xludf.DUMMYFUNCTION("""COMPUTED_VALUE"""),"Dart")</f>
        <v>Dart</v>
      </c>
      <c r="G4960" s="9" t="str">
        <f>IFERROR(__xludf.DUMMYFUNCTION("""COMPUTED_VALUE"""),"JavaScript")</f>
        <v>JavaScript</v>
      </c>
      <c r="H4960" s="9" t="str">
        <f>IFERROR(__xludf.DUMMYFUNCTION("""COMPUTED_VALUE"""),"TypeScript")</f>
        <v>TypeScript</v>
      </c>
      <c r="I4960" s="9" t="str">
        <f>IFERROR(__xludf.DUMMYFUNCTION("""COMPUTED_VALUE"""),"JavaScript")</f>
        <v>JavaScript</v>
      </c>
      <c r="J4960" s="9" t="str">
        <f>IFERROR(__xludf.DUMMYFUNCTION("""COMPUTED_VALUE"""),"HTML/CSS")</f>
        <v>HTML/CSS</v>
      </c>
      <c r="K4960" s="9" t="str">
        <f>IFERROR(__xludf.DUMMYFUNCTION("""COMPUTED_VALUE"""),"JavaScript")</f>
        <v>JavaScript</v>
      </c>
      <c r="L4960" s="9" t="str">
        <f>IFERROR(__xludf.DUMMYFUNCTION("""COMPUTED_VALUE"""),"Python")</f>
        <v>Python</v>
      </c>
      <c r="M4960" s="9" t="s">
        <v>30</v>
      </c>
    </row>
    <row r="4961" ht="15.75" customHeight="1">
      <c r="A4961" s="7"/>
      <c r="B4961" s="7" t="str">
        <f>IFERROR(__xludf.DUMMYFUNCTION("""COMPUTED_VALUE"""),"Bash/Shell/PowerShell;Java;SQL")</f>
        <v>Bash/Shell/PowerShell;Java;SQL</v>
      </c>
      <c r="C4961" s="9" t="str">
        <f>IFERROR(__xludf.DUMMYFUNCTION("""COMPUTED_VALUE"""),"C++")</f>
        <v>C++</v>
      </c>
      <c r="D4961" s="9" t="str">
        <f>IFERROR(__xludf.DUMMYFUNCTION("""COMPUTED_VALUE"""),"Elixir")</f>
        <v>Elixir</v>
      </c>
      <c r="E4961" s="9" t="str">
        <f>IFERROR(__xludf.DUMMYFUNCTION("""COMPUTED_VALUE"""),"PHP")</f>
        <v>PHP</v>
      </c>
      <c r="F4961" s="9" t="str">
        <f>IFERROR(__xludf.DUMMYFUNCTION("""COMPUTED_VALUE"""),"Go")</f>
        <v>Go</v>
      </c>
      <c r="G4961" s="9" t="str">
        <f>IFERROR(__xludf.DUMMYFUNCTION("""COMPUTED_VALUE"""),"TypeScript")</f>
        <v>TypeScript</v>
      </c>
      <c r="H4961" s="9" t="str">
        <f>IFERROR(__xludf.DUMMYFUNCTION("""COMPUTED_VALUE"""),"HTML/CSS")</f>
        <v>HTML/CSS</v>
      </c>
      <c r="I4961" s="9" t="str">
        <f>IFERROR(__xludf.DUMMYFUNCTION("""COMPUTED_VALUE"""),"Python")</f>
        <v>Python</v>
      </c>
      <c r="J4961" s="9" t="str">
        <f>IFERROR(__xludf.DUMMYFUNCTION("""COMPUTED_VALUE"""),"JavaScript")</f>
        <v>JavaScript</v>
      </c>
      <c r="K4961" s="9" t="str">
        <f>IFERROR(__xludf.DUMMYFUNCTION("""COMPUTED_VALUE"""),"Ruby")</f>
        <v>Ruby</v>
      </c>
      <c r="L4961" s="9" t="str">
        <f>IFERROR(__xludf.DUMMYFUNCTION("""COMPUTED_VALUE"""),"Bash/Shell/PowerShell")</f>
        <v>Bash/Shell/PowerShell</v>
      </c>
      <c r="M4961" s="9" t="s">
        <v>23</v>
      </c>
    </row>
    <row r="4962" ht="15.75" customHeight="1">
      <c r="A4962" s="7"/>
      <c r="B4962" s="7" t="str">
        <f>IFERROR(__xludf.DUMMYFUNCTION("""COMPUTED_VALUE"""),"HTML/CSS;JavaScript")</f>
        <v>HTML/CSS;JavaScript</v>
      </c>
      <c r="C4962" s="9" t="str">
        <f>IFERROR(__xludf.DUMMYFUNCTION("""COMPUTED_VALUE"""),"HTML/CSS")</f>
        <v>HTML/CSS</v>
      </c>
      <c r="D4962" s="9" t="str">
        <f>IFERROR(__xludf.DUMMYFUNCTION("""COMPUTED_VALUE"""),"HTML/CSS")</f>
        <v>HTML/CSS</v>
      </c>
      <c r="E4962" s="9" t="str">
        <f>IFERROR(__xludf.DUMMYFUNCTION("""COMPUTED_VALUE"""),"Python")</f>
        <v>Python</v>
      </c>
      <c r="F4962" s="9" t="str">
        <f>IFERROR(__xludf.DUMMYFUNCTION("""COMPUTED_VALUE"""),"HTML/CSS")</f>
        <v>HTML/CSS</v>
      </c>
      <c r="G4962" s="9" t="str">
        <f>IFERROR(__xludf.DUMMYFUNCTION("""COMPUTED_VALUE"""),"Bash/Shell/PowerShell")</f>
        <v>Bash/Shell/PowerShell</v>
      </c>
      <c r="H4962" s="9" t="str">
        <f>IFERROR(__xludf.DUMMYFUNCTION("""COMPUTED_VALUE"""),"JavaScript")</f>
        <v>JavaScript</v>
      </c>
      <c r="I4962" s="9" t="str">
        <f>IFERROR(__xludf.DUMMYFUNCTION("""COMPUTED_VALUE"""),"SQL")</f>
        <v>SQL</v>
      </c>
      <c r="J4962" s="9" t="str">
        <f>IFERROR(__xludf.DUMMYFUNCTION("""COMPUTED_VALUE"""),"C")</f>
        <v>C</v>
      </c>
      <c r="K4962" s="9" t="str">
        <f>IFERROR(__xludf.DUMMYFUNCTION("""COMPUTED_VALUE"""),"SQL")</f>
        <v>SQL</v>
      </c>
      <c r="L4962" s="9" t="str">
        <f>IFERROR(__xludf.DUMMYFUNCTION("""COMPUTED_VALUE"""),"C#")</f>
        <v>C#</v>
      </c>
      <c r="M4962" s="9" t="s">
        <v>24</v>
      </c>
    </row>
    <row r="4963" ht="15.75" customHeight="1">
      <c r="A4963" s="7"/>
      <c r="B4963" s="7" t="str">
        <f>IFERROR(__xludf.DUMMYFUNCTION("""COMPUTED_VALUE"""),"Bash/Shell/PowerShell;C;C++;Python")</f>
        <v>Bash/Shell/PowerShell;C;C++;Python</v>
      </c>
      <c r="C4963" s="9" t="str">
        <f>IFERROR(__xludf.DUMMYFUNCTION("""COMPUTED_VALUE"""),"Swift")</f>
        <v>Swift</v>
      </c>
      <c r="D4963" s="9" t="str">
        <f>IFERROR(__xludf.DUMMYFUNCTION("""COMPUTED_VALUE"""),"Java")</f>
        <v>Java</v>
      </c>
      <c r="E4963" s="9" t="str">
        <f>IFERROR(__xludf.DUMMYFUNCTION("""COMPUTED_VALUE"""),"SQL")</f>
        <v>SQL</v>
      </c>
      <c r="F4963" s="9" t="str">
        <f>IFERROR(__xludf.DUMMYFUNCTION("""COMPUTED_VALUE"""),"JavaScript")</f>
        <v>JavaScript</v>
      </c>
      <c r="G4963" s="9" t="str">
        <f>IFERROR(__xludf.DUMMYFUNCTION("""COMPUTED_VALUE"""),"C#")</f>
        <v>C#</v>
      </c>
      <c r="H4963" s="9" t="str">
        <f>IFERROR(__xludf.DUMMYFUNCTION("""COMPUTED_VALUE"""),"PHP")</f>
        <v>PHP</v>
      </c>
      <c r="I4963" s="9" t="str">
        <f>IFERROR(__xludf.DUMMYFUNCTION("""COMPUTED_VALUE"""),"Assembly")</f>
        <v>Assembly</v>
      </c>
      <c r="J4963" s="9" t="str">
        <f>IFERROR(__xludf.DUMMYFUNCTION("""COMPUTED_VALUE"""),"HTML/CSS")</f>
        <v>HTML/CSS</v>
      </c>
      <c r="K4963" s="9" t="str">
        <f>IFERROR(__xludf.DUMMYFUNCTION("""COMPUTED_VALUE"""),"Swift")</f>
        <v>Swift</v>
      </c>
      <c r="L4963" s="9" t="str">
        <f>IFERROR(__xludf.DUMMYFUNCTION("""COMPUTED_VALUE"""),"Go")</f>
        <v>Go</v>
      </c>
      <c r="M4963" s="9" t="s">
        <v>40</v>
      </c>
    </row>
    <row r="4964" ht="15.75" customHeight="1">
      <c r="A4964" s="7"/>
      <c r="B4964" s="7" t="str">
        <f>IFERROR(__xludf.DUMMYFUNCTION("""COMPUTED_VALUE"""),"Bash/Shell/PowerShell;Python;R")</f>
        <v>Bash/Shell/PowerShell;Python;R</v>
      </c>
      <c r="D4964" s="9" t="str">
        <f>IFERROR(__xludf.DUMMYFUNCTION("""COMPUTED_VALUE"""),"JavaScript")</f>
        <v>JavaScript</v>
      </c>
      <c r="E4964" s="9" t="str">
        <f>IFERROR(__xludf.DUMMYFUNCTION("""COMPUTED_VALUE"""),"C")</f>
        <v>C</v>
      </c>
      <c r="F4964" s="9" t="str">
        <f>IFERROR(__xludf.DUMMYFUNCTION("""COMPUTED_VALUE"""),"Python")</f>
        <v>Python</v>
      </c>
      <c r="G4964" s="9" t="str">
        <f>IFERROR(__xludf.DUMMYFUNCTION("""COMPUTED_VALUE"""),"HTML/CSS")</f>
        <v>HTML/CSS</v>
      </c>
      <c r="H4964" s="9" t="str">
        <f>IFERROR(__xludf.DUMMYFUNCTION("""COMPUTED_VALUE"""),"Bash/Shell/PowerShell")</f>
        <v>Bash/Shell/PowerShell</v>
      </c>
      <c r="I4964" s="9" t="str">
        <f>IFERROR(__xludf.DUMMYFUNCTION("""COMPUTED_VALUE"""),"C")</f>
        <v>C</v>
      </c>
      <c r="J4964" s="9" t="str">
        <f>IFERROR(__xludf.DUMMYFUNCTION("""COMPUTED_VALUE"""),"Java")</f>
        <v>Java</v>
      </c>
      <c r="K4964" s="9" t="str">
        <f>IFERROR(__xludf.DUMMYFUNCTION("""COMPUTED_VALUE"""),"HTML/CSS")</f>
        <v>HTML/CSS</v>
      </c>
      <c r="L4964" s="9" t="str">
        <f>IFERROR(__xludf.DUMMYFUNCTION("""COMPUTED_VALUE"""),"Ruby")</f>
        <v>Ruby</v>
      </c>
      <c r="M4964" s="9" t="s">
        <v>30</v>
      </c>
    </row>
    <row r="4965" ht="15.75" customHeight="1">
      <c r="A4965" s="7"/>
      <c r="B4965" s="7" t="str">
        <f>IFERROR(__xludf.DUMMYFUNCTION("""COMPUTED_VALUE"""),"C#;HTML/CSS;Java;JavaScript;SQL;TypeScript")</f>
        <v>C#;HTML/CSS;Java;JavaScript;SQL;TypeScript</v>
      </c>
      <c r="D4965" s="9" t="str">
        <f>IFERROR(__xludf.DUMMYFUNCTION("""COMPUTED_VALUE"""),"Python")</f>
        <v>Python</v>
      </c>
      <c r="E4965" s="9" t="str">
        <f>IFERROR(__xludf.DUMMYFUNCTION("""COMPUTED_VALUE"""),"C++")</f>
        <v>C++</v>
      </c>
      <c r="F4965" s="9" t="str">
        <f>IFERROR(__xludf.DUMMYFUNCTION("""COMPUTED_VALUE"""),"Bash/Shell/PowerShell")</f>
        <v>Bash/Shell/PowerShell</v>
      </c>
      <c r="G4965" s="9" t="str">
        <f>IFERROR(__xludf.DUMMYFUNCTION("""COMPUTED_VALUE"""),"JavaScript")</f>
        <v>JavaScript</v>
      </c>
      <c r="H4965" s="9" t="str">
        <f>IFERROR(__xludf.DUMMYFUNCTION("""COMPUTED_VALUE"""),"JavaScript")</f>
        <v>JavaScript</v>
      </c>
      <c r="I4965" s="9" t="str">
        <f>IFERROR(__xludf.DUMMYFUNCTION("""COMPUTED_VALUE"""),"C++")</f>
        <v>C++</v>
      </c>
      <c r="J4965" s="9" t="str">
        <f>IFERROR(__xludf.DUMMYFUNCTION("""COMPUTED_VALUE"""),"JavaScript")</f>
        <v>JavaScript</v>
      </c>
      <c r="K4965" s="9" t="str">
        <f>IFERROR(__xludf.DUMMYFUNCTION("""COMPUTED_VALUE"""),"Ruby")</f>
        <v>Ruby</v>
      </c>
      <c r="L4965" s="9" t="str">
        <f>IFERROR(__xludf.DUMMYFUNCTION("""COMPUTED_VALUE"""),"SQL")</f>
        <v>SQL</v>
      </c>
      <c r="M4965" s="9" t="s">
        <v>36</v>
      </c>
    </row>
    <row r="4966" ht="15.75" customHeight="1">
      <c r="A4966" s="7"/>
      <c r="B4966" s="7" t="str">
        <f>IFERROR(__xludf.DUMMYFUNCTION("""COMPUTED_VALUE"""),"Python;SQL")</f>
        <v>Python;SQL</v>
      </c>
      <c r="D4966" s="9" t="str">
        <f>IFERROR(__xludf.DUMMYFUNCTION("""COMPUTED_VALUE"""),"C#")</f>
        <v>C#</v>
      </c>
      <c r="E4966" s="9" t="str">
        <f>IFERROR(__xludf.DUMMYFUNCTION("""COMPUTED_VALUE"""),"C#")</f>
        <v>C#</v>
      </c>
      <c r="F4966" s="9" t="str">
        <f>IFERROR(__xludf.DUMMYFUNCTION("""COMPUTED_VALUE"""),"C")</f>
        <v>C</v>
      </c>
      <c r="G4966" s="9" t="str">
        <f>IFERROR(__xludf.DUMMYFUNCTION("""COMPUTED_VALUE"""),"SQL")</f>
        <v>SQL</v>
      </c>
      <c r="H4966" s="9" t="str">
        <f>IFERROR(__xludf.DUMMYFUNCTION("""COMPUTED_VALUE"""),"Python")</f>
        <v>Python</v>
      </c>
      <c r="I4966" s="9" t="str">
        <f>IFERROR(__xludf.DUMMYFUNCTION("""COMPUTED_VALUE"""),"C#")</f>
        <v>C#</v>
      </c>
      <c r="J4966" s="9" t="str">
        <f>IFERROR(__xludf.DUMMYFUNCTION("""COMPUTED_VALUE"""),"Objective-C")</f>
        <v>Objective-C</v>
      </c>
      <c r="K4966" s="9" t="str">
        <f>IFERROR(__xludf.DUMMYFUNCTION("""COMPUTED_VALUE"""),"SQL")</f>
        <v>SQL</v>
      </c>
      <c r="L4966" s="9" t="str">
        <f>IFERROR(__xludf.DUMMYFUNCTION("""COMPUTED_VALUE"""),"TypeScript")</f>
        <v>TypeScript</v>
      </c>
      <c r="M4966" s="9" t="s">
        <v>24</v>
      </c>
    </row>
    <row r="4967" ht="15.75" customHeight="1">
      <c r="A4967" s="7"/>
      <c r="B4967" s="7" t="str">
        <f>IFERROR(__xludf.DUMMYFUNCTION("""COMPUTED_VALUE"""),"HTML/CSS;JavaScript;PHP;SQL")</f>
        <v>HTML/CSS;JavaScript;PHP;SQL</v>
      </c>
      <c r="D4967" s="9" t="str">
        <f>IFERROR(__xludf.DUMMYFUNCTION("""COMPUTED_VALUE"""),"PHP")</f>
        <v>PHP</v>
      </c>
      <c r="E4967" s="9" t="str">
        <f>IFERROR(__xludf.DUMMYFUNCTION("""COMPUTED_VALUE"""),"HTML/CSS")</f>
        <v>HTML/CSS</v>
      </c>
      <c r="F4967" s="9" t="str">
        <f>IFERROR(__xludf.DUMMYFUNCTION("""COMPUTED_VALUE"""),"HTML/CSS")</f>
        <v>HTML/CSS</v>
      </c>
      <c r="G4967" s="9" t="str">
        <f>IFERROR(__xludf.DUMMYFUNCTION("""COMPUTED_VALUE"""),"TypeScript")</f>
        <v>TypeScript</v>
      </c>
      <c r="H4967" s="9" t="str">
        <f>IFERROR(__xludf.DUMMYFUNCTION("""COMPUTED_VALUE"""),"Bash/Shell/PowerShell")</f>
        <v>Bash/Shell/PowerShell</v>
      </c>
      <c r="I4967" s="9" t="str">
        <f>IFERROR(__xludf.DUMMYFUNCTION("""COMPUTED_VALUE"""),"HTML/CSS")</f>
        <v>HTML/CSS</v>
      </c>
      <c r="J4967" s="9" t="str">
        <f>IFERROR(__xludf.DUMMYFUNCTION("""COMPUTED_VALUE"""),"PHP")</f>
        <v>PHP</v>
      </c>
      <c r="K4967" s="9" t="str">
        <f>IFERROR(__xludf.DUMMYFUNCTION("""COMPUTED_VALUE"""),"Other(s):")</f>
        <v>Other(s):</v>
      </c>
      <c r="L4967" s="9" t="str">
        <f>IFERROR(__xludf.DUMMYFUNCTION("""COMPUTED_VALUE"""),"Objective-C")</f>
        <v>Objective-C</v>
      </c>
      <c r="M4967" s="9" t="s">
        <v>20</v>
      </c>
    </row>
    <row r="4968" ht="15.75" customHeight="1">
      <c r="A4968" s="7"/>
      <c r="B4968" s="7" t="str">
        <f>IFERROR(__xludf.DUMMYFUNCTION("""COMPUTED_VALUE"""),"Bash/Shell/PowerShell;HTML/CSS;Python;TypeScript")</f>
        <v>Bash/Shell/PowerShell;HTML/CSS;Python;TypeScript</v>
      </c>
      <c r="D4968" s="9" t="str">
        <f>IFERROR(__xludf.DUMMYFUNCTION("""COMPUTED_VALUE"""),"SQL")</f>
        <v>SQL</v>
      </c>
      <c r="E4968" s="9" t="str">
        <f>IFERROR(__xludf.DUMMYFUNCTION("""COMPUTED_VALUE"""),"JavaScript")</f>
        <v>JavaScript</v>
      </c>
      <c r="F4968" s="9" t="str">
        <f>IFERROR(__xludf.DUMMYFUNCTION("""COMPUTED_VALUE"""),"Java")</f>
        <v>Java</v>
      </c>
      <c r="G4968" s="9" t="str">
        <f>IFERROR(__xludf.DUMMYFUNCTION("""COMPUTED_VALUE"""),"Bash/Shell/PowerShell")</f>
        <v>Bash/Shell/PowerShell</v>
      </c>
      <c r="H4968" s="9" t="str">
        <f>IFERROR(__xludf.DUMMYFUNCTION("""COMPUTED_VALUE"""),"HTML/CSS")</f>
        <v>HTML/CSS</v>
      </c>
      <c r="I4968" s="9" t="str">
        <f>IFERROR(__xludf.DUMMYFUNCTION("""COMPUTED_VALUE"""),"Java")</f>
        <v>Java</v>
      </c>
      <c r="J4968" s="9" t="str">
        <f>IFERROR(__xludf.DUMMYFUNCTION("""COMPUTED_VALUE"""),"Python")</f>
        <v>Python</v>
      </c>
      <c r="K4968" s="9" t="str">
        <f>IFERROR(__xludf.DUMMYFUNCTION("""COMPUTED_VALUE"""),"Java")</f>
        <v>Java</v>
      </c>
      <c r="L4968" s="9" t="str">
        <f>IFERROR(__xludf.DUMMYFUNCTION("""COMPUTED_VALUE"""),"Swift")</f>
        <v>Swift</v>
      </c>
      <c r="M4968" s="9" t="s">
        <v>21</v>
      </c>
    </row>
    <row r="4969" ht="15.75" customHeight="1">
      <c r="A4969" s="7"/>
      <c r="B4969" s="7" t="str">
        <f>IFERROR(__xludf.DUMMYFUNCTION("""COMPUTED_VALUE"""),"C#;HTML/CSS;JavaScript;TypeScript")</f>
        <v>C#;HTML/CSS;JavaScript;TypeScript</v>
      </c>
      <c r="D4969" s="9" t="str">
        <f>IFERROR(__xludf.DUMMYFUNCTION("""COMPUTED_VALUE"""),"C")</f>
        <v>C</v>
      </c>
      <c r="E4969" s="9" t="str">
        <f>IFERROR(__xludf.DUMMYFUNCTION("""COMPUTED_VALUE"""),"SQL")</f>
        <v>SQL</v>
      </c>
      <c r="F4969" s="9" t="str">
        <f>IFERROR(__xludf.DUMMYFUNCTION("""COMPUTED_VALUE"""),"JavaScript")</f>
        <v>JavaScript</v>
      </c>
      <c r="G4969" s="9" t="str">
        <f>IFERROR(__xludf.DUMMYFUNCTION("""COMPUTED_VALUE"""),"C")</f>
        <v>C</v>
      </c>
      <c r="H4969" s="9" t="str">
        <f>IFERROR(__xludf.DUMMYFUNCTION("""COMPUTED_VALUE"""),"JavaScript")</f>
        <v>JavaScript</v>
      </c>
      <c r="I4969" s="9" t="str">
        <f>IFERROR(__xludf.DUMMYFUNCTION("""COMPUTED_VALUE"""),"JavaScript")</f>
        <v>JavaScript</v>
      </c>
      <c r="J4969" s="9" t="str">
        <f>IFERROR(__xludf.DUMMYFUNCTION("""COMPUTED_VALUE"""),"R")</f>
        <v>R</v>
      </c>
      <c r="K4969" s="9" t="str">
        <f>IFERROR(__xludf.DUMMYFUNCTION("""COMPUTED_VALUE"""),"Kotlin")</f>
        <v>Kotlin</v>
      </c>
      <c r="L4969" s="9" t="str">
        <f>IFERROR(__xludf.DUMMYFUNCTION("""COMPUTED_VALUE"""),"HTML/CSS")</f>
        <v>HTML/CSS</v>
      </c>
      <c r="M4969" s="9" t="s">
        <v>37</v>
      </c>
    </row>
    <row r="4970" ht="15.75" customHeight="1">
      <c r="A4970" s="7"/>
      <c r="B4970" s="7" t="str">
        <f>IFERROR(__xludf.DUMMYFUNCTION("""COMPUTED_VALUE"""),"C;C++;C#;Python")</f>
        <v>C;C++;C#;Python</v>
      </c>
      <c r="D4970" s="9" t="str">
        <f>IFERROR(__xludf.DUMMYFUNCTION("""COMPUTED_VALUE"""),"C#")</f>
        <v>C#</v>
      </c>
      <c r="E4970" s="9" t="str">
        <f>IFERROR(__xludf.DUMMYFUNCTION("""COMPUTED_VALUE"""),"Bash/Shell/PowerShell")</f>
        <v>Bash/Shell/PowerShell</v>
      </c>
      <c r="F4970" s="9" t="str">
        <f>IFERROR(__xludf.DUMMYFUNCTION("""COMPUTED_VALUE"""),"PHP")</f>
        <v>PHP</v>
      </c>
      <c r="G4970" s="9" t="str">
        <f>IFERROR(__xludf.DUMMYFUNCTION("""COMPUTED_VALUE"""),"C++")</f>
        <v>C++</v>
      </c>
      <c r="H4970" s="9" t="str">
        <f>IFERROR(__xludf.DUMMYFUNCTION("""COMPUTED_VALUE"""),"Python")</f>
        <v>Python</v>
      </c>
      <c r="I4970" s="9" t="str">
        <f>IFERROR(__xludf.DUMMYFUNCTION("""COMPUTED_VALUE"""),"Objective-C")</f>
        <v>Objective-C</v>
      </c>
      <c r="J4970" s="9" t="str">
        <f>IFERROR(__xludf.DUMMYFUNCTION("""COMPUTED_VALUE"""),"SQL")</f>
        <v>SQL</v>
      </c>
      <c r="L4970" s="9" t="str">
        <f>IFERROR(__xludf.DUMMYFUNCTION("""COMPUTED_VALUE"""),"JavaScript")</f>
        <v>JavaScript</v>
      </c>
      <c r="M4970" s="9" t="s">
        <v>22</v>
      </c>
    </row>
    <row r="4971" ht="15.75" customHeight="1">
      <c r="A4971" s="7"/>
      <c r="B4971" s="7" t="str">
        <f>IFERROR(__xludf.DUMMYFUNCTION("""COMPUTED_VALUE"""),"Python;SQL")</f>
        <v>Python;SQL</v>
      </c>
      <c r="D4971" s="9" t="str">
        <f>IFERROR(__xludf.DUMMYFUNCTION("""COMPUTED_VALUE"""),"HTML/CSS")</f>
        <v>HTML/CSS</v>
      </c>
      <c r="E4971" s="9" t="str">
        <f>IFERROR(__xludf.DUMMYFUNCTION("""COMPUTED_VALUE"""),"C++")</f>
        <v>C++</v>
      </c>
      <c r="F4971" s="9" t="str">
        <f>IFERROR(__xludf.DUMMYFUNCTION("""COMPUTED_VALUE"""),"Python")</f>
        <v>Python</v>
      </c>
      <c r="G4971" s="9" t="str">
        <f>IFERROR(__xludf.DUMMYFUNCTION("""COMPUTED_VALUE"""),"Python")</f>
        <v>Python</v>
      </c>
      <c r="H4971" s="9" t="str">
        <f>IFERROR(__xludf.DUMMYFUNCTION("""COMPUTED_VALUE"""),"SQL")</f>
        <v>SQL</v>
      </c>
      <c r="I4971" s="9" t="str">
        <f>IFERROR(__xludf.DUMMYFUNCTION("""COMPUTED_VALUE"""),"Python")</f>
        <v>Python</v>
      </c>
      <c r="J4971" s="9" t="str">
        <f>IFERROR(__xludf.DUMMYFUNCTION("""COMPUTED_VALUE"""),"VBA")</f>
        <v>VBA</v>
      </c>
      <c r="L4971" s="9" t="str">
        <f>IFERROR(__xludf.DUMMYFUNCTION("""COMPUTED_VALUE"""),"Bash/Shell/PowerShell")</f>
        <v>Bash/Shell/PowerShell</v>
      </c>
      <c r="M4971" s="9" t="s">
        <v>27</v>
      </c>
    </row>
    <row r="4972" ht="15.75" customHeight="1">
      <c r="A4972" s="7"/>
      <c r="B4972" s="7" t="str">
        <f>IFERROR(__xludf.DUMMYFUNCTION("""COMPUTED_VALUE"""),"Assembly;HTML/CSS;Java;JavaScript;SQL;TypeScript")</f>
        <v>Assembly;HTML/CSS;Java;JavaScript;SQL;TypeScript</v>
      </c>
      <c r="D4972" s="9" t="str">
        <f>IFERROR(__xludf.DUMMYFUNCTION("""COMPUTED_VALUE"""),"Java")</f>
        <v>Java</v>
      </c>
      <c r="E4972" s="9" t="str">
        <f>IFERROR(__xludf.DUMMYFUNCTION("""COMPUTED_VALUE"""),"C#")</f>
        <v>C#</v>
      </c>
      <c r="F4972" s="9" t="str">
        <f>IFERROR(__xludf.DUMMYFUNCTION("""COMPUTED_VALUE"""),"Scala")</f>
        <v>Scala</v>
      </c>
      <c r="G4972" s="9" t="str">
        <f>IFERROR(__xludf.DUMMYFUNCTION("""COMPUTED_VALUE"""),"Bash/Shell/PowerShell")</f>
        <v>Bash/Shell/PowerShell</v>
      </c>
      <c r="H4972" s="9" t="str">
        <f>IFERROR(__xludf.DUMMYFUNCTION("""COMPUTED_VALUE"""),"C")</f>
        <v>C</v>
      </c>
      <c r="I4972" s="9" t="str">
        <f>IFERROR(__xludf.DUMMYFUNCTION("""COMPUTED_VALUE"""),"SQL")</f>
        <v>SQL</v>
      </c>
      <c r="J4972" s="9" t="str">
        <f>IFERROR(__xludf.DUMMYFUNCTION("""COMPUTED_VALUE"""),"Dart")</f>
        <v>Dart</v>
      </c>
      <c r="L4972" s="9" t="str">
        <f>IFERROR(__xludf.DUMMYFUNCTION("""COMPUTED_VALUE"""),"C")</f>
        <v>C</v>
      </c>
      <c r="M4972" s="9" t="s">
        <v>30</v>
      </c>
    </row>
    <row r="4973" ht="15.75" customHeight="1">
      <c r="A4973" s="7"/>
      <c r="B4973" s="7" t="str">
        <f>IFERROR(__xludf.DUMMYFUNCTION("""COMPUTED_VALUE"""),"Python;SQL")</f>
        <v>Python;SQL</v>
      </c>
      <c r="D4973" s="9" t="str">
        <f>IFERROR(__xludf.DUMMYFUNCTION("""COMPUTED_VALUE"""),"JavaScript")</f>
        <v>JavaScript</v>
      </c>
      <c r="E4973" s="9" t="str">
        <f>IFERROR(__xludf.DUMMYFUNCTION("""COMPUTED_VALUE"""),"Go")</f>
        <v>Go</v>
      </c>
      <c r="F4973" s="9" t="str">
        <f>IFERROR(__xludf.DUMMYFUNCTION("""COMPUTED_VALUE"""),"SQL")</f>
        <v>SQL</v>
      </c>
      <c r="G4973" s="9" t="str">
        <f>IFERROR(__xludf.DUMMYFUNCTION("""COMPUTED_VALUE"""),"HTML/CSS")</f>
        <v>HTML/CSS</v>
      </c>
      <c r="H4973" s="9" t="str">
        <f>IFERROR(__xludf.DUMMYFUNCTION("""COMPUTED_VALUE"""),"C++")</f>
        <v>C++</v>
      </c>
      <c r="I4973" s="9" t="str">
        <f>IFERROR(__xludf.DUMMYFUNCTION("""COMPUTED_VALUE"""),"VBA")</f>
        <v>VBA</v>
      </c>
      <c r="J4973" s="9" t="str">
        <f>IFERROR(__xludf.DUMMYFUNCTION("""COMPUTED_VALUE"""),"Java")</f>
        <v>Java</v>
      </c>
      <c r="L4973" s="9" t="str">
        <f>IFERROR(__xludf.DUMMYFUNCTION("""COMPUTED_VALUE"""),"C++")</f>
        <v>C++</v>
      </c>
      <c r="M4973" s="9" t="s">
        <v>36</v>
      </c>
    </row>
    <row r="4974" ht="15.75" customHeight="1">
      <c r="A4974" s="7"/>
      <c r="B4974" s="7" t="str">
        <f>IFERROR(__xludf.DUMMYFUNCTION("""COMPUTED_VALUE"""),"Bash/Shell/PowerShell;C++;C#;Python")</f>
        <v>Bash/Shell/PowerShell;C++;C#;Python</v>
      </c>
      <c r="D4974" s="9" t="str">
        <f>IFERROR(__xludf.DUMMYFUNCTION("""COMPUTED_VALUE"""),"Python")</f>
        <v>Python</v>
      </c>
      <c r="E4974" s="9" t="str">
        <f>IFERROR(__xludf.DUMMYFUNCTION("""COMPUTED_VALUE"""),"Java")</f>
        <v>Java</v>
      </c>
      <c r="F4974" s="9" t="str">
        <f>IFERROR(__xludf.DUMMYFUNCTION("""COMPUTED_VALUE"""),"TypeScript")</f>
        <v>TypeScript</v>
      </c>
      <c r="G4974" s="9" t="str">
        <f>IFERROR(__xludf.DUMMYFUNCTION("""COMPUTED_VALUE"""),"Java")</f>
        <v>Java</v>
      </c>
      <c r="H4974" s="9" t="str">
        <f>IFERROR(__xludf.DUMMYFUNCTION("""COMPUTED_VALUE"""),"Scala")</f>
        <v>Scala</v>
      </c>
      <c r="I4974" s="9" t="str">
        <f>IFERROR(__xludf.DUMMYFUNCTION("""COMPUTED_VALUE"""),"Bash/Shell/PowerShell")</f>
        <v>Bash/Shell/PowerShell</v>
      </c>
      <c r="J4974" s="9" t="str">
        <f>IFERROR(__xludf.DUMMYFUNCTION("""COMPUTED_VALUE"""),"Kotlin")</f>
        <v>Kotlin</v>
      </c>
      <c r="L4974" s="9" t="str">
        <f>IFERROR(__xludf.DUMMYFUNCTION("""COMPUTED_VALUE"""),"Java")</f>
        <v>Java</v>
      </c>
      <c r="M4974" s="9" t="s">
        <v>24</v>
      </c>
    </row>
    <row r="4975" ht="15.75" customHeight="1">
      <c r="A4975" s="7"/>
      <c r="B4975" s="7" t="str">
        <f>IFERROR(__xludf.DUMMYFUNCTION("""COMPUTED_VALUE"""),"HTML/CSS;Java;JavaScript;Kotlin;Objective-C;Ruby;Swift")</f>
        <v>HTML/CSS;Java;JavaScript;Kotlin;Objective-C;Ruby;Swift</v>
      </c>
      <c r="D4975" s="9" t="str">
        <f>IFERROR(__xludf.DUMMYFUNCTION("""COMPUTED_VALUE"""),"R")</f>
        <v>R</v>
      </c>
      <c r="E4975" s="9" t="str">
        <f>IFERROR(__xludf.DUMMYFUNCTION("""COMPUTED_VALUE"""),"Kotlin")</f>
        <v>Kotlin</v>
      </c>
      <c r="F4975" s="9" t="str">
        <f>IFERROR(__xludf.DUMMYFUNCTION("""COMPUTED_VALUE"""),"HTML/CSS")</f>
        <v>HTML/CSS</v>
      </c>
      <c r="G4975" s="9" t="str">
        <f>IFERROR(__xludf.DUMMYFUNCTION("""COMPUTED_VALUE"""),"JavaScript")</f>
        <v>JavaScript</v>
      </c>
      <c r="H4975" s="9" t="str">
        <f>IFERROR(__xludf.DUMMYFUNCTION("""COMPUTED_VALUE"""),"Other(s):")</f>
        <v>Other(s):</v>
      </c>
      <c r="I4975" s="9" t="str">
        <f>IFERROR(__xludf.DUMMYFUNCTION("""COMPUTED_VALUE"""),"C#")</f>
        <v>C#</v>
      </c>
      <c r="J4975" s="9" t="str">
        <f>IFERROR(__xludf.DUMMYFUNCTION("""COMPUTED_VALUE"""),"C#")</f>
        <v>C#</v>
      </c>
      <c r="L4975" s="9" t="str">
        <f>IFERROR(__xludf.DUMMYFUNCTION("""COMPUTED_VALUE"""),"JavaScript")</f>
        <v>JavaScript</v>
      </c>
      <c r="M4975" s="9" t="s">
        <v>21</v>
      </c>
    </row>
    <row r="4976" ht="15.75" customHeight="1">
      <c r="A4976" s="7"/>
      <c r="B4976" s="7" t="str">
        <f>IFERROR(__xludf.DUMMYFUNCTION("""COMPUTED_VALUE"""),"C#;Java;Objective-C")</f>
        <v>C#;Java;Objective-C</v>
      </c>
      <c r="D4976" s="9" t="str">
        <f>IFERROR(__xludf.DUMMYFUNCTION("""COMPUTED_VALUE"""),"SQL")</f>
        <v>SQL</v>
      </c>
      <c r="E4976" s="9" t="str">
        <f>IFERROR(__xludf.DUMMYFUNCTION("""COMPUTED_VALUE"""),"Python")</f>
        <v>Python</v>
      </c>
      <c r="F4976" s="9" t="str">
        <f>IFERROR(__xludf.DUMMYFUNCTION("""COMPUTED_VALUE"""),"JavaScript")</f>
        <v>JavaScript</v>
      </c>
      <c r="G4976" s="9" t="str">
        <f>IFERROR(__xludf.DUMMYFUNCTION("""COMPUTED_VALUE"""),"Python")</f>
        <v>Python</v>
      </c>
      <c r="H4976" s="9" t="str">
        <f>IFERROR(__xludf.DUMMYFUNCTION("""COMPUTED_VALUE"""),"Bash/Shell/PowerShell")</f>
        <v>Bash/Shell/PowerShell</v>
      </c>
      <c r="I4976" s="9" t="str">
        <f>IFERROR(__xludf.DUMMYFUNCTION("""COMPUTED_VALUE"""),"HTML/CSS")</f>
        <v>HTML/CSS</v>
      </c>
      <c r="J4976" s="9" t="str">
        <f>IFERROR(__xludf.DUMMYFUNCTION("""COMPUTED_VALUE"""),"F#")</f>
        <v>F#</v>
      </c>
      <c r="L4976" s="9" t="str">
        <f>IFERROR(__xludf.DUMMYFUNCTION("""COMPUTED_VALUE"""),"Rust")</f>
        <v>Rust</v>
      </c>
      <c r="M4976" s="9" t="s">
        <v>37</v>
      </c>
    </row>
    <row r="4977" ht="15.75" customHeight="1">
      <c r="A4977" s="7"/>
      <c r="B4977" s="7" t="str">
        <f>IFERROR(__xludf.DUMMYFUNCTION("""COMPUTED_VALUE"""),"Bash/Shell/PowerShell;HTML/CSS;Java;JavaScript;Scala;SQL;TypeScript")</f>
        <v>Bash/Shell/PowerShell;HTML/CSS;Java;JavaScript;Scala;SQL;TypeScript</v>
      </c>
      <c r="D4977" s="9" t="str">
        <f>IFERROR(__xludf.DUMMYFUNCTION("""COMPUTED_VALUE"""),"TypeScript")</f>
        <v>TypeScript</v>
      </c>
      <c r="E4977" s="9" t="str">
        <f>IFERROR(__xludf.DUMMYFUNCTION("""COMPUTED_VALUE"""),"SQL")</f>
        <v>SQL</v>
      </c>
      <c r="F4977" s="9" t="str">
        <f>IFERROR(__xludf.DUMMYFUNCTION("""COMPUTED_VALUE"""),"Python")</f>
        <v>Python</v>
      </c>
      <c r="G4977" s="9" t="str">
        <f>IFERROR(__xludf.DUMMYFUNCTION("""COMPUTED_VALUE"""),"Ruby")</f>
        <v>Ruby</v>
      </c>
      <c r="I4977" s="9" t="str">
        <f>IFERROR(__xludf.DUMMYFUNCTION("""COMPUTED_VALUE"""),"Java")</f>
        <v>Java</v>
      </c>
      <c r="J4977" s="9" t="str">
        <f>IFERROR(__xludf.DUMMYFUNCTION("""COMPUTED_VALUE"""),"Bash/Shell/PowerShell")</f>
        <v>Bash/Shell/PowerShell</v>
      </c>
      <c r="L4977" s="9" t="str">
        <f>IFERROR(__xludf.DUMMYFUNCTION("""COMPUTED_VALUE"""),"JavaScript")</f>
        <v>JavaScript</v>
      </c>
      <c r="M4977" s="9" t="s">
        <v>22</v>
      </c>
    </row>
    <row r="4978" ht="15.75" customHeight="1">
      <c r="A4978" s="7"/>
      <c r="B4978" s="7" t="str">
        <f>IFERROR(__xludf.DUMMYFUNCTION("""COMPUTED_VALUE"""),"C;C++;HTML/CSS;Java;JavaScript;Python")</f>
        <v>C;C++;HTML/CSS;Java;JavaScript;Python</v>
      </c>
      <c r="D4978" s="9" t="str">
        <f>IFERROR(__xludf.DUMMYFUNCTION("""COMPUTED_VALUE"""),"Bash/Shell/PowerShell")</f>
        <v>Bash/Shell/PowerShell</v>
      </c>
      <c r="E4978" s="9" t="str">
        <f>IFERROR(__xludf.DUMMYFUNCTION("""COMPUTED_VALUE"""),"Bash/Shell/PowerShell")</f>
        <v>Bash/Shell/PowerShell</v>
      </c>
      <c r="F4978" s="9" t="str">
        <f>IFERROR(__xludf.DUMMYFUNCTION("""COMPUTED_VALUE"""),"C#")</f>
        <v>C#</v>
      </c>
      <c r="G4978" s="9" t="str">
        <f>IFERROR(__xludf.DUMMYFUNCTION("""COMPUTED_VALUE"""),"SQL")</f>
        <v>SQL</v>
      </c>
      <c r="I4978" s="9" t="str">
        <f>IFERROR(__xludf.DUMMYFUNCTION("""COMPUTED_VALUE"""),"JavaScript")</f>
        <v>JavaScript</v>
      </c>
      <c r="J4978" s="9" t="str">
        <f>IFERROR(__xludf.DUMMYFUNCTION("""COMPUTED_VALUE"""),"HTML/CSS")</f>
        <v>HTML/CSS</v>
      </c>
      <c r="L4978" s="9" t="str">
        <f>IFERROR(__xludf.DUMMYFUNCTION("""COMPUTED_VALUE"""),"Objective-C")</f>
        <v>Objective-C</v>
      </c>
      <c r="M4978" s="9" t="s">
        <v>27</v>
      </c>
    </row>
    <row r="4979" ht="15.75" customHeight="1">
      <c r="A4979" s="7"/>
      <c r="B4979" s="7" t="str">
        <f>IFERROR(__xludf.DUMMYFUNCTION("""COMPUTED_VALUE"""),"HTML/CSS;Java;Python")</f>
        <v>HTML/CSS;Java;Python</v>
      </c>
      <c r="D4979" s="9" t="str">
        <f>IFERROR(__xludf.DUMMYFUNCTION("""COMPUTED_VALUE"""),"C#")</f>
        <v>C#</v>
      </c>
      <c r="E4979" s="9" t="str">
        <f>IFERROR(__xludf.DUMMYFUNCTION("""COMPUTED_VALUE"""),"HTML/CSS")</f>
        <v>HTML/CSS</v>
      </c>
      <c r="F4979" s="9" t="str">
        <f>IFERROR(__xludf.DUMMYFUNCTION("""COMPUTED_VALUE"""),"HTML/CSS")</f>
        <v>HTML/CSS</v>
      </c>
      <c r="G4979" s="9" t="str">
        <f>IFERROR(__xludf.DUMMYFUNCTION("""COMPUTED_VALUE"""),"Swift")</f>
        <v>Swift</v>
      </c>
      <c r="I4979" s="9" t="str">
        <f>IFERROR(__xludf.DUMMYFUNCTION("""COMPUTED_VALUE"""),"Python")</f>
        <v>Python</v>
      </c>
      <c r="J4979" s="9" t="str">
        <f>IFERROR(__xludf.DUMMYFUNCTION("""COMPUTED_VALUE"""),"JavaScript")</f>
        <v>JavaScript</v>
      </c>
      <c r="L4979" s="9" t="str">
        <f>IFERROR(__xludf.DUMMYFUNCTION("""COMPUTED_VALUE"""),"Swift")</f>
        <v>Swift</v>
      </c>
      <c r="M4979" s="9" t="s">
        <v>24</v>
      </c>
    </row>
    <row r="4980" ht="15.75" customHeight="1">
      <c r="A4980" s="7"/>
      <c r="B4980" s="7" t="str">
        <f>IFERROR(__xludf.DUMMYFUNCTION("""COMPUTED_VALUE"""),"HTML/CSS")</f>
        <v>HTML/CSS</v>
      </c>
      <c r="D4980" s="9" t="str">
        <f>IFERROR(__xludf.DUMMYFUNCTION("""COMPUTED_VALUE"""),"HTML/CSS")</f>
        <v>HTML/CSS</v>
      </c>
      <c r="E4980" s="9" t="str">
        <f>IFERROR(__xludf.DUMMYFUNCTION("""COMPUTED_VALUE"""),"Java")</f>
        <v>Java</v>
      </c>
      <c r="F4980" s="9" t="str">
        <f>IFERROR(__xludf.DUMMYFUNCTION("""COMPUTED_VALUE"""),"Java")</f>
        <v>Java</v>
      </c>
      <c r="G4980" s="9" t="str">
        <f>IFERROR(__xludf.DUMMYFUNCTION("""COMPUTED_VALUE"""),"Other(s):")</f>
        <v>Other(s):</v>
      </c>
      <c r="I4980" s="9" t="str">
        <f>IFERROR(__xludf.DUMMYFUNCTION("""COMPUTED_VALUE"""),"SQL")</f>
        <v>SQL</v>
      </c>
      <c r="J4980" s="9" t="str">
        <f>IFERROR(__xludf.DUMMYFUNCTION("""COMPUTED_VALUE"""),"Python")</f>
        <v>Python</v>
      </c>
      <c r="L4980" s="9" t="str">
        <f>IFERROR(__xludf.DUMMYFUNCTION("""COMPUTED_VALUE"""),"C")</f>
        <v>C</v>
      </c>
      <c r="M4980" s="9" t="s">
        <v>21</v>
      </c>
    </row>
    <row r="4981" ht="15.75" customHeight="1">
      <c r="A4981" s="7"/>
      <c r="B4981" s="7" t="str">
        <f>IFERROR(__xludf.DUMMYFUNCTION("""COMPUTED_VALUE"""),"C++;C#;HTML/CSS;Java;JavaScript;R;Ruby;SQL")</f>
        <v>C++;C#;HTML/CSS;Java;JavaScript;R;Ruby;SQL</v>
      </c>
      <c r="D4981" s="9" t="str">
        <f>IFERROR(__xludf.DUMMYFUNCTION("""COMPUTED_VALUE"""),"Java")</f>
        <v>Java</v>
      </c>
      <c r="E4981" s="9" t="str">
        <f>IFERROR(__xludf.DUMMYFUNCTION("""COMPUTED_VALUE"""),"JavaScript")</f>
        <v>JavaScript</v>
      </c>
      <c r="F4981" s="9" t="str">
        <f>IFERROR(__xludf.DUMMYFUNCTION("""COMPUTED_VALUE"""),"JavaScript")</f>
        <v>JavaScript</v>
      </c>
      <c r="G4981" s="9" t="str">
        <f>IFERROR(__xludf.DUMMYFUNCTION("""COMPUTED_VALUE"""),"Java")</f>
        <v>Java</v>
      </c>
      <c r="I4981" s="9" t="str">
        <f>IFERROR(__xludf.DUMMYFUNCTION("""COMPUTED_VALUE"""),"C#")</f>
        <v>C#</v>
      </c>
      <c r="J4981" s="9" t="str">
        <f>IFERROR(__xludf.DUMMYFUNCTION("""COMPUTED_VALUE"""),"SQL")</f>
        <v>SQL</v>
      </c>
      <c r="L4981" s="9" t="str">
        <f>IFERROR(__xludf.DUMMYFUNCTION("""COMPUTED_VALUE"""),"Go")</f>
        <v>Go</v>
      </c>
      <c r="M4981" s="9" t="s">
        <v>37</v>
      </c>
    </row>
    <row r="4982" ht="15.75" customHeight="1">
      <c r="A4982" s="7"/>
      <c r="B4982" s="7" t="str">
        <f>IFERROR(__xludf.DUMMYFUNCTION("""COMPUTED_VALUE"""),"Bash/Shell/PowerShell;HTML/CSS;Ruby;SQL")</f>
        <v>Bash/Shell/PowerShell;HTML/CSS;Ruby;SQL</v>
      </c>
      <c r="D4982" s="9" t="str">
        <f>IFERROR(__xludf.DUMMYFUNCTION("""COMPUTED_VALUE"""),"JavaScript")</f>
        <v>JavaScript</v>
      </c>
      <c r="E4982" s="9" t="str">
        <f>IFERROR(__xludf.DUMMYFUNCTION("""COMPUTED_VALUE"""),"PHP")</f>
        <v>PHP</v>
      </c>
      <c r="F4982" s="9" t="str">
        <f>IFERROR(__xludf.DUMMYFUNCTION("""COMPUTED_VALUE"""),"SQL")</f>
        <v>SQL</v>
      </c>
      <c r="G4982" s="9" t="str">
        <f>IFERROR(__xludf.DUMMYFUNCTION("""COMPUTED_VALUE"""),"JavaScript")</f>
        <v>JavaScript</v>
      </c>
      <c r="I4982" s="9" t="str">
        <f>IFERROR(__xludf.DUMMYFUNCTION("""COMPUTED_VALUE"""),"JavaScript")</f>
        <v>JavaScript</v>
      </c>
      <c r="J4982" s="9" t="str">
        <f>IFERROR(__xludf.DUMMYFUNCTION("""COMPUTED_VALUE"""),"TypeScript")</f>
        <v>TypeScript</v>
      </c>
      <c r="L4982" s="9" t="str">
        <f>IFERROR(__xludf.DUMMYFUNCTION("""COMPUTED_VALUE"""),"HTML/CSS")</f>
        <v>HTML/CSS</v>
      </c>
      <c r="M4982" s="9" t="s">
        <v>22</v>
      </c>
    </row>
    <row r="4983" ht="15.75" customHeight="1">
      <c r="A4983" s="7"/>
      <c r="B4983" s="7" t="str">
        <f>IFERROR(__xludf.DUMMYFUNCTION("""COMPUTED_VALUE"""),"Bash/Shell/PowerShell;HTML/CSS;Java;JavaScript;SQL")</f>
        <v>Bash/Shell/PowerShell;HTML/CSS;Java;JavaScript;SQL</v>
      </c>
      <c r="D4983" s="9" t="str">
        <f>IFERROR(__xludf.DUMMYFUNCTION("""COMPUTED_VALUE"""),"TypeScript")</f>
        <v>TypeScript</v>
      </c>
      <c r="E4983" s="9" t="str">
        <f>IFERROR(__xludf.DUMMYFUNCTION("""COMPUTED_VALUE"""),"SQL")</f>
        <v>SQL</v>
      </c>
      <c r="F4983" s="9" t="str">
        <f>IFERROR(__xludf.DUMMYFUNCTION("""COMPUTED_VALUE"""),"TypeScript")</f>
        <v>TypeScript</v>
      </c>
      <c r="G4983" s="9" t="str">
        <f>IFERROR(__xludf.DUMMYFUNCTION("""COMPUTED_VALUE"""),"C++")</f>
        <v>C++</v>
      </c>
      <c r="I4983" s="9" t="str">
        <f>IFERROR(__xludf.DUMMYFUNCTION("""COMPUTED_VALUE"""),"TypeScript")</f>
        <v>TypeScript</v>
      </c>
      <c r="J4983" s="9" t="str">
        <f>IFERROR(__xludf.DUMMYFUNCTION("""COMPUTED_VALUE"""),"Bash/Shell/PowerShell")</f>
        <v>Bash/Shell/PowerShell</v>
      </c>
      <c r="L4983" s="9" t="str">
        <f>IFERROR(__xludf.DUMMYFUNCTION("""COMPUTED_VALUE"""),"JavaScript")</f>
        <v>JavaScript</v>
      </c>
      <c r="M4983" s="9" t="s">
        <v>33</v>
      </c>
    </row>
    <row r="4984" ht="15.75" customHeight="1">
      <c r="A4984" s="7"/>
      <c r="B4984" s="7" t="str">
        <f>IFERROR(__xludf.DUMMYFUNCTION("""COMPUTED_VALUE"""),"C;Java;Kotlin")</f>
        <v>C;Java;Kotlin</v>
      </c>
      <c r="D4984" s="9" t="str">
        <f>IFERROR(__xludf.DUMMYFUNCTION("""COMPUTED_VALUE"""),"Other(s):")</f>
        <v>Other(s):</v>
      </c>
      <c r="E4984" s="9" t="str">
        <f>IFERROR(__xludf.DUMMYFUNCTION("""COMPUTED_VALUE"""),"Bash/Shell/PowerShell")</f>
        <v>Bash/Shell/PowerShell</v>
      </c>
      <c r="F4984" s="9" t="str">
        <f>IFERROR(__xludf.DUMMYFUNCTION("""COMPUTED_VALUE"""),"Bash/Shell/PowerShell")</f>
        <v>Bash/Shell/PowerShell</v>
      </c>
      <c r="G4984" s="9" t="str">
        <f>IFERROR(__xludf.DUMMYFUNCTION("""COMPUTED_VALUE"""),"C#")</f>
        <v>C#</v>
      </c>
      <c r="I4984" s="9" t="str">
        <f>IFERROR(__xludf.DUMMYFUNCTION("""COMPUTED_VALUE"""),"C")</f>
        <v>C</v>
      </c>
      <c r="J4984" s="9" t="str">
        <f>IFERROR(__xludf.DUMMYFUNCTION("""COMPUTED_VALUE"""),"HTML/CSS")</f>
        <v>HTML/CSS</v>
      </c>
      <c r="L4984" s="9" t="str">
        <f>IFERROR(__xludf.DUMMYFUNCTION("""COMPUTED_VALUE"""),"Python")</f>
        <v>Python</v>
      </c>
      <c r="M4984" s="9" t="s">
        <v>26</v>
      </c>
    </row>
    <row r="4985" ht="15.75" customHeight="1">
      <c r="A4985" s="7"/>
      <c r="B4985" s="7" t="str">
        <f>IFERROR(__xludf.DUMMYFUNCTION("""COMPUTED_VALUE"""),"HTML/CSS;JavaScript;SQL")</f>
        <v>HTML/CSS;JavaScript;SQL</v>
      </c>
      <c r="D4985" s="9" t="str">
        <f>IFERROR(__xludf.DUMMYFUNCTION("""COMPUTED_VALUE"""),"C")</f>
        <v>C</v>
      </c>
      <c r="E4985" s="9" t="str">
        <f>IFERROR(__xludf.DUMMYFUNCTION("""COMPUTED_VALUE"""),"HTML/CSS")</f>
        <v>HTML/CSS</v>
      </c>
      <c r="F4985" s="9" t="str">
        <f>IFERROR(__xludf.DUMMYFUNCTION("""COMPUTED_VALUE"""),"C#")</f>
        <v>C#</v>
      </c>
      <c r="G4985" s="9" t="str">
        <f>IFERROR(__xludf.DUMMYFUNCTION("""COMPUTED_VALUE"""),"HTML/CSS")</f>
        <v>HTML/CSS</v>
      </c>
      <c r="I4985" s="9" t="str">
        <f>IFERROR(__xludf.DUMMYFUNCTION("""COMPUTED_VALUE"""),"C++")</f>
        <v>C++</v>
      </c>
      <c r="J4985" s="9" t="str">
        <f>IFERROR(__xludf.DUMMYFUNCTION("""COMPUTED_VALUE"""),"Python")</f>
        <v>Python</v>
      </c>
      <c r="L4985" s="9" t="str">
        <f>IFERROR(__xludf.DUMMYFUNCTION("""COMPUTED_VALUE"""),"Bash/Shell/PowerShell")</f>
        <v>Bash/Shell/PowerShell</v>
      </c>
      <c r="M4985" s="9" t="s">
        <v>36</v>
      </c>
    </row>
    <row r="4986" ht="15.75" customHeight="1">
      <c r="A4986" s="7"/>
      <c r="B4986" s="7" t="str">
        <f>IFERROR(__xludf.DUMMYFUNCTION("""COMPUTED_VALUE"""),"HTML/CSS;Java;JavaScript;Python;SQL")</f>
        <v>HTML/CSS;Java;JavaScript;Python;SQL</v>
      </c>
      <c r="D4986" s="9" t="str">
        <f>IFERROR(__xludf.DUMMYFUNCTION("""COMPUTED_VALUE"""),"C++")</f>
        <v>C++</v>
      </c>
      <c r="E4986" s="9" t="str">
        <f>IFERROR(__xludf.DUMMYFUNCTION("""COMPUTED_VALUE"""),"JavaScript")</f>
        <v>JavaScript</v>
      </c>
      <c r="F4986" s="9" t="str">
        <f>IFERROR(__xludf.DUMMYFUNCTION("""COMPUTED_VALUE"""),"HTML/CSS")</f>
        <v>HTML/CSS</v>
      </c>
      <c r="G4986" s="9" t="str">
        <f>IFERROR(__xludf.DUMMYFUNCTION("""COMPUTED_VALUE"""),"Java")</f>
        <v>Java</v>
      </c>
      <c r="I4986" s="9" t="str">
        <f>IFERROR(__xludf.DUMMYFUNCTION("""COMPUTED_VALUE"""),"C#")</f>
        <v>C#</v>
      </c>
      <c r="J4986" s="9" t="str">
        <f>IFERROR(__xludf.DUMMYFUNCTION("""COMPUTED_VALUE"""),"SQL")</f>
        <v>SQL</v>
      </c>
      <c r="L4986" s="9" t="str">
        <f>IFERROR(__xludf.DUMMYFUNCTION("""COMPUTED_VALUE"""),"C#")</f>
        <v>C#</v>
      </c>
      <c r="M4986" s="9" t="s">
        <v>21</v>
      </c>
    </row>
    <row r="4987" ht="15.75" customHeight="1">
      <c r="A4987" s="7"/>
      <c r="B4987" s="7" t="str">
        <f>IFERROR(__xludf.DUMMYFUNCTION("""COMPUTED_VALUE"""),"HTML/CSS;JavaScript;PHP;SQL")</f>
        <v>HTML/CSS;JavaScript;PHP;SQL</v>
      </c>
      <c r="D4987" s="9" t="str">
        <f>IFERROR(__xludf.DUMMYFUNCTION("""COMPUTED_VALUE"""),"C++")</f>
        <v>C++</v>
      </c>
      <c r="E4987" s="9" t="str">
        <f>IFERROR(__xludf.DUMMYFUNCTION("""COMPUTED_VALUE"""),"Ruby")</f>
        <v>Ruby</v>
      </c>
      <c r="F4987" s="9" t="str">
        <f>IFERROR(__xludf.DUMMYFUNCTION("""COMPUTED_VALUE"""),"Java")</f>
        <v>Java</v>
      </c>
      <c r="G4987" s="9" t="str">
        <f>IFERROR(__xludf.DUMMYFUNCTION("""COMPUTED_VALUE"""),"JavaScript")</f>
        <v>JavaScript</v>
      </c>
      <c r="I4987" s="9" t="str">
        <f>IFERROR(__xludf.DUMMYFUNCTION("""COMPUTED_VALUE"""),"HTML/CSS")</f>
        <v>HTML/CSS</v>
      </c>
      <c r="J4987" s="9" t="str">
        <f>IFERROR(__xludf.DUMMYFUNCTION("""COMPUTED_VALUE"""),"Bash/Shell/PowerShell")</f>
        <v>Bash/Shell/PowerShell</v>
      </c>
      <c r="L4987" s="9" t="str">
        <f>IFERROR(__xludf.DUMMYFUNCTION("""COMPUTED_VALUE"""),"HTML/CSS")</f>
        <v>HTML/CSS</v>
      </c>
      <c r="M4987" s="9" t="s">
        <v>30</v>
      </c>
    </row>
    <row r="4988" ht="15.75" customHeight="1">
      <c r="A4988" s="7"/>
      <c r="B4988" s="7" t="str">
        <f>IFERROR(__xludf.DUMMYFUNCTION("""COMPUTED_VALUE"""),"C#;HTML/CSS;JavaScript")</f>
        <v>C#;HTML/CSS;JavaScript</v>
      </c>
      <c r="D4988" s="9" t="str">
        <f>IFERROR(__xludf.DUMMYFUNCTION("""COMPUTED_VALUE"""),"Python")</f>
        <v>Python</v>
      </c>
      <c r="F4988" s="9" t="str">
        <f>IFERROR(__xludf.DUMMYFUNCTION("""COMPUTED_VALUE"""),"JavaScript")</f>
        <v>JavaScript</v>
      </c>
      <c r="G4988" s="9" t="str">
        <f>IFERROR(__xludf.DUMMYFUNCTION("""COMPUTED_VALUE"""),"SQL")</f>
        <v>SQL</v>
      </c>
      <c r="I4988" s="9" t="str">
        <f>IFERROR(__xludf.DUMMYFUNCTION("""COMPUTED_VALUE"""),"Java")</f>
        <v>Java</v>
      </c>
      <c r="J4988" s="9" t="str">
        <f>IFERROR(__xludf.DUMMYFUNCTION("""COMPUTED_VALUE"""),"HTML/CSS")</f>
        <v>HTML/CSS</v>
      </c>
      <c r="L4988" s="9" t="str">
        <f>IFERROR(__xludf.DUMMYFUNCTION("""COMPUTED_VALUE"""),"JavaScript")</f>
        <v>JavaScript</v>
      </c>
      <c r="M4988" s="9" t="s">
        <v>25</v>
      </c>
    </row>
    <row r="4989" ht="15.75" customHeight="1">
      <c r="A4989" s="7"/>
      <c r="B4989" s="7" t="str">
        <f>IFERROR(__xludf.DUMMYFUNCTION("""COMPUTED_VALUE"""),"C++;HTML/CSS;JavaScript;PHP")</f>
        <v>C++;HTML/CSS;JavaScript;PHP</v>
      </c>
      <c r="D4989" s="9" t="str">
        <f>IFERROR(__xludf.DUMMYFUNCTION("""COMPUTED_VALUE"""),"Bash/Shell/PowerShell")</f>
        <v>Bash/Shell/PowerShell</v>
      </c>
      <c r="F4989" s="9" t="str">
        <f>IFERROR(__xludf.DUMMYFUNCTION("""COMPUTED_VALUE"""),"PHP")</f>
        <v>PHP</v>
      </c>
      <c r="G4989" s="9" t="str">
        <f>IFERROR(__xludf.DUMMYFUNCTION("""COMPUTED_VALUE"""),"HTML/CSS")</f>
        <v>HTML/CSS</v>
      </c>
      <c r="I4989" s="9" t="str">
        <f>IFERROR(__xludf.DUMMYFUNCTION("""COMPUTED_VALUE"""),"JavaScript")</f>
        <v>JavaScript</v>
      </c>
      <c r="J4989" s="9" t="str">
        <f>IFERROR(__xludf.DUMMYFUNCTION("""COMPUTED_VALUE"""),"Java")</f>
        <v>Java</v>
      </c>
      <c r="L4989" s="9" t="str">
        <f>IFERROR(__xludf.DUMMYFUNCTION("""COMPUTED_VALUE"""),"SQL")</f>
        <v>SQL</v>
      </c>
      <c r="M4989" s="9" t="s">
        <v>24</v>
      </c>
    </row>
    <row r="4990" ht="15.75" customHeight="1">
      <c r="A4990" s="7"/>
      <c r="B4990" s="7" t="str">
        <f>IFERROR(__xludf.DUMMYFUNCTION("""COMPUTED_VALUE"""),"Assembly;Dart;Go;Python;Scala;WebAssembly")</f>
        <v>Assembly;Dart;Go;Python;Scala;WebAssembly</v>
      </c>
      <c r="D4990" s="9" t="str">
        <f>IFERROR(__xludf.DUMMYFUNCTION("""COMPUTED_VALUE"""),"Go")</f>
        <v>Go</v>
      </c>
      <c r="F4990" s="9" t="str">
        <f>IFERROR(__xludf.DUMMYFUNCTION("""COMPUTED_VALUE"""),"Python")</f>
        <v>Python</v>
      </c>
      <c r="G4990" s="9" t="str">
        <f>IFERROR(__xludf.DUMMYFUNCTION("""COMPUTED_VALUE"""),"JavaScript")</f>
        <v>JavaScript</v>
      </c>
      <c r="I4990" s="9" t="str">
        <f>IFERROR(__xludf.DUMMYFUNCTION("""COMPUTED_VALUE"""),"PHP")</f>
        <v>PHP</v>
      </c>
      <c r="J4990" s="9" t="str">
        <f>IFERROR(__xludf.DUMMYFUNCTION("""COMPUTED_VALUE"""),"JavaScript")</f>
        <v>JavaScript</v>
      </c>
      <c r="L4990" s="9" t="str">
        <f>IFERROR(__xludf.DUMMYFUNCTION("""COMPUTED_VALUE"""),"Other(s):")</f>
        <v>Other(s):</v>
      </c>
      <c r="M4990" s="9" t="s">
        <v>20</v>
      </c>
    </row>
    <row r="4991" ht="15.75" customHeight="1">
      <c r="A4991" s="7"/>
      <c r="B4991" s="7" t="str">
        <f>IFERROR(__xludf.DUMMYFUNCTION("""COMPUTED_VALUE"""),"Bash/Shell/PowerShell;HTML/CSS;JavaScript;PHP;Python;SQL;TypeScript")</f>
        <v>Bash/Shell/PowerShell;HTML/CSS;JavaScript;PHP;Python;SQL;TypeScript</v>
      </c>
      <c r="D4991" s="9" t="str">
        <f>IFERROR(__xludf.DUMMYFUNCTION("""COMPUTED_VALUE"""),"HTML/CSS")</f>
        <v>HTML/CSS</v>
      </c>
      <c r="F4991" s="9" t="str">
        <f>IFERROR(__xludf.DUMMYFUNCTION("""COMPUTED_VALUE"""),"SQL")</f>
        <v>SQL</v>
      </c>
      <c r="G4991" s="9" t="str">
        <f>IFERROR(__xludf.DUMMYFUNCTION("""COMPUTED_VALUE"""),"PHP")</f>
        <v>PHP</v>
      </c>
      <c r="I4991" s="9" t="str">
        <f>IFERROR(__xludf.DUMMYFUNCTION("""COMPUTED_VALUE"""),"SQL")</f>
        <v>SQL</v>
      </c>
      <c r="J4991" s="9" t="str">
        <f>IFERROR(__xludf.DUMMYFUNCTION("""COMPUTED_VALUE"""),"Python")</f>
        <v>Python</v>
      </c>
      <c r="M4991" s="9" t="s">
        <v>21</v>
      </c>
    </row>
    <row r="4992" ht="15.75" customHeight="1">
      <c r="A4992" s="7"/>
      <c r="B4992" s="7" t="str">
        <f>IFERROR(__xludf.DUMMYFUNCTION("""COMPUTED_VALUE"""),"Bash/Shell/PowerShell;HTML/CSS;JavaScript;Python;SQL")</f>
        <v>Bash/Shell/PowerShell;HTML/CSS;JavaScript;Python;SQL</v>
      </c>
      <c r="D4992" s="9" t="str">
        <f>IFERROR(__xludf.DUMMYFUNCTION("""COMPUTED_VALUE"""),"JavaScript")</f>
        <v>JavaScript</v>
      </c>
      <c r="F4992" s="9" t="str">
        <f>IFERROR(__xludf.DUMMYFUNCTION("""COMPUTED_VALUE"""),"C")</f>
        <v>C</v>
      </c>
      <c r="G4992" s="9" t="str">
        <f>IFERROR(__xludf.DUMMYFUNCTION("""COMPUTED_VALUE"""),"SQL")</f>
        <v>SQL</v>
      </c>
      <c r="I4992" s="9" t="str">
        <f>IFERROR(__xludf.DUMMYFUNCTION("""COMPUTED_VALUE"""),"HTML/CSS")</f>
        <v>HTML/CSS</v>
      </c>
      <c r="J4992" s="9" t="str">
        <f>IFERROR(__xludf.DUMMYFUNCTION("""COMPUTED_VALUE"""),"SQL")</f>
        <v>SQL</v>
      </c>
      <c r="M4992" s="9" t="s">
        <v>22</v>
      </c>
    </row>
    <row r="4993" ht="15.75" customHeight="1">
      <c r="A4993" s="7"/>
      <c r="B4993" s="7" t="str">
        <f>IFERROR(__xludf.DUMMYFUNCTION("""COMPUTED_VALUE"""),"Bash/Shell/PowerShell;HTML/CSS;Java;PHP")</f>
        <v>Bash/Shell/PowerShell;HTML/CSS;Java;PHP</v>
      </c>
      <c r="D4993" s="9" t="str">
        <f>IFERROR(__xludf.DUMMYFUNCTION("""COMPUTED_VALUE"""),"Python")</f>
        <v>Python</v>
      </c>
      <c r="F4993" s="9" t="str">
        <f>IFERROR(__xludf.DUMMYFUNCTION("""COMPUTED_VALUE"""),"C++")</f>
        <v>C++</v>
      </c>
      <c r="G4993" s="9" t="str">
        <f>IFERROR(__xludf.DUMMYFUNCTION("""COMPUTED_VALUE"""),"Bash/Shell/PowerShell")</f>
        <v>Bash/Shell/PowerShell</v>
      </c>
      <c r="I4993" s="9" t="str">
        <f>IFERROR(__xludf.DUMMYFUNCTION("""COMPUTED_VALUE"""),"JavaScript")</f>
        <v>JavaScript</v>
      </c>
      <c r="J4993" s="9" t="str">
        <f>IFERROR(__xludf.DUMMYFUNCTION("""COMPUTED_VALUE"""),"TypeScript")</f>
        <v>TypeScript</v>
      </c>
      <c r="M4993" s="9" t="s">
        <v>20</v>
      </c>
    </row>
    <row r="4994" ht="15.75" customHeight="1">
      <c r="A4994" s="7"/>
      <c r="B4994" s="7" t="str">
        <f>IFERROR(__xludf.DUMMYFUNCTION("""COMPUTED_VALUE"""),"C#;Go;HTML/CSS;JavaScript;PHP")</f>
        <v>C#;Go;HTML/CSS;JavaScript;PHP</v>
      </c>
      <c r="D4994" s="9" t="str">
        <f>IFERROR(__xludf.DUMMYFUNCTION("""COMPUTED_VALUE"""),"Ruby")</f>
        <v>Ruby</v>
      </c>
      <c r="F4994" s="9" t="str">
        <f>IFERROR(__xludf.DUMMYFUNCTION("""COMPUTED_VALUE"""),"HTML/CSS")</f>
        <v>HTML/CSS</v>
      </c>
      <c r="G4994" s="9" t="str">
        <f>IFERROR(__xludf.DUMMYFUNCTION("""COMPUTED_VALUE"""),"C#")</f>
        <v>C#</v>
      </c>
      <c r="I4994" s="9" t="str">
        <f>IFERROR(__xludf.DUMMYFUNCTION("""COMPUTED_VALUE"""),"Python")</f>
        <v>Python</v>
      </c>
      <c r="J4994" s="9" t="str">
        <f>IFERROR(__xludf.DUMMYFUNCTION("""COMPUTED_VALUE"""),"Other(s):")</f>
        <v>Other(s):</v>
      </c>
      <c r="M4994" s="9" t="s">
        <v>21</v>
      </c>
    </row>
    <row r="4995" ht="15.75" customHeight="1">
      <c r="A4995" s="7"/>
      <c r="B4995" s="7" t="str">
        <f>IFERROR(__xludf.DUMMYFUNCTION("""COMPUTED_VALUE"""),"Bash/Shell/PowerShell;C;C++;HTML/CSS;Java;Python;SQL")</f>
        <v>Bash/Shell/PowerShell;C;C++;HTML/CSS;Java;Python;SQL</v>
      </c>
      <c r="D4995" s="9" t="str">
        <f>IFERROR(__xludf.DUMMYFUNCTION("""COMPUTED_VALUE"""),"TypeScript")</f>
        <v>TypeScript</v>
      </c>
      <c r="F4995" s="9" t="str">
        <f>IFERROR(__xludf.DUMMYFUNCTION("""COMPUTED_VALUE"""),"Python")</f>
        <v>Python</v>
      </c>
      <c r="G4995" s="9" t="str">
        <f>IFERROR(__xludf.DUMMYFUNCTION("""COMPUTED_VALUE"""),"SQL")</f>
        <v>SQL</v>
      </c>
      <c r="I4995" s="9" t="str">
        <f>IFERROR(__xludf.DUMMYFUNCTION("""COMPUTED_VALUE"""),"Bash/Shell/PowerShell")</f>
        <v>Bash/Shell/PowerShell</v>
      </c>
      <c r="J4995" s="9" t="str">
        <f>IFERROR(__xludf.DUMMYFUNCTION("""COMPUTED_VALUE"""),"HTML/CSS")</f>
        <v>HTML/CSS</v>
      </c>
      <c r="M4995" s="9" t="s">
        <v>37</v>
      </c>
    </row>
    <row r="4996" ht="15.75" customHeight="1">
      <c r="A4996" s="7"/>
      <c r="B4996" s="7" t="str">
        <f>IFERROR(__xludf.DUMMYFUNCTION("""COMPUTED_VALUE"""),"Bash/Shell/PowerShell;Java;JavaScript;Python")</f>
        <v>Bash/Shell/PowerShell;Java;JavaScript;Python</v>
      </c>
      <c r="D4996" s="9" t="str">
        <f>IFERROR(__xludf.DUMMYFUNCTION("""COMPUTED_VALUE"""),"C++")</f>
        <v>C++</v>
      </c>
      <c r="F4996" s="9" t="str">
        <f>IFERROR(__xludf.DUMMYFUNCTION("""COMPUTED_VALUE"""),"SQL")</f>
        <v>SQL</v>
      </c>
      <c r="G4996" s="9" t="str">
        <f>IFERROR(__xludf.DUMMYFUNCTION("""COMPUTED_VALUE"""),"HTML/CSS")</f>
        <v>HTML/CSS</v>
      </c>
      <c r="I4996" s="9" t="str">
        <f>IFERROR(__xludf.DUMMYFUNCTION("""COMPUTED_VALUE"""),"C#")</f>
        <v>C#</v>
      </c>
      <c r="J4996" s="9" t="str">
        <f>IFERROR(__xludf.DUMMYFUNCTION("""COMPUTED_VALUE"""),"Python")</f>
        <v>Python</v>
      </c>
      <c r="M4996" s="9" t="s">
        <v>27</v>
      </c>
    </row>
    <row r="4997" ht="15.75" customHeight="1">
      <c r="A4997" s="7"/>
      <c r="B4997" s="7" t="str">
        <f>IFERROR(__xludf.DUMMYFUNCTION("""COMPUTED_VALUE"""),"HTML/CSS;Java;JavaScript")</f>
        <v>HTML/CSS;Java;JavaScript</v>
      </c>
      <c r="D4997" s="9" t="str">
        <f>IFERROR(__xludf.DUMMYFUNCTION("""COMPUTED_VALUE"""),"C#")</f>
        <v>C#</v>
      </c>
      <c r="F4997" s="9" t="str">
        <f>IFERROR(__xludf.DUMMYFUNCTION("""COMPUTED_VALUE"""),"Bash/Shell/PowerShell")</f>
        <v>Bash/Shell/PowerShell</v>
      </c>
      <c r="G4997" s="9" t="str">
        <f>IFERROR(__xludf.DUMMYFUNCTION("""COMPUTED_VALUE"""),"Java")</f>
        <v>Java</v>
      </c>
      <c r="I4997" s="9" t="str">
        <f>IFERROR(__xludf.DUMMYFUNCTION("""COMPUTED_VALUE"""),"SQL")</f>
        <v>SQL</v>
      </c>
      <c r="J4997" s="9" t="str">
        <f>IFERROR(__xludf.DUMMYFUNCTION("""COMPUTED_VALUE"""),"Bash/Shell/PowerShell")</f>
        <v>Bash/Shell/PowerShell</v>
      </c>
      <c r="M4997" s="9" t="s">
        <v>33</v>
      </c>
    </row>
    <row r="4998" ht="15.75" customHeight="1">
      <c r="A4998" s="7"/>
      <c r="B4998" s="7" t="str">
        <f>IFERROR(__xludf.DUMMYFUNCTION("""COMPUTED_VALUE"""),"Assembly;C#;Python;SQL;VBA")</f>
        <v>Assembly;C#;Python;SQL;VBA</v>
      </c>
      <c r="D4998" s="9" t="str">
        <f>IFERROR(__xludf.DUMMYFUNCTION("""COMPUTED_VALUE"""),"Go")</f>
        <v>Go</v>
      </c>
      <c r="F4998" s="9" t="str">
        <f>IFERROR(__xludf.DUMMYFUNCTION("""COMPUTED_VALUE"""),"Go")</f>
        <v>Go</v>
      </c>
      <c r="G4998" s="9" t="str">
        <f>IFERROR(__xludf.DUMMYFUNCTION("""COMPUTED_VALUE"""),"JavaScript")</f>
        <v>JavaScript</v>
      </c>
      <c r="I4998" s="9" t="str">
        <f>IFERROR(__xludf.DUMMYFUNCTION("""COMPUTED_VALUE"""),"VBA")</f>
        <v>VBA</v>
      </c>
      <c r="J4998" s="9" t="str">
        <f>IFERROR(__xludf.DUMMYFUNCTION("""COMPUTED_VALUE"""),"C")</f>
        <v>C</v>
      </c>
      <c r="M4998" s="9" t="s">
        <v>24</v>
      </c>
    </row>
    <row r="4999" ht="15.75" customHeight="1">
      <c r="A4999" s="7"/>
      <c r="B4999" s="7" t="str">
        <f>IFERROR(__xludf.DUMMYFUNCTION("""COMPUTED_VALUE"""),"HTML/CSS;JavaScript;PHP;SQL")</f>
        <v>HTML/CSS;JavaScript;PHP;SQL</v>
      </c>
      <c r="D4999" s="9" t="str">
        <f>IFERROR(__xludf.DUMMYFUNCTION("""COMPUTED_VALUE"""),"HTML/CSS")</f>
        <v>HTML/CSS</v>
      </c>
      <c r="F4999" s="9" t="str">
        <f>IFERROR(__xludf.DUMMYFUNCTION("""COMPUTED_VALUE"""),"HTML/CSS")</f>
        <v>HTML/CSS</v>
      </c>
      <c r="G4999" s="9" t="str">
        <f>IFERROR(__xludf.DUMMYFUNCTION("""COMPUTED_VALUE"""),"TypeScript")</f>
        <v>TypeScript</v>
      </c>
      <c r="I4999" s="9" t="str">
        <f>IFERROR(__xludf.DUMMYFUNCTION("""COMPUTED_VALUE"""),"C++")</f>
        <v>C++</v>
      </c>
      <c r="J4999" s="9" t="str">
        <f>IFERROR(__xludf.DUMMYFUNCTION("""COMPUTED_VALUE"""),"C++")</f>
        <v>C++</v>
      </c>
      <c r="M4999" s="9" t="s">
        <v>20</v>
      </c>
    </row>
    <row r="5000" ht="15.75" customHeight="1">
      <c r="A5000" s="7"/>
      <c r="B5000" s="7" t="str">
        <f>IFERROR(__xludf.DUMMYFUNCTION("""COMPUTED_VALUE"""),"HTML/CSS;Python;R")</f>
        <v>HTML/CSS;Python;R</v>
      </c>
      <c r="D5000" s="9" t="str">
        <f>IFERROR(__xludf.DUMMYFUNCTION("""COMPUTED_VALUE"""),"JavaScript")</f>
        <v>JavaScript</v>
      </c>
      <c r="F5000" s="9" t="str">
        <f>IFERROR(__xludf.DUMMYFUNCTION("""COMPUTED_VALUE"""),"Java")</f>
        <v>Java</v>
      </c>
      <c r="G5000" s="9" t="str">
        <f>IFERROR(__xludf.DUMMYFUNCTION("""COMPUTED_VALUE"""),"JavaScript")</f>
        <v>JavaScript</v>
      </c>
      <c r="I5000" s="9" t="str">
        <f>IFERROR(__xludf.DUMMYFUNCTION("""COMPUTED_VALUE"""),"C#")</f>
        <v>C#</v>
      </c>
      <c r="J5000" s="9" t="str">
        <f>IFERROR(__xludf.DUMMYFUNCTION("""COMPUTED_VALUE"""),"C#")</f>
        <v>C#</v>
      </c>
      <c r="M5000" s="9" t="s">
        <v>21</v>
      </c>
    </row>
    <row r="5001" ht="15.75" customHeight="1">
      <c r="A5001" s="7"/>
      <c r="B5001" s="7" t="str">
        <f>IFERROR(__xludf.DUMMYFUNCTION("""COMPUTED_VALUE"""),"Bash/Shell/PowerShell;C#;Go;HTML/CSS;JavaScript;Python;SQL;TypeScript")</f>
        <v>Bash/Shell/PowerShell;C#;Go;HTML/CSS;JavaScript;Python;SQL;TypeScript</v>
      </c>
      <c r="D5001" s="9" t="str">
        <f>IFERROR(__xludf.DUMMYFUNCTION("""COMPUTED_VALUE"""),"Python")</f>
        <v>Python</v>
      </c>
      <c r="F5001" s="9" t="str">
        <f>IFERROR(__xludf.DUMMYFUNCTION("""COMPUTED_VALUE"""),"JavaScript")</f>
        <v>JavaScript</v>
      </c>
      <c r="G5001" s="9" t="str">
        <f>IFERROR(__xludf.DUMMYFUNCTION("""COMPUTED_VALUE"""),"HTML/CSS")</f>
        <v>HTML/CSS</v>
      </c>
      <c r="I5001" s="9" t="str">
        <f>IFERROR(__xludf.DUMMYFUNCTION("""COMPUTED_VALUE"""),"HTML/CSS")</f>
        <v>HTML/CSS</v>
      </c>
      <c r="J5001" s="9" t="str">
        <f>IFERROR(__xludf.DUMMYFUNCTION("""COMPUTED_VALUE"""),"Elixir")</f>
        <v>Elixir</v>
      </c>
      <c r="M5001" s="9" t="s">
        <v>39</v>
      </c>
    </row>
    <row r="5002" ht="15.75" customHeight="1">
      <c r="A5002" s="7"/>
      <c r="B5002" s="7" t="str">
        <f>IFERROR(__xludf.DUMMYFUNCTION("""COMPUTED_VALUE"""),"C;C++;Go;Java;Ruby;SQL")</f>
        <v>C;C++;Go;Java;Ruby;SQL</v>
      </c>
      <c r="D5002" s="9" t="str">
        <f>IFERROR(__xludf.DUMMYFUNCTION("""COMPUTED_VALUE"""),"SQL")</f>
        <v>SQL</v>
      </c>
      <c r="F5002" s="9" t="str">
        <f>IFERROR(__xludf.DUMMYFUNCTION("""COMPUTED_VALUE"""),"TypeScript")</f>
        <v>TypeScript</v>
      </c>
      <c r="G5002" s="9" t="str">
        <f>IFERROR(__xludf.DUMMYFUNCTION("""COMPUTED_VALUE"""),"Java")</f>
        <v>Java</v>
      </c>
      <c r="I5002" s="9" t="str">
        <f>IFERROR(__xludf.DUMMYFUNCTION("""COMPUTED_VALUE"""),"JavaScript")</f>
        <v>JavaScript</v>
      </c>
      <c r="J5002" s="9" t="str">
        <f>IFERROR(__xludf.DUMMYFUNCTION("""COMPUTED_VALUE"""),"Go")</f>
        <v>Go</v>
      </c>
      <c r="M5002" s="9" t="s">
        <v>37</v>
      </c>
    </row>
    <row r="5003" ht="15.75" customHeight="1">
      <c r="A5003" s="7"/>
      <c r="B5003" s="7" t="str">
        <f>IFERROR(__xludf.DUMMYFUNCTION("""COMPUTED_VALUE"""),"C#;HTML/CSS;JavaScript;SQL")</f>
        <v>C#;HTML/CSS;JavaScript;SQL</v>
      </c>
      <c r="D5003" s="9" t="str">
        <f>IFERROR(__xludf.DUMMYFUNCTION("""COMPUTED_VALUE"""),"HTML/CSS")</f>
        <v>HTML/CSS</v>
      </c>
      <c r="F5003" s="9" t="str">
        <f>IFERROR(__xludf.DUMMYFUNCTION("""COMPUTED_VALUE"""),"Bash/Shell/PowerShell")</f>
        <v>Bash/Shell/PowerShell</v>
      </c>
      <c r="G5003" s="9" t="str">
        <f>IFERROR(__xludf.DUMMYFUNCTION("""COMPUTED_VALUE"""),"JavaScript")</f>
        <v>JavaScript</v>
      </c>
      <c r="I5003" s="9" t="str">
        <f>IFERROR(__xludf.DUMMYFUNCTION("""COMPUTED_VALUE"""),"PHP")</f>
        <v>PHP</v>
      </c>
      <c r="J5003" s="9" t="str">
        <f>IFERROR(__xludf.DUMMYFUNCTION("""COMPUTED_VALUE"""),"HTML/CSS")</f>
        <v>HTML/CSS</v>
      </c>
      <c r="M5003" s="9" t="s">
        <v>22</v>
      </c>
    </row>
    <row r="5004" ht="15.75" customHeight="1">
      <c r="A5004" s="7"/>
      <c r="B5004" s="7" t="str">
        <f>IFERROR(__xludf.DUMMYFUNCTION("""COMPUTED_VALUE"""),"Bash/Shell/PowerShell;C#;Go;Scala;TypeScript")</f>
        <v>Bash/Shell/PowerShell;C#;Go;Scala;TypeScript</v>
      </c>
      <c r="D5004" s="9" t="str">
        <f>IFERROR(__xludf.DUMMYFUNCTION("""COMPUTED_VALUE"""),"JavaScript")</f>
        <v>JavaScript</v>
      </c>
      <c r="F5004" s="9" t="str">
        <f>IFERROR(__xludf.DUMMYFUNCTION("""COMPUTED_VALUE"""),"HTML/CSS")</f>
        <v>HTML/CSS</v>
      </c>
      <c r="G5004" s="9" t="str">
        <f>IFERROR(__xludf.DUMMYFUNCTION("""COMPUTED_VALUE"""),"Python")</f>
        <v>Python</v>
      </c>
      <c r="I5004" s="9" t="str">
        <f>IFERROR(__xludf.DUMMYFUNCTION("""COMPUTED_VALUE"""),"Python")</f>
        <v>Python</v>
      </c>
      <c r="J5004" s="9" t="str">
        <f>IFERROR(__xludf.DUMMYFUNCTION("""COMPUTED_VALUE"""),"JavaScript")</f>
        <v>JavaScript</v>
      </c>
      <c r="M5004" s="9" t="s">
        <v>27</v>
      </c>
    </row>
    <row r="5005" ht="15.75" customHeight="1">
      <c r="A5005" s="7"/>
      <c r="B5005" s="7" t="str">
        <f>IFERROR(__xludf.DUMMYFUNCTION("""COMPUTED_VALUE"""),"Bash/Shell/PowerShell;HTML/CSS;Python;Rust;SQL")</f>
        <v>Bash/Shell/PowerShell;HTML/CSS;Python;Rust;SQL</v>
      </c>
      <c r="D5005" s="9" t="str">
        <f>IFERROR(__xludf.DUMMYFUNCTION("""COMPUTED_VALUE"""),"Ruby")</f>
        <v>Ruby</v>
      </c>
      <c r="F5005" s="9" t="str">
        <f>IFERROR(__xludf.DUMMYFUNCTION("""COMPUTED_VALUE"""),"Java")</f>
        <v>Java</v>
      </c>
      <c r="G5005" s="9" t="str">
        <f>IFERROR(__xludf.DUMMYFUNCTION("""COMPUTED_VALUE"""),"SQL")</f>
        <v>SQL</v>
      </c>
      <c r="I5005" s="9" t="str">
        <f>IFERROR(__xludf.DUMMYFUNCTION("""COMPUTED_VALUE"""),"SQL")</f>
        <v>SQL</v>
      </c>
      <c r="J5005" s="9" t="str">
        <f>IFERROR(__xludf.DUMMYFUNCTION("""COMPUTED_VALUE"""),"PHP")</f>
        <v>PHP</v>
      </c>
      <c r="M5005" s="9" t="s">
        <v>30</v>
      </c>
    </row>
    <row r="5006" ht="15.75" customHeight="1">
      <c r="A5006" s="7"/>
      <c r="B5006" s="7" t="str">
        <f>IFERROR(__xludf.DUMMYFUNCTION("""COMPUTED_VALUE"""),"JavaScript")</f>
        <v>JavaScript</v>
      </c>
      <c r="D5006" s="9" t="str">
        <f>IFERROR(__xludf.DUMMYFUNCTION("""COMPUTED_VALUE"""),"SQL")</f>
        <v>SQL</v>
      </c>
      <c r="F5006" s="9" t="str">
        <f>IFERROR(__xludf.DUMMYFUNCTION("""COMPUTED_VALUE"""),"JavaScript")</f>
        <v>JavaScript</v>
      </c>
      <c r="G5006" s="9" t="str">
        <f>IFERROR(__xludf.DUMMYFUNCTION("""COMPUTED_VALUE"""),"Bash/Shell/PowerShell")</f>
        <v>Bash/Shell/PowerShell</v>
      </c>
      <c r="I5006" s="9" t="str">
        <f>IFERROR(__xludf.DUMMYFUNCTION("""COMPUTED_VALUE"""),"Swift")</f>
        <v>Swift</v>
      </c>
      <c r="J5006" s="9" t="str">
        <f>IFERROR(__xludf.DUMMYFUNCTION("""COMPUTED_VALUE"""),"Python")</f>
        <v>Python</v>
      </c>
      <c r="M5006" s="9" t="s">
        <v>23</v>
      </c>
    </row>
    <row r="5007" ht="15.75" customHeight="1">
      <c r="A5007" s="7"/>
      <c r="B5007" s="7" t="str">
        <f>IFERROR(__xludf.DUMMYFUNCTION("""COMPUTED_VALUE"""),"Bash/Shell/PowerShell;Go;HTML/CSS;Java;JavaScript;PHP;Python;Ruby;SQL")</f>
        <v>Bash/Shell/PowerShell;Go;HTML/CSS;Java;JavaScript;PHP;Python;Ruby;SQL</v>
      </c>
      <c r="D5007" s="9" t="str">
        <f>IFERROR(__xludf.DUMMYFUNCTION("""COMPUTED_VALUE"""),"Bash/Shell/PowerShell")</f>
        <v>Bash/Shell/PowerShell</v>
      </c>
      <c r="F5007" s="9" t="str">
        <f>IFERROR(__xludf.DUMMYFUNCTION("""COMPUTED_VALUE"""),"Kotlin")</f>
        <v>Kotlin</v>
      </c>
      <c r="G5007" s="9" t="str">
        <f>IFERROR(__xludf.DUMMYFUNCTION("""COMPUTED_VALUE"""),"Java")</f>
        <v>Java</v>
      </c>
      <c r="I5007" s="9" t="str">
        <f>IFERROR(__xludf.DUMMYFUNCTION("""COMPUTED_VALUE"""),"VBA")</f>
        <v>VBA</v>
      </c>
      <c r="J5007" s="9" t="str">
        <f>IFERROR(__xludf.DUMMYFUNCTION("""COMPUTED_VALUE"""),"Rust")</f>
        <v>Rust</v>
      </c>
      <c r="M5007" s="9" t="s">
        <v>24</v>
      </c>
    </row>
    <row r="5008" ht="15.75" customHeight="1">
      <c r="A5008" s="7"/>
      <c r="B5008" s="7" t="str">
        <f>IFERROR(__xludf.DUMMYFUNCTION("""COMPUTED_VALUE"""),"Bash/Shell/PowerShell;HTML/CSS;Java;JavaScript;SQL;TypeScript")</f>
        <v>Bash/Shell/PowerShell;HTML/CSS;Java;JavaScript;SQL;TypeScript</v>
      </c>
      <c r="D5008" s="9" t="str">
        <f>IFERROR(__xludf.DUMMYFUNCTION("""COMPUTED_VALUE"""),"HTML/CSS")</f>
        <v>HTML/CSS</v>
      </c>
      <c r="F5008" s="9" t="str">
        <f>IFERROR(__xludf.DUMMYFUNCTION("""COMPUTED_VALUE"""),"Objective-C")</f>
        <v>Objective-C</v>
      </c>
      <c r="G5008" s="9" t="str">
        <f>IFERROR(__xludf.DUMMYFUNCTION("""COMPUTED_VALUE"""),"SQL")</f>
        <v>SQL</v>
      </c>
      <c r="I5008" s="9" t="str">
        <f>IFERROR(__xludf.DUMMYFUNCTION("""COMPUTED_VALUE"""),"Bash/Shell/PowerShell")</f>
        <v>Bash/Shell/PowerShell</v>
      </c>
      <c r="J5008" s="9" t="str">
        <f>IFERROR(__xludf.DUMMYFUNCTION("""COMPUTED_VALUE"""),"SQL")</f>
        <v>SQL</v>
      </c>
      <c r="M5008" s="9" t="s">
        <v>21</v>
      </c>
    </row>
    <row r="5009" ht="15.75" customHeight="1">
      <c r="A5009" s="7"/>
      <c r="B5009" s="7" t="str">
        <f>IFERROR(__xludf.DUMMYFUNCTION("""COMPUTED_VALUE"""),"Bash/Shell/PowerShell;JavaScript;Python")</f>
        <v>Bash/Shell/PowerShell;JavaScript;Python</v>
      </c>
      <c r="D5009" s="9" t="str">
        <f>IFERROR(__xludf.DUMMYFUNCTION("""COMPUTED_VALUE"""),"JavaScript")</f>
        <v>JavaScript</v>
      </c>
      <c r="F5009" s="9" t="str">
        <f>IFERROR(__xludf.DUMMYFUNCTION("""COMPUTED_VALUE"""),"SQL")</f>
        <v>SQL</v>
      </c>
      <c r="G5009" s="9" t="str">
        <f>IFERROR(__xludf.DUMMYFUNCTION("""COMPUTED_VALUE"""),"HTML/CSS")</f>
        <v>HTML/CSS</v>
      </c>
      <c r="I5009" s="9" t="str">
        <f>IFERROR(__xludf.DUMMYFUNCTION("""COMPUTED_VALUE"""),"Go")</f>
        <v>Go</v>
      </c>
      <c r="J5009" s="9" t="str">
        <f>IFERROR(__xludf.DUMMYFUNCTION("""COMPUTED_VALUE"""),"Other(s):")</f>
        <v>Other(s):</v>
      </c>
      <c r="M5009" s="9" t="s">
        <v>22</v>
      </c>
    </row>
    <row r="5010" ht="15.75" customHeight="1">
      <c r="A5010" s="7"/>
      <c r="B5010" s="7" t="str">
        <f>IFERROR(__xludf.DUMMYFUNCTION("""COMPUTED_VALUE"""),"C;HTML/CSS;Java;JavaScript;Objective-C;PHP;SQL;Other(s):")</f>
        <v>C;HTML/CSS;Java;JavaScript;Objective-C;PHP;SQL;Other(s):</v>
      </c>
      <c r="D5010" s="9" t="str">
        <f>IFERROR(__xludf.DUMMYFUNCTION("""COMPUTED_VALUE"""),"Bash/Shell/PowerShell")</f>
        <v>Bash/Shell/PowerShell</v>
      </c>
      <c r="F5010" s="9" t="str">
        <f>IFERROR(__xludf.DUMMYFUNCTION("""COMPUTED_VALUE"""),"Swift")</f>
        <v>Swift</v>
      </c>
      <c r="G5010" s="9" t="str">
        <f>IFERROR(__xludf.DUMMYFUNCTION("""COMPUTED_VALUE"""),"JavaScript")</f>
        <v>JavaScript</v>
      </c>
      <c r="I5010" s="9" t="str">
        <f>IFERROR(__xludf.DUMMYFUNCTION("""COMPUTED_VALUE"""),"HTML/CSS")</f>
        <v>HTML/CSS</v>
      </c>
      <c r="J5010" s="9" t="str">
        <f>IFERROR(__xludf.DUMMYFUNCTION("""COMPUTED_VALUE"""),"HTML/CSS")</f>
        <v>HTML/CSS</v>
      </c>
      <c r="M5010" s="9" t="s">
        <v>27</v>
      </c>
    </row>
    <row r="5011" ht="15.75" customHeight="1">
      <c r="A5011" s="7"/>
      <c r="B5011" s="7" t="str">
        <f>IFERROR(__xludf.DUMMYFUNCTION("""COMPUTED_VALUE"""),"C++")</f>
        <v>C++</v>
      </c>
      <c r="D5011" s="9" t="str">
        <f>IFERROR(__xludf.DUMMYFUNCTION("""COMPUTED_VALUE"""),"HTML/CSS")</f>
        <v>HTML/CSS</v>
      </c>
      <c r="F5011" s="9" t="str">
        <f>IFERROR(__xludf.DUMMYFUNCTION("""COMPUTED_VALUE"""),"JavaScript")</f>
        <v>JavaScript</v>
      </c>
      <c r="G5011" s="9" t="str">
        <f>IFERROR(__xludf.DUMMYFUNCTION("""COMPUTED_VALUE"""),"Bash/Shell/PowerShell")</f>
        <v>Bash/Shell/PowerShell</v>
      </c>
      <c r="I5011" s="9" t="str">
        <f>IFERROR(__xludf.DUMMYFUNCTION("""COMPUTED_VALUE"""),"JavaScript")</f>
        <v>JavaScript</v>
      </c>
      <c r="J5011" s="9" t="str">
        <f>IFERROR(__xludf.DUMMYFUNCTION("""COMPUTED_VALUE"""),"JavaScript")</f>
        <v>JavaScript</v>
      </c>
      <c r="M5011" s="9" t="s">
        <v>30</v>
      </c>
    </row>
    <row r="5012" ht="15.75" customHeight="1">
      <c r="A5012" s="7"/>
      <c r="B5012" s="7" t="str">
        <f>IFERROR(__xludf.DUMMYFUNCTION("""COMPUTED_VALUE"""),"Java;JavaScript;Scala;SQL")</f>
        <v>Java;JavaScript;Scala;SQL</v>
      </c>
      <c r="D5012" s="9" t="str">
        <f>IFERROR(__xludf.DUMMYFUNCTION("""COMPUTED_VALUE"""),"Java")</f>
        <v>Java</v>
      </c>
      <c r="F5012" s="9" t="str">
        <f>IFERROR(__xludf.DUMMYFUNCTION("""COMPUTED_VALUE"""),"PHP")</f>
        <v>PHP</v>
      </c>
      <c r="G5012" s="9" t="str">
        <f>IFERROR(__xludf.DUMMYFUNCTION("""COMPUTED_VALUE"""),"C")</f>
        <v>C</v>
      </c>
      <c r="I5012" s="9" t="str">
        <f>IFERROR(__xludf.DUMMYFUNCTION("""COMPUTED_VALUE"""),"Python")</f>
        <v>Python</v>
      </c>
      <c r="J5012" s="9" t="str">
        <f>IFERROR(__xludf.DUMMYFUNCTION("""COMPUTED_VALUE"""),"Python")</f>
        <v>Python</v>
      </c>
      <c r="M5012" s="9" t="s">
        <v>26</v>
      </c>
    </row>
    <row r="5013" ht="15.75" customHeight="1">
      <c r="A5013" s="7"/>
      <c r="B5013" s="7" t="str">
        <f>IFERROR(__xludf.DUMMYFUNCTION("""COMPUTED_VALUE"""),"Bash/Shell/PowerShell;PHP;Python")</f>
        <v>Bash/Shell/PowerShell;PHP;Python</v>
      </c>
      <c r="D5013" s="9" t="str">
        <f>IFERROR(__xludf.DUMMYFUNCTION("""COMPUTED_VALUE"""),"JavaScript")</f>
        <v>JavaScript</v>
      </c>
      <c r="F5013" s="9" t="str">
        <f>IFERROR(__xludf.DUMMYFUNCTION("""COMPUTED_VALUE"""),"SQL")</f>
        <v>SQL</v>
      </c>
      <c r="G5013" s="9" t="str">
        <f>IFERROR(__xludf.DUMMYFUNCTION("""COMPUTED_VALUE"""),"C++")</f>
        <v>C++</v>
      </c>
      <c r="I5013" s="9" t="str">
        <f>IFERROR(__xludf.DUMMYFUNCTION("""COMPUTED_VALUE"""),"SQL")</f>
        <v>SQL</v>
      </c>
      <c r="J5013" s="9" t="str">
        <f>IFERROR(__xludf.DUMMYFUNCTION("""COMPUTED_VALUE"""),"SQL")</f>
        <v>SQL</v>
      </c>
      <c r="M5013" s="9" t="s">
        <v>24</v>
      </c>
    </row>
    <row r="5014" ht="15.75" customHeight="1">
      <c r="A5014" s="7"/>
      <c r="B5014" s="7" t="str">
        <f>IFERROR(__xludf.DUMMYFUNCTION("""COMPUTED_VALUE"""),"Bash/Shell/PowerShell;HTML/CSS;JavaScript;Objective-C;Python;SQL;TypeScript")</f>
        <v>Bash/Shell/PowerShell;HTML/CSS;JavaScript;Objective-C;Python;SQL;TypeScript</v>
      </c>
      <c r="D5014" s="9" t="str">
        <f>IFERROR(__xludf.DUMMYFUNCTION("""COMPUTED_VALUE"""),"Ruby")</f>
        <v>Ruby</v>
      </c>
      <c r="F5014" s="9" t="str">
        <f>IFERROR(__xludf.DUMMYFUNCTION("""COMPUTED_VALUE"""),"Assembly")</f>
        <v>Assembly</v>
      </c>
      <c r="G5014" s="9" t="str">
        <f>IFERROR(__xludf.DUMMYFUNCTION("""COMPUTED_VALUE"""),"Python")</f>
        <v>Python</v>
      </c>
      <c r="I5014" s="9" t="str">
        <f>IFERROR(__xludf.DUMMYFUNCTION("""COMPUTED_VALUE"""),"Bash/Shell/PowerShell")</f>
        <v>Bash/Shell/PowerShell</v>
      </c>
      <c r="J5014" s="9" t="str">
        <f>IFERROR(__xludf.DUMMYFUNCTION("""COMPUTED_VALUE"""),"Bash/Shell/PowerShell")</f>
        <v>Bash/Shell/PowerShell</v>
      </c>
      <c r="M5014" s="9" t="s">
        <v>27</v>
      </c>
    </row>
    <row r="5015" ht="15.75" customHeight="1">
      <c r="A5015" s="7"/>
      <c r="B5015" s="7" t="str">
        <f>IFERROR(__xludf.DUMMYFUNCTION("""COMPUTED_VALUE"""),"Go;HTML/CSS;Java;JavaScript;Rust;SQL")</f>
        <v>Go;HTML/CSS;Java;JavaScript;Rust;SQL</v>
      </c>
      <c r="D5015" s="9" t="str">
        <f>IFERROR(__xludf.DUMMYFUNCTION("""COMPUTED_VALUE"""),"Bash/Shell/PowerShell")</f>
        <v>Bash/Shell/PowerShell</v>
      </c>
      <c r="F5015" s="9" t="str">
        <f>IFERROR(__xludf.DUMMYFUNCTION("""COMPUTED_VALUE"""),"Bash/Shell/PowerShell")</f>
        <v>Bash/Shell/PowerShell</v>
      </c>
      <c r="G5015" s="9" t="str">
        <f>IFERROR(__xludf.DUMMYFUNCTION("""COMPUTED_VALUE"""),"Bash/Shell/PowerShell")</f>
        <v>Bash/Shell/PowerShell</v>
      </c>
      <c r="I5015" s="9" t="str">
        <f>IFERROR(__xludf.DUMMYFUNCTION("""COMPUTED_VALUE"""),"C")</f>
        <v>C</v>
      </c>
      <c r="J5015" s="9" t="str">
        <f>IFERROR(__xludf.DUMMYFUNCTION("""COMPUTED_VALUE"""),"C")</f>
        <v>C</v>
      </c>
      <c r="M5015" s="9" t="s">
        <v>33</v>
      </c>
    </row>
    <row r="5016" ht="15.75" customHeight="1">
      <c r="A5016" s="7"/>
      <c r="B5016" s="7" t="str">
        <f>IFERROR(__xludf.DUMMYFUNCTION("""COMPUTED_VALUE"""),"C;Java;Python;R;SQL;WebAssembly")</f>
        <v>C;Java;Python;R;SQL;WebAssembly</v>
      </c>
      <c r="D5016" s="9" t="str">
        <f>IFERROR(__xludf.DUMMYFUNCTION("""COMPUTED_VALUE"""),"HTML/CSS")</f>
        <v>HTML/CSS</v>
      </c>
      <c r="F5016" s="9" t="str">
        <f>IFERROR(__xludf.DUMMYFUNCTION("""COMPUTED_VALUE"""),"C")</f>
        <v>C</v>
      </c>
      <c r="G5016" s="9" t="str">
        <f>IFERROR(__xludf.DUMMYFUNCTION("""COMPUTED_VALUE"""),"Python")</f>
        <v>Python</v>
      </c>
      <c r="I5016" s="9" t="str">
        <f>IFERROR(__xludf.DUMMYFUNCTION("""COMPUTED_VALUE"""),"C++")</f>
        <v>C++</v>
      </c>
      <c r="J5016" s="9" t="str">
        <f>IFERROR(__xludf.DUMMYFUNCTION("""COMPUTED_VALUE"""),"C++")</f>
        <v>C++</v>
      </c>
      <c r="M5016" s="9" t="s">
        <v>26</v>
      </c>
    </row>
    <row r="5017" ht="15.75" customHeight="1">
      <c r="A5017" s="7"/>
      <c r="B5017" s="7" t="str">
        <f>IFERROR(__xludf.DUMMYFUNCTION("""COMPUTED_VALUE"""),"Bash/Shell/PowerShell;Clojure;Go;HTML/CSS;Java;JavaScript;Kotlin;Objective-C;Python;Rust;SQL;Swift;TypeScript")</f>
        <v>Bash/Shell/PowerShell;Clojure;Go;HTML/CSS;Java;JavaScript;Kotlin;Objective-C;Python;Rust;SQL;Swift;TypeScript</v>
      </c>
      <c r="D5017" s="9" t="str">
        <f>IFERROR(__xludf.DUMMYFUNCTION("""COMPUTED_VALUE"""),"Java")</f>
        <v>Java</v>
      </c>
      <c r="F5017" s="9" t="str">
        <f>IFERROR(__xludf.DUMMYFUNCTION("""COMPUTED_VALUE"""),"C++")</f>
        <v>C++</v>
      </c>
      <c r="G5017" s="9" t="str">
        <f>IFERROR(__xludf.DUMMYFUNCTION("""COMPUTED_VALUE"""),"R")</f>
        <v>R</v>
      </c>
      <c r="I5017" s="9" t="str">
        <f>IFERROR(__xludf.DUMMYFUNCTION("""COMPUTED_VALUE"""),"Go")</f>
        <v>Go</v>
      </c>
      <c r="J5017" s="9" t="str">
        <f>IFERROR(__xludf.DUMMYFUNCTION("""COMPUTED_VALUE"""),"C#")</f>
        <v>C#</v>
      </c>
      <c r="M5017" s="9" t="s">
        <v>24</v>
      </c>
    </row>
    <row r="5018" ht="15.75" customHeight="1">
      <c r="A5018" s="7"/>
      <c r="B5018" s="7" t="str">
        <f>IFERROR(__xludf.DUMMYFUNCTION("""COMPUTED_VALUE"""),"C;C++;C#")</f>
        <v>C;C++;C#</v>
      </c>
      <c r="D5018" s="9" t="str">
        <f>IFERROR(__xludf.DUMMYFUNCTION("""COMPUTED_VALUE"""),"JavaScript")</f>
        <v>JavaScript</v>
      </c>
      <c r="F5018" s="9" t="str">
        <f>IFERROR(__xludf.DUMMYFUNCTION("""COMPUTED_VALUE"""),"HTML/CSS")</f>
        <v>HTML/CSS</v>
      </c>
      <c r="G5018" s="9" t="str">
        <f>IFERROR(__xludf.DUMMYFUNCTION("""COMPUTED_VALUE"""),"C#")</f>
        <v>C#</v>
      </c>
      <c r="I5018" s="9" t="str">
        <f>IFERROR(__xludf.DUMMYFUNCTION("""COMPUTED_VALUE"""),"HTML/CSS")</f>
        <v>HTML/CSS</v>
      </c>
      <c r="J5018" s="9" t="str">
        <f>IFERROR(__xludf.DUMMYFUNCTION("""COMPUTED_VALUE"""),"Dart")</f>
        <v>Dart</v>
      </c>
      <c r="M5018" s="9" t="s">
        <v>20</v>
      </c>
    </row>
    <row r="5019" ht="15.75" customHeight="1">
      <c r="A5019" s="7"/>
      <c r="B5019" s="7" t="str">
        <f>IFERROR(__xludf.DUMMYFUNCTION("""COMPUTED_VALUE"""),"Python;Other(s):")</f>
        <v>Python;Other(s):</v>
      </c>
      <c r="D5019" s="9" t="str">
        <f>IFERROR(__xludf.DUMMYFUNCTION("""COMPUTED_VALUE"""),"Kotlin")</f>
        <v>Kotlin</v>
      </c>
      <c r="F5019" s="9" t="str">
        <f>IFERROR(__xludf.DUMMYFUNCTION("""COMPUTED_VALUE"""),"Java")</f>
        <v>Java</v>
      </c>
      <c r="G5019" s="9" t="str">
        <f>IFERROR(__xludf.DUMMYFUNCTION("""COMPUTED_VALUE"""),"HTML/CSS")</f>
        <v>HTML/CSS</v>
      </c>
      <c r="I5019" s="9" t="str">
        <f>IFERROR(__xludf.DUMMYFUNCTION("""COMPUTED_VALUE"""),"Java")</f>
        <v>Java</v>
      </c>
      <c r="J5019" s="9" t="str">
        <f>IFERROR(__xludf.DUMMYFUNCTION("""COMPUTED_VALUE"""),"HTML/CSS")</f>
        <v>HTML/CSS</v>
      </c>
      <c r="M5019" s="9" t="s">
        <v>21</v>
      </c>
    </row>
    <row r="5020" ht="15.75" customHeight="1">
      <c r="A5020" s="7"/>
      <c r="B5020" s="7" t="str">
        <f>IFERROR(__xludf.DUMMYFUNCTION("""COMPUTED_VALUE"""),"Assembly;Bash/Shell/PowerShell;C;C++;HTML/CSS;Java;JavaScript;PHP;Python;SQL")</f>
        <v>Assembly;Bash/Shell/PowerShell;C;C++;HTML/CSS;Java;JavaScript;PHP;Python;SQL</v>
      </c>
      <c r="D5020" s="9" t="str">
        <f>IFERROR(__xludf.DUMMYFUNCTION("""COMPUTED_VALUE"""),"Objective-C")</f>
        <v>Objective-C</v>
      </c>
      <c r="F5020" s="9" t="str">
        <f>IFERROR(__xludf.DUMMYFUNCTION("""COMPUTED_VALUE"""),"Python")</f>
        <v>Python</v>
      </c>
      <c r="G5020" s="9" t="str">
        <f>IFERROR(__xludf.DUMMYFUNCTION("""COMPUTED_VALUE"""),"Java")</f>
        <v>Java</v>
      </c>
      <c r="I5020" s="9" t="str">
        <f>IFERROR(__xludf.DUMMYFUNCTION("""COMPUTED_VALUE"""),"JavaScript")</f>
        <v>JavaScript</v>
      </c>
      <c r="J5020" s="9" t="str">
        <f>IFERROR(__xludf.DUMMYFUNCTION("""COMPUTED_VALUE"""),"JavaScript")</f>
        <v>JavaScript</v>
      </c>
      <c r="M5020" s="9" t="s">
        <v>31</v>
      </c>
    </row>
    <row r="5021" ht="15.75" customHeight="1">
      <c r="A5021" s="7"/>
      <c r="B5021" s="7" t="str">
        <f>IFERROR(__xludf.DUMMYFUNCTION("""COMPUTED_VALUE"""),"C#;SQL")</f>
        <v>C#;SQL</v>
      </c>
      <c r="D5021" s="9" t="str">
        <f>IFERROR(__xludf.DUMMYFUNCTION("""COMPUTED_VALUE"""),"Python")</f>
        <v>Python</v>
      </c>
      <c r="F5021" s="9" t="str">
        <f>IFERROR(__xludf.DUMMYFUNCTION("""COMPUTED_VALUE"""),"SQL")</f>
        <v>SQL</v>
      </c>
      <c r="G5021" s="9" t="str">
        <f>IFERROR(__xludf.DUMMYFUNCTION("""COMPUTED_VALUE"""),"JavaScript")</f>
        <v>JavaScript</v>
      </c>
      <c r="I5021" s="9" t="str">
        <f>IFERROR(__xludf.DUMMYFUNCTION("""COMPUTED_VALUE"""),"Objective-C")</f>
        <v>Objective-C</v>
      </c>
      <c r="J5021" s="9" t="str">
        <f>IFERROR(__xludf.DUMMYFUNCTION("""COMPUTED_VALUE"""),"Python")</f>
        <v>Python</v>
      </c>
      <c r="M5021" s="9" t="s">
        <v>27</v>
      </c>
    </row>
    <row r="5022" ht="15.75" customHeight="1">
      <c r="A5022" s="7"/>
      <c r="B5022" s="7" t="str">
        <f>IFERROR(__xludf.DUMMYFUNCTION("""COMPUTED_VALUE"""),"Bash/Shell/PowerShell;C++;C#;HTML/CSS;JavaScript;SQL;TypeScript")</f>
        <v>Bash/Shell/PowerShell;C++;C#;HTML/CSS;JavaScript;SQL;TypeScript</v>
      </c>
      <c r="D5022" s="9" t="str">
        <f>IFERROR(__xludf.DUMMYFUNCTION("""COMPUTED_VALUE"""),"SQL")</f>
        <v>SQL</v>
      </c>
      <c r="F5022" s="9" t="str">
        <f>IFERROR(__xludf.DUMMYFUNCTION("""COMPUTED_VALUE"""),"Other(s):")</f>
        <v>Other(s):</v>
      </c>
      <c r="G5022" s="9" t="str">
        <f>IFERROR(__xludf.DUMMYFUNCTION("""COMPUTED_VALUE"""),"SQL")</f>
        <v>SQL</v>
      </c>
      <c r="I5022" s="9" t="str">
        <f>IFERROR(__xludf.DUMMYFUNCTION("""COMPUTED_VALUE"""),"Python")</f>
        <v>Python</v>
      </c>
      <c r="J5022" s="9" t="str">
        <f>IFERROR(__xludf.DUMMYFUNCTION("""COMPUTED_VALUE"""),"R")</f>
        <v>R</v>
      </c>
      <c r="M5022" s="9" t="s">
        <v>33</v>
      </c>
    </row>
    <row r="5023" ht="15.75" customHeight="1">
      <c r="A5023" s="7"/>
      <c r="B5023" s="7" t="str">
        <f>IFERROR(__xludf.DUMMYFUNCTION("""COMPUTED_VALUE"""),"Bash/Shell/PowerShell;C#;HTML/CSS;JavaScript;PHP;Ruby;SQL;VBA")</f>
        <v>Bash/Shell/PowerShell;C#;HTML/CSS;JavaScript;PHP;Ruby;SQL;VBA</v>
      </c>
      <c r="D5023" s="9" t="str">
        <f>IFERROR(__xludf.DUMMYFUNCTION("""COMPUTED_VALUE"""),"Swift")</f>
        <v>Swift</v>
      </c>
      <c r="F5023" s="9" t="str">
        <f>IFERROR(__xludf.DUMMYFUNCTION("""COMPUTED_VALUE"""),"Bash/Shell/PowerShell")</f>
        <v>Bash/Shell/PowerShell</v>
      </c>
      <c r="G5023" s="9" t="str">
        <f>IFERROR(__xludf.DUMMYFUNCTION("""COMPUTED_VALUE"""),"TypeScript")</f>
        <v>TypeScript</v>
      </c>
      <c r="I5023" s="9" t="str">
        <f>IFERROR(__xludf.DUMMYFUNCTION("""COMPUTED_VALUE"""),"Scala")</f>
        <v>Scala</v>
      </c>
      <c r="J5023" s="9" t="str">
        <f>IFERROR(__xludf.DUMMYFUNCTION("""COMPUTED_VALUE"""),"TypeScript")</f>
        <v>TypeScript</v>
      </c>
      <c r="M5023" s="9" t="s">
        <v>23</v>
      </c>
    </row>
    <row r="5024" ht="15.75" customHeight="1">
      <c r="A5024" s="7"/>
      <c r="B5024" s="7" t="str">
        <f>IFERROR(__xludf.DUMMYFUNCTION("""COMPUTED_VALUE"""),"Bash/Shell/PowerShell;C;C++;HTML/CSS;Java;JavaScript;SQL;TypeScript;Other(s):")</f>
        <v>Bash/Shell/PowerShell;C;C++;HTML/CSS;Java;JavaScript;SQL;TypeScript;Other(s):</v>
      </c>
      <c r="D5024" s="9" t="str">
        <f>IFERROR(__xludf.DUMMYFUNCTION("""COMPUTED_VALUE"""),"C")</f>
        <v>C</v>
      </c>
      <c r="F5024" s="9" t="str">
        <f>IFERROR(__xludf.DUMMYFUNCTION("""COMPUTED_VALUE"""),"C#")</f>
        <v>C#</v>
      </c>
      <c r="G5024" s="9" t="str">
        <f>IFERROR(__xludf.DUMMYFUNCTION("""COMPUTED_VALUE"""),"Python")</f>
        <v>Python</v>
      </c>
      <c r="I5024" s="9" t="str">
        <f>IFERROR(__xludf.DUMMYFUNCTION("""COMPUTED_VALUE"""),"Swift")</f>
        <v>Swift</v>
      </c>
      <c r="J5024" s="9" t="str">
        <f>IFERROR(__xludf.DUMMYFUNCTION("""COMPUTED_VALUE"""),"Other(s):")</f>
        <v>Other(s):</v>
      </c>
      <c r="M5024" s="9" t="s">
        <v>26</v>
      </c>
    </row>
    <row r="5025" ht="15.75" customHeight="1">
      <c r="A5025" s="7"/>
      <c r="B5025" s="7" t="str">
        <f>IFERROR(__xludf.DUMMYFUNCTION("""COMPUTED_VALUE"""),"Bash/Shell/PowerShell;JavaScript;PHP;Python;SQL;Other(s):")</f>
        <v>Bash/Shell/PowerShell;JavaScript;PHP;Python;SQL;Other(s):</v>
      </c>
      <c r="D5025" s="9" t="str">
        <f>IFERROR(__xludf.DUMMYFUNCTION("""COMPUTED_VALUE"""),"C#")</f>
        <v>C#</v>
      </c>
      <c r="F5025" s="9" t="str">
        <f>IFERROR(__xludf.DUMMYFUNCTION("""COMPUTED_VALUE"""),"HTML/CSS")</f>
        <v>HTML/CSS</v>
      </c>
      <c r="G5025" s="9" t="str">
        <f>IFERROR(__xludf.DUMMYFUNCTION("""COMPUTED_VALUE"""),"SQL")</f>
        <v>SQL</v>
      </c>
      <c r="I5025" s="9" t="str">
        <f>IFERROR(__xludf.DUMMYFUNCTION("""COMPUTED_VALUE"""),"WebAssembly")</f>
        <v>WebAssembly</v>
      </c>
      <c r="J5025" s="9" t="str">
        <f>IFERROR(__xludf.DUMMYFUNCTION("""COMPUTED_VALUE"""),"Bash/Shell/PowerShell")</f>
        <v>Bash/Shell/PowerShell</v>
      </c>
      <c r="M5025" s="9" t="s">
        <v>21</v>
      </c>
    </row>
    <row r="5026" ht="15.75" customHeight="1">
      <c r="A5026" s="7"/>
      <c r="B5026" s="7" t="str">
        <f>IFERROR(__xludf.DUMMYFUNCTION("""COMPUTED_VALUE"""),"C++;JavaScript")</f>
        <v>C++;JavaScript</v>
      </c>
      <c r="D5026" s="9" t="str">
        <f>IFERROR(__xludf.DUMMYFUNCTION("""COMPUTED_VALUE"""),"HTML/CSS")</f>
        <v>HTML/CSS</v>
      </c>
      <c r="F5026" s="9" t="str">
        <f>IFERROR(__xludf.DUMMYFUNCTION("""COMPUTED_VALUE"""),"JavaScript")</f>
        <v>JavaScript</v>
      </c>
      <c r="G5026" s="9" t="str">
        <f>IFERROR(__xludf.DUMMYFUNCTION("""COMPUTED_VALUE"""),"HTML/CSS")</f>
        <v>HTML/CSS</v>
      </c>
      <c r="I5026" s="9" t="str">
        <f>IFERROR(__xludf.DUMMYFUNCTION("""COMPUTED_VALUE"""),"Elixir")</f>
        <v>Elixir</v>
      </c>
      <c r="J5026" s="9" t="str">
        <f>IFERROR(__xludf.DUMMYFUNCTION("""COMPUTED_VALUE"""),"C#")</f>
        <v>C#</v>
      </c>
      <c r="M5026" s="9" t="s">
        <v>41</v>
      </c>
    </row>
    <row r="5027" ht="15.75" customHeight="1">
      <c r="A5027" s="7"/>
      <c r="B5027" s="7" t="str">
        <f>IFERROR(__xludf.DUMMYFUNCTION("""COMPUTED_VALUE"""),"Bash/Shell/PowerShell;HTML/CSS;JavaScript;PHP;SQL;VBA")</f>
        <v>Bash/Shell/PowerShell;HTML/CSS;JavaScript;PHP;SQL;VBA</v>
      </c>
      <c r="D5027" s="9" t="str">
        <f>IFERROR(__xludf.DUMMYFUNCTION("""COMPUTED_VALUE"""),"Java")</f>
        <v>Java</v>
      </c>
      <c r="F5027" s="9" t="str">
        <f>IFERROR(__xludf.DUMMYFUNCTION("""COMPUTED_VALUE"""),"PHP")</f>
        <v>PHP</v>
      </c>
      <c r="G5027" s="9" t="str">
        <f>IFERROR(__xludf.DUMMYFUNCTION("""COMPUTED_VALUE"""),"JavaScript")</f>
        <v>JavaScript</v>
      </c>
      <c r="I5027" s="9" t="str">
        <f>IFERROR(__xludf.DUMMYFUNCTION("""COMPUTED_VALUE"""),"Python")</f>
        <v>Python</v>
      </c>
      <c r="J5027" s="9" t="str">
        <f>IFERROR(__xludf.DUMMYFUNCTION("""COMPUTED_VALUE"""),"HTML/CSS")</f>
        <v>HTML/CSS</v>
      </c>
      <c r="M5027" s="9" t="s">
        <v>32</v>
      </c>
    </row>
    <row r="5028" ht="15.75" customHeight="1">
      <c r="A5028" s="7"/>
      <c r="B5028" s="7" t="str">
        <f>IFERROR(__xludf.DUMMYFUNCTION("""COMPUTED_VALUE"""),"Bash/Shell/PowerShell;HTML/CSS;Java;JavaScript;Ruby;SQL;TypeScript")</f>
        <v>Bash/Shell/PowerShell;HTML/CSS;Java;JavaScript;Ruby;SQL;TypeScript</v>
      </c>
      <c r="D5028" s="9" t="str">
        <f>IFERROR(__xludf.DUMMYFUNCTION("""COMPUTED_VALUE"""),"JavaScript")</f>
        <v>JavaScript</v>
      </c>
      <c r="F5028" s="9" t="str">
        <f>IFERROR(__xludf.DUMMYFUNCTION("""COMPUTED_VALUE"""),"Python")</f>
        <v>Python</v>
      </c>
      <c r="G5028" s="9" t="str">
        <f>IFERROR(__xludf.DUMMYFUNCTION("""COMPUTED_VALUE"""),"PHP")</f>
        <v>PHP</v>
      </c>
      <c r="I5028" s="9" t="str">
        <f>IFERROR(__xludf.DUMMYFUNCTION("""COMPUTED_VALUE"""),"C#")</f>
        <v>C#</v>
      </c>
      <c r="J5028" s="9" t="str">
        <f>IFERROR(__xludf.DUMMYFUNCTION("""COMPUTED_VALUE"""),"JavaScript")</f>
        <v>JavaScript</v>
      </c>
      <c r="M5028" s="9" t="s">
        <v>30</v>
      </c>
    </row>
    <row r="5029" ht="15.75" customHeight="1">
      <c r="A5029" s="7"/>
      <c r="B5029" s="7" t="str">
        <f>IFERROR(__xludf.DUMMYFUNCTION("""COMPUTED_VALUE"""),"Bash/Shell/PowerShell;C#;HTML/CSS;JavaScript;SQL;TypeScript")</f>
        <v>Bash/Shell/PowerShell;C#;HTML/CSS;JavaScript;SQL;TypeScript</v>
      </c>
      <c r="D5029" s="9" t="str">
        <f>IFERROR(__xludf.DUMMYFUNCTION("""COMPUTED_VALUE"""),"Ruby")</f>
        <v>Ruby</v>
      </c>
      <c r="F5029" s="9" t="str">
        <f>IFERROR(__xludf.DUMMYFUNCTION("""COMPUTED_VALUE"""),"SQL")</f>
        <v>SQL</v>
      </c>
      <c r="G5029" s="9" t="str">
        <f>IFERROR(__xludf.DUMMYFUNCTION("""COMPUTED_VALUE"""),"SQL")</f>
        <v>SQL</v>
      </c>
      <c r="I5029" s="9" t="str">
        <f>IFERROR(__xludf.DUMMYFUNCTION("""COMPUTED_VALUE"""),"C#")</f>
        <v>C#</v>
      </c>
      <c r="J5029" s="9" t="str">
        <f>IFERROR(__xludf.DUMMYFUNCTION("""COMPUTED_VALUE"""),"PHP")</f>
        <v>PHP</v>
      </c>
      <c r="M5029" s="9" t="s">
        <v>20</v>
      </c>
    </row>
    <row r="5030" ht="15.75" customHeight="1">
      <c r="A5030" s="7"/>
      <c r="B5030" s="7" t="str">
        <f>IFERROR(__xludf.DUMMYFUNCTION("""COMPUTED_VALUE"""),"C;C++;Objective-C")</f>
        <v>C;C++;Objective-C</v>
      </c>
      <c r="D5030" s="9" t="str">
        <f>IFERROR(__xludf.DUMMYFUNCTION("""COMPUTED_VALUE"""),"C")</f>
        <v>C</v>
      </c>
      <c r="F5030" s="9" t="str">
        <f>IFERROR(__xludf.DUMMYFUNCTION("""COMPUTED_VALUE"""),"TypeScript")</f>
        <v>TypeScript</v>
      </c>
      <c r="G5030" s="9" t="str">
        <f>IFERROR(__xludf.DUMMYFUNCTION("""COMPUTED_VALUE"""),"Bash/Shell/PowerShell")</f>
        <v>Bash/Shell/PowerShell</v>
      </c>
      <c r="I5030" s="9" t="str">
        <f>IFERROR(__xludf.DUMMYFUNCTION("""COMPUTED_VALUE"""),"HTML/CSS")</f>
        <v>HTML/CSS</v>
      </c>
      <c r="J5030" s="9" t="str">
        <f>IFERROR(__xludf.DUMMYFUNCTION("""COMPUTED_VALUE"""),"SQL")</f>
        <v>SQL</v>
      </c>
      <c r="M5030" s="9" t="s">
        <v>21</v>
      </c>
    </row>
    <row r="5031" ht="15.75" customHeight="1">
      <c r="A5031" s="7"/>
      <c r="B5031" s="7" t="str">
        <f>IFERROR(__xludf.DUMMYFUNCTION("""COMPUTED_VALUE"""),"C;Python")</f>
        <v>C;Python</v>
      </c>
      <c r="D5031" s="9" t="str">
        <f>IFERROR(__xludf.DUMMYFUNCTION("""COMPUTED_VALUE"""),"C++")</f>
        <v>C++</v>
      </c>
      <c r="F5031" s="9" t="str">
        <f>IFERROR(__xludf.DUMMYFUNCTION("""COMPUTED_VALUE"""),"JavaScript")</f>
        <v>JavaScript</v>
      </c>
      <c r="G5031" s="9" t="str">
        <f>IFERROR(__xludf.DUMMYFUNCTION("""COMPUTED_VALUE"""),"HTML/CSS")</f>
        <v>HTML/CSS</v>
      </c>
      <c r="I5031" s="9" t="str">
        <f>IFERROR(__xludf.DUMMYFUNCTION("""COMPUTED_VALUE"""),"JavaScript")</f>
        <v>JavaScript</v>
      </c>
      <c r="J5031" s="9" t="str">
        <f>IFERROR(__xludf.DUMMYFUNCTION("""COMPUTED_VALUE"""),"JavaScript")</f>
        <v>JavaScript</v>
      </c>
      <c r="M5031" s="9" t="s">
        <v>22</v>
      </c>
    </row>
    <row r="5032" ht="15.75" customHeight="1">
      <c r="A5032" s="7"/>
      <c r="B5032" s="7" t="str">
        <f>IFERROR(__xludf.DUMMYFUNCTION("""COMPUTED_VALUE"""),"Other(s):")</f>
        <v>Other(s):</v>
      </c>
      <c r="D5032" s="9" t="str">
        <f>IFERROR(__xludf.DUMMYFUNCTION("""COMPUTED_VALUE"""),"Java")</f>
        <v>Java</v>
      </c>
      <c r="F5032" s="9" t="str">
        <f>IFERROR(__xludf.DUMMYFUNCTION("""COMPUTED_VALUE"""),"PHP")</f>
        <v>PHP</v>
      </c>
      <c r="G5032" s="9" t="str">
        <f>IFERROR(__xludf.DUMMYFUNCTION("""COMPUTED_VALUE"""),"Python")</f>
        <v>Python</v>
      </c>
      <c r="I5032" s="9" t="str">
        <f>IFERROR(__xludf.DUMMYFUNCTION("""COMPUTED_VALUE"""),"Python")</f>
        <v>Python</v>
      </c>
      <c r="J5032" s="9" t="str">
        <f>IFERROR(__xludf.DUMMYFUNCTION("""COMPUTED_VALUE"""),"Python")</f>
        <v>Python</v>
      </c>
      <c r="M5032" s="9" t="s">
        <v>24</v>
      </c>
    </row>
    <row r="5033" ht="15.75" customHeight="1">
      <c r="A5033" s="7"/>
      <c r="B5033" s="7" t="str">
        <f>IFERROR(__xludf.DUMMYFUNCTION("""COMPUTED_VALUE"""),"C#;Go;Java;JavaScript;Python;SQL")</f>
        <v>C#;Go;Java;JavaScript;Python;SQL</v>
      </c>
      <c r="D5033" s="9" t="str">
        <f>IFERROR(__xludf.DUMMYFUNCTION("""COMPUTED_VALUE"""),"PHP")</f>
        <v>PHP</v>
      </c>
      <c r="F5033" s="9" t="str">
        <f>IFERROR(__xludf.DUMMYFUNCTION("""COMPUTED_VALUE"""),"Python")</f>
        <v>Python</v>
      </c>
      <c r="G5033" s="9" t="str">
        <f>IFERROR(__xludf.DUMMYFUNCTION("""COMPUTED_VALUE"""),"TypeScript")</f>
        <v>TypeScript</v>
      </c>
      <c r="I5033" s="9" t="str">
        <f>IFERROR(__xludf.DUMMYFUNCTION("""COMPUTED_VALUE"""),"SQL")</f>
        <v>SQL</v>
      </c>
      <c r="J5033" s="9" t="str">
        <f>IFERROR(__xludf.DUMMYFUNCTION("""COMPUTED_VALUE"""),"Assembly")</f>
        <v>Assembly</v>
      </c>
      <c r="M5033" s="9" t="s">
        <v>21</v>
      </c>
    </row>
    <row r="5034" ht="15.75" customHeight="1">
      <c r="A5034" s="7"/>
      <c r="B5034" s="7" t="str">
        <f>IFERROR(__xludf.DUMMYFUNCTION("""COMPUTED_VALUE"""),"Bash/Shell/PowerShell;C;HTML/CSS;Java;JavaScript;Objective-C")</f>
        <v>Bash/Shell/PowerShell;C;HTML/CSS;Java;JavaScript;Objective-C</v>
      </c>
      <c r="D5034" s="9" t="str">
        <f>IFERROR(__xludf.DUMMYFUNCTION("""COMPUTED_VALUE"""),"Python")</f>
        <v>Python</v>
      </c>
      <c r="F5034" s="9" t="str">
        <f>IFERROR(__xludf.DUMMYFUNCTION("""COMPUTED_VALUE"""),"Scala")</f>
        <v>Scala</v>
      </c>
      <c r="G5034" s="9" t="str">
        <f>IFERROR(__xludf.DUMMYFUNCTION("""COMPUTED_VALUE"""),"C#")</f>
        <v>C#</v>
      </c>
      <c r="I5034" s="9" t="str">
        <f>IFERROR(__xludf.DUMMYFUNCTION("""COMPUTED_VALUE"""),"TypeScript")</f>
        <v>TypeScript</v>
      </c>
      <c r="J5034" s="9" t="str">
        <f>IFERROR(__xludf.DUMMYFUNCTION("""COMPUTED_VALUE"""),"Bash/Shell/PowerShell")</f>
        <v>Bash/Shell/PowerShell</v>
      </c>
      <c r="M5034" s="9" t="s">
        <v>25</v>
      </c>
    </row>
    <row r="5035" ht="15.75" customHeight="1">
      <c r="A5035" s="7"/>
      <c r="B5035" s="7" t="str">
        <f>IFERROR(__xludf.DUMMYFUNCTION("""COMPUTED_VALUE"""),"HTML/CSS;Python")</f>
        <v>HTML/CSS;Python</v>
      </c>
      <c r="D5035" s="9" t="str">
        <f>IFERROR(__xludf.DUMMYFUNCTION("""COMPUTED_VALUE"""),"Ruby")</f>
        <v>Ruby</v>
      </c>
      <c r="F5035" s="9" t="str">
        <f>IFERROR(__xludf.DUMMYFUNCTION("""COMPUTED_VALUE"""),"Bash/Shell/PowerShell")</f>
        <v>Bash/Shell/PowerShell</v>
      </c>
      <c r="G5035" s="9" t="str">
        <f>IFERROR(__xludf.DUMMYFUNCTION("""COMPUTED_VALUE"""),"HTML/CSS")</f>
        <v>HTML/CSS</v>
      </c>
      <c r="I5035" s="9" t="str">
        <f>IFERROR(__xludf.DUMMYFUNCTION("""COMPUTED_VALUE"""),"JavaScript")</f>
        <v>JavaScript</v>
      </c>
      <c r="J5035" s="9" t="str">
        <f>IFERROR(__xludf.DUMMYFUNCTION("""COMPUTED_VALUE"""),"C")</f>
        <v>C</v>
      </c>
      <c r="M5035" s="9" t="s">
        <v>23</v>
      </c>
    </row>
    <row r="5036" ht="15.75" customHeight="1">
      <c r="A5036" s="7"/>
      <c r="B5036" s="7" t="str">
        <f>IFERROR(__xludf.DUMMYFUNCTION("""COMPUTED_VALUE"""),"HTML/CSS;JavaScript;PHP;SQL")</f>
        <v>HTML/CSS;JavaScript;PHP;SQL</v>
      </c>
      <c r="D5036" s="9" t="str">
        <f>IFERROR(__xludf.DUMMYFUNCTION("""COMPUTED_VALUE"""),"SQL")</f>
        <v>SQL</v>
      </c>
      <c r="F5036" s="9" t="str">
        <f>IFERROR(__xludf.DUMMYFUNCTION("""COMPUTED_VALUE"""),"Clojure")</f>
        <v>Clojure</v>
      </c>
      <c r="G5036" s="9" t="str">
        <f>IFERROR(__xludf.DUMMYFUNCTION("""COMPUTED_VALUE"""),"JavaScript")</f>
        <v>JavaScript</v>
      </c>
      <c r="I5036" s="9" t="str">
        <f>IFERROR(__xludf.DUMMYFUNCTION("""COMPUTED_VALUE"""),"Python")</f>
        <v>Python</v>
      </c>
      <c r="J5036" s="9" t="str">
        <f>IFERROR(__xludf.DUMMYFUNCTION("""COMPUTED_VALUE"""),"C++")</f>
        <v>C++</v>
      </c>
      <c r="M5036" s="9" t="s">
        <v>24</v>
      </c>
    </row>
    <row r="5037" ht="15.75" customHeight="1">
      <c r="A5037" s="7"/>
      <c r="B5037" s="7" t="str">
        <f>IFERROR(__xludf.DUMMYFUNCTION("""COMPUTED_VALUE"""),"C#;HTML/CSS;Java;JavaScript;SQL")</f>
        <v>C#;HTML/CSS;Java;JavaScript;SQL</v>
      </c>
      <c r="D5037" s="9" t="str">
        <f>IFERROR(__xludf.DUMMYFUNCTION("""COMPUTED_VALUE"""),"Bash/Shell/PowerShell")</f>
        <v>Bash/Shell/PowerShell</v>
      </c>
      <c r="F5037" s="9" t="str">
        <f>IFERROR(__xludf.DUMMYFUNCTION("""COMPUTED_VALUE"""),"HTML/CSS")</f>
        <v>HTML/CSS</v>
      </c>
      <c r="G5037" s="9" t="str">
        <f>IFERROR(__xludf.DUMMYFUNCTION("""COMPUTED_VALUE"""),"TypeScript")</f>
        <v>TypeScript</v>
      </c>
      <c r="I5037" s="9" t="str">
        <f>IFERROR(__xludf.DUMMYFUNCTION("""COMPUTED_VALUE"""),"Bash/Shell/PowerShell")</f>
        <v>Bash/Shell/PowerShell</v>
      </c>
      <c r="J5037" s="9" t="str">
        <f>IFERROR(__xludf.DUMMYFUNCTION("""COMPUTED_VALUE"""),"Java")</f>
        <v>Java</v>
      </c>
      <c r="M5037" s="9" t="s">
        <v>20</v>
      </c>
    </row>
    <row r="5038" ht="15.75" customHeight="1">
      <c r="A5038" s="7"/>
      <c r="B5038" s="7" t="str">
        <f>IFERROR(__xludf.DUMMYFUNCTION("""COMPUTED_VALUE"""),"C#;HTML/CSS;JavaScript;SQL")</f>
        <v>C#;HTML/CSS;JavaScript;SQL</v>
      </c>
      <c r="D5038" s="9" t="str">
        <f>IFERROR(__xludf.DUMMYFUNCTION("""COMPUTED_VALUE"""),"C#")</f>
        <v>C#</v>
      </c>
      <c r="F5038" s="9" t="str">
        <f>IFERROR(__xludf.DUMMYFUNCTION("""COMPUTED_VALUE"""),"Java")</f>
        <v>Java</v>
      </c>
      <c r="G5038" s="9" t="str">
        <f>IFERROR(__xludf.DUMMYFUNCTION("""COMPUTED_VALUE"""),"C")</f>
        <v>C</v>
      </c>
      <c r="I5038" s="9" t="str">
        <f>IFERROR(__xludf.DUMMYFUNCTION("""COMPUTED_VALUE"""),"C")</f>
        <v>C</v>
      </c>
      <c r="J5038" s="9" t="str">
        <f>IFERROR(__xludf.DUMMYFUNCTION("""COMPUTED_VALUE"""),"Python")</f>
        <v>Python</v>
      </c>
      <c r="M5038" s="9" t="s">
        <v>21</v>
      </c>
    </row>
    <row r="5039" ht="15.75" customHeight="1">
      <c r="A5039" s="7"/>
      <c r="B5039" s="7" t="str">
        <f>IFERROR(__xludf.DUMMYFUNCTION("""COMPUTED_VALUE"""),"Bash/Shell/PowerShell;C#;HTML/CSS;JavaScript;SQL")</f>
        <v>Bash/Shell/PowerShell;C#;HTML/CSS;JavaScript;SQL</v>
      </c>
      <c r="D5039" s="9" t="str">
        <f>IFERROR(__xludf.DUMMYFUNCTION("""COMPUTED_VALUE"""),"F#")</f>
        <v>F#</v>
      </c>
      <c r="F5039" s="9" t="str">
        <f>IFERROR(__xludf.DUMMYFUNCTION("""COMPUTED_VALUE"""),"JavaScript")</f>
        <v>JavaScript</v>
      </c>
      <c r="G5039" s="9" t="str">
        <f>IFERROR(__xludf.DUMMYFUNCTION("""COMPUTED_VALUE"""),"C++")</f>
        <v>C++</v>
      </c>
      <c r="I5039" s="9" t="str">
        <f>IFERROR(__xludf.DUMMYFUNCTION("""COMPUTED_VALUE"""),"C++")</f>
        <v>C++</v>
      </c>
      <c r="J5039" s="9" t="str">
        <f>IFERROR(__xludf.DUMMYFUNCTION("""COMPUTED_VALUE"""),"Other(s):")</f>
        <v>Other(s):</v>
      </c>
      <c r="M5039" s="9" t="s">
        <v>22</v>
      </c>
    </row>
    <row r="5040" ht="15.75" customHeight="1">
      <c r="A5040" s="7"/>
      <c r="B5040" s="7" t="str">
        <f>IFERROR(__xludf.DUMMYFUNCTION("""COMPUTED_VALUE"""),"Assembly;C;C++;C#;HTML/CSS;Java;JavaScript;PHP;Python;Ruby;SQL;TypeScript")</f>
        <v>Assembly;C;C++;C#;HTML/CSS;Java;JavaScript;PHP;Python;Ruby;SQL;TypeScript</v>
      </c>
      <c r="D5040" s="9" t="str">
        <f>IFERROR(__xludf.DUMMYFUNCTION("""COMPUTED_VALUE"""),"HTML/CSS")</f>
        <v>HTML/CSS</v>
      </c>
      <c r="F5040" s="9" t="str">
        <f>IFERROR(__xludf.DUMMYFUNCTION("""COMPUTED_VALUE"""),"Python")</f>
        <v>Python</v>
      </c>
      <c r="G5040" s="9" t="str">
        <f>IFERROR(__xludf.DUMMYFUNCTION("""COMPUTED_VALUE"""),"C#")</f>
        <v>C#</v>
      </c>
      <c r="I5040" s="9" t="str">
        <f>IFERROR(__xludf.DUMMYFUNCTION("""COMPUTED_VALUE"""),"Java")</f>
        <v>Java</v>
      </c>
      <c r="J5040" s="9" t="str">
        <f>IFERROR(__xludf.DUMMYFUNCTION("""COMPUTED_VALUE"""),"Assembly")</f>
        <v>Assembly</v>
      </c>
      <c r="M5040" s="9" t="s">
        <v>27</v>
      </c>
    </row>
    <row r="5041" ht="15.75" customHeight="1">
      <c r="A5041" s="7"/>
      <c r="B5041" s="7" t="str">
        <f>IFERROR(__xludf.DUMMYFUNCTION("""COMPUTED_VALUE"""),"Python;SQL")</f>
        <v>Python;SQL</v>
      </c>
      <c r="D5041" s="9" t="str">
        <f>IFERROR(__xludf.DUMMYFUNCTION("""COMPUTED_VALUE"""),"JavaScript")</f>
        <v>JavaScript</v>
      </c>
      <c r="F5041" s="9" t="str">
        <f>IFERROR(__xludf.DUMMYFUNCTION("""COMPUTED_VALUE"""),"Scala")</f>
        <v>Scala</v>
      </c>
      <c r="G5041" s="9" t="str">
        <f>IFERROR(__xludf.DUMMYFUNCTION("""COMPUTED_VALUE"""),"Python")</f>
        <v>Python</v>
      </c>
      <c r="I5041" s="9" t="str">
        <f>IFERROR(__xludf.DUMMYFUNCTION("""COMPUTED_VALUE"""),"JavaScript")</f>
        <v>JavaScript</v>
      </c>
      <c r="J5041" s="9" t="str">
        <f>IFERROR(__xludf.DUMMYFUNCTION("""COMPUTED_VALUE"""),"C++")</f>
        <v>C++</v>
      </c>
      <c r="M5041" s="9" t="s">
        <v>30</v>
      </c>
    </row>
    <row r="5042" ht="15.75" customHeight="1">
      <c r="A5042" s="7"/>
      <c r="B5042" s="7" t="str">
        <f>IFERROR(__xludf.DUMMYFUNCTION("""COMPUTED_VALUE"""),"Bash/Shell/PowerShell;C;HTML/CSS;JavaScript;Python;SQL;Swift")</f>
        <v>Bash/Shell/PowerShell;C;HTML/CSS;JavaScript;Python;SQL;Swift</v>
      </c>
      <c r="D5042" s="9" t="str">
        <f>IFERROR(__xludf.DUMMYFUNCTION("""COMPUTED_VALUE"""),"SQL")</f>
        <v>SQL</v>
      </c>
      <c r="F5042" s="9" t="str">
        <f>IFERROR(__xludf.DUMMYFUNCTION("""COMPUTED_VALUE"""),"SQL")</f>
        <v>SQL</v>
      </c>
      <c r="G5042" s="9" t="str">
        <f>IFERROR(__xludf.DUMMYFUNCTION("""COMPUTED_VALUE"""),"Python")</f>
        <v>Python</v>
      </c>
      <c r="I5042" s="9" t="str">
        <f>IFERROR(__xludf.DUMMYFUNCTION("""COMPUTED_VALUE"""),"PHP")</f>
        <v>PHP</v>
      </c>
      <c r="J5042" s="9" t="str">
        <f>IFERROR(__xludf.DUMMYFUNCTION("""COMPUTED_VALUE"""),"Go")</f>
        <v>Go</v>
      </c>
      <c r="M5042" s="9" t="s">
        <v>24</v>
      </c>
    </row>
    <row r="5043" ht="15.75" customHeight="1">
      <c r="A5043" s="7"/>
      <c r="B5043" s="7" t="str">
        <f>IFERROR(__xludf.DUMMYFUNCTION("""COMPUTED_VALUE"""),"C#;Rust")</f>
        <v>C#;Rust</v>
      </c>
      <c r="D5043" s="9" t="str">
        <f>IFERROR(__xludf.DUMMYFUNCTION("""COMPUTED_VALUE"""),"VBA")</f>
        <v>VBA</v>
      </c>
      <c r="F5043" s="9" t="str">
        <f>IFERROR(__xludf.DUMMYFUNCTION("""COMPUTED_VALUE"""),"C#")</f>
        <v>C#</v>
      </c>
      <c r="G5043" s="9" t="str">
        <f>IFERROR(__xludf.DUMMYFUNCTION("""COMPUTED_VALUE"""),"SQL")</f>
        <v>SQL</v>
      </c>
      <c r="I5043" s="9" t="str">
        <f>IFERROR(__xludf.DUMMYFUNCTION("""COMPUTED_VALUE"""),"SQL")</f>
        <v>SQL</v>
      </c>
      <c r="J5043" s="9" t="str">
        <f>IFERROR(__xludf.DUMMYFUNCTION("""COMPUTED_VALUE"""),"Python")</f>
        <v>Python</v>
      </c>
      <c r="M5043" s="9" t="s">
        <v>21</v>
      </c>
    </row>
    <row r="5044" ht="15.75" customHeight="1">
      <c r="A5044" s="7"/>
      <c r="B5044" s="7" t="str">
        <f>IFERROR(__xludf.DUMMYFUNCTION("""COMPUTED_VALUE"""),"C++;C#;SQL")</f>
        <v>C++;C#;SQL</v>
      </c>
      <c r="D5044" s="9" t="str">
        <f>IFERROR(__xludf.DUMMYFUNCTION("""COMPUTED_VALUE"""),"C#")</f>
        <v>C#</v>
      </c>
      <c r="F5044" s="9" t="str">
        <f>IFERROR(__xludf.DUMMYFUNCTION("""COMPUTED_VALUE"""),"HTML/CSS")</f>
        <v>HTML/CSS</v>
      </c>
      <c r="G5044" s="9" t="str">
        <f>IFERROR(__xludf.DUMMYFUNCTION("""COMPUTED_VALUE"""),"Assembly")</f>
        <v>Assembly</v>
      </c>
      <c r="I5044" s="9" t="str">
        <f>IFERROR(__xludf.DUMMYFUNCTION("""COMPUTED_VALUE"""),"TypeScript")</f>
        <v>TypeScript</v>
      </c>
      <c r="J5044" s="9" t="str">
        <f>IFERROR(__xludf.DUMMYFUNCTION("""COMPUTED_VALUE"""),"SQL")</f>
        <v>SQL</v>
      </c>
      <c r="M5044" s="9" t="s">
        <v>37</v>
      </c>
    </row>
    <row r="5045" ht="15.75" customHeight="1">
      <c r="A5045" s="7"/>
      <c r="B5045" s="7" t="str">
        <f>IFERROR(__xludf.DUMMYFUNCTION("""COMPUTED_VALUE"""),"Bash/Shell/PowerShell;C;C++;Erlang;HTML/CSS;Java;JavaScript;Python;TypeScript")</f>
        <v>Bash/Shell/PowerShell;C;C++;Erlang;HTML/CSS;Java;JavaScript;Python;TypeScript</v>
      </c>
      <c r="D5045" s="9" t="str">
        <f>IFERROR(__xludf.DUMMYFUNCTION("""COMPUTED_VALUE"""),"Python")</f>
        <v>Python</v>
      </c>
      <c r="F5045" s="9" t="str">
        <f>IFERROR(__xludf.DUMMYFUNCTION("""COMPUTED_VALUE"""),"JavaScript")</f>
        <v>JavaScript</v>
      </c>
      <c r="G5045" s="9" t="str">
        <f>IFERROR(__xludf.DUMMYFUNCTION("""COMPUTED_VALUE"""),"HTML/CSS")</f>
        <v>HTML/CSS</v>
      </c>
      <c r="I5045" s="9" t="str">
        <f>IFERROR(__xludf.DUMMYFUNCTION("""COMPUTED_VALUE"""),"Assembly")</f>
        <v>Assembly</v>
      </c>
      <c r="J5045" s="9" t="str">
        <f>IFERROR(__xludf.DUMMYFUNCTION("""COMPUTED_VALUE"""),"Swift")</f>
        <v>Swift</v>
      </c>
      <c r="M5045" s="9" t="s">
        <v>27</v>
      </c>
    </row>
    <row r="5046" ht="15.75" customHeight="1">
      <c r="A5046" s="7"/>
      <c r="B5046" s="7" t="str">
        <f>IFERROR(__xludf.DUMMYFUNCTION("""COMPUTED_VALUE"""),"C;C++;HTML/CSS;Java;JavaScript;PHP;Python")</f>
        <v>C;C++;HTML/CSS;Java;JavaScript;PHP;Python</v>
      </c>
      <c r="D5046" s="9" t="str">
        <f>IFERROR(__xludf.DUMMYFUNCTION("""COMPUTED_VALUE"""),"SQL")</f>
        <v>SQL</v>
      </c>
      <c r="F5046" s="9" t="str">
        <f>IFERROR(__xludf.DUMMYFUNCTION("""COMPUTED_VALUE"""),"SQL")</f>
        <v>SQL</v>
      </c>
      <c r="G5046" s="9" t="str">
        <f>IFERROR(__xludf.DUMMYFUNCTION("""COMPUTED_VALUE"""),"Java")</f>
        <v>Java</v>
      </c>
      <c r="I5046" s="9" t="str">
        <f>IFERROR(__xludf.DUMMYFUNCTION("""COMPUTED_VALUE"""),"C")</f>
        <v>C</v>
      </c>
      <c r="J5046" s="9" t="str">
        <f>IFERROR(__xludf.DUMMYFUNCTION("""COMPUTED_VALUE"""),"TypeScript")</f>
        <v>TypeScript</v>
      </c>
      <c r="M5046" s="9" t="s">
        <v>26</v>
      </c>
    </row>
    <row r="5047" ht="15.75" customHeight="1">
      <c r="A5047" s="7"/>
      <c r="B5047" s="7" t="str">
        <f>IFERROR(__xludf.DUMMYFUNCTION("""COMPUTED_VALUE"""),"Go;HTML/CSS;JavaScript;Python;R;SQL")</f>
        <v>Go;HTML/CSS;JavaScript;Python;R;SQL</v>
      </c>
      <c r="D5047" s="9" t="str">
        <f>IFERROR(__xludf.DUMMYFUNCTION("""COMPUTED_VALUE"""),"R")</f>
        <v>R</v>
      </c>
      <c r="F5047" s="9" t="str">
        <f>IFERROR(__xludf.DUMMYFUNCTION("""COMPUTED_VALUE"""),"Bash/Shell/PowerShell")</f>
        <v>Bash/Shell/PowerShell</v>
      </c>
      <c r="G5047" s="9" t="str">
        <f>IFERROR(__xludf.DUMMYFUNCTION("""COMPUTED_VALUE"""),"JavaScript")</f>
        <v>JavaScript</v>
      </c>
      <c r="I5047" s="9" t="str">
        <f>IFERROR(__xludf.DUMMYFUNCTION("""COMPUTED_VALUE"""),"C++")</f>
        <v>C++</v>
      </c>
      <c r="J5047" s="9" t="str">
        <f>IFERROR(__xludf.DUMMYFUNCTION("""COMPUTED_VALUE"""),"WebAssembly")</f>
        <v>WebAssembly</v>
      </c>
      <c r="M5047" s="9" t="s">
        <v>24</v>
      </c>
    </row>
    <row r="5048" ht="15.75" customHeight="1">
      <c r="A5048" s="7"/>
      <c r="B5048" s="7" t="str">
        <f>IFERROR(__xludf.DUMMYFUNCTION("""COMPUTED_VALUE"""),"C#;HTML/CSS;Java;JavaScript;PHP;SQL;TypeScript;VBA")</f>
        <v>C#;HTML/CSS;Java;JavaScript;PHP;SQL;TypeScript;VBA</v>
      </c>
      <c r="D5048" s="9" t="str">
        <f>IFERROR(__xludf.DUMMYFUNCTION("""COMPUTED_VALUE"""),"JavaScript")</f>
        <v>JavaScript</v>
      </c>
      <c r="F5048" s="9" t="str">
        <f>IFERROR(__xludf.DUMMYFUNCTION("""COMPUTED_VALUE"""),"HTML/CSS")</f>
        <v>HTML/CSS</v>
      </c>
      <c r="G5048" s="9" t="str">
        <f>IFERROR(__xludf.DUMMYFUNCTION("""COMPUTED_VALUE"""),"SQL")</f>
        <v>SQL</v>
      </c>
      <c r="I5048" s="9" t="str">
        <f>IFERROR(__xludf.DUMMYFUNCTION("""COMPUTED_VALUE"""),"HTML/CSS")</f>
        <v>HTML/CSS</v>
      </c>
      <c r="J5048" s="9" t="str">
        <f>IFERROR(__xludf.DUMMYFUNCTION("""COMPUTED_VALUE"""),"Assembly")</f>
        <v>Assembly</v>
      </c>
      <c r="M5048" s="9" t="s">
        <v>21</v>
      </c>
    </row>
    <row r="5049" ht="15.75" customHeight="1">
      <c r="A5049" s="7"/>
      <c r="B5049" s="7" t="str">
        <f>IFERROR(__xludf.DUMMYFUNCTION("""COMPUTED_VALUE"""),"Bash/Shell/PowerShell;C#;Elixir;Kotlin;Ruby;SQL")</f>
        <v>Bash/Shell/PowerShell;C#;Elixir;Kotlin;Ruby;SQL</v>
      </c>
      <c r="D5049" s="9" t="str">
        <f>IFERROR(__xludf.DUMMYFUNCTION("""COMPUTED_VALUE"""),"TypeScript")</f>
        <v>TypeScript</v>
      </c>
      <c r="F5049" s="9" t="str">
        <f>IFERROR(__xludf.DUMMYFUNCTION("""COMPUTED_VALUE"""),"JavaScript")</f>
        <v>JavaScript</v>
      </c>
      <c r="G5049" s="9" t="str">
        <f>IFERROR(__xludf.DUMMYFUNCTION("""COMPUTED_VALUE"""),"TypeScript")</f>
        <v>TypeScript</v>
      </c>
      <c r="I5049" s="9" t="str">
        <f>IFERROR(__xludf.DUMMYFUNCTION("""COMPUTED_VALUE"""),"JavaScript")</f>
        <v>JavaScript</v>
      </c>
      <c r="J5049" s="9" t="str">
        <f>IFERROR(__xludf.DUMMYFUNCTION("""COMPUTED_VALUE"""),"C")</f>
        <v>C</v>
      </c>
      <c r="M5049" s="9" t="s">
        <v>27</v>
      </c>
    </row>
    <row r="5050" ht="15.75" customHeight="1">
      <c r="A5050" s="7"/>
      <c r="B5050" s="7" t="str">
        <f>IFERROR(__xludf.DUMMYFUNCTION("""COMPUTED_VALUE"""),"C++;C#;HTML/CSS;Java;JavaScript;SQL")</f>
        <v>C++;C#;HTML/CSS;Java;JavaScript;SQL</v>
      </c>
      <c r="D5050" s="9" t="str">
        <f>IFERROR(__xludf.DUMMYFUNCTION("""COMPUTED_VALUE"""),"C#")</f>
        <v>C#</v>
      </c>
      <c r="F5050" s="9" t="str">
        <f>IFERROR(__xludf.DUMMYFUNCTION("""COMPUTED_VALUE"""),"PHP")</f>
        <v>PHP</v>
      </c>
      <c r="G5050" s="9" t="str">
        <f>IFERROR(__xludf.DUMMYFUNCTION("""COMPUTED_VALUE"""),"Python")</f>
        <v>Python</v>
      </c>
      <c r="I5050" s="9" t="str">
        <f>IFERROR(__xludf.DUMMYFUNCTION("""COMPUTED_VALUE"""),"PHP")</f>
        <v>PHP</v>
      </c>
      <c r="J5050" s="9" t="str">
        <f>IFERROR(__xludf.DUMMYFUNCTION("""COMPUTED_VALUE"""),"C++")</f>
        <v>C++</v>
      </c>
      <c r="M5050" s="9" t="s">
        <v>33</v>
      </c>
    </row>
    <row r="5051" ht="15.75" customHeight="1">
      <c r="A5051" s="7"/>
      <c r="B5051" s="7" t="str">
        <f>IFERROR(__xludf.DUMMYFUNCTION("""COMPUTED_VALUE"""),"Scala;Other(s):")</f>
        <v>Scala;Other(s):</v>
      </c>
      <c r="D5051" s="9" t="str">
        <f>IFERROR(__xludf.DUMMYFUNCTION("""COMPUTED_VALUE"""),"F#")</f>
        <v>F#</v>
      </c>
      <c r="F5051" s="9" t="str">
        <f>IFERROR(__xludf.DUMMYFUNCTION("""COMPUTED_VALUE"""),"Ruby")</f>
        <v>Ruby</v>
      </c>
      <c r="G5051" s="9" t="str">
        <f>IFERROR(__xludf.DUMMYFUNCTION("""COMPUTED_VALUE"""),"SQL")</f>
        <v>SQL</v>
      </c>
      <c r="I5051" s="9" t="str">
        <f>IFERROR(__xludf.DUMMYFUNCTION("""COMPUTED_VALUE"""),"SQL")</f>
        <v>SQL</v>
      </c>
      <c r="J5051" s="9" t="str">
        <f>IFERROR(__xludf.DUMMYFUNCTION("""COMPUTED_VALUE"""),"C#")</f>
        <v>C#</v>
      </c>
      <c r="M5051" s="9" t="s">
        <v>30</v>
      </c>
    </row>
    <row r="5052" ht="15.75" customHeight="1">
      <c r="A5052" s="7"/>
      <c r="B5052" s="7" t="str">
        <f>IFERROR(__xludf.DUMMYFUNCTION("""COMPUTED_VALUE"""),"Java;JavaScript;SQL")</f>
        <v>Java;JavaScript;SQL</v>
      </c>
      <c r="D5052" s="9" t="str">
        <f>IFERROR(__xludf.DUMMYFUNCTION("""COMPUTED_VALUE"""),"JavaScript")</f>
        <v>JavaScript</v>
      </c>
      <c r="F5052" s="9" t="str">
        <f>IFERROR(__xludf.DUMMYFUNCTION("""COMPUTED_VALUE"""),"Scala")</f>
        <v>Scala</v>
      </c>
      <c r="G5052" s="9" t="str">
        <f>IFERROR(__xludf.DUMMYFUNCTION("""COMPUTED_VALUE"""),"Bash/Shell/PowerShell")</f>
        <v>Bash/Shell/PowerShell</v>
      </c>
      <c r="I5052" s="9" t="str">
        <f>IFERROR(__xludf.DUMMYFUNCTION("""COMPUTED_VALUE"""),"HTML/CSS")</f>
        <v>HTML/CSS</v>
      </c>
      <c r="J5052" s="9" t="str">
        <f>IFERROR(__xludf.DUMMYFUNCTION("""COMPUTED_VALUE"""),"HTML/CSS")</f>
        <v>HTML/CSS</v>
      </c>
      <c r="M5052" s="9" t="s">
        <v>26</v>
      </c>
    </row>
    <row r="5053" ht="15.75" customHeight="1">
      <c r="A5053" s="7"/>
      <c r="B5053" s="7" t="str">
        <f>IFERROR(__xludf.DUMMYFUNCTION("""COMPUTED_VALUE"""),"C#;HTML/CSS;JavaScript")</f>
        <v>C#;HTML/CSS;JavaScript</v>
      </c>
      <c r="D5053" s="9" t="str">
        <f>IFERROR(__xludf.DUMMYFUNCTION("""COMPUTED_VALUE"""),"Scala")</f>
        <v>Scala</v>
      </c>
      <c r="F5053" s="9" t="str">
        <f>IFERROR(__xludf.DUMMYFUNCTION("""COMPUTED_VALUE"""),"Java")</f>
        <v>Java</v>
      </c>
      <c r="G5053" s="9" t="str">
        <f>IFERROR(__xludf.DUMMYFUNCTION("""COMPUTED_VALUE"""),"C++")</f>
        <v>C++</v>
      </c>
      <c r="I5053" s="9" t="str">
        <f>IFERROR(__xludf.DUMMYFUNCTION("""COMPUTED_VALUE"""),"JavaScript")</f>
        <v>JavaScript</v>
      </c>
      <c r="J5053" s="9" t="str">
        <f>IFERROR(__xludf.DUMMYFUNCTION("""COMPUTED_VALUE"""),"Java")</f>
        <v>Java</v>
      </c>
      <c r="M5053" s="9" t="s">
        <v>24</v>
      </c>
    </row>
    <row r="5054" ht="15.75" customHeight="1">
      <c r="A5054" s="7"/>
      <c r="B5054" s="7" t="str">
        <f>IFERROR(__xludf.DUMMYFUNCTION("""COMPUTED_VALUE"""),"Bash/Shell/PowerShell;Clojure;HTML/CSS;JavaScript;Python;SQL")</f>
        <v>Bash/Shell/PowerShell;Clojure;HTML/CSS;JavaScript;Python;SQL</v>
      </c>
      <c r="D5054" s="9" t="str">
        <f>IFERROR(__xludf.DUMMYFUNCTION("""COMPUTED_VALUE"""),"TypeScript")</f>
        <v>TypeScript</v>
      </c>
      <c r="F5054" s="9" t="str">
        <f>IFERROR(__xludf.DUMMYFUNCTION("""COMPUTED_VALUE"""),"Python")</f>
        <v>Python</v>
      </c>
      <c r="G5054" s="9" t="str">
        <f>IFERROR(__xludf.DUMMYFUNCTION("""COMPUTED_VALUE"""),"C#")</f>
        <v>C#</v>
      </c>
      <c r="I5054" s="9" t="str">
        <f>IFERROR(__xludf.DUMMYFUNCTION("""COMPUTED_VALUE"""),"PHP")</f>
        <v>PHP</v>
      </c>
      <c r="J5054" s="9" t="str">
        <f>IFERROR(__xludf.DUMMYFUNCTION("""COMPUTED_VALUE"""),"JavaScript")</f>
        <v>JavaScript</v>
      </c>
      <c r="M5054" s="9" t="s">
        <v>21</v>
      </c>
    </row>
    <row r="5055" ht="15.75" customHeight="1">
      <c r="A5055" s="7"/>
      <c r="B5055" s="7" t="str">
        <f>IFERROR(__xludf.DUMMYFUNCTION("""COMPUTED_VALUE"""),"Bash/Shell/PowerShell;C;Java;JavaScript;Python;Scala;SQL;TypeScript")</f>
        <v>Bash/Shell/PowerShell;C;Java;JavaScript;Python;Scala;SQL;TypeScript</v>
      </c>
      <c r="D5055" s="9" t="str">
        <f>IFERROR(__xludf.DUMMYFUNCTION("""COMPUTED_VALUE"""),"Other(s):")</f>
        <v>Other(s):</v>
      </c>
      <c r="F5055" s="9" t="str">
        <f>IFERROR(__xludf.DUMMYFUNCTION("""COMPUTED_VALUE"""),"Assembly")</f>
        <v>Assembly</v>
      </c>
      <c r="G5055" s="9" t="str">
        <f>IFERROR(__xludf.DUMMYFUNCTION("""COMPUTED_VALUE"""),"Python")</f>
        <v>Python</v>
      </c>
      <c r="I5055" s="9" t="str">
        <f>IFERROR(__xludf.DUMMYFUNCTION("""COMPUTED_VALUE"""),"HTML/CSS")</f>
        <v>HTML/CSS</v>
      </c>
      <c r="J5055" s="9" t="str">
        <f>IFERROR(__xludf.DUMMYFUNCTION("""COMPUTED_VALUE"""),"Objective-C")</f>
        <v>Objective-C</v>
      </c>
      <c r="M5055" s="9" t="s">
        <v>20</v>
      </c>
    </row>
    <row r="5056" ht="15.75" customHeight="1">
      <c r="A5056" s="7"/>
      <c r="B5056" s="7" t="str">
        <f>IFERROR(__xludf.DUMMYFUNCTION("""COMPUTED_VALUE"""),"HTML/CSS;Java;SQL;TypeScript")</f>
        <v>HTML/CSS;Java;SQL;TypeScript</v>
      </c>
      <c r="D5056" s="9" t="str">
        <f>IFERROR(__xludf.DUMMYFUNCTION("""COMPUTED_VALUE"""),"C#")</f>
        <v>C#</v>
      </c>
      <c r="F5056" s="9" t="str">
        <f>IFERROR(__xludf.DUMMYFUNCTION("""COMPUTED_VALUE"""),"Bash/Shell/PowerShell")</f>
        <v>Bash/Shell/PowerShell</v>
      </c>
      <c r="G5056" s="9" t="str">
        <f>IFERROR(__xludf.DUMMYFUNCTION("""COMPUTED_VALUE"""),"HTML/CSS")</f>
        <v>HTML/CSS</v>
      </c>
      <c r="I5056" s="9" t="str">
        <f>IFERROR(__xludf.DUMMYFUNCTION("""COMPUTED_VALUE"""),"Java")</f>
        <v>Java</v>
      </c>
      <c r="J5056" s="9" t="str">
        <f>IFERROR(__xludf.DUMMYFUNCTION("""COMPUTED_VALUE"""),"PHP")</f>
        <v>PHP</v>
      </c>
      <c r="M5056" s="9" t="s">
        <v>39</v>
      </c>
    </row>
    <row r="5057" ht="15.75" customHeight="1">
      <c r="A5057" s="7"/>
      <c r="B5057" s="7" t="str">
        <f>IFERROR(__xludf.DUMMYFUNCTION("""COMPUTED_VALUE"""),"C#;HTML/CSS;JavaScript;Python;Ruby")</f>
        <v>C#;HTML/CSS;JavaScript;Python;Ruby</v>
      </c>
      <c r="D5057" s="9" t="str">
        <f>IFERROR(__xludf.DUMMYFUNCTION("""COMPUTED_VALUE"""),"HTML/CSS")</f>
        <v>HTML/CSS</v>
      </c>
      <c r="F5057" s="9" t="str">
        <f>IFERROR(__xludf.DUMMYFUNCTION("""COMPUTED_VALUE"""),"C++")</f>
        <v>C++</v>
      </c>
      <c r="G5057" s="9" t="str">
        <f>IFERROR(__xludf.DUMMYFUNCTION("""COMPUTED_VALUE"""),"Java")</f>
        <v>Java</v>
      </c>
      <c r="I5057" s="9" t="str">
        <f>IFERROR(__xludf.DUMMYFUNCTION("""COMPUTED_VALUE"""),"JavaScript")</f>
        <v>JavaScript</v>
      </c>
      <c r="J5057" s="9" t="str">
        <f>IFERROR(__xludf.DUMMYFUNCTION("""COMPUTED_VALUE"""),"Python")</f>
        <v>Python</v>
      </c>
      <c r="M5057" s="9" t="s">
        <v>40</v>
      </c>
    </row>
    <row r="5058" ht="15.75" customHeight="1">
      <c r="A5058" s="7"/>
      <c r="B5058" s="7" t="str">
        <f>IFERROR(__xludf.DUMMYFUNCTION("""COMPUTED_VALUE"""),"Bash/Shell/PowerShell;C#;HTML/CSS;JavaScript;SQL")</f>
        <v>Bash/Shell/PowerShell;C#;HTML/CSS;JavaScript;SQL</v>
      </c>
      <c r="D5058" s="9" t="str">
        <f>IFERROR(__xludf.DUMMYFUNCTION("""COMPUTED_VALUE"""),"JavaScript")</f>
        <v>JavaScript</v>
      </c>
      <c r="F5058" s="9" t="str">
        <f>IFERROR(__xludf.DUMMYFUNCTION("""COMPUTED_VALUE"""),"HTML/CSS")</f>
        <v>HTML/CSS</v>
      </c>
      <c r="G5058" s="9" t="str">
        <f>IFERROR(__xludf.DUMMYFUNCTION("""COMPUTED_VALUE"""),"JavaScript")</f>
        <v>JavaScript</v>
      </c>
      <c r="I5058" s="9" t="str">
        <f>IFERROR(__xludf.DUMMYFUNCTION("""COMPUTED_VALUE"""),"Python")</f>
        <v>Python</v>
      </c>
      <c r="J5058" s="9" t="str">
        <f>IFERROR(__xludf.DUMMYFUNCTION("""COMPUTED_VALUE"""),"Rust")</f>
        <v>Rust</v>
      </c>
      <c r="M5058" s="9" t="s">
        <v>26</v>
      </c>
    </row>
    <row r="5059" ht="15.75" customHeight="1">
      <c r="A5059" s="7"/>
      <c r="B5059" s="7" t="str">
        <f>IFERROR(__xludf.DUMMYFUNCTION("""COMPUTED_VALUE"""),"C;C++;C#;HTML/CSS")</f>
        <v>C;C++;C#;HTML/CSS</v>
      </c>
      <c r="D5059" s="9" t="str">
        <f>IFERROR(__xludf.DUMMYFUNCTION("""COMPUTED_VALUE"""),"SQL")</f>
        <v>SQL</v>
      </c>
      <c r="F5059" s="9" t="str">
        <f>IFERROR(__xludf.DUMMYFUNCTION("""COMPUTED_VALUE"""),"Java")</f>
        <v>Java</v>
      </c>
      <c r="G5059" s="9" t="str">
        <f>IFERROR(__xludf.DUMMYFUNCTION("""COMPUTED_VALUE"""),"Kotlin")</f>
        <v>Kotlin</v>
      </c>
      <c r="I5059" s="9" t="str">
        <f>IFERROR(__xludf.DUMMYFUNCTION("""COMPUTED_VALUE"""),"SQL")</f>
        <v>SQL</v>
      </c>
      <c r="J5059" s="9" t="str">
        <f>IFERROR(__xludf.DUMMYFUNCTION("""COMPUTED_VALUE"""),"SQL")</f>
        <v>SQL</v>
      </c>
      <c r="M5059" s="9" t="s">
        <v>24</v>
      </c>
    </row>
    <row r="5060" ht="15.75" customHeight="1">
      <c r="A5060" s="7"/>
      <c r="B5060" s="7" t="str">
        <f>IFERROR(__xludf.DUMMYFUNCTION("""COMPUTED_VALUE"""),"Assembly;C;C++;C#;HTML/CSS;Java;JavaScript;PHP;Python;R;SQL")</f>
        <v>Assembly;C;C++;C#;HTML/CSS;Java;JavaScript;PHP;Python;R;SQL</v>
      </c>
      <c r="D5060" s="9" t="str">
        <f>IFERROR(__xludf.DUMMYFUNCTION("""COMPUTED_VALUE"""),"C#")</f>
        <v>C#</v>
      </c>
      <c r="F5060" s="9" t="str">
        <f>IFERROR(__xludf.DUMMYFUNCTION("""COMPUTED_VALUE"""),"JavaScript")</f>
        <v>JavaScript</v>
      </c>
      <c r="G5060" s="9" t="str">
        <f>IFERROR(__xludf.DUMMYFUNCTION("""COMPUTED_VALUE"""),"Objective-C")</f>
        <v>Objective-C</v>
      </c>
      <c r="I5060" s="9" t="str">
        <f>IFERROR(__xludf.DUMMYFUNCTION("""COMPUTED_VALUE"""),"Java")</f>
        <v>Java</v>
      </c>
      <c r="J5060" s="9" t="str">
        <f>IFERROR(__xludf.DUMMYFUNCTION("""COMPUTED_VALUE"""),"HTML/CSS")</f>
        <v>HTML/CSS</v>
      </c>
      <c r="M5060" s="9" t="s">
        <v>21</v>
      </c>
    </row>
    <row r="5061" ht="15.75" customHeight="1">
      <c r="A5061" s="7"/>
      <c r="B5061" s="7" t="str">
        <f>IFERROR(__xludf.DUMMYFUNCTION("""COMPUTED_VALUE"""),"Bash/Shell/PowerShell;C#;HTML/CSS;JavaScript;PHP;Python")</f>
        <v>Bash/Shell/PowerShell;C#;HTML/CSS;JavaScript;PHP;Python</v>
      </c>
      <c r="D5061" s="9" t="str">
        <f>IFERROR(__xludf.DUMMYFUNCTION("""COMPUTED_VALUE"""),"Bash/Shell/PowerShell")</f>
        <v>Bash/Shell/PowerShell</v>
      </c>
      <c r="F5061" s="9" t="str">
        <f>IFERROR(__xludf.DUMMYFUNCTION("""COMPUTED_VALUE"""),"PHP")</f>
        <v>PHP</v>
      </c>
      <c r="G5061" s="9" t="str">
        <f>IFERROR(__xludf.DUMMYFUNCTION("""COMPUTED_VALUE"""),"Ruby")</f>
        <v>Ruby</v>
      </c>
      <c r="I5061" s="9" t="str">
        <f>IFERROR(__xludf.DUMMYFUNCTION("""COMPUTED_VALUE"""),"Bash/Shell/PowerShell")</f>
        <v>Bash/Shell/PowerShell</v>
      </c>
      <c r="J5061" s="9" t="str">
        <f>IFERROR(__xludf.DUMMYFUNCTION("""COMPUTED_VALUE"""),"JavaScript")</f>
        <v>JavaScript</v>
      </c>
      <c r="M5061" s="9" t="s">
        <v>27</v>
      </c>
    </row>
    <row r="5062" ht="15.75" customHeight="1">
      <c r="A5062" s="7"/>
      <c r="B5062" s="7" t="str">
        <f>IFERROR(__xludf.DUMMYFUNCTION("""COMPUTED_VALUE"""),"HTML/CSS;JavaScript;Python;SQL")</f>
        <v>HTML/CSS;JavaScript;Python;SQL</v>
      </c>
      <c r="D5062" s="9" t="str">
        <f>IFERROR(__xludf.DUMMYFUNCTION("""COMPUTED_VALUE"""),"C")</f>
        <v>C</v>
      </c>
      <c r="F5062" s="9" t="str">
        <f>IFERROR(__xludf.DUMMYFUNCTION("""COMPUTED_VALUE"""),"SQL")</f>
        <v>SQL</v>
      </c>
      <c r="G5062" s="9" t="str">
        <f>IFERROR(__xludf.DUMMYFUNCTION("""COMPUTED_VALUE"""),"Swift")</f>
        <v>Swift</v>
      </c>
      <c r="I5062" s="9" t="str">
        <f>IFERROR(__xludf.DUMMYFUNCTION("""COMPUTED_VALUE"""),"C#")</f>
        <v>C#</v>
      </c>
      <c r="J5062" s="9" t="str">
        <f>IFERROR(__xludf.DUMMYFUNCTION("""COMPUTED_VALUE"""),"PHP")</f>
        <v>PHP</v>
      </c>
      <c r="M5062" s="9" t="s">
        <v>22</v>
      </c>
    </row>
    <row r="5063" ht="15.75" customHeight="1">
      <c r="A5063" s="7"/>
      <c r="B5063" s="7" t="str">
        <f>IFERROR(__xludf.DUMMYFUNCTION("""COMPUTED_VALUE"""),"Bash/Shell/PowerShell;C#;HTML/CSS;TypeScript")</f>
        <v>Bash/Shell/PowerShell;C#;HTML/CSS;TypeScript</v>
      </c>
      <c r="D5063" s="9" t="str">
        <f>IFERROR(__xludf.DUMMYFUNCTION("""COMPUTED_VALUE"""),"HTML/CSS")</f>
        <v>HTML/CSS</v>
      </c>
      <c r="F5063" s="9" t="str">
        <f>IFERROR(__xludf.DUMMYFUNCTION("""COMPUTED_VALUE"""),"C++")</f>
        <v>C++</v>
      </c>
      <c r="G5063" s="9" t="str">
        <f>IFERROR(__xludf.DUMMYFUNCTION("""COMPUTED_VALUE"""),"C#")</f>
        <v>C#</v>
      </c>
      <c r="I5063" s="9" t="str">
        <f>IFERROR(__xludf.DUMMYFUNCTION("""COMPUTED_VALUE"""),"HTML/CSS")</f>
        <v>HTML/CSS</v>
      </c>
      <c r="J5063" s="9" t="str">
        <f>IFERROR(__xludf.DUMMYFUNCTION("""COMPUTED_VALUE"""),"SQL")</f>
        <v>SQL</v>
      </c>
      <c r="M5063" s="9" t="s">
        <v>31</v>
      </c>
    </row>
    <row r="5064" ht="15.75" customHeight="1">
      <c r="A5064" s="7"/>
      <c r="B5064" s="7" t="str">
        <f>IFERROR(__xludf.DUMMYFUNCTION("""COMPUTED_VALUE"""),"HTML/CSS;Java;JavaScript;Python;SQL;WebAssembly")</f>
        <v>HTML/CSS;Java;JavaScript;Python;SQL;WebAssembly</v>
      </c>
      <c r="D5064" s="9" t="str">
        <f>IFERROR(__xludf.DUMMYFUNCTION("""COMPUTED_VALUE"""),"JavaScript")</f>
        <v>JavaScript</v>
      </c>
      <c r="F5064" s="9" t="str">
        <f>IFERROR(__xludf.DUMMYFUNCTION("""COMPUTED_VALUE"""),"C#")</f>
        <v>C#</v>
      </c>
      <c r="G5064" s="9" t="str">
        <f>IFERROR(__xludf.DUMMYFUNCTION("""COMPUTED_VALUE"""),"Java")</f>
        <v>Java</v>
      </c>
      <c r="I5064" s="9" t="str">
        <f>IFERROR(__xludf.DUMMYFUNCTION("""COMPUTED_VALUE"""),"Java")</f>
        <v>Java</v>
      </c>
      <c r="J5064" s="9" t="str">
        <f>IFERROR(__xludf.DUMMYFUNCTION("""COMPUTED_VALUE"""),"C++")</f>
        <v>C++</v>
      </c>
      <c r="M5064" s="9" t="s">
        <v>27</v>
      </c>
    </row>
    <row r="5065" ht="15.75" customHeight="1">
      <c r="A5065" s="7"/>
      <c r="B5065" s="7" t="str">
        <f>IFERROR(__xludf.DUMMYFUNCTION("""COMPUTED_VALUE"""),"HTML/CSS;JavaScript;PHP;Python;TypeScript")</f>
        <v>HTML/CSS;JavaScript;PHP;Python;TypeScript</v>
      </c>
      <c r="D5065" s="9" t="str">
        <f>IFERROR(__xludf.DUMMYFUNCTION("""COMPUTED_VALUE"""),"SQL")</f>
        <v>SQL</v>
      </c>
      <c r="F5065" s="9" t="str">
        <f>IFERROR(__xludf.DUMMYFUNCTION("""COMPUTED_VALUE"""),"HTML/CSS")</f>
        <v>HTML/CSS</v>
      </c>
      <c r="G5065" s="9" t="str">
        <f>IFERROR(__xludf.DUMMYFUNCTION("""COMPUTED_VALUE"""),"Objective-C")</f>
        <v>Objective-C</v>
      </c>
      <c r="I5065" s="9" t="str">
        <f>IFERROR(__xludf.DUMMYFUNCTION("""COMPUTED_VALUE"""),"JavaScript")</f>
        <v>JavaScript</v>
      </c>
      <c r="J5065" s="9" t="str">
        <f>IFERROR(__xludf.DUMMYFUNCTION("""COMPUTED_VALUE"""),"HTML/CSS")</f>
        <v>HTML/CSS</v>
      </c>
      <c r="M5065" s="9" t="s">
        <v>24</v>
      </c>
    </row>
    <row r="5066" ht="15.75" customHeight="1">
      <c r="A5066" s="7"/>
      <c r="B5066" s="7" t="str">
        <f>IFERROR(__xludf.DUMMYFUNCTION("""COMPUTED_VALUE"""),"HTML/CSS;JavaScript;PHP;SQL")</f>
        <v>HTML/CSS;JavaScript;PHP;SQL</v>
      </c>
      <c r="D5066" s="9" t="str">
        <f>IFERROR(__xludf.DUMMYFUNCTION("""COMPUTED_VALUE"""),"C")</f>
        <v>C</v>
      </c>
      <c r="F5066" s="9" t="str">
        <f>IFERROR(__xludf.DUMMYFUNCTION("""COMPUTED_VALUE"""),"Java")</f>
        <v>Java</v>
      </c>
      <c r="G5066" s="9" t="str">
        <f>IFERROR(__xludf.DUMMYFUNCTION("""COMPUTED_VALUE"""),"Bash/Shell/PowerShell")</f>
        <v>Bash/Shell/PowerShell</v>
      </c>
      <c r="I5066" s="9" t="str">
        <f>IFERROR(__xludf.DUMMYFUNCTION("""COMPUTED_VALUE"""),"SQL")</f>
        <v>SQL</v>
      </c>
      <c r="J5066" s="9" t="str">
        <f>IFERROR(__xludf.DUMMYFUNCTION("""COMPUTED_VALUE"""),"JavaScript")</f>
        <v>JavaScript</v>
      </c>
      <c r="M5066" s="9" t="s">
        <v>20</v>
      </c>
    </row>
    <row r="5067" ht="15.75" customHeight="1">
      <c r="A5067" s="7"/>
      <c r="B5067" s="7" t="str">
        <f>IFERROR(__xludf.DUMMYFUNCTION("""COMPUTED_VALUE"""),"HTML/CSS;JavaScript;PHP;Python;SQL")</f>
        <v>HTML/CSS;JavaScript;PHP;Python;SQL</v>
      </c>
      <c r="D5067" s="9" t="str">
        <f>IFERROR(__xludf.DUMMYFUNCTION("""COMPUTED_VALUE"""),"C++")</f>
        <v>C++</v>
      </c>
      <c r="F5067" s="9" t="str">
        <f>IFERROR(__xludf.DUMMYFUNCTION("""COMPUTED_VALUE"""),"TypeScript")</f>
        <v>TypeScript</v>
      </c>
      <c r="G5067" s="9" t="str">
        <f>IFERROR(__xludf.DUMMYFUNCTION("""COMPUTED_VALUE"""),"HTML/CSS")</f>
        <v>HTML/CSS</v>
      </c>
      <c r="I5067" s="9" t="str">
        <f>IFERROR(__xludf.DUMMYFUNCTION("""COMPUTED_VALUE"""),"Assembly")</f>
        <v>Assembly</v>
      </c>
      <c r="J5067" s="9" t="str">
        <f>IFERROR(__xludf.DUMMYFUNCTION("""COMPUTED_VALUE"""),"Bash/Shell/PowerShell")</f>
        <v>Bash/Shell/PowerShell</v>
      </c>
      <c r="M5067" s="9" t="s">
        <v>21</v>
      </c>
    </row>
    <row r="5068" ht="15.75" customHeight="1">
      <c r="A5068" s="7"/>
      <c r="B5068" s="7" t="str">
        <f>IFERROR(__xludf.DUMMYFUNCTION("""COMPUTED_VALUE"""),"Bash/Shell/PowerShell;C#;HTML/CSS;Java;JavaScript;Python;SQL")</f>
        <v>Bash/Shell/PowerShell;C#;HTML/CSS;Java;JavaScript;Python;SQL</v>
      </c>
      <c r="D5068" s="9" t="str">
        <f>IFERROR(__xludf.DUMMYFUNCTION("""COMPUTED_VALUE"""),"Java")</f>
        <v>Java</v>
      </c>
      <c r="F5068" s="9" t="str">
        <f>IFERROR(__xludf.DUMMYFUNCTION("""COMPUTED_VALUE"""),"Bash/Shell/PowerShell")</f>
        <v>Bash/Shell/PowerShell</v>
      </c>
      <c r="G5068" s="9" t="str">
        <f>IFERROR(__xludf.DUMMYFUNCTION("""COMPUTED_VALUE"""),"Java")</f>
        <v>Java</v>
      </c>
      <c r="I5068" s="9" t="str">
        <f>IFERROR(__xludf.DUMMYFUNCTION("""COMPUTED_VALUE"""),"Bash/Shell/PowerShell")</f>
        <v>Bash/Shell/PowerShell</v>
      </c>
      <c r="J5068" s="9" t="str">
        <f>IFERROR(__xludf.DUMMYFUNCTION("""COMPUTED_VALUE"""),"C")</f>
        <v>C</v>
      </c>
      <c r="M5068" s="9" t="s">
        <v>27</v>
      </c>
    </row>
    <row r="5069" ht="15.75" customHeight="1">
      <c r="A5069" s="7"/>
      <c r="B5069" s="7" t="str">
        <f>IFERROR(__xludf.DUMMYFUNCTION("""COMPUTED_VALUE"""),"Bash/Shell/PowerShell;Go;JavaScript;PHP;Python;Ruby;Swift;TypeScript")</f>
        <v>Bash/Shell/PowerShell;Go;JavaScript;PHP;Python;Ruby;Swift;TypeScript</v>
      </c>
      <c r="D5069" s="9" t="str">
        <f>IFERROR(__xludf.DUMMYFUNCTION("""COMPUTED_VALUE"""),"JavaScript")</f>
        <v>JavaScript</v>
      </c>
      <c r="F5069" s="9" t="str">
        <f>IFERROR(__xludf.DUMMYFUNCTION("""COMPUTED_VALUE"""),"C")</f>
        <v>C</v>
      </c>
      <c r="G5069" s="9" t="str">
        <f>IFERROR(__xludf.DUMMYFUNCTION("""COMPUTED_VALUE"""),"JavaScript")</f>
        <v>JavaScript</v>
      </c>
      <c r="I5069" s="9" t="str">
        <f>IFERROR(__xludf.DUMMYFUNCTION("""COMPUTED_VALUE"""),"C")</f>
        <v>C</v>
      </c>
      <c r="J5069" s="9" t="str">
        <f>IFERROR(__xludf.DUMMYFUNCTION("""COMPUTED_VALUE"""),"C++")</f>
        <v>C++</v>
      </c>
      <c r="M5069" s="9" t="s">
        <v>33</v>
      </c>
    </row>
    <row r="5070" ht="15.75" customHeight="1">
      <c r="A5070" s="7"/>
      <c r="B5070" s="7" t="str">
        <f>IFERROR(__xludf.DUMMYFUNCTION("""COMPUTED_VALUE"""),"Bash/Shell/PowerShell;C++")</f>
        <v>Bash/Shell/PowerShell;C++</v>
      </c>
      <c r="D5070" s="9" t="str">
        <f>IFERROR(__xludf.DUMMYFUNCTION("""COMPUTED_VALUE"""),"Other(s):")</f>
        <v>Other(s):</v>
      </c>
      <c r="F5070" s="9" t="str">
        <f>IFERROR(__xludf.DUMMYFUNCTION("""COMPUTED_VALUE"""),"HTML/CSS")</f>
        <v>HTML/CSS</v>
      </c>
      <c r="G5070" s="9" t="str">
        <f>IFERROR(__xludf.DUMMYFUNCTION("""COMPUTED_VALUE"""),"Scala")</f>
        <v>Scala</v>
      </c>
      <c r="I5070" s="9" t="str">
        <f>IFERROR(__xludf.DUMMYFUNCTION("""COMPUTED_VALUE"""),"C++")</f>
        <v>C++</v>
      </c>
      <c r="J5070" s="9" t="str">
        <f>IFERROR(__xludf.DUMMYFUNCTION("""COMPUTED_VALUE"""),"HTML/CSS")</f>
        <v>HTML/CSS</v>
      </c>
      <c r="M5070" s="9" t="s">
        <v>20</v>
      </c>
    </row>
    <row r="5071" ht="15.75" customHeight="1">
      <c r="A5071" s="7"/>
      <c r="B5071" s="7" t="str">
        <f>IFERROR(__xludf.DUMMYFUNCTION("""COMPUTED_VALUE"""),"C;C++;HTML/CSS;Java;JavaScript;SQL")</f>
        <v>C;C++;HTML/CSS;Java;JavaScript;SQL</v>
      </c>
      <c r="D5071" s="9" t="str">
        <f>IFERROR(__xludf.DUMMYFUNCTION("""COMPUTED_VALUE"""),"Bash/Shell/PowerShell")</f>
        <v>Bash/Shell/PowerShell</v>
      </c>
      <c r="F5071" s="9" t="str">
        <f>IFERROR(__xludf.DUMMYFUNCTION("""COMPUTED_VALUE"""),"JavaScript")</f>
        <v>JavaScript</v>
      </c>
      <c r="G5071" s="9" t="str">
        <f>IFERROR(__xludf.DUMMYFUNCTION("""COMPUTED_VALUE"""),"SQL")</f>
        <v>SQL</v>
      </c>
      <c r="I5071" s="9" t="str">
        <f>IFERROR(__xludf.DUMMYFUNCTION("""COMPUTED_VALUE"""),"C#")</f>
        <v>C#</v>
      </c>
      <c r="J5071" s="9" t="str">
        <f>IFERROR(__xludf.DUMMYFUNCTION("""COMPUTED_VALUE"""),"Java")</f>
        <v>Java</v>
      </c>
      <c r="M5071" s="9" t="s">
        <v>27</v>
      </c>
    </row>
    <row r="5072" ht="15.75" customHeight="1">
      <c r="A5072" s="7"/>
      <c r="B5072" s="7" t="str">
        <f>IFERROR(__xludf.DUMMYFUNCTION("""COMPUTED_VALUE"""),"C#;HTML/CSS;JavaScript;SQL")</f>
        <v>C#;HTML/CSS;JavaScript;SQL</v>
      </c>
      <c r="D5072" s="9" t="str">
        <f>IFERROR(__xludf.DUMMYFUNCTION("""COMPUTED_VALUE"""),"C")</f>
        <v>C</v>
      </c>
      <c r="F5072" s="9" t="str">
        <f>IFERROR(__xludf.DUMMYFUNCTION("""COMPUTED_VALUE"""),"HTML/CSS")</f>
        <v>HTML/CSS</v>
      </c>
      <c r="G5072" s="9" t="str">
        <f>IFERROR(__xludf.DUMMYFUNCTION("""COMPUTED_VALUE"""),"TypeScript")</f>
        <v>TypeScript</v>
      </c>
      <c r="I5072" s="9" t="str">
        <f>IFERROR(__xludf.DUMMYFUNCTION("""COMPUTED_VALUE"""),"Clojure")</f>
        <v>Clojure</v>
      </c>
      <c r="J5072" s="9" t="str">
        <f>IFERROR(__xludf.DUMMYFUNCTION("""COMPUTED_VALUE"""),"JavaScript")</f>
        <v>JavaScript</v>
      </c>
      <c r="M5072" s="9" t="s">
        <v>30</v>
      </c>
    </row>
    <row r="5073" ht="15.75" customHeight="1">
      <c r="A5073" s="7"/>
      <c r="B5073" s="7" t="str">
        <f>IFERROR(__xludf.DUMMYFUNCTION("""COMPUTED_VALUE"""),"Bash/Shell/PowerShell;C;C++;Java;Python")</f>
        <v>Bash/Shell/PowerShell;C;C++;Java;Python</v>
      </c>
      <c r="D5073" s="9" t="str">
        <f>IFERROR(__xludf.DUMMYFUNCTION("""COMPUTED_VALUE"""),"HTML/CSS")</f>
        <v>HTML/CSS</v>
      </c>
      <c r="F5073" s="9" t="str">
        <f>IFERROR(__xludf.DUMMYFUNCTION("""COMPUTED_VALUE"""),"JavaScript")</f>
        <v>JavaScript</v>
      </c>
      <c r="G5073" s="9" t="str">
        <f>IFERROR(__xludf.DUMMYFUNCTION("""COMPUTED_VALUE"""),"C")</f>
        <v>C</v>
      </c>
      <c r="I5073" s="9" t="str">
        <f>IFERROR(__xludf.DUMMYFUNCTION("""COMPUTED_VALUE"""),"Dart")</f>
        <v>Dart</v>
      </c>
      <c r="J5073" s="9" t="str">
        <f>IFERROR(__xludf.DUMMYFUNCTION("""COMPUTED_VALUE"""),"PHP")</f>
        <v>PHP</v>
      </c>
      <c r="M5073" s="9" t="s">
        <v>26</v>
      </c>
    </row>
    <row r="5074" ht="15.75" customHeight="1">
      <c r="A5074" s="7"/>
      <c r="B5074" s="7" t="str">
        <f>IFERROR(__xludf.DUMMYFUNCTION("""COMPUTED_VALUE"""),"C#;HTML/CSS;JavaScript;Python;TypeScript")</f>
        <v>C#;HTML/CSS;JavaScript;Python;TypeScript</v>
      </c>
      <c r="D5074" s="9" t="str">
        <f>IFERROR(__xludf.DUMMYFUNCTION("""COMPUTED_VALUE"""),"JavaScript")</f>
        <v>JavaScript</v>
      </c>
      <c r="F5074" s="9" t="str">
        <f>IFERROR(__xludf.DUMMYFUNCTION("""COMPUTED_VALUE"""),"PHP")</f>
        <v>PHP</v>
      </c>
      <c r="G5074" s="9" t="str">
        <f>IFERROR(__xludf.DUMMYFUNCTION("""COMPUTED_VALUE"""),"C++")</f>
        <v>C++</v>
      </c>
      <c r="I5074" s="9" t="str">
        <f>IFERROR(__xludf.DUMMYFUNCTION("""COMPUTED_VALUE"""),"Elixir")</f>
        <v>Elixir</v>
      </c>
      <c r="J5074" s="9" t="str">
        <f>IFERROR(__xludf.DUMMYFUNCTION("""COMPUTED_VALUE"""),"Python")</f>
        <v>Python</v>
      </c>
      <c r="M5074" s="9" t="s">
        <v>47</v>
      </c>
    </row>
    <row r="5075" ht="15.75" customHeight="1">
      <c r="A5075" s="7"/>
      <c r="B5075" s="7" t="str">
        <f>IFERROR(__xludf.DUMMYFUNCTION("""COMPUTED_VALUE"""),"Bash/Shell/PowerShell;C;C#;HTML/CSS;JavaScript;Python;R;SQL;VBA")</f>
        <v>Bash/Shell/PowerShell;C;C#;HTML/CSS;JavaScript;Python;R;SQL;VBA</v>
      </c>
      <c r="D5075" s="9" t="str">
        <f>IFERROR(__xludf.DUMMYFUNCTION("""COMPUTED_VALUE"""),"Python")</f>
        <v>Python</v>
      </c>
      <c r="F5075" s="9" t="str">
        <f>IFERROR(__xludf.DUMMYFUNCTION("""COMPUTED_VALUE"""),"Python")</f>
        <v>Python</v>
      </c>
      <c r="G5075" s="9" t="str">
        <f>IFERROR(__xludf.DUMMYFUNCTION("""COMPUTED_VALUE"""),"HTML/CSS")</f>
        <v>HTML/CSS</v>
      </c>
      <c r="I5075" s="9" t="str">
        <f>IFERROR(__xludf.DUMMYFUNCTION("""COMPUTED_VALUE"""),"WebAssembly")</f>
        <v>WebAssembly</v>
      </c>
      <c r="J5075" s="9" t="str">
        <f>IFERROR(__xludf.DUMMYFUNCTION("""COMPUTED_VALUE"""),"SQL")</f>
        <v>SQL</v>
      </c>
      <c r="M5075" s="9" t="s">
        <v>24</v>
      </c>
    </row>
    <row r="5076" ht="15.75" customHeight="1">
      <c r="A5076" s="7"/>
      <c r="B5076" s="7" t="str">
        <f>IFERROR(__xludf.DUMMYFUNCTION("""COMPUTED_VALUE"""),"C;C++;C#;Java;Kotlin;SQL;Swift")</f>
        <v>C;C++;C#;Java;Kotlin;SQL;Swift</v>
      </c>
      <c r="D5076" s="9" t="str">
        <f>IFERROR(__xludf.DUMMYFUNCTION("""COMPUTED_VALUE"""),"C#")</f>
        <v>C#</v>
      </c>
      <c r="F5076" s="9" t="str">
        <f>IFERROR(__xludf.DUMMYFUNCTION("""COMPUTED_VALUE"""),"SQL")</f>
        <v>SQL</v>
      </c>
      <c r="G5076" s="9" t="str">
        <f>IFERROR(__xludf.DUMMYFUNCTION("""COMPUTED_VALUE"""),"Java")</f>
        <v>Java</v>
      </c>
      <c r="I5076" s="9" t="str">
        <f>IFERROR(__xludf.DUMMYFUNCTION("""COMPUTED_VALUE"""),"Other(s):")</f>
        <v>Other(s):</v>
      </c>
      <c r="M5076" s="9" t="s">
        <v>20</v>
      </c>
    </row>
    <row r="5077" ht="15.75" customHeight="1">
      <c r="A5077" s="7"/>
      <c r="B5077" s="7" t="str">
        <f>IFERROR(__xludf.DUMMYFUNCTION("""COMPUTED_VALUE"""),"Java;JavaScript;Kotlin;SQL")</f>
        <v>Java;JavaScript;Kotlin;SQL</v>
      </c>
      <c r="D5077" s="9" t="str">
        <f>IFERROR(__xludf.DUMMYFUNCTION("""COMPUTED_VALUE"""),"SQL")</f>
        <v>SQL</v>
      </c>
      <c r="F5077" s="9" t="str">
        <f>IFERROR(__xludf.DUMMYFUNCTION("""COMPUTED_VALUE"""),"Bash/Shell/PowerShell")</f>
        <v>Bash/Shell/PowerShell</v>
      </c>
      <c r="G5077" s="9" t="str">
        <f>IFERROR(__xludf.DUMMYFUNCTION("""COMPUTED_VALUE"""),"JavaScript")</f>
        <v>JavaScript</v>
      </c>
      <c r="I5077" s="9" t="str">
        <f>IFERROR(__xludf.DUMMYFUNCTION("""COMPUTED_VALUE"""),"Bash/Shell/PowerShell")</f>
        <v>Bash/Shell/PowerShell</v>
      </c>
      <c r="M5077" s="9" t="s">
        <v>21</v>
      </c>
    </row>
    <row r="5078" ht="15.75" customHeight="1">
      <c r="A5078" s="7"/>
      <c r="B5078" s="7" t="str">
        <f>IFERROR(__xludf.DUMMYFUNCTION("""COMPUTED_VALUE"""),"Bash/Shell/PowerShell;Java")</f>
        <v>Bash/Shell/PowerShell;Java</v>
      </c>
      <c r="D5078" s="9" t="str">
        <f>IFERROR(__xludf.DUMMYFUNCTION("""COMPUTED_VALUE"""),"HTML/CSS")</f>
        <v>HTML/CSS</v>
      </c>
      <c r="F5078" s="9" t="str">
        <f>IFERROR(__xludf.DUMMYFUNCTION("""COMPUTED_VALUE"""),"C#")</f>
        <v>C#</v>
      </c>
      <c r="G5078" s="9" t="str">
        <f>IFERROR(__xludf.DUMMYFUNCTION("""COMPUTED_VALUE"""),"Python")</f>
        <v>Python</v>
      </c>
      <c r="I5078" s="9" t="str">
        <f>IFERROR(__xludf.DUMMYFUNCTION("""COMPUTED_VALUE"""),"C#")</f>
        <v>C#</v>
      </c>
      <c r="M5078" s="9" t="s">
        <v>41</v>
      </c>
    </row>
    <row r="5079" ht="15.75" customHeight="1">
      <c r="A5079" s="7"/>
      <c r="B5079" s="7" t="str">
        <f>IFERROR(__xludf.DUMMYFUNCTION("""COMPUTED_VALUE"""),"C;Dart;HTML/CSS;JavaScript;PHP;SQL")</f>
        <v>C;Dart;HTML/CSS;JavaScript;PHP;SQL</v>
      </c>
      <c r="D5079" s="9" t="str">
        <f>IFERROR(__xludf.DUMMYFUNCTION("""COMPUTED_VALUE"""),"JavaScript")</f>
        <v>JavaScript</v>
      </c>
      <c r="F5079" s="9" t="str">
        <f>IFERROR(__xludf.DUMMYFUNCTION("""COMPUTED_VALUE"""),"Erlang")</f>
        <v>Erlang</v>
      </c>
      <c r="G5079" s="9" t="str">
        <f>IFERROR(__xludf.DUMMYFUNCTION("""COMPUTED_VALUE"""),"HTML/CSS")</f>
        <v>HTML/CSS</v>
      </c>
      <c r="I5079" s="9" t="str">
        <f>IFERROR(__xludf.DUMMYFUNCTION("""COMPUTED_VALUE"""),"JavaScript")</f>
        <v>JavaScript</v>
      </c>
      <c r="M5079" s="9" t="s">
        <v>22</v>
      </c>
    </row>
    <row r="5080" ht="15.75" customHeight="1">
      <c r="A5080" s="7"/>
      <c r="B5080" s="7" t="str">
        <f>IFERROR(__xludf.DUMMYFUNCTION("""COMPUTED_VALUE"""),"C#;HTML/CSS;JavaScript;PHP;SQL;VBA")</f>
        <v>C#;HTML/CSS;JavaScript;PHP;SQL;VBA</v>
      </c>
      <c r="D5080" s="9" t="str">
        <f>IFERROR(__xludf.DUMMYFUNCTION("""COMPUTED_VALUE"""),"PHP")</f>
        <v>PHP</v>
      </c>
      <c r="F5080" s="9" t="str">
        <f>IFERROR(__xludf.DUMMYFUNCTION("""COMPUTED_VALUE"""),"HTML/CSS")</f>
        <v>HTML/CSS</v>
      </c>
      <c r="G5080" s="9" t="str">
        <f>IFERROR(__xludf.DUMMYFUNCTION("""COMPUTED_VALUE"""),"Java")</f>
        <v>Java</v>
      </c>
      <c r="I5080" s="9" t="str">
        <f>IFERROR(__xludf.DUMMYFUNCTION("""COMPUTED_VALUE"""),"Python")</f>
        <v>Python</v>
      </c>
      <c r="M5080" s="9" t="s">
        <v>27</v>
      </c>
    </row>
    <row r="5081" ht="15.75" customHeight="1">
      <c r="A5081" s="7"/>
      <c r="B5081" s="7" t="str">
        <f>IFERROR(__xludf.DUMMYFUNCTION("""COMPUTED_VALUE"""),"C#;Java;Kotlin")</f>
        <v>C#;Java;Kotlin</v>
      </c>
      <c r="D5081" s="9" t="str">
        <f>IFERROR(__xludf.DUMMYFUNCTION("""COMPUTED_VALUE"""),"SQL")</f>
        <v>SQL</v>
      </c>
      <c r="F5081" s="9" t="str">
        <f>IFERROR(__xludf.DUMMYFUNCTION("""COMPUTED_VALUE"""),"JavaScript")</f>
        <v>JavaScript</v>
      </c>
      <c r="G5081" s="9" t="str">
        <f>IFERROR(__xludf.DUMMYFUNCTION("""COMPUTED_VALUE"""),"Python")</f>
        <v>Python</v>
      </c>
      <c r="I5081" s="9" t="str">
        <f>IFERROR(__xludf.DUMMYFUNCTION("""COMPUTED_VALUE"""),"SQL")</f>
        <v>SQL</v>
      </c>
      <c r="M5081" s="9" t="s">
        <v>40</v>
      </c>
    </row>
    <row r="5082" ht="15.75" customHeight="1">
      <c r="A5082" s="7"/>
      <c r="B5082" s="7" t="str">
        <f>IFERROR(__xludf.DUMMYFUNCTION("""COMPUTED_VALUE"""),"Java;Python;R;Scala;SQL")</f>
        <v>Java;Python;R;Scala;SQL</v>
      </c>
      <c r="D5082" s="9" t="str">
        <f>IFERROR(__xludf.DUMMYFUNCTION("""COMPUTED_VALUE"""),"C#")</f>
        <v>C#</v>
      </c>
      <c r="F5082" s="9" t="str">
        <f>IFERROR(__xludf.DUMMYFUNCTION("""COMPUTED_VALUE"""),"SQL")</f>
        <v>SQL</v>
      </c>
      <c r="G5082" s="9" t="str">
        <f>IFERROR(__xludf.DUMMYFUNCTION("""COMPUTED_VALUE"""),"HTML/CSS")</f>
        <v>HTML/CSS</v>
      </c>
      <c r="I5082" s="9" t="str">
        <f>IFERROR(__xludf.DUMMYFUNCTION("""COMPUTED_VALUE"""),"TypeScript")</f>
        <v>TypeScript</v>
      </c>
      <c r="M5082" s="9" t="s">
        <v>25</v>
      </c>
    </row>
    <row r="5083" ht="15.75" customHeight="1">
      <c r="A5083" s="7"/>
      <c r="B5083" s="7" t="str">
        <f>IFERROR(__xludf.DUMMYFUNCTION("""COMPUTED_VALUE"""),"Bash/Shell/PowerShell;C#;HTML/CSS;Java;JavaScript;PHP;SQL;TypeScript")</f>
        <v>Bash/Shell/PowerShell;C#;HTML/CSS;Java;JavaScript;PHP;SQL;TypeScript</v>
      </c>
      <c r="D5083" s="9" t="str">
        <f>IFERROR(__xludf.DUMMYFUNCTION("""COMPUTED_VALUE"""),"HTML/CSS")</f>
        <v>HTML/CSS</v>
      </c>
      <c r="F5083" s="9" t="str">
        <f>IFERROR(__xludf.DUMMYFUNCTION("""COMPUTED_VALUE"""),"TypeScript")</f>
        <v>TypeScript</v>
      </c>
      <c r="G5083" s="9" t="str">
        <f>IFERROR(__xludf.DUMMYFUNCTION("""COMPUTED_VALUE"""),"C++")</f>
        <v>C++</v>
      </c>
      <c r="I5083" s="9" t="str">
        <f>IFERROR(__xludf.DUMMYFUNCTION("""COMPUTED_VALUE"""),"C#")</f>
        <v>C#</v>
      </c>
      <c r="M5083" s="9" t="s">
        <v>24</v>
      </c>
    </row>
    <row r="5084" ht="15.75" customHeight="1">
      <c r="A5084" s="7"/>
      <c r="B5084" s="7" t="str">
        <f>IFERROR(__xludf.DUMMYFUNCTION("""COMPUTED_VALUE"""),"Java;JavaScript")</f>
        <v>Java;JavaScript</v>
      </c>
      <c r="D5084" s="9" t="str">
        <f>IFERROR(__xludf.DUMMYFUNCTION("""COMPUTED_VALUE"""),"JavaScript")</f>
        <v>JavaScript</v>
      </c>
      <c r="F5084" s="9" t="str">
        <f>IFERROR(__xludf.DUMMYFUNCTION("""COMPUTED_VALUE"""),"Assembly")</f>
        <v>Assembly</v>
      </c>
      <c r="G5084" s="9" t="str">
        <f>IFERROR(__xludf.DUMMYFUNCTION("""COMPUTED_VALUE"""),"C#")</f>
        <v>C#</v>
      </c>
      <c r="I5084" s="9" t="str">
        <f>IFERROR(__xludf.DUMMYFUNCTION("""COMPUTED_VALUE"""),"Go")</f>
        <v>Go</v>
      </c>
      <c r="M5084" s="9" t="s">
        <v>21</v>
      </c>
    </row>
    <row r="5085" ht="15.75" customHeight="1">
      <c r="A5085" s="7"/>
      <c r="B5085" s="7" t="str">
        <f>IFERROR(__xludf.DUMMYFUNCTION("""COMPUTED_VALUE"""),"Bash/Shell/PowerShell;C;C++;Go;HTML/CSS;Java;JavaScript;Kotlin;Ruby;SQL;Swift")</f>
        <v>Bash/Shell/PowerShell;C;C++;Go;HTML/CSS;Java;JavaScript;Kotlin;Ruby;SQL;Swift</v>
      </c>
      <c r="D5085" s="9" t="str">
        <f>IFERROR(__xludf.DUMMYFUNCTION("""COMPUTED_VALUE"""),"PHP")</f>
        <v>PHP</v>
      </c>
      <c r="F5085" s="9" t="str">
        <f>IFERROR(__xludf.DUMMYFUNCTION("""COMPUTED_VALUE"""),"Bash/Shell/PowerShell")</f>
        <v>Bash/Shell/PowerShell</v>
      </c>
      <c r="G5085" s="9" t="str">
        <f>IFERROR(__xludf.DUMMYFUNCTION("""COMPUTED_VALUE"""),"HTML/CSS")</f>
        <v>HTML/CSS</v>
      </c>
      <c r="I5085" s="9" t="str">
        <f>IFERROR(__xludf.DUMMYFUNCTION("""COMPUTED_VALUE"""),"HTML/CSS")</f>
        <v>HTML/CSS</v>
      </c>
      <c r="M5085" s="9" t="s">
        <v>22</v>
      </c>
    </row>
    <row r="5086" ht="15.75" customHeight="1">
      <c r="A5086" s="7"/>
      <c r="B5086" s="7" t="str">
        <f>IFERROR(__xludf.DUMMYFUNCTION("""COMPUTED_VALUE"""),"HTML/CSS;JavaScript;Kotlin;PHP;SQL")</f>
        <v>HTML/CSS;JavaScript;Kotlin;PHP;SQL</v>
      </c>
      <c r="D5086" s="9" t="str">
        <f>IFERROR(__xludf.DUMMYFUNCTION("""COMPUTED_VALUE"""),"Bash/Shell/PowerShell")</f>
        <v>Bash/Shell/PowerShell</v>
      </c>
      <c r="F5086" s="9" t="str">
        <f>IFERROR(__xludf.DUMMYFUNCTION("""COMPUTED_VALUE"""),"C")</f>
        <v>C</v>
      </c>
      <c r="G5086" s="9" t="str">
        <f>IFERROR(__xludf.DUMMYFUNCTION("""COMPUTED_VALUE"""),"Java")</f>
        <v>Java</v>
      </c>
      <c r="I5086" s="9" t="str">
        <f>IFERROR(__xludf.DUMMYFUNCTION("""COMPUTED_VALUE"""),"Java")</f>
        <v>Java</v>
      </c>
      <c r="M5086" s="9" t="s">
        <v>31</v>
      </c>
    </row>
    <row r="5087" ht="15.75" customHeight="1">
      <c r="A5087" s="7"/>
      <c r="B5087" s="7" t="str">
        <f>IFERROR(__xludf.DUMMYFUNCTION("""COMPUTED_VALUE"""),"C++;HTML/CSS;JavaScript;Python")</f>
        <v>C++;HTML/CSS;JavaScript;Python</v>
      </c>
      <c r="D5087" s="9" t="str">
        <f>IFERROR(__xludf.DUMMYFUNCTION("""COMPUTED_VALUE"""),"C")</f>
        <v>C</v>
      </c>
      <c r="F5087" s="9" t="str">
        <f>IFERROR(__xludf.DUMMYFUNCTION("""COMPUTED_VALUE"""),"C++")</f>
        <v>C++</v>
      </c>
      <c r="G5087" s="9" t="str">
        <f>IFERROR(__xludf.DUMMYFUNCTION("""COMPUTED_VALUE"""),"JavaScript")</f>
        <v>JavaScript</v>
      </c>
      <c r="I5087" s="9" t="str">
        <f>IFERROR(__xludf.DUMMYFUNCTION("""COMPUTED_VALUE"""),"JavaScript")</f>
        <v>JavaScript</v>
      </c>
      <c r="M5087" s="9" t="s">
        <v>27</v>
      </c>
    </row>
    <row r="5088" ht="15.75" customHeight="1">
      <c r="A5088" s="7"/>
      <c r="B5088" s="7" t="str">
        <f>IFERROR(__xludf.DUMMYFUNCTION("""COMPUTED_VALUE"""),"Bash/Shell/PowerShell;HTML/CSS;JavaScript;PHP;TypeScript")</f>
        <v>Bash/Shell/PowerShell;HTML/CSS;JavaScript;PHP;TypeScript</v>
      </c>
      <c r="D5088" s="9" t="str">
        <f>IFERROR(__xludf.DUMMYFUNCTION("""COMPUTED_VALUE"""),"C++")</f>
        <v>C++</v>
      </c>
      <c r="F5088" s="9" t="str">
        <f>IFERROR(__xludf.DUMMYFUNCTION("""COMPUTED_VALUE"""),"PHP")</f>
        <v>PHP</v>
      </c>
      <c r="G5088" s="9" t="str">
        <f>IFERROR(__xludf.DUMMYFUNCTION("""COMPUTED_VALUE"""),"R")</f>
        <v>R</v>
      </c>
      <c r="I5088" s="9" t="str">
        <f>IFERROR(__xludf.DUMMYFUNCTION("""COMPUTED_VALUE"""),"Python")</f>
        <v>Python</v>
      </c>
      <c r="M5088" s="9" t="s">
        <v>28</v>
      </c>
    </row>
    <row r="5089" ht="15.75" customHeight="1">
      <c r="A5089" s="7"/>
      <c r="B5089" s="7" t="str">
        <f>IFERROR(__xludf.DUMMYFUNCTION("""COMPUTED_VALUE"""),"HTML/CSS;Java;PHP;SQL")</f>
        <v>HTML/CSS;Java;PHP;SQL</v>
      </c>
      <c r="D5089" s="9" t="str">
        <f>IFERROR(__xludf.DUMMYFUNCTION("""COMPUTED_VALUE"""),"HTML/CSS")</f>
        <v>HTML/CSS</v>
      </c>
      <c r="F5089" s="9" t="str">
        <f>IFERROR(__xludf.DUMMYFUNCTION("""COMPUTED_VALUE"""),"Python")</f>
        <v>Python</v>
      </c>
      <c r="G5089" s="9" t="str">
        <f>IFERROR(__xludf.DUMMYFUNCTION("""COMPUTED_VALUE"""),"Ruby")</f>
        <v>Ruby</v>
      </c>
      <c r="I5089" s="9" t="str">
        <f>IFERROR(__xludf.DUMMYFUNCTION("""COMPUTED_VALUE"""),"Rust")</f>
        <v>Rust</v>
      </c>
      <c r="M5089" s="9" t="s">
        <v>25</v>
      </c>
    </row>
    <row r="5090" ht="15.75" customHeight="1">
      <c r="A5090" s="7"/>
      <c r="B5090" s="7" t="str">
        <f>IFERROR(__xludf.DUMMYFUNCTION("""COMPUTED_VALUE"""),"Bash/Shell/PowerShell;HTML/CSS;JavaScript;Python;SQL")</f>
        <v>Bash/Shell/PowerShell;HTML/CSS;JavaScript;Python;SQL</v>
      </c>
      <c r="D5090" s="9" t="str">
        <f>IFERROR(__xludf.DUMMYFUNCTION("""COMPUTED_VALUE"""),"Java")</f>
        <v>Java</v>
      </c>
      <c r="F5090" s="9" t="str">
        <f>IFERROR(__xludf.DUMMYFUNCTION("""COMPUTED_VALUE"""),"SQL")</f>
        <v>SQL</v>
      </c>
      <c r="G5090" s="9" t="str">
        <f>IFERROR(__xludf.DUMMYFUNCTION("""COMPUTED_VALUE"""),"SQL")</f>
        <v>SQL</v>
      </c>
      <c r="I5090" s="9" t="str">
        <f>IFERROR(__xludf.DUMMYFUNCTION("""COMPUTED_VALUE"""),"SQL")</f>
        <v>SQL</v>
      </c>
      <c r="M5090" s="9" t="s">
        <v>23</v>
      </c>
    </row>
    <row r="5091" ht="15.75" customHeight="1">
      <c r="A5091" s="7"/>
      <c r="B5091" s="7" t="str">
        <f>IFERROR(__xludf.DUMMYFUNCTION("""COMPUTED_VALUE"""),"C#;HTML/CSS;JavaScript;SQL")</f>
        <v>C#;HTML/CSS;JavaScript;SQL</v>
      </c>
      <c r="D5091" s="9" t="str">
        <f>IFERROR(__xludf.DUMMYFUNCTION("""COMPUTED_VALUE"""),"JavaScript")</f>
        <v>JavaScript</v>
      </c>
      <c r="F5091" s="9" t="str">
        <f>IFERROR(__xludf.DUMMYFUNCTION("""COMPUTED_VALUE"""),"Other(s):")</f>
        <v>Other(s):</v>
      </c>
      <c r="G5091" s="9" t="str">
        <f>IFERROR(__xludf.DUMMYFUNCTION("""COMPUTED_VALUE"""),"Bash/Shell/PowerShell")</f>
        <v>Bash/Shell/PowerShell</v>
      </c>
      <c r="I5091" s="9" t="str">
        <f>IFERROR(__xludf.DUMMYFUNCTION("""COMPUTED_VALUE"""),"TypeScript")</f>
        <v>TypeScript</v>
      </c>
      <c r="M5091" s="9" t="s">
        <v>26</v>
      </c>
    </row>
    <row r="5092" ht="15.75" customHeight="1">
      <c r="A5092" s="7"/>
      <c r="B5092" s="7" t="str">
        <f>IFERROR(__xludf.DUMMYFUNCTION("""COMPUTED_VALUE"""),"C++;Go;Java;JavaScript;Python;Ruby;Rust")</f>
        <v>C++;Go;Java;JavaScript;Python;Ruby;Rust</v>
      </c>
      <c r="D5092" s="9" t="str">
        <f>IFERROR(__xludf.DUMMYFUNCTION("""COMPUTED_VALUE"""),"PHP")</f>
        <v>PHP</v>
      </c>
      <c r="F5092" s="9" t="str">
        <f>IFERROR(__xludf.DUMMYFUNCTION("""COMPUTED_VALUE"""),"Bash/Shell/PowerShell")</f>
        <v>Bash/Shell/PowerShell</v>
      </c>
      <c r="G5092" s="9" t="str">
        <f>IFERROR(__xludf.DUMMYFUNCTION("""COMPUTED_VALUE"""),"HTML/CSS")</f>
        <v>HTML/CSS</v>
      </c>
      <c r="I5092" s="9" t="str">
        <f>IFERROR(__xludf.DUMMYFUNCTION("""COMPUTED_VALUE"""),"Bash/Shell/PowerShell")</f>
        <v>Bash/Shell/PowerShell</v>
      </c>
      <c r="M5092" s="9" t="s">
        <v>24</v>
      </c>
    </row>
    <row r="5093" ht="15.75" customHeight="1">
      <c r="A5093" s="7"/>
      <c r="B5093" s="7" t="str">
        <f>IFERROR(__xludf.DUMMYFUNCTION("""COMPUTED_VALUE"""),"Bash/Shell/PowerShell;Java;Python;R;SQL")</f>
        <v>Bash/Shell/PowerShell;Java;Python;R;SQL</v>
      </c>
      <c r="D5093" s="9" t="str">
        <f>IFERROR(__xludf.DUMMYFUNCTION("""COMPUTED_VALUE"""),"Python")</f>
        <v>Python</v>
      </c>
      <c r="F5093" s="9" t="str">
        <f>IFERROR(__xludf.DUMMYFUNCTION("""COMPUTED_VALUE"""),"C")</f>
        <v>C</v>
      </c>
      <c r="G5093" s="9" t="str">
        <f>IFERROR(__xludf.DUMMYFUNCTION("""COMPUTED_VALUE"""),"Ruby")</f>
        <v>Ruby</v>
      </c>
      <c r="I5093" s="9" t="str">
        <f>IFERROR(__xludf.DUMMYFUNCTION("""COMPUTED_VALUE"""),"Java")</f>
        <v>Java</v>
      </c>
      <c r="M5093" s="9" t="s">
        <v>20</v>
      </c>
    </row>
    <row r="5094" ht="15.75" customHeight="1">
      <c r="A5094" s="7"/>
      <c r="B5094" s="7" t="str">
        <f>IFERROR(__xludf.DUMMYFUNCTION("""COMPUTED_VALUE"""),"C#;Go;HTML/CSS;JavaScript;Python;SQL")</f>
        <v>C#;Go;HTML/CSS;JavaScript;Python;SQL</v>
      </c>
      <c r="D5094" s="9" t="str">
        <f>IFERROR(__xludf.DUMMYFUNCTION("""COMPUTED_VALUE"""),"Ruby")</f>
        <v>Ruby</v>
      </c>
      <c r="F5094" s="9" t="str">
        <f>IFERROR(__xludf.DUMMYFUNCTION("""COMPUTED_VALUE"""),"HTML/CSS")</f>
        <v>HTML/CSS</v>
      </c>
      <c r="G5094" s="9" t="str">
        <f>IFERROR(__xludf.DUMMYFUNCTION("""COMPUTED_VALUE"""),"SQL")</f>
        <v>SQL</v>
      </c>
      <c r="I5094" s="9" t="str">
        <f>IFERROR(__xludf.DUMMYFUNCTION("""COMPUTED_VALUE"""),"JavaScript")</f>
        <v>JavaScript</v>
      </c>
      <c r="M5094" s="9" t="s">
        <v>21</v>
      </c>
    </row>
    <row r="5095" ht="15.75" customHeight="1">
      <c r="A5095" s="7"/>
      <c r="B5095" s="7" t="str">
        <f>IFERROR(__xludf.DUMMYFUNCTION("""COMPUTED_VALUE"""),"Assembly;Bash/Shell/PowerShell;C;HTML/CSS;Java;JavaScript;PHP;Python;SQL;TypeScript")</f>
        <v>Assembly;Bash/Shell/PowerShell;C;HTML/CSS;Java;JavaScript;PHP;Python;SQL;TypeScript</v>
      </c>
      <c r="D5095" s="9" t="str">
        <f>IFERROR(__xludf.DUMMYFUNCTION("""COMPUTED_VALUE"""),"SQL")</f>
        <v>SQL</v>
      </c>
      <c r="F5095" s="9" t="str">
        <f>IFERROR(__xludf.DUMMYFUNCTION("""COMPUTED_VALUE"""),"Java")</f>
        <v>Java</v>
      </c>
      <c r="G5095" s="9" t="str">
        <f>IFERROR(__xludf.DUMMYFUNCTION("""COMPUTED_VALUE"""),"Bash/Shell/PowerShell")</f>
        <v>Bash/Shell/PowerShell</v>
      </c>
      <c r="I5095" s="9" t="str">
        <f>IFERROR(__xludf.DUMMYFUNCTION("""COMPUTED_VALUE"""),"Python")</f>
        <v>Python</v>
      </c>
      <c r="M5095" s="9" t="s">
        <v>22</v>
      </c>
    </row>
    <row r="5096" ht="15.75" customHeight="1">
      <c r="A5096" s="7"/>
      <c r="B5096" s="7" t="str">
        <f>IFERROR(__xludf.DUMMYFUNCTION("""COMPUTED_VALUE"""),"HTML/CSS;Python;R;SQL")</f>
        <v>HTML/CSS;Python;R;SQL</v>
      </c>
      <c r="D5096" s="9" t="str">
        <f>IFERROR(__xludf.DUMMYFUNCTION("""COMPUTED_VALUE"""),"Go")</f>
        <v>Go</v>
      </c>
      <c r="F5096" s="9" t="str">
        <f>IFERROR(__xludf.DUMMYFUNCTION("""COMPUTED_VALUE"""),"JavaScript")</f>
        <v>JavaScript</v>
      </c>
      <c r="G5096" s="9" t="str">
        <f>IFERROR(__xludf.DUMMYFUNCTION("""COMPUTED_VALUE"""),"HTML/CSS")</f>
        <v>HTML/CSS</v>
      </c>
      <c r="I5096" s="9" t="str">
        <f>IFERROR(__xludf.DUMMYFUNCTION("""COMPUTED_VALUE"""),"Scala")</f>
        <v>Scala</v>
      </c>
      <c r="M5096" s="9" t="s">
        <v>27</v>
      </c>
    </row>
    <row r="5097" ht="15.75" customHeight="1">
      <c r="A5097" s="7"/>
      <c r="B5097" s="7" t="str">
        <f>IFERROR(__xludf.DUMMYFUNCTION("""COMPUTED_VALUE"""),"Bash/Shell/PowerShell;C#;HTML/CSS;PHP;Rust;SQL;TypeScript")</f>
        <v>Bash/Shell/PowerShell;C#;HTML/CSS;PHP;Rust;SQL;TypeScript</v>
      </c>
      <c r="D5097" s="9" t="str">
        <f>IFERROR(__xludf.DUMMYFUNCTION("""COMPUTED_VALUE"""),"Objective-C")</f>
        <v>Objective-C</v>
      </c>
      <c r="F5097" s="9" t="str">
        <f>IFERROR(__xludf.DUMMYFUNCTION("""COMPUTED_VALUE"""),"Objective-C")</f>
        <v>Objective-C</v>
      </c>
      <c r="G5097" s="9" t="str">
        <f>IFERROR(__xludf.DUMMYFUNCTION("""COMPUTED_VALUE"""),"Java")</f>
        <v>Java</v>
      </c>
      <c r="I5097" s="9" t="str">
        <f>IFERROR(__xludf.DUMMYFUNCTION("""COMPUTED_VALUE"""),"HTML/CSS")</f>
        <v>HTML/CSS</v>
      </c>
      <c r="M5097" s="9" t="s">
        <v>33</v>
      </c>
    </row>
    <row r="5098" ht="15.75" customHeight="1">
      <c r="A5098" s="7"/>
      <c r="B5098" s="7" t="str">
        <f>IFERROR(__xludf.DUMMYFUNCTION("""COMPUTED_VALUE"""),"HTML/CSS;JavaScript;PHP;SQL;TypeScript")</f>
        <v>HTML/CSS;JavaScript;PHP;SQL;TypeScript</v>
      </c>
      <c r="D5098" s="9" t="str">
        <f>IFERROR(__xludf.DUMMYFUNCTION("""COMPUTED_VALUE"""),"Swift")</f>
        <v>Swift</v>
      </c>
      <c r="F5098" s="9" t="str">
        <f>IFERROR(__xludf.DUMMYFUNCTION("""COMPUTED_VALUE"""),"PHP")</f>
        <v>PHP</v>
      </c>
      <c r="G5098" s="9" t="str">
        <f>IFERROR(__xludf.DUMMYFUNCTION("""COMPUTED_VALUE"""),"JavaScript")</f>
        <v>JavaScript</v>
      </c>
      <c r="I5098" s="9" t="str">
        <f>IFERROR(__xludf.DUMMYFUNCTION("""COMPUTED_VALUE"""),"Java")</f>
        <v>Java</v>
      </c>
      <c r="M5098" s="9" t="s">
        <v>24</v>
      </c>
    </row>
    <row r="5099" ht="15.75" customHeight="1">
      <c r="A5099" s="7"/>
      <c r="B5099" s="7" t="str">
        <f>IFERROR(__xludf.DUMMYFUNCTION("""COMPUTED_VALUE"""),"HTML/CSS;JavaScript;PHP")</f>
        <v>HTML/CSS;JavaScript;PHP</v>
      </c>
      <c r="D5099" s="9" t="str">
        <f>IFERROR(__xludf.DUMMYFUNCTION("""COMPUTED_VALUE"""),"Bash/Shell/PowerShell")</f>
        <v>Bash/Shell/PowerShell</v>
      </c>
      <c r="F5099" s="9" t="str">
        <f>IFERROR(__xludf.DUMMYFUNCTION("""COMPUTED_VALUE"""),"SQL")</f>
        <v>SQL</v>
      </c>
      <c r="G5099" s="9" t="str">
        <f>IFERROR(__xludf.DUMMYFUNCTION("""COMPUTED_VALUE"""),"SQL")</f>
        <v>SQL</v>
      </c>
      <c r="I5099" s="9" t="str">
        <f>IFERROR(__xludf.DUMMYFUNCTION("""COMPUTED_VALUE"""),"SQL")</f>
        <v>SQL</v>
      </c>
      <c r="M5099" s="9" t="s">
        <v>20</v>
      </c>
    </row>
    <row r="5100" ht="15.75" customHeight="1">
      <c r="A5100" s="7"/>
      <c r="B5100" s="7" t="str">
        <f>IFERROR(__xludf.DUMMYFUNCTION("""COMPUTED_VALUE"""),"HTML/CSS;Python")</f>
        <v>HTML/CSS;Python</v>
      </c>
      <c r="D5100" s="9" t="str">
        <f>IFERROR(__xludf.DUMMYFUNCTION("""COMPUTED_VALUE"""),"JavaScript")</f>
        <v>JavaScript</v>
      </c>
      <c r="F5100" s="9" t="str">
        <f>IFERROR(__xludf.DUMMYFUNCTION("""COMPUTED_VALUE"""),"TypeScript")</f>
        <v>TypeScript</v>
      </c>
      <c r="G5100" s="9" t="str">
        <f>IFERROR(__xludf.DUMMYFUNCTION("""COMPUTED_VALUE"""),"C")</f>
        <v>C</v>
      </c>
      <c r="I5100" s="9" t="str">
        <f>IFERROR(__xludf.DUMMYFUNCTION("""COMPUTED_VALUE"""),"JavaScript")</f>
        <v>JavaScript</v>
      </c>
      <c r="M5100" s="9" t="s">
        <v>30</v>
      </c>
    </row>
    <row r="5101" ht="15.75" customHeight="1">
      <c r="A5101" s="7"/>
      <c r="B5101" s="7" t="str">
        <f>IFERROR(__xludf.DUMMYFUNCTION("""COMPUTED_VALUE"""),"Bash/Shell/PowerShell;Java;Python")</f>
        <v>Bash/Shell/PowerShell;Java;Python</v>
      </c>
      <c r="D5101" s="9" t="str">
        <f>IFERROR(__xludf.DUMMYFUNCTION("""COMPUTED_VALUE"""),"Objective-C")</f>
        <v>Objective-C</v>
      </c>
      <c r="F5101" s="9" t="str">
        <f>IFERROR(__xludf.DUMMYFUNCTION("""COMPUTED_VALUE"""),"HTML/CSS")</f>
        <v>HTML/CSS</v>
      </c>
      <c r="G5101" s="9" t="str">
        <f>IFERROR(__xludf.DUMMYFUNCTION("""COMPUTED_VALUE"""),"Java")</f>
        <v>Java</v>
      </c>
      <c r="I5101" s="9" t="str">
        <f>IFERROR(__xludf.DUMMYFUNCTION("""COMPUTED_VALUE"""),"PHP")</f>
        <v>PHP</v>
      </c>
      <c r="M5101" s="9" t="s">
        <v>22</v>
      </c>
    </row>
    <row r="5102" ht="15.75" customHeight="1">
      <c r="A5102" s="7"/>
      <c r="B5102" s="7" t="str">
        <f>IFERROR(__xludf.DUMMYFUNCTION("""COMPUTED_VALUE"""),"C;HTML/CSS;Java;JavaScript;PHP;SQL")</f>
        <v>C;HTML/CSS;Java;JavaScript;PHP;SQL</v>
      </c>
      <c r="D5102" s="9" t="str">
        <f>IFERROR(__xludf.DUMMYFUNCTION("""COMPUTED_VALUE"""),"Ruby")</f>
        <v>Ruby</v>
      </c>
      <c r="F5102" s="9" t="str">
        <f>IFERROR(__xludf.DUMMYFUNCTION("""COMPUTED_VALUE"""),"JavaScript")</f>
        <v>JavaScript</v>
      </c>
      <c r="G5102" s="9" t="str">
        <f>IFERROR(__xludf.DUMMYFUNCTION("""COMPUTED_VALUE"""),"Kotlin")</f>
        <v>Kotlin</v>
      </c>
      <c r="I5102" s="9" t="str">
        <f>IFERROR(__xludf.DUMMYFUNCTION("""COMPUTED_VALUE"""),"Python")</f>
        <v>Python</v>
      </c>
      <c r="M5102" s="9" t="s">
        <v>27</v>
      </c>
    </row>
    <row r="5103" ht="15.75" customHeight="1">
      <c r="A5103" s="7"/>
      <c r="B5103" s="7" t="str">
        <f>IFERROR(__xludf.DUMMYFUNCTION("""COMPUTED_VALUE"""),"C++;HTML/CSS;JavaScript;Python")</f>
        <v>C++;HTML/CSS;JavaScript;Python</v>
      </c>
      <c r="D5103" s="9" t="str">
        <f>IFERROR(__xludf.DUMMYFUNCTION("""COMPUTED_VALUE"""),"SQL")</f>
        <v>SQL</v>
      </c>
      <c r="F5103" s="9" t="str">
        <f>IFERROR(__xludf.DUMMYFUNCTION("""COMPUTED_VALUE"""),"PHP")</f>
        <v>PHP</v>
      </c>
      <c r="G5103" s="9" t="str">
        <f>IFERROR(__xludf.DUMMYFUNCTION("""COMPUTED_VALUE"""),"HTML/CSS")</f>
        <v>HTML/CSS</v>
      </c>
      <c r="I5103" s="9" t="str">
        <f>IFERROR(__xludf.DUMMYFUNCTION("""COMPUTED_VALUE"""),"SQL")</f>
        <v>SQL</v>
      </c>
      <c r="M5103" s="9" t="s">
        <v>24</v>
      </c>
    </row>
    <row r="5104" ht="15.75" customHeight="1">
      <c r="A5104" s="7"/>
      <c r="B5104" s="7" t="str">
        <f>IFERROR(__xludf.DUMMYFUNCTION("""COMPUTED_VALUE"""),"Assembly;Bash/Shell/PowerShell")</f>
        <v>Assembly;Bash/Shell/PowerShell</v>
      </c>
      <c r="D5104" s="9" t="str">
        <f>IFERROR(__xludf.DUMMYFUNCTION("""COMPUTED_VALUE"""),"Swift")</f>
        <v>Swift</v>
      </c>
      <c r="F5104" s="9" t="str">
        <f>IFERROR(__xludf.DUMMYFUNCTION("""COMPUTED_VALUE"""),"Python")</f>
        <v>Python</v>
      </c>
      <c r="G5104" s="9" t="str">
        <f>IFERROR(__xludf.DUMMYFUNCTION("""COMPUTED_VALUE"""),"JavaScript")</f>
        <v>JavaScript</v>
      </c>
      <c r="I5104" s="9" t="str">
        <f>IFERROR(__xludf.DUMMYFUNCTION("""COMPUTED_VALUE"""),"Bash/Shell/PowerShell")</f>
        <v>Bash/Shell/PowerShell</v>
      </c>
      <c r="M5104" s="9" t="s">
        <v>21</v>
      </c>
    </row>
    <row r="5105" ht="15.75" customHeight="1">
      <c r="A5105" s="7"/>
      <c r="B5105" s="7" t="str">
        <f>IFERROR(__xludf.DUMMYFUNCTION("""COMPUTED_VALUE"""),"HTML/CSS;Java;JavaScript;Ruby;SQL")</f>
        <v>HTML/CSS;Java;JavaScript;Ruby;SQL</v>
      </c>
      <c r="D5105" s="9" t="str">
        <f>IFERROR(__xludf.DUMMYFUNCTION("""COMPUTED_VALUE"""),"C")</f>
        <v>C</v>
      </c>
      <c r="F5105" s="9" t="str">
        <f>IFERROR(__xludf.DUMMYFUNCTION("""COMPUTED_VALUE"""),"SQL")</f>
        <v>SQL</v>
      </c>
      <c r="G5105" s="9" t="str">
        <f>IFERROR(__xludf.DUMMYFUNCTION("""COMPUTED_VALUE"""),"SQL")</f>
        <v>SQL</v>
      </c>
      <c r="I5105" s="9" t="str">
        <f>IFERROR(__xludf.DUMMYFUNCTION("""COMPUTED_VALUE"""),"C#")</f>
        <v>C#</v>
      </c>
      <c r="M5105" s="9" t="s">
        <v>33</v>
      </c>
    </row>
    <row r="5106" ht="15.75" customHeight="1">
      <c r="A5106" s="7"/>
      <c r="B5106" s="7" t="str">
        <f>IFERROR(__xludf.DUMMYFUNCTION("""COMPUTED_VALUE"""),"Bash/Shell/PowerShell;HTML/CSS;Java;JavaScript;Python;SQL")</f>
        <v>Bash/Shell/PowerShell;HTML/CSS;Java;JavaScript;Python;SQL</v>
      </c>
      <c r="D5106" s="9" t="str">
        <f>IFERROR(__xludf.DUMMYFUNCTION("""COMPUTED_VALUE"""),"C++")</f>
        <v>C++</v>
      </c>
      <c r="F5106" s="9" t="str">
        <f>IFERROR(__xludf.DUMMYFUNCTION("""COMPUTED_VALUE"""),"TypeScript")</f>
        <v>TypeScript</v>
      </c>
      <c r="G5106" s="9" t="str">
        <f>IFERROR(__xludf.DUMMYFUNCTION("""COMPUTED_VALUE"""),"HTML/CSS")</f>
        <v>HTML/CSS</v>
      </c>
      <c r="I5106" s="9" t="str">
        <f>IFERROR(__xludf.DUMMYFUNCTION("""COMPUTED_VALUE"""),"HTML/CSS")</f>
        <v>HTML/CSS</v>
      </c>
      <c r="M5106" s="9" t="s">
        <v>22</v>
      </c>
    </row>
    <row r="5107" ht="15.75" customHeight="1">
      <c r="A5107" s="7"/>
      <c r="B5107" s="7" t="str">
        <f>IFERROR(__xludf.DUMMYFUNCTION("""COMPUTED_VALUE"""),"C#;F#;HTML/CSS;Other(s):")</f>
        <v>C#;F#;HTML/CSS;Other(s):</v>
      </c>
      <c r="D5107" s="9" t="str">
        <f>IFERROR(__xludf.DUMMYFUNCTION("""COMPUTED_VALUE"""),"HTML/CSS")</f>
        <v>HTML/CSS</v>
      </c>
      <c r="F5107" s="9" t="str">
        <f>IFERROR(__xludf.DUMMYFUNCTION("""COMPUTED_VALUE"""),"Assembly")</f>
        <v>Assembly</v>
      </c>
      <c r="G5107" s="9" t="str">
        <f>IFERROR(__xludf.DUMMYFUNCTION("""COMPUTED_VALUE"""),"Java")</f>
        <v>Java</v>
      </c>
      <c r="I5107" s="9" t="str">
        <f>IFERROR(__xludf.DUMMYFUNCTION("""COMPUTED_VALUE"""),"JavaScript")</f>
        <v>JavaScript</v>
      </c>
      <c r="M5107" s="9" t="s">
        <v>32</v>
      </c>
    </row>
    <row r="5108" ht="15.75" customHeight="1">
      <c r="A5108" s="7"/>
      <c r="B5108" s="7" t="str">
        <f>IFERROR(__xludf.DUMMYFUNCTION("""COMPUTED_VALUE"""),"Go;HTML/CSS;JavaScript;PHP;Python;R;SQL")</f>
        <v>Go;HTML/CSS;JavaScript;PHP;Python;R;SQL</v>
      </c>
      <c r="D5108" s="9" t="str">
        <f>IFERROR(__xludf.DUMMYFUNCTION("""COMPUTED_VALUE"""),"JavaScript")</f>
        <v>JavaScript</v>
      </c>
      <c r="F5108" s="9" t="str">
        <f>IFERROR(__xludf.DUMMYFUNCTION("""COMPUTED_VALUE"""),"Bash/Shell/PowerShell")</f>
        <v>Bash/Shell/PowerShell</v>
      </c>
      <c r="G5108" s="9" t="str">
        <f>IFERROR(__xludf.DUMMYFUNCTION("""COMPUTED_VALUE"""),"JavaScript")</f>
        <v>JavaScript</v>
      </c>
      <c r="I5108" s="9" t="str">
        <f>IFERROR(__xludf.DUMMYFUNCTION("""COMPUTED_VALUE"""),"SQL")</f>
        <v>SQL</v>
      </c>
      <c r="M5108" s="9" t="s">
        <v>23</v>
      </c>
    </row>
    <row r="5109" ht="15.75" customHeight="1">
      <c r="A5109" s="7"/>
      <c r="B5109" s="7" t="str">
        <f>IFERROR(__xludf.DUMMYFUNCTION("""COMPUTED_VALUE"""),"C#;PHP")</f>
        <v>C#;PHP</v>
      </c>
      <c r="D5109" s="9" t="str">
        <f>IFERROR(__xludf.DUMMYFUNCTION("""COMPUTED_VALUE"""),"Python")</f>
        <v>Python</v>
      </c>
      <c r="F5109" s="9" t="str">
        <f>IFERROR(__xludf.DUMMYFUNCTION("""COMPUTED_VALUE"""),"C")</f>
        <v>C</v>
      </c>
      <c r="G5109" s="9" t="str">
        <f>IFERROR(__xludf.DUMMYFUNCTION("""COMPUTED_VALUE"""),"Python")</f>
        <v>Python</v>
      </c>
      <c r="I5109" s="9" t="str">
        <f>IFERROR(__xludf.DUMMYFUNCTION("""COMPUTED_VALUE"""),"TypeScript")</f>
        <v>TypeScript</v>
      </c>
      <c r="M5109" s="9" t="s">
        <v>26</v>
      </c>
    </row>
    <row r="5110" ht="15.75" customHeight="1">
      <c r="A5110" s="7"/>
      <c r="B5110" s="7" t="str">
        <f>IFERROR(__xludf.DUMMYFUNCTION("""COMPUTED_VALUE"""),"C#;HTML/CSS;JavaScript;PHP;SQL;VBA")</f>
        <v>C#;HTML/CSS;JavaScript;PHP;SQL;VBA</v>
      </c>
      <c r="D5110" s="9" t="str">
        <f>IFERROR(__xludf.DUMMYFUNCTION("""COMPUTED_VALUE"""),"C")</f>
        <v>C</v>
      </c>
      <c r="F5110" s="9" t="str">
        <f>IFERROR(__xludf.DUMMYFUNCTION("""COMPUTED_VALUE"""),"Go")</f>
        <v>Go</v>
      </c>
      <c r="G5110" s="9" t="str">
        <f>IFERROR(__xludf.DUMMYFUNCTION("""COMPUTED_VALUE"""),"SQL")</f>
        <v>SQL</v>
      </c>
      <c r="I5110" s="9" t="str">
        <f>IFERROR(__xludf.DUMMYFUNCTION("""COMPUTED_VALUE"""),"C#")</f>
        <v>C#</v>
      </c>
      <c r="M5110" s="9" t="s">
        <v>20</v>
      </c>
    </row>
    <row r="5111" ht="15.75" customHeight="1">
      <c r="A5111" s="7"/>
      <c r="B5111" s="7" t="str">
        <f>IFERROR(__xludf.DUMMYFUNCTION("""COMPUTED_VALUE"""),"Bash/Shell/PowerShell;HTML/CSS;JavaScript;TypeScript")</f>
        <v>Bash/Shell/PowerShell;HTML/CSS;JavaScript;TypeScript</v>
      </c>
      <c r="D5111" s="9" t="str">
        <f>IFERROR(__xludf.DUMMYFUNCTION("""COMPUTED_VALUE"""),"C++")</f>
        <v>C++</v>
      </c>
      <c r="F5111" s="9" t="str">
        <f>IFERROR(__xludf.DUMMYFUNCTION("""COMPUTED_VALUE"""),"Python")</f>
        <v>Python</v>
      </c>
      <c r="G5111" s="9" t="str">
        <f>IFERROR(__xludf.DUMMYFUNCTION("""COMPUTED_VALUE"""),"HTML/CSS")</f>
        <v>HTML/CSS</v>
      </c>
      <c r="I5111" s="9" t="str">
        <f>IFERROR(__xludf.DUMMYFUNCTION("""COMPUTED_VALUE"""),"JavaScript")</f>
        <v>JavaScript</v>
      </c>
      <c r="M5111" s="9" t="s">
        <v>22</v>
      </c>
    </row>
    <row r="5112" ht="15.75" customHeight="1">
      <c r="A5112" s="7"/>
      <c r="B5112" s="7" t="str">
        <f>IFERROR(__xludf.DUMMYFUNCTION("""COMPUTED_VALUE"""),"Bash/Shell/PowerShell;C++;C#;Go;HTML/CSS;JavaScript;Python;SQL;TypeScript")</f>
        <v>Bash/Shell/PowerShell;C++;C#;Go;HTML/CSS;JavaScript;Python;SQL;TypeScript</v>
      </c>
      <c r="D5112" s="9" t="str">
        <f>IFERROR(__xludf.DUMMYFUNCTION("""COMPUTED_VALUE"""),"HTML/CSS")</f>
        <v>HTML/CSS</v>
      </c>
      <c r="F5112" s="9" t="str">
        <f>IFERROR(__xludf.DUMMYFUNCTION("""COMPUTED_VALUE"""),"Ruby")</f>
        <v>Ruby</v>
      </c>
      <c r="G5112" s="9" t="str">
        <f>IFERROR(__xludf.DUMMYFUNCTION("""COMPUTED_VALUE"""),"JavaScript")</f>
        <v>JavaScript</v>
      </c>
      <c r="I5112" s="9" t="str">
        <f>IFERROR(__xludf.DUMMYFUNCTION("""COMPUTED_VALUE"""),"Ruby")</f>
        <v>Ruby</v>
      </c>
      <c r="M5112" s="9" t="s">
        <v>26</v>
      </c>
    </row>
    <row r="5113" ht="15.75" customHeight="1">
      <c r="A5113" s="7"/>
      <c r="B5113" s="7" t="str">
        <f>IFERROR(__xludf.DUMMYFUNCTION("""COMPUTED_VALUE"""),"HTML/CSS;JavaScript;TypeScript")</f>
        <v>HTML/CSS;JavaScript;TypeScript</v>
      </c>
      <c r="D5113" s="9" t="str">
        <f>IFERROR(__xludf.DUMMYFUNCTION("""COMPUTED_VALUE"""),"Java")</f>
        <v>Java</v>
      </c>
      <c r="F5113" s="9" t="str">
        <f>IFERROR(__xludf.DUMMYFUNCTION("""COMPUTED_VALUE"""),"WebAssembly")</f>
        <v>WebAssembly</v>
      </c>
      <c r="G5113" s="9" t="str">
        <f>IFERROR(__xludf.DUMMYFUNCTION("""COMPUTED_VALUE"""),"PHP")</f>
        <v>PHP</v>
      </c>
      <c r="I5113" s="9" t="str">
        <f>IFERROR(__xludf.DUMMYFUNCTION("""COMPUTED_VALUE"""),"Rust")</f>
        <v>Rust</v>
      </c>
      <c r="M5113" s="9" t="s">
        <v>21</v>
      </c>
    </row>
    <row r="5114" ht="15.75" customHeight="1">
      <c r="A5114" s="7"/>
      <c r="B5114" s="7" t="str">
        <f>IFERROR(__xludf.DUMMYFUNCTION("""COMPUTED_VALUE"""),"Java;Kotlin")</f>
        <v>Java;Kotlin</v>
      </c>
      <c r="D5114" s="9" t="str">
        <f>IFERROR(__xludf.DUMMYFUNCTION("""COMPUTED_VALUE"""),"JavaScript")</f>
        <v>JavaScript</v>
      </c>
      <c r="G5114" s="9" t="str">
        <f>IFERROR(__xludf.DUMMYFUNCTION("""COMPUTED_VALUE"""),"SQL")</f>
        <v>SQL</v>
      </c>
      <c r="I5114" s="9" t="str">
        <f>IFERROR(__xludf.DUMMYFUNCTION("""COMPUTED_VALUE"""),"Bash/Shell/PowerShell")</f>
        <v>Bash/Shell/PowerShell</v>
      </c>
      <c r="M5114" s="9" t="s">
        <v>33</v>
      </c>
    </row>
    <row r="5115" ht="15.75" customHeight="1">
      <c r="A5115" s="7"/>
      <c r="B5115" s="7" t="str">
        <f>IFERROR(__xludf.DUMMYFUNCTION("""COMPUTED_VALUE"""),"Bash/Shell/PowerShell;Java;Kotlin;Python")</f>
        <v>Bash/Shell/PowerShell;Java;Kotlin;Python</v>
      </c>
      <c r="D5115" s="9" t="str">
        <f>IFERROR(__xludf.DUMMYFUNCTION("""COMPUTED_VALUE"""),"Python")</f>
        <v>Python</v>
      </c>
      <c r="G5115" s="9" t="str">
        <f>IFERROR(__xludf.DUMMYFUNCTION("""COMPUTED_VALUE"""),"C#")</f>
        <v>C#</v>
      </c>
      <c r="I5115" s="9" t="str">
        <f>IFERROR(__xludf.DUMMYFUNCTION("""COMPUTED_VALUE"""),"C#")</f>
        <v>C#</v>
      </c>
      <c r="M5115" s="9" t="s">
        <v>23</v>
      </c>
    </row>
    <row r="5116" ht="15.75" customHeight="1">
      <c r="A5116" s="7"/>
      <c r="B5116" s="7" t="str">
        <f>IFERROR(__xludf.DUMMYFUNCTION("""COMPUTED_VALUE"""),"C#;HTML/CSS;JavaScript;SQL")</f>
        <v>C#;HTML/CSS;JavaScript;SQL</v>
      </c>
      <c r="D5116" s="9" t="str">
        <f>IFERROR(__xludf.DUMMYFUNCTION("""COMPUTED_VALUE"""),"R")</f>
        <v>R</v>
      </c>
      <c r="G5116" s="9" t="str">
        <f>IFERROR(__xludf.DUMMYFUNCTION("""COMPUTED_VALUE"""),"HTML/CSS")</f>
        <v>HTML/CSS</v>
      </c>
      <c r="I5116" s="9" t="str">
        <f>IFERROR(__xludf.DUMMYFUNCTION("""COMPUTED_VALUE"""),"F#")</f>
        <v>F#</v>
      </c>
      <c r="M5116" s="9" t="s">
        <v>24</v>
      </c>
    </row>
    <row r="5117" ht="15.75" customHeight="1">
      <c r="A5117" s="7"/>
      <c r="B5117" s="7" t="str">
        <f>IFERROR(__xludf.DUMMYFUNCTION("""COMPUTED_VALUE"""),"HTML/CSS;JavaScript;PHP;SQL")</f>
        <v>HTML/CSS;JavaScript;PHP;SQL</v>
      </c>
      <c r="D5117" s="9" t="str">
        <f>IFERROR(__xludf.DUMMYFUNCTION("""COMPUTED_VALUE"""),"Bash/Shell/PowerShell")</f>
        <v>Bash/Shell/PowerShell</v>
      </c>
      <c r="G5117" s="9" t="str">
        <f>IFERROR(__xludf.DUMMYFUNCTION("""COMPUTED_VALUE"""),"JavaScript")</f>
        <v>JavaScript</v>
      </c>
      <c r="I5117" s="9" t="str">
        <f>IFERROR(__xludf.DUMMYFUNCTION("""COMPUTED_VALUE"""),"SQL")</f>
        <v>SQL</v>
      </c>
      <c r="M5117" s="9" t="s">
        <v>20</v>
      </c>
    </row>
    <row r="5118" ht="15.75" customHeight="1">
      <c r="A5118" s="7"/>
      <c r="B5118" s="7" t="str">
        <f>IFERROR(__xludf.DUMMYFUNCTION("""COMPUTED_VALUE"""),"Bash/Shell/PowerShell;Python;Other(s):")</f>
        <v>Bash/Shell/PowerShell;Python;Other(s):</v>
      </c>
      <c r="D5118" s="9" t="str">
        <f>IFERROR(__xludf.DUMMYFUNCTION("""COMPUTED_VALUE"""),"Java")</f>
        <v>Java</v>
      </c>
      <c r="G5118" s="9" t="str">
        <f>IFERROR(__xludf.DUMMYFUNCTION("""COMPUTED_VALUE"""),"C++")</f>
        <v>C++</v>
      </c>
      <c r="I5118" s="9" t="str">
        <f>IFERROR(__xludf.DUMMYFUNCTION("""COMPUTED_VALUE"""),"Bash/Shell/PowerShell")</f>
        <v>Bash/Shell/PowerShell</v>
      </c>
      <c r="M5118" s="9" t="s">
        <v>22</v>
      </c>
    </row>
    <row r="5119" ht="15.75" customHeight="1">
      <c r="A5119" s="7"/>
      <c r="B5119" s="7" t="str">
        <f>IFERROR(__xludf.DUMMYFUNCTION("""COMPUTED_VALUE"""),"C#;HTML/CSS;JavaScript;Python;VBA")</f>
        <v>C#;HTML/CSS;JavaScript;Python;VBA</v>
      </c>
      <c r="D5119" s="9" t="str">
        <f>IFERROR(__xludf.DUMMYFUNCTION("""COMPUTED_VALUE"""),"HTML/CSS")</f>
        <v>HTML/CSS</v>
      </c>
      <c r="G5119" s="9" t="str">
        <f>IFERROR(__xludf.DUMMYFUNCTION("""COMPUTED_VALUE"""),"HTML/CSS")</f>
        <v>HTML/CSS</v>
      </c>
      <c r="I5119" s="9" t="str">
        <f>IFERROR(__xludf.DUMMYFUNCTION("""COMPUTED_VALUE"""),"C")</f>
        <v>C</v>
      </c>
      <c r="M5119" s="9" t="s">
        <v>46</v>
      </c>
    </row>
    <row r="5120" ht="15.75" customHeight="1">
      <c r="A5120" s="7"/>
      <c r="B5120" s="7" t="str">
        <f>IFERROR(__xludf.DUMMYFUNCTION("""COMPUTED_VALUE"""),"Bash/Shell/PowerShell;C;C++;HTML/CSS;Other(s):")</f>
        <v>Bash/Shell/PowerShell;C;C++;HTML/CSS;Other(s):</v>
      </c>
      <c r="D5120" s="9" t="str">
        <f>IFERROR(__xludf.DUMMYFUNCTION("""COMPUTED_VALUE"""),"Java")</f>
        <v>Java</v>
      </c>
      <c r="G5120" s="9" t="str">
        <f>IFERROR(__xludf.DUMMYFUNCTION("""COMPUTED_VALUE"""),"JavaScript")</f>
        <v>JavaScript</v>
      </c>
      <c r="I5120" s="9" t="str">
        <f>IFERROR(__xludf.DUMMYFUNCTION("""COMPUTED_VALUE"""),"HTML/CSS")</f>
        <v>HTML/CSS</v>
      </c>
      <c r="M5120" s="9" t="s">
        <v>27</v>
      </c>
    </row>
    <row r="5121" ht="15.75" customHeight="1">
      <c r="A5121" s="7"/>
      <c r="B5121" s="7" t="str">
        <f>IFERROR(__xludf.DUMMYFUNCTION("""COMPUTED_VALUE"""),"Bash/Shell/PowerShell;C#;HTML/CSS;JavaScript;PHP;SQL;TypeScript")</f>
        <v>Bash/Shell/PowerShell;C#;HTML/CSS;JavaScript;PHP;SQL;TypeScript</v>
      </c>
      <c r="D5121" s="9" t="str">
        <f>IFERROR(__xludf.DUMMYFUNCTION("""COMPUTED_VALUE"""),"JavaScript")</f>
        <v>JavaScript</v>
      </c>
      <c r="G5121" s="9" t="str">
        <f>IFERROR(__xludf.DUMMYFUNCTION("""COMPUTED_VALUE"""),"PHP")</f>
        <v>PHP</v>
      </c>
      <c r="I5121" s="9" t="str">
        <f>IFERROR(__xludf.DUMMYFUNCTION("""COMPUTED_VALUE"""),"Java")</f>
        <v>Java</v>
      </c>
      <c r="M5121" s="9" t="s">
        <v>33</v>
      </c>
    </row>
    <row r="5122" ht="15.75" customHeight="1">
      <c r="A5122" s="7"/>
      <c r="B5122" s="7" t="str">
        <f>IFERROR(__xludf.DUMMYFUNCTION("""COMPUTED_VALUE"""),"C++;Python")</f>
        <v>C++;Python</v>
      </c>
      <c r="D5122" s="9" t="str">
        <f>IFERROR(__xludf.DUMMYFUNCTION("""COMPUTED_VALUE"""),"Kotlin")</f>
        <v>Kotlin</v>
      </c>
      <c r="G5122" s="9" t="str">
        <f>IFERROR(__xludf.DUMMYFUNCTION("""COMPUTED_VALUE"""),"Assembly")</f>
        <v>Assembly</v>
      </c>
      <c r="I5122" s="9" t="str">
        <f>IFERROR(__xludf.DUMMYFUNCTION("""COMPUTED_VALUE"""),"JavaScript")</f>
        <v>JavaScript</v>
      </c>
      <c r="M5122" s="9" t="s">
        <v>25</v>
      </c>
    </row>
    <row r="5123" ht="15.75" customHeight="1">
      <c r="A5123" s="7"/>
      <c r="B5123" s="7" t="str">
        <f>IFERROR(__xludf.DUMMYFUNCTION("""COMPUTED_VALUE"""),"HTML/CSS;JavaScript;Python;R")</f>
        <v>HTML/CSS;JavaScript;Python;R</v>
      </c>
      <c r="D5123" s="9" t="str">
        <f>IFERROR(__xludf.DUMMYFUNCTION("""COMPUTED_VALUE"""),"Python")</f>
        <v>Python</v>
      </c>
      <c r="G5123" s="9" t="str">
        <f>IFERROR(__xludf.DUMMYFUNCTION("""COMPUTED_VALUE"""),"Dart")</f>
        <v>Dart</v>
      </c>
      <c r="I5123" s="9" t="str">
        <f>IFERROR(__xludf.DUMMYFUNCTION("""COMPUTED_VALUE"""),"Python")</f>
        <v>Python</v>
      </c>
      <c r="M5123" s="9" t="s">
        <v>22</v>
      </c>
    </row>
    <row r="5124" ht="15.75" customHeight="1">
      <c r="A5124" s="7"/>
      <c r="B5124" s="7" t="str">
        <f>IFERROR(__xludf.DUMMYFUNCTION("""COMPUTED_VALUE"""),"C++;HTML/CSS;JavaScript;TypeScript")</f>
        <v>C++;HTML/CSS;JavaScript;TypeScript</v>
      </c>
      <c r="D5124" s="9" t="str">
        <f>IFERROR(__xludf.DUMMYFUNCTION("""COMPUTED_VALUE"""),"Rust")</f>
        <v>Rust</v>
      </c>
      <c r="G5124" s="9" t="str">
        <f>IFERROR(__xludf.DUMMYFUNCTION("""COMPUTED_VALUE"""),"Go")</f>
        <v>Go</v>
      </c>
      <c r="I5124" s="9" t="str">
        <f>IFERROR(__xludf.DUMMYFUNCTION("""COMPUTED_VALUE"""),"SQL")</f>
        <v>SQL</v>
      </c>
      <c r="M5124" s="9" t="s">
        <v>24</v>
      </c>
    </row>
    <row r="5125" ht="15.75" customHeight="1">
      <c r="A5125" s="7"/>
      <c r="B5125" s="7" t="str">
        <f>IFERROR(__xludf.DUMMYFUNCTION("""COMPUTED_VALUE"""),"JavaScript;Python")</f>
        <v>JavaScript;Python</v>
      </c>
      <c r="D5125" s="9" t="str">
        <f>IFERROR(__xludf.DUMMYFUNCTION("""COMPUTED_VALUE"""),"Swift")</f>
        <v>Swift</v>
      </c>
      <c r="G5125" s="9" t="str">
        <f>IFERROR(__xludf.DUMMYFUNCTION("""COMPUTED_VALUE"""),"Python")</f>
        <v>Python</v>
      </c>
      <c r="I5125" s="9" t="str">
        <f>IFERROR(__xludf.DUMMYFUNCTION("""COMPUTED_VALUE"""),"TypeScript")</f>
        <v>TypeScript</v>
      </c>
      <c r="M5125" s="9" t="s">
        <v>21</v>
      </c>
    </row>
    <row r="5126" ht="15.75" customHeight="1">
      <c r="A5126" s="7"/>
      <c r="B5126" s="7" t="str">
        <f>IFERROR(__xludf.DUMMYFUNCTION("""COMPUTED_VALUE"""),"Bash/Shell/PowerShell;HTML/CSS;JavaScript")</f>
        <v>Bash/Shell/PowerShell;HTML/CSS;JavaScript</v>
      </c>
      <c r="D5126" s="9" t="str">
        <f>IFERROR(__xludf.DUMMYFUNCTION("""COMPUTED_VALUE"""),"TypeScript")</f>
        <v>TypeScript</v>
      </c>
      <c r="G5126" s="9" t="str">
        <f>IFERROR(__xludf.DUMMYFUNCTION("""COMPUTED_VALUE"""),"Scala")</f>
        <v>Scala</v>
      </c>
      <c r="I5126" s="9" t="str">
        <f>IFERROR(__xludf.DUMMYFUNCTION("""COMPUTED_VALUE"""),"C++")</f>
        <v>C++</v>
      </c>
      <c r="M5126" s="9" t="s">
        <v>22</v>
      </c>
    </row>
    <row r="5127" ht="15.75" customHeight="1">
      <c r="A5127" s="7"/>
      <c r="B5127" s="7" t="str">
        <f>IFERROR(__xludf.DUMMYFUNCTION("""COMPUTED_VALUE"""),"Objective-C;Swift")</f>
        <v>Objective-C;Swift</v>
      </c>
      <c r="G5127" s="9" t="str">
        <f>IFERROR(__xludf.DUMMYFUNCTION("""COMPUTED_VALUE"""),"WebAssembly")</f>
        <v>WebAssembly</v>
      </c>
      <c r="I5127" s="9" t="str">
        <f>IFERROR(__xludf.DUMMYFUNCTION("""COMPUTED_VALUE"""),"Java")</f>
        <v>Java</v>
      </c>
      <c r="M5127" s="9" t="s">
        <v>27</v>
      </c>
    </row>
    <row r="5128" ht="15.75" customHeight="1">
      <c r="A5128" s="7"/>
      <c r="B5128" s="7" t="str">
        <f>IFERROR(__xludf.DUMMYFUNCTION("""COMPUTED_VALUE"""),"HTML/CSS;JavaScript;Python;Ruby;Swift")</f>
        <v>HTML/CSS;JavaScript;Python;Ruby;Swift</v>
      </c>
      <c r="G5128" s="9" t="str">
        <f>IFERROR(__xludf.DUMMYFUNCTION("""COMPUTED_VALUE"""),"Bash/Shell/PowerShell")</f>
        <v>Bash/Shell/PowerShell</v>
      </c>
      <c r="I5128" s="9" t="str">
        <f>IFERROR(__xludf.DUMMYFUNCTION("""COMPUTED_VALUE"""),"Objective-C")</f>
        <v>Objective-C</v>
      </c>
      <c r="M5128" s="9" t="s">
        <v>30</v>
      </c>
    </row>
    <row r="5129" ht="15.75" customHeight="1">
      <c r="A5129" s="7"/>
      <c r="B5129" s="7" t="str">
        <f>IFERROR(__xludf.DUMMYFUNCTION("""COMPUTED_VALUE"""),"Bash/Shell/PowerShell;HTML/CSS;JavaScript;PHP")</f>
        <v>Bash/Shell/PowerShell;HTML/CSS;JavaScript;PHP</v>
      </c>
      <c r="G5129" s="9" t="str">
        <f>IFERROR(__xludf.DUMMYFUNCTION("""COMPUTED_VALUE"""),"HTML/CSS")</f>
        <v>HTML/CSS</v>
      </c>
      <c r="I5129" s="9" t="str">
        <f>IFERROR(__xludf.DUMMYFUNCTION("""COMPUTED_VALUE"""),"Python")</f>
        <v>Python</v>
      </c>
      <c r="M5129" s="9" t="s">
        <v>23</v>
      </c>
    </row>
    <row r="5130" ht="15.75" customHeight="1">
      <c r="A5130" s="7"/>
      <c r="B5130" s="7" t="str">
        <f>IFERROR(__xludf.DUMMYFUNCTION("""COMPUTED_VALUE"""),"Bash/Shell/PowerShell;C;Java;SQL")</f>
        <v>Bash/Shell/PowerShell;C;Java;SQL</v>
      </c>
      <c r="G5130" s="9" t="str">
        <f>IFERROR(__xludf.DUMMYFUNCTION("""COMPUTED_VALUE"""),"JavaScript")</f>
        <v>JavaScript</v>
      </c>
      <c r="I5130" s="9" t="str">
        <f>IFERROR(__xludf.DUMMYFUNCTION("""COMPUTED_VALUE"""),"Rust")</f>
        <v>Rust</v>
      </c>
      <c r="M5130" s="9" t="s">
        <v>24</v>
      </c>
    </row>
    <row r="5131" ht="15.75" customHeight="1">
      <c r="A5131" s="7"/>
      <c r="B5131" s="7" t="str">
        <f>IFERROR(__xludf.DUMMYFUNCTION("""COMPUTED_VALUE"""),"Bash/Shell/PowerShell;C;C++;Elixir;Go;HTML/CSS;Java;JavaScript;Python;Ruby;SQL;TypeScript")</f>
        <v>Bash/Shell/PowerShell;C;C++;Elixir;Go;HTML/CSS;Java;JavaScript;Python;Ruby;SQL;TypeScript</v>
      </c>
      <c r="G5131" s="9" t="str">
        <f>IFERROR(__xludf.DUMMYFUNCTION("""COMPUTED_VALUE"""),"PHP")</f>
        <v>PHP</v>
      </c>
      <c r="I5131" s="9" t="str">
        <f>IFERROR(__xludf.DUMMYFUNCTION("""COMPUTED_VALUE"""),"HTML/CSS")</f>
        <v>HTML/CSS</v>
      </c>
      <c r="M5131" s="9" t="s">
        <v>22</v>
      </c>
    </row>
    <row r="5132" ht="15.75" customHeight="1">
      <c r="A5132" s="7"/>
      <c r="B5132" s="7" t="str">
        <f>IFERROR(__xludf.DUMMYFUNCTION("""COMPUTED_VALUE"""),"C;C++;HTML/CSS;JavaScript;Objective-C;Swift")</f>
        <v>C;C++;HTML/CSS;JavaScript;Objective-C;Swift</v>
      </c>
      <c r="G5132" s="9" t="str">
        <f>IFERROR(__xludf.DUMMYFUNCTION("""COMPUTED_VALUE"""),"Python")</f>
        <v>Python</v>
      </c>
      <c r="I5132" s="9" t="str">
        <f>IFERROR(__xludf.DUMMYFUNCTION("""COMPUTED_VALUE"""),"JavaScript")</f>
        <v>JavaScript</v>
      </c>
      <c r="M5132" s="9" t="s">
        <v>24</v>
      </c>
    </row>
    <row r="5133" ht="15.75" customHeight="1">
      <c r="A5133" s="7"/>
      <c r="B5133" s="7" t="str">
        <f>IFERROR(__xludf.DUMMYFUNCTION("""COMPUTED_VALUE"""),"Bash/Shell/PowerShell;C;Go;HTML/CSS;Java;JavaScript;Python;SQL;VBA")</f>
        <v>Bash/Shell/PowerShell;C;Go;HTML/CSS;Java;JavaScript;Python;SQL;VBA</v>
      </c>
      <c r="G5133" s="9" t="str">
        <f>IFERROR(__xludf.DUMMYFUNCTION("""COMPUTED_VALUE"""),"SQL")</f>
        <v>SQL</v>
      </c>
      <c r="I5133" s="9" t="str">
        <f>IFERROR(__xludf.DUMMYFUNCTION("""COMPUTED_VALUE"""),"Objective-C")</f>
        <v>Objective-C</v>
      </c>
      <c r="M5133" s="9" t="s">
        <v>21</v>
      </c>
    </row>
    <row r="5134" ht="15.75" customHeight="1">
      <c r="A5134" s="7"/>
      <c r="B5134" s="7" t="str">
        <f>IFERROR(__xludf.DUMMYFUNCTION("""COMPUTED_VALUE"""),"Bash/Shell/PowerShell;Elixir;Go;HTML/CSS;JavaScript;PHP;Python;Ruby;SQL")</f>
        <v>Bash/Shell/PowerShell;Elixir;Go;HTML/CSS;JavaScript;PHP;Python;Ruby;SQL</v>
      </c>
      <c r="G5134" s="9" t="str">
        <f>IFERROR(__xludf.DUMMYFUNCTION("""COMPUTED_VALUE"""),"TypeScript")</f>
        <v>TypeScript</v>
      </c>
      <c r="I5134" s="9" t="str">
        <f>IFERROR(__xludf.DUMMYFUNCTION("""COMPUTED_VALUE"""),"PHP")</f>
        <v>PHP</v>
      </c>
      <c r="M5134" s="9" t="s">
        <v>27</v>
      </c>
    </row>
    <row r="5135" ht="15.75" customHeight="1">
      <c r="A5135" s="7"/>
      <c r="B5135" s="7" t="str">
        <f>IFERROR(__xludf.DUMMYFUNCTION("""COMPUTED_VALUE"""),"Assembly;C;Python;R")</f>
        <v>Assembly;C;Python;R</v>
      </c>
      <c r="G5135" s="9" t="str">
        <f>IFERROR(__xludf.DUMMYFUNCTION("""COMPUTED_VALUE"""),"Bash/Shell/PowerShell")</f>
        <v>Bash/Shell/PowerShell</v>
      </c>
      <c r="I5135" s="9" t="str">
        <f>IFERROR(__xludf.DUMMYFUNCTION("""COMPUTED_VALUE"""),"SQL")</f>
        <v>SQL</v>
      </c>
      <c r="M5135" s="9" t="s">
        <v>33</v>
      </c>
    </row>
    <row r="5136" ht="15.75" customHeight="1">
      <c r="A5136" s="7"/>
      <c r="B5136" s="7" t="str">
        <f>IFERROR(__xludf.DUMMYFUNCTION("""COMPUTED_VALUE"""),"C#;JavaScript;Scala")</f>
        <v>C#;JavaScript;Scala</v>
      </c>
      <c r="G5136" s="9" t="str">
        <f>IFERROR(__xludf.DUMMYFUNCTION("""COMPUTED_VALUE"""),"HTML/CSS")</f>
        <v>HTML/CSS</v>
      </c>
      <c r="I5136" s="9" t="str">
        <f>IFERROR(__xludf.DUMMYFUNCTION("""COMPUTED_VALUE"""),"Assembly")</f>
        <v>Assembly</v>
      </c>
      <c r="M5136" s="9" t="s">
        <v>26</v>
      </c>
    </row>
    <row r="5137" ht="15.75" customHeight="1">
      <c r="A5137" s="7"/>
      <c r="B5137" s="7" t="str">
        <f>IFERROR(__xludf.DUMMYFUNCTION("""COMPUTED_VALUE"""),"Bash/Shell/PowerShell;HTML/CSS;Java;JavaScript;Kotlin;SQL;TypeScript")</f>
        <v>Bash/Shell/PowerShell;HTML/CSS;Java;JavaScript;Kotlin;SQL;TypeScript</v>
      </c>
      <c r="G5137" s="9" t="str">
        <f>IFERROR(__xludf.DUMMYFUNCTION("""COMPUTED_VALUE"""),"JavaScript")</f>
        <v>JavaScript</v>
      </c>
      <c r="I5137" s="9" t="str">
        <f>IFERROR(__xludf.DUMMYFUNCTION("""COMPUTED_VALUE"""),"Bash/Shell/PowerShell")</f>
        <v>Bash/Shell/PowerShell</v>
      </c>
      <c r="M5137" s="9" t="s">
        <v>24</v>
      </c>
    </row>
    <row r="5138" ht="15.75" customHeight="1">
      <c r="A5138" s="7"/>
      <c r="B5138" s="7" t="str">
        <f>IFERROR(__xludf.DUMMYFUNCTION("""COMPUTED_VALUE"""),"Bash/Shell/PowerShell;C;Java;JavaScript;Python;SQL")</f>
        <v>Bash/Shell/PowerShell;C;Java;JavaScript;Python;SQL</v>
      </c>
      <c r="G5138" s="9" t="str">
        <f>IFERROR(__xludf.DUMMYFUNCTION("""COMPUTED_VALUE"""),"Python")</f>
        <v>Python</v>
      </c>
      <c r="I5138" s="9" t="str">
        <f>IFERROR(__xludf.DUMMYFUNCTION("""COMPUTED_VALUE"""),"C")</f>
        <v>C</v>
      </c>
      <c r="M5138" s="9" t="s">
        <v>21</v>
      </c>
    </row>
    <row r="5139" ht="15.75" customHeight="1">
      <c r="A5139" s="7"/>
      <c r="B5139" s="7" t="str">
        <f>IFERROR(__xludf.DUMMYFUNCTION("""COMPUTED_VALUE"""),"Objective-C")</f>
        <v>Objective-C</v>
      </c>
      <c r="G5139" s="9" t="str">
        <f>IFERROR(__xludf.DUMMYFUNCTION("""COMPUTED_VALUE"""),"SQL")</f>
        <v>SQL</v>
      </c>
      <c r="I5139" s="9" t="str">
        <f>IFERROR(__xludf.DUMMYFUNCTION("""COMPUTED_VALUE"""),"C#")</f>
        <v>C#</v>
      </c>
      <c r="M5139" s="9" t="s">
        <v>33</v>
      </c>
    </row>
    <row r="5140" ht="15.75" customHeight="1">
      <c r="A5140" s="7"/>
      <c r="B5140" s="7" t="str">
        <f>IFERROR(__xludf.DUMMYFUNCTION("""COMPUTED_VALUE"""),"C;C++;F#;HTML/CSS;Java;JavaScript;Objective-C;PHP;Python;SQL;Swift")</f>
        <v>C;C++;F#;HTML/CSS;Java;JavaScript;Objective-C;PHP;Python;SQL;Swift</v>
      </c>
      <c r="G5140" s="9" t="str">
        <f>IFERROR(__xludf.DUMMYFUNCTION("""COMPUTED_VALUE"""),"Bash/Shell/PowerShell")</f>
        <v>Bash/Shell/PowerShell</v>
      </c>
      <c r="I5140" s="9" t="str">
        <f>IFERROR(__xludf.DUMMYFUNCTION("""COMPUTED_VALUE"""),"Java")</f>
        <v>Java</v>
      </c>
      <c r="M5140" s="9" t="s">
        <v>24</v>
      </c>
    </row>
    <row r="5141" ht="15.75" customHeight="1">
      <c r="A5141" s="7"/>
      <c r="B5141" s="7" t="str">
        <f>IFERROR(__xludf.DUMMYFUNCTION("""COMPUTED_VALUE"""),"C#;HTML/CSS;JavaScript;SQL")</f>
        <v>C#;HTML/CSS;JavaScript;SQL</v>
      </c>
      <c r="G5141" s="9" t="str">
        <f>IFERROR(__xludf.DUMMYFUNCTION("""COMPUTED_VALUE"""),"HTML/CSS")</f>
        <v>HTML/CSS</v>
      </c>
      <c r="I5141" s="9" t="str">
        <f>IFERROR(__xludf.DUMMYFUNCTION("""COMPUTED_VALUE"""),"JavaScript")</f>
        <v>JavaScript</v>
      </c>
      <c r="M5141" s="9" t="s">
        <v>21</v>
      </c>
    </row>
    <row r="5142" ht="15.75" customHeight="1">
      <c r="A5142" s="7"/>
      <c r="B5142" s="7" t="str">
        <f>IFERROR(__xludf.DUMMYFUNCTION("""COMPUTED_VALUE"""),"Bash/Shell/PowerShell;C++;Python;Ruby;Scala")</f>
        <v>Bash/Shell/PowerShell;C++;Python;Ruby;Scala</v>
      </c>
      <c r="G5142" s="9" t="str">
        <f>IFERROR(__xludf.DUMMYFUNCTION("""COMPUTED_VALUE"""),"Java")</f>
        <v>Java</v>
      </c>
      <c r="I5142" s="9" t="str">
        <f>IFERROR(__xludf.DUMMYFUNCTION("""COMPUTED_VALUE"""),"Python")</f>
        <v>Python</v>
      </c>
      <c r="M5142" s="9" t="s">
        <v>33</v>
      </c>
    </row>
    <row r="5143" ht="15.75" customHeight="1">
      <c r="A5143" s="7"/>
      <c r="B5143" s="7" t="str">
        <f>IFERROR(__xludf.DUMMYFUNCTION("""COMPUTED_VALUE"""),"C#;HTML/CSS;JavaScript;SQL;TypeScript")</f>
        <v>C#;HTML/CSS;JavaScript;SQL;TypeScript</v>
      </c>
      <c r="G5143" s="9" t="str">
        <f>IFERROR(__xludf.DUMMYFUNCTION("""COMPUTED_VALUE"""),"PHP")</f>
        <v>PHP</v>
      </c>
      <c r="I5143" s="9" t="str">
        <f>IFERROR(__xludf.DUMMYFUNCTION("""COMPUTED_VALUE"""),"SQL")</f>
        <v>SQL</v>
      </c>
      <c r="M5143" s="9" t="s">
        <v>20</v>
      </c>
    </row>
    <row r="5144" ht="15.75" customHeight="1">
      <c r="A5144" s="7"/>
      <c r="B5144" s="7" t="str">
        <f>IFERROR(__xludf.DUMMYFUNCTION("""COMPUTED_VALUE"""),"Java;Python;R;SQL")</f>
        <v>Java;Python;R;SQL</v>
      </c>
      <c r="G5144" s="9" t="str">
        <f>IFERROR(__xludf.DUMMYFUNCTION("""COMPUTED_VALUE"""),"C#")</f>
        <v>C#</v>
      </c>
      <c r="I5144" s="9" t="str">
        <f>IFERROR(__xludf.DUMMYFUNCTION("""COMPUTED_VALUE"""),"Bash/Shell/PowerShell")</f>
        <v>Bash/Shell/PowerShell</v>
      </c>
      <c r="M5144" s="9" t="s">
        <v>21</v>
      </c>
    </row>
    <row r="5145" ht="15.75" customHeight="1">
      <c r="A5145" s="7"/>
      <c r="B5145" s="7" t="str">
        <f>IFERROR(__xludf.DUMMYFUNCTION("""COMPUTED_VALUE"""),"Java;JavaScript;Kotlin;TypeScript")</f>
        <v>Java;JavaScript;Kotlin;TypeScript</v>
      </c>
      <c r="G5145" s="9" t="str">
        <f>IFERROR(__xludf.DUMMYFUNCTION("""COMPUTED_VALUE"""),"Go")</f>
        <v>Go</v>
      </c>
      <c r="I5145" s="9" t="str">
        <f>IFERROR(__xludf.DUMMYFUNCTION("""COMPUTED_VALUE"""),"Clojure")</f>
        <v>Clojure</v>
      </c>
      <c r="M5145" s="9" t="s">
        <v>26</v>
      </c>
    </row>
    <row r="5146" ht="15.75" customHeight="1">
      <c r="A5146" s="7"/>
      <c r="B5146" s="7" t="str">
        <f>IFERROR(__xludf.DUMMYFUNCTION("""COMPUTED_VALUE"""),"C++;C#;VBA")</f>
        <v>C++;C#;VBA</v>
      </c>
      <c r="G5146" s="9" t="str">
        <f>IFERROR(__xludf.DUMMYFUNCTION("""COMPUTED_VALUE"""),"HTML/CSS")</f>
        <v>HTML/CSS</v>
      </c>
      <c r="I5146" s="9" t="str">
        <f>IFERROR(__xludf.DUMMYFUNCTION("""COMPUTED_VALUE"""),"HTML/CSS")</f>
        <v>HTML/CSS</v>
      </c>
      <c r="M5146" s="9" t="s">
        <v>24</v>
      </c>
    </row>
    <row r="5147" ht="15.75" customHeight="1">
      <c r="A5147" s="7"/>
      <c r="B5147" s="7" t="str">
        <f>IFERROR(__xludf.DUMMYFUNCTION("""COMPUTED_VALUE"""),"Bash/Shell/PowerShell;Python;SQL")</f>
        <v>Bash/Shell/PowerShell;Python;SQL</v>
      </c>
      <c r="G5147" s="9" t="str">
        <f>IFERROR(__xludf.DUMMYFUNCTION("""COMPUTED_VALUE"""),"JavaScript")</f>
        <v>JavaScript</v>
      </c>
      <c r="I5147" s="9" t="str">
        <f>IFERROR(__xludf.DUMMYFUNCTION("""COMPUTED_VALUE"""),"Java")</f>
        <v>Java</v>
      </c>
      <c r="M5147" s="9" t="s">
        <v>21</v>
      </c>
    </row>
    <row r="5148" ht="15.75" customHeight="1">
      <c r="A5148" s="7"/>
      <c r="B5148" s="7" t="str">
        <f>IFERROR(__xludf.DUMMYFUNCTION("""COMPUTED_VALUE"""),"Go;HTML/CSS;JavaScript;PHP")</f>
        <v>Go;HTML/CSS;JavaScript;PHP</v>
      </c>
      <c r="G5148" s="9" t="str">
        <f>IFERROR(__xludf.DUMMYFUNCTION("""COMPUTED_VALUE"""),"PHP")</f>
        <v>PHP</v>
      </c>
      <c r="I5148" s="9" t="str">
        <f>IFERROR(__xludf.DUMMYFUNCTION("""COMPUTED_VALUE"""),"JavaScript")</f>
        <v>JavaScript</v>
      </c>
      <c r="M5148" s="9" t="s">
        <v>39</v>
      </c>
    </row>
    <row r="5149" ht="15.75" customHeight="1">
      <c r="A5149" s="7"/>
      <c r="B5149" s="7" t="str">
        <f>IFERROR(__xludf.DUMMYFUNCTION("""COMPUTED_VALUE"""),"Bash/Shell/PowerShell;C;C++;C#;Dart;HTML/CSS;Java;JavaScript;Kotlin;SQL")</f>
        <v>Bash/Shell/PowerShell;C;C++;C#;Dart;HTML/CSS;Java;JavaScript;Kotlin;SQL</v>
      </c>
      <c r="G5149" s="9" t="str">
        <f>IFERROR(__xludf.DUMMYFUNCTION("""COMPUTED_VALUE"""),"Bash/Shell/PowerShell")</f>
        <v>Bash/Shell/PowerShell</v>
      </c>
      <c r="I5149" s="9" t="str">
        <f>IFERROR(__xludf.DUMMYFUNCTION("""COMPUTED_VALUE"""),"Kotlin")</f>
        <v>Kotlin</v>
      </c>
      <c r="M5149" s="9" t="s">
        <v>27</v>
      </c>
    </row>
    <row r="5150" ht="15.75" customHeight="1">
      <c r="A5150" s="7"/>
      <c r="B5150" s="7" t="str">
        <f>IFERROR(__xludf.DUMMYFUNCTION("""COMPUTED_VALUE"""),"Assembly;HTML/CSS;JavaScript;Kotlin;Objective-C;Python;SQL;Swift;TypeScript")</f>
        <v>Assembly;HTML/CSS;JavaScript;Kotlin;Objective-C;Python;SQL;Swift;TypeScript</v>
      </c>
      <c r="G5150" s="9" t="str">
        <f>IFERROR(__xludf.DUMMYFUNCTION("""COMPUTED_VALUE"""),"C")</f>
        <v>C</v>
      </c>
      <c r="I5150" s="9" t="str">
        <f>IFERROR(__xludf.DUMMYFUNCTION("""COMPUTED_VALUE"""),"SQL")</f>
        <v>SQL</v>
      </c>
      <c r="M5150" s="9" t="s">
        <v>40</v>
      </c>
    </row>
    <row r="5151" ht="15.75" customHeight="1">
      <c r="A5151" s="7"/>
      <c r="B5151" s="7" t="str">
        <f>IFERROR(__xludf.DUMMYFUNCTION("""COMPUTED_VALUE"""),"Assembly;Bash/Shell/PowerShell;C;C++;HTML/CSS;Java;JavaScript;SQL;Swift")</f>
        <v>Assembly;Bash/Shell/PowerShell;C;C++;HTML/CSS;Java;JavaScript;SQL;Swift</v>
      </c>
      <c r="G5151" s="9" t="str">
        <f>IFERROR(__xludf.DUMMYFUNCTION("""COMPUTED_VALUE"""),"C++")</f>
        <v>C++</v>
      </c>
      <c r="I5151" s="9" t="str">
        <f>IFERROR(__xludf.DUMMYFUNCTION("""COMPUTED_VALUE"""),"C++")</f>
        <v>C++</v>
      </c>
      <c r="M5151" s="9" t="s">
        <v>33</v>
      </c>
    </row>
    <row r="5152" ht="15.75" customHeight="1">
      <c r="A5152" s="7"/>
      <c r="B5152" s="7" t="str">
        <f>IFERROR(__xludf.DUMMYFUNCTION("""COMPUTED_VALUE"""),"HTML/CSS;Java;JavaScript")</f>
        <v>HTML/CSS;Java;JavaScript</v>
      </c>
      <c r="G5152" s="9" t="str">
        <f>IFERROR(__xludf.DUMMYFUNCTION("""COMPUTED_VALUE"""),"HTML/CSS")</f>
        <v>HTML/CSS</v>
      </c>
      <c r="I5152" s="9" t="str">
        <f>IFERROR(__xludf.DUMMYFUNCTION("""COMPUTED_VALUE"""),"Go")</f>
        <v>Go</v>
      </c>
      <c r="M5152" s="9" t="s">
        <v>47</v>
      </c>
    </row>
    <row r="5153" ht="15.75" customHeight="1">
      <c r="A5153" s="7"/>
      <c r="B5153" s="7" t="str">
        <f>IFERROR(__xludf.DUMMYFUNCTION("""COMPUTED_VALUE"""),"Bash/Shell/PowerShell;C#;HTML/CSS;JavaScript;PHP;Python")</f>
        <v>Bash/Shell/PowerShell;C#;HTML/CSS;JavaScript;PHP;Python</v>
      </c>
      <c r="G5153" s="9" t="str">
        <f>IFERROR(__xludf.DUMMYFUNCTION("""COMPUTED_VALUE"""),"Java")</f>
        <v>Java</v>
      </c>
      <c r="I5153" s="9" t="str">
        <f>IFERROR(__xludf.DUMMYFUNCTION("""COMPUTED_VALUE"""),"Bash/Shell/PowerShell")</f>
        <v>Bash/Shell/PowerShell</v>
      </c>
      <c r="M5153" s="9" t="s">
        <v>21</v>
      </c>
    </row>
    <row r="5154" ht="15.75" customHeight="1">
      <c r="A5154" s="7"/>
      <c r="B5154" s="7" t="str">
        <f>IFERROR(__xludf.DUMMYFUNCTION("""COMPUTED_VALUE"""),"Bash/Shell/PowerShell;Dart;HTML/CSS;Java;JavaScript;PHP;SQL;TypeScript")</f>
        <v>Bash/Shell/PowerShell;Dart;HTML/CSS;Java;JavaScript;PHP;SQL;TypeScript</v>
      </c>
      <c r="G5154" s="9" t="str">
        <f>IFERROR(__xludf.DUMMYFUNCTION("""COMPUTED_VALUE"""),"Python")</f>
        <v>Python</v>
      </c>
      <c r="I5154" s="9" t="str">
        <f>IFERROR(__xludf.DUMMYFUNCTION("""COMPUTED_VALUE"""),"C")</f>
        <v>C</v>
      </c>
      <c r="M5154" s="9" t="s">
        <v>39</v>
      </c>
    </row>
    <row r="5155" ht="15.75" customHeight="1">
      <c r="A5155" s="7"/>
      <c r="B5155" s="7" t="str">
        <f>IFERROR(__xludf.DUMMYFUNCTION("""COMPUTED_VALUE"""),"Assembly;Bash/Shell/PowerShell;C;HTML/CSS;JavaScript;Python;SQL")</f>
        <v>Assembly;Bash/Shell/PowerShell;C;HTML/CSS;JavaScript;Python;SQL</v>
      </c>
      <c r="G5155" s="9" t="str">
        <f>IFERROR(__xludf.DUMMYFUNCTION("""COMPUTED_VALUE"""),"SQL")</f>
        <v>SQL</v>
      </c>
      <c r="I5155" s="9" t="str">
        <f>IFERROR(__xludf.DUMMYFUNCTION("""COMPUTED_VALUE"""),"C++")</f>
        <v>C++</v>
      </c>
      <c r="M5155" s="9" t="s">
        <v>40</v>
      </c>
    </row>
    <row r="5156" ht="15.75" customHeight="1">
      <c r="A5156" s="7"/>
      <c r="B5156" s="7" t="str">
        <f>IFERROR(__xludf.DUMMYFUNCTION("""COMPUTED_VALUE"""),"Java")</f>
        <v>Java</v>
      </c>
      <c r="G5156" s="9" t="str">
        <f>IFERROR(__xludf.DUMMYFUNCTION("""COMPUTED_VALUE"""),"Bash/Shell/PowerShell")</f>
        <v>Bash/Shell/PowerShell</v>
      </c>
      <c r="I5156" s="9" t="str">
        <f>IFERROR(__xludf.DUMMYFUNCTION("""COMPUTED_VALUE"""),"C#")</f>
        <v>C#</v>
      </c>
      <c r="M5156" s="9" t="s">
        <v>26</v>
      </c>
    </row>
    <row r="5157" ht="15.75" customHeight="1">
      <c r="A5157" s="7"/>
      <c r="B5157" s="7" t="str">
        <f>IFERROR(__xludf.DUMMYFUNCTION("""COMPUTED_VALUE"""),"C#;HTML/CSS;JavaScript;Python;SQL")</f>
        <v>C#;HTML/CSS;JavaScript;Python;SQL</v>
      </c>
      <c r="G5157" s="9" t="str">
        <f>IFERROR(__xludf.DUMMYFUNCTION("""COMPUTED_VALUE"""),"Java")</f>
        <v>Java</v>
      </c>
      <c r="I5157" s="9" t="str">
        <f>IFERROR(__xludf.DUMMYFUNCTION("""COMPUTED_VALUE"""),"HTML/CSS")</f>
        <v>HTML/CSS</v>
      </c>
      <c r="M5157" s="9" t="s">
        <v>24</v>
      </c>
    </row>
    <row r="5158" ht="15.75" customHeight="1">
      <c r="A5158" s="7"/>
      <c r="B5158" s="7" t="str">
        <f>IFERROR(__xludf.DUMMYFUNCTION("""COMPUTED_VALUE"""),"Bash/Shell/PowerShell;Java;JavaScript;Python;TypeScript")</f>
        <v>Bash/Shell/PowerShell;Java;JavaScript;Python;TypeScript</v>
      </c>
      <c r="G5158" s="9" t="str">
        <f>IFERROR(__xludf.DUMMYFUNCTION("""COMPUTED_VALUE"""),"JavaScript")</f>
        <v>JavaScript</v>
      </c>
      <c r="I5158" s="9" t="str">
        <f>IFERROR(__xludf.DUMMYFUNCTION("""COMPUTED_VALUE"""),"JavaScript")</f>
        <v>JavaScript</v>
      </c>
      <c r="M5158" s="9" t="s">
        <v>21</v>
      </c>
    </row>
    <row r="5159" ht="15.75" customHeight="1">
      <c r="A5159" s="7"/>
      <c r="B5159" s="7" t="str">
        <f>IFERROR(__xludf.DUMMYFUNCTION("""COMPUTED_VALUE"""),"Assembly;C;C++;Java;Python")</f>
        <v>Assembly;C;C++;Java;Python</v>
      </c>
      <c r="G5159" s="9" t="str">
        <f>IFERROR(__xludf.DUMMYFUNCTION("""COMPUTED_VALUE"""),"Python")</f>
        <v>Python</v>
      </c>
      <c r="I5159" s="9" t="str">
        <f>IFERROR(__xludf.DUMMYFUNCTION("""COMPUTED_VALUE"""),"PHP")</f>
        <v>PHP</v>
      </c>
      <c r="M5159" s="9" t="s">
        <v>27</v>
      </c>
    </row>
    <row r="5160" ht="15.75" customHeight="1">
      <c r="A5160" s="7"/>
      <c r="B5160" s="7" t="str">
        <f>IFERROR(__xludf.DUMMYFUNCTION("""COMPUTED_VALUE"""),"Java;JavaScript;Kotlin;SQL")</f>
        <v>Java;JavaScript;Kotlin;SQL</v>
      </c>
      <c r="G5160" s="9" t="str">
        <f>IFERROR(__xludf.DUMMYFUNCTION("""COMPUTED_VALUE"""),"HTML/CSS")</f>
        <v>HTML/CSS</v>
      </c>
      <c r="I5160" s="9" t="str">
        <f>IFERROR(__xludf.DUMMYFUNCTION("""COMPUTED_VALUE"""),"SQL")</f>
        <v>SQL</v>
      </c>
      <c r="M5160" s="9" t="s">
        <v>30</v>
      </c>
    </row>
    <row r="5161" ht="15.75" customHeight="1">
      <c r="A5161" s="7"/>
      <c r="B5161" s="7" t="str">
        <f>IFERROR(__xludf.DUMMYFUNCTION("""COMPUTED_VALUE"""),"Bash/Shell/PowerShell;C;C++;HTML/CSS;JavaScript;Python")</f>
        <v>Bash/Shell/PowerShell;C;C++;HTML/CSS;JavaScript;Python</v>
      </c>
      <c r="G5161" s="9" t="str">
        <f>IFERROR(__xludf.DUMMYFUNCTION("""COMPUTED_VALUE"""),"Java")</f>
        <v>Java</v>
      </c>
      <c r="I5161" s="9" t="str">
        <f>IFERROR(__xludf.DUMMYFUNCTION("""COMPUTED_VALUE"""),"Java")</f>
        <v>Java</v>
      </c>
      <c r="M5161" s="9" t="s">
        <v>24</v>
      </c>
    </row>
    <row r="5162" ht="15.75" customHeight="1">
      <c r="A5162" s="7"/>
      <c r="B5162" s="7" t="str">
        <f>IFERROR(__xludf.DUMMYFUNCTION("""COMPUTED_VALUE"""),"C;C++;Java;JavaScript;PHP;Python;SQL")</f>
        <v>C;C++;Java;JavaScript;PHP;Python;SQL</v>
      </c>
      <c r="G5162" s="9" t="str">
        <f>IFERROR(__xludf.DUMMYFUNCTION("""COMPUTED_VALUE"""),"JavaScript")</f>
        <v>JavaScript</v>
      </c>
      <c r="I5162" s="9" t="str">
        <f>IFERROR(__xludf.DUMMYFUNCTION("""COMPUTED_VALUE"""),"JavaScript")</f>
        <v>JavaScript</v>
      </c>
      <c r="M5162" s="9" t="s">
        <v>20</v>
      </c>
    </row>
    <row r="5163" ht="15.75" customHeight="1">
      <c r="A5163" s="7"/>
      <c r="B5163" s="7" t="str">
        <f>IFERROR(__xludf.DUMMYFUNCTION("""COMPUTED_VALUE"""),"Bash/Shell/PowerShell;C++;Go;HTML/CSS;Java;JavaScript;Objective-C;Python;SQL;TypeScript")</f>
        <v>Bash/Shell/PowerShell;C++;Go;HTML/CSS;Java;JavaScript;Objective-C;Python;SQL;TypeScript</v>
      </c>
      <c r="G5163" s="9" t="str">
        <f>IFERROR(__xludf.DUMMYFUNCTION("""COMPUTED_VALUE"""),"Assembly")</f>
        <v>Assembly</v>
      </c>
      <c r="I5163" s="9" t="str">
        <f>IFERROR(__xludf.DUMMYFUNCTION("""COMPUTED_VALUE"""),"Kotlin")</f>
        <v>Kotlin</v>
      </c>
      <c r="M5163" s="9" t="s">
        <v>21</v>
      </c>
    </row>
    <row r="5164" ht="15.75" customHeight="1">
      <c r="A5164" s="7"/>
      <c r="B5164" s="7" t="str">
        <f>IFERROR(__xludf.DUMMYFUNCTION("""COMPUTED_VALUE"""),"Go;JavaScript;SQL")</f>
        <v>Go;JavaScript;SQL</v>
      </c>
      <c r="G5164" s="9" t="str">
        <f>IFERROR(__xludf.DUMMYFUNCTION("""COMPUTED_VALUE"""),"C#")</f>
        <v>C#</v>
      </c>
      <c r="I5164" s="9" t="str">
        <f>IFERROR(__xludf.DUMMYFUNCTION("""COMPUTED_VALUE"""),"Ruby")</f>
        <v>Ruby</v>
      </c>
      <c r="M5164" s="9" t="s">
        <v>37</v>
      </c>
    </row>
    <row r="5165" ht="15.75" customHeight="1">
      <c r="A5165" s="7"/>
      <c r="B5165" s="7" t="str">
        <f>IFERROR(__xludf.DUMMYFUNCTION("""COMPUTED_VALUE"""),"C#;HTML/CSS;TypeScript")</f>
        <v>C#;HTML/CSS;TypeScript</v>
      </c>
      <c r="G5165" s="9" t="str">
        <f>IFERROR(__xludf.DUMMYFUNCTION("""COMPUTED_VALUE"""),"Python")</f>
        <v>Python</v>
      </c>
      <c r="I5165" s="9" t="str">
        <f>IFERROR(__xludf.DUMMYFUNCTION("""COMPUTED_VALUE"""),"HTML/CSS")</f>
        <v>HTML/CSS</v>
      </c>
      <c r="M5165" s="9" t="s">
        <v>22</v>
      </c>
    </row>
    <row r="5166" ht="15.75" customHeight="1">
      <c r="A5166" s="7"/>
      <c r="B5166" s="7" t="str">
        <f>IFERROR(__xludf.DUMMYFUNCTION("""COMPUTED_VALUE"""),"C#;JavaScript;SQL")</f>
        <v>C#;JavaScript;SQL</v>
      </c>
      <c r="G5166" s="9" t="str">
        <f>IFERROR(__xludf.DUMMYFUNCTION("""COMPUTED_VALUE"""),"SQL")</f>
        <v>SQL</v>
      </c>
      <c r="I5166" s="9" t="str">
        <f>IFERROR(__xludf.DUMMYFUNCTION("""COMPUTED_VALUE"""),"Java")</f>
        <v>Java</v>
      </c>
      <c r="M5166" s="9" t="s">
        <v>27</v>
      </c>
    </row>
    <row r="5167" ht="15.75" customHeight="1">
      <c r="A5167" s="7"/>
      <c r="B5167" s="7" t="str">
        <f>IFERROR(__xludf.DUMMYFUNCTION("""COMPUTED_VALUE"""),"Elixir;JavaScript;Ruby")</f>
        <v>Elixir;JavaScript;Ruby</v>
      </c>
      <c r="G5167" s="9" t="str">
        <f>IFERROR(__xludf.DUMMYFUNCTION("""COMPUTED_VALUE"""),"VBA")</f>
        <v>VBA</v>
      </c>
      <c r="I5167" s="9" t="str">
        <f>IFERROR(__xludf.DUMMYFUNCTION("""COMPUTED_VALUE"""),"JavaScript")</f>
        <v>JavaScript</v>
      </c>
      <c r="M5167" s="9" t="s">
        <v>30</v>
      </c>
    </row>
    <row r="5168" ht="15.75" customHeight="1">
      <c r="A5168" s="7"/>
      <c r="B5168" s="7" t="str">
        <f>IFERROR(__xludf.DUMMYFUNCTION("""COMPUTED_VALUE"""),"Java;SQL")</f>
        <v>Java;SQL</v>
      </c>
      <c r="G5168" s="9" t="str">
        <f>IFERROR(__xludf.DUMMYFUNCTION("""COMPUTED_VALUE"""),"HTML/CSS")</f>
        <v>HTML/CSS</v>
      </c>
      <c r="I5168" s="9" t="str">
        <f>IFERROR(__xludf.DUMMYFUNCTION("""COMPUTED_VALUE"""),"Kotlin")</f>
        <v>Kotlin</v>
      </c>
      <c r="M5168" s="9" t="s">
        <v>25</v>
      </c>
    </row>
    <row r="5169" ht="15.75" customHeight="1">
      <c r="A5169" s="7"/>
      <c r="B5169" s="7" t="str">
        <f>IFERROR(__xludf.DUMMYFUNCTION("""COMPUTED_VALUE"""),"C#;HTML/CSS;JavaScript;TypeScript")</f>
        <v>C#;HTML/CSS;JavaScript;TypeScript</v>
      </c>
      <c r="G5169" s="9" t="str">
        <f>IFERROR(__xludf.DUMMYFUNCTION("""COMPUTED_VALUE"""),"JavaScript")</f>
        <v>JavaScript</v>
      </c>
      <c r="I5169" s="9" t="str">
        <f>IFERROR(__xludf.DUMMYFUNCTION("""COMPUTED_VALUE"""),"Java")</f>
        <v>Java</v>
      </c>
      <c r="M5169" s="9" t="s">
        <v>23</v>
      </c>
    </row>
    <row r="5170" ht="15.75" customHeight="1">
      <c r="A5170" s="7"/>
      <c r="B5170" s="7" t="str">
        <f>IFERROR(__xludf.DUMMYFUNCTION("""COMPUTED_VALUE"""),"Swift")</f>
        <v>Swift</v>
      </c>
      <c r="G5170" s="9" t="str">
        <f>IFERROR(__xludf.DUMMYFUNCTION("""COMPUTED_VALUE"""),"PHP")</f>
        <v>PHP</v>
      </c>
      <c r="I5170" s="9" t="str">
        <f>IFERROR(__xludf.DUMMYFUNCTION("""COMPUTED_VALUE"""),"PHP")</f>
        <v>PHP</v>
      </c>
      <c r="M5170" s="9" t="s">
        <v>20</v>
      </c>
    </row>
    <row r="5171" ht="15.75" customHeight="1">
      <c r="A5171" s="7"/>
      <c r="B5171" s="7" t="str">
        <f>IFERROR(__xludf.DUMMYFUNCTION("""COMPUTED_VALUE"""),"Bash/Shell/PowerShell;HTML/CSS;Java;JavaScript;Objective-C;Python;Swift")</f>
        <v>Bash/Shell/PowerShell;HTML/CSS;Java;JavaScript;Objective-C;Python;Swift</v>
      </c>
      <c r="G5171" s="9" t="str">
        <f>IFERROR(__xludf.DUMMYFUNCTION("""COMPUTED_VALUE"""),"SQL")</f>
        <v>SQL</v>
      </c>
      <c r="I5171" s="9" t="str">
        <f>IFERROR(__xludf.DUMMYFUNCTION("""COMPUTED_VALUE"""),"SQL")</f>
        <v>SQL</v>
      </c>
      <c r="M5171" s="9" t="s">
        <v>21</v>
      </c>
    </row>
    <row r="5172" ht="15.75" customHeight="1">
      <c r="A5172" s="7"/>
      <c r="B5172" s="7" t="str">
        <f>IFERROR(__xludf.DUMMYFUNCTION("""COMPUTED_VALUE"""),"Bash/Shell/PowerShell;Java;Python")</f>
        <v>Bash/Shell/PowerShell;Java;Python</v>
      </c>
      <c r="G5172" s="9" t="str">
        <f>IFERROR(__xludf.DUMMYFUNCTION("""COMPUTED_VALUE"""),"HTML/CSS")</f>
        <v>HTML/CSS</v>
      </c>
      <c r="I5172" s="9" t="str">
        <f>IFERROR(__xludf.DUMMYFUNCTION("""COMPUTED_VALUE"""),"HTML/CSS")</f>
        <v>HTML/CSS</v>
      </c>
      <c r="M5172" s="9" t="s">
        <v>22</v>
      </c>
    </row>
    <row r="5173" ht="15.75" customHeight="1">
      <c r="A5173" s="7"/>
      <c r="B5173" s="7" t="str">
        <f>IFERROR(__xludf.DUMMYFUNCTION("""COMPUTED_VALUE"""),"Bash/Shell/PowerShell;C;Java;Python;R;Scala;SQL")</f>
        <v>Bash/Shell/PowerShell;C;Java;Python;R;Scala;SQL</v>
      </c>
      <c r="G5173" s="9" t="str">
        <f>IFERROR(__xludf.DUMMYFUNCTION("""COMPUTED_VALUE"""),"Python")</f>
        <v>Python</v>
      </c>
      <c r="I5173" s="9" t="str">
        <f>IFERROR(__xludf.DUMMYFUNCTION("""COMPUTED_VALUE"""),"JavaScript")</f>
        <v>JavaScript</v>
      </c>
      <c r="M5173" s="9" t="s">
        <v>32</v>
      </c>
    </row>
    <row r="5174" ht="15.75" customHeight="1">
      <c r="A5174" s="7"/>
      <c r="B5174" s="7" t="str">
        <f>IFERROR(__xludf.DUMMYFUNCTION("""COMPUTED_VALUE"""),"Assembly;Bash/Shell/PowerShell;HTML/CSS;JavaScript;Python")</f>
        <v>Assembly;Bash/Shell/PowerShell;HTML/CSS;JavaScript;Python</v>
      </c>
      <c r="G5174" s="9" t="str">
        <f>IFERROR(__xludf.DUMMYFUNCTION("""COMPUTED_VALUE"""),"R")</f>
        <v>R</v>
      </c>
      <c r="I5174" s="9" t="str">
        <f>IFERROR(__xludf.DUMMYFUNCTION("""COMPUTED_VALUE"""),"PHP")</f>
        <v>PHP</v>
      </c>
      <c r="M5174" s="9" t="s">
        <v>33</v>
      </c>
    </row>
    <row r="5175" ht="15.75" customHeight="1">
      <c r="A5175" s="7"/>
      <c r="B5175" s="7" t="str">
        <f>IFERROR(__xludf.DUMMYFUNCTION("""COMPUTED_VALUE"""),"Bash/Shell/PowerShell;C++;C#;Java;Rust;SQL")</f>
        <v>Bash/Shell/PowerShell;C++;C#;Java;Rust;SQL</v>
      </c>
      <c r="I5175" s="9" t="str">
        <f>IFERROR(__xludf.DUMMYFUNCTION("""COMPUTED_VALUE"""),"SQL")</f>
        <v>SQL</v>
      </c>
      <c r="M5175" s="9" t="s">
        <v>21</v>
      </c>
    </row>
    <row r="5176" ht="15.75" customHeight="1">
      <c r="A5176" s="7"/>
      <c r="B5176" s="7" t="str">
        <f>IFERROR(__xludf.DUMMYFUNCTION("""COMPUTED_VALUE"""),"HTML/CSS;JavaScript")</f>
        <v>HTML/CSS;JavaScript</v>
      </c>
      <c r="M5176" s="9" t="s">
        <v>22</v>
      </c>
    </row>
    <row r="5177" ht="15.75" customHeight="1">
      <c r="A5177" s="7"/>
      <c r="B5177" s="7" t="str">
        <f>IFERROR(__xludf.DUMMYFUNCTION("""COMPUTED_VALUE"""),"Bash/Shell/PowerShell;C#;HTML/CSS;JavaScript;Python;Other(s):")</f>
        <v>Bash/Shell/PowerShell;C#;HTML/CSS;JavaScript;Python;Other(s):</v>
      </c>
      <c r="M5177" s="9" t="s">
        <v>26</v>
      </c>
    </row>
    <row r="5178" ht="15.75" customHeight="1">
      <c r="A5178" s="7"/>
      <c r="B5178" s="7" t="str">
        <f>IFERROR(__xludf.DUMMYFUNCTION("""COMPUTED_VALUE"""),"HTML/CSS;JavaScript;PHP;Ruby;SQL")</f>
        <v>HTML/CSS;JavaScript;PHP;Ruby;SQL</v>
      </c>
      <c r="M5178" s="9" t="s">
        <v>27</v>
      </c>
    </row>
    <row r="5179" ht="15.75" customHeight="1">
      <c r="A5179" s="7"/>
      <c r="B5179" s="7" t="str">
        <f>IFERROR(__xludf.DUMMYFUNCTION("""COMPUTED_VALUE"""),"Assembly;Bash/Shell/PowerShell;C;C++;Python")</f>
        <v>Assembly;Bash/Shell/PowerShell;C;C++;Python</v>
      </c>
      <c r="M5179" s="9" t="s">
        <v>24</v>
      </c>
    </row>
    <row r="5180" ht="15.75" customHeight="1">
      <c r="A5180" s="7"/>
      <c r="B5180" s="7" t="str">
        <f>IFERROR(__xludf.DUMMYFUNCTION("""COMPUTED_VALUE"""),"Bash/Shell/PowerShell;Java;Python")</f>
        <v>Bash/Shell/PowerShell;Java;Python</v>
      </c>
      <c r="M5180" s="9" t="s">
        <v>21</v>
      </c>
    </row>
    <row r="5181" ht="15.75" customHeight="1">
      <c r="A5181" s="7"/>
      <c r="B5181" s="7" t="str">
        <f>IFERROR(__xludf.DUMMYFUNCTION("""COMPUTED_VALUE"""),"Bash/Shell/PowerShell;Java;JavaScript;Kotlin")</f>
        <v>Bash/Shell/PowerShell;Java;JavaScript;Kotlin</v>
      </c>
      <c r="M5181" s="9" t="s">
        <v>30</v>
      </c>
    </row>
    <row r="5182" ht="15.75" customHeight="1">
      <c r="A5182" s="7"/>
      <c r="B5182" s="7" t="str">
        <f>IFERROR(__xludf.DUMMYFUNCTION("""COMPUTED_VALUE"""),"Bash/Shell/PowerShell;C++;C#;HTML/CSS;Java;JavaScript;Kotlin;PHP;Python;SQL")</f>
        <v>Bash/Shell/PowerShell;C++;C#;HTML/CSS;Java;JavaScript;Kotlin;PHP;Python;SQL</v>
      </c>
      <c r="M5182" s="9" t="s">
        <v>22</v>
      </c>
    </row>
    <row r="5183" ht="15.75" customHeight="1">
      <c r="A5183" s="7"/>
      <c r="B5183" s="7" t="str">
        <f>IFERROR(__xludf.DUMMYFUNCTION("""COMPUTED_VALUE"""),"Erlang;Java;SQL")</f>
        <v>Erlang;Java;SQL</v>
      </c>
      <c r="M5183" s="9" t="s">
        <v>31</v>
      </c>
    </row>
    <row r="5184" ht="15.75" customHeight="1">
      <c r="A5184" s="7"/>
      <c r="B5184" s="7" t="str">
        <f>IFERROR(__xludf.DUMMYFUNCTION("""COMPUTED_VALUE"""),"Java;JavaScript;Python;SQL")</f>
        <v>Java;JavaScript;Python;SQL</v>
      </c>
      <c r="M5184" s="9" t="s">
        <v>27</v>
      </c>
    </row>
    <row r="5185" ht="15.75" customHeight="1">
      <c r="A5185" s="7"/>
      <c r="B5185" s="7" t="str">
        <f>IFERROR(__xludf.DUMMYFUNCTION("""COMPUTED_VALUE"""),"C;C++;Elixir;Erlang;JavaScript;Kotlin;Python;WebAssembly")</f>
        <v>C;C++;Elixir;Erlang;JavaScript;Kotlin;Python;WebAssembly</v>
      </c>
      <c r="M5185" s="9" t="s">
        <v>20</v>
      </c>
    </row>
    <row r="5186" ht="15.75" customHeight="1">
      <c r="A5186" s="7"/>
      <c r="B5186" s="7" t="str">
        <f>IFERROR(__xludf.DUMMYFUNCTION("""COMPUTED_VALUE"""),"Bash/Shell/PowerShell;HTML/CSS;JavaScript")</f>
        <v>Bash/Shell/PowerShell;HTML/CSS;JavaScript</v>
      </c>
      <c r="M5186" s="9" t="s">
        <v>26</v>
      </c>
    </row>
    <row r="5187" ht="15.75" customHeight="1">
      <c r="A5187" s="7"/>
      <c r="B5187" s="7" t="str">
        <f>IFERROR(__xludf.DUMMYFUNCTION("""COMPUTED_VALUE"""),"HTML/CSS;Java;SQL")</f>
        <v>HTML/CSS;Java;SQL</v>
      </c>
      <c r="M5187" s="9" t="s">
        <v>24</v>
      </c>
    </row>
    <row r="5188" ht="15.75" customHeight="1">
      <c r="A5188" s="7"/>
      <c r="B5188" s="7" t="str">
        <f>IFERROR(__xludf.DUMMYFUNCTION("""COMPUTED_VALUE"""),"Bash/Shell/PowerShell;C#;HTML/CSS;JavaScript;SQL;TypeScript")</f>
        <v>Bash/Shell/PowerShell;C#;HTML/CSS;JavaScript;SQL;TypeScript</v>
      </c>
      <c r="M5188" s="9" t="s">
        <v>20</v>
      </c>
    </row>
    <row r="5189" ht="15.75" customHeight="1">
      <c r="A5189" s="7"/>
      <c r="B5189" s="7" t="str">
        <f>IFERROR(__xludf.DUMMYFUNCTION("""COMPUTED_VALUE"""),"Bash/Shell/PowerShell;Java;JavaScript;Python;SQL")</f>
        <v>Bash/Shell/PowerShell;Java;JavaScript;Python;SQL</v>
      </c>
      <c r="M5189" s="9" t="s">
        <v>21</v>
      </c>
    </row>
    <row r="5190" ht="15.75" customHeight="1">
      <c r="A5190" s="7"/>
      <c r="B5190" s="7" t="str">
        <f>IFERROR(__xludf.DUMMYFUNCTION("""COMPUTED_VALUE"""),"HTML/CSS;JavaScript;Ruby")</f>
        <v>HTML/CSS;JavaScript;Ruby</v>
      </c>
      <c r="M5190" s="9" t="s">
        <v>33</v>
      </c>
    </row>
    <row r="5191" ht="15.75" customHeight="1">
      <c r="A5191" s="7"/>
      <c r="B5191" s="7" t="str">
        <f>IFERROR(__xludf.DUMMYFUNCTION("""COMPUTED_VALUE"""),"Bash/Shell/PowerShell;C;C++;C#;Go;HTML/CSS;Java;JavaScript;Kotlin;PHP;Python;Ruby;Scala;SQL;TypeScript;VBA")</f>
        <v>Bash/Shell/PowerShell;C;C++;C#;Go;HTML/CSS;Java;JavaScript;Kotlin;PHP;Python;Ruby;Scala;SQL;TypeScript;VBA</v>
      </c>
      <c r="M5191" s="9" t="s">
        <v>20</v>
      </c>
    </row>
    <row r="5192" ht="15.75" customHeight="1">
      <c r="A5192" s="7"/>
      <c r="B5192" s="7" t="str">
        <f>IFERROR(__xludf.DUMMYFUNCTION("""COMPUTED_VALUE"""),"Java;Kotlin;SQL")</f>
        <v>Java;Kotlin;SQL</v>
      </c>
      <c r="M5192" s="9" t="s">
        <v>39</v>
      </c>
    </row>
    <row r="5193" ht="15.75" customHeight="1">
      <c r="A5193" s="7"/>
      <c r="B5193" s="7" t="str">
        <f>IFERROR(__xludf.DUMMYFUNCTION("""COMPUTED_VALUE"""),"C++;Python")</f>
        <v>C++;Python</v>
      </c>
      <c r="M5193" s="9" t="s">
        <v>30</v>
      </c>
    </row>
    <row r="5194" ht="15.75" customHeight="1">
      <c r="A5194" s="7"/>
      <c r="B5194" s="7" t="str">
        <f>IFERROR(__xludf.DUMMYFUNCTION("""COMPUTED_VALUE"""),"Assembly;Bash/Shell/PowerShell;C;C++;HTML/CSS;Java;JavaScript;PHP;Python")</f>
        <v>Assembly;Bash/Shell/PowerShell;C;C++;HTML/CSS;Java;JavaScript;PHP;Python</v>
      </c>
      <c r="M5194" s="9" t="s">
        <v>36</v>
      </c>
    </row>
    <row r="5195" ht="15.75" customHeight="1">
      <c r="A5195" s="7"/>
      <c r="B5195" s="7" t="str">
        <f>IFERROR(__xludf.DUMMYFUNCTION("""COMPUTED_VALUE"""),"HTML/CSS;R;SQL")</f>
        <v>HTML/CSS;R;SQL</v>
      </c>
      <c r="M5195" s="9" t="s">
        <v>20</v>
      </c>
    </row>
    <row r="5196" ht="15.75" customHeight="1">
      <c r="A5196" s="7"/>
      <c r="B5196" s="7" t="str">
        <f>IFERROR(__xludf.DUMMYFUNCTION("""COMPUTED_VALUE"""),"Bash/Shell/PowerShell;C++;JavaScript;PHP;Python;Ruby;SQL")</f>
        <v>Bash/Shell/PowerShell;C++;JavaScript;PHP;Python;Ruby;SQL</v>
      </c>
      <c r="M5196" s="9" t="s">
        <v>21</v>
      </c>
    </row>
    <row r="5197" ht="15.75" customHeight="1">
      <c r="A5197" s="7"/>
      <c r="B5197" s="7" t="str">
        <f>IFERROR(__xludf.DUMMYFUNCTION("""COMPUTED_VALUE"""),"Dart;HTML/CSS;Java;JavaScript;TypeScript")</f>
        <v>Dart;HTML/CSS;Java;JavaScript;TypeScript</v>
      </c>
      <c r="M5197" s="9" t="s">
        <v>22</v>
      </c>
    </row>
    <row r="5198" ht="15.75" customHeight="1">
      <c r="A5198" s="7"/>
      <c r="B5198" s="7" t="str">
        <f>IFERROR(__xludf.DUMMYFUNCTION("""COMPUTED_VALUE"""),"Bash/Shell/PowerShell;C;C++")</f>
        <v>Bash/Shell/PowerShell;C;C++</v>
      </c>
      <c r="M5198" s="9" t="s">
        <v>35</v>
      </c>
    </row>
    <row r="5199" ht="15.75" customHeight="1">
      <c r="A5199" s="7"/>
      <c r="B5199" s="7" t="str">
        <f>IFERROR(__xludf.DUMMYFUNCTION("""COMPUTED_VALUE"""),"HTML/CSS;JavaScript;PHP")</f>
        <v>HTML/CSS;JavaScript;PHP</v>
      </c>
      <c r="M5199" s="9" t="s">
        <v>24</v>
      </c>
    </row>
    <row r="5200" ht="15.75" customHeight="1">
      <c r="A5200" s="7"/>
      <c r="B5200" s="7" t="str">
        <f>IFERROR(__xludf.DUMMYFUNCTION("""COMPUTED_VALUE"""),"Bash/Shell/PowerShell;C#;HTML/CSS;JavaScript;Other(s):")</f>
        <v>Bash/Shell/PowerShell;C#;HTML/CSS;JavaScript;Other(s):</v>
      </c>
      <c r="M5200" s="9" t="s">
        <v>21</v>
      </c>
    </row>
    <row r="5201" ht="15.75" customHeight="1">
      <c r="A5201" s="7"/>
      <c r="B5201" s="7" t="str">
        <f>IFERROR(__xludf.DUMMYFUNCTION("""COMPUTED_VALUE"""),"Bash/Shell/PowerShell;C;C++;HTML/CSS;Java;JavaScript;PHP;Python;Ruby;SQL")</f>
        <v>Bash/Shell/PowerShell;C;C++;HTML/CSS;Java;JavaScript;PHP;Python;Ruby;SQL</v>
      </c>
      <c r="M5201" s="9" t="s">
        <v>22</v>
      </c>
    </row>
    <row r="5202" ht="15.75" customHeight="1">
      <c r="A5202" s="7"/>
      <c r="B5202" s="7" t="str">
        <f>IFERROR(__xludf.DUMMYFUNCTION("""COMPUTED_VALUE"""),"C;C#;HTML/CSS;Java;JavaScript")</f>
        <v>C;C#;HTML/CSS;Java;JavaScript</v>
      </c>
      <c r="M5202" s="9" t="s">
        <v>27</v>
      </c>
    </row>
    <row r="5203" ht="15.75" customHeight="1">
      <c r="A5203" s="7"/>
      <c r="B5203" s="7" t="str">
        <f>IFERROR(__xludf.DUMMYFUNCTION("""COMPUTED_VALUE"""),"Bash/Shell/PowerShell;HTML/CSS;JavaScript;Python;Ruby;SQL")</f>
        <v>Bash/Shell/PowerShell;HTML/CSS;JavaScript;Python;Ruby;SQL</v>
      </c>
      <c r="M5203" s="9" t="s">
        <v>26</v>
      </c>
    </row>
    <row r="5204" ht="15.75" customHeight="1">
      <c r="A5204" s="7"/>
      <c r="B5204" s="7" t="str">
        <f>IFERROR(__xludf.DUMMYFUNCTION("""COMPUTED_VALUE"""),"Bash/Shell/PowerShell;HTML/CSS;JavaScript;Python;SQL;TypeScript")</f>
        <v>Bash/Shell/PowerShell;HTML/CSS;JavaScript;Python;SQL;TypeScript</v>
      </c>
      <c r="M5204" s="9" t="s">
        <v>27</v>
      </c>
    </row>
    <row r="5205" ht="15.75" customHeight="1">
      <c r="A5205" s="7"/>
      <c r="B5205" s="7" t="str">
        <f>IFERROR(__xludf.DUMMYFUNCTION("""COMPUTED_VALUE"""),"C#;HTML/CSS;Java;JavaScript;PHP;SQL")</f>
        <v>C#;HTML/CSS;Java;JavaScript;PHP;SQL</v>
      </c>
      <c r="M5205" s="9" t="s">
        <v>26</v>
      </c>
    </row>
    <row r="5206" ht="15.75" customHeight="1">
      <c r="A5206" s="7"/>
      <c r="B5206" s="7" t="str">
        <f>IFERROR(__xludf.DUMMYFUNCTION("""COMPUTED_VALUE"""),"HTML/CSS;JavaScript;PHP")</f>
        <v>HTML/CSS;JavaScript;PHP</v>
      </c>
      <c r="M5206" s="9" t="s">
        <v>45</v>
      </c>
    </row>
    <row r="5207" ht="15.75" customHeight="1">
      <c r="A5207" s="7"/>
      <c r="B5207" s="7" t="str">
        <f>IFERROR(__xludf.DUMMYFUNCTION("""COMPUTED_VALUE"""),"C#;HTML/CSS;Java;JavaScript;Kotlin;PHP;Python;SQL;TypeScript")</f>
        <v>C#;HTML/CSS;Java;JavaScript;Kotlin;PHP;Python;SQL;TypeScript</v>
      </c>
      <c r="M5207" s="9" t="s">
        <v>24</v>
      </c>
    </row>
    <row r="5208" ht="15.75" customHeight="1">
      <c r="A5208" s="7"/>
      <c r="B5208" s="7" t="str">
        <f>IFERROR(__xludf.DUMMYFUNCTION("""COMPUTED_VALUE"""),"C#;HTML/CSS;JavaScript;Kotlin;PHP;SQL")</f>
        <v>C#;HTML/CSS;JavaScript;Kotlin;PHP;SQL</v>
      </c>
      <c r="M5208" s="9" t="s">
        <v>21</v>
      </c>
    </row>
    <row r="5209" ht="15.75" customHeight="1">
      <c r="A5209" s="7"/>
      <c r="B5209" s="7" t="str">
        <f>IFERROR(__xludf.DUMMYFUNCTION("""COMPUTED_VALUE"""),"C++;HTML/CSS;JavaScript;Python;SQL")</f>
        <v>C++;HTML/CSS;JavaScript;Python;SQL</v>
      </c>
      <c r="M5209" s="9" t="s">
        <v>22</v>
      </c>
    </row>
    <row r="5210" ht="15.75" customHeight="1">
      <c r="A5210" s="7"/>
      <c r="B5210" s="7" t="str">
        <f>IFERROR(__xludf.DUMMYFUNCTION("""COMPUTED_VALUE"""),"Bash/Shell/PowerShell;C#;R;SQL")</f>
        <v>Bash/Shell/PowerShell;C#;R;SQL</v>
      </c>
      <c r="M5210" s="9" t="s">
        <v>29</v>
      </c>
    </row>
    <row r="5211" ht="15.75" customHeight="1">
      <c r="A5211" s="7"/>
      <c r="B5211" s="7" t="str">
        <f>IFERROR(__xludf.DUMMYFUNCTION("""COMPUTED_VALUE"""),"C#")</f>
        <v>C#</v>
      </c>
      <c r="M5211" s="9" t="s">
        <v>27</v>
      </c>
    </row>
    <row r="5212" ht="15.75" customHeight="1">
      <c r="A5212" s="7"/>
      <c r="B5212" s="7" t="str">
        <f>IFERROR(__xludf.DUMMYFUNCTION("""COMPUTED_VALUE"""),"C++;C#;HTML/CSS;JavaScript")</f>
        <v>C++;C#;HTML/CSS;JavaScript</v>
      </c>
      <c r="M5212" s="9" t="s">
        <v>33</v>
      </c>
    </row>
    <row r="5213" ht="15.75" customHeight="1">
      <c r="A5213" s="7"/>
      <c r="B5213" s="7" t="str">
        <f>IFERROR(__xludf.DUMMYFUNCTION("""COMPUTED_VALUE"""),"Bash/Shell/PowerShell;C;C++;C#;HTML/CSS;Java;JavaScript;PHP;Python;R;Ruby;SQL")</f>
        <v>Bash/Shell/PowerShell;C;C++;C#;HTML/CSS;Java;JavaScript;PHP;Python;R;Ruby;SQL</v>
      </c>
      <c r="M5213" s="9" t="s">
        <v>28</v>
      </c>
    </row>
    <row r="5214" ht="15.75" customHeight="1">
      <c r="A5214" s="7"/>
      <c r="B5214" s="7" t="str">
        <f>IFERROR(__xludf.DUMMYFUNCTION("""COMPUTED_VALUE"""),"Assembly;Bash/Shell/PowerShell;C;C++")</f>
        <v>Assembly;Bash/Shell/PowerShell;C;C++</v>
      </c>
      <c r="M5214" s="9" t="s">
        <v>26</v>
      </c>
    </row>
    <row r="5215" ht="15.75" customHeight="1">
      <c r="A5215" s="7"/>
      <c r="B5215" s="7" t="str">
        <f>IFERROR(__xludf.DUMMYFUNCTION("""COMPUTED_VALUE"""),"C;HTML/CSS;JavaScript;Python;SQL;TypeScript;Other(s):")</f>
        <v>C;HTML/CSS;JavaScript;Python;SQL;TypeScript;Other(s):</v>
      </c>
      <c r="M5215" s="9" t="s">
        <v>27</v>
      </c>
    </row>
    <row r="5216" ht="15.75" customHeight="1">
      <c r="A5216" s="7"/>
      <c r="B5216" s="7" t="str">
        <f>IFERROR(__xludf.DUMMYFUNCTION("""COMPUTED_VALUE"""),"Bash/Shell/PowerShell;HTML/CSS;PHP;SQL")</f>
        <v>Bash/Shell/PowerShell;HTML/CSS;PHP;SQL</v>
      </c>
      <c r="M5216" s="9" t="s">
        <v>23</v>
      </c>
    </row>
    <row r="5217" ht="15.75" customHeight="1">
      <c r="A5217" s="7"/>
      <c r="B5217" s="7" t="str">
        <f>IFERROR(__xludf.DUMMYFUNCTION("""COMPUTED_VALUE"""),"C;C++;HTML/CSS;Java;JavaScript;SQL")</f>
        <v>C;C++;HTML/CSS;Java;JavaScript;SQL</v>
      </c>
      <c r="M5217" s="9" t="s">
        <v>30</v>
      </c>
    </row>
    <row r="5218" ht="15.75" customHeight="1">
      <c r="A5218" s="7"/>
      <c r="B5218" s="7" t="str">
        <f>IFERROR(__xludf.DUMMYFUNCTION("""COMPUTED_VALUE"""),"C#;Java;Kotlin;Ruby;SQL")</f>
        <v>C#;Java;Kotlin;Ruby;SQL</v>
      </c>
      <c r="M5218" s="9" t="s">
        <v>26</v>
      </c>
    </row>
    <row r="5219" ht="15.75" customHeight="1">
      <c r="A5219" s="7"/>
      <c r="B5219" s="7" t="str">
        <f>IFERROR(__xludf.DUMMYFUNCTION("""COMPUTED_VALUE"""),"HTML/CSS;JavaScript")</f>
        <v>HTML/CSS;JavaScript</v>
      </c>
      <c r="M5219" s="9" t="s">
        <v>24</v>
      </c>
    </row>
    <row r="5220" ht="15.75" customHeight="1">
      <c r="A5220" s="7"/>
      <c r="B5220" s="7" t="str">
        <f>IFERROR(__xludf.DUMMYFUNCTION("""COMPUTED_VALUE"""),"Swift")</f>
        <v>Swift</v>
      </c>
      <c r="M5220" s="9" t="s">
        <v>21</v>
      </c>
    </row>
    <row r="5221" ht="15.75" customHeight="1">
      <c r="A5221" s="7"/>
      <c r="B5221" s="7" t="str">
        <f>IFERROR(__xludf.DUMMYFUNCTION("""COMPUTED_VALUE"""),"HTML/CSS;JavaScript;Python")</f>
        <v>HTML/CSS;JavaScript;Python</v>
      </c>
      <c r="M5221" s="9" t="s">
        <v>27</v>
      </c>
    </row>
    <row r="5222" ht="15.75" customHeight="1">
      <c r="A5222" s="7"/>
      <c r="B5222" s="7" t="str">
        <f>IFERROR(__xludf.DUMMYFUNCTION("""COMPUTED_VALUE"""),"Bash/Shell/PowerShell;PHP")</f>
        <v>Bash/Shell/PowerShell;PHP</v>
      </c>
      <c r="M5222" s="9" t="s">
        <v>26</v>
      </c>
    </row>
    <row r="5223" ht="15.75" customHeight="1">
      <c r="A5223" s="7"/>
      <c r="B5223" s="7" t="str">
        <f>IFERROR(__xludf.DUMMYFUNCTION("""COMPUTED_VALUE"""),"Clojure;Java")</f>
        <v>Clojure;Java</v>
      </c>
      <c r="M5223" s="9" t="s">
        <v>21</v>
      </c>
    </row>
    <row r="5224" ht="15.75" customHeight="1">
      <c r="A5224" s="7"/>
      <c r="B5224" s="7" t="str">
        <f>IFERROR(__xludf.DUMMYFUNCTION("""COMPUTED_VALUE"""),"C;C++;HTML/CSS;Java;JavaScript;SQL")</f>
        <v>C;C++;HTML/CSS;Java;JavaScript;SQL</v>
      </c>
      <c r="M5224" s="9" t="s">
        <v>27</v>
      </c>
    </row>
    <row r="5225" ht="15.75" customHeight="1">
      <c r="A5225" s="7"/>
      <c r="B5225" s="7" t="str">
        <f>IFERROR(__xludf.DUMMYFUNCTION("""COMPUTED_VALUE"""),"C#;JavaScript;SQL")</f>
        <v>C#;JavaScript;SQL</v>
      </c>
      <c r="M5225" s="9" t="s">
        <v>33</v>
      </c>
    </row>
    <row r="5226" ht="15.75" customHeight="1">
      <c r="A5226" s="7"/>
      <c r="B5226" s="7" t="str">
        <f>IFERROR(__xludf.DUMMYFUNCTION("""COMPUTED_VALUE"""),"Python;R;VBA")</f>
        <v>Python;R;VBA</v>
      </c>
      <c r="M5226" s="9" t="s">
        <v>24</v>
      </c>
    </row>
    <row r="5227" ht="15.75" customHeight="1">
      <c r="A5227" s="7"/>
      <c r="B5227" s="7" t="str">
        <f>IFERROR(__xludf.DUMMYFUNCTION("""COMPUTED_VALUE"""),"Bash/Shell/PowerShell;HTML/CSS;Java;Python")</f>
        <v>Bash/Shell/PowerShell;HTML/CSS;Java;Python</v>
      </c>
      <c r="M5227" s="9" t="s">
        <v>21</v>
      </c>
    </row>
    <row r="5228" ht="15.75" customHeight="1">
      <c r="A5228" s="7"/>
      <c r="B5228" s="7" t="str">
        <f>IFERROR(__xludf.DUMMYFUNCTION("""COMPUTED_VALUE"""),"Assembly;Bash/Shell/PowerShell;C;HTML/CSS;Java;JavaScript;PHP;Python;SQL")</f>
        <v>Assembly;Bash/Shell/PowerShell;C;HTML/CSS;Java;JavaScript;PHP;Python;SQL</v>
      </c>
      <c r="M5228" s="9" t="s">
        <v>33</v>
      </c>
    </row>
    <row r="5229" ht="15.75" customHeight="1">
      <c r="A5229" s="7"/>
      <c r="B5229" s="7" t="str">
        <f>IFERROR(__xludf.DUMMYFUNCTION("""COMPUTED_VALUE"""),"Bash/Shell/PowerShell;C;C++;C#;HTML/CSS;JavaScript;PHP;Python;SQL;TypeScript")</f>
        <v>Bash/Shell/PowerShell;C;C++;C#;HTML/CSS;JavaScript;PHP;Python;SQL;TypeScript</v>
      </c>
      <c r="M5229" s="9" t="s">
        <v>30</v>
      </c>
    </row>
    <row r="5230" ht="15.75" customHeight="1">
      <c r="A5230" s="7"/>
      <c r="B5230" s="7" t="str">
        <f>IFERROR(__xludf.DUMMYFUNCTION("""COMPUTED_VALUE"""),"Bash/Shell/PowerShell;C++;Java;JavaScript;Python;SQL")</f>
        <v>Bash/Shell/PowerShell;C++;Java;JavaScript;Python;SQL</v>
      </c>
      <c r="M5230" s="9" t="s">
        <v>26</v>
      </c>
    </row>
    <row r="5231" ht="15.75" customHeight="1">
      <c r="A5231" s="7"/>
      <c r="B5231" s="7" t="str">
        <f>IFERROR(__xludf.DUMMYFUNCTION("""COMPUTED_VALUE"""),"Bash/Shell/PowerShell;HTML/CSS;JavaScript;PHP;Python;SQL")</f>
        <v>Bash/Shell/PowerShell;HTML/CSS;JavaScript;PHP;Python;SQL</v>
      </c>
      <c r="M5231" s="9" t="s">
        <v>24</v>
      </c>
    </row>
    <row r="5232" ht="15.75" customHeight="1">
      <c r="A5232" s="7"/>
      <c r="B5232" s="7" t="str">
        <f>IFERROR(__xludf.DUMMYFUNCTION("""COMPUTED_VALUE"""),"Assembly;Bash/Shell/PowerShell;C;C++;Go;HTML/CSS;JavaScript;PHP;SQL;Swift")</f>
        <v>Assembly;Bash/Shell/PowerShell;C;C++;Go;HTML/CSS;JavaScript;PHP;SQL;Swift</v>
      </c>
      <c r="M5232" s="9" t="s">
        <v>21</v>
      </c>
    </row>
    <row r="5233" ht="15.75" customHeight="1">
      <c r="A5233" s="7"/>
      <c r="B5233" s="7" t="str">
        <f>IFERROR(__xludf.DUMMYFUNCTION("""COMPUTED_VALUE"""),"Bash/Shell/PowerShell;Go;HTML/CSS;Java;JavaScript;Kotlin;SQL")</f>
        <v>Bash/Shell/PowerShell;Go;HTML/CSS;Java;JavaScript;Kotlin;SQL</v>
      </c>
      <c r="M5233" s="9" t="s">
        <v>37</v>
      </c>
    </row>
    <row r="5234" ht="15.75" customHeight="1">
      <c r="A5234" s="7"/>
      <c r="B5234" s="7" t="str">
        <f>IFERROR(__xludf.DUMMYFUNCTION("""COMPUTED_VALUE"""),"Bash/Shell/PowerShell;C;Java;PHP;Python;R;SQL;VBA;Other(s):")</f>
        <v>Bash/Shell/PowerShell;C;Java;PHP;Python;R;SQL;VBA;Other(s):</v>
      </c>
      <c r="M5234" s="9" t="s">
        <v>27</v>
      </c>
    </row>
    <row r="5235" ht="15.75" customHeight="1">
      <c r="A5235" s="7"/>
      <c r="B5235" s="7" t="str">
        <f>IFERROR(__xludf.DUMMYFUNCTION("""COMPUTED_VALUE"""),"C++;JavaScript")</f>
        <v>C++;JavaScript</v>
      </c>
      <c r="M5235" s="9" t="s">
        <v>26</v>
      </c>
    </row>
    <row r="5236" ht="15.75" customHeight="1">
      <c r="A5236" s="7"/>
      <c r="B5236" s="7" t="str">
        <f>IFERROR(__xludf.DUMMYFUNCTION("""COMPUTED_VALUE"""),"C;C++;HTML/CSS;Java;JavaScript;Kotlin;R;Ruby;SQL;Swift;TypeScript")</f>
        <v>C;C++;HTML/CSS;Java;JavaScript;Kotlin;R;Ruby;SQL;Swift;TypeScript</v>
      </c>
      <c r="M5236" s="9" t="s">
        <v>24</v>
      </c>
    </row>
    <row r="5237" ht="15.75" customHeight="1">
      <c r="A5237" s="7"/>
      <c r="B5237" s="7" t="str">
        <f>IFERROR(__xludf.DUMMYFUNCTION("""COMPUTED_VALUE"""),"C++;Python")</f>
        <v>C++;Python</v>
      </c>
      <c r="M5237" s="9" t="s">
        <v>20</v>
      </c>
    </row>
    <row r="5238" ht="15.75" customHeight="1">
      <c r="A5238" s="7"/>
      <c r="B5238" s="7" t="str">
        <f>IFERROR(__xludf.DUMMYFUNCTION("""COMPUTED_VALUE"""),"HTML/CSS;JavaScript")</f>
        <v>HTML/CSS;JavaScript</v>
      </c>
      <c r="M5238" s="9" t="s">
        <v>21</v>
      </c>
    </row>
    <row r="5239" ht="15.75" customHeight="1">
      <c r="A5239" s="7"/>
      <c r="B5239" s="7" t="str">
        <f>IFERROR(__xludf.DUMMYFUNCTION("""COMPUTED_VALUE"""),"Java;Objective-C;Swift")</f>
        <v>Java;Objective-C;Swift</v>
      </c>
      <c r="M5239" s="9" t="s">
        <v>33</v>
      </c>
    </row>
    <row r="5240" ht="15.75" customHeight="1">
      <c r="A5240" s="7"/>
      <c r="B5240" s="7" t="str">
        <f>IFERROR(__xludf.DUMMYFUNCTION("""COMPUTED_VALUE"""),"C#")</f>
        <v>C#</v>
      </c>
      <c r="M5240" s="9" t="s">
        <v>26</v>
      </c>
    </row>
    <row r="5241" ht="15.75" customHeight="1">
      <c r="A5241" s="7"/>
      <c r="B5241" s="7" t="str">
        <f>IFERROR(__xludf.DUMMYFUNCTION("""COMPUTED_VALUE"""),"C#;F#;HTML/CSS;JavaScript;PHP;Python;R;SQL")</f>
        <v>C#;F#;HTML/CSS;JavaScript;PHP;Python;R;SQL</v>
      </c>
      <c r="M5241" s="9" t="s">
        <v>24</v>
      </c>
    </row>
    <row r="5242" ht="15.75" customHeight="1">
      <c r="A5242" s="7"/>
      <c r="B5242" s="7" t="str">
        <f>IFERROR(__xludf.DUMMYFUNCTION("""COMPUTED_VALUE"""),"Bash/Shell/PowerShell;Java;JavaScript;TypeScript")</f>
        <v>Bash/Shell/PowerShell;Java;JavaScript;TypeScript</v>
      </c>
      <c r="M5242" s="9" t="s">
        <v>21</v>
      </c>
    </row>
    <row r="5243" ht="15.75" customHeight="1">
      <c r="A5243" s="7"/>
      <c r="B5243" s="7" t="str">
        <f>IFERROR(__xludf.DUMMYFUNCTION("""COMPUTED_VALUE"""),"C#;HTML/CSS;JavaScript;PHP;SQL;TypeScript")</f>
        <v>C#;HTML/CSS;JavaScript;PHP;SQL;TypeScript</v>
      </c>
      <c r="M5243" s="9" t="s">
        <v>27</v>
      </c>
    </row>
    <row r="5244" ht="15.75" customHeight="1">
      <c r="A5244" s="7"/>
      <c r="B5244" s="7" t="str">
        <f>IFERROR(__xludf.DUMMYFUNCTION("""COMPUTED_VALUE"""),"Swift")</f>
        <v>Swift</v>
      </c>
      <c r="M5244" s="9" t="s">
        <v>35</v>
      </c>
    </row>
    <row r="5245" ht="15.75" customHeight="1">
      <c r="A5245" s="7"/>
      <c r="B5245" s="7" t="str">
        <f>IFERROR(__xludf.DUMMYFUNCTION("""COMPUTED_VALUE"""),"C#;HTML/CSS;JavaScript;TypeScript")</f>
        <v>C#;HTML/CSS;JavaScript;TypeScript</v>
      </c>
      <c r="M5245" s="9" t="s">
        <v>24</v>
      </c>
    </row>
    <row r="5246" ht="15.75" customHeight="1">
      <c r="A5246" s="7"/>
      <c r="B5246" s="7" t="str">
        <f>IFERROR(__xludf.DUMMYFUNCTION("""COMPUTED_VALUE"""),"Bash/Shell/PowerShell;HTML/CSS;JavaScript;PHP;SQL")</f>
        <v>Bash/Shell/PowerShell;HTML/CSS;JavaScript;PHP;SQL</v>
      </c>
      <c r="M5246" s="9" t="s">
        <v>20</v>
      </c>
    </row>
    <row r="5247" ht="15.75" customHeight="1">
      <c r="A5247" s="7"/>
      <c r="B5247" s="7" t="str">
        <f>IFERROR(__xludf.DUMMYFUNCTION("""COMPUTED_VALUE"""),"Bash/Shell/PowerShell;HTML/CSS;JavaScript;PHP;SQL")</f>
        <v>Bash/Shell/PowerShell;HTML/CSS;JavaScript;PHP;SQL</v>
      </c>
      <c r="M5247" s="9" t="s">
        <v>21</v>
      </c>
    </row>
    <row r="5248" ht="15.75" customHeight="1">
      <c r="A5248" s="7"/>
      <c r="B5248" s="7" t="str">
        <f>IFERROR(__xludf.DUMMYFUNCTION("""COMPUTED_VALUE"""),"Assembly;C;C++;C#;Java")</f>
        <v>Assembly;C;C++;C#;Java</v>
      </c>
      <c r="M5248" s="9" t="s">
        <v>23</v>
      </c>
    </row>
    <row r="5249" ht="15.75" customHeight="1">
      <c r="A5249" s="7"/>
      <c r="B5249" s="7" t="str">
        <f>IFERROR(__xludf.DUMMYFUNCTION("""COMPUTED_VALUE"""),"HTML/CSS;JavaScript;PHP;SQL")</f>
        <v>HTML/CSS;JavaScript;PHP;SQL</v>
      </c>
      <c r="M5249" s="9" t="s">
        <v>26</v>
      </c>
    </row>
    <row r="5250" ht="15.75" customHeight="1">
      <c r="A5250" s="7"/>
      <c r="B5250" s="7" t="str">
        <f>IFERROR(__xludf.DUMMYFUNCTION("""COMPUTED_VALUE"""),"C#;Java;JavaScript;TypeScript")</f>
        <v>C#;Java;JavaScript;TypeScript</v>
      </c>
      <c r="M5250" s="9" t="s">
        <v>20</v>
      </c>
    </row>
    <row r="5251" ht="15.75" customHeight="1">
      <c r="A5251" s="7"/>
      <c r="B5251" s="7" t="str">
        <f>IFERROR(__xludf.DUMMYFUNCTION("""COMPUTED_VALUE"""),"HTML/CSS;JavaScript;PHP;SQL")</f>
        <v>HTML/CSS;JavaScript;PHP;SQL</v>
      </c>
      <c r="M5251" s="9" t="s">
        <v>21</v>
      </c>
    </row>
    <row r="5252" ht="15.75" customHeight="1">
      <c r="A5252" s="7"/>
      <c r="B5252" s="7" t="str">
        <f>IFERROR(__xludf.DUMMYFUNCTION("""COMPUTED_VALUE"""),"HTML/CSS;JavaScript")</f>
        <v>HTML/CSS;JavaScript</v>
      </c>
      <c r="M5252" s="9" t="s">
        <v>27</v>
      </c>
    </row>
    <row r="5253" ht="15.75" customHeight="1">
      <c r="A5253" s="7"/>
      <c r="B5253" s="7" t="str">
        <f>IFERROR(__xludf.DUMMYFUNCTION("""COMPUTED_VALUE"""),"C#;HTML/CSS;Java;JavaScript;TypeScript;VBA")</f>
        <v>C#;HTML/CSS;Java;JavaScript;TypeScript;VBA</v>
      </c>
      <c r="M5253" s="9" t="s">
        <v>30</v>
      </c>
    </row>
    <row r="5254" ht="15.75" customHeight="1">
      <c r="A5254" s="7"/>
      <c r="B5254" s="7" t="str">
        <f>IFERROR(__xludf.DUMMYFUNCTION("""COMPUTED_VALUE"""),"C#;Other(s):")</f>
        <v>C#;Other(s):</v>
      </c>
      <c r="M5254" s="9" t="s">
        <v>42</v>
      </c>
    </row>
    <row r="5255" ht="15.75" customHeight="1">
      <c r="A5255" s="7"/>
      <c r="B5255" s="7" t="str">
        <f>IFERROR(__xludf.DUMMYFUNCTION("""COMPUTED_VALUE"""),"C#;HTML/CSS;Java;JavaScript;SQL")</f>
        <v>C#;HTML/CSS;Java;JavaScript;SQL</v>
      </c>
      <c r="M5255" s="9" t="s">
        <v>21</v>
      </c>
    </row>
    <row r="5256" ht="15.75" customHeight="1">
      <c r="A5256" s="7"/>
      <c r="B5256" s="7" t="str">
        <f>IFERROR(__xludf.DUMMYFUNCTION("""COMPUTED_VALUE"""),"C#;JavaScript;SQL;Other(s):")</f>
        <v>C#;JavaScript;SQL;Other(s):</v>
      </c>
      <c r="M5256" s="9" t="s">
        <v>22</v>
      </c>
    </row>
    <row r="5257" ht="15.75" customHeight="1">
      <c r="A5257" s="7"/>
      <c r="B5257" s="7" t="str">
        <f>IFERROR(__xludf.DUMMYFUNCTION("""COMPUTED_VALUE"""),"HTML/CSS;JavaScript;TypeScript")</f>
        <v>HTML/CSS;JavaScript;TypeScript</v>
      </c>
      <c r="M5257" s="9" t="s">
        <v>27</v>
      </c>
    </row>
    <row r="5258" ht="15.75" customHeight="1">
      <c r="A5258" s="7"/>
      <c r="B5258" s="7" t="str">
        <f>IFERROR(__xludf.DUMMYFUNCTION("""COMPUTED_VALUE"""),"HTML/CSS;JavaScript;PHP")</f>
        <v>HTML/CSS;JavaScript;PHP</v>
      </c>
      <c r="M5258" s="9" t="s">
        <v>30</v>
      </c>
    </row>
    <row r="5259" ht="15.75" customHeight="1">
      <c r="A5259" s="7"/>
      <c r="B5259" s="7" t="str">
        <f>IFERROR(__xludf.DUMMYFUNCTION("""COMPUTED_VALUE"""),"Bash/Shell/PowerShell;HTML/CSS;Python;Ruby;Other(s):")</f>
        <v>Bash/Shell/PowerShell;HTML/CSS;Python;Ruby;Other(s):</v>
      </c>
      <c r="M5259" s="9" t="s">
        <v>25</v>
      </c>
    </row>
    <row r="5260" ht="15.75" customHeight="1">
      <c r="A5260" s="7"/>
      <c r="B5260" s="7" t="str">
        <f>IFERROR(__xludf.DUMMYFUNCTION("""COMPUTED_VALUE"""),"HTML/CSS;JavaScript;SQL")</f>
        <v>HTML/CSS;JavaScript;SQL</v>
      </c>
      <c r="M5260" s="9" t="s">
        <v>23</v>
      </c>
    </row>
    <row r="5261" ht="15.75" customHeight="1">
      <c r="A5261" s="7"/>
      <c r="B5261" s="7" t="str">
        <f>IFERROR(__xludf.DUMMYFUNCTION("""COMPUTED_VALUE"""),"C++;C#;HTML/CSS;JavaScript;SQL")</f>
        <v>C++;C#;HTML/CSS;JavaScript;SQL</v>
      </c>
      <c r="M5261" s="9" t="s">
        <v>26</v>
      </c>
    </row>
    <row r="5262" ht="15.75" customHeight="1">
      <c r="A5262" s="7"/>
      <c r="B5262" s="7" t="str">
        <f>IFERROR(__xludf.DUMMYFUNCTION("""COMPUTED_VALUE"""),"Python;SQL;VBA")</f>
        <v>Python;SQL;VBA</v>
      </c>
      <c r="M5262" s="9" t="s">
        <v>24</v>
      </c>
    </row>
    <row r="5263" ht="15.75" customHeight="1">
      <c r="A5263" s="7"/>
      <c r="B5263" s="7" t="str">
        <f>IFERROR(__xludf.DUMMYFUNCTION("""COMPUTED_VALUE"""),"Assembly;C;Java;Python")</f>
        <v>Assembly;C;Java;Python</v>
      </c>
      <c r="M5263" s="9" t="s">
        <v>20</v>
      </c>
    </row>
    <row r="5264" ht="15.75" customHeight="1">
      <c r="A5264" s="7"/>
      <c r="B5264" s="7" t="str">
        <f>IFERROR(__xludf.DUMMYFUNCTION("""COMPUTED_VALUE"""),"C#;HTML/CSS;JavaScript;PHP;Python;SQL")</f>
        <v>C#;HTML/CSS;JavaScript;PHP;Python;SQL</v>
      </c>
      <c r="M5264" s="9" t="s">
        <v>21</v>
      </c>
    </row>
    <row r="5265" ht="15.75" customHeight="1">
      <c r="A5265" s="7"/>
      <c r="B5265" s="7" t="str">
        <f>IFERROR(__xludf.DUMMYFUNCTION("""COMPUTED_VALUE"""),"Go;Ruby")</f>
        <v>Go;Ruby</v>
      </c>
      <c r="M5265" s="9" t="s">
        <v>31</v>
      </c>
    </row>
    <row r="5266" ht="15.75" customHeight="1">
      <c r="A5266" s="7"/>
      <c r="B5266" s="7" t="str">
        <f>IFERROR(__xludf.DUMMYFUNCTION("""COMPUTED_VALUE"""),"Assembly;C;C++;HTML/CSS;JavaScript;Python")</f>
        <v>Assembly;C;C++;HTML/CSS;JavaScript;Python</v>
      </c>
      <c r="M5266" s="9" t="s">
        <v>27</v>
      </c>
    </row>
    <row r="5267" ht="15.75" customHeight="1">
      <c r="A5267" s="7"/>
      <c r="B5267" s="7" t="str">
        <f>IFERROR(__xludf.DUMMYFUNCTION("""COMPUTED_VALUE"""),"C#;HTML/CSS;JavaScript;Python;SQL;TypeScript")</f>
        <v>C#;HTML/CSS;JavaScript;Python;SQL;TypeScript</v>
      </c>
      <c r="M5267" s="9" t="s">
        <v>33</v>
      </c>
    </row>
    <row r="5268" ht="15.75" customHeight="1">
      <c r="A5268" s="7"/>
      <c r="B5268" s="7" t="str">
        <f>IFERROR(__xludf.DUMMYFUNCTION("""COMPUTED_VALUE"""),"Bash/Shell/PowerShell;PHP;SQL")</f>
        <v>Bash/Shell/PowerShell;PHP;SQL</v>
      </c>
      <c r="M5268" s="9" t="s">
        <v>35</v>
      </c>
    </row>
    <row r="5269" ht="15.75" customHeight="1">
      <c r="A5269" s="7"/>
      <c r="B5269" s="7" t="str">
        <f>IFERROR(__xludf.DUMMYFUNCTION("""COMPUTED_VALUE"""),"Assembly;Bash/Shell/PowerShell;C++;C#;HTML/CSS;Java;JavaScript")</f>
        <v>Assembly;Bash/Shell/PowerShell;C++;C#;HTML/CSS;Java;JavaScript</v>
      </c>
      <c r="M5269" s="9" t="s">
        <v>21</v>
      </c>
    </row>
    <row r="5270" ht="15.75" customHeight="1">
      <c r="A5270" s="7"/>
      <c r="B5270" s="7" t="str">
        <f>IFERROR(__xludf.DUMMYFUNCTION("""COMPUTED_VALUE"""),"Bash/Shell/PowerShell;HTML/CSS;Java;JavaScript;Python;SQL")</f>
        <v>Bash/Shell/PowerShell;HTML/CSS;Java;JavaScript;Python;SQL</v>
      </c>
      <c r="M5270" s="9" t="s">
        <v>37</v>
      </c>
    </row>
    <row r="5271" ht="15.75" customHeight="1">
      <c r="A5271" s="7"/>
      <c r="B5271" s="7" t="str">
        <f>IFERROR(__xludf.DUMMYFUNCTION("""COMPUTED_VALUE"""),"Bash/Shell/PowerShell;Go;Python;Rust")</f>
        <v>Bash/Shell/PowerShell;Go;Python;Rust</v>
      </c>
      <c r="M5271" s="9" t="s">
        <v>22</v>
      </c>
    </row>
    <row r="5272" ht="15.75" customHeight="1">
      <c r="A5272" s="7"/>
      <c r="B5272" s="7" t="str">
        <f>IFERROR(__xludf.DUMMYFUNCTION("""COMPUTED_VALUE"""),"Python")</f>
        <v>Python</v>
      </c>
      <c r="M5272" s="9" t="s">
        <v>41</v>
      </c>
    </row>
    <row r="5273" ht="15.75" customHeight="1">
      <c r="A5273" s="7"/>
      <c r="B5273" s="7" t="str">
        <f>IFERROR(__xludf.DUMMYFUNCTION("""COMPUTED_VALUE"""),"HTML/CSS;Ruby;SQL")</f>
        <v>HTML/CSS;Ruby;SQL</v>
      </c>
      <c r="M5273" s="9" t="s">
        <v>40</v>
      </c>
    </row>
    <row r="5274" ht="15.75" customHeight="1">
      <c r="A5274" s="7"/>
      <c r="B5274" s="7" t="str">
        <f>IFERROR(__xludf.DUMMYFUNCTION("""COMPUTED_VALUE"""),"C++;HTML/CSS;Java;JavaScript;Kotlin;Ruby;TypeScript")</f>
        <v>C++;HTML/CSS;Java;JavaScript;Kotlin;Ruby;TypeScript</v>
      </c>
      <c r="M5274" s="9" t="s">
        <v>24</v>
      </c>
    </row>
    <row r="5275" ht="15.75" customHeight="1">
      <c r="A5275" s="7"/>
      <c r="B5275" s="7" t="str">
        <f>IFERROR(__xludf.DUMMYFUNCTION("""COMPUTED_VALUE"""),"Bash/Shell/PowerShell;HTML/CSS;JavaScript;Python;R;SQL;VBA")</f>
        <v>Bash/Shell/PowerShell;HTML/CSS;JavaScript;Python;R;SQL;VBA</v>
      </c>
      <c r="M5275" s="9" t="s">
        <v>21</v>
      </c>
    </row>
    <row r="5276" ht="15.75" customHeight="1">
      <c r="A5276" s="7"/>
      <c r="B5276" s="7" t="str">
        <f>IFERROR(__xludf.DUMMYFUNCTION("""COMPUTED_VALUE"""),"C++;Python;Scala;SQL")</f>
        <v>C++;Python;Scala;SQL</v>
      </c>
      <c r="M5276" s="9" t="s">
        <v>30</v>
      </c>
    </row>
    <row r="5277" ht="15.75" customHeight="1">
      <c r="A5277" s="7"/>
      <c r="B5277" s="7" t="str">
        <f>IFERROR(__xludf.DUMMYFUNCTION("""COMPUTED_VALUE"""),"HTML/CSS;Java;JavaScript;SQL")</f>
        <v>HTML/CSS;Java;JavaScript;SQL</v>
      </c>
      <c r="M5277" s="9" t="s">
        <v>25</v>
      </c>
    </row>
    <row r="5278" ht="15.75" customHeight="1">
      <c r="A5278" s="7"/>
      <c r="B5278" s="7" t="str">
        <f>IFERROR(__xludf.DUMMYFUNCTION("""COMPUTED_VALUE"""),"HTML/CSS;JavaScript;PHP;SQL")</f>
        <v>HTML/CSS;JavaScript;PHP;SQL</v>
      </c>
      <c r="M5278" s="9" t="s">
        <v>23</v>
      </c>
    </row>
    <row r="5279" ht="15.75" customHeight="1">
      <c r="A5279" s="7"/>
      <c r="B5279" s="7" t="str">
        <f>IFERROR(__xludf.DUMMYFUNCTION("""COMPUTED_VALUE"""),"HTML/CSS;JavaScript;PHP;Python;SQL;Other(s):")</f>
        <v>HTML/CSS;JavaScript;PHP;Python;SQL;Other(s):</v>
      </c>
      <c r="M5279" s="9" t="s">
        <v>26</v>
      </c>
    </row>
    <row r="5280" ht="15.75" customHeight="1">
      <c r="A5280" s="7"/>
      <c r="B5280" s="7" t="str">
        <f>IFERROR(__xludf.DUMMYFUNCTION("""COMPUTED_VALUE"""),"Bash/Shell/PowerShell;C;C++;Python;Other(s):")</f>
        <v>Bash/Shell/PowerShell;C;C++;Python;Other(s):</v>
      </c>
      <c r="M5280" s="9" t="s">
        <v>24</v>
      </c>
    </row>
    <row r="5281" ht="15.75" customHeight="1">
      <c r="A5281" s="7"/>
      <c r="B5281" s="7" t="str">
        <f>IFERROR(__xludf.DUMMYFUNCTION("""COMPUTED_VALUE"""),"HTML/CSS;JavaScript")</f>
        <v>HTML/CSS;JavaScript</v>
      </c>
      <c r="M5281" s="9" t="s">
        <v>20</v>
      </c>
    </row>
    <row r="5282" ht="15.75" customHeight="1">
      <c r="A5282" s="7"/>
      <c r="B5282" s="7" t="str">
        <f>IFERROR(__xludf.DUMMYFUNCTION("""COMPUTED_VALUE"""),"Bash/Shell/PowerShell;Clojure;HTML/CSS;Java;JavaScript")</f>
        <v>Bash/Shell/PowerShell;Clojure;HTML/CSS;Java;JavaScript</v>
      </c>
      <c r="M5282" s="9" t="s">
        <v>21</v>
      </c>
    </row>
    <row r="5283" ht="15.75" customHeight="1">
      <c r="A5283" s="7"/>
      <c r="B5283" s="7" t="str">
        <f>IFERROR(__xludf.DUMMYFUNCTION("""COMPUTED_VALUE"""),"R")</f>
        <v>R</v>
      </c>
      <c r="M5283" s="9" t="s">
        <v>24</v>
      </c>
    </row>
    <row r="5284" ht="15.75" customHeight="1">
      <c r="A5284" s="7"/>
      <c r="B5284" s="7" t="str">
        <f>IFERROR(__xludf.DUMMYFUNCTION("""COMPUTED_VALUE"""),"Elixir;HTML/CSS;JavaScript;Ruby;TypeScript")</f>
        <v>Elixir;HTML/CSS;JavaScript;Ruby;TypeScript</v>
      </c>
      <c r="M5284" s="9" t="s">
        <v>20</v>
      </c>
    </row>
    <row r="5285" ht="15.75" customHeight="1">
      <c r="A5285" s="7"/>
      <c r="B5285" s="7" t="str">
        <f>IFERROR(__xludf.DUMMYFUNCTION("""COMPUTED_VALUE"""),"Assembly;Bash/Shell/PowerShell;C;C#;HTML/CSS;Java;JavaScript;Python;R")</f>
        <v>Assembly;Bash/Shell/PowerShell;C;C#;HTML/CSS;Java;JavaScript;Python;R</v>
      </c>
      <c r="M5285" s="9" t="s">
        <v>21</v>
      </c>
    </row>
    <row r="5286" ht="15.75" customHeight="1">
      <c r="A5286" s="7"/>
      <c r="B5286" s="7" t="str">
        <f>IFERROR(__xludf.DUMMYFUNCTION("""COMPUTED_VALUE"""),"Bash/Shell/PowerShell;Java")</f>
        <v>Bash/Shell/PowerShell;Java</v>
      </c>
      <c r="M5286" s="9" t="s">
        <v>22</v>
      </c>
    </row>
    <row r="5287" ht="15.75" customHeight="1">
      <c r="A5287" s="7"/>
      <c r="B5287" s="7" t="str">
        <f>IFERROR(__xludf.DUMMYFUNCTION("""COMPUTED_VALUE"""),"Bash/Shell/PowerShell;HTML/CSS;Java;Python")</f>
        <v>Bash/Shell/PowerShell;HTML/CSS;Java;Python</v>
      </c>
      <c r="M5287" s="9" t="s">
        <v>38</v>
      </c>
    </row>
    <row r="5288" ht="15.75" customHeight="1">
      <c r="A5288" s="7"/>
      <c r="B5288" s="7" t="str">
        <f>IFERROR(__xludf.DUMMYFUNCTION("""COMPUTED_VALUE"""),"Assembly;C;C++;HTML/CSS;Java")</f>
        <v>Assembly;C;C++;HTML/CSS;Java</v>
      </c>
      <c r="M5288" s="9" t="s">
        <v>30</v>
      </c>
    </row>
    <row r="5289" ht="15.75" customHeight="1">
      <c r="A5289" s="7"/>
      <c r="B5289" s="7" t="str">
        <f>IFERROR(__xludf.DUMMYFUNCTION("""COMPUTED_VALUE"""),"Bash/Shell/PowerShell;HTML/CSS;Java;JavaScript;Ruby;SQL")</f>
        <v>Bash/Shell/PowerShell;HTML/CSS;Java;JavaScript;Ruby;SQL</v>
      </c>
      <c r="M5289" s="9" t="s">
        <v>25</v>
      </c>
    </row>
    <row r="5290" ht="15.75" customHeight="1">
      <c r="A5290" s="7"/>
      <c r="B5290" s="7" t="str">
        <f>IFERROR(__xludf.DUMMYFUNCTION("""COMPUTED_VALUE"""),"Bash/Shell/PowerShell;JavaScript;Python;R;Ruby;SQL")</f>
        <v>Bash/Shell/PowerShell;JavaScript;Python;R;Ruby;SQL</v>
      </c>
      <c r="M5290" s="9" t="s">
        <v>23</v>
      </c>
    </row>
    <row r="5291" ht="15.75" customHeight="1">
      <c r="A5291" s="7"/>
      <c r="B5291" s="7" t="str">
        <f>IFERROR(__xludf.DUMMYFUNCTION("""COMPUTED_VALUE"""),"Bash/Shell/PowerShell;Java;JavaScript")</f>
        <v>Bash/Shell/PowerShell;Java;JavaScript</v>
      </c>
      <c r="M5291" s="9" t="s">
        <v>26</v>
      </c>
    </row>
    <row r="5292" ht="15.75" customHeight="1">
      <c r="A5292" s="7"/>
      <c r="B5292" s="7" t="str">
        <f>IFERROR(__xludf.DUMMYFUNCTION("""COMPUTED_VALUE"""),"C#;HTML/CSS;Java;JavaScript;PHP;SQL")</f>
        <v>C#;HTML/CSS;Java;JavaScript;PHP;SQL</v>
      </c>
      <c r="M5292" s="9" t="s">
        <v>24</v>
      </c>
    </row>
    <row r="5293" ht="15.75" customHeight="1">
      <c r="A5293" s="7"/>
      <c r="B5293" s="7" t="str">
        <f>IFERROR(__xludf.DUMMYFUNCTION("""COMPUTED_VALUE"""),"HTML/CSS;Java;JavaScript;Python")</f>
        <v>HTML/CSS;Java;JavaScript;Python</v>
      </c>
      <c r="M5293" s="9" t="s">
        <v>21</v>
      </c>
    </row>
    <row r="5294" ht="15.75" customHeight="1">
      <c r="A5294" s="7"/>
      <c r="B5294" s="7" t="str">
        <f>IFERROR(__xludf.DUMMYFUNCTION("""COMPUTED_VALUE"""),"HTML/CSS;Java;Kotlin;Python")</f>
        <v>HTML/CSS;Java;Kotlin;Python</v>
      </c>
      <c r="M5294" s="9" t="s">
        <v>37</v>
      </c>
    </row>
    <row r="5295" ht="15.75" customHeight="1">
      <c r="A5295" s="7"/>
      <c r="B5295" s="7" t="str">
        <f>IFERROR(__xludf.DUMMYFUNCTION("""COMPUTED_VALUE"""),"Bash/Shell/PowerShell;C;C++;Java;JavaScript;Python;R;TypeScript")</f>
        <v>Bash/Shell/PowerShell;C;C++;Java;JavaScript;Python;R;TypeScript</v>
      </c>
      <c r="M5295" s="9" t="s">
        <v>27</v>
      </c>
    </row>
    <row r="5296" ht="15.75" customHeight="1">
      <c r="A5296" s="7"/>
      <c r="B5296" s="7" t="str">
        <f>IFERROR(__xludf.DUMMYFUNCTION("""COMPUTED_VALUE"""),"Clojure;Python")</f>
        <v>Clojure;Python</v>
      </c>
      <c r="M5296" s="9" t="s">
        <v>33</v>
      </c>
    </row>
    <row r="5297" ht="15.75" customHeight="1">
      <c r="A5297" s="7"/>
      <c r="B5297" s="7" t="str">
        <f>IFERROR(__xludf.DUMMYFUNCTION("""COMPUTED_VALUE"""),"HTML/CSS;Java;JavaScript;Scala")</f>
        <v>HTML/CSS;Java;JavaScript;Scala</v>
      </c>
      <c r="M5297" s="9" t="s">
        <v>34</v>
      </c>
    </row>
    <row r="5298" ht="15.75" customHeight="1">
      <c r="A5298" s="7"/>
      <c r="B5298" s="7" t="str">
        <f>IFERROR(__xludf.DUMMYFUNCTION("""COMPUTED_VALUE"""),"Bash/Shell/PowerShell;Python")</f>
        <v>Bash/Shell/PowerShell;Python</v>
      </c>
      <c r="M5298" s="9" t="s">
        <v>24</v>
      </c>
    </row>
    <row r="5299" ht="15.75" customHeight="1">
      <c r="A5299" s="7"/>
      <c r="B5299" s="7" t="str">
        <f>IFERROR(__xludf.DUMMYFUNCTION("""COMPUTED_VALUE"""),"HTML/CSS;JavaScript;Objective-C;Python")</f>
        <v>HTML/CSS;JavaScript;Objective-C;Python</v>
      </c>
      <c r="M5299" s="9" t="s">
        <v>21</v>
      </c>
    </row>
    <row r="5300" ht="15.75" customHeight="1">
      <c r="A5300" s="7"/>
      <c r="B5300" s="7" t="str">
        <f>IFERROR(__xludf.DUMMYFUNCTION("""COMPUTED_VALUE"""),"Assembly;C#;Ruby;Other(s):")</f>
        <v>Assembly;C#;Ruby;Other(s):</v>
      </c>
      <c r="M5300" s="9" t="s">
        <v>37</v>
      </c>
    </row>
    <row r="5301" ht="15.75" customHeight="1">
      <c r="A5301" s="7"/>
      <c r="B5301" s="7" t="str">
        <f>IFERROR(__xludf.DUMMYFUNCTION("""COMPUTED_VALUE"""),"Bash/Shell/PowerShell;C#;Objective-C;Ruby;SQL;Swift")</f>
        <v>Bash/Shell/PowerShell;C#;Objective-C;Ruby;SQL;Swift</v>
      </c>
      <c r="M5301" s="9" t="s">
        <v>38</v>
      </c>
    </row>
    <row r="5302" ht="15.75" customHeight="1">
      <c r="A5302" s="7"/>
      <c r="B5302" s="7" t="str">
        <f>IFERROR(__xludf.DUMMYFUNCTION("""COMPUTED_VALUE"""),"Bash/Shell/PowerShell;Python;VBA")</f>
        <v>Bash/Shell/PowerShell;Python;VBA</v>
      </c>
      <c r="M5302" s="9" t="s">
        <v>30</v>
      </c>
    </row>
    <row r="5303" ht="15.75" customHeight="1">
      <c r="A5303" s="7"/>
      <c r="B5303" s="7" t="str">
        <f>IFERROR(__xludf.DUMMYFUNCTION("""COMPUTED_VALUE"""),"Assembly;C;C++;C#;HTML/CSS;Java;JavaScript;PHP;SQL")</f>
        <v>Assembly;C;C++;C#;HTML/CSS;Java;JavaScript;PHP;SQL</v>
      </c>
      <c r="M5303" s="9" t="s">
        <v>25</v>
      </c>
    </row>
    <row r="5304" ht="15.75" customHeight="1">
      <c r="A5304" s="7"/>
      <c r="B5304" s="7" t="str">
        <f>IFERROR(__xludf.DUMMYFUNCTION("""COMPUTED_VALUE"""),"JavaScript;Objective-C")</f>
        <v>JavaScript;Objective-C</v>
      </c>
      <c r="M5304" s="9" t="s">
        <v>23</v>
      </c>
    </row>
    <row r="5305" ht="15.75" customHeight="1">
      <c r="A5305" s="7"/>
      <c r="B5305" s="7" t="str">
        <f>IFERROR(__xludf.DUMMYFUNCTION("""COMPUTED_VALUE"""),"C++;Python;SQL")</f>
        <v>C++;Python;SQL</v>
      </c>
      <c r="M5305" s="9" t="s">
        <v>26</v>
      </c>
    </row>
    <row r="5306" ht="15.75" customHeight="1">
      <c r="A5306" s="7"/>
      <c r="B5306" s="7" t="str">
        <f>IFERROR(__xludf.DUMMYFUNCTION("""COMPUTED_VALUE"""),"Bash/Shell/PowerShell;C#;SQL;Other(s):")</f>
        <v>Bash/Shell/PowerShell;C#;SQL;Other(s):</v>
      </c>
      <c r="M5306" s="9" t="s">
        <v>22</v>
      </c>
    </row>
    <row r="5307" ht="15.75" customHeight="1">
      <c r="A5307" s="7"/>
      <c r="B5307" s="7" t="str">
        <f>IFERROR(__xludf.DUMMYFUNCTION("""COMPUTED_VALUE"""),"C#;HTML/CSS;JavaScript;SQL")</f>
        <v>C#;HTML/CSS;JavaScript;SQL</v>
      </c>
      <c r="M5307" s="9" t="s">
        <v>34</v>
      </c>
    </row>
    <row r="5308" ht="15.75" customHeight="1">
      <c r="A5308" s="7"/>
      <c r="B5308" s="7" t="str">
        <f>IFERROR(__xludf.DUMMYFUNCTION("""COMPUTED_VALUE"""),"C++;HTML/CSS;JavaScript")</f>
        <v>C++;HTML/CSS;JavaScript</v>
      </c>
      <c r="M5308" s="9" t="s">
        <v>38</v>
      </c>
    </row>
    <row r="5309" ht="15.75" customHeight="1">
      <c r="A5309" s="7"/>
      <c r="B5309" s="7" t="str">
        <f>IFERROR(__xludf.DUMMYFUNCTION("""COMPUTED_VALUE"""),"Bash/Shell/PowerShell;Elixir;Erlang;HTML/CSS;JavaScript;Python;R;SQL")</f>
        <v>Bash/Shell/PowerShell;Elixir;Erlang;HTML/CSS;JavaScript;Python;R;SQL</v>
      </c>
      <c r="M5309" s="9" t="s">
        <v>25</v>
      </c>
    </row>
    <row r="5310" ht="15.75" customHeight="1">
      <c r="A5310" s="7"/>
      <c r="B5310" s="7" t="str">
        <f>IFERROR(__xludf.DUMMYFUNCTION("""COMPUTED_VALUE"""),"HTML/CSS;Java;Python;R;SQL")</f>
        <v>HTML/CSS;Java;Python;R;SQL</v>
      </c>
      <c r="M5310" s="9" t="s">
        <v>26</v>
      </c>
    </row>
    <row r="5311" ht="15.75" customHeight="1">
      <c r="A5311" s="7"/>
      <c r="B5311" s="7" t="str">
        <f>IFERROR(__xludf.DUMMYFUNCTION("""COMPUTED_VALUE"""),"Bash/Shell/PowerShell;HTML/CSS;JavaScript;Python;SQL;Other(s):")</f>
        <v>Bash/Shell/PowerShell;HTML/CSS;JavaScript;Python;SQL;Other(s):</v>
      </c>
      <c r="M5311" s="9" t="s">
        <v>20</v>
      </c>
    </row>
    <row r="5312" ht="15.75" customHeight="1">
      <c r="A5312" s="7"/>
      <c r="B5312" s="7" t="str">
        <f>IFERROR(__xludf.DUMMYFUNCTION("""COMPUTED_VALUE"""),"HTML/CSS;JavaScript;PHP;SQL")</f>
        <v>HTML/CSS;JavaScript;PHP;SQL</v>
      </c>
      <c r="M5312" s="9" t="s">
        <v>31</v>
      </c>
    </row>
    <row r="5313" ht="15.75" customHeight="1">
      <c r="A5313" s="7"/>
      <c r="B5313" s="7" t="str">
        <f>IFERROR(__xludf.DUMMYFUNCTION("""COMPUTED_VALUE"""),"HTML/CSS")</f>
        <v>HTML/CSS</v>
      </c>
      <c r="M5313" s="9" t="s">
        <v>33</v>
      </c>
    </row>
    <row r="5314" ht="15.75" customHeight="1">
      <c r="A5314" s="7"/>
      <c r="B5314" s="7" t="str">
        <f>IFERROR(__xludf.DUMMYFUNCTION("""COMPUTED_VALUE"""),"C#;HTML/CSS;JavaScript;SQL")</f>
        <v>C#;HTML/CSS;JavaScript;SQL</v>
      </c>
      <c r="M5314" s="9" t="s">
        <v>23</v>
      </c>
    </row>
    <row r="5315" ht="15.75" customHeight="1">
      <c r="A5315" s="7"/>
      <c r="B5315" s="7" t="str">
        <f>IFERROR(__xludf.DUMMYFUNCTION("""COMPUTED_VALUE"""),"C;C++;C#;HTML/CSS;Java;JavaScript;PHP;Python;SQL")</f>
        <v>C;C++;C#;HTML/CSS;Java;JavaScript;PHP;Python;SQL</v>
      </c>
      <c r="M5315" s="9" t="s">
        <v>24</v>
      </c>
    </row>
    <row r="5316" ht="15.75" customHeight="1">
      <c r="A5316" s="7"/>
      <c r="B5316" s="7" t="str">
        <f>IFERROR(__xludf.DUMMYFUNCTION("""COMPUTED_VALUE"""),"Bash/Shell/PowerShell;C;HTML/CSS;Java;JavaScript;PHP;Python;R;SQL")</f>
        <v>Bash/Shell/PowerShell;C;HTML/CSS;Java;JavaScript;PHP;Python;R;SQL</v>
      </c>
      <c r="M5316" s="9" t="s">
        <v>20</v>
      </c>
    </row>
    <row r="5317" ht="15.75" customHeight="1">
      <c r="A5317" s="7"/>
      <c r="B5317" s="7" t="str">
        <f>IFERROR(__xludf.DUMMYFUNCTION("""COMPUTED_VALUE"""),"Bash/Shell/PowerShell;C;HTML/CSS;Java;Python;SQL")</f>
        <v>Bash/Shell/PowerShell;C;HTML/CSS;Java;Python;SQL</v>
      </c>
      <c r="M5317" s="9" t="s">
        <v>21</v>
      </c>
    </row>
    <row r="5318" ht="15.75" customHeight="1">
      <c r="A5318" s="7"/>
      <c r="B5318" s="7" t="str">
        <f>IFERROR(__xludf.DUMMYFUNCTION("""COMPUTED_VALUE"""),"Bash/Shell/PowerShell;HTML/CSS;JavaScript;PHP;Ruby;SQL")</f>
        <v>Bash/Shell/PowerShell;HTML/CSS;JavaScript;PHP;Ruby;SQL</v>
      </c>
      <c r="M5318" s="9" t="s">
        <v>22</v>
      </c>
    </row>
    <row r="5319" ht="15.75" customHeight="1">
      <c r="A5319" s="7"/>
      <c r="B5319" s="7" t="str">
        <f>IFERROR(__xludf.DUMMYFUNCTION("""COMPUTED_VALUE"""),"Bash/Shell/PowerShell;Java;JavaScript;Objective-C;Python;Scala;SQL")</f>
        <v>Bash/Shell/PowerShell;Java;JavaScript;Objective-C;Python;Scala;SQL</v>
      </c>
      <c r="M5319" s="9" t="s">
        <v>30</v>
      </c>
    </row>
    <row r="5320" ht="15.75" customHeight="1">
      <c r="A5320" s="7"/>
      <c r="B5320" s="7" t="str">
        <f>IFERROR(__xludf.DUMMYFUNCTION("""COMPUTED_VALUE"""),"Java;Python")</f>
        <v>Java;Python</v>
      </c>
      <c r="M5320" s="9" t="s">
        <v>26</v>
      </c>
    </row>
    <row r="5321" ht="15.75" customHeight="1">
      <c r="A5321" s="7"/>
      <c r="B5321" s="7" t="str">
        <f>IFERROR(__xludf.DUMMYFUNCTION("""COMPUTED_VALUE"""),"Bash/Shell/PowerShell;C#;Go;HTML/CSS;Python;SQL;Other(s):")</f>
        <v>Bash/Shell/PowerShell;C#;Go;HTML/CSS;Python;SQL;Other(s):</v>
      </c>
      <c r="M5321" s="9" t="s">
        <v>24</v>
      </c>
    </row>
    <row r="5322" ht="15.75" customHeight="1">
      <c r="A5322" s="7"/>
      <c r="B5322" s="7" t="str">
        <f>IFERROR(__xludf.DUMMYFUNCTION("""COMPUTED_VALUE"""),"HTML/CSS;JavaScript;PHP;SQL")</f>
        <v>HTML/CSS;JavaScript;PHP;SQL</v>
      </c>
      <c r="M5322" s="9" t="s">
        <v>20</v>
      </c>
    </row>
    <row r="5323" ht="15.75" customHeight="1">
      <c r="A5323" s="7"/>
      <c r="B5323" s="7" t="str">
        <f>IFERROR(__xludf.DUMMYFUNCTION("""COMPUTED_VALUE"""),"Other(s):")</f>
        <v>Other(s):</v>
      </c>
      <c r="M5323" s="9" t="s">
        <v>21</v>
      </c>
    </row>
    <row r="5324" ht="15.75" customHeight="1">
      <c r="A5324" s="7"/>
      <c r="B5324" s="7" t="str">
        <f>IFERROR(__xludf.DUMMYFUNCTION("""COMPUTED_VALUE"""),"Assembly;Bash/Shell/PowerShell;C++;C#;HTML/CSS;Java;JavaScript;PHP;Python;SQL")</f>
        <v>Assembly;Bash/Shell/PowerShell;C++;C#;HTML/CSS;Java;JavaScript;PHP;Python;SQL</v>
      </c>
      <c r="M5324" s="9" t="s">
        <v>22</v>
      </c>
    </row>
    <row r="5325" ht="15.75" customHeight="1">
      <c r="A5325" s="7"/>
      <c r="B5325" s="7" t="str">
        <f>IFERROR(__xludf.DUMMYFUNCTION("""COMPUTED_VALUE"""),"C;C++;HTML/CSS;Java;JavaScript;Objective-C;Python;SQL;Swift")</f>
        <v>C;C++;HTML/CSS;Java;JavaScript;Objective-C;Python;SQL;Swift</v>
      </c>
      <c r="M5325" s="9" t="s">
        <v>27</v>
      </c>
    </row>
    <row r="5326" ht="15.75" customHeight="1">
      <c r="A5326" s="7"/>
      <c r="B5326" s="7" t="str">
        <f>IFERROR(__xludf.DUMMYFUNCTION("""COMPUTED_VALUE"""),"C#;SQL")</f>
        <v>C#;SQL</v>
      </c>
      <c r="M5326" s="9" t="s">
        <v>30</v>
      </c>
    </row>
    <row r="5327" ht="15.75" customHeight="1">
      <c r="A5327" s="7"/>
      <c r="B5327" s="7" t="str">
        <f>IFERROR(__xludf.DUMMYFUNCTION("""COMPUTED_VALUE"""),"Bash/Shell/PowerShell;C#;Java;Python;SQL")</f>
        <v>Bash/Shell/PowerShell;C#;Java;Python;SQL</v>
      </c>
      <c r="M5327" s="9" t="s">
        <v>26</v>
      </c>
    </row>
    <row r="5328" ht="15.75" customHeight="1">
      <c r="A5328" s="7"/>
      <c r="B5328" s="7" t="str">
        <f>IFERROR(__xludf.DUMMYFUNCTION("""COMPUTED_VALUE"""),"C++;Python;Other(s):")</f>
        <v>C++;Python;Other(s):</v>
      </c>
      <c r="M5328" s="9" t="s">
        <v>24</v>
      </c>
    </row>
    <row r="5329" ht="15.75" customHeight="1">
      <c r="A5329" s="7"/>
      <c r="B5329" s="7" t="str">
        <f>IFERROR(__xludf.DUMMYFUNCTION("""COMPUTED_VALUE"""),"Java;JavaScript;Python;SQL;TypeScript")</f>
        <v>Java;JavaScript;Python;SQL;TypeScript</v>
      </c>
      <c r="M5329" s="9" t="s">
        <v>21</v>
      </c>
    </row>
    <row r="5330" ht="15.75" customHeight="1">
      <c r="A5330" s="7"/>
      <c r="B5330" s="7" t="str">
        <f>IFERROR(__xludf.DUMMYFUNCTION("""COMPUTED_VALUE"""),"HTML/CSS;JavaScript")</f>
        <v>HTML/CSS;JavaScript</v>
      </c>
      <c r="M5330" s="9" t="s">
        <v>27</v>
      </c>
    </row>
    <row r="5331" ht="15.75" customHeight="1">
      <c r="A5331" s="7"/>
      <c r="B5331" s="7" t="str">
        <f>IFERROR(__xludf.DUMMYFUNCTION("""COMPUTED_VALUE"""),"C++;HTML/CSS;Java;JavaScript;PHP;Python;Ruby;SQL")</f>
        <v>C++;HTML/CSS;Java;JavaScript;PHP;Python;Ruby;SQL</v>
      </c>
      <c r="M5331" s="9" t="s">
        <v>33</v>
      </c>
    </row>
    <row r="5332" ht="15.75" customHeight="1">
      <c r="A5332" s="7"/>
      <c r="B5332" s="7" t="str">
        <f>IFERROR(__xludf.DUMMYFUNCTION("""COMPUTED_VALUE"""),"HTML/CSS;JavaScript")</f>
        <v>HTML/CSS;JavaScript</v>
      </c>
      <c r="M5332" s="9" t="s">
        <v>28</v>
      </c>
    </row>
    <row r="5333" ht="15.75" customHeight="1">
      <c r="A5333" s="7"/>
      <c r="B5333" s="7" t="str">
        <f>IFERROR(__xludf.DUMMYFUNCTION("""COMPUTED_VALUE"""),"Bash/Shell/PowerShell;JavaScript")</f>
        <v>Bash/Shell/PowerShell;JavaScript</v>
      </c>
      <c r="M5333" s="9" t="s">
        <v>24</v>
      </c>
    </row>
    <row r="5334" ht="15.75" customHeight="1">
      <c r="A5334" s="7"/>
      <c r="B5334" s="7" t="str">
        <f>IFERROR(__xludf.DUMMYFUNCTION("""COMPUTED_VALUE"""),"Bash/Shell/PowerShell;C;C++;Go;Python;Rust")</f>
        <v>Bash/Shell/PowerShell;C;C++;Go;Python;Rust</v>
      </c>
      <c r="M5334" s="9" t="s">
        <v>21</v>
      </c>
    </row>
    <row r="5335" ht="15.75" customHeight="1">
      <c r="A5335" s="7"/>
      <c r="B5335" s="7" t="str">
        <f>IFERROR(__xludf.DUMMYFUNCTION("""COMPUTED_VALUE"""),"Assembly;Bash/Shell/PowerShell;C;HTML/CSS;Java;Python")</f>
        <v>Assembly;Bash/Shell/PowerShell;C;HTML/CSS;Java;Python</v>
      </c>
      <c r="M5335" s="9" t="s">
        <v>22</v>
      </c>
    </row>
    <row r="5336" ht="15.75" customHeight="1">
      <c r="A5336" s="7"/>
      <c r="B5336" s="7" t="str">
        <f>IFERROR(__xludf.DUMMYFUNCTION("""COMPUTED_VALUE"""),"C;C++;C#;HTML/CSS;JavaScript;SQL;TypeScript;Other(s):")</f>
        <v>C;C++;C#;HTML/CSS;JavaScript;SQL;TypeScript;Other(s):</v>
      </c>
      <c r="M5336" s="9" t="s">
        <v>30</v>
      </c>
    </row>
    <row r="5337" ht="15.75" customHeight="1">
      <c r="A5337" s="7"/>
      <c r="B5337" s="7" t="str">
        <f>IFERROR(__xludf.DUMMYFUNCTION("""COMPUTED_VALUE"""),"C++;Java")</f>
        <v>C++;Java</v>
      </c>
      <c r="M5337" s="9" t="s">
        <v>25</v>
      </c>
    </row>
    <row r="5338" ht="15.75" customHeight="1">
      <c r="A5338" s="7"/>
      <c r="B5338" s="7" t="str">
        <f>IFERROR(__xludf.DUMMYFUNCTION("""COMPUTED_VALUE"""),"Assembly")</f>
        <v>Assembly</v>
      </c>
      <c r="M5338" s="9" t="s">
        <v>23</v>
      </c>
    </row>
    <row r="5339" ht="15.75" customHeight="1">
      <c r="A5339" s="7"/>
      <c r="B5339" s="7" t="str">
        <f>IFERROR(__xludf.DUMMYFUNCTION("""COMPUTED_VALUE"""),"HTML/CSS;JavaScript;SQL")</f>
        <v>HTML/CSS;JavaScript;SQL</v>
      </c>
      <c r="M5339" s="9" t="s">
        <v>47</v>
      </c>
    </row>
    <row r="5340" ht="15.75" customHeight="1">
      <c r="A5340" s="7"/>
      <c r="B5340" s="7" t="str">
        <f>IFERROR(__xludf.DUMMYFUNCTION("""COMPUTED_VALUE"""),"Python")</f>
        <v>Python</v>
      </c>
      <c r="M5340" s="9" t="s">
        <v>24</v>
      </c>
    </row>
    <row r="5341" ht="15.75" customHeight="1">
      <c r="A5341" s="7"/>
      <c r="B5341" s="7" t="str">
        <f>IFERROR(__xludf.DUMMYFUNCTION("""COMPUTED_VALUE"""),"C++;HTML/CSS;Java;JavaScript;PHP;SQL")</f>
        <v>C++;HTML/CSS;Java;JavaScript;PHP;SQL</v>
      </c>
      <c r="M5341" s="9" t="s">
        <v>20</v>
      </c>
    </row>
    <row r="5342" ht="15.75" customHeight="1">
      <c r="A5342" s="7"/>
      <c r="B5342" s="7" t="str">
        <f>IFERROR(__xludf.DUMMYFUNCTION("""COMPUTED_VALUE"""),"Java;SQL;Other(s):")</f>
        <v>Java;SQL;Other(s):</v>
      </c>
      <c r="M5342" s="9" t="s">
        <v>21</v>
      </c>
    </row>
    <row r="5343" ht="15.75" customHeight="1">
      <c r="A5343" s="7"/>
      <c r="B5343" s="7" t="str">
        <f>IFERROR(__xludf.DUMMYFUNCTION("""COMPUTED_VALUE"""),"Objective-C;Python;Swift")</f>
        <v>Objective-C;Python;Swift</v>
      </c>
      <c r="M5343" s="9" t="s">
        <v>39</v>
      </c>
    </row>
    <row r="5344" ht="15.75" customHeight="1">
      <c r="A5344" s="7"/>
      <c r="B5344" s="7" t="str">
        <f>IFERROR(__xludf.DUMMYFUNCTION("""COMPUTED_VALUE"""),"Bash/Shell/PowerShell;C#;HTML/CSS;JavaScript;SQL;TypeScript")</f>
        <v>Bash/Shell/PowerShell;C#;HTML/CSS;JavaScript;SQL;TypeScript</v>
      </c>
      <c r="M5344" s="9" t="s">
        <v>46</v>
      </c>
    </row>
    <row r="5345" ht="15.75" customHeight="1">
      <c r="A5345" s="7"/>
      <c r="B5345" s="7" t="str">
        <f>IFERROR(__xludf.DUMMYFUNCTION("""COMPUTED_VALUE"""),"Bash/Shell/PowerShell;C;C++;Java;Python;Swift")</f>
        <v>Bash/Shell/PowerShell;C;C++;Java;Python;Swift</v>
      </c>
      <c r="M5345" s="9" t="s">
        <v>36</v>
      </c>
    </row>
    <row r="5346" ht="15.75" customHeight="1">
      <c r="A5346" s="7"/>
      <c r="B5346" s="7" t="str">
        <f>IFERROR(__xludf.DUMMYFUNCTION("""COMPUTED_VALUE"""),"Bash/Shell/PowerShell;HTML/CSS;Java;JavaScript;Python;SQL")</f>
        <v>Bash/Shell/PowerShell;HTML/CSS;Java;JavaScript;Python;SQL</v>
      </c>
      <c r="M5346" s="9" t="s">
        <v>21</v>
      </c>
    </row>
    <row r="5347" ht="15.75" customHeight="1">
      <c r="A5347" s="7"/>
      <c r="B5347" s="7" t="str">
        <f>IFERROR(__xludf.DUMMYFUNCTION("""COMPUTED_VALUE"""),"Java;Kotlin")</f>
        <v>Java;Kotlin</v>
      </c>
      <c r="M5347" s="9" t="s">
        <v>22</v>
      </c>
    </row>
    <row r="5348" ht="15.75" customHeight="1">
      <c r="A5348" s="7"/>
      <c r="B5348" s="7" t="str">
        <f>IFERROR(__xludf.DUMMYFUNCTION("""COMPUTED_VALUE"""),"C;C++;Python")</f>
        <v>C;C++;Python</v>
      </c>
      <c r="M5348" s="9" t="s">
        <v>27</v>
      </c>
    </row>
    <row r="5349" ht="15.75" customHeight="1">
      <c r="A5349" s="7"/>
      <c r="B5349" s="7" t="str">
        <f>IFERROR(__xludf.DUMMYFUNCTION("""COMPUTED_VALUE"""),"C;C#")</f>
        <v>C;C#</v>
      </c>
      <c r="M5349" s="9" t="s">
        <v>33</v>
      </c>
    </row>
    <row r="5350" ht="15.75" customHeight="1">
      <c r="A5350" s="7"/>
      <c r="B5350" s="7" t="str">
        <f>IFERROR(__xludf.DUMMYFUNCTION("""COMPUTED_VALUE"""),"Assembly;Bash/Shell/PowerShell;C#;HTML/CSS;JavaScript;PHP;Python;R;SQL;TypeScript;Other(s):")</f>
        <v>Assembly;Bash/Shell/PowerShell;C#;HTML/CSS;JavaScript;PHP;Python;R;SQL;TypeScript;Other(s):</v>
      </c>
      <c r="M5350" s="9" t="s">
        <v>21</v>
      </c>
    </row>
    <row r="5351" ht="15.75" customHeight="1">
      <c r="A5351" s="7"/>
      <c r="B5351" s="7" t="str">
        <f>IFERROR(__xludf.DUMMYFUNCTION("""COMPUTED_VALUE"""),"Bash/Shell/PowerShell;C;HTML/CSS;JavaScript;Python;TypeScript;Other(s):")</f>
        <v>Bash/Shell/PowerShell;C;HTML/CSS;JavaScript;Python;TypeScript;Other(s):</v>
      </c>
      <c r="M5351" s="9" t="s">
        <v>22</v>
      </c>
    </row>
    <row r="5352" ht="15.75" customHeight="1">
      <c r="A5352" s="7"/>
      <c r="B5352" s="7" t="str">
        <f>IFERROR(__xludf.DUMMYFUNCTION("""COMPUTED_VALUE"""),"HTML/CSS;Python")</f>
        <v>HTML/CSS;Python</v>
      </c>
      <c r="M5352" s="9" t="s">
        <v>30</v>
      </c>
    </row>
    <row r="5353" ht="15.75" customHeight="1">
      <c r="A5353" s="7"/>
      <c r="B5353" s="7" t="str">
        <f>IFERROR(__xludf.DUMMYFUNCTION("""COMPUTED_VALUE"""),"Bash/Shell/PowerShell;Go;HTML/CSS;JavaScript;PHP;SQL")</f>
        <v>Bash/Shell/PowerShell;Go;HTML/CSS;JavaScript;PHP;SQL</v>
      </c>
      <c r="M5353" s="9" t="s">
        <v>26</v>
      </c>
    </row>
    <row r="5354" ht="15.75" customHeight="1">
      <c r="A5354" s="7"/>
      <c r="B5354" s="7" t="str">
        <f>IFERROR(__xludf.DUMMYFUNCTION("""COMPUTED_VALUE"""),"C;HTML/CSS;Java;JavaScript")</f>
        <v>C;HTML/CSS;Java;JavaScript</v>
      </c>
      <c r="M5354" s="9" t="s">
        <v>24</v>
      </c>
    </row>
    <row r="5355" ht="15.75" customHeight="1">
      <c r="A5355" s="7"/>
      <c r="B5355" s="7" t="str">
        <f>IFERROR(__xludf.DUMMYFUNCTION("""COMPUTED_VALUE"""),"HTML/CSS;JavaScript;Python;TypeScript")</f>
        <v>HTML/CSS;JavaScript;Python;TypeScript</v>
      </c>
      <c r="M5355" s="9" t="s">
        <v>21</v>
      </c>
    </row>
    <row r="5356" ht="15.75" customHeight="1">
      <c r="A5356" s="7"/>
      <c r="B5356" s="7" t="str">
        <f>IFERROR(__xludf.DUMMYFUNCTION("""COMPUTED_VALUE"""),"Assembly;C;C++;C#;HTML/CSS;Java;JavaScript;PHP;Python;R;SQL")</f>
        <v>Assembly;C;C++;C#;HTML/CSS;Java;JavaScript;PHP;Python;R;SQL</v>
      </c>
      <c r="M5356" s="9" t="s">
        <v>22</v>
      </c>
    </row>
    <row r="5357" ht="15.75" customHeight="1">
      <c r="A5357" s="7"/>
      <c r="B5357" s="7" t="str">
        <f>IFERROR(__xludf.DUMMYFUNCTION("""COMPUTED_VALUE"""),"C#;HTML/CSS;SQL;TypeScript")</f>
        <v>C#;HTML/CSS;SQL;TypeScript</v>
      </c>
      <c r="M5357" s="9" t="s">
        <v>27</v>
      </c>
    </row>
    <row r="5358" ht="15.75" customHeight="1">
      <c r="A5358" s="7"/>
      <c r="B5358" s="7" t="str">
        <f>IFERROR(__xludf.DUMMYFUNCTION("""COMPUTED_VALUE"""),"HTML/CSS;Java;JavaScript")</f>
        <v>HTML/CSS;Java;JavaScript</v>
      </c>
      <c r="M5358" s="9" t="s">
        <v>33</v>
      </c>
    </row>
    <row r="5359" ht="15.75" customHeight="1">
      <c r="A5359" s="7"/>
      <c r="B5359" s="7" t="str">
        <f>IFERROR(__xludf.DUMMYFUNCTION("""COMPUTED_VALUE"""),"C++;C#;Python;SQL")</f>
        <v>C++;C#;Python;SQL</v>
      </c>
      <c r="M5359" s="9" t="s">
        <v>24</v>
      </c>
    </row>
    <row r="5360" ht="15.75" customHeight="1">
      <c r="A5360" s="7"/>
      <c r="B5360" s="7" t="str">
        <f>IFERROR(__xludf.DUMMYFUNCTION("""COMPUTED_VALUE"""),"HTML/CSS;Java;JavaScript;Swift")</f>
        <v>HTML/CSS;Java;JavaScript;Swift</v>
      </c>
      <c r="M5360" s="9" t="s">
        <v>21</v>
      </c>
    </row>
    <row r="5361" ht="15.75" customHeight="1">
      <c r="A5361" s="7"/>
      <c r="B5361" s="7" t="str">
        <f>IFERROR(__xludf.DUMMYFUNCTION("""COMPUTED_VALUE"""),"HTML/CSS;JavaScript;PHP;Python;SQL")</f>
        <v>HTML/CSS;JavaScript;PHP;Python;SQL</v>
      </c>
      <c r="M5361" s="9" t="s">
        <v>33</v>
      </c>
    </row>
    <row r="5362" ht="15.75" customHeight="1">
      <c r="A5362" s="7"/>
      <c r="B5362" s="7" t="str">
        <f>IFERROR(__xludf.DUMMYFUNCTION("""COMPUTED_VALUE"""),"Bash/Shell/PowerShell;C;C++;HTML/CSS;Java;JavaScript;PHP;Python;R;Ruby;SQL;VBA")</f>
        <v>Bash/Shell/PowerShell;C;C++;HTML/CSS;Java;JavaScript;PHP;Python;R;Ruby;SQL;VBA</v>
      </c>
      <c r="M5362" s="9" t="s">
        <v>24</v>
      </c>
    </row>
    <row r="5363" ht="15.75" customHeight="1">
      <c r="A5363" s="7"/>
      <c r="B5363" s="7" t="str">
        <f>IFERROR(__xludf.DUMMYFUNCTION("""COMPUTED_VALUE"""),"C++;C#;HTML/CSS;Java;JavaScript;PHP;Python;SQL;TypeScript")</f>
        <v>C++;C#;HTML/CSS;Java;JavaScript;PHP;Python;SQL;TypeScript</v>
      </c>
      <c r="M5363" s="9" t="s">
        <v>21</v>
      </c>
    </row>
    <row r="5364" ht="15.75" customHeight="1">
      <c r="A5364" s="7"/>
      <c r="B5364" s="7" t="str">
        <f>IFERROR(__xludf.DUMMYFUNCTION("""COMPUTED_VALUE"""),"Assembly;Bash/Shell/PowerShell;C#;F#;HTML/CSS;Java;JavaScript;SQL;WebAssembly")</f>
        <v>Assembly;Bash/Shell/PowerShell;C#;F#;HTML/CSS;Java;JavaScript;SQL;WebAssembly</v>
      </c>
      <c r="M5364" s="9" t="s">
        <v>24</v>
      </c>
    </row>
    <row r="5365" ht="15.75" customHeight="1">
      <c r="A5365" s="7"/>
      <c r="B5365" s="7" t="str">
        <f>IFERROR(__xludf.DUMMYFUNCTION("""COMPUTED_VALUE"""),"Bash/Shell/PowerShell;C++;C#;HTML/CSS;JavaScript;PHP;SQL;Swift;Other(s):")</f>
        <v>Bash/Shell/PowerShell;C++;C#;HTML/CSS;JavaScript;PHP;SQL;Swift;Other(s):</v>
      </c>
      <c r="M5365" s="9" t="s">
        <v>21</v>
      </c>
    </row>
    <row r="5366" ht="15.75" customHeight="1">
      <c r="A5366" s="7"/>
      <c r="B5366" s="7" t="str">
        <f>IFERROR(__xludf.DUMMYFUNCTION("""COMPUTED_VALUE"""),"Bash/Shell/PowerShell;HTML/CSS;JavaScript;Python")</f>
        <v>Bash/Shell/PowerShell;HTML/CSS;JavaScript;Python</v>
      </c>
      <c r="M5366" s="9" t="s">
        <v>37</v>
      </c>
    </row>
    <row r="5367" ht="15.75" customHeight="1">
      <c r="A5367" s="7"/>
      <c r="B5367" s="7" t="str">
        <f>IFERROR(__xludf.DUMMYFUNCTION("""COMPUTED_VALUE"""),"Bash/Shell/PowerShell;Dart;HTML/CSS;Kotlin;Rust")</f>
        <v>Bash/Shell/PowerShell;Dart;HTML/CSS;Kotlin;Rust</v>
      </c>
      <c r="M5367" s="9" t="s">
        <v>28</v>
      </c>
    </row>
    <row r="5368" ht="15.75" customHeight="1">
      <c r="A5368" s="7"/>
      <c r="B5368" s="7" t="str">
        <f>IFERROR(__xludf.DUMMYFUNCTION("""COMPUTED_VALUE"""),"Bash/Shell/PowerShell;C#;Elixir;Erlang;HTML/CSS;Java;JavaScript;Python;Ruby;SQL")</f>
        <v>Bash/Shell/PowerShell;C#;Elixir;Erlang;HTML/CSS;Java;JavaScript;Python;Ruby;SQL</v>
      </c>
      <c r="M5368" s="9" t="s">
        <v>23</v>
      </c>
    </row>
    <row r="5369" ht="15.75" customHeight="1">
      <c r="A5369" s="7"/>
      <c r="B5369" s="7" t="str">
        <f>IFERROR(__xludf.DUMMYFUNCTION("""COMPUTED_VALUE"""),"C#;HTML/CSS;Java;JavaScript;SQL")</f>
        <v>C#;HTML/CSS;Java;JavaScript;SQL</v>
      </c>
      <c r="M5369" s="9" t="s">
        <v>26</v>
      </c>
    </row>
    <row r="5370" ht="15.75" customHeight="1">
      <c r="A5370" s="7"/>
      <c r="B5370" s="7" t="str">
        <f>IFERROR(__xludf.DUMMYFUNCTION("""COMPUTED_VALUE"""),"C#;HTML/CSS;JavaScript;SQL")</f>
        <v>C#;HTML/CSS;JavaScript;SQL</v>
      </c>
      <c r="M5370" s="9" t="s">
        <v>21</v>
      </c>
    </row>
    <row r="5371" ht="15.75" customHeight="1">
      <c r="A5371" s="7"/>
      <c r="B5371" s="7" t="str">
        <f>IFERROR(__xludf.DUMMYFUNCTION("""COMPUTED_VALUE"""),"Bash/Shell/PowerShell;C;HTML/CSS;JavaScript;PHP;TypeScript")</f>
        <v>Bash/Shell/PowerShell;C;HTML/CSS;JavaScript;PHP;TypeScript</v>
      </c>
      <c r="M5371" s="9" t="s">
        <v>35</v>
      </c>
    </row>
    <row r="5372" ht="15.75" customHeight="1">
      <c r="A5372" s="7"/>
      <c r="B5372" s="7" t="str">
        <f>IFERROR(__xludf.DUMMYFUNCTION("""COMPUTED_VALUE"""),"C#;HTML/CSS;JavaScript;PHP;SQL;TypeScript")</f>
        <v>C#;HTML/CSS;JavaScript;PHP;SQL;TypeScript</v>
      </c>
      <c r="M5372" s="9" t="s">
        <v>25</v>
      </c>
    </row>
    <row r="5373" ht="15.75" customHeight="1">
      <c r="A5373" s="7"/>
      <c r="B5373" s="7" t="str">
        <f>IFERROR(__xludf.DUMMYFUNCTION("""COMPUTED_VALUE"""),"HTML/CSS;JavaScript;PHP;Python;SQL")</f>
        <v>HTML/CSS;JavaScript;PHP;Python;SQL</v>
      </c>
      <c r="M5373" s="9" t="s">
        <v>23</v>
      </c>
    </row>
    <row r="5374" ht="15.75" customHeight="1">
      <c r="A5374" s="7"/>
      <c r="B5374" s="7" t="str">
        <f>IFERROR(__xludf.DUMMYFUNCTION("""COMPUTED_VALUE"""),"Bash/Shell/PowerShell;C#;HTML/CSS;JavaScript;Python;R")</f>
        <v>Bash/Shell/PowerShell;C#;HTML/CSS;JavaScript;Python;R</v>
      </c>
      <c r="M5374" s="9" t="s">
        <v>24</v>
      </c>
    </row>
    <row r="5375" ht="15.75" customHeight="1">
      <c r="A5375" s="7"/>
      <c r="B5375" s="7" t="str">
        <f>IFERROR(__xludf.DUMMYFUNCTION("""COMPUTED_VALUE"""),"Bash/Shell/PowerShell;HTML/CSS;JavaScript;PHP;Python;Ruby;SQL;TypeScript")</f>
        <v>Bash/Shell/PowerShell;HTML/CSS;JavaScript;PHP;Python;Ruby;SQL;TypeScript</v>
      </c>
      <c r="M5375" s="9" t="s">
        <v>20</v>
      </c>
    </row>
    <row r="5376" ht="15.75" customHeight="1">
      <c r="A5376" s="7"/>
      <c r="B5376" s="7" t="str">
        <f>IFERROR(__xludf.DUMMYFUNCTION("""COMPUTED_VALUE"""),"HTML/CSS;JavaScript;PHP;TypeScript")</f>
        <v>HTML/CSS;JavaScript;PHP;TypeScript</v>
      </c>
      <c r="M5376" s="9" t="s">
        <v>21</v>
      </c>
    </row>
    <row r="5377" ht="15.75" customHeight="1">
      <c r="A5377" s="7"/>
      <c r="B5377" s="7" t="str">
        <f>IFERROR(__xludf.DUMMYFUNCTION("""COMPUTED_VALUE"""),"C;Go;Python")</f>
        <v>C;Go;Python</v>
      </c>
      <c r="M5377" s="9" t="s">
        <v>37</v>
      </c>
    </row>
    <row r="5378" ht="15.75" customHeight="1">
      <c r="A5378" s="7"/>
      <c r="B5378" s="7" t="str">
        <f>IFERROR(__xludf.DUMMYFUNCTION("""COMPUTED_VALUE"""),"Bash/Shell/PowerShell;C#;HTML/CSS;JavaScript;SQL")</f>
        <v>Bash/Shell/PowerShell;C#;HTML/CSS;JavaScript;SQL</v>
      </c>
      <c r="M5378" s="9" t="s">
        <v>27</v>
      </c>
    </row>
    <row r="5379" ht="15.75" customHeight="1">
      <c r="A5379" s="7"/>
      <c r="B5379" s="7" t="str">
        <f>IFERROR(__xludf.DUMMYFUNCTION("""COMPUTED_VALUE"""),"Java;Scala;Swift")</f>
        <v>Java;Scala;Swift</v>
      </c>
      <c r="M5379" s="9" t="s">
        <v>25</v>
      </c>
    </row>
    <row r="5380" ht="15.75" customHeight="1">
      <c r="A5380" s="7"/>
      <c r="B5380" s="7" t="str">
        <f>IFERROR(__xludf.DUMMYFUNCTION("""COMPUTED_VALUE"""),"Python")</f>
        <v>Python</v>
      </c>
      <c r="M5380" s="9" t="s">
        <v>24</v>
      </c>
    </row>
    <row r="5381" ht="15.75" customHeight="1">
      <c r="A5381" s="7"/>
      <c r="B5381" s="7" t="str">
        <f>IFERROR(__xludf.DUMMYFUNCTION("""COMPUTED_VALUE"""),"Assembly;C++;C#;HTML/CSS;JavaScript;SQL")</f>
        <v>Assembly;C++;C#;HTML/CSS;JavaScript;SQL</v>
      </c>
      <c r="M5381" s="9" t="s">
        <v>21</v>
      </c>
    </row>
    <row r="5382" ht="15.75" customHeight="1">
      <c r="A5382" s="7"/>
      <c r="B5382" s="7" t="str">
        <f>IFERROR(__xludf.DUMMYFUNCTION("""COMPUTED_VALUE"""),"Bash/Shell/PowerShell;C#;HTML/CSS;JavaScript;SQL;TypeScript")</f>
        <v>Bash/Shell/PowerShell;C#;HTML/CSS;JavaScript;SQL;TypeScript</v>
      </c>
      <c r="M5382" s="9" t="s">
        <v>37</v>
      </c>
    </row>
    <row r="5383" ht="15.75" customHeight="1">
      <c r="A5383" s="7"/>
      <c r="B5383" s="7" t="str">
        <f>IFERROR(__xludf.DUMMYFUNCTION("""COMPUTED_VALUE"""),"C;C++;C#;HTML/CSS;Java;JavaScript;Objective-C;PHP;Python;R;VBA")</f>
        <v>C;C++;C#;HTML/CSS;Java;JavaScript;Objective-C;PHP;Python;R;VBA</v>
      </c>
      <c r="M5383" s="9" t="s">
        <v>22</v>
      </c>
    </row>
    <row r="5384" ht="15.75" customHeight="1">
      <c r="A5384" s="7"/>
      <c r="B5384" s="7" t="str">
        <f>IFERROR(__xludf.DUMMYFUNCTION("""COMPUTED_VALUE"""),"Bash/Shell/PowerShell;HTML/CSS;Java;PHP;Python;SQL;TypeScript;Other(s):")</f>
        <v>Bash/Shell/PowerShell;HTML/CSS;Java;PHP;Python;SQL;TypeScript;Other(s):</v>
      </c>
      <c r="M5384" s="9" t="s">
        <v>27</v>
      </c>
    </row>
    <row r="5385" ht="15.75" customHeight="1">
      <c r="A5385" s="7"/>
      <c r="B5385" s="7" t="str">
        <f>IFERROR(__xludf.DUMMYFUNCTION("""COMPUTED_VALUE"""),"Bash/Shell/PowerShell;C++;HTML/CSS;JavaScript;Python")</f>
        <v>Bash/Shell/PowerShell;C++;HTML/CSS;JavaScript;Python</v>
      </c>
      <c r="M5385" s="9" t="s">
        <v>38</v>
      </c>
    </row>
    <row r="5386" ht="15.75" customHeight="1">
      <c r="A5386" s="7"/>
      <c r="B5386" s="7" t="str">
        <f>IFERROR(__xludf.DUMMYFUNCTION("""COMPUTED_VALUE"""),"Bash/Shell/PowerShell;HTML/CSS;JavaScript;Python;Ruby")</f>
        <v>Bash/Shell/PowerShell;HTML/CSS;JavaScript;Python;Ruby</v>
      </c>
      <c r="M5386" s="9" t="s">
        <v>26</v>
      </c>
    </row>
    <row r="5387" ht="15.75" customHeight="1">
      <c r="A5387" s="7"/>
      <c r="B5387" s="7" t="str">
        <f>IFERROR(__xludf.DUMMYFUNCTION("""COMPUTED_VALUE"""),"Bash/Shell/PowerShell;C;C++;C#;HTML/CSS;JavaScript;PHP;Python;SQL")</f>
        <v>Bash/Shell/PowerShell;C;C++;C#;HTML/CSS;JavaScript;PHP;Python;SQL</v>
      </c>
      <c r="M5387" s="9" t="s">
        <v>24</v>
      </c>
    </row>
    <row r="5388" ht="15.75" customHeight="1">
      <c r="A5388" s="7"/>
      <c r="B5388" s="7" t="str">
        <f>IFERROR(__xludf.DUMMYFUNCTION("""COMPUTED_VALUE"""),"C#;Java;JavaScript;SQL")</f>
        <v>C#;Java;JavaScript;SQL</v>
      </c>
      <c r="M5388" s="9" t="s">
        <v>21</v>
      </c>
    </row>
    <row r="5389" ht="15.75" customHeight="1">
      <c r="A5389" s="7"/>
      <c r="B5389" s="7" t="str">
        <f>IFERROR(__xludf.DUMMYFUNCTION("""COMPUTED_VALUE"""),"C#;HTML/CSS;JavaScript;SQL;TypeScript")</f>
        <v>C#;HTML/CSS;JavaScript;SQL;TypeScript</v>
      </c>
      <c r="M5389" s="9" t="s">
        <v>22</v>
      </c>
    </row>
    <row r="5390" ht="15.75" customHeight="1">
      <c r="A5390" s="7"/>
      <c r="B5390" s="7" t="str">
        <f>IFERROR(__xludf.DUMMYFUNCTION("""COMPUTED_VALUE"""),"HTML/CSS;JavaScript")</f>
        <v>HTML/CSS;JavaScript</v>
      </c>
      <c r="M5390" s="9" t="s">
        <v>27</v>
      </c>
    </row>
    <row r="5391" ht="15.75" customHeight="1">
      <c r="A5391" s="7"/>
      <c r="B5391" s="7" t="str">
        <f>IFERROR(__xludf.DUMMYFUNCTION("""COMPUTED_VALUE"""),"C#;HTML/CSS;Java;JavaScript;Objective-C;Python;Swift;TypeScript")</f>
        <v>C#;HTML/CSS;Java;JavaScript;Objective-C;Python;Swift;TypeScript</v>
      </c>
      <c r="M5391" s="9" t="s">
        <v>28</v>
      </c>
    </row>
    <row r="5392" ht="15.75" customHeight="1">
      <c r="A5392" s="7"/>
      <c r="B5392" s="7" t="str">
        <f>IFERROR(__xludf.DUMMYFUNCTION("""COMPUTED_VALUE"""),"Bash/Shell/PowerShell;C++;HTML/CSS;Java;JavaScript;Objective-C;Ruby;Swift")</f>
        <v>Bash/Shell/PowerShell;C++;HTML/CSS;Java;JavaScript;Objective-C;Ruby;Swift</v>
      </c>
      <c r="M5392" s="9" t="s">
        <v>24</v>
      </c>
    </row>
    <row r="5393" ht="15.75" customHeight="1">
      <c r="A5393" s="7"/>
      <c r="B5393" s="7" t="str">
        <f>IFERROR(__xludf.DUMMYFUNCTION("""COMPUTED_VALUE"""),"Go;HTML/CSS;Java;JavaScript;PHP;Python;R;SQL;TypeScript;VBA")</f>
        <v>Go;HTML/CSS;Java;JavaScript;PHP;Python;R;SQL;TypeScript;VBA</v>
      </c>
      <c r="M5393" s="9" t="s">
        <v>20</v>
      </c>
    </row>
    <row r="5394" ht="15.75" customHeight="1">
      <c r="A5394" s="7"/>
      <c r="B5394" s="7" t="str">
        <f>IFERROR(__xludf.DUMMYFUNCTION("""COMPUTED_VALUE"""),"Assembly;C;Go;Rust")</f>
        <v>Assembly;C;Go;Rust</v>
      </c>
      <c r="M5394" s="9" t="s">
        <v>21</v>
      </c>
    </row>
    <row r="5395" ht="15.75" customHeight="1">
      <c r="A5395" s="7"/>
      <c r="B5395" s="7" t="str">
        <f>IFERROR(__xludf.DUMMYFUNCTION("""COMPUTED_VALUE"""),"HTML/CSS;Java;JavaScript;PHP;Python;SQL;Swift")</f>
        <v>HTML/CSS;Java;JavaScript;PHP;Python;SQL;Swift</v>
      </c>
      <c r="M5395" s="9" t="s">
        <v>29</v>
      </c>
    </row>
    <row r="5396" ht="15.75" customHeight="1">
      <c r="A5396" s="7"/>
      <c r="B5396" s="7" t="str">
        <f>IFERROR(__xludf.DUMMYFUNCTION("""COMPUTED_VALUE"""),"HTML/CSS;Java;JavaScript;Other(s):")</f>
        <v>HTML/CSS;Java;JavaScript;Other(s):</v>
      </c>
      <c r="M5396" s="9" t="s">
        <v>31</v>
      </c>
    </row>
    <row r="5397" ht="15.75" customHeight="1">
      <c r="A5397" s="7"/>
      <c r="B5397" s="7" t="str">
        <f>IFERROR(__xludf.DUMMYFUNCTION("""COMPUTED_VALUE"""),"Bash/Shell/PowerShell;Elixir;HTML/CSS;JavaScript;SQL;TypeScript")</f>
        <v>Bash/Shell/PowerShell;Elixir;HTML/CSS;JavaScript;SQL;TypeScript</v>
      </c>
      <c r="M5397" s="9" t="s">
        <v>27</v>
      </c>
    </row>
    <row r="5398" ht="15.75" customHeight="1">
      <c r="A5398" s="7"/>
      <c r="B5398" s="7" t="str">
        <f>IFERROR(__xludf.DUMMYFUNCTION("""COMPUTED_VALUE"""),"C#;HTML/CSS;JavaScript;SQL;TypeScript")</f>
        <v>C#;HTML/CSS;JavaScript;SQL;TypeScript</v>
      </c>
      <c r="M5398" s="9" t="s">
        <v>33</v>
      </c>
    </row>
    <row r="5399" ht="15.75" customHeight="1">
      <c r="A5399" s="7"/>
      <c r="B5399" s="7" t="str">
        <f>IFERROR(__xludf.DUMMYFUNCTION("""COMPUTED_VALUE"""),"Bash/Shell/PowerShell;C;Go;HTML/CSS;Java;JavaScript;Python")</f>
        <v>Bash/Shell/PowerShell;C;Go;HTML/CSS;Java;JavaScript;Python</v>
      </c>
      <c r="M5399" s="9" t="s">
        <v>23</v>
      </c>
    </row>
    <row r="5400" ht="15.75" customHeight="1">
      <c r="A5400" s="7"/>
      <c r="B5400" s="7" t="str">
        <f>IFERROR(__xludf.DUMMYFUNCTION("""COMPUTED_VALUE"""),"Bash/Shell/PowerShell;Java;Scala;SQL")</f>
        <v>Bash/Shell/PowerShell;Java;Scala;SQL</v>
      </c>
      <c r="M5400" s="9" t="s">
        <v>26</v>
      </c>
    </row>
    <row r="5401" ht="15.75" customHeight="1">
      <c r="A5401" s="7"/>
      <c r="B5401" s="7" t="str">
        <f>IFERROR(__xludf.DUMMYFUNCTION("""COMPUTED_VALUE"""),"F#;Python")</f>
        <v>F#;Python</v>
      </c>
      <c r="M5401" s="9" t="s">
        <v>20</v>
      </c>
    </row>
    <row r="5402" ht="15.75" customHeight="1">
      <c r="A5402" s="7"/>
      <c r="B5402" s="7" t="str">
        <f>IFERROR(__xludf.DUMMYFUNCTION("""COMPUTED_VALUE"""),"C++;HTML/CSS;JavaScript;Python")</f>
        <v>C++;HTML/CSS;JavaScript;Python</v>
      </c>
      <c r="M5402" s="9" t="s">
        <v>27</v>
      </c>
    </row>
    <row r="5403" ht="15.75" customHeight="1">
      <c r="A5403" s="7"/>
      <c r="B5403" s="7" t="str">
        <f>IFERROR(__xludf.DUMMYFUNCTION("""COMPUTED_VALUE"""),"C#;HTML/CSS;Java;JavaScript;SQL")</f>
        <v>C#;HTML/CSS;Java;JavaScript;SQL</v>
      </c>
      <c r="M5403" s="9" t="s">
        <v>24</v>
      </c>
    </row>
    <row r="5404" ht="15.75" customHeight="1">
      <c r="A5404" s="7"/>
      <c r="B5404" s="7" t="str">
        <f>IFERROR(__xludf.DUMMYFUNCTION("""COMPUTED_VALUE"""),"C++;C#;HTML/CSS;Java;Kotlin;Other(s):")</f>
        <v>C++;C#;HTML/CSS;Java;Kotlin;Other(s):</v>
      </c>
      <c r="M5404" s="9" t="s">
        <v>21</v>
      </c>
    </row>
    <row r="5405" ht="15.75" customHeight="1">
      <c r="A5405" s="7"/>
      <c r="B5405" s="7" t="str">
        <f>IFERROR(__xludf.DUMMYFUNCTION("""COMPUTED_VALUE"""),"Bash/Shell/PowerShell;JavaScript;Objective-C;Ruby;Swift")</f>
        <v>Bash/Shell/PowerShell;JavaScript;Objective-C;Ruby;Swift</v>
      </c>
      <c r="M5405" s="9" t="s">
        <v>37</v>
      </c>
    </row>
    <row r="5406" ht="15.75" customHeight="1">
      <c r="A5406" s="7"/>
      <c r="B5406" s="7" t="str">
        <f>IFERROR(__xludf.DUMMYFUNCTION("""COMPUTED_VALUE"""),"C#;Java;JavaScript;Objective-C;PHP;SQL;Swift")</f>
        <v>C#;Java;JavaScript;Objective-C;PHP;SQL;Swift</v>
      </c>
      <c r="M5406" s="9" t="s">
        <v>27</v>
      </c>
    </row>
    <row r="5407" ht="15.75" customHeight="1">
      <c r="A5407" s="7"/>
      <c r="B5407" s="7" t="str">
        <f>IFERROR(__xludf.DUMMYFUNCTION("""COMPUTED_VALUE"""),"HTML/CSS;JavaScript;TypeScript")</f>
        <v>HTML/CSS;JavaScript;TypeScript</v>
      </c>
      <c r="M5407" s="9" t="s">
        <v>24</v>
      </c>
    </row>
    <row r="5408" ht="15.75" customHeight="1">
      <c r="A5408" s="7"/>
      <c r="B5408" s="7" t="str">
        <f>IFERROR(__xludf.DUMMYFUNCTION("""COMPUTED_VALUE"""),"Bash/Shell/PowerShell;C;C++;Elixir;HTML/CSS;Java;JavaScript;Python;Ruby")</f>
        <v>Bash/Shell/PowerShell;C;C++;Elixir;HTML/CSS;Java;JavaScript;Python;Ruby</v>
      </c>
      <c r="M5408" s="9" t="s">
        <v>21</v>
      </c>
    </row>
    <row r="5409" ht="15.75" customHeight="1">
      <c r="A5409" s="7"/>
      <c r="B5409" s="7" t="str">
        <f>IFERROR(__xludf.DUMMYFUNCTION("""COMPUTED_VALUE"""),"HTML/CSS;JavaScript;PHP;Python;SQL")</f>
        <v>HTML/CSS;JavaScript;PHP;Python;SQL</v>
      </c>
      <c r="M5409" s="9" t="s">
        <v>37</v>
      </c>
    </row>
    <row r="5410" ht="15.75" customHeight="1">
      <c r="A5410" s="7"/>
      <c r="B5410" s="7" t="str">
        <f>IFERROR(__xludf.DUMMYFUNCTION("""COMPUTED_VALUE"""),"Bash/Shell/PowerShell;C;C++;HTML/CSS;Java;JavaScript;Python;SQL")</f>
        <v>Bash/Shell/PowerShell;C;C++;HTML/CSS;Java;JavaScript;Python;SQL</v>
      </c>
      <c r="M5410" s="9" t="s">
        <v>27</v>
      </c>
    </row>
    <row r="5411" ht="15.75" customHeight="1">
      <c r="A5411" s="7"/>
      <c r="B5411" s="7" t="str">
        <f>IFERROR(__xludf.DUMMYFUNCTION("""COMPUTED_VALUE"""),"HTML/CSS;JavaScript;Ruby")</f>
        <v>HTML/CSS;JavaScript;Ruby</v>
      </c>
      <c r="M5411" s="9" t="s">
        <v>26</v>
      </c>
    </row>
    <row r="5412" ht="15.75" customHeight="1">
      <c r="A5412" s="7"/>
      <c r="B5412" s="7" t="str">
        <f>IFERROR(__xludf.DUMMYFUNCTION("""COMPUTED_VALUE"""),"HTML/CSS;JavaScript;Swift")</f>
        <v>HTML/CSS;JavaScript;Swift</v>
      </c>
      <c r="M5412" s="9" t="s">
        <v>21</v>
      </c>
    </row>
    <row r="5413" ht="15.75" customHeight="1">
      <c r="A5413" s="7"/>
      <c r="B5413" s="7" t="str">
        <f>IFERROR(__xludf.DUMMYFUNCTION("""COMPUTED_VALUE"""),"Bash/Shell/PowerShell;HTML/CSS;Java;JavaScript;PHP;SQL;TypeScript")</f>
        <v>Bash/Shell/PowerShell;HTML/CSS;Java;JavaScript;PHP;SQL;TypeScript</v>
      </c>
      <c r="M5413" s="9" t="s">
        <v>22</v>
      </c>
    </row>
    <row r="5414" ht="15.75" customHeight="1">
      <c r="A5414" s="7"/>
      <c r="B5414" s="7" t="str">
        <f>IFERROR(__xludf.DUMMYFUNCTION("""COMPUTED_VALUE"""),"Go;HTML/CSS;Java;JavaScript;PHP;Python;Scala;SQL;TypeScript;VBA")</f>
        <v>Go;HTML/CSS;Java;JavaScript;PHP;Python;Scala;SQL;TypeScript;VBA</v>
      </c>
      <c r="M5414" s="9" t="s">
        <v>30</v>
      </c>
    </row>
    <row r="5415" ht="15.75" customHeight="1">
      <c r="A5415" s="7"/>
      <c r="B5415" s="7" t="str">
        <f>IFERROR(__xludf.DUMMYFUNCTION("""COMPUTED_VALUE"""),"Bash/Shell/PowerShell;JavaScript")</f>
        <v>Bash/Shell/PowerShell;JavaScript</v>
      </c>
      <c r="M5415" s="9" t="s">
        <v>24</v>
      </c>
    </row>
    <row r="5416" ht="15.75" customHeight="1">
      <c r="A5416" s="7"/>
      <c r="B5416" s="7" t="str">
        <f>IFERROR(__xludf.DUMMYFUNCTION("""COMPUTED_VALUE"""),"Bash/Shell/PowerShell;HTML/CSS;JavaScript;PHP;Python;Ruby;SQL;TypeScript;Other(s):")</f>
        <v>Bash/Shell/PowerShell;HTML/CSS;JavaScript;PHP;Python;Ruby;SQL;TypeScript;Other(s):</v>
      </c>
      <c r="M5416" s="9" t="s">
        <v>21</v>
      </c>
    </row>
    <row r="5417" ht="15.75" customHeight="1">
      <c r="A5417" s="7"/>
      <c r="B5417" s="7" t="str">
        <f>IFERROR(__xludf.DUMMYFUNCTION("""COMPUTED_VALUE"""),"Bash/Shell/PowerShell;C;C#;HTML/CSS;Java;JavaScript;PHP;SQL;TypeScript")</f>
        <v>Bash/Shell/PowerShell;C;C#;HTML/CSS;Java;JavaScript;PHP;SQL;TypeScript</v>
      </c>
      <c r="M5417" s="9" t="s">
        <v>37</v>
      </c>
    </row>
    <row r="5418" ht="15.75" customHeight="1">
      <c r="A5418" s="7"/>
      <c r="B5418" s="7" t="str">
        <f>IFERROR(__xludf.DUMMYFUNCTION("""COMPUTED_VALUE"""),"Bash/Shell/PowerShell;C++;Elixir;HTML/CSS;JavaScript;Ruby;Rust;SQL")</f>
        <v>Bash/Shell/PowerShell;C++;Elixir;HTML/CSS;JavaScript;Ruby;Rust;SQL</v>
      </c>
      <c r="M5418" s="9" t="s">
        <v>22</v>
      </c>
    </row>
    <row r="5419" ht="15.75" customHeight="1">
      <c r="A5419" s="7"/>
      <c r="B5419" s="7" t="str">
        <f>IFERROR(__xludf.DUMMYFUNCTION("""COMPUTED_VALUE"""),"C#;Other(s):")</f>
        <v>C#;Other(s):</v>
      </c>
      <c r="M5419" s="9" t="s">
        <v>27</v>
      </c>
    </row>
    <row r="5420" ht="15.75" customHeight="1">
      <c r="A5420" s="7"/>
      <c r="B5420" s="7" t="str">
        <f>IFERROR(__xludf.DUMMYFUNCTION("""COMPUTED_VALUE"""),"Bash/Shell/PowerShell;Go;Java")</f>
        <v>Bash/Shell/PowerShell;Go;Java</v>
      </c>
      <c r="M5420" s="9" t="s">
        <v>30</v>
      </c>
    </row>
    <row r="5421" ht="15.75" customHeight="1">
      <c r="A5421" s="7"/>
      <c r="B5421" s="7" t="str">
        <f>IFERROR(__xludf.DUMMYFUNCTION("""COMPUTED_VALUE"""),"C;C++;HTML/CSS;Java;JavaScript;Kotlin;Python")</f>
        <v>C;C++;HTML/CSS;Java;JavaScript;Kotlin;Python</v>
      </c>
      <c r="M5421" s="9" t="s">
        <v>24</v>
      </c>
    </row>
    <row r="5422" ht="15.75" customHeight="1">
      <c r="A5422" s="7"/>
      <c r="B5422" s="7" t="str">
        <f>IFERROR(__xludf.DUMMYFUNCTION("""COMPUTED_VALUE"""),"HTML/CSS;JavaScript;TypeScript")</f>
        <v>HTML/CSS;JavaScript;TypeScript</v>
      </c>
      <c r="M5422" s="9" t="s">
        <v>21</v>
      </c>
    </row>
    <row r="5423" ht="15.75" customHeight="1">
      <c r="A5423" s="7"/>
      <c r="B5423" s="7" t="str">
        <f>IFERROR(__xludf.DUMMYFUNCTION("""COMPUTED_VALUE"""),"C#;HTML/CSS;SQL;VBA")</f>
        <v>C#;HTML/CSS;SQL;VBA</v>
      </c>
      <c r="M5423" s="9" t="s">
        <v>31</v>
      </c>
    </row>
    <row r="5424" ht="15.75" customHeight="1">
      <c r="A5424" s="7"/>
      <c r="B5424" s="7" t="str">
        <f>IFERROR(__xludf.DUMMYFUNCTION("""COMPUTED_VALUE"""),"Bash/Shell/PowerShell;Java")</f>
        <v>Bash/Shell/PowerShell;Java</v>
      </c>
      <c r="M5424" s="9" t="s">
        <v>27</v>
      </c>
    </row>
    <row r="5425" ht="15.75" customHeight="1">
      <c r="A5425" s="7"/>
      <c r="B5425" s="7" t="str">
        <f>IFERROR(__xludf.DUMMYFUNCTION("""COMPUTED_VALUE"""),"C;C++;C#;HTML/CSS;JavaScript;PHP;SQL")</f>
        <v>C;C++;C#;HTML/CSS;JavaScript;PHP;SQL</v>
      </c>
      <c r="M5425" s="9" t="s">
        <v>24</v>
      </c>
    </row>
    <row r="5426" ht="15.75" customHeight="1">
      <c r="A5426" s="7"/>
      <c r="B5426" s="7" t="str">
        <f>IFERROR(__xludf.DUMMYFUNCTION("""COMPUTED_VALUE"""),"C#;HTML/CSS;JavaScript;PHP;SQL")</f>
        <v>C#;HTML/CSS;JavaScript;PHP;SQL</v>
      </c>
      <c r="M5426" s="9" t="s">
        <v>20</v>
      </c>
    </row>
    <row r="5427" ht="15.75" customHeight="1">
      <c r="A5427" s="7"/>
      <c r="B5427" s="7" t="str">
        <f>IFERROR(__xludf.DUMMYFUNCTION("""COMPUTED_VALUE"""),"C#")</f>
        <v>C#</v>
      </c>
      <c r="M5427" s="9" t="s">
        <v>37</v>
      </c>
    </row>
    <row r="5428" ht="15.75" customHeight="1">
      <c r="A5428" s="7"/>
      <c r="B5428" s="7" t="str">
        <f>IFERROR(__xludf.DUMMYFUNCTION("""COMPUTED_VALUE"""),"HTML/CSS;Java;JavaScript;PHP;SQL;TypeScript")</f>
        <v>HTML/CSS;Java;JavaScript;PHP;SQL;TypeScript</v>
      </c>
      <c r="M5428" s="9" t="s">
        <v>27</v>
      </c>
    </row>
    <row r="5429" ht="15.75" customHeight="1">
      <c r="A5429" s="7"/>
      <c r="B5429" s="7" t="str">
        <f>IFERROR(__xludf.DUMMYFUNCTION("""COMPUTED_VALUE"""),"C++;Java;Python")</f>
        <v>C++;Java;Python</v>
      </c>
      <c r="M5429" s="9" t="s">
        <v>24</v>
      </c>
    </row>
    <row r="5430" ht="15.75" customHeight="1">
      <c r="A5430" s="7"/>
      <c r="B5430" s="7" t="str">
        <f>IFERROR(__xludf.DUMMYFUNCTION("""COMPUTED_VALUE"""),"Assembly;Bash/Shell/PowerShell;PHP;SQL")</f>
        <v>Assembly;Bash/Shell/PowerShell;PHP;SQL</v>
      </c>
      <c r="M5430" s="9" t="s">
        <v>21</v>
      </c>
    </row>
    <row r="5431" ht="15.75" customHeight="1">
      <c r="A5431" s="7"/>
      <c r="B5431" s="7" t="str">
        <f>IFERROR(__xludf.DUMMYFUNCTION("""COMPUTED_VALUE"""),"Bash/Shell/PowerShell;C;Python;Other(s):")</f>
        <v>Bash/Shell/PowerShell;C;Python;Other(s):</v>
      </c>
      <c r="M5431" s="9" t="s">
        <v>38</v>
      </c>
    </row>
    <row r="5432" ht="15.75" customHeight="1">
      <c r="A5432" s="7"/>
      <c r="B5432" s="7" t="str">
        <f>IFERROR(__xludf.DUMMYFUNCTION("""COMPUTED_VALUE"""),"Bash/Shell/PowerShell;HTML/CSS;Java;JavaScript;PHP;SQL;TypeScript")</f>
        <v>Bash/Shell/PowerShell;HTML/CSS;Java;JavaScript;PHP;SQL;TypeScript</v>
      </c>
      <c r="M5432" s="9" t="s">
        <v>30</v>
      </c>
    </row>
    <row r="5433" ht="15.75" customHeight="1">
      <c r="A5433" s="7"/>
      <c r="B5433" s="7" t="str">
        <f>IFERROR(__xludf.DUMMYFUNCTION("""COMPUTED_VALUE"""),"Clojure;HTML/CSS;Java;JavaScript;SQL;Other(s):")</f>
        <v>Clojure;HTML/CSS;Java;JavaScript;SQL;Other(s):</v>
      </c>
      <c r="M5433" s="9" t="s">
        <v>25</v>
      </c>
    </row>
    <row r="5434" ht="15.75" customHeight="1">
      <c r="A5434" s="7"/>
      <c r="B5434" s="7" t="str">
        <f>IFERROR(__xludf.DUMMYFUNCTION("""COMPUTED_VALUE"""),"R;SQL")</f>
        <v>R;SQL</v>
      </c>
      <c r="M5434" s="9" t="s">
        <v>24</v>
      </c>
    </row>
    <row r="5435" ht="15.75" customHeight="1">
      <c r="A5435" s="7"/>
      <c r="B5435" s="7" t="str">
        <f>IFERROR(__xludf.DUMMYFUNCTION("""COMPUTED_VALUE"""),"HTML/CSS;Java;JavaScript")</f>
        <v>HTML/CSS;Java;JavaScript</v>
      </c>
      <c r="M5435" s="9" t="s">
        <v>21</v>
      </c>
    </row>
    <row r="5436" ht="15.75" customHeight="1">
      <c r="A5436" s="7"/>
      <c r="B5436" s="7" t="str">
        <f>IFERROR(__xludf.DUMMYFUNCTION("""COMPUTED_VALUE"""),"JavaScript;Objective-C;Swift")</f>
        <v>JavaScript;Objective-C;Swift</v>
      </c>
      <c r="M5436" s="9" t="s">
        <v>37</v>
      </c>
    </row>
    <row r="5437" ht="15.75" customHeight="1">
      <c r="A5437" s="7"/>
      <c r="B5437" s="7" t="str">
        <f>IFERROR(__xludf.DUMMYFUNCTION("""COMPUTED_VALUE"""),"C#;HTML/CSS;JavaScript;Python;SQL;TypeScript;VBA")</f>
        <v>C#;HTML/CSS;JavaScript;Python;SQL;TypeScript;VBA</v>
      </c>
      <c r="M5437" s="9" t="s">
        <v>22</v>
      </c>
    </row>
    <row r="5438" ht="15.75" customHeight="1">
      <c r="A5438" s="7"/>
      <c r="B5438" s="7" t="str">
        <f>IFERROR(__xludf.DUMMYFUNCTION("""COMPUTED_VALUE"""),"Bash/Shell/PowerShell;HTML/CSS;Java;JavaScript;PHP;SQL")</f>
        <v>Bash/Shell/PowerShell;HTML/CSS;Java;JavaScript;PHP;SQL</v>
      </c>
      <c r="M5438" s="9" t="s">
        <v>27</v>
      </c>
    </row>
    <row r="5439" ht="15.75" customHeight="1">
      <c r="A5439" s="7"/>
      <c r="B5439" s="7" t="str">
        <f>IFERROR(__xludf.DUMMYFUNCTION("""COMPUTED_VALUE"""),"HTML/CSS;Java;JavaScript;Python;Other(s):")</f>
        <v>HTML/CSS;Java;JavaScript;Python;Other(s):</v>
      </c>
      <c r="M5439" s="9" t="s">
        <v>35</v>
      </c>
    </row>
    <row r="5440" ht="15.75" customHeight="1">
      <c r="A5440" s="7"/>
      <c r="B5440" s="7" t="str">
        <f>IFERROR(__xludf.DUMMYFUNCTION("""COMPUTED_VALUE"""),"C#;JavaScript")</f>
        <v>C#;JavaScript</v>
      </c>
      <c r="M5440" s="9" t="s">
        <v>30</v>
      </c>
    </row>
    <row r="5441" ht="15.75" customHeight="1">
      <c r="A5441" s="7"/>
      <c r="B5441" s="7" t="str">
        <f>IFERROR(__xludf.DUMMYFUNCTION("""COMPUTED_VALUE"""),"C++;C#;Java;Python")</f>
        <v>C++;C#;Java;Python</v>
      </c>
      <c r="M5441" s="9" t="s">
        <v>24</v>
      </c>
    </row>
    <row r="5442" ht="15.75" customHeight="1">
      <c r="A5442" s="7"/>
      <c r="B5442" s="7" t="str">
        <f>IFERROR(__xludf.DUMMYFUNCTION("""COMPUTED_VALUE"""),"JavaScript")</f>
        <v>JavaScript</v>
      </c>
      <c r="M5442" s="9" t="s">
        <v>20</v>
      </c>
    </row>
    <row r="5443" ht="15.75" customHeight="1">
      <c r="A5443" s="7"/>
      <c r="B5443" s="7" t="str">
        <f>IFERROR(__xludf.DUMMYFUNCTION("""COMPUTED_VALUE"""),"HTML/CSS;JavaScript;PHP;Python;SQL")</f>
        <v>HTML/CSS;JavaScript;PHP;Python;SQL</v>
      </c>
      <c r="M5443" s="9" t="s">
        <v>21</v>
      </c>
    </row>
    <row r="5444" ht="15.75" customHeight="1">
      <c r="A5444" s="7"/>
      <c r="B5444" s="7" t="str">
        <f>IFERROR(__xludf.DUMMYFUNCTION("""COMPUTED_VALUE"""),"C#;HTML/CSS;Java;JavaScript;PHP;SQL;VBA")</f>
        <v>C#;HTML/CSS;Java;JavaScript;PHP;SQL;VBA</v>
      </c>
      <c r="M5444" s="9" t="s">
        <v>41</v>
      </c>
    </row>
    <row r="5445" ht="15.75" customHeight="1">
      <c r="A5445" s="7"/>
      <c r="B5445" s="7" t="str">
        <f>IFERROR(__xludf.DUMMYFUNCTION("""COMPUTED_VALUE"""),"C#;HTML/CSS;JavaScript;SQL;TypeScript")</f>
        <v>C#;HTML/CSS;JavaScript;SQL;TypeScript</v>
      </c>
      <c r="M5445" s="9" t="s">
        <v>30</v>
      </c>
    </row>
    <row r="5446" ht="15.75" customHeight="1">
      <c r="A5446" s="7"/>
      <c r="B5446" s="7" t="str">
        <f>IFERROR(__xludf.DUMMYFUNCTION("""COMPUTED_VALUE"""),"Ruby;SQL")</f>
        <v>Ruby;SQL</v>
      </c>
      <c r="M5446" s="9" t="s">
        <v>26</v>
      </c>
    </row>
    <row r="5447" ht="15.75" customHeight="1">
      <c r="A5447" s="7"/>
      <c r="B5447" s="7" t="str">
        <f>IFERROR(__xludf.DUMMYFUNCTION("""COMPUTED_VALUE"""),"Python;R;SQL")</f>
        <v>Python;R;SQL</v>
      </c>
      <c r="M5447" s="9" t="s">
        <v>24</v>
      </c>
    </row>
    <row r="5448" ht="15.75" customHeight="1">
      <c r="A5448" s="7"/>
      <c r="B5448" s="7" t="str">
        <f>IFERROR(__xludf.DUMMYFUNCTION("""COMPUTED_VALUE"""),"C#;HTML/CSS;JavaScript;SQL;TypeScript")</f>
        <v>C#;HTML/CSS;JavaScript;SQL;TypeScript</v>
      </c>
      <c r="M5448" s="9" t="s">
        <v>21</v>
      </c>
    </row>
    <row r="5449" ht="15.75" customHeight="1">
      <c r="A5449" s="7"/>
      <c r="B5449" s="7" t="str">
        <f>IFERROR(__xludf.DUMMYFUNCTION("""COMPUTED_VALUE"""),"Bash/Shell/PowerShell;HTML/CSS;Java;JavaScript;SQL;TypeScript")</f>
        <v>Bash/Shell/PowerShell;HTML/CSS;Java;JavaScript;SQL;TypeScript</v>
      </c>
      <c r="M5449" s="9" t="s">
        <v>37</v>
      </c>
    </row>
    <row r="5450" ht="15.75" customHeight="1">
      <c r="A5450" s="7"/>
      <c r="B5450" s="7" t="str">
        <f>IFERROR(__xludf.DUMMYFUNCTION("""COMPUTED_VALUE"""),"C#;SQL")</f>
        <v>C#;SQL</v>
      </c>
      <c r="M5450" s="9" t="s">
        <v>22</v>
      </c>
    </row>
    <row r="5451" ht="15.75" customHeight="1">
      <c r="A5451" s="7"/>
      <c r="B5451" s="7" t="str">
        <f>IFERROR(__xludf.DUMMYFUNCTION("""COMPUTED_VALUE"""),"Go;HTML/CSS;Python;Ruby;SQL")</f>
        <v>Go;HTML/CSS;Python;Ruby;SQL</v>
      </c>
      <c r="M5451" s="9" t="s">
        <v>25</v>
      </c>
    </row>
    <row r="5452" ht="15.75" customHeight="1">
      <c r="A5452" s="7"/>
      <c r="B5452" s="7" t="str">
        <f>IFERROR(__xludf.DUMMYFUNCTION("""COMPUTED_VALUE"""),"Bash/Shell/PowerShell;Java;Python;SQL")</f>
        <v>Bash/Shell/PowerShell;Java;Python;SQL</v>
      </c>
      <c r="M5452" s="9" t="s">
        <v>26</v>
      </c>
    </row>
    <row r="5453" ht="15.75" customHeight="1">
      <c r="A5453" s="7"/>
      <c r="B5453" s="7" t="str">
        <f>IFERROR(__xludf.DUMMYFUNCTION("""COMPUTED_VALUE"""),"C;C++;Java;Python")</f>
        <v>C;C++;Java;Python</v>
      </c>
      <c r="M5453" s="9" t="s">
        <v>24</v>
      </c>
    </row>
    <row r="5454" ht="15.75" customHeight="1">
      <c r="A5454" s="7"/>
      <c r="B5454" s="7" t="str">
        <f>IFERROR(__xludf.DUMMYFUNCTION("""COMPUTED_VALUE"""),"Bash/Shell/PowerShell;C;C++;C#;Java")</f>
        <v>Bash/Shell/PowerShell;C;C++;C#;Java</v>
      </c>
      <c r="M5454" s="9" t="s">
        <v>20</v>
      </c>
    </row>
    <row r="5455" ht="15.75" customHeight="1">
      <c r="A5455" s="7"/>
      <c r="B5455" s="7" t="str">
        <f>IFERROR(__xludf.DUMMYFUNCTION("""COMPUTED_VALUE"""),"Assembly;Bash/Shell/PowerShell;C;C++;HTML/CSS;JavaScript;Python")</f>
        <v>Assembly;Bash/Shell/PowerShell;C;C++;HTML/CSS;JavaScript;Python</v>
      </c>
      <c r="M5455" s="9" t="s">
        <v>21</v>
      </c>
    </row>
    <row r="5456" ht="15.75" customHeight="1">
      <c r="A5456" s="7"/>
      <c r="B5456" s="7" t="str">
        <f>IFERROR(__xludf.DUMMYFUNCTION("""COMPUTED_VALUE"""),"HTML/CSS;JavaScript;PHP;SQL")</f>
        <v>HTML/CSS;JavaScript;PHP;SQL</v>
      </c>
      <c r="M5456" s="9" t="s">
        <v>41</v>
      </c>
    </row>
    <row r="5457" ht="15.75" customHeight="1">
      <c r="A5457" s="7"/>
      <c r="B5457" s="7" t="str">
        <f>IFERROR(__xludf.DUMMYFUNCTION("""COMPUTED_VALUE"""),"Bash/Shell/PowerShell;HTML/CSS;JavaScript;Python;SQL")</f>
        <v>Bash/Shell/PowerShell;HTML/CSS;JavaScript;Python;SQL</v>
      </c>
      <c r="M5457" s="9" t="s">
        <v>37</v>
      </c>
    </row>
    <row r="5458" ht="15.75" customHeight="1">
      <c r="A5458" s="7"/>
      <c r="B5458" s="7" t="str">
        <f>IFERROR(__xludf.DUMMYFUNCTION("""COMPUTED_VALUE"""),"Bash/Shell/PowerShell;C#;Go;JavaScript;PHP;Python;R;SQL;Other(s):")</f>
        <v>Bash/Shell/PowerShell;C#;Go;JavaScript;PHP;Python;R;SQL;Other(s):</v>
      </c>
      <c r="M5458" s="9" t="s">
        <v>22</v>
      </c>
    </row>
    <row r="5459" ht="15.75" customHeight="1">
      <c r="A5459" s="7"/>
      <c r="B5459" s="7" t="str">
        <f>IFERROR(__xludf.DUMMYFUNCTION("""COMPUTED_VALUE"""),"Bash/Shell/PowerShell;Java;Kotlin;SQL;Other(s):")</f>
        <v>Bash/Shell/PowerShell;Java;Kotlin;SQL;Other(s):</v>
      </c>
      <c r="M5459" s="9" t="s">
        <v>27</v>
      </c>
    </row>
    <row r="5460" ht="15.75" customHeight="1">
      <c r="A5460" s="7"/>
      <c r="B5460" s="7" t="str">
        <f>IFERROR(__xludf.DUMMYFUNCTION("""COMPUTED_VALUE"""),"HTML/CSS;JavaScript;PHP;Python")</f>
        <v>HTML/CSS;JavaScript;PHP;Python</v>
      </c>
      <c r="M5460" s="9" t="s">
        <v>40</v>
      </c>
    </row>
    <row r="5461" ht="15.75" customHeight="1">
      <c r="A5461" s="7"/>
      <c r="B5461" s="7" t="str">
        <f>IFERROR(__xludf.DUMMYFUNCTION("""COMPUTED_VALUE"""),"C;C#;HTML/CSS;Java;JavaScript;SQL;VBA")</f>
        <v>C;C#;HTML/CSS;Java;JavaScript;SQL;VBA</v>
      </c>
      <c r="M5461" s="9" t="s">
        <v>23</v>
      </c>
    </row>
    <row r="5462" ht="15.75" customHeight="1">
      <c r="A5462" s="7"/>
      <c r="B5462" s="7" t="str">
        <f>IFERROR(__xludf.DUMMYFUNCTION("""COMPUTED_VALUE"""),"Dart;HTML/CSS;JavaScript;PHP")</f>
        <v>Dart;HTML/CSS;JavaScript;PHP</v>
      </c>
      <c r="M5462" s="9" t="s">
        <v>26</v>
      </c>
    </row>
    <row r="5463" ht="15.75" customHeight="1">
      <c r="A5463" s="7"/>
      <c r="B5463" s="7" t="str">
        <f>IFERROR(__xludf.DUMMYFUNCTION("""COMPUTED_VALUE"""),"HTML/CSS;Java;JavaScript;Python;Ruby")</f>
        <v>HTML/CSS;Java;JavaScript;Python;Ruby</v>
      </c>
      <c r="M5463" s="9" t="s">
        <v>47</v>
      </c>
    </row>
    <row r="5464" ht="15.75" customHeight="1">
      <c r="A5464" s="7"/>
      <c r="B5464" s="7" t="str">
        <f>IFERROR(__xludf.DUMMYFUNCTION("""COMPUTED_VALUE"""),"C#;Java;JavaScript;PHP;SQL")</f>
        <v>C#;Java;JavaScript;PHP;SQL</v>
      </c>
      <c r="M5464" s="9" t="s">
        <v>24</v>
      </c>
    </row>
    <row r="5465" ht="15.75" customHeight="1">
      <c r="A5465" s="7"/>
      <c r="B5465" s="7" t="str">
        <f>IFERROR(__xludf.DUMMYFUNCTION("""COMPUTED_VALUE"""),"C++;HTML/CSS;Java;Python;SQL;Other(s):")</f>
        <v>C++;HTML/CSS;Java;Python;SQL;Other(s):</v>
      </c>
      <c r="M5465" s="9" t="s">
        <v>20</v>
      </c>
    </row>
    <row r="5466" ht="15.75" customHeight="1">
      <c r="A5466" s="7"/>
      <c r="B5466" s="7" t="str">
        <f>IFERROR(__xludf.DUMMYFUNCTION("""COMPUTED_VALUE"""),"C;C++;JavaScript;Python;SQL")</f>
        <v>C;C++;JavaScript;Python;SQL</v>
      </c>
      <c r="M5466" s="9" t="s">
        <v>21</v>
      </c>
    </row>
    <row r="5467" ht="15.75" customHeight="1">
      <c r="A5467" s="7"/>
      <c r="B5467" s="7" t="str">
        <f>IFERROR(__xludf.DUMMYFUNCTION("""COMPUTED_VALUE"""),"C#;Python;Rust;Other(s):")</f>
        <v>C#;Python;Rust;Other(s):</v>
      </c>
      <c r="M5467" s="9" t="s">
        <v>37</v>
      </c>
    </row>
    <row r="5468" ht="15.75" customHeight="1">
      <c r="A5468" s="7"/>
      <c r="B5468" s="7" t="str">
        <f>IFERROR(__xludf.DUMMYFUNCTION("""COMPUTED_VALUE"""),"Bash/Shell/PowerShell;C#;HTML/CSS;JavaScript;SQL")</f>
        <v>Bash/Shell/PowerShell;C#;HTML/CSS;JavaScript;SQL</v>
      </c>
      <c r="M5468" s="9" t="s">
        <v>22</v>
      </c>
    </row>
    <row r="5469" ht="15.75" customHeight="1">
      <c r="A5469" s="7"/>
      <c r="B5469" s="7" t="str">
        <f>IFERROR(__xludf.DUMMYFUNCTION("""COMPUTED_VALUE"""),"C;C++;Java;Kotlin;Python")</f>
        <v>C;C++;Java;Kotlin;Python</v>
      </c>
      <c r="M5469" s="9" t="s">
        <v>37</v>
      </c>
    </row>
    <row r="5470" ht="15.75" customHeight="1">
      <c r="A5470" s="7"/>
      <c r="B5470" s="7" t="str">
        <f>IFERROR(__xludf.DUMMYFUNCTION("""COMPUTED_VALUE"""),"HTML/CSS;JavaScript;PHP;Python;Scala")</f>
        <v>HTML/CSS;JavaScript;PHP;Python;Scala</v>
      </c>
      <c r="M5470" s="9" t="s">
        <v>22</v>
      </c>
    </row>
    <row r="5471" ht="15.75" customHeight="1">
      <c r="A5471" s="7"/>
      <c r="B5471" s="7" t="str">
        <f>IFERROR(__xludf.DUMMYFUNCTION("""COMPUTED_VALUE"""),"HTML/CSS;JavaScript;Ruby")</f>
        <v>HTML/CSS;JavaScript;Ruby</v>
      </c>
      <c r="M5471" s="9" t="s">
        <v>27</v>
      </c>
    </row>
    <row r="5472" ht="15.75" customHeight="1">
      <c r="A5472" s="7"/>
      <c r="B5472" s="7" t="str">
        <f>IFERROR(__xludf.DUMMYFUNCTION("""COMPUTED_VALUE"""),"HTML/CSS;JavaScript;TypeScript")</f>
        <v>HTML/CSS;JavaScript;TypeScript</v>
      </c>
      <c r="M5472" s="9" t="s">
        <v>24</v>
      </c>
    </row>
    <row r="5473" ht="15.75" customHeight="1">
      <c r="A5473" s="7"/>
      <c r="B5473" s="7" t="str">
        <f>IFERROR(__xludf.DUMMYFUNCTION("""COMPUTED_VALUE"""),"Python;R;SQL")</f>
        <v>Python;R;SQL</v>
      </c>
      <c r="M5473" s="9" t="s">
        <v>20</v>
      </c>
    </row>
    <row r="5474" ht="15.75" customHeight="1">
      <c r="A5474" s="7"/>
      <c r="B5474" s="7" t="str">
        <f>IFERROR(__xludf.DUMMYFUNCTION("""COMPUTED_VALUE"""),"C++;C#;HTML/CSS;Java;JavaScript;SQL;TypeScript")</f>
        <v>C++;C#;HTML/CSS;Java;JavaScript;SQL;TypeScript</v>
      </c>
      <c r="M5474" s="9" t="s">
        <v>27</v>
      </c>
    </row>
    <row r="5475" ht="15.75" customHeight="1">
      <c r="A5475" s="7"/>
      <c r="B5475" s="7" t="str">
        <f>IFERROR(__xludf.DUMMYFUNCTION("""COMPUTED_VALUE"""),"Elixir;HTML/CSS;JavaScript;TypeScript")</f>
        <v>Elixir;HTML/CSS;JavaScript;TypeScript</v>
      </c>
      <c r="M5475" s="9" t="s">
        <v>25</v>
      </c>
    </row>
    <row r="5476" ht="15.75" customHeight="1">
      <c r="A5476" s="7"/>
      <c r="B5476" s="7" t="str">
        <f>IFERROR(__xludf.DUMMYFUNCTION("""COMPUTED_VALUE"""),"C#;JavaScript;SQL")</f>
        <v>C#;JavaScript;SQL</v>
      </c>
      <c r="M5476" s="9" t="s">
        <v>23</v>
      </c>
    </row>
    <row r="5477" ht="15.75" customHeight="1">
      <c r="A5477" s="7"/>
      <c r="B5477" s="7" t="str">
        <f>IFERROR(__xludf.DUMMYFUNCTION("""COMPUTED_VALUE"""),"Dart;Java;JavaScript;Objective-C;Python;Swift")</f>
        <v>Dart;Java;JavaScript;Objective-C;Python;Swift</v>
      </c>
      <c r="M5477" s="9" t="s">
        <v>21</v>
      </c>
    </row>
    <row r="5478" ht="15.75" customHeight="1">
      <c r="A5478" s="7"/>
      <c r="B5478" s="7" t="str">
        <f>IFERROR(__xludf.DUMMYFUNCTION("""COMPUTED_VALUE"""),"Java;SQL")</f>
        <v>Java;SQL</v>
      </c>
      <c r="M5478" s="9" t="s">
        <v>33</v>
      </c>
    </row>
    <row r="5479" ht="15.75" customHeight="1">
      <c r="A5479" s="7"/>
      <c r="B5479" s="7" t="str">
        <f>IFERROR(__xludf.DUMMYFUNCTION("""COMPUTED_VALUE"""),"Bash/Shell/PowerShell;Python")</f>
        <v>Bash/Shell/PowerShell;Python</v>
      </c>
      <c r="M5479" s="9" t="s">
        <v>35</v>
      </c>
    </row>
    <row r="5480" ht="15.75" customHeight="1">
      <c r="A5480" s="7"/>
      <c r="B5480" s="7" t="str">
        <f>IFERROR(__xludf.DUMMYFUNCTION("""COMPUTED_VALUE"""),"HTML/CSS;Java;JavaScript;Python;R;SQL")</f>
        <v>HTML/CSS;Java;JavaScript;Python;R;SQL</v>
      </c>
      <c r="M5480" s="9" t="s">
        <v>30</v>
      </c>
    </row>
    <row r="5481" ht="15.75" customHeight="1">
      <c r="A5481" s="7"/>
      <c r="B5481" s="7" t="str">
        <f>IFERROR(__xludf.DUMMYFUNCTION("""COMPUTED_VALUE"""),"Bash/Shell/PowerShell;C#;TypeScript")</f>
        <v>Bash/Shell/PowerShell;C#;TypeScript</v>
      </c>
      <c r="M5481" s="9" t="s">
        <v>26</v>
      </c>
    </row>
    <row r="5482" ht="15.75" customHeight="1">
      <c r="A5482" s="7"/>
      <c r="B5482" s="7" t="str">
        <f>IFERROR(__xludf.DUMMYFUNCTION("""COMPUTED_VALUE"""),"C#;F#;Python;SQL;Other(s):")</f>
        <v>C#;F#;Python;SQL;Other(s):</v>
      </c>
      <c r="M5482" s="9" t="s">
        <v>36</v>
      </c>
    </row>
    <row r="5483" ht="15.75" customHeight="1">
      <c r="A5483" s="7"/>
      <c r="B5483" s="7" t="str">
        <f>IFERROR(__xludf.DUMMYFUNCTION("""COMPUTED_VALUE"""),"Bash/Shell/PowerShell;C#")</f>
        <v>Bash/Shell/PowerShell;C#</v>
      </c>
      <c r="M5483" s="9" t="s">
        <v>20</v>
      </c>
    </row>
    <row r="5484" ht="15.75" customHeight="1">
      <c r="A5484" s="7"/>
      <c r="B5484" s="7" t="str">
        <f>IFERROR(__xludf.DUMMYFUNCTION("""COMPUTED_VALUE"""),"HTML/CSS;Java;JavaScript;SQL")</f>
        <v>HTML/CSS;Java;JavaScript;SQL</v>
      </c>
      <c r="M5484" s="9" t="s">
        <v>22</v>
      </c>
    </row>
    <row r="5485" ht="15.75" customHeight="1">
      <c r="A5485" s="7"/>
      <c r="B5485" s="7" t="str">
        <f>IFERROR(__xludf.DUMMYFUNCTION("""COMPUTED_VALUE"""),"HTML/CSS;JavaScript;PHP;TypeScript")</f>
        <v>HTML/CSS;JavaScript;PHP;TypeScript</v>
      </c>
      <c r="M5485" s="9" t="s">
        <v>30</v>
      </c>
    </row>
    <row r="5486" ht="15.75" customHeight="1">
      <c r="A5486" s="7"/>
      <c r="B5486" s="7" t="str">
        <f>IFERROR(__xludf.DUMMYFUNCTION("""COMPUTED_VALUE"""),"Go;Java;Python;R")</f>
        <v>Go;Java;Python;R</v>
      </c>
      <c r="M5486" s="9" t="s">
        <v>23</v>
      </c>
    </row>
    <row r="5487" ht="15.75" customHeight="1">
      <c r="A5487" s="7"/>
      <c r="B5487" s="7" t="str">
        <f>IFERROR(__xludf.DUMMYFUNCTION("""COMPUTED_VALUE"""),"HTML/CSS;Java;JavaScript;PHP;Python;SQL")</f>
        <v>HTML/CSS;Java;JavaScript;PHP;Python;SQL</v>
      </c>
      <c r="M5487" s="9" t="s">
        <v>26</v>
      </c>
    </row>
    <row r="5488" ht="15.75" customHeight="1">
      <c r="A5488" s="7"/>
      <c r="B5488" s="7" t="str">
        <f>IFERROR(__xludf.DUMMYFUNCTION("""COMPUTED_VALUE"""),"Bash/Shell/PowerShell;HTML/CSS;Java;JavaScript;Python;VBA")</f>
        <v>Bash/Shell/PowerShell;HTML/CSS;Java;JavaScript;Python;VBA</v>
      </c>
      <c r="M5488" s="9" t="s">
        <v>24</v>
      </c>
    </row>
    <row r="5489" ht="15.75" customHeight="1">
      <c r="A5489" s="7"/>
      <c r="B5489" s="7" t="str">
        <f>IFERROR(__xludf.DUMMYFUNCTION("""COMPUTED_VALUE"""),"Assembly;SQL")</f>
        <v>Assembly;SQL</v>
      </c>
      <c r="M5489" s="9" t="s">
        <v>21</v>
      </c>
    </row>
    <row r="5490" ht="15.75" customHeight="1">
      <c r="A5490" s="7"/>
      <c r="B5490" s="7" t="str">
        <f>IFERROR(__xludf.DUMMYFUNCTION("""COMPUTED_VALUE"""),"HTML/CSS;Java;JavaScript;SQL")</f>
        <v>HTML/CSS;Java;JavaScript;SQL</v>
      </c>
      <c r="M5490" s="9" t="s">
        <v>22</v>
      </c>
    </row>
    <row r="5491" ht="15.75" customHeight="1">
      <c r="A5491" s="7"/>
      <c r="B5491" s="7" t="str">
        <f>IFERROR(__xludf.DUMMYFUNCTION("""COMPUTED_VALUE"""),"C#;SQL")</f>
        <v>C#;SQL</v>
      </c>
      <c r="M5491" s="9" t="s">
        <v>27</v>
      </c>
    </row>
    <row r="5492" ht="15.75" customHeight="1">
      <c r="A5492" s="7"/>
      <c r="B5492" s="7" t="str">
        <f>IFERROR(__xludf.DUMMYFUNCTION("""COMPUTED_VALUE"""),"C;C#;HTML/CSS;Java;JavaScript;PHP;Python;Ruby;SQL")</f>
        <v>C;C#;HTML/CSS;Java;JavaScript;PHP;Python;Ruby;SQL</v>
      </c>
      <c r="M5492" s="9" t="s">
        <v>35</v>
      </c>
    </row>
    <row r="5493" ht="15.75" customHeight="1">
      <c r="A5493" s="7"/>
      <c r="B5493" s="7" t="str">
        <f>IFERROR(__xludf.DUMMYFUNCTION("""COMPUTED_VALUE"""),"Bash/Shell/PowerShell;C#;HTML/CSS;JavaScript;PHP;Python;SQL")</f>
        <v>Bash/Shell/PowerShell;C#;HTML/CSS;JavaScript;PHP;Python;SQL</v>
      </c>
      <c r="M5493" s="9" t="s">
        <v>23</v>
      </c>
    </row>
    <row r="5494" ht="15.75" customHeight="1">
      <c r="A5494" s="7"/>
      <c r="B5494" s="7" t="str">
        <f>IFERROR(__xludf.DUMMYFUNCTION("""COMPUTED_VALUE"""),"Bash/Shell/PowerShell;HTML/CSS;JavaScript;Python;R;SQL;VBA")</f>
        <v>Bash/Shell/PowerShell;HTML/CSS;JavaScript;Python;R;SQL;VBA</v>
      </c>
      <c r="M5494" s="9" t="s">
        <v>22</v>
      </c>
    </row>
    <row r="5495" ht="15.75" customHeight="1">
      <c r="A5495" s="7"/>
      <c r="B5495" s="7" t="str">
        <f>IFERROR(__xludf.DUMMYFUNCTION("""COMPUTED_VALUE"""),"Bash/Shell/PowerShell;HTML/CSS;JavaScript;PHP;SQL")</f>
        <v>Bash/Shell/PowerShell;HTML/CSS;JavaScript;PHP;SQL</v>
      </c>
      <c r="M5495" s="9" t="s">
        <v>24</v>
      </c>
    </row>
    <row r="5496" ht="15.75" customHeight="1">
      <c r="A5496" s="7"/>
      <c r="B5496" s="7" t="str">
        <f>IFERROR(__xludf.DUMMYFUNCTION("""COMPUTED_VALUE"""),"Assembly;Bash/Shell/PowerShell;C;C#;Go;HTML/CSS;JavaScript;Rust;SQL;TypeScript;WebAssembly")</f>
        <v>Assembly;Bash/Shell/PowerShell;C;C#;Go;HTML/CSS;JavaScript;Rust;SQL;TypeScript;WebAssembly</v>
      </c>
      <c r="M5496" s="9" t="s">
        <v>20</v>
      </c>
    </row>
    <row r="5497" ht="15.75" customHeight="1">
      <c r="A5497" s="7"/>
      <c r="B5497" s="7" t="str">
        <f>IFERROR(__xludf.DUMMYFUNCTION("""COMPUTED_VALUE"""),"Python")</f>
        <v>Python</v>
      </c>
      <c r="M5497" s="9" t="s">
        <v>21</v>
      </c>
    </row>
    <row r="5498" ht="15.75" customHeight="1">
      <c r="A5498" s="7"/>
      <c r="B5498" s="7" t="str">
        <f>IFERROR(__xludf.DUMMYFUNCTION("""COMPUTED_VALUE"""),"HTML/CSS;Java;JavaScript")</f>
        <v>HTML/CSS;Java;JavaScript</v>
      </c>
      <c r="M5498" s="9" t="s">
        <v>33</v>
      </c>
    </row>
    <row r="5499" ht="15.75" customHeight="1">
      <c r="A5499" s="7"/>
      <c r="B5499" s="7" t="str">
        <f>IFERROR(__xludf.DUMMYFUNCTION("""COMPUTED_VALUE"""),"Java;JavaScript;Objective-C;TypeScript")</f>
        <v>Java;JavaScript;Objective-C;TypeScript</v>
      </c>
      <c r="M5499" s="9" t="s">
        <v>24</v>
      </c>
    </row>
    <row r="5500" ht="15.75" customHeight="1">
      <c r="A5500" s="7"/>
      <c r="B5500" s="7" t="str">
        <f>IFERROR(__xludf.DUMMYFUNCTION("""COMPUTED_VALUE"""),"Bash/Shell/PowerShell;Go;HTML/CSS;JavaScript;Python;Ruby;SQL")</f>
        <v>Bash/Shell/PowerShell;Go;HTML/CSS;JavaScript;Python;Ruby;SQL</v>
      </c>
      <c r="M5500" s="9" t="s">
        <v>21</v>
      </c>
    </row>
    <row r="5501" ht="15.75" customHeight="1">
      <c r="A5501" s="7"/>
      <c r="B5501" s="7" t="str">
        <f>IFERROR(__xludf.DUMMYFUNCTION("""COMPUTED_VALUE"""),"Bash/Shell/PowerShell;C#;HTML/CSS;TypeScript")</f>
        <v>Bash/Shell/PowerShell;C#;HTML/CSS;TypeScript</v>
      </c>
      <c r="M5501" s="9" t="s">
        <v>37</v>
      </c>
    </row>
    <row r="5502" ht="15.75" customHeight="1">
      <c r="A5502" s="7"/>
      <c r="B5502" s="7" t="str">
        <f>IFERROR(__xludf.DUMMYFUNCTION("""COMPUTED_VALUE"""),"Bash/Shell/PowerShell;HTML/CSS;JavaScript;PHP;Python")</f>
        <v>Bash/Shell/PowerShell;HTML/CSS;JavaScript;PHP;Python</v>
      </c>
      <c r="M5502" s="9" t="s">
        <v>27</v>
      </c>
    </row>
    <row r="5503" ht="15.75" customHeight="1">
      <c r="A5503" s="7"/>
      <c r="B5503" s="7" t="str">
        <f>IFERROR(__xludf.DUMMYFUNCTION("""COMPUTED_VALUE"""),"Bash/Shell/PowerShell;C#;HTML/CSS;JavaScript;TypeScript")</f>
        <v>Bash/Shell/PowerShell;C#;HTML/CSS;JavaScript;TypeScript</v>
      </c>
      <c r="M5503" s="9" t="s">
        <v>33</v>
      </c>
    </row>
    <row r="5504" ht="15.75" customHeight="1">
      <c r="A5504" s="7"/>
      <c r="B5504" s="7" t="str">
        <f>IFERROR(__xludf.DUMMYFUNCTION("""COMPUTED_VALUE"""),"HTML/CSS;JavaScript;PHP")</f>
        <v>HTML/CSS;JavaScript;PHP</v>
      </c>
      <c r="M5504" s="9" t="s">
        <v>24</v>
      </c>
    </row>
    <row r="5505" ht="15.75" customHeight="1">
      <c r="A5505" s="7"/>
      <c r="B5505" s="7" t="str">
        <f>IFERROR(__xludf.DUMMYFUNCTION("""COMPUTED_VALUE"""),"Bash/Shell/PowerShell;HTML/CSS;JavaScript;PHP;Python;SQL;TypeScript")</f>
        <v>Bash/Shell/PowerShell;HTML/CSS;JavaScript;PHP;Python;SQL;TypeScript</v>
      </c>
      <c r="M5505" s="9" t="s">
        <v>21</v>
      </c>
    </row>
    <row r="5506" ht="15.75" customHeight="1">
      <c r="A5506" s="7"/>
      <c r="B5506" s="7" t="str">
        <f>IFERROR(__xludf.DUMMYFUNCTION("""COMPUTED_VALUE"""),"Bash/Shell/PowerShell;C;C++;C#;HTML/CSS;Java;JavaScript;Python;SQL;Other(s):")</f>
        <v>Bash/Shell/PowerShell;C;C++;C#;HTML/CSS;Java;JavaScript;Python;SQL;Other(s):</v>
      </c>
      <c r="M5506" s="9" t="s">
        <v>37</v>
      </c>
    </row>
    <row r="5507" ht="15.75" customHeight="1">
      <c r="A5507" s="7"/>
      <c r="B5507" s="7" t="str">
        <f>IFERROR(__xludf.DUMMYFUNCTION("""COMPUTED_VALUE"""),"HTML/CSS;Java;JavaScript;PHP;SQL;TypeScript")</f>
        <v>HTML/CSS;Java;JavaScript;PHP;SQL;TypeScript</v>
      </c>
      <c r="M5507" s="9" t="s">
        <v>30</v>
      </c>
    </row>
    <row r="5508" ht="15.75" customHeight="1">
      <c r="A5508" s="7"/>
      <c r="B5508" s="7" t="str">
        <f>IFERROR(__xludf.DUMMYFUNCTION("""COMPUTED_VALUE"""),"Bash/Shell/PowerShell;HTML/CSS;JavaScript;TypeScript")</f>
        <v>Bash/Shell/PowerShell;HTML/CSS;JavaScript;TypeScript</v>
      </c>
      <c r="M5508" s="9" t="s">
        <v>24</v>
      </c>
    </row>
    <row r="5509" ht="15.75" customHeight="1">
      <c r="A5509" s="7"/>
      <c r="B5509" s="7" t="str">
        <f>IFERROR(__xludf.DUMMYFUNCTION("""COMPUTED_VALUE"""),"C#;HTML/CSS;JavaScript;SQL")</f>
        <v>C#;HTML/CSS;JavaScript;SQL</v>
      </c>
      <c r="M5509" s="9" t="s">
        <v>21</v>
      </c>
    </row>
    <row r="5510" ht="15.75" customHeight="1">
      <c r="A5510" s="7"/>
      <c r="B5510" s="7" t="str">
        <f>IFERROR(__xludf.DUMMYFUNCTION("""COMPUTED_VALUE"""),"Assembly;Bash/Shell/PowerShell;C;C++;Rust")</f>
        <v>Assembly;Bash/Shell/PowerShell;C;C++;Rust</v>
      </c>
      <c r="M5510" s="9" t="s">
        <v>33</v>
      </c>
    </row>
    <row r="5511" ht="15.75" customHeight="1">
      <c r="A5511" s="7"/>
      <c r="B5511" s="7" t="str">
        <f>IFERROR(__xludf.DUMMYFUNCTION("""COMPUTED_VALUE"""),"Bash/Shell/PowerShell;C;C++;Python")</f>
        <v>Bash/Shell/PowerShell;C;C++;Python</v>
      </c>
      <c r="M5511" s="9" t="s">
        <v>26</v>
      </c>
    </row>
    <row r="5512" ht="15.75" customHeight="1">
      <c r="A5512" s="7"/>
      <c r="B5512" s="7" t="str">
        <f>IFERROR(__xludf.DUMMYFUNCTION("""COMPUTED_VALUE"""),"C#;Ruby;Rust")</f>
        <v>C#;Ruby;Rust</v>
      </c>
      <c r="M5512" s="9" t="s">
        <v>24</v>
      </c>
    </row>
    <row r="5513" ht="15.75" customHeight="1">
      <c r="A5513" s="7"/>
      <c r="B5513" s="7" t="str">
        <f>IFERROR(__xludf.DUMMYFUNCTION("""COMPUTED_VALUE"""),"Bash/Shell/PowerShell;C;HTML/CSS;JavaScript;PHP;TypeScript")</f>
        <v>Bash/Shell/PowerShell;C;HTML/CSS;JavaScript;PHP;TypeScript</v>
      </c>
      <c r="M5513" s="9" t="s">
        <v>20</v>
      </c>
    </row>
    <row r="5514" ht="15.75" customHeight="1">
      <c r="A5514" s="7"/>
      <c r="B5514" s="7" t="str">
        <f>IFERROR(__xludf.DUMMYFUNCTION("""COMPUTED_VALUE"""),"Java;Kotlin")</f>
        <v>Java;Kotlin</v>
      </c>
      <c r="M5514" s="9" t="s">
        <v>21</v>
      </c>
    </row>
    <row r="5515" ht="15.75" customHeight="1">
      <c r="A5515" s="7"/>
      <c r="B5515" s="7" t="str">
        <f>IFERROR(__xludf.DUMMYFUNCTION("""COMPUTED_VALUE"""),"C#;HTML/CSS;PHP;SQL;VBA")</f>
        <v>C#;HTML/CSS;PHP;SQL;VBA</v>
      </c>
      <c r="M5515" s="9" t="s">
        <v>27</v>
      </c>
    </row>
    <row r="5516" ht="15.75" customHeight="1">
      <c r="A5516" s="7"/>
      <c r="B5516" s="7" t="str">
        <f>IFERROR(__xludf.DUMMYFUNCTION("""COMPUTED_VALUE"""),"Java")</f>
        <v>Java</v>
      </c>
      <c r="M5516" s="9" t="s">
        <v>26</v>
      </c>
    </row>
    <row r="5517" ht="15.75" customHeight="1">
      <c r="A5517" s="7"/>
      <c r="B5517" s="7" t="str">
        <f>IFERROR(__xludf.DUMMYFUNCTION("""COMPUTED_VALUE"""),"C#;HTML/CSS;JavaScript;SQL;TypeScript")</f>
        <v>C#;HTML/CSS;JavaScript;SQL;TypeScript</v>
      </c>
      <c r="M5517" s="9" t="s">
        <v>24</v>
      </c>
    </row>
    <row r="5518" ht="15.75" customHeight="1">
      <c r="A5518" s="7"/>
      <c r="B5518" s="7" t="str">
        <f>IFERROR(__xludf.DUMMYFUNCTION("""COMPUTED_VALUE"""),"Bash/Shell/PowerShell;Clojure;HTML/CSS;JavaScript;Python;TypeScript")</f>
        <v>Bash/Shell/PowerShell;Clojure;HTML/CSS;JavaScript;Python;TypeScript</v>
      </c>
      <c r="M5518" s="9" t="s">
        <v>20</v>
      </c>
    </row>
    <row r="5519" ht="15.75" customHeight="1">
      <c r="A5519" s="7"/>
      <c r="B5519" s="7" t="str">
        <f>IFERROR(__xludf.DUMMYFUNCTION("""COMPUTED_VALUE"""),"HTML/CSS;JavaScript;Ruby")</f>
        <v>HTML/CSS;JavaScript;Ruby</v>
      </c>
      <c r="M5519" s="9" t="s">
        <v>21</v>
      </c>
    </row>
    <row r="5520" ht="15.75" customHeight="1">
      <c r="A5520" s="7"/>
      <c r="B5520" s="7" t="str">
        <f>IFERROR(__xludf.DUMMYFUNCTION("""COMPUTED_VALUE"""),"C#;JavaScript")</f>
        <v>C#;JavaScript</v>
      </c>
      <c r="M5520" s="9" t="s">
        <v>33</v>
      </c>
    </row>
    <row r="5521" ht="15.75" customHeight="1">
      <c r="A5521" s="7"/>
      <c r="B5521" s="7" t="str">
        <f>IFERROR(__xludf.DUMMYFUNCTION("""COMPUTED_VALUE"""),"Other(s):")</f>
        <v>Other(s):</v>
      </c>
      <c r="M5521" s="9" t="s">
        <v>24</v>
      </c>
    </row>
    <row r="5522" ht="15.75" customHeight="1">
      <c r="A5522" s="7"/>
      <c r="B5522" s="7" t="str">
        <f>IFERROR(__xludf.DUMMYFUNCTION("""COMPUTED_VALUE"""),"C#;SQL")</f>
        <v>C#;SQL</v>
      </c>
      <c r="M5522" s="9" t="s">
        <v>21</v>
      </c>
    </row>
    <row r="5523" ht="15.75" customHeight="1">
      <c r="A5523" s="7"/>
      <c r="B5523" s="7" t="str">
        <f>IFERROR(__xludf.DUMMYFUNCTION("""COMPUTED_VALUE"""),"Bash/Shell/PowerShell;Clojure;Java;Scala")</f>
        <v>Bash/Shell/PowerShell;Clojure;Java;Scala</v>
      </c>
      <c r="M5523" s="9" t="s">
        <v>27</v>
      </c>
    </row>
    <row r="5524" ht="15.75" customHeight="1">
      <c r="A5524" s="7"/>
      <c r="B5524" s="7" t="str">
        <f>IFERROR(__xludf.DUMMYFUNCTION("""COMPUTED_VALUE"""),"Bash/Shell/PowerShell;Java;JavaScript")</f>
        <v>Bash/Shell/PowerShell;Java;JavaScript</v>
      </c>
      <c r="M5524" s="9" t="s">
        <v>36</v>
      </c>
    </row>
    <row r="5525" ht="15.75" customHeight="1">
      <c r="A5525" s="7"/>
      <c r="B5525" s="7" t="str">
        <f>IFERROR(__xludf.DUMMYFUNCTION("""COMPUTED_VALUE"""),"C#;HTML/CSS;Java;JavaScript;SQL;Other(s):")</f>
        <v>C#;HTML/CSS;Java;JavaScript;SQL;Other(s):</v>
      </c>
      <c r="M5525" s="9" t="s">
        <v>21</v>
      </c>
    </row>
    <row r="5526" ht="15.75" customHeight="1">
      <c r="A5526" s="7"/>
      <c r="B5526" s="7" t="str">
        <f>IFERROR(__xludf.DUMMYFUNCTION("""COMPUTED_VALUE"""),"C#;Java;Kotlin")</f>
        <v>C#;Java;Kotlin</v>
      </c>
      <c r="M5526" s="9" t="s">
        <v>37</v>
      </c>
    </row>
    <row r="5527" ht="15.75" customHeight="1">
      <c r="A5527" s="7"/>
      <c r="B5527" s="7" t="str">
        <f>IFERROR(__xludf.DUMMYFUNCTION("""COMPUTED_VALUE"""),"HTML/CSS;JavaScript;PHP;SQL")</f>
        <v>HTML/CSS;JavaScript;PHP;SQL</v>
      </c>
      <c r="M5527" s="9" t="s">
        <v>33</v>
      </c>
    </row>
    <row r="5528" ht="15.75" customHeight="1">
      <c r="A5528" s="7"/>
      <c r="B5528" s="7" t="str">
        <f>IFERROR(__xludf.DUMMYFUNCTION("""COMPUTED_VALUE"""),"C#;HTML/CSS;JavaScript;SQL")</f>
        <v>C#;HTML/CSS;JavaScript;SQL</v>
      </c>
      <c r="M5528" s="9" t="s">
        <v>24</v>
      </c>
    </row>
    <row r="5529" ht="15.75" customHeight="1">
      <c r="A5529" s="7"/>
      <c r="B5529" s="7" t="str">
        <f>IFERROR(__xludf.DUMMYFUNCTION("""COMPUTED_VALUE"""),"C++;Java")</f>
        <v>C++;Java</v>
      </c>
      <c r="M5529" s="9" t="s">
        <v>20</v>
      </c>
    </row>
    <row r="5530" ht="15.75" customHeight="1">
      <c r="A5530" s="7"/>
      <c r="B5530" s="7" t="str">
        <f>IFERROR(__xludf.DUMMYFUNCTION("""COMPUTED_VALUE"""),"Elixir;HTML/CSS;JavaScript;PHP;Python;Ruby;SQL")</f>
        <v>Elixir;HTML/CSS;JavaScript;PHP;Python;Ruby;SQL</v>
      </c>
      <c r="M5530" s="9" t="s">
        <v>21</v>
      </c>
    </row>
    <row r="5531" ht="15.75" customHeight="1">
      <c r="A5531" s="7"/>
      <c r="B5531" s="7" t="str">
        <f>IFERROR(__xludf.DUMMYFUNCTION("""COMPUTED_VALUE"""),"C;HTML/CSS;Java;JavaScript;Ruby;SQL")</f>
        <v>C;HTML/CSS;Java;JavaScript;Ruby;SQL</v>
      </c>
      <c r="M5531" s="9" t="s">
        <v>39</v>
      </c>
    </row>
    <row r="5532" ht="15.75" customHeight="1">
      <c r="A5532" s="7"/>
      <c r="B5532" s="7" t="str">
        <f>IFERROR(__xludf.DUMMYFUNCTION("""COMPUTED_VALUE"""),"Bash/Shell/PowerShell;C;C++;C#;HTML/CSS;Java;Python")</f>
        <v>Bash/Shell/PowerShell;C;C++;C#;HTML/CSS;Java;Python</v>
      </c>
      <c r="M5532" s="9" t="s">
        <v>22</v>
      </c>
    </row>
    <row r="5533" ht="15.75" customHeight="1">
      <c r="A5533" s="7"/>
      <c r="B5533" s="7" t="str">
        <f>IFERROR(__xludf.DUMMYFUNCTION("""COMPUTED_VALUE"""),"HTML/CSS;Java;JavaScript;Kotlin;PHP;Ruby;SQL;Swift")</f>
        <v>HTML/CSS;Java;JavaScript;Kotlin;PHP;Ruby;SQL;Swift</v>
      </c>
      <c r="M5533" s="9" t="s">
        <v>29</v>
      </c>
    </row>
    <row r="5534" ht="15.75" customHeight="1">
      <c r="A5534" s="7"/>
      <c r="B5534" s="7" t="str">
        <f>IFERROR(__xludf.DUMMYFUNCTION("""COMPUTED_VALUE"""),"C;HTML/CSS;Java;JavaScript;PHP")</f>
        <v>C;HTML/CSS;Java;JavaScript;PHP</v>
      </c>
      <c r="M5534" s="9" t="s">
        <v>33</v>
      </c>
    </row>
    <row r="5535" ht="15.75" customHeight="1">
      <c r="A5535" s="7"/>
      <c r="B5535" s="7" t="str">
        <f>IFERROR(__xludf.DUMMYFUNCTION("""COMPUTED_VALUE"""),"Bash/Shell/PowerShell;C;C++;Python")</f>
        <v>Bash/Shell/PowerShell;C;C++;Python</v>
      </c>
      <c r="M5535" s="9" t="s">
        <v>38</v>
      </c>
    </row>
    <row r="5536" ht="15.75" customHeight="1">
      <c r="A5536" s="7"/>
      <c r="B5536" s="7" t="str">
        <f>IFERROR(__xludf.DUMMYFUNCTION("""COMPUTED_VALUE"""),"C#;HTML/CSS;Java;JavaScript;PHP;Python;SQL")</f>
        <v>C#;HTML/CSS;Java;JavaScript;PHP;Python;SQL</v>
      </c>
      <c r="M5536" s="9" t="s">
        <v>30</v>
      </c>
    </row>
    <row r="5537" ht="15.75" customHeight="1">
      <c r="A5537" s="7"/>
      <c r="B5537" s="7" t="str">
        <f>IFERROR(__xludf.DUMMYFUNCTION("""COMPUTED_VALUE"""),"C;C#;Go;HTML/CSS;Java;JavaScript;Python;Ruby;TypeScript")</f>
        <v>C;C#;Go;HTML/CSS;Java;JavaScript;Python;Ruby;TypeScript</v>
      </c>
      <c r="M5537" s="9" t="s">
        <v>25</v>
      </c>
    </row>
    <row r="5538" ht="15.75" customHeight="1">
      <c r="A5538" s="7"/>
      <c r="B5538" s="7" t="str">
        <f>IFERROR(__xludf.DUMMYFUNCTION("""COMPUTED_VALUE"""),"C++;C#;HTML/CSS;JavaScript;Python;SQL")</f>
        <v>C++;C#;HTML/CSS;JavaScript;Python;SQL</v>
      </c>
      <c r="M5538" s="9" t="s">
        <v>41</v>
      </c>
    </row>
    <row r="5539" ht="15.75" customHeight="1">
      <c r="A5539" s="7"/>
      <c r="B5539" s="7" t="str">
        <f>IFERROR(__xludf.DUMMYFUNCTION("""COMPUTED_VALUE"""),"Assembly;Bash/Shell/PowerShell;C;C++;Java;JavaScript;Python;SQL")</f>
        <v>Assembly;Bash/Shell/PowerShell;C;C++;Java;JavaScript;Python;SQL</v>
      </c>
      <c r="M5539" s="9" t="s">
        <v>22</v>
      </c>
    </row>
    <row r="5540" ht="15.75" customHeight="1">
      <c r="A5540" s="7"/>
      <c r="B5540" s="7" t="str">
        <f>IFERROR(__xludf.DUMMYFUNCTION("""COMPUTED_VALUE"""),"HTML/CSS;JavaScript")</f>
        <v>HTML/CSS;JavaScript</v>
      </c>
      <c r="M5540" s="9" t="s">
        <v>31</v>
      </c>
    </row>
    <row r="5541" ht="15.75" customHeight="1">
      <c r="A5541" s="7"/>
      <c r="B5541" s="7" t="str">
        <f>IFERROR(__xludf.DUMMYFUNCTION("""COMPUTED_VALUE"""),"C;C++")</f>
        <v>C;C++</v>
      </c>
      <c r="M5541" s="9" t="s">
        <v>40</v>
      </c>
    </row>
    <row r="5542" ht="15.75" customHeight="1">
      <c r="A5542" s="7"/>
      <c r="B5542" s="7" t="str">
        <f>IFERROR(__xludf.DUMMYFUNCTION("""COMPUTED_VALUE"""),"Java")</f>
        <v>Java</v>
      </c>
      <c r="M5542" s="9" t="s">
        <v>26</v>
      </c>
    </row>
    <row r="5543" ht="15.75" customHeight="1">
      <c r="A5543" s="7"/>
      <c r="B5543" s="7" t="str">
        <f>IFERROR(__xludf.DUMMYFUNCTION("""COMPUTED_VALUE"""),"HTML/CSS;JavaScript;Python;Swift;TypeScript;VBA")</f>
        <v>HTML/CSS;JavaScript;Python;Swift;TypeScript;VBA</v>
      </c>
      <c r="M5543" s="9" t="s">
        <v>24</v>
      </c>
    </row>
    <row r="5544" ht="15.75" customHeight="1">
      <c r="A5544" s="7"/>
      <c r="B5544" s="7" t="str">
        <f>IFERROR(__xludf.DUMMYFUNCTION("""COMPUTED_VALUE"""),"Python;R;Other(s):")</f>
        <v>Python;R;Other(s):</v>
      </c>
      <c r="M5544" s="9" t="s">
        <v>21</v>
      </c>
    </row>
    <row r="5545" ht="15.75" customHeight="1">
      <c r="A5545" s="7"/>
      <c r="B5545" s="7" t="str">
        <f>IFERROR(__xludf.DUMMYFUNCTION("""COMPUTED_VALUE"""),"Assembly;C;HTML/CSS;JavaScript;Python;SQL;VBA")</f>
        <v>Assembly;C;HTML/CSS;JavaScript;Python;SQL;VBA</v>
      </c>
      <c r="M5545" s="9" t="s">
        <v>22</v>
      </c>
    </row>
    <row r="5546" ht="15.75" customHeight="1">
      <c r="A5546" s="7"/>
      <c r="B5546" s="7" t="str">
        <f>IFERROR(__xludf.DUMMYFUNCTION("""COMPUTED_VALUE"""),"C++;HTML/CSS;Java;JavaScript;PHP;Python;SQL")</f>
        <v>C++;HTML/CSS;Java;JavaScript;PHP;Python;SQL</v>
      </c>
      <c r="M5546" s="9" t="s">
        <v>32</v>
      </c>
    </row>
    <row r="5547" ht="15.75" customHeight="1">
      <c r="A5547" s="7"/>
      <c r="B5547" s="7" t="str">
        <f>IFERROR(__xludf.DUMMYFUNCTION("""COMPUTED_VALUE"""),"C++;JavaScript")</f>
        <v>C++;JavaScript</v>
      </c>
      <c r="M5547" s="9" t="s">
        <v>33</v>
      </c>
    </row>
    <row r="5548" ht="15.75" customHeight="1">
      <c r="A5548" s="7"/>
      <c r="B5548" s="7" t="str">
        <f>IFERROR(__xludf.DUMMYFUNCTION("""COMPUTED_VALUE"""),"HTML/CSS;Java;JavaScript;SQL;TypeScript")</f>
        <v>HTML/CSS;Java;JavaScript;SQL;TypeScript</v>
      </c>
      <c r="M5548" s="9" t="s">
        <v>23</v>
      </c>
    </row>
    <row r="5549" ht="15.75" customHeight="1">
      <c r="A5549" s="7"/>
      <c r="B5549" s="7" t="str">
        <f>IFERROR(__xludf.DUMMYFUNCTION("""COMPUTED_VALUE"""),"C#;HTML/CSS;JavaScript;PHP;Python;SQL;Other(s):")</f>
        <v>C#;HTML/CSS;JavaScript;PHP;Python;SQL;Other(s):</v>
      </c>
      <c r="M5549" s="9" t="s">
        <v>26</v>
      </c>
    </row>
    <row r="5550" ht="15.75" customHeight="1">
      <c r="A5550" s="7"/>
      <c r="B5550" s="7" t="str">
        <f>IFERROR(__xludf.DUMMYFUNCTION("""COMPUTED_VALUE"""),"Bash/Shell/PowerShell;C#;HTML/CSS;Java;JavaScript;PHP;SQL;TypeScript")</f>
        <v>Bash/Shell/PowerShell;C#;HTML/CSS;Java;JavaScript;PHP;SQL;TypeScript</v>
      </c>
      <c r="M5550" s="9" t="s">
        <v>21</v>
      </c>
    </row>
    <row r="5551" ht="15.75" customHeight="1">
      <c r="A5551" s="7"/>
      <c r="B5551" s="7" t="str">
        <f>IFERROR(__xludf.DUMMYFUNCTION("""COMPUTED_VALUE"""),"HTML/CSS;JavaScript;PHP")</f>
        <v>HTML/CSS;JavaScript;PHP</v>
      </c>
      <c r="M5551" s="9" t="s">
        <v>37</v>
      </c>
    </row>
    <row r="5552" ht="15.75" customHeight="1">
      <c r="A5552" s="7"/>
      <c r="B5552" s="7" t="str">
        <f>IFERROR(__xludf.DUMMYFUNCTION("""COMPUTED_VALUE"""),"C++;HTML/CSS;Java;JavaScript;Kotlin;Objective-C;TypeScript")</f>
        <v>C++;HTML/CSS;Java;JavaScript;Kotlin;Objective-C;TypeScript</v>
      </c>
      <c r="M5552" s="9" t="s">
        <v>22</v>
      </c>
    </row>
    <row r="5553" ht="15.75" customHeight="1">
      <c r="A5553" s="7"/>
      <c r="B5553" s="7" t="str">
        <f>IFERROR(__xludf.DUMMYFUNCTION("""COMPUTED_VALUE"""),"Assembly;Bash/Shell/PowerShell;C;C++;C#;Clojure;Dart;Elixir;Erlang;F#;Go;HTML/CSS;Java;JavaScript;Kotlin;Objective-C;PHP;Python;R;Ruby;Rust;Scala;SQL;Swift;TypeScript;VBA;WebAssembly")</f>
        <v>Assembly;Bash/Shell/PowerShell;C;C++;C#;Clojure;Dart;Elixir;Erlang;F#;Go;HTML/CSS;Java;JavaScript;Kotlin;Objective-C;PHP;Python;R;Ruby;Rust;Scala;SQL;Swift;TypeScript;VBA;WebAssembly</v>
      </c>
      <c r="M5553" s="9" t="s">
        <v>27</v>
      </c>
    </row>
    <row r="5554" ht="15.75" customHeight="1">
      <c r="A5554" s="7"/>
      <c r="B5554" s="7" t="str">
        <f>IFERROR(__xludf.DUMMYFUNCTION("""COMPUTED_VALUE"""),"R;SQL")</f>
        <v>R;SQL</v>
      </c>
      <c r="M5554" s="9" t="s">
        <v>33</v>
      </c>
    </row>
    <row r="5555" ht="15.75" customHeight="1">
      <c r="A5555" s="7"/>
      <c r="B5555" s="7" t="str">
        <f>IFERROR(__xludf.DUMMYFUNCTION("""COMPUTED_VALUE"""),"Bash/Shell/PowerShell;Python")</f>
        <v>Bash/Shell/PowerShell;Python</v>
      </c>
      <c r="M5555" s="9" t="s">
        <v>25</v>
      </c>
    </row>
    <row r="5556" ht="15.75" customHeight="1">
      <c r="A5556" s="7"/>
      <c r="B5556" s="7" t="str">
        <f>IFERROR(__xludf.DUMMYFUNCTION("""COMPUTED_VALUE"""),"C#;HTML/CSS;Python;SQL")</f>
        <v>C#;HTML/CSS;Python;SQL</v>
      </c>
      <c r="M5556" s="9" t="s">
        <v>23</v>
      </c>
    </row>
    <row r="5557" ht="15.75" customHeight="1">
      <c r="A5557" s="7"/>
      <c r="B5557" s="7" t="str">
        <f>IFERROR(__xludf.DUMMYFUNCTION("""COMPUTED_VALUE"""),"Bash/Shell/PowerShell;Java;JavaScript;SQL")</f>
        <v>Bash/Shell/PowerShell;Java;JavaScript;SQL</v>
      </c>
      <c r="M5557" s="9" t="s">
        <v>20</v>
      </c>
    </row>
    <row r="5558" ht="15.75" customHeight="1">
      <c r="A5558" s="7"/>
      <c r="B5558" s="7" t="str">
        <f>IFERROR(__xludf.DUMMYFUNCTION("""COMPUTED_VALUE"""),"Bash/Shell/PowerShell;C#;HTML/CSS;Java;JavaScript;SQL")</f>
        <v>Bash/Shell/PowerShell;C#;HTML/CSS;Java;JavaScript;SQL</v>
      </c>
      <c r="M5558" s="9" t="s">
        <v>22</v>
      </c>
    </row>
    <row r="5559" ht="15.75" customHeight="1">
      <c r="A5559" s="7"/>
      <c r="B5559" s="7" t="str">
        <f>IFERROR(__xludf.DUMMYFUNCTION("""COMPUTED_VALUE"""),"Bash/Shell/PowerShell;Go;HTML/CSS;JavaScript;Python")</f>
        <v>Bash/Shell/PowerShell;Go;HTML/CSS;JavaScript;Python</v>
      </c>
      <c r="M5559" s="9" t="s">
        <v>22</v>
      </c>
    </row>
    <row r="5560" ht="15.75" customHeight="1">
      <c r="A5560" s="7"/>
      <c r="B5560" s="7" t="str">
        <f>IFERROR(__xludf.DUMMYFUNCTION("""COMPUTED_VALUE"""),"Bash/Shell/PowerShell;C#;HTML/CSS;Java;JavaScript;SQL")</f>
        <v>Bash/Shell/PowerShell;C#;HTML/CSS;Java;JavaScript;SQL</v>
      </c>
      <c r="M5560" s="9" t="s">
        <v>27</v>
      </c>
    </row>
    <row r="5561" ht="15.75" customHeight="1">
      <c r="A5561" s="7"/>
      <c r="B5561" s="7" t="str">
        <f>IFERROR(__xludf.DUMMYFUNCTION("""COMPUTED_VALUE"""),"C#;HTML/CSS;JavaScript;Python;SQL")</f>
        <v>C#;HTML/CSS;JavaScript;Python;SQL</v>
      </c>
      <c r="M5561" s="9" t="s">
        <v>26</v>
      </c>
    </row>
    <row r="5562" ht="15.75" customHeight="1">
      <c r="A5562" s="7"/>
      <c r="B5562" s="7" t="str">
        <f>IFERROR(__xludf.DUMMYFUNCTION("""COMPUTED_VALUE"""),"Bash/Shell/PowerShell;HTML/CSS;JavaScript;Rust")</f>
        <v>Bash/Shell/PowerShell;HTML/CSS;JavaScript;Rust</v>
      </c>
      <c r="M5562" s="9" t="s">
        <v>24</v>
      </c>
    </row>
    <row r="5563" ht="15.75" customHeight="1">
      <c r="A5563" s="7"/>
      <c r="B5563" s="7" t="str">
        <f>IFERROR(__xludf.DUMMYFUNCTION("""COMPUTED_VALUE"""),"Bash/Shell/PowerShell;C;Python")</f>
        <v>Bash/Shell/PowerShell;C;Python</v>
      </c>
      <c r="M5563" s="9" t="s">
        <v>20</v>
      </c>
    </row>
    <row r="5564" ht="15.75" customHeight="1">
      <c r="A5564" s="7"/>
      <c r="B5564" s="7" t="str">
        <f>IFERROR(__xludf.DUMMYFUNCTION("""COMPUTED_VALUE"""),"Bash/Shell/PowerShell;HTML/CSS;Java;JavaScript;SQL;TypeScript")</f>
        <v>Bash/Shell/PowerShell;HTML/CSS;Java;JavaScript;SQL;TypeScript</v>
      </c>
      <c r="M5564" s="9" t="s">
        <v>21</v>
      </c>
    </row>
    <row r="5565" ht="15.75" customHeight="1">
      <c r="A5565" s="7"/>
      <c r="B5565" s="7" t="str">
        <f>IFERROR(__xludf.DUMMYFUNCTION("""COMPUTED_VALUE"""),"HTML/CSS;JavaScript;PHP;SQL")</f>
        <v>HTML/CSS;JavaScript;PHP;SQL</v>
      </c>
      <c r="M5565" s="9" t="s">
        <v>26</v>
      </c>
    </row>
    <row r="5566" ht="15.75" customHeight="1">
      <c r="A5566" s="7"/>
      <c r="B5566" s="7" t="str">
        <f>IFERROR(__xludf.DUMMYFUNCTION("""COMPUTED_VALUE"""),"Bash/Shell/PowerShell;C#;F#;HTML/CSS;JavaScript;SQL;TypeScript")</f>
        <v>Bash/Shell/PowerShell;C#;F#;HTML/CSS;JavaScript;SQL;TypeScript</v>
      </c>
      <c r="M5566" s="9" t="s">
        <v>24</v>
      </c>
    </row>
    <row r="5567" ht="15.75" customHeight="1">
      <c r="A5567" s="7"/>
      <c r="B5567" s="7" t="str">
        <f>IFERROR(__xludf.DUMMYFUNCTION("""COMPUTED_VALUE"""),"C;C++;Java;JavaScript;Python;SQL")</f>
        <v>C;C++;Java;JavaScript;Python;SQL</v>
      </c>
      <c r="M5567" s="9" t="s">
        <v>20</v>
      </c>
    </row>
    <row r="5568" ht="15.75" customHeight="1">
      <c r="A5568" s="7"/>
      <c r="B5568" s="7" t="str">
        <f>IFERROR(__xludf.DUMMYFUNCTION("""COMPUTED_VALUE"""),"Ruby")</f>
        <v>Ruby</v>
      </c>
      <c r="M5568" s="9" t="s">
        <v>21</v>
      </c>
    </row>
    <row r="5569" ht="15.75" customHeight="1">
      <c r="A5569" s="7"/>
      <c r="B5569" s="7" t="str">
        <f>IFERROR(__xludf.DUMMYFUNCTION("""COMPUTED_VALUE"""),"C++;HTML/CSS;Java;JavaScript;PHP;SQL;WebAssembly")</f>
        <v>C++;HTML/CSS;Java;JavaScript;PHP;SQL;WebAssembly</v>
      </c>
      <c r="M5569" s="9" t="s">
        <v>39</v>
      </c>
    </row>
    <row r="5570" ht="15.75" customHeight="1">
      <c r="A5570" s="7"/>
      <c r="B5570" s="7" t="str">
        <f>IFERROR(__xludf.DUMMYFUNCTION("""COMPUTED_VALUE"""),"Assembly;Bash/Shell/PowerShell;C;C++;Java;Python;Rust")</f>
        <v>Assembly;Bash/Shell/PowerShell;C;C++;Java;Python;Rust</v>
      </c>
      <c r="M5570" s="9" t="s">
        <v>37</v>
      </c>
    </row>
    <row r="5571" ht="15.75" customHeight="1">
      <c r="A5571" s="7"/>
      <c r="B5571" s="7" t="str">
        <f>IFERROR(__xludf.DUMMYFUNCTION("""COMPUTED_VALUE"""),"C++;HTML/CSS;Java;JavaScript;PHP;Python;SQL")</f>
        <v>C++;HTML/CSS;Java;JavaScript;PHP;Python;SQL</v>
      </c>
      <c r="M5571" s="9" t="s">
        <v>31</v>
      </c>
    </row>
    <row r="5572" ht="15.75" customHeight="1">
      <c r="A5572" s="7"/>
      <c r="B5572" s="7" t="str">
        <f>IFERROR(__xludf.DUMMYFUNCTION("""COMPUTED_VALUE"""),"Bash/Shell/PowerShell;Clojure;Go;R;Ruby")</f>
        <v>Bash/Shell/PowerShell;Clojure;Go;R;Ruby</v>
      </c>
      <c r="M5572" s="9" t="s">
        <v>33</v>
      </c>
    </row>
    <row r="5573" ht="15.75" customHeight="1">
      <c r="A5573" s="7"/>
      <c r="B5573" s="7" t="str">
        <f>IFERROR(__xludf.DUMMYFUNCTION("""COMPUTED_VALUE"""),"C++;C#;HTML/CSS;JavaScript;SQL")</f>
        <v>C++;C#;HTML/CSS;JavaScript;SQL</v>
      </c>
      <c r="M5573" s="9" t="s">
        <v>35</v>
      </c>
    </row>
    <row r="5574" ht="15.75" customHeight="1">
      <c r="A5574" s="7"/>
      <c r="B5574" s="7" t="str">
        <f>IFERROR(__xludf.DUMMYFUNCTION("""COMPUTED_VALUE"""),"Bash/Shell/PowerShell;Clojure;Elixir;Erlang;Go;Python;Ruby;Scala")</f>
        <v>Bash/Shell/PowerShell;Clojure;Elixir;Erlang;Go;Python;Ruby;Scala</v>
      </c>
      <c r="M5574" s="9" t="s">
        <v>26</v>
      </c>
    </row>
    <row r="5575" ht="15.75" customHeight="1">
      <c r="A5575" s="7"/>
      <c r="B5575" s="7" t="str">
        <f>IFERROR(__xludf.DUMMYFUNCTION("""COMPUTED_VALUE"""),"C;C++;C#;Java")</f>
        <v>C;C++;C#;Java</v>
      </c>
      <c r="M5575" s="9" t="s">
        <v>24</v>
      </c>
    </row>
    <row r="5576" ht="15.75" customHeight="1">
      <c r="A5576" s="7"/>
      <c r="B5576" s="7" t="str">
        <f>IFERROR(__xludf.DUMMYFUNCTION("""COMPUTED_VALUE"""),"HTML/CSS;JavaScript;PHP;SQL")</f>
        <v>HTML/CSS;JavaScript;PHP;SQL</v>
      </c>
      <c r="M5576" s="9" t="s">
        <v>21</v>
      </c>
    </row>
    <row r="5577" ht="15.75" customHeight="1">
      <c r="A5577" s="7"/>
      <c r="B5577" s="7" t="str">
        <f>IFERROR(__xludf.DUMMYFUNCTION("""COMPUTED_VALUE"""),"Bash/Shell/PowerShell;C++;Java;Python")</f>
        <v>Bash/Shell/PowerShell;C++;Java;Python</v>
      </c>
      <c r="M5577" s="9" t="s">
        <v>27</v>
      </c>
    </row>
    <row r="5578" ht="15.75" customHeight="1">
      <c r="A5578" s="7"/>
      <c r="B5578" s="7" t="str">
        <f>IFERROR(__xludf.DUMMYFUNCTION("""COMPUTED_VALUE"""),"HTML/CSS;JavaScript")</f>
        <v>HTML/CSS;JavaScript</v>
      </c>
      <c r="M5578" s="9" t="s">
        <v>33</v>
      </c>
    </row>
    <row r="5579" ht="15.75" customHeight="1">
      <c r="A5579" s="7"/>
      <c r="B5579" s="7" t="str">
        <f>IFERROR(__xludf.DUMMYFUNCTION("""COMPUTED_VALUE"""),"Go;HTML/CSS;JavaScript;Python;SQL")</f>
        <v>Go;HTML/CSS;JavaScript;Python;SQL</v>
      </c>
      <c r="M5579" s="9" t="s">
        <v>30</v>
      </c>
    </row>
    <row r="5580" ht="15.75" customHeight="1">
      <c r="A5580" s="7"/>
      <c r="B5580" s="7" t="str">
        <f>IFERROR(__xludf.DUMMYFUNCTION("""COMPUTED_VALUE"""),"Java")</f>
        <v>Java</v>
      </c>
      <c r="M5580" s="9" t="s">
        <v>24</v>
      </c>
    </row>
    <row r="5581" ht="15.75" customHeight="1">
      <c r="A5581" s="7"/>
      <c r="B5581" s="7" t="str">
        <f>IFERROR(__xludf.DUMMYFUNCTION("""COMPUTED_VALUE"""),"HTML/CSS;JavaScript;PHP")</f>
        <v>HTML/CSS;JavaScript;PHP</v>
      </c>
      <c r="M5581" s="9" t="s">
        <v>21</v>
      </c>
    </row>
    <row r="5582" ht="15.75" customHeight="1">
      <c r="A5582" s="7"/>
      <c r="B5582" s="7" t="str">
        <f>IFERROR(__xludf.DUMMYFUNCTION("""COMPUTED_VALUE"""),"Bash/Shell/PowerShell;HTML/CSS;Java;JavaScript;Python")</f>
        <v>Bash/Shell/PowerShell;HTML/CSS;Java;JavaScript;Python</v>
      </c>
      <c r="M5582" s="9" t="s">
        <v>31</v>
      </c>
    </row>
    <row r="5583" ht="15.75" customHeight="1">
      <c r="A5583" s="7"/>
      <c r="B5583" s="7" t="str">
        <f>IFERROR(__xludf.DUMMYFUNCTION("""COMPUTED_VALUE"""),"C#;HTML/CSS;Java;JavaScript;PHP;Python;SQL")</f>
        <v>C#;HTML/CSS;Java;JavaScript;PHP;Python;SQL</v>
      </c>
      <c r="M5583" s="9" t="s">
        <v>27</v>
      </c>
    </row>
    <row r="5584" ht="15.75" customHeight="1">
      <c r="A5584" s="7"/>
      <c r="B5584" s="7" t="str">
        <f>IFERROR(__xludf.DUMMYFUNCTION("""COMPUTED_VALUE"""),"C;Other(s):")</f>
        <v>C;Other(s):</v>
      </c>
      <c r="M5584" s="9" t="s">
        <v>26</v>
      </c>
    </row>
    <row r="5585" ht="15.75" customHeight="1">
      <c r="A5585" s="7"/>
      <c r="B5585" s="7" t="str">
        <f>IFERROR(__xludf.DUMMYFUNCTION("""COMPUTED_VALUE"""),"HTML/CSS;Java;JavaScript;Python;SQL")</f>
        <v>HTML/CSS;Java;JavaScript;Python;SQL</v>
      </c>
      <c r="M5585" s="9" t="s">
        <v>24</v>
      </c>
    </row>
    <row r="5586" ht="15.75" customHeight="1">
      <c r="A5586" s="7"/>
      <c r="B5586" s="7" t="str">
        <f>IFERROR(__xludf.DUMMYFUNCTION("""COMPUTED_VALUE"""),"HTML/CSS;Java;JavaScript;Objective-C;PHP;Python;Ruby;SQL;Swift")</f>
        <v>HTML/CSS;Java;JavaScript;Objective-C;PHP;Python;Ruby;SQL;Swift</v>
      </c>
      <c r="M5586" s="9" t="s">
        <v>20</v>
      </c>
    </row>
    <row r="5587" ht="15.75" customHeight="1">
      <c r="A5587" s="7"/>
      <c r="B5587" s="7" t="str">
        <f>IFERROR(__xludf.DUMMYFUNCTION("""COMPUTED_VALUE"""),"Bash/Shell/PowerShell;HTML/CSS;JavaScript;PHP")</f>
        <v>Bash/Shell/PowerShell;HTML/CSS;JavaScript;PHP</v>
      </c>
      <c r="M5587" s="9" t="s">
        <v>21</v>
      </c>
    </row>
    <row r="5588" ht="15.75" customHeight="1">
      <c r="A5588" s="7"/>
      <c r="B5588" s="7" t="str">
        <f>IFERROR(__xludf.DUMMYFUNCTION("""COMPUTED_VALUE"""),"C++;C#;HTML/CSS;Java;JavaScript;SQL;TypeScript")</f>
        <v>C++;C#;HTML/CSS;Java;JavaScript;SQL;TypeScript</v>
      </c>
      <c r="M5588" s="9" t="s">
        <v>37</v>
      </c>
    </row>
    <row r="5589" ht="15.75" customHeight="1">
      <c r="A5589" s="7"/>
      <c r="B5589" s="7" t="str">
        <f>IFERROR(__xludf.DUMMYFUNCTION("""COMPUTED_VALUE"""),"Bash/Shell/PowerShell;Java;JavaScript")</f>
        <v>Bash/Shell/PowerShell;Java;JavaScript</v>
      </c>
      <c r="M5589" s="9" t="s">
        <v>22</v>
      </c>
    </row>
    <row r="5590" ht="15.75" customHeight="1">
      <c r="A5590" s="7"/>
      <c r="B5590" s="7" t="str">
        <f>IFERROR(__xludf.DUMMYFUNCTION("""COMPUTED_VALUE"""),"C#;HTML/CSS;Java;JavaScript")</f>
        <v>C#;HTML/CSS;Java;JavaScript</v>
      </c>
      <c r="M5590" s="9" t="s">
        <v>33</v>
      </c>
    </row>
    <row r="5591" ht="15.75" customHeight="1">
      <c r="A5591" s="7"/>
      <c r="B5591" s="7" t="str">
        <f>IFERROR(__xludf.DUMMYFUNCTION("""COMPUTED_VALUE"""),"Go;HTML/CSS;JavaScript;PHP;TypeScript")</f>
        <v>Go;HTML/CSS;JavaScript;PHP;TypeScript</v>
      </c>
      <c r="M5591" s="9" t="s">
        <v>21</v>
      </c>
    </row>
    <row r="5592" ht="15.75" customHeight="1">
      <c r="A5592" s="7"/>
      <c r="B5592" s="7" t="str">
        <f>IFERROR(__xludf.DUMMYFUNCTION("""COMPUTED_VALUE"""),"HTML/CSS;JavaScript;Ruby;SQL;Swift")</f>
        <v>HTML/CSS;JavaScript;Ruby;SQL;Swift</v>
      </c>
      <c r="M5592" s="9" t="s">
        <v>22</v>
      </c>
    </row>
    <row r="5593" ht="15.75" customHeight="1">
      <c r="A5593" s="7"/>
      <c r="B5593" s="7" t="str">
        <f>IFERROR(__xludf.DUMMYFUNCTION("""COMPUTED_VALUE"""),"Bash/Shell/PowerShell;HTML/CSS;JavaScript;PHP;Ruby;SQL")</f>
        <v>Bash/Shell/PowerShell;HTML/CSS;JavaScript;PHP;Ruby;SQL</v>
      </c>
      <c r="M5593" s="9" t="s">
        <v>29</v>
      </c>
    </row>
    <row r="5594" ht="15.75" customHeight="1">
      <c r="A5594" s="7"/>
      <c r="B5594" s="7" t="str">
        <f>IFERROR(__xludf.DUMMYFUNCTION("""COMPUTED_VALUE"""),"C#;HTML/CSS;Java;JavaScript;Kotlin")</f>
        <v>C#;HTML/CSS;Java;JavaScript;Kotlin</v>
      </c>
      <c r="M5594" s="9" t="s">
        <v>35</v>
      </c>
    </row>
    <row r="5595" ht="15.75" customHeight="1">
      <c r="A5595" s="7"/>
      <c r="B5595" s="7" t="str">
        <f>IFERROR(__xludf.DUMMYFUNCTION("""COMPUTED_VALUE"""),"HTML/CSS;JavaScript;PHP;SQL;TypeScript;Other(s):")</f>
        <v>HTML/CSS;JavaScript;PHP;SQL;TypeScript;Other(s):</v>
      </c>
      <c r="M5595" s="9" t="s">
        <v>30</v>
      </c>
    </row>
    <row r="5596" ht="15.75" customHeight="1">
      <c r="A5596" s="7"/>
      <c r="B5596" s="7" t="str">
        <f>IFERROR(__xludf.DUMMYFUNCTION("""COMPUTED_VALUE"""),"HTML/CSS;JavaScript;Python;TypeScript")</f>
        <v>HTML/CSS;JavaScript;Python;TypeScript</v>
      </c>
      <c r="M5596" s="9" t="s">
        <v>47</v>
      </c>
    </row>
    <row r="5597" ht="15.75" customHeight="1">
      <c r="A5597" s="7"/>
      <c r="B5597" s="7" t="str">
        <f>IFERROR(__xludf.DUMMYFUNCTION("""COMPUTED_VALUE"""),"Bash/Shell/PowerShell;C#;HTML/CSS;JavaScript;SQL")</f>
        <v>Bash/Shell/PowerShell;C#;HTML/CSS;JavaScript;SQL</v>
      </c>
      <c r="M5597" s="9" t="s">
        <v>24</v>
      </c>
    </row>
    <row r="5598" ht="15.75" customHeight="1">
      <c r="A5598" s="7"/>
      <c r="B5598" s="7" t="str">
        <f>IFERROR(__xludf.DUMMYFUNCTION("""COMPUTED_VALUE"""),"C;Java;Other(s):")</f>
        <v>C;Java;Other(s):</v>
      </c>
      <c r="M5598" s="9" t="s">
        <v>20</v>
      </c>
    </row>
    <row r="5599" ht="15.75" customHeight="1">
      <c r="A5599" s="7"/>
      <c r="B5599" s="7" t="str">
        <f>IFERROR(__xludf.DUMMYFUNCTION("""COMPUTED_VALUE"""),"Bash/Shell/PowerShell")</f>
        <v>Bash/Shell/PowerShell</v>
      </c>
      <c r="M5599" s="9" t="s">
        <v>21</v>
      </c>
    </row>
    <row r="5600" ht="15.75" customHeight="1">
      <c r="A5600" s="7"/>
      <c r="B5600" s="7" t="str">
        <f>IFERROR(__xludf.DUMMYFUNCTION("""COMPUTED_VALUE"""),"C#;HTML/CSS;JavaScript;SQL;TypeScript")</f>
        <v>C#;HTML/CSS;JavaScript;SQL;TypeScript</v>
      </c>
      <c r="M5600" s="9" t="s">
        <v>41</v>
      </c>
    </row>
    <row r="5601" ht="15.75" customHeight="1">
      <c r="A5601" s="7"/>
      <c r="B5601" s="7" t="str">
        <f>IFERROR(__xludf.DUMMYFUNCTION("""COMPUTED_VALUE"""),"Java;JavaScript")</f>
        <v>Java;JavaScript</v>
      </c>
      <c r="M5601" s="9" t="s">
        <v>40</v>
      </c>
    </row>
    <row r="5602" ht="15.75" customHeight="1">
      <c r="A5602" s="7"/>
      <c r="B5602" s="7" t="str">
        <f>IFERROR(__xludf.DUMMYFUNCTION("""COMPUTED_VALUE"""),"Bash/Shell/PowerShell;C#;Go;HTML/CSS;Java;JavaScript;TypeScript")</f>
        <v>Bash/Shell/PowerShell;C#;Go;HTML/CSS;Java;JavaScript;TypeScript</v>
      </c>
      <c r="M5602" s="9" t="s">
        <v>30</v>
      </c>
    </row>
    <row r="5603" ht="15.75" customHeight="1">
      <c r="A5603" s="7"/>
      <c r="B5603" s="7" t="str">
        <f>IFERROR(__xludf.DUMMYFUNCTION("""COMPUTED_VALUE"""),"JavaScript;Python;Rust;TypeScript")</f>
        <v>JavaScript;Python;Rust;TypeScript</v>
      </c>
      <c r="M5603" s="9" t="s">
        <v>22</v>
      </c>
    </row>
    <row r="5604" ht="15.75" customHeight="1">
      <c r="A5604" s="7"/>
      <c r="B5604" s="7" t="str">
        <f>IFERROR(__xludf.DUMMYFUNCTION("""COMPUTED_VALUE"""),"Bash/Shell/PowerShell;HTML/CSS;JavaScript;PHP;SQL;Swift")</f>
        <v>Bash/Shell/PowerShell;HTML/CSS;JavaScript;PHP;SQL;Swift</v>
      </c>
      <c r="M5604" s="9" t="s">
        <v>27</v>
      </c>
    </row>
    <row r="5605" ht="15.75" customHeight="1">
      <c r="A5605" s="7"/>
      <c r="B5605" s="7" t="str">
        <f>IFERROR(__xludf.DUMMYFUNCTION("""COMPUTED_VALUE"""),"Bash/Shell/PowerShell;C++;C#;HTML/CSS;JavaScript;TypeScript")</f>
        <v>Bash/Shell/PowerShell;C++;C#;HTML/CSS;JavaScript;TypeScript</v>
      </c>
      <c r="M5605" s="9" t="s">
        <v>35</v>
      </c>
    </row>
    <row r="5606" ht="15.75" customHeight="1">
      <c r="A5606" s="7"/>
      <c r="B5606" s="7" t="str">
        <f>IFERROR(__xludf.DUMMYFUNCTION("""COMPUTED_VALUE"""),"HTML/CSS;Java;JavaScript;Python")</f>
        <v>HTML/CSS;Java;JavaScript;Python</v>
      </c>
      <c r="M5606" s="9" t="s">
        <v>26</v>
      </c>
    </row>
    <row r="5607" ht="15.75" customHeight="1">
      <c r="A5607" s="7"/>
      <c r="B5607" s="7" t="str">
        <f>IFERROR(__xludf.DUMMYFUNCTION("""COMPUTED_VALUE"""),"Bash/Shell/PowerShell;Java;JavaScript;SQL")</f>
        <v>Bash/Shell/PowerShell;Java;JavaScript;SQL</v>
      </c>
      <c r="M5607" s="9" t="s">
        <v>24</v>
      </c>
    </row>
    <row r="5608" ht="15.75" customHeight="1">
      <c r="A5608" s="7"/>
      <c r="B5608" s="7" t="str">
        <f>IFERROR(__xludf.DUMMYFUNCTION("""COMPUTED_VALUE"""),"HTML/CSS;JavaScript;PHP;Python;SQL;TypeScript")</f>
        <v>HTML/CSS;JavaScript;PHP;Python;SQL;TypeScript</v>
      </c>
      <c r="M5608" s="9" t="s">
        <v>21</v>
      </c>
    </row>
    <row r="5609" ht="15.75" customHeight="1">
      <c r="A5609" s="7"/>
      <c r="B5609" s="7" t="str">
        <f>IFERROR(__xludf.DUMMYFUNCTION("""COMPUTED_VALUE"""),"C#;HTML/CSS;JavaScript;SQL")</f>
        <v>C#;HTML/CSS;JavaScript;SQL</v>
      </c>
      <c r="M5609" s="9" t="s">
        <v>27</v>
      </c>
    </row>
    <row r="5610" ht="15.75" customHeight="1">
      <c r="A5610" s="7"/>
      <c r="B5610" s="7" t="str">
        <f>IFERROR(__xludf.DUMMYFUNCTION("""COMPUTED_VALUE"""),"Bash/Shell/PowerShell;JavaScript")</f>
        <v>Bash/Shell/PowerShell;JavaScript</v>
      </c>
      <c r="M5610" s="9" t="s">
        <v>33</v>
      </c>
    </row>
    <row r="5611" ht="15.75" customHeight="1">
      <c r="A5611" s="7"/>
      <c r="B5611" s="7" t="str">
        <f>IFERROR(__xludf.DUMMYFUNCTION("""COMPUTED_VALUE"""),"C#;Java;Python")</f>
        <v>C#;Java;Python</v>
      </c>
      <c r="M5611" s="9" t="s">
        <v>21</v>
      </c>
    </row>
    <row r="5612" ht="15.75" customHeight="1">
      <c r="A5612" s="7"/>
      <c r="B5612" s="7" t="str">
        <f>IFERROR(__xludf.DUMMYFUNCTION("""COMPUTED_VALUE"""),"Bash/Shell/PowerShell;HTML/CSS;Java;JavaScript;Python;TypeScript;Other(s):")</f>
        <v>Bash/Shell/PowerShell;HTML/CSS;Java;JavaScript;Python;TypeScript;Other(s):</v>
      </c>
      <c r="M5612" s="9" t="s">
        <v>37</v>
      </c>
    </row>
    <row r="5613" ht="15.75" customHeight="1">
      <c r="A5613" s="7"/>
      <c r="B5613" s="7" t="str">
        <f>IFERROR(__xludf.DUMMYFUNCTION("""COMPUTED_VALUE"""),"C#;HTML/CSS;JavaScript")</f>
        <v>C#;HTML/CSS;JavaScript</v>
      </c>
      <c r="M5613" s="9" t="s">
        <v>27</v>
      </c>
    </row>
    <row r="5614" ht="15.75" customHeight="1">
      <c r="A5614" s="7"/>
      <c r="B5614" s="7" t="str">
        <f>IFERROR(__xludf.DUMMYFUNCTION("""COMPUTED_VALUE"""),"Bash/Shell/PowerShell;Java;Other(s):")</f>
        <v>Bash/Shell/PowerShell;Java;Other(s):</v>
      </c>
      <c r="M5614" s="9" t="s">
        <v>38</v>
      </c>
    </row>
    <row r="5615" ht="15.75" customHeight="1">
      <c r="A5615" s="7"/>
      <c r="B5615" s="7" t="str">
        <f>IFERROR(__xludf.DUMMYFUNCTION("""COMPUTED_VALUE"""),"Bash/Shell/PowerShell;Dart;Go;Java;Kotlin;Python;Scala")</f>
        <v>Bash/Shell/PowerShell;Dart;Go;Java;Kotlin;Python;Scala</v>
      </c>
      <c r="M5615" s="9" t="s">
        <v>30</v>
      </c>
    </row>
    <row r="5616" ht="15.75" customHeight="1">
      <c r="A5616" s="7"/>
      <c r="B5616" s="7" t="str">
        <f>IFERROR(__xludf.DUMMYFUNCTION("""COMPUTED_VALUE"""),"C;HTML/CSS;Java;PHP;WebAssembly")</f>
        <v>C;HTML/CSS;Java;PHP;WebAssembly</v>
      </c>
      <c r="M5616" s="9" t="s">
        <v>36</v>
      </c>
    </row>
    <row r="5617" ht="15.75" customHeight="1">
      <c r="A5617" s="7"/>
      <c r="B5617" s="7" t="str">
        <f>IFERROR(__xludf.DUMMYFUNCTION("""COMPUTED_VALUE"""),"Assembly;Bash/Shell/PowerShell;C;Go;HTML/CSS;Java;JavaScript;Kotlin;Objective-C;PHP;Python;SQL;Swift")</f>
        <v>Assembly;Bash/Shell/PowerShell;C;Go;HTML/CSS;Java;JavaScript;Kotlin;Objective-C;PHP;Python;SQL;Swift</v>
      </c>
      <c r="M5617" s="9" t="s">
        <v>22</v>
      </c>
    </row>
    <row r="5618" ht="15.75" customHeight="1">
      <c r="A5618" s="7"/>
      <c r="B5618" s="7" t="str">
        <f>IFERROR(__xludf.DUMMYFUNCTION("""COMPUTED_VALUE"""),"C#;JavaScript;Python;SQL;TypeScript")</f>
        <v>C#;JavaScript;Python;SQL;TypeScript</v>
      </c>
      <c r="M5618" s="9" t="s">
        <v>30</v>
      </c>
    </row>
    <row r="5619" ht="15.75" customHeight="1">
      <c r="A5619" s="7"/>
      <c r="B5619" s="7" t="str">
        <f>IFERROR(__xludf.DUMMYFUNCTION("""COMPUTED_VALUE"""),"C++;Java;Python")</f>
        <v>C++;Java;Python</v>
      </c>
      <c r="M5619" s="9" t="s">
        <v>36</v>
      </c>
    </row>
    <row r="5620" ht="15.75" customHeight="1">
      <c r="A5620" s="7"/>
      <c r="B5620" s="7" t="str">
        <f>IFERROR(__xludf.DUMMYFUNCTION("""COMPUTED_VALUE"""),"Java;JavaScript;Python")</f>
        <v>Java;JavaScript;Python</v>
      </c>
      <c r="M5620" s="9" t="s">
        <v>24</v>
      </c>
    </row>
    <row r="5621" ht="15.75" customHeight="1">
      <c r="A5621" s="7"/>
      <c r="B5621" s="7" t="str">
        <f>IFERROR(__xludf.DUMMYFUNCTION("""COMPUTED_VALUE"""),"C++;Java;Other(s):")</f>
        <v>C++;Java;Other(s):</v>
      </c>
      <c r="M5621" s="9" t="s">
        <v>20</v>
      </c>
    </row>
    <row r="5622" ht="15.75" customHeight="1">
      <c r="A5622" s="7"/>
      <c r="B5622" s="7" t="str">
        <f>IFERROR(__xludf.DUMMYFUNCTION("""COMPUTED_VALUE"""),"R;SQL")</f>
        <v>R;SQL</v>
      </c>
      <c r="M5622" s="9" t="s">
        <v>21</v>
      </c>
    </row>
    <row r="5623" ht="15.75" customHeight="1">
      <c r="A5623" s="7"/>
      <c r="B5623" s="7" t="str">
        <f>IFERROR(__xludf.DUMMYFUNCTION("""COMPUTED_VALUE"""),"Java;JavaScript;Python;Rust;SQL")</f>
        <v>Java;JavaScript;Python;Rust;SQL</v>
      </c>
      <c r="M5623" s="9" t="s">
        <v>39</v>
      </c>
    </row>
    <row r="5624" ht="15.75" customHeight="1">
      <c r="A5624" s="7"/>
      <c r="B5624" s="7" t="str">
        <f>IFERROR(__xludf.DUMMYFUNCTION("""COMPUTED_VALUE"""),"JavaScript;TypeScript")</f>
        <v>JavaScript;TypeScript</v>
      </c>
      <c r="M5624" s="9" t="s">
        <v>33</v>
      </c>
    </row>
    <row r="5625" ht="15.75" customHeight="1">
      <c r="A5625" s="7"/>
      <c r="B5625" s="7" t="str">
        <f>IFERROR(__xludf.DUMMYFUNCTION("""COMPUTED_VALUE"""),"C;C++;Java;Python")</f>
        <v>C;C++;Java;Python</v>
      </c>
      <c r="M5625" s="9" t="s">
        <v>30</v>
      </c>
    </row>
    <row r="5626" ht="15.75" customHeight="1">
      <c r="A5626" s="7"/>
      <c r="B5626" s="7" t="str">
        <f>IFERROR(__xludf.DUMMYFUNCTION("""COMPUTED_VALUE"""),"Bash/Shell/PowerShell;Go;HTML/CSS;Java;Python")</f>
        <v>Bash/Shell/PowerShell;Go;HTML/CSS;Java;Python</v>
      </c>
      <c r="M5626" s="9" t="s">
        <v>25</v>
      </c>
    </row>
    <row r="5627" ht="15.75" customHeight="1">
      <c r="A5627" s="7"/>
      <c r="B5627" s="7" t="str">
        <f>IFERROR(__xludf.DUMMYFUNCTION("""COMPUTED_VALUE"""),"Bash/Shell/PowerShell;HTML/CSS;JavaScript;Python;R;Ruby;SQL;VBA")</f>
        <v>Bash/Shell/PowerShell;HTML/CSS;JavaScript;Python;R;Ruby;SQL;VBA</v>
      </c>
      <c r="M5627" s="9" t="s">
        <v>24</v>
      </c>
    </row>
    <row r="5628" ht="15.75" customHeight="1">
      <c r="A5628" s="7"/>
      <c r="B5628" s="7" t="str">
        <f>IFERROR(__xludf.DUMMYFUNCTION("""COMPUTED_VALUE"""),"Clojure;HTML/CSS;Java;JavaScript;Kotlin;Python;SQL")</f>
        <v>Clojure;HTML/CSS;Java;JavaScript;Kotlin;Python;SQL</v>
      </c>
      <c r="M5628" s="9" t="s">
        <v>20</v>
      </c>
    </row>
    <row r="5629" ht="15.75" customHeight="1">
      <c r="A5629" s="7"/>
      <c r="B5629" s="7" t="str">
        <f>IFERROR(__xludf.DUMMYFUNCTION("""COMPUTED_VALUE"""),"Bash/Shell/PowerShell;HTML/CSS;JavaScript;Python;Ruby;SQL")</f>
        <v>Bash/Shell/PowerShell;HTML/CSS;JavaScript;Python;Ruby;SQL</v>
      </c>
      <c r="M5629" s="9" t="s">
        <v>21</v>
      </c>
    </row>
    <row r="5630" ht="15.75" customHeight="1">
      <c r="A5630" s="7"/>
      <c r="B5630" s="7" t="str">
        <f>IFERROR(__xludf.DUMMYFUNCTION("""COMPUTED_VALUE"""),"Java;Kotlin")</f>
        <v>Java;Kotlin</v>
      </c>
      <c r="M5630" s="9" t="s">
        <v>41</v>
      </c>
    </row>
    <row r="5631" ht="15.75" customHeight="1">
      <c r="A5631" s="7"/>
      <c r="B5631" s="7" t="str">
        <f>IFERROR(__xludf.DUMMYFUNCTION("""COMPUTED_VALUE"""),"HTML/CSS;SQL")</f>
        <v>HTML/CSS;SQL</v>
      </c>
      <c r="M5631" s="9" t="s">
        <v>37</v>
      </c>
    </row>
    <row r="5632" ht="15.75" customHeight="1">
      <c r="A5632" s="7"/>
      <c r="B5632" s="7" t="str">
        <f>IFERROR(__xludf.DUMMYFUNCTION("""COMPUTED_VALUE"""),"Bash/Shell/PowerShell;Go;HTML/CSS;JavaScript;Rust;TypeScript")</f>
        <v>Bash/Shell/PowerShell;Go;HTML/CSS;JavaScript;Rust;TypeScript</v>
      </c>
      <c r="M5632" s="9" t="s">
        <v>22</v>
      </c>
    </row>
    <row r="5633" ht="15.75" customHeight="1">
      <c r="A5633" s="7"/>
      <c r="B5633" s="7" t="str">
        <f>IFERROR(__xludf.DUMMYFUNCTION("""COMPUTED_VALUE"""),"HTML/CSS;JavaScript;TypeScript")</f>
        <v>HTML/CSS;JavaScript;TypeScript</v>
      </c>
      <c r="M5633" s="9" t="s">
        <v>31</v>
      </c>
    </row>
    <row r="5634" ht="15.75" customHeight="1">
      <c r="A5634" s="7"/>
      <c r="B5634" s="7" t="str">
        <f>IFERROR(__xludf.DUMMYFUNCTION("""COMPUTED_VALUE"""),"Bash/Shell/PowerShell;HTML/CSS;JavaScript;PHP;Python;R;SQL")</f>
        <v>Bash/Shell/PowerShell;HTML/CSS;JavaScript;PHP;Python;R;SQL</v>
      </c>
      <c r="M5634" s="9" t="s">
        <v>27</v>
      </c>
    </row>
    <row r="5635" ht="15.75" customHeight="1">
      <c r="A5635" s="7"/>
      <c r="B5635" s="7" t="str">
        <f>IFERROR(__xludf.DUMMYFUNCTION("""COMPUTED_VALUE"""),"Bash/Shell/PowerShell;C#;F#;HTML/CSS;JavaScript;Python;SQL;TypeScript")</f>
        <v>Bash/Shell/PowerShell;C#;F#;HTML/CSS;JavaScript;Python;SQL;TypeScript</v>
      </c>
      <c r="M5635" s="9" t="s">
        <v>33</v>
      </c>
    </row>
    <row r="5636" ht="15.75" customHeight="1">
      <c r="A5636" s="7"/>
      <c r="B5636" s="7" t="str">
        <f>IFERROR(__xludf.DUMMYFUNCTION("""COMPUTED_VALUE"""),"Bash/Shell/PowerShell;HTML/CSS;Java;JavaScript;Python;SQL")</f>
        <v>Bash/Shell/PowerShell;HTML/CSS;Java;JavaScript;Python;SQL</v>
      </c>
      <c r="M5636" s="9" t="s">
        <v>25</v>
      </c>
    </row>
    <row r="5637" ht="15.75" customHeight="1">
      <c r="A5637" s="7"/>
      <c r="B5637" s="7" t="str">
        <f>IFERROR(__xludf.DUMMYFUNCTION("""COMPUTED_VALUE"""),"HTML/CSS;JavaScript;Ruby;SQL")</f>
        <v>HTML/CSS;JavaScript;Ruby;SQL</v>
      </c>
      <c r="M5637" s="9" t="s">
        <v>23</v>
      </c>
    </row>
    <row r="5638" ht="15.75" customHeight="1">
      <c r="A5638" s="7"/>
      <c r="B5638" s="7" t="str">
        <f>IFERROR(__xludf.DUMMYFUNCTION("""COMPUTED_VALUE"""),"Bash/Shell/PowerShell;C#;HTML/CSS;JavaScript;PHP;SQL;TypeScript")</f>
        <v>Bash/Shell/PowerShell;C#;HTML/CSS;JavaScript;PHP;SQL;TypeScript</v>
      </c>
      <c r="M5638" s="9" t="s">
        <v>24</v>
      </c>
    </row>
    <row r="5639" ht="15.75" customHeight="1">
      <c r="A5639" s="7"/>
      <c r="B5639" s="7" t="str">
        <f>IFERROR(__xludf.DUMMYFUNCTION("""COMPUTED_VALUE"""),"C;C++;Java;Python")</f>
        <v>C;C++;Java;Python</v>
      </c>
      <c r="M5639" s="9" t="s">
        <v>20</v>
      </c>
    </row>
    <row r="5640" ht="15.75" customHeight="1">
      <c r="A5640" s="7"/>
      <c r="B5640" s="7" t="str">
        <f>IFERROR(__xludf.DUMMYFUNCTION("""COMPUTED_VALUE"""),"HTML/CSS;JavaScript;PHP;TypeScript")</f>
        <v>HTML/CSS;JavaScript;PHP;TypeScript</v>
      </c>
      <c r="M5640" s="9" t="s">
        <v>21</v>
      </c>
    </row>
    <row r="5641" ht="15.75" customHeight="1">
      <c r="A5641" s="7"/>
      <c r="B5641" s="7" t="str">
        <f>IFERROR(__xludf.DUMMYFUNCTION("""COMPUTED_VALUE"""),"Assembly;Bash/Shell/PowerShell;C;HTML/CSS;Java;JavaScript;Python;R;SQL")</f>
        <v>Assembly;Bash/Shell/PowerShell;C;HTML/CSS;Java;JavaScript;Python;R;SQL</v>
      </c>
      <c r="M5641" s="9" t="s">
        <v>37</v>
      </c>
    </row>
    <row r="5642" ht="15.75" customHeight="1">
      <c r="A5642" s="7"/>
      <c r="B5642" s="7" t="str">
        <f>IFERROR(__xludf.DUMMYFUNCTION("""COMPUTED_VALUE"""),"Bash/Shell/PowerShell;C#;SQL")</f>
        <v>Bash/Shell/PowerShell;C#;SQL</v>
      </c>
      <c r="M5642" s="9" t="s">
        <v>27</v>
      </c>
    </row>
    <row r="5643" ht="15.75" customHeight="1">
      <c r="A5643" s="7"/>
      <c r="B5643" s="7" t="str">
        <f>IFERROR(__xludf.DUMMYFUNCTION("""COMPUTED_VALUE"""),"HTML/CSS;JavaScript;PHP;SQL")</f>
        <v>HTML/CSS;JavaScript;PHP;SQL</v>
      </c>
      <c r="M5643" s="9" t="s">
        <v>30</v>
      </c>
    </row>
    <row r="5644" ht="15.75" customHeight="1">
      <c r="A5644" s="7"/>
      <c r="B5644" s="7" t="str">
        <f>IFERROR(__xludf.DUMMYFUNCTION("""COMPUTED_VALUE"""),"Bash/Shell/PowerShell;C;C++;C#;HTML/CSS;JavaScript;PHP;Python;SQL")</f>
        <v>Bash/Shell/PowerShell;C;C++;C#;HTML/CSS;JavaScript;PHP;Python;SQL</v>
      </c>
      <c r="M5644" s="9" t="s">
        <v>24</v>
      </c>
    </row>
    <row r="5645" ht="15.75" customHeight="1">
      <c r="A5645" s="7"/>
      <c r="B5645" s="7" t="str">
        <f>IFERROR(__xludf.DUMMYFUNCTION("""COMPUTED_VALUE"""),"JavaScript;Python;R")</f>
        <v>JavaScript;Python;R</v>
      </c>
      <c r="M5645" s="9" t="s">
        <v>21</v>
      </c>
    </row>
    <row r="5646" ht="15.75" customHeight="1">
      <c r="A5646" s="7"/>
      <c r="B5646" s="7" t="str">
        <f>IFERROR(__xludf.DUMMYFUNCTION("""COMPUTED_VALUE"""),"C#;HTML/CSS;JavaScript;PHP;Python;SQL")</f>
        <v>C#;HTML/CSS;JavaScript;PHP;Python;SQL</v>
      </c>
      <c r="M5646" s="9" t="s">
        <v>22</v>
      </c>
    </row>
    <row r="5647" ht="15.75" customHeight="1">
      <c r="A5647" s="7"/>
      <c r="B5647" s="7" t="str">
        <f>IFERROR(__xludf.DUMMYFUNCTION("""COMPUTED_VALUE"""),"Assembly;C;C++;C#;HTML/CSS;JavaScript;PHP;Python;SQL;VBA;Other(s):")</f>
        <v>Assembly;C;C++;C#;HTML/CSS;JavaScript;PHP;Python;SQL;VBA;Other(s):</v>
      </c>
      <c r="M5647" s="9" t="s">
        <v>30</v>
      </c>
    </row>
    <row r="5648" ht="15.75" customHeight="1">
      <c r="A5648" s="7"/>
      <c r="B5648" s="7" t="str">
        <f>IFERROR(__xludf.DUMMYFUNCTION("""COMPUTED_VALUE"""),"Bash/Shell/PowerShell;HTML/CSS;JavaScript;PHP;SQL")</f>
        <v>Bash/Shell/PowerShell;HTML/CSS;JavaScript;PHP;SQL</v>
      </c>
      <c r="M5648" s="9" t="s">
        <v>26</v>
      </c>
    </row>
    <row r="5649" ht="15.75" customHeight="1">
      <c r="A5649" s="7"/>
      <c r="B5649" s="7" t="str">
        <f>IFERROR(__xludf.DUMMYFUNCTION("""COMPUTED_VALUE"""),"C;HTML/CSS;Java;JavaScript;PHP;Python;SQL")</f>
        <v>C;HTML/CSS;Java;JavaScript;PHP;Python;SQL</v>
      </c>
      <c r="M5649" s="9" t="s">
        <v>24</v>
      </c>
    </row>
    <row r="5650" ht="15.75" customHeight="1">
      <c r="A5650" s="7"/>
      <c r="B5650" s="7" t="str">
        <f>IFERROR(__xludf.DUMMYFUNCTION("""COMPUTED_VALUE"""),"Bash/Shell/PowerShell;Go")</f>
        <v>Bash/Shell/PowerShell;Go</v>
      </c>
      <c r="M5650" s="9" t="s">
        <v>21</v>
      </c>
    </row>
    <row r="5651" ht="15.75" customHeight="1">
      <c r="A5651" s="7"/>
      <c r="B5651" s="7" t="str">
        <f>IFERROR(__xludf.DUMMYFUNCTION("""COMPUTED_VALUE"""),"Assembly;C;HTML/CSS;JavaScript;PHP")</f>
        <v>Assembly;C;HTML/CSS;JavaScript;PHP</v>
      </c>
      <c r="M5651" s="9" t="s">
        <v>33</v>
      </c>
    </row>
    <row r="5652" ht="15.75" customHeight="1">
      <c r="A5652" s="7"/>
      <c r="B5652" s="7" t="str">
        <f>IFERROR(__xludf.DUMMYFUNCTION("""COMPUTED_VALUE"""),"C#;HTML/CSS;JavaScript;SQL;TypeScript")</f>
        <v>C#;HTML/CSS;JavaScript;SQL;TypeScript</v>
      </c>
      <c r="M5652" s="9" t="s">
        <v>35</v>
      </c>
    </row>
    <row r="5653" ht="15.75" customHeight="1">
      <c r="A5653" s="7"/>
      <c r="B5653" s="7" t="str">
        <f>IFERROR(__xludf.DUMMYFUNCTION("""COMPUTED_VALUE"""),"Go;HTML/CSS;JavaScript;Ruby;SQL")</f>
        <v>Go;HTML/CSS;JavaScript;Ruby;SQL</v>
      </c>
      <c r="M5653" s="9" t="s">
        <v>25</v>
      </c>
    </row>
    <row r="5654" ht="15.75" customHeight="1">
      <c r="A5654" s="7"/>
      <c r="B5654" s="7" t="str">
        <f>IFERROR(__xludf.DUMMYFUNCTION("""COMPUTED_VALUE"""),"Bash/Shell/PowerShell;C#;HTML/CSS;JavaScript;PHP;SQL;VBA")</f>
        <v>Bash/Shell/PowerShell;C#;HTML/CSS;JavaScript;PHP;SQL;VBA</v>
      </c>
      <c r="M5654" s="9" t="s">
        <v>23</v>
      </c>
    </row>
    <row r="5655" ht="15.75" customHeight="1">
      <c r="A5655" s="7"/>
      <c r="B5655" s="7" t="str">
        <f>IFERROR(__xludf.DUMMYFUNCTION("""COMPUTED_VALUE"""),"C#;Go;HTML/CSS;Java;JavaScript;PHP;SQL;TypeScript")</f>
        <v>C#;Go;HTML/CSS;Java;JavaScript;PHP;SQL;TypeScript</v>
      </c>
      <c r="M5655" s="9" t="s">
        <v>22</v>
      </c>
    </row>
    <row r="5656" ht="15.75" customHeight="1">
      <c r="A5656" s="7"/>
      <c r="B5656" s="7" t="str">
        <f>IFERROR(__xludf.DUMMYFUNCTION("""COMPUTED_VALUE"""),"C++;JavaScript;Objective-C;Swift")</f>
        <v>C++;JavaScript;Objective-C;Swift</v>
      </c>
      <c r="M5656" s="9" t="s">
        <v>27</v>
      </c>
    </row>
    <row r="5657" ht="15.75" customHeight="1">
      <c r="A5657" s="7"/>
      <c r="B5657" s="7" t="str">
        <f>IFERROR(__xludf.DUMMYFUNCTION("""COMPUTED_VALUE"""),"HTML/CSS;JavaScript")</f>
        <v>HTML/CSS;JavaScript</v>
      </c>
      <c r="M5657" s="9" t="s">
        <v>24</v>
      </c>
    </row>
    <row r="5658" ht="15.75" customHeight="1">
      <c r="A5658" s="7"/>
      <c r="B5658" s="7" t="str">
        <f>IFERROR(__xludf.DUMMYFUNCTION("""COMPUTED_VALUE"""),"C#;F#;HTML/CSS;Objective-C;TypeScript")</f>
        <v>C#;F#;HTML/CSS;Objective-C;TypeScript</v>
      </c>
      <c r="M5658" s="9" t="s">
        <v>21</v>
      </c>
    </row>
    <row r="5659" ht="15.75" customHeight="1">
      <c r="A5659" s="7"/>
      <c r="B5659" s="7" t="str">
        <f>IFERROR(__xludf.DUMMYFUNCTION("""COMPUTED_VALUE"""),"Bash/Shell/PowerShell;C++;Python")</f>
        <v>Bash/Shell/PowerShell;C++;Python</v>
      </c>
      <c r="M5659" s="9" t="s">
        <v>31</v>
      </c>
    </row>
    <row r="5660" ht="15.75" customHeight="1">
      <c r="A5660" s="7"/>
      <c r="B5660" s="7" t="str">
        <f>IFERROR(__xludf.DUMMYFUNCTION("""COMPUTED_VALUE"""),"Bash/Shell/PowerShell;C#;HTML/CSS;JavaScript;SQL")</f>
        <v>Bash/Shell/PowerShell;C#;HTML/CSS;JavaScript;SQL</v>
      </c>
      <c r="M5660" s="9" t="s">
        <v>27</v>
      </c>
    </row>
    <row r="5661" ht="15.75" customHeight="1">
      <c r="A5661" s="7"/>
      <c r="B5661" s="7" t="str">
        <f>IFERROR(__xludf.DUMMYFUNCTION("""COMPUTED_VALUE"""),"Java;Kotlin")</f>
        <v>Java;Kotlin</v>
      </c>
      <c r="M5661" s="9" t="s">
        <v>26</v>
      </c>
    </row>
    <row r="5662" ht="15.75" customHeight="1">
      <c r="A5662" s="7"/>
      <c r="B5662" s="7" t="str">
        <f>IFERROR(__xludf.DUMMYFUNCTION("""COMPUTED_VALUE"""),"HTML/CSS;JavaScript;SQL;TypeScript")</f>
        <v>HTML/CSS;JavaScript;SQL;TypeScript</v>
      </c>
      <c r="M5662" s="9" t="s">
        <v>40</v>
      </c>
    </row>
    <row r="5663" ht="15.75" customHeight="1">
      <c r="A5663" s="7"/>
      <c r="B5663" s="7" t="str">
        <f>IFERROR(__xludf.DUMMYFUNCTION("""COMPUTED_VALUE"""),"C++;HTML/CSS;Java;JavaScript;PHP;Python;R;SQL")</f>
        <v>C++;HTML/CSS;Java;JavaScript;PHP;Python;R;SQL</v>
      </c>
      <c r="M5663" s="9" t="s">
        <v>30</v>
      </c>
    </row>
    <row r="5664" ht="15.75" customHeight="1">
      <c r="A5664" s="7"/>
      <c r="B5664" s="7" t="str">
        <f>IFERROR(__xludf.DUMMYFUNCTION("""COMPUTED_VALUE"""),"C#;HTML/CSS;JavaScript;SQL")</f>
        <v>C#;HTML/CSS;JavaScript;SQL</v>
      </c>
      <c r="M5664" s="9" t="s">
        <v>23</v>
      </c>
    </row>
    <row r="5665" ht="15.75" customHeight="1">
      <c r="A5665" s="7"/>
      <c r="B5665" s="7" t="str">
        <f>IFERROR(__xludf.DUMMYFUNCTION("""COMPUTED_VALUE"""),"HTML/CSS;JavaScript;PHP")</f>
        <v>HTML/CSS;JavaScript;PHP</v>
      </c>
      <c r="M5665" s="9" t="s">
        <v>26</v>
      </c>
    </row>
    <row r="5666" ht="15.75" customHeight="1">
      <c r="A5666" s="7"/>
      <c r="B5666" s="7" t="str">
        <f>IFERROR(__xludf.DUMMYFUNCTION("""COMPUTED_VALUE"""),"Bash/Shell/PowerShell;HTML/CSS;Java;JavaScript;Scala;SQL")</f>
        <v>Bash/Shell/PowerShell;HTML/CSS;Java;JavaScript;Scala;SQL</v>
      </c>
      <c r="M5666" s="9" t="s">
        <v>47</v>
      </c>
    </row>
    <row r="5667" ht="15.75" customHeight="1">
      <c r="A5667" s="7"/>
      <c r="B5667" s="7" t="str">
        <f>IFERROR(__xludf.DUMMYFUNCTION("""COMPUTED_VALUE"""),"JavaScript")</f>
        <v>JavaScript</v>
      </c>
      <c r="M5667" s="9" t="s">
        <v>24</v>
      </c>
    </row>
    <row r="5668" ht="15.75" customHeight="1">
      <c r="A5668" s="7"/>
      <c r="B5668" s="7" t="str">
        <f>IFERROR(__xludf.DUMMYFUNCTION("""COMPUTED_VALUE"""),"Bash/Shell/PowerShell;C++;Python;R")</f>
        <v>Bash/Shell/PowerShell;C++;Python;R</v>
      </c>
      <c r="M5668" s="9" t="s">
        <v>20</v>
      </c>
    </row>
    <row r="5669" ht="15.75" customHeight="1">
      <c r="A5669" s="7"/>
      <c r="B5669" s="7" t="str">
        <f>IFERROR(__xludf.DUMMYFUNCTION("""COMPUTED_VALUE"""),"HTML/CSS;JavaScript;Python;TypeScript")</f>
        <v>HTML/CSS;JavaScript;Python;TypeScript</v>
      </c>
      <c r="M5669" s="9" t="s">
        <v>21</v>
      </c>
    </row>
    <row r="5670" ht="15.75" customHeight="1">
      <c r="A5670" s="7"/>
      <c r="B5670" s="7" t="str">
        <f>IFERROR(__xludf.DUMMYFUNCTION("""COMPUTED_VALUE"""),"Assembly;Bash/Shell/PowerShell;Erlang;Java")</f>
        <v>Assembly;Bash/Shell/PowerShell;Erlang;Java</v>
      </c>
      <c r="M5670" s="9" t="s">
        <v>22</v>
      </c>
    </row>
    <row r="5671" ht="15.75" customHeight="1">
      <c r="A5671" s="7"/>
      <c r="B5671" s="7" t="str">
        <f>IFERROR(__xludf.DUMMYFUNCTION("""COMPUTED_VALUE"""),"Bash/Shell/PowerShell;HTML/CSS;Java;JavaScript;SQL")</f>
        <v>Bash/Shell/PowerShell;HTML/CSS;Java;JavaScript;SQL</v>
      </c>
      <c r="M5671" s="9" t="s">
        <v>29</v>
      </c>
    </row>
    <row r="5672" ht="15.75" customHeight="1">
      <c r="A5672" s="7"/>
      <c r="B5672" s="7" t="str">
        <f>IFERROR(__xludf.DUMMYFUNCTION("""COMPUTED_VALUE"""),"HTML/CSS;JavaScript;PHP")</f>
        <v>HTML/CSS;JavaScript;PHP</v>
      </c>
      <c r="M5672" s="9" t="s">
        <v>27</v>
      </c>
    </row>
    <row r="5673" ht="15.75" customHeight="1">
      <c r="A5673" s="7"/>
      <c r="B5673" s="7" t="str">
        <f>IFERROR(__xludf.DUMMYFUNCTION("""COMPUTED_VALUE"""),"Bash/Shell/PowerShell;C#;Java;Python")</f>
        <v>Bash/Shell/PowerShell;C#;Java;Python</v>
      </c>
      <c r="M5673" s="9" t="s">
        <v>33</v>
      </c>
    </row>
    <row r="5674" ht="15.75" customHeight="1">
      <c r="A5674" s="7"/>
      <c r="B5674" s="7" t="str">
        <f>IFERROR(__xludf.DUMMYFUNCTION("""COMPUTED_VALUE"""),"Bash/Shell/PowerShell;HTML/CSS;Java;JavaScript;Kotlin;PHP;SQL;TypeScript")</f>
        <v>Bash/Shell/PowerShell;HTML/CSS;Java;JavaScript;Kotlin;PHP;SQL;TypeScript</v>
      </c>
      <c r="M5674" s="9" t="s">
        <v>23</v>
      </c>
    </row>
    <row r="5675" ht="15.75" customHeight="1">
      <c r="A5675" s="7"/>
      <c r="B5675" s="7" t="str">
        <f>IFERROR(__xludf.DUMMYFUNCTION("""COMPUTED_VALUE"""),"Bash/Shell/PowerShell;C;C++;C#;Python")</f>
        <v>Bash/Shell/PowerShell;C;C++;C#;Python</v>
      </c>
      <c r="M5675" s="9" t="s">
        <v>43</v>
      </c>
    </row>
    <row r="5676" ht="15.75" customHeight="1">
      <c r="A5676" s="7"/>
      <c r="B5676" s="7" t="str">
        <f>IFERROR(__xludf.DUMMYFUNCTION("""COMPUTED_VALUE"""),"Assembly;C;C++;Java;PHP;Python;SQL;VBA")</f>
        <v>Assembly;C;C++;Java;PHP;Python;SQL;VBA</v>
      </c>
      <c r="M5676" s="9" t="s">
        <v>22</v>
      </c>
    </row>
    <row r="5677" ht="15.75" customHeight="1">
      <c r="A5677" s="7"/>
      <c r="B5677" s="7" t="str">
        <f>IFERROR(__xludf.DUMMYFUNCTION("""COMPUTED_VALUE"""),"HTML/CSS;Java;JavaScript;Swift")</f>
        <v>HTML/CSS;Java;JavaScript;Swift</v>
      </c>
      <c r="M5677" s="9" t="s">
        <v>24</v>
      </c>
    </row>
    <row r="5678" ht="15.75" customHeight="1">
      <c r="A5678" s="7"/>
      <c r="B5678" s="7" t="str">
        <f>IFERROR(__xludf.DUMMYFUNCTION("""COMPUTED_VALUE"""),"Bash/Shell/PowerShell;C;HTML/CSS;Java;JavaScript;Python")</f>
        <v>Bash/Shell/PowerShell;C;HTML/CSS;Java;JavaScript;Python</v>
      </c>
      <c r="M5678" s="9" t="s">
        <v>20</v>
      </c>
    </row>
    <row r="5679" ht="15.75" customHeight="1">
      <c r="A5679" s="7"/>
      <c r="B5679" s="7" t="str">
        <f>IFERROR(__xludf.DUMMYFUNCTION("""COMPUTED_VALUE"""),"HTML/CSS;Java;JavaScript;SQL;Other(s):")</f>
        <v>HTML/CSS;Java;JavaScript;SQL;Other(s):</v>
      </c>
      <c r="M5679" s="9" t="s">
        <v>21</v>
      </c>
    </row>
    <row r="5680" ht="15.75" customHeight="1">
      <c r="A5680" s="7"/>
      <c r="B5680" s="7" t="str">
        <f>IFERROR(__xludf.DUMMYFUNCTION("""COMPUTED_VALUE"""),"C++;Python")</f>
        <v>C++;Python</v>
      </c>
      <c r="M5680" s="9" t="s">
        <v>37</v>
      </c>
    </row>
    <row r="5681" ht="15.75" customHeight="1">
      <c r="A5681" s="7"/>
      <c r="B5681" s="7" t="str">
        <f>IFERROR(__xludf.DUMMYFUNCTION("""COMPUTED_VALUE"""),"C;HTML/CSS")</f>
        <v>C;HTML/CSS</v>
      </c>
      <c r="M5681" s="9" t="s">
        <v>27</v>
      </c>
    </row>
    <row r="5682" ht="15.75" customHeight="1">
      <c r="A5682" s="7"/>
      <c r="B5682" s="7" t="str">
        <f>IFERROR(__xludf.DUMMYFUNCTION("""COMPUTED_VALUE"""),"HTML/CSS;Java")</f>
        <v>HTML/CSS;Java</v>
      </c>
      <c r="M5682" s="9" t="s">
        <v>33</v>
      </c>
    </row>
    <row r="5683" ht="15.75" customHeight="1">
      <c r="A5683" s="7"/>
      <c r="B5683" s="7" t="str">
        <f>IFERROR(__xludf.DUMMYFUNCTION("""COMPUTED_VALUE"""),"Bash/Shell/PowerShell;C++;C#")</f>
        <v>Bash/Shell/PowerShell;C++;C#</v>
      </c>
      <c r="M5683" s="9" t="s">
        <v>21</v>
      </c>
    </row>
    <row r="5684" ht="15.75" customHeight="1">
      <c r="A5684" s="7"/>
      <c r="B5684" s="7" t="str">
        <f>IFERROR(__xludf.DUMMYFUNCTION("""COMPUTED_VALUE"""),"Bash/Shell/PowerShell;Python;Ruby;SQL")</f>
        <v>Bash/Shell/PowerShell;Python;Ruby;SQL</v>
      </c>
      <c r="M5684" s="9" t="s">
        <v>38</v>
      </c>
    </row>
    <row r="5685" ht="15.75" customHeight="1">
      <c r="A5685" s="7"/>
      <c r="B5685" s="7" t="str">
        <f>IFERROR(__xludf.DUMMYFUNCTION("""COMPUTED_VALUE"""),"C#;HTML/CSS;JavaScript;SQL;TypeScript")</f>
        <v>C#;HTML/CSS;JavaScript;SQL;TypeScript</v>
      </c>
      <c r="M5685" s="9" t="s">
        <v>23</v>
      </c>
    </row>
    <row r="5686" ht="15.75" customHeight="1">
      <c r="A5686" s="7"/>
      <c r="B5686" s="7" t="str">
        <f>IFERROR(__xludf.DUMMYFUNCTION("""COMPUTED_VALUE"""),"C++;C#;JavaScript;Python;SQL")</f>
        <v>C++;C#;JavaScript;Python;SQL</v>
      </c>
      <c r="M5686" s="9" t="s">
        <v>24</v>
      </c>
    </row>
    <row r="5687" ht="15.75" customHeight="1">
      <c r="A5687" s="7"/>
      <c r="B5687" s="7" t="str">
        <f>IFERROR(__xludf.DUMMYFUNCTION("""COMPUTED_VALUE"""),"HTML/CSS;JavaScript;PHP;SQL")</f>
        <v>HTML/CSS;JavaScript;PHP;SQL</v>
      </c>
      <c r="M5687" s="9" t="s">
        <v>30</v>
      </c>
    </row>
    <row r="5688" ht="15.75" customHeight="1">
      <c r="A5688" s="7"/>
      <c r="B5688" s="7" t="str">
        <f>IFERROR(__xludf.DUMMYFUNCTION("""COMPUTED_VALUE"""),"Assembly;C;C++;HTML/CSS;Java;JavaScript;Python;SQL")</f>
        <v>Assembly;C;C++;HTML/CSS;Java;JavaScript;Python;SQL</v>
      </c>
      <c r="M5688" s="9" t="s">
        <v>23</v>
      </c>
    </row>
    <row r="5689" ht="15.75" customHeight="1">
      <c r="A5689" s="7"/>
      <c r="B5689" s="7" t="str">
        <f>IFERROR(__xludf.DUMMYFUNCTION("""COMPUTED_VALUE"""),"Dart;Kotlin")</f>
        <v>Dart;Kotlin</v>
      </c>
      <c r="M5689" s="9" t="s">
        <v>20</v>
      </c>
    </row>
    <row r="5690" ht="15.75" customHeight="1">
      <c r="A5690" s="7"/>
      <c r="B5690" s="7" t="str">
        <f>IFERROR(__xludf.DUMMYFUNCTION("""COMPUTED_VALUE"""),"Java;SQL")</f>
        <v>Java;SQL</v>
      </c>
      <c r="M5690" s="9" t="s">
        <v>21</v>
      </c>
    </row>
    <row r="5691" ht="15.75" customHeight="1">
      <c r="A5691" s="7"/>
      <c r="B5691" s="7" t="str">
        <f>IFERROR(__xludf.DUMMYFUNCTION("""COMPUTED_VALUE"""),"HTML/CSS;JavaScript;PHP;SQL")</f>
        <v>HTML/CSS;JavaScript;PHP;SQL</v>
      </c>
      <c r="M5691" s="9" t="s">
        <v>22</v>
      </c>
    </row>
    <row r="5692" ht="15.75" customHeight="1">
      <c r="A5692" s="7"/>
      <c r="B5692" s="7" t="str">
        <f>IFERROR(__xludf.DUMMYFUNCTION("""COMPUTED_VALUE"""),"HTML/CSS;JavaScript;Python;TypeScript")</f>
        <v>HTML/CSS;JavaScript;Python;TypeScript</v>
      </c>
      <c r="M5692" s="9" t="s">
        <v>27</v>
      </c>
    </row>
    <row r="5693" ht="15.75" customHeight="1">
      <c r="A5693" s="7"/>
      <c r="B5693" s="7" t="str">
        <f>IFERROR(__xludf.DUMMYFUNCTION("""COMPUTED_VALUE"""),"C;C++;C#;HTML/CSS;Java;JavaScript;Python;SQL;VBA")</f>
        <v>C;C++;C#;HTML/CSS;Java;JavaScript;Python;SQL;VBA</v>
      </c>
      <c r="M5693" s="9" t="s">
        <v>21</v>
      </c>
    </row>
    <row r="5694" ht="15.75" customHeight="1">
      <c r="A5694" s="7"/>
      <c r="B5694" s="7" t="str">
        <f>IFERROR(__xludf.DUMMYFUNCTION("""COMPUTED_VALUE"""),"C;C++;C#;Dart;Go;HTML/CSS;Java;JavaScript;Kotlin;Objective-C;PHP;Python;SQL;Swift;VBA")</f>
        <v>C;C++;C#;Dart;Go;HTML/CSS;Java;JavaScript;Kotlin;Objective-C;PHP;Python;SQL;Swift;VBA</v>
      </c>
      <c r="M5694" s="9" t="s">
        <v>24</v>
      </c>
    </row>
    <row r="5695" ht="15.75" customHeight="1">
      <c r="A5695" s="7"/>
      <c r="B5695" s="7" t="str">
        <f>IFERROR(__xludf.DUMMYFUNCTION("""COMPUTED_VALUE"""),"Bash/Shell/PowerShell;C#;HTML/CSS;Java;JavaScript;PHP;Python;SQL")</f>
        <v>Bash/Shell/PowerShell;C#;HTML/CSS;Java;JavaScript;PHP;Python;SQL</v>
      </c>
      <c r="M5695" s="9" t="s">
        <v>21</v>
      </c>
    </row>
    <row r="5696" ht="15.75" customHeight="1">
      <c r="A5696" s="7"/>
      <c r="B5696" s="7" t="str">
        <f>IFERROR(__xludf.DUMMYFUNCTION("""COMPUTED_VALUE"""),"C++;C#;Go;HTML/CSS;Java;JavaScript;Objective-C;PHP;SQL;TypeScript")</f>
        <v>C++;C#;Go;HTML/CSS;Java;JavaScript;Objective-C;PHP;SQL;TypeScript</v>
      </c>
      <c r="M5696" s="9" t="s">
        <v>37</v>
      </c>
    </row>
    <row r="5697" ht="15.75" customHeight="1">
      <c r="A5697" s="7"/>
      <c r="B5697" s="7" t="str">
        <f>IFERROR(__xludf.DUMMYFUNCTION("""COMPUTED_VALUE"""),"Java")</f>
        <v>Java</v>
      </c>
      <c r="M5697" s="9" t="s">
        <v>37</v>
      </c>
    </row>
    <row r="5698" ht="15.75" customHeight="1">
      <c r="A5698" s="7"/>
      <c r="B5698" s="7" t="str">
        <f>IFERROR(__xludf.DUMMYFUNCTION("""COMPUTED_VALUE"""),"Bash/Shell/PowerShell;C++;Go;HTML/CSS;JavaScript;Python;TypeScript")</f>
        <v>Bash/Shell/PowerShell;C++;Go;HTML/CSS;JavaScript;Python;TypeScript</v>
      </c>
      <c r="M5698" s="9" t="s">
        <v>35</v>
      </c>
    </row>
    <row r="5699" ht="15.75" customHeight="1">
      <c r="A5699" s="7"/>
      <c r="B5699" s="7" t="str">
        <f>IFERROR(__xludf.DUMMYFUNCTION("""COMPUTED_VALUE"""),"C++;HTML/CSS;Java;JavaScript;PHP;SQL")</f>
        <v>C++;HTML/CSS;Java;JavaScript;PHP;SQL</v>
      </c>
      <c r="M5699" s="9" t="s">
        <v>25</v>
      </c>
    </row>
    <row r="5700" ht="15.75" customHeight="1">
      <c r="A5700" s="7"/>
      <c r="B5700" s="7" t="str">
        <f>IFERROR(__xludf.DUMMYFUNCTION("""COMPUTED_VALUE"""),"Bash/Shell/PowerShell;Python")</f>
        <v>Bash/Shell/PowerShell;Python</v>
      </c>
      <c r="M5700" s="9" t="s">
        <v>24</v>
      </c>
    </row>
    <row r="5701" ht="15.75" customHeight="1">
      <c r="A5701" s="7"/>
      <c r="B5701" s="7" t="str">
        <f>IFERROR(__xludf.DUMMYFUNCTION("""COMPUTED_VALUE"""),"C#;JavaScript;SQL")</f>
        <v>C#;JavaScript;SQL</v>
      </c>
      <c r="M5701" s="9" t="s">
        <v>20</v>
      </c>
    </row>
    <row r="5702" ht="15.75" customHeight="1">
      <c r="A5702" s="7"/>
      <c r="B5702" s="7" t="str">
        <f>IFERROR(__xludf.DUMMYFUNCTION("""COMPUTED_VALUE"""),"Swift")</f>
        <v>Swift</v>
      </c>
      <c r="M5702" s="9" t="s">
        <v>21</v>
      </c>
    </row>
    <row r="5703" ht="15.75" customHeight="1">
      <c r="A5703" s="7"/>
      <c r="B5703" s="7" t="str">
        <f>IFERROR(__xludf.DUMMYFUNCTION("""COMPUTED_VALUE"""),"HTML/CSS;Java;JavaScript;PHP;Python;SQL")</f>
        <v>HTML/CSS;Java;JavaScript;PHP;Python;SQL</v>
      </c>
      <c r="M5703" s="9" t="s">
        <v>22</v>
      </c>
    </row>
    <row r="5704" ht="15.75" customHeight="1">
      <c r="A5704" s="7"/>
      <c r="B5704" s="7" t="str">
        <f>IFERROR(__xludf.DUMMYFUNCTION("""COMPUTED_VALUE"""),"C;C++")</f>
        <v>C;C++</v>
      </c>
      <c r="M5704" s="9" t="s">
        <v>27</v>
      </c>
    </row>
    <row r="5705" ht="15.75" customHeight="1">
      <c r="A5705" s="7"/>
      <c r="B5705" s="7" t="str">
        <f>IFERROR(__xludf.DUMMYFUNCTION("""COMPUTED_VALUE"""),"HTML/CSS;JavaScript;TypeScript")</f>
        <v>HTML/CSS;JavaScript;TypeScript</v>
      </c>
      <c r="M5705" s="9" t="s">
        <v>33</v>
      </c>
    </row>
    <row r="5706" ht="15.75" customHeight="1">
      <c r="A5706" s="7"/>
      <c r="B5706" s="7" t="str">
        <f>IFERROR(__xludf.DUMMYFUNCTION("""COMPUTED_VALUE"""),"Java")</f>
        <v>Java</v>
      </c>
      <c r="M5706" s="9" t="s">
        <v>30</v>
      </c>
    </row>
    <row r="5707" ht="15.75" customHeight="1">
      <c r="A5707" s="7"/>
      <c r="B5707" s="7" t="str">
        <f>IFERROR(__xludf.DUMMYFUNCTION("""COMPUTED_VALUE"""),"Bash/Shell/PowerShell;HTML/CSS;JavaScript;Python;Ruby;Rust;SQL")</f>
        <v>Bash/Shell/PowerShell;HTML/CSS;JavaScript;Python;Ruby;Rust;SQL</v>
      </c>
      <c r="M5707" s="9" t="s">
        <v>25</v>
      </c>
    </row>
    <row r="5708" ht="15.75" customHeight="1">
      <c r="A5708" s="7"/>
      <c r="B5708" s="7" t="str">
        <f>IFERROR(__xludf.DUMMYFUNCTION("""COMPUTED_VALUE"""),"C#")</f>
        <v>C#</v>
      </c>
      <c r="M5708" s="9" t="s">
        <v>23</v>
      </c>
    </row>
    <row r="5709" ht="15.75" customHeight="1">
      <c r="A5709" s="7"/>
      <c r="B5709" s="7" t="str">
        <f>IFERROR(__xludf.DUMMYFUNCTION("""COMPUTED_VALUE"""),"Ruby")</f>
        <v>Ruby</v>
      </c>
      <c r="M5709" s="9" t="s">
        <v>26</v>
      </c>
    </row>
    <row r="5710" ht="15.75" customHeight="1">
      <c r="A5710" s="7"/>
      <c r="B5710" s="7" t="str">
        <f>IFERROR(__xludf.DUMMYFUNCTION("""COMPUTED_VALUE"""),"Assembly;Dart;Erlang;Go;HTML/CSS;JavaScript;Kotlin;SQL")</f>
        <v>Assembly;Dart;Erlang;Go;HTML/CSS;JavaScript;Kotlin;SQL</v>
      </c>
      <c r="M5710" s="9" t="s">
        <v>24</v>
      </c>
    </row>
    <row r="5711" ht="15.75" customHeight="1">
      <c r="A5711" s="7"/>
      <c r="B5711" s="7" t="str">
        <f>IFERROR(__xludf.DUMMYFUNCTION("""COMPUTED_VALUE"""),"Bash/Shell/PowerShell;HTML/CSS;JavaScript;PHP")</f>
        <v>Bash/Shell/PowerShell;HTML/CSS;JavaScript;PHP</v>
      </c>
      <c r="M5711" s="9" t="s">
        <v>20</v>
      </c>
    </row>
    <row r="5712" ht="15.75" customHeight="1">
      <c r="A5712" s="7"/>
      <c r="B5712" s="7" t="str">
        <f>IFERROR(__xludf.DUMMYFUNCTION("""COMPUTED_VALUE"""),"Bash/Shell/PowerShell;Java;SQL;Other(s):")</f>
        <v>Bash/Shell/PowerShell;Java;SQL;Other(s):</v>
      </c>
      <c r="M5712" s="9" t="s">
        <v>21</v>
      </c>
    </row>
    <row r="5713" ht="15.75" customHeight="1">
      <c r="A5713" s="7"/>
      <c r="B5713" s="7" t="str">
        <f>IFERROR(__xludf.DUMMYFUNCTION("""COMPUTED_VALUE"""),"Java;PHP;SQL")</f>
        <v>Java;PHP;SQL</v>
      </c>
      <c r="M5713" s="9" t="s">
        <v>37</v>
      </c>
    </row>
    <row r="5714" ht="15.75" customHeight="1">
      <c r="A5714" s="7"/>
      <c r="B5714" s="7" t="str">
        <f>IFERROR(__xludf.DUMMYFUNCTION("""COMPUTED_VALUE"""),"C++;HTML/CSS;Python;SQL")</f>
        <v>C++;HTML/CSS;Python;SQL</v>
      </c>
      <c r="M5714" s="9" t="s">
        <v>22</v>
      </c>
    </row>
    <row r="5715" ht="15.75" customHeight="1">
      <c r="A5715" s="7"/>
      <c r="B5715" s="7" t="str">
        <f>IFERROR(__xludf.DUMMYFUNCTION("""COMPUTED_VALUE"""),"C#;HTML/CSS;Java;JavaScript;SQL")</f>
        <v>C#;HTML/CSS;Java;JavaScript;SQL</v>
      </c>
      <c r="M5715" s="9" t="s">
        <v>27</v>
      </c>
    </row>
    <row r="5716" ht="15.75" customHeight="1">
      <c r="A5716" s="7"/>
      <c r="B5716" s="7" t="str">
        <f>IFERROR(__xludf.DUMMYFUNCTION("""COMPUTED_VALUE"""),"C#;Python")</f>
        <v>C#;Python</v>
      </c>
      <c r="M5716" s="9" t="s">
        <v>30</v>
      </c>
    </row>
    <row r="5717" ht="15.75" customHeight="1">
      <c r="A5717" s="7"/>
      <c r="B5717" s="7" t="str">
        <f>IFERROR(__xludf.DUMMYFUNCTION("""COMPUTED_VALUE"""),"Bash/Shell/PowerShell;C;Python")</f>
        <v>Bash/Shell/PowerShell;C;Python</v>
      </c>
      <c r="M5717" s="9" t="s">
        <v>25</v>
      </c>
    </row>
    <row r="5718" ht="15.75" customHeight="1">
      <c r="A5718" s="7"/>
      <c r="B5718" s="7" t="str">
        <f>IFERROR(__xludf.DUMMYFUNCTION("""COMPUTED_VALUE"""),"C#;Elixir;Go;HTML/CSS;JavaScript;TypeScript")</f>
        <v>C#;Elixir;Go;HTML/CSS;JavaScript;TypeScript</v>
      </c>
      <c r="M5718" s="9" t="s">
        <v>24</v>
      </c>
    </row>
    <row r="5719" ht="15.75" customHeight="1">
      <c r="A5719" s="7"/>
      <c r="B5719" s="7" t="str">
        <f>IFERROR(__xludf.DUMMYFUNCTION("""COMPUTED_VALUE"""),"Bash/Shell/PowerShell;HTML/CSS;JavaScript;PHP;SQL")</f>
        <v>Bash/Shell/PowerShell;HTML/CSS;JavaScript;PHP;SQL</v>
      </c>
      <c r="M5719" s="9" t="s">
        <v>20</v>
      </c>
    </row>
    <row r="5720" ht="15.75" customHeight="1">
      <c r="A5720" s="7"/>
      <c r="B5720" s="7" t="str">
        <f>IFERROR(__xludf.DUMMYFUNCTION("""COMPUTED_VALUE"""),"C;C++;Python")</f>
        <v>C;C++;Python</v>
      </c>
      <c r="M5720" s="9" t="s">
        <v>21</v>
      </c>
    </row>
    <row r="5721" ht="15.75" customHeight="1">
      <c r="A5721" s="7"/>
      <c r="B5721" s="7" t="str">
        <f>IFERROR(__xludf.DUMMYFUNCTION("""COMPUTED_VALUE"""),"Bash/Shell/PowerShell;SQL")</f>
        <v>Bash/Shell/PowerShell;SQL</v>
      </c>
      <c r="M5721" s="9" t="s">
        <v>37</v>
      </c>
    </row>
    <row r="5722" ht="15.75" customHeight="1">
      <c r="A5722" s="7"/>
      <c r="B5722" s="7" t="str">
        <f>IFERROR(__xludf.DUMMYFUNCTION("""COMPUTED_VALUE"""),"Bash/Shell/PowerShell;Go;HTML/CSS;SQL")</f>
        <v>Bash/Shell/PowerShell;Go;HTML/CSS;SQL</v>
      </c>
      <c r="M5722" s="9" t="s">
        <v>22</v>
      </c>
    </row>
    <row r="5723" ht="15.75" customHeight="1">
      <c r="A5723" s="7"/>
      <c r="B5723" s="7" t="str">
        <f>IFERROR(__xludf.DUMMYFUNCTION("""COMPUTED_VALUE"""),"Java;Scala;TypeScript")</f>
        <v>Java;Scala;TypeScript</v>
      </c>
      <c r="M5723" s="9" t="s">
        <v>27</v>
      </c>
    </row>
    <row r="5724" ht="15.75" customHeight="1">
      <c r="A5724" s="7"/>
      <c r="B5724" s="7" t="str">
        <f>IFERROR(__xludf.DUMMYFUNCTION("""COMPUTED_VALUE"""),"HTML/CSS;JavaScript;Python;TypeScript")</f>
        <v>HTML/CSS;JavaScript;Python;TypeScript</v>
      </c>
      <c r="M5724" s="9" t="s">
        <v>26</v>
      </c>
    </row>
    <row r="5725" ht="15.75" customHeight="1">
      <c r="A5725" s="7"/>
      <c r="B5725" s="7" t="str">
        <f>IFERROR(__xludf.DUMMYFUNCTION("""COMPUTED_VALUE"""),"Bash/Shell/PowerShell;HTML/CSS;Java;JavaScript;Python")</f>
        <v>Bash/Shell/PowerShell;HTML/CSS;Java;JavaScript;Python</v>
      </c>
      <c r="M5725" s="9" t="s">
        <v>27</v>
      </c>
    </row>
    <row r="5726" ht="15.75" customHeight="1">
      <c r="A5726" s="7"/>
      <c r="B5726" s="7" t="str">
        <f>IFERROR(__xludf.DUMMYFUNCTION("""COMPUTED_VALUE"""),"Assembly;HTML/CSS;Java;JavaScript;PHP;SQL;TypeScript")</f>
        <v>Assembly;HTML/CSS;Java;JavaScript;PHP;SQL;TypeScript</v>
      </c>
      <c r="M5726" s="9" t="s">
        <v>28</v>
      </c>
    </row>
    <row r="5727" ht="15.75" customHeight="1">
      <c r="A5727" s="7"/>
      <c r="B5727" s="7" t="str">
        <f>IFERROR(__xludf.DUMMYFUNCTION("""COMPUTED_VALUE"""),"Bash/Shell/PowerShell;C;C++;Go;HTML/CSS;Python;Other(s):")</f>
        <v>Bash/Shell/PowerShell;C;C++;Go;HTML/CSS;Python;Other(s):</v>
      </c>
      <c r="M5727" s="9" t="s">
        <v>30</v>
      </c>
    </row>
    <row r="5728" ht="15.75" customHeight="1">
      <c r="A5728" s="7"/>
      <c r="B5728" s="7" t="str">
        <f>IFERROR(__xludf.DUMMYFUNCTION("""COMPUTED_VALUE"""),"HTML/CSS;JavaScript;SQL")</f>
        <v>HTML/CSS;JavaScript;SQL</v>
      </c>
      <c r="M5728" s="9" t="s">
        <v>23</v>
      </c>
    </row>
    <row r="5729" ht="15.75" customHeight="1">
      <c r="A5729" s="7"/>
      <c r="B5729" s="7" t="str">
        <f>IFERROR(__xludf.DUMMYFUNCTION("""COMPUTED_VALUE"""),"C;C#;HTML/CSS;Java;JavaScript;Python")</f>
        <v>C;C#;HTML/CSS;Java;JavaScript;Python</v>
      </c>
      <c r="M5729" s="9" t="s">
        <v>24</v>
      </c>
    </row>
    <row r="5730" ht="15.75" customHeight="1">
      <c r="A5730" s="7"/>
      <c r="B5730" s="7" t="str">
        <f>IFERROR(__xludf.DUMMYFUNCTION("""COMPUTED_VALUE"""),"Bash/Shell/PowerShell;C#;HTML/CSS;SQL;TypeScript")</f>
        <v>Bash/Shell/PowerShell;C#;HTML/CSS;SQL;TypeScript</v>
      </c>
      <c r="M5730" s="9" t="s">
        <v>20</v>
      </c>
    </row>
    <row r="5731" ht="15.75" customHeight="1">
      <c r="A5731" s="7"/>
      <c r="B5731" s="7" t="str">
        <f>IFERROR(__xludf.DUMMYFUNCTION("""COMPUTED_VALUE"""),"HTML/CSS;JavaScript;Python;SQL")</f>
        <v>HTML/CSS;JavaScript;Python;SQL</v>
      </c>
      <c r="M5731" s="9" t="s">
        <v>22</v>
      </c>
    </row>
    <row r="5732" ht="15.75" customHeight="1">
      <c r="A5732" s="7"/>
      <c r="B5732" s="7" t="str">
        <f>IFERROR(__xludf.DUMMYFUNCTION("""COMPUTED_VALUE"""),"C#;JavaScript;SQL")</f>
        <v>C#;JavaScript;SQL</v>
      </c>
      <c r="M5732" s="9" t="s">
        <v>20</v>
      </c>
    </row>
    <row r="5733" ht="15.75" customHeight="1">
      <c r="A5733" s="7"/>
      <c r="B5733" s="7" t="str">
        <f>IFERROR(__xludf.DUMMYFUNCTION("""COMPUTED_VALUE"""),"HTML/CSS;JavaScript;PHP;SQL")</f>
        <v>HTML/CSS;JavaScript;PHP;SQL</v>
      </c>
      <c r="M5733" s="9" t="s">
        <v>22</v>
      </c>
    </row>
    <row r="5734" ht="15.75" customHeight="1">
      <c r="A5734" s="7"/>
      <c r="B5734" s="7" t="str">
        <f>IFERROR(__xludf.DUMMYFUNCTION("""COMPUTED_VALUE"""),"C#")</f>
        <v>C#</v>
      </c>
      <c r="M5734" s="9" t="s">
        <v>36</v>
      </c>
    </row>
    <row r="5735" ht="15.75" customHeight="1">
      <c r="A5735" s="7"/>
      <c r="B5735" s="7" t="str">
        <f>IFERROR(__xludf.DUMMYFUNCTION("""COMPUTED_VALUE"""),"Python;R;SQL")</f>
        <v>Python;R;SQL</v>
      </c>
      <c r="M5735" s="9" t="s">
        <v>24</v>
      </c>
    </row>
    <row r="5736" ht="15.75" customHeight="1">
      <c r="A5736" s="7"/>
      <c r="B5736" s="7" t="str">
        <f>IFERROR(__xludf.DUMMYFUNCTION("""COMPUTED_VALUE"""),"Bash/Shell/PowerShell;HTML/CSS;Java;PHP")</f>
        <v>Bash/Shell/PowerShell;HTML/CSS;Java;PHP</v>
      </c>
      <c r="M5736" s="9" t="s">
        <v>20</v>
      </c>
    </row>
    <row r="5737" ht="15.75" customHeight="1">
      <c r="A5737" s="7"/>
      <c r="B5737" s="7" t="str">
        <f>IFERROR(__xludf.DUMMYFUNCTION("""COMPUTED_VALUE"""),"HTML/CSS;JavaScript;PHP;SQL;Other(s):")</f>
        <v>HTML/CSS;JavaScript;PHP;SQL;Other(s):</v>
      </c>
      <c r="M5737" s="9" t="s">
        <v>21</v>
      </c>
    </row>
    <row r="5738" ht="15.75" customHeight="1">
      <c r="A5738" s="7"/>
      <c r="B5738" s="7" t="str">
        <f>IFERROR(__xludf.DUMMYFUNCTION("""COMPUTED_VALUE"""),"Assembly;Bash/Shell/PowerShell;C;C++;HTML/CSS;Java;JavaScript;PHP;Python;SQL")</f>
        <v>Assembly;Bash/Shell/PowerShell;C;C++;HTML/CSS;Java;JavaScript;PHP;Python;SQL</v>
      </c>
      <c r="M5738" s="9" t="s">
        <v>27</v>
      </c>
    </row>
    <row r="5739" ht="15.75" customHeight="1">
      <c r="A5739" s="7"/>
      <c r="B5739" s="7" t="str">
        <f>IFERROR(__xludf.DUMMYFUNCTION("""COMPUTED_VALUE"""),"Java;Python")</f>
        <v>Java;Python</v>
      </c>
      <c r="M5739" s="9" t="s">
        <v>33</v>
      </c>
    </row>
    <row r="5740" ht="15.75" customHeight="1">
      <c r="A5740" s="7"/>
      <c r="B5740" s="7" t="str">
        <f>IFERROR(__xludf.DUMMYFUNCTION("""COMPUTED_VALUE"""),"HTML/CSS;Java;JavaScript")</f>
        <v>HTML/CSS;Java;JavaScript</v>
      </c>
      <c r="M5740" s="9" t="s">
        <v>38</v>
      </c>
    </row>
    <row r="5741" ht="15.75" customHeight="1">
      <c r="A5741" s="7"/>
      <c r="B5741" s="7" t="str">
        <f>IFERROR(__xludf.DUMMYFUNCTION("""COMPUTED_VALUE"""),"Bash/Shell/PowerShell;C++;Python;R")</f>
        <v>Bash/Shell/PowerShell;C++;Python;R</v>
      </c>
      <c r="M5741" s="9" t="s">
        <v>30</v>
      </c>
    </row>
    <row r="5742" ht="15.75" customHeight="1">
      <c r="A5742" s="7"/>
      <c r="B5742" s="7" t="str">
        <f>IFERROR(__xludf.DUMMYFUNCTION("""COMPUTED_VALUE"""),"Bash/Shell/PowerShell;Go;HTML/CSS;Java;JavaScript;Python;SQL")</f>
        <v>Bash/Shell/PowerShell;Go;HTML/CSS;Java;JavaScript;Python;SQL</v>
      </c>
      <c r="M5742" s="9" t="s">
        <v>25</v>
      </c>
    </row>
    <row r="5743" ht="15.75" customHeight="1">
      <c r="A5743" s="7"/>
      <c r="B5743" s="7" t="str">
        <f>IFERROR(__xludf.DUMMYFUNCTION("""COMPUTED_VALUE"""),"HTML/CSS;JavaScript")</f>
        <v>HTML/CSS;JavaScript</v>
      </c>
      <c r="M5743" s="9" t="s">
        <v>44</v>
      </c>
    </row>
    <row r="5744" ht="15.75" customHeight="1">
      <c r="A5744" s="7"/>
      <c r="B5744" s="7" t="str">
        <f>IFERROR(__xludf.DUMMYFUNCTION("""COMPUTED_VALUE"""),"HTML/CSS;JavaScript;Python;SQL;TypeScript")</f>
        <v>HTML/CSS;JavaScript;Python;SQL;TypeScript</v>
      </c>
      <c r="M5744" s="9" t="s">
        <v>21</v>
      </c>
    </row>
    <row r="5745" ht="15.75" customHeight="1">
      <c r="A5745" s="7"/>
      <c r="B5745" s="7" t="str">
        <f>IFERROR(__xludf.DUMMYFUNCTION("""COMPUTED_VALUE"""),"Bash/Shell/PowerShell;C++;C#;Python;SQL")</f>
        <v>Bash/Shell/PowerShell;C++;C#;Python;SQL</v>
      </c>
      <c r="M5745" s="9" t="s">
        <v>39</v>
      </c>
    </row>
    <row r="5746" ht="15.75" customHeight="1">
      <c r="A5746" s="7"/>
      <c r="B5746" s="7" t="str">
        <f>IFERROR(__xludf.DUMMYFUNCTION("""COMPUTED_VALUE"""),"Java;Swift")</f>
        <v>Java;Swift</v>
      </c>
      <c r="M5746" s="9" t="s">
        <v>22</v>
      </c>
    </row>
    <row r="5747" ht="15.75" customHeight="1">
      <c r="A5747" s="7"/>
      <c r="B5747" s="7" t="str">
        <f>IFERROR(__xludf.DUMMYFUNCTION("""COMPUTED_VALUE"""),"HTML/CSS;JavaScript")</f>
        <v>HTML/CSS;JavaScript</v>
      </c>
      <c r="M5747" s="9" t="s">
        <v>33</v>
      </c>
    </row>
    <row r="5748" ht="15.75" customHeight="1">
      <c r="A5748" s="7"/>
      <c r="B5748" s="7" t="str">
        <f>IFERROR(__xludf.DUMMYFUNCTION("""COMPUTED_VALUE"""),"HTML/CSS;JavaScript;PHP;SQL")</f>
        <v>HTML/CSS;JavaScript;PHP;SQL</v>
      </c>
      <c r="M5748" s="9" t="s">
        <v>23</v>
      </c>
    </row>
    <row r="5749" ht="15.75" customHeight="1">
      <c r="A5749" s="7"/>
      <c r="B5749" s="7" t="str">
        <f>IFERROR(__xludf.DUMMYFUNCTION("""COMPUTED_VALUE"""),"C#;HTML/CSS;JavaScript;PHP;Python;SQL")</f>
        <v>C#;HTML/CSS;JavaScript;PHP;Python;SQL</v>
      </c>
      <c r="M5749" s="9" t="s">
        <v>36</v>
      </c>
    </row>
    <row r="5750" ht="15.75" customHeight="1">
      <c r="A5750" s="7"/>
      <c r="B5750" s="7" t="str">
        <f>IFERROR(__xludf.DUMMYFUNCTION("""COMPUTED_VALUE"""),"HTML/CSS;JavaScript;Python;TypeScript")</f>
        <v>HTML/CSS;JavaScript;Python;TypeScript</v>
      </c>
      <c r="M5750" s="9" t="s">
        <v>24</v>
      </c>
    </row>
    <row r="5751" ht="15.75" customHeight="1">
      <c r="A5751" s="7"/>
      <c r="B5751" s="7" t="str">
        <f>IFERROR(__xludf.DUMMYFUNCTION("""COMPUTED_VALUE"""),"Bash/Shell/PowerShell;C;C++;Dart;Go;HTML/CSS;Java;JavaScript;Kotlin;TypeScript")</f>
        <v>Bash/Shell/PowerShell;C;C++;Dart;Go;HTML/CSS;Java;JavaScript;Kotlin;TypeScript</v>
      </c>
      <c r="M5751" s="9" t="s">
        <v>21</v>
      </c>
    </row>
    <row r="5752" ht="15.75" customHeight="1">
      <c r="A5752" s="7"/>
      <c r="B5752" s="7" t="str">
        <f>IFERROR(__xludf.DUMMYFUNCTION("""COMPUTED_VALUE"""),"Bash/Shell/PowerShell;C++;HTML/CSS;Python;Swift")</f>
        <v>Bash/Shell/PowerShell;C++;HTML/CSS;Python;Swift</v>
      </c>
      <c r="M5752" s="9" t="s">
        <v>31</v>
      </c>
    </row>
    <row r="5753" ht="15.75" customHeight="1">
      <c r="A5753" s="7"/>
      <c r="B5753" s="7" t="str">
        <f>IFERROR(__xludf.DUMMYFUNCTION("""COMPUTED_VALUE"""),"Java;Objective-C;Python;Ruby;Rust;SQL;Swift")</f>
        <v>Java;Objective-C;Python;Ruby;Rust;SQL;Swift</v>
      </c>
      <c r="M5753" s="9" t="s">
        <v>24</v>
      </c>
    </row>
    <row r="5754" ht="15.75" customHeight="1">
      <c r="A5754" s="7"/>
      <c r="B5754" s="7" t="str">
        <f>IFERROR(__xludf.DUMMYFUNCTION("""COMPUTED_VALUE"""),"HTML/CSS;Java;JavaScript;SQL")</f>
        <v>HTML/CSS;Java;JavaScript;SQL</v>
      </c>
      <c r="M5754" s="9" t="s">
        <v>20</v>
      </c>
    </row>
    <row r="5755" ht="15.75" customHeight="1">
      <c r="A5755" s="7"/>
      <c r="B5755" s="7" t="str">
        <f>IFERROR(__xludf.DUMMYFUNCTION("""COMPUTED_VALUE"""),"Bash/Shell/PowerShell;Go")</f>
        <v>Bash/Shell/PowerShell;Go</v>
      </c>
      <c r="M5755" s="9" t="s">
        <v>21</v>
      </c>
    </row>
    <row r="5756" ht="15.75" customHeight="1">
      <c r="A5756" s="7"/>
      <c r="B5756" s="7" t="str">
        <f>IFERROR(__xludf.DUMMYFUNCTION("""COMPUTED_VALUE"""),"Bash/Shell/PowerShell;C#;JavaScript;SQL;TypeScript")</f>
        <v>Bash/Shell/PowerShell;C#;JavaScript;SQL;TypeScript</v>
      </c>
      <c r="M5756" s="9" t="s">
        <v>27</v>
      </c>
    </row>
    <row r="5757" ht="15.75" customHeight="1">
      <c r="A5757" s="7"/>
      <c r="B5757" s="7" t="str">
        <f>IFERROR(__xludf.DUMMYFUNCTION("""COMPUTED_VALUE"""),"HTML/CSS;Java;JavaScript;TypeScript")</f>
        <v>HTML/CSS;Java;JavaScript;TypeScript</v>
      </c>
      <c r="M5757" s="9" t="s">
        <v>33</v>
      </c>
    </row>
    <row r="5758" ht="15.75" customHeight="1">
      <c r="A5758" s="7"/>
      <c r="B5758" s="7" t="str">
        <f>IFERROR(__xludf.DUMMYFUNCTION("""COMPUTED_VALUE"""),"HTML/CSS;JavaScript")</f>
        <v>HTML/CSS;JavaScript</v>
      </c>
      <c r="M5758" s="9" t="s">
        <v>30</v>
      </c>
    </row>
    <row r="5759" ht="15.75" customHeight="1">
      <c r="A5759" s="7"/>
      <c r="B5759" s="7" t="str">
        <f>IFERROR(__xludf.DUMMYFUNCTION("""COMPUTED_VALUE"""),"Bash/Shell/PowerShell;C++;Java;Python")</f>
        <v>Bash/Shell/PowerShell;C++;Java;Python</v>
      </c>
      <c r="M5759" s="9" t="s">
        <v>24</v>
      </c>
    </row>
    <row r="5760" ht="15.75" customHeight="1">
      <c r="A5760" s="7"/>
      <c r="B5760" s="7" t="str">
        <f>IFERROR(__xludf.DUMMYFUNCTION("""COMPUTED_VALUE"""),"Assembly;Bash/Shell/PowerShell;C++;HTML/CSS;Java;JavaScript;SQL")</f>
        <v>Assembly;Bash/Shell/PowerShell;C++;HTML/CSS;Java;JavaScript;SQL</v>
      </c>
      <c r="M5760" s="9" t="s">
        <v>20</v>
      </c>
    </row>
    <row r="5761" ht="15.75" customHeight="1">
      <c r="A5761" s="7"/>
      <c r="B5761" s="7" t="str">
        <f>IFERROR(__xludf.DUMMYFUNCTION("""COMPUTED_VALUE"""),"HTML/CSS;Java;JavaScript;SQL")</f>
        <v>HTML/CSS;Java;JavaScript;SQL</v>
      </c>
      <c r="M5761" s="9" t="s">
        <v>21</v>
      </c>
    </row>
    <row r="5762" ht="15.75" customHeight="1">
      <c r="A5762" s="7"/>
      <c r="B5762" s="7" t="str">
        <f>IFERROR(__xludf.DUMMYFUNCTION("""COMPUTED_VALUE"""),"C;C++;Clojure;Elixir;Erlang;HTML/CSS;JavaScript;Kotlin;Python;Rust;SQL;Other(s):")</f>
        <v>C;C++;Clojure;Elixir;Erlang;HTML/CSS;JavaScript;Kotlin;Python;Rust;SQL;Other(s):</v>
      </c>
      <c r="M5762" s="9" t="s">
        <v>22</v>
      </c>
    </row>
    <row r="5763" ht="15.75" customHeight="1">
      <c r="A5763" s="7"/>
      <c r="B5763" s="7" t="str">
        <f>IFERROR(__xludf.DUMMYFUNCTION("""COMPUTED_VALUE"""),"HTML/CSS;JavaScript;PHP;SQL")</f>
        <v>HTML/CSS;JavaScript;PHP;SQL</v>
      </c>
      <c r="M5763" s="9" t="s">
        <v>27</v>
      </c>
    </row>
    <row r="5764" ht="15.75" customHeight="1">
      <c r="A5764" s="7"/>
      <c r="B5764" s="7" t="str">
        <f>IFERROR(__xludf.DUMMYFUNCTION("""COMPUTED_VALUE"""),"HTML/CSS;JavaScript;PHP;SQL")</f>
        <v>HTML/CSS;JavaScript;PHP;SQL</v>
      </c>
      <c r="M5764" s="9" t="s">
        <v>30</v>
      </c>
    </row>
    <row r="5765" ht="15.75" customHeight="1">
      <c r="A5765" s="7"/>
      <c r="B5765" s="7" t="str">
        <f>IFERROR(__xludf.DUMMYFUNCTION("""COMPUTED_VALUE"""),"C#;HTML/CSS;Java;JavaScript;TypeScript;VBA")</f>
        <v>C#;HTML/CSS;Java;JavaScript;TypeScript;VBA</v>
      </c>
      <c r="M5765" s="9" t="s">
        <v>24</v>
      </c>
    </row>
    <row r="5766" ht="15.75" customHeight="1">
      <c r="A5766" s="7"/>
      <c r="B5766" s="7" t="str">
        <f>IFERROR(__xludf.DUMMYFUNCTION("""COMPUTED_VALUE"""),"Bash/Shell/PowerShell;Clojure;Dart;Go;HTML/CSS;Java;Python")</f>
        <v>Bash/Shell/PowerShell;Clojure;Dart;Go;HTML/CSS;Java;Python</v>
      </c>
      <c r="M5766" s="9" t="s">
        <v>21</v>
      </c>
    </row>
    <row r="5767" ht="15.75" customHeight="1">
      <c r="A5767" s="7"/>
      <c r="B5767" s="7" t="str">
        <f>IFERROR(__xludf.DUMMYFUNCTION("""COMPUTED_VALUE"""),"C#;HTML/CSS;JavaScript;Kotlin")</f>
        <v>C#;HTML/CSS;JavaScript;Kotlin</v>
      </c>
      <c r="M5767" s="9" t="s">
        <v>37</v>
      </c>
    </row>
    <row r="5768" ht="15.75" customHeight="1">
      <c r="A5768" s="7"/>
      <c r="B5768" s="7" t="str">
        <f>IFERROR(__xludf.DUMMYFUNCTION("""COMPUTED_VALUE"""),"C;C++;C#;Java;Python")</f>
        <v>C;C++;C#;Java;Python</v>
      </c>
      <c r="M5768" s="9" t="s">
        <v>27</v>
      </c>
    </row>
    <row r="5769" ht="15.75" customHeight="1">
      <c r="A5769" s="7"/>
      <c r="B5769" s="7" t="str">
        <f>IFERROR(__xludf.DUMMYFUNCTION("""COMPUTED_VALUE"""),"HTML/CSS;JavaScript;Ruby;Scala;SQL")</f>
        <v>HTML/CSS;JavaScript;Ruby;Scala;SQL</v>
      </c>
      <c r="M5769" s="9" t="s">
        <v>33</v>
      </c>
    </row>
    <row r="5770" ht="15.75" customHeight="1">
      <c r="A5770" s="7"/>
      <c r="B5770" s="7" t="str">
        <f>IFERROR(__xludf.DUMMYFUNCTION("""COMPUTED_VALUE"""),"Go;Java;Rust")</f>
        <v>Go;Java;Rust</v>
      </c>
      <c r="M5770" s="9" t="s">
        <v>36</v>
      </c>
    </row>
    <row r="5771" ht="15.75" customHeight="1">
      <c r="A5771" s="7"/>
      <c r="B5771" s="7" t="str">
        <f>IFERROR(__xludf.DUMMYFUNCTION("""COMPUTED_VALUE"""),"Assembly;Bash/Shell/PowerShell;C;C++;C#;Erlang;F#;Go;Java;JavaScript")</f>
        <v>Assembly;Bash/Shell/PowerShell;C;C++;C#;Erlang;F#;Go;Java;JavaScript</v>
      </c>
      <c r="M5771" s="9" t="s">
        <v>24</v>
      </c>
    </row>
    <row r="5772" ht="15.75" customHeight="1">
      <c r="A5772" s="7"/>
      <c r="B5772" s="7" t="str">
        <f>IFERROR(__xludf.DUMMYFUNCTION("""COMPUTED_VALUE"""),"C;C++;C#;Dart;HTML/CSS;Java;JavaScript;Kotlin;Python;Swift;TypeScript")</f>
        <v>C;C++;C#;Dart;HTML/CSS;Java;JavaScript;Kotlin;Python;Swift;TypeScript</v>
      </c>
      <c r="M5772" s="9" t="s">
        <v>21</v>
      </c>
    </row>
    <row r="5773" ht="15.75" customHeight="1">
      <c r="A5773" s="7"/>
      <c r="B5773" s="7" t="str">
        <f>IFERROR(__xludf.DUMMYFUNCTION("""COMPUTED_VALUE"""),"C;C++;C#;HTML/CSS;JavaScript;PHP;SQL")</f>
        <v>C;C++;C#;HTML/CSS;JavaScript;PHP;SQL</v>
      </c>
      <c r="M5773" s="9" t="s">
        <v>22</v>
      </c>
    </row>
    <row r="5774" ht="15.75" customHeight="1">
      <c r="A5774" s="7"/>
      <c r="B5774" s="7" t="str">
        <f>IFERROR(__xludf.DUMMYFUNCTION("""COMPUTED_VALUE"""),"HTML/CSS;Java;SQL")</f>
        <v>HTML/CSS;Java;SQL</v>
      </c>
      <c r="M5774" s="9" t="s">
        <v>29</v>
      </c>
    </row>
    <row r="5775" ht="15.75" customHeight="1">
      <c r="A5775" s="7"/>
      <c r="B5775" s="7" t="str">
        <f>IFERROR(__xludf.DUMMYFUNCTION("""COMPUTED_VALUE"""),"Bash/Shell/PowerShell;HTML/CSS;JavaScript;PHP")</f>
        <v>Bash/Shell/PowerShell;HTML/CSS;JavaScript;PHP</v>
      </c>
      <c r="M5775" s="9" t="s">
        <v>24</v>
      </c>
    </row>
    <row r="5776" ht="15.75" customHeight="1">
      <c r="A5776" s="7"/>
      <c r="B5776" s="7" t="str">
        <f>IFERROR(__xludf.DUMMYFUNCTION("""COMPUTED_VALUE"""),"C;HTML/CSS;Java;Kotlin;Python;Swift")</f>
        <v>C;HTML/CSS;Java;Kotlin;Python;Swift</v>
      </c>
      <c r="M5776" s="9" t="s">
        <v>21</v>
      </c>
    </row>
    <row r="5777" ht="15.75" customHeight="1">
      <c r="A5777" s="7"/>
      <c r="B5777" s="7" t="str">
        <f>IFERROR(__xludf.DUMMYFUNCTION("""COMPUTED_VALUE"""),"HTML/CSS;PHP;TypeScript")</f>
        <v>HTML/CSS;PHP;TypeScript</v>
      </c>
      <c r="M5777" s="9" t="s">
        <v>37</v>
      </c>
    </row>
    <row r="5778" ht="15.75" customHeight="1">
      <c r="A5778" s="7"/>
      <c r="B5778" s="7" t="str">
        <f>IFERROR(__xludf.DUMMYFUNCTION("""COMPUTED_VALUE"""),"Assembly;Bash/Shell/PowerShell;C;C++;C#;Dart;Elixir;Erlang;F#;Go;HTML/CSS;Java;JavaScript;Kotlin;Objective-C;R;Ruby;Rust;Scala;Swift;TypeScript;VBA;WebAssembly;Other(s):")</f>
        <v>Assembly;Bash/Shell/PowerShell;C;C++;C#;Dart;Elixir;Erlang;F#;Go;HTML/CSS;Java;JavaScript;Kotlin;Objective-C;R;Ruby;Rust;Scala;Swift;TypeScript;VBA;WebAssembly;Other(s):</v>
      </c>
      <c r="M5778" s="9" t="s">
        <v>30</v>
      </c>
    </row>
    <row r="5779" ht="15.75" customHeight="1">
      <c r="A5779" s="7"/>
      <c r="B5779" s="7" t="str">
        <f>IFERROR(__xludf.DUMMYFUNCTION("""COMPUTED_VALUE"""),"Bash/Shell/PowerShell;C#;HTML/CSS;JavaScript;Python;SQL;TypeScript")</f>
        <v>Bash/Shell/PowerShell;C#;HTML/CSS;JavaScript;Python;SQL;TypeScript</v>
      </c>
      <c r="M5779" s="9" t="s">
        <v>23</v>
      </c>
    </row>
    <row r="5780" ht="15.75" customHeight="1">
      <c r="A5780" s="7"/>
      <c r="B5780" s="7" t="str">
        <f>IFERROR(__xludf.DUMMYFUNCTION("""COMPUTED_VALUE"""),"Dart;HTML/CSS;Java;JavaScript;PHP;Swift")</f>
        <v>Dart;HTML/CSS;Java;JavaScript;PHP;Swift</v>
      </c>
      <c r="M5780" s="9" t="s">
        <v>22</v>
      </c>
    </row>
    <row r="5781" ht="15.75" customHeight="1">
      <c r="A5781" s="7"/>
      <c r="B5781" s="7" t="str">
        <f>IFERROR(__xludf.DUMMYFUNCTION("""COMPUTED_VALUE"""),"C++;HTML/CSS;Java;JavaScript;PHP;SQL;VBA")</f>
        <v>C++;HTML/CSS;Java;JavaScript;PHP;SQL;VBA</v>
      </c>
      <c r="M5781" s="9" t="s">
        <v>26</v>
      </c>
    </row>
    <row r="5782" ht="15.75" customHeight="1">
      <c r="A5782" s="7"/>
      <c r="B5782" s="7" t="str">
        <f>IFERROR(__xludf.DUMMYFUNCTION("""COMPUTED_VALUE"""),"Other(s):")</f>
        <v>Other(s):</v>
      </c>
      <c r="M5782" s="9" t="s">
        <v>24</v>
      </c>
    </row>
    <row r="5783" ht="15.75" customHeight="1">
      <c r="A5783" s="7"/>
      <c r="B5783" s="7" t="str">
        <f>IFERROR(__xludf.DUMMYFUNCTION("""COMPUTED_VALUE"""),"Bash/Shell/PowerShell;C#;HTML/CSS;JavaScript;PHP;SQL;TypeScript")</f>
        <v>Bash/Shell/PowerShell;C#;HTML/CSS;JavaScript;PHP;SQL;TypeScript</v>
      </c>
      <c r="M5783" s="9" t="s">
        <v>20</v>
      </c>
    </row>
    <row r="5784" ht="15.75" customHeight="1">
      <c r="A5784" s="7"/>
      <c r="B5784" s="7" t="str">
        <f>IFERROR(__xludf.DUMMYFUNCTION("""COMPUTED_VALUE"""),"Bash/Shell/PowerShell;C#;SQL;VBA")</f>
        <v>Bash/Shell/PowerShell;C#;SQL;VBA</v>
      </c>
      <c r="M5784" s="9" t="s">
        <v>21</v>
      </c>
    </row>
    <row r="5785" ht="15.75" customHeight="1">
      <c r="A5785" s="7"/>
      <c r="B5785" s="7" t="str">
        <f>IFERROR(__xludf.DUMMYFUNCTION("""COMPUTED_VALUE"""),"Bash/Shell/PowerShell;C;C++;Dart;JavaScript;Objective-C;Python;SQL")</f>
        <v>Bash/Shell/PowerShell;C;C++;Dart;JavaScript;Objective-C;Python;SQL</v>
      </c>
      <c r="M5785" s="9" t="s">
        <v>33</v>
      </c>
    </row>
    <row r="5786" ht="15.75" customHeight="1">
      <c r="A5786" s="7"/>
      <c r="B5786" s="7" t="str">
        <f>IFERROR(__xludf.DUMMYFUNCTION("""COMPUTED_VALUE"""),"HTML/CSS;JavaScript;Ruby")</f>
        <v>HTML/CSS;JavaScript;Ruby</v>
      </c>
      <c r="M5786" s="9" t="s">
        <v>23</v>
      </c>
    </row>
    <row r="5787" ht="15.75" customHeight="1">
      <c r="A5787" s="7"/>
      <c r="B5787" s="7" t="str">
        <f>IFERROR(__xludf.DUMMYFUNCTION("""COMPUTED_VALUE"""),"Bash/Shell/PowerShell;C++;Go;JavaScript;Python;Rust;Scala")</f>
        <v>Bash/Shell/PowerShell;C++;Go;JavaScript;Python;Rust;Scala</v>
      </c>
      <c r="M5787" s="9" t="s">
        <v>26</v>
      </c>
    </row>
    <row r="5788" ht="15.75" customHeight="1">
      <c r="A5788" s="7"/>
      <c r="B5788" s="7" t="str">
        <f>IFERROR(__xludf.DUMMYFUNCTION("""COMPUTED_VALUE"""),"Java;JavaScript;PHP;Python;SQL;Swift")</f>
        <v>Java;JavaScript;PHP;Python;SQL;Swift</v>
      </c>
      <c r="M5788" s="9" t="s">
        <v>24</v>
      </c>
    </row>
    <row r="5789" ht="15.75" customHeight="1">
      <c r="A5789" s="7"/>
      <c r="B5789" s="7" t="str">
        <f>IFERROR(__xludf.DUMMYFUNCTION("""COMPUTED_VALUE"""),"PHP")</f>
        <v>PHP</v>
      </c>
      <c r="M5789" s="9" t="s">
        <v>20</v>
      </c>
    </row>
    <row r="5790" ht="15.75" customHeight="1">
      <c r="A5790" s="7"/>
      <c r="B5790" s="7" t="str">
        <f>IFERROR(__xludf.DUMMYFUNCTION("""COMPUTED_VALUE"""),"Bash/Shell/PowerShell;C;C++;Java;Python;SQL")</f>
        <v>Bash/Shell/PowerShell;C;C++;Java;Python;SQL</v>
      </c>
      <c r="M5790" s="9" t="s">
        <v>27</v>
      </c>
    </row>
    <row r="5791" ht="15.75" customHeight="1">
      <c r="A5791" s="7"/>
      <c r="B5791" s="7" t="str">
        <f>IFERROR(__xludf.DUMMYFUNCTION("""COMPUTED_VALUE"""),"Assembly;Bash/Shell/PowerShell;C;C++;HTML/CSS;Java;JavaScript;Python;SQL")</f>
        <v>Assembly;Bash/Shell/PowerShell;C;C++;HTML/CSS;Java;JavaScript;Python;SQL</v>
      </c>
      <c r="M5791" s="9" t="s">
        <v>34</v>
      </c>
    </row>
    <row r="5792" ht="15.75" customHeight="1">
      <c r="A5792" s="7"/>
      <c r="B5792" s="7" t="str">
        <f>IFERROR(__xludf.DUMMYFUNCTION("""COMPUTED_VALUE"""),"C#;Java;JavaScript;Kotlin;SQL;TypeScript")</f>
        <v>C#;Java;JavaScript;Kotlin;SQL;TypeScript</v>
      </c>
      <c r="M5792" s="9" t="s">
        <v>26</v>
      </c>
    </row>
    <row r="5793" ht="15.75" customHeight="1">
      <c r="A5793" s="7"/>
      <c r="B5793" s="7" t="str">
        <f>IFERROR(__xludf.DUMMYFUNCTION("""COMPUTED_VALUE"""),"Bash/Shell/PowerShell;SQL")</f>
        <v>Bash/Shell/PowerShell;SQL</v>
      </c>
      <c r="M5793" s="9" t="s">
        <v>24</v>
      </c>
    </row>
    <row r="5794" ht="15.75" customHeight="1">
      <c r="A5794" s="7"/>
      <c r="B5794" s="7" t="str">
        <f>IFERROR(__xludf.DUMMYFUNCTION("""COMPUTED_VALUE"""),"C#;HTML/CSS;Java;JavaScript;SQL")</f>
        <v>C#;HTML/CSS;Java;JavaScript;SQL</v>
      </c>
      <c r="M5794" s="9" t="s">
        <v>20</v>
      </c>
    </row>
    <row r="5795" ht="15.75" customHeight="1">
      <c r="A5795" s="7"/>
      <c r="B5795" s="7" t="str">
        <f>IFERROR(__xludf.DUMMYFUNCTION("""COMPUTED_VALUE"""),"HTML/CSS;JavaScript;Rust")</f>
        <v>HTML/CSS;JavaScript;Rust</v>
      </c>
      <c r="M5795" s="9" t="s">
        <v>21</v>
      </c>
    </row>
    <row r="5796" ht="15.75" customHeight="1">
      <c r="A5796" s="7"/>
      <c r="B5796" s="7" t="str">
        <f>IFERROR(__xludf.DUMMYFUNCTION("""COMPUTED_VALUE"""),"Bash/Shell/PowerShell;Clojure;HTML/CSS;Java;JavaScript;SQL")</f>
        <v>Bash/Shell/PowerShell;Clojure;HTML/CSS;Java;JavaScript;SQL</v>
      </c>
      <c r="M5796" s="9" t="s">
        <v>22</v>
      </c>
    </row>
    <row r="5797" ht="15.75" customHeight="1">
      <c r="A5797" s="7"/>
      <c r="B5797" s="7" t="str">
        <f>IFERROR(__xludf.DUMMYFUNCTION("""COMPUTED_VALUE"""),"C++;HTML/CSS;Java;JavaScript;SQL;TypeScript")</f>
        <v>C++;HTML/CSS;Java;JavaScript;SQL;TypeScript</v>
      </c>
      <c r="M5797" s="9" t="s">
        <v>30</v>
      </c>
    </row>
    <row r="5798" ht="15.75" customHeight="1">
      <c r="A5798" s="7"/>
      <c r="B5798" s="7" t="str">
        <f>IFERROR(__xludf.DUMMYFUNCTION("""COMPUTED_VALUE"""),"JavaScript;Python;Ruby;Swift")</f>
        <v>JavaScript;Python;Ruby;Swift</v>
      </c>
      <c r="M5798" s="9" t="s">
        <v>20</v>
      </c>
    </row>
    <row r="5799" ht="15.75" customHeight="1">
      <c r="A5799" s="7"/>
      <c r="B5799" s="7" t="str">
        <f>IFERROR(__xludf.DUMMYFUNCTION("""COMPUTED_VALUE"""),"HTML/CSS;JavaScript;SQL;VBA")</f>
        <v>HTML/CSS;JavaScript;SQL;VBA</v>
      </c>
      <c r="M5799" s="9" t="s">
        <v>27</v>
      </c>
    </row>
    <row r="5800" ht="15.75" customHeight="1">
      <c r="A5800" s="7"/>
      <c r="B5800" s="7" t="str">
        <f>IFERROR(__xludf.DUMMYFUNCTION("""COMPUTED_VALUE"""),"C;C#;HTML/CSS;Java;JavaScript;PHP;SQL;TypeScript")</f>
        <v>C;C#;HTML/CSS;Java;JavaScript;PHP;SQL;TypeScript</v>
      </c>
      <c r="M5800" s="9" t="s">
        <v>30</v>
      </c>
    </row>
    <row r="5801" ht="15.75" customHeight="1">
      <c r="A5801" s="7"/>
      <c r="B5801" s="7" t="str">
        <f>IFERROR(__xludf.DUMMYFUNCTION("""COMPUTED_VALUE"""),"C;C++;Python;SQL;Other(s):")</f>
        <v>C;C++;Python;SQL;Other(s):</v>
      </c>
      <c r="M5801" s="9" t="s">
        <v>42</v>
      </c>
    </row>
    <row r="5802" ht="15.75" customHeight="1">
      <c r="A5802" s="7"/>
      <c r="B5802" s="7" t="str">
        <f>IFERROR(__xludf.DUMMYFUNCTION("""COMPUTED_VALUE"""),"JavaScript")</f>
        <v>JavaScript</v>
      </c>
      <c r="M5802" s="9" t="s">
        <v>36</v>
      </c>
    </row>
    <row r="5803" ht="15.75" customHeight="1">
      <c r="A5803" s="7"/>
      <c r="B5803" s="7" t="str">
        <f>IFERROR(__xludf.DUMMYFUNCTION("""COMPUTED_VALUE"""),"C;HTML/CSS;Java;JavaScript;PHP;SQL")</f>
        <v>C;HTML/CSS;Java;JavaScript;PHP;SQL</v>
      </c>
      <c r="M5803" s="9" t="s">
        <v>24</v>
      </c>
    </row>
    <row r="5804" ht="15.75" customHeight="1">
      <c r="A5804" s="7"/>
      <c r="B5804" s="7" t="str">
        <f>IFERROR(__xludf.DUMMYFUNCTION("""COMPUTED_VALUE"""),"C;C++;Other(s):")</f>
        <v>C;C++;Other(s):</v>
      </c>
      <c r="M5804" s="9" t="s">
        <v>20</v>
      </c>
    </row>
    <row r="5805" ht="15.75" customHeight="1">
      <c r="A5805" s="7"/>
      <c r="B5805" s="7" t="str">
        <f>IFERROR(__xludf.DUMMYFUNCTION("""COMPUTED_VALUE"""),"C++;Java;VBA")</f>
        <v>C++;Java;VBA</v>
      </c>
      <c r="M5805" s="9" t="s">
        <v>21</v>
      </c>
    </row>
    <row r="5806" ht="15.75" customHeight="1">
      <c r="A5806" s="7"/>
      <c r="B5806" s="7" t="str">
        <f>IFERROR(__xludf.DUMMYFUNCTION("""COMPUTED_VALUE"""),"C#;SQL")</f>
        <v>C#;SQL</v>
      </c>
      <c r="M5806" s="9" t="s">
        <v>22</v>
      </c>
    </row>
    <row r="5807" ht="15.75" customHeight="1">
      <c r="A5807" s="7"/>
      <c r="B5807" s="7" t="str">
        <f>IFERROR(__xludf.DUMMYFUNCTION("""COMPUTED_VALUE"""),"Assembly;Bash/Shell/PowerShell;C;C++;C#;HTML/CSS;Java;JavaScript;Python;SQL;TypeScript;WebAssembly")</f>
        <v>Assembly;Bash/Shell/PowerShell;C;C++;C#;HTML/CSS;Java;JavaScript;Python;SQL;TypeScript;WebAssembly</v>
      </c>
      <c r="M5807" s="9" t="s">
        <v>30</v>
      </c>
    </row>
    <row r="5808" ht="15.75" customHeight="1">
      <c r="A5808" s="7"/>
      <c r="B5808" s="7" t="str">
        <f>IFERROR(__xludf.DUMMYFUNCTION("""COMPUTED_VALUE"""),"Assembly;C;C++;Java;JavaScript;PHP;Python;SQL;Swift;TypeScript")</f>
        <v>Assembly;C;C++;Java;JavaScript;PHP;Python;SQL;Swift;TypeScript</v>
      </c>
      <c r="M5808" s="9" t="s">
        <v>43</v>
      </c>
    </row>
    <row r="5809" ht="15.75" customHeight="1">
      <c r="A5809" s="7"/>
      <c r="B5809" s="7" t="str">
        <f>IFERROR(__xludf.DUMMYFUNCTION("""COMPUTED_VALUE"""),"Clojure;Python;Other(s):")</f>
        <v>Clojure;Python;Other(s):</v>
      </c>
      <c r="M5809" s="9" t="s">
        <v>21</v>
      </c>
    </row>
    <row r="5810" ht="15.75" customHeight="1">
      <c r="A5810" s="7"/>
      <c r="B5810" s="7" t="str">
        <f>IFERROR(__xludf.DUMMYFUNCTION("""COMPUTED_VALUE"""),"C;C++;C#;Java")</f>
        <v>C;C++;C#;Java</v>
      </c>
      <c r="M5810" s="9" t="s">
        <v>29</v>
      </c>
    </row>
    <row r="5811" ht="15.75" customHeight="1">
      <c r="A5811" s="7"/>
      <c r="B5811" s="7" t="str">
        <f>IFERROR(__xludf.DUMMYFUNCTION("""COMPUTED_VALUE"""),"HTML/CSS;JavaScript;PHP;SQL")</f>
        <v>HTML/CSS;JavaScript;PHP;SQL</v>
      </c>
      <c r="M5811" s="9" t="s">
        <v>31</v>
      </c>
    </row>
    <row r="5812" ht="15.75" customHeight="1">
      <c r="A5812" s="7"/>
      <c r="B5812" s="7" t="str">
        <f>IFERROR(__xludf.DUMMYFUNCTION("""COMPUTED_VALUE"""),"JavaScript;Python")</f>
        <v>JavaScript;Python</v>
      </c>
      <c r="M5812" s="9" t="s">
        <v>26</v>
      </c>
    </row>
    <row r="5813" ht="15.75" customHeight="1">
      <c r="A5813" s="7"/>
      <c r="B5813" s="7" t="str">
        <f>IFERROR(__xludf.DUMMYFUNCTION("""COMPUTED_VALUE"""),"HTML/CSS;JavaScript;PHP")</f>
        <v>HTML/CSS;JavaScript;PHP</v>
      </c>
      <c r="M5813" s="9" t="s">
        <v>35</v>
      </c>
    </row>
    <row r="5814" ht="15.75" customHeight="1">
      <c r="A5814" s="7"/>
      <c r="B5814" s="7" t="str">
        <f>IFERROR(__xludf.DUMMYFUNCTION("""COMPUTED_VALUE"""),"HTML/CSS;JavaScript")</f>
        <v>HTML/CSS;JavaScript</v>
      </c>
      <c r="M5814" s="9" t="s">
        <v>25</v>
      </c>
    </row>
    <row r="5815" ht="15.75" customHeight="1">
      <c r="A5815" s="7"/>
      <c r="B5815" s="7" t="str">
        <f>IFERROR(__xludf.DUMMYFUNCTION("""COMPUTED_VALUE"""),"Bash/Shell/PowerShell;HTML/CSS;Java;JavaScript;PHP;Python")</f>
        <v>Bash/Shell/PowerShell;HTML/CSS;Java;JavaScript;PHP;Python</v>
      </c>
      <c r="M5815" s="9" t="s">
        <v>23</v>
      </c>
    </row>
    <row r="5816" ht="15.75" customHeight="1">
      <c r="A5816" s="7"/>
      <c r="B5816" s="7" t="str">
        <f>IFERROR(__xludf.DUMMYFUNCTION("""COMPUTED_VALUE"""),"Java;SQL")</f>
        <v>Java;SQL</v>
      </c>
      <c r="M5816" s="9" t="s">
        <v>27</v>
      </c>
    </row>
    <row r="5817" ht="15.75" customHeight="1">
      <c r="A5817" s="7"/>
      <c r="B5817" s="7" t="str">
        <f>IFERROR(__xludf.DUMMYFUNCTION("""COMPUTED_VALUE"""),"Bash/Shell/PowerShell;C#;HTML/CSS;JavaScript;Python;SQL")</f>
        <v>Bash/Shell/PowerShell;C#;HTML/CSS;JavaScript;Python;SQL</v>
      </c>
      <c r="M5817" s="9" t="s">
        <v>30</v>
      </c>
    </row>
    <row r="5818" ht="15.75" customHeight="1">
      <c r="A5818" s="7"/>
      <c r="B5818" s="7" t="str">
        <f>IFERROR(__xludf.DUMMYFUNCTION("""COMPUTED_VALUE"""),"Bash/Shell/PowerShell;HTML/CSS;Java;JavaScript;SQL;TypeScript")</f>
        <v>Bash/Shell/PowerShell;HTML/CSS;Java;JavaScript;SQL;TypeScript</v>
      </c>
      <c r="M5818" s="9" t="s">
        <v>36</v>
      </c>
    </row>
    <row r="5819" ht="15.75" customHeight="1">
      <c r="A5819" s="7"/>
      <c r="B5819" s="7" t="str">
        <f>IFERROR(__xludf.DUMMYFUNCTION("""COMPUTED_VALUE"""),"C#;HTML/CSS;Java;JavaScript")</f>
        <v>C#;HTML/CSS;Java;JavaScript</v>
      </c>
      <c r="M5819" s="9" t="s">
        <v>24</v>
      </c>
    </row>
    <row r="5820" ht="15.75" customHeight="1">
      <c r="A5820" s="7"/>
      <c r="B5820" s="7" t="str">
        <f>IFERROR(__xludf.DUMMYFUNCTION("""COMPUTED_VALUE"""),"Bash/Shell/PowerShell;C;C++;HTML/CSS;JavaScript;Python")</f>
        <v>Bash/Shell/PowerShell;C;C++;HTML/CSS;JavaScript;Python</v>
      </c>
      <c r="M5820" s="9" t="s">
        <v>20</v>
      </c>
    </row>
    <row r="5821" ht="15.75" customHeight="1">
      <c r="A5821" s="7"/>
      <c r="B5821" s="7" t="str">
        <f>IFERROR(__xludf.DUMMYFUNCTION("""COMPUTED_VALUE"""),"Java;Python")</f>
        <v>Java;Python</v>
      </c>
      <c r="M5821" s="9" t="s">
        <v>21</v>
      </c>
    </row>
    <row r="5822" ht="15.75" customHeight="1">
      <c r="A5822" s="7"/>
      <c r="B5822" s="7" t="str">
        <f>IFERROR(__xludf.DUMMYFUNCTION("""COMPUTED_VALUE"""),"Bash/Shell/PowerShell;C;C++;Go;HTML/CSS;JavaScript;TypeScript")</f>
        <v>Bash/Shell/PowerShell;C;C++;Go;HTML/CSS;JavaScript;TypeScript</v>
      </c>
      <c r="M5822" s="9" t="s">
        <v>37</v>
      </c>
    </row>
    <row r="5823" ht="15.75" customHeight="1">
      <c r="A5823" s="7"/>
      <c r="B5823" s="7" t="str">
        <f>IFERROR(__xludf.DUMMYFUNCTION("""COMPUTED_VALUE"""),"C;C++;C#;HTML/CSS;Java;JavaScript;PHP;Python;SQL")</f>
        <v>C;C++;C#;HTML/CSS;Java;JavaScript;PHP;Python;SQL</v>
      </c>
      <c r="M5823" s="9" t="s">
        <v>22</v>
      </c>
    </row>
    <row r="5824" ht="15.75" customHeight="1">
      <c r="A5824" s="7"/>
      <c r="B5824" s="7" t="str">
        <f>IFERROR(__xludf.DUMMYFUNCTION("""COMPUTED_VALUE"""),"Bash/Shell/PowerShell;HTML/CSS;Java;JavaScript;SQL")</f>
        <v>Bash/Shell/PowerShell;HTML/CSS;Java;JavaScript;SQL</v>
      </c>
      <c r="M5824" s="9" t="s">
        <v>32</v>
      </c>
    </row>
    <row r="5825" ht="15.75" customHeight="1">
      <c r="A5825" s="7"/>
      <c r="B5825" s="7" t="str">
        <f>IFERROR(__xludf.DUMMYFUNCTION("""COMPUTED_VALUE"""),"C;C#;Go;HTML/CSS;JavaScript;Python")</f>
        <v>C;C#;Go;HTML/CSS;JavaScript;Python</v>
      </c>
      <c r="M5825" s="9" t="s">
        <v>23</v>
      </c>
    </row>
    <row r="5826" ht="15.75" customHeight="1">
      <c r="A5826" s="7"/>
      <c r="B5826" s="7" t="str">
        <f>IFERROR(__xludf.DUMMYFUNCTION("""COMPUTED_VALUE"""),"Python;SQL")</f>
        <v>Python;SQL</v>
      </c>
      <c r="M5826" s="9" t="s">
        <v>26</v>
      </c>
    </row>
    <row r="5827" ht="15.75" customHeight="1">
      <c r="A5827" s="7"/>
      <c r="B5827" s="7" t="str">
        <f>IFERROR(__xludf.DUMMYFUNCTION("""COMPUTED_VALUE"""),"C;C++;Python")</f>
        <v>C;C++;Python</v>
      </c>
      <c r="M5827" s="9" t="s">
        <v>23</v>
      </c>
    </row>
    <row r="5828" ht="15.75" customHeight="1">
      <c r="A5828" s="7"/>
      <c r="B5828" s="7" t="str">
        <f>IFERROR(__xludf.DUMMYFUNCTION("""COMPUTED_VALUE"""),"JavaScript")</f>
        <v>JavaScript</v>
      </c>
      <c r="M5828" s="9" t="s">
        <v>24</v>
      </c>
    </row>
    <row r="5829" ht="15.75" customHeight="1">
      <c r="A5829" s="7"/>
      <c r="B5829" s="7" t="str">
        <f>IFERROR(__xludf.DUMMYFUNCTION("""COMPUTED_VALUE"""),"R")</f>
        <v>R</v>
      </c>
      <c r="M5829" s="9" t="s">
        <v>20</v>
      </c>
    </row>
    <row r="5830" ht="15.75" customHeight="1">
      <c r="A5830" s="7"/>
      <c r="B5830" s="7" t="str">
        <f>IFERROR(__xludf.DUMMYFUNCTION("""COMPUTED_VALUE"""),"C;C++;Java;Python")</f>
        <v>C;C++;Java;Python</v>
      </c>
      <c r="M5830" s="9" t="s">
        <v>21</v>
      </c>
    </row>
    <row r="5831" ht="15.75" customHeight="1">
      <c r="A5831" s="7"/>
      <c r="B5831" s="7" t="str">
        <f>IFERROR(__xludf.DUMMYFUNCTION("""COMPUTED_VALUE"""),"HTML/CSS;JavaScript;PHP;Ruby")</f>
        <v>HTML/CSS;JavaScript;PHP;Ruby</v>
      </c>
      <c r="M5831" s="9" t="s">
        <v>37</v>
      </c>
    </row>
    <row r="5832" ht="15.75" customHeight="1">
      <c r="A5832" s="7"/>
      <c r="B5832" s="7" t="str">
        <f>IFERROR(__xludf.DUMMYFUNCTION("""COMPUTED_VALUE"""),"HTML/CSS;Java;JavaScript;Python")</f>
        <v>HTML/CSS;Java;JavaScript;Python</v>
      </c>
      <c r="M5832" s="9" t="s">
        <v>22</v>
      </c>
    </row>
    <row r="5833" ht="15.75" customHeight="1">
      <c r="A5833" s="7"/>
      <c r="B5833" s="7" t="str">
        <f>IFERROR(__xludf.DUMMYFUNCTION("""COMPUTED_VALUE"""),"Bash/Shell/PowerShell;C++;C#;Dart;F#;HTML/CSS;Java;JavaScript;Kotlin;Objective-C;SQL;Swift;TypeScript")</f>
        <v>Bash/Shell/PowerShell;C++;C#;Dart;F#;HTML/CSS;Java;JavaScript;Kotlin;Objective-C;SQL;Swift;TypeScript</v>
      </c>
      <c r="M5833" s="9" t="s">
        <v>31</v>
      </c>
    </row>
    <row r="5834" ht="15.75" customHeight="1">
      <c r="A5834" s="7"/>
      <c r="B5834" s="7" t="str">
        <f>IFERROR(__xludf.DUMMYFUNCTION("""COMPUTED_VALUE"""),"Bash/Shell/PowerShell;HTML/CSS;JavaScript")</f>
        <v>Bash/Shell/PowerShell;HTML/CSS;JavaScript</v>
      </c>
      <c r="M5834" s="9" t="s">
        <v>27</v>
      </c>
    </row>
    <row r="5835" ht="15.75" customHeight="1">
      <c r="A5835" s="7"/>
      <c r="B5835" s="7" t="str">
        <f>IFERROR(__xludf.DUMMYFUNCTION("""COMPUTED_VALUE"""),"Java;Python;Rust")</f>
        <v>Java;Python;Rust</v>
      </c>
      <c r="M5835" s="9" t="s">
        <v>30</v>
      </c>
    </row>
    <row r="5836" ht="15.75" customHeight="1">
      <c r="A5836" s="7"/>
      <c r="B5836" s="7" t="str">
        <f>IFERROR(__xludf.DUMMYFUNCTION("""COMPUTED_VALUE"""),"HTML/CSS;JavaScript;TypeScript")</f>
        <v>HTML/CSS;JavaScript;TypeScript</v>
      </c>
      <c r="M5836" s="9" t="s">
        <v>22</v>
      </c>
    </row>
    <row r="5837" ht="15.75" customHeight="1">
      <c r="A5837" s="7"/>
      <c r="B5837" s="7" t="str">
        <f>IFERROR(__xludf.DUMMYFUNCTION("""COMPUTED_VALUE"""),"Bash/Shell/PowerShell;HTML/CSS;Java;JavaScript;PHP;SQL")</f>
        <v>Bash/Shell/PowerShell;HTML/CSS;Java;JavaScript;PHP;SQL</v>
      </c>
      <c r="M5837" s="9" t="s">
        <v>27</v>
      </c>
    </row>
    <row r="5838" ht="15.75" customHeight="1">
      <c r="A5838" s="7"/>
      <c r="B5838" s="7" t="str">
        <f>IFERROR(__xludf.DUMMYFUNCTION("""COMPUTED_VALUE"""),"Bash/Shell/PowerShell;HTML/CSS;JavaScript;Python;SQL;TypeScript")</f>
        <v>Bash/Shell/PowerShell;HTML/CSS;JavaScript;Python;SQL;TypeScript</v>
      </c>
      <c r="M5838" s="9" t="s">
        <v>24</v>
      </c>
    </row>
    <row r="5839" ht="15.75" customHeight="1">
      <c r="A5839" s="7"/>
      <c r="B5839" s="7" t="str">
        <f>IFERROR(__xludf.DUMMYFUNCTION("""COMPUTED_VALUE"""),"Bash/Shell/PowerShell;HTML/CSS;Java;JavaScript;PHP")</f>
        <v>Bash/Shell/PowerShell;HTML/CSS;Java;JavaScript;PHP</v>
      </c>
      <c r="M5839" s="9" t="s">
        <v>21</v>
      </c>
    </row>
    <row r="5840" ht="15.75" customHeight="1">
      <c r="A5840" s="7"/>
      <c r="B5840" s="7" t="str">
        <f>IFERROR(__xludf.DUMMYFUNCTION("""COMPUTED_VALUE"""),"Assembly;Bash/Shell/PowerShell;C;Python;SQL")</f>
        <v>Assembly;Bash/Shell/PowerShell;C;Python;SQL</v>
      </c>
      <c r="M5840" s="9" t="s">
        <v>37</v>
      </c>
    </row>
    <row r="5841" ht="15.75" customHeight="1">
      <c r="A5841" s="7"/>
      <c r="B5841" s="7" t="str">
        <f>IFERROR(__xludf.DUMMYFUNCTION("""COMPUTED_VALUE"""),"Bash/Shell/PowerShell;Java;Scala;SQL;Other(s):")</f>
        <v>Bash/Shell/PowerShell;Java;Scala;SQL;Other(s):</v>
      </c>
      <c r="M5841" s="9" t="s">
        <v>22</v>
      </c>
    </row>
    <row r="5842" ht="15.75" customHeight="1">
      <c r="A5842" s="7"/>
      <c r="B5842" s="7" t="str">
        <f>IFERROR(__xludf.DUMMYFUNCTION("""COMPUTED_VALUE"""),"Go;Python")</f>
        <v>Go;Python</v>
      </c>
      <c r="M5842" s="9" t="s">
        <v>27</v>
      </c>
    </row>
    <row r="5843" ht="15.75" customHeight="1">
      <c r="A5843" s="7"/>
      <c r="B5843" s="7" t="str">
        <f>IFERROR(__xludf.DUMMYFUNCTION("""COMPUTED_VALUE"""),"C#;HTML/CSS;JavaScript;PHP;SQL")</f>
        <v>C#;HTML/CSS;JavaScript;PHP;SQL</v>
      </c>
      <c r="M5843" s="9" t="s">
        <v>24</v>
      </c>
    </row>
    <row r="5844" ht="15.75" customHeight="1">
      <c r="A5844" s="7"/>
      <c r="B5844" s="7" t="str">
        <f>IFERROR(__xludf.DUMMYFUNCTION("""COMPUTED_VALUE"""),"HTML/CSS;Java;JavaScript;TypeScript")</f>
        <v>HTML/CSS;Java;JavaScript;TypeScript</v>
      </c>
      <c r="M5844" s="9" t="s">
        <v>21</v>
      </c>
    </row>
    <row r="5845" ht="15.75" customHeight="1">
      <c r="A5845" s="7"/>
      <c r="B5845" s="7" t="str">
        <f>IFERROR(__xludf.DUMMYFUNCTION("""COMPUTED_VALUE"""),"C#")</f>
        <v>C#</v>
      </c>
      <c r="M5845" s="9" t="s">
        <v>30</v>
      </c>
    </row>
    <row r="5846" ht="15.75" customHeight="1">
      <c r="A5846" s="7"/>
      <c r="B5846" s="7" t="str">
        <f>IFERROR(__xludf.DUMMYFUNCTION("""COMPUTED_VALUE"""),"Bash/Shell/PowerShell;HTML/CSS;Java;JavaScript;Kotlin;Objective-C;Swift;TypeScript")</f>
        <v>Bash/Shell/PowerShell;HTML/CSS;Java;JavaScript;Kotlin;Objective-C;Swift;TypeScript</v>
      </c>
      <c r="M5846" s="9" t="s">
        <v>26</v>
      </c>
    </row>
    <row r="5847" ht="15.75" customHeight="1">
      <c r="A5847" s="7"/>
      <c r="B5847" s="7" t="str">
        <f>IFERROR(__xludf.DUMMYFUNCTION("""COMPUTED_VALUE"""),"C#;HTML/CSS;JavaScript;SQL;TypeScript")</f>
        <v>C#;HTML/CSS;JavaScript;SQL;TypeScript</v>
      </c>
      <c r="M5847" s="9" t="s">
        <v>22</v>
      </c>
    </row>
    <row r="5848" ht="15.75" customHeight="1">
      <c r="A5848" s="7"/>
      <c r="B5848" s="7" t="str">
        <f>IFERROR(__xludf.DUMMYFUNCTION("""COMPUTED_VALUE"""),"HTML/CSS;JavaScript;PHP;SQL;Other(s):")</f>
        <v>HTML/CSS;JavaScript;PHP;SQL;Other(s):</v>
      </c>
      <c r="M5848" s="9" t="s">
        <v>20</v>
      </c>
    </row>
    <row r="5849" ht="15.75" customHeight="1">
      <c r="A5849" s="7"/>
      <c r="B5849" s="7" t="str">
        <f>IFERROR(__xludf.DUMMYFUNCTION("""COMPUTED_VALUE"""),"Bash/Shell/PowerShell;C++;HTML/CSS;Java;JavaScript;Python")</f>
        <v>Bash/Shell/PowerShell;C++;HTML/CSS;Java;JavaScript;Python</v>
      </c>
      <c r="M5849" s="9" t="s">
        <v>29</v>
      </c>
    </row>
    <row r="5850" ht="15.75" customHeight="1">
      <c r="A5850" s="7"/>
      <c r="B5850" s="7" t="str">
        <f>IFERROR(__xludf.DUMMYFUNCTION("""COMPUTED_VALUE"""),"C#;HTML/CSS;JavaScript;SQL")</f>
        <v>C#;HTML/CSS;JavaScript;SQL</v>
      </c>
      <c r="M5850" s="9" t="s">
        <v>30</v>
      </c>
    </row>
    <row r="5851" ht="15.75" customHeight="1">
      <c r="A5851" s="7"/>
      <c r="B5851" s="7" t="str">
        <f>IFERROR(__xludf.DUMMYFUNCTION("""COMPUTED_VALUE"""),"HTML/CSS;JavaScript;PHP;SQL")</f>
        <v>HTML/CSS;JavaScript;PHP;SQL</v>
      </c>
      <c r="M5851" s="9" t="s">
        <v>25</v>
      </c>
    </row>
    <row r="5852" ht="15.75" customHeight="1">
      <c r="A5852" s="7"/>
      <c r="B5852" s="7" t="str">
        <f>IFERROR(__xludf.DUMMYFUNCTION("""COMPUTED_VALUE"""),"Bash/Shell/PowerShell;C++;C#;Go;HTML/CSS;JavaScript;Python;Rust;TypeScript")</f>
        <v>Bash/Shell/PowerShell;C++;C#;Go;HTML/CSS;JavaScript;Python;Rust;TypeScript</v>
      </c>
      <c r="M5852" s="9" t="s">
        <v>26</v>
      </c>
    </row>
    <row r="5853" ht="15.75" customHeight="1">
      <c r="A5853" s="7"/>
      <c r="B5853" s="7" t="str">
        <f>IFERROR(__xludf.DUMMYFUNCTION("""COMPUTED_VALUE"""),"Bash/Shell/PowerShell;HTML/CSS;JavaScript;PHP;Python;R;SQL;VBA")</f>
        <v>Bash/Shell/PowerShell;HTML/CSS;JavaScript;PHP;Python;R;SQL;VBA</v>
      </c>
      <c r="M5853" s="9" t="s">
        <v>24</v>
      </c>
    </row>
    <row r="5854" ht="15.75" customHeight="1">
      <c r="A5854" s="7"/>
      <c r="B5854" s="7" t="str">
        <f>IFERROR(__xludf.DUMMYFUNCTION("""COMPUTED_VALUE"""),"Bash/Shell/PowerShell;C;C++;HTML/CSS;Java;Ruby")</f>
        <v>Bash/Shell/PowerShell;C;C++;HTML/CSS;Java;Ruby</v>
      </c>
      <c r="M5854" s="9" t="s">
        <v>20</v>
      </c>
    </row>
    <row r="5855" ht="15.75" customHeight="1">
      <c r="A5855" s="7"/>
      <c r="B5855" s="7" t="str">
        <f>IFERROR(__xludf.DUMMYFUNCTION("""COMPUTED_VALUE"""),"HTML/CSS;JavaScript")</f>
        <v>HTML/CSS;JavaScript</v>
      </c>
      <c r="M5855" s="9" t="s">
        <v>21</v>
      </c>
    </row>
    <row r="5856" ht="15.75" customHeight="1">
      <c r="A5856" s="7"/>
      <c r="B5856" s="7" t="str">
        <f>IFERROR(__xludf.DUMMYFUNCTION("""COMPUTED_VALUE"""),"HTML/CSS;Java;JavaScript;Kotlin;PHP")</f>
        <v>HTML/CSS;Java;JavaScript;Kotlin;PHP</v>
      </c>
      <c r="M5856" s="9" t="s">
        <v>27</v>
      </c>
    </row>
    <row r="5857" ht="15.75" customHeight="1">
      <c r="A5857" s="7"/>
      <c r="B5857" s="7" t="str">
        <f>IFERROR(__xludf.DUMMYFUNCTION("""COMPUTED_VALUE"""),"C#;HTML/CSS;Java;JavaScript;Python;SQL")</f>
        <v>C#;HTML/CSS;Java;JavaScript;Python;SQL</v>
      </c>
      <c r="M5857" s="9" t="s">
        <v>33</v>
      </c>
    </row>
    <row r="5858" ht="15.75" customHeight="1">
      <c r="A5858" s="7"/>
      <c r="B5858" s="7" t="str">
        <f>IFERROR(__xludf.DUMMYFUNCTION("""COMPUTED_VALUE"""),"C;C++;C#;HTML/CSS;Java;JavaScript;PHP;Python;R;SQL;TypeScript")</f>
        <v>C;C++;C#;HTML/CSS;Java;JavaScript;PHP;Python;R;SQL;TypeScript</v>
      </c>
      <c r="M5858" s="9" t="s">
        <v>28</v>
      </c>
    </row>
    <row r="5859" ht="15.75" customHeight="1">
      <c r="A5859" s="7"/>
      <c r="B5859" s="7" t="str">
        <f>IFERROR(__xludf.DUMMYFUNCTION("""COMPUTED_VALUE"""),"HTML/CSS;Java;JavaScript;SQL")</f>
        <v>HTML/CSS;Java;JavaScript;SQL</v>
      </c>
      <c r="M5859" s="9" t="s">
        <v>25</v>
      </c>
    </row>
    <row r="5860" ht="15.75" customHeight="1">
      <c r="A5860" s="7"/>
      <c r="B5860" s="7" t="str">
        <f>IFERROR(__xludf.DUMMYFUNCTION("""COMPUTED_VALUE"""),"Go;HTML/CSS;Java;JavaScript;SQL;TypeScript")</f>
        <v>Go;HTML/CSS;Java;JavaScript;SQL;TypeScript</v>
      </c>
      <c r="M5860" s="9" t="s">
        <v>23</v>
      </c>
    </row>
    <row r="5861" ht="15.75" customHeight="1">
      <c r="A5861" s="7"/>
      <c r="B5861" s="7" t="str">
        <f>IFERROR(__xludf.DUMMYFUNCTION("""COMPUTED_VALUE"""),"Elixir;HTML/CSS;JavaScript;SQL;TypeScript;Other(s):")</f>
        <v>Elixir;HTML/CSS;JavaScript;SQL;TypeScript;Other(s):</v>
      </c>
      <c r="M5861" s="9" t="s">
        <v>24</v>
      </c>
    </row>
    <row r="5862" ht="15.75" customHeight="1">
      <c r="A5862" s="7"/>
      <c r="B5862" s="7" t="str">
        <f>IFERROR(__xludf.DUMMYFUNCTION("""COMPUTED_VALUE"""),"Bash/Shell/PowerShell;C;C++;C#;HTML/CSS;Java;JavaScript;Python;SQL")</f>
        <v>Bash/Shell/PowerShell;C;C++;C#;HTML/CSS;Java;JavaScript;Python;SQL</v>
      </c>
      <c r="M5862" s="9" t="s">
        <v>20</v>
      </c>
    </row>
    <row r="5863" ht="15.75" customHeight="1">
      <c r="A5863" s="7"/>
      <c r="B5863" s="7" t="str">
        <f>IFERROR(__xludf.DUMMYFUNCTION("""COMPUTED_VALUE"""),"HTML/CSS;Java;Python;SQL")</f>
        <v>HTML/CSS;Java;Python;SQL</v>
      </c>
      <c r="M5863" s="9" t="s">
        <v>21</v>
      </c>
    </row>
    <row r="5864" ht="15.75" customHeight="1">
      <c r="A5864" s="7"/>
      <c r="B5864" s="7" t="str">
        <f>IFERROR(__xludf.DUMMYFUNCTION("""COMPUTED_VALUE"""),"Bash/Shell/PowerShell;C;C++;Java;Python")</f>
        <v>Bash/Shell/PowerShell;C;C++;Java;Python</v>
      </c>
      <c r="M5864" s="9" t="s">
        <v>27</v>
      </c>
    </row>
    <row r="5865" ht="15.75" customHeight="1">
      <c r="A5865" s="7"/>
      <c r="B5865" s="7" t="str">
        <f>IFERROR(__xludf.DUMMYFUNCTION("""COMPUTED_VALUE"""),"C++;C#;Java;JavaScript")</f>
        <v>C++;C#;Java;JavaScript</v>
      </c>
      <c r="M5865" s="9" t="s">
        <v>30</v>
      </c>
    </row>
    <row r="5866" ht="15.75" customHeight="1">
      <c r="A5866" s="7"/>
      <c r="B5866" s="7" t="str">
        <f>IFERROR(__xludf.DUMMYFUNCTION("""COMPUTED_VALUE"""),"C;C++;HTML/CSS;JavaScript")</f>
        <v>C;C++;HTML/CSS;JavaScript</v>
      </c>
      <c r="M5866" s="9" t="s">
        <v>36</v>
      </c>
    </row>
    <row r="5867" ht="15.75" customHeight="1">
      <c r="A5867" s="7"/>
      <c r="B5867" s="7" t="str">
        <f>IFERROR(__xludf.DUMMYFUNCTION("""COMPUTED_VALUE"""),"HTML/CSS;JavaScript;PHP;SQL")</f>
        <v>HTML/CSS;JavaScript;PHP;SQL</v>
      </c>
      <c r="M5867" s="9" t="s">
        <v>24</v>
      </c>
    </row>
    <row r="5868" ht="15.75" customHeight="1">
      <c r="A5868" s="7"/>
      <c r="B5868" s="7" t="str">
        <f>IFERROR(__xludf.DUMMYFUNCTION("""COMPUTED_VALUE"""),"Bash/Shell/PowerShell;C++;Python")</f>
        <v>Bash/Shell/PowerShell;C++;Python</v>
      </c>
      <c r="M5868" s="9" t="s">
        <v>21</v>
      </c>
    </row>
    <row r="5869" ht="15.75" customHeight="1">
      <c r="A5869" s="7"/>
      <c r="B5869" s="7" t="str">
        <f>IFERROR(__xludf.DUMMYFUNCTION("""COMPUTED_VALUE"""),"HTML/CSS;JavaScript;PHP;SQL")</f>
        <v>HTML/CSS;JavaScript;PHP;SQL</v>
      </c>
      <c r="M5869" s="9" t="s">
        <v>37</v>
      </c>
    </row>
    <row r="5870" ht="15.75" customHeight="1">
      <c r="A5870" s="7"/>
      <c r="B5870" s="7" t="str">
        <f>IFERROR(__xludf.DUMMYFUNCTION("""COMPUTED_VALUE"""),"Bash/Shell/PowerShell;HTML/CSS;JavaScript;SQL")</f>
        <v>Bash/Shell/PowerShell;HTML/CSS;JavaScript;SQL</v>
      </c>
      <c r="M5870" s="9" t="s">
        <v>22</v>
      </c>
    </row>
    <row r="5871" ht="15.75" customHeight="1">
      <c r="A5871" s="7"/>
      <c r="B5871" s="7" t="str">
        <f>IFERROR(__xludf.DUMMYFUNCTION("""COMPUTED_VALUE"""),"HTML/CSS;Java;JavaScript;PHP;SQL")</f>
        <v>HTML/CSS;Java;JavaScript;PHP;SQL</v>
      </c>
      <c r="M5871" s="9" t="s">
        <v>27</v>
      </c>
    </row>
    <row r="5872" ht="15.75" customHeight="1">
      <c r="A5872" s="7"/>
      <c r="B5872" s="7" t="str">
        <f>IFERROR(__xludf.DUMMYFUNCTION("""COMPUTED_VALUE"""),"Bash/Shell/PowerShell;Java;JavaScript;PHP")</f>
        <v>Bash/Shell/PowerShell;Java;JavaScript;PHP</v>
      </c>
      <c r="M5872" s="9" t="s">
        <v>30</v>
      </c>
    </row>
    <row r="5873" ht="15.75" customHeight="1">
      <c r="A5873" s="7"/>
      <c r="B5873" s="7" t="str">
        <f>IFERROR(__xludf.DUMMYFUNCTION("""COMPUTED_VALUE"""),"C#;HTML/CSS;JavaScript;SQL;TypeScript")</f>
        <v>C#;HTML/CSS;JavaScript;SQL;TypeScript</v>
      </c>
      <c r="M5873" s="9" t="s">
        <v>24</v>
      </c>
    </row>
    <row r="5874" ht="15.75" customHeight="1">
      <c r="A5874" s="7"/>
      <c r="B5874" s="7" t="str">
        <f>IFERROR(__xludf.DUMMYFUNCTION("""COMPUTED_VALUE"""),"C#;HTML/CSS;JavaScript;SQL;TypeScript")</f>
        <v>C#;HTML/CSS;JavaScript;SQL;TypeScript</v>
      </c>
      <c r="M5874" s="9" t="s">
        <v>22</v>
      </c>
    </row>
    <row r="5875" ht="15.75" customHeight="1">
      <c r="A5875" s="7"/>
      <c r="B5875" s="7" t="str">
        <f>IFERROR(__xludf.DUMMYFUNCTION("""COMPUTED_VALUE"""),"Assembly;Bash/Shell/PowerShell;C++;HTML/CSS;JavaScript;PHP;Python;R;SQL")</f>
        <v>Assembly;Bash/Shell/PowerShell;C++;HTML/CSS;JavaScript;PHP;Python;R;SQL</v>
      </c>
      <c r="M5875" s="9" t="s">
        <v>29</v>
      </c>
    </row>
    <row r="5876" ht="15.75" customHeight="1">
      <c r="A5876" s="7"/>
      <c r="B5876" s="7" t="str">
        <f>IFERROR(__xludf.DUMMYFUNCTION("""COMPUTED_VALUE"""),"HTML/CSS;PHP;SQL")</f>
        <v>HTML/CSS;PHP;SQL</v>
      </c>
      <c r="M5876" s="9" t="s">
        <v>27</v>
      </c>
    </row>
    <row r="5877" ht="15.75" customHeight="1">
      <c r="A5877" s="7"/>
      <c r="B5877" s="7" t="str">
        <f>IFERROR(__xludf.DUMMYFUNCTION("""COMPUTED_VALUE"""),"Bash/Shell/PowerShell;C#;HTML/CSS;JavaScript;SQL;TypeScript")</f>
        <v>Bash/Shell/PowerShell;C#;HTML/CSS;JavaScript;SQL;TypeScript</v>
      </c>
      <c r="M5877" s="9" t="s">
        <v>30</v>
      </c>
    </row>
    <row r="5878" ht="15.75" customHeight="1">
      <c r="A5878" s="7"/>
      <c r="B5878" s="7" t="str">
        <f>IFERROR(__xludf.DUMMYFUNCTION("""COMPUTED_VALUE"""),"Java;SQL")</f>
        <v>Java;SQL</v>
      </c>
      <c r="M5878" s="9" t="s">
        <v>23</v>
      </c>
    </row>
    <row r="5879" ht="15.75" customHeight="1">
      <c r="A5879" s="7"/>
      <c r="B5879" s="7" t="str">
        <f>IFERROR(__xludf.DUMMYFUNCTION("""COMPUTED_VALUE"""),"Bash/Shell/PowerShell;C#;HTML/CSS;JavaScript")</f>
        <v>Bash/Shell/PowerShell;C#;HTML/CSS;JavaScript</v>
      </c>
      <c r="M5879" s="9" t="s">
        <v>21</v>
      </c>
    </row>
    <row r="5880" ht="15.75" customHeight="1">
      <c r="A5880" s="7"/>
      <c r="B5880" s="7" t="str">
        <f>IFERROR(__xludf.DUMMYFUNCTION("""COMPUTED_VALUE"""),"Bash/Shell/PowerShell;C++;JavaScript;Rust;Other(s):")</f>
        <v>Bash/Shell/PowerShell;C++;JavaScript;Rust;Other(s):</v>
      </c>
      <c r="M5880" s="9" t="s">
        <v>22</v>
      </c>
    </row>
    <row r="5881" ht="15.75" customHeight="1">
      <c r="A5881" s="7"/>
      <c r="B5881" s="7" t="str">
        <f>IFERROR(__xludf.DUMMYFUNCTION("""COMPUTED_VALUE"""),"Erlang;HTML/CSS;Java;JavaScript;Python;SQL")</f>
        <v>Erlang;HTML/CSS;Java;JavaScript;Python;SQL</v>
      </c>
      <c r="M5881" s="9" t="s">
        <v>29</v>
      </c>
    </row>
    <row r="5882" ht="15.75" customHeight="1">
      <c r="A5882" s="7"/>
      <c r="B5882" s="7" t="str">
        <f>IFERROR(__xludf.DUMMYFUNCTION("""COMPUTED_VALUE"""),"HTML/CSS;JavaScript;SQL")</f>
        <v>HTML/CSS;JavaScript;SQL</v>
      </c>
      <c r="M5882" s="9" t="s">
        <v>27</v>
      </c>
    </row>
    <row r="5883" ht="15.75" customHeight="1">
      <c r="A5883" s="7"/>
      <c r="B5883" s="7" t="str">
        <f>IFERROR(__xludf.DUMMYFUNCTION("""COMPUTED_VALUE"""),"HTML/CSS;JavaScript;PHP;SQL;Other(s):")</f>
        <v>HTML/CSS;JavaScript;PHP;SQL;Other(s):</v>
      </c>
      <c r="M5883" s="9" t="s">
        <v>28</v>
      </c>
    </row>
    <row r="5884" ht="15.75" customHeight="1">
      <c r="A5884" s="7"/>
      <c r="B5884" s="7" t="str">
        <f>IFERROR(__xludf.DUMMYFUNCTION("""COMPUTED_VALUE"""),"C#;Clojure;HTML/CSS;Java;JavaScript;TypeScript")</f>
        <v>C#;Clojure;HTML/CSS;Java;JavaScript;TypeScript</v>
      </c>
      <c r="M5884" s="9" t="s">
        <v>35</v>
      </c>
    </row>
    <row r="5885" ht="15.75" customHeight="1">
      <c r="A5885" s="7"/>
      <c r="B5885" s="7" t="str">
        <f>IFERROR(__xludf.DUMMYFUNCTION("""COMPUTED_VALUE"""),"HTML/CSS;JavaScript;PHP;Python;Ruby;SQL")</f>
        <v>HTML/CSS;JavaScript;PHP;Python;Ruby;SQL</v>
      </c>
      <c r="M5885" s="9" t="s">
        <v>36</v>
      </c>
    </row>
    <row r="5886" ht="15.75" customHeight="1">
      <c r="A5886" s="7"/>
      <c r="B5886" s="7" t="str">
        <f>IFERROR(__xludf.DUMMYFUNCTION("""COMPUTED_VALUE"""),"HTML/CSS;Java;JavaScript;Kotlin;Python")</f>
        <v>HTML/CSS;Java;JavaScript;Kotlin;Python</v>
      </c>
      <c r="M5886" s="9" t="s">
        <v>22</v>
      </c>
    </row>
    <row r="5887" ht="15.75" customHeight="1">
      <c r="A5887" s="7"/>
      <c r="B5887" s="7" t="str">
        <f>IFERROR(__xludf.DUMMYFUNCTION("""COMPUTED_VALUE"""),"HTML/CSS;Java;JavaScript")</f>
        <v>HTML/CSS;Java;JavaScript</v>
      </c>
      <c r="M5887" s="9" t="s">
        <v>31</v>
      </c>
    </row>
    <row r="5888" ht="15.75" customHeight="1">
      <c r="A5888" s="7"/>
      <c r="B5888" s="7" t="str">
        <f>IFERROR(__xludf.DUMMYFUNCTION("""COMPUTED_VALUE"""),"Assembly;Bash/Shell/PowerShell;HTML/CSS;Java;JavaScript;Python;SQL")</f>
        <v>Assembly;Bash/Shell/PowerShell;HTML/CSS;Java;JavaScript;Python;SQL</v>
      </c>
      <c r="M5888" s="9" t="s">
        <v>27</v>
      </c>
    </row>
    <row r="5889" ht="15.75" customHeight="1">
      <c r="A5889" s="7"/>
      <c r="B5889" s="7" t="str">
        <f>IFERROR(__xludf.DUMMYFUNCTION("""COMPUTED_VALUE"""),"C#;HTML/CSS;JavaScript;SQL")</f>
        <v>C#;HTML/CSS;JavaScript;SQL</v>
      </c>
      <c r="M5889" s="9" t="s">
        <v>30</v>
      </c>
    </row>
    <row r="5890" ht="15.75" customHeight="1">
      <c r="A5890" s="7"/>
      <c r="B5890" s="7" t="str">
        <f>IFERROR(__xludf.DUMMYFUNCTION("""COMPUTED_VALUE"""),"Java;Python")</f>
        <v>Java;Python</v>
      </c>
      <c r="M5890" s="9" t="s">
        <v>25</v>
      </c>
    </row>
    <row r="5891" ht="15.75" customHeight="1">
      <c r="A5891" s="7"/>
      <c r="B5891" s="7" t="str">
        <f>IFERROR(__xludf.DUMMYFUNCTION("""COMPUTED_VALUE"""),"Bash/Shell/PowerShell;C#;HTML/CSS;JavaScript")</f>
        <v>Bash/Shell/PowerShell;C#;HTML/CSS;JavaScript</v>
      </c>
      <c r="M5891" s="9" t="s">
        <v>23</v>
      </c>
    </row>
    <row r="5892" ht="15.75" customHeight="1">
      <c r="A5892" s="7"/>
      <c r="B5892" s="7" t="str">
        <f>IFERROR(__xludf.DUMMYFUNCTION("""COMPUTED_VALUE"""),"C;C++;Python")</f>
        <v>C;C++;Python</v>
      </c>
      <c r="M5892" s="9" t="s">
        <v>26</v>
      </c>
    </row>
    <row r="5893" ht="15.75" customHeight="1">
      <c r="A5893" s="7"/>
      <c r="B5893" s="7" t="str">
        <f>IFERROR(__xludf.DUMMYFUNCTION("""COMPUTED_VALUE"""),"Bash/Shell/PowerShell;Go")</f>
        <v>Bash/Shell/PowerShell;Go</v>
      </c>
      <c r="M5893" s="9" t="s">
        <v>24</v>
      </c>
    </row>
    <row r="5894" ht="15.75" customHeight="1">
      <c r="A5894" s="7"/>
      <c r="B5894" s="7" t="str">
        <f>IFERROR(__xludf.DUMMYFUNCTION("""COMPUTED_VALUE"""),"C;C++;HTML/CSS;Python;Ruby;SQL")</f>
        <v>C;C++;HTML/CSS;Python;Ruby;SQL</v>
      </c>
      <c r="M5894" s="9" t="s">
        <v>20</v>
      </c>
    </row>
    <row r="5895" ht="15.75" customHeight="1">
      <c r="A5895" s="7"/>
      <c r="B5895" s="7" t="str">
        <f>IFERROR(__xludf.DUMMYFUNCTION("""COMPUTED_VALUE"""),"Bash/Shell/PowerShell;C#;JavaScript;SQL")</f>
        <v>Bash/Shell/PowerShell;C#;JavaScript;SQL</v>
      </c>
      <c r="M5895" s="9" t="s">
        <v>21</v>
      </c>
    </row>
    <row r="5896" ht="15.75" customHeight="1">
      <c r="A5896" s="7"/>
      <c r="B5896" s="7" t="str">
        <f>IFERROR(__xludf.DUMMYFUNCTION("""COMPUTED_VALUE"""),"Bash/Shell/PowerShell;HTML/CSS;Java;JavaScript;TypeScript")</f>
        <v>Bash/Shell/PowerShell;HTML/CSS;Java;JavaScript;TypeScript</v>
      </c>
      <c r="M5896" s="9" t="s">
        <v>39</v>
      </c>
    </row>
    <row r="5897" ht="15.75" customHeight="1">
      <c r="A5897" s="7"/>
      <c r="B5897" s="7" t="str">
        <f>IFERROR(__xludf.DUMMYFUNCTION("""COMPUTED_VALUE"""),"Java;JavaScript;TypeScript")</f>
        <v>Java;JavaScript;TypeScript</v>
      </c>
      <c r="M5897" s="9" t="s">
        <v>41</v>
      </c>
    </row>
    <row r="5898" ht="15.75" customHeight="1">
      <c r="A5898" s="7"/>
      <c r="B5898" s="7" t="str">
        <f>IFERROR(__xludf.DUMMYFUNCTION("""COMPUTED_VALUE"""),"Assembly;Bash/Shell/PowerShell;C;C++;C#;Go;HTML/CSS;Java;JavaScript;PHP;Python;SQL")</f>
        <v>Assembly;Bash/Shell/PowerShell;C;C++;C#;Go;HTML/CSS;Java;JavaScript;PHP;Python;SQL</v>
      </c>
      <c r="M5898" s="9" t="s">
        <v>31</v>
      </c>
    </row>
    <row r="5899" ht="15.75" customHeight="1">
      <c r="A5899" s="7"/>
      <c r="B5899" s="7" t="str">
        <f>IFERROR(__xludf.DUMMYFUNCTION("""COMPUTED_VALUE"""),"Bash/Shell/PowerShell;HTML/CSS;JavaScript;Python;Ruby;SQL")</f>
        <v>Bash/Shell/PowerShell;HTML/CSS;JavaScript;Python;Ruby;SQL</v>
      </c>
      <c r="M5899" s="9" t="s">
        <v>40</v>
      </c>
    </row>
    <row r="5900" ht="15.75" customHeight="1">
      <c r="A5900" s="7"/>
      <c r="B5900" s="7" t="str">
        <f>IFERROR(__xludf.DUMMYFUNCTION("""COMPUTED_VALUE"""),"C++;C#;HTML/CSS;JavaScript;PHP;SQL;VBA")</f>
        <v>C++;C#;HTML/CSS;JavaScript;PHP;SQL;VBA</v>
      </c>
      <c r="M5900" s="9" t="s">
        <v>38</v>
      </c>
    </row>
    <row r="5901" ht="15.75" customHeight="1">
      <c r="A5901" s="7"/>
      <c r="B5901" s="7" t="str">
        <f>IFERROR(__xludf.DUMMYFUNCTION("""COMPUTED_VALUE"""),"HTML/CSS;Java;JavaScript;Ruby;SQL;TypeScript")</f>
        <v>HTML/CSS;Java;JavaScript;Ruby;SQL;TypeScript</v>
      </c>
      <c r="M5901" s="9" t="s">
        <v>25</v>
      </c>
    </row>
    <row r="5902" ht="15.75" customHeight="1">
      <c r="A5902" s="7"/>
      <c r="B5902" s="7" t="str">
        <f>IFERROR(__xludf.DUMMYFUNCTION("""COMPUTED_VALUE"""),"C#;HTML/CSS;JavaScript;SQL")</f>
        <v>C#;HTML/CSS;JavaScript;SQL</v>
      </c>
      <c r="M5902" s="9" t="s">
        <v>23</v>
      </c>
    </row>
    <row r="5903" ht="15.75" customHeight="1">
      <c r="A5903" s="7"/>
      <c r="B5903" s="7" t="str">
        <f>IFERROR(__xludf.DUMMYFUNCTION("""COMPUTED_VALUE"""),"C#;HTML/CSS;Java;PHP;SQL")</f>
        <v>C#;HTML/CSS;Java;PHP;SQL</v>
      </c>
      <c r="M5903" s="9" t="s">
        <v>26</v>
      </c>
    </row>
    <row r="5904" ht="15.75" customHeight="1">
      <c r="A5904" s="7"/>
      <c r="B5904" s="7" t="str">
        <f>IFERROR(__xludf.DUMMYFUNCTION("""COMPUTED_VALUE"""),"Java;JavaScript")</f>
        <v>Java;JavaScript</v>
      </c>
      <c r="M5904" s="9" t="s">
        <v>24</v>
      </c>
    </row>
    <row r="5905" ht="15.75" customHeight="1">
      <c r="A5905" s="7"/>
      <c r="B5905" s="7" t="str">
        <f>IFERROR(__xludf.DUMMYFUNCTION("""COMPUTED_VALUE"""),"C;C++;C#;PHP")</f>
        <v>C;C++;C#;PHP</v>
      </c>
      <c r="M5905" s="9" t="s">
        <v>20</v>
      </c>
    </row>
    <row r="5906" ht="15.75" customHeight="1">
      <c r="A5906" s="7"/>
      <c r="B5906" s="7" t="str">
        <f>IFERROR(__xludf.DUMMYFUNCTION("""COMPUTED_VALUE"""),"Bash/Shell/PowerShell;C;C++;Java;Python;SQL")</f>
        <v>Bash/Shell/PowerShell;C;C++;Java;Python;SQL</v>
      </c>
      <c r="M5906" s="9" t="s">
        <v>21</v>
      </c>
    </row>
    <row r="5907" ht="15.75" customHeight="1">
      <c r="A5907" s="7"/>
      <c r="B5907" s="7" t="str">
        <f>IFERROR(__xludf.DUMMYFUNCTION("""COMPUTED_VALUE"""),"HTML/CSS;JavaScript;PHP")</f>
        <v>HTML/CSS;JavaScript;PHP</v>
      </c>
      <c r="M5907" s="9" t="s">
        <v>22</v>
      </c>
    </row>
    <row r="5908" ht="15.75" customHeight="1">
      <c r="A5908" s="7"/>
      <c r="B5908" s="7" t="str">
        <f>IFERROR(__xludf.DUMMYFUNCTION("""COMPUTED_VALUE"""),"VBA;Other(s):")</f>
        <v>VBA;Other(s):</v>
      </c>
      <c r="M5908" s="9" t="s">
        <v>27</v>
      </c>
    </row>
    <row r="5909" ht="15.75" customHeight="1">
      <c r="A5909" s="7"/>
      <c r="B5909" s="7" t="str">
        <f>IFERROR(__xludf.DUMMYFUNCTION("""COMPUTED_VALUE"""),"C#;HTML/CSS;Java;JavaScript;Python;SQL;VBA")</f>
        <v>C#;HTML/CSS;Java;JavaScript;Python;SQL;VBA</v>
      </c>
      <c r="M5909" s="9" t="s">
        <v>26</v>
      </c>
    </row>
    <row r="5910" ht="15.75" customHeight="1">
      <c r="A5910" s="7"/>
      <c r="B5910" s="7" t="str">
        <f>IFERROR(__xludf.DUMMYFUNCTION("""COMPUTED_VALUE"""),"C#;HTML/CSS;Java;JavaScript;Python;SQL;TypeScript;VBA")</f>
        <v>C#;HTML/CSS;Java;JavaScript;Python;SQL;TypeScript;VBA</v>
      </c>
      <c r="M5910" s="9" t="s">
        <v>24</v>
      </c>
    </row>
    <row r="5911" ht="15.75" customHeight="1">
      <c r="A5911" s="7"/>
      <c r="B5911" s="7" t="str">
        <f>IFERROR(__xludf.DUMMYFUNCTION("""COMPUTED_VALUE"""),"C;C++;C#;HTML/CSS;Java;JavaScript;PHP;Python;SQL")</f>
        <v>C;C++;C#;HTML/CSS;Java;JavaScript;PHP;Python;SQL</v>
      </c>
      <c r="M5911" s="9" t="s">
        <v>20</v>
      </c>
    </row>
    <row r="5912" ht="15.75" customHeight="1">
      <c r="A5912" s="7"/>
      <c r="B5912" s="7" t="str">
        <f>IFERROR(__xludf.DUMMYFUNCTION("""COMPUTED_VALUE"""),"Bash/Shell/PowerShell;C#;HTML/CSS;JavaScript;Objective-C;Python;SQL")</f>
        <v>Bash/Shell/PowerShell;C#;HTML/CSS;JavaScript;Objective-C;Python;SQL</v>
      </c>
      <c r="M5912" s="9" t="s">
        <v>21</v>
      </c>
    </row>
    <row r="5913" ht="15.75" customHeight="1">
      <c r="A5913" s="7"/>
      <c r="B5913" s="7" t="str">
        <f>IFERROR(__xludf.DUMMYFUNCTION("""COMPUTED_VALUE"""),"C;HTML/CSS;Java;JavaScript;PHP;Python;Ruby;SQL")</f>
        <v>C;HTML/CSS;Java;JavaScript;PHP;Python;Ruby;SQL</v>
      </c>
      <c r="M5913" s="9" t="s">
        <v>39</v>
      </c>
    </row>
    <row r="5914" ht="15.75" customHeight="1">
      <c r="A5914" s="7"/>
      <c r="B5914" s="7" t="str">
        <f>IFERROR(__xludf.DUMMYFUNCTION("""COMPUTED_VALUE"""),"HTML/CSS;JavaScript;Python")</f>
        <v>HTML/CSS;JavaScript;Python</v>
      </c>
      <c r="M5914" s="9" t="s">
        <v>41</v>
      </c>
    </row>
    <row r="5915" ht="15.75" customHeight="1">
      <c r="A5915" s="7"/>
      <c r="B5915" s="7" t="str">
        <f>IFERROR(__xludf.DUMMYFUNCTION("""COMPUTED_VALUE"""),"C;C++;C#;HTML/CSS;Java;JavaScript;Python")</f>
        <v>C;C++;C#;HTML/CSS;Java;JavaScript;Python</v>
      </c>
      <c r="M5915" s="9" t="s">
        <v>37</v>
      </c>
    </row>
    <row r="5916" ht="15.75" customHeight="1">
      <c r="A5916" s="7"/>
      <c r="B5916" s="7" t="str">
        <f>IFERROR(__xludf.DUMMYFUNCTION("""COMPUTED_VALUE"""),"C++;HTML/CSS;Java;SQL")</f>
        <v>C++;HTML/CSS;Java;SQL</v>
      </c>
      <c r="M5916" s="9" t="s">
        <v>22</v>
      </c>
    </row>
    <row r="5917" ht="15.75" customHeight="1">
      <c r="A5917" s="7"/>
      <c r="B5917" s="7" t="str">
        <f>IFERROR(__xludf.DUMMYFUNCTION("""COMPUTED_VALUE"""),"Bash/Shell/PowerShell;C;C++;C#;HTML/CSS;Java;JavaScript;PHP;SQL")</f>
        <v>Bash/Shell/PowerShell;C;C++;C#;HTML/CSS;Java;JavaScript;PHP;SQL</v>
      </c>
      <c r="M5917" s="9" t="s">
        <v>27</v>
      </c>
    </row>
    <row r="5918" ht="15.75" customHeight="1">
      <c r="A5918" s="7"/>
      <c r="B5918" s="7" t="str">
        <f>IFERROR(__xludf.DUMMYFUNCTION("""COMPUTED_VALUE"""),"Java;Python")</f>
        <v>Java;Python</v>
      </c>
      <c r="M5918" s="9" t="s">
        <v>33</v>
      </c>
    </row>
    <row r="5919" ht="15.75" customHeight="1">
      <c r="A5919" s="7"/>
      <c r="B5919" s="7" t="str">
        <f>IFERROR(__xludf.DUMMYFUNCTION("""COMPUTED_VALUE"""),"Bash/Shell/PowerShell;HTML/CSS;Java;JavaScript;Kotlin;Python;SQL;TypeScript")</f>
        <v>Bash/Shell/PowerShell;HTML/CSS;Java;JavaScript;Kotlin;Python;SQL;TypeScript</v>
      </c>
      <c r="M5919" s="9" t="s">
        <v>25</v>
      </c>
    </row>
    <row r="5920" ht="15.75" customHeight="1">
      <c r="A5920" s="7"/>
      <c r="B5920" s="7" t="str">
        <f>IFERROR(__xludf.DUMMYFUNCTION("""COMPUTED_VALUE"""),"Bash/Shell/PowerShell;HTML/CSS;Java;JavaScript;SQL")</f>
        <v>Bash/Shell/PowerShell;HTML/CSS;Java;JavaScript;SQL</v>
      </c>
      <c r="M5920" s="9" t="s">
        <v>23</v>
      </c>
    </row>
    <row r="5921" ht="15.75" customHeight="1">
      <c r="A5921" s="7"/>
      <c r="B5921" s="7" t="str">
        <f>IFERROR(__xludf.DUMMYFUNCTION("""COMPUTED_VALUE"""),"C#;HTML/CSS;JavaScript;SQL")</f>
        <v>C#;HTML/CSS;JavaScript;SQL</v>
      </c>
      <c r="M5921" s="9" t="s">
        <v>26</v>
      </c>
    </row>
    <row r="5922" ht="15.75" customHeight="1">
      <c r="A5922" s="7"/>
      <c r="B5922" s="7" t="str">
        <f>IFERROR(__xludf.DUMMYFUNCTION("""COMPUTED_VALUE"""),"Bash/Shell/PowerShell;HTML/CSS;Python;SQL")</f>
        <v>Bash/Shell/PowerShell;HTML/CSS;Python;SQL</v>
      </c>
      <c r="M5922" s="9" t="s">
        <v>24</v>
      </c>
    </row>
    <row r="5923" ht="15.75" customHeight="1">
      <c r="A5923" s="7"/>
      <c r="B5923" s="7" t="str">
        <f>IFERROR(__xludf.DUMMYFUNCTION("""COMPUTED_VALUE"""),"Assembly;Bash/Shell/PowerShell;C;C++;Python;Scala;Other(s):")</f>
        <v>Assembly;Bash/Shell/PowerShell;C;C++;Python;Scala;Other(s):</v>
      </c>
      <c r="M5923" s="9" t="s">
        <v>20</v>
      </c>
    </row>
    <row r="5924" ht="15.75" customHeight="1">
      <c r="A5924" s="7"/>
      <c r="B5924" s="7" t="str">
        <f>IFERROR(__xludf.DUMMYFUNCTION("""COMPUTED_VALUE"""),"C;Go;HTML/CSS;JavaScript;PHP;Ruby;SQL;TypeScript")</f>
        <v>C;Go;HTML/CSS;JavaScript;PHP;Ruby;SQL;TypeScript</v>
      </c>
      <c r="M5924" s="9" t="s">
        <v>21</v>
      </c>
    </row>
    <row r="5925" ht="15.75" customHeight="1">
      <c r="A5925" s="7"/>
      <c r="B5925" s="7" t="str">
        <f>IFERROR(__xludf.DUMMYFUNCTION("""COMPUTED_VALUE"""),"Assembly;Bash/Shell/PowerShell;C;Java;Python;Rust")</f>
        <v>Assembly;Bash/Shell/PowerShell;C;Java;Python;Rust</v>
      </c>
      <c r="M5925" s="9" t="s">
        <v>39</v>
      </c>
    </row>
    <row r="5926" ht="15.75" customHeight="1">
      <c r="A5926" s="7"/>
      <c r="B5926" s="7" t="str">
        <f>IFERROR(__xludf.DUMMYFUNCTION("""COMPUTED_VALUE"""),"Bash/Shell/PowerShell;C;C++;C#;Go;HTML/CSS;JavaScript;Ruby;SQL")</f>
        <v>Bash/Shell/PowerShell;C;C++;C#;Go;HTML/CSS;JavaScript;Ruby;SQL</v>
      </c>
      <c r="M5926" s="9" t="s">
        <v>41</v>
      </c>
    </row>
    <row r="5927" ht="15.75" customHeight="1">
      <c r="A5927" s="7"/>
      <c r="B5927" s="7" t="str">
        <f>IFERROR(__xludf.DUMMYFUNCTION("""COMPUTED_VALUE"""),"JavaScript")</f>
        <v>JavaScript</v>
      </c>
      <c r="M5927" s="9" t="s">
        <v>37</v>
      </c>
    </row>
    <row r="5928" ht="15.75" customHeight="1">
      <c r="A5928" s="7"/>
      <c r="B5928" s="7" t="str">
        <f>IFERROR(__xludf.DUMMYFUNCTION("""COMPUTED_VALUE"""),"Python;Ruby")</f>
        <v>Python;Ruby</v>
      </c>
      <c r="M5928" s="9" t="s">
        <v>27</v>
      </c>
    </row>
    <row r="5929" ht="15.75" customHeight="1">
      <c r="A5929" s="7"/>
      <c r="B5929" s="7" t="str">
        <f>IFERROR(__xludf.DUMMYFUNCTION("""COMPUTED_VALUE"""),"Bash/Shell/PowerShell;Go;HTML/CSS;Java;JavaScript;PHP;SQL")</f>
        <v>Bash/Shell/PowerShell;Go;HTML/CSS;Java;JavaScript;PHP;SQL</v>
      </c>
      <c r="M5929" s="9" t="s">
        <v>40</v>
      </c>
    </row>
    <row r="5930" ht="15.75" customHeight="1">
      <c r="A5930" s="7"/>
      <c r="B5930" s="7" t="str">
        <f>IFERROR(__xludf.DUMMYFUNCTION("""COMPUTED_VALUE"""),"Bash/Shell/PowerShell;HTML/CSS;JavaScript;PHP;SQL;TypeScript")</f>
        <v>Bash/Shell/PowerShell;HTML/CSS;JavaScript;PHP;SQL;TypeScript</v>
      </c>
      <c r="M5930" s="9" t="s">
        <v>33</v>
      </c>
    </row>
    <row r="5931" ht="15.75" customHeight="1">
      <c r="A5931" s="7"/>
      <c r="B5931" s="7" t="str">
        <f>IFERROR(__xludf.DUMMYFUNCTION("""COMPUTED_VALUE"""),"HTML/CSS;JavaScript;TypeScript")</f>
        <v>HTML/CSS;JavaScript;TypeScript</v>
      </c>
      <c r="M5931" s="9" t="s">
        <v>28</v>
      </c>
    </row>
    <row r="5932" ht="15.75" customHeight="1">
      <c r="A5932" s="7"/>
      <c r="B5932" s="7" t="str">
        <f>IFERROR(__xludf.DUMMYFUNCTION("""COMPUTED_VALUE"""),"C#;Dart;HTML/CSS;Java;JavaScript;PHP;SQL")</f>
        <v>C#;Dart;HTML/CSS;Java;JavaScript;PHP;SQL</v>
      </c>
      <c r="M5932" s="9" t="s">
        <v>24</v>
      </c>
    </row>
    <row r="5933" ht="15.75" customHeight="1">
      <c r="A5933" s="7"/>
      <c r="B5933" s="7" t="str">
        <f>IFERROR(__xludf.DUMMYFUNCTION("""COMPUTED_VALUE"""),"JavaScript;Python;TypeScript")</f>
        <v>JavaScript;Python;TypeScript</v>
      </c>
      <c r="M5933" s="9" t="s">
        <v>21</v>
      </c>
    </row>
    <row r="5934" ht="15.75" customHeight="1">
      <c r="A5934" s="7"/>
      <c r="B5934" s="7" t="str">
        <f>IFERROR(__xludf.DUMMYFUNCTION("""COMPUTED_VALUE"""),"HTML/CSS;JavaScript;PHP;TypeScript")</f>
        <v>HTML/CSS;JavaScript;PHP;TypeScript</v>
      </c>
      <c r="M5934" s="9" t="s">
        <v>22</v>
      </c>
    </row>
    <row r="5935" ht="15.75" customHeight="1">
      <c r="A5935" s="7"/>
      <c r="B5935" s="7" t="str">
        <f>IFERROR(__xludf.DUMMYFUNCTION("""COMPUTED_VALUE"""),"C#;HTML/CSS;Java;JavaScript;PHP;SQL")</f>
        <v>C#;HTML/CSS;Java;JavaScript;PHP;SQL</v>
      </c>
      <c r="M5935" s="9" t="s">
        <v>29</v>
      </c>
    </row>
    <row r="5936" ht="15.75" customHeight="1">
      <c r="A5936" s="7"/>
      <c r="B5936" s="7" t="str">
        <f>IFERROR(__xludf.DUMMYFUNCTION("""COMPUTED_VALUE"""),"C++;C#;HTML/CSS;Java;JavaScript;Kotlin;SQL;TypeScript;Other(s):")</f>
        <v>C++;C#;HTML/CSS;Java;JavaScript;Kotlin;SQL;TypeScript;Other(s):</v>
      </c>
      <c r="M5936" s="9" t="s">
        <v>27</v>
      </c>
    </row>
    <row r="5937" ht="15.75" customHeight="1">
      <c r="A5937" s="7"/>
      <c r="B5937" s="7" t="str">
        <f>IFERROR(__xludf.DUMMYFUNCTION("""COMPUTED_VALUE"""),"Bash/Shell/PowerShell;HTML/CSS;JavaScript;PHP;Python;Ruby;SQL;TypeScript")</f>
        <v>Bash/Shell/PowerShell;HTML/CSS;JavaScript;PHP;Python;Ruby;SQL;TypeScript</v>
      </c>
      <c r="M5937" s="9" t="s">
        <v>23</v>
      </c>
    </row>
    <row r="5938" ht="15.75" customHeight="1">
      <c r="A5938" s="7"/>
      <c r="B5938" s="7" t="str">
        <f>IFERROR(__xludf.DUMMYFUNCTION("""COMPUTED_VALUE"""),"Bash/Shell/PowerShell;C++;C#;HTML/CSS;Java;JavaScript;Python")</f>
        <v>Bash/Shell/PowerShell;C++;C#;HTML/CSS;Java;JavaScript;Python</v>
      </c>
      <c r="M5938" s="9" t="s">
        <v>26</v>
      </c>
    </row>
    <row r="5939" ht="15.75" customHeight="1">
      <c r="A5939" s="7"/>
      <c r="B5939" s="7" t="str">
        <f>IFERROR(__xludf.DUMMYFUNCTION("""COMPUTED_VALUE"""),"Java;JavaScript;Kotlin;SQL")</f>
        <v>Java;JavaScript;Kotlin;SQL</v>
      </c>
      <c r="M5939" s="9" t="s">
        <v>24</v>
      </c>
    </row>
    <row r="5940" ht="15.75" customHeight="1">
      <c r="A5940" s="7"/>
      <c r="B5940" s="7" t="str">
        <f>IFERROR(__xludf.DUMMYFUNCTION("""COMPUTED_VALUE"""),"C#;HTML/CSS;JavaScript;PHP;SQL")</f>
        <v>C#;HTML/CSS;JavaScript;PHP;SQL</v>
      </c>
      <c r="M5940" s="9" t="s">
        <v>20</v>
      </c>
    </row>
    <row r="5941" ht="15.75" customHeight="1">
      <c r="A5941" s="7"/>
      <c r="B5941" s="7" t="str">
        <f>IFERROR(__xludf.DUMMYFUNCTION("""COMPUTED_VALUE"""),"C;C++;Python;Rust")</f>
        <v>C;C++;Python;Rust</v>
      </c>
      <c r="M5941" s="9" t="s">
        <v>21</v>
      </c>
    </row>
    <row r="5942" ht="15.75" customHeight="1">
      <c r="A5942" s="7"/>
      <c r="B5942" s="7" t="str">
        <f>IFERROR(__xludf.DUMMYFUNCTION("""COMPUTED_VALUE"""),"Bash/Shell/PowerShell;Python;SQL")</f>
        <v>Bash/Shell/PowerShell;Python;SQL</v>
      </c>
      <c r="M5942" s="9" t="s">
        <v>26</v>
      </c>
    </row>
    <row r="5943" ht="15.75" customHeight="1">
      <c r="A5943" s="7"/>
      <c r="B5943" s="7" t="str">
        <f>IFERROR(__xludf.DUMMYFUNCTION("""COMPUTED_VALUE"""),"C#;HTML/CSS;JavaScript;PHP;SQL")</f>
        <v>C#;HTML/CSS;JavaScript;PHP;SQL</v>
      </c>
      <c r="M5943" s="9" t="s">
        <v>24</v>
      </c>
    </row>
    <row r="5944" ht="15.75" customHeight="1">
      <c r="A5944" s="7"/>
      <c r="B5944" s="7" t="str">
        <f>IFERROR(__xludf.DUMMYFUNCTION("""COMPUTED_VALUE"""),"Bash/Shell/PowerShell;C;Go;HTML/CSS;JavaScript;Python;R")</f>
        <v>Bash/Shell/PowerShell;C;Go;HTML/CSS;JavaScript;Python;R</v>
      </c>
      <c r="M5944" s="9" t="s">
        <v>20</v>
      </c>
    </row>
    <row r="5945" ht="15.75" customHeight="1">
      <c r="A5945" s="7"/>
      <c r="B5945" s="7" t="str">
        <f>IFERROR(__xludf.DUMMYFUNCTION("""COMPUTED_VALUE"""),"C++;Clojure;Other(s):")</f>
        <v>C++;Clojure;Other(s):</v>
      </c>
      <c r="M5945" s="9" t="s">
        <v>21</v>
      </c>
    </row>
    <row r="5946" ht="15.75" customHeight="1">
      <c r="A5946" s="7"/>
      <c r="B5946" s="7" t="str">
        <f>IFERROR(__xludf.DUMMYFUNCTION("""COMPUTED_VALUE"""),"Bash/Shell/PowerShell;HTML/CSS;JavaScript;PHP")</f>
        <v>Bash/Shell/PowerShell;HTML/CSS;JavaScript;PHP</v>
      </c>
      <c r="M5946" s="9" t="s">
        <v>37</v>
      </c>
    </row>
    <row r="5947" ht="15.75" customHeight="1">
      <c r="A5947" s="7"/>
      <c r="B5947" s="7" t="str">
        <f>IFERROR(__xludf.DUMMYFUNCTION("""COMPUTED_VALUE"""),"C#;HTML/CSS;JavaScript;SQL")</f>
        <v>C#;HTML/CSS;JavaScript;SQL</v>
      </c>
      <c r="M5947" s="9" t="s">
        <v>27</v>
      </c>
    </row>
    <row r="5948" ht="15.75" customHeight="1">
      <c r="A5948" s="7"/>
      <c r="B5948" s="7" t="str">
        <f>IFERROR(__xludf.DUMMYFUNCTION("""COMPUTED_VALUE"""),"Ruby;Scala;SQL;TypeScript")</f>
        <v>Ruby;Scala;SQL;TypeScript</v>
      </c>
      <c r="M5948" s="9" t="s">
        <v>26</v>
      </c>
    </row>
    <row r="5949" ht="15.75" customHeight="1">
      <c r="A5949" s="7"/>
      <c r="B5949" s="7" t="str">
        <f>IFERROR(__xludf.DUMMYFUNCTION("""COMPUTED_VALUE"""),"HTML/CSS;JavaScript;SQL")</f>
        <v>HTML/CSS;JavaScript;SQL</v>
      </c>
      <c r="M5949" s="9" t="s">
        <v>24</v>
      </c>
    </row>
    <row r="5950" ht="15.75" customHeight="1">
      <c r="A5950" s="7"/>
      <c r="B5950" s="7" t="str">
        <f>IFERROR(__xludf.DUMMYFUNCTION("""COMPUTED_VALUE"""),"Go;HTML/CSS;JavaScript")</f>
        <v>Go;HTML/CSS;JavaScript</v>
      </c>
      <c r="M5950" s="9" t="s">
        <v>21</v>
      </c>
    </row>
    <row r="5951" ht="15.75" customHeight="1">
      <c r="A5951" s="7"/>
      <c r="B5951" s="7" t="str">
        <f>IFERROR(__xludf.DUMMYFUNCTION("""COMPUTED_VALUE"""),"Assembly;C;C++")</f>
        <v>Assembly;C;C++</v>
      </c>
      <c r="M5951" s="9" t="s">
        <v>37</v>
      </c>
    </row>
    <row r="5952" ht="15.75" customHeight="1">
      <c r="A5952" s="7"/>
      <c r="B5952" s="7" t="str">
        <f>IFERROR(__xludf.DUMMYFUNCTION("""COMPUTED_VALUE"""),"C;Clojure;HTML/CSS;JavaScript;TypeScript;Other(s):")</f>
        <v>C;Clojure;HTML/CSS;JavaScript;TypeScript;Other(s):</v>
      </c>
      <c r="M5952" s="9" t="s">
        <v>22</v>
      </c>
    </row>
    <row r="5953" ht="15.75" customHeight="1">
      <c r="A5953" s="7"/>
      <c r="B5953" s="7" t="str">
        <f>IFERROR(__xludf.DUMMYFUNCTION("""COMPUTED_VALUE"""),"Java;Kotlin;Objective-C;Python;Scala;Swift")</f>
        <v>Java;Kotlin;Objective-C;Python;Scala;Swift</v>
      </c>
      <c r="M5953" s="9" t="s">
        <v>27</v>
      </c>
    </row>
    <row r="5954" ht="15.75" customHeight="1">
      <c r="A5954" s="7"/>
      <c r="B5954" s="7" t="str">
        <f>IFERROR(__xludf.DUMMYFUNCTION("""COMPUTED_VALUE"""),"Bash/Shell/PowerShell;HTML/CSS;Ruby;SQL;Other(s):")</f>
        <v>Bash/Shell/PowerShell;HTML/CSS;Ruby;SQL;Other(s):</v>
      </c>
      <c r="M5954" s="9" t="s">
        <v>33</v>
      </c>
    </row>
    <row r="5955" ht="15.75" customHeight="1">
      <c r="A5955" s="7"/>
      <c r="B5955" s="7" t="str">
        <f>IFERROR(__xludf.DUMMYFUNCTION("""COMPUTED_VALUE"""),"Java;Kotlin;PHP;SQL;Other(s):")</f>
        <v>Java;Kotlin;PHP;SQL;Other(s):</v>
      </c>
      <c r="M5955" s="9" t="s">
        <v>25</v>
      </c>
    </row>
    <row r="5956" ht="15.75" customHeight="1">
      <c r="A5956" s="7"/>
      <c r="B5956" s="7" t="str">
        <f>IFERROR(__xludf.DUMMYFUNCTION("""COMPUTED_VALUE"""),"C++;HTML/CSS;JavaScript;SQL")</f>
        <v>C++;HTML/CSS;JavaScript;SQL</v>
      </c>
      <c r="M5956" s="9" t="s">
        <v>23</v>
      </c>
    </row>
    <row r="5957" ht="15.75" customHeight="1">
      <c r="A5957" s="7"/>
      <c r="B5957" s="7" t="str">
        <f>IFERROR(__xludf.DUMMYFUNCTION("""COMPUTED_VALUE"""),"Assembly;Bash/Shell/PowerShell;C;C++;Go;HTML/CSS;Java;JavaScript;Python;SQL;Swift;TypeScript")</f>
        <v>Assembly;Bash/Shell/PowerShell;C;C++;Go;HTML/CSS;Java;JavaScript;Python;SQL;Swift;TypeScript</v>
      </c>
      <c r="M5957" s="9" t="s">
        <v>27</v>
      </c>
    </row>
    <row r="5958" ht="15.75" customHeight="1">
      <c r="A5958" s="7"/>
      <c r="B5958" s="7" t="str">
        <f>IFERROR(__xludf.DUMMYFUNCTION("""COMPUTED_VALUE"""),"Bash/Shell/PowerShell;C++;C#;HTML/CSS;JavaScript;Kotlin;Python;TypeScript")</f>
        <v>Bash/Shell/PowerShell;C++;C#;HTML/CSS;JavaScript;Kotlin;Python;TypeScript</v>
      </c>
      <c r="M5958" s="9" t="s">
        <v>24</v>
      </c>
    </row>
    <row r="5959" ht="15.75" customHeight="1">
      <c r="A5959" s="7"/>
      <c r="B5959" s="7" t="str">
        <f>IFERROR(__xludf.DUMMYFUNCTION("""COMPUTED_VALUE"""),"Bash/Shell/PowerShell;HTML/CSS;JavaScript;PHP;SQL")</f>
        <v>Bash/Shell/PowerShell;HTML/CSS;JavaScript;PHP;SQL</v>
      </c>
      <c r="M5959" s="9" t="s">
        <v>20</v>
      </c>
    </row>
    <row r="5960" ht="15.75" customHeight="1">
      <c r="A5960" s="7"/>
      <c r="B5960" s="7" t="str">
        <f>IFERROR(__xludf.DUMMYFUNCTION("""COMPUTED_VALUE"""),"C#;HTML/CSS;JavaScript;SQL")</f>
        <v>C#;HTML/CSS;JavaScript;SQL</v>
      </c>
      <c r="M5960" s="9" t="s">
        <v>21</v>
      </c>
    </row>
    <row r="5961" ht="15.75" customHeight="1">
      <c r="A5961" s="7"/>
      <c r="B5961" s="7" t="str">
        <f>IFERROR(__xludf.DUMMYFUNCTION("""COMPUTED_VALUE"""),"Python")</f>
        <v>Python</v>
      </c>
      <c r="M5961" s="9" t="s">
        <v>39</v>
      </c>
    </row>
    <row r="5962" ht="15.75" customHeight="1">
      <c r="A5962" s="7"/>
      <c r="B5962" s="7" t="str">
        <f>IFERROR(__xludf.DUMMYFUNCTION("""COMPUTED_VALUE"""),"HTML/CSS;Java;JavaScript;R;SQL")</f>
        <v>HTML/CSS;Java;JavaScript;R;SQL</v>
      </c>
      <c r="M5962" s="9" t="s">
        <v>37</v>
      </c>
    </row>
    <row r="5963" ht="15.75" customHeight="1">
      <c r="A5963" s="7"/>
      <c r="B5963" s="7" t="str">
        <f>IFERROR(__xludf.DUMMYFUNCTION("""COMPUTED_VALUE"""),"C#;HTML/CSS;JavaScript;SQL")</f>
        <v>C#;HTML/CSS;JavaScript;SQL</v>
      </c>
      <c r="M5963" s="9" t="s">
        <v>27</v>
      </c>
    </row>
    <row r="5964" ht="15.75" customHeight="1">
      <c r="A5964" s="7"/>
      <c r="B5964" s="7" t="str">
        <f>IFERROR(__xludf.DUMMYFUNCTION("""COMPUTED_VALUE"""),"HTML/CSS;JavaScript;TypeScript")</f>
        <v>HTML/CSS;JavaScript;TypeScript</v>
      </c>
      <c r="M5964" s="9" t="s">
        <v>24</v>
      </c>
    </row>
    <row r="5965" ht="15.75" customHeight="1">
      <c r="A5965" s="7"/>
      <c r="B5965" s="7" t="str">
        <f>IFERROR(__xludf.DUMMYFUNCTION("""COMPUTED_VALUE"""),"Assembly;Bash/Shell/PowerShell;C;Java;JavaScript;Objective-C;Python;Swift")</f>
        <v>Assembly;Bash/Shell/PowerShell;C;Java;JavaScript;Objective-C;Python;Swift</v>
      </c>
      <c r="M5965" s="9" t="s">
        <v>20</v>
      </c>
    </row>
    <row r="5966" ht="15.75" customHeight="1">
      <c r="A5966" s="7"/>
      <c r="B5966" s="7" t="str">
        <f>IFERROR(__xludf.DUMMYFUNCTION("""COMPUTED_VALUE"""),"Bash/Shell/PowerShell;C;C++;HTML/CSS;JavaScript;Python;Other(s):")</f>
        <v>Bash/Shell/PowerShell;C;C++;HTML/CSS;JavaScript;Python;Other(s):</v>
      </c>
      <c r="M5966" s="9" t="s">
        <v>22</v>
      </c>
    </row>
    <row r="5967" ht="15.75" customHeight="1">
      <c r="A5967" s="7"/>
      <c r="B5967" s="7" t="str">
        <f>IFERROR(__xludf.DUMMYFUNCTION("""COMPUTED_VALUE"""),"JavaScript;SQL")</f>
        <v>JavaScript;SQL</v>
      </c>
      <c r="M5967" s="9" t="s">
        <v>28</v>
      </c>
    </row>
    <row r="5968" ht="15.75" customHeight="1">
      <c r="A5968" s="7"/>
      <c r="B5968" s="7" t="str">
        <f>IFERROR(__xludf.DUMMYFUNCTION("""COMPUTED_VALUE"""),"Bash/Shell/PowerShell;C;Go;HTML/CSS;JavaScript;Ruby;Scala;SQL")</f>
        <v>Bash/Shell/PowerShell;C;Go;HTML/CSS;JavaScript;Ruby;Scala;SQL</v>
      </c>
      <c r="M5968" s="9" t="s">
        <v>30</v>
      </c>
    </row>
    <row r="5969" ht="15.75" customHeight="1">
      <c r="A5969" s="7"/>
      <c r="B5969" s="7" t="str">
        <f>IFERROR(__xludf.DUMMYFUNCTION("""COMPUTED_VALUE"""),"HTML/CSS;Java;JavaScript;SQL")</f>
        <v>HTML/CSS;Java;JavaScript;SQL</v>
      </c>
      <c r="M5969" s="9" t="s">
        <v>24</v>
      </c>
    </row>
    <row r="5970" ht="15.75" customHeight="1">
      <c r="A5970" s="7"/>
      <c r="B5970" s="7" t="str">
        <f>IFERROR(__xludf.DUMMYFUNCTION("""COMPUTED_VALUE"""),"Bash/Shell/PowerShell;C;C#;Go;HTML/CSS;Java;JavaScript;PHP;Python;TypeScript")</f>
        <v>Bash/Shell/PowerShell;C;C#;Go;HTML/CSS;Java;JavaScript;PHP;Python;TypeScript</v>
      </c>
      <c r="M5970" s="9" t="s">
        <v>20</v>
      </c>
    </row>
    <row r="5971" ht="15.75" customHeight="1">
      <c r="A5971" s="7"/>
      <c r="B5971" s="7" t="str">
        <f>IFERROR(__xludf.DUMMYFUNCTION("""COMPUTED_VALUE"""),"Bash/Shell/PowerShell;JavaScript;R")</f>
        <v>Bash/Shell/PowerShell;JavaScript;R</v>
      </c>
      <c r="M5971" s="9" t="s">
        <v>21</v>
      </c>
    </row>
    <row r="5972" ht="15.75" customHeight="1">
      <c r="A5972" s="7"/>
      <c r="B5972" s="7" t="str">
        <f>IFERROR(__xludf.DUMMYFUNCTION("""COMPUTED_VALUE"""),"C#;HTML/CSS;JavaScript;SQL;TypeScript")</f>
        <v>C#;HTML/CSS;JavaScript;SQL;TypeScript</v>
      </c>
      <c r="M5972" s="9" t="s">
        <v>39</v>
      </c>
    </row>
    <row r="5973" ht="15.75" customHeight="1">
      <c r="A5973" s="7"/>
      <c r="B5973" s="7" t="str">
        <f>IFERROR(__xludf.DUMMYFUNCTION("""COMPUTED_VALUE"""),"C++;HTML/CSS;JavaScript;TypeScript;Other(s):")</f>
        <v>C++;HTML/CSS;JavaScript;TypeScript;Other(s):</v>
      </c>
      <c r="M5973" s="9" t="s">
        <v>22</v>
      </c>
    </row>
    <row r="5974" ht="15.75" customHeight="1">
      <c r="A5974" s="7"/>
      <c r="B5974" s="7" t="str">
        <f>IFERROR(__xludf.DUMMYFUNCTION("""COMPUTED_VALUE"""),"Bash/Shell/PowerShell;C;C++;C#;HTML/CSS;Java;Python;Ruby;SQL;TypeScript")</f>
        <v>Bash/Shell/PowerShell;C;C++;C#;HTML/CSS;Java;Python;Ruby;SQL;TypeScript</v>
      </c>
      <c r="M5974" s="9" t="s">
        <v>31</v>
      </c>
    </row>
    <row r="5975" ht="15.75" customHeight="1">
      <c r="A5975" s="7"/>
      <c r="B5975" s="7" t="str">
        <f>IFERROR(__xludf.DUMMYFUNCTION("""COMPUTED_VALUE"""),"Bash/Shell/PowerShell;Go;Python;SQL")</f>
        <v>Bash/Shell/PowerShell;Go;Python;SQL</v>
      </c>
      <c r="M5975" s="9" t="s">
        <v>27</v>
      </c>
    </row>
    <row r="5976" ht="15.75" customHeight="1">
      <c r="A5976" s="7"/>
      <c r="B5976" s="7" t="str">
        <f>IFERROR(__xludf.DUMMYFUNCTION("""COMPUTED_VALUE"""),"Assembly;C;C++;HTML/CSS;Java;JavaScript")</f>
        <v>Assembly;C;C++;HTML/CSS;Java;JavaScript</v>
      </c>
      <c r="M5976" s="9" t="s">
        <v>26</v>
      </c>
    </row>
    <row r="5977" ht="15.75" customHeight="1">
      <c r="A5977" s="7"/>
      <c r="B5977" s="7" t="str">
        <f>IFERROR(__xludf.DUMMYFUNCTION("""COMPUTED_VALUE"""),"C#;HTML/CSS;JavaScript;SQL;TypeScript")</f>
        <v>C#;HTML/CSS;JavaScript;SQL;TypeScript</v>
      </c>
      <c r="M5977" s="9" t="s">
        <v>24</v>
      </c>
    </row>
    <row r="5978" ht="15.75" customHeight="1">
      <c r="A5978" s="7"/>
      <c r="B5978" s="7" t="str">
        <f>IFERROR(__xludf.DUMMYFUNCTION("""COMPUTED_VALUE"""),"Assembly;Bash/Shell/PowerShell;C;C++;C#;Dart;Go;HTML/CSS;Java;JavaScript;Kotlin;Objective-C;Python;Rust;SQL;Swift;TypeScript;WebAssembly")</f>
        <v>Assembly;Bash/Shell/PowerShell;C;C++;C#;Dart;Go;HTML/CSS;Java;JavaScript;Kotlin;Objective-C;Python;Rust;SQL;Swift;TypeScript;WebAssembly</v>
      </c>
      <c r="M5978" s="9" t="s">
        <v>21</v>
      </c>
    </row>
    <row r="5979" ht="15.75" customHeight="1">
      <c r="A5979" s="7"/>
      <c r="B5979" s="7" t="str">
        <f>IFERROR(__xludf.DUMMYFUNCTION("""COMPUTED_VALUE"""),"Bash/Shell/PowerShell;C++;C#;HTML/CSS;JavaScript;SQL")</f>
        <v>Bash/Shell/PowerShell;C++;C#;HTML/CSS;JavaScript;SQL</v>
      </c>
      <c r="M5979" s="9" t="s">
        <v>27</v>
      </c>
    </row>
    <row r="5980" ht="15.75" customHeight="1">
      <c r="A5980" s="7"/>
      <c r="B5980" s="7" t="str">
        <f>IFERROR(__xludf.DUMMYFUNCTION("""COMPUTED_VALUE"""),"C#;HTML/CSS;JavaScript;SQL")</f>
        <v>C#;HTML/CSS;JavaScript;SQL</v>
      </c>
      <c r="M5980" s="9" t="s">
        <v>33</v>
      </c>
    </row>
    <row r="5981" ht="15.75" customHeight="1">
      <c r="A5981" s="7"/>
      <c r="B5981" s="7" t="str">
        <f>IFERROR(__xludf.DUMMYFUNCTION("""COMPUTED_VALUE"""),"C#;Go;HTML/CSS;Java;JavaScript;Kotlin;Python;SQL;TypeScript")</f>
        <v>C#;Go;HTML/CSS;Java;JavaScript;Kotlin;Python;SQL;TypeScript</v>
      </c>
      <c r="M5981" s="9" t="s">
        <v>30</v>
      </c>
    </row>
    <row r="5982" ht="15.75" customHeight="1">
      <c r="A5982" s="7"/>
      <c r="B5982" s="7" t="str">
        <f>IFERROR(__xludf.DUMMYFUNCTION("""COMPUTED_VALUE"""),"Bash/Shell/PowerShell;C;HTML/CSS;Java;JavaScript;SQL;Other(s):")</f>
        <v>Bash/Shell/PowerShell;C;HTML/CSS;Java;JavaScript;SQL;Other(s):</v>
      </c>
      <c r="M5982" s="9" t="s">
        <v>25</v>
      </c>
    </row>
    <row r="5983" ht="15.75" customHeight="1">
      <c r="A5983" s="7"/>
      <c r="B5983" s="7" t="str">
        <f>IFERROR(__xludf.DUMMYFUNCTION("""COMPUTED_VALUE"""),"Bash/Shell/PowerShell;C#;HTML/CSS;Java;JavaScript;Python;SQL;TypeScript")</f>
        <v>Bash/Shell/PowerShell;C#;HTML/CSS;Java;JavaScript;Python;SQL;TypeScript</v>
      </c>
      <c r="M5983" s="9" t="s">
        <v>23</v>
      </c>
    </row>
    <row r="5984" ht="15.75" customHeight="1">
      <c r="A5984" s="7"/>
      <c r="B5984" s="7" t="str">
        <f>IFERROR(__xludf.DUMMYFUNCTION("""COMPUTED_VALUE"""),"C#")</f>
        <v>C#</v>
      </c>
      <c r="M5984" s="9" t="s">
        <v>27</v>
      </c>
    </row>
    <row r="5985" ht="15.75" customHeight="1">
      <c r="A5985" s="7"/>
      <c r="B5985" s="7" t="str">
        <f>IFERROR(__xludf.DUMMYFUNCTION("""COMPUTED_VALUE"""),"C++;Go;HTML/CSS;JavaScript;Python;SQL")</f>
        <v>C++;Go;HTML/CSS;JavaScript;Python;SQL</v>
      </c>
      <c r="M5985" s="9" t="s">
        <v>35</v>
      </c>
    </row>
    <row r="5986" ht="15.75" customHeight="1">
      <c r="A5986" s="7"/>
      <c r="B5986" s="7" t="str">
        <f>IFERROR(__xludf.DUMMYFUNCTION("""COMPUTED_VALUE"""),"Bash/Shell/PowerShell;Go;HTML/CSS;JavaScript")</f>
        <v>Bash/Shell/PowerShell;Go;HTML/CSS;JavaScript</v>
      </c>
      <c r="M5986" s="9" t="s">
        <v>26</v>
      </c>
    </row>
    <row r="5987" ht="15.75" customHeight="1">
      <c r="A5987" s="7"/>
      <c r="B5987" s="7" t="str">
        <f>IFERROR(__xludf.DUMMYFUNCTION("""COMPUTED_VALUE"""),"C++;Java;Kotlin;Python")</f>
        <v>C++;Java;Kotlin;Python</v>
      </c>
      <c r="M5987" s="9" t="s">
        <v>20</v>
      </c>
    </row>
    <row r="5988" ht="15.75" customHeight="1">
      <c r="A5988" s="7"/>
      <c r="B5988" s="7" t="str">
        <f>IFERROR(__xludf.DUMMYFUNCTION("""COMPUTED_VALUE"""),"Bash/Shell/PowerShell;HTML/CSS;Ruby;SQL")</f>
        <v>Bash/Shell/PowerShell;HTML/CSS;Ruby;SQL</v>
      </c>
      <c r="M5988" s="9" t="s">
        <v>30</v>
      </c>
    </row>
    <row r="5989" ht="15.75" customHeight="1">
      <c r="A5989" s="7"/>
      <c r="B5989" s="7" t="str">
        <f>IFERROR(__xludf.DUMMYFUNCTION("""COMPUTED_VALUE"""),"C;C++;Java;JavaScript;PHP;Ruby")</f>
        <v>C;C++;Java;JavaScript;PHP;Ruby</v>
      </c>
      <c r="M5989" s="9" t="s">
        <v>25</v>
      </c>
    </row>
    <row r="5990" ht="15.75" customHeight="1">
      <c r="A5990" s="7"/>
      <c r="B5990" s="7" t="str">
        <f>IFERROR(__xludf.DUMMYFUNCTION("""COMPUTED_VALUE"""),"Bash/Shell/PowerShell;C#;Clojure;Go;Java;JavaScript;SQL")</f>
        <v>Bash/Shell/PowerShell;C#;Clojure;Go;Java;JavaScript;SQL</v>
      </c>
      <c r="M5990" s="9" t="s">
        <v>23</v>
      </c>
    </row>
    <row r="5991" ht="15.75" customHeight="1">
      <c r="A5991" s="7"/>
      <c r="B5991" s="7" t="str">
        <f>IFERROR(__xludf.DUMMYFUNCTION("""COMPUTED_VALUE"""),"C;C++;Java;Python;SQL")</f>
        <v>C;C++;Java;Python;SQL</v>
      </c>
      <c r="M5991" s="9" t="s">
        <v>26</v>
      </c>
    </row>
    <row r="5992" ht="15.75" customHeight="1">
      <c r="A5992" s="7"/>
      <c r="B5992" s="7" t="str">
        <f>IFERROR(__xludf.DUMMYFUNCTION("""COMPUTED_VALUE"""),"C++;PHP")</f>
        <v>C++;PHP</v>
      </c>
      <c r="M5992" s="9" t="s">
        <v>20</v>
      </c>
    </row>
    <row r="5993" ht="15.75" customHeight="1">
      <c r="A5993" s="7"/>
      <c r="B5993" s="7" t="str">
        <f>IFERROR(__xludf.DUMMYFUNCTION("""COMPUTED_VALUE"""),"C#;SQL")</f>
        <v>C#;SQL</v>
      </c>
      <c r="M5993" s="9" t="s">
        <v>22</v>
      </c>
    </row>
    <row r="5994" ht="15.75" customHeight="1">
      <c r="A5994" s="7"/>
      <c r="B5994" s="7" t="str">
        <f>IFERROR(__xludf.DUMMYFUNCTION("""COMPUTED_VALUE"""),"SQL;VBA")</f>
        <v>SQL;VBA</v>
      </c>
      <c r="M5994" s="9" t="s">
        <v>35</v>
      </c>
    </row>
    <row r="5995" ht="15.75" customHeight="1">
      <c r="A5995" s="7"/>
      <c r="B5995" s="7" t="str">
        <f>IFERROR(__xludf.DUMMYFUNCTION("""COMPUTED_VALUE"""),"Bash/Shell/PowerShell;C++;Dart;HTML/CSS;JavaScript;PHP;Python;SQL;TypeScript")</f>
        <v>Bash/Shell/PowerShell;C++;Dart;HTML/CSS;JavaScript;PHP;Python;SQL;TypeScript</v>
      </c>
      <c r="M5995" s="9" t="s">
        <v>24</v>
      </c>
    </row>
    <row r="5996" ht="15.75" customHeight="1">
      <c r="A5996" s="7"/>
      <c r="B5996" s="7" t="str">
        <f>IFERROR(__xludf.DUMMYFUNCTION("""COMPUTED_VALUE"""),"HTML/CSS;JavaScript;PHP")</f>
        <v>HTML/CSS;JavaScript;PHP</v>
      </c>
      <c r="M5996" s="9" t="s">
        <v>21</v>
      </c>
    </row>
    <row r="5997" ht="15.75" customHeight="1">
      <c r="A5997" s="7"/>
      <c r="B5997" s="7" t="str">
        <f>IFERROR(__xludf.DUMMYFUNCTION("""COMPUTED_VALUE"""),"Bash/Shell/PowerShell;JavaScript;Python")</f>
        <v>Bash/Shell/PowerShell;JavaScript;Python</v>
      </c>
      <c r="M5997" s="9" t="s">
        <v>22</v>
      </c>
    </row>
    <row r="5998" ht="15.75" customHeight="1">
      <c r="A5998" s="7"/>
      <c r="B5998" s="7" t="str">
        <f>IFERROR(__xludf.DUMMYFUNCTION("""COMPUTED_VALUE"""),"Bash/Shell/PowerShell;HTML/CSS;JavaScript;Python;SQL")</f>
        <v>Bash/Shell/PowerShell;HTML/CSS;JavaScript;Python;SQL</v>
      </c>
      <c r="M5998" s="9" t="s">
        <v>26</v>
      </c>
    </row>
    <row r="5999" ht="15.75" customHeight="1">
      <c r="A5999" s="7"/>
      <c r="B5999" s="7" t="str">
        <f>IFERROR(__xludf.DUMMYFUNCTION("""COMPUTED_VALUE"""),"C;C++;Scala;Other(s):")</f>
        <v>C;C++;Scala;Other(s):</v>
      </c>
      <c r="M5999" s="9" t="s">
        <v>24</v>
      </c>
    </row>
    <row r="6000" ht="15.75" customHeight="1">
      <c r="A6000" s="7"/>
      <c r="B6000" s="7" t="str">
        <f>IFERROR(__xludf.DUMMYFUNCTION("""COMPUTED_VALUE"""),"Bash/Shell/PowerShell")</f>
        <v>Bash/Shell/PowerShell</v>
      </c>
      <c r="M6000" s="9" t="s">
        <v>21</v>
      </c>
    </row>
    <row r="6001" ht="15.75" customHeight="1">
      <c r="A6001" s="7"/>
      <c r="B6001" s="7" t="str">
        <f>IFERROR(__xludf.DUMMYFUNCTION("""COMPUTED_VALUE"""),"HTML/CSS;JavaScript;Python;SQL")</f>
        <v>HTML/CSS;JavaScript;Python;SQL</v>
      </c>
      <c r="M6001" s="9" t="s">
        <v>27</v>
      </c>
    </row>
    <row r="6002" ht="15.75" customHeight="1">
      <c r="A6002" s="7"/>
      <c r="B6002" s="7" t="str">
        <f>IFERROR(__xludf.DUMMYFUNCTION("""COMPUTED_VALUE"""),"Bash/Shell/PowerShell;HTML/CSS;JavaScript;PHP;Python;SQL;TypeScript")</f>
        <v>Bash/Shell/PowerShell;HTML/CSS;JavaScript;PHP;Python;SQL;TypeScript</v>
      </c>
      <c r="M6002" s="9" t="s">
        <v>33</v>
      </c>
    </row>
    <row r="6003" ht="15.75" customHeight="1">
      <c r="A6003" s="7"/>
      <c r="B6003" s="7" t="str">
        <f>IFERROR(__xludf.DUMMYFUNCTION("""COMPUTED_VALUE"""),"Bash/Shell/PowerShell;Go;Python")</f>
        <v>Bash/Shell/PowerShell;Go;Python</v>
      </c>
      <c r="M6003" s="9" t="s">
        <v>28</v>
      </c>
    </row>
    <row r="6004" ht="15.75" customHeight="1">
      <c r="A6004" s="7"/>
      <c r="B6004" s="7" t="str">
        <f>IFERROR(__xludf.DUMMYFUNCTION("""COMPUTED_VALUE"""),"C#;HTML/CSS;JavaScript;SQL;TypeScript")</f>
        <v>C#;HTML/CSS;JavaScript;SQL;TypeScript</v>
      </c>
      <c r="M6004" s="9" t="s">
        <v>30</v>
      </c>
    </row>
    <row r="6005" ht="15.75" customHeight="1">
      <c r="A6005" s="7"/>
      <c r="B6005" s="7" t="str">
        <f>IFERROR(__xludf.DUMMYFUNCTION("""COMPUTED_VALUE"""),"Bash/Shell/PowerShell;HTML/CSS;Java;Python")</f>
        <v>Bash/Shell/PowerShell;HTML/CSS;Java;Python</v>
      </c>
      <c r="M6005" s="9" t="s">
        <v>23</v>
      </c>
    </row>
    <row r="6006" ht="15.75" customHeight="1">
      <c r="A6006" s="7"/>
      <c r="B6006" s="7" t="str">
        <f>IFERROR(__xludf.DUMMYFUNCTION("""COMPUTED_VALUE"""),"Java;JavaScript;Python;Swift")</f>
        <v>Java;JavaScript;Python;Swift</v>
      </c>
      <c r="M6006" s="9" t="s">
        <v>36</v>
      </c>
    </row>
    <row r="6007" ht="15.75" customHeight="1">
      <c r="A6007" s="7"/>
      <c r="B6007" s="7" t="str">
        <f>IFERROR(__xludf.DUMMYFUNCTION("""COMPUTED_VALUE"""),"HTML/CSS;Java;JavaScript;Python;SQL;Other(s):")</f>
        <v>HTML/CSS;Java;JavaScript;Python;SQL;Other(s):</v>
      </c>
      <c r="M6007" s="9" t="s">
        <v>24</v>
      </c>
    </row>
    <row r="6008" ht="15.75" customHeight="1">
      <c r="A6008" s="7"/>
      <c r="B6008" s="7" t="str">
        <f>IFERROR(__xludf.DUMMYFUNCTION("""COMPUTED_VALUE"""),"Bash/Shell/PowerShell;C#;HTML/CSS;JavaScript;PHP;SQL")</f>
        <v>Bash/Shell/PowerShell;C#;HTML/CSS;JavaScript;PHP;SQL</v>
      </c>
      <c r="M6008" s="9" t="s">
        <v>21</v>
      </c>
    </row>
    <row r="6009" ht="15.75" customHeight="1">
      <c r="A6009" s="7"/>
      <c r="B6009" s="7" t="str">
        <f>IFERROR(__xludf.DUMMYFUNCTION("""COMPUTED_VALUE"""),"Bash/Shell/PowerShell;C#;HTML/CSS;Java;JavaScript;SQL")</f>
        <v>Bash/Shell/PowerShell;C#;HTML/CSS;Java;JavaScript;SQL</v>
      </c>
      <c r="M6009" s="9" t="s">
        <v>22</v>
      </c>
    </row>
    <row r="6010" ht="15.75" customHeight="1">
      <c r="A6010" s="7"/>
      <c r="B6010" s="7" t="str">
        <f>IFERROR(__xludf.DUMMYFUNCTION("""COMPUTED_VALUE"""),"C++")</f>
        <v>C++</v>
      </c>
      <c r="M6010" s="9" t="s">
        <v>32</v>
      </c>
    </row>
    <row r="6011" ht="15.75" customHeight="1">
      <c r="A6011" s="7"/>
      <c r="B6011" s="7" t="str">
        <f>IFERROR(__xludf.DUMMYFUNCTION("""COMPUTED_VALUE"""),"Bash/Shell/PowerShell;HTML/CSS;JavaScript")</f>
        <v>Bash/Shell/PowerShell;HTML/CSS;JavaScript</v>
      </c>
      <c r="M6011" s="9" t="s">
        <v>30</v>
      </c>
    </row>
    <row r="6012" ht="15.75" customHeight="1">
      <c r="A6012" s="7"/>
      <c r="B6012" s="7" t="str">
        <f>IFERROR(__xludf.DUMMYFUNCTION("""COMPUTED_VALUE"""),"C#;HTML/CSS;Java;JavaScript;PHP;SQL")</f>
        <v>C#;HTML/CSS;Java;JavaScript;PHP;SQL</v>
      </c>
      <c r="M6012" s="9" t="s">
        <v>20</v>
      </c>
    </row>
    <row r="6013" ht="15.75" customHeight="1">
      <c r="A6013" s="7"/>
      <c r="B6013" s="7" t="str">
        <f>IFERROR(__xludf.DUMMYFUNCTION("""COMPUTED_VALUE"""),"HTML/CSS;Java;Kotlin;Python")</f>
        <v>HTML/CSS;Java;Kotlin;Python</v>
      </c>
      <c r="M6013" s="9" t="s">
        <v>22</v>
      </c>
    </row>
    <row r="6014" ht="15.75" customHeight="1">
      <c r="A6014" s="7"/>
      <c r="B6014" s="7" t="str">
        <f>IFERROR(__xludf.DUMMYFUNCTION("""COMPUTED_VALUE"""),"Java;JavaScript")</f>
        <v>Java;JavaScript</v>
      </c>
      <c r="M6014" s="9" t="s">
        <v>27</v>
      </c>
    </row>
    <row r="6015" ht="15.75" customHeight="1">
      <c r="A6015" s="7"/>
      <c r="B6015" s="7" t="str">
        <f>IFERROR(__xludf.DUMMYFUNCTION("""COMPUTED_VALUE"""),"HTML/CSS;JavaScript")</f>
        <v>HTML/CSS;JavaScript</v>
      </c>
      <c r="M6015" s="9" t="s">
        <v>20</v>
      </c>
    </row>
    <row r="6016" ht="15.75" customHeight="1">
      <c r="A6016" s="7"/>
      <c r="B6016" s="7" t="str">
        <f>IFERROR(__xludf.DUMMYFUNCTION("""COMPUTED_VALUE"""),"HTML/CSS;Java;JavaScript;PHP;Python;SQL")</f>
        <v>HTML/CSS;Java;JavaScript;PHP;Python;SQL</v>
      </c>
      <c r="M6016" s="9" t="s">
        <v>21</v>
      </c>
    </row>
    <row r="6017" ht="15.75" customHeight="1">
      <c r="A6017" s="7"/>
      <c r="B6017" s="7" t="str">
        <f>IFERROR(__xludf.DUMMYFUNCTION("""COMPUTED_VALUE"""),"Bash/Shell/PowerShell;HTML/CSS;Java;JavaScript;Python;SQL")</f>
        <v>Bash/Shell/PowerShell;HTML/CSS;Java;JavaScript;Python;SQL</v>
      </c>
      <c r="M6017" s="9" t="s">
        <v>37</v>
      </c>
    </row>
    <row r="6018" ht="15.75" customHeight="1">
      <c r="A6018" s="7"/>
      <c r="B6018" s="7" t="str">
        <f>IFERROR(__xludf.DUMMYFUNCTION("""COMPUTED_VALUE"""),"C#;Java;SQL")</f>
        <v>C#;Java;SQL</v>
      </c>
      <c r="M6018" s="9" t="s">
        <v>33</v>
      </c>
    </row>
    <row r="6019" ht="15.75" customHeight="1">
      <c r="A6019" s="7"/>
      <c r="B6019" s="7" t="str">
        <f>IFERROR(__xludf.DUMMYFUNCTION("""COMPUTED_VALUE"""),"HTML/CSS;JavaScript;PHP;Python;SQL")</f>
        <v>HTML/CSS;JavaScript;PHP;Python;SQL</v>
      </c>
      <c r="M6019" s="9" t="s">
        <v>24</v>
      </c>
    </row>
    <row r="6020" ht="15.75" customHeight="1">
      <c r="A6020" s="7"/>
      <c r="B6020" s="7" t="str">
        <f>IFERROR(__xludf.DUMMYFUNCTION("""COMPUTED_VALUE"""),"C#;HTML/CSS;Java;JavaScript;SQL")</f>
        <v>C#;HTML/CSS;Java;JavaScript;SQL</v>
      </c>
      <c r="M6020" s="9" t="s">
        <v>21</v>
      </c>
    </row>
    <row r="6021" ht="15.75" customHeight="1">
      <c r="A6021" s="7"/>
      <c r="B6021" s="7" t="str">
        <f>IFERROR(__xludf.DUMMYFUNCTION("""COMPUTED_VALUE"""),"C#;JavaScript")</f>
        <v>C#;JavaScript</v>
      </c>
      <c r="M6021" s="9" t="s">
        <v>27</v>
      </c>
    </row>
    <row r="6022" ht="15.75" customHeight="1">
      <c r="A6022" s="7"/>
      <c r="B6022" s="7" t="str">
        <f>IFERROR(__xludf.DUMMYFUNCTION("""COMPUTED_VALUE"""),"C;C++;C#;HTML/CSS;Java;JavaScript;Kotlin;SQL")</f>
        <v>C;C++;C#;HTML/CSS;Java;JavaScript;Kotlin;SQL</v>
      </c>
      <c r="M6022" s="9" t="s">
        <v>21</v>
      </c>
    </row>
    <row r="6023" ht="15.75" customHeight="1">
      <c r="A6023" s="7"/>
      <c r="B6023" s="7" t="str">
        <f>IFERROR(__xludf.DUMMYFUNCTION("""COMPUTED_VALUE"""),"Bash/Shell/PowerShell;C#;HTML/CSS;JavaScript;SQL;WebAssembly")</f>
        <v>Bash/Shell/PowerShell;C#;HTML/CSS;JavaScript;SQL;WebAssembly</v>
      </c>
      <c r="M6023" s="9" t="s">
        <v>37</v>
      </c>
    </row>
    <row r="6024" ht="15.75" customHeight="1">
      <c r="A6024" s="7"/>
      <c r="B6024" s="7" t="str">
        <f>IFERROR(__xludf.DUMMYFUNCTION("""COMPUTED_VALUE"""),"HTML/CSS;JavaScript;PHP;TypeScript")</f>
        <v>HTML/CSS;JavaScript;PHP;TypeScript</v>
      </c>
      <c r="M6024" s="9" t="s">
        <v>26</v>
      </c>
    </row>
    <row r="6025" ht="15.75" customHeight="1">
      <c r="A6025" s="7"/>
      <c r="B6025" s="7" t="str">
        <f>IFERROR(__xludf.DUMMYFUNCTION("""COMPUTED_VALUE"""),"Bash/Shell/PowerShell;C#;Java;JavaScript;Python")</f>
        <v>Bash/Shell/PowerShell;C#;Java;JavaScript;Python</v>
      </c>
      <c r="M6025" s="9" t="s">
        <v>24</v>
      </c>
    </row>
    <row r="6026" ht="15.75" customHeight="1">
      <c r="A6026" s="7"/>
      <c r="B6026" s="7" t="str">
        <f>IFERROR(__xludf.DUMMYFUNCTION("""COMPUTED_VALUE"""),"C++;C#;Java;PHP;Python;Ruby;TypeScript")</f>
        <v>C++;C#;Java;PHP;Python;Ruby;TypeScript</v>
      </c>
      <c r="M6026" s="9" t="s">
        <v>21</v>
      </c>
    </row>
    <row r="6027" ht="15.75" customHeight="1">
      <c r="A6027" s="7"/>
      <c r="B6027" s="7" t="str">
        <f>IFERROR(__xludf.DUMMYFUNCTION("""COMPUTED_VALUE"""),"HTML/CSS;Java;JavaScript;Scala;SQL")</f>
        <v>HTML/CSS;Java;JavaScript;Scala;SQL</v>
      </c>
      <c r="M6027" s="9" t="s">
        <v>29</v>
      </c>
    </row>
    <row r="6028" ht="15.75" customHeight="1">
      <c r="A6028" s="7"/>
      <c r="B6028" s="7" t="str">
        <f>IFERROR(__xludf.DUMMYFUNCTION("""COMPUTED_VALUE"""),"Python")</f>
        <v>Python</v>
      </c>
      <c r="M6028" s="9" t="s">
        <v>27</v>
      </c>
    </row>
    <row r="6029" ht="15.75" customHeight="1">
      <c r="A6029" s="7"/>
      <c r="B6029" s="7" t="str">
        <f>IFERROR(__xludf.DUMMYFUNCTION("""COMPUTED_VALUE"""),"Bash/Shell/PowerShell;HTML/CSS;JavaScript;Python;TypeScript")</f>
        <v>Bash/Shell/PowerShell;HTML/CSS;JavaScript;Python;TypeScript</v>
      </c>
      <c r="M6029" s="9" t="s">
        <v>30</v>
      </c>
    </row>
    <row r="6030" ht="15.75" customHeight="1">
      <c r="A6030" s="7"/>
      <c r="B6030" s="7" t="str">
        <f>IFERROR(__xludf.DUMMYFUNCTION("""COMPUTED_VALUE"""),"Bash/Shell/PowerShell;C#;HTML/CSS;JavaScript;SQL")</f>
        <v>Bash/Shell/PowerShell;C#;HTML/CSS;JavaScript;SQL</v>
      </c>
      <c r="M6030" s="9" t="s">
        <v>24</v>
      </c>
    </row>
    <row r="6031" ht="15.75" customHeight="1">
      <c r="A6031" s="7"/>
      <c r="B6031" s="7" t="str">
        <f>IFERROR(__xludf.DUMMYFUNCTION("""COMPUTED_VALUE"""),"Bash/Shell/PowerShell;JavaScript;Ruby;SQL;TypeScript")</f>
        <v>Bash/Shell/PowerShell;JavaScript;Ruby;SQL;TypeScript</v>
      </c>
      <c r="M6031" s="9" t="s">
        <v>20</v>
      </c>
    </row>
    <row r="6032" ht="15.75" customHeight="1">
      <c r="A6032" s="7"/>
      <c r="B6032" s="7" t="str">
        <f>IFERROR(__xludf.DUMMYFUNCTION("""COMPUTED_VALUE"""),"Bash/Shell/PowerShell;HTML/CSS;JavaScript;PHP;Python;SQL;VBA")</f>
        <v>Bash/Shell/PowerShell;HTML/CSS;JavaScript;PHP;Python;SQL;VBA</v>
      </c>
      <c r="M6032" s="9" t="s">
        <v>21</v>
      </c>
    </row>
    <row r="6033" ht="15.75" customHeight="1">
      <c r="A6033" s="7"/>
      <c r="B6033" s="7" t="str">
        <f>IFERROR(__xludf.DUMMYFUNCTION("""COMPUTED_VALUE"""),"Python")</f>
        <v>Python</v>
      </c>
      <c r="M6033" s="9" t="s">
        <v>37</v>
      </c>
    </row>
    <row r="6034" ht="15.75" customHeight="1">
      <c r="A6034" s="7"/>
      <c r="B6034" s="7" t="str">
        <f>IFERROR(__xludf.DUMMYFUNCTION("""COMPUTED_VALUE"""),"HTML/CSS;Java;JavaScript;Kotlin;Python;SQL;TypeScript")</f>
        <v>HTML/CSS;Java;JavaScript;Kotlin;Python;SQL;TypeScript</v>
      </c>
      <c r="M6034" s="9" t="s">
        <v>22</v>
      </c>
    </row>
    <row r="6035" ht="15.75" customHeight="1">
      <c r="A6035" s="7"/>
      <c r="B6035" s="7" t="str">
        <f>IFERROR(__xludf.DUMMYFUNCTION("""COMPUTED_VALUE"""),"C#;HTML/CSS;JavaScript;TypeScript;VBA")</f>
        <v>C#;HTML/CSS;JavaScript;TypeScript;VBA</v>
      </c>
      <c r="M6035" s="9" t="s">
        <v>42</v>
      </c>
    </row>
    <row r="6036" ht="15.75" customHeight="1">
      <c r="A6036" s="7"/>
      <c r="B6036" s="7" t="str">
        <f>IFERROR(__xludf.DUMMYFUNCTION("""COMPUTED_VALUE"""),"Bash/Shell/PowerShell;Java;JavaScript;TypeScript")</f>
        <v>Bash/Shell/PowerShell;Java;JavaScript;TypeScript</v>
      </c>
      <c r="M6036" s="9" t="s">
        <v>24</v>
      </c>
    </row>
    <row r="6037" ht="15.75" customHeight="1">
      <c r="A6037" s="7"/>
      <c r="B6037" s="7" t="str">
        <f>IFERROR(__xludf.DUMMYFUNCTION("""COMPUTED_VALUE"""),"Bash/Shell/PowerShell;HTML/CSS;JavaScript;Python")</f>
        <v>Bash/Shell/PowerShell;HTML/CSS;JavaScript;Python</v>
      </c>
      <c r="M6037" s="9" t="s">
        <v>21</v>
      </c>
    </row>
    <row r="6038" ht="15.75" customHeight="1">
      <c r="A6038" s="7"/>
      <c r="B6038" s="7" t="str">
        <f>IFERROR(__xludf.DUMMYFUNCTION("""COMPUTED_VALUE"""),"HTML/CSS;Java;JavaScript;Python;SQL")</f>
        <v>HTML/CSS;Java;JavaScript;Python;SQL</v>
      </c>
      <c r="M6038" s="9" t="s">
        <v>31</v>
      </c>
    </row>
    <row r="6039" ht="15.75" customHeight="1">
      <c r="A6039" s="7"/>
      <c r="B6039" s="7" t="str">
        <f>IFERROR(__xludf.DUMMYFUNCTION("""COMPUTED_VALUE"""),"C;HTML/CSS;Java;JavaScript;PHP;TypeScript")</f>
        <v>C;HTML/CSS;Java;JavaScript;PHP;TypeScript</v>
      </c>
      <c r="M6039" s="9" t="s">
        <v>27</v>
      </c>
    </row>
    <row r="6040" ht="15.75" customHeight="1">
      <c r="A6040" s="7"/>
      <c r="B6040" s="7" t="str">
        <f>IFERROR(__xludf.DUMMYFUNCTION("""COMPUTED_VALUE"""),"C++;C#;PHP;Rust;SQL")</f>
        <v>C++;C#;PHP;Rust;SQL</v>
      </c>
      <c r="M6040" s="9" t="s">
        <v>35</v>
      </c>
    </row>
    <row r="6041" ht="15.75" customHeight="1">
      <c r="A6041" s="7"/>
      <c r="B6041" s="7" t="str">
        <f>IFERROR(__xludf.DUMMYFUNCTION("""COMPUTED_VALUE"""),"Assembly;Bash/Shell/PowerShell;C;C++;HTML/CSS;PHP;Python;SQL")</f>
        <v>Assembly;Bash/Shell/PowerShell;C;C++;HTML/CSS;PHP;Python;SQL</v>
      </c>
      <c r="M6041" s="9" t="s">
        <v>24</v>
      </c>
    </row>
    <row r="6042" ht="15.75" customHeight="1">
      <c r="A6042" s="7"/>
      <c r="B6042" s="7" t="str">
        <f>IFERROR(__xludf.DUMMYFUNCTION("""COMPUTED_VALUE"""),"C;C++;C#;HTML/CSS;JavaScript;SQL;VBA")</f>
        <v>C;C++;C#;HTML/CSS;JavaScript;SQL;VBA</v>
      </c>
      <c r="M6042" s="9" t="s">
        <v>22</v>
      </c>
    </row>
    <row r="6043" ht="15.75" customHeight="1">
      <c r="A6043" s="7"/>
      <c r="B6043" s="7" t="str">
        <f>IFERROR(__xludf.DUMMYFUNCTION("""COMPUTED_VALUE"""),"Java;JavaScript;PHP;SQL")</f>
        <v>Java;JavaScript;PHP;SQL</v>
      </c>
      <c r="M6043" s="9" t="s">
        <v>30</v>
      </c>
    </row>
    <row r="6044" ht="15.75" customHeight="1">
      <c r="A6044" s="7"/>
      <c r="B6044" s="7" t="str">
        <f>IFERROR(__xludf.DUMMYFUNCTION("""COMPUTED_VALUE"""),"Bash/Shell/PowerShell;C;HTML/CSS;Java;JavaScript;Python;Ruby")</f>
        <v>Bash/Shell/PowerShell;C;HTML/CSS;Java;JavaScript;Python;Ruby</v>
      </c>
      <c r="M6044" s="9" t="s">
        <v>26</v>
      </c>
    </row>
    <row r="6045" ht="15.75" customHeight="1">
      <c r="A6045" s="7"/>
      <c r="B6045" s="7" t="str">
        <f>IFERROR(__xludf.DUMMYFUNCTION("""COMPUTED_VALUE"""),"Bash/Shell/PowerShell;C#;HTML/CSS;JavaScript;SQL;TypeScript")</f>
        <v>Bash/Shell/PowerShell;C#;HTML/CSS;JavaScript;SQL;TypeScript</v>
      </c>
      <c r="M6045" s="9" t="s">
        <v>24</v>
      </c>
    </row>
    <row r="6046" ht="15.75" customHeight="1">
      <c r="A6046" s="7"/>
      <c r="B6046" s="7" t="str">
        <f>IFERROR(__xludf.DUMMYFUNCTION("""COMPUTED_VALUE"""),"Bash/Shell/PowerShell;HTML/CSS;Python;SQL;VBA")</f>
        <v>Bash/Shell/PowerShell;HTML/CSS;Python;SQL;VBA</v>
      </c>
      <c r="M6046" s="9" t="s">
        <v>21</v>
      </c>
    </row>
    <row r="6047" ht="15.75" customHeight="1">
      <c r="A6047" s="7"/>
      <c r="B6047" s="7" t="str">
        <f>IFERROR(__xludf.DUMMYFUNCTION("""COMPUTED_VALUE"""),"HTML/CSS;JavaScript;Rust;Swift;TypeScript;WebAssembly")</f>
        <v>HTML/CSS;JavaScript;Rust;Swift;TypeScript;WebAssembly</v>
      </c>
      <c r="M6047" s="9" t="s">
        <v>27</v>
      </c>
    </row>
    <row r="6048" ht="15.75" customHeight="1">
      <c r="A6048" s="7"/>
      <c r="B6048" s="7" t="str">
        <f>IFERROR(__xludf.DUMMYFUNCTION("""COMPUTED_VALUE"""),"Assembly;Bash/Shell/PowerShell;C;C++;HTML/CSS;Java;JavaScript;Python;SQL;VBA")</f>
        <v>Assembly;Bash/Shell/PowerShell;C;C++;HTML/CSS;Java;JavaScript;Python;SQL;VBA</v>
      </c>
      <c r="M6048" s="9" t="s">
        <v>30</v>
      </c>
    </row>
    <row r="6049" ht="15.75" customHeight="1">
      <c r="A6049" s="7"/>
      <c r="B6049" s="7" t="str">
        <f>IFERROR(__xludf.DUMMYFUNCTION("""COMPUTED_VALUE"""),"Assembly;Bash/Shell/PowerShell;C;C++;HTML/CSS;JavaScript;Other(s):")</f>
        <v>Assembly;Bash/Shell/PowerShell;C;C++;HTML/CSS;JavaScript;Other(s):</v>
      </c>
      <c r="M6049" s="9" t="s">
        <v>24</v>
      </c>
    </row>
    <row r="6050" ht="15.75" customHeight="1">
      <c r="A6050" s="7"/>
      <c r="B6050" s="7" t="str">
        <f>IFERROR(__xludf.DUMMYFUNCTION("""COMPUTED_VALUE"""),"HTML/CSS;JavaScript;Ruby;SQL")</f>
        <v>HTML/CSS;JavaScript;Ruby;SQL</v>
      </c>
      <c r="M6050" s="9" t="s">
        <v>20</v>
      </c>
    </row>
    <row r="6051" ht="15.75" customHeight="1">
      <c r="A6051" s="7"/>
      <c r="B6051" s="7" t="str">
        <f>IFERROR(__xludf.DUMMYFUNCTION("""COMPUTED_VALUE"""),"C++;HTML/CSS;Java;Python")</f>
        <v>C++;HTML/CSS;Java;Python</v>
      </c>
      <c r="M6051" s="9" t="s">
        <v>21</v>
      </c>
    </row>
    <row r="6052" ht="15.75" customHeight="1">
      <c r="A6052" s="7"/>
      <c r="B6052" s="7" t="str">
        <f>IFERROR(__xludf.DUMMYFUNCTION("""COMPUTED_VALUE"""),"HTML/CSS;JavaScript")</f>
        <v>HTML/CSS;JavaScript</v>
      </c>
      <c r="M6052" s="9" t="s">
        <v>37</v>
      </c>
    </row>
    <row r="6053" ht="15.75" customHeight="1">
      <c r="A6053" s="7"/>
      <c r="B6053" s="7" t="str">
        <f>IFERROR(__xludf.DUMMYFUNCTION("""COMPUTED_VALUE"""),"C++;HTML/CSS")</f>
        <v>C++;HTML/CSS</v>
      </c>
      <c r="M6053" s="9" t="s">
        <v>27</v>
      </c>
    </row>
    <row r="6054" ht="15.75" customHeight="1">
      <c r="A6054" s="7"/>
      <c r="B6054" s="7" t="str">
        <f>IFERROR(__xludf.DUMMYFUNCTION("""COMPUTED_VALUE"""),"Java")</f>
        <v>Java</v>
      </c>
      <c r="M6054" s="9" t="s">
        <v>33</v>
      </c>
    </row>
    <row r="6055" ht="15.75" customHeight="1">
      <c r="A6055" s="7"/>
      <c r="B6055" s="7" t="str">
        <f>IFERROR(__xludf.DUMMYFUNCTION("""COMPUTED_VALUE"""),"Assembly;C;C++;C#;Java;Scala;SQL")</f>
        <v>Assembly;C;C++;C#;Java;Scala;SQL</v>
      </c>
      <c r="M6055" s="9" t="s">
        <v>23</v>
      </c>
    </row>
    <row r="6056" ht="15.75" customHeight="1">
      <c r="A6056" s="7"/>
      <c r="B6056" s="7" t="str">
        <f>IFERROR(__xludf.DUMMYFUNCTION("""COMPUTED_VALUE"""),"Java;JavaScript;Kotlin")</f>
        <v>Java;JavaScript;Kotlin</v>
      </c>
      <c r="M6056" s="9" t="s">
        <v>24</v>
      </c>
    </row>
    <row r="6057" ht="15.75" customHeight="1">
      <c r="A6057" s="7"/>
      <c r="B6057" s="7" t="str">
        <f>IFERROR(__xludf.DUMMYFUNCTION("""COMPUTED_VALUE"""),"C#;HTML/CSS;JavaScript")</f>
        <v>C#;HTML/CSS;JavaScript</v>
      </c>
      <c r="M6057" s="9" t="s">
        <v>37</v>
      </c>
    </row>
    <row r="6058" ht="15.75" customHeight="1">
      <c r="A6058" s="7"/>
      <c r="B6058" s="7" t="str">
        <f>IFERROR(__xludf.DUMMYFUNCTION("""COMPUTED_VALUE"""),"Bash/Shell/PowerShell;C++;C#;HTML/CSS;Java;JavaScript;Python;SQL")</f>
        <v>Bash/Shell/PowerShell;C++;C#;HTML/CSS;Java;JavaScript;Python;SQL</v>
      </c>
      <c r="M6058" s="9" t="s">
        <v>27</v>
      </c>
    </row>
    <row r="6059" ht="15.75" customHeight="1">
      <c r="A6059" s="7"/>
      <c r="B6059" s="7" t="str">
        <f>IFERROR(__xludf.DUMMYFUNCTION("""COMPUTED_VALUE"""),"Assembly;Bash/Shell/PowerShell;C;C++;C#;HTML/CSS;Other(s):")</f>
        <v>Assembly;Bash/Shell/PowerShell;C;C++;C#;HTML/CSS;Other(s):</v>
      </c>
      <c r="M6059" s="9" t="s">
        <v>26</v>
      </c>
    </row>
    <row r="6060" ht="15.75" customHeight="1">
      <c r="A6060" s="7"/>
      <c r="B6060" s="7" t="str">
        <f>IFERROR(__xludf.DUMMYFUNCTION("""COMPUTED_VALUE"""),"Bash/Shell/PowerShell;HTML/CSS;JavaScript;Python")</f>
        <v>Bash/Shell/PowerShell;HTML/CSS;JavaScript;Python</v>
      </c>
      <c r="M6060" s="9" t="s">
        <v>24</v>
      </c>
    </row>
    <row r="6061" ht="15.75" customHeight="1">
      <c r="A6061" s="7"/>
      <c r="B6061" s="7" t="str">
        <f>IFERROR(__xludf.DUMMYFUNCTION("""COMPUTED_VALUE"""),"C#;HTML/CSS;JavaScript;Ruby")</f>
        <v>C#;HTML/CSS;JavaScript;Ruby</v>
      </c>
      <c r="M6061" s="9" t="s">
        <v>21</v>
      </c>
    </row>
    <row r="6062" ht="15.75" customHeight="1">
      <c r="A6062" s="7"/>
      <c r="B6062" s="7" t="str">
        <f>IFERROR(__xludf.DUMMYFUNCTION("""COMPUTED_VALUE"""),"C#;HTML/CSS;Java;JavaScript;Kotlin;PHP;SQL;Swift;VBA;Other(s):")</f>
        <v>C#;HTML/CSS;Java;JavaScript;Kotlin;PHP;SQL;Swift;VBA;Other(s):</v>
      </c>
      <c r="M6062" s="9" t="s">
        <v>33</v>
      </c>
    </row>
    <row r="6063" ht="15.75" customHeight="1">
      <c r="A6063" s="7"/>
      <c r="B6063" s="7" t="str">
        <f>IFERROR(__xludf.DUMMYFUNCTION("""COMPUTED_VALUE"""),"C#;Go;Java;JavaScript;PHP;SQL;Other(s):")</f>
        <v>C#;Go;Java;JavaScript;PHP;SQL;Other(s):</v>
      </c>
      <c r="M6063" s="9" t="s">
        <v>23</v>
      </c>
    </row>
    <row r="6064" ht="15.75" customHeight="1">
      <c r="A6064" s="7"/>
      <c r="B6064" s="7" t="str">
        <f>IFERROR(__xludf.DUMMYFUNCTION("""COMPUTED_VALUE"""),"Bash/Shell/PowerShell;HTML/CSS;JavaScript;VBA")</f>
        <v>Bash/Shell/PowerShell;HTML/CSS;JavaScript;VBA</v>
      </c>
      <c r="M6064" s="9" t="s">
        <v>26</v>
      </c>
    </row>
    <row r="6065" ht="15.75" customHeight="1">
      <c r="A6065" s="7"/>
      <c r="B6065" s="7" t="str">
        <f>IFERROR(__xludf.DUMMYFUNCTION("""COMPUTED_VALUE"""),"C;C++;C#;HTML/CSS;Java;JavaScript;Python;SQL")</f>
        <v>C;C++;C#;HTML/CSS;Java;JavaScript;Python;SQL</v>
      </c>
      <c r="M6065" s="9" t="s">
        <v>24</v>
      </c>
    </row>
    <row r="6066" ht="15.75" customHeight="1">
      <c r="A6066" s="7"/>
      <c r="B6066" s="7" t="str">
        <f>IFERROR(__xludf.DUMMYFUNCTION("""COMPUTED_VALUE"""),"Python;Other(s):")</f>
        <v>Python;Other(s):</v>
      </c>
      <c r="M6066" s="9" t="s">
        <v>37</v>
      </c>
    </row>
    <row r="6067" ht="15.75" customHeight="1">
      <c r="A6067" s="7"/>
      <c r="B6067" s="7" t="str">
        <f>IFERROR(__xludf.DUMMYFUNCTION("""COMPUTED_VALUE"""),"Bash/Shell/PowerShell;C;C++;HTML/CSS;Java;JavaScript;PHP;Python;Rust;SQL;TypeScript")</f>
        <v>Bash/Shell/PowerShell;C;C++;HTML/CSS;Java;JavaScript;PHP;Python;Rust;SQL;TypeScript</v>
      </c>
      <c r="M6067" s="9" t="s">
        <v>27</v>
      </c>
    </row>
    <row r="6068" ht="15.75" customHeight="1">
      <c r="A6068" s="7"/>
      <c r="B6068" s="7" t="str">
        <f>IFERROR(__xludf.DUMMYFUNCTION("""COMPUTED_VALUE"""),"C#;HTML/CSS;JavaScript;SQL")</f>
        <v>C#;HTML/CSS;JavaScript;SQL</v>
      </c>
      <c r="M6068" s="9" t="s">
        <v>30</v>
      </c>
    </row>
    <row r="6069" ht="15.75" customHeight="1">
      <c r="A6069" s="7"/>
      <c r="B6069" s="7" t="str">
        <f>IFERROR(__xludf.DUMMYFUNCTION("""COMPUTED_VALUE"""),"Bash/Shell/PowerShell;Python;SQL")</f>
        <v>Bash/Shell/PowerShell;Python;SQL</v>
      </c>
      <c r="M6069" s="9" t="s">
        <v>20</v>
      </c>
    </row>
    <row r="6070" ht="15.75" customHeight="1">
      <c r="A6070" s="7"/>
      <c r="B6070" s="7" t="str">
        <f>IFERROR(__xludf.DUMMYFUNCTION("""COMPUTED_VALUE"""),"Bash/Shell/PowerShell;HTML/CSS;JavaScript;Python;Ruby;SQL")</f>
        <v>Bash/Shell/PowerShell;HTML/CSS;JavaScript;Python;Ruby;SQL</v>
      </c>
      <c r="M6070" s="9" t="s">
        <v>30</v>
      </c>
    </row>
    <row r="6071" ht="15.75" customHeight="1">
      <c r="A6071" s="7"/>
      <c r="B6071" s="7" t="str">
        <f>IFERROR(__xludf.DUMMYFUNCTION("""COMPUTED_VALUE"""),"Bash/Shell/PowerShell;C++;C#;JavaScript;Python")</f>
        <v>Bash/Shell/PowerShell;C++;C#;JavaScript;Python</v>
      </c>
      <c r="M6071" s="9" t="s">
        <v>25</v>
      </c>
    </row>
    <row r="6072" ht="15.75" customHeight="1">
      <c r="A6072" s="7"/>
      <c r="B6072" s="7" t="str">
        <f>IFERROR(__xludf.DUMMYFUNCTION("""COMPUTED_VALUE"""),"C#;HTML/CSS;Java;JavaScript;Kotlin")</f>
        <v>C#;HTML/CSS;Java;JavaScript;Kotlin</v>
      </c>
      <c r="M6072" s="9" t="s">
        <v>44</v>
      </c>
    </row>
    <row r="6073" ht="15.75" customHeight="1">
      <c r="A6073" s="7"/>
      <c r="B6073" s="7" t="str">
        <f>IFERROR(__xludf.DUMMYFUNCTION("""COMPUTED_VALUE"""),"Assembly;Bash/Shell/PowerShell;C++;Java;Python;SQL")</f>
        <v>Assembly;Bash/Shell/PowerShell;C++;Java;Python;SQL</v>
      </c>
      <c r="M6073" s="9" t="s">
        <v>36</v>
      </c>
    </row>
    <row r="6074" ht="15.75" customHeight="1">
      <c r="A6074" s="7"/>
      <c r="B6074" s="7" t="str">
        <f>IFERROR(__xludf.DUMMYFUNCTION("""COMPUTED_VALUE"""),"Kotlin;Objective-C")</f>
        <v>Kotlin;Objective-C</v>
      </c>
      <c r="M6074" s="9" t="s">
        <v>24</v>
      </c>
    </row>
    <row r="6075" ht="15.75" customHeight="1">
      <c r="A6075" s="7"/>
      <c r="B6075" s="7" t="str">
        <f>IFERROR(__xludf.DUMMYFUNCTION("""COMPUTED_VALUE"""),"C#;Clojure;Go;HTML/CSS;JavaScript;SQL")</f>
        <v>C#;Clojure;Go;HTML/CSS;JavaScript;SQL</v>
      </c>
      <c r="M6075" s="9" t="s">
        <v>21</v>
      </c>
    </row>
    <row r="6076" ht="15.75" customHeight="1">
      <c r="A6076" s="7"/>
      <c r="B6076" s="7" t="str">
        <f>IFERROR(__xludf.DUMMYFUNCTION("""COMPUTED_VALUE"""),"Bash/Shell/PowerShell;C++;Java;Python")</f>
        <v>Bash/Shell/PowerShell;C++;Java;Python</v>
      </c>
      <c r="M6076" s="9" t="s">
        <v>41</v>
      </c>
    </row>
    <row r="6077" ht="15.75" customHeight="1">
      <c r="A6077" s="7"/>
      <c r="B6077" s="7" t="str">
        <f>IFERROR(__xludf.DUMMYFUNCTION("""COMPUTED_VALUE"""),"JavaScript;PHP;SQL")</f>
        <v>JavaScript;PHP;SQL</v>
      </c>
      <c r="M6077" s="9" t="s">
        <v>37</v>
      </c>
    </row>
    <row r="6078" ht="15.75" customHeight="1">
      <c r="A6078" s="7"/>
      <c r="B6078" s="7" t="str">
        <f>IFERROR(__xludf.DUMMYFUNCTION("""COMPUTED_VALUE"""),"Bash/Shell/PowerShell;HTML/CSS;JavaScript;PHP;SQL")</f>
        <v>Bash/Shell/PowerShell;HTML/CSS;JavaScript;PHP;SQL</v>
      </c>
      <c r="M6078" s="9" t="s">
        <v>22</v>
      </c>
    </row>
    <row r="6079" ht="15.75" customHeight="1">
      <c r="A6079" s="7"/>
      <c r="B6079" s="7" t="str">
        <f>IFERROR(__xludf.DUMMYFUNCTION("""COMPUTED_VALUE"""),"Python;Ruby;SQL")</f>
        <v>Python;Ruby;SQL</v>
      </c>
      <c r="M6079" s="9" t="s">
        <v>31</v>
      </c>
    </row>
    <row r="6080" ht="15.75" customHeight="1">
      <c r="A6080" s="7"/>
      <c r="B6080" s="7" t="str">
        <f>IFERROR(__xludf.DUMMYFUNCTION("""COMPUTED_VALUE"""),"Bash/Shell/PowerShell;HTML/CSS;Java;JavaScript;SQL")</f>
        <v>Bash/Shell/PowerShell;HTML/CSS;Java;JavaScript;SQL</v>
      </c>
      <c r="M6080" s="9" t="s">
        <v>27</v>
      </c>
    </row>
    <row r="6081" ht="15.75" customHeight="1">
      <c r="A6081" s="7"/>
      <c r="B6081" s="7" t="str">
        <f>IFERROR(__xludf.DUMMYFUNCTION("""COMPUTED_VALUE"""),"Bash/Shell/PowerShell;C#;F#;HTML/CSS;JavaScript;Python;R;SQL;TypeScript")</f>
        <v>Bash/Shell/PowerShell;C#;F#;HTML/CSS;JavaScript;Python;R;SQL;TypeScript</v>
      </c>
      <c r="M6081" s="9" t="s">
        <v>40</v>
      </c>
    </row>
    <row r="6082" ht="15.75" customHeight="1">
      <c r="A6082" s="7"/>
      <c r="B6082" s="7" t="str">
        <f>IFERROR(__xludf.DUMMYFUNCTION("""COMPUTED_VALUE"""),"Bash/Shell/PowerShell;Python;R;SQL;VBA")</f>
        <v>Bash/Shell/PowerShell;Python;R;SQL;VBA</v>
      </c>
      <c r="M6082" s="9" t="s">
        <v>33</v>
      </c>
    </row>
    <row r="6083" ht="15.75" customHeight="1">
      <c r="A6083" s="7"/>
      <c r="B6083" s="7" t="str">
        <f>IFERROR(__xludf.DUMMYFUNCTION("""COMPUTED_VALUE"""),"Bash/Shell/PowerShell;HTML/CSS;Java;JavaScript;PHP;Python;SQL;TypeScript")</f>
        <v>Bash/Shell/PowerShell;HTML/CSS;Java;JavaScript;PHP;Python;SQL;TypeScript</v>
      </c>
      <c r="M6083" s="9" t="s">
        <v>24</v>
      </c>
    </row>
    <row r="6084" ht="15.75" customHeight="1">
      <c r="A6084" s="7"/>
      <c r="B6084" s="7" t="str">
        <f>IFERROR(__xludf.DUMMYFUNCTION("""COMPUTED_VALUE"""),"C++;HTML/CSS;JavaScript;PHP;Ruby;SQL")</f>
        <v>C++;HTML/CSS;JavaScript;PHP;Ruby;SQL</v>
      </c>
      <c r="M6084" s="9" t="s">
        <v>20</v>
      </c>
    </row>
    <row r="6085" ht="15.75" customHeight="1">
      <c r="A6085" s="7"/>
      <c r="B6085" s="7" t="str">
        <f>IFERROR(__xludf.DUMMYFUNCTION("""COMPUTED_VALUE"""),"Bash/Shell/PowerShell;C;C++;HTML/CSS;JavaScript;Python;Ruby")</f>
        <v>Bash/Shell/PowerShell;C;C++;HTML/CSS;JavaScript;Python;Ruby</v>
      </c>
      <c r="M6085" s="9" t="s">
        <v>21</v>
      </c>
    </row>
    <row r="6086" ht="15.75" customHeight="1">
      <c r="A6086" s="7"/>
      <c r="B6086" s="7" t="str">
        <f>IFERROR(__xludf.DUMMYFUNCTION("""COMPUTED_VALUE"""),"Go;Java;Python;TypeScript")</f>
        <v>Go;Java;Python;TypeScript</v>
      </c>
      <c r="M6086" s="9" t="s">
        <v>30</v>
      </c>
    </row>
    <row r="6087" ht="15.75" customHeight="1">
      <c r="A6087" s="7"/>
      <c r="B6087" s="7" t="str">
        <f>IFERROR(__xludf.DUMMYFUNCTION("""COMPUTED_VALUE"""),"Bash/Shell/PowerShell;HTML/CSS;JavaScript;PHP;SQL")</f>
        <v>Bash/Shell/PowerShell;HTML/CSS;JavaScript;PHP;SQL</v>
      </c>
      <c r="M6087" s="9" t="s">
        <v>25</v>
      </c>
    </row>
    <row r="6088" ht="15.75" customHeight="1">
      <c r="A6088" s="7"/>
      <c r="B6088" s="7" t="str">
        <f>IFERROR(__xludf.DUMMYFUNCTION("""COMPUTED_VALUE"""),"Bash/Shell/PowerShell;Go;HTML/CSS;Java;JavaScript;Objective-C;PHP;Ruby;SQL")</f>
        <v>Bash/Shell/PowerShell;Go;HTML/CSS;Java;JavaScript;Objective-C;PHP;Ruby;SQL</v>
      </c>
      <c r="M6088" s="9" t="s">
        <v>23</v>
      </c>
    </row>
    <row r="6089" ht="15.75" customHeight="1">
      <c r="A6089" s="7"/>
      <c r="B6089" s="7" t="str">
        <f>IFERROR(__xludf.DUMMYFUNCTION("""COMPUTED_VALUE"""),"HTML/CSS;JavaScript;SQL;Other(s):")</f>
        <v>HTML/CSS;JavaScript;SQL;Other(s):</v>
      </c>
      <c r="M6089" s="9" t="s">
        <v>26</v>
      </c>
    </row>
    <row r="6090" ht="15.75" customHeight="1">
      <c r="A6090" s="7"/>
      <c r="B6090" s="7" t="str">
        <f>IFERROR(__xludf.DUMMYFUNCTION("""COMPUTED_VALUE"""),"C++;Java;JavaScript;Kotlin;Objective-C;Python;Scala;TypeScript")</f>
        <v>C++;Java;JavaScript;Kotlin;Objective-C;Python;Scala;TypeScript</v>
      </c>
      <c r="M6090" s="9" t="s">
        <v>24</v>
      </c>
    </row>
    <row r="6091" ht="15.75" customHeight="1">
      <c r="A6091" s="7"/>
      <c r="B6091" s="7" t="str">
        <f>IFERROR(__xludf.DUMMYFUNCTION("""COMPUTED_VALUE"""),"Bash/Shell/PowerShell;HTML/CSS;Java;JavaScript;TypeScript")</f>
        <v>Bash/Shell/PowerShell;HTML/CSS;Java;JavaScript;TypeScript</v>
      </c>
      <c r="M6091" s="9" t="s">
        <v>21</v>
      </c>
    </row>
    <row r="6092" ht="15.75" customHeight="1">
      <c r="A6092" s="7"/>
      <c r="B6092" s="7" t="str">
        <f>IFERROR(__xludf.DUMMYFUNCTION("""COMPUTED_VALUE"""),"Bash/Shell/PowerShell;HTML/CSS;Java;Rust")</f>
        <v>Bash/Shell/PowerShell;HTML/CSS;Java;Rust</v>
      </c>
      <c r="M6092" s="9" t="s">
        <v>37</v>
      </c>
    </row>
    <row r="6093" ht="15.75" customHeight="1">
      <c r="A6093" s="7"/>
      <c r="B6093" s="7" t="str">
        <f>IFERROR(__xludf.DUMMYFUNCTION("""COMPUTED_VALUE"""),"Assembly;Python;R;VBA")</f>
        <v>Assembly;Python;R;VBA</v>
      </c>
      <c r="M6093" s="9" t="s">
        <v>27</v>
      </c>
    </row>
    <row r="6094" ht="15.75" customHeight="1">
      <c r="A6094" s="7"/>
      <c r="B6094" s="7" t="str">
        <f>IFERROR(__xludf.DUMMYFUNCTION("""COMPUTED_VALUE"""),"Bash/Shell/PowerShell;C#;Go;JavaScript;SQL;TypeScript")</f>
        <v>Bash/Shell/PowerShell;C#;Go;JavaScript;SQL;TypeScript</v>
      </c>
      <c r="M6094" s="9" t="s">
        <v>20</v>
      </c>
    </row>
    <row r="6095" ht="15.75" customHeight="1">
      <c r="A6095" s="7"/>
      <c r="B6095" s="7" t="str">
        <f>IFERROR(__xludf.DUMMYFUNCTION("""COMPUTED_VALUE"""),"Java;Python")</f>
        <v>Java;Python</v>
      </c>
      <c r="M6095" s="9" t="s">
        <v>21</v>
      </c>
    </row>
    <row r="6096" ht="15.75" customHeight="1">
      <c r="A6096" s="7"/>
      <c r="B6096" s="7" t="str">
        <f>IFERROR(__xludf.DUMMYFUNCTION("""COMPUTED_VALUE"""),"C#;Java;Python")</f>
        <v>C#;Java;Python</v>
      </c>
      <c r="M6096" s="9" t="s">
        <v>37</v>
      </c>
    </row>
    <row r="6097" ht="15.75" customHeight="1">
      <c r="A6097" s="7"/>
      <c r="B6097" s="7" t="str">
        <f>IFERROR(__xludf.DUMMYFUNCTION("""COMPUTED_VALUE"""),"HTML/CSS;JavaScript;Python;SQL")</f>
        <v>HTML/CSS;JavaScript;Python;SQL</v>
      </c>
      <c r="M6097" s="9" t="s">
        <v>23</v>
      </c>
    </row>
    <row r="6098" ht="15.75" customHeight="1">
      <c r="A6098" s="7"/>
      <c r="B6098" s="7" t="str">
        <f>IFERROR(__xludf.DUMMYFUNCTION("""COMPUTED_VALUE"""),"HTML/CSS;JavaScript;PHP")</f>
        <v>HTML/CSS;JavaScript;PHP</v>
      </c>
      <c r="M6098" s="9" t="s">
        <v>26</v>
      </c>
    </row>
    <row r="6099" ht="15.75" customHeight="1">
      <c r="A6099" s="7"/>
      <c r="B6099" s="7" t="str">
        <f>IFERROR(__xludf.DUMMYFUNCTION("""COMPUTED_VALUE"""),"C;C++;Objective-C;SQL;Swift")</f>
        <v>C;C++;Objective-C;SQL;Swift</v>
      </c>
      <c r="M6099" s="9" t="s">
        <v>24</v>
      </c>
    </row>
    <row r="6100" ht="15.75" customHeight="1">
      <c r="A6100" s="7"/>
      <c r="B6100" s="7" t="str">
        <f>IFERROR(__xludf.DUMMYFUNCTION("""COMPUTED_VALUE"""),"C#;HTML/CSS;JavaScript;SQL")</f>
        <v>C#;HTML/CSS;JavaScript;SQL</v>
      </c>
      <c r="M6100" s="9" t="s">
        <v>20</v>
      </c>
    </row>
    <row r="6101" ht="15.75" customHeight="1">
      <c r="A6101" s="7"/>
      <c r="B6101" s="7" t="str">
        <f>IFERROR(__xludf.DUMMYFUNCTION("""COMPUTED_VALUE"""),"Assembly;C++;C#;JavaScript;SQL")</f>
        <v>Assembly;C++;C#;JavaScript;SQL</v>
      </c>
      <c r="M6101" s="9" t="s">
        <v>21</v>
      </c>
    </row>
    <row r="6102" ht="15.75" customHeight="1">
      <c r="A6102" s="7"/>
      <c r="B6102" s="7" t="str">
        <f>IFERROR(__xludf.DUMMYFUNCTION("""COMPUTED_VALUE"""),"HTML/CSS;Java;JavaScript;Python")</f>
        <v>HTML/CSS;Java;JavaScript;Python</v>
      </c>
      <c r="M6102" s="9" t="s">
        <v>37</v>
      </c>
    </row>
    <row r="6103" ht="15.75" customHeight="1">
      <c r="A6103" s="7"/>
      <c r="B6103" s="7" t="str">
        <f>IFERROR(__xludf.DUMMYFUNCTION("""COMPUTED_VALUE"""),"Java;SQL")</f>
        <v>Java;SQL</v>
      </c>
      <c r="M6103" s="9" t="s">
        <v>27</v>
      </c>
    </row>
    <row r="6104" ht="15.75" customHeight="1">
      <c r="A6104" s="7"/>
      <c r="B6104" s="7" t="str">
        <f>IFERROR(__xludf.DUMMYFUNCTION("""COMPUTED_VALUE"""),"C;C++")</f>
        <v>C;C++</v>
      </c>
      <c r="M6104" s="9" t="s">
        <v>33</v>
      </c>
    </row>
    <row r="6105" ht="15.75" customHeight="1">
      <c r="A6105" s="7"/>
      <c r="B6105" s="7" t="str">
        <f>IFERROR(__xludf.DUMMYFUNCTION("""COMPUTED_VALUE"""),"HTML/CSS;JavaScript;PHP;SQL;TypeScript")</f>
        <v>HTML/CSS;JavaScript;PHP;SQL;TypeScript</v>
      </c>
      <c r="M6105" s="9" t="s">
        <v>26</v>
      </c>
    </row>
    <row r="6106" ht="15.75" customHeight="1">
      <c r="A6106" s="7"/>
      <c r="B6106" s="7" t="str">
        <f>IFERROR(__xludf.DUMMYFUNCTION("""COMPUTED_VALUE"""),"Bash/Shell/PowerShell;C#;HTML/CSS;Java;JavaScript;SQL")</f>
        <v>Bash/Shell/PowerShell;C#;HTML/CSS;Java;JavaScript;SQL</v>
      </c>
      <c r="M6106" s="9" t="s">
        <v>20</v>
      </c>
    </row>
    <row r="6107" ht="15.75" customHeight="1">
      <c r="A6107" s="7"/>
      <c r="B6107" s="7" t="str">
        <f>IFERROR(__xludf.DUMMYFUNCTION("""COMPUTED_VALUE"""),"Assembly;Bash/Shell/PowerShell;C;C++;Python;Rust")</f>
        <v>Assembly;Bash/Shell/PowerShell;C;C++;Python;Rust</v>
      </c>
      <c r="M6107" s="9" t="s">
        <v>24</v>
      </c>
    </row>
    <row r="6108" ht="15.75" customHeight="1">
      <c r="A6108" s="7"/>
      <c r="B6108" s="7" t="str">
        <f>IFERROR(__xludf.DUMMYFUNCTION("""COMPUTED_VALUE"""),"Java;JavaScript;Kotlin;Objective-C;Swift")</f>
        <v>Java;JavaScript;Kotlin;Objective-C;Swift</v>
      </c>
      <c r="M6108" s="9" t="s">
        <v>20</v>
      </c>
    </row>
    <row r="6109" ht="15.75" customHeight="1">
      <c r="A6109" s="7"/>
      <c r="B6109" s="7" t="str">
        <f>IFERROR(__xludf.DUMMYFUNCTION("""COMPUTED_VALUE"""),"Bash/Shell/PowerShell;C;HTML/CSS;JavaScript;PHP;Python;SQL")</f>
        <v>Bash/Shell/PowerShell;C;HTML/CSS;JavaScript;PHP;Python;SQL</v>
      </c>
      <c r="M6109" s="9" t="s">
        <v>21</v>
      </c>
    </row>
    <row r="6110" ht="15.75" customHeight="1">
      <c r="A6110" s="7"/>
      <c r="B6110" s="7" t="str">
        <f>IFERROR(__xludf.DUMMYFUNCTION("""COMPUTED_VALUE"""),"HTML/CSS;Java;JavaScript;Scala;SQL")</f>
        <v>HTML/CSS;Java;JavaScript;Scala;SQL</v>
      </c>
      <c r="M6110" s="9" t="s">
        <v>30</v>
      </c>
    </row>
    <row r="6111" ht="15.75" customHeight="1">
      <c r="A6111" s="7"/>
      <c r="B6111" s="7" t="str">
        <f>IFERROR(__xludf.DUMMYFUNCTION("""COMPUTED_VALUE"""),"HTML/CSS;JavaScript;Objective-C;PHP;SQL")</f>
        <v>HTML/CSS;JavaScript;Objective-C;PHP;SQL</v>
      </c>
      <c r="M6111" s="9" t="s">
        <v>24</v>
      </c>
    </row>
    <row r="6112" ht="15.75" customHeight="1">
      <c r="A6112" s="7"/>
      <c r="B6112" s="7" t="str">
        <f>IFERROR(__xludf.DUMMYFUNCTION("""COMPUTED_VALUE"""),"Bash/Shell/PowerShell;PHP;Python;SQL")</f>
        <v>Bash/Shell/PowerShell;PHP;Python;SQL</v>
      </c>
      <c r="M6112" s="9" t="s">
        <v>20</v>
      </c>
    </row>
    <row r="6113" ht="15.75" customHeight="1">
      <c r="A6113" s="7"/>
      <c r="B6113" s="7" t="str">
        <f>IFERROR(__xludf.DUMMYFUNCTION("""COMPUTED_VALUE"""),"HTML/CSS;JavaScript;PHP")</f>
        <v>HTML/CSS;JavaScript;PHP</v>
      </c>
      <c r="M6113" s="9" t="s">
        <v>21</v>
      </c>
    </row>
    <row r="6114" ht="15.75" customHeight="1">
      <c r="A6114" s="7"/>
      <c r="B6114" s="7" t="str">
        <f>IFERROR(__xludf.DUMMYFUNCTION("""COMPUTED_VALUE"""),"Bash/Shell/PowerShell;C++;C#;Java;SQL")</f>
        <v>Bash/Shell/PowerShell;C++;C#;Java;SQL</v>
      </c>
      <c r="M6114" s="9" t="s">
        <v>22</v>
      </c>
    </row>
    <row r="6115" ht="15.75" customHeight="1">
      <c r="A6115" s="7"/>
      <c r="B6115" s="7" t="str">
        <f>IFERROR(__xludf.DUMMYFUNCTION("""COMPUTED_VALUE"""),"Bash/Shell/PowerShell;C;C++;C#;Java")</f>
        <v>Bash/Shell/PowerShell;C;C++;C#;Java</v>
      </c>
      <c r="M6115" s="9" t="s">
        <v>33</v>
      </c>
    </row>
    <row r="6116" ht="15.75" customHeight="1">
      <c r="A6116" s="7"/>
      <c r="B6116" s="7" t="str">
        <f>IFERROR(__xludf.DUMMYFUNCTION("""COMPUTED_VALUE"""),"C#;HTML/CSS;JavaScript")</f>
        <v>C#;HTML/CSS;JavaScript</v>
      </c>
      <c r="M6116" s="9" t="s">
        <v>38</v>
      </c>
    </row>
    <row r="6117" ht="15.75" customHeight="1">
      <c r="A6117" s="7"/>
      <c r="B6117" s="7" t="str">
        <f>IFERROR(__xludf.DUMMYFUNCTION("""COMPUTED_VALUE"""),"Bash/Shell/PowerShell;Go;HTML/CSS;Java;JavaScript;PHP;TypeScript;Other(s):")</f>
        <v>Bash/Shell/PowerShell;Go;HTML/CSS;Java;JavaScript;PHP;TypeScript;Other(s):</v>
      </c>
      <c r="M6117" s="9" t="s">
        <v>30</v>
      </c>
    </row>
    <row r="6118" ht="15.75" customHeight="1">
      <c r="A6118" s="7"/>
      <c r="B6118" s="7" t="str">
        <f>IFERROR(__xludf.DUMMYFUNCTION("""COMPUTED_VALUE"""),"Assembly;Java;Kotlin")</f>
        <v>Assembly;Java;Kotlin</v>
      </c>
      <c r="M6118" s="9" t="s">
        <v>25</v>
      </c>
    </row>
    <row r="6119" ht="15.75" customHeight="1">
      <c r="A6119" s="7"/>
      <c r="B6119" s="7" t="str">
        <f>IFERROR(__xludf.DUMMYFUNCTION("""COMPUTED_VALUE"""),"C#")</f>
        <v>C#</v>
      </c>
      <c r="M6119" s="9" t="s">
        <v>23</v>
      </c>
    </row>
    <row r="6120" ht="15.75" customHeight="1">
      <c r="A6120" s="7"/>
      <c r="B6120" s="7" t="str">
        <f>IFERROR(__xludf.DUMMYFUNCTION("""COMPUTED_VALUE"""),"C++;C#;HTML/CSS;JavaScript;SQL")</f>
        <v>C++;C#;HTML/CSS;JavaScript;SQL</v>
      </c>
      <c r="M6120" s="9" t="s">
        <v>26</v>
      </c>
    </row>
    <row r="6121" ht="15.75" customHeight="1">
      <c r="A6121" s="7"/>
      <c r="B6121" s="7" t="str">
        <f>IFERROR(__xludf.DUMMYFUNCTION("""COMPUTED_VALUE"""),"Bash/Shell/PowerShell;Python;R;SQL")</f>
        <v>Bash/Shell/PowerShell;Python;R;SQL</v>
      </c>
      <c r="M6121" s="9" t="s">
        <v>24</v>
      </c>
    </row>
    <row r="6122" ht="15.75" customHeight="1">
      <c r="A6122" s="7"/>
      <c r="B6122" s="7" t="str">
        <f>IFERROR(__xludf.DUMMYFUNCTION("""COMPUTED_VALUE"""),"Bash/Shell/PowerShell;C++;Dart;Go;HTML/CSS;Java;JavaScript;Python;SQL")</f>
        <v>Bash/Shell/PowerShell;C++;Dart;Go;HTML/CSS;Java;JavaScript;Python;SQL</v>
      </c>
      <c r="M6122" s="9" t="s">
        <v>20</v>
      </c>
    </row>
    <row r="6123" ht="15.75" customHeight="1">
      <c r="A6123" s="7"/>
      <c r="B6123" s="7" t="str">
        <f>IFERROR(__xludf.DUMMYFUNCTION("""COMPUTED_VALUE"""),"Objective-C;Swift")</f>
        <v>Objective-C;Swift</v>
      </c>
      <c r="M6123" s="9" t="s">
        <v>21</v>
      </c>
    </row>
    <row r="6124" ht="15.75" customHeight="1">
      <c r="A6124" s="7"/>
      <c r="B6124" s="7" t="str">
        <f>IFERROR(__xludf.DUMMYFUNCTION("""COMPUTED_VALUE"""),"Bash/Shell/PowerShell;HTML/CSS;JavaScript;PHP")</f>
        <v>Bash/Shell/PowerShell;HTML/CSS;JavaScript;PHP</v>
      </c>
      <c r="M6124" s="9" t="s">
        <v>39</v>
      </c>
    </row>
    <row r="6125" ht="15.75" customHeight="1">
      <c r="A6125" s="7"/>
      <c r="B6125" s="7" t="str">
        <f>IFERROR(__xludf.DUMMYFUNCTION("""COMPUTED_VALUE"""),"HTML/CSS;Java;JavaScript;Ruby")</f>
        <v>HTML/CSS;Java;JavaScript;Ruby</v>
      </c>
      <c r="M6125" s="9" t="s">
        <v>41</v>
      </c>
    </row>
    <row r="6126" ht="15.75" customHeight="1">
      <c r="A6126" s="7"/>
      <c r="B6126" s="7" t="str">
        <f>IFERROR(__xludf.DUMMYFUNCTION("""COMPUTED_VALUE"""),"C#;Go;HTML/CSS;Java;JavaScript;Kotlin;Objective-C;PHP;SQL;TypeScript")</f>
        <v>C#;Go;HTML/CSS;Java;JavaScript;Kotlin;Objective-C;PHP;SQL;TypeScript</v>
      </c>
      <c r="M6126" s="9" t="s">
        <v>37</v>
      </c>
    </row>
    <row r="6127" ht="15.75" customHeight="1">
      <c r="A6127" s="7"/>
      <c r="B6127" s="7" t="str">
        <f>IFERROR(__xludf.DUMMYFUNCTION("""COMPUTED_VALUE"""),"Assembly;C;C++;C#;F#;HTML/CSS;JavaScript;Python;SQL")</f>
        <v>Assembly;C;C++;C#;F#;HTML/CSS;JavaScript;Python;SQL</v>
      </c>
      <c r="M6127" s="9" t="s">
        <v>22</v>
      </c>
    </row>
    <row r="6128" ht="15.75" customHeight="1">
      <c r="A6128" s="7"/>
      <c r="B6128" s="7" t="str">
        <f>IFERROR(__xludf.DUMMYFUNCTION("""COMPUTED_VALUE"""),"C;C++;HTML/CSS")</f>
        <v>C;C++;HTML/CSS</v>
      </c>
      <c r="M6128" s="9" t="s">
        <v>31</v>
      </c>
    </row>
    <row r="6129" ht="15.75" customHeight="1">
      <c r="A6129" s="7"/>
      <c r="B6129" s="7" t="str">
        <f>IFERROR(__xludf.DUMMYFUNCTION("""COMPUTED_VALUE"""),"JavaScript;Python;SQL")</f>
        <v>JavaScript;Python;SQL</v>
      </c>
      <c r="M6129" s="9" t="s">
        <v>27</v>
      </c>
    </row>
    <row r="6130" ht="15.75" customHeight="1">
      <c r="A6130" s="7"/>
      <c r="B6130" s="7" t="str">
        <f>IFERROR(__xludf.DUMMYFUNCTION("""COMPUTED_VALUE"""),"C++;C#;Java;SQL")</f>
        <v>C++;C#;Java;SQL</v>
      </c>
      <c r="M6130" s="9" t="s">
        <v>40</v>
      </c>
    </row>
    <row r="6131" ht="15.75" customHeight="1">
      <c r="A6131" s="7"/>
      <c r="B6131" s="7" t="str">
        <f>IFERROR(__xludf.DUMMYFUNCTION("""COMPUTED_VALUE"""),"C#;Python;SQL")</f>
        <v>C#;Python;SQL</v>
      </c>
      <c r="M6131" s="9" t="s">
        <v>28</v>
      </c>
    </row>
    <row r="6132" ht="15.75" customHeight="1">
      <c r="A6132" s="7"/>
      <c r="B6132" s="7" t="str">
        <f>IFERROR(__xludf.DUMMYFUNCTION("""COMPUTED_VALUE"""),"C#;HTML/CSS;JavaScript;PHP;SQL;Other(s):")</f>
        <v>C#;HTML/CSS;JavaScript;PHP;SQL;Other(s):</v>
      </c>
      <c r="M6132" s="9" t="s">
        <v>35</v>
      </c>
    </row>
    <row r="6133" ht="15.75" customHeight="1">
      <c r="A6133" s="7"/>
      <c r="B6133" s="7" t="str">
        <f>IFERROR(__xludf.DUMMYFUNCTION("""COMPUTED_VALUE"""),"C#;SQL")</f>
        <v>C#;SQL</v>
      </c>
      <c r="M6133" s="9" t="s">
        <v>36</v>
      </c>
    </row>
    <row r="6134" ht="15.75" customHeight="1">
      <c r="A6134" s="7"/>
      <c r="B6134" s="7" t="str">
        <f>IFERROR(__xludf.DUMMYFUNCTION("""COMPUTED_VALUE"""),"C++;HTML/CSS;JavaScript;PHP;SQL")</f>
        <v>C++;HTML/CSS;JavaScript;PHP;SQL</v>
      </c>
      <c r="M6134" s="9" t="s">
        <v>24</v>
      </c>
    </row>
    <row r="6135" ht="15.75" customHeight="1">
      <c r="A6135" s="7"/>
      <c r="B6135" s="7" t="str">
        <f>IFERROR(__xludf.DUMMYFUNCTION("""COMPUTED_VALUE"""),"C#;HTML/CSS;JavaScript;SQL")</f>
        <v>C#;HTML/CSS;JavaScript;SQL</v>
      </c>
      <c r="M6135" s="9" t="s">
        <v>21</v>
      </c>
    </row>
    <row r="6136" ht="15.75" customHeight="1">
      <c r="A6136" s="7"/>
      <c r="B6136" s="7" t="str">
        <f>IFERROR(__xludf.DUMMYFUNCTION("""COMPUTED_VALUE"""),"Bash/Shell/PowerShell;Python")</f>
        <v>Bash/Shell/PowerShell;Python</v>
      </c>
      <c r="M6136" s="9" t="s">
        <v>31</v>
      </c>
    </row>
    <row r="6137" ht="15.75" customHeight="1">
      <c r="A6137" s="7"/>
      <c r="B6137" s="7" t="str">
        <f>IFERROR(__xludf.DUMMYFUNCTION("""COMPUTED_VALUE"""),"Java;JavaScript;TypeScript")</f>
        <v>Java;JavaScript;TypeScript</v>
      </c>
      <c r="M6137" s="9" t="s">
        <v>27</v>
      </c>
    </row>
    <row r="6138" ht="15.75" customHeight="1">
      <c r="A6138" s="7"/>
      <c r="B6138" s="7" t="str">
        <f>IFERROR(__xludf.DUMMYFUNCTION("""COMPUTED_VALUE"""),"Bash/Shell/PowerShell;HTML/CSS;JavaScript;Python")</f>
        <v>Bash/Shell/PowerShell;HTML/CSS;JavaScript;Python</v>
      </c>
      <c r="M6138" s="9" t="s">
        <v>30</v>
      </c>
    </row>
    <row r="6139" ht="15.75" customHeight="1">
      <c r="A6139" s="7"/>
      <c r="B6139" s="7" t="str">
        <f>IFERROR(__xludf.DUMMYFUNCTION("""COMPUTED_VALUE"""),"C;HTML/CSS;Java;JavaScript;SQL")</f>
        <v>C;HTML/CSS;Java;JavaScript;SQL</v>
      </c>
      <c r="M6139" s="9" t="s">
        <v>24</v>
      </c>
    </row>
    <row r="6140" ht="15.75" customHeight="1">
      <c r="A6140" s="7"/>
      <c r="B6140" s="7" t="str">
        <f>IFERROR(__xludf.DUMMYFUNCTION("""COMPUTED_VALUE"""),"C#;JavaScript;SQL")</f>
        <v>C#;JavaScript;SQL</v>
      </c>
      <c r="M6140" s="9" t="s">
        <v>21</v>
      </c>
    </row>
    <row r="6141" ht="15.75" customHeight="1">
      <c r="A6141" s="7"/>
      <c r="B6141" s="7" t="str">
        <f>IFERROR(__xludf.DUMMYFUNCTION("""COMPUTED_VALUE"""),"HTML/CSS;Java;JavaScript;SQL;TypeScript")</f>
        <v>HTML/CSS;Java;JavaScript;SQL;TypeScript</v>
      </c>
      <c r="M6141" s="9" t="s">
        <v>37</v>
      </c>
    </row>
    <row r="6142" ht="15.75" customHeight="1">
      <c r="A6142" s="7"/>
      <c r="B6142" s="7" t="str">
        <f>IFERROR(__xludf.DUMMYFUNCTION("""COMPUTED_VALUE"""),"C#;HTML/CSS;JavaScript")</f>
        <v>C#;HTML/CSS;JavaScript</v>
      </c>
      <c r="M6142" s="9" t="s">
        <v>27</v>
      </c>
    </row>
    <row r="6143" ht="15.75" customHeight="1">
      <c r="A6143" s="7"/>
      <c r="B6143" s="7" t="str">
        <f>IFERROR(__xludf.DUMMYFUNCTION("""COMPUTED_VALUE"""),"Java;Python")</f>
        <v>Java;Python</v>
      </c>
      <c r="M6143" s="9" t="s">
        <v>25</v>
      </c>
    </row>
    <row r="6144" ht="15.75" customHeight="1">
      <c r="A6144" s="7"/>
      <c r="B6144" s="7" t="str">
        <f>IFERROR(__xludf.DUMMYFUNCTION("""COMPUTED_VALUE"""),"Assembly;Bash/Shell/PowerShell;C;C++;Java;Python;SQL")</f>
        <v>Assembly;Bash/Shell/PowerShell;C;C++;Java;Python;SQL</v>
      </c>
      <c r="M6144" s="9" t="s">
        <v>23</v>
      </c>
    </row>
    <row r="6145" ht="15.75" customHeight="1">
      <c r="A6145" s="7"/>
      <c r="B6145" s="7" t="str">
        <f>IFERROR(__xludf.DUMMYFUNCTION("""COMPUTED_VALUE"""),"Bash/Shell/PowerShell;C;C++;C#;HTML/CSS;JavaScript;R;SQL")</f>
        <v>Bash/Shell/PowerShell;C;C++;C#;HTML/CSS;JavaScript;R;SQL</v>
      </c>
      <c r="M6145" s="9" t="s">
        <v>24</v>
      </c>
    </row>
    <row r="6146" ht="15.75" customHeight="1">
      <c r="A6146" s="7"/>
      <c r="B6146" s="7" t="str">
        <f>IFERROR(__xludf.DUMMYFUNCTION("""COMPUTED_VALUE"""),"Elixir;Erlang;Go;HTML/CSS;JavaScript;PHP;Ruby")</f>
        <v>Elixir;Erlang;Go;HTML/CSS;JavaScript;PHP;Ruby</v>
      </c>
      <c r="M6146" s="9" t="s">
        <v>22</v>
      </c>
    </row>
    <row r="6147" ht="15.75" customHeight="1">
      <c r="A6147" s="7"/>
      <c r="B6147" s="7" t="str">
        <f>IFERROR(__xludf.DUMMYFUNCTION("""COMPUTED_VALUE"""),"Python;Other(s):")</f>
        <v>Python;Other(s):</v>
      </c>
      <c r="M6147" s="9" t="s">
        <v>26</v>
      </c>
    </row>
    <row r="6148" ht="15.75" customHeight="1">
      <c r="A6148" s="7"/>
      <c r="B6148" s="7" t="str">
        <f>IFERROR(__xludf.DUMMYFUNCTION("""COMPUTED_VALUE"""),"PHP")</f>
        <v>PHP</v>
      </c>
      <c r="M6148" s="9" t="s">
        <v>24</v>
      </c>
    </row>
    <row r="6149" ht="15.75" customHeight="1">
      <c r="A6149" s="7"/>
      <c r="B6149" s="7" t="str">
        <f>IFERROR(__xludf.DUMMYFUNCTION("""COMPUTED_VALUE"""),"C#;HTML/CSS;JavaScript;Python;SQL")</f>
        <v>C#;HTML/CSS;JavaScript;Python;SQL</v>
      </c>
      <c r="M6149" s="9" t="s">
        <v>20</v>
      </c>
    </row>
    <row r="6150" ht="15.75" customHeight="1">
      <c r="A6150" s="7"/>
      <c r="B6150" s="7" t="str">
        <f>IFERROR(__xludf.DUMMYFUNCTION("""COMPUTED_VALUE"""),"C++;Java")</f>
        <v>C++;Java</v>
      </c>
      <c r="M6150" s="9" t="s">
        <v>21</v>
      </c>
    </row>
    <row r="6151" ht="15.75" customHeight="1">
      <c r="A6151" s="7"/>
      <c r="B6151" s="7" t="str">
        <f>IFERROR(__xludf.DUMMYFUNCTION("""COMPUTED_VALUE"""),"C++;C#;HTML/CSS;Java;JavaScript;SQL;Other(s):")</f>
        <v>C++;C#;HTML/CSS;Java;JavaScript;SQL;Other(s):</v>
      </c>
      <c r="M6151" s="9" t="s">
        <v>27</v>
      </c>
    </row>
    <row r="6152" ht="15.75" customHeight="1">
      <c r="A6152" s="7"/>
      <c r="B6152" s="7" t="str">
        <f>IFERROR(__xludf.DUMMYFUNCTION("""COMPUTED_VALUE"""),"Java")</f>
        <v>Java</v>
      </c>
      <c r="M6152" s="9" t="s">
        <v>33</v>
      </c>
    </row>
    <row r="6153" ht="15.75" customHeight="1">
      <c r="A6153" s="7"/>
      <c r="B6153" s="7" t="str">
        <f>IFERROR(__xludf.DUMMYFUNCTION("""COMPUTED_VALUE"""),"HTML/CSS;JavaScript;PHP;SQL")</f>
        <v>HTML/CSS;JavaScript;PHP;SQL</v>
      </c>
      <c r="M6153" s="9" t="s">
        <v>30</v>
      </c>
    </row>
    <row r="6154" ht="15.75" customHeight="1">
      <c r="A6154" s="7"/>
      <c r="B6154" s="7" t="str">
        <f>IFERROR(__xludf.DUMMYFUNCTION("""COMPUTED_VALUE"""),"C#;HTML/CSS;JavaScript;PHP")</f>
        <v>C#;HTML/CSS;JavaScript;PHP</v>
      </c>
      <c r="M6154" s="9" t="s">
        <v>42</v>
      </c>
    </row>
    <row r="6155" ht="15.75" customHeight="1">
      <c r="A6155" s="7"/>
      <c r="B6155" s="7" t="str">
        <f>IFERROR(__xludf.DUMMYFUNCTION("""COMPUTED_VALUE"""),"C#;HTML/CSS;JavaScript;SQL")</f>
        <v>C#;HTML/CSS;JavaScript;SQL</v>
      </c>
      <c r="M6155" s="9" t="s">
        <v>43</v>
      </c>
    </row>
    <row r="6156" ht="15.75" customHeight="1">
      <c r="A6156" s="7"/>
      <c r="B6156" s="7" t="str">
        <f>IFERROR(__xludf.DUMMYFUNCTION("""COMPUTED_VALUE"""),"Bash/Shell/PowerShell;C;C++;C#;HTML/CSS;Java;JavaScript;Kotlin;Python;SQL")</f>
        <v>Bash/Shell/PowerShell;C;C++;C#;HTML/CSS;Java;JavaScript;Kotlin;Python;SQL</v>
      </c>
      <c r="M6156" s="9" t="s">
        <v>24</v>
      </c>
    </row>
    <row r="6157" ht="15.75" customHeight="1">
      <c r="A6157" s="7"/>
      <c r="B6157" s="7" t="str">
        <f>IFERROR(__xludf.DUMMYFUNCTION("""COMPUTED_VALUE"""),"HTML/CSS;JavaScript;PHP;Python;SQL")</f>
        <v>HTML/CSS;JavaScript;PHP;Python;SQL</v>
      </c>
      <c r="M6157" s="9" t="s">
        <v>20</v>
      </c>
    </row>
    <row r="6158" ht="15.75" customHeight="1">
      <c r="A6158" s="7"/>
      <c r="B6158" s="7" t="str">
        <f>IFERROR(__xludf.DUMMYFUNCTION("""COMPUTED_VALUE"""),"C++;Python")</f>
        <v>C++;Python</v>
      </c>
      <c r="M6158" s="9" t="s">
        <v>21</v>
      </c>
    </row>
    <row r="6159" ht="15.75" customHeight="1">
      <c r="A6159" s="7"/>
      <c r="B6159" s="7" t="str">
        <f>IFERROR(__xludf.DUMMYFUNCTION("""COMPUTED_VALUE"""),"HTML/CSS;Java;JavaScript;Ruby;SQL;Swift;TypeScript")</f>
        <v>HTML/CSS;Java;JavaScript;Ruby;SQL;Swift;TypeScript</v>
      </c>
      <c r="M6159" s="9" t="s">
        <v>39</v>
      </c>
    </row>
    <row r="6160" ht="15.75" customHeight="1">
      <c r="A6160" s="7"/>
      <c r="B6160" s="7" t="str">
        <f>IFERROR(__xludf.DUMMYFUNCTION("""COMPUTED_VALUE"""),"C++;C#;Go;HTML/CSS;JavaScript;Objective-C;PHP;Python;SQL;Swift")</f>
        <v>C++;C#;Go;HTML/CSS;JavaScript;Objective-C;PHP;Python;SQL;Swift</v>
      </c>
      <c r="M6160" s="9" t="s">
        <v>41</v>
      </c>
    </row>
    <row r="6161" ht="15.75" customHeight="1">
      <c r="A6161" s="7"/>
      <c r="B6161" s="7" t="str">
        <f>IFERROR(__xludf.DUMMYFUNCTION("""COMPUTED_VALUE"""),"Java")</f>
        <v>Java</v>
      </c>
      <c r="M6161" s="9" t="s">
        <v>22</v>
      </c>
    </row>
    <row r="6162" ht="15.75" customHeight="1">
      <c r="A6162" s="7"/>
      <c r="B6162" s="7" t="str">
        <f>IFERROR(__xludf.DUMMYFUNCTION("""COMPUTED_VALUE"""),"Python")</f>
        <v>Python</v>
      </c>
      <c r="M6162" s="9" t="s">
        <v>31</v>
      </c>
    </row>
    <row r="6163" ht="15.75" customHeight="1">
      <c r="A6163" s="7"/>
      <c r="B6163" s="7" t="str">
        <f>IFERROR(__xludf.DUMMYFUNCTION("""COMPUTED_VALUE"""),"C++;JavaScript;PHP;SQL")</f>
        <v>C++;JavaScript;PHP;SQL</v>
      </c>
      <c r="M6163" s="9" t="s">
        <v>46</v>
      </c>
    </row>
    <row r="6164" ht="15.75" customHeight="1">
      <c r="A6164" s="7"/>
      <c r="B6164" s="7" t="str">
        <f>IFERROR(__xludf.DUMMYFUNCTION("""COMPUTED_VALUE"""),"Bash/Shell/PowerShell;C;C#;Clojure;Elixir;HTML/CSS;Java;JavaScript;Objective-C;PHP;SQL;Swift;TypeScript")</f>
        <v>Bash/Shell/PowerShell;C;C#;Clojure;Elixir;HTML/CSS;Java;JavaScript;Objective-C;PHP;SQL;Swift;TypeScript</v>
      </c>
      <c r="M6164" s="9" t="s">
        <v>27</v>
      </c>
    </row>
    <row r="6165" ht="15.75" customHeight="1">
      <c r="A6165" s="7"/>
      <c r="B6165" s="7" t="str">
        <f>IFERROR(__xludf.DUMMYFUNCTION("""COMPUTED_VALUE"""),"Assembly;Bash/Shell/PowerShell;C;C++;Erlang;HTML/CSS;Java;JavaScript;PHP;Scala;SQL")</f>
        <v>Assembly;Bash/Shell/PowerShell;C;C++;Erlang;HTML/CSS;Java;JavaScript;PHP;Scala;SQL</v>
      </c>
      <c r="M6165" s="9" t="s">
        <v>40</v>
      </c>
    </row>
    <row r="6166" ht="15.75" customHeight="1">
      <c r="A6166" s="7"/>
      <c r="B6166" s="7" t="str">
        <f>IFERROR(__xludf.DUMMYFUNCTION("""COMPUTED_VALUE"""),"JavaScript;SQL;Other(s):")</f>
        <v>JavaScript;SQL;Other(s):</v>
      </c>
      <c r="M6166" s="9" t="s">
        <v>33</v>
      </c>
    </row>
    <row r="6167" ht="15.75" customHeight="1">
      <c r="A6167" s="7"/>
      <c r="B6167" s="7" t="str">
        <f>IFERROR(__xludf.DUMMYFUNCTION("""COMPUTED_VALUE"""),"Java;JavaScript;Kotlin;Python;R;Scala;TypeScript")</f>
        <v>Java;JavaScript;Kotlin;Python;R;Scala;TypeScript</v>
      </c>
      <c r="M6167" s="9" t="s">
        <v>35</v>
      </c>
    </row>
    <row r="6168" ht="15.75" customHeight="1">
      <c r="A6168" s="7"/>
      <c r="B6168" s="7" t="str">
        <f>IFERROR(__xludf.DUMMYFUNCTION("""COMPUTED_VALUE"""),"Bash/Shell/PowerShell;C")</f>
        <v>Bash/Shell/PowerShell;C</v>
      </c>
      <c r="M6168" s="9" t="s">
        <v>30</v>
      </c>
    </row>
    <row r="6169" ht="15.75" customHeight="1">
      <c r="A6169" s="7"/>
      <c r="B6169" s="7" t="str">
        <f>IFERROR(__xludf.DUMMYFUNCTION("""COMPUTED_VALUE"""),"Bash/Shell/PowerShell;Go;HTML/CSS;Java;JavaScript;Kotlin;Objective-C;Ruby")</f>
        <v>Bash/Shell/PowerShell;Go;HTML/CSS;Java;JavaScript;Kotlin;Objective-C;Ruby</v>
      </c>
      <c r="M6169" s="9" t="s">
        <v>26</v>
      </c>
    </row>
    <row r="6170" ht="15.75" customHeight="1">
      <c r="A6170" s="7"/>
      <c r="B6170" s="7" t="str">
        <f>IFERROR(__xludf.DUMMYFUNCTION("""COMPUTED_VALUE"""),"C#;HTML/CSS;PHP;SQL")</f>
        <v>C#;HTML/CSS;PHP;SQL</v>
      </c>
      <c r="M6170" s="9" t="s">
        <v>24</v>
      </c>
    </row>
    <row r="6171" ht="15.75" customHeight="1">
      <c r="A6171" s="7"/>
      <c r="B6171" s="7" t="str">
        <f>IFERROR(__xludf.DUMMYFUNCTION("""COMPUTED_VALUE"""),"Bash/Shell/PowerShell;C;HTML/CSS;Java;JavaScript;Kotlin;PHP;Python;SQL;VBA")</f>
        <v>Bash/Shell/PowerShell;C;HTML/CSS;Java;JavaScript;Kotlin;PHP;Python;SQL;VBA</v>
      </c>
      <c r="M6171" s="9" t="s">
        <v>21</v>
      </c>
    </row>
    <row r="6172" ht="15.75" customHeight="1">
      <c r="A6172" s="7"/>
      <c r="B6172" s="7" t="str">
        <f>IFERROR(__xludf.DUMMYFUNCTION("""COMPUTED_VALUE"""),"C;C++;HTML/CSS;Java;JavaScript;SQL")</f>
        <v>C;C++;HTML/CSS;Java;JavaScript;SQL</v>
      </c>
      <c r="M6172" s="9" t="s">
        <v>33</v>
      </c>
    </row>
    <row r="6173" ht="15.75" customHeight="1">
      <c r="A6173" s="7"/>
      <c r="B6173" s="7" t="str">
        <f>IFERROR(__xludf.DUMMYFUNCTION("""COMPUTED_VALUE"""),"Bash/Shell/PowerShell;HTML/CSS;JavaScript;PHP;SQL")</f>
        <v>Bash/Shell/PowerShell;HTML/CSS;JavaScript;PHP;SQL</v>
      </c>
      <c r="M6173" s="9" t="s">
        <v>26</v>
      </c>
    </row>
    <row r="6174" ht="15.75" customHeight="1">
      <c r="A6174" s="7"/>
      <c r="B6174" s="7" t="str">
        <f>IFERROR(__xludf.DUMMYFUNCTION("""COMPUTED_VALUE"""),"Bash/Shell/PowerShell;C++;C#;HTML/CSS;Java;JavaScript;TypeScript")</f>
        <v>Bash/Shell/PowerShell;C++;C#;HTML/CSS;Java;JavaScript;TypeScript</v>
      </c>
      <c r="M6174" s="9" t="s">
        <v>40</v>
      </c>
    </row>
    <row r="6175" ht="15.75" customHeight="1">
      <c r="A6175" s="7"/>
      <c r="B6175" s="7" t="str">
        <f>IFERROR(__xludf.DUMMYFUNCTION("""COMPUTED_VALUE"""),"C#;HTML/CSS;Java;JavaScript;SQL")</f>
        <v>C#;HTML/CSS;Java;JavaScript;SQL</v>
      </c>
      <c r="M6175" s="9" t="s">
        <v>25</v>
      </c>
    </row>
    <row r="6176" ht="15.75" customHeight="1">
      <c r="A6176" s="7"/>
      <c r="B6176" s="7" t="str">
        <f>IFERROR(__xludf.DUMMYFUNCTION("""COMPUTED_VALUE"""),"C#;Java;JavaScript;TypeScript")</f>
        <v>C#;Java;JavaScript;TypeScript</v>
      </c>
      <c r="M6176" s="9" t="s">
        <v>23</v>
      </c>
    </row>
    <row r="6177" ht="15.75" customHeight="1">
      <c r="A6177" s="7"/>
      <c r="B6177" s="7" t="str">
        <f>IFERROR(__xludf.DUMMYFUNCTION("""COMPUTED_VALUE"""),"Bash/Shell/PowerShell;Clojure;Dart;Go;HTML/CSS;Java;JavaScript;Python;SQL")</f>
        <v>Bash/Shell/PowerShell;Clojure;Dart;Go;HTML/CSS;Java;JavaScript;Python;SQL</v>
      </c>
      <c r="M6177" s="9" t="s">
        <v>20</v>
      </c>
    </row>
    <row r="6178" ht="15.75" customHeight="1">
      <c r="A6178" s="7"/>
      <c r="B6178" s="7" t="str">
        <f>IFERROR(__xludf.DUMMYFUNCTION("""COMPUTED_VALUE"""),"JavaScript;Python")</f>
        <v>JavaScript;Python</v>
      </c>
      <c r="M6178" s="9" t="s">
        <v>29</v>
      </c>
    </row>
    <row r="6179" ht="15.75" customHeight="1">
      <c r="A6179" s="7"/>
      <c r="B6179" s="7" t="str">
        <f>IFERROR(__xludf.DUMMYFUNCTION("""COMPUTED_VALUE"""),"Bash/Shell/PowerShell;HTML/CSS;PHP;Python;R;SQL")</f>
        <v>Bash/Shell/PowerShell;HTML/CSS;PHP;Python;R;SQL</v>
      </c>
      <c r="M6179" s="9" t="s">
        <v>30</v>
      </c>
    </row>
    <row r="6180" ht="15.75" customHeight="1">
      <c r="A6180" s="7"/>
      <c r="B6180" s="7" t="str">
        <f>IFERROR(__xludf.DUMMYFUNCTION("""COMPUTED_VALUE"""),"Bash/Shell/PowerShell;C#;HTML/CSS;Java;JavaScript;Objective-C;PHP;SQL;TypeScript")</f>
        <v>Bash/Shell/PowerShell;C#;HTML/CSS;Java;JavaScript;Objective-C;PHP;SQL;TypeScript</v>
      </c>
      <c r="M6180" s="9" t="s">
        <v>25</v>
      </c>
    </row>
    <row r="6181" ht="15.75" customHeight="1">
      <c r="A6181" s="7"/>
      <c r="B6181" s="7" t="str">
        <f>IFERROR(__xludf.DUMMYFUNCTION("""COMPUTED_VALUE"""),"Assembly;Bash/Shell/PowerShell;C++;Go;HTML/CSS;JavaScript;Python;Rust")</f>
        <v>Assembly;Bash/Shell/PowerShell;C++;Go;HTML/CSS;JavaScript;Python;Rust</v>
      </c>
      <c r="M6181" s="9" t="s">
        <v>23</v>
      </c>
    </row>
    <row r="6182" ht="15.75" customHeight="1">
      <c r="A6182" s="7"/>
      <c r="B6182" s="7" t="str">
        <f>IFERROR(__xludf.DUMMYFUNCTION("""COMPUTED_VALUE"""),"Bash/Shell/PowerShell;HTML/CSS;Java;JavaScript;SQL")</f>
        <v>Bash/Shell/PowerShell;HTML/CSS;Java;JavaScript;SQL</v>
      </c>
      <c r="M6182" s="9" t="s">
        <v>25</v>
      </c>
    </row>
    <row r="6183" ht="15.75" customHeight="1">
      <c r="A6183" s="7"/>
      <c r="B6183" s="7" t="str">
        <f>IFERROR(__xludf.DUMMYFUNCTION("""COMPUTED_VALUE"""),"JavaScript;Python")</f>
        <v>JavaScript;Python</v>
      </c>
      <c r="M6183" s="9" t="s">
        <v>23</v>
      </c>
    </row>
    <row r="6184" ht="15.75" customHeight="1">
      <c r="A6184" s="7"/>
      <c r="B6184" s="7" t="str">
        <f>IFERROR(__xludf.DUMMYFUNCTION("""COMPUTED_VALUE"""),"C++;C#;Python;R;TypeScript")</f>
        <v>C++;C#;Python;R;TypeScript</v>
      </c>
      <c r="M6184" s="9" t="s">
        <v>26</v>
      </c>
    </row>
    <row r="6185" ht="15.75" customHeight="1">
      <c r="A6185" s="7"/>
      <c r="B6185" s="7" t="str">
        <f>IFERROR(__xludf.DUMMYFUNCTION("""COMPUTED_VALUE"""),"Bash/Shell/PowerShell;C;C++;Dart;HTML/CSS;JavaScript;Python;Ruby;SQL")</f>
        <v>Bash/Shell/PowerShell;C;C++;Dart;HTML/CSS;JavaScript;Python;Ruby;SQL</v>
      </c>
      <c r="M6185" s="9" t="s">
        <v>45</v>
      </c>
    </row>
    <row r="6186" ht="15.75" customHeight="1">
      <c r="A6186" s="7"/>
      <c r="B6186" s="7" t="str">
        <f>IFERROR(__xludf.DUMMYFUNCTION("""COMPUTED_VALUE"""),"C++;C#;HTML/CSS;JavaScript")</f>
        <v>C++;C#;HTML/CSS;JavaScript</v>
      </c>
      <c r="M6186" s="9" t="s">
        <v>24</v>
      </c>
    </row>
    <row r="6187" ht="15.75" customHeight="1">
      <c r="A6187" s="7"/>
      <c r="B6187" s="7" t="str">
        <f>IFERROR(__xludf.DUMMYFUNCTION("""COMPUTED_VALUE"""),"HTML/CSS;Java;Python;SQL")</f>
        <v>HTML/CSS;Java;Python;SQL</v>
      </c>
      <c r="M6187" s="9" t="s">
        <v>20</v>
      </c>
    </row>
    <row r="6188" ht="15.75" customHeight="1">
      <c r="A6188" s="7"/>
      <c r="B6188" s="7" t="str">
        <f>IFERROR(__xludf.DUMMYFUNCTION("""COMPUTED_VALUE"""),"HTML/CSS;JavaScript")</f>
        <v>HTML/CSS;JavaScript</v>
      </c>
      <c r="M6188" s="9" t="s">
        <v>21</v>
      </c>
    </row>
    <row r="6189" ht="15.75" customHeight="1">
      <c r="A6189" s="7"/>
      <c r="B6189" s="7" t="str">
        <f>IFERROR(__xludf.DUMMYFUNCTION("""COMPUTED_VALUE"""),"C++;HTML/CSS;JavaScript;Python")</f>
        <v>C++;HTML/CSS;JavaScript;Python</v>
      </c>
      <c r="M6189" s="9" t="s">
        <v>39</v>
      </c>
    </row>
    <row r="6190" ht="15.75" customHeight="1">
      <c r="A6190" s="7"/>
      <c r="B6190" s="7" t="str">
        <f>IFERROR(__xludf.DUMMYFUNCTION("""COMPUTED_VALUE"""),"C#")</f>
        <v>C#</v>
      </c>
      <c r="M6190" s="9" t="s">
        <v>37</v>
      </c>
    </row>
    <row r="6191" ht="15.75" customHeight="1">
      <c r="A6191" s="7"/>
      <c r="B6191" s="7" t="str">
        <f>IFERROR(__xludf.DUMMYFUNCTION("""COMPUTED_VALUE"""),"HTML/CSS;JavaScript;PHP;SQL")</f>
        <v>HTML/CSS;JavaScript;PHP;SQL</v>
      </c>
      <c r="M6191" s="9" t="s">
        <v>27</v>
      </c>
    </row>
    <row r="6192" ht="15.75" customHeight="1">
      <c r="A6192" s="7"/>
      <c r="B6192" s="7" t="str">
        <f>IFERROR(__xludf.DUMMYFUNCTION("""COMPUTED_VALUE"""),"Bash/Shell/PowerShell;C#;HTML/CSS;JavaScript;SQL;TypeScript")</f>
        <v>Bash/Shell/PowerShell;C#;HTML/CSS;JavaScript;SQL;TypeScript</v>
      </c>
      <c r="M6192" s="9" t="s">
        <v>25</v>
      </c>
    </row>
    <row r="6193" ht="15.75" customHeight="1">
      <c r="A6193" s="7"/>
      <c r="B6193" s="7" t="str">
        <f>IFERROR(__xludf.DUMMYFUNCTION("""COMPUTED_VALUE"""),"Assembly;Bash/Shell/PowerShell;C;C++;C#;Clojure;F#;Go;Java")</f>
        <v>Assembly;Bash/Shell/PowerShell;C;C++;C#;Clojure;F#;Go;Java</v>
      </c>
      <c r="M6193" s="9" t="s">
        <v>23</v>
      </c>
    </row>
    <row r="6194" ht="15.75" customHeight="1">
      <c r="A6194" s="7"/>
      <c r="B6194" s="7" t="str">
        <f>IFERROR(__xludf.DUMMYFUNCTION("""COMPUTED_VALUE"""),"Bash/Shell/PowerShell;C;HTML/CSS;JavaScript;PHP;SQL")</f>
        <v>Bash/Shell/PowerShell;C;HTML/CSS;JavaScript;PHP;SQL</v>
      </c>
      <c r="M6194" s="9" t="s">
        <v>24</v>
      </c>
    </row>
    <row r="6195" ht="15.75" customHeight="1">
      <c r="A6195" s="7"/>
      <c r="B6195" s="7" t="str">
        <f>IFERROR(__xludf.DUMMYFUNCTION("""COMPUTED_VALUE"""),"Bash/Shell/PowerShell;C;C#;HTML/CSS;JavaScript;PHP")</f>
        <v>Bash/Shell/PowerShell;C;C#;HTML/CSS;JavaScript;PHP</v>
      </c>
      <c r="M6195" s="9" t="s">
        <v>20</v>
      </c>
    </row>
    <row r="6196" ht="15.75" customHeight="1">
      <c r="A6196" s="7"/>
      <c r="B6196" s="7" t="str">
        <f>IFERROR(__xludf.DUMMYFUNCTION("""COMPUTED_VALUE"""),"HTML/CSS;JavaScript")</f>
        <v>HTML/CSS;JavaScript</v>
      </c>
      <c r="M6196" s="9" t="s">
        <v>22</v>
      </c>
    </row>
    <row r="6197" ht="15.75" customHeight="1">
      <c r="A6197" s="7"/>
      <c r="B6197" s="7" t="str">
        <f>IFERROR(__xludf.DUMMYFUNCTION("""COMPUTED_VALUE"""),"Bash/Shell/PowerShell;HTML/CSS;JavaScript;Ruby;SQL")</f>
        <v>Bash/Shell/PowerShell;HTML/CSS;JavaScript;Ruby;SQL</v>
      </c>
      <c r="M6197" s="9" t="s">
        <v>24</v>
      </c>
    </row>
    <row r="6198" ht="15.75" customHeight="1">
      <c r="A6198" s="7"/>
      <c r="B6198" s="7" t="str">
        <f>IFERROR(__xludf.DUMMYFUNCTION("""COMPUTED_VALUE"""),"HTML/CSS;JavaScript;Python")</f>
        <v>HTML/CSS;JavaScript;Python</v>
      </c>
      <c r="M6198" s="9" t="s">
        <v>21</v>
      </c>
    </row>
    <row r="6199" ht="15.75" customHeight="1">
      <c r="A6199" s="7"/>
      <c r="B6199" s="7" t="str">
        <f>IFERROR(__xludf.DUMMYFUNCTION("""COMPUTED_VALUE"""),"Bash/Shell/PowerShell;C#;R")</f>
        <v>Bash/Shell/PowerShell;C#;R</v>
      </c>
      <c r="M6199" s="9" t="s">
        <v>37</v>
      </c>
    </row>
    <row r="6200" ht="15.75" customHeight="1">
      <c r="A6200" s="7"/>
      <c r="B6200" s="7" t="str">
        <f>IFERROR(__xludf.DUMMYFUNCTION("""COMPUTED_VALUE"""),"HTML/CSS;JavaScript;Python")</f>
        <v>HTML/CSS;JavaScript;Python</v>
      </c>
      <c r="M6200" s="9" t="s">
        <v>27</v>
      </c>
    </row>
    <row r="6201" ht="15.75" customHeight="1">
      <c r="A6201" s="7"/>
      <c r="B6201" s="7" t="str">
        <f>IFERROR(__xludf.DUMMYFUNCTION("""COMPUTED_VALUE"""),"C++;C#;HTML/CSS;JavaScript;SQL")</f>
        <v>C++;C#;HTML/CSS;JavaScript;SQL</v>
      </c>
      <c r="M6201" s="9" t="s">
        <v>26</v>
      </c>
    </row>
    <row r="6202" ht="15.75" customHeight="1">
      <c r="A6202" s="7"/>
      <c r="B6202" s="7" t="str">
        <f>IFERROR(__xludf.DUMMYFUNCTION("""COMPUTED_VALUE"""),"HTML/CSS;JavaScript;Ruby")</f>
        <v>HTML/CSS;JavaScript;Ruby</v>
      </c>
      <c r="M6202" s="9" t="s">
        <v>24</v>
      </c>
    </row>
    <row r="6203" ht="15.75" customHeight="1">
      <c r="A6203" s="7"/>
      <c r="B6203" s="7" t="str">
        <f>IFERROR(__xludf.DUMMYFUNCTION("""COMPUTED_VALUE"""),"Assembly;C++;Go;HTML/CSS;Java;Python;Swift")</f>
        <v>Assembly;C++;Go;HTML/CSS;Java;Python;Swift</v>
      </c>
      <c r="M6203" s="9" t="s">
        <v>21</v>
      </c>
    </row>
    <row r="6204" ht="15.75" customHeight="1">
      <c r="A6204" s="7"/>
      <c r="B6204" s="7" t="str">
        <f>IFERROR(__xludf.DUMMYFUNCTION("""COMPUTED_VALUE"""),"Bash/Shell/PowerShell;C++;HTML/CSS;JavaScript;PHP;SQL")</f>
        <v>Bash/Shell/PowerShell;C++;HTML/CSS;JavaScript;PHP;SQL</v>
      </c>
      <c r="M6204" s="9" t="s">
        <v>27</v>
      </c>
    </row>
    <row r="6205" ht="15.75" customHeight="1">
      <c r="A6205" s="7"/>
      <c r="B6205" s="7" t="str">
        <f>IFERROR(__xludf.DUMMYFUNCTION("""COMPUTED_VALUE"""),"Bash/Shell/PowerShell;C;C++;C#;Java;JavaScript;Python;Ruby;SQL")</f>
        <v>Bash/Shell/PowerShell;C;C++;C#;Java;JavaScript;Python;Ruby;SQL</v>
      </c>
      <c r="M6205" s="9" t="s">
        <v>33</v>
      </c>
    </row>
    <row r="6206" ht="15.75" customHeight="1">
      <c r="A6206" s="7"/>
      <c r="B6206" s="7" t="str">
        <f>IFERROR(__xludf.DUMMYFUNCTION("""COMPUTED_VALUE"""),"Python")</f>
        <v>Python</v>
      </c>
      <c r="M6206" s="9" t="s">
        <v>23</v>
      </c>
    </row>
    <row r="6207" ht="15.75" customHeight="1">
      <c r="A6207" s="7"/>
      <c r="B6207" s="7" t="str">
        <f>IFERROR(__xludf.DUMMYFUNCTION("""COMPUTED_VALUE"""),"HTML/CSS;Java;JavaScript;SQL;TypeScript")</f>
        <v>HTML/CSS;Java;JavaScript;SQL;TypeScript</v>
      </c>
      <c r="M6207" s="9" t="s">
        <v>35</v>
      </c>
    </row>
    <row r="6208" ht="15.75" customHeight="1">
      <c r="A6208" s="7"/>
      <c r="B6208" s="7" t="str">
        <f>IFERROR(__xludf.DUMMYFUNCTION("""COMPUTED_VALUE"""),"HTML/CSS;Java;JavaScript;PHP;SQL;Other(s):")</f>
        <v>HTML/CSS;Java;JavaScript;PHP;SQL;Other(s):</v>
      </c>
      <c r="M6208" s="9" t="s">
        <v>24</v>
      </c>
    </row>
    <row r="6209" ht="15.75" customHeight="1">
      <c r="A6209" s="7"/>
      <c r="B6209" s="7" t="str">
        <f>IFERROR(__xludf.DUMMYFUNCTION("""COMPUTED_VALUE"""),"Bash/Shell/PowerShell;HTML/CSS;JavaScript;PHP;SQL")</f>
        <v>Bash/Shell/PowerShell;HTML/CSS;JavaScript;PHP;SQL</v>
      </c>
      <c r="M6209" s="9" t="s">
        <v>21</v>
      </c>
    </row>
    <row r="6210" ht="15.75" customHeight="1">
      <c r="A6210" s="7"/>
      <c r="B6210" s="7" t="str">
        <f>IFERROR(__xludf.DUMMYFUNCTION("""COMPUTED_VALUE"""),"Bash/Shell/PowerShell;Elixir;HTML/CSS;JavaScript;Ruby;SQL")</f>
        <v>Bash/Shell/PowerShell;Elixir;HTML/CSS;JavaScript;Ruby;SQL</v>
      </c>
      <c r="M6210" s="9" t="s">
        <v>37</v>
      </c>
    </row>
    <row r="6211" ht="15.75" customHeight="1">
      <c r="A6211" s="7"/>
      <c r="B6211" s="7" t="str">
        <f>IFERROR(__xludf.DUMMYFUNCTION("""COMPUTED_VALUE"""),"Bash/Shell/PowerShell;C++;C#;HTML/CSS;Java;JavaScript;Ruby;Scala;SQL")</f>
        <v>Bash/Shell/PowerShell;C++;C#;HTML/CSS;Java;JavaScript;Ruby;Scala;SQL</v>
      </c>
      <c r="M6211" s="9" t="s">
        <v>30</v>
      </c>
    </row>
    <row r="6212" ht="15.75" customHeight="1">
      <c r="A6212" s="7"/>
      <c r="B6212" s="7" t="str">
        <f>IFERROR(__xludf.DUMMYFUNCTION("""COMPUTED_VALUE"""),"Assembly;Bash/Shell/PowerShell;HTML/CSS;Java;JavaScript;PHP;Ruby;SQL")</f>
        <v>Assembly;Bash/Shell/PowerShell;HTML/CSS;Java;JavaScript;PHP;Ruby;SQL</v>
      </c>
      <c r="M6212" s="9" t="s">
        <v>24</v>
      </c>
    </row>
    <row r="6213" ht="15.75" customHeight="1">
      <c r="A6213" s="7"/>
      <c r="B6213" s="7" t="str">
        <f>IFERROR(__xludf.DUMMYFUNCTION("""COMPUTED_VALUE"""),"Bash/Shell/PowerShell;C;Python")</f>
        <v>Bash/Shell/PowerShell;C;Python</v>
      </c>
      <c r="M6213" s="9" t="s">
        <v>22</v>
      </c>
    </row>
    <row r="6214" ht="15.75" customHeight="1">
      <c r="A6214" s="7"/>
      <c r="B6214" s="7" t="str">
        <f>IFERROR(__xludf.DUMMYFUNCTION("""COMPUTED_VALUE"""),"HTML/CSS;Java;JavaScript")</f>
        <v>HTML/CSS;Java;JavaScript</v>
      </c>
      <c r="M6214" s="9" t="s">
        <v>20</v>
      </c>
    </row>
    <row r="6215" ht="15.75" customHeight="1">
      <c r="A6215" s="7"/>
      <c r="B6215" s="7" t="str">
        <f>IFERROR(__xludf.DUMMYFUNCTION("""COMPUTED_VALUE"""),"C#;HTML/CSS;JavaScript;SQL")</f>
        <v>C#;HTML/CSS;JavaScript;SQL</v>
      </c>
      <c r="M6215" s="9" t="s">
        <v>39</v>
      </c>
    </row>
    <row r="6216" ht="15.75" customHeight="1">
      <c r="A6216" s="7"/>
      <c r="B6216" s="7" t="str">
        <f>IFERROR(__xludf.DUMMYFUNCTION("""COMPUTED_VALUE"""),"HTML/CSS;Java;JavaScript;TypeScript")</f>
        <v>HTML/CSS;Java;JavaScript;TypeScript</v>
      </c>
      <c r="M6216" s="9" t="s">
        <v>41</v>
      </c>
    </row>
    <row r="6217" ht="15.75" customHeight="1">
      <c r="A6217" s="7"/>
      <c r="B6217" s="7" t="str">
        <f>IFERROR(__xludf.DUMMYFUNCTION("""COMPUTED_VALUE"""),"Bash/Shell/PowerShell;C#;HTML/CSS;JavaScript;Python;Other(s):")</f>
        <v>Bash/Shell/PowerShell;C#;HTML/CSS;JavaScript;Python;Other(s):</v>
      </c>
      <c r="M6217" s="9" t="s">
        <v>40</v>
      </c>
    </row>
    <row r="6218" ht="15.75" customHeight="1">
      <c r="A6218" s="7"/>
      <c r="B6218" s="7" t="str">
        <f>IFERROR(__xludf.DUMMYFUNCTION("""COMPUTED_VALUE"""),"Assembly;C;C++;HTML/CSS;Java;JavaScript;PHP;R;SQL;VBA;WebAssembly;Other(s):")</f>
        <v>Assembly;C;C++;HTML/CSS;Java;JavaScript;PHP;R;SQL;VBA;WebAssembly;Other(s):</v>
      </c>
      <c r="M6218" s="9" t="s">
        <v>25</v>
      </c>
    </row>
    <row r="6219" ht="15.75" customHeight="1">
      <c r="A6219" s="7"/>
      <c r="B6219" s="7" t="str">
        <f>IFERROR(__xludf.DUMMYFUNCTION("""COMPUTED_VALUE"""),"Bash/Shell/PowerShell;Python")</f>
        <v>Bash/Shell/PowerShell;Python</v>
      </c>
      <c r="M6219" s="9" t="s">
        <v>23</v>
      </c>
    </row>
    <row r="6220" ht="15.75" customHeight="1">
      <c r="A6220" s="7"/>
      <c r="B6220" s="7" t="str">
        <f>IFERROR(__xludf.DUMMYFUNCTION("""COMPUTED_VALUE"""),"Dart;Java;JavaScript;Python")</f>
        <v>Dart;Java;JavaScript;Python</v>
      </c>
      <c r="M6220" s="9" t="s">
        <v>26</v>
      </c>
    </row>
    <row r="6221" ht="15.75" customHeight="1">
      <c r="A6221" s="7"/>
      <c r="B6221" s="7" t="str">
        <f>IFERROR(__xludf.DUMMYFUNCTION("""COMPUTED_VALUE"""),"Bash/Shell/PowerShell;HTML/CSS;Java;JavaScript")</f>
        <v>Bash/Shell/PowerShell;HTML/CSS;Java;JavaScript</v>
      </c>
      <c r="M6221" s="9" t="s">
        <v>24</v>
      </c>
    </row>
    <row r="6222" ht="15.75" customHeight="1">
      <c r="A6222" s="7"/>
      <c r="B6222" s="7" t="str">
        <f>IFERROR(__xludf.DUMMYFUNCTION("""COMPUTED_VALUE"""),"HTML/CSS;Java;JavaScript")</f>
        <v>HTML/CSS;Java;JavaScript</v>
      </c>
      <c r="M6222" s="9" t="s">
        <v>21</v>
      </c>
    </row>
    <row r="6223" ht="15.75" customHeight="1">
      <c r="A6223" s="7"/>
      <c r="B6223" s="7" t="str">
        <f>IFERROR(__xludf.DUMMYFUNCTION("""COMPUTED_VALUE"""),"Dart;HTML/CSS;Java;JavaScript;PHP;Python")</f>
        <v>Dart;HTML/CSS;Java;JavaScript;PHP;Python</v>
      </c>
      <c r="M6223" s="9" t="s">
        <v>37</v>
      </c>
    </row>
    <row r="6224" ht="15.75" customHeight="1">
      <c r="A6224" s="7"/>
      <c r="B6224" s="7" t="str">
        <f>IFERROR(__xludf.DUMMYFUNCTION("""COMPUTED_VALUE"""),"Bash/Shell/PowerShell;HTML/CSS;JavaScript;Python;SQL")</f>
        <v>Bash/Shell/PowerShell;HTML/CSS;JavaScript;Python;SQL</v>
      </c>
      <c r="M6224" s="9" t="s">
        <v>27</v>
      </c>
    </row>
    <row r="6225" ht="15.75" customHeight="1">
      <c r="A6225" s="7"/>
      <c r="B6225" s="7" t="str">
        <f>IFERROR(__xludf.DUMMYFUNCTION("""COMPUTED_VALUE"""),"C;HTML/CSS;JavaScript;Python")</f>
        <v>C;HTML/CSS;JavaScript;Python</v>
      </c>
      <c r="M6225" s="9" t="s">
        <v>33</v>
      </c>
    </row>
    <row r="6226" ht="15.75" customHeight="1">
      <c r="A6226" s="7"/>
      <c r="B6226" s="7" t="str">
        <f>IFERROR(__xludf.DUMMYFUNCTION("""COMPUTED_VALUE"""),"Bash/Shell/PowerShell;C++;C#;Go;HTML/CSS;JavaScript;Python;SQL;Other(s):")</f>
        <v>Bash/Shell/PowerShell;C++;C#;Go;HTML/CSS;JavaScript;Python;SQL;Other(s):</v>
      </c>
      <c r="M6226" s="9" t="s">
        <v>24</v>
      </c>
    </row>
    <row r="6227" ht="15.75" customHeight="1">
      <c r="A6227" s="7"/>
      <c r="B6227" s="7" t="str">
        <f>IFERROR(__xludf.DUMMYFUNCTION("""COMPUTED_VALUE"""),"Bash/Shell/PowerShell;C#;HTML/CSS;JavaScript;PHP;SQL;Swift")</f>
        <v>Bash/Shell/PowerShell;C#;HTML/CSS;JavaScript;PHP;SQL;Swift</v>
      </c>
      <c r="M6227" s="9" t="s">
        <v>21</v>
      </c>
    </row>
    <row r="6228" ht="15.75" customHeight="1">
      <c r="A6228" s="7"/>
      <c r="B6228" s="7" t="str">
        <f>IFERROR(__xludf.DUMMYFUNCTION("""COMPUTED_VALUE"""),"C;C++;C#;HTML/CSS;PHP")</f>
        <v>C;C++;C#;HTML/CSS;PHP</v>
      </c>
      <c r="M6228" s="9" t="s">
        <v>30</v>
      </c>
    </row>
    <row r="6229" ht="15.75" customHeight="1">
      <c r="A6229" s="7"/>
      <c r="B6229" s="7" t="str">
        <f>IFERROR(__xludf.DUMMYFUNCTION("""COMPUTED_VALUE"""),"C;HTML/CSS;Java;JavaScript;Python;R;TypeScript")</f>
        <v>C;HTML/CSS;Java;JavaScript;Python;R;TypeScript</v>
      </c>
      <c r="M6229" s="9" t="s">
        <v>25</v>
      </c>
    </row>
    <row r="6230" ht="15.75" customHeight="1">
      <c r="A6230" s="7"/>
      <c r="B6230" s="7" t="str">
        <f>IFERROR(__xludf.DUMMYFUNCTION("""COMPUTED_VALUE"""),"Java")</f>
        <v>Java</v>
      </c>
      <c r="M6230" s="9" t="s">
        <v>26</v>
      </c>
    </row>
    <row r="6231" ht="15.75" customHeight="1">
      <c r="A6231" s="7"/>
      <c r="B6231" s="7" t="str">
        <f>IFERROR(__xludf.DUMMYFUNCTION("""COMPUTED_VALUE"""),"Bash/Shell/PowerShell;C++;HTML/CSS;Java;Python")</f>
        <v>Bash/Shell/PowerShell;C++;HTML/CSS;Java;Python</v>
      </c>
      <c r="M6231" s="9" t="s">
        <v>24</v>
      </c>
    </row>
    <row r="6232" ht="15.75" customHeight="1">
      <c r="A6232" s="7"/>
      <c r="B6232" s="7" t="str">
        <f>IFERROR(__xludf.DUMMYFUNCTION("""COMPUTED_VALUE"""),"Bash/Shell/PowerShell;HTML/CSS;JavaScript;Objective-C;PHP")</f>
        <v>Bash/Shell/PowerShell;HTML/CSS;JavaScript;Objective-C;PHP</v>
      </c>
      <c r="M6232" s="9" t="s">
        <v>20</v>
      </c>
    </row>
    <row r="6233" ht="15.75" customHeight="1">
      <c r="A6233" s="7"/>
      <c r="B6233" s="7" t="str">
        <f>IFERROR(__xludf.DUMMYFUNCTION("""COMPUTED_VALUE"""),"Bash/Shell/PowerShell;HTML/CSS;Java;JavaScript;Python;SQL")</f>
        <v>Bash/Shell/PowerShell;HTML/CSS;Java;JavaScript;Python;SQL</v>
      </c>
      <c r="M6233" s="9" t="s">
        <v>21</v>
      </c>
    </row>
    <row r="6234" ht="15.75" customHeight="1">
      <c r="A6234" s="7"/>
      <c r="B6234" s="7" t="str">
        <f>IFERROR(__xludf.DUMMYFUNCTION("""COMPUTED_VALUE"""),"C;C++;C#;HTML/CSS;Java;JavaScript;Kotlin;PHP;Python;SQL;VBA")</f>
        <v>C;C++;C#;HTML/CSS;Java;JavaScript;Kotlin;PHP;Python;SQL;VBA</v>
      </c>
      <c r="M6234" s="9" t="s">
        <v>22</v>
      </c>
    </row>
    <row r="6235" ht="15.75" customHeight="1">
      <c r="A6235" s="7"/>
      <c r="B6235" s="7" t="str">
        <f>IFERROR(__xludf.DUMMYFUNCTION("""COMPUTED_VALUE"""),"Bash/Shell/PowerShell;Clojure;Erlang;Go;HTML/CSS;JavaScript;Python")</f>
        <v>Bash/Shell/PowerShell;Clojure;Erlang;Go;HTML/CSS;JavaScript;Python</v>
      </c>
      <c r="M6235" s="9" t="s">
        <v>27</v>
      </c>
    </row>
    <row r="6236" ht="15.75" customHeight="1">
      <c r="A6236" s="7"/>
      <c r="B6236" s="7" t="str">
        <f>IFERROR(__xludf.DUMMYFUNCTION("""COMPUTED_VALUE"""),"Bash/Shell/PowerShell;Java;JavaScript;PHP;Python;Scala;SQL")</f>
        <v>Bash/Shell/PowerShell;Java;JavaScript;PHP;Python;Scala;SQL</v>
      </c>
      <c r="M6236" s="9" t="s">
        <v>30</v>
      </c>
    </row>
    <row r="6237" ht="15.75" customHeight="1">
      <c r="A6237" s="7"/>
      <c r="B6237" s="7" t="str">
        <f>IFERROR(__xludf.DUMMYFUNCTION("""COMPUTED_VALUE"""),"C;C++;HTML/CSS;JavaScript;PHP;SQL;TypeScript")</f>
        <v>C;C++;HTML/CSS;JavaScript;PHP;SQL;TypeScript</v>
      </c>
      <c r="M6237" s="9" t="s">
        <v>25</v>
      </c>
    </row>
    <row r="6238" ht="15.75" customHeight="1">
      <c r="A6238" s="7"/>
      <c r="B6238" s="7" t="str">
        <f>IFERROR(__xludf.DUMMYFUNCTION("""COMPUTED_VALUE"""),"Go;Java")</f>
        <v>Go;Java</v>
      </c>
      <c r="M6238" s="9" t="s">
        <v>23</v>
      </c>
    </row>
    <row r="6239" ht="15.75" customHeight="1">
      <c r="A6239" s="7"/>
      <c r="B6239" s="7" t="str">
        <f>IFERROR(__xludf.DUMMYFUNCTION("""COMPUTED_VALUE"""),"Bash/Shell/PowerShell;C++;HTML/CSS;Java;JavaScript;Python;SQL;Other(s):")</f>
        <v>Bash/Shell/PowerShell;C++;HTML/CSS;Java;JavaScript;Python;SQL;Other(s):</v>
      </c>
      <c r="M6239" s="9" t="s">
        <v>26</v>
      </c>
    </row>
    <row r="6240" ht="15.75" customHeight="1">
      <c r="A6240" s="7"/>
      <c r="B6240" s="7" t="str">
        <f>IFERROR(__xludf.DUMMYFUNCTION("""COMPUTED_VALUE"""),"Go;Java;Python")</f>
        <v>Go;Java;Python</v>
      </c>
      <c r="M6240" s="9" t="s">
        <v>24</v>
      </c>
    </row>
    <row r="6241" ht="15.75" customHeight="1">
      <c r="A6241" s="7"/>
      <c r="B6241" s="7" t="str">
        <f>IFERROR(__xludf.DUMMYFUNCTION("""COMPUTED_VALUE"""),"HTML/CSS;JavaScript")</f>
        <v>HTML/CSS;JavaScript</v>
      </c>
      <c r="M6241" s="9" t="s">
        <v>20</v>
      </c>
    </row>
    <row r="6242" ht="15.75" customHeight="1">
      <c r="A6242" s="7"/>
      <c r="B6242" s="7" t="str">
        <f>IFERROR(__xludf.DUMMYFUNCTION("""COMPUTED_VALUE"""),"Bash/Shell/PowerShell;HTML/CSS;Java;JavaScript;Objective-C;SQL;Swift")</f>
        <v>Bash/Shell/PowerShell;HTML/CSS;Java;JavaScript;Objective-C;SQL;Swift</v>
      </c>
      <c r="M6242" s="9" t="s">
        <v>21</v>
      </c>
    </row>
    <row r="6243" ht="15.75" customHeight="1">
      <c r="A6243" s="7"/>
      <c r="B6243" s="7" t="str">
        <f>IFERROR(__xludf.DUMMYFUNCTION("""COMPUTED_VALUE"""),"Bash/Shell/PowerShell;C;Java;Python")</f>
        <v>Bash/Shell/PowerShell;C;Java;Python</v>
      </c>
      <c r="M6243" s="9" t="s">
        <v>22</v>
      </c>
    </row>
    <row r="6244" ht="15.75" customHeight="1">
      <c r="A6244" s="7"/>
      <c r="B6244" s="7" t="str">
        <f>IFERROR(__xludf.DUMMYFUNCTION("""COMPUTED_VALUE"""),"C++;JavaScript;Swift")</f>
        <v>C++;JavaScript;Swift</v>
      </c>
      <c r="M6244" s="9" t="s">
        <v>29</v>
      </c>
    </row>
    <row r="6245" ht="15.75" customHeight="1">
      <c r="A6245" s="7"/>
      <c r="B6245" s="7" t="str">
        <f>IFERROR(__xludf.DUMMYFUNCTION("""COMPUTED_VALUE"""),"C;C++;HTML/CSS;Java;JavaScript;Python;SQL")</f>
        <v>C;C++;HTML/CSS;Java;JavaScript;Python;SQL</v>
      </c>
      <c r="M6245" s="9" t="s">
        <v>27</v>
      </c>
    </row>
    <row r="6246" ht="15.75" customHeight="1">
      <c r="A6246" s="7"/>
      <c r="B6246" s="7" t="str">
        <f>IFERROR(__xludf.DUMMYFUNCTION("""COMPUTED_VALUE"""),"C#;HTML/CSS;JavaScript;SQL")</f>
        <v>C#;HTML/CSS;JavaScript;SQL</v>
      </c>
      <c r="M6246" s="9" t="s">
        <v>40</v>
      </c>
    </row>
    <row r="6247" ht="15.75" customHeight="1">
      <c r="A6247" s="7"/>
      <c r="B6247" s="7" t="str">
        <f>IFERROR(__xludf.DUMMYFUNCTION("""COMPUTED_VALUE"""),"C;C++;C#;Java;PHP")</f>
        <v>C;C++;C#;Java;PHP</v>
      </c>
      <c r="M6247" s="9" t="s">
        <v>30</v>
      </c>
    </row>
    <row r="6248" ht="15.75" customHeight="1">
      <c r="A6248" s="7"/>
      <c r="B6248" s="7" t="str">
        <f>IFERROR(__xludf.DUMMYFUNCTION("""COMPUTED_VALUE"""),"C++;HTML/CSS;Python;SQL")</f>
        <v>C++;HTML/CSS;Python;SQL</v>
      </c>
      <c r="M6248" s="9" t="s">
        <v>26</v>
      </c>
    </row>
    <row r="6249" ht="15.75" customHeight="1">
      <c r="A6249" s="7"/>
      <c r="B6249" s="7" t="str">
        <f>IFERROR(__xludf.DUMMYFUNCTION("""COMPUTED_VALUE"""),"Bash/Shell/PowerShell;HTML/CSS;JavaScript;PHP;Python;SQL;TypeScript")</f>
        <v>Bash/Shell/PowerShell;HTML/CSS;JavaScript;PHP;Python;SQL;TypeScript</v>
      </c>
      <c r="M6249" s="9" t="s">
        <v>24</v>
      </c>
    </row>
    <row r="6250" ht="15.75" customHeight="1">
      <c r="A6250" s="7"/>
      <c r="B6250" s="7" t="str">
        <f>IFERROR(__xludf.DUMMYFUNCTION("""COMPUTED_VALUE"""),"C++;Java;Kotlin")</f>
        <v>C++;Java;Kotlin</v>
      </c>
      <c r="M6250" s="9" t="s">
        <v>21</v>
      </c>
    </row>
    <row r="6251" ht="15.75" customHeight="1">
      <c r="A6251" s="7"/>
      <c r="B6251" s="7" t="str">
        <f>IFERROR(__xludf.DUMMYFUNCTION("""COMPUTED_VALUE"""),"Java;Objective-C;Swift")</f>
        <v>Java;Objective-C;Swift</v>
      </c>
      <c r="M6251" s="9" t="s">
        <v>22</v>
      </c>
    </row>
    <row r="6252" ht="15.75" customHeight="1">
      <c r="A6252" s="7"/>
      <c r="B6252" s="7" t="str">
        <f>IFERROR(__xludf.DUMMYFUNCTION("""COMPUTED_VALUE"""),"C++;HTML/CSS;Java;JavaScript;Python")</f>
        <v>C++;HTML/CSS;Java;JavaScript;Python</v>
      </c>
      <c r="M6252" s="9" t="s">
        <v>33</v>
      </c>
    </row>
    <row r="6253" ht="15.75" customHeight="1">
      <c r="A6253" s="7"/>
      <c r="B6253" s="7" t="str">
        <f>IFERROR(__xludf.DUMMYFUNCTION("""COMPUTED_VALUE"""),"JavaScript;Kotlin;PHP")</f>
        <v>JavaScript;Kotlin;PHP</v>
      </c>
      <c r="M6253" s="9" t="s">
        <v>25</v>
      </c>
    </row>
    <row r="6254" ht="15.75" customHeight="1">
      <c r="A6254" s="7"/>
      <c r="B6254" s="7" t="str">
        <f>IFERROR(__xludf.DUMMYFUNCTION("""COMPUTED_VALUE"""),"Python;R")</f>
        <v>Python;R</v>
      </c>
      <c r="M6254" s="9" t="s">
        <v>23</v>
      </c>
    </row>
    <row r="6255" ht="15.75" customHeight="1">
      <c r="A6255" s="7"/>
      <c r="B6255" s="7" t="str">
        <f>IFERROR(__xludf.DUMMYFUNCTION("""COMPUTED_VALUE"""),"Bash/Shell/PowerShell;HTML/CSS;Java;JavaScript;Python;SQL;TypeScript")</f>
        <v>Bash/Shell/PowerShell;HTML/CSS;Java;JavaScript;Python;SQL;TypeScript</v>
      </c>
      <c r="M6255" s="9" t="s">
        <v>26</v>
      </c>
    </row>
    <row r="6256" ht="15.75" customHeight="1">
      <c r="A6256" s="7"/>
      <c r="B6256" s="7" t="str">
        <f>IFERROR(__xludf.DUMMYFUNCTION("""COMPUTED_VALUE"""),"C;C++;HTML/CSS;Java;PHP;SQL")</f>
        <v>C;C++;HTML/CSS;Java;PHP;SQL</v>
      </c>
      <c r="M6256" s="9" t="s">
        <v>47</v>
      </c>
    </row>
    <row r="6257" ht="15.75" customHeight="1">
      <c r="A6257" s="7"/>
      <c r="B6257" s="7" t="str">
        <f>IFERROR(__xludf.DUMMYFUNCTION("""COMPUTED_VALUE"""),"Go;HTML/CSS;JavaScript;TypeScript")</f>
        <v>Go;HTML/CSS;JavaScript;TypeScript</v>
      </c>
      <c r="M6257" s="9" t="s">
        <v>20</v>
      </c>
    </row>
    <row r="6258" ht="15.75" customHeight="1">
      <c r="A6258" s="7"/>
      <c r="B6258" s="7" t="str">
        <f>IFERROR(__xludf.DUMMYFUNCTION("""COMPUTED_VALUE"""),"C#;HTML/CSS;JavaScript;Python;SQL")</f>
        <v>C#;HTML/CSS;JavaScript;Python;SQL</v>
      </c>
      <c r="M6258" s="9" t="s">
        <v>25</v>
      </c>
    </row>
    <row r="6259" ht="15.75" customHeight="1">
      <c r="A6259" s="7"/>
      <c r="B6259" s="7" t="str">
        <f>IFERROR(__xludf.DUMMYFUNCTION("""COMPUTED_VALUE"""),"Assembly;C;C++;HTML/CSS;JavaScript;Python;Ruby;Rust;SQL")</f>
        <v>Assembly;C;C++;HTML/CSS;JavaScript;Python;Ruby;Rust;SQL</v>
      </c>
      <c r="M6259" s="9" t="s">
        <v>41</v>
      </c>
    </row>
    <row r="6260" ht="15.75" customHeight="1">
      <c r="A6260" s="7"/>
      <c r="B6260" s="7" t="str">
        <f>IFERROR(__xludf.DUMMYFUNCTION("""COMPUTED_VALUE"""),"Bash/Shell/PowerShell;C#;HTML/CSS;Java;JavaScript;Python;Ruby;SQL")</f>
        <v>Bash/Shell/PowerShell;C#;HTML/CSS;Java;JavaScript;Python;Ruby;SQL</v>
      </c>
      <c r="M6260" s="9" t="s">
        <v>30</v>
      </c>
    </row>
    <row r="6261" ht="15.75" customHeight="1">
      <c r="A6261" s="7"/>
      <c r="B6261" s="7" t="str">
        <f>IFERROR(__xludf.DUMMYFUNCTION("""COMPUTED_VALUE"""),"Bash/Shell/PowerShell;Elixir;HTML/CSS;Java;JavaScript;PHP;Python;SQL;Swift;VBA")</f>
        <v>Bash/Shell/PowerShell;Elixir;HTML/CSS;Java;JavaScript;PHP;Python;SQL;Swift;VBA</v>
      </c>
      <c r="M6261" s="9" t="s">
        <v>25</v>
      </c>
    </row>
    <row r="6262" ht="15.75" customHeight="1">
      <c r="A6262" s="7"/>
      <c r="B6262" s="7" t="str">
        <f>IFERROR(__xludf.DUMMYFUNCTION("""COMPUTED_VALUE"""),"Bash/Shell/PowerShell;HTML/CSS;Objective-C;Python;Swift")</f>
        <v>Bash/Shell/PowerShell;HTML/CSS;Objective-C;Python;Swift</v>
      </c>
      <c r="M6262" s="9" t="s">
        <v>23</v>
      </c>
    </row>
    <row r="6263" ht="15.75" customHeight="1">
      <c r="A6263" s="7"/>
      <c r="B6263" s="7" t="str">
        <f>IFERROR(__xludf.DUMMYFUNCTION("""COMPUTED_VALUE"""),"Bash/Shell/PowerShell;C#;HTML/CSS;JavaScript;TypeScript")</f>
        <v>Bash/Shell/PowerShell;C#;HTML/CSS;JavaScript;TypeScript</v>
      </c>
      <c r="M6263" s="9" t="s">
        <v>22</v>
      </c>
    </row>
    <row r="6264" ht="15.75" customHeight="1">
      <c r="A6264" s="7"/>
      <c r="B6264" s="7" t="str">
        <f>IFERROR(__xludf.DUMMYFUNCTION("""COMPUTED_VALUE"""),"Java;JavaScript;PHP")</f>
        <v>Java;JavaScript;PHP</v>
      </c>
      <c r="M6264" s="9" t="s">
        <v>30</v>
      </c>
    </row>
    <row r="6265" ht="15.75" customHeight="1">
      <c r="A6265" s="7"/>
      <c r="B6265" s="7" t="str">
        <f>IFERROR(__xludf.DUMMYFUNCTION("""COMPUTED_VALUE"""),"HTML/CSS;Java;JavaScript;PHP;Python;SQL")</f>
        <v>HTML/CSS;Java;JavaScript;PHP;Python;SQL</v>
      </c>
      <c r="M6265" s="9" t="s">
        <v>25</v>
      </c>
    </row>
    <row r="6266" ht="15.75" customHeight="1">
      <c r="A6266" s="7"/>
      <c r="B6266" s="7" t="str">
        <f>IFERROR(__xludf.DUMMYFUNCTION("""COMPUTED_VALUE"""),"C;HTML/CSS;Java")</f>
        <v>C;HTML/CSS;Java</v>
      </c>
      <c r="M6266" s="9" t="s">
        <v>23</v>
      </c>
    </row>
    <row r="6267" ht="15.75" customHeight="1">
      <c r="A6267" s="7"/>
      <c r="B6267" s="7" t="str">
        <f>IFERROR(__xludf.DUMMYFUNCTION("""COMPUTED_VALUE"""),"Assembly;Bash/Shell/PowerShell;C;C++;HTML/CSS;Java;JavaScript;PHP;Python;SQL")</f>
        <v>Assembly;Bash/Shell/PowerShell;C;C++;HTML/CSS;Java;JavaScript;PHP;Python;SQL</v>
      </c>
      <c r="M6267" s="9" t="s">
        <v>26</v>
      </c>
    </row>
    <row r="6268" ht="15.75" customHeight="1">
      <c r="A6268" s="7"/>
      <c r="B6268" s="7" t="str">
        <f>IFERROR(__xludf.DUMMYFUNCTION("""COMPUTED_VALUE"""),"C#;JavaScript;SQL;Other(s):")</f>
        <v>C#;JavaScript;SQL;Other(s):</v>
      </c>
      <c r="M6268" s="9" t="s">
        <v>42</v>
      </c>
    </row>
    <row r="6269" ht="15.75" customHeight="1">
      <c r="A6269" s="7"/>
      <c r="B6269" s="7" t="str">
        <f>IFERROR(__xludf.DUMMYFUNCTION("""COMPUTED_VALUE"""),"Assembly;C;Elixir;Go;Java;JavaScript;PHP;Python;Rust;TypeScript")</f>
        <v>Assembly;C;Elixir;Go;Java;JavaScript;PHP;Python;Rust;TypeScript</v>
      </c>
      <c r="M6269" s="9" t="s">
        <v>24</v>
      </c>
    </row>
    <row r="6270" ht="15.75" customHeight="1">
      <c r="A6270" s="7"/>
      <c r="B6270" s="7" t="str">
        <f>IFERROR(__xludf.DUMMYFUNCTION("""COMPUTED_VALUE"""),"Bash/Shell/PowerShell;HTML/CSS;Python;Rust")</f>
        <v>Bash/Shell/PowerShell;HTML/CSS;Python;Rust</v>
      </c>
      <c r="M6270" s="9" t="s">
        <v>20</v>
      </c>
    </row>
    <row r="6271" ht="15.75" customHeight="1">
      <c r="A6271" s="7"/>
      <c r="B6271" s="7" t="str">
        <f>IFERROR(__xludf.DUMMYFUNCTION("""COMPUTED_VALUE"""),"HTML/CSS;JavaScript;TypeScript")</f>
        <v>HTML/CSS;JavaScript;TypeScript</v>
      </c>
      <c r="M6271" s="9" t="s">
        <v>21</v>
      </c>
    </row>
    <row r="6272" ht="15.75" customHeight="1">
      <c r="A6272" s="7"/>
      <c r="B6272" s="7" t="str">
        <f>IFERROR(__xludf.DUMMYFUNCTION("""COMPUTED_VALUE"""),"Assembly;Python")</f>
        <v>Assembly;Python</v>
      </c>
      <c r="M6272" s="9" t="s">
        <v>37</v>
      </c>
    </row>
    <row r="6273" ht="15.75" customHeight="1">
      <c r="A6273" s="7"/>
      <c r="B6273" s="7" t="str">
        <f>IFERROR(__xludf.DUMMYFUNCTION("""COMPUTED_VALUE"""),"C;C++;C#;Java;JavaScript;Kotlin;Objective-C;PHP;Python;Ruby;SQL;Swift")</f>
        <v>C;C++;C#;Java;JavaScript;Kotlin;Objective-C;PHP;Python;Ruby;SQL;Swift</v>
      </c>
      <c r="M6273" s="9" t="s">
        <v>22</v>
      </c>
    </row>
    <row r="6274" ht="15.75" customHeight="1">
      <c r="A6274" s="7"/>
      <c r="B6274" s="7" t="str">
        <f>IFERROR(__xludf.DUMMYFUNCTION("""COMPUTED_VALUE"""),"Bash/Shell/PowerShell;C;C++;Dart;F#;Go;HTML/CSS;Java;JavaScript;Kotlin;Python;SQL")</f>
        <v>Bash/Shell/PowerShell;C;C++;Dart;F#;Go;HTML/CSS;Java;JavaScript;Kotlin;Python;SQL</v>
      </c>
      <c r="M6274" s="9" t="s">
        <v>27</v>
      </c>
    </row>
    <row r="6275" ht="15.75" customHeight="1">
      <c r="A6275" s="7"/>
      <c r="B6275" s="7" t="str">
        <f>IFERROR(__xludf.DUMMYFUNCTION("""COMPUTED_VALUE"""),"SQL;VBA")</f>
        <v>SQL;VBA</v>
      </c>
      <c r="M6275" s="9" t="s">
        <v>33</v>
      </c>
    </row>
    <row r="6276" ht="15.75" customHeight="1">
      <c r="A6276" s="7"/>
      <c r="B6276" s="7" t="str">
        <f>IFERROR(__xludf.DUMMYFUNCTION("""COMPUTED_VALUE"""),"Java;Kotlin;Python")</f>
        <v>Java;Kotlin;Python</v>
      </c>
      <c r="M6276" s="9" t="s">
        <v>30</v>
      </c>
    </row>
    <row r="6277" ht="15.75" customHeight="1">
      <c r="A6277" s="7"/>
      <c r="B6277" s="7" t="str">
        <f>IFERROR(__xludf.DUMMYFUNCTION("""COMPUTED_VALUE"""),"Assembly;Bash/Shell/PowerShell;C;C++;Clojure;Go;HTML/CSS;Java;Python")</f>
        <v>Assembly;Bash/Shell/PowerShell;C;C++;Clojure;Go;HTML/CSS;Java;Python</v>
      </c>
      <c r="M6277" s="9" t="s">
        <v>25</v>
      </c>
    </row>
    <row r="6278" ht="15.75" customHeight="1">
      <c r="A6278" s="7"/>
      <c r="B6278" s="7" t="str">
        <f>IFERROR(__xludf.DUMMYFUNCTION("""COMPUTED_VALUE"""),"C;C++;C#;HTML/CSS;Kotlin;PHP;Python")</f>
        <v>C;C++;C#;HTML/CSS;Kotlin;PHP;Python</v>
      </c>
      <c r="M6278" s="9" t="s">
        <v>24</v>
      </c>
    </row>
    <row r="6279" ht="15.75" customHeight="1">
      <c r="A6279" s="7"/>
      <c r="B6279" s="7" t="str">
        <f>IFERROR(__xludf.DUMMYFUNCTION("""COMPUTED_VALUE"""),"HTML/CSS;Java;JavaScript;PHP;Python")</f>
        <v>HTML/CSS;Java;JavaScript;PHP;Python</v>
      </c>
      <c r="M6279" s="9" t="s">
        <v>21</v>
      </c>
    </row>
    <row r="6280" ht="15.75" customHeight="1">
      <c r="A6280" s="7"/>
      <c r="B6280" s="7" t="str">
        <f>IFERROR(__xludf.DUMMYFUNCTION("""COMPUTED_VALUE"""),"Python;SQL")</f>
        <v>Python;SQL</v>
      </c>
      <c r="M6280" s="9" t="s">
        <v>41</v>
      </c>
    </row>
    <row r="6281" ht="15.75" customHeight="1">
      <c r="A6281" s="7"/>
      <c r="B6281" s="7" t="str">
        <f>IFERROR(__xludf.DUMMYFUNCTION("""COMPUTED_VALUE"""),"HTML/CSS;Java;JavaScript;Other(s):")</f>
        <v>HTML/CSS;Java;JavaScript;Other(s):</v>
      </c>
      <c r="M6281" s="9" t="s">
        <v>37</v>
      </c>
    </row>
    <row r="6282" ht="15.75" customHeight="1">
      <c r="A6282" s="7"/>
      <c r="B6282" s="7" t="str">
        <f>IFERROR(__xludf.DUMMYFUNCTION("""COMPUTED_VALUE"""),"C++;PHP")</f>
        <v>C++;PHP</v>
      </c>
      <c r="M6282" s="9" t="s">
        <v>22</v>
      </c>
    </row>
    <row r="6283" ht="15.75" customHeight="1">
      <c r="A6283" s="7"/>
      <c r="B6283" s="7" t="str">
        <f>IFERROR(__xludf.DUMMYFUNCTION("""COMPUTED_VALUE"""),"Bash/Shell/PowerShell;HTML/CSS;Java;JavaScript;SQL;Other(s):")</f>
        <v>Bash/Shell/PowerShell;HTML/CSS;Java;JavaScript;SQL;Other(s):</v>
      </c>
      <c r="M6283" s="9" t="s">
        <v>27</v>
      </c>
    </row>
    <row r="6284" ht="15.75" customHeight="1">
      <c r="A6284" s="7"/>
      <c r="B6284" s="7" t="str">
        <f>IFERROR(__xludf.DUMMYFUNCTION("""COMPUTED_VALUE"""),"Bash/Shell/PowerShell;C++;Python;R")</f>
        <v>Bash/Shell/PowerShell;C++;Python;R</v>
      </c>
      <c r="M6284" s="9" t="s">
        <v>40</v>
      </c>
    </row>
    <row r="6285" ht="15.75" customHeight="1">
      <c r="A6285" s="7"/>
      <c r="B6285" s="7" t="str">
        <f>IFERROR(__xludf.DUMMYFUNCTION("""COMPUTED_VALUE"""),"Bash/Shell/PowerShell;C++;HTML/CSS;Java;JavaScript;PHP;Python")</f>
        <v>Bash/Shell/PowerShell;C++;HTML/CSS;Java;JavaScript;PHP;Python</v>
      </c>
      <c r="M6285" s="9" t="s">
        <v>23</v>
      </c>
    </row>
    <row r="6286" ht="15.75" customHeight="1">
      <c r="A6286" s="7"/>
      <c r="B6286" s="7" t="str">
        <f>IFERROR(__xludf.DUMMYFUNCTION("""COMPUTED_VALUE"""),"Python;Other(s):")</f>
        <v>Python;Other(s):</v>
      </c>
      <c r="M6286" s="9" t="s">
        <v>26</v>
      </c>
    </row>
    <row r="6287" ht="15.75" customHeight="1">
      <c r="A6287" s="7"/>
      <c r="B6287" s="7" t="str">
        <f>IFERROR(__xludf.DUMMYFUNCTION("""COMPUTED_VALUE"""),"Java;SQL")</f>
        <v>Java;SQL</v>
      </c>
      <c r="M6287" s="9" t="s">
        <v>24</v>
      </c>
    </row>
    <row r="6288" ht="15.75" customHeight="1">
      <c r="A6288" s="7"/>
      <c r="B6288" s="7" t="str">
        <f>IFERROR(__xludf.DUMMYFUNCTION("""COMPUTED_VALUE"""),"C++;C#;SQL")</f>
        <v>C++;C#;SQL</v>
      </c>
      <c r="M6288" s="9" t="s">
        <v>20</v>
      </c>
    </row>
    <row r="6289" ht="15.75" customHeight="1">
      <c r="A6289" s="7"/>
      <c r="B6289" s="7" t="str">
        <f>IFERROR(__xludf.DUMMYFUNCTION("""COMPUTED_VALUE"""),"C#;HTML/CSS;PHP;Other(s):")</f>
        <v>C#;HTML/CSS;PHP;Other(s):</v>
      </c>
      <c r="M6289" s="9" t="s">
        <v>21</v>
      </c>
    </row>
    <row r="6290" ht="15.75" customHeight="1">
      <c r="A6290" s="7"/>
      <c r="B6290" s="7" t="str">
        <f>IFERROR(__xludf.DUMMYFUNCTION("""COMPUTED_VALUE"""),"Bash/Shell/PowerShell;C#;HTML/CSS;JavaScript;PHP;SQL;VBA")</f>
        <v>Bash/Shell/PowerShell;C#;HTML/CSS;JavaScript;PHP;SQL;VBA</v>
      </c>
      <c r="M6290" s="9" t="s">
        <v>37</v>
      </c>
    </row>
    <row r="6291" ht="15.75" customHeight="1">
      <c r="A6291" s="7"/>
      <c r="B6291" s="7" t="str">
        <f>IFERROR(__xludf.DUMMYFUNCTION("""COMPUTED_VALUE"""),"C++;C#;Other(s):")</f>
        <v>C++;C#;Other(s):</v>
      </c>
      <c r="M6291" s="9" t="s">
        <v>24</v>
      </c>
    </row>
    <row r="6292" ht="15.75" customHeight="1">
      <c r="A6292" s="7"/>
      <c r="B6292" s="7" t="str">
        <f>IFERROR(__xludf.DUMMYFUNCTION("""COMPUTED_VALUE"""),"Bash/Shell/PowerShell;C;C#;HTML/CSS;Java;JavaScript;PHP;Python;SQL;VBA")</f>
        <v>Bash/Shell/PowerShell;C;C#;HTML/CSS;Java;JavaScript;PHP;Python;SQL;VBA</v>
      </c>
      <c r="M6292" s="9" t="s">
        <v>21</v>
      </c>
    </row>
    <row r="6293" ht="15.75" customHeight="1">
      <c r="A6293" s="7"/>
      <c r="B6293" s="7" t="str">
        <f>IFERROR(__xludf.DUMMYFUNCTION("""COMPUTED_VALUE"""),"Bash/Shell/PowerShell;HTML/CSS;Java;JavaScript;Kotlin;Python;SQL;TypeScript")</f>
        <v>Bash/Shell/PowerShell;HTML/CSS;Java;JavaScript;Kotlin;Python;SQL;TypeScript</v>
      </c>
      <c r="M6293" s="9" t="s">
        <v>26</v>
      </c>
    </row>
    <row r="6294" ht="15.75" customHeight="1">
      <c r="A6294" s="7"/>
      <c r="B6294" s="7" t="str">
        <f>IFERROR(__xludf.DUMMYFUNCTION("""COMPUTED_VALUE"""),"C++;Python")</f>
        <v>C++;Python</v>
      </c>
      <c r="M6294" s="9" t="s">
        <v>24</v>
      </c>
    </row>
    <row r="6295" ht="15.75" customHeight="1">
      <c r="A6295" s="7"/>
      <c r="B6295" s="7" t="str">
        <f>IFERROR(__xludf.DUMMYFUNCTION("""COMPUTED_VALUE"""),"HTML/CSS;JavaScript;PHP;Python")</f>
        <v>HTML/CSS;JavaScript;PHP;Python</v>
      </c>
      <c r="M6295" s="9" t="s">
        <v>21</v>
      </c>
    </row>
    <row r="6296" ht="15.75" customHeight="1">
      <c r="A6296" s="7"/>
      <c r="B6296" s="7" t="str">
        <f>IFERROR(__xludf.DUMMYFUNCTION("""COMPUTED_VALUE"""),"Java;Kotlin")</f>
        <v>Java;Kotlin</v>
      </c>
      <c r="M6296" s="9" t="s">
        <v>27</v>
      </c>
    </row>
    <row r="6297" ht="15.75" customHeight="1">
      <c r="A6297" s="7"/>
      <c r="B6297" s="7" t="str">
        <f>IFERROR(__xludf.DUMMYFUNCTION("""COMPUTED_VALUE"""),"C;C++;HTML/CSS;Java;PHP")</f>
        <v>C;C++;HTML/CSS;Java;PHP</v>
      </c>
      <c r="M6297" s="9" t="s">
        <v>33</v>
      </c>
    </row>
    <row r="6298" ht="15.75" customHeight="1">
      <c r="A6298" s="7"/>
      <c r="B6298" s="7" t="str">
        <f>IFERROR(__xludf.DUMMYFUNCTION("""COMPUTED_VALUE"""),"Bash/Shell/PowerShell;Go;HTML/CSS;Java;JavaScript;PHP;Python;Ruby;SQL")</f>
        <v>Bash/Shell/PowerShell;Go;HTML/CSS;Java;JavaScript;PHP;Python;Ruby;SQL</v>
      </c>
      <c r="M6298" s="9" t="s">
        <v>30</v>
      </c>
    </row>
    <row r="6299" ht="15.75" customHeight="1">
      <c r="A6299" s="7"/>
      <c r="B6299" s="7" t="str">
        <f>IFERROR(__xludf.DUMMYFUNCTION("""COMPUTED_VALUE"""),"SQL")</f>
        <v>SQL</v>
      </c>
      <c r="M6299" s="9" t="s">
        <v>25</v>
      </c>
    </row>
    <row r="6300" ht="15.75" customHeight="1">
      <c r="A6300" s="7"/>
      <c r="B6300" s="7" t="str">
        <f>IFERROR(__xludf.DUMMYFUNCTION("""COMPUTED_VALUE"""),"Bash/Shell/PowerShell;C;C++;C#;HTML/CSS;Java;JavaScript;Objective-C;PHP;Python;SQL")</f>
        <v>Bash/Shell/PowerShell;C;C++;C#;HTML/CSS;Java;JavaScript;Objective-C;PHP;Python;SQL</v>
      </c>
      <c r="M6300" s="9" t="s">
        <v>23</v>
      </c>
    </row>
    <row r="6301" ht="15.75" customHeight="1">
      <c r="A6301" s="7"/>
      <c r="B6301" s="7" t="str">
        <f>IFERROR(__xludf.DUMMYFUNCTION("""COMPUTED_VALUE"""),"Bash/Shell/PowerShell;C++;C#;HTML/CSS;Java;JavaScript;SQL")</f>
        <v>Bash/Shell/PowerShell;C++;C#;HTML/CSS;Java;JavaScript;SQL</v>
      </c>
      <c r="M6301" s="9" t="s">
        <v>26</v>
      </c>
    </row>
    <row r="6302" ht="15.75" customHeight="1">
      <c r="A6302" s="7"/>
      <c r="B6302" s="7" t="str">
        <f>IFERROR(__xludf.DUMMYFUNCTION("""COMPUTED_VALUE"""),"Bash/Shell/PowerShell;Java;JavaScript;Ruby")</f>
        <v>Bash/Shell/PowerShell;Java;JavaScript;Ruby</v>
      </c>
      <c r="M6302" s="9" t="s">
        <v>24</v>
      </c>
    </row>
    <row r="6303" ht="15.75" customHeight="1">
      <c r="A6303" s="7"/>
      <c r="B6303" s="7" t="str">
        <f>IFERROR(__xludf.DUMMYFUNCTION("""COMPUTED_VALUE"""),"Java;JavaScript;Python;SQL")</f>
        <v>Java;JavaScript;Python;SQL</v>
      </c>
      <c r="M6303" s="9" t="s">
        <v>20</v>
      </c>
    </row>
    <row r="6304" ht="15.75" customHeight="1">
      <c r="A6304" s="7"/>
      <c r="B6304" s="7" t="str">
        <f>IFERROR(__xludf.DUMMYFUNCTION("""COMPUTED_VALUE"""),"C;HTML/CSS;Java;JavaScript;Python;R;SQL")</f>
        <v>C;HTML/CSS;Java;JavaScript;Python;R;SQL</v>
      </c>
      <c r="M6304" s="9" t="s">
        <v>21</v>
      </c>
    </row>
    <row r="6305" ht="15.75" customHeight="1">
      <c r="A6305" s="7"/>
      <c r="B6305" s="7" t="str">
        <f>IFERROR(__xludf.DUMMYFUNCTION("""COMPUTED_VALUE"""),"Bash/Shell/PowerShell;C;C++;HTML/CSS;JavaScript;PHP;R;SQL;Other(s):")</f>
        <v>Bash/Shell/PowerShell;C;C++;HTML/CSS;JavaScript;PHP;R;SQL;Other(s):</v>
      </c>
      <c r="M6305" s="9" t="s">
        <v>22</v>
      </c>
    </row>
    <row r="6306" ht="15.75" customHeight="1">
      <c r="A6306" s="7"/>
      <c r="B6306" s="7" t="str">
        <f>IFERROR(__xludf.DUMMYFUNCTION("""COMPUTED_VALUE"""),"Bash/Shell/PowerShell;C;C++;Java;JavaScript;PHP;Python;Rust;SQL")</f>
        <v>Bash/Shell/PowerShell;C;C++;Java;JavaScript;PHP;Python;Rust;SQL</v>
      </c>
      <c r="M6306" s="9" t="s">
        <v>29</v>
      </c>
    </row>
    <row r="6307" ht="15.75" customHeight="1">
      <c r="A6307" s="7"/>
      <c r="B6307" s="7" t="str">
        <f>IFERROR(__xludf.DUMMYFUNCTION("""COMPUTED_VALUE"""),"Bash/Shell/PowerShell;HTML/CSS;JavaScript;PHP;Python;SQL")</f>
        <v>Bash/Shell/PowerShell;HTML/CSS;JavaScript;PHP;Python;SQL</v>
      </c>
      <c r="M6307" s="9" t="s">
        <v>27</v>
      </c>
    </row>
    <row r="6308" ht="15.75" customHeight="1">
      <c r="A6308" s="7"/>
      <c r="B6308" s="7" t="str">
        <f>IFERROR(__xludf.DUMMYFUNCTION("""COMPUTED_VALUE"""),"Bash/Shell/PowerShell;C;C++;Java;PHP;SQL")</f>
        <v>Bash/Shell/PowerShell;C;C++;Java;PHP;SQL</v>
      </c>
      <c r="M6308" s="9" t="s">
        <v>33</v>
      </c>
    </row>
    <row r="6309" ht="15.75" customHeight="1">
      <c r="A6309" s="7"/>
      <c r="B6309" s="7" t="str">
        <f>IFERROR(__xludf.DUMMYFUNCTION("""COMPUTED_VALUE"""),"Bash/Shell/PowerShell;Go;HTML/CSS;JavaScript;Python;TypeScript")</f>
        <v>Bash/Shell/PowerShell;Go;HTML/CSS;JavaScript;Python;TypeScript</v>
      </c>
      <c r="M6309" s="9" t="s">
        <v>30</v>
      </c>
    </row>
    <row r="6310" ht="15.75" customHeight="1">
      <c r="A6310" s="7"/>
      <c r="B6310" s="7" t="str">
        <f>IFERROR(__xludf.DUMMYFUNCTION("""COMPUTED_VALUE"""),"Bash/Shell/PowerShell;C;C++;HTML/CSS;Java;JavaScript;PHP;TypeScript")</f>
        <v>Bash/Shell/PowerShell;C;C++;HTML/CSS;Java;JavaScript;PHP;TypeScript</v>
      </c>
      <c r="M6310" s="9" t="s">
        <v>25</v>
      </c>
    </row>
    <row r="6311" ht="15.75" customHeight="1">
      <c r="A6311" s="7"/>
      <c r="B6311" s="7" t="str">
        <f>IFERROR(__xludf.DUMMYFUNCTION("""COMPUTED_VALUE"""),"Swift")</f>
        <v>Swift</v>
      </c>
      <c r="M6311" s="9" t="s">
        <v>24</v>
      </c>
    </row>
    <row r="6312" ht="15.75" customHeight="1">
      <c r="A6312" s="7"/>
      <c r="B6312" s="7" t="str">
        <f>IFERROR(__xludf.DUMMYFUNCTION("""COMPUTED_VALUE"""),"HTML/CSS;JavaScript;PHP")</f>
        <v>HTML/CSS;JavaScript;PHP</v>
      </c>
      <c r="M6312" s="9" t="s">
        <v>20</v>
      </c>
    </row>
    <row r="6313" ht="15.75" customHeight="1">
      <c r="A6313" s="7"/>
      <c r="B6313" s="7" t="str">
        <f>IFERROR(__xludf.DUMMYFUNCTION("""COMPUTED_VALUE"""),"Bash/Shell/PowerShell;HTML/CSS;Java;JavaScript;Kotlin;Objective-C;PHP;Python;R;SQL;Swift;VBA")</f>
        <v>Bash/Shell/PowerShell;HTML/CSS;Java;JavaScript;Kotlin;Objective-C;PHP;Python;R;SQL;Swift;VBA</v>
      </c>
      <c r="M6313" s="9" t="s">
        <v>21</v>
      </c>
    </row>
    <row r="6314" ht="15.75" customHeight="1">
      <c r="A6314" s="7"/>
      <c r="B6314" s="7" t="str">
        <f>IFERROR(__xludf.DUMMYFUNCTION("""COMPUTED_VALUE"""),"Assembly;C++;C#")</f>
        <v>Assembly;C++;C#</v>
      </c>
      <c r="M6314" s="9" t="s">
        <v>22</v>
      </c>
    </row>
    <row r="6315" ht="15.75" customHeight="1">
      <c r="A6315" s="7"/>
      <c r="B6315" s="7" t="str">
        <f>IFERROR(__xludf.DUMMYFUNCTION("""COMPUTED_VALUE"""),"HTML/CSS;Java;JavaScript;PHP;Python;SQL")</f>
        <v>HTML/CSS;Java;JavaScript;PHP;Python;SQL</v>
      </c>
      <c r="M6315" s="9" t="s">
        <v>27</v>
      </c>
    </row>
    <row r="6316" ht="15.75" customHeight="1">
      <c r="A6316" s="7"/>
      <c r="B6316" s="7" t="str">
        <f>IFERROR(__xludf.DUMMYFUNCTION("""COMPUTED_VALUE"""),"Bash/Shell/PowerShell;C#;HTML/CSS;JavaScript;PHP;SQL;TypeScript;VBA")</f>
        <v>Bash/Shell/PowerShell;C#;HTML/CSS;JavaScript;PHP;SQL;TypeScript;VBA</v>
      </c>
      <c r="M6316" s="9" t="s">
        <v>35</v>
      </c>
    </row>
    <row r="6317" ht="15.75" customHeight="1">
      <c r="A6317" s="7"/>
      <c r="B6317" s="7" t="str">
        <f>IFERROR(__xludf.DUMMYFUNCTION("""COMPUTED_VALUE"""),"C#;HTML/CSS;JavaScript;Python;SQL;TypeScript")</f>
        <v>C#;HTML/CSS;JavaScript;Python;SQL;TypeScript</v>
      </c>
      <c r="M6317" s="9" t="s">
        <v>30</v>
      </c>
    </row>
    <row r="6318" ht="15.75" customHeight="1">
      <c r="A6318" s="7"/>
      <c r="B6318" s="7" t="str">
        <f>IFERROR(__xludf.DUMMYFUNCTION("""COMPUTED_VALUE"""),"C;C++")</f>
        <v>C;C++</v>
      </c>
      <c r="M6318" s="9" t="s">
        <v>24</v>
      </c>
    </row>
    <row r="6319" ht="15.75" customHeight="1">
      <c r="A6319" s="7"/>
      <c r="B6319" s="7" t="str">
        <f>IFERROR(__xludf.DUMMYFUNCTION("""COMPUTED_VALUE"""),"C#;SQL")</f>
        <v>C#;SQL</v>
      </c>
      <c r="M6319" s="9" t="s">
        <v>21</v>
      </c>
    </row>
    <row r="6320" ht="15.75" customHeight="1">
      <c r="A6320" s="7"/>
      <c r="B6320" s="7" t="str">
        <f>IFERROR(__xludf.DUMMYFUNCTION("""COMPUTED_VALUE"""),"HTML/CSS;JavaScript")</f>
        <v>HTML/CSS;JavaScript</v>
      </c>
      <c r="M6320" s="9" t="s">
        <v>37</v>
      </c>
    </row>
    <row r="6321" ht="15.75" customHeight="1">
      <c r="A6321" s="7"/>
      <c r="B6321" s="7" t="str">
        <f>IFERROR(__xludf.DUMMYFUNCTION("""COMPUTED_VALUE"""),"Bash/Shell/PowerShell;C;Java;JavaScript;Python;Ruby;Rust;Scala;SQL")</f>
        <v>Bash/Shell/PowerShell;C;Java;JavaScript;Python;Ruby;Rust;Scala;SQL</v>
      </c>
      <c r="M6321" s="9" t="s">
        <v>22</v>
      </c>
    </row>
    <row r="6322" ht="15.75" customHeight="1">
      <c r="A6322" s="7"/>
      <c r="B6322" s="7" t="str">
        <f>IFERROR(__xludf.DUMMYFUNCTION("""COMPUTED_VALUE"""),"Go;HTML/CSS;Java;JavaScript;Kotlin;Python;SQL")</f>
        <v>Go;HTML/CSS;Java;JavaScript;Kotlin;Python;SQL</v>
      </c>
      <c r="M6322" s="9" t="s">
        <v>31</v>
      </c>
    </row>
    <row r="6323" ht="15.75" customHeight="1">
      <c r="A6323" s="7"/>
      <c r="B6323" s="7" t="str">
        <f>IFERROR(__xludf.DUMMYFUNCTION("""COMPUTED_VALUE"""),"Bash/Shell/PowerShell;C;C++;HTML/CSS;JavaScript;Python;SQL;Other(s):")</f>
        <v>Bash/Shell/PowerShell;C;C++;HTML/CSS;JavaScript;Python;SQL;Other(s):</v>
      </c>
      <c r="M6323" s="9" t="s">
        <v>27</v>
      </c>
    </row>
    <row r="6324" ht="15.75" customHeight="1">
      <c r="A6324" s="7"/>
      <c r="B6324" s="7" t="str">
        <f>IFERROR(__xludf.DUMMYFUNCTION("""COMPUTED_VALUE"""),"Java")</f>
        <v>Java</v>
      </c>
      <c r="M6324" s="9" t="s">
        <v>33</v>
      </c>
    </row>
    <row r="6325" ht="15.75" customHeight="1">
      <c r="A6325" s="7"/>
      <c r="B6325" s="7" t="str">
        <f>IFERROR(__xludf.DUMMYFUNCTION("""COMPUTED_VALUE"""),"C#;HTML/CSS;JavaScript;Swift")</f>
        <v>C#;HTML/CSS;JavaScript;Swift</v>
      </c>
      <c r="M6325" s="9" t="s">
        <v>38</v>
      </c>
    </row>
    <row r="6326" ht="15.75" customHeight="1">
      <c r="A6326" s="7"/>
      <c r="B6326" s="7" t="str">
        <f>IFERROR(__xludf.DUMMYFUNCTION("""COMPUTED_VALUE"""),"HTML/CSS;Java;JavaScript;SQL;TypeScript")</f>
        <v>HTML/CSS;Java;JavaScript;SQL;TypeScript</v>
      </c>
      <c r="M6326" s="9" t="s">
        <v>30</v>
      </c>
    </row>
    <row r="6327" ht="15.75" customHeight="1">
      <c r="A6327" s="7"/>
      <c r="B6327" s="7" t="str">
        <f>IFERROR(__xludf.DUMMYFUNCTION("""COMPUTED_VALUE"""),"Bash/Shell/PowerShell;JavaScript;TypeScript")</f>
        <v>Bash/Shell/PowerShell;JavaScript;TypeScript</v>
      </c>
      <c r="M6327" s="9" t="s">
        <v>25</v>
      </c>
    </row>
    <row r="6328" ht="15.75" customHeight="1">
      <c r="A6328" s="7"/>
      <c r="B6328" s="7" t="str">
        <f>IFERROR(__xludf.DUMMYFUNCTION("""COMPUTED_VALUE"""),"C#;HTML/CSS;JavaScript")</f>
        <v>C#;HTML/CSS;JavaScript</v>
      </c>
      <c r="M6328" s="9" t="s">
        <v>23</v>
      </c>
    </row>
    <row r="6329" ht="15.75" customHeight="1">
      <c r="A6329" s="7"/>
      <c r="B6329" s="7" t="str">
        <f>IFERROR(__xludf.DUMMYFUNCTION("""COMPUTED_VALUE"""),"C;C++;Python;R;SQL")</f>
        <v>C;C++;Python;R;SQL</v>
      </c>
      <c r="M6329" s="9" t="s">
        <v>24</v>
      </c>
    </row>
    <row r="6330" ht="15.75" customHeight="1">
      <c r="A6330" s="7"/>
      <c r="B6330" s="7" t="str">
        <f>IFERROR(__xludf.DUMMYFUNCTION("""COMPUTED_VALUE"""),"HTML/CSS;Java;JavaScript;PHP")</f>
        <v>HTML/CSS;Java;JavaScript;PHP</v>
      </c>
      <c r="M6330" s="9" t="s">
        <v>20</v>
      </c>
    </row>
    <row r="6331" ht="15.75" customHeight="1">
      <c r="A6331" s="7"/>
      <c r="B6331" s="7" t="str">
        <f>IFERROR(__xludf.DUMMYFUNCTION("""COMPUTED_VALUE"""),"Bash/Shell/PowerShell;F#;PHP;SQL")</f>
        <v>Bash/Shell/PowerShell;F#;PHP;SQL</v>
      </c>
      <c r="M6331" s="9" t="s">
        <v>21</v>
      </c>
    </row>
    <row r="6332" ht="15.75" customHeight="1">
      <c r="A6332" s="7"/>
      <c r="B6332" s="7" t="str">
        <f>IFERROR(__xludf.DUMMYFUNCTION("""COMPUTED_VALUE"""),"Bash/Shell/PowerShell;C#;HTML/CSS;Java;Kotlin;Python;SQL;TypeScript")</f>
        <v>Bash/Shell/PowerShell;C#;HTML/CSS;Java;Kotlin;Python;SQL;TypeScript</v>
      </c>
      <c r="M6332" s="9" t="s">
        <v>22</v>
      </c>
    </row>
    <row r="6333" ht="15.75" customHeight="1">
      <c r="A6333" s="7"/>
      <c r="B6333" s="7" t="str">
        <f>IFERROR(__xludf.DUMMYFUNCTION("""COMPUTED_VALUE"""),"C#;Erlang;HTML/CSS;Java;JavaScript;SQL")</f>
        <v>C#;Erlang;HTML/CSS;Java;JavaScript;SQL</v>
      </c>
      <c r="M6333" s="9" t="s">
        <v>29</v>
      </c>
    </row>
    <row r="6334" ht="15.75" customHeight="1">
      <c r="A6334" s="7"/>
      <c r="B6334" s="7" t="str">
        <f>IFERROR(__xludf.DUMMYFUNCTION("""COMPUTED_VALUE"""),"Bash/Shell/PowerShell;C++;C#;HTML/CSS;Java;JavaScript;SQL;Other(s):")</f>
        <v>Bash/Shell/PowerShell;C++;C#;HTML/CSS;Java;JavaScript;SQL;Other(s):</v>
      </c>
      <c r="M6334" s="9" t="s">
        <v>46</v>
      </c>
    </row>
    <row r="6335" ht="15.75" customHeight="1">
      <c r="A6335" s="7"/>
      <c r="B6335" s="7" t="str">
        <f>IFERROR(__xludf.DUMMYFUNCTION("""COMPUTED_VALUE"""),"Bash/Shell/PowerShell;PHP;Python;R;SQL;Other(s):")</f>
        <v>Bash/Shell/PowerShell;PHP;Python;R;SQL;Other(s):</v>
      </c>
      <c r="M6335" s="9" t="s">
        <v>27</v>
      </c>
    </row>
    <row r="6336" ht="15.75" customHeight="1">
      <c r="A6336" s="7"/>
      <c r="B6336" s="7" t="str">
        <f>IFERROR(__xludf.DUMMYFUNCTION("""COMPUTED_VALUE"""),"Bash/Shell/PowerShell;HTML/CSS;Java;JavaScript;PHP")</f>
        <v>Bash/Shell/PowerShell;HTML/CSS;Java;JavaScript;PHP</v>
      </c>
      <c r="M6336" s="9" t="s">
        <v>40</v>
      </c>
    </row>
    <row r="6337" ht="15.75" customHeight="1">
      <c r="A6337" s="7"/>
      <c r="B6337" s="7" t="str">
        <f>IFERROR(__xludf.DUMMYFUNCTION("""COMPUTED_VALUE"""),"Bash/Shell/PowerShell;Java;JavaScript;Kotlin;Other(s):")</f>
        <v>Bash/Shell/PowerShell;Java;JavaScript;Kotlin;Other(s):</v>
      </c>
      <c r="M6337" s="9" t="s">
        <v>33</v>
      </c>
    </row>
    <row r="6338" ht="15.75" customHeight="1">
      <c r="A6338" s="7"/>
      <c r="B6338" s="7" t="str">
        <f>IFERROR(__xludf.DUMMYFUNCTION("""COMPUTED_VALUE"""),"HTML/CSS;JavaScript;Python;Ruby;SQL")</f>
        <v>HTML/CSS;JavaScript;Python;Ruby;SQL</v>
      </c>
      <c r="M6338" s="9" t="s">
        <v>30</v>
      </c>
    </row>
    <row r="6339" ht="15.75" customHeight="1">
      <c r="A6339" s="7"/>
      <c r="B6339" s="7" t="str">
        <f>IFERROR(__xludf.DUMMYFUNCTION("""COMPUTED_VALUE"""),"C;HTML/CSS;Java")</f>
        <v>C;HTML/CSS;Java</v>
      </c>
      <c r="M6339" s="9" t="s">
        <v>26</v>
      </c>
    </row>
    <row r="6340" ht="15.75" customHeight="1">
      <c r="A6340" s="7"/>
      <c r="B6340" s="7" t="str">
        <f>IFERROR(__xludf.DUMMYFUNCTION("""COMPUTED_VALUE"""),"C#;HTML/CSS;SQL")</f>
        <v>C#;HTML/CSS;SQL</v>
      </c>
      <c r="M6340" s="9" t="s">
        <v>45</v>
      </c>
    </row>
    <row r="6341" ht="15.75" customHeight="1">
      <c r="A6341" s="7"/>
      <c r="B6341" s="7" t="str">
        <f>IFERROR(__xludf.DUMMYFUNCTION("""COMPUTED_VALUE"""),"Assembly;Java")</f>
        <v>Assembly;Java</v>
      </c>
      <c r="M6341" s="9" t="s">
        <v>24</v>
      </c>
    </row>
    <row r="6342" ht="15.75" customHeight="1">
      <c r="A6342" s="7"/>
      <c r="B6342" s="7" t="str">
        <f>IFERROR(__xludf.DUMMYFUNCTION("""COMPUTED_VALUE"""),"Bash/Shell/PowerShell;HTML/CSS;Java;JavaScript;Python")</f>
        <v>Bash/Shell/PowerShell;HTML/CSS;Java;JavaScript;Python</v>
      </c>
      <c r="M6342" s="9" t="s">
        <v>21</v>
      </c>
    </row>
    <row r="6343" ht="15.75" customHeight="1">
      <c r="A6343" s="7"/>
      <c r="B6343" s="7" t="str">
        <f>IFERROR(__xludf.DUMMYFUNCTION("""COMPUTED_VALUE"""),"Bash/Shell/PowerShell;C++;Go;Java;Python;SQL")</f>
        <v>Bash/Shell/PowerShell;C++;Go;Java;Python;SQL</v>
      </c>
      <c r="M6343" s="9" t="s">
        <v>27</v>
      </c>
    </row>
    <row r="6344" ht="15.75" customHeight="1">
      <c r="A6344" s="7"/>
      <c r="B6344" s="7" t="str">
        <f>IFERROR(__xludf.DUMMYFUNCTION("""COMPUTED_VALUE"""),"Bash/Shell/PowerShell;HTML/CSS;JavaScript;Python")</f>
        <v>Bash/Shell/PowerShell;HTML/CSS;JavaScript;Python</v>
      </c>
      <c r="M6344" s="9" t="s">
        <v>40</v>
      </c>
    </row>
    <row r="6345" ht="15.75" customHeight="1">
      <c r="A6345" s="7"/>
      <c r="B6345" s="7" t="str">
        <f>IFERROR(__xludf.DUMMYFUNCTION("""COMPUTED_VALUE"""),"Bash/Shell/PowerShell;C;PHP;Python")</f>
        <v>Bash/Shell/PowerShell;C;PHP;Python</v>
      </c>
      <c r="M6345" s="9" t="s">
        <v>24</v>
      </c>
    </row>
    <row r="6346" ht="15.75" customHeight="1">
      <c r="A6346" s="7"/>
      <c r="B6346" s="7" t="str">
        <f>IFERROR(__xludf.DUMMYFUNCTION("""COMPUTED_VALUE"""),"C;C++;C#;JavaScript;PHP;SQL")</f>
        <v>C;C++;C#;JavaScript;PHP;SQL</v>
      </c>
      <c r="M6346" s="9" t="s">
        <v>21</v>
      </c>
    </row>
    <row r="6347" ht="15.75" customHeight="1">
      <c r="A6347" s="7"/>
      <c r="B6347" s="7" t="str">
        <f>IFERROR(__xludf.DUMMYFUNCTION("""COMPUTED_VALUE"""),"Bash/Shell/PowerShell;HTML/CSS;JavaScript;Ruby;SQL;TypeScript")</f>
        <v>Bash/Shell/PowerShell;HTML/CSS;JavaScript;Ruby;SQL;TypeScript</v>
      </c>
      <c r="M6347" s="9" t="s">
        <v>22</v>
      </c>
    </row>
    <row r="6348" ht="15.75" customHeight="1">
      <c r="A6348" s="7"/>
      <c r="B6348" s="7" t="str">
        <f>IFERROR(__xludf.DUMMYFUNCTION("""COMPUTED_VALUE"""),"HTML/CSS;Java")</f>
        <v>HTML/CSS;Java</v>
      </c>
      <c r="M6348" s="9" t="s">
        <v>31</v>
      </c>
    </row>
    <row r="6349" ht="15.75" customHeight="1">
      <c r="A6349" s="7"/>
      <c r="B6349" s="7" t="str">
        <f>IFERROR(__xludf.DUMMYFUNCTION("""COMPUTED_VALUE"""),"Bash/Shell/PowerShell;C;HTML/CSS;Java;JavaScript")</f>
        <v>Bash/Shell/PowerShell;C;HTML/CSS;Java;JavaScript</v>
      </c>
      <c r="M6349" s="9" t="s">
        <v>27</v>
      </c>
    </row>
    <row r="6350" ht="15.75" customHeight="1">
      <c r="A6350" s="7"/>
      <c r="B6350" s="7" t="str">
        <f>IFERROR(__xludf.DUMMYFUNCTION("""COMPUTED_VALUE"""),"Bash/Shell/PowerShell;Go;HTML/CSS;JavaScript;PHP;Python;Rust")</f>
        <v>Bash/Shell/PowerShell;Go;HTML/CSS;JavaScript;PHP;Python;Rust</v>
      </c>
      <c r="M6350" s="9" t="s">
        <v>24</v>
      </c>
    </row>
    <row r="6351" ht="15.75" customHeight="1">
      <c r="A6351" s="7"/>
      <c r="B6351" s="7" t="str">
        <f>IFERROR(__xludf.DUMMYFUNCTION("""COMPUTED_VALUE"""),"C;C++;C#;HTML/CSS;Java;JavaScript;Kotlin;PHP;Python")</f>
        <v>C;C++;C#;HTML/CSS;Java;JavaScript;Kotlin;PHP;Python</v>
      </c>
      <c r="M6351" s="9" t="s">
        <v>20</v>
      </c>
    </row>
    <row r="6352" ht="15.75" customHeight="1">
      <c r="A6352" s="7"/>
      <c r="B6352" s="7" t="str">
        <f>IFERROR(__xludf.DUMMYFUNCTION("""COMPUTED_VALUE"""),"Swift")</f>
        <v>Swift</v>
      </c>
      <c r="M6352" s="9" t="s">
        <v>21</v>
      </c>
    </row>
    <row r="6353" ht="15.75" customHeight="1">
      <c r="A6353" s="7"/>
      <c r="B6353" s="7" t="str">
        <f>IFERROR(__xludf.DUMMYFUNCTION("""COMPUTED_VALUE"""),"Assembly;Bash/Shell/PowerShell;C;C++;C#;Go;JavaScript;Python;Other(s):")</f>
        <v>Assembly;Bash/Shell/PowerShell;C;C++;C#;Go;JavaScript;Python;Other(s):</v>
      </c>
      <c r="M6353" s="9" t="s">
        <v>37</v>
      </c>
    </row>
    <row r="6354" ht="15.75" customHeight="1">
      <c r="A6354" s="7"/>
      <c r="B6354" s="7" t="str">
        <f>IFERROR(__xludf.DUMMYFUNCTION("""COMPUTED_VALUE"""),"Bash/Shell/PowerShell;C#;HTML/CSS;JavaScript;Objective-C;PHP;Python;Ruby;SQL;TypeScript")</f>
        <v>Bash/Shell/PowerShell;C#;HTML/CSS;JavaScript;Objective-C;PHP;Python;Ruby;SQL;TypeScript</v>
      </c>
      <c r="M6354" s="9" t="s">
        <v>22</v>
      </c>
    </row>
    <row r="6355" ht="15.75" customHeight="1">
      <c r="A6355" s="7"/>
      <c r="B6355" s="7" t="str">
        <f>IFERROR(__xludf.DUMMYFUNCTION("""COMPUTED_VALUE"""),"Go;Python")</f>
        <v>Go;Python</v>
      </c>
      <c r="M6355" s="9" t="s">
        <v>27</v>
      </c>
    </row>
    <row r="6356" ht="15.75" customHeight="1">
      <c r="A6356" s="7"/>
      <c r="B6356" s="7" t="str">
        <f>IFERROR(__xludf.DUMMYFUNCTION("""COMPUTED_VALUE"""),"HTML/CSS;JavaScript;PHP")</f>
        <v>HTML/CSS;JavaScript;PHP</v>
      </c>
      <c r="M6356" s="9" t="s">
        <v>28</v>
      </c>
    </row>
    <row r="6357" ht="15.75" customHeight="1">
      <c r="A6357" s="7"/>
      <c r="B6357" s="7" t="str">
        <f>IFERROR(__xludf.DUMMYFUNCTION("""COMPUTED_VALUE"""),"HTML/CSS;PHP")</f>
        <v>HTML/CSS;PHP</v>
      </c>
      <c r="M6357" s="9" t="s">
        <v>24</v>
      </c>
    </row>
    <row r="6358" ht="15.75" customHeight="1">
      <c r="A6358" s="7"/>
      <c r="B6358" s="7" t="str">
        <f>IFERROR(__xludf.DUMMYFUNCTION("""COMPUTED_VALUE"""),"C#;HTML/CSS;JavaScript")</f>
        <v>C#;HTML/CSS;JavaScript</v>
      </c>
      <c r="M6358" s="9" t="s">
        <v>37</v>
      </c>
    </row>
    <row r="6359" ht="15.75" customHeight="1">
      <c r="A6359" s="7"/>
      <c r="B6359" s="7" t="str">
        <f>IFERROR(__xludf.DUMMYFUNCTION("""COMPUTED_VALUE"""),"Java;Kotlin;PHP")</f>
        <v>Java;Kotlin;PHP</v>
      </c>
      <c r="M6359" s="9" t="s">
        <v>27</v>
      </c>
    </row>
    <row r="6360" ht="15.75" customHeight="1">
      <c r="A6360" s="7"/>
      <c r="B6360" s="7" t="str">
        <f>IFERROR(__xludf.DUMMYFUNCTION("""COMPUTED_VALUE"""),"HTML/CSS;Java;JavaScript;SQL;Other(s):")</f>
        <v>HTML/CSS;Java;JavaScript;SQL;Other(s):</v>
      </c>
      <c r="M6360" s="9" t="s">
        <v>38</v>
      </c>
    </row>
    <row r="6361" ht="15.75" customHeight="1">
      <c r="A6361" s="7"/>
      <c r="B6361" s="7" t="str">
        <f>IFERROR(__xludf.DUMMYFUNCTION("""COMPUTED_VALUE"""),"Bash/Shell/PowerShell;C;HTML/CSS;JavaScript;PHP;Python;SQL;TypeScript;Other(s):")</f>
        <v>Bash/Shell/PowerShell;C;HTML/CSS;JavaScript;PHP;Python;SQL;TypeScript;Other(s):</v>
      </c>
      <c r="M6361" s="9" t="s">
        <v>26</v>
      </c>
    </row>
    <row r="6362" ht="15.75" customHeight="1">
      <c r="A6362" s="7"/>
      <c r="B6362" s="7" t="str">
        <f>IFERROR(__xludf.DUMMYFUNCTION("""COMPUTED_VALUE"""),"HTML/CSS;Java;JavaScript;Objective-C;Swift;TypeScript")</f>
        <v>HTML/CSS;Java;JavaScript;Objective-C;Swift;TypeScript</v>
      </c>
      <c r="M6362" s="9" t="s">
        <v>27</v>
      </c>
    </row>
    <row r="6363" ht="15.75" customHeight="1">
      <c r="A6363" s="7"/>
      <c r="B6363" s="7" t="str">
        <f>IFERROR(__xludf.DUMMYFUNCTION("""COMPUTED_VALUE"""),"Bash/Shell/PowerShell;Go;HTML/CSS;Java;JavaScript;Kotlin;PHP;Python;Ruby;SQL")</f>
        <v>Bash/Shell/PowerShell;Go;HTML/CSS;Java;JavaScript;Kotlin;PHP;Python;Ruby;SQL</v>
      </c>
      <c r="M6363" s="9" t="s">
        <v>25</v>
      </c>
    </row>
    <row r="6364" ht="15.75" customHeight="1">
      <c r="A6364" s="7"/>
      <c r="B6364" s="7" t="str">
        <f>IFERROR(__xludf.DUMMYFUNCTION("""COMPUTED_VALUE"""),"Java;Kotlin")</f>
        <v>Java;Kotlin</v>
      </c>
      <c r="M6364" s="9" t="s">
        <v>24</v>
      </c>
    </row>
    <row r="6365" ht="15.75" customHeight="1">
      <c r="A6365" s="7"/>
      <c r="B6365" s="7" t="str">
        <f>IFERROR(__xludf.DUMMYFUNCTION("""COMPUTED_VALUE"""),"HTML/CSS;Java;JavaScript;SQL")</f>
        <v>HTML/CSS;Java;JavaScript;SQL</v>
      </c>
      <c r="M6365" s="9" t="s">
        <v>21</v>
      </c>
    </row>
    <row r="6366" ht="15.75" customHeight="1">
      <c r="A6366" s="7"/>
      <c r="B6366" s="7" t="str">
        <f>IFERROR(__xludf.DUMMYFUNCTION("""COMPUTED_VALUE"""),"Bash/Shell/PowerShell;Java;JavaScript;SQL")</f>
        <v>Bash/Shell/PowerShell;Java;JavaScript;SQL</v>
      </c>
      <c r="M6366" s="9" t="s">
        <v>22</v>
      </c>
    </row>
    <row r="6367" ht="15.75" customHeight="1">
      <c r="A6367" s="7"/>
      <c r="B6367" s="7" t="str">
        <f>IFERROR(__xludf.DUMMYFUNCTION("""COMPUTED_VALUE"""),"Go;HTML/CSS;Java;JavaScript;PHP")</f>
        <v>Go;HTML/CSS;Java;JavaScript;PHP</v>
      </c>
      <c r="M6367" s="9" t="s">
        <v>29</v>
      </c>
    </row>
    <row r="6368" ht="15.75" customHeight="1">
      <c r="A6368" s="7"/>
      <c r="B6368" s="7" t="str">
        <f>IFERROR(__xludf.DUMMYFUNCTION("""COMPUTED_VALUE"""),"C#;HTML/CSS;Java;JavaScript")</f>
        <v>C#;HTML/CSS;Java;JavaScript</v>
      </c>
      <c r="M6368" s="9" t="s">
        <v>31</v>
      </c>
    </row>
    <row r="6369" ht="15.75" customHeight="1">
      <c r="A6369" s="7"/>
      <c r="B6369" s="7" t="str">
        <f>IFERROR(__xludf.DUMMYFUNCTION("""COMPUTED_VALUE"""),"C#;HTML/CSS;R")</f>
        <v>C#;HTML/CSS;R</v>
      </c>
      <c r="M6369" s="9" t="s">
        <v>30</v>
      </c>
    </row>
    <row r="6370" ht="15.75" customHeight="1">
      <c r="A6370" s="7"/>
      <c r="B6370" s="7" t="str">
        <f>IFERROR(__xludf.DUMMYFUNCTION("""COMPUTED_VALUE"""),"C#;Java;JavaScript;Python;TypeScript")</f>
        <v>C#;Java;JavaScript;Python;TypeScript</v>
      </c>
      <c r="M6370" s="9" t="s">
        <v>26</v>
      </c>
    </row>
    <row r="6371" ht="15.75" customHeight="1">
      <c r="A6371" s="7"/>
      <c r="B6371" s="7" t="str">
        <f>IFERROR(__xludf.DUMMYFUNCTION("""COMPUTED_VALUE"""),"HTML/CSS;JavaScript;PHP")</f>
        <v>HTML/CSS;JavaScript;PHP</v>
      </c>
      <c r="M6371" s="9" t="s">
        <v>24</v>
      </c>
    </row>
    <row r="6372" ht="15.75" customHeight="1">
      <c r="A6372" s="7"/>
      <c r="B6372" s="7" t="str">
        <f>IFERROR(__xludf.DUMMYFUNCTION("""COMPUTED_VALUE"""),"Bash/Shell/PowerShell;C;C++;HTML/CSS;JavaScript;Python;Other(s):")</f>
        <v>Bash/Shell/PowerShell;C;C++;HTML/CSS;JavaScript;Python;Other(s):</v>
      </c>
      <c r="M6372" s="9" t="s">
        <v>21</v>
      </c>
    </row>
    <row r="6373" ht="15.75" customHeight="1">
      <c r="A6373" s="7"/>
      <c r="B6373" s="7" t="str">
        <f>IFERROR(__xludf.DUMMYFUNCTION("""COMPUTED_VALUE"""),"Python;TypeScript")</f>
        <v>Python;TypeScript</v>
      </c>
      <c r="M6373" s="9" t="s">
        <v>22</v>
      </c>
    </row>
    <row r="6374" ht="15.75" customHeight="1">
      <c r="A6374" s="7"/>
      <c r="B6374" s="7" t="str">
        <f>IFERROR(__xludf.DUMMYFUNCTION("""COMPUTED_VALUE"""),"C#;HTML/CSS;JavaScript;SQL;TypeScript")</f>
        <v>C#;HTML/CSS;JavaScript;SQL;TypeScript</v>
      </c>
      <c r="M6374" s="9" t="s">
        <v>27</v>
      </c>
    </row>
    <row r="6375" ht="15.75" customHeight="1">
      <c r="A6375" s="7"/>
      <c r="B6375" s="7" t="str">
        <f>IFERROR(__xludf.DUMMYFUNCTION("""COMPUTED_VALUE"""),"C#;HTML/CSS;JavaScript;SQL")</f>
        <v>C#;HTML/CSS;JavaScript;SQL</v>
      </c>
      <c r="M6375" s="9" t="s">
        <v>20</v>
      </c>
    </row>
    <row r="6376" ht="15.75" customHeight="1">
      <c r="A6376" s="7"/>
      <c r="B6376" s="7" t="str">
        <f>IFERROR(__xludf.DUMMYFUNCTION("""COMPUTED_VALUE"""),"Bash/Shell/PowerShell;Go;HTML/CSS;JavaScript;Python;R;SQL")</f>
        <v>Bash/Shell/PowerShell;Go;HTML/CSS;JavaScript;Python;R;SQL</v>
      </c>
      <c r="M6376" s="9" t="s">
        <v>41</v>
      </c>
    </row>
    <row r="6377" ht="15.75" customHeight="1">
      <c r="A6377" s="7"/>
      <c r="B6377" s="7" t="str">
        <f>IFERROR(__xludf.DUMMYFUNCTION("""COMPUTED_VALUE"""),"Bash/Shell/PowerShell;HTML/CSS;JavaScript;TypeScript")</f>
        <v>Bash/Shell/PowerShell;HTML/CSS;JavaScript;TypeScript</v>
      </c>
      <c r="M6377" s="9" t="s">
        <v>37</v>
      </c>
    </row>
    <row r="6378" ht="15.75" customHeight="1">
      <c r="A6378" s="7"/>
      <c r="B6378" s="7" t="str">
        <f>IFERROR(__xludf.DUMMYFUNCTION("""COMPUTED_VALUE"""),"HTML/CSS;JavaScript;PHP;SQL")</f>
        <v>HTML/CSS;JavaScript;PHP;SQL</v>
      </c>
      <c r="M6378" s="9" t="s">
        <v>24</v>
      </c>
    </row>
    <row r="6379" ht="15.75" customHeight="1">
      <c r="A6379" s="7"/>
      <c r="B6379" s="7" t="str">
        <f>IFERROR(__xludf.DUMMYFUNCTION("""COMPUTED_VALUE"""),"Bash/Shell/PowerShell;C#;Kotlin;Swift")</f>
        <v>Bash/Shell/PowerShell;C#;Kotlin;Swift</v>
      </c>
      <c r="M6379" s="9" t="s">
        <v>21</v>
      </c>
    </row>
    <row r="6380" ht="15.75" customHeight="1">
      <c r="A6380" s="7"/>
      <c r="B6380" s="7" t="str">
        <f>IFERROR(__xludf.DUMMYFUNCTION("""COMPUTED_VALUE"""),"C;C++;HTML/CSS;JavaScript;Objective-C;Swift")</f>
        <v>C;C++;HTML/CSS;JavaScript;Objective-C;Swift</v>
      </c>
      <c r="M6380" s="9" t="s">
        <v>24</v>
      </c>
    </row>
    <row r="6381" ht="15.75" customHeight="1">
      <c r="A6381" s="7"/>
      <c r="B6381" s="7" t="str">
        <f>IFERROR(__xludf.DUMMYFUNCTION("""COMPUTED_VALUE"""),"C#;HTML/CSS;JavaScript;PHP;Python;SQL;VBA")</f>
        <v>C#;HTML/CSS;JavaScript;PHP;Python;SQL;VBA</v>
      </c>
      <c r="M6381" s="9" t="s">
        <v>21</v>
      </c>
    </row>
    <row r="6382" ht="15.75" customHeight="1">
      <c r="A6382" s="7"/>
      <c r="B6382" s="7" t="str">
        <f>IFERROR(__xludf.DUMMYFUNCTION("""COMPUTED_VALUE"""),"C#;HTML/CSS;JavaScript;SQL")</f>
        <v>C#;HTML/CSS;JavaScript;SQL</v>
      </c>
      <c r="M6382" s="9" t="s">
        <v>37</v>
      </c>
    </row>
    <row r="6383" ht="15.75" customHeight="1">
      <c r="A6383" s="7"/>
      <c r="B6383" s="7" t="str">
        <f>IFERROR(__xludf.DUMMYFUNCTION("""COMPUTED_VALUE"""),"C#;HTML/CSS;Java;JavaScript")</f>
        <v>C#;HTML/CSS;Java;JavaScript</v>
      </c>
      <c r="M6383" s="9" t="s">
        <v>24</v>
      </c>
    </row>
    <row r="6384" ht="15.75" customHeight="1">
      <c r="A6384" s="7"/>
      <c r="B6384" s="7" t="str">
        <f>IFERROR(__xludf.DUMMYFUNCTION("""COMPUTED_VALUE"""),"HTML/CSS;JavaScript;PHP;SQL")</f>
        <v>HTML/CSS;JavaScript;PHP;SQL</v>
      </c>
      <c r="M6384" s="9" t="s">
        <v>20</v>
      </c>
    </row>
    <row r="6385" ht="15.75" customHeight="1">
      <c r="A6385" s="7"/>
      <c r="B6385" s="7" t="str">
        <f>IFERROR(__xludf.DUMMYFUNCTION("""COMPUTED_VALUE"""),"C;C#;HTML/CSS;JavaScript;SQL;TypeScript")</f>
        <v>C;C#;HTML/CSS;JavaScript;SQL;TypeScript</v>
      </c>
      <c r="M6385" s="9" t="s">
        <v>21</v>
      </c>
    </row>
    <row r="6386" ht="15.75" customHeight="1">
      <c r="A6386" s="7"/>
      <c r="B6386" s="7" t="str">
        <f>IFERROR(__xludf.DUMMYFUNCTION("""COMPUTED_VALUE"""),"Bash/Shell/PowerShell;C#;HTML/CSS;JavaScript;SQL;TypeScript")</f>
        <v>Bash/Shell/PowerShell;C#;HTML/CSS;JavaScript;SQL;TypeScript</v>
      </c>
      <c r="M6386" s="9" t="s">
        <v>27</v>
      </c>
    </row>
    <row r="6387" ht="15.75" customHeight="1">
      <c r="A6387" s="7"/>
      <c r="B6387" s="7" t="str">
        <f>IFERROR(__xludf.DUMMYFUNCTION("""COMPUTED_VALUE"""),"Bash/Shell/PowerShell;C;C++;C#;Elixir;Erlang;Go;Java;JavaScript;Kotlin;Objective-C;Python;Scala;SQL;Swift;TypeScript")</f>
        <v>Bash/Shell/PowerShell;C;C++;C#;Elixir;Erlang;Go;Java;JavaScript;Kotlin;Objective-C;Python;Scala;SQL;Swift;TypeScript</v>
      </c>
      <c r="M6387" s="9" t="s">
        <v>33</v>
      </c>
    </row>
    <row r="6388" ht="15.75" customHeight="1">
      <c r="A6388" s="7"/>
      <c r="B6388" s="7" t="str">
        <f>IFERROR(__xludf.DUMMYFUNCTION("""COMPUTED_VALUE"""),"Bash/Shell/PowerShell;C++;HTML/CSS;JavaScript;PHP;Python;SQL")</f>
        <v>Bash/Shell/PowerShell;C++;HTML/CSS;JavaScript;PHP;Python;SQL</v>
      </c>
      <c r="M6388" s="9" t="s">
        <v>22</v>
      </c>
    </row>
    <row r="6389" ht="15.75" customHeight="1">
      <c r="A6389" s="7"/>
      <c r="B6389" s="7" t="str">
        <f>IFERROR(__xludf.DUMMYFUNCTION("""COMPUTED_VALUE"""),"C++;HTML/CSS;Java;JavaScript;PHP;Python")</f>
        <v>C++;HTML/CSS;Java;JavaScript;PHP;Python</v>
      </c>
      <c r="M6389" s="9" t="s">
        <v>27</v>
      </c>
    </row>
    <row r="6390" ht="15.75" customHeight="1">
      <c r="A6390" s="7"/>
      <c r="B6390" s="7" t="str">
        <f>IFERROR(__xludf.DUMMYFUNCTION("""COMPUTED_VALUE"""),"Java")</f>
        <v>Java</v>
      </c>
      <c r="M6390" s="9" t="s">
        <v>30</v>
      </c>
    </row>
    <row r="6391" ht="15.75" customHeight="1">
      <c r="A6391" s="7"/>
      <c r="B6391" s="7" t="str">
        <f>IFERROR(__xludf.DUMMYFUNCTION("""COMPUTED_VALUE"""),"Bash/Shell/PowerShell;Java;JavaScript;TypeScript")</f>
        <v>Bash/Shell/PowerShell;Java;JavaScript;TypeScript</v>
      </c>
      <c r="M6391" s="9" t="s">
        <v>24</v>
      </c>
    </row>
    <row r="6392" ht="15.75" customHeight="1">
      <c r="A6392" s="7"/>
      <c r="B6392" s="7" t="str">
        <f>IFERROR(__xludf.DUMMYFUNCTION("""COMPUTED_VALUE"""),"C#;HTML/CSS;JavaScript;SQL")</f>
        <v>C#;HTML/CSS;JavaScript;SQL</v>
      </c>
      <c r="M6392" s="9" t="s">
        <v>21</v>
      </c>
    </row>
    <row r="6393" ht="15.75" customHeight="1">
      <c r="A6393" s="7"/>
      <c r="B6393" s="7" t="str">
        <f>IFERROR(__xludf.DUMMYFUNCTION("""COMPUTED_VALUE"""),"HTML/CSS;Python;SQL")</f>
        <v>HTML/CSS;Python;SQL</v>
      </c>
      <c r="M6393" s="9" t="s">
        <v>22</v>
      </c>
    </row>
    <row r="6394" ht="15.75" customHeight="1">
      <c r="A6394" s="7"/>
      <c r="B6394" s="7" t="str">
        <f>IFERROR(__xludf.DUMMYFUNCTION("""COMPUTED_VALUE"""),"HTML/CSS;Java;JavaScript;SQL;TypeScript")</f>
        <v>HTML/CSS;Java;JavaScript;SQL;TypeScript</v>
      </c>
      <c r="M6394" s="9" t="s">
        <v>46</v>
      </c>
    </row>
    <row r="6395" ht="15.75" customHeight="1">
      <c r="A6395" s="7"/>
      <c r="B6395" s="7" t="str">
        <f>IFERROR(__xludf.DUMMYFUNCTION("""COMPUTED_VALUE"""),"Bash/Shell/PowerShell;HTML/CSS;JavaScript;Python;SQL")</f>
        <v>Bash/Shell/PowerShell;HTML/CSS;JavaScript;Python;SQL</v>
      </c>
      <c r="M6395" s="9" t="s">
        <v>27</v>
      </c>
    </row>
    <row r="6396" ht="15.75" customHeight="1">
      <c r="A6396" s="7"/>
      <c r="B6396" s="7" t="str">
        <f>IFERROR(__xludf.DUMMYFUNCTION("""COMPUTED_VALUE"""),"C#;HTML/CSS;JavaScript;Objective-C;Ruby;SQL")</f>
        <v>C#;HTML/CSS;JavaScript;Objective-C;Ruby;SQL</v>
      </c>
      <c r="M6396" s="9" t="s">
        <v>33</v>
      </c>
    </row>
    <row r="6397" ht="15.75" customHeight="1">
      <c r="A6397" s="7"/>
      <c r="B6397" s="7" t="str">
        <f>IFERROR(__xludf.DUMMYFUNCTION("""COMPUTED_VALUE"""),"Java")</f>
        <v>Java</v>
      </c>
      <c r="M6397" s="9" t="s">
        <v>25</v>
      </c>
    </row>
    <row r="6398" ht="15.75" customHeight="1">
      <c r="A6398" s="7"/>
      <c r="B6398" s="7" t="str">
        <f>IFERROR(__xludf.DUMMYFUNCTION("""COMPUTED_VALUE"""),"HTML/CSS;JavaScript;Python")</f>
        <v>HTML/CSS;JavaScript;Python</v>
      </c>
      <c r="M6398" s="9" t="s">
        <v>23</v>
      </c>
    </row>
    <row r="6399" ht="15.75" customHeight="1">
      <c r="A6399" s="7"/>
      <c r="B6399" s="7" t="str">
        <f>IFERROR(__xludf.DUMMYFUNCTION("""COMPUTED_VALUE"""),"HTML/CSS;JavaScript;PHP;SQL")</f>
        <v>HTML/CSS;JavaScript;PHP;SQL</v>
      </c>
      <c r="M6399" s="9" t="s">
        <v>20</v>
      </c>
    </row>
    <row r="6400" ht="15.75" customHeight="1">
      <c r="A6400" s="7"/>
      <c r="B6400" s="7" t="str">
        <f>IFERROR(__xludf.DUMMYFUNCTION("""COMPUTED_VALUE"""),"C#;HTML/CSS;Java;JavaScript;Kotlin;Python;Scala;SQL")</f>
        <v>C#;HTML/CSS;Java;JavaScript;Kotlin;Python;Scala;SQL</v>
      </c>
      <c r="M6400" s="9" t="s">
        <v>21</v>
      </c>
    </row>
    <row r="6401" ht="15.75" customHeight="1">
      <c r="A6401" s="7"/>
      <c r="B6401" s="7" t="str">
        <f>IFERROR(__xludf.DUMMYFUNCTION("""COMPUTED_VALUE"""),"C#;HTML/CSS;Java;JavaScript;Python;SQL")</f>
        <v>C#;HTML/CSS;Java;JavaScript;Python;SQL</v>
      </c>
      <c r="M6401" s="9" t="s">
        <v>37</v>
      </c>
    </row>
    <row r="6402" ht="15.75" customHeight="1">
      <c r="A6402" s="7"/>
      <c r="B6402" s="7" t="str">
        <f>IFERROR(__xludf.DUMMYFUNCTION("""COMPUTED_VALUE"""),"HTML/CSS;Java;JavaScript;SQL")</f>
        <v>HTML/CSS;Java;JavaScript;SQL</v>
      </c>
      <c r="M6402" s="9" t="s">
        <v>22</v>
      </c>
    </row>
    <row r="6403" ht="15.75" customHeight="1">
      <c r="A6403" s="7"/>
      <c r="B6403" s="7" t="str">
        <f>IFERROR(__xludf.DUMMYFUNCTION("""COMPUTED_VALUE"""),"JavaScript;SQL;TypeScript")</f>
        <v>JavaScript;SQL;TypeScript</v>
      </c>
      <c r="M6403" s="9" t="s">
        <v>25</v>
      </c>
    </row>
    <row r="6404" ht="15.75" customHeight="1">
      <c r="A6404" s="7"/>
      <c r="B6404" s="7" t="str">
        <f>IFERROR(__xludf.DUMMYFUNCTION("""COMPUTED_VALUE"""),"HTML/CSS;JavaScript;PHP")</f>
        <v>HTML/CSS;JavaScript;PHP</v>
      </c>
      <c r="M6404" s="9" t="s">
        <v>24</v>
      </c>
    </row>
    <row r="6405" ht="15.75" customHeight="1">
      <c r="A6405" s="7"/>
      <c r="B6405" s="7" t="str">
        <f>IFERROR(__xludf.DUMMYFUNCTION("""COMPUTED_VALUE"""),"Bash/Shell/PowerShell;C#;HTML/CSS;Java;JavaScript;PHP;Scala;TypeScript")</f>
        <v>Bash/Shell/PowerShell;C#;HTML/CSS;Java;JavaScript;PHP;Scala;TypeScript</v>
      </c>
      <c r="M6405" s="9" t="s">
        <v>20</v>
      </c>
    </row>
    <row r="6406" ht="15.75" customHeight="1">
      <c r="A6406" s="7"/>
      <c r="B6406" s="7" t="str">
        <f>IFERROR(__xludf.DUMMYFUNCTION("""COMPUTED_VALUE"""),"C;C++;Python;Other(s):")</f>
        <v>C;C++;Python;Other(s):</v>
      </c>
      <c r="M6406" s="9" t="s">
        <v>21</v>
      </c>
    </row>
    <row r="6407" ht="15.75" customHeight="1">
      <c r="A6407" s="7"/>
      <c r="B6407" s="7" t="str">
        <f>IFERROR(__xludf.DUMMYFUNCTION("""COMPUTED_VALUE"""),"C#;HTML/CSS;Java;JavaScript;PHP;Python;SQL")</f>
        <v>C#;HTML/CSS;Java;JavaScript;PHP;Python;SQL</v>
      </c>
      <c r="M6407" s="9" t="s">
        <v>39</v>
      </c>
    </row>
    <row r="6408" ht="15.75" customHeight="1">
      <c r="A6408" s="7"/>
      <c r="B6408" s="7" t="str">
        <f>IFERROR(__xludf.DUMMYFUNCTION("""COMPUTED_VALUE"""),"Bash/Shell/PowerShell;C;C++;HTML/CSS;Python;SQL")</f>
        <v>Bash/Shell/PowerShell;C;C++;HTML/CSS;Python;SQL</v>
      </c>
      <c r="M6408" s="9" t="s">
        <v>37</v>
      </c>
    </row>
    <row r="6409" ht="15.75" customHeight="1">
      <c r="A6409" s="7"/>
      <c r="B6409" s="7" t="str">
        <f>IFERROR(__xludf.DUMMYFUNCTION("""COMPUTED_VALUE"""),"HTML/CSS;Java;PHP;SQL;TypeScript")</f>
        <v>HTML/CSS;Java;PHP;SQL;TypeScript</v>
      </c>
      <c r="M6409" s="9" t="s">
        <v>22</v>
      </c>
    </row>
    <row r="6410" ht="15.75" customHeight="1">
      <c r="A6410" s="7"/>
      <c r="B6410" s="7" t="str">
        <f>IFERROR(__xludf.DUMMYFUNCTION("""COMPUTED_VALUE"""),"Java;JavaScript;Kotlin;SQL")</f>
        <v>Java;JavaScript;Kotlin;SQL</v>
      </c>
      <c r="M6410" s="9" t="s">
        <v>27</v>
      </c>
    </row>
    <row r="6411" ht="15.75" customHeight="1">
      <c r="A6411" s="7"/>
      <c r="B6411" s="7" t="str">
        <f>IFERROR(__xludf.DUMMYFUNCTION("""COMPUTED_VALUE"""),"Bash/Shell/PowerShell;Java;JavaScript;Python;Other(s):")</f>
        <v>Bash/Shell/PowerShell;Java;JavaScript;Python;Other(s):</v>
      </c>
      <c r="M6411" s="9" t="s">
        <v>23</v>
      </c>
    </row>
    <row r="6412" ht="15.75" customHeight="1">
      <c r="A6412" s="7"/>
      <c r="B6412" s="7" t="str">
        <f>IFERROR(__xludf.DUMMYFUNCTION("""COMPUTED_VALUE"""),"C#;HTML/CSS;JavaScript;SQL;TypeScript")</f>
        <v>C#;HTML/CSS;JavaScript;SQL;TypeScript</v>
      </c>
      <c r="M6412" s="9" t="s">
        <v>21</v>
      </c>
    </row>
    <row r="6413" ht="15.75" customHeight="1">
      <c r="A6413" s="7"/>
      <c r="B6413" s="7" t="str">
        <f>IFERROR(__xludf.DUMMYFUNCTION("""COMPUTED_VALUE"""),"Bash/Shell/PowerShell;HTML/CSS;JavaScript;SQL;Other(s):")</f>
        <v>Bash/Shell/PowerShell;HTML/CSS;JavaScript;SQL;Other(s):</v>
      </c>
      <c r="M6413" s="9" t="s">
        <v>22</v>
      </c>
    </row>
    <row r="6414" ht="15.75" customHeight="1">
      <c r="A6414" s="7"/>
      <c r="B6414" s="7" t="str">
        <f>IFERROR(__xludf.DUMMYFUNCTION("""COMPUTED_VALUE"""),"Bash/Shell/PowerShell;HTML/CSS;JavaScript;PHP;Python;TypeScript")</f>
        <v>Bash/Shell/PowerShell;HTML/CSS;JavaScript;PHP;Python;TypeScript</v>
      </c>
      <c r="M6414" s="9" t="s">
        <v>27</v>
      </c>
    </row>
    <row r="6415" ht="15.75" customHeight="1">
      <c r="A6415" s="7"/>
      <c r="B6415" s="7" t="str">
        <f>IFERROR(__xludf.DUMMYFUNCTION("""COMPUTED_VALUE"""),"PHP")</f>
        <v>PHP</v>
      </c>
      <c r="M6415" s="9" t="s">
        <v>30</v>
      </c>
    </row>
    <row r="6416" ht="15.75" customHeight="1">
      <c r="A6416" s="7"/>
      <c r="B6416" s="7" t="str">
        <f>IFERROR(__xludf.DUMMYFUNCTION("""COMPUTED_VALUE"""),"C#;HTML/CSS;JavaScript;PHP;SQL")</f>
        <v>C#;HTML/CSS;JavaScript;PHP;SQL</v>
      </c>
      <c r="M6416" s="9" t="s">
        <v>24</v>
      </c>
    </row>
    <row r="6417" ht="15.75" customHeight="1">
      <c r="A6417" s="7"/>
      <c r="B6417" s="7" t="str">
        <f>IFERROR(__xludf.DUMMYFUNCTION("""COMPUTED_VALUE"""),"Bash/Shell/PowerShell;Java")</f>
        <v>Bash/Shell/PowerShell;Java</v>
      </c>
      <c r="M6417" s="9" t="s">
        <v>22</v>
      </c>
    </row>
    <row r="6418" ht="15.75" customHeight="1">
      <c r="A6418" s="7"/>
      <c r="B6418" s="7" t="str">
        <f>IFERROR(__xludf.DUMMYFUNCTION("""COMPUTED_VALUE"""),"Clojure;HTML/CSS;Java;JavaScript;Kotlin;Python;SQL;TypeScript")</f>
        <v>Clojure;HTML/CSS;Java;JavaScript;Kotlin;Python;SQL;TypeScript</v>
      </c>
      <c r="M6418" s="9" t="s">
        <v>31</v>
      </c>
    </row>
    <row r="6419" ht="15.75" customHeight="1">
      <c r="A6419" s="7"/>
      <c r="B6419" s="7" t="str">
        <f>IFERROR(__xludf.DUMMYFUNCTION("""COMPUTED_VALUE"""),"C#")</f>
        <v>C#</v>
      </c>
      <c r="M6419" s="9" t="s">
        <v>27</v>
      </c>
    </row>
    <row r="6420" ht="15.75" customHeight="1">
      <c r="A6420" s="7"/>
      <c r="B6420" s="7" t="str">
        <f>IFERROR(__xludf.DUMMYFUNCTION("""COMPUTED_VALUE"""),"C++;HTML/CSS;Java")</f>
        <v>C++;HTML/CSS;Java</v>
      </c>
      <c r="M6420" s="9" t="s">
        <v>35</v>
      </c>
    </row>
    <row r="6421" ht="15.75" customHeight="1">
      <c r="A6421" s="7"/>
      <c r="B6421" s="7" t="str">
        <f>IFERROR(__xludf.DUMMYFUNCTION("""COMPUTED_VALUE"""),"C#;HTML/CSS;JavaScript;Other(s):")</f>
        <v>C#;HTML/CSS;JavaScript;Other(s):</v>
      </c>
      <c r="M6421" s="9" t="s">
        <v>23</v>
      </c>
    </row>
    <row r="6422" ht="15.75" customHeight="1">
      <c r="A6422" s="7"/>
      <c r="B6422" s="7" t="str">
        <f>IFERROR(__xludf.DUMMYFUNCTION("""COMPUTED_VALUE"""),"Erlang;HTML/CSS;Java;JavaScript;Python;SQL")</f>
        <v>Erlang;HTML/CSS;Java;JavaScript;Python;SQL</v>
      </c>
      <c r="M6422" s="9" t="s">
        <v>47</v>
      </c>
    </row>
    <row r="6423" ht="15.75" customHeight="1">
      <c r="A6423" s="7"/>
      <c r="B6423" s="7" t="str">
        <f>IFERROR(__xludf.DUMMYFUNCTION("""COMPUTED_VALUE"""),"Bash/Shell/PowerShell;Python")</f>
        <v>Bash/Shell/PowerShell;Python</v>
      </c>
      <c r="M6423" s="9" t="s">
        <v>24</v>
      </c>
    </row>
    <row r="6424" ht="15.75" customHeight="1">
      <c r="A6424" s="7"/>
      <c r="B6424" s="7" t="str">
        <f>IFERROR(__xludf.DUMMYFUNCTION("""COMPUTED_VALUE"""),"HTML/CSS;Java;JavaScript;Objective-C;PHP;Python;SQL;Swift")</f>
        <v>HTML/CSS;Java;JavaScript;Objective-C;PHP;Python;SQL;Swift</v>
      </c>
      <c r="M6424" s="9" t="s">
        <v>20</v>
      </c>
    </row>
    <row r="6425" ht="15.75" customHeight="1">
      <c r="A6425" s="7"/>
      <c r="B6425" s="7" t="str">
        <f>IFERROR(__xludf.DUMMYFUNCTION("""COMPUTED_VALUE"""),"Bash/Shell/PowerShell;C;C++;Java;JavaScript;Python")</f>
        <v>Bash/Shell/PowerShell;C;C++;Java;JavaScript;Python</v>
      </c>
      <c r="M6425" s="9" t="s">
        <v>37</v>
      </c>
    </row>
    <row r="6426" ht="15.75" customHeight="1">
      <c r="A6426" s="7"/>
      <c r="B6426" s="7" t="str">
        <f>IFERROR(__xludf.DUMMYFUNCTION("""COMPUTED_VALUE"""),"C;C++;PHP;Python")</f>
        <v>C;C++;PHP;Python</v>
      </c>
      <c r="M6426" s="9" t="s">
        <v>22</v>
      </c>
    </row>
    <row r="6427" ht="15.75" customHeight="1">
      <c r="A6427" s="7"/>
      <c r="B6427" s="7" t="str">
        <f>IFERROR(__xludf.DUMMYFUNCTION("""COMPUTED_VALUE"""),"Java;Kotlin;SQL")</f>
        <v>Java;Kotlin;SQL</v>
      </c>
      <c r="M6427" s="9" t="s">
        <v>27</v>
      </c>
    </row>
    <row r="6428" ht="15.75" customHeight="1">
      <c r="A6428" s="7"/>
      <c r="B6428" s="7" t="str">
        <f>IFERROR(__xludf.DUMMYFUNCTION("""COMPUTED_VALUE"""),"Bash/Shell/PowerShell;C;C++;Java;Python")</f>
        <v>Bash/Shell/PowerShell;C;C++;Java;Python</v>
      </c>
      <c r="M6428" s="9" t="s">
        <v>30</v>
      </c>
    </row>
    <row r="6429" ht="15.75" customHeight="1">
      <c r="A6429" s="7"/>
      <c r="B6429" s="7" t="str">
        <f>IFERROR(__xludf.DUMMYFUNCTION("""COMPUTED_VALUE"""),"HTML/CSS;JavaScript;PHP;SQL")</f>
        <v>HTML/CSS;JavaScript;PHP;SQL</v>
      </c>
      <c r="M6429" s="9" t="s">
        <v>37</v>
      </c>
    </row>
    <row r="6430" ht="15.75" customHeight="1">
      <c r="A6430" s="7"/>
      <c r="B6430" s="7" t="str">
        <f>IFERROR(__xludf.DUMMYFUNCTION("""COMPUTED_VALUE"""),"HTML/CSS;Java;JavaScript;PHP;Ruby;SQL")</f>
        <v>HTML/CSS;Java;JavaScript;PHP;Ruby;SQL</v>
      </c>
      <c r="M6430" s="9" t="s">
        <v>22</v>
      </c>
    </row>
    <row r="6431" ht="15.75" customHeight="1">
      <c r="A6431" s="7"/>
      <c r="B6431" s="7" t="str">
        <f>IFERROR(__xludf.DUMMYFUNCTION("""COMPUTED_VALUE"""),"PHP;SQL;Other(s):")</f>
        <v>PHP;SQL;Other(s):</v>
      </c>
      <c r="M6431" s="9" t="s">
        <v>27</v>
      </c>
    </row>
    <row r="6432" ht="15.75" customHeight="1">
      <c r="A6432" s="7"/>
      <c r="B6432" s="7" t="str">
        <f>IFERROR(__xludf.DUMMYFUNCTION("""COMPUTED_VALUE"""),"Bash/Shell/PowerShell;C#;HTML/CSS;JavaScript;Python;SQL;TypeScript")</f>
        <v>Bash/Shell/PowerShell;C#;HTML/CSS;JavaScript;Python;SQL;TypeScript</v>
      </c>
      <c r="M6432" s="9" t="s">
        <v>20</v>
      </c>
    </row>
    <row r="6433" ht="15.75" customHeight="1">
      <c r="A6433" s="7"/>
      <c r="B6433" s="7" t="str">
        <f>IFERROR(__xludf.DUMMYFUNCTION("""COMPUTED_VALUE"""),"Assembly;Bash/Shell/PowerShell;C;HTML/CSS;Java;JavaScript;PHP;R;SQL;VBA")</f>
        <v>Assembly;Bash/Shell/PowerShell;C;HTML/CSS;Java;JavaScript;PHP;R;SQL;VBA</v>
      </c>
      <c r="M6433" s="9" t="s">
        <v>46</v>
      </c>
    </row>
    <row r="6434" ht="15.75" customHeight="1">
      <c r="A6434" s="7"/>
      <c r="B6434" s="7" t="str">
        <f>IFERROR(__xludf.DUMMYFUNCTION("""COMPUTED_VALUE"""),"Bash/Shell/PowerShell;C#;HTML/CSS;JavaScript;SQL;TypeScript")</f>
        <v>Bash/Shell/PowerShell;C#;HTML/CSS;JavaScript;SQL;TypeScript</v>
      </c>
      <c r="M6434" s="9" t="s">
        <v>25</v>
      </c>
    </row>
    <row r="6435" ht="15.75" customHeight="1">
      <c r="A6435" s="7"/>
      <c r="B6435" s="7" t="str">
        <f>IFERROR(__xludf.DUMMYFUNCTION("""COMPUTED_VALUE"""),"HTML/CSS;JavaScript;PHP;Ruby;SQL")</f>
        <v>HTML/CSS;JavaScript;PHP;Ruby;SQL</v>
      </c>
      <c r="M6435" s="9" t="s">
        <v>23</v>
      </c>
    </row>
    <row r="6436" ht="15.75" customHeight="1">
      <c r="A6436" s="7"/>
      <c r="B6436" s="7" t="str">
        <f>IFERROR(__xludf.DUMMYFUNCTION("""COMPUTED_VALUE"""),"Bash/Shell/PowerShell;Go;HTML/CSS;JavaScript;Python;TypeScript")</f>
        <v>Bash/Shell/PowerShell;Go;HTML/CSS;JavaScript;Python;TypeScript</v>
      </c>
      <c r="M6436" s="9" t="s">
        <v>22</v>
      </c>
    </row>
    <row r="6437" ht="15.75" customHeight="1">
      <c r="A6437" s="7"/>
      <c r="B6437" s="7" t="str">
        <f>IFERROR(__xludf.DUMMYFUNCTION("""COMPUTED_VALUE"""),"HTML/CSS;Java;JavaScript;PHP;SQL;TypeScript")</f>
        <v>HTML/CSS;Java;JavaScript;PHP;SQL;TypeScript</v>
      </c>
      <c r="M6437" s="9" t="s">
        <v>21</v>
      </c>
    </row>
    <row r="6438" ht="15.75" customHeight="1">
      <c r="A6438" s="7"/>
      <c r="B6438" s="7" t="str">
        <f>IFERROR(__xludf.DUMMYFUNCTION("""COMPUTED_VALUE"""),"C++;Java")</f>
        <v>C++;Java</v>
      </c>
      <c r="M6438" s="9" t="s">
        <v>31</v>
      </c>
    </row>
    <row r="6439" ht="15.75" customHeight="1">
      <c r="A6439" s="7"/>
      <c r="B6439" s="7" t="str">
        <f>IFERROR(__xludf.DUMMYFUNCTION("""COMPUTED_VALUE"""),"PHP")</f>
        <v>PHP</v>
      </c>
      <c r="M6439" s="9" t="s">
        <v>30</v>
      </c>
    </row>
    <row r="6440" ht="15.75" customHeight="1">
      <c r="A6440" s="7"/>
      <c r="B6440" s="7" t="str">
        <f>IFERROR(__xludf.DUMMYFUNCTION("""COMPUTED_VALUE"""),"Bash/Shell/PowerShell;HTML/CSS;Java;JavaScript;SQL")</f>
        <v>Bash/Shell/PowerShell;HTML/CSS;Java;JavaScript;SQL</v>
      </c>
      <c r="M6440" s="9" t="s">
        <v>25</v>
      </c>
    </row>
    <row r="6441" ht="15.75" customHeight="1">
      <c r="A6441" s="7"/>
      <c r="B6441" s="7" t="str">
        <f>IFERROR(__xludf.DUMMYFUNCTION("""COMPUTED_VALUE"""),"C;C++;C#;HTML/CSS;JavaScript;TypeScript")</f>
        <v>C;C++;C#;HTML/CSS;JavaScript;TypeScript</v>
      </c>
      <c r="M6441" s="9" t="s">
        <v>23</v>
      </c>
    </row>
    <row r="6442" ht="15.75" customHeight="1">
      <c r="A6442" s="7"/>
      <c r="B6442" s="7" t="str">
        <f>IFERROR(__xludf.DUMMYFUNCTION("""COMPUTED_VALUE"""),"C#;HTML/CSS;JavaScript;SQL;Other(s):")</f>
        <v>C#;HTML/CSS;JavaScript;SQL;Other(s):</v>
      </c>
      <c r="M6442" s="9" t="s">
        <v>44</v>
      </c>
    </row>
    <row r="6443" ht="15.75" customHeight="1">
      <c r="A6443" s="7"/>
      <c r="B6443" s="7" t="str">
        <f>IFERROR(__xludf.DUMMYFUNCTION("""COMPUTED_VALUE"""),"Bash/Shell/PowerShell;C#;HTML/CSS;JavaScript;Python;Swift")</f>
        <v>Bash/Shell/PowerShell;C#;HTML/CSS;JavaScript;Python;Swift</v>
      </c>
      <c r="M6443" s="9" t="s">
        <v>42</v>
      </c>
    </row>
    <row r="6444" ht="15.75" customHeight="1">
      <c r="A6444" s="7"/>
      <c r="B6444" s="7" t="str">
        <f>IFERROR(__xludf.DUMMYFUNCTION("""COMPUTED_VALUE"""),"Bash/Shell/PowerShell;HTML/CSS;JavaScript;Python;SQL")</f>
        <v>Bash/Shell/PowerShell;HTML/CSS;JavaScript;Python;SQL</v>
      </c>
      <c r="M6444" s="9" t="s">
        <v>43</v>
      </c>
    </row>
    <row r="6445" ht="15.75" customHeight="1">
      <c r="A6445" s="7"/>
      <c r="B6445" s="7" t="str">
        <f>IFERROR(__xludf.DUMMYFUNCTION("""COMPUTED_VALUE"""),"Bash/Shell/PowerShell;JavaScript;PHP;SQL")</f>
        <v>Bash/Shell/PowerShell;JavaScript;PHP;SQL</v>
      </c>
      <c r="M6445" s="9" t="s">
        <v>22</v>
      </c>
    </row>
    <row r="6446" ht="15.75" customHeight="1">
      <c r="A6446" s="7"/>
      <c r="B6446" s="7" t="str">
        <f>IFERROR(__xludf.DUMMYFUNCTION("""COMPUTED_VALUE"""),"Bash/Shell/PowerShell;Dart;HTML/CSS;Java;JavaScript;PHP;Python;SQL;TypeScript")</f>
        <v>Bash/Shell/PowerShell;Dart;HTML/CSS;Java;JavaScript;PHP;Python;SQL;TypeScript</v>
      </c>
      <c r="M6446" s="9" t="s">
        <v>26</v>
      </c>
    </row>
    <row r="6447" ht="15.75" customHeight="1">
      <c r="A6447" s="7"/>
      <c r="B6447" s="7" t="str">
        <f>IFERROR(__xludf.DUMMYFUNCTION("""COMPUTED_VALUE"""),"Python;VBA")</f>
        <v>Python;VBA</v>
      </c>
      <c r="M6447" s="9" t="s">
        <v>21</v>
      </c>
    </row>
    <row r="6448" ht="15.75" customHeight="1">
      <c r="A6448" s="7"/>
      <c r="B6448" s="7" t="str">
        <f>IFERROR(__xludf.DUMMYFUNCTION("""COMPUTED_VALUE"""),"C#;F#;Python")</f>
        <v>C#;F#;Python</v>
      </c>
      <c r="M6448" s="9" t="s">
        <v>27</v>
      </c>
    </row>
    <row r="6449" ht="15.75" customHeight="1">
      <c r="A6449" s="7"/>
      <c r="B6449" s="7" t="str">
        <f>IFERROR(__xludf.DUMMYFUNCTION("""COMPUTED_VALUE"""),"Bash/Shell/PowerShell;C;C++;Go;Python")</f>
        <v>Bash/Shell/PowerShell;C;C++;Go;Python</v>
      </c>
      <c r="M6449" s="9" t="s">
        <v>30</v>
      </c>
    </row>
    <row r="6450" ht="15.75" customHeight="1">
      <c r="A6450" s="7"/>
      <c r="B6450" s="7" t="str">
        <f>IFERROR(__xludf.DUMMYFUNCTION("""COMPUTED_VALUE"""),"Bash/Shell/PowerShell;C;HTML/CSS;Java;JavaScript;PHP")</f>
        <v>Bash/Shell/PowerShell;C;HTML/CSS;Java;JavaScript;PHP</v>
      </c>
      <c r="M6450" s="9" t="s">
        <v>24</v>
      </c>
    </row>
    <row r="6451" ht="15.75" customHeight="1">
      <c r="A6451" s="7"/>
      <c r="B6451" s="7" t="str">
        <f>IFERROR(__xludf.DUMMYFUNCTION("""COMPUTED_VALUE"""),"Assembly;Bash/Shell/PowerShell;C;HTML/CSS;Java;JavaScript;TypeScript")</f>
        <v>Assembly;Bash/Shell/PowerShell;C;HTML/CSS;Java;JavaScript;TypeScript</v>
      </c>
      <c r="M6451" s="9" t="s">
        <v>20</v>
      </c>
    </row>
    <row r="6452" ht="15.75" customHeight="1">
      <c r="A6452" s="7"/>
      <c r="B6452" s="7" t="str">
        <f>IFERROR(__xludf.DUMMYFUNCTION("""COMPUTED_VALUE"""),"Bash/Shell/PowerShell;Go;Java;Python;SQL")</f>
        <v>Bash/Shell/PowerShell;Go;Java;Python;SQL</v>
      </c>
      <c r="M6452" s="9" t="s">
        <v>33</v>
      </c>
    </row>
    <row r="6453" ht="15.75" customHeight="1">
      <c r="A6453" s="7"/>
      <c r="B6453" s="7" t="str">
        <f>IFERROR(__xludf.DUMMYFUNCTION("""COMPUTED_VALUE"""),"Bash/Shell/PowerShell;HTML/CSS;JavaScript;SQL;TypeScript")</f>
        <v>Bash/Shell/PowerShell;HTML/CSS;JavaScript;SQL;TypeScript</v>
      </c>
      <c r="M6453" s="9" t="s">
        <v>38</v>
      </c>
    </row>
    <row r="6454" ht="15.75" customHeight="1">
      <c r="A6454" s="7"/>
      <c r="B6454" s="7" t="str">
        <f>IFERROR(__xludf.DUMMYFUNCTION("""COMPUTED_VALUE"""),"C#;Python;TypeScript")</f>
        <v>C#;Python;TypeScript</v>
      </c>
      <c r="M6454" s="9" t="s">
        <v>24</v>
      </c>
    </row>
    <row r="6455" ht="15.75" customHeight="1">
      <c r="A6455" s="7"/>
      <c r="B6455" s="7" t="str">
        <f>IFERROR(__xludf.DUMMYFUNCTION("""COMPUTED_VALUE"""),"HTML/CSS;Java;JavaScript;SQL;TypeScript")</f>
        <v>HTML/CSS;Java;JavaScript;SQL;TypeScript</v>
      </c>
      <c r="M6455" s="9" t="s">
        <v>20</v>
      </c>
    </row>
    <row r="6456" ht="15.75" customHeight="1">
      <c r="A6456" s="7"/>
      <c r="B6456" s="7" t="str">
        <f>IFERROR(__xludf.DUMMYFUNCTION("""COMPUTED_VALUE"""),"HTML/CSS;Java;JavaScript;PHP;SQL;TypeScript")</f>
        <v>HTML/CSS;Java;JavaScript;PHP;SQL;TypeScript</v>
      </c>
      <c r="M6456" s="9" t="s">
        <v>21</v>
      </c>
    </row>
    <row r="6457" ht="15.75" customHeight="1">
      <c r="A6457" s="7"/>
      <c r="B6457" s="7" t="str">
        <f>IFERROR(__xludf.DUMMYFUNCTION("""COMPUTED_VALUE"""),"Clojure;Java")</f>
        <v>Clojure;Java</v>
      </c>
      <c r="M6457" s="9" t="s">
        <v>27</v>
      </c>
    </row>
    <row r="6458" ht="15.75" customHeight="1">
      <c r="A6458" s="7"/>
      <c r="B6458" s="7" t="str">
        <f>IFERROR(__xludf.DUMMYFUNCTION("""COMPUTED_VALUE"""),"Assembly;C;C#;Java;JavaScript;PHP;Python;SQL")</f>
        <v>Assembly;C;C#;Java;JavaScript;PHP;Python;SQL</v>
      </c>
      <c r="M6458" s="9" t="s">
        <v>30</v>
      </c>
    </row>
    <row r="6459" ht="15.75" customHeight="1">
      <c r="A6459" s="7"/>
      <c r="B6459" s="7" t="str">
        <f>IFERROR(__xludf.DUMMYFUNCTION("""COMPUTED_VALUE"""),"Bash/Shell/PowerShell;C;C++;Python")</f>
        <v>Bash/Shell/PowerShell;C;C++;Python</v>
      </c>
      <c r="M6459" s="9" t="s">
        <v>24</v>
      </c>
    </row>
    <row r="6460" ht="15.75" customHeight="1">
      <c r="A6460" s="7"/>
      <c r="B6460" s="7" t="str">
        <f>IFERROR(__xludf.DUMMYFUNCTION("""COMPUTED_VALUE"""),"C#;Elixir;JavaScript;TypeScript")</f>
        <v>C#;Elixir;JavaScript;TypeScript</v>
      </c>
      <c r="M6460" s="9" t="s">
        <v>21</v>
      </c>
    </row>
    <row r="6461" ht="15.75" customHeight="1">
      <c r="A6461" s="7"/>
      <c r="B6461" s="7" t="str">
        <f>IFERROR(__xludf.DUMMYFUNCTION("""COMPUTED_VALUE"""),"C++;C#;Java")</f>
        <v>C++;C#;Java</v>
      </c>
      <c r="M6461" s="9" t="s">
        <v>37</v>
      </c>
    </row>
    <row r="6462" ht="15.75" customHeight="1">
      <c r="A6462" s="7"/>
      <c r="B6462" s="7" t="str">
        <f>IFERROR(__xludf.DUMMYFUNCTION("""COMPUTED_VALUE"""),"C;C#;HTML/CSS;Java;JavaScript;PHP;Python;SQL")</f>
        <v>C;C#;HTML/CSS;Java;JavaScript;PHP;Python;SQL</v>
      </c>
      <c r="M6462" s="9" t="s">
        <v>27</v>
      </c>
    </row>
    <row r="6463" ht="15.75" customHeight="1">
      <c r="A6463" s="7"/>
      <c r="B6463" s="7" t="str">
        <f>IFERROR(__xludf.DUMMYFUNCTION("""COMPUTED_VALUE"""),"Dart;HTML/CSS;Java;JavaScript;PHP;SQL")</f>
        <v>Dart;HTML/CSS;Java;JavaScript;PHP;SQL</v>
      </c>
      <c r="M6463" s="9" t="s">
        <v>33</v>
      </c>
    </row>
    <row r="6464" ht="15.75" customHeight="1">
      <c r="A6464" s="7"/>
      <c r="B6464" s="7" t="str">
        <f>IFERROR(__xludf.DUMMYFUNCTION("""COMPUTED_VALUE"""),"Assembly;HTML/CSS;Java;JavaScript;PHP;SQL;VBA;WebAssembly")</f>
        <v>Assembly;HTML/CSS;Java;JavaScript;PHP;SQL;VBA;WebAssembly</v>
      </c>
      <c r="M6464" s="9" t="s">
        <v>38</v>
      </c>
    </row>
    <row r="6465" ht="15.75" customHeight="1">
      <c r="A6465" s="7"/>
      <c r="B6465" s="7" t="str">
        <f>IFERROR(__xludf.DUMMYFUNCTION("""COMPUTED_VALUE"""),"C;C++;HTML/CSS;JavaScript;Python;SQL")</f>
        <v>C;C++;HTML/CSS;JavaScript;Python;SQL</v>
      </c>
      <c r="M6465" s="9" t="s">
        <v>30</v>
      </c>
    </row>
    <row r="6466" ht="15.75" customHeight="1">
      <c r="A6466" s="7"/>
      <c r="B6466" s="7" t="str">
        <f>IFERROR(__xludf.DUMMYFUNCTION("""COMPUTED_VALUE"""),"Bash/Shell/PowerShell;HTML/CSS;Java;JavaScript;Python;SQL;VBA")</f>
        <v>Bash/Shell/PowerShell;HTML/CSS;Java;JavaScript;Python;SQL;VBA</v>
      </c>
      <c r="M6466" s="9" t="s">
        <v>25</v>
      </c>
    </row>
    <row r="6467" ht="15.75" customHeight="1">
      <c r="A6467" s="7"/>
      <c r="B6467" s="7" t="str">
        <f>IFERROR(__xludf.DUMMYFUNCTION("""COMPUTED_VALUE"""),"C#")</f>
        <v>C#</v>
      </c>
      <c r="M6467" s="9" t="s">
        <v>23</v>
      </c>
    </row>
    <row r="6468" ht="15.75" customHeight="1">
      <c r="A6468" s="7"/>
      <c r="B6468" s="7" t="str">
        <f>IFERROR(__xludf.DUMMYFUNCTION("""COMPUTED_VALUE"""),"HTML/CSS;Java;SQL;Other(s):")</f>
        <v>HTML/CSS;Java;SQL;Other(s):</v>
      </c>
      <c r="M6468" s="9" t="s">
        <v>26</v>
      </c>
    </row>
    <row r="6469" ht="15.75" customHeight="1">
      <c r="A6469" s="7"/>
      <c r="B6469" s="7" t="str">
        <f>IFERROR(__xludf.DUMMYFUNCTION("""COMPUTED_VALUE"""),"Java;JavaScript;Python")</f>
        <v>Java;JavaScript;Python</v>
      </c>
      <c r="M6469" s="9" t="s">
        <v>36</v>
      </c>
    </row>
    <row r="6470" ht="15.75" customHeight="1">
      <c r="A6470" s="7"/>
      <c r="B6470" s="7" t="str">
        <f>IFERROR(__xludf.DUMMYFUNCTION("""COMPUTED_VALUE"""),"C#")</f>
        <v>C#</v>
      </c>
      <c r="M6470" s="9" t="s">
        <v>20</v>
      </c>
    </row>
    <row r="6471" ht="15.75" customHeight="1">
      <c r="A6471" s="7"/>
      <c r="B6471" s="7" t="str">
        <f>IFERROR(__xludf.DUMMYFUNCTION("""COMPUTED_VALUE"""),"C#;SQL")</f>
        <v>C#;SQL</v>
      </c>
      <c r="M6471" s="9" t="s">
        <v>21</v>
      </c>
    </row>
    <row r="6472" ht="15.75" customHeight="1">
      <c r="A6472" s="7"/>
      <c r="B6472" s="7" t="str">
        <f>IFERROR(__xludf.DUMMYFUNCTION("""COMPUTED_VALUE"""),"Java;JavaScript;SQL")</f>
        <v>Java;JavaScript;SQL</v>
      </c>
      <c r="M6472" s="9" t="s">
        <v>22</v>
      </c>
    </row>
    <row r="6473" ht="15.75" customHeight="1">
      <c r="A6473" s="7"/>
      <c r="B6473" s="7" t="str">
        <f>IFERROR(__xludf.DUMMYFUNCTION("""COMPUTED_VALUE"""),"C#;HTML/CSS;Java;JavaScript;PHP;SQL;Other(s):")</f>
        <v>C#;HTML/CSS;Java;JavaScript;PHP;SQL;Other(s):</v>
      </c>
      <c r="M6473" s="9" t="s">
        <v>31</v>
      </c>
    </row>
    <row r="6474" ht="15.75" customHeight="1">
      <c r="A6474" s="7"/>
      <c r="B6474" s="7" t="str">
        <f>IFERROR(__xludf.DUMMYFUNCTION("""COMPUTED_VALUE"""),"C#;HTML/CSS;JavaScript;PHP;SQL;TypeScript")</f>
        <v>C#;HTML/CSS;JavaScript;PHP;SQL;TypeScript</v>
      </c>
      <c r="M6474" s="9" t="s">
        <v>27</v>
      </c>
    </row>
    <row r="6475" ht="15.75" customHeight="1">
      <c r="A6475" s="7"/>
      <c r="B6475" s="7" t="str">
        <f>IFERROR(__xludf.DUMMYFUNCTION("""COMPUTED_VALUE"""),"HTML/CSS;JavaScript;Python;VBA")</f>
        <v>HTML/CSS;JavaScript;Python;VBA</v>
      </c>
      <c r="M6475" s="9" t="s">
        <v>35</v>
      </c>
    </row>
    <row r="6476" ht="15.75" customHeight="1">
      <c r="A6476" s="7"/>
      <c r="B6476" s="7" t="str">
        <f>IFERROR(__xludf.DUMMYFUNCTION("""COMPUTED_VALUE"""),"JavaScript;Python;Ruby")</f>
        <v>JavaScript;Python;Ruby</v>
      </c>
      <c r="M6476" s="9" t="s">
        <v>26</v>
      </c>
    </row>
    <row r="6477" ht="15.75" customHeight="1">
      <c r="A6477" s="7"/>
      <c r="B6477" s="7" t="str">
        <f>IFERROR(__xludf.DUMMYFUNCTION("""COMPUTED_VALUE"""),"C;C++;C#;Java;Python")</f>
        <v>C;C++;C#;Java;Python</v>
      </c>
      <c r="M6477" s="9" t="s">
        <v>21</v>
      </c>
    </row>
    <row r="6478" ht="15.75" customHeight="1">
      <c r="A6478" s="7"/>
      <c r="B6478" s="7" t="str">
        <f>IFERROR(__xludf.DUMMYFUNCTION("""COMPUTED_VALUE"""),"C;C++;C#;HTML/CSS;JavaScript;TypeScript")</f>
        <v>C;C++;C#;HTML/CSS;JavaScript;TypeScript</v>
      </c>
      <c r="M6478" s="9" t="s">
        <v>38</v>
      </c>
    </row>
    <row r="6479" ht="15.75" customHeight="1">
      <c r="A6479" s="7"/>
      <c r="B6479" s="7" t="str">
        <f>IFERROR(__xludf.DUMMYFUNCTION("""COMPUTED_VALUE"""),"Java;SQL")</f>
        <v>Java;SQL</v>
      </c>
      <c r="M6479" s="9" t="s">
        <v>25</v>
      </c>
    </row>
    <row r="6480" ht="15.75" customHeight="1">
      <c r="A6480" s="7"/>
      <c r="B6480" s="7" t="str">
        <f>IFERROR(__xludf.DUMMYFUNCTION("""COMPUTED_VALUE"""),"C#;Python")</f>
        <v>C#;Python</v>
      </c>
      <c r="M6480" s="9" t="s">
        <v>23</v>
      </c>
    </row>
    <row r="6481" ht="15.75" customHeight="1">
      <c r="A6481" s="7"/>
      <c r="B6481" s="7" t="str">
        <f>IFERROR(__xludf.DUMMYFUNCTION("""COMPUTED_VALUE"""),"JavaScript;PHP")</f>
        <v>JavaScript;PHP</v>
      </c>
      <c r="M6481" s="9" t="s">
        <v>26</v>
      </c>
    </row>
    <row r="6482" ht="15.75" customHeight="1">
      <c r="A6482" s="7"/>
      <c r="B6482" s="7" t="str">
        <f>IFERROR(__xludf.DUMMYFUNCTION("""COMPUTED_VALUE"""),"Bash/Shell/PowerShell;C#;HTML/CSS;Python;R;SQL")</f>
        <v>Bash/Shell/PowerShell;C#;HTML/CSS;Python;R;SQL</v>
      </c>
      <c r="M6482" s="9" t="s">
        <v>41</v>
      </c>
    </row>
    <row r="6483" ht="15.75" customHeight="1">
      <c r="A6483" s="7"/>
      <c r="B6483" s="7" t="str">
        <f>IFERROR(__xludf.DUMMYFUNCTION("""COMPUTED_VALUE"""),"C;HTML/CSS;Java;JavaScript;Swift")</f>
        <v>C;HTML/CSS;Java;JavaScript;Swift</v>
      </c>
      <c r="M6483" s="9" t="s">
        <v>37</v>
      </c>
    </row>
    <row r="6484" ht="15.75" customHeight="1">
      <c r="A6484" s="7"/>
      <c r="B6484" s="7" t="str">
        <f>IFERROR(__xludf.DUMMYFUNCTION("""COMPUTED_VALUE"""),"Elixir;Erlang;Go;HTML/CSS;JavaScript;Python;TypeScript")</f>
        <v>Elixir;Erlang;Go;HTML/CSS;JavaScript;Python;TypeScript</v>
      </c>
      <c r="M6484" s="9" t="s">
        <v>27</v>
      </c>
    </row>
    <row r="6485" ht="15.75" customHeight="1">
      <c r="A6485" s="7"/>
      <c r="B6485" s="7" t="str">
        <f>IFERROR(__xludf.DUMMYFUNCTION("""COMPUTED_VALUE"""),"Dart;HTML/CSS;JavaScript;Kotlin;TypeScript")</f>
        <v>Dart;HTML/CSS;JavaScript;Kotlin;TypeScript</v>
      </c>
      <c r="M6485" s="9" t="s">
        <v>30</v>
      </c>
    </row>
    <row r="6486" ht="15.75" customHeight="1">
      <c r="A6486" s="7"/>
      <c r="B6486" s="7" t="str">
        <f>IFERROR(__xludf.DUMMYFUNCTION("""COMPUTED_VALUE"""),"Bash/Shell/PowerShell;HTML/CSS;R;Ruby;SQL")</f>
        <v>Bash/Shell/PowerShell;HTML/CSS;R;Ruby;SQL</v>
      </c>
      <c r="M6486" s="9" t="s">
        <v>23</v>
      </c>
    </row>
    <row r="6487" ht="15.75" customHeight="1">
      <c r="A6487" s="7"/>
      <c r="B6487" s="7" t="str">
        <f>IFERROR(__xludf.DUMMYFUNCTION("""COMPUTED_VALUE"""),"Java;Ruby;Scala;SQL")</f>
        <v>Java;Ruby;Scala;SQL</v>
      </c>
      <c r="M6487" s="9" t="s">
        <v>26</v>
      </c>
    </row>
    <row r="6488" ht="15.75" customHeight="1">
      <c r="A6488" s="7"/>
      <c r="B6488" s="7" t="str">
        <f>IFERROR(__xludf.DUMMYFUNCTION("""COMPUTED_VALUE"""),"C;Objective-C;Other(s):")</f>
        <v>C;Objective-C;Other(s):</v>
      </c>
      <c r="M6488" s="9" t="s">
        <v>47</v>
      </c>
    </row>
    <row r="6489" ht="15.75" customHeight="1">
      <c r="A6489" s="7"/>
      <c r="B6489" s="7" t="str">
        <f>IFERROR(__xludf.DUMMYFUNCTION("""COMPUTED_VALUE"""),"HTML/CSS;Java")</f>
        <v>HTML/CSS;Java</v>
      </c>
      <c r="M6489" s="9" t="s">
        <v>36</v>
      </c>
    </row>
    <row r="6490" ht="15.75" customHeight="1">
      <c r="A6490" s="7"/>
      <c r="B6490" s="7" t="str">
        <f>IFERROR(__xludf.DUMMYFUNCTION("""COMPUTED_VALUE"""),"C++;C#;HTML/CSS;Java;JavaScript;SQL")</f>
        <v>C++;C#;HTML/CSS;Java;JavaScript;SQL</v>
      </c>
      <c r="M6490" s="9" t="s">
        <v>20</v>
      </c>
    </row>
    <row r="6491" ht="15.75" customHeight="1">
      <c r="A6491" s="7"/>
      <c r="B6491" s="7" t="str">
        <f>IFERROR(__xludf.DUMMYFUNCTION("""COMPUTED_VALUE"""),"C++;Python")</f>
        <v>C++;Python</v>
      </c>
      <c r="M6491" s="9" t="s">
        <v>22</v>
      </c>
    </row>
    <row r="6492" ht="15.75" customHeight="1">
      <c r="A6492" s="7"/>
      <c r="B6492" s="7" t="str">
        <f>IFERROR(__xludf.DUMMYFUNCTION("""COMPUTED_VALUE"""),"C;Java;Python")</f>
        <v>C;Java;Python</v>
      </c>
      <c r="M6492" s="9" t="s">
        <v>35</v>
      </c>
    </row>
    <row r="6493" ht="15.75" customHeight="1">
      <c r="A6493" s="7"/>
      <c r="B6493" s="7" t="str">
        <f>IFERROR(__xludf.DUMMYFUNCTION("""COMPUTED_VALUE"""),"C#;JavaScript;PHP")</f>
        <v>C#;JavaScript;PHP</v>
      </c>
      <c r="M6493" s="9" t="s">
        <v>30</v>
      </c>
    </row>
    <row r="6494" ht="15.75" customHeight="1">
      <c r="A6494" s="7"/>
      <c r="B6494" s="7" t="str">
        <f>IFERROR(__xludf.DUMMYFUNCTION("""COMPUTED_VALUE"""),"C;C++;C#;Java")</f>
        <v>C;C++;C#;Java</v>
      </c>
      <c r="M6494" s="9" t="s">
        <v>24</v>
      </c>
    </row>
    <row r="6495" ht="15.75" customHeight="1">
      <c r="A6495" s="7"/>
      <c r="B6495" s="7" t="str">
        <f>IFERROR(__xludf.DUMMYFUNCTION("""COMPUTED_VALUE"""),"Bash/Shell/PowerShell;HTML/CSS;Java;JavaScript;Kotlin;Python;SQL")</f>
        <v>Bash/Shell/PowerShell;HTML/CSS;Java;JavaScript;Kotlin;Python;SQL</v>
      </c>
      <c r="M6495" s="9" t="s">
        <v>20</v>
      </c>
    </row>
    <row r="6496" ht="15.75" customHeight="1">
      <c r="A6496" s="7"/>
      <c r="B6496" s="7" t="str">
        <f>IFERROR(__xludf.DUMMYFUNCTION("""COMPUTED_VALUE"""),"HTML/CSS;Java;JavaScript;SQL")</f>
        <v>HTML/CSS;Java;JavaScript;SQL</v>
      </c>
      <c r="M6496" s="9" t="s">
        <v>21</v>
      </c>
    </row>
    <row r="6497" ht="15.75" customHeight="1">
      <c r="A6497" s="7"/>
      <c r="B6497" s="7" t="str">
        <f>IFERROR(__xludf.DUMMYFUNCTION("""COMPUTED_VALUE"""),"Bash/Shell/PowerShell;C;C++;C#;HTML/CSS;Java;JavaScript;Python;SQL;TypeScript")</f>
        <v>Bash/Shell/PowerShell;C;C++;C#;HTML/CSS;Java;JavaScript;Python;SQL;TypeScript</v>
      </c>
      <c r="M6497" s="9" t="s">
        <v>31</v>
      </c>
    </row>
    <row r="6498" ht="15.75" customHeight="1">
      <c r="A6498" s="7"/>
      <c r="B6498" s="7" t="str">
        <f>IFERROR(__xludf.DUMMYFUNCTION("""COMPUTED_VALUE"""),"C;Other(s):")</f>
        <v>C;Other(s):</v>
      </c>
      <c r="M6498" s="9" t="s">
        <v>26</v>
      </c>
    </row>
    <row r="6499" ht="15.75" customHeight="1">
      <c r="A6499" s="7"/>
      <c r="B6499" s="7" t="str">
        <f>IFERROR(__xludf.DUMMYFUNCTION("""COMPUTED_VALUE"""),"Bash/Shell/PowerShell;HTML/CSS;JavaScript;TypeScript")</f>
        <v>Bash/Shell/PowerShell;HTML/CSS;JavaScript;TypeScript</v>
      </c>
      <c r="M6499" s="9" t="s">
        <v>24</v>
      </c>
    </row>
    <row r="6500" ht="15.75" customHeight="1">
      <c r="A6500" s="7"/>
      <c r="B6500" s="7" t="str">
        <f>IFERROR(__xludf.DUMMYFUNCTION("""COMPUTED_VALUE"""),"Bash/Shell/PowerShell;C;Other(s):")</f>
        <v>Bash/Shell/PowerShell;C;Other(s):</v>
      </c>
      <c r="M6500" s="9" t="s">
        <v>21</v>
      </c>
    </row>
    <row r="6501" ht="15.75" customHeight="1">
      <c r="A6501" s="7"/>
      <c r="B6501" s="7" t="str">
        <f>IFERROR(__xludf.DUMMYFUNCTION("""COMPUTED_VALUE"""),"C++;C#;HTML/CSS;Java;JavaScript;PHP;SQL;VBA")</f>
        <v>C++;C#;HTML/CSS;Java;JavaScript;PHP;SQL;VBA</v>
      </c>
      <c r="M6501" s="9" t="s">
        <v>33</v>
      </c>
    </row>
    <row r="6502" ht="15.75" customHeight="1">
      <c r="A6502" s="7"/>
      <c r="B6502" s="7" t="str">
        <f>IFERROR(__xludf.DUMMYFUNCTION("""COMPUTED_VALUE"""),"Bash/Shell/PowerShell;C#")</f>
        <v>Bash/Shell/PowerShell;C#</v>
      </c>
      <c r="M6502" s="9" t="s">
        <v>26</v>
      </c>
    </row>
    <row r="6503" ht="15.75" customHeight="1">
      <c r="A6503" s="7"/>
      <c r="B6503" s="7" t="str">
        <f>IFERROR(__xludf.DUMMYFUNCTION("""COMPUTED_VALUE"""),"HTML/CSS;JavaScript;PHP;SQL;TypeScript")</f>
        <v>HTML/CSS;JavaScript;PHP;SQL;TypeScript</v>
      </c>
      <c r="M6503" s="9" t="s">
        <v>24</v>
      </c>
    </row>
    <row r="6504" ht="15.75" customHeight="1">
      <c r="A6504" s="7"/>
      <c r="B6504" s="7" t="str">
        <f>IFERROR(__xludf.DUMMYFUNCTION("""COMPUTED_VALUE"""),"Bash/Shell/PowerShell;C#;JavaScript;SQL;TypeScript;WebAssembly")</f>
        <v>Bash/Shell/PowerShell;C#;JavaScript;SQL;TypeScript;WebAssembly</v>
      </c>
      <c r="M6504" s="9" t="s">
        <v>21</v>
      </c>
    </row>
    <row r="6505" ht="15.75" customHeight="1">
      <c r="A6505" s="7"/>
      <c r="B6505" s="7" t="str">
        <f>IFERROR(__xludf.DUMMYFUNCTION("""COMPUTED_VALUE"""),"Assembly;C;Java")</f>
        <v>Assembly;C;Java</v>
      </c>
      <c r="M6505" s="9" t="s">
        <v>27</v>
      </c>
    </row>
    <row r="6506" ht="15.75" customHeight="1">
      <c r="A6506" s="7"/>
      <c r="B6506" s="7" t="str">
        <f>IFERROR(__xludf.DUMMYFUNCTION("""COMPUTED_VALUE"""),"Bash/Shell/PowerShell;HTML/CSS;Java;JavaScript;SQL")</f>
        <v>Bash/Shell/PowerShell;HTML/CSS;Java;JavaScript;SQL</v>
      </c>
      <c r="M6506" s="9" t="s">
        <v>30</v>
      </c>
    </row>
    <row r="6507" ht="15.75" customHeight="1">
      <c r="A6507" s="7"/>
      <c r="B6507" s="7" t="str">
        <f>IFERROR(__xludf.DUMMYFUNCTION("""COMPUTED_VALUE"""),"Python")</f>
        <v>Python</v>
      </c>
      <c r="M6507" s="9" t="s">
        <v>25</v>
      </c>
    </row>
    <row r="6508" ht="15.75" customHeight="1">
      <c r="A6508" s="7"/>
      <c r="B6508" s="7" t="str">
        <f>IFERROR(__xludf.DUMMYFUNCTION("""COMPUTED_VALUE"""),"C#;HTML/CSS;JavaScript;SQL;TypeScript")</f>
        <v>C#;HTML/CSS;JavaScript;SQL;TypeScript</v>
      </c>
      <c r="M6508" s="9" t="s">
        <v>23</v>
      </c>
    </row>
    <row r="6509" ht="15.75" customHeight="1">
      <c r="A6509" s="7"/>
      <c r="B6509" s="7" t="str">
        <f>IFERROR(__xludf.DUMMYFUNCTION("""COMPUTED_VALUE"""),"Bash/Shell/PowerShell;C++;C#;HTML/CSS;Java;JavaScript;Python;TypeScript")</f>
        <v>Bash/Shell/PowerShell;C++;C#;HTML/CSS;Java;JavaScript;Python;TypeScript</v>
      </c>
      <c r="M6509" s="9" t="s">
        <v>26</v>
      </c>
    </row>
    <row r="6510" ht="15.75" customHeight="1">
      <c r="A6510" s="7"/>
      <c r="B6510" s="7" t="str">
        <f>IFERROR(__xludf.DUMMYFUNCTION("""COMPUTED_VALUE"""),"Bash/Shell/PowerShell;C;C++;C#;HTML/CSS;Java;JavaScript;PHP;Python;SQL;Swift")</f>
        <v>Bash/Shell/PowerShell;C;C++;C#;HTML/CSS;Java;JavaScript;PHP;Python;SQL;Swift</v>
      </c>
      <c r="M6510" s="9" t="s">
        <v>24</v>
      </c>
    </row>
    <row r="6511" ht="15.75" customHeight="1">
      <c r="A6511" s="7"/>
      <c r="B6511" s="7" t="str">
        <f>IFERROR(__xludf.DUMMYFUNCTION("""COMPUTED_VALUE"""),"HTML/CSS;JavaScript;Other(s):")</f>
        <v>HTML/CSS;JavaScript;Other(s):</v>
      </c>
      <c r="M6511" s="9" t="s">
        <v>20</v>
      </c>
    </row>
    <row r="6512" ht="15.75" customHeight="1">
      <c r="A6512" s="7"/>
      <c r="B6512" s="7" t="str">
        <f>IFERROR(__xludf.DUMMYFUNCTION("""COMPUTED_VALUE"""),"Java;Python")</f>
        <v>Java;Python</v>
      </c>
      <c r="M6512" s="9" t="s">
        <v>21</v>
      </c>
    </row>
    <row r="6513" ht="15.75" customHeight="1">
      <c r="A6513" s="7"/>
      <c r="B6513" s="7" t="str">
        <f>IFERROR(__xludf.DUMMYFUNCTION("""COMPUTED_VALUE"""),"Bash/Shell/PowerShell;HTML/CSS;Java;PHP;Python;SQL")</f>
        <v>Bash/Shell/PowerShell;HTML/CSS;Java;PHP;Python;SQL</v>
      </c>
      <c r="M6513" s="9" t="s">
        <v>30</v>
      </c>
    </row>
    <row r="6514" ht="15.75" customHeight="1">
      <c r="A6514" s="7"/>
      <c r="B6514" s="7" t="str">
        <f>IFERROR(__xludf.DUMMYFUNCTION("""COMPUTED_VALUE"""),"Bash/Shell/PowerShell;Python;R;SQL;VBA")</f>
        <v>Bash/Shell/PowerShell;Python;R;SQL;VBA</v>
      </c>
      <c r="M6514" s="9" t="s">
        <v>36</v>
      </c>
    </row>
    <row r="6515" ht="15.75" customHeight="1">
      <c r="A6515" s="7"/>
      <c r="B6515" s="7" t="str">
        <f>IFERROR(__xludf.DUMMYFUNCTION("""COMPUTED_VALUE"""),"Bash/Shell/PowerShell;C#;JavaScript;Python;SQL;TypeScript")</f>
        <v>Bash/Shell/PowerShell;C#;JavaScript;Python;SQL;TypeScript</v>
      </c>
      <c r="M6515" s="9" t="s">
        <v>24</v>
      </c>
    </row>
    <row r="6516" ht="15.75" customHeight="1">
      <c r="A6516" s="7"/>
      <c r="B6516" s="7" t="str">
        <f>IFERROR(__xludf.DUMMYFUNCTION("""COMPUTED_VALUE"""),"C#;HTML/CSS;JavaScript;SQL;VBA")</f>
        <v>C#;HTML/CSS;JavaScript;SQL;VBA</v>
      </c>
      <c r="M6516" s="9" t="s">
        <v>21</v>
      </c>
    </row>
    <row r="6517" ht="15.75" customHeight="1">
      <c r="A6517" s="7"/>
      <c r="B6517" s="7" t="str">
        <f>IFERROR(__xludf.DUMMYFUNCTION("""COMPUTED_VALUE"""),"Bash/Shell/PowerShell;JavaScript;PHP;Ruby;Scala;SQL;TypeScript")</f>
        <v>Bash/Shell/PowerShell;JavaScript;PHP;Ruby;Scala;SQL;TypeScript</v>
      </c>
      <c r="M6517" s="9" t="s">
        <v>31</v>
      </c>
    </row>
    <row r="6518" ht="15.75" customHeight="1">
      <c r="A6518" s="7"/>
      <c r="B6518" s="7" t="str">
        <f>IFERROR(__xludf.DUMMYFUNCTION("""COMPUTED_VALUE"""),"C;HTML/CSS;Java;JavaScript;Python;Ruby")</f>
        <v>C;HTML/CSS;Java;JavaScript;Python;Ruby</v>
      </c>
      <c r="M6518" s="9" t="s">
        <v>32</v>
      </c>
    </row>
    <row r="6519" ht="15.75" customHeight="1">
      <c r="A6519" s="7"/>
      <c r="B6519" s="7" t="str">
        <f>IFERROR(__xludf.DUMMYFUNCTION("""COMPUTED_VALUE"""),"HTML/CSS;JavaScript;TypeScript")</f>
        <v>HTML/CSS;JavaScript;TypeScript</v>
      </c>
      <c r="M6519" s="9" t="s">
        <v>27</v>
      </c>
    </row>
    <row r="6520" ht="15.75" customHeight="1">
      <c r="A6520" s="7"/>
      <c r="B6520" s="7" t="str">
        <f>IFERROR(__xludf.DUMMYFUNCTION("""COMPUTED_VALUE"""),"Bash/Shell/PowerShell;HTML/CSS;Java;JavaScript;Python;Rust;SQL")</f>
        <v>Bash/Shell/PowerShell;HTML/CSS;Java;JavaScript;Python;Rust;SQL</v>
      </c>
      <c r="M6520" s="9" t="s">
        <v>40</v>
      </c>
    </row>
    <row r="6521" ht="15.75" customHeight="1">
      <c r="A6521" s="7"/>
      <c r="B6521" s="7" t="str">
        <f>IFERROR(__xludf.DUMMYFUNCTION("""COMPUTED_VALUE"""),"Bash/Shell/PowerShell;HTML/CSS;Java;JavaScript;Python;Ruby;SQL")</f>
        <v>Bash/Shell/PowerShell;HTML/CSS;Java;JavaScript;Python;Ruby;SQL</v>
      </c>
      <c r="M6521" s="9" t="s">
        <v>20</v>
      </c>
    </row>
    <row r="6522" ht="15.75" customHeight="1">
      <c r="A6522" s="7"/>
      <c r="B6522" s="7" t="str">
        <f>IFERROR(__xludf.DUMMYFUNCTION("""COMPUTED_VALUE"""),"HTML/CSS;Java;JavaScript;SQL")</f>
        <v>HTML/CSS;Java;JavaScript;SQL</v>
      </c>
      <c r="M6522" s="9" t="s">
        <v>27</v>
      </c>
    </row>
    <row r="6523" ht="15.75" customHeight="1">
      <c r="A6523" s="7"/>
      <c r="B6523" s="7" t="str">
        <f>IFERROR(__xludf.DUMMYFUNCTION("""COMPUTED_VALUE"""),"Assembly;Bash/Shell/PowerShell;C;C++;Python")</f>
        <v>Assembly;Bash/Shell/PowerShell;C;C++;Python</v>
      </c>
      <c r="M6523" s="9" t="s">
        <v>30</v>
      </c>
    </row>
    <row r="6524" ht="15.75" customHeight="1">
      <c r="A6524" s="7"/>
      <c r="B6524" s="7" t="str">
        <f>IFERROR(__xludf.DUMMYFUNCTION("""COMPUTED_VALUE"""),"HTML/CSS;JavaScript;SQL")</f>
        <v>HTML/CSS;JavaScript;SQL</v>
      </c>
      <c r="M6524" s="9" t="s">
        <v>23</v>
      </c>
    </row>
    <row r="6525" ht="15.75" customHeight="1">
      <c r="A6525" s="7"/>
      <c r="B6525" s="7" t="str">
        <f>IFERROR(__xludf.DUMMYFUNCTION("""COMPUTED_VALUE"""),"Swift")</f>
        <v>Swift</v>
      </c>
      <c r="M6525" s="9" t="s">
        <v>26</v>
      </c>
    </row>
    <row r="6526" ht="15.75" customHeight="1">
      <c r="A6526" s="7"/>
      <c r="B6526" s="7" t="str">
        <f>IFERROR(__xludf.DUMMYFUNCTION("""COMPUTED_VALUE"""),"Clojure;JavaScript")</f>
        <v>Clojure;JavaScript</v>
      </c>
      <c r="M6526" s="9" t="s">
        <v>24</v>
      </c>
    </row>
    <row r="6527" ht="15.75" customHeight="1">
      <c r="A6527" s="7"/>
      <c r="B6527" s="7" t="str">
        <f>IFERROR(__xludf.DUMMYFUNCTION("""COMPUTED_VALUE"""),"C;HTML/CSS;Java;Python;R;SQL")</f>
        <v>C;HTML/CSS;Java;Python;R;SQL</v>
      </c>
      <c r="M6527" s="9" t="s">
        <v>21</v>
      </c>
    </row>
    <row r="6528" ht="15.75" customHeight="1">
      <c r="A6528" s="7"/>
      <c r="B6528" s="7" t="str">
        <f>IFERROR(__xludf.DUMMYFUNCTION("""COMPUTED_VALUE"""),"Java;SQL")</f>
        <v>Java;SQL</v>
      </c>
      <c r="M6528" s="9" t="s">
        <v>22</v>
      </c>
    </row>
    <row r="6529" ht="15.75" customHeight="1">
      <c r="A6529" s="7"/>
      <c r="B6529" s="7" t="str">
        <f>IFERROR(__xludf.DUMMYFUNCTION("""COMPUTED_VALUE"""),"Bash/Shell/PowerShell;HTML/CSS;Java;JavaScript;PHP;SQL;Swift;TypeScript")</f>
        <v>Bash/Shell/PowerShell;HTML/CSS;Java;JavaScript;PHP;SQL;Swift;TypeScript</v>
      </c>
      <c r="M6529" s="9" t="s">
        <v>33</v>
      </c>
    </row>
    <row r="6530" ht="15.75" customHeight="1">
      <c r="A6530" s="7"/>
      <c r="B6530" s="7" t="str">
        <f>IFERROR(__xludf.DUMMYFUNCTION("""COMPUTED_VALUE"""),"Bash/Shell/PowerShell;HTML/CSS;Java;Kotlin;Objective-C;PHP;Python;Ruby;Scala;SQL;Swift")</f>
        <v>Bash/Shell/PowerShell;HTML/CSS;Java;Kotlin;Objective-C;PHP;Python;Ruby;Scala;SQL;Swift</v>
      </c>
      <c r="M6530" s="9" t="s">
        <v>35</v>
      </c>
    </row>
    <row r="6531" ht="15.75" customHeight="1">
      <c r="A6531" s="7"/>
      <c r="B6531" s="7" t="str">
        <f>IFERROR(__xludf.DUMMYFUNCTION("""COMPUTED_VALUE"""),"Python;SQL")</f>
        <v>Python;SQL</v>
      </c>
      <c r="M6531" s="9" t="s">
        <v>24</v>
      </c>
    </row>
    <row r="6532" ht="15.75" customHeight="1">
      <c r="A6532" s="7"/>
      <c r="B6532" s="7" t="str">
        <f>IFERROR(__xludf.DUMMYFUNCTION("""COMPUTED_VALUE"""),"C#;JavaScript;SQL")</f>
        <v>C#;JavaScript;SQL</v>
      </c>
      <c r="M6532" s="9" t="s">
        <v>21</v>
      </c>
    </row>
    <row r="6533" ht="15.75" customHeight="1">
      <c r="A6533" s="7"/>
      <c r="B6533" s="7" t="str">
        <f>IFERROR(__xludf.DUMMYFUNCTION("""COMPUTED_VALUE"""),"Bash/Shell/PowerShell;HTML/CSS;JavaScript;PHP;Python;R;SQL")</f>
        <v>Bash/Shell/PowerShell;HTML/CSS;JavaScript;PHP;Python;R;SQL</v>
      </c>
      <c r="M6533" s="9" t="s">
        <v>37</v>
      </c>
    </row>
    <row r="6534" ht="15.75" customHeight="1">
      <c r="A6534" s="7"/>
      <c r="B6534" s="7" t="str">
        <f>IFERROR(__xludf.DUMMYFUNCTION("""COMPUTED_VALUE"""),"Assembly;Bash/Shell/PowerShell;C;C++;C#;HTML/CSS;Java;JavaScript;PHP;Python;Ruby;Scala;SQL;TypeScript;VBA;Other(s):")</f>
        <v>Assembly;Bash/Shell/PowerShell;C;C++;C#;HTML/CSS;Java;JavaScript;PHP;Python;Ruby;Scala;SQL;TypeScript;VBA;Other(s):</v>
      </c>
      <c r="M6534" s="9" t="s">
        <v>27</v>
      </c>
    </row>
    <row r="6535" ht="15.75" customHeight="1">
      <c r="A6535" s="7"/>
      <c r="B6535" s="7" t="str">
        <f>IFERROR(__xludf.DUMMYFUNCTION("""COMPUTED_VALUE"""),"Assembly;HTML/CSS;Python")</f>
        <v>Assembly;HTML/CSS;Python</v>
      </c>
      <c r="M6535" s="9" t="s">
        <v>30</v>
      </c>
    </row>
    <row r="6536" ht="15.75" customHeight="1">
      <c r="A6536" s="7"/>
      <c r="B6536" s="7" t="str">
        <f>IFERROR(__xludf.DUMMYFUNCTION("""COMPUTED_VALUE"""),"Bash/Shell/PowerShell;C;C++;Elixir;Erlang;Go;JavaScript;Python;R;Ruby;Rust;SQL")</f>
        <v>Bash/Shell/PowerShell;C;C++;Elixir;Erlang;Go;JavaScript;Python;R;Ruby;Rust;SQL</v>
      </c>
      <c r="M6536" s="9" t="s">
        <v>25</v>
      </c>
    </row>
    <row r="6537" ht="15.75" customHeight="1">
      <c r="A6537" s="7"/>
      <c r="B6537" s="7" t="str">
        <f>IFERROR(__xludf.DUMMYFUNCTION("""COMPUTED_VALUE"""),"Bash/Shell/PowerShell;C;C++;HTML/CSS;Java;JavaScript;PHP")</f>
        <v>Bash/Shell/PowerShell;C;C++;HTML/CSS;Java;JavaScript;PHP</v>
      </c>
      <c r="M6537" s="9" t="s">
        <v>23</v>
      </c>
    </row>
    <row r="6538" ht="15.75" customHeight="1">
      <c r="A6538" s="7"/>
      <c r="B6538" s="7" t="str">
        <f>IFERROR(__xludf.DUMMYFUNCTION("""COMPUTED_VALUE"""),"Bash/Shell/PowerShell;HTML/CSS;JavaScript;SQL;TypeScript")</f>
        <v>Bash/Shell/PowerShell;HTML/CSS;JavaScript;SQL;TypeScript</v>
      </c>
      <c r="M6538" s="9" t="s">
        <v>44</v>
      </c>
    </row>
    <row r="6539" ht="15.75" customHeight="1">
      <c r="A6539" s="7"/>
      <c r="B6539" s="7" t="str">
        <f>IFERROR(__xludf.DUMMYFUNCTION("""COMPUTED_VALUE"""),"HTML/CSS;JavaScript;PHP;Python;SQL")</f>
        <v>HTML/CSS;JavaScript;PHP;Python;SQL</v>
      </c>
      <c r="M6539" s="9" t="s">
        <v>36</v>
      </c>
    </row>
    <row r="6540" ht="15.75" customHeight="1">
      <c r="A6540" s="7"/>
      <c r="B6540" s="7" t="str">
        <f>IFERROR(__xludf.DUMMYFUNCTION("""COMPUTED_VALUE"""),"HTML/CSS;JavaScript;PHP;SQL;TypeScript;Other(s):")</f>
        <v>HTML/CSS;JavaScript;PHP;SQL;TypeScript;Other(s):</v>
      </c>
      <c r="M6540" s="9" t="s">
        <v>24</v>
      </c>
    </row>
    <row r="6541" ht="15.75" customHeight="1">
      <c r="A6541" s="7"/>
      <c r="B6541" s="7" t="str">
        <f>IFERROR(__xludf.DUMMYFUNCTION("""COMPUTED_VALUE"""),"HTML/CSS;JavaScript")</f>
        <v>HTML/CSS;JavaScript</v>
      </c>
      <c r="M6541" s="9" t="s">
        <v>20</v>
      </c>
    </row>
    <row r="6542" ht="15.75" customHeight="1">
      <c r="A6542" s="7"/>
      <c r="B6542" s="7" t="str">
        <f>IFERROR(__xludf.DUMMYFUNCTION("""COMPUTED_VALUE"""),"HTML/CSS;JavaScript;Ruby")</f>
        <v>HTML/CSS;JavaScript;Ruby</v>
      </c>
      <c r="M6542" s="9" t="s">
        <v>21</v>
      </c>
    </row>
    <row r="6543" ht="15.75" customHeight="1">
      <c r="A6543" s="7"/>
      <c r="B6543" s="7" t="str">
        <f>IFERROR(__xludf.DUMMYFUNCTION("""COMPUTED_VALUE"""),"C#;HTML/CSS;Java;JavaScript;PHP;SQL")</f>
        <v>C#;HTML/CSS;Java;JavaScript;PHP;SQL</v>
      </c>
      <c r="M6543" s="9" t="s">
        <v>39</v>
      </c>
    </row>
    <row r="6544" ht="15.75" customHeight="1">
      <c r="A6544" s="7"/>
      <c r="B6544" s="7" t="str">
        <f>IFERROR(__xludf.DUMMYFUNCTION("""COMPUTED_VALUE"""),"C++;C#;HTML/CSS;Java;PHP;SQL;VBA")</f>
        <v>C++;C#;HTML/CSS;Java;PHP;SQL;VBA</v>
      </c>
      <c r="M6544" s="9" t="s">
        <v>37</v>
      </c>
    </row>
    <row r="6545" ht="15.75" customHeight="1">
      <c r="A6545" s="7"/>
      <c r="B6545" s="7" t="str">
        <f>IFERROR(__xludf.DUMMYFUNCTION("""COMPUTED_VALUE"""),"Bash/Shell/PowerShell;JavaScript;PHP;SQL")</f>
        <v>Bash/Shell/PowerShell;JavaScript;PHP;SQL</v>
      </c>
      <c r="M6545" s="9" t="s">
        <v>22</v>
      </c>
    </row>
    <row r="6546" ht="15.75" customHeight="1">
      <c r="A6546" s="7"/>
      <c r="B6546" s="7" t="str">
        <f>IFERROR(__xludf.DUMMYFUNCTION("""COMPUTED_VALUE"""),"Bash/Shell/PowerShell;C#;SQL")</f>
        <v>Bash/Shell/PowerShell;C#;SQL</v>
      </c>
      <c r="M6546" s="9" t="s">
        <v>27</v>
      </c>
    </row>
    <row r="6547" ht="15.75" customHeight="1">
      <c r="A6547" s="7"/>
      <c r="B6547" s="7" t="str">
        <f>IFERROR(__xludf.DUMMYFUNCTION("""COMPUTED_VALUE"""),"C++;HTML/CSS;JavaScript;Objective-C;Python")</f>
        <v>C++;HTML/CSS;JavaScript;Objective-C;Python</v>
      </c>
      <c r="M6547" s="9" t="s">
        <v>33</v>
      </c>
    </row>
    <row r="6548" ht="15.75" customHeight="1">
      <c r="A6548" s="7"/>
      <c r="B6548" s="7" t="str">
        <f>IFERROR(__xludf.DUMMYFUNCTION("""COMPUTED_VALUE"""),"Bash/Shell/PowerShell;HTML/CSS;JavaScript;Python;SQL")</f>
        <v>Bash/Shell/PowerShell;HTML/CSS;JavaScript;Python;SQL</v>
      </c>
      <c r="M6548" s="9" t="s">
        <v>35</v>
      </c>
    </row>
    <row r="6549" ht="15.75" customHeight="1">
      <c r="A6549" s="7"/>
      <c r="B6549" s="7" t="str">
        <f>IFERROR(__xludf.DUMMYFUNCTION("""COMPUTED_VALUE"""),"HTML/CSS;JavaScript;Ruby;SQL")</f>
        <v>HTML/CSS;JavaScript;Ruby;SQL</v>
      </c>
      <c r="M6549" s="9" t="s">
        <v>24</v>
      </c>
    </row>
    <row r="6550" ht="15.75" customHeight="1">
      <c r="A6550" s="7"/>
      <c r="B6550" s="7" t="str">
        <f>IFERROR(__xludf.DUMMYFUNCTION("""COMPUTED_VALUE"""),"JavaScript;TypeScript")</f>
        <v>JavaScript;TypeScript</v>
      </c>
      <c r="M6550" s="9" t="s">
        <v>20</v>
      </c>
    </row>
    <row r="6551" ht="15.75" customHeight="1">
      <c r="A6551" s="7"/>
      <c r="B6551" s="7" t="str">
        <f>IFERROR(__xludf.DUMMYFUNCTION("""COMPUTED_VALUE"""),"Go;Python;R")</f>
        <v>Go;Python;R</v>
      </c>
      <c r="M6551" s="9" t="s">
        <v>21</v>
      </c>
    </row>
    <row r="6552" ht="15.75" customHeight="1">
      <c r="A6552" s="7"/>
      <c r="B6552" s="7" t="str">
        <f>IFERROR(__xludf.DUMMYFUNCTION("""COMPUTED_VALUE"""),"Bash/Shell/PowerShell;Other(s):")</f>
        <v>Bash/Shell/PowerShell;Other(s):</v>
      </c>
      <c r="M6552" s="9" t="s">
        <v>37</v>
      </c>
    </row>
    <row r="6553" ht="15.75" customHeight="1">
      <c r="A6553" s="7"/>
      <c r="B6553" s="7" t="str">
        <f>IFERROR(__xludf.DUMMYFUNCTION("""COMPUTED_VALUE"""),"HTML/CSS;JavaScript;Other(s):")</f>
        <v>HTML/CSS;JavaScript;Other(s):</v>
      </c>
      <c r="M6553" s="9" t="s">
        <v>22</v>
      </c>
    </row>
    <row r="6554" ht="15.75" customHeight="1">
      <c r="A6554" s="7"/>
      <c r="B6554" s="7" t="str">
        <f>IFERROR(__xludf.DUMMYFUNCTION("""COMPUTED_VALUE"""),"Bash/Shell/PowerShell;Dart;HTML/CSS;JavaScript;PHP;TypeScript")</f>
        <v>Bash/Shell/PowerShell;Dart;HTML/CSS;JavaScript;PHP;TypeScript</v>
      </c>
      <c r="M6554" s="9" t="s">
        <v>29</v>
      </c>
    </row>
    <row r="6555" ht="15.75" customHeight="1">
      <c r="A6555" s="7"/>
      <c r="B6555" s="7" t="str">
        <f>IFERROR(__xludf.DUMMYFUNCTION("""COMPUTED_VALUE"""),"R;SQL;VBA")</f>
        <v>R;SQL;VBA</v>
      </c>
      <c r="M6555" s="9" t="s">
        <v>46</v>
      </c>
    </row>
    <row r="6556" ht="15.75" customHeight="1">
      <c r="A6556" s="7"/>
      <c r="B6556" s="7" t="str">
        <f>IFERROR(__xludf.DUMMYFUNCTION("""COMPUTED_VALUE"""),"C;HTML/CSS;Java;JavaScript;PHP;Python;Ruby;SQL")</f>
        <v>C;HTML/CSS;Java;JavaScript;PHP;Python;Ruby;SQL</v>
      </c>
      <c r="M6556" s="9" t="s">
        <v>27</v>
      </c>
    </row>
    <row r="6557" ht="15.75" customHeight="1">
      <c r="A6557" s="7"/>
      <c r="B6557" s="7" t="str">
        <f>IFERROR(__xludf.DUMMYFUNCTION("""COMPUTED_VALUE"""),"HTML/CSS;JavaScript;PHP;Python;SQL;TypeScript")</f>
        <v>HTML/CSS;JavaScript;PHP;Python;SQL;TypeScript</v>
      </c>
      <c r="M6557" s="9" t="s">
        <v>33</v>
      </c>
    </row>
    <row r="6558" ht="15.75" customHeight="1">
      <c r="A6558" s="7"/>
      <c r="B6558" s="7" t="str">
        <f>IFERROR(__xludf.DUMMYFUNCTION("""COMPUTED_VALUE"""),"C++;JavaScript;Rust;SQL;TypeScript")</f>
        <v>C++;JavaScript;Rust;SQL;TypeScript</v>
      </c>
      <c r="M6558" s="9" t="s">
        <v>23</v>
      </c>
    </row>
    <row r="6559" ht="15.75" customHeight="1">
      <c r="A6559" s="7"/>
      <c r="B6559" s="7" t="str">
        <f>IFERROR(__xludf.DUMMYFUNCTION("""COMPUTED_VALUE"""),"HTML/CSS;JavaScript;SQL;Other(s):")</f>
        <v>HTML/CSS;JavaScript;SQL;Other(s):</v>
      </c>
      <c r="M6559" s="9" t="s">
        <v>26</v>
      </c>
    </row>
    <row r="6560" ht="15.75" customHeight="1">
      <c r="A6560" s="7"/>
      <c r="B6560" s="7" t="str">
        <f>IFERROR(__xludf.DUMMYFUNCTION("""COMPUTED_VALUE"""),"Python")</f>
        <v>Python</v>
      </c>
      <c r="M6560" s="9" t="s">
        <v>20</v>
      </c>
    </row>
    <row r="6561" ht="15.75" customHeight="1">
      <c r="A6561" s="7"/>
      <c r="B6561" s="7" t="str">
        <f>IFERROR(__xludf.DUMMYFUNCTION("""COMPUTED_VALUE"""),"C++;HTML/CSS;Java;JavaScript;PHP;Python;SQL")</f>
        <v>C++;HTML/CSS;Java;JavaScript;PHP;Python;SQL</v>
      </c>
      <c r="M6561" s="9" t="s">
        <v>22</v>
      </c>
    </row>
    <row r="6562" ht="15.75" customHeight="1">
      <c r="A6562" s="7"/>
      <c r="B6562" s="7" t="str">
        <f>IFERROR(__xludf.DUMMYFUNCTION("""COMPUTED_VALUE"""),"Python")</f>
        <v>Python</v>
      </c>
      <c r="M6562" s="9" t="s">
        <v>23</v>
      </c>
    </row>
    <row r="6563" ht="15.75" customHeight="1">
      <c r="A6563" s="7"/>
      <c r="B6563" s="7" t="str">
        <f>IFERROR(__xludf.DUMMYFUNCTION("""COMPUTED_VALUE"""),"HTML/CSS;JavaScript;PHP")</f>
        <v>HTML/CSS;JavaScript;PHP</v>
      </c>
      <c r="M6563" s="9" t="s">
        <v>30</v>
      </c>
    </row>
    <row r="6564" ht="15.75" customHeight="1">
      <c r="A6564" s="7"/>
      <c r="B6564" s="7" t="str">
        <f>IFERROR(__xludf.DUMMYFUNCTION("""COMPUTED_VALUE"""),"C#;Python;Other(s):")</f>
        <v>C#;Python;Other(s):</v>
      </c>
      <c r="M6564" s="9" t="s">
        <v>25</v>
      </c>
    </row>
    <row r="6565" ht="15.75" customHeight="1">
      <c r="A6565" s="7"/>
      <c r="B6565" s="7" t="str">
        <f>IFERROR(__xludf.DUMMYFUNCTION("""COMPUTED_VALUE"""),"Bash/Shell/PowerShell;C#;Java")</f>
        <v>Bash/Shell/PowerShell;C#;Java</v>
      </c>
      <c r="M6565" s="9" t="s">
        <v>26</v>
      </c>
    </row>
    <row r="6566" ht="15.75" customHeight="1">
      <c r="A6566" s="7"/>
      <c r="B6566" s="7" t="str">
        <f>IFERROR(__xludf.DUMMYFUNCTION("""COMPUTED_VALUE"""),"Java;JavaScript;Kotlin;SQL")</f>
        <v>Java;JavaScript;Kotlin;SQL</v>
      </c>
      <c r="M6566" s="9" t="s">
        <v>24</v>
      </c>
    </row>
    <row r="6567" ht="15.75" customHeight="1">
      <c r="A6567" s="7"/>
      <c r="B6567" s="7" t="str">
        <f>IFERROR(__xludf.DUMMYFUNCTION("""COMPUTED_VALUE"""),"Bash/Shell/PowerShell;HTML/CSS;Java;JavaScript;PHP;Python")</f>
        <v>Bash/Shell/PowerShell;HTML/CSS;Java;JavaScript;PHP;Python</v>
      </c>
      <c r="M6567" s="9" t="s">
        <v>20</v>
      </c>
    </row>
    <row r="6568" ht="15.75" customHeight="1">
      <c r="A6568" s="7"/>
      <c r="B6568" s="7" t="str">
        <f>IFERROR(__xludf.DUMMYFUNCTION("""COMPUTED_VALUE"""),"Assembly;Bash/Shell/PowerShell;C;C++;HTML/CSS;JavaScript;PHP;Python;SQL")</f>
        <v>Assembly;Bash/Shell/PowerShell;C;C++;HTML/CSS;JavaScript;PHP;Python;SQL</v>
      </c>
      <c r="M6568" s="9" t="s">
        <v>21</v>
      </c>
    </row>
    <row r="6569" ht="15.75" customHeight="1">
      <c r="A6569" s="7"/>
      <c r="B6569" s="7" t="str">
        <f>IFERROR(__xludf.DUMMYFUNCTION("""COMPUTED_VALUE"""),"JavaScript;PHP;SQL")</f>
        <v>JavaScript;PHP;SQL</v>
      </c>
      <c r="M6569" s="9" t="s">
        <v>22</v>
      </c>
    </row>
    <row r="6570" ht="15.75" customHeight="1">
      <c r="A6570" s="7"/>
      <c r="B6570" s="7" t="str">
        <f>IFERROR(__xludf.DUMMYFUNCTION("""COMPUTED_VALUE"""),"HTML/CSS;JavaScript;SQL")</f>
        <v>HTML/CSS;JavaScript;SQL</v>
      </c>
      <c r="M6570" s="9" t="s">
        <v>27</v>
      </c>
    </row>
    <row r="6571" ht="15.75" customHeight="1">
      <c r="A6571" s="7"/>
      <c r="B6571" s="7" t="str">
        <f>IFERROR(__xludf.DUMMYFUNCTION("""COMPUTED_VALUE"""),"Bash/Shell/PowerShell;C++;HTML/CSS;Java;JavaScript;Kotlin;Objective-C;Python;SQL;Swift")</f>
        <v>Bash/Shell/PowerShell;C++;HTML/CSS;Java;JavaScript;Kotlin;Objective-C;Python;SQL;Swift</v>
      </c>
      <c r="M6571" s="9" t="s">
        <v>35</v>
      </c>
    </row>
    <row r="6572" ht="15.75" customHeight="1">
      <c r="A6572" s="7"/>
      <c r="B6572" s="7" t="str">
        <f>IFERROR(__xludf.DUMMYFUNCTION("""COMPUTED_VALUE"""),"Bash/Shell/PowerShell;C#;HTML/CSS;JavaScript;SQL;TypeScript")</f>
        <v>Bash/Shell/PowerShell;C#;HTML/CSS;JavaScript;SQL;TypeScript</v>
      </c>
      <c r="M6572" s="9" t="s">
        <v>44</v>
      </c>
    </row>
    <row r="6573" ht="15.75" customHeight="1">
      <c r="A6573" s="7"/>
      <c r="B6573" s="7" t="str">
        <f>IFERROR(__xludf.DUMMYFUNCTION("""COMPUTED_VALUE"""),"C#;HTML/CSS;JavaScript;SQL;TypeScript")</f>
        <v>C#;HTML/CSS;JavaScript;SQL;TypeScript</v>
      </c>
      <c r="M6573" s="9" t="s">
        <v>24</v>
      </c>
    </row>
    <row r="6574" ht="15.75" customHeight="1">
      <c r="A6574" s="7"/>
      <c r="B6574" s="7" t="str">
        <f>IFERROR(__xludf.DUMMYFUNCTION("""COMPUTED_VALUE"""),"Bash/Shell/PowerShell;C;C++;HTML/CSS;Java;JavaScript;Python;R;Scala;SQL;Other(s):")</f>
        <v>Bash/Shell/PowerShell;C;C++;HTML/CSS;Java;JavaScript;Python;R;Scala;SQL;Other(s):</v>
      </c>
      <c r="M6574" s="9" t="s">
        <v>21</v>
      </c>
    </row>
    <row r="6575" ht="15.75" customHeight="1">
      <c r="A6575" s="7"/>
      <c r="B6575" s="7" t="str">
        <f>IFERROR(__xludf.DUMMYFUNCTION("""COMPUTED_VALUE"""),"Bash/Shell/PowerShell;C;Objective-C;PHP;Swift")</f>
        <v>Bash/Shell/PowerShell;C;Objective-C;PHP;Swift</v>
      </c>
      <c r="M6575" s="9" t="s">
        <v>39</v>
      </c>
    </row>
    <row r="6576" ht="15.75" customHeight="1">
      <c r="A6576" s="7"/>
      <c r="B6576" s="7" t="str">
        <f>IFERROR(__xludf.DUMMYFUNCTION("""COMPUTED_VALUE"""),"Assembly;C;C++;C#;HTML/CSS;Java;JavaScript;Python;SQL")</f>
        <v>Assembly;C;C++;C#;HTML/CSS;Java;JavaScript;Python;SQL</v>
      </c>
      <c r="M6576" s="9" t="s">
        <v>37</v>
      </c>
    </row>
    <row r="6577" ht="15.75" customHeight="1">
      <c r="A6577" s="7"/>
      <c r="B6577" s="7" t="str">
        <f>IFERROR(__xludf.DUMMYFUNCTION("""COMPUTED_VALUE"""),"Bash/Shell/PowerShell;C;C++;HTML/CSS;PHP;Python;Ruby;SQL")</f>
        <v>Bash/Shell/PowerShell;C;C++;HTML/CSS;PHP;Python;Ruby;SQL</v>
      </c>
      <c r="M6577" s="9" t="s">
        <v>31</v>
      </c>
    </row>
    <row r="6578" ht="15.75" customHeight="1">
      <c r="A6578" s="7"/>
      <c r="B6578" s="7" t="str">
        <f>IFERROR(__xludf.DUMMYFUNCTION("""COMPUTED_VALUE"""),"C++;HTML/CSS;Java;SQL")</f>
        <v>C++;HTML/CSS;Java;SQL</v>
      </c>
      <c r="M6578" s="9" t="s">
        <v>30</v>
      </c>
    </row>
    <row r="6579" ht="15.75" customHeight="1">
      <c r="A6579" s="7"/>
      <c r="B6579" s="7" t="str">
        <f>IFERROR(__xludf.DUMMYFUNCTION("""COMPUTED_VALUE"""),"Assembly;Bash/Shell/PowerShell;C;C++;Java")</f>
        <v>Assembly;Bash/Shell/PowerShell;C;C++;Java</v>
      </c>
      <c r="M6579" s="9" t="s">
        <v>25</v>
      </c>
    </row>
    <row r="6580" ht="15.75" customHeight="1">
      <c r="A6580" s="7"/>
      <c r="B6580" s="7" t="str">
        <f>IFERROR(__xludf.DUMMYFUNCTION("""COMPUTED_VALUE"""),"C#;Dart;F#;HTML/CSS;JavaScript;PHP;SQL;WebAssembly")</f>
        <v>C#;Dart;F#;HTML/CSS;JavaScript;PHP;SQL;WebAssembly</v>
      </c>
      <c r="M6580" s="9" t="s">
        <v>23</v>
      </c>
    </row>
    <row r="6581" ht="15.75" customHeight="1">
      <c r="A6581" s="7"/>
      <c r="B6581" s="7" t="str">
        <f>IFERROR(__xludf.DUMMYFUNCTION("""COMPUTED_VALUE"""),"HTML/CSS;JavaScript;PHP;SQL")</f>
        <v>HTML/CSS;JavaScript;PHP;SQL</v>
      </c>
      <c r="M6581" s="9" t="s">
        <v>22</v>
      </c>
    </row>
    <row r="6582" ht="15.75" customHeight="1">
      <c r="A6582" s="7"/>
      <c r="B6582" s="7" t="str">
        <f>IFERROR(__xludf.DUMMYFUNCTION("""COMPUTED_VALUE"""),"Bash/Shell/PowerShell;Ruby;SQL")</f>
        <v>Bash/Shell/PowerShell;Ruby;SQL</v>
      </c>
      <c r="M6582" s="9" t="s">
        <v>35</v>
      </c>
    </row>
    <row r="6583" ht="15.75" customHeight="1">
      <c r="A6583" s="7"/>
      <c r="B6583" s="7" t="str">
        <f>IFERROR(__xludf.DUMMYFUNCTION("""COMPUTED_VALUE"""),"Bash/Shell/PowerShell;C;C++;Objective-C;Python;Swift")</f>
        <v>Bash/Shell/PowerShell;C;C++;Objective-C;Python;Swift</v>
      </c>
      <c r="M6583" s="9" t="s">
        <v>26</v>
      </c>
    </row>
    <row r="6584" ht="15.75" customHeight="1">
      <c r="A6584" s="7"/>
      <c r="B6584" s="7" t="str">
        <f>IFERROR(__xludf.DUMMYFUNCTION("""COMPUTED_VALUE"""),"Dart;Java;Kotlin")</f>
        <v>Dart;Java;Kotlin</v>
      </c>
      <c r="M6584" s="9" t="s">
        <v>24</v>
      </c>
    </row>
    <row r="6585" ht="15.75" customHeight="1">
      <c r="A6585" s="7"/>
      <c r="B6585" s="7" t="str">
        <f>IFERROR(__xludf.DUMMYFUNCTION("""COMPUTED_VALUE"""),"Bash/Shell/PowerShell;C++;C#;HTML/CSS;Objective-C;Swift")</f>
        <v>Bash/Shell/PowerShell;C++;C#;HTML/CSS;Objective-C;Swift</v>
      </c>
      <c r="M6585" s="9" t="s">
        <v>21</v>
      </c>
    </row>
    <row r="6586" ht="15.75" customHeight="1">
      <c r="A6586" s="7"/>
      <c r="B6586" s="7" t="str">
        <f>IFERROR(__xludf.DUMMYFUNCTION("""COMPUTED_VALUE"""),"Bash/Shell/PowerShell;C;Java;Python;Swift")</f>
        <v>Bash/Shell/PowerShell;C;Java;Python;Swift</v>
      </c>
      <c r="M6586" s="9" t="s">
        <v>27</v>
      </c>
    </row>
    <row r="6587" ht="15.75" customHeight="1">
      <c r="A6587" s="7"/>
      <c r="B6587" s="7" t="str">
        <f>IFERROR(__xludf.DUMMYFUNCTION("""COMPUTED_VALUE"""),"Bash/Shell/PowerShell;Clojure;Elixir;Erlang;Go;Java;Kotlin;Ruby;Rust;Scala")</f>
        <v>Bash/Shell/PowerShell;Clojure;Elixir;Erlang;Go;Java;Kotlin;Ruby;Rust;Scala</v>
      </c>
      <c r="M6587" s="9" t="s">
        <v>33</v>
      </c>
    </row>
    <row r="6588" ht="15.75" customHeight="1">
      <c r="A6588" s="7"/>
      <c r="B6588" s="7" t="str">
        <f>IFERROR(__xludf.DUMMYFUNCTION("""COMPUTED_VALUE"""),"Bash/Shell/PowerShell;HTML/CSS;JavaScript;Ruby;SQL")</f>
        <v>Bash/Shell/PowerShell;HTML/CSS;JavaScript;Ruby;SQL</v>
      </c>
      <c r="M6588" s="9" t="s">
        <v>30</v>
      </c>
    </row>
    <row r="6589" ht="15.75" customHeight="1">
      <c r="A6589" s="7"/>
      <c r="B6589" s="7" t="str">
        <f>IFERROR(__xludf.DUMMYFUNCTION("""COMPUTED_VALUE"""),"Bash/Shell/PowerShell;HTML/CSS;Java;JavaScript;PHP;Python;SQL;Swift;Other(s):")</f>
        <v>Bash/Shell/PowerShell;HTML/CSS;Java;JavaScript;PHP;Python;SQL;Swift;Other(s):</v>
      </c>
      <c r="M6589" s="9" t="s">
        <v>26</v>
      </c>
    </row>
    <row r="6590" ht="15.75" customHeight="1">
      <c r="A6590" s="7"/>
      <c r="B6590" s="7" t="str">
        <f>IFERROR(__xludf.DUMMYFUNCTION("""COMPUTED_VALUE"""),"Assembly;C;C++;Java;SQL")</f>
        <v>Assembly;C;C++;Java;SQL</v>
      </c>
      <c r="M6590" s="9" t="s">
        <v>24</v>
      </c>
    </row>
    <row r="6591" ht="15.75" customHeight="1">
      <c r="A6591" s="7"/>
      <c r="B6591" s="7" t="str">
        <f>IFERROR(__xludf.DUMMYFUNCTION("""COMPUTED_VALUE"""),"Bash/Shell/PowerShell;JavaScript;Other(s):")</f>
        <v>Bash/Shell/PowerShell;JavaScript;Other(s):</v>
      </c>
      <c r="M6591" s="9" t="s">
        <v>21</v>
      </c>
    </row>
    <row r="6592" ht="15.75" customHeight="1">
      <c r="A6592" s="7"/>
      <c r="B6592" s="7" t="str">
        <f>IFERROR(__xludf.DUMMYFUNCTION("""COMPUTED_VALUE"""),"Go;HTML/CSS;JavaScript;Rust;SQL")</f>
        <v>Go;HTML/CSS;JavaScript;Rust;SQL</v>
      </c>
      <c r="M6592" s="9" t="s">
        <v>37</v>
      </c>
    </row>
    <row r="6593" ht="15.75" customHeight="1">
      <c r="A6593" s="7"/>
      <c r="B6593" s="7" t="str">
        <f>IFERROR(__xludf.DUMMYFUNCTION("""COMPUTED_VALUE"""),"Assembly;C#;HTML/CSS;JavaScript;Python;SQL")</f>
        <v>Assembly;C#;HTML/CSS;JavaScript;Python;SQL</v>
      </c>
      <c r="M6593" s="9" t="s">
        <v>22</v>
      </c>
    </row>
    <row r="6594" ht="15.75" customHeight="1">
      <c r="A6594" s="7"/>
      <c r="B6594" s="7" t="str">
        <f>IFERROR(__xludf.DUMMYFUNCTION("""COMPUTED_VALUE"""),"Bash/Shell/PowerShell;Elixir;Erlang;HTML/CSS;JavaScript;Python;Ruby;Rust")</f>
        <v>Bash/Shell/PowerShell;Elixir;Erlang;HTML/CSS;JavaScript;Python;Ruby;Rust</v>
      </c>
      <c r="M6594" s="9" t="s">
        <v>29</v>
      </c>
    </row>
    <row r="6595" ht="15.75" customHeight="1">
      <c r="A6595" s="7"/>
      <c r="B6595" s="7" t="str">
        <f>IFERROR(__xludf.DUMMYFUNCTION("""COMPUTED_VALUE"""),"Bash/Shell/PowerShell;HTML/CSS;Java")</f>
        <v>Bash/Shell/PowerShell;HTML/CSS;Java</v>
      </c>
      <c r="M6595" s="9" t="s">
        <v>27</v>
      </c>
    </row>
    <row r="6596" ht="15.75" customHeight="1">
      <c r="A6596" s="7"/>
      <c r="B6596" s="7" t="str">
        <f>IFERROR(__xludf.DUMMYFUNCTION("""COMPUTED_VALUE"""),"Bash/Shell/PowerShell;HTML/CSS;JavaScript;SQL")</f>
        <v>Bash/Shell/PowerShell;HTML/CSS;JavaScript;SQL</v>
      </c>
      <c r="M6596" s="9" t="s">
        <v>23</v>
      </c>
    </row>
    <row r="6597" ht="15.75" customHeight="1">
      <c r="A6597" s="7"/>
      <c r="B6597" s="7" t="str">
        <f>IFERROR(__xludf.DUMMYFUNCTION("""COMPUTED_VALUE"""),"Bash/Shell/PowerShell;C++;C#;HTML/CSS;JavaScript;SQL;Other(s):")</f>
        <v>Bash/Shell/PowerShell;C++;C#;HTML/CSS;JavaScript;SQL;Other(s):</v>
      </c>
      <c r="M6597" s="9" t="s">
        <v>24</v>
      </c>
    </row>
    <row r="6598" ht="15.75" customHeight="1">
      <c r="A6598" s="7"/>
      <c r="B6598" s="7" t="str">
        <f>IFERROR(__xludf.DUMMYFUNCTION("""COMPUTED_VALUE"""),"HTML/CSS;Java;JavaScript;SQL;TypeScript")</f>
        <v>HTML/CSS;Java;JavaScript;SQL;TypeScript</v>
      </c>
      <c r="M6598" s="9" t="s">
        <v>21</v>
      </c>
    </row>
    <row r="6599" ht="15.75" customHeight="1">
      <c r="A6599" s="7"/>
      <c r="B6599" s="7" t="str">
        <f>IFERROR(__xludf.DUMMYFUNCTION("""COMPUTED_VALUE"""),"Assembly;Bash/Shell/PowerShell;C;C#;Dart;Elixir;Go;HTML/CSS;Java;JavaScript;Python;Rust")</f>
        <v>Assembly;Bash/Shell/PowerShell;C;C#;Dart;Elixir;Go;HTML/CSS;Java;JavaScript;Python;Rust</v>
      </c>
      <c r="M6599" s="9" t="s">
        <v>37</v>
      </c>
    </row>
    <row r="6600" ht="15.75" customHeight="1">
      <c r="A6600" s="7"/>
      <c r="B6600" s="7" t="str">
        <f>IFERROR(__xludf.DUMMYFUNCTION("""COMPUTED_VALUE"""),"Bash/Shell/PowerShell;HTML/CSS;JavaScript;TypeScript")</f>
        <v>Bash/Shell/PowerShell;HTML/CSS;JavaScript;TypeScript</v>
      </c>
      <c r="M6600" s="9" t="s">
        <v>27</v>
      </c>
    </row>
    <row r="6601" ht="15.75" customHeight="1">
      <c r="A6601" s="7"/>
      <c r="B6601" s="7" t="str">
        <f>IFERROR(__xludf.DUMMYFUNCTION("""COMPUTED_VALUE"""),"HTML/CSS;Java;JavaScript;PHP;SQL")</f>
        <v>HTML/CSS;Java;JavaScript;PHP;SQL</v>
      </c>
      <c r="M6601" s="9" t="s">
        <v>24</v>
      </c>
    </row>
    <row r="6602" ht="15.75" customHeight="1">
      <c r="A6602" s="7"/>
      <c r="B6602" s="7" t="str">
        <f>IFERROR(__xludf.DUMMYFUNCTION("""COMPUTED_VALUE"""),"HTML/CSS;JavaScript;PHP;SQL")</f>
        <v>HTML/CSS;JavaScript;PHP;SQL</v>
      </c>
      <c r="M6602" s="9" t="s">
        <v>21</v>
      </c>
    </row>
    <row r="6603" ht="15.75" customHeight="1">
      <c r="A6603" s="7"/>
      <c r="B6603" s="7" t="str">
        <f>IFERROR(__xludf.DUMMYFUNCTION("""COMPUTED_VALUE"""),"Bash/Shell/PowerShell;C#;HTML/CSS;JavaScript;Ruby;SQL;TypeScript")</f>
        <v>Bash/Shell/PowerShell;C#;HTML/CSS;JavaScript;Ruby;SQL;TypeScript</v>
      </c>
      <c r="M6603" s="9" t="s">
        <v>22</v>
      </c>
    </row>
    <row r="6604" ht="15.75" customHeight="1">
      <c r="A6604" s="7"/>
      <c r="B6604" s="7" t="str">
        <f>IFERROR(__xludf.DUMMYFUNCTION("""COMPUTED_VALUE"""),"Bash/Shell/PowerShell;Java;Scala")</f>
        <v>Bash/Shell/PowerShell;Java;Scala</v>
      </c>
      <c r="M6604" s="9" t="s">
        <v>27</v>
      </c>
    </row>
    <row r="6605" ht="15.75" customHeight="1">
      <c r="A6605" s="7"/>
      <c r="B6605" s="7" t="str">
        <f>IFERROR(__xludf.DUMMYFUNCTION("""COMPUTED_VALUE"""),"HTML/CSS;PHP;Python;SQL")</f>
        <v>HTML/CSS;PHP;Python;SQL</v>
      </c>
      <c r="M6605" s="9" t="s">
        <v>33</v>
      </c>
    </row>
    <row r="6606" ht="15.75" customHeight="1">
      <c r="A6606" s="7"/>
      <c r="B6606" s="7" t="str">
        <f>IFERROR(__xludf.DUMMYFUNCTION("""COMPUTED_VALUE"""),"Bash/Shell/PowerShell;C#;JavaScript;Python")</f>
        <v>Bash/Shell/PowerShell;C#;JavaScript;Python</v>
      </c>
      <c r="M6606" s="9" t="s">
        <v>38</v>
      </c>
    </row>
    <row r="6607" ht="15.75" customHeight="1">
      <c r="A6607" s="7"/>
      <c r="B6607" s="7" t="str">
        <f>IFERROR(__xludf.DUMMYFUNCTION("""COMPUTED_VALUE"""),"HTML/CSS;Java;JavaScript;SQL")</f>
        <v>HTML/CSS;Java;JavaScript;SQL</v>
      </c>
      <c r="M6607" s="9" t="s">
        <v>25</v>
      </c>
    </row>
    <row r="6608" ht="15.75" customHeight="1">
      <c r="A6608" s="7"/>
      <c r="B6608" s="7" t="str">
        <f>IFERROR(__xludf.DUMMYFUNCTION("""COMPUTED_VALUE"""),"Java")</f>
        <v>Java</v>
      </c>
      <c r="M6608" s="9" t="s">
        <v>24</v>
      </c>
    </row>
    <row r="6609" ht="15.75" customHeight="1">
      <c r="A6609" s="7"/>
      <c r="B6609" s="7" t="str">
        <f>IFERROR(__xludf.DUMMYFUNCTION("""COMPUTED_VALUE"""),"C;C++;C#;HTML/CSS;Java;PHP;SQL")</f>
        <v>C;C++;C#;HTML/CSS;Java;PHP;SQL</v>
      </c>
      <c r="M6609" s="9" t="s">
        <v>20</v>
      </c>
    </row>
    <row r="6610" ht="15.75" customHeight="1">
      <c r="A6610" s="7"/>
      <c r="B6610" s="7" t="str">
        <f>IFERROR(__xludf.DUMMYFUNCTION("""COMPUTED_VALUE"""),"C#")</f>
        <v>C#</v>
      </c>
      <c r="M6610" s="9" t="s">
        <v>24</v>
      </c>
    </row>
    <row r="6611" ht="15.75" customHeight="1">
      <c r="A6611" s="7"/>
      <c r="B6611" s="7" t="str">
        <f>IFERROR(__xludf.DUMMYFUNCTION("""COMPUTED_VALUE"""),"Bash/Shell/PowerShell;HTML/CSS;Java;JavaScript;Python")</f>
        <v>Bash/Shell/PowerShell;HTML/CSS;Java;JavaScript;Python</v>
      </c>
      <c r="M6611" s="9" t="s">
        <v>21</v>
      </c>
    </row>
    <row r="6612" ht="15.75" customHeight="1">
      <c r="A6612" s="7"/>
      <c r="B6612" s="7" t="str">
        <f>IFERROR(__xludf.DUMMYFUNCTION("""COMPUTED_VALUE"""),"Java;Python")</f>
        <v>Java;Python</v>
      </c>
      <c r="M6612" s="9" t="s">
        <v>37</v>
      </c>
    </row>
    <row r="6613" ht="15.75" customHeight="1">
      <c r="A6613" s="7"/>
      <c r="B6613" s="7" t="str">
        <f>IFERROR(__xludf.DUMMYFUNCTION("""COMPUTED_VALUE"""),"Python;VBA")</f>
        <v>Python;VBA</v>
      </c>
      <c r="M6613" s="9" t="s">
        <v>27</v>
      </c>
    </row>
    <row r="6614" ht="15.75" customHeight="1">
      <c r="A6614" s="7"/>
      <c r="B6614" s="7" t="str">
        <f>IFERROR(__xludf.DUMMYFUNCTION("""COMPUTED_VALUE"""),"C++;C#;HTML/CSS;JavaScript;SQL;TypeScript")</f>
        <v>C++;C#;HTML/CSS;JavaScript;SQL;TypeScript</v>
      </c>
      <c r="M6614" s="9" t="s">
        <v>24</v>
      </c>
    </row>
    <row r="6615" ht="15.75" customHeight="1">
      <c r="A6615" s="7"/>
      <c r="B6615" s="7" t="str">
        <f>IFERROR(__xludf.DUMMYFUNCTION("""COMPUTED_VALUE"""),"Bash/Shell/PowerShell;HTML/CSS;JavaScript;PHP;Ruby;SQL")</f>
        <v>Bash/Shell/PowerShell;HTML/CSS;JavaScript;PHP;Ruby;SQL</v>
      </c>
      <c r="M6615" s="9" t="s">
        <v>21</v>
      </c>
    </row>
    <row r="6616" ht="15.75" customHeight="1">
      <c r="A6616" s="7"/>
      <c r="B6616" s="7" t="str">
        <f>IFERROR(__xludf.DUMMYFUNCTION("""COMPUTED_VALUE"""),"Assembly;Bash/Shell/PowerShell;C#;Go;HTML/CSS;Java;JavaScript;Kotlin;PHP;Python;SQL")</f>
        <v>Assembly;Bash/Shell/PowerShell;C#;Go;HTML/CSS;Java;JavaScript;Kotlin;PHP;Python;SQL</v>
      </c>
      <c r="M6616" s="9" t="s">
        <v>33</v>
      </c>
    </row>
    <row r="6617" ht="15.75" customHeight="1">
      <c r="A6617" s="7"/>
      <c r="B6617" s="7" t="str">
        <f>IFERROR(__xludf.DUMMYFUNCTION("""COMPUTED_VALUE"""),"Bash/Shell/PowerShell;C#;HTML/CSS;JavaScript;Python;SQL;TypeScript")</f>
        <v>Bash/Shell/PowerShell;C#;HTML/CSS;JavaScript;Python;SQL;TypeScript</v>
      </c>
      <c r="M6617" s="9" t="s">
        <v>24</v>
      </c>
    </row>
    <row r="6618" ht="15.75" customHeight="1">
      <c r="A6618" s="7"/>
      <c r="B6618" s="7" t="str">
        <f>IFERROR(__xludf.DUMMYFUNCTION("""COMPUTED_VALUE"""),"HTML/CSS;JavaScript;PHP;SQL")</f>
        <v>HTML/CSS;JavaScript;PHP;SQL</v>
      </c>
      <c r="M6618" s="9" t="s">
        <v>21</v>
      </c>
    </row>
    <row r="6619" ht="15.75" customHeight="1">
      <c r="A6619" s="7"/>
      <c r="B6619" s="7" t="str">
        <f>IFERROR(__xludf.DUMMYFUNCTION("""COMPUTED_VALUE"""),"Assembly;C;C++;C#;Java;Python;SQL")</f>
        <v>Assembly;C;C++;C#;Java;Python;SQL</v>
      </c>
      <c r="M6619" s="9" t="s">
        <v>37</v>
      </c>
    </row>
    <row r="6620" ht="15.75" customHeight="1">
      <c r="A6620" s="7"/>
      <c r="B6620" s="7" t="str">
        <f>IFERROR(__xludf.DUMMYFUNCTION("""COMPUTED_VALUE"""),"HTML/CSS;JavaScript;PHP;SQL;TypeScript")</f>
        <v>HTML/CSS;JavaScript;PHP;SQL;TypeScript</v>
      </c>
      <c r="M6620" s="9" t="s">
        <v>27</v>
      </c>
    </row>
    <row r="6621" ht="15.75" customHeight="1">
      <c r="A6621" s="7"/>
      <c r="B6621" s="7" t="str">
        <f>IFERROR(__xludf.DUMMYFUNCTION("""COMPUTED_VALUE"""),"Bash/Shell/PowerShell;C#;HTML/CSS;JavaScript;SQL")</f>
        <v>Bash/Shell/PowerShell;C#;HTML/CSS;JavaScript;SQL</v>
      </c>
      <c r="M6621" s="9" t="s">
        <v>24</v>
      </c>
    </row>
    <row r="6622" ht="15.75" customHeight="1">
      <c r="A6622" s="7"/>
      <c r="B6622" s="7" t="str">
        <f>IFERROR(__xludf.DUMMYFUNCTION("""COMPUTED_VALUE"""),"Bash/Shell/PowerShell;C#;Go;HTML/CSS;Java;JavaScript;Python;SQL;TypeScript")</f>
        <v>Bash/Shell/PowerShell;C#;Go;HTML/CSS;Java;JavaScript;Python;SQL;TypeScript</v>
      </c>
      <c r="M6622" s="9" t="s">
        <v>20</v>
      </c>
    </row>
    <row r="6623" ht="15.75" customHeight="1">
      <c r="A6623" s="7"/>
      <c r="B6623" s="7" t="str">
        <f>IFERROR(__xludf.DUMMYFUNCTION("""COMPUTED_VALUE"""),"HTML/CSS;Java;JavaScript;Python;SQL")</f>
        <v>HTML/CSS;Java;JavaScript;Python;SQL</v>
      </c>
      <c r="M6623" s="9" t="s">
        <v>21</v>
      </c>
    </row>
    <row r="6624" ht="15.75" customHeight="1">
      <c r="A6624" s="7"/>
      <c r="B6624" s="7" t="str">
        <f>IFERROR(__xludf.DUMMYFUNCTION("""COMPUTED_VALUE"""),"Bash/Shell/PowerShell;HTML/CSS;JavaScript;SQL;Swift")</f>
        <v>Bash/Shell/PowerShell;HTML/CSS;JavaScript;SQL;Swift</v>
      </c>
      <c r="M6624" s="9" t="s">
        <v>37</v>
      </c>
    </row>
    <row r="6625" ht="15.75" customHeight="1">
      <c r="A6625" s="7"/>
      <c r="B6625" s="7" t="str">
        <f>IFERROR(__xludf.DUMMYFUNCTION("""COMPUTED_VALUE"""),"C#;SQL")</f>
        <v>C#;SQL</v>
      </c>
      <c r="M6625" s="9" t="s">
        <v>22</v>
      </c>
    </row>
    <row r="6626" ht="15.75" customHeight="1">
      <c r="A6626" s="7"/>
      <c r="B6626" s="7" t="str">
        <f>IFERROR(__xludf.DUMMYFUNCTION("""COMPUTED_VALUE"""),"C#;HTML/CSS;JavaScript;SQL")</f>
        <v>C#;HTML/CSS;JavaScript;SQL</v>
      </c>
      <c r="M6626" s="9" t="s">
        <v>27</v>
      </c>
    </row>
    <row r="6627" ht="15.75" customHeight="1">
      <c r="A6627" s="7"/>
      <c r="B6627" s="7" t="str">
        <f>IFERROR(__xludf.DUMMYFUNCTION("""COMPUTED_VALUE"""),"C#;HTML/CSS;JavaScript;Python;SQL;TypeScript")</f>
        <v>C#;HTML/CSS;JavaScript;Python;SQL;TypeScript</v>
      </c>
      <c r="M6627" s="9" t="s">
        <v>28</v>
      </c>
    </row>
    <row r="6628" ht="15.75" customHeight="1">
      <c r="A6628" s="7"/>
      <c r="B6628" s="7" t="str">
        <f>IFERROR(__xludf.DUMMYFUNCTION("""COMPUTED_VALUE"""),"Bash/Shell/PowerShell;C;HTML/CSS;Java;JavaScript;Python")</f>
        <v>Bash/Shell/PowerShell;C;HTML/CSS;Java;JavaScript;Python</v>
      </c>
      <c r="M6628" s="9" t="s">
        <v>26</v>
      </c>
    </row>
    <row r="6629" ht="15.75" customHeight="1">
      <c r="A6629" s="7"/>
      <c r="B6629" s="7" t="str">
        <f>IFERROR(__xludf.DUMMYFUNCTION("""COMPUTED_VALUE"""),"C#;HTML/CSS;SQL;TypeScript")</f>
        <v>C#;HTML/CSS;SQL;TypeScript</v>
      </c>
      <c r="M6629" s="9" t="s">
        <v>24</v>
      </c>
    </row>
    <row r="6630" ht="15.75" customHeight="1">
      <c r="A6630" s="7"/>
      <c r="B6630" s="7" t="str">
        <f>IFERROR(__xludf.DUMMYFUNCTION("""COMPUTED_VALUE"""),"Bash/Shell/PowerShell;Go;Java;Python")</f>
        <v>Bash/Shell/PowerShell;Go;Java;Python</v>
      </c>
      <c r="M6630" s="9" t="s">
        <v>21</v>
      </c>
    </row>
    <row r="6631" ht="15.75" customHeight="1">
      <c r="A6631" s="7"/>
      <c r="B6631" s="7" t="str">
        <f>IFERROR(__xludf.DUMMYFUNCTION("""COMPUTED_VALUE"""),"C;C++;Clojure;HTML/CSS;Java;JavaScript;Kotlin;PHP;Python;R;Ruby;SQL;TypeScript")</f>
        <v>C;C++;Clojure;HTML/CSS;Java;JavaScript;Kotlin;PHP;Python;R;Ruby;SQL;TypeScript</v>
      </c>
      <c r="M6631" s="9" t="s">
        <v>27</v>
      </c>
    </row>
    <row r="6632" ht="15.75" customHeight="1">
      <c r="A6632" s="7"/>
      <c r="B6632" s="7" t="str">
        <f>IFERROR(__xludf.DUMMYFUNCTION("""COMPUTED_VALUE"""),"C#;HTML/CSS;JavaScript;TypeScript")</f>
        <v>C#;HTML/CSS;JavaScript;TypeScript</v>
      </c>
      <c r="M6632" s="9" t="s">
        <v>30</v>
      </c>
    </row>
    <row r="6633" ht="15.75" customHeight="1">
      <c r="A6633" s="7"/>
      <c r="B6633" s="7" t="str">
        <f>IFERROR(__xludf.DUMMYFUNCTION("""COMPUTED_VALUE"""),"Assembly;Bash/Shell/PowerShell;C;C++;C#;HTML/CSS;Java;JavaScript;Objective-C;PHP;Python;Ruby;SQL;Swift;VBA")</f>
        <v>Assembly;Bash/Shell/PowerShell;C;C++;C#;HTML/CSS;Java;JavaScript;Objective-C;PHP;Python;Ruby;SQL;Swift;VBA</v>
      </c>
      <c r="M6633" s="9" t="s">
        <v>20</v>
      </c>
    </row>
    <row r="6634" ht="15.75" customHeight="1">
      <c r="A6634" s="7"/>
      <c r="B6634" s="7" t="str">
        <f>IFERROR(__xludf.DUMMYFUNCTION("""COMPUTED_VALUE"""),"Bash/Shell/PowerShell;HTML/CSS;JavaScript;PHP;SQL")</f>
        <v>Bash/Shell/PowerShell;HTML/CSS;JavaScript;PHP;SQL</v>
      </c>
      <c r="M6634" s="9" t="s">
        <v>39</v>
      </c>
    </row>
    <row r="6635" ht="15.75" customHeight="1">
      <c r="A6635" s="7"/>
      <c r="B6635" s="7" t="str">
        <f>IFERROR(__xludf.DUMMYFUNCTION("""COMPUTED_VALUE"""),"Go;HTML/CSS;JavaScript;Python;TypeScript")</f>
        <v>Go;HTML/CSS;JavaScript;Python;TypeScript</v>
      </c>
      <c r="M6635" s="9" t="s">
        <v>22</v>
      </c>
    </row>
    <row r="6636" ht="15.75" customHeight="1">
      <c r="A6636" s="7"/>
      <c r="B6636" s="7" t="str">
        <f>IFERROR(__xludf.DUMMYFUNCTION("""COMPUTED_VALUE"""),"HTML/CSS;Java;JavaScript;TypeScript")</f>
        <v>HTML/CSS;Java;JavaScript;TypeScript</v>
      </c>
      <c r="M6636" s="9" t="s">
        <v>24</v>
      </c>
    </row>
    <row r="6637" ht="15.75" customHeight="1">
      <c r="A6637" s="7"/>
      <c r="B6637" s="7" t="str">
        <f>IFERROR(__xludf.DUMMYFUNCTION("""COMPUTED_VALUE"""),"HTML/CSS;JavaScript;TypeScript")</f>
        <v>HTML/CSS;JavaScript;TypeScript</v>
      </c>
      <c r="M6637" s="9" t="s">
        <v>20</v>
      </c>
    </row>
    <row r="6638" ht="15.75" customHeight="1">
      <c r="A6638" s="7"/>
      <c r="B6638" s="7" t="str">
        <f>IFERROR(__xludf.DUMMYFUNCTION("""COMPUTED_VALUE"""),"C#;HTML/CSS")</f>
        <v>C#;HTML/CSS</v>
      </c>
      <c r="M6638" s="9" t="s">
        <v>21</v>
      </c>
    </row>
    <row r="6639" ht="15.75" customHeight="1">
      <c r="A6639" s="7"/>
      <c r="B6639" s="7" t="str">
        <f>IFERROR(__xludf.DUMMYFUNCTION("""COMPUTED_VALUE"""),"Bash/Shell/PowerShell;C#;Go;HTML/CSS;Java;JavaScript;PHP;Python;Ruby;Scala;TypeScript")</f>
        <v>Bash/Shell/PowerShell;C#;Go;HTML/CSS;Java;JavaScript;PHP;Python;Ruby;Scala;TypeScript</v>
      </c>
      <c r="M6639" s="9" t="s">
        <v>22</v>
      </c>
    </row>
    <row r="6640" ht="15.75" customHeight="1">
      <c r="A6640" s="7"/>
      <c r="B6640" s="7" t="str">
        <f>IFERROR(__xludf.DUMMYFUNCTION("""COMPUTED_VALUE"""),"C#;HTML/CSS;JavaScript;PHP;SQL")</f>
        <v>C#;HTML/CSS;JavaScript;PHP;SQL</v>
      </c>
      <c r="M6640" s="9" t="s">
        <v>29</v>
      </c>
    </row>
    <row r="6641" ht="15.75" customHeight="1">
      <c r="A6641" s="7"/>
      <c r="B6641" s="7" t="str">
        <f>IFERROR(__xludf.DUMMYFUNCTION("""COMPUTED_VALUE"""),"HTML/CSS;Java;JavaScript;SQL")</f>
        <v>HTML/CSS;Java;JavaScript;SQL</v>
      </c>
      <c r="M6641" s="9" t="s">
        <v>35</v>
      </c>
    </row>
    <row r="6642" ht="15.75" customHeight="1">
      <c r="A6642" s="7"/>
      <c r="B6642" s="7" t="str">
        <f>IFERROR(__xludf.DUMMYFUNCTION("""COMPUTED_VALUE"""),"HTML/CSS;Java;JavaScript")</f>
        <v>HTML/CSS;Java;JavaScript</v>
      </c>
      <c r="M6642" s="9" t="s">
        <v>26</v>
      </c>
    </row>
    <row r="6643" ht="15.75" customHeight="1">
      <c r="A6643" s="7"/>
      <c r="B6643" s="7" t="str">
        <f>IFERROR(__xludf.DUMMYFUNCTION("""COMPUTED_VALUE"""),"C;HTML/CSS;PHP;Python")</f>
        <v>C;HTML/CSS;PHP;Python</v>
      </c>
      <c r="M6643" s="9" t="s">
        <v>24</v>
      </c>
    </row>
    <row r="6644" ht="15.75" customHeight="1">
      <c r="A6644" s="7"/>
      <c r="B6644" s="7" t="str">
        <f>IFERROR(__xludf.DUMMYFUNCTION("""COMPUTED_VALUE"""),"HTML/CSS;Java;JavaScript;Python")</f>
        <v>HTML/CSS;Java;JavaScript;Python</v>
      </c>
      <c r="M6644" s="9" t="s">
        <v>21</v>
      </c>
    </row>
    <row r="6645" ht="15.75" customHeight="1">
      <c r="A6645" s="7"/>
      <c r="B6645" s="7" t="str">
        <f>IFERROR(__xludf.DUMMYFUNCTION("""COMPUTED_VALUE"""),"HTML/CSS;JavaScript;Objective-C;PHP;SQL;Swift;TypeScript")</f>
        <v>HTML/CSS;JavaScript;Objective-C;PHP;SQL;Swift;TypeScript</v>
      </c>
      <c r="M6645" s="9" t="s">
        <v>27</v>
      </c>
    </row>
    <row r="6646" ht="15.75" customHeight="1">
      <c r="A6646" s="7"/>
      <c r="B6646" s="7" t="str">
        <f>IFERROR(__xludf.DUMMYFUNCTION("""COMPUTED_VALUE"""),"C;Python;VBA")</f>
        <v>C;Python;VBA</v>
      </c>
      <c r="M6646" s="9" t="s">
        <v>33</v>
      </c>
    </row>
    <row r="6647" ht="15.75" customHeight="1">
      <c r="A6647" s="7"/>
      <c r="B6647" s="7" t="str">
        <f>IFERROR(__xludf.DUMMYFUNCTION("""COMPUTED_VALUE"""),"Bash/Shell/PowerShell;C#;HTML/CSS;JavaScript;Python;SQL")</f>
        <v>Bash/Shell/PowerShell;C#;HTML/CSS;JavaScript;Python;SQL</v>
      </c>
      <c r="M6647" s="9" t="s">
        <v>38</v>
      </c>
    </row>
    <row r="6648" ht="15.75" customHeight="1">
      <c r="A6648" s="7"/>
      <c r="B6648" s="7" t="str">
        <f>IFERROR(__xludf.DUMMYFUNCTION("""COMPUTED_VALUE"""),"Assembly;Bash/Shell/PowerShell;C++;C#;Go;HTML/CSS;Java;JavaScript;Objective-C;Ruby;TypeScript")</f>
        <v>Assembly;Bash/Shell/PowerShell;C++;C#;Go;HTML/CSS;Java;JavaScript;Objective-C;Ruby;TypeScript</v>
      </c>
      <c r="M6648" s="9" t="s">
        <v>26</v>
      </c>
    </row>
    <row r="6649" ht="15.75" customHeight="1">
      <c r="A6649" s="7"/>
      <c r="B6649" s="7" t="str">
        <f>IFERROR(__xludf.DUMMYFUNCTION("""COMPUTED_VALUE"""),"JavaScript;PHP;SQL")</f>
        <v>JavaScript;PHP;SQL</v>
      </c>
      <c r="M6649" s="9" t="s">
        <v>24</v>
      </c>
    </row>
    <row r="6650" ht="15.75" customHeight="1">
      <c r="A6650" s="7"/>
      <c r="B6650" s="7" t="str">
        <f>IFERROR(__xludf.DUMMYFUNCTION("""COMPUTED_VALUE"""),"C;C++;C#;HTML/CSS;JavaScript;Python;SQL;TypeScript")</f>
        <v>C;C++;C#;HTML/CSS;JavaScript;Python;SQL;TypeScript</v>
      </c>
      <c r="M6650" s="9" t="s">
        <v>20</v>
      </c>
    </row>
    <row r="6651" ht="15.75" customHeight="1">
      <c r="A6651" s="7"/>
      <c r="B6651" s="7" t="str">
        <f>IFERROR(__xludf.DUMMYFUNCTION("""COMPUTED_VALUE"""),"C;C++;HTML/CSS;Java;JavaScript;Python;SQL")</f>
        <v>C;C++;HTML/CSS;Java;JavaScript;Python;SQL</v>
      </c>
      <c r="M6651" s="9" t="s">
        <v>21</v>
      </c>
    </row>
    <row r="6652" ht="15.75" customHeight="1">
      <c r="A6652" s="7"/>
      <c r="B6652" s="7" t="str">
        <f>IFERROR(__xludf.DUMMYFUNCTION("""COMPUTED_VALUE"""),"HTML/CSS;JavaScript;PHP;Python;SQL;VBA")</f>
        <v>HTML/CSS;JavaScript;PHP;Python;SQL;VBA</v>
      </c>
      <c r="M6652" s="9" t="s">
        <v>27</v>
      </c>
    </row>
    <row r="6653" ht="15.75" customHeight="1">
      <c r="A6653" s="7"/>
      <c r="B6653" s="7" t="str">
        <f>IFERROR(__xludf.DUMMYFUNCTION("""COMPUTED_VALUE"""),"Bash/Shell/PowerShell;Go;HTML/CSS;JavaScript;Python;Ruby;SQL")</f>
        <v>Bash/Shell/PowerShell;Go;HTML/CSS;JavaScript;Python;Ruby;SQL</v>
      </c>
      <c r="M6653" s="9" t="s">
        <v>28</v>
      </c>
    </row>
    <row r="6654" ht="15.75" customHeight="1">
      <c r="A6654" s="7"/>
      <c r="B6654" s="7" t="str">
        <f>IFERROR(__xludf.DUMMYFUNCTION("""COMPUTED_VALUE"""),"HTML/CSS;JavaScript;PHP")</f>
        <v>HTML/CSS;JavaScript;PHP</v>
      </c>
      <c r="M6654" s="9" t="s">
        <v>23</v>
      </c>
    </row>
    <row r="6655" ht="15.75" customHeight="1">
      <c r="A6655" s="7"/>
      <c r="B6655" s="7" t="str">
        <f>IFERROR(__xludf.DUMMYFUNCTION("""COMPUTED_VALUE"""),"C#;HTML/CSS;Java;JavaScript;PHP;Python;SQL;Swift")</f>
        <v>C#;HTML/CSS;Java;JavaScript;PHP;Python;SQL;Swift</v>
      </c>
      <c r="M6655" s="9" t="s">
        <v>47</v>
      </c>
    </row>
    <row r="6656" ht="15.75" customHeight="1">
      <c r="A6656" s="7"/>
      <c r="B6656" s="7" t="str">
        <f>IFERROR(__xludf.DUMMYFUNCTION("""COMPUTED_VALUE"""),"HTML/CSS;JavaScript;PHP;Python;TypeScript")</f>
        <v>HTML/CSS;JavaScript;PHP;Python;TypeScript</v>
      </c>
      <c r="M6656" s="9" t="s">
        <v>20</v>
      </c>
    </row>
    <row r="6657" ht="15.75" customHeight="1">
      <c r="A6657" s="7"/>
      <c r="B6657" s="7" t="str">
        <f>IFERROR(__xludf.DUMMYFUNCTION("""COMPUTED_VALUE"""),"Dart;Java;SQL")</f>
        <v>Dart;Java;SQL</v>
      </c>
      <c r="M6657" s="9" t="s">
        <v>39</v>
      </c>
    </row>
    <row r="6658" ht="15.75" customHeight="1">
      <c r="A6658" s="7"/>
      <c r="B6658" s="7" t="str">
        <f>IFERROR(__xludf.DUMMYFUNCTION("""COMPUTED_VALUE"""),"Bash/Shell/PowerShell;C#;HTML/CSS;Java;JavaScript;PHP;Python;SQL")</f>
        <v>Bash/Shell/PowerShell;C#;HTML/CSS;Java;JavaScript;PHP;Python;SQL</v>
      </c>
      <c r="M6658" s="9" t="s">
        <v>30</v>
      </c>
    </row>
    <row r="6659" ht="15.75" customHeight="1">
      <c r="A6659" s="7"/>
      <c r="B6659" s="7" t="str">
        <f>IFERROR(__xludf.DUMMYFUNCTION("""COMPUTED_VALUE"""),"Go;Kotlin;Python;Ruby")</f>
        <v>Go;Kotlin;Python;Ruby</v>
      </c>
      <c r="M6659" s="9" t="s">
        <v>24</v>
      </c>
    </row>
    <row r="6660" ht="15.75" customHeight="1">
      <c r="A6660" s="7"/>
      <c r="B6660" s="7" t="str">
        <f>IFERROR(__xludf.DUMMYFUNCTION("""COMPUTED_VALUE"""),"C++;C#;Elixir;Go;HTML/CSS;Java;JavaScript;Kotlin;PHP;Python;R;SQL;TypeScript")</f>
        <v>C++;C#;Elixir;Go;HTML/CSS;Java;JavaScript;Kotlin;PHP;Python;R;SQL;TypeScript</v>
      </c>
      <c r="M6660" s="9" t="s">
        <v>21</v>
      </c>
    </row>
    <row r="6661" ht="15.75" customHeight="1">
      <c r="A6661" s="7"/>
      <c r="B6661" s="7" t="str">
        <f>IFERROR(__xludf.DUMMYFUNCTION("""COMPUTED_VALUE"""),"Java;SQL")</f>
        <v>Java;SQL</v>
      </c>
      <c r="M6661" s="9" t="s">
        <v>22</v>
      </c>
    </row>
    <row r="6662" ht="15.75" customHeight="1">
      <c r="A6662" s="7"/>
      <c r="B6662" s="7" t="str">
        <f>IFERROR(__xludf.DUMMYFUNCTION("""COMPUTED_VALUE"""),"Bash/Shell/PowerShell;C#;SQL")</f>
        <v>Bash/Shell/PowerShell;C#;SQL</v>
      </c>
      <c r="M6662" s="9" t="s">
        <v>31</v>
      </c>
    </row>
    <row r="6663" ht="15.75" customHeight="1">
      <c r="A6663" s="7"/>
      <c r="B6663" s="7" t="str">
        <f>IFERROR(__xludf.DUMMYFUNCTION("""COMPUTED_VALUE"""),"Bash/Shell/PowerShell;C#;Go;Java;JavaScript;Python;SQL;TypeScript")</f>
        <v>Bash/Shell/PowerShell;C#;Go;Java;JavaScript;Python;SQL;TypeScript</v>
      </c>
      <c r="M6663" s="9" t="s">
        <v>27</v>
      </c>
    </row>
    <row r="6664" ht="15.75" customHeight="1">
      <c r="A6664" s="7"/>
      <c r="B6664" s="7" t="str">
        <f>IFERROR(__xludf.DUMMYFUNCTION("""COMPUTED_VALUE"""),"C#;JavaScript;SQL;TypeScript")</f>
        <v>C#;JavaScript;SQL;TypeScript</v>
      </c>
      <c r="M6664" s="9" t="s">
        <v>41</v>
      </c>
    </row>
    <row r="6665" ht="15.75" customHeight="1">
      <c r="A6665" s="7"/>
      <c r="B6665" s="7" t="str">
        <f>IFERROR(__xludf.DUMMYFUNCTION("""COMPUTED_VALUE"""),"Bash/Shell/PowerShell;Java;SQL")</f>
        <v>Bash/Shell/PowerShell;Java;SQL</v>
      </c>
      <c r="M6665" s="9" t="s">
        <v>24</v>
      </c>
    </row>
    <row r="6666" ht="15.75" customHeight="1">
      <c r="A6666" s="7"/>
      <c r="B6666" s="7" t="str">
        <f>IFERROR(__xludf.DUMMYFUNCTION("""COMPUTED_VALUE"""),"C#;HTML/CSS;TypeScript")</f>
        <v>C#;HTML/CSS;TypeScript</v>
      </c>
      <c r="M6666" s="9" t="s">
        <v>20</v>
      </c>
    </row>
    <row r="6667" ht="15.75" customHeight="1">
      <c r="A6667" s="7"/>
      <c r="B6667" s="7" t="str">
        <f>IFERROR(__xludf.DUMMYFUNCTION("""COMPUTED_VALUE"""),"HTML/CSS;JavaScript;SQL;Other(s):")</f>
        <v>HTML/CSS;JavaScript;SQL;Other(s):</v>
      </c>
      <c r="M6667" s="9" t="s">
        <v>21</v>
      </c>
    </row>
    <row r="6668" ht="15.75" customHeight="1">
      <c r="A6668" s="7"/>
      <c r="B6668" s="7" t="str">
        <f>IFERROR(__xludf.DUMMYFUNCTION("""COMPUTED_VALUE"""),"C;Clojure;HTML/CSS;PHP;Python;SQL")</f>
        <v>C;Clojure;HTML/CSS;PHP;Python;SQL</v>
      </c>
      <c r="M6668" s="9" t="s">
        <v>27</v>
      </c>
    </row>
    <row r="6669" ht="15.75" customHeight="1">
      <c r="A6669" s="7"/>
      <c r="B6669" s="7" t="str">
        <f>IFERROR(__xludf.DUMMYFUNCTION("""COMPUTED_VALUE"""),"Assembly;Bash/Shell/PowerShell;C;C++;HTML/CSS;Java;JavaScript;Objective-C;PHP;Python;SQL;Swift")</f>
        <v>Assembly;Bash/Shell/PowerShell;C;C++;HTML/CSS;Java;JavaScript;Objective-C;PHP;Python;SQL;Swift</v>
      </c>
      <c r="M6669" s="9" t="s">
        <v>33</v>
      </c>
    </row>
    <row r="6670" ht="15.75" customHeight="1">
      <c r="A6670" s="7"/>
      <c r="B6670" s="7" t="str">
        <f>IFERROR(__xludf.DUMMYFUNCTION("""COMPUTED_VALUE"""),"Java;Python")</f>
        <v>Java;Python</v>
      </c>
      <c r="M6670" s="9" t="s">
        <v>30</v>
      </c>
    </row>
    <row r="6671" ht="15.75" customHeight="1">
      <c r="A6671" s="7"/>
      <c r="B6671" s="7" t="str">
        <f>IFERROR(__xludf.DUMMYFUNCTION("""COMPUTED_VALUE"""),"Bash/Shell/PowerShell;Java;SQL;Other(s):")</f>
        <v>Bash/Shell/PowerShell;Java;SQL;Other(s):</v>
      </c>
      <c r="M6671" s="9" t="s">
        <v>26</v>
      </c>
    </row>
    <row r="6672" ht="15.75" customHeight="1">
      <c r="A6672" s="7"/>
      <c r="B6672" s="7" t="str">
        <f>IFERROR(__xludf.DUMMYFUNCTION("""COMPUTED_VALUE"""),"HTML/CSS;JavaScript;PHP;SQL;Swift")</f>
        <v>HTML/CSS;JavaScript;PHP;SQL;Swift</v>
      </c>
      <c r="M6672" s="9" t="s">
        <v>24</v>
      </c>
    </row>
    <row r="6673" ht="15.75" customHeight="1">
      <c r="A6673" s="7"/>
      <c r="B6673" s="7" t="str">
        <f>IFERROR(__xludf.DUMMYFUNCTION("""COMPUTED_VALUE"""),"Assembly;C;C++;HTML/CSS;Java;JavaScript;PHP;Python;Ruby;SQL")</f>
        <v>Assembly;C;C++;HTML/CSS;Java;JavaScript;PHP;Python;Ruby;SQL</v>
      </c>
      <c r="M6673" s="9" t="s">
        <v>21</v>
      </c>
    </row>
    <row r="6674" ht="15.75" customHeight="1">
      <c r="A6674" s="7"/>
      <c r="B6674" s="7" t="str">
        <f>IFERROR(__xludf.DUMMYFUNCTION("""COMPUTED_VALUE"""),"C;C++;C#;HTML/CSS;JavaScript;Python")</f>
        <v>C;C++;C#;HTML/CSS;JavaScript;Python</v>
      </c>
      <c r="M6674" s="9" t="s">
        <v>41</v>
      </c>
    </row>
    <row r="6675" ht="15.75" customHeight="1">
      <c r="A6675" s="7"/>
      <c r="B6675" s="7" t="str">
        <f>IFERROR(__xludf.DUMMYFUNCTION("""COMPUTED_VALUE"""),"C#;HTML/CSS;JavaScript;SQL;TypeScript")</f>
        <v>C#;HTML/CSS;JavaScript;SQL;TypeScript</v>
      </c>
      <c r="M6675" s="9" t="s">
        <v>37</v>
      </c>
    </row>
    <row r="6676" ht="15.75" customHeight="1">
      <c r="A6676" s="7"/>
      <c r="B6676" s="7" t="str">
        <f>IFERROR(__xludf.DUMMYFUNCTION("""COMPUTED_VALUE"""),"HTML/CSS;JavaScript;PHP;SQL")</f>
        <v>HTML/CSS;JavaScript;PHP;SQL</v>
      </c>
      <c r="M6676" s="9" t="s">
        <v>27</v>
      </c>
    </row>
    <row r="6677" ht="15.75" customHeight="1">
      <c r="A6677" s="7"/>
      <c r="B6677" s="7" t="str">
        <f>IFERROR(__xludf.DUMMYFUNCTION("""COMPUTED_VALUE"""),"JavaScript")</f>
        <v>JavaScript</v>
      </c>
      <c r="M6677" s="9" t="s">
        <v>40</v>
      </c>
    </row>
    <row r="6678" ht="15.75" customHeight="1">
      <c r="A6678" s="7"/>
      <c r="B6678" s="7" t="str">
        <f>IFERROR(__xludf.DUMMYFUNCTION("""COMPUTED_VALUE"""),"HTML/CSS;JavaScript;PHP")</f>
        <v>HTML/CSS;JavaScript;PHP</v>
      </c>
      <c r="M6678" s="9" t="s">
        <v>33</v>
      </c>
    </row>
    <row r="6679" ht="15.75" customHeight="1">
      <c r="A6679" s="7"/>
      <c r="B6679" s="7" t="str">
        <f>IFERROR(__xludf.DUMMYFUNCTION("""COMPUTED_VALUE"""),"JavaScript;Python;Other(s):")</f>
        <v>JavaScript;Python;Other(s):</v>
      </c>
      <c r="M6679" s="9" t="s">
        <v>24</v>
      </c>
    </row>
    <row r="6680" ht="15.75" customHeight="1">
      <c r="A6680" s="7"/>
      <c r="B6680" s="7" t="str">
        <f>IFERROR(__xludf.DUMMYFUNCTION("""COMPUTED_VALUE"""),"Assembly;C;C++;Dart;Java;JavaScript;Kotlin;Swift")</f>
        <v>Assembly;C;C++;Dart;Java;JavaScript;Kotlin;Swift</v>
      </c>
      <c r="M6680" s="9" t="s">
        <v>21</v>
      </c>
    </row>
    <row r="6681" ht="15.75" customHeight="1">
      <c r="A6681" s="7"/>
      <c r="B6681" s="7" t="str">
        <f>IFERROR(__xludf.DUMMYFUNCTION("""COMPUTED_VALUE"""),"HTML/CSS;JavaScript;PHP;SQL")</f>
        <v>HTML/CSS;JavaScript;PHP;SQL</v>
      </c>
      <c r="M6681" s="9" t="s">
        <v>37</v>
      </c>
    </row>
    <row r="6682" ht="15.75" customHeight="1">
      <c r="A6682" s="7"/>
      <c r="B6682" s="7" t="str">
        <f>IFERROR(__xludf.DUMMYFUNCTION("""COMPUTED_VALUE"""),"Python")</f>
        <v>Python</v>
      </c>
      <c r="M6682" s="9" t="s">
        <v>26</v>
      </c>
    </row>
    <row r="6683" ht="15.75" customHeight="1">
      <c r="A6683" s="7"/>
      <c r="B6683" s="7" t="str">
        <f>IFERROR(__xludf.DUMMYFUNCTION("""COMPUTED_VALUE"""),"C;C#;HTML/CSS;Java;Python")</f>
        <v>C;C#;HTML/CSS;Java;Python</v>
      </c>
      <c r="M6683" s="9" t="s">
        <v>24</v>
      </c>
    </row>
    <row r="6684" ht="15.75" customHeight="1">
      <c r="A6684" s="7"/>
      <c r="B6684" s="7" t="str">
        <f>IFERROR(__xludf.DUMMYFUNCTION("""COMPUTED_VALUE"""),"C++;C#;HTML/CSS;Java;SQL;TypeScript")</f>
        <v>C++;C#;HTML/CSS;Java;SQL;TypeScript</v>
      </c>
      <c r="M6684" s="9" t="s">
        <v>21</v>
      </c>
    </row>
    <row r="6685" ht="15.75" customHeight="1">
      <c r="A6685" s="7"/>
      <c r="B6685" s="7" t="str">
        <f>IFERROR(__xludf.DUMMYFUNCTION("""COMPUTED_VALUE"""),"Assembly;Bash/Shell/PowerShell;C;C++;C#;HTML/CSS;Java;JavaScript;PHP;SQL;VBA")</f>
        <v>Assembly;Bash/Shell/PowerShell;C;C++;C#;HTML/CSS;Java;JavaScript;PHP;SQL;VBA</v>
      </c>
      <c r="M6685" s="9" t="s">
        <v>32</v>
      </c>
    </row>
    <row r="6686" ht="15.75" customHeight="1">
      <c r="A6686" s="7"/>
      <c r="B6686" s="7" t="str">
        <f>IFERROR(__xludf.DUMMYFUNCTION("""COMPUTED_VALUE"""),"JavaScript")</f>
        <v>JavaScript</v>
      </c>
      <c r="M6686" s="9" t="s">
        <v>27</v>
      </c>
    </row>
    <row r="6687" ht="15.75" customHeight="1">
      <c r="A6687" s="7"/>
      <c r="B6687" s="7" t="str">
        <f>IFERROR(__xludf.DUMMYFUNCTION("""COMPUTED_VALUE"""),"C#;F#;HTML/CSS;Java;JavaScript;Python;Other(s):")</f>
        <v>C#;F#;HTML/CSS;Java;JavaScript;Python;Other(s):</v>
      </c>
      <c r="M6687" s="9" t="s">
        <v>38</v>
      </c>
    </row>
    <row r="6688" ht="15.75" customHeight="1">
      <c r="A6688" s="7"/>
      <c r="B6688" s="7" t="str">
        <f>IFERROR(__xludf.DUMMYFUNCTION("""COMPUTED_VALUE"""),"C;C++;HTML/CSS;Java;JavaScript;Python;SQL")</f>
        <v>C;C++;HTML/CSS;Java;JavaScript;Python;SQL</v>
      </c>
      <c r="M6688" s="9" t="s">
        <v>26</v>
      </c>
    </row>
    <row r="6689" ht="15.75" customHeight="1">
      <c r="A6689" s="7"/>
      <c r="B6689" s="7" t="str">
        <f>IFERROR(__xludf.DUMMYFUNCTION("""COMPUTED_VALUE"""),"Assembly;Bash/Shell/PowerShell;C;C#;Go;HTML/CSS;Java;JavaScript;PHP;Python;R;Ruby;Scala;SQL")</f>
        <v>Assembly;Bash/Shell/PowerShell;C;C#;Go;HTML/CSS;Java;JavaScript;PHP;Python;R;Ruby;Scala;SQL</v>
      </c>
      <c r="M6689" s="9" t="s">
        <v>24</v>
      </c>
    </row>
    <row r="6690" ht="15.75" customHeight="1">
      <c r="A6690" s="7"/>
      <c r="B6690" s="7" t="str">
        <f>IFERROR(__xludf.DUMMYFUNCTION("""COMPUTED_VALUE"""),"HTML/CSS;JavaScript;PHP")</f>
        <v>HTML/CSS;JavaScript;PHP</v>
      </c>
      <c r="M6690" s="9" t="s">
        <v>20</v>
      </c>
    </row>
    <row r="6691" ht="15.75" customHeight="1">
      <c r="A6691" s="7"/>
      <c r="B6691" s="7" t="str">
        <f>IFERROR(__xludf.DUMMYFUNCTION("""COMPUTED_VALUE"""),"C#;JavaScript;Objective-C;Swift")</f>
        <v>C#;JavaScript;Objective-C;Swift</v>
      </c>
      <c r="M6691" s="9" t="s">
        <v>21</v>
      </c>
    </row>
    <row r="6692" ht="15.75" customHeight="1">
      <c r="A6692" s="7"/>
      <c r="B6692" s="7" t="str">
        <f>IFERROR(__xludf.DUMMYFUNCTION("""COMPUTED_VALUE"""),"C;C++;JavaScript;Python;Ruby;Rust;SQL")</f>
        <v>C;C++;JavaScript;Python;Ruby;Rust;SQL</v>
      </c>
      <c r="M6692" s="9" t="s">
        <v>27</v>
      </c>
    </row>
    <row r="6693" ht="15.75" customHeight="1">
      <c r="A6693" s="7"/>
      <c r="B6693" s="7" t="str">
        <f>IFERROR(__xludf.DUMMYFUNCTION("""COMPUTED_VALUE"""),"C++;C#;HTML/CSS;Java;JavaScript;Objective-C;SQL;Swift;TypeScript")</f>
        <v>C++;C#;HTML/CSS;Java;JavaScript;Objective-C;SQL;Swift;TypeScript</v>
      </c>
      <c r="M6693" s="9" t="s">
        <v>33</v>
      </c>
    </row>
    <row r="6694" ht="15.75" customHeight="1">
      <c r="A6694" s="7"/>
      <c r="B6694" s="7" t="str">
        <f>IFERROR(__xludf.DUMMYFUNCTION("""COMPUTED_VALUE"""),"Java;JavaScript")</f>
        <v>Java;JavaScript</v>
      </c>
      <c r="M6694" s="9" t="s">
        <v>30</v>
      </c>
    </row>
    <row r="6695" ht="15.75" customHeight="1">
      <c r="A6695" s="7"/>
      <c r="B6695" s="7" t="str">
        <f>IFERROR(__xludf.DUMMYFUNCTION("""COMPUTED_VALUE"""),"Bash/Shell/PowerShell;C;Go;HTML/CSS;Java;JavaScript;Python;SQL")</f>
        <v>Bash/Shell/PowerShell;C;Go;HTML/CSS;Java;JavaScript;Python;SQL</v>
      </c>
      <c r="M6695" s="9" t="s">
        <v>25</v>
      </c>
    </row>
    <row r="6696" ht="15.75" customHeight="1">
      <c r="A6696" s="7"/>
      <c r="B6696" s="7" t="str">
        <f>IFERROR(__xludf.DUMMYFUNCTION("""COMPUTED_VALUE"""),"C#;HTML/CSS;JavaScript;SQL;TypeScript")</f>
        <v>C#;HTML/CSS;JavaScript;SQL;TypeScript</v>
      </c>
      <c r="M6696" s="9" t="s">
        <v>24</v>
      </c>
    </row>
    <row r="6697" ht="15.75" customHeight="1">
      <c r="A6697" s="7"/>
      <c r="B6697" s="7" t="str">
        <f>IFERROR(__xludf.DUMMYFUNCTION("""COMPUTED_VALUE"""),"HTML/CSS;JavaScript;TypeScript")</f>
        <v>HTML/CSS;JavaScript;TypeScript</v>
      </c>
      <c r="M6697" s="9" t="s">
        <v>20</v>
      </c>
    </row>
    <row r="6698" ht="15.75" customHeight="1">
      <c r="A6698" s="7"/>
      <c r="B6698" s="7" t="str">
        <f>IFERROR(__xludf.DUMMYFUNCTION("""COMPUTED_VALUE"""),"HTML/CSS;JavaScript;PHP;SQL")</f>
        <v>HTML/CSS;JavaScript;PHP;SQL</v>
      </c>
      <c r="M6698" s="9" t="s">
        <v>21</v>
      </c>
    </row>
    <row r="6699" ht="15.75" customHeight="1">
      <c r="A6699" s="7"/>
      <c r="B6699" s="7" t="str">
        <f>IFERROR(__xludf.DUMMYFUNCTION("""COMPUTED_VALUE"""),"Elixir;JavaScript;Ruby;SQL")</f>
        <v>Elixir;JavaScript;Ruby;SQL</v>
      </c>
      <c r="M6699" s="9" t="s">
        <v>37</v>
      </c>
    </row>
    <row r="6700" ht="15.75" customHeight="1">
      <c r="A6700" s="7"/>
      <c r="B6700" s="7" t="str">
        <f>IFERROR(__xludf.DUMMYFUNCTION("""COMPUTED_VALUE"""),"HTML/CSS;Java;JavaScript;PHP;Python;SQL")</f>
        <v>HTML/CSS;Java;JavaScript;PHP;Python;SQL</v>
      </c>
      <c r="M6700" s="9" t="s">
        <v>22</v>
      </c>
    </row>
    <row r="6701" ht="15.75" customHeight="1">
      <c r="A6701" s="7"/>
      <c r="B6701" s="7" t="str">
        <f>IFERROR(__xludf.DUMMYFUNCTION("""COMPUTED_VALUE"""),"HTML/CSS;JavaScript;Python")</f>
        <v>HTML/CSS;JavaScript;Python</v>
      </c>
      <c r="M6701" s="9" t="s">
        <v>27</v>
      </c>
    </row>
    <row r="6702" ht="15.75" customHeight="1">
      <c r="A6702" s="7"/>
      <c r="B6702" s="7" t="str">
        <f>IFERROR(__xludf.DUMMYFUNCTION("""COMPUTED_VALUE"""),"Bash/Shell/PowerShell;C++;Go;Java;JavaScript;Rust;TypeScript;Other(s):")</f>
        <v>Bash/Shell/PowerShell;C++;Go;Java;JavaScript;Rust;TypeScript;Other(s):</v>
      </c>
      <c r="M6702" s="9" t="s">
        <v>23</v>
      </c>
    </row>
    <row r="6703" ht="15.75" customHeight="1">
      <c r="A6703" s="7"/>
      <c r="B6703" s="7" t="str">
        <f>IFERROR(__xludf.DUMMYFUNCTION("""COMPUTED_VALUE"""),"Assembly;Bash/Shell/PowerShell;C;HTML/CSS;Java;JavaScript;Python;SQL;TypeScript")</f>
        <v>Assembly;Bash/Shell/PowerShell;C;HTML/CSS;Java;JavaScript;Python;SQL;TypeScript</v>
      </c>
      <c r="M6703" s="9" t="s">
        <v>26</v>
      </c>
    </row>
    <row r="6704" ht="15.75" customHeight="1">
      <c r="A6704" s="7"/>
      <c r="B6704" s="7" t="str">
        <f>IFERROR(__xludf.DUMMYFUNCTION("""COMPUTED_VALUE"""),"C#;JavaScript;Python;SQL")</f>
        <v>C#;JavaScript;Python;SQL</v>
      </c>
      <c r="M6704" s="9" t="s">
        <v>26</v>
      </c>
    </row>
    <row r="6705" ht="15.75" customHeight="1">
      <c r="A6705" s="7"/>
      <c r="B6705" s="7" t="str">
        <f>IFERROR(__xludf.DUMMYFUNCTION("""COMPUTED_VALUE"""),"C;C++;C#;HTML/CSS;JavaScript;Python")</f>
        <v>C;C++;C#;HTML/CSS;JavaScript;Python</v>
      </c>
      <c r="M6705" s="9" t="s">
        <v>24</v>
      </c>
    </row>
    <row r="6706" ht="15.75" customHeight="1">
      <c r="A6706" s="7"/>
      <c r="B6706" s="7" t="str">
        <f>IFERROR(__xludf.DUMMYFUNCTION("""COMPUTED_VALUE"""),"Bash/Shell/PowerShell;HTML/CSS;Java;JavaScript;Kotlin;SQL")</f>
        <v>Bash/Shell/PowerShell;HTML/CSS;Java;JavaScript;Kotlin;SQL</v>
      </c>
      <c r="M6706" s="9" t="s">
        <v>20</v>
      </c>
    </row>
    <row r="6707" ht="15.75" customHeight="1">
      <c r="A6707" s="7"/>
      <c r="B6707" s="7" t="str">
        <f>IFERROR(__xludf.DUMMYFUNCTION("""COMPUTED_VALUE"""),"HTML/CSS;Java;Kotlin;PHP")</f>
        <v>HTML/CSS;Java;Kotlin;PHP</v>
      </c>
      <c r="M6707" s="9" t="s">
        <v>21</v>
      </c>
    </row>
    <row r="6708" ht="15.75" customHeight="1">
      <c r="A6708" s="7"/>
      <c r="B6708" s="7" t="str">
        <f>IFERROR(__xludf.DUMMYFUNCTION("""COMPUTED_VALUE"""),"Python;R")</f>
        <v>Python;R</v>
      </c>
      <c r="M6708" s="9" t="s">
        <v>37</v>
      </c>
    </row>
    <row r="6709" ht="15.75" customHeight="1">
      <c r="A6709" s="7"/>
      <c r="B6709" s="7" t="str">
        <f>IFERROR(__xludf.DUMMYFUNCTION("""COMPUTED_VALUE"""),"Assembly;Bash/Shell/PowerShell;C;C++;Go;HTML/CSS;JavaScript;Python;TypeScript")</f>
        <v>Assembly;Bash/Shell/PowerShell;C;C++;Go;HTML/CSS;JavaScript;Python;TypeScript</v>
      </c>
      <c r="M6709" s="9" t="s">
        <v>27</v>
      </c>
    </row>
    <row r="6710" ht="15.75" customHeight="1">
      <c r="A6710" s="7"/>
      <c r="B6710" s="7" t="str">
        <f>IFERROR(__xludf.DUMMYFUNCTION("""COMPUTED_VALUE"""),"C#;HTML/CSS;JavaScript;SQL;TypeScript")</f>
        <v>C#;HTML/CSS;JavaScript;SQL;TypeScript</v>
      </c>
      <c r="M6710" s="9" t="s">
        <v>30</v>
      </c>
    </row>
    <row r="6711" ht="15.75" customHeight="1">
      <c r="A6711" s="7"/>
      <c r="B6711" s="7" t="str">
        <f>IFERROR(__xludf.DUMMYFUNCTION("""COMPUTED_VALUE"""),"Bash/Shell/PowerShell;Java;JavaScript;Python;Scala;TypeScript")</f>
        <v>Bash/Shell/PowerShell;Java;JavaScript;Python;Scala;TypeScript</v>
      </c>
      <c r="M6711" s="9" t="s">
        <v>36</v>
      </c>
    </row>
    <row r="6712" ht="15.75" customHeight="1">
      <c r="A6712" s="7"/>
      <c r="B6712" s="7" t="str">
        <f>IFERROR(__xludf.DUMMYFUNCTION("""COMPUTED_VALUE"""),"Assembly;Bash/Shell/PowerShell;C;C++;C#;Dart;F#;Go;HTML/CSS;Java;JavaScript;Kotlin;Python;SQL;TypeScript;Other(s):")</f>
        <v>Assembly;Bash/Shell/PowerShell;C;C++;C#;Dart;F#;Go;HTML/CSS;Java;JavaScript;Kotlin;Python;SQL;TypeScript;Other(s):</v>
      </c>
      <c r="M6712" s="9" t="s">
        <v>24</v>
      </c>
    </row>
    <row r="6713" ht="15.75" customHeight="1">
      <c r="A6713" s="7"/>
      <c r="B6713" s="7" t="str">
        <f>IFERROR(__xludf.DUMMYFUNCTION("""COMPUTED_VALUE"""),"Bash/Shell/PowerShell;HTML/CSS;Java;JavaScript;SQL;Other(s):")</f>
        <v>Bash/Shell/PowerShell;HTML/CSS;Java;JavaScript;SQL;Other(s):</v>
      </c>
      <c r="M6713" s="9" t="s">
        <v>20</v>
      </c>
    </row>
    <row r="6714" ht="15.75" customHeight="1">
      <c r="A6714" s="7"/>
      <c r="B6714" s="7" t="str">
        <f>IFERROR(__xludf.DUMMYFUNCTION("""COMPUTED_VALUE"""),"Bash/Shell/PowerShell;JavaScript;Python;Rust;SQL;Other(s):")</f>
        <v>Bash/Shell/PowerShell;JavaScript;Python;Rust;SQL;Other(s):</v>
      </c>
      <c r="M6714" s="9" t="s">
        <v>21</v>
      </c>
    </row>
    <row r="6715" ht="15.75" customHeight="1">
      <c r="A6715" s="7"/>
      <c r="B6715" s="7" t="str">
        <f>IFERROR(__xludf.DUMMYFUNCTION("""COMPUTED_VALUE"""),"Bash/Shell/PowerShell;C#;HTML/CSS;JavaScript;SQL")</f>
        <v>Bash/Shell/PowerShell;C#;HTML/CSS;JavaScript;SQL</v>
      </c>
      <c r="M6715" s="9" t="s">
        <v>27</v>
      </c>
    </row>
    <row r="6716" ht="15.75" customHeight="1">
      <c r="A6716" s="7"/>
      <c r="B6716" s="7" t="str">
        <f>IFERROR(__xludf.DUMMYFUNCTION("""COMPUTED_VALUE"""),"C#;HTML/CSS;Java;JavaScript;SQL;WebAssembly")</f>
        <v>C#;HTML/CSS;Java;JavaScript;SQL;WebAssembly</v>
      </c>
      <c r="M6716" s="9" t="s">
        <v>30</v>
      </c>
    </row>
    <row r="6717" ht="15.75" customHeight="1">
      <c r="A6717" s="7"/>
      <c r="B6717" s="7" t="str">
        <f>IFERROR(__xludf.DUMMYFUNCTION("""COMPUTED_VALUE"""),"C#;HTML/CSS;JavaScript;Python;SQL")</f>
        <v>C#;HTML/CSS;JavaScript;Python;SQL</v>
      </c>
      <c r="M6717" s="9" t="s">
        <v>26</v>
      </c>
    </row>
    <row r="6718" ht="15.75" customHeight="1">
      <c r="A6718" s="7"/>
      <c r="B6718" s="7" t="str">
        <f>IFERROR(__xludf.DUMMYFUNCTION("""COMPUTED_VALUE"""),"Bash/Shell/PowerShell;HTML/CSS;Java;JavaScript;PHP;R;SQL;VBA")</f>
        <v>Bash/Shell/PowerShell;HTML/CSS;Java;JavaScript;PHP;R;SQL;VBA</v>
      </c>
      <c r="M6718" s="9" t="s">
        <v>36</v>
      </c>
    </row>
    <row r="6719" ht="15.75" customHeight="1">
      <c r="A6719" s="7"/>
      <c r="B6719" s="7" t="str">
        <f>IFERROR(__xludf.DUMMYFUNCTION("""COMPUTED_VALUE"""),"C;C++;HTML/CSS;Java;JavaScript;PHP;Python;R;SQL")</f>
        <v>C;C++;HTML/CSS;Java;JavaScript;PHP;Python;R;SQL</v>
      </c>
      <c r="M6719" s="9" t="s">
        <v>24</v>
      </c>
    </row>
    <row r="6720" ht="15.75" customHeight="1">
      <c r="A6720" s="7"/>
      <c r="B6720" s="7" t="str">
        <f>IFERROR(__xludf.DUMMYFUNCTION("""COMPUTED_VALUE"""),"C;C++;Java;Python")</f>
        <v>C;C++;Java;Python</v>
      </c>
      <c r="M6720" s="9" t="s">
        <v>20</v>
      </c>
    </row>
    <row r="6721" ht="15.75" customHeight="1">
      <c r="A6721" s="7"/>
      <c r="B6721" s="7" t="str">
        <f>IFERROR(__xludf.DUMMYFUNCTION("""COMPUTED_VALUE"""),"Bash/Shell/PowerShell;C#;HTML/CSS;JavaScript;PHP;Python;SQL;TypeScript")</f>
        <v>Bash/Shell/PowerShell;C#;HTML/CSS;JavaScript;PHP;Python;SQL;TypeScript</v>
      </c>
      <c r="M6721" s="9" t="s">
        <v>21</v>
      </c>
    </row>
    <row r="6722" ht="15.75" customHeight="1">
      <c r="A6722" s="7"/>
      <c r="B6722" s="7" t="str">
        <f>IFERROR(__xludf.DUMMYFUNCTION("""COMPUTED_VALUE"""),"C++;Python;Swift;Other(s):")</f>
        <v>C++;Python;Swift;Other(s):</v>
      </c>
      <c r="M6722" s="9" t="s">
        <v>39</v>
      </c>
    </row>
    <row r="6723" ht="15.75" customHeight="1">
      <c r="A6723" s="7"/>
      <c r="B6723" s="7" t="str">
        <f>IFERROR(__xludf.DUMMYFUNCTION("""COMPUTED_VALUE"""),"Bash/Shell/PowerShell;C#;HTML/CSS;JavaScript;SQL;TypeScript")</f>
        <v>Bash/Shell/PowerShell;C#;HTML/CSS;JavaScript;SQL;TypeScript</v>
      </c>
      <c r="M6723" s="9" t="s">
        <v>22</v>
      </c>
    </row>
    <row r="6724" ht="15.75" customHeight="1">
      <c r="A6724" s="7"/>
      <c r="B6724" s="7" t="str">
        <f>IFERROR(__xludf.DUMMYFUNCTION("""COMPUTED_VALUE"""),"C#;HTML/CSS;JavaScript;SQL;TypeScript")</f>
        <v>C#;HTML/CSS;JavaScript;SQL;TypeScript</v>
      </c>
      <c r="M6724" s="9" t="s">
        <v>31</v>
      </c>
    </row>
    <row r="6725" ht="15.75" customHeight="1">
      <c r="A6725" s="7"/>
      <c r="B6725" s="7" t="str">
        <f>IFERROR(__xludf.DUMMYFUNCTION("""COMPUTED_VALUE"""),"Bash/Shell/PowerShell;C;C++;C#;F#;JavaScript;SQL")</f>
        <v>Bash/Shell/PowerShell;C;C++;C#;F#;JavaScript;SQL</v>
      </c>
      <c r="M6725" s="9" t="s">
        <v>32</v>
      </c>
    </row>
    <row r="6726" ht="15.75" customHeight="1">
      <c r="A6726" s="7"/>
      <c r="B6726" s="7" t="str">
        <f>IFERROR(__xludf.DUMMYFUNCTION("""COMPUTED_VALUE"""),"HTML/CSS;Java;PHP;SQL")</f>
        <v>HTML/CSS;Java;PHP;SQL</v>
      </c>
      <c r="M6726" s="9" t="s">
        <v>27</v>
      </c>
    </row>
    <row r="6727" ht="15.75" customHeight="1">
      <c r="A6727" s="7"/>
      <c r="B6727" s="7" t="str">
        <f>IFERROR(__xludf.DUMMYFUNCTION("""COMPUTED_VALUE"""),"Bash/Shell/PowerShell;C;C++;C#;Go;HTML/CSS;Java;JavaScript;Python;SQL;TypeScript")</f>
        <v>Bash/Shell/PowerShell;C;C++;C#;Go;HTML/CSS;Java;JavaScript;Python;SQL;TypeScript</v>
      </c>
      <c r="M6727" s="9" t="s">
        <v>30</v>
      </c>
    </row>
    <row r="6728" ht="15.75" customHeight="1">
      <c r="A6728" s="7"/>
      <c r="B6728" s="7" t="str">
        <f>IFERROR(__xludf.DUMMYFUNCTION("""COMPUTED_VALUE"""),"C#;HTML/CSS;Java;JavaScript;Kotlin;Python;SQL")</f>
        <v>C#;HTML/CSS;Java;JavaScript;Kotlin;Python;SQL</v>
      </c>
      <c r="M6728" s="9" t="s">
        <v>24</v>
      </c>
    </row>
    <row r="6729" ht="15.75" customHeight="1">
      <c r="A6729" s="7"/>
      <c r="B6729" s="7" t="str">
        <f>IFERROR(__xludf.DUMMYFUNCTION("""COMPUTED_VALUE"""),"C;C++;C#;HTML/CSS;JavaScript;SQL;VBA")</f>
        <v>C;C++;C#;HTML/CSS;JavaScript;SQL;VBA</v>
      </c>
      <c r="M6729" s="9" t="s">
        <v>20</v>
      </c>
    </row>
    <row r="6730" ht="15.75" customHeight="1">
      <c r="A6730" s="7"/>
      <c r="B6730" s="7" t="str">
        <f>IFERROR(__xludf.DUMMYFUNCTION("""COMPUTED_VALUE"""),"C#;HTML/CSS;JavaScript;SQL")</f>
        <v>C#;HTML/CSS;JavaScript;SQL</v>
      </c>
      <c r="M6730" s="9" t="s">
        <v>21</v>
      </c>
    </row>
    <row r="6731" ht="15.75" customHeight="1">
      <c r="A6731" s="7"/>
      <c r="B6731" s="7" t="str">
        <f>IFERROR(__xludf.DUMMYFUNCTION("""COMPUTED_VALUE"""),"Bash/Shell/PowerShell;C++;Go;HTML/CSS;Java;JavaScript;PHP;Python;R;SQL;Swift")</f>
        <v>Bash/Shell/PowerShell;C++;Go;HTML/CSS;Java;JavaScript;PHP;Python;R;SQL;Swift</v>
      </c>
      <c r="M6731" s="9" t="s">
        <v>27</v>
      </c>
    </row>
    <row r="6732" ht="15.75" customHeight="1">
      <c r="A6732" s="7"/>
      <c r="B6732" s="7" t="str">
        <f>IFERROR(__xludf.DUMMYFUNCTION("""COMPUTED_VALUE"""),"Bash/Shell/PowerShell;C#;HTML/CSS;JavaScript;TypeScript;Other(s):")</f>
        <v>Bash/Shell/PowerShell;C#;HTML/CSS;JavaScript;TypeScript;Other(s):</v>
      </c>
      <c r="M6732" s="9" t="s">
        <v>33</v>
      </c>
    </row>
    <row r="6733" ht="15.75" customHeight="1">
      <c r="A6733" s="7"/>
      <c r="B6733" s="7" t="str">
        <f>IFERROR(__xludf.DUMMYFUNCTION("""COMPUTED_VALUE"""),"HTML/CSS;JavaScript;Python;Rust")</f>
        <v>HTML/CSS;JavaScript;Python;Rust</v>
      </c>
      <c r="M6733" s="9" t="s">
        <v>20</v>
      </c>
    </row>
    <row r="6734" ht="15.75" customHeight="1">
      <c r="A6734" s="7"/>
      <c r="B6734" s="7" t="str">
        <f>IFERROR(__xludf.DUMMYFUNCTION("""COMPUTED_VALUE"""),"HTML/CSS;JavaScript")</f>
        <v>HTML/CSS;JavaScript</v>
      </c>
      <c r="M6734" s="9" t="s">
        <v>26</v>
      </c>
    </row>
    <row r="6735" ht="15.75" customHeight="1">
      <c r="A6735" s="7"/>
      <c r="B6735" s="7" t="str">
        <f>IFERROR(__xludf.DUMMYFUNCTION("""COMPUTED_VALUE"""),"C++;Java;Python;Rust")</f>
        <v>C++;Java;Python;Rust</v>
      </c>
      <c r="M6735" s="9" t="s">
        <v>24</v>
      </c>
    </row>
    <row r="6736" ht="15.75" customHeight="1">
      <c r="A6736" s="7"/>
      <c r="B6736" s="7" t="str">
        <f>IFERROR(__xludf.DUMMYFUNCTION("""COMPUTED_VALUE"""),"C++;C#;HTML/CSS;Java;JavaScript;Kotlin;PHP;SQL;VBA")</f>
        <v>C++;C#;HTML/CSS;Java;JavaScript;Kotlin;PHP;SQL;VBA</v>
      </c>
      <c r="M6736" s="9" t="s">
        <v>21</v>
      </c>
    </row>
    <row r="6737" ht="15.75" customHeight="1">
      <c r="A6737" s="7"/>
      <c r="B6737" s="7" t="str">
        <f>IFERROR(__xludf.DUMMYFUNCTION("""COMPUTED_VALUE"""),"Bash/Shell/PowerShell;C;C++;C#;HTML/CSS;Java;JavaScript;Python;VBA")</f>
        <v>Bash/Shell/PowerShell;C;C++;C#;HTML/CSS;Java;JavaScript;Python;VBA</v>
      </c>
      <c r="M6737" s="9" t="s">
        <v>41</v>
      </c>
    </row>
    <row r="6738" ht="15.75" customHeight="1">
      <c r="A6738" s="7"/>
      <c r="B6738" s="7" t="str">
        <f>IFERROR(__xludf.DUMMYFUNCTION("""COMPUTED_VALUE"""),"Bash/Shell/PowerShell;Go;Java;Objective-C;Ruby")</f>
        <v>Bash/Shell/PowerShell;Go;Java;Objective-C;Ruby</v>
      </c>
      <c r="M6738" s="9" t="s">
        <v>27</v>
      </c>
    </row>
    <row r="6739" ht="15.75" customHeight="1">
      <c r="A6739" s="7"/>
      <c r="B6739" s="7" t="str">
        <f>IFERROR(__xludf.DUMMYFUNCTION("""COMPUTED_VALUE"""),"Bash/Shell/PowerShell;C#;HTML/CSS;JavaScript;Ruby;SQL")</f>
        <v>Bash/Shell/PowerShell;C#;HTML/CSS;JavaScript;Ruby;SQL</v>
      </c>
      <c r="M6739" s="9" t="s">
        <v>40</v>
      </c>
    </row>
    <row r="6740" ht="15.75" customHeight="1">
      <c r="A6740" s="7"/>
      <c r="B6740" s="7" t="str">
        <f>IFERROR(__xludf.DUMMYFUNCTION("""COMPUTED_VALUE"""),"Java;Kotlin")</f>
        <v>Java;Kotlin</v>
      </c>
      <c r="M6740" s="9" t="s">
        <v>38</v>
      </c>
    </row>
    <row r="6741" ht="15.75" customHeight="1">
      <c r="A6741" s="7"/>
      <c r="B6741" s="7" t="str">
        <f>IFERROR(__xludf.DUMMYFUNCTION("""COMPUTED_VALUE"""),"Bash/Shell/PowerShell;HTML/CSS;Java;JavaScript;SQL")</f>
        <v>Bash/Shell/PowerShell;HTML/CSS;Java;JavaScript;SQL</v>
      </c>
      <c r="M6741" s="9" t="s">
        <v>30</v>
      </c>
    </row>
    <row r="6742" ht="15.75" customHeight="1">
      <c r="A6742" s="7"/>
      <c r="B6742" s="7" t="str">
        <f>IFERROR(__xludf.DUMMYFUNCTION("""COMPUTED_VALUE"""),"Java")</f>
        <v>Java</v>
      </c>
      <c r="M6742" s="9" t="s">
        <v>26</v>
      </c>
    </row>
    <row r="6743" ht="15.75" customHeight="1">
      <c r="A6743" s="7"/>
      <c r="B6743" s="7" t="str">
        <f>IFERROR(__xludf.DUMMYFUNCTION("""COMPUTED_VALUE"""),"C#;HTML/CSS;JavaScript;SQL;TypeScript")</f>
        <v>C#;HTML/CSS;JavaScript;SQL;TypeScript</v>
      </c>
      <c r="M6743" s="9" t="s">
        <v>24</v>
      </c>
    </row>
    <row r="6744" ht="15.75" customHeight="1">
      <c r="A6744" s="7"/>
      <c r="B6744" s="7" t="str">
        <f>IFERROR(__xludf.DUMMYFUNCTION("""COMPUTED_VALUE"""),"HTML/CSS;JavaScript;PHP;Python;SQL")</f>
        <v>HTML/CSS;JavaScript;PHP;Python;SQL</v>
      </c>
      <c r="M6744" s="9" t="s">
        <v>20</v>
      </c>
    </row>
    <row r="6745" ht="15.75" customHeight="1">
      <c r="A6745" s="7"/>
      <c r="B6745" s="7" t="str">
        <f>IFERROR(__xludf.DUMMYFUNCTION("""COMPUTED_VALUE"""),"Java")</f>
        <v>Java</v>
      </c>
      <c r="M6745" s="9" t="s">
        <v>21</v>
      </c>
    </row>
    <row r="6746" ht="15.75" customHeight="1">
      <c r="A6746" s="7"/>
      <c r="B6746" s="7" t="str">
        <f>IFERROR(__xludf.DUMMYFUNCTION("""COMPUTED_VALUE"""),"HTML/CSS;Java;JavaScript;PHP;SQL")</f>
        <v>HTML/CSS;Java;JavaScript;PHP;SQL</v>
      </c>
      <c r="M6746" s="9" t="s">
        <v>37</v>
      </c>
    </row>
    <row r="6747" ht="15.75" customHeight="1">
      <c r="A6747" s="7"/>
      <c r="B6747" s="7" t="str">
        <f>IFERROR(__xludf.DUMMYFUNCTION("""COMPUTED_VALUE"""),"HTML/CSS;JavaScript;PHP;Python")</f>
        <v>HTML/CSS;JavaScript;PHP;Python</v>
      </c>
      <c r="M6747" s="9" t="s">
        <v>22</v>
      </c>
    </row>
    <row r="6748" ht="15.75" customHeight="1">
      <c r="A6748" s="7"/>
      <c r="B6748" s="7" t="str">
        <f>IFERROR(__xludf.DUMMYFUNCTION("""COMPUTED_VALUE"""),"C++;Java;Kotlin;Python;Other(s):")</f>
        <v>C++;Java;Kotlin;Python;Other(s):</v>
      </c>
      <c r="M6748" s="9" t="s">
        <v>27</v>
      </c>
    </row>
    <row r="6749" ht="15.75" customHeight="1">
      <c r="A6749" s="7"/>
      <c r="B6749" s="7" t="str">
        <f>IFERROR(__xludf.DUMMYFUNCTION("""COMPUTED_VALUE"""),"HTML/CSS;JavaScript;Ruby")</f>
        <v>HTML/CSS;JavaScript;Ruby</v>
      </c>
      <c r="M6749" s="9" t="s">
        <v>25</v>
      </c>
    </row>
    <row r="6750" ht="15.75" customHeight="1">
      <c r="A6750" s="7"/>
      <c r="B6750" s="7" t="str">
        <f>IFERROR(__xludf.DUMMYFUNCTION("""COMPUTED_VALUE"""),"HTML/CSS;Java;JavaScript;PHP;Python;SQL")</f>
        <v>HTML/CSS;Java;JavaScript;PHP;Python;SQL</v>
      </c>
      <c r="M6750" s="9" t="s">
        <v>24</v>
      </c>
    </row>
    <row r="6751" ht="15.75" customHeight="1">
      <c r="A6751" s="7"/>
      <c r="B6751" s="7" t="str">
        <f>IFERROR(__xludf.DUMMYFUNCTION("""COMPUTED_VALUE"""),"Bash/Shell/PowerShell;C;C++;HTML/CSS;Java;JavaScript;PHP;SQL")</f>
        <v>Bash/Shell/PowerShell;C;C++;HTML/CSS;Java;JavaScript;PHP;SQL</v>
      </c>
      <c r="M6751" s="9" t="s">
        <v>20</v>
      </c>
    </row>
    <row r="6752" ht="15.75" customHeight="1">
      <c r="A6752" s="7"/>
      <c r="B6752" s="7" t="str">
        <f>IFERROR(__xludf.DUMMYFUNCTION("""COMPUTED_VALUE"""),"HTML/CSS;Java;JavaScript;Python;SQL")</f>
        <v>HTML/CSS;Java;JavaScript;Python;SQL</v>
      </c>
      <c r="M6752" s="9" t="s">
        <v>21</v>
      </c>
    </row>
    <row r="6753" ht="15.75" customHeight="1">
      <c r="A6753" s="7"/>
      <c r="B6753" s="7" t="str">
        <f>IFERROR(__xludf.DUMMYFUNCTION("""COMPUTED_VALUE"""),"Bash/Shell/PowerShell;C;C++;Go;HTML/CSS;Java;JavaScript;Python;Rust;SQL;WebAssembly")</f>
        <v>Bash/Shell/PowerShell;C;C++;Go;HTML/CSS;Java;JavaScript;Python;Rust;SQL;WebAssembly</v>
      </c>
      <c r="M6753" s="9" t="s">
        <v>37</v>
      </c>
    </row>
    <row r="6754" ht="15.75" customHeight="1">
      <c r="A6754" s="7"/>
      <c r="B6754" s="7" t="str">
        <f>IFERROR(__xludf.DUMMYFUNCTION("""COMPUTED_VALUE"""),"Assembly;C;Java;Python")</f>
        <v>Assembly;C;Java;Python</v>
      </c>
      <c r="M6754" s="9" t="s">
        <v>22</v>
      </c>
    </row>
    <row r="6755" ht="15.75" customHeight="1">
      <c r="A6755" s="7"/>
      <c r="B6755" s="7" t="str">
        <f>IFERROR(__xludf.DUMMYFUNCTION("""COMPUTED_VALUE"""),"C#;HTML/CSS;JavaScript;Python;TypeScript")</f>
        <v>C#;HTML/CSS;JavaScript;Python;TypeScript</v>
      </c>
      <c r="M6755" s="9" t="s">
        <v>27</v>
      </c>
    </row>
    <row r="6756" ht="15.75" customHeight="1">
      <c r="A6756" s="7"/>
      <c r="B6756" s="7" t="str">
        <f>IFERROR(__xludf.DUMMYFUNCTION("""COMPUTED_VALUE"""),"Bash/Shell/PowerShell;Go;HTML/CSS;Java;JavaScript;Python;Ruby;Scala;SQL;TypeScript;Other(s):")</f>
        <v>Bash/Shell/PowerShell;Go;HTML/CSS;Java;JavaScript;Python;Ruby;Scala;SQL;TypeScript;Other(s):</v>
      </c>
      <c r="M6756" s="9" t="s">
        <v>23</v>
      </c>
    </row>
    <row r="6757" ht="15.75" customHeight="1">
      <c r="A6757" s="7"/>
      <c r="B6757" s="7" t="str">
        <f>IFERROR(__xludf.DUMMYFUNCTION("""COMPUTED_VALUE"""),"R;SQL")</f>
        <v>R;SQL</v>
      </c>
      <c r="M6757" s="9" t="s">
        <v>20</v>
      </c>
    </row>
    <row r="6758" ht="15.75" customHeight="1">
      <c r="A6758" s="7"/>
      <c r="B6758" s="7" t="str">
        <f>IFERROR(__xludf.DUMMYFUNCTION("""COMPUTED_VALUE"""),"Assembly;Bash/Shell/PowerShell;C;Go;HTML/CSS;Java;JavaScript;Python;Ruby;SQL;TypeScript")</f>
        <v>Assembly;Bash/Shell/PowerShell;C;Go;HTML/CSS;Java;JavaScript;Python;Ruby;SQL;TypeScript</v>
      </c>
      <c r="M6758" s="9" t="s">
        <v>25</v>
      </c>
    </row>
    <row r="6759" ht="15.75" customHeight="1">
      <c r="A6759" s="7"/>
      <c r="B6759" s="7" t="str">
        <f>IFERROR(__xludf.DUMMYFUNCTION("""COMPUTED_VALUE"""),"HTML/CSS;Java;JavaScript;SQL")</f>
        <v>HTML/CSS;Java;JavaScript;SQL</v>
      </c>
      <c r="M6759" s="9" t="s">
        <v>23</v>
      </c>
    </row>
    <row r="6760" ht="15.75" customHeight="1">
      <c r="A6760" s="7"/>
      <c r="B6760" s="7" t="str">
        <f>IFERROR(__xludf.DUMMYFUNCTION("""COMPUTED_VALUE"""),"Go;HTML/CSS;JavaScript;Ruby;TypeScript")</f>
        <v>Go;HTML/CSS;JavaScript;Ruby;TypeScript</v>
      </c>
      <c r="M6760" s="9" t="s">
        <v>40</v>
      </c>
    </row>
    <row r="6761" ht="15.75" customHeight="1">
      <c r="A6761" s="7"/>
      <c r="B6761" s="7" t="str">
        <f>IFERROR(__xludf.DUMMYFUNCTION("""COMPUTED_VALUE"""),"HTML/CSS;JavaScript;PHP;TypeScript")</f>
        <v>HTML/CSS;JavaScript;PHP;TypeScript</v>
      </c>
      <c r="M6761" s="9" t="s">
        <v>30</v>
      </c>
    </row>
    <row r="6762" ht="15.75" customHeight="1">
      <c r="A6762" s="7"/>
      <c r="B6762" s="7" t="str">
        <f>IFERROR(__xludf.DUMMYFUNCTION("""COMPUTED_VALUE"""),"Bash/Shell/PowerShell;HTML/CSS;JavaScript;PHP;Python;SQL;TypeScript")</f>
        <v>Bash/Shell/PowerShell;HTML/CSS;JavaScript;PHP;Python;SQL;TypeScript</v>
      </c>
      <c r="M6762" s="9" t="s">
        <v>23</v>
      </c>
    </row>
    <row r="6763" ht="15.75" customHeight="1">
      <c r="A6763" s="7"/>
      <c r="B6763" s="7" t="str">
        <f>IFERROR(__xludf.DUMMYFUNCTION("""COMPUTED_VALUE"""),"C#;HTML/CSS;JavaScript;PHP;TypeScript")</f>
        <v>C#;HTML/CSS;JavaScript;PHP;TypeScript</v>
      </c>
      <c r="M6763" s="9" t="s">
        <v>27</v>
      </c>
    </row>
    <row r="6764" ht="15.75" customHeight="1">
      <c r="A6764" s="7"/>
      <c r="B6764" s="7" t="str">
        <f>IFERROR(__xludf.DUMMYFUNCTION("""COMPUTED_VALUE"""),"C;C++;C#;HTML/CSS;Java;JavaScript;PHP;SQL")</f>
        <v>C;C++;C#;HTML/CSS;Java;JavaScript;PHP;SQL</v>
      </c>
      <c r="M6764" s="9" t="s">
        <v>24</v>
      </c>
    </row>
    <row r="6765" ht="15.75" customHeight="1">
      <c r="A6765" s="7"/>
      <c r="B6765" s="7" t="str">
        <f>IFERROR(__xludf.DUMMYFUNCTION("""COMPUTED_VALUE"""),"Bash/Shell/PowerShell;HTML/CSS;JavaScript;PHP;Ruby;SQL")</f>
        <v>Bash/Shell/PowerShell;HTML/CSS;JavaScript;PHP;Ruby;SQL</v>
      </c>
      <c r="M6765" s="9" t="s">
        <v>21</v>
      </c>
    </row>
    <row r="6766" ht="15.75" customHeight="1">
      <c r="A6766" s="7"/>
      <c r="B6766" s="7" t="str">
        <f>IFERROR(__xludf.DUMMYFUNCTION("""COMPUTED_VALUE"""),"Bash/Shell/PowerShell;C#;HTML/CSS;JavaScript;Python;R;SQL;TypeScript")</f>
        <v>Bash/Shell/PowerShell;C#;HTML/CSS;JavaScript;Python;R;SQL;TypeScript</v>
      </c>
      <c r="M6766" s="9" t="s">
        <v>33</v>
      </c>
    </row>
    <row r="6767" ht="15.75" customHeight="1">
      <c r="A6767" s="7"/>
      <c r="B6767" s="7" t="str">
        <f>IFERROR(__xludf.DUMMYFUNCTION("""COMPUTED_VALUE"""),"Bash/Shell/PowerShell;C;HTML/CSS;Java;JavaScript;Python;SQL")</f>
        <v>Bash/Shell/PowerShell;C;HTML/CSS;Java;JavaScript;Python;SQL</v>
      </c>
      <c r="M6767" s="9" t="s">
        <v>30</v>
      </c>
    </row>
    <row r="6768" ht="15.75" customHeight="1">
      <c r="A6768" s="7"/>
      <c r="B6768" s="7" t="str">
        <f>IFERROR(__xludf.DUMMYFUNCTION("""COMPUTED_VALUE"""),"Bash/Shell/PowerShell;Java;SQL")</f>
        <v>Bash/Shell/PowerShell;Java;SQL</v>
      </c>
      <c r="M6768" s="9" t="s">
        <v>23</v>
      </c>
    </row>
    <row r="6769" ht="15.75" customHeight="1">
      <c r="A6769" s="7"/>
      <c r="B6769" s="7" t="str">
        <f>IFERROR(__xludf.DUMMYFUNCTION("""COMPUTED_VALUE"""),"C++;C#;HTML/CSS;Java;JavaScript;PHP;Python;SQL")</f>
        <v>C++;C#;HTML/CSS;Java;JavaScript;PHP;Python;SQL</v>
      </c>
      <c r="M6769" s="9" t="s">
        <v>24</v>
      </c>
    </row>
    <row r="6770" ht="15.75" customHeight="1">
      <c r="A6770" s="7"/>
      <c r="B6770" s="7" t="str">
        <f>IFERROR(__xludf.DUMMYFUNCTION("""COMPUTED_VALUE"""),"Bash/Shell/PowerShell;C#;HTML/CSS;Java;JavaScript;PHP;Python;SQL;TypeScript;VBA")</f>
        <v>Bash/Shell/PowerShell;C#;HTML/CSS;Java;JavaScript;PHP;Python;SQL;TypeScript;VBA</v>
      </c>
      <c r="M6770" s="9" t="s">
        <v>20</v>
      </c>
    </row>
    <row r="6771" ht="15.75" customHeight="1">
      <c r="A6771" s="7"/>
      <c r="B6771" s="7" t="str">
        <f>IFERROR(__xludf.DUMMYFUNCTION("""COMPUTED_VALUE"""),"Assembly;C++;C#")</f>
        <v>Assembly;C++;C#</v>
      </c>
      <c r="M6771" s="9" t="s">
        <v>21</v>
      </c>
    </row>
    <row r="6772" ht="15.75" customHeight="1">
      <c r="A6772" s="7"/>
      <c r="B6772" s="7" t="str">
        <f>IFERROR(__xludf.DUMMYFUNCTION("""COMPUTED_VALUE"""),"Bash/Shell/PowerShell;C;Java;JavaScript;R;SQL;Swift")</f>
        <v>Bash/Shell/PowerShell;C;Java;JavaScript;R;SQL;Swift</v>
      </c>
      <c r="M6772" s="9" t="s">
        <v>37</v>
      </c>
    </row>
    <row r="6773" ht="15.75" customHeight="1">
      <c r="A6773" s="7"/>
      <c r="B6773" s="7" t="str">
        <f>IFERROR(__xludf.DUMMYFUNCTION("""COMPUTED_VALUE"""),"Assembly;C;HTML/CSS;Java;JavaScript;SQL")</f>
        <v>Assembly;C;HTML/CSS;Java;JavaScript;SQL</v>
      </c>
      <c r="M6773" s="9" t="s">
        <v>27</v>
      </c>
    </row>
    <row r="6774" ht="15.75" customHeight="1">
      <c r="A6774" s="7"/>
      <c r="B6774" s="7" t="str">
        <f>IFERROR(__xludf.DUMMYFUNCTION("""COMPUTED_VALUE"""),"Bash/Shell/PowerShell;HTML/CSS;JavaScript;TypeScript")</f>
        <v>Bash/Shell/PowerShell;HTML/CSS;JavaScript;TypeScript</v>
      </c>
      <c r="M6774" s="9" t="s">
        <v>21</v>
      </c>
    </row>
    <row r="6775" ht="15.75" customHeight="1">
      <c r="A6775" s="7"/>
      <c r="B6775" s="7" t="str">
        <f>IFERROR(__xludf.DUMMYFUNCTION("""COMPUTED_VALUE"""),"Assembly;Bash/Shell/PowerShell;C;C++;C#;HTML/CSS;Java;JavaScript;Python;SQL")</f>
        <v>Assembly;Bash/Shell/PowerShell;C;C++;C#;HTML/CSS;Java;JavaScript;Python;SQL</v>
      </c>
      <c r="M6775" s="9" t="s">
        <v>30</v>
      </c>
    </row>
    <row r="6776" ht="15.75" customHeight="1">
      <c r="A6776" s="7"/>
      <c r="B6776" s="7" t="str">
        <f>IFERROR(__xludf.DUMMYFUNCTION("""COMPUTED_VALUE"""),"VBA")</f>
        <v>VBA</v>
      </c>
      <c r="M6776" s="9" t="s">
        <v>26</v>
      </c>
    </row>
    <row r="6777" ht="15.75" customHeight="1">
      <c r="A6777" s="7"/>
      <c r="B6777" s="7" t="str">
        <f>IFERROR(__xludf.DUMMYFUNCTION("""COMPUTED_VALUE"""),"C;C++;Python")</f>
        <v>C;C++;Python</v>
      </c>
      <c r="M6777" s="9" t="s">
        <v>24</v>
      </c>
    </row>
    <row r="6778" ht="15.75" customHeight="1">
      <c r="A6778" s="7"/>
      <c r="B6778" s="7" t="str">
        <f>IFERROR(__xludf.DUMMYFUNCTION("""COMPUTED_VALUE"""),"Bash/Shell/PowerShell;C#;HTML/CSS;JavaScript;PHP;SQL")</f>
        <v>Bash/Shell/PowerShell;C#;HTML/CSS;JavaScript;PHP;SQL</v>
      </c>
      <c r="M6778" s="9" t="s">
        <v>21</v>
      </c>
    </row>
    <row r="6779" ht="15.75" customHeight="1">
      <c r="A6779" s="7"/>
      <c r="B6779" s="7" t="str">
        <f>IFERROR(__xludf.DUMMYFUNCTION("""COMPUTED_VALUE"""),"Assembly;C;HTML/CSS;JavaScript;PHP")</f>
        <v>Assembly;C;HTML/CSS;JavaScript;PHP</v>
      </c>
      <c r="M6779" s="9" t="s">
        <v>27</v>
      </c>
    </row>
    <row r="6780" ht="15.75" customHeight="1">
      <c r="A6780" s="7"/>
      <c r="B6780" s="7" t="str">
        <f>IFERROR(__xludf.DUMMYFUNCTION("""COMPUTED_VALUE"""),"Bash/Shell/PowerShell;C;C++;C#;HTML/CSS;Java;JavaScript;Python;SQL;TypeScript")</f>
        <v>Bash/Shell/PowerShell;C;C++;C#;HTML/CSS;Java;JavaScript;Python;SQL;TypeScript</v>
      </c>
      <c r="M6780" s="9" t="s">
        <v>33</v>
      </c>
    </row>
    <row r="6781" ht="15.75" customHeight="1">
      <c r="A6781" s="7"/>
      <c r="B6781" s="7" t="str">
        <f>IFERROR(__xludf.DUMMYFUNCTION("""COMPUTED_VALUE"""),"HTML/CSS;JavaScript")</f>
        <v>HTML/CSS;JavaScript</v>
      </c>
      <c r="M6781" s="9" t="s">
        <v>38</v>
      </c>
    </row>
    <row r="6782" ht="15.75" customHeight="1">
      <c r="A6782" s="7"/>
      <c r="B6782" s="7" t="str">
        <f>IFERROR(__xludf.DUMMYFUNCTION("""COMPUTED_VALUE"""),"Bash/Shell/PowerShell;HTML/CSS;Java;JavaScript;Kotlin;PHP;Python;SQL;TypeScript")</f>
        <v>Bash/Shell/PowerShell;HTML/CSS;Java;JavaScript;Kotlin;PHP;Python;SQL;TypeScript</v>
      </c>
      <c r="M6782" s="9" t="s">
        <v>30</v>
      </c>
    </row>
    <row r="6783" ht="15.75" customHeight="1">
      <c r="A6783" s="7"/>
      <c r="B6783" s="7" t="str">
        <f>IFERROR(__xludf.DUMMYFUNCTION("""COMPUTED_VALUE"""),"Bash/Shell/PowerShell;HTML/CSS;JavaScript;PHP;SQL")</f>
        <v>Bash/Shell/PowerShell;HTML/CSS;JavaScript;PHP;SQL</v>
      </c>
      <c r="M6783" s="9" t="s">
        <v>25</v>
      </c>
    </row>
    <row r="6784" ht="15.75" customHeight="1">
      <c r="A6784" s="7"/>
      <c r="B6784" s="7" t="str">
        <f>IFERROR(__xludf.DUMMYFUNCTION("""COMPUTED_VALUE"""),"HTML/CSS;Java;JavaScript")</f>
        <v>HTML/CSS;Java;JavaScript</v>
      </c>
      <c r="M6784" s="9" t="s">
        <v>23</v>
      </c>
    </row>
    <row r="6785" ht="15.75" customHeight="1">
      <c r="A6785" s="7"/>
      <c r="B6785" s="7" t="str">
        <f>IFERROR(__xludf.DUMMYFUNCTION("""COMPUTED_VALUE"""),"C;SQL;Other(s):")</f>
        <v>C;SQL;Other(s):</v>
      </c>
      <c r="M6785" s="9" t="s">
        <v>26</v>
      </c>
    </row>
    <row r="6786" ht="15.75" customHeight="1">
      <c r="A6786" s="7"/>
      <c r="B6786" s="7" t="str">
        <f>IFERROR(__xludf.DUMMYFUNCTION("""COMPUTED_VALUE"""),"Bash/Shell/PowerShell;C++;C#;Go;JavaScript;Rust;SQL")</f>
        <v>Bash/Shell/PowerShell;C++;C#;Go;JavaScript;Rust;SQL</v>
      </c>
      <c r="M6786" s="9" t="s">
        <v>44</v>
      </c>
    </row>
    <row r="6787" ht="15.75" customHeight="1">
      <c r="A6787" s="7"/>
      <c r="B6787" s="7" t="str">
        <f>IFERROR(__xludf.DUMMYFUNCTION("""COMPUTED_VALUE"""),"JavaScript;Python;Ruby;Swift")</f>
        <v>JavaScript;Python;Ruby;Swift</v>
      </c>
      <c r="M6787" s="9" t="s">
        <v>47</v>
      </c>
    </row>
    <row r="6788" ht="15.75" customHeight="1">
      <c r="A6788" s="7"/>
      <c r="B6788" s="7" t="str">
        <f>IFERROR(__xludf.DUMMYFUNCTION("""COMPUTED_VALUE"""),"Bash/Shell/PowerShell;HTML/CSS;JavaScript;PHP;Python;SQL;TypeScript")</f>
        <v>Bash/Shell/PowerShell;HTML/CSS;JavaScript;PHP;Python;SQL;TypeScript</v>
      </c>
      <c r="M6788" s="9" t="s">
        <v>42</v>
      </c>
    </row>
    <row r="6789" ht="15.75" customHeight="1">
      <c r="A6789" s="7"/>
      <c r="B6789" s="7" t="str">
        <f>IFERROR(__xludf.DUMMYFUNCTION("""COMPUTED_VALUE"""),"Python;SQL;Other(s):")</f>
        <v>Python;SQL;Other(s):</v>
      </c>
      <c r="M6789" s="9" t="s">
        <v>43</v>
      </c>
    </row>
    <row r="6790" ht="15.75" customHeight="1">
      <c r="A6790" s="7"/>
      <c r="B6790" s="7" t="str">
        <f>IFERROR(__xludf.DUMMYFUNCTION("""COMPUTED_VALUE"""),"Assembly;Bash/Shell/PowerShell;C;C++;C#;HTML/CSS;Java;JavaScript;PHP;Python;SQL;VBA;Other(s):")</f>
        <v>Assembly;Bash/Shell/PowerShell;C;C++;C#;HTML/CSS;Java;JavaScript;PHP;Python;SQL;VBA;Other(s):</v>
      </c>
      <c r="M6790" s="9" t="s">
        <v>45</v>
      </c>
    </row>
    <row r="6791" ht="15.75" customHeight="1">
      <c r="A6791" s="7"/>
      <c r="B6791" s="7" t="str">
        <f>IFERROR(__xludf.DUMMYFUNCTION("""COMPUTED_VALUE"""),"Java")</f>
        <v>Java</v>
      </c>
      <c r="M6791" s="9" t="s">
        <v>36</v>
      </c>
    </row>
    <row r="6792" ht="15.75" customHeight="1">
      <c r="A6792" s="7"/>
      <c r="B6792" s="7" t="str">
        <f>IFERROR(__xludf.DUMMYFUNCTION("""COMPUTED_VALUE"""),"Elixir;HTML/CSS;JavaScript;SQL")</f>
        <v>Elixir;HTML/CSS;JavaScript;SQL</v>
      </c>
      <c r="M6792" s="9" t="s">
        <v>24</v>
      </c>
    </row>
    <row r="6793" ht="15.75" customHeight="1">
      <c r="A6793" s="7"/>
      <c r="B6793" s="7" t="str">
        <f>IFERROR(__xludf.DUMMYFUNCTION("""COMPUTED_VALUE"""),"Objective-C;Swift")</f>
        <v>Objective-C;Swift</v>
      </c>
      <c r="M6793" s="9" t="s">
        <v>20</v>
      </c>
    </row>
    <row r="6794" ht="15.75" customHeight="1">
      <c r="A6794" s="7"/>
      <c r="B6794" s="7" t="str">
        <f>IFERROR(__xludf.DUMMYFUNCTION("""COMPUTED_VALUE"""),"Bash/Shell/PowerShell;Go;HTML/CSS;JavaScript;WebAssembly")</f>
        <v>Bash/Shell/PowerShell;Go;HTML/CSS;JavaScript;WebAssembly</v>
      </c>
      <c r="M6794" s="9" t="s">
        <v>21</v>
      </c>
    </row>
    <row r="6795" ht="15.75" customHeight="1">
      <c r="A6795" s="7"/>
      <c r="B6795" s="7" t="str">
        <f>IFERROR(__xludf.DUMMYFUNCTION("""COMPUTED_VALUE"""),"C++;C#;JavaScript")</f>
        <v>C++;C#;JavaScript</v>
      </c>
      <c r="M6795" s="9" t="s">
        <v>39</v>
      </c>
    </row>
    <row r="6796" ht="15.75" customHeight="1">
      <c r="A6796" s="7"/>
      <c r="B6796" s="7" t="str">
        <f>IFERROR(__xludf.DUMMYFUNCTION("""COMPUTED_VALUE"""),"Bash/Shell/PowerShell;Go;Java;JavaScript;Python;SQL;TypeScript")</f>
        <v>Bash/Shell/PowerShell;Go;Java;JavaScript;Python;SQL;TypeScript</v>
      </c>
      <c r="M6796" s="9" t="s">
        <v>41</v>
      </c>
    </row>
    <row r="6797" ht="15.75" customHeight="1">
      <c r="A6797" s="7"/>
      <c r="B6797" s="7" t="str">
        <f>IFERROR(__xludf.DUMMYFUNCTION("""COMPUTED_VALUE"""),"JavaScript;PHP;Python;SQL;TypeScript")</f>
        <v>JavaScript;PHP;Python;SQL;TypeScript</v>
      </c>
      <c r="M6797" s="9" t="s">
        <v>37</v>
      </c>
    </row>
    <row r="6798" ht="15.75" customHeight="1">
      <c r="A6798" s="7"/>
      <c r="B6798" s="7" t="str">
        <f>IFERROR(__xludf.DUMMYFUNCTION("""COMPUTED_VALUE"""),"Assembly;Bash/Shell/PowerShell;C;C++;C#;HTML/CSS;Java;SQL")</f>
        <v>Assembly;Bash/Shell/PowerShell;C;C++;C#;HTML/CSS;Java;SQL</v>
      </c>
      <c r="M6798" s="9" t="s">
        <v>22</v>
      </c>
    </row>
    <row r="6799" ht="15.75" customHeight="1">
      <c r="A6799" s="7"/>
      <c r="B6799" s="7" t="str">
        <f>IFERROR(__xludf.DUMMYFUNCTION("""COMPUTED_VALUE"""),"C++;Elixir;HTML/CSS;Java;JavaScript;Kotlin;Python;Ruby;SQL;TypeScript")</f>
        <v>C++;Elixir;HTML/CSS;Java;JavaScript;Kotlin;Python;Ruby;SQL;TypeScript</v>
      </c>
      <c r="M6799" s="9" t="s">
        <v>29</v>
      </c>
    </row>
    <row r="6800" ht="15.75" customHeight="1">
      <c r="A6800" s="7"/>
      <c r="B6800" s="7" t="str">
        <f>IFERROR(__xludf.DUMMYFUNCTION("""COMPUTED_VALUE"""),"C;Java;Ruby")</f>
        <v>C;Java;Ruby</v>
      </c>
      <c r="M6800" s="9" t="s">
        <v>31</v>
      </c>
    </row>
    <row r="6801" ht="15.75" customHeight="1">
      <c r="A6801" s="7"/>
      <c r="B6801" s="7" t="str">
        <f>IFERROR(__xludf.DUMMYFUNCTION("""COMPUTED_VALUE"""),"PHP;SQL")</f>
        <v>PHP;SQL</v>
      </c>
      <c r="M6801" s="9" t="s">
        <v>32</v>
      </c>
    </row>
    <row r="6802" ht="15.75" customHeight="1">
      <c r="A6802" s="7"/>
      <c r="B6802" s="7" t="str">
        <f>IFERROR(__xludf.DUMMYFUNCTION("""COMPUTED_VALUE"""),"Bash/Shell/PowerShell;HTML/CSS;JavaScript;Python")</f>
        <v>Bash/Shell/PowerShell;HTML/CSS;JavaScript;Python</v>
      </c>
      <c r="M6802" s="9" t="s">
        <v>46</v>
      </c>
    </row>
    <row r="6803" ht="15.75" customHeight="1">
      <c r="A6803" s="7"/>
      <c r="B6803" s="7" t="str">
        <f>IFERROR(__xludf.DUMMYFUNCTION("""COMPUTED_VALUE"""),"Python;Scala")</f>
        <v>Python;Scala</v>
      </c>
      <c r="M6803" s="9" t="s">
        <v>27</v>
      </c>
    </row>
    <row r="6804" ht="15.75" customHeight="1">
      <c r="A6804" s="7"/>
      <c r="B6804" s="7" t="str">
        <f>IFERROR(__xludf.DUMMYFUNCTION("""COMPUTED_VALUE"""),"Java;Scala")</f>
        <v>Java;Scala</v>
      </c>
      <c r="M6804" s="9" t="s">
        <v>40</v>
      </c>
    </row>
    <row r="6805" ht="15.75" customHeight="1">
      <c r="A6805" s="7"/>
      <c r="B6805" s="7" t="str">
        <f>IFERROR(__xludf.DUMMYFUNCTION("""COMPUTED_VALUE"""),"Bash/Shell/PowerShell;HTML/CSS;JavaScript;Other(s):")</f>
        <v>Bash/Shell/PowerShell;HTML/CSS;JavaScript;Other(s):</v>
      </c>
      <c r="M6805" s="9" t="s">
        <v>33</v>
      </c>
    </row>
    <row r="6806" ht="15.75" customHeight="1">
      <c r="A6806" s="7"/>
      <c r="B6806" s="7" t="str">
        <f>IFERROR(__xludf.DUMMYFUNCTION("""COMPUTED_VALUE"""),"C#;HTML/CSS;JavaScript;SQL;TypeScript;VBA")</f>
        <v>C#;HTML/CSS;JavaScript;SQL;TypeScript;VBA</v>
      </c>
      <c r="M6806" s="9" t="s">
        <v>28</v>
      </c>
    </row>
    <row r="6807" ht="15.75" customHeight="1">
      <c r="A6807" s="7"/>
      <c r="B6807" s="7" t="str">
        <f>IFERROR(__xludf.DUMMYFUNCTION("""COMPUTED_VALUE"""),"Bash/Shell/PowerShell;Go;HTML/CSS;Java;JavaScript;PHP;SQL")</f>
        <v>Bash/Shell/PowerShell;Go;HTML/CSS;Java;JavaScript;PHP;SQL</v>
      </c>
      <c r="M6807" s="9" t="s">
        <v>34</v>
      </c>
    </row>
    <row r="6808" ht="15.75" customHeight="1">
      <c r="A6808" s="7"/>
      <c r="B6808" s="7" t="str">
        <f>IFERROR(__xludf.DUMMYFUNCTION("""COMPUTED_VALUE"""),"C;C++;C#;HTML/CSS;JavaScript;PHP;SQL")</f>
        <v>C;C++;C#;HTML/CSS;JavaScript;PHP;SQL</v>
      </c>
      <c r="M6808" s="9" t="s">
        <v>35</v>
      </c>
    </row>
    <row r="6809" ht="15.75" customHeight="1">
      <c r="A6809" s="7"/>
      <c r="B6809" s="7" t="str">
        <f>IFERROR(__xludf.DUMMYFUNCTION("""COMPUTED_VALUE"""),"Assembly;C;C++;C#;HTML/CSS;Java;JavaScript;PHP;SQL")</f>
        <v>Assembly;C;C++;C#;HTML/CSS;Java;JavaScript;PHP;SQL</v>
      </c>
      <c r="M6809" s="9" t="s">
        <v>30</v>
      </c>
    </row>
    <row r="6810" ht="15.75" customHeight="1">
      <c r="A6810" s="7"/>
      <c r="B6810" s="7" t="str">
        <f>IFERROR(__xludf.DUMMYFUNCTION("""COMPUTED_VALUE"""),"HTML/CSS;Java;JavaScript;Python;SQL;TypeScript")</f>
        <v>HTML/CSS;Java;JavaScript;Python;SQL;TypeScript</v>
      </c>
      <c r="M6810" s="9" t="s">
        <v>47</v>
      </c>
    </row>
    <row r="6811" ht="15.75" customHeight="1">
      <c r="A6811" s="7"/>
      <c r="B6811" s="7" t="str">
        <f>IFERROR(__xludf.DUMMYFUNCTION("""COMPUTED_VALUE"""),"JavaScript;Ruby")</f>
        <v>JavaScript;Ruby</v>
      </c>
      <c r="M6811" s="9" t="s">
        <v>36</v>
      </c>
    </row>
    <row r="6812" ht="15.75" customHeight="1">
      <c r="A6812" s="7"/>
      <c r="B6812" s="7" t="str">
        <f>IFERROR(__xludf.DUMMYFUNCTION("""COMPUTED_VALUE"""),"Bash/Shell/PowerShell;C;C++;HTML/CSS;JavaScript;PHP;Python;Ruby;SQL;Swift;TypeScript;Other(s):")</f>
        <v>Bash/Shell/PowerShell;C;C++;HTML/CSS;JavaScript;PHP;Python;Ruby;SQL;Swift;TypeScript;Other(s):</v>
      </c>
      <c r="M6812" s="9" t="s">
        <v>20</v>
      </c>
    </row>
    <row r="6813" ht="15.75" customHeight="1">
      <c r="A6813" s="7"/>
      <c r="B6813" s="7" t="str">
        <f>IFERROR(__xludf.DUMMYFUNCTION("""COMPUTED_VALUE"""),"C#")</f>
        <v>C#</v>
      </c>
      <c r="M6813" s="9" t="s">
        <v>39</v>
      </c>
    </row>
    <row r="6814" ht="15.75" customHeight="1">
      <c r="A6814" s="7"/>
      <c r="B6814" s="7" t="str">
        <f>IFERROR(__xludf.DUMMYFUNCTION("""COMPUTED_VALUE"""),"C#;HTML/CSS;JavaScript;TypeScript")</f>
        <v>C#;HTML/CSS;JavaScript;TypeScript</v>
      </c>
      <c r="M6814" s="9" t="s">
        <v>22</v>
      </c>
    </row>
    <row r="6815" ht="15.75" customHeight="1">
      <c r="A6815" s="7"/>
      <c r="B6815" s="7" t="str">
        <f>IFERROR(__xludf.DUMMYFUNCTION("""COMPUTED_VALUE"""),"Bash/Shell/PowerShell;HTML/CSS;JavaScript;PHP;SQL")</f>
        <v>Bash/Shell/PowerShell;HTML/CSS;JavaScript;PHP;SQL</v>
      </c>
      <c r="M6815" s="9" t="s">
        <v>46</v>
      </c>
    </row>
    <row r="6816" ht="15.75" customHeight="1">
      <c r="A6816" s="7"/>
      <c r="B6816" s="7" t="str">
        <f>IFERROR(__xludf.DUMMYFUNCTION("""COMPUTED_VALUE"""),"Java;JavaScript;SQL")</f>
        <v>Java;JavaScript;SQL</v>
      </c>
      <c r="M6816" s="9" t="s">
        <v>27</v>
      </c>
    </row>
    <row r="6817" ht="15.75" customHeight="1">
      <c r="A6817" s="7"/>
      <c r="B6817" s="7" t="str">
        <f>IFERROR(__xludf.DUMMYFUNCTION("""COMPUTED_VALUE"""),"C++;HTML/CSS;Java;JavaScript;Objective-C;Python;Ruby;Swift;TypeScript")</f>
        <v>C++;HTML/CSS;Java;JavaScript;Objective-C;Python;Ruby;Swift;TypeScript</v>
      </c>
      <c r="M6817" s="9" t="s">
        <v>24</v>
      </c>
    </row>
    <row r="6818" ht="15.75" customHeight="1">
      <c r="A6818" s="7"/>
      <c r="B6818" s="7" t="str">
        <f>IFERROR(__xludf.DUMMYFUNCTION("""COMPUTED_VALUE"""),"C#;F#;HTML/CSS;JavaScript;SQL;TypeScript")</f>
        <v>C#;F#;HTML/CSS;JavaScript;SQL;TypeScript</v>
      </c>
      <c r="M6818" s="9" t="s">
        <v>21</v>
      </c>
    </row>
    <row r="6819" ht="15.75" customHeight="1">
      <c r="A6819" s="7"/>
      <c r="B6819" s="7" t="str">
        <f>IFERROR(__xludf.DUMMYFUNCTION("""COMPUTED_VALUE"""),"Bash/Shell/PowerShell;C#;Python")</f>
        <v>Bash/Shell/PowerShell;C#;Python</v>
      </c>
      <c r="M6819" s="9" t="s">
        <v>22</v>
      </c>
    </row>
    <row r="6820" ht="15.75" customHeight="1">
      <c r="A6820" s="7"/>
      <c r="B6820" s="7" t="str">
        <f>IFERROR(__xludf.DUMMYFUNCTION("""COMPUTED_VALUE"""),"Python;R;SQL")</f>
        <v>Python;R;SQL</v>
      </c>
      <c r="M6820" s="9" t="s">
        <v>35</v>
      </c>
    </row>
    <row r="6821" ht="15.75" customHeight="1">
      <c r="A6821" s="7"/>
      <c r="B6821" s="7" t="str">
        <f>IFERROR(__xludf.DUMMYFUNCTION("""COMPUTED_VALUE"""),"C#;HTML/CSS;JavaScript;PHP;SQL")</f>
        <v>C#;HTML/CSS;JavaScript;PHP;SQL</v>
      </c>
      <c r="M6821" s="9" t="s">
        <v>25</v>
      </c>
    </row>
    <row r="6822" ht="15.75" customHeight="1">
      <c r="A6822" s="7"/>
      <c r="B6822" s="7" t="str">
        <f>IFERROR(__xludf.DUMMYFUNCTION("""COMPUTED_VALUE"""),"Go;HTML/CSS;JavaScript;Python;Rust;WebAssembly")</f>
        <v>Go;HTML/CSS;JavaScript;Python;Rust;WebAssembly</v>
      </c>
      <c r="M6822" s="9" t="s">
        <v>23</v>
      </c>
    </row>
    <row r="6823" ht="15.75" customHeight="1">
      <c r="A6823" s="7"/>
      <c r="B6823" s="7" t="str">
        <f>IFERROR(__xludf.DUMMYFUNCTION("""COMPUTED_VALUE"""),"C#;JavaScript")</f>
        <v>C#;JavaScript</v>
      </c>
      <c r="M6823" s="9" t="s">
        <v>24</v>
      </c>
    </row>
    <row r="6824" ht="15.75" customHeight="1">
      <c r="A6824" s="7"/>
      <c r="B6824" s="7" t="str">
        <f>IFERROR(__xludf.DUMMYFUNCTION("""COMPUTED_VALUE"""),"C#;HTML/CSS;JavaScript;SQL")</f>
        <v>C#;HTML/CSS;JavaScript;SQL</v>
      </c>
      <c r="M6824" s="9" t="s">
        <v>20</v>
      </c>
    </row>
    <row r="6825" ht="15.75" customHeight="1">
      <c r="A6825" s="7"/>
      <c r="B6825" s="7" t="str">
        <f>IFERROR(__xludf.DUMMYFUNCTION("""COMPUTED_VALUE"""),"Bash/Shell/PowerShell;PHP")</f>
        <v>Bash/Shell/PowerShell;PHP</v>
      </c>
      <c r="M6825" s="9" t="s">
        <v>21</v>
      </c>
    </row>
    <row r="6826" ht="15.75" customHeight="1">
      <c r="A6826" s="7"/>
      <c r="B6826" s="7" t="str">
        <f>IFERROR(__xludf.DUMMYFUNCTION("""COMPUTED_VALUE"""),"Bash/Shell/PowerShell;Dart;HTML/CSS;JavaScript;PHP;SQL")</f>
        <v>Bash/Shell/PowerShell;Dart;HTML/CSS;JavaScript;PHP;SQL</v>
      </c>
      <c r="M6826" s="9" t="s">
        <v>27</v>
      </c>
    </row>
    <row r="6827" ht="15.75" customHeight="1">
      <c r="A6827" s="7"/>
      <c r="B6827" s="7" t="str">
        <f>IFERROR(__xludf.DUMMYFUNCTION("""COMPUTED_VALUE"""),"C++;C#;SQL;VBA")</f>
        <v>C++;C#;SQL;VBA</v>
      </c>
      <c r="M6827" s="9" t="s">
        <v>33</v>
      </c>
    </row>
    <row r="6828" ht="15.75" customHeight="1">
      <c r="A6828" s="7"/>
      <c r="B6828" s="7" t="str">
        <f>IFERROR(__xludf.DUMMYFUNCTION("""COMPUTED_VALUE"""),"Bash/Shell/PowerShell;C;C#;HTML/CSS;Java;JavaScript;PHP;Python;SQL")</f>
        <v>Bash/Shell/PowerShell;C;C#;HTML/CSS;Java;JavaScript;PHP;Python;SQL</v>
      </c>
      <c r="M6828" s="9" t="s">
        <v>30</v>
      </c>
    </row>
    <row r="6829" ht="15.75" customHeight="1">
      <c r="A6829" s="7"/>
      <c r="B6829" s="7" t="str">
        <f>IFERROR(__xludf.DUMMYFUNCTION("""COMPUTED_VALUE"""),"Bash/Shell/PowerShell;C;C++;C#;HTML/CSS;Java;JavaScript;Python;SQL;TypeScript")</f>
        <v>Bash/Shell/PowerShell;C;C++;C#;HTML/CSS;Java;JavaScript;Python;SQL;TypeScript</v>
      </c>
      <c r="M6829" s="9" t="s">
        <v>47</v>
      </c>
    </row>
    <row r="6830" ht="15.75" customHeight="1">
      <c r="A6830" s="7"/>
      <c r="B6830" s="7" t="str">
        <f>IFERROR(__xludf.DUMMYFUNCTION("""COMPUTED_VALUE"""),"Bash/Shell/PowerShell;HTML/CSS;JavaScript;PHP;SQL")</f>
        <v>Bash/Shell/PowerShell;HTML/CSS;JavaScript;PHP;SQL</v>
      </c>
      <c r="M6830" s="9" t="s">
        <v>24</v>
      </c>
    </row>
    <row r="6831" ht="15.75" customHeight="1">
      <c r="A6831" s="7"/>
      <c r="B6831" s="7" t="str">
        <f>IFERROR(__xludf.DUMMYFUNCTION("""COMPUTED_VALUE"""),"Bash/Shell/PowerShell;Go;HTML/CSS;JavaScript;PHP;SQL")</f>
        <v>Bash/Shell/PowerShell;Go;HTML/CSS;JavaScript;PHP;SQL</v>
      </c>
      <c r="M6831" s="9" t="s">
        <v>21</v>
      </c>
    </row>
    <row r="6832" ht="15.75" customHeight="1">
      <c r="A6832" s="7"/>
      <c r="B6832" s="7" t="str">
        <f>IFERROR(__xludf.DUMMYFUNCTION("""COMPUTED_VALUE"""),"Bash/Shell/PowerShell;C;C++;C#;Elixir;Erlang;Go;HTML/CSS;Java;JavaScript;Kotlin;Objective-C;Python;R;Swift;TypeScript")</f>
        <v>Bash/Shell/PowerShell;C;C++;C#;Elixir;Erlang;Go;HTML/CSS;Java;JavaScript;Kotlin;Objective-C;Python;R;Swift;TypeScript</v>
      </c>
      <c r="M6832" s="9" t="s">
        <v>37</v>
      </c>
    </row>
    <row r="6833" ht="15.75" customHeight="1">
      <c r="A6833" s="7"/>
      <c r="B6833" s="7" t="str">
        <f>IFERROR(__xludf.DUMMYFUNCTION("""COMPUTED_VALUE"""),"JavaScript;Ruby;TypeScript")</f>
        <v>JavaScript;Ruby;TypeScript</v>
      </c>
      <c r="M6833" s="9" t="s">
        <v>27</v>
      </c>
    </row>
    <row r="6834" ht="15.75" customHeight="1">
      <c r="A6834" s="7"/>
      <c r="B6834" s="7" t="str">
        <f>IFERROR(__xludf.DUMMYFUNCTION("""COMPUTED_VALUE"""),"C;C++;C#;HTML/CSS;Java;JavaScript;SQL;TypeScript")</f>
        <v>C;C++;C#;HTML/CSS;Java;JavaScript;SQL;TypeScript</v>
      </c>
      <c r="M6834" s="9" t="s">
        <v>30</v>
      </c>
    </row>
    <row r="6835" ht="15.75" customHeight="1">
      <c r="A6835" s="7"/>
      <c r="B6835" s="7" t="str">
        <f>IFERROR(__xludf.DUMMYFUNCTION("""COMPUTED_VALUE"""),"Bash/Shell/PowerShell;C++;C#;Dart;HTML/CSS;Java;JavaScript;PHP;Python;SQL;TypeScript")</f>
        <v>Bash/Shell/PowerShell;C++;C#;Dart;HTML/CSS;Java;JavaScript;PHP;Python;SQL;TypeScript</v>
      </c>
      <c r="M6835" s="9" t="s">
        <v>24</v>
      </c>
    </row>
    <row r="6836" ht="15.75" customHeight="1">
      <c r="A6836" s="7"/>
      <c r="B6836" s="7" t="str">
        <f>IFERROR(__xludf.DUMMYFUNCTION("""COMPUTED_VALUE"""),"Assembly;Bash/Shell/PowerShell;C;C#;HTML/CSS;Ruby;SQL;TypeScript")</f>
        <v>Assembly;Bash/Shell/PowerShell;C;C#;HTML/CSS;Ruby;SQL;TypeScript</v>
      </c>
      <c r="M6836" s="9" t="s">
        <v>21</v>
      </c>
    </row>
    <row r="6837" ht="15.75" customHeight="1">
      <c r="A6837" s="7"/>
      <c r="B6837" s="7" t="str">
        <f>IFERROR(__xludf.DUMMYFUNCTION("""COMPUTED_VALUE"""),"JavaScript")</f>
        <v>JavaScript</v>
      </c>
      <c r="M6837" s="9" t="s">
        <v>37</v>
      </c>
    </row>
    <row r="6838" ht="15.75" customHeight="1">
      <c r="A6838" s="7"/>
      <c r="B6838" s="7" t="str">
        <f>IFERROR(__xludf.DUMMYFUNCTION("""COMPUTED_VALUE"""),"C#;Java;JavaScript;SQL")</f>
        <v>C#;Java;JavaScript;SQL</v>
      </c>
      <c r="M6838" s="9" t="s">
        <v>27</v>
      </c>
    </row>
    <row r="6839" ht="15.75" customHeight="1">
      <c r="A6839" s="7"/>
      <c r="B6839" s="7" t="str">
        <f>IFERROR(__xludf.DUMMYFUNCTION("""COMPUTED_VALUE"""),"Bash/Shell/PowerShell;HTML/CSS;JavaScript;PHP;SQL")</f>
        <v>Bash/Shell/PowerShell;HTML/CSS;JavaScript;PHP;SQL</v>
      </c>
      <c r="M6839" s="9" t="s">
        <v>35</v>
      </c>
    </row>
    <row r="6840" ht="15.75" customHeight="1">
      <c r="A6840" s="7"/>
      <c r="B6840" s="7" t="str">
        <f>IFERROR(__xludf.DUMMYFUNCTION("""COMPUTED_VALUE"""),"C;C++;C#;HTML/CSS;Java")</f>
        <v>C;C++;C#;HTML/CSS;Java</v>
      </c>
      <c r="M6840" s="9" t="s">
        <v>26</v>
      </c>
    </row>
    <row r="6841" ht="15.75" customHeight="1">
      <c r="A6841" s="7"/>
      <c r="B6841" s="7" t="str">
        <f>IFERROR(__xludf.DUMMYFUNCTION("""COMPUTED_VALUE"""),"HTML/CSS;Java;JavaScript;SQL")</f>
        <v>HTML/CSS;Java;JavaScript;SQL</v>
      </c>
      <c r="M6841" s="9" t="s">
        <v>45</v>
      </c>
    </row>
    <row r="6842" ht="15.75" customHeight="1">
      <c r="A6842" s="7"/>
      <c r="B6842" s="7" t="str">
        <f>IFERROR(__xludf.DUMMYFUNCTION("""COMPUTED_VALUE"""),"C#;HTML/CSS;JavaScript;PHP;SQL")</f>
        <v>C#;HTML/CSS;JavaScript;PHP;SQL</v>
      </c>
      <c r="M6842" s="9" t="s">
        <v>21</v>
      </c>
    </row>
    <row r="6843" ht="15.75" customHeight="1">
      <c r="A6843" s="7"/>
      <c r="B6843" s="7" t="str">
        <f>IFERROR(__xludf.DUMMYFUNCTION("""COMPUTED_VALUE"""),"Assembly;C#;HTML/CSS;JavaScript;SQL")</f>
        <v>Assembly;C#;HTML/CSS;JavaScript;SQL</v>
      </c>
      <c r="M6843" s="9" t="s">
        <v>33</v>
      </c>
    </row>
    <row r="6844" ht="15.75" customHeight="1">
      <c r="A6844" s="7"/>
      <c r="B6844" s="7" t="str">
        <f>IFERROR(__xludf.DUMMYFUNCTION("""COMPUTED_VALUE"""),"Bash/Shell/PowerShell;C++;C#;HTML/CSS;Java;JavaScript;PHP;SQL;VBA")</f>
        <v>Bash/Shell/PowerShell;C++;C#;HTML/CSS;Java;JavaScript;PHP;SQL;VBA</v>
      </c>
      <c r="M6844" s="9" t="s">
        <v>26</v>
      </c>
    </row>
    <row r="6845" ht="15.75" customHeight="1">
      <c r="A6845" s="7"/>
      <c r="B6845" s="7" t="str">
        <f>IFERROR(__xludf.DUMMYFUNCTION("""COMPUTED_VALUE"""),"C#")</f>
        <v>C#</v>
      </c>
      <c r="M6845" s="9" t="s">
        <v>24</v>
      </c>
    </row>
    <row r="6846" ht="15.75" customHeight="1">
      <c r="A6846" s="7"/>
      <c r="B6846" s="7" t="str">
        <f>IFERROR(__xludf.DUMMYFUNCTION("""COMPUTED_VALUE"""),"Bash/Shell/PowerShell;HTML/CSS;JavaScript;PHP;SQL")</f>
        <v>Bash/Shell/PowerShell;HTML/CSS;JavaScript;PHP;SQL</v>
      </c>
      <c r="M6846" s="9" t="s">
        <v>21</v>
      </c>
    </row>
    <row r="6847" ht="15.75" customHeight="1">
      <c r="A6847" s="7"/>
      <c r="B6847" s="7" t="str">
        <f>IFERROR(__xludf.DUMMYFUNCTION("""COMPUTED_VALUE"""),"Java;Kotlin")</f>
        <v>Java;Kotlin</v>
      </c>
      <c r="M6847" s="9" t="s">
        <v>27</v>
      </c>
    </row>
    <row r="6848" ht="15.75" customHeight="1">
      <c r="A6848" s="7"/>
      <c r="B6848" s="7" t="str">
        <f>IFERROR(__xludf.DUMMYFUNCTION("""COMPUTED_VALUE"""),"Go;HTML/CSS;Java;JavaScript;PHP;Python;Scala;SQL;TypeScript")</f>
        <v>Go;HTML/CSS;Java;JavaScript;PHP;Python;Scala;SQL;TypeScript</v>
      </c>
      <c r="M6848" s="9" t="s">
        <v>22</v>
      </c>
    </row>
    <row r="6849" ht="15.75" customHeight="1">
      <c r="A6849" s="7"/>
      <c r="B6849" s="7" t="str">
        <f>IFERROR(__xludf.DUMMYFUNCTION("""COMPUTED_VALUE"""),"Bash/Shell/PowerShell;JavaScript;Python;Scala;SQL")</f>
        <v>Bash/Shell/PowerShell;JavaScript;Python;Scala;SQL</v>
      </c>
      <c r="M6849" s="9" t="s">
        <v>29</v>
      </c>
    </row>
    <row r="6850" ht="15.75" customHeight="1">
      <c r="A6850" s="7"/>
      <c r="B6850" s="7" t="str">
        <f>IFERROR(__xludf.DUMMYFUNCTION("""COMPUTED_VALUE"""),"C#;HTML/CSS;Java;JavaScript;Objective-C;SQL;TypeScript")</f>
        <v>C#;HTML/CSS;Java;JavaScript;Objective-C;SQL;TypeScript</v>
      </c>
      <c r="M6850" s="9" t="s">
        <v>30</v>
      </c>
    </row>
    <row r="6851" ht="15.75" customHeight="1">
      <c r="A6851" s="7"/>
      <c r="B6851" s="7" t="str">
        <f>IFERROR(__xludf.DUMMYFUNCTION("""COMPUTED_VALUE"""),"Bash/Shell/PowerShell;C;C#;HTML/CSS;Java;JavaScript;Python;SQL;TypeScript")</f>
        <v>Bash/Shell/PowerShell;C;C#;HTML/CSS;Java;JavaScript;Python;SQL;TypeScript</v>
      </c>
      <c r="M6851" s="9" t="s">
        <v>24</v>
      </c>
    </row>
    <row r="6852" ht="15.75" customHeight="1">
      <c r="A6852" s="7"/>
      <c r="B6852" s="7" t="str">
        <f>IFERROR(__xludf.DUMMYFUNCTION("""COMPUTED_VALUE"""),"Bash/Shell/PowerShell;C;C++;C#;HTML/CSS;Java;JavaScript;PHP;Python;SQL")</f>
        <v>Bash/Shell/PowerShell;C;C++;C#;HTML/CSS;Java;JavaScript;PHP;Python;SQL</v>
      </c>
      <c r="M6852" s="9" t="s">
        <v>21</v>
      </c>
    </row>
    <row r="6853" ht="15.75" customHeight="1">
      <c r="A6853" s="7"/>
      <c r="B6853" s="7" t="str">
        <f>IFERROR(__xludf.DUMMYFUNCTION("""COMPUTED_VALUE"""),"Dart;HTML/CSS;JavaScript;Python;Ruby;SQL;TypeScript")</f>
        <v>Dart;HTML/CSS;JavaScript;Python;Ruby;SQL;TypeScript</v>
      </c>
      <c r="M6853" s="9" t="s">
        <v>37</v>
      </c>
    </row>
    <row r="6854" ht="15.75" customHeight="1">
      <c r="A6854" s="7"/>
      <c r="B6854" s="7" t="str">
        <f>IFERROR(__xludf.DUMMYFUNCTION("""COMPUTED_VALUE"""),"HTML/CSS;JavaScript")</f>
        <v>HTML/CSS;JavaScript</v>
      </c>
      <c r="M6854" s="9" t="s">
        <v>22</v>
      </c>
    </row>
    <row r="6855" ht="15.75" customHeight="1">
      <c r="A6855" s="7"/>
      <c r="B6855" s="7" t="str">
        <f>IFERROR(__xludf.DUMMYFUNCTION("""COMPUTED_VALUE"""),"Bash/Shell/PowerShell;C#;HTML/CSS;JavaScript;PHP;Python;Scala;SQL")</f>
        <v>Bash/Shell/PowerShell;C#;HTML/CSS;JavaScript;PHP;Python;Scala;SQL</v>
      </c>
      <c r="M6855" s="9" t="s">
        <v>27</v>
      </c>
    </row>
    <row r="6856" ht="15.75" customHeight="1">
      <c r="A6856" s="7"/>
      <c r="B6856" s="7" t="str">
        <f>IFERROR(__xludf.DUMMYFUNCTION("""COMPUTED_VALUE"""),"C++;HTML/CSS;Java;JavaScript;Python;TypeScript")</f>
        <v>C++;HTML/CSS;Java;JavaScript;Python;TypeScript</v>
      </c>
      <c r="M6856" s="9" t="s">
        <v>30</v>
      </c>
    </row>
    <row r="6857" ht="15.75" customHeight="1">
      <c r="A6857" s="7"/>
      <c r="B6857" s="7" t="str">
        <f>IFERROR(__xludf.DUMMYFUNCTION("""COMPUTED_VALUE"""),"C#;HTML/CSS;JavaScript;SQL")</f>
        <v>C#;HTML/CSS;JavaScript;SQL</v>
      </c>
      <c r="M6857" s="9" t="s">
        <v>24</v>
      </c>
    </row>
    <row r="6858" ht="15.75" customHeight="1">
      <c r="A6858" s="7"/>
      <c r="B6858" s="7" t="str">
        <f>IFERROR(__xludf.DUMMYFUNCTION("""COMPUTED_VALUE"""),"Assembly;Bash/Shell/PowerShell;C++;HTML/CSS;Java;JavaScript;Python;Other(s):")</f>
        <v>Assembly;Bash/Shell/PowerShell;C++;HTML/CSS;Java;JavaScript;Python;Other(s):</v>
      </c>
      <c r="M6858" s="9" t="s">
        <v>20</v>
      </c>
    </row>
    <row r="6859" ht="15.75" customHeight="1">
      <c r="A6859" s="7"/>
      <c r="B6859" s="7" t="str">
        <f>IFERROR(__xludf.DUMMYFUNCTION("""COMPUTED_VALUE"""),"Bash/Shell/PowerShell;C#;HTML/CSS;JavaScript;PHP;SQL;TypeScript;VBA")</f>
        <v>Bash/Shell/PowerShell;C#;HTML/CSS;JavaScript;PHP;SQL;TypeScript;VBA</v>
      </c>
      <c r="M6859" s="9" t="s">
        <v>21</v>
      </c>
    </row>
    <row r="6860" ht="15.75" customHeight="1">
      <c r="A6860" s="7"/>
      <c r="B6860" s="7" t="str">
        <f>IFERROR(__xludf.DUMMYFUNCTION("""COMPUTED_VALUE"""),"Assembly;Bash/Shell/PowerShell;C;Python")</f>
        <v>Assembly;Bash/Shell/PowerShell;C;Python</v>
      </c>
      <c r="M6860" s="9" t="s">
        <v>27</v>
      </c>
    </row>
    <row r="6861" ht="15.75" customHeight="1">
      <c r="A6861" s="7"/>
      <c r="B6861" s="7" t="str">
        <f>IFERROR(__xludf.DUMMYFUNCTION("""COMPUTED_VALUE"""),"Bash/Shell/PowerShell;C;C#;HTML/CSS;Java;JavaScript;Python;R;SQL")</f>
        <v>Bash/Shell/PowerShell;C;C#;HTML/CSS;Java;JavaScript;Python;R;SQL</v>
      </c>
      <c r="M6861" s="9" t="s">
        <v>24</v>
      </c>
    </row>
    <row r="6862" ht="15.75" customHeight="1">
      <c r="A6862" s="7"/>
      <c r="B6862" s="7" t="str">
        <f>IFERROR(__xludf.DUMMYFUNCTION("""COMPUTED_VALUE"""),"Bash/Shell/PowerShell;C;HTML/CSS;Java;JavaScript;PHP;Python")</f>
        <v>Bash/Shell/PowerShell;C;HTML/CSS;Java;JavaScript;PHP;Python</v>
      </c>
      <c r="M6862" s="9" t="s">
        <v>20</v>
      </c>
    </row>
    <row r="6863" ht="15.75" customHeight="1">
      <c r="A6863" s="7"/>
      <c r="B6863" s="7" t="str">
        <f>IFERROR(__xludf.DUMMYFUNCTION("""COMPUTED_VALUE"""),"C++;Java;JavaScript;Kotlin;Objective-C;Python;Swift")</f>
        <v>C++;Java;JavaScript;Kotlin;Objective-C;Python;Swift</v>
      </c>
      <c r="M6863" s="9" t="s">
        <v>21</v>
      </c>
    </row>
    <row r="6864" ht="15.75" customHeight="1">
      <c r="A6864" s="7"/>
      <c r="B6864" s="7" t="str">
        <f>IFERROR(__xludf.DUMMYFUNCTION("""COMPUTED_VALUE"""),"Python;SQL")</f>
        <v>Python;SQL</v>
      </c>
      <c r="M6864" s="9" t="s">
        <v>30</v>
      </c>
    </row>
    <row r="6865" ht="15.75" customHeight="1">
      <c r="A6865" s="7"/>
      <c r="B6865" s="7" t="str">
        <f>IFERROR(__xludf.DUMMYFUNCTION("""COMPUTED_VALUE"""),"Bash/Shell/PowerShell;HTML/CSS;Java;JavaScript;PHP")</f>
        <v>Bash/Shell/PowerShell;HTML/CSS;Java;JavaScript;PHP</v>
      </c>
      <c r="M6865" s="9" t="s">
        <v>39</v>
      </c>
    </row>
    <row r="6866" ht="15.75" customHeight="1">
      <c r="A6866" s="7"/>
      <c r="B6866" s="7" t="str">
        <f>IFERROR(__xludf.DUMMYFUNCTION("""COMPUTED_VALUE"""),"Bash/Shell/PowerShell;Go;HTML/CSS")</f>
        <v>Bash/Shell/PowerShell;Go;HTML/CSS</v>
      </c>
      <c r="M6866" s="9" t="s">
        <v>41</v>
      </c>
    </row>
    <row r="6867" ht="15.75" customHeight="1">
      <c r="A6867" s="7"/>
      <c r="B6867" s="7" t="str">
        <f>IFERROR(__xludf.DUMMYFUNCTION("""COMPUTED_VALUE"""),"HTML/CSS;JavaScript")</f>
        <v>HTML/CSS;JavaScript</v>
      </c>
      <c r="M6867" s="9" t="s">
        <v>40</v>
      </c>
    </row>
    <row r="6868" ht="15.75" customHeight="1">
      <c r="A6868" s="7"/>
      <c r="B6868" s="7" t="str">
        <f>IFERROR(__xludf.DUMMYFUNCTION("""COMPUTED_VALUE"""),"C#;HTML/CSS;JavaScript;SQL;VBA")</f>
        <v>C#;HTML/CSS;JavaScript;SQL;VBA</v>
      </c>
      <c r="M6868" s="9" t="s">
        <v>25</v>
      </c>
    </row>
    <row r="6869" ht="15.75" customHeight="1">
      <c r="A6869" s="7"/>
      <c r="B6869" s="7" t="str">
        <f>IFERROR(__xludf.DUMMYFUNCTION("""COMPUTED_VALUE"""),"C#;HTML/CSS;JavaScript;PHP;Python;Ruby;SQL;TypeScript;VBA")</f>
        <v>C#;HTML/CSS;JavaScript;PHP;Python;Ruby;SQL;TypeScript;VBA</v>
      </c>
      <c r="M6869" s="9" t="s">
        <v>26</v>
      </c>
    </row>
    <row r="6870" ht="15.75" customHeight="1">
      <c r="A6870" s="7"/>
      <c r="B6870" s="7" t="str">
        <f>IFERROR(__xludf.DUMMYFUNCTION("""COMPUTED_VALUE"""),"HTML/CSS;JavaScript;PHP;SQL")</f>
        <v>HTML/CSS;JavaScript;PHP;SQL</v>
      </c>
      <c r="M6870" s="9" t="s">
        <v>24</v>
      </c>
    </row>
    <row r="6871" ht="15.75" customHeight="1">
      <c r="A6871" s="7"/>
      <c r="B6871" s="7" t="str">
        <f>IFERROR(__xludf.DUMMYFUNCTION("""COMPUTED_VALUE"""),"HTML/CSS;JavaScript")</f>
        <v>HTML/CSS;JavaScript</v>
      </c>
      <c r="M6871" s="9" t="s">
        <v>20</v>
      </c>
    </row>
    <row r="6872" ht="15.75" customHeight="1">
      <c r="A6872" s="7"/>
      <c r="B6872" s="7" t="str">
        <f>IFERROR(__xludf.DUMMYFUNCTION("""COMPUTED_VALUE"""),"HTML/CSS;JavaScript;Kotlin;PHP;Python;SQL")</f>
        <v>HTML/CSS;JavaScript;Kotlin;PHP;Python;SQL</v>
      </c>
      <c r="M6872" s="9" t="s">
        <v>21</v>
      </c>
    </row>
    <row r="6873" ht="15.75" customHeight="1">
      <c r="A6873" s="7"/>
      <c r="B6873" s="7" t="str">
        <f>IFERROR(__xludf.DUMMYFUNCTION("""COMPUTED_VALUE"""),"C#;HTML/CSS;JavaScript")</f>
        <v>C#;HTML/CSS;JavaScript</v>
      </c>
      <c r="M6873" s="9" t="s">
        <v>37</v>
      </c>
    </row>
    <row r="6874" ht="15.75" customHeight="1">
      <c r="A6874" s="7"/>
      <c r="B6874" s="7" t="str">
        <f>IFERROR(__xludf.DUMMYFUNCTION("""COMPUTED_VALUE"""),"HTML/CSS;JavaScript;PHP;Rust;SQL")</f>
        <v>HTML/CSS;JavaScript;PHP;Rust;SQL</v>
      </c>
      <c r="M6874" s="9" t="s">
        <v>22</v>
      </c>
    </row>
    <row r="6875" ht="15.75" customHeight="1">
      <c r="A6875" s="7"/>
      <c r="B6875" s="7" t="str">
        <f>IFERROR(__xludf.DUMMYFUNCTION("""COMPUTED_VALUE"""),"Assembly;Bash/Shell/PowerShell;C++;C#")</f>
        <v>Assembly;Bash/Shell/PowerShell;C++;C#</v>
      </c>
      <c r="M6875" s="9" t="s">
        <v>27</v>
      </c>
    </row>
    <row r="6876" ht="15.75" customHeight="1">
      <c r="A6876" s="7"/>
      <c r="B6876" s="7" t="str">
        <f>IFERROR(__xludf.DUMMYFUNCTION("""COMPUTED_VALUE"""),"C;C++;C#;HTML/CSS;Java;JavaScript;PHP;Python;SQL;Swift")</f>
        <v>C;C++;C#;HTML/CSS;Java;JavaScript;PHP;Python;SQL;Swift</v>
      </c>
      <c r="M6876" s="9" t="s">
        <v>28</v>
      </c>
    </row>
    <row r="6877" ht="15.75" customHeight="1">
      <c r="A6877" s="7"/>
      <c r="B6877" s="7" t="str">
        <f>IFERROR(__xludf.DUMMYFUNCTION("""COMPUTED_VALUE"""),"Bash/Shell/PowerShell;C#;HTML/CSS;JavaScript;SQL;TypeScript")</f>
        <v>Bash/Shell/PowerShell;C#;HTML/CSS;JavaScript;SQL;TypeScript</v>
      </c>
      <c r="M6877" s="9" t="s">
        <v>26</v>
      </c>
    </row>
    <row r="6878" ht="15.75" customHeight="1">
      <c r="A6878" s="7"/>
      <c r="B6878" s="7" t="str">
        <f>IFERROR(__xludf.DUMMYFUNCTION("""COMPUTED_VALUE"""),"Bash/Shell/PowerShell;HTML/CSS;Java;JavaScript;SQL")</f>
        <v>Bash/Shell/PowerShell;HTML/CSS;Java;JavaScript;SQL</v>
      </c>
      <c r="M6878" s="9" t="s">
        <v>24</v>
      </c>
    </row>
    <row r="6879" ht="15.75" customHeight="1">
      <c r="A6879" s="7"/>
      <c r="B6879" s="7" t="str">
        <f>IFERROR(__xludf.DUMMYFUNCTION("""COMPUTED_VALUE"""),"Bash/Shell/PowerShell;Go;HTML/CSS;Java;JavaScript;PHP;SQL")</f>
        <v>Bash/Shell/PowerShell;Go;HTML/CSS;Java;JavaScript;PHP;SQL</v>
      </c>
      <c r="M6879" s="9" t="s">
        <v>21</v>
      </c>
    </row>
    <row r="6880" ht="15.75" customHeight="1">
      <c r="A6880" s="7"/>
      <c r="B6880" s="7" t="str">
        <f>IFERROR(__xludf.DUMMYFUNCTION("""COMPUTED_VALUE"""),"Bash/Shell/PowerShell;C++;C#;HTML/CSS;Java;JavaScript;Kotlin;Python;SQL")</f>
        <v>Bash/Shell/PowerShell;C++;C#;HTML/CSS;Java;JavaScript;Kotlin;Python;SQL</v>
      </c>
      <c r="M6880" s="9" t="s">
        <v>37</v>
      </c>
    </row>
    <row r="6881" ht="15.75" customHeight="1">
      <c r="A6881" s="7"/>
      <c r="B6881" s="7" t="str">
        <f>IFERROR(__xludf.DUMMYFUNCTION("""COMPUTED_VALUE"""),"Bash/Shell/PowerShell;HTML/CSS;JavaScript;Python;R;Ruby;SQL")</f>
        <v>Bash/Shell/PowerShell;HTML/CSS;JavaScript;Python;R;Ruby;SQL</v>
      </c>
      <c r="M6881" s="9" t="s">
        <v>27</v>
      </c>
    </row>
    <row r="6882" ht="15.75" customHeight="1">
      <c r="A6882" s="7"/>
      <c r="B6882" s="7" t="str">
        <f>IFERROR(__xludf.DUMMYFUNCTION("""COMPUTED_VALUE"""),"C#;HTML/CSS;JavaScript;SQL;TypeScript")</f>
        <v>C#;HTML/CSS;JavaScript;SQL;TypeScript</v>
      </c>
      <c r="M6882" s="9" t="s">
        <v>33</v>
      </c>
    </row>
    <row r="6883" ht="15.75" customHeight="1">
      <c r="A6883" s="7"/>
      <c r="B6883" s="7" t="str">
        <f>IFERROR(__xludf.DUMMYFUNCTION("""COMPUTED_VALUE"""),"Assembly;Bash/Shell/PowerShell;C;C++;Java;JavaScript;Python;SQL")</f>
        <v>Assembly;Bash/Shell/PowerShell;C;C++;Java;JavaScript;Python;SQL</v>
      </c>
      <c r="M6883" s="9" t="s">
        <v>24</v>
      </c>
    </row>
    <row r="6884" ht="15.75" customHeight="1">
      <c r="A6884" s="7"/>
      <c r="B6884" s="7" t="str">
        <f>IFERROR(__xludf.DUMMYFUNCTION("""COMPUTED_VALUE"""),"HTML/CSS;JavaScript;PHP;Ruby")</f>
        <v>HTML/CSS;JavaScript;PHP;Ruby</v>
      </c>
      <c r="M6884" s="9" t="s">
        <v>22</v>
      </c>
    </row>
    <row r="6885" ht="15.75" customHeight="1">
      <c r="A6885" s="7"/>
      <c r="B6885" s="7" t="str">
        <f>IFERROR(__xludf.DUMMYFUNCTION("""COMPUTED_VALUE"""),"Python")</f>
        <v>Python</v>
      </c>
      <c r="M6885" s="9" t="s">
        <v>27</v>
      </c>
    </row>
    <row r="6886" ht="15.75" customHeight="1">
      <c r="A6886" s="7"/>
      <c r="B6886" s="7" t="str">
        <f>IFERROR(__xludf.DUMMYFUNCTION("""COMPUTED_VALUE"""),"Bash/Shell/PowerShell;HTML/CSS;JavaScript;Ruby;SQL")</f>
        <v>Bash/Shell/PowerShell;HTML/CSS;JavaScript;Ruby;SQL</v>
      </c>
      <c r="M6886" s="9" t="s">
        <v>33</v>
      </c>
    </row>
    <row r="6887" ht="15.75" customHeight="1">
      <c r="A6887" s="7"/>
      <c r="B6887" s="7" t="str">
        <f>IFERROR(__xludf.DUMMYFUNCTION("""COMPUTED_VALUE"""),"C#")</f>
        <v>C#</v>
      </c>
      <c r="M6887" s="9" t="s">
        <v>35</v>
      </c>
    </row>
    <row r="6888" ht="15.75" customHeight="1">
      <c r="A6888" s="7"/>
      <c r="B6888" s="7" t="str">
        <f>IFERROR(__xludf.DUMMYFUNCTION("""COMPUTED_VALUE"""),"Bash/Shell/PowerShell;HTML/CSS;JavaScript;PHP;SQL")</f>
        <v>Bash/Shell/PowerShell;HTML/CSS;JavaScript;PHP;SQL</v>
      </c>
      <c r="M6888" s="9" t="s">
        <v>26</v>
      </c>
    </row>
    <row r="6889" ht="15.75" customHeight="1">
      <c r="A6889" s="7"/>
      <c r="B6889" s="7" t="str">
        <f>IFERROR(__xludf.DUMMYFUNCTION("""COMPUTED_VALUE"""),"Bash/Shell/PowerShell;HTML/CSS;Java;JavaScript;PHP;SQL")</f>
        <v>Bash/Shell/PowerShell;HTML/CSS;Java;JavaScript;PHP;SQL</v>
      </c>
      <c r="M6889" s="9" t="s">
        <v>21</v>
      </c>
    </row>
    <row r="6890" ht="15.75" customHeight="1">
      <c r="A6890" s="7"/>
      <c r="B6890" s="7" t="str">
        <f>IFERROR(__xludf.DUMMYFUNCTION("""COMPUTED_VALUE"""),"Bash/Shell/PowerShell;HTML/CSS;JavaScript;Python")</f>
        <v>Bash/Shell/PowerShell;HTML/CSS;JavaScript;Python</v>
      </c>
      <c r="M6890" s="9" t="s">
        <v>27</v>
      </c>
    </row>
    <row r="6891" ht="15.75" customHeight="1">
      <c r="A6891" s="7"/>
      <c r="B6891" s="7" t="str">
        <f>IFERROR(__xludf.DUMMYFUNCTION("""COMPUTED_VALUE"""),"C;C++;Go;HTML/CSS;JavaScript;PHP;SQL")</f>
        <v>C;C++;Go;HTML/CSS;JavaScript;PHP;SQL</v>
      </c>
      <c r="M6891" s="9" t="s">
        <v>35</v>
      </c>
    </row>
    <row r="6892" ht="15.75" customHeight="1">
      <c r="A6892" s="7"/>
      <c r="B6892" s="7" t="str">
        <f>IFERROR(__xludf.DUMMYFUNCTION("""COMPUTED_VALUE"""),"Bash/Shell/PowerShell;HTML/CSS;Java;JavaScript;Kotlin;Python;R;TypeScript")</f>
        <v>Bash/Shell/PowerShell;HTML/CSS;Java;JavaScript;Kotlin;Python;R;TypeScript</v>
      </c>
      <c r="M6892" s="9" t="s">
        <v>26</v>
      </c>
    </row>
    <row r="6893" ht="15.75" customHeight="1">
      <c r="A6893" s="7"/>
      <c r="B6893" s="7" t="str">
        <f>IFERROR(__xludf.DUMMYFUNCTION("""COMPUTED_VALUE"""),"Python;R")</f>
        <v>Python;R</v>
      </c>
      <c r="M6893" s="9" t="s">
        <v>24</v>
      </c>
    </row>
    <row r="6894" ht="15.75" customHeight="1">
      <c r="A6894" s="7"/>
      <c r="B6894" s="7" t="str">
        <f>IFERROR(__xludf.DUMMYFUNCTION("""COMPUTED_VALUE"""),"Bash/Shell/PowerShell;HTML/CSS;Java;PHP;SQL")</f>
        <v>Bash/Shell/PowerShell;HTML/CSS;Java;PHP;SQL</v>
      </c>
      <c r="M6894" s="9" t="s">
        <v>20</v>
      </c>
    </row>
    <row r="6895" ht="15.75" customHeight="1">
      <c r="A6895" s="7"/>
      <c r="B6895" s="7" t="str">
        <f>IFERROR(__xludf.DUMMYFUNCTION("""COMPUTED_VALUE"""),"C#;Python")</f>
        <v>C#;Python</v>
      </c>
      <c r="M6895" s="9" t="s">
        <v>21</v>
      </c>
    </row>
    <row r="6896" ht="15.75" customHeight="1">
      <c r="A6896" s="7"/>
      <c r="B6896" s="7" t="str">
        <f>IFERROR(__xludf.DUMMYFUNCTION("""COMPUTED_VALUE"""),"HTML/CSS;Java;JavaScript;SQL;TypeScript")</f>
        <v>HTML/CSS;Java;JavaScript;SQL;TypeScript</v>
      </c>
      <c r="M6896" s="9" t="s">
        <v>30</v>
      </c>
    </row>
    <row r="6897" ht="15.75" customHeight="1">
      <c r="A6897" s="7"/>
      <c r="B6897" s="7" t="str">
        <f>IFERROR(__xludf.DUMMYFUNCTION("""COMPUTED_VALUE"""),"Bash/Shell/PowerShell;C#;HTML/CSS;JavaScript;SQL;TypeScript")</f>
        <v>Bash/Shell/PowerShell;C#;HTML/CSS;JavaScript;SQL;TypeScript</v>
      </c>
      <c r="M6897" s="9" t="s">
        <v>26</v>
      </c>
    </row>
    <row r="6898" ht="15.75" customHeight="1">
      <c r="A6898" s="7"/>
      <c r="B6898" s="7" t="str">
        <f>IFERROR(__xludf.DUMMYFUNCTION("""COMPUTED_VALUE"""),"Bash/Shell/PowerShell;C++;HTML/CSS;JavaScript;Python;SQL")</f>
        <v>Bash/Shell/PowerShell;C++;HTML/CSS;JavaScript;Python;SQL</v>
      </c>
      <c r="M6898" s="9" t="s">
        <v>24</v>
      </c>
    </row>
    <row r="6899" ht="15.75" customHeight="1">
      <c r="A6899" s="7"/>
      <c r="B6899" s="7" t="str">
        <f>IFERROR(__xludf.DUMMYFUNCTION("""COMPUTED_VALUE"""),"C#;Python")</f>
        <v>C#;Python</v>
      </c>
      <c r="M6899" s="9" t="s">
        <v>21</v>
      </c>
    </row>
    <row r="6900" ht="15.75" customHeight="1">
      <c r="A6900" s="7"/>
      <c r="B6900" s="7" t="str">
        <f>IFERROR(__xludf.DUMMYFUNCTION("""COMPUTED_VALUE"""),"Java;JavaScript;TypeScript")</f>
        <v>Java;JavaScript;TypeScript</v>
      </c>
      <c r="M6900" s="9" t="s">
        <v>37</v>
      </c>
    </row>
    <row r="6901" ht="15.75" customHeight="1">
      <c r="A6901" s="7"/>
      <c r="B6901" s="7" t="str">
        <f>IFERROR(__xludf.DUMMYFUNCTION("""COMPUTED_VALUE"""),"Other(s):")</f>
        <v>Other(s):</v>
      </c>
      <c r="M6901" s="9" t="s">
        <v>27</v>
      </c>
    </row>
    <row r="6902" ht="15.75" customHeight="1">
      <c r="A6902" s="7"/>
      <c r="B6902" s="7" t="str">
        <f>IFERROR(__xludf.DUMMYFUNCTION("""COMPUTED_VALUE"""),"C#;HTML/CSS;SQL;TypeScript")</f>
        <v>C#;HTML/CSS;SQL;TypeScript</v>
      </c>
      <c r="M6902" s="9" t="s">
        <v>24</v>
      </c>
    </row>
    <row r="6903" ht="15.75" customHeight="1">
      <c r="A6903" s="7"/>
      <c r="B6903" s="7" t="str">
        <f>IFERROR(__xludf.DUMMYFUNCTION("""COMPUTED_VALUE"""),"Bash/Shell/PowerShell;C#;JavaScript;Python;SQL")</f>
        <v>Bash/Shell/PowerShell;C#;JavaScript;Python;SQL</v>
      </c>
      <c r="M6903" s="9" t="s">
        <v>20</v>
      </c>
    </row>
    <row r="6904" ht="15.75" customHeight="1">
      <c r="A6904" s="7"/>
      <c r="B6904" s="7" t="str">
        <f>IFERROR(__xludf.DUMMYFUNCTION("""COMPUTED_VALUE"""),"Bash/Shell/PowerShell;C#;HTML/CSS;JavaScript;PHP;SQL")</f>
        <v>Bash/Shell/PowerShell;C#;HTML/CSS;JavaScript;PHP;SQL</v>
      </c>
      <c r="M6904" s="9" t="s">
        <v>21</v>
      </c>
    </row>
    <row r="6905" ht="15.75" customHeight="1">
      <c r="A6905" s="7"/>
      <c r="B6905" s="7" t="str">
        <f>IFERROR(__xludf.DUMMYFUNCTION("""COMPUTED_VALUE"""),"C#;HTML/CSS;JavaScript;SQL")</f>
        <v>C#;HTML/CSS;JavaScript;SQL</v>
      </c>
      <c r="M6905" s="9" t="s">
        <v>37</v>
      </c>
    </row>
    <row r="6906" ht="15.75" customHeight="1">
      <c r="A6906" s="7"/>
      <c r="B6906" s="7" t="str">
        <f>IFERROR(__xludf.DUMMYFUNCTION("""COMPUTED_VALUE"""),"C#;Java;Kotlin;Python;SQL")</f>
        <v>C#;Java;Kotlin;Python;SQL</v>
      </c>
      <c r="M6906" s="9" t="s">
        <v>27</v>
      </c>
    </row>
    <row r="6907" ht="15.75" customHeight="1">
      <c r="A6907" s="7"/>
      <c r="B6907" s="7" t="str">
        <f>IFERROR(__xludf.DUMMYFUNCTION("""COMPUTED_VALUE"""),"Bash/Shell/PowerShell;C++;HTML/CSS;PHP;SQL")</f>
        <v>Bash/Shell/PowerShell;C++;HTML/CSS;PHP;SQL</v>
      </c>
      <c r="M6907" s="9" t="s">
        <v>33</v>
      </c>
    </row>
    <row r="6908" ht="15.75" customHeight="1">
      <c r="A6908" s="7"/>
      <c r="B6908" s="7" t="str">
        <f>IFERROR(__xludf.DUMMYFUNCTION("""COMPUTED_VALUE"""),"C++;HTML/CSS;Java;JavaScript;PHP;SQL")</f>
        <v>C++;HTML/CSS;Java;JavaScript;PHP;SQL</v>
      </c>
      <c r="M6908" s="9" t="s">
        <v>24</v>
      </c>
    </row>
    <row r="6909" ht="15.75" customHeight="1">
      <c r="A6909" s="7"/>
      <c r="B6909" s="7" t="str">
        <f>IFERROR(__xludf.DUMMYFUNCTION("""COMPUTED_VALUE"""),"Ruby")</f>
        <v>Ruby</v>
      </c>
      <c r="M6909" s="9" t="s">
        <v>21</v>
      </c>
    </row>
    <row r="6910" ht="15.75" customHeight="1">
      <c r="A6910" s="7"/>
      <c r="B6910" s="7" t="str">
        <f>IFERROR(__xludf.DUMMYFUNCTION("""COMPUTED_VALUE"""),"Bash/Shell/PowerShell;Dart;Go;JavaScript;Python;Ruby;TypeScript")</f>
        <v>Bash/Shell/PowerShell;Dart;Go;JavaScript;Python;Ruby;TypeScript</v>
      </c>
      <c r="M6910" s="9" t="s">
        <v>27</v>
      </c>
    </row>
    <row r="6911" ht="15.75" customHeight="1">
      <c r="A6911" s="7"/>
      <c r="B6911" s="7" t="str">
        <f>IFERROR(__xludf.DUMMYFUNCTION("""COMPUTED_VALUE"""),"HTML/CSS;JavaScript;PHP;SQL")</f>
        <v>HTML/CSS;JavaScript;PHP;SQL</v>
      </c>
      <c r="M6911" s="9" t="s">
        <v>33</v>
      </c>
    </row>
    <row r="6912" ht="15.75" customHeight="1">
      <c r="A6912" s="7"/>
      <c r="B6912" s="7" t="str">
        <f>IFERROR(__xludf.DUMMYFUNCTION("""COMPUTED_VALUE"""),"HTML/CSS;Java;JavaScript;SQL")</f>
        <v>HTML/CSS;Java;JavaScript;SQL</v>
      </c>
      <c r="M6912" s="9" t="s">
        <v>38</v>
      </c>
    </row>
    <row r="6913" ht="15.75" customHeight="1">
      <c r="A6913" s="7"/>
      <c r="B6913" s="7" t="str">
        <f>IFERROR(__xludf.DUMMYFUNCTION("""COMPUTED_VALUE"""),"HTML/CSS;JavaScript;Other(s):")</f>
        <v>HTML/CSS;JavaScript;Other(s):</v>
      </c>
      <c r="M6913" s="9" t="s">
        <v>25</v>
      </c>
    </row>
    <row r="6914" ht="15.75" customHeight="1">
      <c r="A6914" s="7"/>
      <c r="B6914" s="7" t="str">
        <f>IFERROR(__xludf.DUMMYFUNCTION("""COMPUTED_VALUE"""),"SQL")</f>
        <v>SQL</v>
      </c>
      <c r="M6914" s="9" t="s">
        <v>23</v>
      </c>
    </row>
    <row r="6915" ht="15.75" customHeight="1">
      <c r="A6915" s="7"/>
      <c r="B6915" s="7" t="str">
        <f>IFERROR(__xludf.DUMMYFUNCTION("""COMPUTED_VALUE"""),"Bash/Shell/PowerShell;HTML/CSS;JavaScript;Python;R;Ruby;SQL")</f>
        <v>Bash/Shell/PowerShell;HTML/CSS;JavaScript;Python;R;Ruby;SQL</v>
      </c>
      <c r="M6915" s="9" t="s">
        <v>26</v>
      </c>
    </row>
    <row r="6916" ht="15.75" customHeight="1">
      <c r="A6916" s="7"/>
      <c r="B6916" s="7" t="str">
        <f>IFERROR(__xludf.DUMMYFUNCTION("""COMPUTED_VALUE"""),"Objective-C;Swift")</f>
        <v>Objective-C;Swift</v>
      </c>
      <c r="M6916" s="9" t="s">
        <v>24</v>
      </c>
    </row>
    <row r="6917" ht="15.75" customHeight="1">
      <c r="A6917" s="7"/>
      <c r="B6917" s="7" t="str">
        <f>IFERROR(__xludf.DUMMYFUNCTION("""COMPUTED_VALUE"""),"C++;HTML/CSS;JavaScript;Python")</f>
        <v>C++;HTML/CSS;JavaScript;Python</v>
      </c>
      <c r="M6917" s="9" t="s">
        <v>20</v>
      </c>
    </row>
    <row r="6918" ht="15.75" customHeight="1">
      <c r="A6918" s="7"/>
      <c r="B6918" s="7" t="str">
        <f>IFERROR(__xludf.DUMMYFUNCTION("""COMPUTED_VALUE"""),"Bash/Shell/PowerShell;HTML/CSS;JavaScript;PHP;SQL;TypeScript")</f>
        <v>Bash/Shell/PowerShell;HTML/CSS;JavaScript;PHP;SQL;TypeScript</v>
      </c>
      <c r="M6918" s="9" t="s">
        <v>39</v>
      </c>
    </row>
    <row r="6919" ht="15.75" customHeight="1">
      <c r="A6919" s="7"/>
      <c r="B6919" s="7" t="str">
        <f>IFERROR(__xludf.DUMMYFUNCTION("""COMPUTED_VALUE"""),"Bash/Shell/PowerShell;C#;HTML/CSS;JavaScript;SQL;WebAssembly")</f>
        <v>Bash/Shell/PowerShell;C#;HTML/CSS;JavaScript;SQL;WebAssembly</v>
      </c>
      <c r="M6919" s="9" t="s">
        <v>22</v>
      </c>
    </row>
    <row r="6920" ht="15.75" customHeight="1">
      <c r="A6920" s="7"/>
      <c r="B6920" s="7" t="str">
        <f>IFERROR(__xludf.DUMMYFUNCTION("""COMPUTED_VALUE"""),"HTML/CSS;Java;JavaScript;VBA")</f>
        <v>HTML/CSS;Java;JavaScript;VBA</v>
      </c>
      <c r="M6920" s="9" t="s">
        <v>31</v>
      </c>
    </row>
    <row r="6921" ht="15.75" customHeight="1">
      <c r="A6921" s="7"/>
      <c r="B6921" s="7" t="str">
        <f>IFERROR(__xludf.DUMMYFUNCTION("""COMPUTED_VALUE"""),"HTML/CSS;JavaScript;Python")</f>
        <v>HTML/CSS;JavaScript;Python</v>
      </c>
      <c r="M6921" s="9" t="s">
        <v>27</v>
      </c>
    </row>
    <row r="6922" ht="15.75" customHeight="1">
      <c r="A6922" s="7"/>
      <c r="B6922" s="7" t="str">
        <f>IFERROR(__xludf.DUMMYFUNCTION("""COMPUTED_VALUE"""),"Bash/Shell/PowerShell;C#;HTML/CSS;JavaScript;SQL")</f>
        <v>Bash/Shell/PowerShell;C#;HTML/CSS;JavaScript;SQL</v>
      </c>
      <c r="M6922" s="9" t="s">
        <v>40</v>
      </c>
    </row>
    <row r="6923" ht="15.75" customHeight="1">
      <c r="A6923" s="7"/>
      <c r="B6923" s="7" t="str">
        <f>IFERROR(__xludf.DUMMYFUNCTION("""COMPUTED_VALUE"""),"Bash/Shell/PowerShell;HTML/CSS;Java;JavaScript;SQL")</f>
        <v>Bash/Shell/PowerShell;HTML/CSS;Java;JavaScript;SQL</v>
      </c>
      <c r="M6923" s="9" t="s">
        <v>23</v>
      </c>
    </row>
    <row r="6924" ht="15.75" customHeight="1">
      <c r="A6924" s="7"/>
      <c r="B6924" s="7" t="str">
        <f>IFERROR(__xludf.DUMMYFUNCTION("""COMPUTED_VALUE"""),"C;HTML/CSS;Java;JavaScript;SQL")</f>
        <v>C;HTML/CSS;Java;JavaScript;SQL</v>
      </c>
      <c r="M6924" s="9" t="s">
        <v>22</v>
      </c>
    </row>
    <row r="6925" ht="15.75" customHeight="1">
      <c r="A6925" s="7"/>
      <c r="B6925" s="7" t="str">
        <f>IFERROR(__xludf.DUMMYFUNCTION("""COMPUTED_VALUE"""),"Bash/Shell/PowerShell;C#;Go;HTML/CSS;JavaScript;R;SQL;WebAssembly")</f>
        <v>Bash/Shell/PowerShell;C#;Go;HTML/CSS;JavaScript;R;SQL;WebAssembly</v>
      </c>
      <c r="M6925" s="9" t="s">
        <v>23</v>
      </c>
    </row>
    <row r="6926" ht="15.75" customHeight="1">
      <c r="A6926" s="7"/>
      <c r="B6926" s="7" t="str">
        <f>IFERROR(__xludf.DUMMYFUNCTION("""COMPUTED_VALUE"""),"Java")</f>
        <v>Java</v>
      </c>
      <c r="M6926" s="9" t="s">
        <v>22</v>
      </c>
    </row>
    <row r="6927" ht="15.75" customHeight="1">
      <c r="A6927" s="7"/>
      <c r="B6927" s="7" t="str">
        <f>IFERROR(__xludf.DUMMYFUNCTION("""COMPUTED_VALUE"""),"C#;HTML/CSS;Java;JavaScript;PHP;Python;TypeScript")</f>
        <v>C#;HTML/CSS;Java;JavaScript;PHP;Python;TypeScript</v>
      </c>
      <c r="M6927" s="9" t="s">
        <v>27</v>
      </c>
    </row>
    <row r="6928" ht="15.75" customHeight="1">
      <c r="A6928" s="7"/>
      <c r="B6928" s="7" t="str">
        <f>IFERROR(__xludf.DUMMYFUNCTION("""COMPUTED_VALUE"""),"Bash/Shell/PowerShell;C#;HTML/CSS;Java;JavaScript;PHP;Python;R;Ruby;SQL;VBA")</f>
        <v>Bash/Shell/PowerShell;C#;HTML/CSS;Java;JavaScript;PHP;Python;R;Ruby;SQL;VBA</v>
      </c>
      <c r="M6928" s="9" t="s">
        <v>35</v>
      </c>
    </row>
    <row r="6929" ht="15.75" customHeight="1">
      <c r="A6929" s="7"/>
      <c r="B6929" s="7" t="str">
        <f>IFERROR(__xludf.DUMMYFUNCTION("""COMPUTED_VALUE"""),"Bash/Shell/PowerShell;C;C++;C#;HTML/CSS;JavaScript;TypeScript")</f>
        <v>Bash/Shell/PowerShell;C;C++;C#;HTML/CSS;JavaScript;TypeScript</v>
      </c>
      <c r="M6929" s="9" t="s">
        <v>38</v>
      </c>
    </row>
    <row r="6930" ht="15.75" customHeight="1">
      <c r="A6930" s="7"/>
      <c r="B6930" s="7" t="str">
        <f>IFERROR(__xludf.DUMMYFUNCTION("""COMPUTED_VALUE"""),"C#;HTML/CSS;Java;JavaScript;SQL;VBA")</f>
        <v>C#;HTML/CSS;Java;JavaScript;SQL;VBA</v>
      </c>
      <c r="M6930" s="9" t="s">
        <v>30</v>
      </c>
    </row>
    <row r="6931" ht="15.75" customHeight="1">
      <c r="A6931" s="7"/>
      <c r="B6931" s="7" t="str">
        <f>IFERROR(__xludf.DUMMYFUNCTION("""COMPUTED_VALUE"""),"C#;HTML/CSS;JavaScript;PHP;SQL;TypeScript")</f>
        <v>C#;HTML/CSS;JavaScript;PHP;SQL;TypeScript</v>
      </c>
      <c r="M6931" s="9" t="s">
        <v>25</v>
      </c>
    </row>
    <row r="6932" ht="15.75" customHeight="1">
      <c r="A6932" s="7"/>
      <c r="B6932" s="7" t="str">
        <f>IFERROR(__xludf.DUMMYFUNCTION("""COMPUTED_VALUE"""),"Bash/Shell/PowerShell;HTML/CSS;Java;JavaScript;SQL")</f>
        <v>Bash/Shell/PowerShell;HTML/CSS;Java;JavaScript;SQL</v>
      </c>
      <c r="M6932" s="9" t="s">
        <v>23</v>
      </c>
    </row>
    <row r="6933" ht="15.75" customHeight="1">
      <c r="A6933" s="7"/>
      <c r="B6933" s="7" t="str">
        <f>IFERROR(__xludf.DUMMYFUNCTION("""COMPUTED_VALUE"""),"C;C++;Python")</f>
        <v>C;C++;Python</v>
      </c>
      <c r="M6933" s="9" t="s">
        <v>24</v>
      </c>
    </row>
    <row r="6934" ht="15.75" customHeight="1">
      <c r="A6934" s="7"/>
      <c r="B6934" s="7" t="str">
        <f>IFERROR(__xludf.DUMMYFUNCTION("""COMPUTED_VALUE"""),"Bash/Shell/PowerShell;HTML/CSS;JavaScript;PHP;SQL;TypeScript")</f>
        <v>Bash/Shell/PowerShell;HTML/CSS;JavaScript;PHP;SQL;TypeScript</v>
      </c>
      <c r="M6934" s="9" t="s">
        <v>20</v>
      </c>
    </row>
    <row r="6935" ht="15.75" customHeight="1">
      <c r="A6935" s="7"/>
      <c r="B6935" s="7" t="str">
        <f>IFERROR(__xludf.DUMMYFUNCTION("""COMPUTED_VALUE"""),"HTML/CSS;JavaScript;PHP;SQL")</f>
        <v>HTML/CSS;JavaScript;PHP;SQL</v>
      </c>
      <c r="M6935" s="9" t="s">
        <v>21</v>
      </c>
    </row>
    <row r="6936" ht="15.75" customHeight="1">
      <c r="A6936" s="7"/>
      <c r="B6936" s="7" t="str">
        <f>IFERROR(__xludf.DUMMYFUNCTION("""COMPUTED_VALUE"""),"HTML/CSS;PHP;R;Other(s):")</f>
        <v>HTML/CSS;PHP;R;Other(s):</v>
      </c>
      <c r="M6936" s="9" t="s">
        <v>22</v>
      </c>
    </row>
    <row r="6937" ht="15.75" customHeight="1">
      <c r="A6937" s="7"/>
      <c r="B6937" s="7" t="str">
        <f>IFERROR(__xludf.DUMMYFUNCTION("""COMPUTED_VALUE"""),"Bash/Shell/PowerShell;C;HTML/CSS;JavaScript;PHP;SQL")</f>
        <v>Bash/Shell/PowerShell;C;HTML/CSS;JavaScript;PHP;SQL</v>
      </c>
      <c r="M6937" s="9" t="s">
        <v>31</v>
      </c>
    </row>
    <row r="6938" ht="15.75" customHeight="1">
      <c r="A6938" s="7"/>
      <c r="B6938" s="7" t="str">
        <f>IFERROR(__xludf.DUMMYFUNCTION("""COMPUTED_VALUE"""),"Bash/Shell/PowerShell;Java;Scala;SQL")</f>
        <v>Bash/Shell/PowerShell;Java;Scala;SQL</v>
      </c>
      <c r="M6938" s="9" t="s">
        <v>27</v>
      </c>
    </row>
    <row r="6939" ht="15.75" customHeight="1">
      <c r="A6939" s="7"/>
      <c r="B6939" s="7" t="str">
        <f>IFERROR(__xludf.DUMMYFUNCTION("""COMPUTED_VALUE"""),"C#;SQL")</f>
        <v>C#;SQL</v>
      </c>
      <c r="M6939" s="9" t="s">
        <v>26</v>
      </c>
    </row>
    <row r="6940" ht="15.75" customHeight="1">
      <c r="A6940" s="7"/>
      <c r="B6940" s="7" t="str">
        <f>IFERROR(__xludf.DUMMYFUNCTION("""COMPUTED_VALUE"""),"Python")</f>
        <v>Python</v>
      </c>
      <c r="M6940" s="9" t="s">
        <v>24</v>
      </c>
    </row>
    <row r="6941" ht="15.75" customHeight="1">
      <c r="A6941" s="7"/>
      <c r="B6941" s="7" t="str">
        <f>IFERROR(__xludf.DUMMYFUNCTION("""COMPUTED_VALUE"""),"C;C++;C#;HTML/CSS;JavaScript;PHP;SQL;TypeScript")</f>
        <v>C;C++;C#;HTML/CSS;JavaScript;PHP;SQL;TypeScript</v>
      </c>
      <c r="M6941" s="9" t="s">
        <v>21</v>
      </c>
    </row>
    <row r="6942" ht="15.75" customHeight="1">
      <c r="A6942" s="7"/>
      <c r="B6942" s="7" t="str">
        <f>IFERROR(__xludf.DUMMYFUNCTION("""COMPUTED_VALUE"""),"C#;HTML/CSS;JavaScript;SQL;TypeScript")</f>
        <v>C#;HTML/CSS;JavaScript;SQL;TypeScript</v>
      </c>
      <c r="M6942" s="9" t="s">
        <v>27</v>
      </c>
    </row>
    <row r="6943" ht="15.75" customHeight="1">
      <c r="A6943" s="7"/>
      <c r="B6943" s="7" t="str">
        <f>IFERROR(__xludf.DUMMYFUNCTION("""COMPUTED_VALUE"""),"C++")</f>
        <v>C++</v>
      </c>
      <c r="M6943" s="9" t="s">
        <v>22</v>
      </c>
    </row>
    <row r="6944" ht="15.75" customHeight="1">
      <c r="A6944" s="7"/>
      <c r="B6944" s="7" t="str">
        <f>IFERROR(__xludf.DUMMYFUNCTION("""COMPUTED_VALUE"""),"Bash/Shell/PowerShell;HTML/CSS;Java;JavaScript;Python;SQL")</f>
        <v>Bash/Shell/PowerShell;HTML/CSS;Java;JavaScript;Python;SQL</v>
      </c>
      <c r="M6944" s="9" t="s">
        <v>30</v>
      </c>
    </row>
    <row r="6945" ht="15.75" customHeight="1">
      <c r="A6945" s="7"/>
      <c r="B6945" s="7" t="str">
        <f>IFERROR(__xludf.DUMMYFUNCTION("""COMPUTED_VALUE"""),"HTML/CSS;JavaScript;PHP;SQL")</f>
        <v>HTML/CSS;JavaScript;PHP;SQL</v>
      </c>
      <c r="M6945" s="9" t="s">
        <v>25</v>
      </c>
    </row>
    <row r="6946" ht="15.75" customHeight="1">
      <c r="A6946" s="7"/>
      <c r="B6946" s="7" t="str">
        <f>IFERROR(__xludf.DUMMYFUNCTION("""COMPUTED_VALUE"""),"C;C++;Java;JavaScript;Python")</f>
        <v>C;C++;Java;JavaScript;Python</v>
      </c>
      <c r="M6946" s="9" t="s">
        <v>22</v>
      </c>
    </row>
    <row r="6947" ht="15.75" customHeight="1">
      <c r="A6947" s="7"/>
      <c r="B6947" s="7" t="str">
        <f>IFERROR(__xludf.DUMMYFUNCTION("""COMPUTED_VALUE"""),"HTML/CSS;JavaScript")</f>
        <v>HTML/CSS;JavaScript</v>
      </c>
      <c r="M6947" s="9" t="s">
        <v>30</v>
      </c>
    </row>
    <row r="6948" ht="15.75" customHeight="1">
      <c r="A6948" s="7"/>
      <c r="B6948" s="7" t="str">
        <f>IFERROR(__xludf.DUMMYFUNCTION("""COMPUTED_VALUE"""),"C#;JavaScript;PHP;SQL")</f>
        <v>C#;JavaScript;PHP;SQL</v>
      </c>
      <c r="M6948" s="9" t="s">
        <v>26</v>
      </c>
    </row>
    <row r="6949" ht="15.75" customHeight="1">
      <c r="A6949" s="7"/>
      <c r="B6949" s="7" t="str">
        <f>IFERROR(__xludf.DUMMYFUNCTION("""COMPUTED_VALUE"""),"Bash/Shell/PowerShell;C#;HTML/CSS;JavaScript;SQL;TypeScript;VBA")</f>
        <v>Bash/Shell/PowerShell;C#;HTML/CSS;JavaScript;SQL;TypeScript;VBA</v>
      </c>
      <c r="M6949" s="9" t="s">
        <v>21</v>
      </c>
    </row>
    <row r="6950" ht="15.75" customHeight="1">
      <c r="A6950" s="7"/>
      <c r="B6950" s="7" t="str">
        <f>IFERROR(__xludf.DUMMYFUNCTION("""COMPUTED_VALUE"""),"Bash/Shell/PowerShell;C;C++;Java")</f>
        <v>Bash/Shell/PowerShell;C;C++;Java</v>
      </c>
      <c r="M6950" s="9" t="s">
        <v>32</v>
      </c>
    </row>
    <row r="6951" ht="15.75" customHeight="1">
      <c r="A6951" s="7"/>
      <c r="B6951" s="7" t="str">
        <f>IFERROR(__xludf.DUMMYFUNCTION("""COMPUTED_VALUE"""),"Bash/Shell/PowerShell;Java;JavaScript")</f>
        <v>Bash/Shell/PowerShell;Java;JavaScript</v>
      </c>
      <c r="M6951" s="9" t="s">
        <v>23</v>
      </c>
    </row>
    <row r="6952" ht="15.75" customHeight="1">
      <c r="A6952" s="7"/>
      <c r="B6952" s="7" t="str">
        <f>IFERROR(__xludf.DUMMYFUNCTION("""COMPUTED_VALUE"""),"Bash/Shell/PowerShell;HTML/CSS;JavaScript;PHP")</f>
        <v>Bash/Shell/PowerShell;HTML/CSS;JavaScript;PHP</v>
      </c>
      <c r="M6952" s="9" t="s">
        <v>20</v>
      </c>
    </row>
    <row r="6953" ht="15.75" customHeight="1">
      <c r="A6953" s="7"/>
      <c r="B6953" s="7" t="str">
        <f>IFERROR(__xludf.DUMMYFUNCTION("""COMPUTED_VALUE"""),"Bash/Shell/PowerShell;C#;HTML/CSS;JavaScript;PHP;SQL")</f>
        <v>Bash/Shell/PowerShell;C#;HTML/CSS;JavaScript;PHP;SQL</v>
      </c>
      <c r="M6953" s="9" t="s">
        <v>39</v>
      </c>
    </row>
    <row r="6954" ht="15.75" customHeight="1">
      <c r="A6954" s="7"/>
      <c r="B6954" s="7" t="str">
        <f>IFERROR(__xludf.DUMMYFUNCTION("""COMPUTED_VALUE"""),"C#;HTML/CSS;JavaScript;Python")</f>
        <v>C#;HTML/CSS;JavaScript;Python</v>
      </c>
      <c r="M6954" s="9" t="s">
        <v>41</v>
      </c>
    </row>
    <row r="6955" ht="15.75" customHeight="1">
      <c r="A6955" s="7"/>
      <c r="B6955" s="7" t="str">
        <f>IFERROR(__xludf.DUMMYFUNCTION("""COMPUTED_VALUE"""),"Bash/Shell/PowerShell;C#;HTML/CSS;JavaScript;SQL;TypeScript;WebAssembly")</f>
        <v>Bash/Shell/PowerShell;C#;HTML/CSS;JavaScript;SQL;TypeScript;WebAssembly</v>
      </c>
      <c r="M6955" s="9" t="s">
        <v>40</v>
      </c>
    </row>
    <row r="6956" ht="15.75" customHeight="1">
      <c r="A6956" s="7"/>
      <c r="B6956" s="7" t="str">
        <f>IFERROR(__xludf.DUMMYFUNCTION("""COMPUTED_VALUE"""),"Assembly;C;Dart;JavaScript;Other(s):")</f>
        <v>Assembly;C;Dart;JavaScript;Other(s):</v>
      </c>
      <c r="M6956" s="9" t="s">
        <v>24</v>
      </c>
    </row>
    <row r="6957" ht="15.75" customHeight="1">
      <c r="A6957" s="7"/>
      <c r="B6957" s="7" t="str">
        <f>IFERROR(__xludf.DUMMYFUNCTION("""COMPUTED_VALUE"""),"Assembly;Bash/Shell/PowerShell;C++;HTML/CSS;Java;JavaScript;Python;Ruby")</f>
        <v>Assembly;Bash/Shell/PowerShell;C++;HTML/CSS;Java;JavaScript;Python;Ruby</v>
      </c>
      <c r="M6957" s="9" t="s">
        <v>20</v>
      </c>
    </row>
    <row r="6958" ht="15.75" customHeight="1">
      <c r="A6958" s="7"/>
      <c r="B6958" s="7" t="str">
        <f>IFERROR(__xludf.DUMMYFUNCTION("""COMPUTED_VALUE"""),"Assembly;Go;Java;Rust")</f>
        <v>Assembly;Go;Java;Rust</v>
      </c>
      <c r="M6958" s="9" t="s">
        <v>21</v>
      </c>
    </row>
    <row r="6959" ht="15.75" customHeight="1">
      <c r="A6959" s="7"/>
      <c r="B6959" s="7" t="str">
        <f>IFERROR(__xludf.DUMMYFUNCTION("""COMPUTED_VALUE"""),"C++;HTML/CSS;Java;JavaScript;SQL")</f>
        <v>C++;HTML/CSS;Java;JavaScript;SQL</v>
      </c>
      <c r="M6959" s="9" t="s">
        <v>22</v>
      </c>
    </row>
    <row r="6960" ht="15.75" customHeight="1">
      <c r="A6960" s="7"/>
      <c r="B6960" s="7" t="str">
        <f>IFERROR(__xludf.DUMMYFUNCTION("""COMPUTED_VALUE"""),"Bash/Shell/PowerShell;C;C++;Erlang;Go;Java;JavaScript;Python;R;Rust;Scala;SQL;TypeScript")</f>
        <v>Bash/Shell/PowerShell;C;C++;Erlang;Go;Java;JavaScript;Python;R;Rust;Scala;SQL;TypeScript</v>
      </c>
      <c r="M6960" s="9" t="s">
        <v>46</v>
      </c>
    </row>
    <row r="6961" ht="15.75" customHeight="1">
      <c r="A6961" s="7"/>
      <c r="B6961" s="7" t="str">
        <f>IFERROR(__xludf.DUMMYFUNCTION("""COMPUTED_VALUE"""),"C;C++;Go;HTML/CSS;Java;JavaScript;Python;SQL")</f>
        <v>C;C++;Go;HTML/CSS;Java;JavaScript;Python;SQL</v>
      </c>
      <c r="M6961" s="9" t="s">
        <v>30</v>
      </c>
    </row>
    <row r="6962" ht="15.75" customHeight="1">
      <c r="A6962" s="7"/>
      <c r="B6962" s="7" t="str">
        <f>IFERROR(__xludf.DUMMYFUNCTION("""COMPUTED_VALUE"""),"Assembly;C;C++;C#;HTML/CSS;Java;JavaScript;Objective-C;Python;SQL;VBA")</f>
        <v>Assembly;C;C++;C#;HTML/CSS;Java;JavaScript;Objective-C;Python;SQL;VBA</v>
      </c>
      <c r="M6962" s="9" t="s">
        <v>24</v>
      </c>
    </row>
    <row r="6963" ht="15.75" customHeight="1">
      <c r="A6963" s="7"/>
      <c r="B6963" s="7" t="str">
        <f>IFERROR(__xludf.DUMMYFUNCTION("""COMPUTED_VALUE"""),"Bash/Shell/PowerShell;C#;HTML/CSS;Java;JavaScript;Python;SQL")</f>
        <v>Bash/Shell/PowerShell;C#;HTML/CSS;Java;JavaScript;Python;SQL</v>
      </c>
      <c r="M6963" s="9" t="s">
        <v>21</v>
      </c>
    </row>
    <row r="6964" ht="15.75" customHeight="1">
      <c r="A6964" s="7"/>
      <c r="B6964" s="7" t="str">
        <f>IFERROR(__xludf.DUMMYFUNCTION("""COMPUTED_VALUE"""),"C#;JavaScript;TypeScript")</f>
        <v>C#;JavaScript;TypeScript</v>
      </c>
      <c r="M6964" s="9" t="s">
        <v>22</v>
      </c>
    </row>
    <row r="6965" ht="15.75" customHeight="1">
      <c r="A6965" s="7"/>
      <c r="B6965" s="7" t="str">
        <f>IFERROR(__xludf.DUMMYFUNCTION("""COMPUTED_VALUE"""),"C;C++;C#;HTML/CSS;Java;JavaScript;PHP;SQL")</f>
        <v>C;C++;C#;HTML/CSS;Java;JavaScript;PHP;SQL</v>
      </c>
      <c r="M6965" s="9" t="s">
        <v>27</v>
      </c>
    </row>
    <row r="6966" ht="15.75" customHeight="1">
      <c r="A6966" s="7"/>
      <c r="B6966" s="7" t="str">
        <f>IFERROR(__xludf.DUMMYFUNCTION("""COMPUTED_VALUE"""),"HTML/CSS;JavaScript;Python")</f>
        <v>HTML/CSS;JavaScript;Python</v>
      </c>
      <c r="M6966" s="9" t="s">
        <v>42</v>
      </c>
    </row>
    <row r="6967" ht="15.75" customHeight="1">
      <c r="A6967" s="7"/>
      <c r="B6967" s="7" t="str">
        <f>IFERROR(__xludf.DUMMYFUNCTION("""COMPUTED_VALUE"""),"Bash/Shell/PowerShell;C#;SQL;VBA")</f>
        <v>Bash/Shell/PowerShell;C#;SQL;VBA</v>
      </c>
      <c r="M6967" s="9" t="s">
        <v>24</v>
      </c>
    </row>
    <row r="6968" ht="15.75" customHeight="1">
      <c r="A6968" s="7"/>
      <c r="B6968" s="7" t="str">
        <f>IFERROR(__xludf.DUMMYFUNCTION("""COMPUTED_VALUE"""),"C++;C#;HTML/CSS;JavaScript;PHP;Python;SQL;Swift;VBA")</f>
        <v>C++;C#;HTML/CSS;JavaScript;PHP;Python;SQL;Swift;VBA</v>
      </c>
      <c r="M6968" s="9" t="s">
        <v>21</v>
      </c>
    </row>
    <row r="6969" ht="15.75" customHeight="1">
      <c r="A6969" s="7"/>
      <c r="B6969" s="7" t="str">
        <f>IFERROR(__xludf.DUMMYFUNCTION("""COMPUTED_VALUE"""),"Bash/Shell/PowerShell;Go;HTML/CSS;JavaScript;Python;SQL")</f>
        <v>Bash/Shell/PowerShell;Go;HTML/CSS;JavaScript;Python;SQL</v>
      </c>
      <c r="M6969" s="9" t="s">
        <v>31</v>
      </c>
    </row>
    <row r="6970" ht="15.75" customHeight="1">
      <c r="A6970" s="7"/>
      <c r="B6970" s="7" t="str">
        <f>IFERROR(__xludf.DUMMYFUNCTION("""COMPUTED_VALUE"""),"Bash/Shell/PowerShell;C;C++;Go;HTML/CSS;Java;JavaScript;Objective-C;Python;Scala;Swift;WebAssembly")</f>
        <v>Bash/Shell/PowerShell;C;C++;Go;HTML/CSS;Java;JavaScript;Objective-C;Python;Scala;Swift;WebAssembly</v>
      </c>
      <c r="M6970" s="9" t="s">
        <v>27</v>
      </c>
    </row>
    <row r="6971" ht="15.75" customHeight="1">
      <c r="A6971" s="7"/>
      <c r="B6971" s="7" t="str">
        <f>IFERROR(__xludf.DUMMYFUNCTION("""COMPUTED_VALUE"""),"Elixir;Python")</f>
        <v>Elixir;Python</v>
      </c>
      <c r="M6971" s="9" t="s">
        <v>30</v>
      </c>
    </row>
    <row r="6972" ht="15.75" customHeight="1">
      <c r="A6972" s="7"/>
      <c r="B6972" s="7" t="str">
        <f>IFERROR(__xludf.DUMMYFUNCTION("""COMPUTED_VALUE"""),"C#")</f>
        <v>C#</v>
      </c>
      <c r="M6972" s="9" t="s">
        <v>24</v>
      </c>
    </row>
    <row r="6973" ht="15.75" customHeight="1">
      <c r="A6973" s="7"/>
      <c r="B6973" s="7" t="str">
        <f>IFERROR(__xludf.DUMMYFUNCTION("""COMPUTED_VALUE"""),"C#;HTML/CSS;JavaScript;Python;SQL;TypeScript")</f>
        <v>C#;HTML/CSS;JavaScript;Python;SQL;TypeScript</v>
      </c>
      <c r="M6973" s="9" t="s">
        <v>21</v>
      </c>
    </row>
    <row r="6974" ht="15.75" customHeight="1">
      <c r="A6974" s="7"/>
      <c r="B6974" s="7" t="str">
        <f>IFERROR(__xludf.DUMMYFUNCTION("""COMPUTED_VALUE"""),"JavaScript;Python")</f>
        <v>JavaScript;Python</v>
      </c>
      <c r="M6974" s="9" t="s">
        <v>37</v>
      </c>
    </row>
    <row r="6975" ht="15.75" customHeight="1">
      <c r="A6975" s="7"/>
      <c r="B6975" s="7" t="str">
        <f>IFERROR(__xludf.DUMMYFUNCTION("""COMPUTED_VALUE"""),"Bash/Shell/PowerShell;C;C++;Java;JavaScript;PHP;SQL;TypeScript")</f>
        <v>Bash/Shell/PowerShell;C;C++;Java;JavaScript;PHP;SQL;TypeScript</v>
      </c>
      <c r="M6975" s="9" t="s">
        <v>27</v>
      </c>
    </row>
    <row r="6976" ht="15.75" customHeight="1">
      <c r="A6976" s="7"/>
      <c r="B6976" s="7" t="str">
        <f>IFERROR(__xludf.DUMMYFUNCTION("""COMPUTED_VALUE"""),"Assembly;C;C++;HTML/CSS;JavaScript;PHP;SQL")</f>
        <v>Assembly;C;C++;HTML/CSS;JavaScript;PHP;SQL</v>
      </c>
      <c r="M6976" s="9" t="s">
        <v>33</v>
      </c>
    </row>
    <row r="6977" ht="15.75" customHeight="1">
      <c r="A6977" s="7"/>
      <c r="B6977" s="7" t="str">
        <f>IFERROR(__xludf.DUMMYFUNCTION("""COMPUTED_VALUE"""),"HTML/CSS;JavaScript;PHP")</f>
        <v>HTML/CSS;JavaScript;PHP</v>
      </c>
      <c r="M6977" s="9" t="s">
        <v>30</v>
      </c>
    </row>
    <row r="6978" ht="15.75" customHeight="1">
      <c r="A6978" s="7"/>
      <c r="B6978" s="7" t="str">
        <f>IFERROR(__xludf.DUMMYFUNCTION("""COMPUTED_VALUE"""),"HTML/CSS;Java;JavaScript;Python;SQL")</f>
        <v>HTML/CSS;Java;JavaScript;Python;SQL</v>
      </c>
      <c r="M6978" s="9" t="s">
        <v>24</v>
      </c>
    </row>
    <row r="6979" ht="15.75" customHeight="1">
      <c r="A6979" s="7"/>
      <c r="B6979" s="7" t="str">
        <f>IFERROR(__xludf.DUMMYFUNCTION("""COMPUTED_VALUE"""),"Java")</f>
        <v>Java</v>
      </c>
      <c r="M6979" s="9" t="s">
        <v>20</v>
      </c>
    </row>
    <row r="6980" ht="15.75" customHeight="1">
      <c r="A6980" s="7"/>
      <c r="B6980" s="7" t="str">
        <f>IFERROR(__xludf.DUMMYFUNCTION("""COMPUTED_VALUE"""),"Bash/Shell/PowerShell;C#;HTML/CSS;Java;JavaScript;SQL")</f>
        <v>Bash/Shell/PowerShell;C#;HTML/CSS;Java;JavaScript;SQL</v>
      </c>
      <c r="M6980" s="9" t="s">
        <v>21</v>
      </c>
    </row>
    <row r="6981" ht="15.75" customHeight="1">
      <c r="A6981" s="7"/>
      <c r="B6981" s="7" t="str">
        <f>IFERROR(__xludf.DUMMYFUNCTION("""COMPUTED_VALUE"""),"Assembly;Bash/Shell/PowerShell;C;C++;C#;Clojure;Dart;Elixir;WebAssembly;Other(s):")</f>
        <v>Assembly;Bash/Shell/PowerShell;C;C++;C#;Clojure;Dart;Elixir;WebAssembly;Other(s):</v>
      </c>
      <c r="M6981" s="9" t="s">
        <v>22</v>
      </c>
    </row>
    <row r="6982" ht="15.75" customHeight="1">
      <c r="A6982" s="7"/>
      <c r="B6982" s="7" t="str">
        <f>IFERROR(__xludf.DUMMYFUNCTION("""COMPUTED_VALUE"""),"Bash/Shell/PowerShell;C#;JavaScript;Python;SQL;TypeScript")</f>
        <v>Bash/Shell/PowerShell;C#;JavaScript;Python;SQL;TypeScript</v>
      </c>
      <c r="M6982" s="9" t="s">
        <v>25</v>
      </c>
    </row>
    <row r="6983" ht="15.75" customHeight="1">
      <c r="A6983" s="7"/>
      <c r="B6983" s="7" t="str">
        <f>IFERROR(__xludf.DUMMYFUNCTION("""COMPUTED_VALUE"""),"C#;Go;HTML/CSS;Java;JavaScript;Python;Rust;SQL;TypeScript")</f>
        <v>C#;Go;HTML/CSS;Java;JavaScript;Python;Rust;SQL;TypeScript</v>
      </c>
      <c r="M6983" s="9" t="s">
        <v>23</v>
      </c>
    </row>
    <row r="6984" ht="15.75" customHeight="1">
      <c r="A6984" s="7"/>
      <c r="B6984" s="7" t="str">
        <f>IFERROR(__xludf.DUMMYFUNCTION("""COMPUTED_VALUE"""),"Bash/Shell/PowerShell;Java;JavaScript;Python;Scala")</f>
        <v>Bash/Shell/PowerShell;Java;JavaScript;Python;Scala</v>
      </c>
      <c r="M6984" s="9" t="s">
        <v>20</v>
      </c>
    </row>
    <row r="6985" ht="15.75" customHeight="1">
      <c r="A6985" s="7"/>
      <c r="B6985" s="7" t="str">
        <f>IFERROR(__xludf.DUMMYFUNCTION("""COMPUTED_VALUE"""),"HTML/CSS;Java;SQL")</f>
        <v>HTML/CSS;Java;SQL</v>
      </c>
      <c r="M6985" s="9" t="s">
        <v>27</v>
      </c>
    </row>
    <row r="6986" ht="15.75" customHeight="1">
      <c r="A6986" s="7"/>
      <c r="B6986" s="7" t="str">
        <f>IFERROR(__xludf.DUMMYFUNCTION("""COMPUTED_VALUE"""),"JavaScript;PHP;Python;SQL")</f>
        <v>JavaScript;PHP;Python;SQL</v>
      </c>
      <c r="M6986" s="9" t="s">
        <v>26</v>
      </c>
    </row>
    <row r="6987" ht="15.75" customHeight="1">
      <c r="A6987" s="7"/>
      <c r="B6987" s="7" t="str">
        <f>IFERROR(__xludf.DUMMYFUNCTION("""COMPUTED_VALUE"""),"Bash/Shell/PowerShell;C#;HTML/CSS;JavaScript;SQL;TypeScript")</f>
        <v>Bash/Shell/PowerShell;C#;HTML/CSS;JavaScript;SQL;TypeScript</v>
      </c>
      <c r="M6987" s="9" t="s">
        <v>24</v>
      </c>
    </row>
    <row r="6988" ht="15.75" customHeight="1">
      <c r="A6988" s="7"/>
      <c r="B6988" s="7" t="str">
        <f>IFERROR(__xludf.DUMMYFUNCTION("""COMPUTED_VALUE"""),"C#;JavaScript;Ruby;Rust")</f>
        <v>C#;JavaScript;Ruby;Rust</v>
      </c>
      <c r="M6988" s="9" t="s">
        <v>21</v>
      </c>
    </row>
    <row r="6989" ht="15.75" customHeight="1">
      <c r="A6989" s="7"/>
      <c r="B6989" s="7" t="str">
        <f>IFERROR(__xludf.DUMMYFUNCTION("""COMPUTED_VALUE"""),"Bash/Shell/PowerShell;C#;F#;SQL")</f>
        <v>Bash/Shell/PowerShell;C#;F#;SQL</v>
      </c>
      <c r="M6989" s="9" t="s">
        <v>37</v>
      </c>
    </row>
    <row r="6990" ht="15.75" customHeight="1">
      <c r="A6990" s="7"/>
      <c r="B6990" s="7" t="str">
        <f>IFERROR(__xludf.DUMMYFUNCTION("""COMPUTED_VALUE"""),"Bash/Shell/PowerShell;C;HTML/CSS;Java;JavaScript;Python;SQL;TypeScript")</f>
        <v>Bash/Shell/PowerShell;C;HTML/CSS;Java;JavaScript;Python;SQL;TypeScript</v>
      </c>
      <c r="M6990" s="9" t="s">
        <v>33</v>
      </c>
    </row>
    <row r="6991" ht="15.75" customHeight="1">
      <c r="A6991" s="7"/>
      <c r="B6991" s="7" t="str">
        <f>IFERROR(__xludf.DUMMYFUNCTION("""COMPUTED_VALUE"""),"C++;Java;Objective-C;Python;Rust")</f>
        <v>C++;Java;Objective-C;Python;Rust</v>
      </c>
      <c r="M6991" s="9" t="s">
        <v>20</v>
      </c>
    </row>
    <row r="6992" ht="15.75" customHeight="1">
      <c r="A6992" s="7"/>
      <c r="B6992" s="7" t="str">
        <f>IFERROR(__xludf.DUMMYFUNCTION("""COMPUTED_VALUE"""),"HTML/CSS;JavaScript;Objective-C;PHP;SQL")</f>
        <v>HTML/CSS;JavaScript;Objective-C;PHP;SQL</v>
      </c>
      <c r="M6992" s="9" t="s">
        <v>24</v>
      </c>
    </row>
    <row r="6993" ht="15.75" customHeight="1">
      <c r="A6993" s="7"/>
      <c r="B6993" s="7" t="str">
        <f>IFERROR(__xludf.DUMMYFUNCTION("""COMPUTED_VALUE"""),"Assembly;Bash/Shell/PowerShell;C;C#;Java;JavaScript;Python;SQL")</f>
        <v>Assembly;Bash/Shell/PowerShell;C;C#;Java;JavaScript;Python;SQL</v>
      </c>
      <c r="M6993" s="9" t="s">
        <v>21</v>
      </c>
    </row>
    <row r="6994" ht="15.75" customHeight="1">
      <c r="A6994" s="7"/>
      <c r="B6994" s="7" t="str">
        <f>IFERROR(__xludf.DUMMYFUNCTION("""COMPUTED_VALUE"""),"Bash/Shell/PowerShell;Clojure;HTML/CSS;Java;JavaScript;Kotlin;SQL")</f>
        <v>Bash/Shell/PowerShell;Clojure;HTML/CSS;Java;JavaScript;Kotlin;SQL</v>
      </c>
      <c r="M6994" s="9" t="s">
        <v>33</v>
      </c>
    </row>
    <row r="6995" ht="15.75" customHeight="1">
      <c r="A6995" s="7"/>
      <c r="B6995" s="7" t="str">
        <f>IFERROR(__xludf.DUMMYFUNCTION("""COMPUTED_VALUE"""),"C++;Go")</f>
        <v>C++;Go</v>
      </c>
      <c r="M6995" s="9" t="s">
        <v>25</v>
      </c>
    </row>
    <row r="6996" ht="15.75" customHeight="1">
      <c r="A6996" s="7"/>
      <c r="B6996" s="7" t="str">
        <f>IFERROR(__xludf.DUMMYFUNCTION("""COMPUTED_VALUE"""),"Bash/Shell/PowerShell;C;C++;C#;HTML/CSS;JavaScript;PHP;SQL")</f>
        <v>Bash/Shell/PowerShell;C;C++;C#;HTML/CSS;JavaScript;PHP;SQL</v>
      </c>
      <c r="M6996" s="9" t="s">
        <v>43</v>
      </c>
    </row>
    <row r="6997" ht="15.75" customHeight="1">
      <c r="A6997" s="7"/>
      <c r="B6997" s="7" t="str">
        <f>IFERROR(__xludf.DUMMYFUNCTION("""COMPUTED_VALUE"""),"Java;JavaScript;Kotlin;Ruby")</f>
        <v>Java;JavaScript;Kotlin;Ruby</v>
      </c>
      <c r="M6997" s="9" t="s">
        <v>24</v>
      </c>
    </row>
    <row r="6998" ht="15.75" customHeight="1">
      <c r="A6998" s="7"/>
      <c r="B6998" s="7" t="str">
        <f>IFERROR(__xludf.DUMMYFUNCTION("""COMPUTED_VALUE"""),"HTML/CSS;Java;JavaScript;Kotlin")</f>
        <v>HTML/CSS;Java;JavaScript;Kotlin</v>
      </c>
      <c r="M6998" s="9" t="s">
        <v>20</v>
      </c>
    </row>
    <row r="6999" ht="15.75" customHeight="1">
      <c r="A6999" s="7"/>
      <c r="B6999" s="7" t="str">
        <f>IFERROR(__xludf.DUMMYFUNCTION("""COMPUTED_VALUE"""),"Java;PHP;SQL")</f>
        <v>Java;PHP;SQL</v>
      </c>
      <c r="M6999" s="9" t="s">
        <v>21</v>
      </c>
    </row>
    <row r="7000" ht="15.75" customHeight="1">
      <c r="A7000" s="7"/>
      <c r="B7000" s="7" t="str">
        <f>IFERROR(__xludf.DUMMYFUNCTION("""COMPUTED_VALUE"""),"HTML/CSS;JavaScript;PHP;SQL")</f>
        <v>HTML/CSS;JavaScript;PHP;SQL</v>
      </c>
      <c r="M7000" s="9" t="s">
        <v>39</v>
      </c>
    </row>
    <row r="7001" ht="15.75" customHeight="1">
      <c r="A7001" s="7"/>
      <c r="B7001" s="7" t="str">
        <f>IFERROR(__xludf.DUMMYFUNCTION("""COMPUTED_VALUE"""),"Bash/Shell/PowerShell;Clojure;HTML/CSS;JavaScript")</f>
        <v>Bash/Shell/PowerShell;Clojure;HTML/CSS;JavaScript</v>
      </c>
      <c r="M7001" s="9" t="s">
        <v>22</v>
      </c>
    </row>
    <row r="7002" ht="15.75" customHeight="1">
      <c r="A7002" s="7"/>
      <c r="B7002" s="7" t="str">
        <f>IFERROR(__xludf.DUMMYFUNCTION("""COMPUTED_VALUE"""),"HTML/CSS;Java;JavaScript;SQL")</f>
        <v>HTML/CSS;Java;JavaScript;SQL</v>
      </c>
      <c r="M7002" s="9" t="s">
        <v>32</v>
      </c>
    </row>
    <row r="7003" ht="15.75" customHeight="1">
      <c r="A7003" s="7"/>
      <c r="B7003" s="7" t="str">
        <f>IFERROR(__xludf.DUMMYFUNCTION("""COMPUTED_VALUE"""),"HTML/CSS;JavaScript;VBA")</f>
        <v>HTML/CSS;JavaScript;VBA</v>
      </c>
      <c r="M7003" s="9" t="s">
        <v>40</v>
      </c>
    </row>
    <row r="7004" ht="15.75" customHeight="1">
      <c r="A7004" s="7"/>
      <c r="B7004" s="7" t="str">
        <f>IFERROR(__xludf.DUMMYFUNCTION("""COMPUTED_VALUE"""),"Bash/Shell/PowerShell;C#")</f>
        <v>Bash/Shell/PowerShell;C#</v>
      </c>
      <c r="M7004" s="9" t="s">
        <v>23</v>
      </c>
    </row>
    <row r="7005" ht="15.75" customHeight="1">
      <c r="A7005" s="7"/>
      <c r="B7005" s="7" t="str">
        <f>IFERROR(__xludf.DUMMYFUNCTION("""COMPUTED_VALUE"""),"HTML/CSS;JavaScript;PHP;SQL")</f>
        <v>HTML/CSS;JavaScript;PHP;SQL</v>
      </c>
      <c r="M7005" s="9" t="s">
        <v>26</v>
      </c>
    </row>
    <row r="7006" ht="15.75" customHeight="1">
      <c r="A7006" s="7"/>
      <c r="B7006" s="7" t="str">
        <f>IFERROR(__xludf.DUMMYFUNCTION("""COMPUTED_VALUE"""),"HTML/CSS;Java;JavaScript;Python;SQL;TypeScript")</f>
        <v>HTML/CSS;Java;JavaScript;Python;SQL;TypeScript</v>
      </c>
      <c r="M7006" s="9" t="s">
        <v>21</v>
      </c>
    </row>
    <row r="7007" ht="15.75" customHeight="1">
      <c r="A7007" s="7"/>
      <c r="B7007" s="7" t="str">
        <f>IFERROR(__xludf.DUMMYFUNCTION("""COMPUTED_VALUE"""),"PHP")</f>
        <v>PHP</v>
      </c>
      <c r="M7007" s="9" t="s">
        <v>33</v>
      </c>
    </row>
    <row r="7008" ht="15.75" customHeight="1">
      <c r="A7008" s="7"/>
      <c r="B7008" s="7" t="str">
        <f>IFERROR(__xludf.DUMMYFUNCTION("""COMPUTED_VALUE"""),"Ruby")</f>
        <v>Ruby</v>
      </c>
      <c r="M7008" s="9" t="s">
        <v>20</v>
      </c>
    </row>
    <row r="7009" ht="15.75" customHeight="1">
      <c r="A7009" s="7"/>
      <c r="B7009" s="7" t="str">
        <f>IFERROR(__xludf.DUMMYFUNCTION("""COMPUTED_VALUE"""),"Bash/Shell/PowerShell;C#;HTML/CSS;JavaScript;SQL")</f>
        <v>Bash/Shell/PowerShell;C#;HTML/CSS;JavaScript;SQL</v>
      </c>
      <c r="M7009" s="9" t="s">
        <v>21</v>
      </c>
    </row>
    <row r="7010" ht="15.75" customHeight="1">
      <c r="A7010" s="7"/>
      <c r="B7010" s="7" t="str">
        <f>IFERROR(__xludf.DUMMYFUNCTION("""COMPUTED_VALUE"""),"JavaScript;Scala;TypeScript")</f>
        <v>JavaScript;Scala;TypeScript</v>
      </c>
      <c r="M7010" s="9" t="s">
        <v>26</v>
      </c>
    </row>
    <row r="7011" ht="15.75" customHeight="1">
      <c r="A7011" s="7"/>
      <c r="B7011" s="7" t="str">
        <f>IFERROR(__xludf.DUMMYFUNCTION("""COMPUTED_VALUE"""),"C;HTML/CSS;Java;JavaScript;Objective-C;PHP;Python;Scala;Swift")</f>
        <v>C;HTML/CSS;Java;JavaScript;Objective-C;PHP;Python;Scala;Swift</v>
      </c>
      <c r="M7011" s="9" t="s">
        <v>45</v>
      </c>
    </row>
    <row r="7012" ht="15.75" customHeight="1">
      <c r="A7012" s="7"/>
      <c r="B7012" s="7" t="str">
        <f>IFERROR(__xludf.DUMMYFUNCTION("""COMPUTED_VALUE"""),"HTML/CSS;JavaScript")</f>
        <v>HTML/CSS;JavaScript</v>
      </c>
      <c r="M7012" s="9" t="s">
        <v>24</v>
      </c>
    </row>
    <row r="7013" ht="15.75" customHeight="1">
      <c r="A7013" s="7"/>
      <c r="B7013" s="7" t="str">
        <f>IFERROR(__xludf.DUMMYFUNCTION("""COMPUTED_VALUE"""),"Bash/Shell/PowerShell;Go;HTML/CSS;JavaScript;Python;SQL;Other(s):")</f>
        <v>Bash/Shell/PowerShell;Go;HTML/CSS;JavaScript;Python;SQL;Other(s):</v>
      </c>
      <c r="M7013" s="9" t="s">
        <v>20</v>
      </c>
    </row>
    <row r="7014" ht="15.75" customHeight="1">
      <c r="A7014" s="7"/>
      <c r="B7014" s="7" t="str">
        <f>IFERROR(__xludf.DUMMYFUNCTION("""COMPUTED_VALUE"""),"Bash/Shell/PowerShell;HTML/CSS;JavaScript;PHP")</f>
        <v>Bash/Shell/PowerShell;HTML/CSS;JavaScript;PHP</v>
      </c>
      <c r="M7014" s="9" t="s">
        <v>21</v>
      </c>
    </row>
    <row r="7015" ht="15.75" customHeight="1">
      <c r="A7015" s="7"/>
      <c r="B7015" s="7" t="str">
        <f>IFERROR(__xludf.DUMMYFUNCTION("""COMPUTED_VALUE"""),"Bash/Shell/PowerShell;HTML/CSS;Java;JavaScript;Python;Ruby")</f>
        <v>Bash/Shell/PowerShell;HTML/CSS;Java;JavaScript;Python;Ruby</v>
      </c>
      <c r="M7015" s="9" t="s">
        <v>27</v>
      </c>
    </row>
    <row r="7016" ht="15.75" customHeight="1">
      <c r="A7016" s="7"/>
      <c r="B7016" s="7" t="str">
        <f>IFERROR(__xludf.DUMMYFUNCTION("""COMPUTED_VALUE"""),"Dart;Elixir;Go;HTML/CSS;JavaScript;Rust;SQL;TypeScript;Other(s):")</f>
        <v>Dart;Elixir;Go;HTML/CSS;JavaScript;Rust;SQL;TypeScript;Other(s):</v>
      </c>
      <c r="M7016" s="9" t="s">
        <v>33</v>
      </c>
    </row>
    <row r="7017" ht="15.75" customHeight="1">
      <c r="A7017" s="7"/>
      <c r="B7017" s="7" t="str">
        <f>IFERROR(__xludf.DUMMYFUNCTION("""COMPUTED_VALUE"""),"Bash/Shell/PowerShell;C;C++;Go;HTML/CSS;Java;JavaScript;SQL")</f>
        <v>Bash/Shell/PowerShell;C;C++;Go;HTML/CSS;Java;JavaScript;SQL</v>
      </c>
      <c r="M7017" s="9" t="s">
        <v>34</v>
      </c>
    </row>
    <row r="7018" ht="15.75" customHeight="1">
      <c r="A7018" s="7"/>
      <c r="B7018" s="7" t="str">
        <f>IFERROR(__xludf.DUMMYFUNCTION("""COMPUTED_VALUE"""),"HTML/CSS;JavaScript;PHP;Python;SQL;TypeScript")</f>
        <v>HTML/CSS;JavaScript;PHP;Python;SQL;TypeScript</v>
      </c>
      <c r="M7018" s="9" t="s">
        <v>30</v>
      </c>
    </row>
    <row r="7019" ht="15.75" customHeight="1">
      <c r="A7019" s="7"/>
      <c r="B7019" s="7" t="str">
        <f>IFERROR(__xludf.DUMMYFUNCTION("""COMPUTED_VALUE"""),"C;Go;HTML/CSS;JavaScript;PHP;Python;SQL;Other(s):")</f>
        <v>C;Go;HTML/CSS;JavaScript;PHP;Python;SQL;Other(s):</v>
      </c>
      <c r="M7019" s="9" t="s">
        <v>24</v>
      </c>
    </row>
    <row r="7020" ht="15.75" customHeight="1">
      <c r="A7020" s="7"/>
      <c r="B7020" s="7" t="str">
        <f>IFERROR(__xludf.DUMMYFUNCTION("""COMPUTED_VALUE"""),"JavaScript;PHP;SQL;TypeScript")</f>
        <v>JavaScript;PHP;SQL;TypeScript</v>
      </c>
      <c r="M7020" s="9" t="s">
        <v>21</v>
      </c>
    </row>
    <row r="7021" ht="15.75" customHeight="1">
      <c r="A7021" s="7"/>
      <c r="B7021" s="7" t="str">
        <f>IFERROR(__xludf.DUMMYFUNCTION("""COMPUTED_VALUE"""),"Python")</f>
        <v>Python</v>
      </c>
      <c r="M7021" s="9" t="s">
        <v>37</v>
      </c>
    </row>
    <row r="7022" ht="15.75" customHeight="1">
      <c r="A7022" s="7"/>
      <c r="B7022" s="7" t="str">
        <f>IFERROR(__xludf.DUMMYFUNCTION("""COMPUTED_VALUE"""),"Bash/Shell/PowerShell;HTML/CSS;JavaScript;Kotlin;PHP;Python;SQL;TypeScript;Other(s):")</f>
        <v>Bash/Shell/PowerShell;HTML/CSS;JavaScript;Kotlin;PHP;Python;SQL;TypeScript;Other(s):</v>
      </c>
      <c r="M7022" s="9" t="s">
        <v>27</v>
      </c>
    </row>
    <row r="7023" ht="15.75" customHeight="1">
      <c r="A7023" s="7"/>
      <c r="B7023" s="7" t="str">
        <f>IFERROR(__xludf.DUMMYFUNCTION("""COMPUTED_VALUE"""),"HTML/CSS;JavaScript;PHP")</f>
        <v>HTML/CSS;JavaScript;PHP</v>
      </c>
      <c r="M7023" s="9" t="s">
        <v>44</v>
      </c>
    </row>
    <row r="7024" ht="15.75" customHeight="1">
      <c r="A7024" s="7"/>
      <c r="B7024" s="7" t="str">
        <f>IFERROR(__xludf.DUMMYFUNCTION("""COMPUTED_VALUE"""),"HTML/CSS;Java;JavaScript;PHP;Python")</f>
        <v>HTML/CSS;Java;JavaScript;PHP;Python</v>
      </c>
      <c r="M7024" s="9" t="s">
        <v>21</v>
      </c>
    </row>
    <row r="7025" ht="15.75" customHeight="1">
      <c r="A7025" s="7"/>
      <c r="B7025" s="7" t="str">
        <f>IFERROR(__xludf.DUMMYFUNCTION("""COMPUTED_VALUE"""),"Go;Java;PHP;Scala;SQL")</f>
        <v>Go;Java;PHP;Scala;SQL</v>
      </c>
      <c r="M7025" s="9" t="s">
        <v>22</v>
      </c>
    </row>
    <row r="7026" ht="15.75" customHeight="1">
      <c r="A7026" s="7"/>
      <c r="B7026" s="7" t="str">
        <f>IFERROR(__xludf.DUMMYFUNCTION("""COMPUTED_VALUE"""),"Bash/Shell/PowerShell;SQL")</f>
        <v>Bash/Shell/PowerShell;SQL</v>
      </c>
      <c r="M7026" s="9" t="s">
        <v>35</v>
      </c>
    </row>
    <row r="7027" ht="15.75" customHeight="1">
      <c r="A7027" s="7"/>
      <c r="B7027" s="7" t="str">
        <f>IFERROR(__xludf.DUMMYFUNCTION("""COMPUTED_VALUE"""),"Assembly;C++;Java;Python")</f>
        <v>Assembly;C++;Java;Python</v>
      </c>
      <c r="M7027" s="9" t="s">
        <v>20</v>
      </c>
    </row>
    <row r="7028" ht="15.75" customHeight="1">
      <c r="A7028" s="7"/>
      <c r="B7028" s="7" t="str">
        <f>IFERROR(__xludf.DUMMYFUNCTION("""COMPUTED_VALUE"""),"Bash/Shell/PowerShell;C++;C#;HTML/CSS;JavaScript;SQL")</f>
        <v>Bash/Shell/PowerShell;C++;C#;HTML/CSS;JavaScript;SQL</v>
      </c>
      <c r="M7028" s="9" t="s">
        <v>30</v>
      </c>
    </row>
    <row r="7029" ht="15.75" customHeight="1">
      <c r="A7029" s="7"/>
      <c r="B7029" s="7" t="str">
        <f>IFERROR(__xludf.DUMMYFUNCTION("""COMPUTED_VALUE"""),"Bash/Shell/PowerShell;Python;R;SQL;Other(s):")</f>
        <v>Bash/Shell/PowerShell;Python;R;SQL;Other(s):</v>
      </c>
      <c r="M7029" s="9" t="s">
        <v>20</v>
      </c>
    </row>
    <row r="7030" ht="15.75" customHeight="1">
      <c r="A7030" s="7"/>
      <c r="B7030" s="7" t="str">
        <f>IFERROR(__xludf.DUMMYFUNCTION("""COMPUTED_VALUE"""),"Assembly;Bash/Shell/PowerShell;C;HTML/CSS;Java;JavaScript;Python;Scala;SQL")</f>
        <v>Assembly;Bash/Shell/PowerShell;C;HTML/CSS;Java;JavaScript;Python;Scala;SQL</v>
      </c>
      <c r="M7030" s="9" t="s">
        <v>22</v>
      </c>
    </row>
    <row r="7031" ht="15.75" customHeight="1">
      <c r="A7031" s="7"/>
      <c r="B7031" s="7" t="str">
        <f>IFERROR(__xludf.DUMMYFUNCTION("""COMPUTED_VALUE"""),"HTML/CSS;Java;JavaScript;PHP;Python;SQL")</f>
        <v>HTML/CSS;Java;JavaScript;PHP;Python;SQL</v>
      </c>
      <c r="M7031" s="9" t="s">
        <v>46</v>
      </c>
    </row>
    <row r="7032" ht="15.75" customHeight="1">
      <c r="A7032" s="7"/>
      <c r="B7032" s="7" t="str">
        <f>IFERROR(__xludf.DUMMYFUNCTION("""COMPUTED_VALUE"""),"HTML/CSS;JavaScript;TypeScript")</f>
        <v>HTML/CSS;JavaScript;TypeScript</v>
      </c>
      <c r="M7032" s="9" t="s">
        <v>27</v>
      </c>
    </row>
    <row r="7033" ht="15.75" customHeight="1">
      <c r="A7033" s="7"/>
      <c r="B7033" s="7" t="str">
        <f>IFERROR(__xludf.DUMMYFUNCTION("""COMPUTED_VALUE"""),"Bash/Shell/PowerShell;C;Go;HTML/CSS;Java;JavaScript;PHP;Python;SQL")</f>
        <v>Bash/Shell/PowerShell;C;Go;HTML/CSS;Java;JavaScript;PHP;Python;SQL</v>
      </c>
      <c r="M7033" s="9" t="s">
        <v>24</v>
      </c>
    </row>
    <row r="7034" ht="15.75" customHeight="1">
      <c r="A7034" s="7"/>
      <c r="B7034" s="7" t="str">
        <f>IFERROR(__xludf.DUMMYFUNCTION("""COMPUTED_VALUE"""),"HTML/CSS;Java;JavaScript;SQL;TypeScript")</f>
        <v>HTML/CSS;Java;JavaScript;SQL;TypeScript</v>
      </c>
      <c r="M7034" s="9" t="s">
        <v>21</v>
      </c>
    </row>
    <row r="7035" ht="15.75" customHeight="1">
      <c r="A7035" s="7"/>
      <c r="B7035" s="7" t="str">
        <f>IFERROR(__xludf.DUMMYFUNCTION("""COMPUTED_VALUE"""),"C#;Go;HTML/CSS;Java;JavaScript;Kotlin;PHP;Python;SQL")</f>
        <v>C#;Go;HTML/CSS;Java;JavaScript;Kotlin;PHP;Python;SQL</v>
      </c>
      <c r="M7035" s="9" t="s">
        <v>33</v>
      </c>
    </row>
    <row r="7036" ht="15.75" customHeight="1">
      <c r="A7036" s="7"/>
      <c r="B7036" s="7" t="str">
        <f>IFERROR(__xludf.DUMMYFUNCTION("""COMPUTED_VALUE"""),"HTML/CSS;Java;JavaScript;Ruby")</f>
        <v>HTML/CSS;Java;JavaScript;Ruby</v>
      </c>
      <c r="M7036" s="9" t="s">
        <v>26</v>
      </c>
    </row>
    <row r="7037" ht="15.75" customHeight="1">
      <c r="A7037" s="7"/>
      <c r="B7037" s="7" t="str">
        <f>IFERROR(__xludf.DUMMYFUNCTION("""COMPUTED_VALUE"""),"HTML/CSS;Java;JavaScript")</f>
        <v>HTML/CSS;Java;JavaScript</v>
      </c>
      <c r="M7037" s="9" t="s">
        <v>24</v>
      </c>
    </row>
    <row r="7038" ht="15.75" customHeight="1">
      <c r="A7038" s="7"/>
      <c r="B7038" s="7" t="str">
        <f>IFERROR(__xludf.DUMMYFUNCTION("""COMPUTED_VALUE"""),"Java;SQL")</f>
        <v>Java;SQL</v>
      </c>
      <c r="M7038" s="9" t="s">
        <v>21</v>
      </c>
    </row>
    <row r="7039" ht="15.75" customHeight="1">
      <c r="A7039" s="7"/>
      <c r="B7039" s="7" t="str">
        <f>IFERROR(__xludf.DUMMYFUNCTION("""COMPUTED_VALUE"""),"C#;HTML/CSS;JavaScript;TypeScript")</f>
        <v>C#;HTML/CSS;JavaScript;TypeScript</v>
      </c>
      <c r="M7039" s="9" t="s">
        <v>27</v>
      </c>
    </row>
    <row r="7040" ht="15.75" customHeight="1">
      <c r="A7040" s="7"/>
      <c r="B7040" s="7" t="str">
        <f>IFERROR(__xludf.DUMMYFUNCTION("""COMPUTED_VALUE"""),"C#;SQL")</f>
        <v>C#;SQL</v>
      </c>
      <c r="M7040" s="9" t="s">
        <v>24</v>
      </c>
    </row>
    <row r="7041" ht="15.75" customHeight="1">
      <c r="A7041" s="7"/>
      <c r="B7041" s="7" t="str">
        <f>IFERROR(__xludf.DUMMYFUNCTION("""COMPUTED_VALUE"""),"Bash/Shell/PowerShell;C;C++;C#;HTML/CSS;Java;JavaScript;PHP;SQL;Other(s):")</f>
        <v>Bash/Shell/PowerShell;C;C++;C#;HTML/CSS;Java;JavaScript;PHP;SQL;Other(s):</v>
      </c>
      <c r="M7041" s="9" t="s">
        <v>22</v>
      </c>
    </row>
    <row r="7042" ht="15.75" customHeight="1">
      <c r="A7042" s="7"/>
      <c r="B7042" s="7" t="str">
        <f>IFERROR(__xludf.DUMMYFUNCTION("""COMPUTED_VALUE"""),"JavaScript;Python;SQL")</f>
        <v>JavaScript;Python;SQL</v>
      </c>
      <c r="M7042" s="9" t="s">
        <v>29</v>
      </c>
    </row>
    <row r="7043" ht="15.75" customHeight="1">
      <c r="A7043" s="7"/>
      <c r="B7043" s="7" t="str">
        <f>IFERROR(__xludf.DUMMYFUNCTION("""COMPUTED_VALUE"""),"Bash/Shell/PowerShell;HTML/CSS;JavaScript;PHP;Ruby;Swift;TypeScript")</f>
        <v>Bash/Shell/PowerShell;HTML/CSS;JavaScript;PHP;Ruby;Swift;TypeScript</v>
      </c>
      <c r="M7043" s="9" t="s">
        <v>27</v>
      </c>
    </row>
    <row r="7044" ht="15.75" customHeight="1">
      <c r="A7044" s="7"/>
      <c r="B7044" s="7" t="str">
        <f>IFERROR(__xludf.DUMMYFUNCTION("""COMPUTED_VALUE"""),"Swift")</f>
        <v>Swift</v>
      </c>
      <c r="M7044" s="9" t="s">
        <v>23</v>
      </c>
    </row>
    <row r="7045" ht="15.75" customHeight="1">
      <c r="A7045" s="7"/>
      <c r="B7045" s="7" t="str">
        <f>IFERROR(__xludf.DUMMYFUNCTION("""COMPUTED_VALUE"""),"C#;HTML/CSS;JavaScript;SQL")</f>
        <v>C#;HTML/CSS;JavaScript;SQL</v>
      </c>
      <c r="M7045" s="9" t="s">
        <v>26</v>
      </c>
    </row>
    <row r="7046" ht="15.75" customHeight="1">
      <c r="A7046" s="7"/>
      <c r="B7046" s="7" t="str">
        <f>IFERROR(__xludf.DUMMYFUNCTION("""COMPUTED_VALUE"""),"Objective-C;Python;Swift")</f>
        <v>Objective-C;Python;Swift</v>
      </c>
      <c r="M7046" s="9" t="s">
        <v>20</v>
      </c>
    </row>
    <row r="7047" ht="15.75" customHeight="1">
      <c r="A7047" s="7"/>
      <c r="B7047" s="7" t="str">
        <f>IFERROR(__xludf.DUMMYFUNCTION("""COMPUTED_VALUE"""),"JavaScript;PHP;SQL;Other(s):")</f>
        <v>JavaScript;PHP;SQL;Other(s):</v>
      </c>
      <c r="M7047" s="9" t="s">
        <v>27</v>
      </c>
    </row>
    <row r="7048" ht="15.75" customHeight="1">
      <c r="A7048" s="7"/>
      <c r="B7048" s="7" t="str">
        <f>IFERROR(__xludf.DUMMYFUNCTION("""COMPUTED_VALUE"""),"Assembly;Bash/Shell/PowerShell;C;C++;C#;Python;Scala;SQL")</f>
        <v>Assembly;Bash/Shell/PowerShell;C;C++;C#;Python;Scala;SQL</v>
      </c>
      <c r="M7048" s="9" t="s">
        <v>38</v>
      </c>
    </row>
    <row r="7049" ht="15.75" customHeight="1">
      <c r="A7049" s="7"/>
      <c r="B7049" s="7" t="str">
        <f>IFERROR(__xludf.DUMMYFUNCTION("""COMPUTED_VALUE"""),"Bash/Shell/PowerShell;C;C++;HTML/CSS;Java;JavaScript;PHP;Python;R;SQL;VBA")</f>
        <v>Bash/Shell/PowerShell;C;C++;HTML/CSS;Java;JavaScript;PHP;Python;R;SQL;VBA</v>
      </c>
      <c r="M7049" s="9" t="s">
        <v>25</v>
      </c>
    </row>
    <row r="7050" ht="15.75" customHeight="1">
      <c r="A7050" s="7"/>
      <c r="B7050" s="7" t="str">
        <f>IFERROR(__xludf.DUMMYFUNCTION("""COMPUTED_VALUE"""),"Assembly;Bash/Shell/PowerShell;C;C++;Java;Kotlin;Python")</f>
        <v>Assembly;Bash/Shell/PowerShell;C;C++;Java;Kotlin;Python</v>
      </c>
      <c r="M7050" s="9" t="s">
        <v>23</v>
      </c>
    </row>
    <row r="7051" ht="15.75" customHeight="1">
      <c r="A7051" s="7"/>
      <c r="B7051" s="7" t="str">
        <f>IFERROR(__xludf.DUMMYFUNCTION("""COMPUTED_VALUE"""),"Bash/Shell/PowerShell;HTML/CSS;JavaScript")</f>
        <v>Bash/Shell/PowerShell;HTML/CSS;JavaScript</v>
      </c>
      <c r="M7051" s="9" t="s">
        <v>21</v>
      </c>
    </row>
    <row r="7052" ht="15.75" customHeight="1">
      <c r="A7052" s="7"/>
      <c r="B7052" s="7" t="str">
        <f>IFERROR(__xludf.DUMMYFUNCTION("""COMPUTED_VALUE"""),"HTML/CSS;Java;JavaScript;PHP;SQL")</f>
        <v>HTML/CSS;Java;JavaScript;PHP;SQL</v>
      </c>
      <c r="M7052" s="9" t="s">
        <v>22</v>
      </c>
    </row>
    <row r="7053" ht="15.75" customHeight="1">
      <c r="A7053" s="7"/>
      <c r="B7053" s="7" t="str">
        <f>IFERROR(__xludf.DUMMYFUNCTION("""COMPUTED_VALUE"""),"Java;Python")</f>
        <v>Java;Python</v>
      </c>
      <c r="M7053" s="9" t="s">
        <v>32</v>
      </c>
    </row>
    <row r="7054" ht="15.75" customHeight="1">
      <c r="A7054" s="7"/>
      <c r="B7054" s="7" t="str">
        <f>IFERROR(__xludf.DUMMYFUNCTION("""COMPUTED_VALUE"""),"C#;HTML/CSS;Java;JavaScript;Kotlin;SQL")</f>
        <v>C#;HTML/CSS;Java;JavaScript;Kotlin;SQL</v>
      </c>
      <c r="M7054" s="9" t="s">
        <v>27</v>
      </c>
    </row>
    <row r="7055" ht="15.75" customHeight="1">
      <c r="A7055" s="7"/>
      <c r="B7055" s="7" t="str">
        <f>IFERROR(__xludf.DUMMYFUNCTION("""COMPUTED_VALUE"""),"HTML/CSS;Java;JavaScript;SQL")</f>
        <v>HTML/CSS;Java;JavaScript;SQL</v>
      </c>
      <c r="M7055" s="9" t="s">
        <v>35</v>
      </c>
    </row>
    <row r="7056" ht="15.75" customHeight="1">
      <c r="A7056" s="7"/>
      <c r="B7056" s="7" t="str">
        <f>IFERROR(__xludf.DUMMYFUNCTION("""COMPUTED_VALUE"""),"Bash/Shell/PowerShell;C#;HTML/CSS;JavaScript;TypeScript")</f>
        <v>Bash/Shell/PowerShell;C#;HTML/CSS;JavaScript;TypeScript</v>
      </c>
      <c r="M7056" s="9" t="s">
        <v>24</v>
      </c>
    </row>
    <row r="7057" ht="15.75" customHeight="1">
      <c r="A7057" s="7"/>
      <c r="B7057" s="7" t="str">
        <f>IFERROR(__xludf.DUMMYFUNCTION("""COMPUTED_VALUE"""),"Bash/Shell/PowerShell;Go;HTML/CSS;JavaScript;Ruby")</f>
        <v>Bash/Shell/PowerShell;Go;HTML/CSS;JavaScript;Ruby</v>
      </c>
      <c r="M7057" s="9" t="s">
        <v>20</v>
      </c>
    </row>
    <row r="7058" ht="15.75" customHeight="1">
      <c r="A7058" s="7"/>
      <c r="B7058" s="7" t="str">
        <f>IFERROR(__xludf.DUMMYFUNCTION("""COMPUTED_VALUE"""),"C#;Java;JavaScript;VBA")</f>
        <v>C#;Java;JavaScript;VBA</v>
      </c>
      <c r="M7058" s="9" t="s">
        <v>21</v>
      </c>
    </row>
    <row r="7059" ht="15.75" customHeight="1">
      <c r="A7059" s="7"/>
      <c r="B7059" s="7" t="str">
        <f>IFERROR(__xludf.DUMMYFUNCTION("""COMPUTED_VALUE"""),"C++;R")</f>
        <v>C++;R</v>
      </c>
      <c r="M7059" s="9" t="s">
        <v>26</v>
      </c>
    </row>
    <row r="7060" ht="15.75" customHeight="1">
      <c r="A7060" s="7"/>
      <c r="B7060" s="7" t="str">
        <f>IFERROR(__xludf.DUMMYFUNCTION("""COMPUTED_VALUE"""),"C#;HTML/CSS;JavaScript;SQL;TypeScript")</f>
        <v>C#;HTML/CSS;JavaScript;SQL;TypeScript</v>
      </c>
      <c r="M7060" s="9" t="s">
        <v>27</v>
      </c>
    </row>
    <row r="7061" ht="15.75" customHeight="1">
      <c r="A7061" s="7"/>
      <c r="B7061" s="7" t="str">
        <f>IFERROR(__xludf.DUMMYFUNCTION("""COMPUTED_VALUE"""),"C++;HTML/CSS;JavaScript;PHP;SQL;TypeScript")</f>
        <v>C++;HTML/CSS;JavaScript;PHP;SQL;TypeScript</v>
      </c>
      <c r="M7061" s="9" t="s">
        <v>35</v>
      </c>
    </row>
    <row r="7062" ht="15.75" customHeight="1">
      <c r="A7062" s="7"/>
      <c r="B7062" s="7" t="str">
        <f>IFERROR(__xludf.DUMMYFUNCTION("""COMPUTED_VALUE"""),"Bash/Shell/PowerShell;Dart;HTML/CSS;JavaScript;Python;Ruby")</f>
        <v>Bash/Shell/PowerShell;Dart;HTML/CSS;JavaScript;Python;Ruby</v>
      </c>
      <c r="M7062" s="9" t="s">
        <v>30</v>
      </c>
    </row>
    <row r="7063" ht="15.75" customHeight="1">
      <c r="A7063" s="7"/>
      <c r="B7063" s="7" t="str">
        <f>IFERROR(__xludf.DUMMYFUNCTION("""COMPUTED_VALUE"""),"C++;C#;HTML/CSS;JavaScript;PHP;Python;SQL;Other(s):")</f>
        <v>C++;C#;HTML/CSS;JavaScript;PHP;Python;SQL;Other(s):</v>
      </c>
      <c r="M7063" s="9" t="s">
        <v>25</v>
      </c>
    </row>
    <row r="7064" ht="15.75" customHeight="1">
      <c r="A7064" s="7"/>
      <c r="B7064" s="7" t="str">
        <f>IFERROR(__xludf.DUMMYFUNCTION("""COMPUTED_VALUE"""),"JavaScript;PHP;Python;SQL;TypeScript")</f>
        <v>JavaScript;PHP;Python;SQL;TypeScript</v>
      </c>
      <c r="M7064" s="9" t="s">
        <v>23</v>
      </c>
    </row>
    <row r="7065" ht="15.75" customHeight="1">
      <c r="A7065" s="7"/>
      <c r="B7065" s="7" t="str">
        <f>IFERROR(__xludf.DUMMYFUNCTION("""COMPUTED_VALUE"""),"Java;JavaScript;SQL")</f>
        <v>Java;JavaScript;SQL</v>
      </c>
      <c r="M7065" s="9" t="s">
        <v>24</v>
      </c>
    </row>
    <row r="7066" ht="15.75" customHeight="1">
      <c r="A7066" s="7"/>
      <c r="B7066" s="7" t="str">
        <f>IFERROR(__xludf.DUMMYFUNCTION("""COMPUTED_VALUE"""),"HTML/CSS;JavaScript;PHP;SQL;TypeScript")</f>
        <v>HTML/CSS;JavaScript;PHP;SQL;TypeScript</v>
      </c>
      <c r="M7066" s="9" t="s">
        <v>20</v>
      </c>
    </row>
    <row r="7067" ht="15.75" customHeight="1">
      <c r="A7067" s="7"/>
      <c r="B7067" s="7" t="str">
        <f>IFERROR(__xludf.DUMMYFUNCTION("""COMPUTED_VALUE"""),"C;C++;Go;Java;JavaScript;Python;SQL")</f>
        <v>C;C++;Go;Java;JavaScript;Python;SQL</v>
      </c>
      <c r="M7067" s="9" t="s">
        <v>21</v>
      </c>
    </row>
    <row r="7068" ht="15.75" customHeight="1">
      <c r="A7068" s="7"/>
      <c r="B7068" s="7" t="str">
        <f>IFERROR(__xludf.DUMMYFUNCTION("""COMPUTED_VALUE"""),"Other(s):")</f>
        <v>Other(s):</v>
      </c>
      <c r="M7068" s="9" t="s">
        <v>27</v>
      </c>
    </row>
    <row r="7069" ht="15.75" customHeight="1">
      <c r="A7069" s="7"/>
      <c r="B7069" s="7" t="str">
        <f>IFERROR(__xludf.DUMMYFUNCTION("""COMPUTED_VALUE"""),"C;C++;Java;SQL")</f>
        <v>C;C++;Java;SQL</v>
      </c>
      <c r="M7069" s="9" t="s">
        <v>24</v>
      </c>
    </row>
    <row r="7070" ht="15.75" customHeight="1">
      <c r="A7070" s="7"/>
      <c r="B7070" s="7" t="str">
        <f>IFERROR(__xludf.DUMMYFUNCTION("""COMPUTED_VALUE"""),"HTML/CSS;Java;JavaScript;SQL")</f>
        <v>HTML/CSS;Java;JavaScript;SQL</v>
      </c>
      <c r="M7070" s="9" t="s">
        <v>21</v>
      </c>
    </row>
    <row r="7071" ht="15.75" customHeight="1">
      <c r="A7071" s="7"/>
      <c r="B7071" s="7" t="str">
        <f>IFERROR(__xludf.DUMMYFUNCTION("""COMPUTED_VALUE"""),"C#;Go;HTML/CSS;JavaScript;Kotlin;Python;Ruby;SQL;TypeScript")</f>
        <v>C#;Go;HTML/CSS;JavaScript;Kotlin;Python;Ruby;SQL;TypeScript</v>
      </c>
      <c r="M7071" s="9" t="s">
        <v>39</v>
      </c>
    </row>
    <row r="7072" ht="15.75" customHeight="1">
      <c r="A7072" s="7"/>
      <c r="B7072" s="7" t="str">
        <f>IFERROR(__xludf.DUMMYFUNCTION("""COMPUTED_VALUE"""),"C#;HTML/CSS;Java;JavaScript;SQL;VBA")</f>
        <v>C#;HTML/CSS;Java;JavaScript;SQL;VBA</v>
      </c>
      <c r="M7072" s="9" t="s">
        <v>22</v>
      </c>
    </row>
    <row r="7073" ht="15.75" customHeight="1">
      <c r="A7073" s="7"/>
      <c r="B7073" s="7" t="str">
        <f>IFERROR(__xludf.DUMMYFUNCTION("""COMPUTED_VALUE"""),"Java;JavaScript;Other(s):")</f>
        <v>Java;JavaScript;Other(s):</v>
      </c>
      <c r="M7073" s="9" t="s">
        <v>27</v>
      </c>
    </row>
    <row r="7074" ht="15.75" customHeight="1">
      <c r="A7074" s="7"/>
      <c r="B7074" s="7" t="str">
        <f>IFERROR(__xludf.DUMMYFUNCTION("""COMPUTED_VALUE"""),"Bash/Shell/PowerShell;C#;Go;HTML/CSS;JavaScript;Ruby;SQL;TypeScript;Other(s):")</f>
        <v>Bash/Shell/PowerShell;C#;Go;HTML/CSS;JavaScript;Ruby;SQL;TypeScript;Other(s):</v>
      </c>
      <c r="M7074" s="9" t="s">
        <v>20</v>
      </c>
    </row>
    <row r="7075" ht="15.75" customHeight="1">
      <c r="A7075" s="7"/>
      <c r="B7075" s="7" t="str">
        <f>IFERROR(__xludf.DUMMYFUNCTION("""COMPUTED_VALUE"""),"C;C++;HTML/CSS;Java;JavaScript;PHP;Python;VBA")</f>
        <v>C;C++;HTML/CSS;Java;JavaScript;PHP;Python;VBA</v>
      </c>
      <c r="M7075" s="9" t="s">
        <v>46</v>
      </c>
    </row>
    <row r="7076" ht="15.75" customHeight="1">
      <c r="A7076" s="7"/>
      <c r="B7076" s="7" t="str">
        <f>IFERROR(__xludf.DUMMYFUNCTION("""COMPUTED_VALUE"""),"HTML/CSS;JavaScript;SQL;TypeScript")</f>
        <v>HTML/CSS;JavaScript;SQL;TypeScript</v>
      </c>
      <c r="M7076" s="9" t="s">
        <v>38</v>
      </c>
    </row>
    <row r="7077" ht="15.75" customHeight="1">
      <c r="A7077" s="7"/>
      <c r="B7077" s="7" t="str">
        <f>IFERROR(__xludf.DUMMYFUNCTION("""COMPUTED_VALUE"""),"Bash/Shell/PowerShell;C;HTML/CSS;JavaScript;PHP;Ruby;SQL;Other(s):")</f>
        <v>Bash/Shell/PowerShell;C;HTML/CSS;JavaScript;PHP;Ruby;SQL;Other(s):</v>
      </c>
      <c r="M7077" s="9" t="s">
        <v>30</v>
      </c>
    </row>
    <row r="7078" ht="15.75" customHeight="1">
      <c r="A7078" s="7"/>
      <c r="B7078" s="7" t="str">
        <f>IFERROR(__xludf.DUMMYFUNCTION("""COMPUTED_VALUE"""),"Java;R")</f>
        <v>Java;R</v>
      </c>
      <c r="M7078" s="9" t="s">
        <v>25</v>
      </c>
    </row>
    <row r="7079" ht="15.75" customHeight="1">
      <c r="A7079" s="7"/>
      <c r="B7079" s="7" t="str">
        <f>IFERROR(__xludf.DUMMYFUNCTION("""COMPUTED_VALUE"""),"Python;R;VBA")</f>
        <v>Python;R;VBA</v>
      </c>
      <c r="M7079" s="9" t="s">
        <v>23</v>
      </c>
    </row>
    <row r="7080" ht="15.75" customHeight="1">
      <c r="A7080" s="7"/>
      <c r="B7080" s="7" t="str">
        <f>IFERROR(__xludf.DUMMYFUNCTION("""COMPUTED_VALUE"""),"Bash/Shell/PowerShell;C++;C#;HTML/CSS;JavaScript;PHP;SQL;Swift;TypeScript")</f>
        <v>Bash/Shell/PowerShell;C++;C#;HTML/CSS;JavaScript;PHP;SQL;Swift;TypeScript</v>
      </c>
      <c r="M7080" s="9" t="s">
        <v>26</v>
      </c>
    </row>
    <row r="7081" ht="15.75" customHeight="1">
      <c r="A7081" s="7"/>
      <c r="B7081" s="7" t="str">
        <f>IFERROR(__xludf.DUMMYFUNCTION("""COMPUTED_VALUE"""),"HTML/CSS;Java;JavaScript;PHP;SQL")</f>
        <v>HTML/CSS;Java;JavaScript;PHP;SQL</v>
      </c>
      <c r="M7081" s="9" t="s">
        <v>36</v>
      </c>
    </row>
    <row r="7082" ht="15.75" customHeight="1">
      <c r="A7082" s="7"/>
      <c r="B7082" s="7" t="str">
        <f>IFERROR(__xludf.DUMMYFUNCTION("""COMPUTED_VALUE"""),"Bash/Shell/PowerShell;C;C++;C#;Go;HTML/CSS;Java;JavaScript;Kotlin;PHP;Python;R;Ruby;Scala;SQL")</f>
        <v>Bash/Shell/PowerShell;C;C++;C#;Go;HTML/CSS;Java;JavaScript;Kotlin;PHP;Python;R;Ruby;Scala;SQL</v>
      </c>
      <c r="M7082" s="9" t="s">
        <v>24</v>
      </c>
    </row>
    <row r="7083" ht="15.75" customHeight="1">
      <c r="A7083" s="7"/>
      <c r="B7083" s="7" t="str">
        <f>IFERROR(__xludf.DUMMYFUNCTION("""COMPUTED_VALUE"""),"HTML/CSS;JavaScript;PHP")</f>
        <v>HTML/CSS;JavaScript;PHP</v>
      </c>
      <c r="M7083" s="9" t="s">
        <v>20</v>
      </c>
    </row>
    <row r="7084" ht="15.75" customHeight="1">
      <c r="A7084" s="7"/>
      <c r="B7084" s="7" t="str">
        <f>IFERROR(__xludf.DUMMYFUNCTION("""COMPUTED_VALUE"""),"Bash/Shell/PowerShell;C++;Python")</f>
        <v>Bash/Shell/PowerShell;C++;Python</v>
      </c>
      <c r="M7084" s="9" t="s">
        <v>22</v>
      </c>
    </row>
    <row r="7085" ht="15.75" customHeight="1">
      <c r="A7085" s="7"/>
      <c r="B7085" s="7" t="str">
        <f>IFERROR(__xludf.DUMMYFUNCTION("""COMPUTED_VALUE"""),"Java;Kotlin;Ruby")</f>
        <v>Java;Kotlin;Ruby</v>
      </c>
      <c r="M7085" s="9" t="s">
        <v>46</v>
      </c>
    </row>
    <row r="7086" ht="15.75" customHeight="1">
      <c r="A7086" s="7"/>
      <c r="B7086" s="7" t="str">
        <f>IFERROR(__xludf.DUMMYFUNCTION("""COMPUTED_VALUE"""),"C#;HTML/CSS;JavaScript")</f>
        <v>C#;HTML/CSS;JavaScript</v>
      </c>
      <c r="M7086" s="9" t="s">
        <v>26</v>
      </c>
    </row>
    <row r="7087" ht="15.75" customHeight="1">
      <c r="A7087" s="7"/>
      <c r="B7087" s="7" t="str">
        <f>IFERROR(__xludf.DUMMYFUNCTION("""COMPUTED_VALUE"""),"C;C++;JavaScript;Python;TypeScript")</f>
        <v>C;C++;JavaScript;Python;TypeScript</v>
      </c>
      <c r="M7087" s="9" t="s">
        <v>24</v>
      </c>
    </row>
    <row r="7088" ht="15.75" customHeight="1">
      <c r="A7088" s="7"/>
      <c r="B7088" s="7" t="str">
        <f>IFERROR(__xludf.DUMMYFUNCTION("""COMPUTED_VALUE"""),"C#;HTML/CSS;Java;JavaScript;SQL")</f>
        <v>C#;HTML/CSS;Java;JavaScript;SQL</v>
      </c>
      <c r="M7088" s="9" t="s">
        <v>21</v>
      </c>
    </row>
    <row r="7089" ht="15.75" customHeight="1">
      <c r="A7089" s="7"/>
      <c r="B7089" s="7" t="str">
        <f>IFERROR(__xludf.DUMMYFUNCTION("""COMPUTED_VALUE"""),"Bash/Shell/PowerShell;Dart;Go;HTML/CSS;Java;JavaScript;Kotlin;Swift")</f>
        <v>Bash/Shell/PowerShell;Dart;Go;HTML/CSS;Java;JavaScript;Kotlin;Swift</v>
      </c>
      <c r="M7089" s="9" t="s">
        <v>27</v>
      </c>
    </row>
    <row r="7090" ht="15.75" customHeight="1">
      <c r="A7090" s="7"/>
      <c r="B7090" s="7" t="str">
        <f>IFERROR(__xludf.DUMMYFUNCTION("""COMPUTED_VALUE"""),"C++;C#;HTML/CSS;JavaScript;Python;TypeScript")</f>
        <v>C++;C#;HTML/CSS;JavaScript;Python;TypeScript</v>
      </c>
      <c r="M7090" s="9" t="s">
        <v>33</v>
      </c>
    </row>
    <row r="7091" ht="15.75" customHeight="1">
      <c r="A7091" s="7"/>
      <c r="B7091" s="7" t="str">
        <f>IFERROR(__xludf.DUMMYFUNCTION("""COMPUTED_VALUE"""),"Bash/Shell/PowerShell;HTML/CSS;Java;JavaScript;Objective-C;PHP;SQL")</f>
        <v>Bash/Shell/PowerShell;HTML/CSS;Java;JavaScript;Objective-C;PHP;SQL</v>
      </c>
      <c r="M7091" s="9" t="s">
        <v>24</v>
      </c>
    </row>
    <row r="7092" ht="15.75" customHeight="1">
      <c r="A7092" s="7"/>
      <c r="B7092" s="7" t="str">
        <f>IFERROR(__xludf.DUMMYFUNCTION("""COMPUTED_VALUE"""),"HTML/CSS;JavaScript;PHP;SQL")</f>
        <v>HTML/CSS;JavaScript;PHP;SQL</v>
      </c>
      <c r="M7092" s="9" t="s">
        <v>21</v>
      </c>
    </row>
    <row r="7093" ht="15.75" customHeight="1">
      <c r="A7093" s="7"/>
      <c r="B7093" s="7" t="str">
        <f>IFERROR(__xludf.DUMMYFUNCTION("""COMPUTED_VALUE"""),"HTML/CSS;Java;JavaScript;PHP")</f>
        <v>HTML/CSS;Java;JavaScript;PHP</v>
      </c>
      <c r="M7093" s="9" t="s">
        <v>37</v>
      </c>
    </row>
    <row r="7094" ht="15.75" customHeight="1">
      <c r="A7094" s="7"/>
      <c r="B7094" s="7" t="str">
        <f>IFERROR(__xludf.DUMMYFUNCTION("""COMPUTED_VALUE"""),"C;HTML/CSS;Java;JavaScript;PHP;Python")</f>
        <v>C;HTML/CSS;Java;JavaScript;PHP;Python</v>
      </c>
      <c r="M7094" s="9" t="s">
        <v>27</v>
      </c>
    </row>
    <row r="7095" ht="15.75" customHeight="1">
      <c r="A7095" s="7"/>
      <c r="B7095" s="7" t="str">
        <f>IFERROR(__xludf.DUMMYFUNCTION("""COMPUTED_VALUE"""),"C;C++;C#;HTML/CSS;JavaScript;Python;Ruby;SQL;Other(s):")</f>
        <v>C;C++;C#;HTML/CSS;JavaScript;Python;Ruby;SQL;Other(s):</v>
      </c>
      <c r="M7095" s="9" t="s">
        <v>24</v>
      </c>
    </row>
    <row r="7096" ht="15.75" customHeight="1">
      <c r="A7096" s="7"/>
      <c r="B7096" s="7" t="str">
        <f>IFERROR(__xludf.DUMMYFUNCTION("""COMPUTED_VALUE"""),"Go;HTML/CSS;JavaScript;PHP;SQL")</f>
        <v>Go;HTML/CSS;JavaScript;PHP;SQL</v>
      </c>
      <c r="M7096" s="9" t="s">
        <v>21</v>
      </c>
    </row>
    <row r="7097" ht="15.75" customHeight="1">
      <c r="A7097" s="7"/>
      <c r="B7097" s="7" t="str">
        <f>IFERROR(__xludf.DUMMYFUNCTION("""COMPUTED_VALUE"""),"HTML/CSS;Java;JavaScript;PHP;Python;SQL")</f>
        <v>HTML/CSS;Java;JavaScript;PHP;Python;SQL</v>
      </c>
      <c r="M7097" s="9" t="s">
        <v>37</v>
      </c>
    </row>
    <row r="7098" ht="15.75" customHeight="1">
      <c r="A7098" s="7"/>
      <c r="B7098" s="7" t="str">
        <f>IFERROR(__xludf.DUMMYFUNCTION("""COMPUTED_VALUE"""),"C;C++;C#")</f>
        <v>C;C++;C#</v>
      </c>
      <c r="M7098" s="9" t="s">
        <v>27</v>
      </c>
    </row>
    <row r="7099" ht="15.75" customHeight="1">
      <c r="A7099" s="7"/>
      <c r="B7099" s="7" t="str">
        <f>IFERROR(__xludf.DUMMYFUNCTION("""COMPUTED_VALUE"""),"C++")</f>
        <v>C++</v>
      </c>
      <c r="M7099" s="9" t="s">
        <v>23</v>
      </c>
    </row>
    <row r="7100" ht="15.75" customHeight="1">
      <c r="A7100" s="7"/>
      <c r="B7100" s="7" t="str">
        <f>IFERROR(__xludf.DUMMYFUNCTION("""COMPUTED_VALUE"""),"C;C++;C#;JavaScript;Python")</f>
        <v>C;C++;C#;JavaScript;Python</v>
      </c>
      <c r="M7100" s="9" t="s">
        <v>26</v>
      </c>
    </row>
    <row r="7101" ht="15.75" customHeight="1">
      <c r="A7101" s="7"/>
      <c r="B7101" s="7" t="str">
        <f>IFERROR(__xludf.DUMMYFUNCTION("""COMPUTED_VALUE"""),"HTML/CSS;Java;JavaScript;PHP;Ruby;SQL")</f>
        <v>HTML/CSS;Java;JavaScript;PHP;Ruby;SQL</v>
      </c>
      <c r="M7101" s="9" t="s">
        <v>24</v>
      </c>
    </row>
    <row r="7102" ht="15.75" customHeight="1">
      <c r="A7102" s="7"/>
      <c r="B7102" s="7" t="str">
        <f>IFERROR(__xludf.DUMMYFUNCTION("""COMPUTED_VALUE"""),"Bash/Shell/PowerShell;Java;JavaScript;Python;Scala;SQL")</f>
        <v>Bash/Shell/PowerShell;Java;JavaScript;Python;Scala;SQL</v>
      </c>
      <c r="M7102" s="9" t="s">
        <v>21</v>
      </c>
    </row>
    <row r="7103" ht="15.75" customHeight="1">
      <c r="A7103" s="7"/>
      <c r="B7103" s="7" t="str">
        <f>IFERROR(__xludf.DUMMYFUNCTION("""COMPUTED_VALUE"""),"HTML/CSS;JavaScript;Python;SQL")</f>
        <v>HTML/CSS;JavaScript;Python;SQL</v>
      </c>
      <c r="M7103" s="9" t="s">
        <v>26</v>
      </c>
    </row>
    <row r="7104" ht="15.75" customHeight="1">
      <c r="A7104" s="7"/>
      <c r="B7104" s="7" t="str">
        <f>IFERROR(__xludf.DUMMYFUNCTION("""COMPUTED_VALUE"""),"HTML/CSS;JavaScript;Python;SQL")</f>
        <v>HTML/CSS;JavaScript;Python;SQL</v>
      </c>
      <c r="M7104" s="9" t="s">
        <v>22</v>
      </c>
    </row>
    <row r="7105" ht="15.75" customHeight="1">
      <c r="A7105" s="7"/>
      <c r="B7105" s="7" t="str">
        <f>IFERROR(__xludf.DUMMYFUNCTION("""COMPUTED_VALUE"""),"C#;HTML/CSS;JavaScript;SQL;VBA")</f>
        <v>C#;HTML/CSS;JavaScript;SQL;VBA</v>
      </c>
      <c r="M7105" s="9" t="s">
        <v>32</v>
      </c>
    </row>
    <row r="7106" ht="15.75" customHeight="1">
      <c r="A7106" s="7"/>
      <c r="B7106" s="7" t="str">
        <f>IFERROR(__xludf.DUMMYFUNCTION("""COMPUTED_VALUE"""),"C#;Dart;F#;HTML/CSS;JavaScript;PHP;Python;R;SQL;VBA")</f>
        <v>C#;Dart;F#;HTML/CSS;JavaScript;PHP;Python;R;SQL;VBA</v>
      </c>
      <c r="M7106" s="9" t="s">
        <v>24</v>
      </c>
    </row>
    <row r="7107" ht="15.75" customHeight="1">
      <c r="A7107" s="7"/>
      <c r="B7107" s="7" t="str">
        <f>IFERROR(__xludf.DUMMYFUNCTION("""COMPUTED_VALUE"""),"HTML/CSS;Java;JavaScript;SQL")</f>
        <v>HTML/CSS;Java;JavaScript;SQL</v>
      </c>
      <c r="M7107" s="9" t="s">
        <v>21</v>
      </c>
    </row>
    <row r="7108" ht="15.75" customHeight="1">
      <c r="A7108" s="7"/>
      <c r="B7108" s="7" t="str">
        <f>IFERROR(__xludf.DUMMYFUNCTION("""COMPUTED_VALUE"""),"Bash/Shell/PowerShell;C++;JavaScript;Python;TypeScript")</f>
        <v>Bash/Shell/PowerShell;C++;JavaScript;Python;TypeScript</v>
      </c>
      <c r="M7108" s="9" t="s">
        <v>37</v>
      </c>
    </row>
    <row r="7109" ht="15.75" customHeight="1">
      <c r="A7109" s="7"/>
      <c r="B7109" s="7" t="str">
        <f>IFERROR(__xludf.DUMMYFUNCTION("""COMPUTED_VALUE"""),"Bash/Shell/PowerShell;Go;HTML/CSS;JavaScript;Ruby;TypeScript")</f>
        <v>Bash/Shell/PowerShell;Go;HTML/CSS;JavaScript;Ruby;TypeScript</v>
      </c>
      <c r="M7109" s="9" t="s">
        <v>27</v>
      </c>
    </row>
    <row r="7110" ht="15.75" customHeight="1">
      <c r="A7110" s="7"/>
      <c r="B7110" s="7" t="str">
        <f>IFERROR(__xludf.DUMMYFUNCTION("""COMPUTED_VALUE"""),"C;HTML/CSS;JavaScript")</f>
        <v>C;HTML/CSS;JavaScript</v>
      </c>
      <c r="M7110" s="9" t="s">
        <v>30</v>
      </c>
    </row>
    <row r="7111" ht="15.75" customHeight="1">
      <c r="A7111" s="7"/>
      <c r="B7111" s="7" t="str">
        <f>IFERROR(__xludf.DUMMYFUNCTION("""COMPUTED_VALUE"""),"Bash/Shell/PowerShell;C;C++;C#;HTML/CSS;Java;JavaScript;Python;R;SQL;VBA")</f>
        <v>Bash/Shell/PowerShell;C;C++;C#;HTML/CSS;Java;JavaScript;Python;R;SQL;VBA</v>
      </c>
      <c r="M7111" s="9" t="s">
        <v>20</v>
      </c>
    </row>
    <row r="7112" ht="15.75" customHeight="1">
      <c r="A7112" s="7"/>
      <c r="B7112" s="7" t="str">
        <f>IFERROR(__xludf.DUMMYFUNCTION("""COMPUTED_VALUE"""),"Assembly;C;C++;Go;HTML/CSS;Java;JavaScript;PHP;Python;Rust")</f>
        <v>Assembly;C;C++;Go;HTML/CSS;Java;JavaScript;PHP;Python;Rust</v>
      </c>
      <c r="M7112" s="9" t="s">
        <v>21</v>
      </c>
    </row>
    <row r="7113" ht="15.75" customHeight="1">
      <c r="A7113" s="7"/>
      <c r="B7113" s="7" t="str">
        <f>IFERROR(__xludf.DUMMYFUNCTION("""COMPUTED_VALUE"""),"HTML/CSS;JavaScript;PHP")</f>
        <v>HTML/CSS;JavaScript;PHP</v>
      </c>
      <c r="M7113" s="9" t="s">
        <v>22</v>
      </c>
    </row>
    <row r="7114" ht="15.75" customHeight="1">
      <c r="A7114" s="7"/>
      <c r="B7114" s="7" t="str">
        <f>IFERROR(__xludf.DUMMYFUNCTION("""COMPUTED_VALUE"""),"C;C++;C#;PHP;SQL")</f>
        <v>C;C++;C#;PHP;SQL</v>
      </c>
      <c r="M7114" s="9" t="s">
        <v>27</v>
      </c>
    </row>
    <row r="7115" ht="15.75" customHeight="1">
      <c r="A7115" s="7"/>
      <c r="B7115" s="7" t="str">
        <f>IFERROR(__xludf.DUMMYFUNCTION("""COMPUTED_VALUE"""),"HTML/CSS;Java;JavaScript;PHP;Python;Ruby;SQL")</f>
        <v>HTML/CSS;Java;JavaScript;PHP;Python;Ruby;SQL</v>
      </c>
      <c r="M7115" s="9" t="s">
        <v>23</v>
      </c>
    </row>
    <row r="7116" ht="15.75" customHeight="1">
      <c r="A7116" s="7"/>
      <c r="B7116" s="7" t="str">
        <f>IFERROR(__xludf.DUMMYFUNCTION("""COMPUTED_VALUE"""),"C;C++;HTML/CSS;JavaScript;Python")</f>
        <v>C;C++;HTML/CSS;JavaScript;Python</v>
      </c>
      <c r="M7116" s="9" t="s">
        <v>20</v>
      </c>
    </row>
    <row r="7117" ht="15.75" customHeight="1">
      <c r="A7117" s="7"/>
      <c r="B7117" s="7" t="str">
        <f>IFERROR(__xludf.DUMMYFUNCTION("""COMPUTED_VALUE"""),"Assembly;HTML/CSS;JavaScript;Python;TypeScript")</f>
        <v>Assembly;HTML/CSS;JavaScript;Python;TypeScript</v>
      </c>
      <c r="M7117" s="9" t="s">
        <v>39</v>
      </c>
    </row>
    <row r="7118" ht="15.75" customHeight="1">
      <c r="A7118" s="7"/>
      <c r="B7118" s="7" t="str">
        <f>IFERROR(__xludf.DUMMYFUNCTION("""COMPUTED_VALUE"""),"HTML/CSS;Java;JavaScript;Python;TypeScript")</f>
        <v>HTML/CSS;Java;JavaScript;Python;TypeScript</v>
      </c>
      <c r="M7118" s="9" t="s">
        <v>22</v>
      </c>
    </row>
    <row r="7119" ht="15.75" customHeight="1">
      <c r="A7119" s="7"/>
      <c r="B7119" s="7" t="str">
        <f>IFERROR(__xludf.DUMMYFUNCTION("""COMPUTED_VALUE"""),"C#;Clojure;JavaScript;Objective-C;SQL")</f>
        <v>C#;Clojure;JavaScript;Objective-C;SQL</v>
      </c>
      <c r="M7119" s="9" t="s">
        <v>27</v>
      </c>
    </row>
    <row r="7120" ht="15.75" customHeight="1">
      <c r="A7120" s="7"/>
      <c r="B7120" s="7" t="str">
        <f>IFERROR(__xludf.DUMMYFUNCTION("""COMPUTED_VALUE"""),"C;C++;C#;Java;PHP;SQL")</f>
        <v>C;C++;C#;Java;PHP;SQL</v>
      </c>
      <c r="M7120" s="9" t="s">
        <v>25</v>
      </c>
    </row>
    <row r="7121" ht="15.75" customHeight="1">
      <c r="A7121" s="7"/>
      <c r="B7121" s="7" t="str">
        <f>IFERROR(__xludf.DUMMYFUNCTION("""COMPUTED_VALUE"""),"Bash/Shell/PowerShell;Go;HTML/CSS;Java;Python;Ruby")</f>
        <v>Bash/Shell/PowerShell;Go;HTML/CSS;Java;Python;Ruby</v>
      </c>
      <c r="M7121" s="9" t="s">
        <v>23</v>
      </c>
    </row>
    <row r="7122" ht="15.75" customHeight="1">
      <c r="A7122" s="7"/>
      <c r="B7122" s="7" t="str">
        <f>IFERROR(__xludf.DUMMYFUNCTION("""COMPUTED_VALUE"""),"C;C#;HTML/CSS;Java;JavaScript;Python;SQL;TypeScript")</f>
        <v>C;C#;HTML/CSS;Java;JavaScript;Python;SQL;TypeScript</v>
      </c>
      <c r="M7122" s="9" t="s">
        <v>26</v>
      </c>
    </row>
    <row r="7123" ht="15.75" customHeight="1">
      <c r="A7123" s="7"/>
      <c r="B7123" s="7" t="str">
        <f>IFERROR(__xludf.DUMMYFUNCTION("""COMPUTED_VALUE"""),"Bash/Shell/PowerShell;C;C++;HTML/CSS;Java;JavaScript;Kotlin;Python;SQL")</f>
        <v>Bash/Shell/PowerShell;C;C++;HTML/CSS;Java;JavaScript;Kotlin;Python;SQL</v>
      </c>
      <c r="M7123" s="9" t="s">
        <v>20</v>
      </c>
    </row>
    <row r="7124" ht="15.75" customHeight="1">
      <c r="A7124" s="7"/>
      <c r="B7124" s="7" t="str">
        <f>IFERROR(__xludf.DUMMYFUNCTION("""COMPUTED_VALUE"""),"Bash/Shell/PowerShell;HTML/CSS;Java;JavaScript;SQL")</f>
        <v>Bash/Shell/PowerShell;HTML/CSS;Java;JavaScript;SQL</v>
      </c>
      <c r="M7124" s="9" t="s">
        <v>27</v>
      </c>
    </row>
    <row r="7125" ht="15.75" customHeight="1">
      <c r="A7125" s="7"/>
      <c r="B7125" s="7" t="str">
        <f>IFERROR(__xludf.DUMMYFUNCTION("""COMPUTED_VALUE"""),"Bash/Shell/PowerShell;C;C#")</f>
        <v>Bash/Shell/PowerShell;C;C#</v>
      </c>
      <c r="M7125" s="9" t="s">
        <v>28</v>
      </c>
    </row>
    <row r="7126" ht="15.75" customHeight="1">
      <c r="A7126" s="7"/>
      <c r="B7126" s="7" t="str">
        <f>IFERROR(__xludf.DUMMYFUNCTION("""COMPUTED_VALUE"""),"Bash/Shell/PowerShell;Go;HTML/CSS;Java;JavaScript;Python;SQL;TypeScript")</f>
        <v>Bash/Shell/PowerShell;Go;HTML/CSS;Java;JavaScript;Python;SQL;TypeScript</v>
      </c>
      <c r="M7126" s="9" t="s">
        <v>24</v>
      </c>
    </row>
    <row r="7127" ht="15.75" customHeight="1">
      <c r="A7127" s="7"/>
      <c r="B7127" s="7" t="str">
        <f>IFERROR(__xludf.DUMMYFUNCTION("""COMPUTED_VALUE"""),"HTML/CSS;JavaScript;PHP;TypeScript")</f>
        <v>HTML/CSS;JavaScript;PHP;TypeScript</v>
      </c>
      <c r="M7127" s="9" t="s">
        <v>21</v>
      </c>
    </row>
    <row r="7128" ht="15.75" customHeight="1">
      <c r="A7128" s="7"/>
      <c r="B7128" s="7" t="str">
        <f>IFERROR(__xludf.DUMMYFUNCTION("""COMPUTED_VALUE"""),"Bash/Shell/PowerShell;HTML/CSS;JavaScript;Python;Scala;SQL")</f>
        <v>Bash/Shell/PowerShell;HTML/CSS;JavaScript;Python;Scala;SQL</v>
      </c>
      <c r="M7128" s="9" t="s">
        <v>37</v>
      </c>
    </row>
    <row r="7129" ht="15.75" customHeight="1">
      <c r="A7129" s="7"/>
      <c r="B7129" s="7" t="str">
        <f>IFERROR(__xludf.DUMMYFUNCTION("""COMPUTED_VALUE"""),"Assembly;C;C++;HTML/CSS;Java;JavaScript;SQL")</f>
        <v>Assembly;C;C++;HTML/CSS;Java;JavaScript;SQL</v>
      </c>
      <c r="M7129" s="9" t="s">
        <v>27</v>
      </c>
    </row>
    <row r="7130" ht="15.75" customHeight="1">
      <c r="A7130" s="7"/>
      <c r="B7130" s="7" t="str">
        <f>IFERROR(__xludf.DUMMYFUNCTION("""COMPUTED_VALUE"""),"HTML/CSS;Java;JavaScript;SQL;TypeScript")</f>
        <v>HTML/CSS;Java;JavaScript;SQL;TypeScript</v>
      </c>
      <c r="M7130" s="9" t="s">
        <v>26</v>
      </c>
    </row>
    <row r="7131" ht="15.75" customHeight="1">
      <c r="A7131" s="7"/>
      <c r="B7131" s="7" t="str">
        <f>IFERROR(__xludf.DUMMYFUNCTION("""COMPUTED_VALUE"""),"HTML/CSS;Java;JavaScript;SQL")</f>
        <v>HTML/CSS;Java;JavaScript;SQL</v>
      </c>
      <c r="M7131" s="9" t="s">
        <v>24</v>
      </c>
    </row>
    <row r="7132" ht="15.75" customHeight="1">
      <c r="A7132" s="7"/>
      <c r="B7132" s="7" t="str">
        <f>IFERROR(__xludf.DUMMYFUNCTION("""COMPUTED_VALUE"""),"Bash/Shell/PowerShell;HTML/CSS;JavaScript;PHP;SQL")</f>
        <v>Bash/Shell/PowerShell;HTML/CSS;JavaScript;PHP;SQL</v>
      </c>
      <c r="M7132" s="9" t="s">
        <v>20</v>
      </c>
    </row>
    <row r="7133" ht="15.75" customHeight="1">
      <c r="A7133" s="7"/>
      <c r="B7133" s="7" t="str">
        <f>IFERROR(__xludf.DUMMYFUNCTION("""COMPUTED_VALUE"""),"C;HTML/CSS;JavaScript;PHP;SQL;Other(s):")</f>
        <v>C;HTML/CSS;JavaScript;PHP;SQL;Other(s):</v>
      </c>
      <c r="M7133" s="9" t="s">
        <v>21</v>
      </c>
    </row>
    <row r="7134" ht="15.75" customHeight="1">
      <c r="A7134" s="7"/>
      <c r="B7134" s="7" t="str">
        <f>IFERROR(__xludf.DUMMYFUNCTION("""COMPUTED_VALUE"""),"Assembly;Bash/Shell/PowerShell;C#;HTML/CSS;JavaScript;Python;Ruby;SQL")</f>
        <v>Assembly;Bash/Shell/PowerShell;C#;HTML/CSS;JavaScript;Python;Ruby;SQL</v>
      </c>
      <c r="M7134" s="9" t="s">
        <v>37</v>
      </c>
    </row>
    <row r="7135" ht="15.75" customHeight="1">
      <c r="A7135" s="7"/>
      <c r="B7135" s="7" t="str">
        <f>IFERROR(__xludf.DUMMYFUNCTION("""COMPUTED_VALUE"""),"Bash/Shell/PowerShell;C#;HTML/CSS;JavaScript;SQL;TypeScript")</f>
        <v>Bash/Shell/PowerShell;C#;HTML/CSS;JavaScript;SQL;TypeScript</v>
      </c>
      <c r="M7135" s="9" t="s">
        <v>24</v>
      </c>
    </row>
    <row r="7136" ht="15.75" customHeight="1">
      <c r="A7136" s="7"/>
      <c r="B7136" s="7" t="str">
        <f>IFERROR(__xludf.DUMMYFUNCTION("""COMPUTED_VALUE"""),"Bash/Shell/PowerShell;C++;HTML/CSS;Java;Python;R;SQL")</f>
        <v>Bash/Shell/PowerShell;C++;HTML/CSS;Java;Python;R;SQL</v>
      </c>
      <c r="M7136" s="9" t="s">
        <v>21</v>
      </c>
    </row>
    <row r="7137" ht="15.75" customHeight="1">
      <c r="A7137" s="7"/>
      <c r="B7137" s="7" t="str">
        <f>IFERROR(__xludf.DUMMYFUNCTION("""COMPUTED_VALUE"""),"Assembly;Bash/Shell/PowerShell;C;C++;C#;JavaScript;Python;SQL;VBA")</f>
        <v>Assembly;Bash/Shell/PowerShell;C;C++;C#;JavaScript;Python;SQL;VBA</v>
      </c>
      <c r="M7137" s="9" t="s">
        <v>37</v>
      </c>
    </row>
    <row r="7138" ht="15.75" customHeight="1">
      <c r="A7138" s="7"/>
      <c r="B7138" s="7" t="str">
        <f>IFERROR(__xludf.DUMMYFUNCTION("""COMPUTED_VALUE"""),"Python;SQL;Other(s):")</f>
        <v>Python;SQL;Other(s):</v>
      </c>
      <c r="M7138" s="9" t="s">
        <v>22</v>
      </c>
    </row>
    <row r="7139" ht="15.75" customHeight="1">
      <c r="A7139" s="7"/>
      <c r="B7139" s="7" t="str">
        <f>IFERROR(__xludf.DUMMYFUNCTION("""COMPUTED_VALUE"""),"Python")</f>
        <v>Python</v>
      </c>
      <c r="M7139" s="9" t="s">
        <v>40</v>
      </c>
    </row>
    <row r="7140" ht="15.75" customHeight="1">
      <c r="A7140" s="7"/>
      <c r="B7140" s="7" t="str">
        <f>IFERROR(__xludf.DUMMYFUNCTION("""COMPUTED_VALUE"""),"Bash/Shell/PowerShell;Objective-C;Swift;Other(s):")</f>
        <v>Bash/Shell/PowerShell;Objective-C;Swift;Other(s):</v>
      </c>
      <c r="M7140" s="9" t="s">
        <v>30</v>
      </c>
    </row>
    <row r="7141" ht="15.75" customHeight="1">
      <c r="A7141" s="7"/>
      <c r="B7141" s="7" t="str">
        <f>IFERROR(__xludf.DUMMYFUNCTION("""COMPUTED_VALUE"""),"C;C++;C#;Elixir;HTML/CSS;JavaScript;PHP;SQL")</f>
        <v>C;C++;C#;Elixir;HTML/CSS;JavaScript;PHP;SQL</v>
      </c>
      <c r="M7141" s="9" t="s">
        <v>37</v>
      </c>
    </row>
    <row r="7142" ht="15.75" customHeight="1">
      <c r="A7142" s="7"/>
      <c r="B7142" s="7" t="str">
        <f>IFERROR(__xludf.DUMMYFUNCTION("""COMPUTED_VALUE"""),"Assembly;Bash/Shell/PowerShell;C;C++;HTML/CSS;Java;JavaScript;Kotlin;PHP;Python;SQL")</f>
        <v>Assembly;Bash/Shell/PowerShell;C;C++;HTML/CSS;Java;JavaScript;Kotlin;PHP;Python;SQL</v>
      </c>
      <c r="M7142" s="9" t="s">
        <v>26</v>
      </c>
    </row>
    <row r="7143" ht="15.75" customHeight="1">
      <c r="A7143" s="7"/>
      <c r="B7143" s="7" t="str">
        <f>IFERROR(__xludf.DUMMYFUNCTION("""COMPUTED_VALUE"""),"HTML/CSS;JavaScript;Python;Ruby;SQL;Swift")</f>
        <v>HTML/CSS;JavaScript;Python;Ruby;SQL;Swift</v>
      </c>
      <c r="M7143" s="9" t="s">
        <v>21</v>
      </c>
    </row>
    <row r="7144" ht="15.75" customHeight="1">
      <c r="A7144" s="7"/>
      <c r="B7144" s="7" t="str">
        <f>IFERROR(__xludf.DUMMYFUNCTION("""COMPUTED_VALUE"""),"HTML/CSS;Python")</f>
        <v>HTML/CSS;Python</v>
      </c>
      <c r="M7144" s="9" t="s">
        <v>27</v>
      </c>
    </row>
    <row r="7145" ht="15.75" customHeight="1">
      <c r="A7145" s="7"/>
      <c r="B7145" s="7" t="str">
        <f>IFERROR(__xludf.DUMMYFUNCTION("""COMPUTED_VALUE"""),"C;C++;C#;HTML/CSS;Java;JavaScript;PHP;Python;Ruby;SQL;Swift;TypeScript")</f>
        <v>C;C++;C#;HTML/CSS;Java;JavaScript;PHP;Python;Ruby;SQL;Swift;TypeScript</v>
      </c>
      <c r="M7145" s="9" t="s">
        <v>33</v>
      </c>
    </row>
    <row r="7146" ht="15.75" customHeight="1">
      <c r="A7146" s="7"/>
      <c r="B7146" s="7" t="str">
        <f>IFERROR(__xludf.DUMMYFUNCTION("""COMPUTED_VALUE"""),"Bash/Shell/PowerShell;C;HTML/CSS;Ruby")</f>
        <v>Bash/Shell/PowerShell;C;HTML/CSS;Ruby</v>
      </c>
      <c r="M7146" s="9" t="s">
        <v>24</v>
      </c>
    </row>
    <row r="7147" ht="15.75" customHeight="1">
      <c r="A7147" s="7"/>
      <c r="B7147" s="7" t="str">
        <f>IFERROR(__xludf.DUMMYFUNCTION("""COMPUTED_VALUE"""),"C++;C#;HTML/CSS;Java;JavaScript;SQL;Swift;VBA")</f>
        <v>C++;C#;HTML/CSS;Java;JavaScript;SQL;Swift;VBA</v>
      </c>
      <c r="M7147" s="9" t="s">
        <v>20</v>
      </c>
    </row>
    <row r="7148" ht="15.75" customHeight="1">
      <c r="A7148" s="7"/>
      <c r="B7148" s="7" t="str">
        <f>IFERROR(__xludf.DUMMYFUNCTION("""COMPUTED_VALUE"""),"C++;Python;Scala;SQL")</f>
        <v>C++;Python;Scala;SQL</v>
      </c>
      <c r="M7148" s="9" t="s">
        <v>39</v>
      </c>
    </row>
    <row r="7149" ht="15.75" customHeight="1">
      <c r="A7149" s="7"/>
      <c r="B7149" s="7" t="str">
        <f>IFERROR(__xludf.DUMMYFUNCTION("""COMPUTED_VALUE"""),"Assembly;Bash/Shell/PowerShell;C;C++;C#;HTML/CSS;Java;JavaScript;Objective-C;PHP;Python;R;SQL;Other(s):")</f>
        <v>Assembly;Bash/Shell/PowerShell;C;C++;C#;HTML/CSS;Java;JavaScript;Objective-C;PHP;Python;R;SQL;Other(s):</v>
      </c>
      <c r="M7149" s="9" t="s">
        <v>22</v>
      </c>
    </row>
    <row r="7150" ht="15.75" customHeight="1">
      <c r="A7150" s="7"/>
      <c r="B7150" s="7" t="str">
        <f>IFERROR(__xludf.DUMMYFUNCTION("""COMPUTED_VALUE"""),"C;C++;Java;SQL")</f>
        <v>C;C++;Java;SQL</v>
      </c>
      <c r="M7150" s="9" t="s">
        <v>27</v>
      </c>
    </row>
    <row r="7151" ht="15.75" customHeight="1">
      <c r="A7151" s="7"/>
      <c r="B7151" s="7" t="str">
        <f>IFERROR(__xludf.DUMMYFUNCTION("""COMPUTED_VALUE"""),"HTML/CSS;JavaScript;Python")</f>
        <v>HTML/CSS;JavaScript;Python</v>
      </c>
      <c r="M7151" s="9" t="s">
        <v>30</v>
      </c>
    </row>
    <row r="7152" ht="15.75" customHeight="1">
      <c r="A7152" s="7"/>
      <c r="B7152" s="7" t="str">
        <f>IFERROR(__xludf.DUMMYFUNCTION("""COMPUTED_VALUE"""),"HTML/CSS;JavaScript;TypeScript")</f>
        <v>HTML/CSS;JavaScript;TypeScript</v>
      </c>
      <c r="M7152" s="9" t="s">
        <v>24</v>
      </c>
    </row>
    <row r="7153" ht="15.75" customHeight="1">
      <c r="A7153" s="7"/>
      <c r="B7153" s="7" t="str">
        <f>IFERROR(__xludf.DUMMYFUNCTION("""COMPUTED_VALUE"""),"Bash/Shell/PowerShell;C#;HTML/CSS;JavaScript;PHP;Python;SQL")</f>
        <v>Bash/Shell/PowerShell;C#;HTML/CSS;JavaScript;PHP;Python;SQL</v>
      </c>
      <c r="M7153" s="9" t="s">
        <v>20</v>
      </c>
    </row>
    <row r="7154" ht="15.75" customHeight="1">
      <c r="A7154" s="7"/>
      <c r="B7154" s="7" t="str">
        <f>IFERROR(__xludf.DUMMYFUNCTION("""COMPUTED_VALUE"""),"Assembly;Bash/Shell/PowerShell;C;C++;C#;HTML/CSS;Java;JavaScript;PHP;SQL;VBA;Other(s):")</f>
        <v>Assembly;Bash/Shell/PowerShell;C;C++;C#;HTML/CSS;Java;JavaScript;PHP;SQL;VBA;Other(s):</v>
      </c>
      <c r="M7154" s="9" t="s">
        <v>21</v>
      </c>
    </row>
    <row r="7155" ht="15.75" customHeight="1">
      <c r="A7155" s="7"/>
      <c r="B7155" s="7" t="str">
        <f>IFERROR(__xludf.DUMMYFUNCTION("""COMPUTED_VALUE"""),"Java")</f>
        <v>Java</v>
      </c>
      <c r="M7155" s="9" t="s">
        <v>37</v>
      </c>
    </row>
    <row r="7156" ht="15.75" customHeight="1">
      <c r="A7156" s="7"/>
      <c r="B7156" s="7" t="str">
        <f>IFERROR(__xludf.DUMMYFUNCTION("""COMPUTED_VALUE"""),"C#;HTML/CSS;JavaScript;SQL")</f>
        <v>C#;HTML/CSS;JavaScript;SQL</v>
      </c>
      <c r="M7156" s="9" t="s">
        <v>22</v>
      </c>
    </row>
    <row r="7157" ht="15.75" customHeight="1">
      <c r="A7157" s="7"/>
      <c r="B7157" s="7" t="str">
        <f>IFERROR(__xludf.DUMMYFUNCTION("""COMPUTED_VALUE"""),"C;C++;JavaScript;Rust")</f>
        <v>C;C++;JavaScript;Rust</v>
      </c>
      <c r="M7157" s="9" t="s">
        <v>27</v>
      </c>
    </row>
    <row r="7158" ht="15.75" customHeight="1">
      <c r="A7158" s="7"/>
      <c r="B7158" s="7" t="str">
        <f>IFERROR(__xludf.DUMMYFUNCTION("""COMPUTED_VALUE"""),"Bash/Shell/PowerShell;HTML/CSS;Java;JavaScript;Python")</f>
        <v>Bash/Shell/PowerShell;HTML/CSS;Java;JavaScript;Python</v>
      </c>
      <c r="M7158" s="9" t="s">
        <v>30</v>
      </c>
    </row>
    <row r="7159" ht="15.75" customHeight="1">
      <c r="A7159" s="7"/>
      <c r="B7159" s="7" t="str">
        <f>IFERROR(__xludf.DUMMYFUNCTION("""COMPUTED_VALUE"""),"HTML/CSS;JavaScript;PHP")</f>
        <v>HTML/CSS;JavaScript;PHP</v>
      </c>
      <c r="M7159" s="9" t="s">
        <v>24</v>
      </c>
    </row>
    <row r="7160" ht="15.75" customHeight="1">
      <c r="A7160" s="7"/>
      <c r="B7160" s="7" t="str">
        <f>IFERROR(__xludf.DUMMYFUNCTION("""COMPUTED_VALUE"""),"C;C++;Java;JavaScript;SQL")</f>
        <v>C;C++;Java;JavaScript;SQL</v>
      </c>
      <c r="M7160" s="9" t="s">
        <v>20</v>
      </c>
    </row>
    <row r="7161" ht="15.75" customHeight="1">
      <c r="A7161" s="7"/>
      <c r="B7161" s="7" t="str">
        <f>IFERROR(__xludf.DUMMYFUNCTION("""COMPUTED_VALUE"""),"Python")</f>
        <v>Python</v>
      </c>
      <c r="M7161" s="9" t="s">
        <v>21</v>
      </c>
    </row>
    <row r="7162" ht="15.75" customHeight="1">
      <c r="A7162" s="7"/>
      <c r="B7162" s="7" t="str">
        <f>IFERROR(__xludf.DUMMYFUNCTION("""COMPUTED_VALUE"""),"C;C++;HTML/CSS;Java;JavaScript;SQL")</f>
        <v>C;C++;HTML/CSS;Java;JavaScript;SQL</v>
      </c>
      <c r="M7162" s="9" t="s">
        <v>37</v>
      </c>
    </row>
    <row r="7163" ht="15.75" customHeight="1">
      <c r="A7163" s="7"/>
      <c r="B7163" s="7" t="str">
        <f>IFERROR(__xludf.DUMMYFUNCTION("""COMPUTED_VALUE"""),"Python")</f>
        <v>Python</v>
      </c>
      <c r="M7163" s="9" t="s">
        <v>22</v>
      </c>
    </row>
    <row r="7164" ht="15.75" customHeight="1">
      <c r="A7164" s="7"/>
      <c r="B7164" s="7" t="str">
        <f>IFERROR(__xludf.DUMMYFUNCTION("""COMPUTED_VALUE"""),"Bash/Shell/PowerShell;HTML/CSS;Java;Python;SQL")</f>
        <v>Bash/Shell/PowerShell;HTML/CSS;Java;Python;SQL</v>
      </c>
      <c r="M7164" s="9" t="s">
        <v>29</v>
      </c>
    </row>
    <row r="7165" ht="15.75" customHeight="1">
      <c r="A7165" s="7"/>
      <c r="B7165" s="7" t="str">
        <f>IFERROR(__xludf.DUMMYFUNCTION("""COMPUTED_VALUE"""),"C;C++;C#")</f>
        <v>C;C++;C#</v>
      </c>
      <c r="M7165" s="9" t="s">
        <v>46</v>
      </c>
    </row>
    <row r="7166" ht="15.75" customHeight="1">
      <c r="A7166" s="7"/>
      <c r="B7166" s="7" t="str">
        <f>IFERROR(__xludf.DUMMYFUNCTION("""COMPUTED_VALUE"""),"Assembly;Bash/Shell/PowerShell;C;HTML/CSS")</f>
        <v>Assembly;Bash/Shell/PowerShell;C;HTML/CSS</v>
      </c>
      <c r="M7166" s="9" t="s">
        <v>27</v>
      </c>
    </row>
    <row r="7167" ht="15.75" customHeight="1">
      <c r="A7167" s="7"/>
      <c r="B7167" s="7" t="str">
        <f>IFERROR(__xludf.DUMMYFUNCTION("""COMPUTED_VALUE"""),"Bash/Shell/PowerShell;C#;HTML/CSS;JavaScript;SQL")</f>
        <v>Bash/Shell/PowerShell;C#;HTML/CSS;JavaScript;SQL</v>
      </c>
      <c r="M7167" s="9" t="s">
        <v>28</v>
      </c>
    </row>
    <row r="7168" ht="15.75" customHeight="1">
      <c r="A7168" s="7"/>
      <c r="B7168" s="7" t="str">
        <f>IFERROR(__xludf.DUMMYFUNCTION("""COMPUTED_VALUE"""),"Java")</f>
        <v>Java</v>
      </c>
      <c r="M7168" s="9" t="s">
        <v>30</v>
      </c>
    </row>
    <row r="7169" ht="15.75" customHeight="1">
      <c r="A7169" s="7"/>
      <c r="B7169" s="7" t="str">
        <f>IFERROR(__xludf.DUMMYFUNCTION("""COMPUTED_VALUE"""),"Bash/Shell/PowerShell;C#;HTML/CSS;JavaScript;SQL")</f>
        <v>Bash/Shell/PowerShell;C#;HTML/CSS;JavaScript;SQL</v>
      </c>
      <c r="M7169" s="9" t="s">
        <v>26</v>
      </c>
    </row>
    <row r="7170" ht="15.75" customHeight="1">
      <c r="A7170" s="7"/>
      <c r="B7170" s="7" t="str">
        <f>IFERROR(__xludf.DUMMYFUNCTION("""COMPUTED_VALUE"""),"Python")</f>
        <v>Python</v>
      </c>
      <c r="M7170" s="9" t="s">
        <v>24</v>
      </c>
    </row>
    <row r="7171" ht="15.75" customHeight="1">
      <c r="A7171" s="7"/>
      <c r="B7171" s="7" t="str">
        <f>IFERROR(__xludf.DUMMYFUNCTION("""COMPUTED_VALUE"""),"Bash/Shell/PowerShell;HTML/CSS;JavaScript;PHP")</f>
        <v>Bash/Shell/PowerShell;HTML/CSS;JavaScript;PHP</v>
      </c>
      <c r="M7171" s="9" t="s">
        <v>20</v>
      </c>
    </row>
    <row r="7172" ht="15.75" customHeight="1">
      <c r="A7172" s="7"/>
      <c r="B7172" s="7" t="str">
        <f>IFERROR(__xludf.DUMMYFUNCTION("""COMPUTED_VALUE"""),"C#;Java")</f>
        <v>C#;Java</v>
      </c>
      <c r="M7172" s="9" t="s">
        <v>21</v>
      </c>
    </row>
    <row r="7173" ht="15.75" customHeight="1">
      <c r="A7173" s="7"/>
      <c r="B7173" s="7" t="str">
        <f>IFERROR(__xludf.DUMMYFUNCTION("""COMPUTED_VALUE"""),"Assembly;Java")</f>
        <v>Assembly;Java</v>
      </c>
      <c r="M7173" s="9" t="s">
        <v>22</v>
      </c>
    </row>
    <row r="7174" ht="15.75" customHeight="1">
      <c r="A7174" s="7"/>
      <c r="B7174" s="7" t="str">
        <f>IFERROR(__xludf.DUMMYFUNCTION("""COMPUTED_VALUE"""),"Bash/Shell/PowerShell;Go;JavaScript;SQL")</f>
        <v>Bash/Shell/PowerShell;Go;JavaScript;SQL</v>
      </c>
      <c r="M7174" s="9" t="s">
        <v>27</v>
      </c>
    </row>
    <row r="7175" ht="15.75" customHeight="1">
      <c r="A7175" s="7"/>
      <c r="B7175" s="7" t="str">
        <f>IFERROR(__xludf.DUMMYFUNCTION("""COMPUTED_VALUE"""),"C;C++;C#;Java;SQL")</f>
        <v>C;C++;C#;Java;SQL</v>
      </c>
      <c r="M7175" s="9" t="s">
        <v>22</v>
      </c>
    </row>
    <row r="7176" ht="15.75" customHeight="1">
      <c r="A7176" s="7"/>
      <c r="B7176" s="7" t="str">
        <f>IFERROR(__xludf.DUMMYFUNCTION("""COMPUTED_VALUE"""),"Python;Other(s):")</f>
        <v>Python;Other(s):</v>
      </c>
      <c r="M7176" s="9" t="s">
        <v>30</v>
      </c>
    </row>
    <row r="7177" ht="15.75" customHeight="1">
      <c r="A7177" s="7"/>
      <c r="B7177" s="7" t="str">
        <f>IFERROR(__xludf.DUMMYFUNCTION("""COMPUTED_VALUE"""),"Bash/Shell/PowerShell;C;C++;C#;HTML/CSS;Java;JavaScript;PHP;Python;R;VBA")</f>
        <v>Bash/Shell/PowerShell;C;C++;C#;HTML/CSS;Java;JavaScript;PHP;Python;R;VBA</v>
      </c>
      <c r="M7177" s="9" t="s">
        <v>24</v>
      </c>
    </row>
    <row r="7178" ht="15.75" customHeight="1">
      <c r="A7178" s="7"/>
      <c r="B7178" s="7" t="str">
        <f>IFERROR(__xludf.DUMMYFUNCTION("""COMPUTED_VALUE"""),"Bash/Shell/PowerShell;Go;HTML/CSS;Java;Python;SQL;TypeScript")</f>
        <v>Bash/Shell/PowerShell;Go;HTML/CSS;Java;Python;SQL;TypeScript</v>
      </c>
      <c r="M7178" s="9" t="s">
        <v>20</v>
      </c>
    </row>
    <row r="7179" ht="15.75" customHeight="1">
      <c r="A7179" s="7"/>
      <c r="B7179" s="7" t="str">
        <f>IFERROR(__xludf.DUMMYFUNCTION("""COMPUTED_VALUE"""),"HTML/CSS;Java;JavaScript;Python;SQL;TypeScript")</f>
        <v>HTML/CSS;Java;JavaScript;Python;SQL;TypeScript</v>
      </c>
      <c r="M7179" s="9" t="s">
        <v>21</v>
      </c>
    </row>
    <row r="7180" ht="15.75" customHeight="1">
      <c r="A7180" s="7"/>
      <c r="B7180" s="7" t="str">
        <f>IFERROR(__xludf.DUMMYFUNCTION("""COMPUTED_VALUE"""),"Bash/Shell/PowerShell;HTML/CSS;Java;JavaScript;SQL")</f>
        <v>Bash/Shell/PowerShell;HTML/CSS;Java;JavaScript;SQL</v>
      </c>
      <c r="M7180" s="9" t="s">
        <v>37</v>
      </c>
    </row>
    <row r="7181" ht="15.75" customHeight="1">
      <c r="A7181" s="7"/>
      <c r="B7181" s="7" t="str">
        <f>IFERROR(__xludf.DUMMYFUNCTION("""COMPUTED_VALUE"""),"Clojure;TypeScript;Other(s):")</f>
        <v>Clojure;TypeScript;Other(s):</v>
      </c>
      <c r="M7181" s="9" t="s">
        <v>27</v>
      </c>
    </row>
    <row r="7182" ht="15.75" customHeight="1">
      <c r="A7182" s="7"/>
      <c r="B7182" s="7" t="str">
        <f>IFERROR(__xludf.DUMMYFUNCTION("""COMPUTED_VALUE"""),"HTML/CSS;JavaScript;PHP;Python;SQL")</f>
        <v>HTML/CSS;JavaScript;PHP;Python;SQL</v>
      </c>
      <c r="M7182" s="9" t="s">
        <v>22</v>
      </c>
    </row>
    <row r="7183" ht="15.75" customHeight="1">
      <c r="A7183" s="7"/>
      <c r="B7183" s="7" t="str">
        <f>IFERROR(__xludf.DUMMYFUNCTION("""COMPUTED_VALUE"""),"Assembly;C;C++;C#;HTML/CSS;JavaScript;PHP;Python;SQL")</f>
        <v>Assembly;C;C++;C#;HTML/CSS;JavaScript;PHP;Python;SQL</v>
      </c>
      <c r="M7183" s="9" t="s">
        <v>29</v>
      </c>
    </row>
    <row r="7184" ht="15.75" customHeight="1">
      <c r="A7184" s="7"/>
      <c r="B7184" s="7" t="str">
        <f>IFERROR(__xludf.DUMMYFUNCTION("""COMPUTED_VALUE"""),"HTML/CSS;Java;JavaScript;Python;SQL")</f>
        <v>HTML/CSS;Java;JavaScript;Python;SQL</v>
      </c>
      <c r="M7184" s="9" t="s">
        <v>24</v>
      </c>
    </row>
    <row r="7185" ht="15.75" customHeight="1">
      <c r="A7185" s="7"/>
      <c r="B7185" s="7" t="str">
        <f>IFERROR(__xludf.DUMMYFUNCTION("""COMPUTED_VALUE"""),"Bash/Shell/PowerShell;HTML/CSS;JavaScript;Python")</f>
        <v>Bash/Shell/PowerShell;HTML/CSS;JavaScript;Python</v>
      </c>
      <c r="M7185" s="9" t="s">
        <v>21</v>
      </c>
    </row>
    <row r="7186" ht="15.75" customHeight="1">
      <c r="A7186" s="7"/>
      <c r="B7186" s="7" t="str">
        <f>IFERROR(__xludf.DUMMYFUNCTION("""COMPUTED_VALUE"""),"Assembly;C;C++;C#;Go;HTML/CSS;Java;JavaScript;PHP;SQL;TypeScript")</f>
        <v>Assembly;C;C++;C#;Go;HTML/CSS;Java;JavaScript;PHP;SQL;TypeScript</v>
      </c>
      <c r="M7186" s="9" t="s">
        <v>37</v>
      </c>
    </row>
    <row r="7187" ht="15.75" customHeight="1">
      <c r="A7187" s="7"/>
      <c r="B7187" s="7" t="str">
        <f>IFERROR(__xludf.DUMMYFUNCTION("""COMPUTED_VALUE"""),"Bash/Shell/PowerShell;Java;JavaScript;SQL")</f>
        <v>Bash/Shell/PowerShell;Java;JavaScript;SQL</v>
      </c>
      <c r="M7187" s="9" t="s">
        <v>27</v>
      </c>
    </row>
    <row r="7188" ht="15.75" customHeight="1">
      <c r="A7188" s="7"/>
      <c r="B7188" s="7" t="str">
        <f>IFERROR(__xludf.DUMMYFUNCTION("""COMPUTED_VALUE"""),"Go;JavaScript")</f>
        <v>Go;JavaScript</v>
      </c>
      <c r="M7188" s="9" t="s">
        <v>33</v>
      </c>
    </row>
    <row r="7189" ht="15.75" customHeight="1">
      <c r="A7189" s="7"/>
      <c r="B7189" s="7" t="str">
        <f>IFERROR(__xludf.DUMMYFUNCTION("""COMPUTED_VALUE"""),"HTML/CSS;Java;JavaScript;PHP;Ruby;SQL")</f>
        <v>HTML/CSS;Java;JavaScript;PHP;Ruby;SQL</v>
      </c>
      <c r="M7189" s="9" t="s">
        <v>24</v>
      </c>
    </row>
    <row r="7190" ht="15.75" customHeight="1">
      <c r="A7190" s="7"/>
      <c r="B7190" s="7" t="str">
        <f>IFERROR(__xludf.DUMMYFUNCTION("""COMPUTED_VALUE"""),"HTML/CSS;JavaScript;Python;TypeScript")</f>
        <v>HTML/CSS;JavaScript;Python;TypeScript</v>
      </c>
      <c r="M7190" s="9" t="s">
        <v>21</v>
      </c>
    </row>
    <row r="7191" ht="15.75" customHeight="1">
      <c r="A7191" s="7"/>
      <c r="B7191" s="7" t="str">
        <f>IFERROR(__xludf.DUMMYFUNCTION("""COMPUTED_VALUE"""),"HTML/CSS;Java;JavaScript;SQL")</f>
        <v>HTML/CSS;Java;JavaScript;SQL</v>
      </c>
      <c r="M7191" s="9" t="s">
        <v>22</v>
      </c>
    </row>
    <row r="7192" ht="15.75" customHeight="1">
      <c r="A7192" s="7"/>
      <c r="B7192" s="7" t="str">
        <f>IFERROR(__xludf.DUMMYFUNCTION("""COMPUTED_VALUE"""),"Bash/Shell/PowerShell;C;HTML/CSS;JavaScript;Python;Ruby;Rust;Swift")</f>
        <v>Bash/Shell/PowerShell;C;HTML/CSS;JavaScript;Python;Ruby;Rust;Swift</v>
      </c>
      <c r="M7192" s="9" t="s">
        <v>24</v>
      </c>
    </row>
    <row r="7193" ht="15.75" customHeight="1">
      <c r="A7193" s="7"/>
      <c r="B7193" s="7" t="str">
        <f>IFERROR(__xludf.DUMMYFUNCTION("""COMPUTED_VALUE"""),"C#;HTML/CSS;JavaScript")</f>
        <v>C#;HTML/CSS;JavaScript</v>
      </c>
      <c r="M7193" s="9" t="s">
        <v>20</v>
      </c>
    </row>
    <row r="7194" ht="15.75" customHeight="1">
      <c r="A7194" s="7"/>
      <c r="B7194" s="7" t="str">
        <f>IFERROR(__xludf.DUMMYFUNCTION("""COMPUTED_VALUE"""),"C#;JavaScript;TypeScript")</f>
        <v>C#;JavaScript;TypeScript</v>
      </c>
      <c r="M7194" s="9" t="s">
        <v>21</v>
      </c>
    </row>
    <row r="7195" ht="15.75" customHeight="1">
      <c r="A7195" s="7"/>
      <c r="B7195" s="7" t="str">
        <f>IFERROR(__xludf.DUMMYFUNCTION("""COMPUTED_VALUE"""),"C++;C#;Go;HTML/CSS;Java;JavaScript;SQL")</f>
        <v>C++;C#;Go;HTML/CSS;Java;JavaScript;SQL</v>
      </c>
      <c r="M7195" s="9" t="s">
        <v>27</v>
      </c>
    </row>
    <row r="7196" ht="15.75" customHeight="1">
      <c r="A7196" s="7"/>
      <c r="B7196" s="7" t="str">
        <f>IFERROR(__xludf.DUMMYFUNCTION("""COMPUTED_VALUE"""),"JavaScript")</f>
        <v>JavaScript</v>
      </c>
      <c r="M7196" s="9" t="s">
        <v>30</v>
      </c>
    </row>
    <row r="7197" ht="15.75" customHeight="1">
      <c r="A7197" s="7"/>
      <c r="B7197" s="7" t="str">
        <f>IFERROR(__xludf.DUMMYFUNCTION("""COMPUTED_VALUE"""),"HTML/CSS;JavaScript;Objective-C;Swift")</f>
        <v>HTML/CSS;JavaScript;Objective-C;Swift</v>
      </c>
      <c r="M7197" s="9" t="s">
        <v>35</v>
      </c>
    </row>
    <row r="7198" ht="15.75" customHeight="1">
      <c r="A7198" s="7"/>
      <c r="B7198" s="7" t="str">
        <f>IFERROR(__xludf.DUMMYFUNCTION("""COMPUTED_VALUE"""),"Bash/Shell/PowerShell;HTML/CSS;Java;JavaScript;PHP;Python;Ruby;SQL;TypeScript;WebAssembly")</f>
        <v>Bash/Shell/PowerShell;HTML/CSS;Java;JavaScript;PHP;Python;Ruby;SQL;TypeScript;WebAssembly</v>
      </c>
      <c r="M7198" s="9" t="s">
        <v>26</v>
      </c>
    </row>
    <row r="7199" ht="15.75" customHeight="1">
      <c r="A7199" s="7"/>
      <c r="B7199" s="7" t="str">
        <f>IFERROR(__xludf.DUMMYFUNCTION("""COMPUTED_VALUE"""),"Bash/Shell/PowerShell;C#;HTML/CSS;JavaScript;Python;SQL;TypeScript")</f>
        <v>Bash/Shell/PowerShell;C#;HTML/CSS;JavaScript;Python;SQL;TypeScript</v>
      </c>
      <c r="M7199" s="9" t="s">
        <v>24</v>
      </c>
    </row>
    <row r="7200" ht="15.75" customHeight="1">
      <c r="A7200" s="7"/>
      <c r="B7200" s="7" t="str">
        <f>IFERROR(__xludf.DUMMYFUNCTION("""COMPUTED_VALUE"""),"C;HTML/CSS;JavaScript;Python")</f>
        <v>C;HTML/CSS;JavaScript;Python</v>
      </c>
      <c r="M7200" s="9" t="s">
        <v>21</v>
      </c>
    </row>
    <row r="7201" ht="15.75" customHeight="1">
      <c r="A7201" s="7"/>
      <c r="B7201" s="7" t="str">
        <f>IFERROR(__xludf.DUMMYFUNCTION("""COMPUTED_VALUE"""),"C;C++;HTML/CSS;JavaScript;PHP;Python;SQL;TypeScript")</f>
        <v>C;C++;HTML/CSS;JavaScript;PHP;Python;SQL;TypeScript</v>
      </c>
      <c r="M7201" s="9" t="s">
        <v>37</v>
      </c>
    </row>
    <row r="7202" ht="15.75" customHeight="1">
      <c r="A7202" s="7"/>
      <c r="B7202" s="7" t="str">
        <f>IFERROR(__xludf.DUMMYFUNCTION("""COMPUTED_VALUE"""),"Bash/Shell/PowerShell;C++;HTML/CSS;Java;JavaScript;SQL;Other(s):")</f>
        <v>Bash/Shell/PowerShell;C++;HTML/CSS;Java;JavaScript;SQL;Other(s):</v>
      </c>
      <c r="M7202" s="9" t="s">
        <v>27</v>
      </c>
    </row>
    <row r="7203" ht="15.75" customHeight="1">
      <c r="A7203" s="7"/>
      <c r="B7203" s="7" t="str">
        <f>IFERROR(__xludf.DUMMYFUNCTION("""COMPUTED_VALUE"""),"Bash/Shell/PowerShell;C++;C#;HTML/CSS;Java;JavaScript;SQL")</f>
        <v>Bash/Shell/PowerShell;C++;C#;HTML/CSS;Java;JavaScript;SQL</v>
      </c>
      <c r="M7203" s="9" t="s">
        <v>33</v>
      </c>
    </row>
    <row r="7204" ht="15.75" customHeight="1">
      <c r="A7204" s="7"/>
      <c r="B7204" s="7" t="str">
        <f>IFERROR(__xludf.DUMMYFUNCTION("""COMPUTED_VALUE"""),"Bash/Shell/PowerShell;HTML/CSS;JavaScript;PHP;Python;SQL")</f>
        <v>Bash/Shell/PowerShell;HTML/CSS;JavaScript;PHP;Python;SQL</v>
      </c>
      <c r="M7204" s="9" t="s">
        <v>24</v>
      </c>
    </row>
    <row r="7205" ht="15.75" customHeight="1">
      <c r="A7205" s="7"/>
      <c r="B7205" s="7" t="str">
        <f>IFERROR(__xludf.DUMMYFUNCTION("""COMPUTED_VALUE"""),"Bash/Shell/PowerShell;C#;Python;SQL;VBA")</f>
        <v>Bash/Shell/PowerShell;C#;Python;SQL;VBA</v>
      </c>
      <c r="M7205" s="9" t="s">
        <v>21</v>
      </c>
    </row>
    <row r="7206" ht="15.75" customHeight="1">
      <c r="A7206" s="7"/>
      <c r="B7206" s="7" t="str">
        <f>IFERROR(__xludf.DUMMYFUNCTION("""COMPUTED_VALUE"""),"HTML/CSS;JavaScript;PHP;Ruby;SQL;TypeScript")</f>
        <v>HTML/CSS;JavaScript;PHP;Ruby;SQL;TypeScript</v>
      </c>
      <c r="M7206" s="9" t="s">
        <v>32</v>
      </c>
    </row>
    <row r="7207" ht="15.75" customHeight="1">
      <c r="A7207" s="7"/>
      <c r="B7207" s="7" t="str">
        <f>IFERROR(__xludf.DUMMYFUNCTION("""COMPUTED_VALUE"""),"C;C++")</f>
        <v>C;C++</v>
      </c>
      <c r="M7207" s="9" t="s">
        <v>27</v>
      </c>
    </row>
    <row r="7208" ht="15.75" customHeight="1">
      <c r="A7208" s="7"/>
      <c r="B7208" s="7" t="str">
        <f>IFERROR(__xludf.DUMMYFUNCTION("""COMPUTED_VALUE"""),"C#;HTML/CSS;Python;SQL")</f>
        <v>C#;HTML/CSS;Python;SQL</v>
      </c>
      <c r="M7208" s="9" t="s">
        <v>25</v>
      </c>
    </row>
    <row r="7209" ht="15.75" customHeight="1">
      <c r="A7209" s="7"/>
      <c r="B7209" s="7" t="str">
        <f>IFERROR(__xludf.DUMMYFUNCTION("""COMPUTED_VALUE"""),"C++;Clojure;Java;Kotlin;PHP;Python;Ruby")</f>
        <v>C++;Clojure;Java;Kotlin;PHP;Python;Ruby</v>
      </c>
      <c r="M7209" s="9" t="s">
        <v>23</v>
      </c>
    </row>
    <row r="7210" ht="15.75" customHeight="1">
      <c r="A7210" s="7"/>
      <c r="B7210" s="7" t="str">
        <f>IFERROR(__xludf.DUMMYFUNCTION("""COMPUTED_VALUE"""),"C;C++;HTML/CSS;Java;JavaScript;Python")</f>
        <v>C;C++;HTML/CSS;Java;JavaScript;Python</v>
      </c>
      <c r="M7210" s="9" t="s">
        <v>24</v>
      </c>
    </row>
    <row r="7211" ht="15.75" customHeight="1">
      <c r="A7211" s="7"/>
      <c r="B7211" s="7" t="str">
        <f>IFERROR(__xludf.DUMMYFUNCTION("""COMPUTED_VALUE"""),"Clojure")</f>
        <v>Clojure</v>
      </c>
      <c r="M7211" s="9" t="s">
        <v>20</v>
      </c>
    </row>
    <row r="7212" ht="15.75" customHeight="1">
      <c r="A7212" s="7"/>
      <c r="B7212" s="7" t="str">
        <f>IFERROR(__xludf.DUMMYFUNCTION("""COMPUTED_VALUE"""),"C#;HTML/CSS;JavaScript;SQL")</f>
        <v>C#;HTML/CSS;JavaScript;SQL</v>
      </c>
      <c r="M7212" s="9" t="s">
        <v>21</v>
      </c>
    </row>
    <row r="7213" ht="15.75" customHeight="1">
      <c r="A7213" s="7"/>
      <c r="B7213" s="7" t="str">
        <f>IFERROR(__xludf.DUMMYFUNCTION("""COMPUTED_VALUE"""),"C#;HTML/CSS;JavaScript;Ruby;TypeScript")</f>
        <v>C#;HTML/CSS;JavaScript;Ruby;TypeScript</v>
      </c>
      <c r="M7213" s="9" t="s">
        <v>37</v>
      </c>
    </row>
    <row r="7214" ht="15.75" customHeight="1">
      <c r="A7214" s="7"/>
      <c r="B7214" s="7" t="str">
        <f>IFERROR(__xludf.DUMMYFUNCTION("""COMPUTED_VALUE"""),"C++;Go;Java;JavaScript;Python;R;VBA")</f>
        <v>C++;Go;Java;JavaScript;Python;R;VBA</v>
      </c>
      <c r="M7214" s="9" t="s">
        <v>27</v>
      </c>
    </row>
    <row r="7215" ht="15.75" customHeight="1">
      <c r="A7215" s="7"/>
      <c r="B7215" s="7" t="str">
        <f>IFERROR(__xludf.DUMMYFUNCTION("""COMPUTED_VALUE"""),"Bash/Shell/PowerShell;C#;F#;HTML/CSS;JavaScript;PHP;Python;TypeScript;Other(s):")</f>
        <v>Bash/Shell/PowerShell;C#;F#;HTML/CSS;JavaScript;PHP;Python;TypeScript;Other(s):</v>
      </c>
      <c r="M7215" s="9" t="s">
        <v>20</v>
      </c>
    </row>
    <row r="7216" ht="15.75" customHeight="1">
      <c r="A7216" s="7"/>
      <c r="B7216" s="7" t="str">
        <f>IFERROR(__xludf.DUMMYFUNCTION("""COMPUTED_VALUE"""),"C++;JavaScript;Python;SQL")</f>
        <v>C++;JavaScript;Python;SQL</v>
      </c>
      <c r="M7216" s="9" t="s">
        <v>22</v>
      </c>
    </row>
    <row r="7217" ht="15.75" customHeight="1">
      <c r="A7217" s="7"/>
      <c r="B7217" s="7" t="str">
        <f>IFERROR(__xludf.DUMMYFUNCTION("""COMPUTED_VALUE"""),"C++;C#;HTML/CSS;Java;JavaScript;SQL")</f>
        <v>C++;C#;HTML/CSS;Java;JavaScript;SQL</v>
      </c>
      <c r="M7217" s="9" t="s">
        <v>27</v>
      </c>
    </row>
    <row r="7218" ht="15.75" customHeight="1">
      <c r="A7218" s="7"/>
      <c r="B7218" s="7" t="str">
        <f>IFERROR(__xludf.DUMMYFUNCTION("""COMPUTED_VALUE"""),"C#;HTML/CSS;JavaScript;SQL")</f>
        <v>C#;HTML/CSS;JavaScript;SQL</v>
      </c>
      <c r="M7218" s="9" t="s">
        <v>23</v>
      </c>
    </row>
    <row r="7219" ht="15.75" customHeight="1">
      <c r="A7219" s="7"/>
      <c r="B7219" s="7" t="str">
        <f>IFERROR(__xludf.DUMMYFUNCTION("""COMPUTED_VALUE"""),"SQL")</f>
        <v>SQL</v>
      </c>
      <c r="M7219" s="9" t="s">
        <v>21</v>
      </c>
    </row>
    <row r="7220" ht="15.75" customHeight="1">
      <c r="A7220" s="7"/>
      <c r="B7220" s="7" t="str">
        <f>IFERROR(__xludf.DUMMYFUNCTION("""COMPUTED_VALUE"""),"HTML/CSS;JavaScript;Python")</f>
        <v>HTML/CSS;JavaScript;Python</v>
      </c>
      <c r="M7220" s="9" t="s">
        <v>33</v>
      </c>
    </row>
    <row r="7221" ht="15.75" customHeight="1">
      <c r="A7221" s="7"/>
      <c r="B7221" s="7" t="str">
        <f>IFERROR(__xludf.DUMMYFUNCTION("""COMPUTED_VALUE"""),"Java")</f>
        <v>Java</v>
      </c>
      <c r="M7221" s="9" t="s">
        <v>22</v>
      </c>
    </row>
    <row r="7222" ht="15.75" customHeight="1">
      <c r="A7222" s="7"/>
      <c r="B7222" s="7" t="str">
        <f>IFERROR(__xludf.DUMMYFUNCTION("""COMPUTED_VALUE"""),"Bash/Shell/PowerShell;C;HTML/CSS;JavaScript;Python;SQL;Other(s):")</f>
        <v>Bash/Shell/PowerShell;C;HTML/CSS;JavaScript;Python;SQL;Other(s):</v>
      </c>
      <c r="M7222" s="9" t="s">
        <v>27</v>
      </c>
    </row>
    <row r="7223" ht="15.75" customHeight="1">
      <c r="A7223" s="7"/>
      <c r="B7223" s="7" t="str">
        <f>IFERROR(__xludf.DUMMYFUNCTION("""COMPUTED_VALUE"""),"C#")</f>
        <v>C#</v>
      </c>
      <c r="M7223" s="9" t="s">
        <v>26</v>
      </c>
    </row>
    <row r="7224" ht="15.75" customHeight="1">
      <c r="A7224" s="7"/>
      <c r="B7224" s="7" t="str">
        <f>IFERROR(__xludf.DUMMYFUNCTION("""COMPUTED_VALUE"""),"Other(s):")</f>
        <v>Other(s):</v>
      </c>
      <c r="M7224" s="9" t="s">
        <v>24</v>
      </c>
    </row>
    <row r="7225" ht="15.75" customHeight="1">
      <c r="A7225" s="7"/>
      <c r="B7225" s="7" t="str">
        <f>IFERROR(__xludf.DUMMYFUNCTION("""COMPUTED_VALUE"""),"HTML/CSS;Java;JavaScript;PHP;SQL")</f>
        <v>HTML/CSS;Java;JavaScript;PHP;SQL</v>
      </c>
      <c r="M7225" s="9" t="s">
        <v>21</v>
      </c>
    </row>
    <row r="7226" ht="15.75" customHeight="1">
      <c r="A7226" s="7"/>
      <c r="B7226" s="7" t="str">
        <f>IFERROR(__xludf.DUMMYFUNCTION("""COMPUTED_VALUE"""),"HTML/CSS;Java;JavaScript;SQL")</f>
        <v>HTML/CSS;Java;JavaScript;SQL</v>
      </c>
      <c r="M7226" s="9" t="s">
        <v>25</v>
      </c>
    </row>
    <row r="7227" ht="15.75" customHeight="1">
      <c r="A7227" s="7"/>
      <c r="B7227" s="7" t="str">
        <f>IFERROR(__xludf.DUMMYFUNCTION("""COMPUTED_VALUE"""),"Java;Kotlin;Swift")</f>
        <v>Java;Kotlin;Swift</v>
      </c>
      <c r="M7227" s="9" t="s">
        <v>23</v>
      </c>
    </row>
    <row r="7228" ht="15.75" customHeight="1">
      <c r="A7228" s="7"/>
      <c r="B7228" s="7" t="str">
        <f>IFERROR(__xludf.DUMMYFUNCTION("""COMPUTED_VALUE"""),"Bash/Shell/PowerShell;HTML/CSS;JavaScript;Python;SQL;TypeScript")</f>
        <v>Bash/Shell/PowerShell;HTML/CSS;JavaScript;Python;SQL;TypeScript</v>
      </c>
      <c r="M7228" s="9" t="s">
        <v>20</v>
      </c>
    </row>
    <row r="7229" ht="15.75" customHeight="1">
      <c r="A7229" s="7"/>
      <c r="B7229" s="7" t="str">
        <f>IFERROR(__xludf.DUMMYFUNCTION("""COMPUTED_VALUE"""),"C#")</f>
        <v>C#</v>
      </c>
      <c r="M7229" s="9" t="s">
        <v>21</v>
      </c>
    </row>
    <row r="7230" ht="15.75" customHeight="1">
      <c r="A7230" s="7"/>
      <c r="B7230" s="7" t="str">
        <f>IFERROR(__xludf.DUMMYFUNCTION("""COMPUTED_VALUE"""),"Bash/Shell/PowerShell;C;C++;Go;HTML/CSS;JavaScript;PHP;Python;R;Rust;SQL;Other(s):")</f>
        <v>Bash/Shell/PowerShell;C;C++;Go;HTML/CSS;JavaScript;PHP;Python;R;Rust;SQL;Other(s):</v>
      </c>
      <c r="M7230" s="9" t="s">
        <v>30</v>
      </c>
    </row>
    <row r="7231" ht="15.75" customHeight="1">
      <c r="A7231" s="7"/>
      <c r="B7231" s="7" t="str">
        <f>IFERROR(__xludf.DUMMYFUNCTION("""COMPUTED_VALUE"""),"Bash/Shell/PowerShell;HTML/CSS;SQL;VBA")</f>
        <v>Bash/Shell/PowerShell;HTML/CSS;SQL;VBA</v>
      </c>
      <c r="M7231" s="9" t="s">
        <v>47</v>
      </c>
    </row>
    <row r="7232" ht="15.75" customHeight="1">
      <c r="A7232" s="7"/>
      <c r="B7232" s="7" t="str">
        <f>IFERROR(__xludf.DUMMYFUNCTION("""COMPUTED_VALUE"""),"Bash/Shell/PowerShell;Ruby;SQL")</f>
        <v>Bash/Shell/PowerShell;Ruby;SQL</v>
      </c>
      <c r="M7232" s="9" t="s">
        <v>36</v>
      </c>
    </row>
    <row r="7233" ht="15.75" customHeight="1">
      <c r="A7233" s="7"/>
      <c r="B7233" s="7" t="str">
        <f>IFERROR(__xludf.DUMMYFUNCTION("""COMPUTED_VALUE"""),"JavaScript;Objective-C;SQL;Swift")</f>
        <v>JavaScript;Objective-C;SQL;Swift</v>
      </c>
      <c r="M7233" s="9" t="s">
        <v>24</v>
      </c>
    </row>
    <row r="7234" ht="15.75" customHeight="1">
      <c r="A7234" s="7"/>
      <c r="B7234" s="7" t="str">
        <f>IFERROR(__xludf.DUMMYFUNCTION("""COMPUTED_VALUE"""),"Bash/Shell/PowerShell;C;C++;C#;HTML/CSS;JavaScript;TypeScript")</f>
        <v>Bash/Shell/PowerShell;C;C++;C#;HTML/CSS;JavaScript;TypeScript</v>
      </c>
      <c r="M7234" s="9" t="s">
        <v>20</v>
      </c>
    </row>
    <row r="7235" ht="15.75" customHeight="1">
      <c r="A7235" s="7"/>
      <c r="B7235" s="7" t="str">
        <f>IFERROR(__xludf.DUMMYFUNCTION("""COMPUTED_VALUE"""),"C;HTML/CSS;Java;JavaScript;PHP;Python;R;Ruby;TypeScript")</f>
        <v>C;HTML/CSS;Java;JavaScript;PHP;Python;R;Ruby;TypeScript</v>
      </c>
      <c r="M7235" s="9" t="s">
        <v>21</v>
      </c>
    </row>
    <row r="7236" ht="15.75" customHeight="1">
      <c r="A7236" s="7"/>
      <c r="B7236" s="7" t="str">
        <f>IFERROR(__xludf.DUMMYFUNCTION("""COMPUTED_VALUE"""),"C++;HTML/CSS;Java;JavaScript;Kotlin;PHP;Python;SQL")</f>
        <v>C++;HTML/CSS;Java;JavaScript;Kotlin;PHP;Python;SQL</v>
      </c>
      <c r="M7236" s="9" t="s">
        <v>37</v>
      </c>
    </row>
    <row r="7237" ht="15.75" customHeight="1">
      <c r="A7237" s="7"/>
      <c r="B7237" s="7" t="str">
        <f>IFERROR(__xludf.DUMMYFUNCTION("""COMPUTED_VALUE"""),"HTML/CSS;Java;JavaScript;SQL;TypeScript")</f>
        <v>HTML/CSS;Java;JavaScript;SQL;TypeScript</v>
      </c>
      <c r="M7237" s="9" t="s">
        <v>22</v>
      </c>
    </row>
    <row r="7238" ht="15.75" customHeight="1">
      <c r="A7238" s="7"/>
      <c r="B7238" s="7" t="str">
        <f>IFERROR(__xludf.DUMMYFUNCTION("""COMPUTED_VALUE"""),"SQL;Other(s):")</f>
        <v>SQL;Other(s):</v>
      </c>
      <c r="M7238" s="9" t="s">
        <v>31</v>
      </c>
    </row>
    <row r="7239" ht="15.75" customHeight="1">
      <c r="A7239" s="7"/>
      <c r="B7239" s="7" t="str">
        <f>IFERROR(__xludf.DUMMYFUNCTION("""COMPUTED_VALUE"""),"C;C++;Objective-C")</f>
        <v>C;C++;Objective-C</v>
      </c>
      <c r="M7239" s="9" t="s">
        <v>46</v>
      </c>
    </row>
    <row r="7240" ht="15.75" customHeight="1">
      <c r="A7240" s="7"/>
      <c r="B7240" s="7" t="str">
        <f>IFERROR(__xludf.DUMMYFUNCTION("""COMPUTED_VALUE"""),"HTML/CSS;JavaScript;PHP;SQL")</f>
        <v>HTML/CSS;JavaScript;PHP;SQL</v>
      </c>
      <c r="M7240" s="9" t="s">
        <v>33</v>
      </c>
    </row>
    <row r="7241" ht="15.75" customHeight="1">
      <c r="A7241" s="7"/>
      <c r="B7241" s="7" t="str">
        <f>IFERROR(__xludf.DUMMYFUNCTION("""COMPUTED_VALUE"""),"Assembly;C;Clojure;Erlang;Java;R;Ruby;Rust;WebAssembly;Other(s):")</f>
        <v>Assembly;C;Clojure;Erlang;Java;R;Ruby;Rust;WebAssembly;Other(s):</v>
      </c>
      <c r="M7241" s="9" t="s">
        <v>25</v>
      </c>
    </row>
    <row r="7242" ht="15.75" customHeight="1">
      <c r="A7242" s="7"/>
      <c r="B7242" s="7" t="str">
        <f>IFERROR(__xludf.DUMMYFUNCTION("""COMPUTED_VALUE"""),"C++;C#;Go;HTML/CSS;JavaScript;TypeScript")</f>
        <v>C++;C#;Go;HTML/CSS;JavaScript;TypeScript</v>
      </c>
      <c r="M7242" s="9" t="s">
        <v>24</v>
      </c>
    </row>
    <row r="7243" ht="15.75" customHeight="1">
      <c r="A7243" s="7"/>
      <c r="B7243" s="7" t="str">
        <f>IFERROR(__xludf.DUMMYFUNCTION("""COMPUTED_VALUE"""),"HTML/CSS;Java;JavaScript;SQL;Other(s):")</f>
        <v>HTML/CSS;Java;JavaScript;SQL;Other(s):</v>
      </c>
      <c r="M7243" s="9" t="s">
        <v>37</v>
      </c>
    </row>
    <row r="7244" ht="15.75" customHeight="1">
      <c r="A7244" s="7"/>
      <c r="B7244" s="7" t="str">
        <f>IFERROR(__xludf.DUMMYFUNCTION("""COMPUTED_VALUE"""),"HTML/CSS;JavaScript")</f>
        <v>HTML/CSS;JavaScript</v>
      </c>
      <c r="M7244" s="9" t="s">
        <v>30</v>
      </c>
    </row>
    <row r="7245" ht="15.75" customHeight="1">
      <c r="A7245" s="7"/>
      <c r="B7245" s="7" t="str">
        <f>IFERROR(__xludf.DUMMYFUNCTION("""COMPUTED_VALUE"""),"Java")</f>
        <v>Java</v>
      </c>
      <c r="M7245" s="9" t="s">
        <v>20</v>
      </c>
    </row>
    <row r="7246" ht="15.75" customHeight="1">
      <c r="A7246" s="7"/>
      <c r="B7246" s="7" t="str">
        <f>IFERROR(__xludf.DUMMYFUNCTION("""COMPUTED_VALUE"""),"Java;SQL")</f>
        <v>Java;SQL</v>
      </c>
      <c r="M7246" s="9" t="s">
        <v>21</v>
      </c>
    </row>
    <row r="7247" ht="15.75" customHeight="1">
      <c r="A7247" s="7"/>
      <c r="B7247" s="7" t="str">
        <f>IFERROR(__xludf.DUMMYFUNCTION("""COMPUTED_VALUE"""),"Java;Python")</f>
        <v>Java;Python</v>
      </c>
      <c r="M7247" s="9" t="s">
        <v>22</v>
      </c>
    </row>
    <row r="7248" ht="15.75" customHeight="1">
      <c r="A7248" s="7"/>
      <c r="B7248" s="7" t="str">
        <f>IFERROR(__xludf.DUMMYFUNCTION("""COMPUTED_VALUE"""),"Other(s):")</f>
        <v>Other(s):</v>
      </c>
      <c r="M7248" s="9" t="s">
        <v>46</v>
      </c>
    </row>
    <row r="7249" ht="15.75" customHeight="1">
      <c r="A7249" s="7"/>
      <c r="B7249" s="7" t="str">
        <f>IFERROR(__xludf.DUMMYFUNCTION("""COMPUTED_VALUE"""),"HTML/CSS;Java;JavaScript;PHP;SQL")</f>
        <v>HTML/CSS;Java;JavaScript;PHP;SQL</v>
      </c>
      <c r="M7249" s="9" t="s">
        <v>27</v>
      </c>
    </row>
    <row r="7250" ht="15.75" customHeight="1">
      <c r="A7250" s="7"/>
      <c r="B7250" s="7" t="str">
        <f>IFERROR(__xludf.DUMMYFUNCTION("""COMPUTED_VALUE"""),"C#;HTML/CSS;JavaScript;PHP;SQL;TypeScript")</f>
        <v>C#;HTML/CSS;JavaScript;PHP;SQL;TypeScript</v>
      </c>
      <c r="M7250" s="9" t="s">
        <v>33</v>
      </c>
    </row>
    <row r="7251" ht="15.75" customHeight="1">
      <c r="A7251" s="7"/>
      <c r="B7251" s="7" t="str">
        <f>IFERROR(__xludf.DUMMYFUNCTION("""COMPUTED_VALUE"""),"Bash/Shell/PowerShell;C++;HTML/CSS;JavaScript;Python;SQL")</f>
        <v>Bash/Shell/PowerShell;C++;HTML/CSS;JavaScript;Python;SQL</v>
      </c>
      <c r="M7251" s="9" t="s">
        <v>30</v>
      </c>
    </row>
    <row r="7252" ht="15.75" customHeight="1">
      <c r="A7252" s="7"/>
      <c r="B7252" s="7" t="str">
        <f>IFERROR(__xludf.DUMMYFUNCTION("""COMPUTED_VALUE"""),"HTML/CSS;JavaScript;Python;R;SQL;VBA")</f>
        <v>HTML/CSS;JavaScript;Python;R;SQL;VBA</v>
      </c>
      <c r="M7252" s="9" t="s">
        <v>24</v>
      </c>
    </row>
    <row r="7253" ht="15.75" customHeight="1">
      <c r="A7253" s="7"/>
      <c r="B7253" s="7" t="str">
        <f>IFERROR(__xludf.DUMMYFUNCTION("""COMPUTED_VALUE"""),"HTML/CSS;JavaScript;Python;R")</f>
        <v>HTML/CSS;JavaScript;Python;R</v>
      </c>
      <c r="M7253" s="9" t="s">
        <v>21</v>
      </c>
    </row>
    <row r="7254" ht="15.75" customHeight="1">
      <c r="A7254" s="7"/>
      <c r="B7254" s="7" t="str">
        <f>IFERROR(__xludf.DUMMYFUNCTION("""COMPUTED_VALUE"""),"Bash/Shell/PowerShell;C;HTML/CSS;Java;JavaScript;PHP;SQL;Other(s):")</f>
        <v>Bash/Shell/PowerShell;C;HTML/CSS;Java;JavaScript;PHP;SQL;Other(s):</v>
      </c>
      <c r="M7254" s="9" t="s">
        <v>22</v>
      </c>
    </row>
    <row r="7255" ht="15.75" customHeight="1">
      <c r="A7255" s="7"/>
      <c r="B7255" s="7" t="str">
        <f>IFERROR(__xludf.DUMMYFUNCTION("""COMPUTED_VALUE"""),"Bash/Shell/PowerShell;HTML/CSS;JavaScript;PHP;Python;SQL")</f>
        <v>Bash/Shell/PowerShell;HTML/CSS;JavaScript;PHP;Python;SQL</v>
      </c>
      <c r="M7255" s="9" t="s">
        <v>26</v>
      </c>
    </row>
    <row r="7256" ht="15.75" customHeight="1">
      <c r="A7256" s="7"/>
      <c r="B7256" s="7" t="str">
        <f>IFERROR(__xludf.DUMMYFUNCTION("""COMPUTED_VALUE"""),"Other(s):")</f>
        <v>Other(s):</v>
      </c>
      <c r="M7256" s="9" t="s">
        <v>21</v>
      </c>
    </row>
    <row r="7257" ht="15.75" customHeight="1">
      <c r="A7257" s="7"/>
      <c r="B7257" s="7" t="str">
        <f>IFERROR(__xludf.DUMMYFUNCTION("""COMPUTED_VALUE"""),"C#;HTML/CSS;JavaScript;SQL")</f>
        <v>C#;HTML/CSS;JavaScript;SQL</v>
      </c>
      <c r="M7257" s="9" t="s">
        <v>23</v>
      </c>
    </row>
    <row r="7258" ht="15.75" customHeight="1">
      <c r="A7258" s="7"/>
      <c r="B7258" s="7" t="str">
        <f>IFERROR(__xludf.DUMMYFUNCTION("""COMPUTED_VALUE"""),"Bash/Shell/PowerShell;C++;C#;HTML/CSS;JavaScript;PHP;R;SQL")</f>
        <v>Bash/Shell/PowerShell;C++;C#;HTML/CSS;JavaScript;PHP;R;SQL</v>
      </c>
      <c r="M7258" s="9" t="s">
        <v>22</v>
      </c>
    </row>
    <row r="7259" ht="15.75" customHeight="1">
      <c r="A7259" s="7"/>
      <c r="B7259" s="7" t="str">
        <f>IFERROR(__xludf.DUMMYFUNCTION("""COMPUTED_VALUE"""),"C#;HTML/CSS;JavaScript;SQL")</f>
        <v>C#;HTML/CSS;JavaScript;SQL</v>
      </c>
      <c r="M7259" s="9" t="s">
        <v>27</v>
      </c>
    </row>
    <row r="7260" ht="15.75" customHeight="1">
      <c r="A7260" s="7"/>
      <c r="B7260" s="7" t="str">
        <f>IFERROR(__xludf.DUMMYFUNCTION("""COMPUTED_VALUE"""),"Bash/Shell/PowerShell;C;C++;R;SQL")</f>
        <v>Bash/Shell/PowerShell;C;C++;R;SQL</v>
      </c>
      <c r="M7260" s="9" t="s">
        <v>30</v>
      </c>
    </row>
    <row r="7261" ht="15.75" customHeight="1">
      <c r="A7261" s="7"/>
      <c r="B7261" s="7" t="str">
        <f>IFERROR(__xludf.DUMMYFUNCTION("""COMPUTED_VALUE"""),"Bash/Shell/PowerShell;Go;Java;Python;R;Scala;SQL;VBA")</f>
        <v>Bash/Shell/PowerShell;Go;Java;Python;R;Scala;SQL;VBA</v>
      </c>
      <c r="M7261" s="9" t="s">
        <v>24</v>
      </c>
    </row>
    <row r="7262" ht="15.75" customHeight="1">
      <c r="A7262" s="7"/>
      <c r="B7262" s="7" t="str">
        <f>IFERROR(__xludf.DUMMYFUNCTION("""COMPUTED_VALUE"""),"Bash/Shell/PowerShell;C;C++;C#;HTML/CSS;Java;JavaScript;Objective-C;Python;SQL")</f>
        <v>Bash/Shell/PowerShell;C;C++;C#;HTML/CSS;Java;JavaScript;Objective-C;Python;SQL</v>
      </c>
      <c r="M7262" s="9" t="s">
        <v>20</v>
      </c>
    </row>
    <row r="7263" ht="15.75" customHeight="1">
      <c r="A7263" s="7"/>
      <c r="B7263" s="7" t="str">
        <f>IFERROR(__xludf.DUMMYFUNCTION("""COMPUTED_VALUE"""),"HTML/CSS;JavaScript;Ruby;SQL")</f>
        <v>HTML/CSS;JavaScript;Ruby;SQL</v>
      </c>
      <c r="M7263" s="9" t="s">
        <v>21</v>
      </c>
    </row>
    <row r="7264" ht="15.75" customHeight="1">
      <c r="A7264" s="7"/>
      <c r="B7264" s="7" t="str">
        <f>IFERROR(__xludf.DUMMYFUNCTION("""COMPUTED_VALUE"""),"C#;HTML/CSS;JavaScript;Python;SQL;TypeScript")</f>
        <v>C#;HTML/CSS;JavaScript;Python;SQL;TypeScript</v>
      </c>
      <c r="M7264" s="9" t="s">
        <v>22</v>
      </c>
    </row>
    <row r="7265" ht="15.75" customHeight="1">
      <c r="A7265" s="7"/>
      <c r="B7265" s="7" t="str">
        <f>IFERROR(__xludf.DUMMYFUNCTION("""COMPUTED_VALUE"""),"HTML/CSS;Java;Kotlin")</f>
        <v>HTML/CSS;Java;Kotlin</v>
      </c>
      <c r="M7265" s="9" t="s">
        <v>24</v>
      </c>
    </row>
    <row r="7266" ht="15.75" customHeight="1">
      <c r="A7266" s="7"/>
      <c r="B7266" s="7" t="str">
        <f>IFERROR(__xludf.DUMMYFUNCTION("""COMPUTED_VALUE"""),"Bash/Shell/PowerShell;C#;Dart;HTML/CSS;Python;SQL;TypeScript;Other(s):")</f>
        <v>Bash/Shell/PowerShell;C#;Dart;HTML/CSS;Python;SQL;TypeScript;Other(s):</v>
      </c>
      <c r="M7266" s="9" t="s">
        <v>21</v>
      </c>
    </row>
    <row r="7267" ht="15.75" customHeight="1">
      <c r="A7267" s="7"/>
      <c r="B7267" s="7" t="str">
        <f>IFERROR(__xludf.DUMMYFUNCTION("""COMPUTED_VALUE"""),"HTML/CSS;Java;JavaScript")</f>
        <v>HTML/CSS;Java;JavaScript</v>
      </c>
      <c r="M7267" s="9" t="s">
        <v>37</v>
      </c>
    </row>
    <row r="7268" ht="15.75" customHeight="1">
      <c r="A7268" s="7"/>
      <c r="B7268" s="7" t="str">
        <f>IFERROR(__xludf.DUMMYFUNCTION("""COMPUTED_VALUE"""),"C;C#;JavaScript;VBA")</f>
        <v>C;C#;JavaScript;VBA</v>
      </c>
      <c r="M7268" s="9" t="s">
        <v>26</v>
      </c>
    </row>
    <row r="7269" ht="15.75" customHeight="1">
      <c r="A7269" s="7"/>
      <c r="B7269" s="7" t="str">
        <f>IFERROR(__xludf.DUMMYFUNCTION("""COMPUTED_VALUE"""),"Java;JavaScript;SQL")</f>
        <v>Java;JavaScript;SQL</v>
      </c>
      <c r="M7269" s="9" t="s">
        <v>24</v>
      </c>
    </row>
    <row r="7270" ht="15.75" customHeight="1">
      <c r="A7270" s="7"/>
      <c r="B7270" s="7" t="str">
        <f>IFERROR(__xludf.DUMMYFUNCTION("""COMPUTED_VALUE"""),"C#")</f>
        <v>C#</v>
      </c>
      <c r="M7270" s="9" t="s">
        <v>20</v>
      </c>
    </row>
    <row r="7271" ht="15.75" customHeight="1">
      <c r="A7271" s="7"/>
      <c r="B7271" s="7" t="str">
        <f>IFERROR(__xludf.DUMMYFUNCTION("""COMPUTED_VALUE"""),"C;C++;Go;HTML/CSS;Java;Python")</f>
        <v>C;C++;Go;HTML/CSS;Java;Python</v>
      </c>
      <c r="M7271" s="9" t="s">
        <v>21</v>
      </c>
    </row>
    <row r="7272" ht="15.75" customHeight="1">
      <c r="A7272" s="7"/>
      <c r="B7272" s="7" t="str">
        <f>IFERROR(__xludf.DUMMYFUNCTION("""COMPUTED_VALUE"""),"C#;Dart;HTML/CSS;Java;JavaScript;TypeScript")</f>
        <v>C#;Dart;HTML/CSS;Java;JavaScript;TypeScript</v>
      </c>
      <c r="M7272" s="9" t="s">
        <v>22</v>
      </c>
    </row>
    <row r="7273" ht="15.75" customHeight="1">
      <c r="A7273" s="7"/>
      <c r="B7273" s="7" t="str">
        <f>IFERROR(__xludf.DUMMYFUNCTION("""COMPUTED_VALUE"""),"Bash/Shell/PowerShell;HTML/CSS;JavaScript;Python")</f>
        <v>Bash/Shell/PowerShell;HTML/CSS;JavaScript;Python</v>
      </c>
      <c r="M7273" s="9" t="s">
        <v>23</v>
      </c>
    </row>
    <row r="7274" ht="15.75" customHeight="1">
      <c r="A7274" s="7"/>
      <c r="B7274" s="7" t="str">
        <f>IFERROR(__xludf.DUMMYFUNCTION("""COMPUTED_VALUE"""),"C++;Java;Kotlin;TypeScript")</f>
        <v>C++;Java;Kotlin;TypeScript</v>
      </c>
      <c r="M7274" s="9" t="s">
        <v>26</v>
      </c>
    </row>
    <row r="7275" ht="15.75" customHeight="1">
      <c r="A7275" s="7"/>
      <c r="B7275" s="7" t="str">
        <f>IFERROR(__xludf.DUMMYFUNCTION("""COMPUTED_VALUE"""),"HTML/CSS;JavaScript;PHP")</f>
        <v>HTML/CSS;JavaScript;PHP</v>
      </c>
      <c r="M7275" s="9" t="s">
        <v>20</v>
      </c>
    </row>
    <row r="7276" ht="15.75" customHeight="1">
      <c r="A7276" s="7"/>
      <c r="B7276" s="7" t="str">
        <f>IFERROR(__xludf.DUMMYFUNCTION("""COMPUTED_VALUE"""),"Bash/Shell/PowerShell;HTML/CSS;JavaScript;PHP;SQL;TypeScript;Other(s):")</f>
        <v>Bash/Shell/PowerShell;HTML/CSS;JavaScript;PHP;SQL;TypeScript;Other(s):</v>
      </c>
      <c r="M7276" s="9" t="s">
        <v>21</v>
      </c>
    </row>
    <row r="7277" ht="15.75" customHeight="1">
      <c r="A7277" s="7"/>
      <c r="B7277" s="7" t="str">
        <f>IFERROR(__xludf.DUMMYFUNCTION("""COMPUTED_VALUE"""),"Clojure;Java")</f>
        <v>Clojure;Java</v>
      </c>
      <c r="M7277" s="9" t="s">
        <v>24</v>
      </c>
    </row>
    <row r="7278" ht="15.75" customHeight="1">
      <c r="A7278" s="7"/>
      <c r="B7278" s="7" t="str">
        <f>IFERROR(__xludf.DUMMYFUNCTION("""COMPUTED_VALUE"""),"Java;JavaScript;Python;SQL")</f>
        <v>Java;JavaScript;Python;SQL</v>
      </c>
      <c r="M7278" s="9" t="s">
        <v>21</v>
      </c>
    </row>
    <row r="7279" ht="15.75" customHeight="1">
      <c r="A7279" s="7"/>
      <c r="B7279" s="7" t="str">
        <f>IFERROR(__xludf.DUMMYFUNCTION("""COMPUTED_VALUE"""),"C++;Python")</f>
        <v>C++;Python</v>
      </c>
      <c r="M7279" s="9" t="s">
        <v>37</v>
      </c>
    </row>
    <row r="7280" ht="15.75" customHeight="1">
      <c r="A7280" s="7"/>
      <c r="B7280" s="7" t="str">
        <f>IFERROR(__xludf.DUMMYFUNCTION("""COMPUTED_VALUE"""),"Assembly;C#;Clojure;HTML/CSS;Java;JavaScript;Kotlin;PHP;Swift;TypeScript")</f>
        <v>Assembly;C#;Clojure;HTML/CSS;Java;JavaScript;Kotlin;PHP;Swift;TypeScript</v>
      </c>
      <c r="M7280" s="9" t="s">
        <v>35</v>
      </c>
    </row>
    <row r="7281" ht="15.75" customHeight="1">
      <c r="A7281" s="7"/>
      <c r="B7281" s="7" t="str">
        <f>IFERROR(__xludf.DUMMYFUNCTION("""COMPUTED_VALUE"""),"HTML/CSS;JavaScript")</f>
        <v>HTML/CSS;JavaScript</v>
      </c>
      <c r="M7281" s="9" t="s">
        <v>44</v>
      </c>
    </row>
    <row r="7282" ht="15.75" customHeight="1">
      <c r="A7282" s="7"/>
      <c r="B7282" s="7" t="str">
        <f>IFERROR(__xludf.DUMMYFUNCTION("""COMPUTED_VALUE"""),"Bash/Shell/PowerShell;C;C#;HTML/CSS;PHP;Python;Ruby;Rust;SQL;VBA")</f>
        <v>Bash/Shell/PowerShell;C;C#;HTML/CSS;PHP;Python;Ruby;Rust;SQL;VBA</v>
      </c>
      <c r="M7282" s="9" t="s">
        <v>20</v>
      </c>
    </row>
    <row r="7283" ht="15.75" customHeight="1">
      <c r="A7283" s="7"/>
      <c r="B7283" s="7" t="str">
        <f>IFERROR(__xludf.DUMMYFUNCTION("""COMPUTED_VALUE"""),"HTML/CSS;Java;JavaScript;SQL;TypeScript")</f>
        <v>HTML/CSS;Java;JavaScript;SQL;TypeScript</v>
      </c>
      <c r="M7283" s="9" t="s">
        <v>46</v>
      </c>
    </row>
    <row r="7284" ht="15.75" customHeight="1">
      <c r="A7284" s="7"/>
      <c r="B7284" s="7" t="str">
        <f>IFERROR(__xludf.DUMMYFUNCTION("""COMPUTED_VALUE"""),"Java;Kotlin;Python;Ruby;SQL")</f>
        <v>Java;Kotlin;Python;Ruby;SQL</v>
      </c>
      <c r="M7284" s="9" t="s">
        <v>24</v>
      </c>
    </row>
    <row r="7285" ht="15.75" customHeight="1">
      <c r="A7285" s="7"/>
      <c r="B7285" s="7" t="str">
        <f>IFERROR(__xludf.DUMMYFUNCTION("""COMPUTED_VALUE"""),"C#;JavaScript")</f>
        <v>C#;JavaScript</v>
      </c>
      <c r="M7285" s="9" t="s">
        <v>20</v>
      </c>
    </row>
    <row r="7286" ht="15.75" customHeight="1">
      <c r="A7286" s="7"/>
      <c r="B7286" s="7" t="str">
        <f>IFERROR(__xludf.DUMMYFUNCTION("""COMPUTED_VALUE"""),"HTML/CSS;Java;JavaScript;PHP;Python;SQL")</f>
        <v>HTML/CSS;Java;JavaScript;PHP;Python;SQL</v>
      </c>
      <c r="M7286" s="9" t="s">
        <v>20</v>
      </c>
    </row>
    <row r="7287" ht="15.75" customHeight="1">
      <c r="A7287" s="7"/>
      <c r="B7287" s="7" t="str">
        <f>IFERROR(__xludf.DUMMYFUNCTION("""COMPUTED_VALUE"""),"Java;Python;Ruby;SQL")</f>
        <v>Java;Python;Ruby;SQL</v>
      </c>
      <c r="M7287" s="9" t="s">
        <v>30</v>
      </c>
    </row>
    <row r="7288" ht="15.75" customHeight="1">
      <c r="A7288" s="7"/>
      <c r="B7288" s="7" t="str">
        <f>IFERROR(__xludf.DUMMYFUNCTION("""COMPUTED_VALUE"""),"HTML/CSS;JavaScript;Ruby;SQL")</f>
        <v>HTML/CSS;JavaScript;Ruby;SQL</v>
      </c>
      <c r="M7288" s="9" t="s">
        <v>25</v>
      </c>
    </row>
    <row r="7289" ht="15.75" customHeight="1">
      <c r="A7289" s="7"/>
      <c r="B7289" s="7" t="str">
        <f>IFERROR(__xludf.DUMMYFUNCTION("""COMPUTED_VALUE"""),"C#;Rust;SQL")</f>
        <v>C#;Rust;SQL</v>
      </c>
      <c r="M7289" s="9" t="s">
        <v>23</v>
      </c>
    </row>
    <row r="7290" ht="15.75" customHeight="1">
      <c r="A7290" s="7"/>
      <c r="B7290" s="7" t="str">
        <f>IFERROR(__xludf.DUMMYFUNCTION("""COMPUTED_VALUE"""),"JavaScript;PHP")</f>
        <v>JavaScript;PHP</v>
      </c>
      <c r="M7290" s="9" t="s">
        <v>44</v>
      </c>
    </row>
    <row r="7291" ht="15.75" customHeight="1">
      <c r="A7291" s="7"/>
      <c r="B7291" s="7" t="str">
        <f>IFERROR(__xludf.DUMMYFUNCTION("""COMPUTED_VALUE"""),"Bash/Shell/PowerShell;Go;HTML/CSS;JavaScript;PHP;SQL")</f>
        <v>Bash/Shell/PowerShell;Go;HTML/CSS;JavaScript;PHP;SQL</v>
      </c>
      <c r="M7291" s="9" t="s">
        <v>24</v>
      </c>
    </row>
    <row r="7292" ht="15.75" customHeight="1">
      <c r="A7292" s="7"/>
      <c r="B7292" s="7" t="str">
        <f>IFERROR(__xludf.DUMMYFUNCTION("""COMPUTED_VALUE"""),"Java;JavaScript;TypeScript")</f>
        <v>Java;JavaScript;TypeScript</v>
      </c>
      <c r="M7292" s="9" t="s">
        <v>20</v>
      </c>
    </row>
    <row r="7293" ht="15.75" customHeight="1">
      <c r="A7293" s="7"/>
      <c r="B7293" s="7" t="str">
        <f>IFERROR(__xludf.DUMMYFUNCTION("""COMPUTED_VALUE"""),"HTML/CSS;Java;Python")</f>
        <v>HTML/CSS;Java;Python</v>
      </c>
      <c r="M7293" s="9" t="s">
        <v>21</v>
      </c>
    </row>
    <row r="7294" ht="15.75" customHeight="1">
      <c r="A7294" s="7"/>
      <c r="B7294" s="7" t="str">
        <f>IFERROR(__xludf.DUMMYFUNCTION("""COMPUTED_VALUE"""),"Bash/Shell/PowerShell;Go;Java;Python")</f>
        <v>Bash/Shell/PowerShell;Go;Java;Python</v>
      </c>
      <c r="M7294" s="9" t="s">
        <v>22</v>
      </c>
    </row>
    <row r="7295" ht="15.75" customHeight="1">
      <c r="A7295" s="7"/>
      <c r="B7295" s="7" t="str">
        <f>IFERROR(__xludf.DUMMYFUNCTION("""COMPUTED_VALUE"""),"Bash/Shell/PowerShell;Go;Python;Ruby;Other(s):")</f>
        <v>Bash/Shell/PowerShell;Go;Python;Ruby;Other(s):</v>
      </c>
      <c r="M7295" s="9" t="s">
        <v>27</v>
      </c>
    </row>
    <row r="7296" ht="15.75" customHeight="1">
      <c r="A7296" s="7"/>
      <c r="B7296" s="7" t="str">
        <f>IFERROR(__xludf.DUMMYFUNCTION("""COMPUTED_VALUE"""),"HTML/CSS;JavaScript;PHP;SQL")</f>
        <v>HTML/CSS;JavaScript;PHP;SQL</v>
      </c>
      <c r="M7296" s="9" t="s">
        <v>30</v>
      </c>
    </row>
    <row r="7297" ht="15.75" customHeight="1">
      <c r="A7297" s="7"/>
      <c r="B7297" s="7" t="str">
        <f>IFERROR(__xludf.DUMMYFUNCTION("""COMPUTED_VALUE"""),"Assembly;Bash/Shell/PowerShell;C;C++;HTML/CSS;JavaScript;PHP;Python;SQL")</f>
        <v>Assembly;Bash/Shell/PowerShell;C;C++;HTML/CSS;JavaScript;PHP;Python;SQL</v>
      </c>
      <c r="M7297" s="9" t="s">
        <v>26</v>
      </c>
    </row>
    <row r="7298" ht="15.75" customHeight="1">
      <c r="A7298" s="7"/>
      <c r="B7298" s="7" t="str">
        <f>IFERROR(__xludf.DUMMYFUNCTION("""COMPUTED_VALUE"""),"HTML/CSS;JavaScript;PHP;SQL")</f>
        <v>HTML/CSS;JavaScript;PHP;SQL</v>
      </c>
      <c r="M7298" s="9" t="s">
        <v>24</v>
      </c>
    </row>
    <row r="7299" ht="15.75" customHeight="1">
      <c r="A7299" s="7"/>
      <c r="B7299" s="7" t="str">
        <f>IFERROR(__xludf.DUMMYFUNCTION("""COMPUTED_VALUE"""),"C;C++;HTML/CSS;Java;JavaScript;PHP;Swift;VBA")</f>
        <v>C;C++;HTML/CSS;Java;JavaScript;PHP;Swift;VBA</v>
      </c>
      <c r="M7299" s="9" t="s">
        <v>20</v>
      </c>
    </row>
    <row r="7300" ht="15.75" customHeight="1">
      <c r="A7300" s="7"/>
      <c r="B7300" s="7" t="str">
        <f>IFERROR(__xludf.DUMMYFUNCTION("""COMPUTED_VALUE"""),"HTML/CSS;JavaScript;PHP")</f>
        <v>HTML/CSS;JavaScript;PHP</v>
      </c>
      <c r="M7300" s="9" t="s">
        <v>21</v>
      </c>
    </row>
    <row r="7301" ht="15.75" customHeight="1">
      <c r="A7301" s="7"/>
      <c r="B7301" s="7" t="str">
        <f>IFERROR(__xludf.DUMMYFUNCTION("""COMPUTED_VALUE"""),"C#;Go;HTML/CSS;Java;PHP;SQL")</f>
        <v>C#;Go;HTML/CSS;Java;PHP;SQL</v>
      </c>
      <c r="M7301" s="9" t="s">
        <v>22</v>
      </c>
    </row>
    <row r="7302" ht="15.75" customHeight="1">
      <c r="A7302" s="7"/>
      <c r="B7302" s="7" t="str">
        <f>IFERROR(__xludf.DUMMYFUNCTION("""COMPUTED_VALUE"""),"Go;SQL")</f>
        <v>Go;SQL</v>
      </c>
      <c r="M7302" s="9" t="s">
        <v>27</v>
      </c>
    </row>
    <row r="7303" ht="15.75" customHeight="1">
      <c r="A7303" s="7"/>
      <c r="B7303" s="7" t="str">
        <f>IFERROR(__xludf.DUMMYFUNCTION("""COMPUTED_VALUE"""),"C++;Java;JavaScript;Kotlin;Objective-C;Python;Swift")</f>
        <v>C++;Java;JavaScript;Kotlin;Objective-C;Python;Swift</v>
      </c>
      <c r="M7303" s="9" t="s">
        <v>26</v>
      </c>
    </row>
    <row r="7304" ht="15.75" customHeight="1">
      <c r="A7304" s="7"/>
      <c r="B7304" s="7" t="str">
        <f>IFERROR(__xludf.DUMMYFUNCTION("""COMPUTED_VALUE"""),"Bash/Shell/PowerShell;HTML/CSS;JavaScript;Python;SQL")</f>
        <v>Bash/Shell/PowerShell;HTML/CSS;JavaScript;Python;SQL</v>
      </c>
      <c r="M7304" s="9" t="s">
        <v>47</v>
      </c>
    </row>
    <row r="7305" ht="15.75" customHeight="1">
      <c r="A7305" s="7"/>
      <c r="B7305" s="7" t="str">
        <f>IFERROR(__xludf.DUMMYFUNCTION("""COMPUTED_VALUE"""),"C#;SQL")</f>
        <v>C#;SQL</v>
      </c>
      <c r="M7305" s="9" t="s">
        <v>24</v>
      </c>
    </row>
    <row r="7306" ht="15.75" customHeight="1">
      <c r="A7306" s="7"/>
      <c r="B7306" s="7" t="str">
        <f>IFERROR(__xludf.DUMMYFUNCTION("""COMPUTED_VALUE"""),"Bash/Shell/PowerShell;HTML/CSS;Java;JavaScript;Scala;Other(s):")</f>
        <v>Bash/Shell/PowerShell;HTML/CSS;Java;JavaScript;Scala;Other(s):</v>
      </c>
      <c r="M7306" s="9" t="s">
        <v>21</v>
      </c>
    </row>
    <row r="7307" ht="15.75" customHeight="1">
      <c r="A7307" s="7"/>
      <c r="B7307" s="7" t="str">
        <f>IFERROR(__xludf.DUMMYFUNCTION("""COMPUTED_VALUE"""),"C++")</f>
        <v>C++</v>
      </c>
      <c r="M7307" s="9" t="s">
        <v>27</v>
      </c>
    </row>
    <row r="7308" ht="15.75" customHeight="1">
      <c r="A7308" s="7"/>
      <c r="B7308" s="7" t="str">
        <f>IFERROR(__xludf.DUMMYFUNCTION("""COMPUTED_VALUE"""),"C;C++;C#")</f>
        <v>C;C++;C#</v>
      </c>
      <c r="M7308" s="9" t="s">
        <v>25</v>
      </c>
    </row>
    <row r="7309" ht="15.75" customHeight="1">
      <c r="A7309" s="7"/>
      <c r="B7309" s="7" t="str">
        <f>IFERROR(__xludf.DUMMYFUNCTION("""COMPUTED_VALUE"""),"HTML/CSS;JavaScript")</f>
        <v>HTML/CSS;JavaScript</v>
      </c>
      <c r="M7309" s="9" t="s">
        <v>23</v>
      </c>
    </row>
    <row r="7310" ht="15.75" customHeight="1">
      <c r="A7310" s="7"/>
      <c r="B7310" s="7" t="str">
        <f>IFERROR(__xludf.DUMMYFUNCTION("""COMPUTED_VALUE"""),"Bash/Shell/PowerShell;C#;HTML/CSS;JavaScript;Other(s):")</f>
        <v>Bash/Shell/PowerShell;C#;HTML/CSS;JavaScript;Other(s):</v>
      </c>
      <c r="M7310" s="9" t="s">
        <v>24</v>
      </c>
    </row>
    <row r="7311" ht="15.75" customHeight="1">
      <c r="A7311" s="7"/>
      <c r="B7311" s="7" t="str">
        <f>IFERROR(__xludf.DUMMYFUNCTION("""COMPUTED_VALUE"""),"Bash/Shell/PowerShell;HTML/CSS;JavaScript;Objective-C;Ruby;Swift")</f>
        <v>Bash/Shell/PowerShell;HTML/CSS;JavaScript;Objective-C;Ruby;Swift</v>
      </c>
      <c r="M7311" s="9" t="s">
        <v>21</v>
      </c>
    </row>
    <row r="7312" ht="15.75" customHeight="1">
      <c r="A7312" s="7"/>
      <c r="B7312" s="7" t="str">
        <f>IFERROR(__xludf.DUMMYFUNCTION("""COMPUTED_VALUE"""),"C++;R")</f>
        <v>C++;R</v>
      </c>
      <c r="M7312" s="9" t="s">
        <v>27</v>
      </c>
    </row>
    <row r="7313" ht="15.75" customHeight="1">
      <c r="A7313" s="7"/>
      <c r="B7313" s="7" t="str">
        <f>IFERROR(__xludf.DUMMYFUNCTION("""COMPUTED_VALUE"""),"C;C++;HTML/CSS;JavaScript;Python;R")</f>
        <v>C;C++;HTML/CSS;JavaScript;Python;R</v>
      </c>
      <c r="M7313" s="9" t="s">
        <v>26</v>
      </c>
    </row>
    <row r="7314" ht="15.75" customHeight="1">
      <c r="A7314" s="7"/>
      <c r="B7314" s="7" t="str">
        <f>IFERROR(__xludf.DUMMYFUNCTION("""COMPUTED_VALUE"""),"C#;HTML/CSS;JavaScript;SQL")</f>
        <v>C#;HTML/CSS;JavaScript;SQL</v>
      </c>
      <c r="M7314" s="9" t="s">
        <v>24</v>
      </c>
    </row>
    <row r="7315" ht="15.75" customHeight="1">
      <c r="A7315" s="7"/>
      <c r="B7315" s="7" t="str">
        <f>IFERROR(__xludf.DUMMYFUNCTION("""COMPUTED_VALUE"""),"Bash/Shell/PowerShell;C#;HTML/CSS;Java;JavaScript;SQL;TypeScript")</f>
        <v>Bash/Shell/PowerShell;C#;HTML/CSS;Java;JavaScript;SQL;TypeScript</v>
      </c>
      <c r="M7315" s="9" t="s">
        <v>21</v>
      </c>
    </row>
    <row r="7316" ht="15.75" customHeight="1">
      <c r="A7316" s="7"/>
      <c r="B7316" s="7" t="str">
        <f>IFERROR(__xludf.DUMMYFUNCTION("""COMPUTED_VALUE"""),"Assembly;Bash/Shell/PowerShell;C++;HTML/CSS;Java;JavaScript;Objective-C;SQL;Other(s):")</f>
        <v>Assembly;Bash/Shell/PowerShell;C++;HTML/CSS;Java;JavaScript;Objective-C;SQL;Other(s):</v>
      </c>
      <c r="M7316" s="9" t="s">
        <v>22</v>
      </c>
    </row>
    <row r="7317" ht="15.75" customHeight="1">
      <c r="A7317" s="7"/>
      <c r="B7317" s="7" t="str">
        <f>IFERROR(__xludf.DUMMYFUNCTION("""COMPUTED_VALUE"""),"Assembly;Bash/Shell/PowerShell;C;C#;HTML/CSS;Java;JavaScript;PHP;Python;TypeScript")</f>
        <v>Assembly;Bash/Shell/PowerShell;C;C#;HTML/CSS;Java;JavaScript;PHP;Python;TypeScript</v>
      </c>
      <c r="M7317" s="9" t="s">
        <v>27</v>
      </c>
    </row>
    <row r="7318" ht="15.75" customHeight="1">
      <c r="A7318" s="7"/>
      <c r="B7318" s="7" t="str">
        <f>IFERROR(__xludf.DUMMYFUNCTION("""COMPUTED_VALUE"""),"C;HTML/CSS;Java;Kotlin;PHP;Python;Ruby;SQL")</f>
        <v>C;HTML/CSS;Java;Kotlin;PHP;Python;Ruby;SQL</v>
      </c>
      <c r="M7318" s="9" t="s">
        <v>24</v>
      </c>
    </row>
    <row r="7319" ht="15.75" customHeight="1">
      <c r="A7319" s="7"/>
      <c r="B7319" s="7" t="str">
        <f>IFERROR(__xludf.DUMMYFUNCTION("""COMPUTED_VALUE"""),"HTML/CSS;JavaScript;Python;R;SQL")</f>
        <v>HTML/CSS;JavaScript;Python;R;SQL</v>
      </c>
      <c r="M7319" s="9" t="s">
        <v>21</v>
      </c>
    </row>
    <row r="7320" ht="15.75" customHeight="1">
      <c r="A7320" s="7"/>
      <c r="B7320" s="7" t="str">
        <f>IFERROR(__xludf.DUMMYFUNCTION("""COMPUTED_VALUE"""),"Assembly;HTML/CSS;JavaScript;PHP")</f>
        <v>Assembly;HTML/CSS;JavaScript;PHP</v>
      </c>
      <c r="M7320" s="9" t="s">
        <v>35</v>
      </c>
    </row>
    <row r="7321" ht="15.75" customHeight="1">
      <c r="A7321" s="7"/>
      <c r="B7321" s="7" t="str">
        <f>IFERROR(__xludf.DUMMYFUNCTION("""COMPUTED_VALUE"""),"Bash/Shell/PowerShell;Go;HTML/CSS;Java;JavaScript;Kotlin;Objective-C;Python;Swift;TypeScript")</f>
        <v>Bash/Shell/PowerShell;Go;HTML/CSS;Java;JavaScript;Kotlin;Objective-C;Python;Swift;TypeScript</v>
      </c>
      <c r="M7321" s="9" t="s">
        <v>26</v>
      </c>
    </row>
    <row r="7322" ht="15.75" customHeight="1">
      <c r="A7322" s="7"/>
      <c r="B7322" s="7" t="str">
        <f>IFERROR(__xludf.DUMMYFUNCTION("""COMPUTED_VALUE"""),"C#;JavaScript;SQL")</f>
        <v>C#;JavaScript;SQL</v>
      </c>
      <c r="M7322" s="9" t="s">
        <v>24</v>
      </c>
    </row>
    <row r="7323" ht="15.75" customHeight="1">
      <c r="A7323" s="7"/>
      <c r="B7323" s="7" t="str">
        <f>IFERROR(__xludf.DUMMYFUNCTION("""COMPUTED_VALUE"""),"Assembly;Go;HTML/CSS;Java;JavaScript;Swift;TypeScript")</f>
        <v>Assembly;Go;HTML/CSS;Java;JavaScript;Swift;TypeScript</v>
      </c>
      <c r="M7323" s="9" t="s">
        <v>20</v>
      </c>
    </row>
    <row r="7324" ht="15.75" customHeight="1">
      <c r="A7324" s="7"/>
      <c r="B7324" s="7" t="str">
        <f>IFERROR(__xludf.DUMMYFUNCTION("""COMPUTED_VALUE"""),"Assembly;Bash/Shell/PowerShell;C#;HTML/CSS;JavaScript;Python")</f>
        <v>Assembly;Bash/Shell/PowerShell;C#;HTML/CSS;JavaScript;Python</v>
      </c>
      <c r="M7324" s="9" t="s">
        <v>46</v>
      </c>
    </row>
    <row r="7325" ht="15.75" customHeight="1">
      <c r="A7325" s="7"/>
      <c r="B7325" s="7" t="str">
        <f>IFERROR(__xludf.DUMMYFUNCTION("""COMPUTED_VALUE"""),"Bash/Shell/PowerShell;Elixir;Python;Other(s):")</f>
        <v>Bash/Shell/PowerShell;Elixir;Python;Other(s):</v>
      </c>
      <c r="M7325" s="9" t="s">
        <v>27</v>
      </c>
    </row>
    <row r="7326" ht="15.75" customHeight="1">
      <c r="A7326" s="7"/>
      <c r="B7326" s="7" t="str">
        <f>IFERROR(__xludf.DUMMYFUNCTION("""COMPUTED_VALUE"""),"Bash/Shell/PowerShell;C#;Java;Python")</f>
        <v>Bash/Shell/PowerShell;C#;Java;Python</v>
      </c>
      <c r="M7326" s="9" t="s">
        <v>33</v>
      </c>
    </row>
    <row r="7327" ht="15.75" customHeight="1">
      <c r="A7327" s="7"/>
      <c r="B7327" s="7" t="str">
        <f>IFERROR(__xludf.DUMMYFUNCTION("""COMPUTED_VALUE"""),"Assembly;Bash/Shell/PowerShell;HTML/CSS;Java;JavaScript;PHP;Python;SQL;Swift")</f>
        <v>Assembly;Bash/Shell/PowerShell;HTML/CSS;Java;JavaScript;PHP;Python;SQL;Swift</v>
      </c>
      <c r="M7327" s="9" t="s">
        <v>23</v>
      </c>
    </row>
    <row r="7328" ht="15.75" customHeight="1">
      <c r="A7328" s="7"/>
      <c r="B7328" s="7" t="str">
        <f>IFERROR(__xludf.DUMMYFUNCTION("""COMPUTED_VALUE"""),"HTML/CSS;JavaScript;Python;R;Scala;SQL")</f>
        <v>HTML/CSS;JavaScript;Python;R;Scala;SQL</v>
      </c>
      <c r="M7328" s="9" t="s">
        <v>36</v>
      </c>
    </row>
    <row r="7329" ht="15.75" customHeight="1">
      <c r="A7329" s="7"/>
      <c r="B7329" s="7" t="str">
        <f>IFERROR(__xludf.DUMMYFUNCTION("""COMPUTED_VALUE"""),"HTML/CSS;JavaScript;Python")</f>
        <v>HTML/CSS;JavaScript;Python</v>
      </c>
      <c r="M7329" s="9" t="s">
        <v>21</v>
      </c>
    </row>
    <row r="7330" ht="15.75" customHeight="1">
      <c r="A7330" s="7"/>
      <c r="B7330" s="7" t="str">
        <f>IFERROR(__xludf.DUMMYFUNCTION("""COMPUTED_VALUE"""),"Bash/Shell/PowerShell;C++;Go;HTML/CSS;Python;SQL")</f>
        <v>Bash/Shell/PowerShell;C++;Go;HTML/CSS;Python;SQL</v>
      </c>
      <c r="M7330" s="9" t="s">
        <v>22</v>
      </c>
    </row>
    <row r="7331" ht="15.75" customHeight="1">
      <c r="A7331" s="7"/>
      <c r="B7331" s="7" t="str">
        <f>IFERROR(__xludf.DUMMYFUNCTION("""COMPUTED_VALUE"""),"HTML/CSS;JavaScript;TypeScript")</f>
        <v>HTML/CSS;JavaScript;TypeScript</v>
      </c>
      <c r="M7331" s="9" t="s">
        <v>24</v>
      </c>
    </row>
    <row r="7332" ht="15.75" customHeight="1">
      <c r="A7332" s="7"/>
      <c r="B7332" s="7" t="str">
        <f>IFERROR(__xludf.DUMMYFUNCTION("""COMPUTED_VALUE"""),"Objective-C;Swift")</f>
        <v>Objective-C;Swift</v>
      </c>
      <c r="M7332" s="9" t="s">
        <v>21</v>
      </c>
    </row>
    <row r="7333" ht="15.75" customHeight="1">
      <c r="A7333" s="7"/>
      <c r="B7333" s="7" t="str">
        <f>IFERROR(__xludf.DUMMYFUNCTION("""COMPUTED_VALUE"""),"C;C++;Erlang;Java;JavaScript;Python;SQL")</f>
        <v>C;C++;Erlang;Java;JavaScript;Python;SQL</v>
      </c>
      <c r="M7333" s="9" t="s">
        <v>22</v>
      </c>
    </row>
    <row r="7334" ht="15.75" customHeight="1">
      <c r="A7334" s="7"/>
      <c r="B7334" s="7" t="str">
        <f>IFERROR(__xludf.DUMMYFUNCTION("""COMPUTED_VALUE"""),"Bash/Shell/PowerShell;HTML/CSS;Java;JavaScript;Python;SQL;TypeScript")</f>
        <v>Bash/Shell/PowerShell;HTML/CSS;Java;JavaScript;Python;SQL;TypeScript</v>
      </c>
      <c r="M7334" s="9" t="s">
        <v>38</v>
      </c>
    </row>
    <row r="7335" ht="15.75" customHeight="1">
      <c r="A7335" s="7"/>
      <c r="B7335" s="7" t="str">
        <f>IFERROR(__xludf.DUMMYFUNCTION("""COMPUTED_VALUE"""),"Bash/Shell/PowerShell;HTML/CSS;Java;JavaScript;Python")</f>
        <v>Bash/Shell/PowerShell;HTML/CSS;Java;JavaScript;Python</v>
      </c>
      <c r="M7335" s="9" t="s">
        <v>30</v>
      </c>
    </row>
    <row r="7336" ht="15.75" customHeight="1">
      <c r="A7336" s="7"/>
      <c r="B7336" s="7" t="str">
        <f>IFERROR(__xludf.DUMMYFUNCTION("""COMPUTED_VALUE"""),"C++;C#;HTML/CSS;Python")</f>
        <v>C++;C#;HTML/CSS;Python</v>
      </c>
      <c r="M7336" s="9" t="s">
        <v>26</v>
      </c>
    </row>
    <row r="7337" ht="15.75" customHeight="1">
      <c r="A7337" s="7"/>
      <c r="B7337" s="7" t="str">
        <f>IFERROR(__xludf.DUMMYFUNCTION("""COMPUTED_VALUE"""),"JavaScript;TypeScript")</f>
        <v>JavaScript;TypeScript</v>
      </c>
      <c r="M7337" s="9" t="s">
        <v>24</v>
      </c>
    </row>
    <row r="7338" ht="15.75" customHeight="1">
      <c r="A7338" s="7"/>
      <c r="B7338" s="7" t="str">
        <f>IFERROR(__xludf.DUMMYFUNCTION("""COMPUTED_VALUE"""),"Bash/Shell/PowerShell;C;Go;HTML/CSS;JavaScript;Python;SQL;TypeScript")</f>
        <v>Bash/Shell/PowerShell;C;Go;HTML/CSS;JavaScript;Python;SQL;TypeScript</v>
      </c>
      <c r="M7338" s="9" t="s">
        <v>21</v>
      </c>
    </row>
    <row r="7339" ht="15.75" customHeight="1">
      <c r="A7339" s="7"/>
      <c r="B7339" s="7" t="str">
        <f>IFERROR(__xludf.DUMMYFUNCTION("""COMPUTED_VALUE"""),"Other(s):")</f>
        <v>Other(s):</v>
      </c>
      <c r="M7339" s="9" t="s">
        <v>37</v>
      </c>
    </row>
    <row r="7340" ht="15.75" customHeight="1">
      <c r="A7340" s="7"/>
      <c r="B7340" s="7" t="str">
        <f>IFERROR(__xludf.DUMMYFUNCTION("""COMPUTED_VALUE"""),"C#;HTML/CSS;JavaScript;SQL;TypeScript")</f>
        <v>C#;HTML/CSS;JavaScript;SQL;TypeScript</v>
      </c>
      <c r="M7340" s="9" t="s">
        <v>27</v>
      </c>
    </row>
    <row r="7341" ht="15.75" customHeight="1">
      <c r="A7341" s="7"/>
      <c r="B7341" s="7" t="str">
        <f>IFERROR(__xludf.DUMMYFUNCTION("""COMPUTED_VALUE"""),"JavaScript;PHP;Python")</f>
        <v>JavaScript;PHP;Python</v>
      </c>
      <c r="M7341" s="9" t="s">
        <v>35</v>
      </c>
    </row>
    <row r="7342" ht="15.75" customHeight="1">
      <c r="A7342" s="7"/>
      <c r="B7342" s="7" t="str">
        <f>IFERROR(__xludf.DUMMYFUNCTION("""COMPUTED_VALUE"""),"HTML/CSS;JavaScript;PHP;SQL")</f>
        <v>HTML/CSS;JavaScript;PHP;SQL</v>
      </c>
      <c r="M7342" s="9" t="s">
        <v>30</v>
      </c>
    </row>
    <row r="7343" ht="15.75" customHeight="1">
      <c r="A7343" s="7"/>
      <c r="B7343" s="7" t="str">
        <f>IFERROR(__xludf.DUMMYFUNCTION("""COMPUTED_VALUE"""),"C++;C#;HTML/CSS;JavaScript;PHP")</f>
        <v>C++;C#;HTML/CSS;JavaScript;PHP</v>
      </c>
      <c r="M7343" s="9" t="s">
        <v>23</v>
      </c>
    </row>
    <row r="7344" ht="15.75" customHeight="1">
      <c r="A7344" s="7"/>
      <c r="B7344" s="7" t="str">
        <f>IFERROR(__xludf.DUMMYFUNCTION("""COMPUTED_VALUE"""),"HTML/CSS;JavaScript;TypeScript")</f>
        <v>HTML/CSS;JavaScript;TypeScript</v>
      </c>
      <c r="M7344" s="9" t="s">
        <v>24</v>
      </c>
    </row>
    <row r="7345" ht="15.75" customHeight="1">
      <c r="A7345" s="7"/>
      <c r="B7345" s="7" t="str">
        <f>IFERROR(__xludf.DUMMYFUNCTION("""COMPUTED_VALUE"""),"C#;Java;JavaScript;SQL")</f>
        <v>C#;Java;JavaScript;SQL</v>
      </c>
      <c r="M7345" s="9" t="s">
        <v>21</v>
      </c>
    </row>
    <row r="7346" ht="15.75" customHeight="1">
      <c r="A7346" s="7"/>
      <c r="B7346" s="7" t="str">
        <f>IFERROR(__xludf.DUMMYFUNCTION("""COMPUTED_VALUE"""),"C#;HTML/CSS;JavaScript;SQL")</f>
        <v>C#;HTML/CSS;JavaScript;SQL</v>
      </c>
      <c r="M7346" s="9" t="s">
        <v>22</v>
      </c>
    </row>
    <row r="7347" ht="15.75" customHeight="1">
      <c r="A7347" s="7"/>
      <c r="B7347" s="7" t="str">
        <f>IFERROR(__xludf.DUMMYFUNCTION("""COMPUTED_VALUE"""),"Bash/Shell/PowerShell;C;C++;Java;Objective-C;Python;SQL;Swift;VBA")</f>
        <v>Bash/Shell/PowerShell;C;C++;Java;Objective-C;Python;SQL;Swift;VBA</v>
      </c>
      <c r="M7347" s="9" t="s">
        <v>31</v>
      </c>
    </row>
    <row r="7348" ht="15.75" customHeight="1">
      <c r="A7348" s="7"/>
      <c r="B7348" s="7" t="str">
        <f>IFERROR(__xludf.DUMMYFUNCTION("""COMPUTED_VALUE"""),"HTML/CSS;JavaScript;Objective-C;Python;VBA")</f>
        <v>HTML/CSS;JavaScript;Objective-C;Python;VBA</v>
      </c>
      <c r="M7348" s="9" t="s">
        <v>33</v>
      </c>
    </row>
    <row r="7349" ht="15.75" customHeight="1">
      <c r="A7349" s="7"/>
      <c r="B7349" s="7" t="str">
        <f>IFERROR(__xludf.DUMMYFUNCTION("""COMPUTED_VALUE"""),"HTML/CSS;JavaScript;PHP;Other(s):")</f>
        <v>HTML/CSS;JavaScript;PHP;Other(s):</v>
      </c>
      <c r="M7349" s="9" t="s">
        <v>21</v>
      </c>
    </row>
    <row r="7350" ht="15.75" customHeight="1">
      <c r="A7350" s="7"/>
      <c r="B7350" s="7" t="str">
        <f>IFERROR(__xludf.DUMMYFUNCTION("""COMPUTED_VALUE"""),"Bash/Shell/PowerShell;C#;HTML/CSS;VBA")</f>
        <v>Bash/Shell/PowerShell;C#;HTML/CSS;VBA</v>
      </c>
      <c r="M7350" s="9" t="s">
        <v>29</v>
      </c>
    </row>
    <row r="7351" ht="15.75" customHeight="1">
      <c r="A7351" s="7"/>
      <c r="B7351" s="7" t="str">
        <f>IFERROR(__xludf.DUMMYFUNCTION("""COMPUTED_VALUE"""),"C#;HTML/CSS;JavaScript")</f>
        <v>C#;HTML/CSS;JavaScript</v>
      </c>
      <c r="M7351" s="9" t="s">
        <v>24</v>
      </c>
    </row>
    <row r="7352" ht="15.75" customHeight="1">
      <c r="A7352" s="7"/>
      <c r="B7352" s="7" t="str">
        <f>IFERROR(__xludf.DUMMYFUNCTION("""COMPUTED_VALUE"""),"Swift")</f>
        <v>Swift</v>
      </c>
      <c r="M7352" s="9" t="s">
        <v>20</v>
      </c>
    </row>
    <row r="7353" ht="15.75" customHeight="1">
      <c r="A7353" s="7"/>
      <c r="B7353" s="7" t="str">
        <f>IFERROR(__xludf.DUMMYFUNCTION("""COMPUTED_VALUE"""),"C#;Go;HTML/CSS;Java;JavaScript;Python;Scala;SQL")</f>
        <v>C#;Go;HTML/CSS;Java;JavaScript;Python;Scala;SQL</v>
      </c>
      <c r="M7353" s="9" t="s">
        <v>21</v>
      </c>
    </row>
    <row r="7354" ht="15.75" customHeight="1">
      <c r="A7354" s="7"/>
      <c r="B7354" s="7" t="str">
        <f>IFERROR(__xludf.DUMMYFUNCTION("""COMPUTED_VALUE"""),"C#;HTML/CSS;SQL;VBA")</f>
        <v>C#;HTML/CSS;SQL;VBA</v>
      </c>
      <c r="M7354" s="9" t="s">
        <v>33</v>
      </c>
    </row>
    <row r="7355" ht="15.75" customHeight="1">
      <c r="A7355" s="7"/>
      <c r="B7355" s="7" t="str">
        <f>IFERROR(__xludf.DUMMYFUNCTION("""COMPUTED_VALUE"""),"Bash/Shell/PowerShell;HTML/CSS;Java;JavaScript")</f>
        <v>Bash/Shell/PowerShell;HTML/CSS;Java;JavaScript</v>
      </c>
      <c r="M7355" s="9" t="s">
        <v>30</v>
      </c>
    </row>
    <row r="7356" ht="15.75" customHeight="1">
      <c r="A7356" s="7"/>
      <c r="B7356" s="7" t="str">
        <f>IFERROR(__xludf.DUMMYFUNCTION("""COMPUTED_VALUE"""),"Bash/Shell/PowerShell;HTML/CSS;Python;Ruby")</f>
        <v>Bash/Shell/PowerShell;HTML/CSS;Python;Ruby</v>
      </c>
      <c r="M7356" s="9" t="s">
        <v>24</v>
      </c>
    </row>
    <row r="7357" ht="15.75" customHeight="1">
      <c r="A7357" s="7"/>
      <c r="B7357" s="7" t="str">
        <f>IFERROR(__xludf.DUMMYFUNCTION("""COMPUTED_VALUE"""),"C#;HTML/CSS;JavaScript;TypeScript")</f>
        <v>C#;HTML/CSS;JavaScript;TypeScript</v>
      </c>
      <c r="M7357" s="9" t="s">
        <v>21</v>
      </c>
    </row>
    <row r="7358" ht="15.75" customHeight="1">
      <c r="A7358" s="7"/>
      <c r="B7358" s="7" t="str">
        <f>IFERROR(__xludf.DUMMYFUNCTION("""COMPUTED_VALUE"""),"C++;C#;HTML/CSS;Python;SQL;Other(s):")</f>
        <v>C++;C#;HTML/CSS;Python;SQL;Other(s):</v>
      </c>
      <c r="M7358" s="9" t="s">
        <v>22</v>
      </c>
    </row>
    <row r="7359" ht="15.75" customHeight="1">
      <c r="A7359" s="7"/>
      <c r="B7359" s="7" t="str">
        <f>IFERROR(__xludf.DUMMYFUNCTION("""COMPUTED_VALUE"""),"Bash/Shell/PowerShell;HTML/CSS;JavaScript;SQL;TypeScript")</f>
        <v>Bash/Shell/PowerShell;HTML/CSS;JavaScript;SQL;TypeScript</v>
      </c>
      <c r="M7359" s="9" t="s">
        <v>27</v>
      </c>
    </row>
    <row r="7360" ht="15.75" customHeight="1">
      <c r="A7360" s="7"/>
      <c r="B7360" s="7" t="str">
        <f>IFERROR(__xludf.DUMMYFUNCTION("""COMPUTED_VALUE"""),"Bash/Shell/PowerShell;C;C++;Go;Java;Python;SQL;Other(s):")</f>
        <v>Bash/Shell/PowerShell;C;C++;Go;Java;Python;SQL;Other(s):</v>
      </c>
      <c r="M7360" s="9" t="s">
        <v>33</v>
      </c>
    </row>
    <row r="7361" ht="15.75" customHeight="1">
      <c r="A7361" s="7"/>
      <c r="B7361" s="7" t="str">
        <f>IFERROR(__xludf.DUMMYFUNCTION("""COMPUTED_VALUE"""),"Bash/Shell/PowerShell;HTML/CSS;Java;SQL")</f>
        <v>Bash/Shell/PowerShell;HTML/CSS;Java;SQL</v>
      </c>
      <c r="M7361" s="9" t="s">
        <v>29</v>
      </c>
    </row>
    <row r="7362" ht="15.75" customHeight="1">
      <c r="A7362" s="7"/>
      <c r="B7362" s="7" t="str">
        <f>IFERROR(__xludf.DUMMYFUNCTION("""COMPUTED_VALUE"""),"Bash/Shell/PowerShell;C;Go;HTML/CSS;Java;JavaScript;PHP;Python;SQL;Swift;Other(s):")</f>
        <v>Bash/Shell/PowerShell;C;Go;HTML/CSS;Java;JavaScript;PHP;Python;SQL;Swift;Other(s):</v>
      </c>
      <c r="M7362" s="9" t="s">
        <v>23</v>
      </c>
    </row>
    <row r="7363" ht="15.75" customHeight="1">
      <c r="A7363" s="7"/>
      <c r="B7363" s="7" t="str">
        <f>IFERROR(__xludf.DUMMYFUNCTION("""COMPUTED_VALUE"""),"F#;HTML/CSS;JavaScript;Python;Other(s):")</f>
        <v>F#;HTML/CSS;JavaScript;Python;Other(s):</v>
      </c>
      <c r="M7363" s="9" t="s">
        <v>24</v>
      </c>
    </row>
    <row r="7364" ht="15.75" customHeight="1">
      <c r="A7364" s="7"/>
      <c r="B7364" s="7" t="str">
        <f>IFERROR(__xludf.DUMMYFUNCTION("""COMPUTED_VALUE"""),"Java;JavaScript;SQL;Other(s):")</f>
        <v>Java;JavaScript;SQL;Other(s):</v>
      </c>
      <c r="M7364" s="9" t="s">
        <v>20</v>
      </c>
    </row>
    <row r="7365" ht="15.75" customHeight="1">
      <c r="A7365" s="7"/>
      <c r="B7365" s="7" t="str">
        <f>IFERROR(__xludf.DUMMYFUNCTION("""COMPUTED_VALUE"""),"Bash/Shell/PowerShell;C;C++;HTML/CSS;JavaScript;Python;Rust")</f>
        <v>Bash/Shell/PowerShell;C;C++;HTML/CSS;JavaScript;Python;Rust</v>
      </c>
      <c r="M7365" s="9" t="s">
        <v>21</v>
      </c>
    </row>
    <row r="7366" ht="15.75" customHeight="1">
      <c r="A7366" s="7"/>
      <c r="B7366" s="7" t="str">
        <f>IFERROR(__xludf.DUMMYFUNCTION("""COMPUTED_VALUE"""),"C#;Dart;HTML/CSS;JavaScript;PHP;Python;SQL;TypeScript")</f>
        <v>C#;Dart;HTML/CSS;JavaScript;PHP;Python;SQL;TypeScript</v>
      </c>
      <c r="M7366" s="9" t="s">
        <v>37</v>
      </c>
    </row>
    <row r="7367" ht="15.75" customHeight="1">
      <c r="A7367" s="7"/>
      <c r="B7367" s="7" t="str">
        <f>IFERROR(__xludf.DUMMYFUNCTION("""COMPUTED_VALUE"""),"HTML/CSS;JavaScript;Ruby;TypeScript")</f>
        <v>HTML/CSS;JavaScript;Ruby;TypeScript</v>
      </c>
      <c r="M7367" s="9" t="s">
        <v>27</v>
      </c>
    </row>
    <row r="7368" ht="15.75" customHeight="1">
      <c r="A7368" s="7"/>
      <c r="B7368" s="7" t="str">
        <f>IFERROR(__xludf.DUMMYFUNCTION("""COMPUTED_VALUE"""),"Bash/Shell/PowerShell;C;C++;HTML/CSS;Java;JavaScript;Objective-C;PHP;Python;SQL;Swift;Other(s):")</f>
        <v>Bash/Shell/PowerShell;C;C++;HTML/CSS;Java;JavaScript;Objective-C;PHP;Python;SQL;Swift;Other(s):</v>
      </c>
      <c r="M7368" s="9" t="s">
        <v>33</v>
      </c>
    </row>
    <row r="7369" ht="15.75" customHeight="1">
      <c r="A7369" s="7"/>
      <c r="B7369" s="7" t="str">
        <f>IFERROR(__xludf.DUMMYFUNCTION("""COMPUTED_VALUE"""),"Java")</f>
        <v>Java</v>
      </c>
      <c r="M7369" s="9" t="s">
        <v>38</v>
      </c>
    </row>
    <row r="7370" ht="15.75" customHeight="1">
      <c r="A7370" s="7"/>
      <c r="B7370" s="7" t="str">
        <f>IFERROR(__xludf.DUMMYFUNCTION("""COMPUTED_VALUE"""),"Assembly;Bash/Shell/PowerShell;C;C++;C#;HTML/CSS;Java;JavaScript;PHP;Python;Ruby;Scala;Other(s):")</f>
        <v>Assembly;Bash/Shell/PowerShell;C;C++;C#;HTML/CSS;Java;JavaScript;PHP;Python;Ruby;Scala;Other(s):</v>
      </c>
      <c r="M7370" s="9" t="s">
        <v>30</v>
      </c>
    </row>
    <row r="7371" ht="15.75" customHeight="1">
      <c r="A7371" s="7"/>
      <c r="B7371" s="7" t="str">
        <f>IFERROR(__xludf.DUMMYFUNCTION("""COMPUTED_VALUE"""),"HTML/CSS;JavaScript;SQL;TypeScript")</f>
        <v>HTML/CSS;JavaScript;SQL;TypeScript</v>
      </c>
      <c r="M7371" s="9" t="s">
        <v>25</v>
      </c>
    </row>
    <row r="7372" ht="15.75" customHeight="1">
      <c r="A7372" s="7"/>
      <c r="B7372" s="7" t="str">
        <f>IFERROR(__xludf.DUMMYFUNCTION("""COMPUTED_VALUE"""),"Bash/Shell/PowerShell;C;C#;HTML/CSS;Java;JavaScript;PHP;Python;Rust;SQL;VBA")</f>
        <v>Bash/Shell/PowerShell;C;C#;HTML/CSS;Java;JavaScript;PHP;Python;Rust;SQL;VBA</v>
      </c>
      <c r="M7372" s="9" t="s">
        <v>23</v>
      </c>
    </row>
    <row r="7373" ht="15.75" customHeight="1">
      <c r="A7373" s="7"/>
      <c r="B7373" s="7" t="str">
        <f>IFERROR(__xludf.DUMMYFUNCTION("""COMPUTED_VALUE"""),"Bash/Shell/PowerShell;SQL")</f>
        <v>Bash/Shell/PowerShell;SQL</v>
      </c>
      <c r="M7373" s="9" t="s">
        <v>26</v>
      </c>
    </row>
    <row r="7374" ht="15.75" customHeight="1">
      <c r="A7374" s="7"/>
      <c r="B7374" s="7" t="str">
        <f>IFERROR(__xludf.DUMMYFUNCTION("""COMPUTED_VALUE"""),"C++;Go;HTML/CSS;Java;JavaScript;Kotlin;Objective-C;PHP;Python;R;Ruby;Scala;SQL;TypeScript")</f>
        <v>C++;Go;HTML/CSS;Java;JavaScript;Kotlin;Objective-C;PHP;Python;R;Ruby;Scala;SQL;TypeScript</v>
      </c>
      <c r="M7374" s="9" t="s">
        <v>24</v>
      </c>
    </row>
    <row r="7375" ht="15.75" customHeight="1">
      <c r="A7375" s="7"/>
      <c r="B7375" s="7" t="str">
        <f>IFERROR(__xludf.DUMMYFUNCTION("""COMPUTED_VALUE"""),"Bash/Shell/PowerShell;C++;HTML/CSS;JavaScript;Kotlin;Python;Ruby;SQL")</f>
        <v>Bash/Shell/PowerShell;C++;HTML/CSS;JavaScript;Kotlin;Python;Ruby;SQL</v>
      </c>
      <c r="M7375" s="9" t="s">
        <v>20</v>
      </c>
    </row>
    <row r="7376" ht="15.75" customHeight="1">
      <c r="A7376" s="7"/>
      <c r="B7376" s="7" t="str">
        <f>IFERROR(__xludf.DUMMYFUNCTION("""COMPUTED_VALUE"""),"C#;SQL")</f>
        <v>C#;SQL</v>
      </c>
      <c r="M7376" s="9" t="s">
        <v>21</v>
      </c>
    </row>
    <row r="7377" ht="15.75" customHeight="1">
      <c r="A7377" s="7"/>
      <c r="B7377" s="7" t="str">
        <f>IFERROR(__xludf.DUMMYFUNCTION("""COMPUTED_VALUE"""),"C;C++;HTML/CSS;Java;JavaScript;Python;SQL;TypeScript")</f>
        <v>C;C++;HTML/CSS;Java;JavaScript;Python;SQL;TypeScript</v>
      </c>
      <c r="M7377" s="9" t="s">
        <v>22</v>
      </c>
    </row>
    <row r="7378" ht="15.75" customHeight="1">
      <c r="A7378" s="7"/>
      <c r="B7378" s="7" t="str">
        <f>IFERROR(__xludf.DUMMYFUNCTION("""COMPUTED_VALUE"""),"Bash/Shell/PowerShell;C#;HTML/CSS;JavaScript;SQL;TypeScript")</f>
        <v>Bash/Shell/PowerShell;C#;HTML/CSS;JavaScript;SQL;TypeScript</v>
      </c>
      <c r="M7378" s="9" t="s">
        <v>27</v>
      </c>
    </row>
    <row r="7379" ht="15.75" customHeight="1">
      <c r="A7379" s="7"/>
      <c r="B7379" s="7" t="str">
        <f>IFERROR(__xludf.DUMMYFUNCTION("""COMPUTED_VALUE"""),"Bash/Shell/PowerShell;HTML/CSS;JavaScript;Python;Rust;SQL")</f>
        <v>Bash/Shell/PowerShell;HTML/CSS;JavaScript;Python;Rust;SQL</v>
      </c>
      <c r="M7379" s="9" t="s">
        <v>25</v>
      </c>
    </row>
    <row r="7380" ht="15.75" customHeight="1">
      <c r="A7380" s="7"/>
      <c r="B7380" s="7" t="str">
        <f>IFERROR(__xludf.DUMMYFUNCTION("""COMPUTED_VALUE"""),"C++;C#;SQL;Other(s):")</f>
        <v>C++;C#;SQL;Other(s):</v>
      </c>
      <c r="M7380" s="9" t="s">
        <v>23</v>
      </c>
    </row>
    <row r="7381" ht="15.75" customHeight="1">
      <c r="A7381" s="7"/>
      <c r="B7381" s="7" t="str">
        <f>IFERROR(__xludf.DUMMYFUNCTION("""COMPUTED_VALUE"""),"Bash/Shell/PowerShell;Java")</f>
        <v>Bash/Shell/PowerShell;Java</v>
      </c>
      <c r="M7381" s="9" t="s">
        <v>26</v>
      </c>
    </row>
    <row r="7382" ht="15.75" customHeight="1">
      <c r="A7382" s="7"/>
      <c r="B7382" s="7" t="str">
        <f>IFERROR(__xludf.DUMMYFUNCTION("""COMPUTED_VALUE"""),"Bash/Shell/PowerShell;HTML/CSS;JavaScript;Ruby;SQL;TypeScript")</f>
        <v>Bash/Shell/PowerShell;HTML/CSS;JavaScript;Ruby;SQL;TypeScript</v>
      </c>
      <c r="M7382" s="9" t="s">
        <v>24</v>
      </c>
    </row>
    <row r="7383" ht="15.75" customHeight="1">
      <c r="A7383" s="7"/>
      <c r="B7383" s="7" t="str">
        <f>IFERROR(__xludf.DUMMYFUNCTION("""COMPUTED_VALUE"""),"Bash/Shell/PowerShell;Elixir;Erlang;Go;HTML/CSS;Java;JavaScript;Objective-C;PHP;Python;Ruby;Rust;Scala;SQL;Swift;TypeScript")</f>
        <v>Bash/Shell/PowerShell;Elixir;Erlang;Go;HTML/CSS;Java;JavaScript;Objective-C;PHP;Python;Ruby;Rust;Scala;SQL;Swift;TypeScript</v>
      </c>
      <c r="M7383" s="9" t="s">
        <v>33</v>
      </c>
    </row>
    <row r="7384" ht="15.75" customHeight="1">
      <c r="A7384" s="7"/>
      <c r="B7384" s="7" t="str">
        <f>IFERROR(__xludf.DUMMYFUNCTION("""COMPUTED_VALUE"""),"Bash/Shell/PowerShell;HTML/CSS;Java;JavaScript;PHP;SQL")</f>
        <v>Bash/Shell/PowerShell;HTML/CSS;Java;JavaScript;PHP;SQL</v>
      </c>
      <c r="M7384" s="9" t="s">
        <v>30</v>
      </c>
    </row>
    <row r="7385" ht="15.75" customHeight="1">
      <c r="A7385" s="7"/>
      <c r="B7385" s="7" t="str">
        <f>IFERROR(__xludf.DUMMYFUNCTION("""COMPUTED_VALUE"""),"Java;Python;Scala")</f>
        <v>Java;Python;Scala</v>
      </c>
      <c r="M7385" s="9" t="s">
        <v>24</v>
      </c>
    </row>
    <row r="7386" ht="15.75" customHeight="1">
      <c r="A7386" s="7"/>
      <c r="B7386" s="7" t="str">
        <f>IFERROR(__xludf.DUMMYFUNCTION("""COMPUTED_VALUE"""),"C++;Dart;HTML/CSS;JavaScript;PHP;SQL;TypeScript")</f>
        <v>C++;Dart;HTML/CSS;JavaScript;PHP;SQL;TypeScript</v>
      </c>
      <c r="M7386" s="9" t="s">
        <v>21</v>
      </c>
    </row>
    <row r="7387" ht="15.75" customHeight="1">
      <c r="A7387" s="7"/>
      <c r="B7387" s="7" t="str">
        <f>IFERROR(__xludf.DUMMYFUNCTION("""COMPUTED_VALUE"""),"Bash/Shell/PowerShell;C#;HTML/CSS;JavaScript;SQL;TypeScript;VBA")</f>
        <v>Bash/Shell/PowerShell;C#;HTML/CSS;JavaScript;SQL;TypeScript;VBA</v>
      </c>
      <c r="M7387" s="9" t="s">
        <v>22</v>
      </c>
    </row>
    <row r="7388" ht="15.75" customHeight="1">
      <c r="A7388" s="7"/>
      <c r="B7388" s="7" t="str">
        <f>IFERROR(__xludf.DUMMYFUNCTION("""COMPUTED_VALUE"""),"HTML/CSS;JavaScript;PHP;SQL")</f>
        <v>HTML/CSS;JavaScript;PHP;SQL</v>
      </c>
      <c r="M7388" s="9" t="s">
        <v>31</v>
      </c>
    </row>
    <row r="7389" ht="15.75" customHeight="1">
      <c r="A7389" s="7"/>
      <c r="B7389" s="7" t="str">
        <f>IFERROR(__xludf.DUMMYFUNCTION("""COMPUTED_VALUE"""),"Bash/Shell/PowerShell;C;Java;JavaScript;PHP;Python;R;SQL")</f>
        <v>Bash/Shell/PowerShell;C;Java;JavaScript;PHP;Python;R;SQL</v>
      </c>
      <c r="M7389" s="9" t="s">
        <v>32</v>
      </c>
    </row>
    <row r="7390" ht="15.75" customHeight="1">
      <c r="A7390" s="7"/>
      <c r="B7390" s="7" t="str">
        <f>IFERROR(__xludf.DUMMYFUNCTION("""COMPUTED_VALUE"""),"HTML/CSS;JavaScript;TypeScript")</f>
        <v>HTML/CSS;JavaScript;TypeScript</v>
      </c>
      <c r="M7390" s="9" t="s">
        <v>30</v>
      </c>
    </row>
    <row r="7391" ht="15.75" customHeight="1">
      <c r="A7391" s="7"/>
      <c r="B7391" s="7" t="str">
        <f>IFERROR(__xludf.DUMMYFUNCTION("""COMPUTED_VALUE"""),"C++;Python;Other(s):")</f>
        <v>C++;Python;Other(s):</v>
      </c>
      <c r="M7391" s="9" t="s">
        <v>25</v>
      </c>
    </row>
    <row r="7392" ht="15.75" customHeight="1">
      <c r="A7392" s="7"/>
      <c r="B7392" s="7" t="str">
        <f>IFERROR(__xludf.DUMMYFUNCTION("""COMPUTED_VALUE"""),"Bash/Shell/PowerShell;HTML/CSS;Java;Python;Swift")</f>
        <v>Bash/Shell/PowerShell;HTML/CSS;Java;Python;Swift</v>
      </c>
      <c r="M7392" s="9" t="s">
        <v>24</v>
      </c>
    </row>
    <row r="7393" ht="15.75" customHeight="1">
      <c r="A7393" s="7"/>
      <c r="B7393" s="7" t="str">
        <f>IFERROR(__xludf.DUMMYFUNCTION("""COMPUTED_VALUE"""),"Bash/Shell/PowerShell;C;C++")</f>
        <v>Bash/Shell/PowerShell;C;C++</v>
      </c>
      <c r="M7393" s="9" t="s">
        <v>20</v>
      </c>
    </row>
    <row r="7394" ht="15.75" customHeight="1">
      <c r="A7394" s="7"/>
      <c r="B7394" s="7" t="str">
        <f>IFERROR(__xludf.DUMMYFUNCTION("""COMPUTED_VALUE"""),"C++;C#;Python")</f>
        <v>C++;C#;Python</v>
      </c>
      <c r="M7394" s="9" t="s">
        <v>21</v>
      </c>
    </row>
    <row r="7395" ht="15.75" customHeight="1">
      <c r="A7395" s="7"/>
      <c r="B7395" s="7" t="str">
        <f>IFERROR(__xludf.DUMMYFUNCTION("""COMPUTED_VALUE"""),"Ruby")</f>
        <v>Ruby</v>
      </c>
      <c r="M7395" s="9" t="s">
        <v>37</v>
      </c>
    </row>
    <row r="7396" ht="15.75" customHeight="1">
      <c r="A7396" s="7"/>
      <c r="B7396" s="7" t="str">
        <f>IFERROR(__xludf.DUMMYFUNCTION("""COMPUTED_VALUE"""),"C#;Go;Python;SQL")</f>
        <v>C#;Go;Python;SQL</v>
      </c>
      <c r="M7396" s="9" t="s">
        <v>22</v>
      </c>
    </row>
    <row r="7397" ht="15.75" customHeight="1">
      <c r="A7397" s="7"/>
      <c r="B7397" s="7" t="str">
        <f>IFERROR(__xludf.DUMMYFUNCTION("""COMPUTED_VALUE"""),"C++;C#;HTML/CSS;SQL;TypeScript")</f>
        <v>C++;C#;HTML/CSS;SQL;TypeScript</v>
      </c>
      <c r="M7397" s="9" t="s">
        <v>30</v>
      </c>
    </row>
    <row r="7398" ht="15.75" customHeight="1">
      <c r="A7398" s="7"/>
      <c r="B7398" s="7" t="str">
        <f>IFERROR(__xludf.DUMMYFUNCTION("""COMPUTED_VALUE"""),"C#;HTML/CSS;Java;JavaScript;Kotlin;PHP;Rust;SQL")</f>
        <v>C#;HTML/CSS;Java;JavaScript;Kotlin;PHP;Rust;SQL</v>
      </c>
      <c r="M7398" s="9" t="s">
        <v>20</v>
      </c>
    </row>
    <row r="7399" ht="15.75" customHeight="1">
      <c r="A7399" s="7"/>
      <c r="B7399" s="7" t="str">
        <f>IFERROR(__xludf.DUMMYFUNCTION("""COMPUTED_VALUE"""),"Bash/Shell/PowerShell;C#;HTML/CSS;JavaScript;Python;SQL;Other(s):")</f>
        <v>Bash/Shell/PowerShell;C#;HTML/CSS;JavaScript;Python;SQL;Other(s):</v>
      </c>
      <c r="M7399" s="9" t="s">
        <v>39</v>
      </c>
    </row>
    <row r="7400" ht="15.75" customHeight="1">
      <c r="A7400" s="7"/>
      <c r="B7400" s="7" t="str">
        <f>IFERROR(__xludf.DUMMYFUNCTION("""COMPUTED_VALUE"""),"C++;HTML/CSS;Java;JavaScript;PHP;Python;SQL")</f>
        <v>C++;HTML/CSS;Java;JavaScript;PHP;Python;SQL</v>
      </c>
      <c r="M7400" s="9" t="s">
        <v>31</v>
      </c>
    </row>
    <row r="7401" ht="15.75" customHeight="1">
      <c r="A7401" s="7"/>
      <c r="B7401" s="7" t="str">
        <f>IFERROR(__xludf.DUMMYFUNCTION("""COMPUTED_VALUE"""),"Bash/Shell/PowerShell;C#;HTML/CSS;Java;JavaScript;PHP;SQL")</f>
        <v>Bash/Shell/PowerShell;C#;HTML/CSS;Java;JavaScript;PHP;SQL</v>
      </c>
      <c r="M7401" s="9" t="s">
        <v>46</v>
      </c>
    </row>
    <row r="7402" ht="15.75" customHeight="1">
      <c r="A7402" s="7"/>
      <c r="B7402" s="7" t="str">
        <f>IFERROR(__xludf.DUMMYFUNCTION("""COMPUTED_VALUE"""),"HTML/CSS;JavaScript;Python;R")</f>
        <v>HTML/CSS;JavaScript;Python;R</v>
      </c>
      <c r="M7402" s="9" t="s">
        <v>25</v>
      </c>
    </row>
    <row r="7403" ht="15.75" customHeight="1">
      <c r="A7403" s="7"/>
      <c r="B7403" s="7" t="str">
        <f>IFERROR(__xludf.DUMMYFUNCTION("""COMPUTED_VALUE"""),"Bash/Shell/PowerShell;HTML/CSS;Java;JavaScript;Scala")</f>
        <v>Bash/Shell/PowerShell;HTML/CSS;Java;JavaScript;Scala</v>
      </c>
      <c r="M7403" s="9" t="s">
        <v>23</v>
      </c>
    </row>
    <row r="7404" ht="15.75" customHeight="1">
      <c r="A7404" s="7"/>
      <c r="B7404" s="7" t="str">
        <f>IFERROR(__xludf.DUMMYFUNCTION("""COMPUTED_VALUE"""),"F#;Python;Other(s):")</f>
        <v>F#;Python;Other(s):</v>
      </c>
      <c r="M7404" s="9" t="s">
        <v>20</v>
      </c>
    </row>
    <row r="7405" ht="15.75" customHeight="1">
      <c r="A7405" s="7"/>
      <c r="B7405" s="7" t="str">
        <f>IFERROR(__xludf.DUMMYFUNCTION("""COMPUTED_VALUE"""),"Bash/Shell/PowerShell;C#;HTML/CSS;JavaScript;TypeScript")</f>
        <v>Bash/Shell/PowerShell;C#;HTML/CSS;JavaScript;TypeScript</v>
      </c>
      <c r="M7405" s="9" t="s">
        <v>23</v>
      </c>
    </row>
    <row r="7406" ht="15.75" customHeight="1">
      <c r="A7406" s="7"/>
      <c r="B7406" s="7" t="str">
        <f>IFERROR(__xludf.DUMMYFUNCTION("""COMPUTED_VALUE"""),"C;C++;C#;HTML/CSS;Java;JavaScript;Python;SQL;TypeScript")</f>
        <v>C;C++;C#;HTML/CSS;Java;JavaScript;Python;SQL;TypeScript</v>
      </c>
      <c r="M7406" s="9" t="s">
        <v>26</v>
      </c>
    </row>
    <row r="7407" ht="15.75" customHeight="1">
      <c r="A7407" s="7"/>
      <c r="B7407" s="7" t="str">
        <f>IFERROR(__xludf.DUMMYFUNCTION("""COMPUTED_VALUE"""),"Bash/Shell/PowerShell;C++;Python")</f>
        <v>Bash/Shell/PowerShell;C++;Python</v>
      </c>
      <c r="M7407" s="9" t="s">
        <v>20</v>
      </c>
    </row>
    <row r="7408" ht="15.75" customHeight="1">
      <c r="A7408" s="7"/>
      <c r="B7408" s="7" t="str">
        <f>IFERROR(__xludf.DUMMYFUNCTION("""COMPUTED_VALUE"""),"Objective-C;Python;Swift")</f>
        <v>Objective-C;Python;Swift</v>
      </c>
      <c r="M7408" s="9" t="s">
        <v>22</v>
      </c>
    </row>
    <row r="7409" ht="15.75" customHeight="1">
      <c r="A7409" s="7"/>
      <c r="B7409" s="7" t="str">
        <f>IFERROR(__xludf.DUMMYFUNCTION("""COMPUTED_VALUE"""),"C#;JavaScript;PHP;SQL;TypeScript")</f>
        <v>C#;JavaScript;PHP;SQL;TypeScript</v>
      </c>
      <c r="M7409" s="9" t="s">
        <v>28</v>
      </c>
    </row>
    <row r="7410" ht="15.75" customHeight="1">
      <c r="A7410" s="7"/>
      <c r="B7410" s="7" t="str">
        <f>IFERROR(__xludf.DUMMYFUNCTION("""COMPUTED_VALUE"""),"Bash/Shell/PowerShell;HTML/CSS;JavaScript;PHP;Other(s):")</f>
        <v>Bash/Shell/PowerShell;HTML/CSS;JavaScript;PHP;Other(s):</v>
      </c>
      <c r="M7410" s="9" t="s">
        <v>30</v>
      </c>
    </row>
    <row r="7411" ht="15.75" customHeight="1">
      <c r="A7411" s="7"/>
      <c r="B7411" s="7" t="str">
        <f>IFERROR(__xludf.DUMMYFUNCTION("""COMPUTED_VALUE"""),"C#;HTML/CSS;JavaScript;Python;TypeScript")</f>
        <v>C#;HTML/CSS;JavaScript;Python;TypeScript</v>
      </c>
      <c r="M7411" s="9" t="s">
        <v>25</v>
      </c>
    </row>
    <row r="7412" ht="15.75" customHeight="1">
      <c r="A7412" s="7"/>
      <c r="B7412" s="7" t="str">
        <f>IFERROR(__xludf.DUMMYFUNCTION("""COMPUTED_VALUE"""),"C;C++")</f>
        <v>C;C++</v>
      </c>
      <c r="M7412" s="9" t="s">
        <v>23</v>
      </c>
    </row>
    <row r="7413" ht="15.75" customHeight="1">
      <c r="A7413" s="7"/>
      <c r="B7413" s="7" t="str">
        <f>IFERROR(__xludf.DUMMYFUNCTION("""COMPUTED_VALUE"""),"HTML/CSS;Java;JavaScript;SQL")</f>
        <v>HTML/CSS;Java;JavaScript;SQL</v>
      </c>
      <c r="M7413" s="9" t="s">
        <v>24</v>
      </c>
    </row>
    <row r="7414" ht="15.75" customHeight="1">
      <c r="A7414" s="7"/>
      <c r="B7414" s="7" t="str">
        <f>IFERROR(__xludf.DUMMYFUNCTION("""COMPUTED_VALUE"""),"Bash/Shell/PowerShell;HTML/CSS;Java;Ruby;SQL")</f>
        <v>Bash/Shell/PowerShell;HTML/CSS;Java;Ruby;SQL</v>
      </c>
      <c r="M7414" s="9" t="s">
        <v>30</v>
      </c>
    </row>
    <row r="7415" ht="15.75" customHeight="1">
      <c r="A7415" s="7"/>
      <c r="B7415" s="7" t="str">
        <f>IFERROR(__xludf.DUMMYFUNCTION("""COMPUTED_VALUE"""),"C#;HTML/CSS;JavaScript")</f>
        <v>C#;HTML/CSS;JavaScript</v>
      </c>
      <c r="M7415" s="9" t="s">
        <v>24</v>
      </c>
    </row>
    <row r="7416" ht="15.75" customHeight="1">
      <c r="A7416" s="7"/>
      <c r="B7416" s="7" t="str">
        <f>IFERROR(__xludf.DUMMYFUNCTION("""COMPUTED_VALUE"""),"HTML/CSS;JavaScript")</f>
        <v>HTML/CSS;JavaScript</v>
      </c>
      <c r="M7416" s="9" t="s">
        <v>21</v>
      </c>
    </row>
    <row r="7417" ht="15.75" customHeight="1">
      <c r="A7417" s="7"/>
      <c r="B7417" s="7" t="str">
        <f>IFERROR(__xludf.DUMMYFUNCTION("""COMPUTED_VALUE"""),"Bash/Shell/PowerShell;Go;HTML/CSS;JavaScript")</f>
        <v>Bash/Shell/PowerShell;Go;HTML/CSS;JavaScript</v>
      </c>
      <c r="M7417" s="9" t="s">
        <v>22</v>
      </c>
    </row>
    <row r="7418" ht="15.75" customHeight="1">
      <c r="A7418" s="7"/>
      <c r="B7418" s="7" t="str">
        <f>IFERROR(__xludf.DUMMYFUNCTION("""COMPUTED_VALUE"""),"C#;HTML/CSS;JavaScript;Python;SQL")</f>
        <v>C#;HTML/CSS;JavaScript;Python;SQL</v>
      </c>
      <c r="M7418" s="9" t="s">
        <v>27</v>
      </c>
    </row>
    <row r="7419" ht="15.75" customHeight="1">
      <c r="A7419" s="7"/>
      <c r="B7419" s="7" t="str">
        <f>IFERROR(__xludf.DUMMYFUNCTION("""COMPUTED_VALUE"""),"Bash/Shell/PowerShell;C#;HTML/CSS;JavaScript;SQL")</f>
        <v>Bash/Shell/PowerShell;C#;HTML/CSS;JavaScript;SQL</v>
      </c>
      <c r="M7419" s="9" t="s">
        <v>28</v>
      </c>
    </row>
    <row r="7420" ht="15.75" customHeight="1">
      <c r="A7420" s="7"/>
      <c r="B7420" s="7" t="str">
        <f>IFERROR(__xludf.DUMMYFUNCTION("""COMPUTED_VALUE"""),"Bash/Shell/PowerShell;HTML/CSS;JavaScript;Python;SQL;Other(s):")</f>
        <v>Bash/Shell/PowerShell;HTML/CSS;JavaScript;Python;SQL;Other(s):</v>
      </c>
      <c r="M7420" s="9" t="s">
        <v>30</v>
      </c>
    </row>
    <row r="7421" ht="15.75" customHeight="1">
      <c r="A7421" s="7"/>
      <c r="B7421" s="7" t="str">
        <f>IFERROR(__xludf.DUMMYFUNCTION("""COMPUTED_VALUE"""),"Bash/Shell/PowerShell;C++;HTML/CSS;JavaScript;PHP;Python;TypeScript")</f>
        <v>Bash/Shell/PowerShell;C++;HTML/CSS;JavaScript;PHP;Python;TypeScript</v>
      </c>
      <c r="M7421" s="9" t="s">
        <v>24</v>
      </c>
    </row>
    <row r="7422" ht="15.75" customHeight="1">
      <c r="A7422" s="7"/>
      <c r="B7422" s="7" t="str">
        <f>IFERROR(__xludf.DUMMYFUNCTION("""COMPUTED_VALUE"""),"C#;HTML/CSS;JavaScript;Python;SQL")</f>
        <v>C#;HTML/CSS;JavaScript;Python;SQL</v>
      </c>
      <c r="M7422" s="9" t="s">
        <v>21</v>
      </c>
    </row>
    <row r="7423" ht="15.75" customHeight="1">
      <c r="A7423" s="7"/>
      <c r="B7423" s="7" t="str">
        <f>IFERROR(__xludf.DUMMYFUNCTION("""COMPUTED_VALUE"""),"HTML/CSS;JavaScript")</f>
        <v>HTML/CSS;JavaScript</v>
      </c>
      <c r="M7423" s="9" t="s">
        <v>24</v>
      </c>
    </row>
    <row r="7424" ht="15.75" customHeight="1">
      <c r="A7424" s="7"/>
      <c r="B7424" s="7" t="str">
        <f>IFERROR(__xludf.DUMMYFUNCTION("""COMPUTED_VALUE"""),"Bash/Shell/PowerShell;HTML/CSS;JavaScript;Scala;TypeScript")</f>
        <v>Bash/Shell/PowerShell;HTML/CSS;JavaScript;Scala;TypeScript</v>
      </c>
      <c r="M7424" s="9" t="s">
        <v>21</v>
      </c>
    </row>
    <row r="7425" ht="15.75" customHeight="1">
      <c r="A7425" s="7"/>
      <c r="B7425" s="7" t="str">
        <f>IFERROR(__xludf.DUMMYFUNCTION("""COMPUTED_VALUE"""),"Assembly;Java;PHP;Swift")</f>
        <v>Assembly;Java;PHP;Swift</v>
      </c>
      <c r="M7425" s="9" t="s">
        <v>29</v>
      </c>
    </row>
    <row r="7426" ht="15.75" customHeight="1">
      <c r="A7426" s="7"/>
      <c r="B7426" s="7" t="str">
        <f>IFERROR(__xludf.DUMMYFUNCTION("""COMPUTED_VALUE"""),"Bash/Shell/PowerShell;Elixir;Java;JavaScript")</f>
        <v>Bash/Shell/PowerShell;Elixir;Java;JavaScript</v>
      </c>
      <c r="M7426" s="9" t="s">
        <v>27</v>
      </c>
    </row>
    <row r="7427" ht="15.75" customHeight="1">
      <c r="A7427" s="7"/>
      <c r="B7427" s="7" t="str">
        <f>IFERROR(__xludf.DUMMYFUNCTION("""COMPUTED_VALUE"""),"Assembly;Bash/Shell/PowerShell;C;HTML/CSS;Java;PHP;Python;SQL")</f>
        <v>Assembly;Bash/Shell/PowerShell;C;HTML/CSS;Java;PHP;Python;SQL</v>
      </c>
      <c r="M7427" s="9" t="s">
        <v>33</v>
      </c>
    </row>
    <row r="7428" ht="15.75" customHeight="1">
      <c r="A7428" s="7"/>
      <c r="B7428" s="7" t="str">
        <f>IFERROR(__xludf.DUMMYFUNCTION("""COMPUTED_VALUE"""),"Bash/Shell/PowerShell;C#;HTML/CSS;JavaScript;PHP;SQL")</f>
        <v>Bash/Shell/PowerShell;C#;HTML/CSS;JavaScript;PHP;SQL</v>
      </c>
      <c r="M7428" s="9" t="s">
        <v>30</v>
      </c>
    </row>
    <row r="7429" ht="15.75" customHeight="1">
      <c r="A7429" s="7"/>
      <c r="B7429" s="7" t="str">
        <f>IFERROR(__xludf.DUMMYFUNCTION("""COMPUTED_VALUE"""),"Java;Python")</f>
        <v>Java;Python</v>
      </c>
      <c r="M7429" s="9" t="s">
        <v>22</v>
      </c>
    </row>
    <row r="7430" ht="15.75" customHeight="1">
      <c r="A7430" s="7"/>
      <c r="B7430" s="7" t="str">
        <f>IFERROR(__xludf.DUMMYFUNCTION("""COMPUTED_VALUE"""),"Go;HTML/CSS;JavaScript;TypeScript")</f>
        <v>Go;HTML/CSS;JavaScript;TypeScript</v>
      </c>
      <c r="M7430" s="9" t="s">
        <v>27</v>
      </c>
    </row>
    <row r="7431" ht="15.75" customHeight="1">
      <c r="A7431" s="7"/>
      <c r="B7431" s="7" t="str">
        <f>IFERROR(__xludf.DUMMYFUNCTION("""COMPUTED_VALUE"""),"C;C++;C#;HTML/CSS;Java;JavaScript;R;SQL")</f>
        <v>C;C++;C#;HTML/CSS;Java;JavaScript;R;SQL</v>
      </c>
      <c r="M7431" s="9" t="s">
        <v>30</v>
      </c>
    </row>
    <row r="7432" ht="15.75" customHeight="1">
      <c r="A7432" s="7"/>
      <c r="B7432" s="7" t="str">
        <f>IFERROR(__xludf.DUMMYFUNCTION("""COMPUTED_VALUE"""),"HTML/CSS;Java;JavaScript;Python")</f>
        <v>HTML/CSS;Java;JavaScript;Python</v>
      </c>
      <c r="M7432" s="9" t="s">
        <v>26</v>
      </c>
    </row>
    <row r="7433" ht="15.75" customHeight="1">
      <c r="A7433" s="7"/>
      <c r="B7433" s="7" t="str">
        <f>IFERROR(__xludf.DUMMYFUNCTION("""COMPUTED_VALUE"""),"Bash/Shell/PowerShell;C#;HTML/CSS;JavaScript;TypeScript")</f>
        <v>Bash/Shell/PowerShell;C#;HTML/CSS;JavaScript;TypeScript</v>
      </c>
      <c r="M7433" s="9" t="s">
        <v>36</v>
      </c>
    </row>
    <row r="7434" ht="15.75" customHeight="1">
      <c r="A7434" s="7"/>
      <c r="B7434" s="7" t="str">
        <f>IFERROR(__xludf.DUMMYFUNCTION("""COMPUTED_VALUE"""),"C#;HTML/CSS;JavaScript;SQL")</f>
        <v>C#;HTML/CSS;JavaScript;SQL</v>
      </c>
      <c r="M7434" s="9" t="s">
        <v>20</v>
      </c>
    </row>
    <row r="7435" ht="15.75" customHeight="1">
      <c r="A7435" s="7"/>
      <c r="B7435" s="7" t="str">
        <f>IFERROR(__xludf.DUMMYFUNCTION("""COMPUTED_VALUE"""),"Python;Scala;SQL")</f>
        <v>Python;Scala;SQL</v>
      </c>
      <c r="M7435" s="9" t="s">
        <v>21</v>
      </c>
    </row>
    <row r="7436" ht="15.75" customHeight="1">
      <c r="A7436" s="7"/>
      <c r="B7436" s="7" t="str">
        <f>IFERROR(__xludf.DUMMYFUNCTION("""COMPUTED_VALUE"""),"C;C++;C#;HTML/CSS;Java;JavaScript;PHP;Python;SQL;Other(s):")</f>
        <v>C;C++;C#;HTML/CSS;Java;JavaScript;PHP;Python;SQL;Other(s):</v>
      </c>
      <c r="M7436" s="9" t="s">
        <v>39</v>
      </c>
    </row>
    <row r="7437" ht="15.75" customHeight="1">
      <c r="A7437" s="7"/>
      <c r="B7437" s="7" t="str">
        <f>IFERROR(__xludf.DUMMYFUNCTION("""COMPUTED_VALUE"""),"Bash/Shell/PowerShell;HTML/CSS;JavaScript;PHP;SQL")</f>
        <v>Bash/Shell/PowerShell;HTML/CSS;JavaScript;PHP;SQL</v>
      </c>
      <c r="M7437" s="9" t="s">
        <v>27</v>
      </c>
    </row>
    <row r="7438" ht="15.75" customHeight="1">
      <c r="A7438" s="7"/>
      <c r="B7438" s="7" t="str">
        <f>IFERROR(__xludf.DUMMYFUNCTION("""COMPUTED_VALUE"""),"Assembly;Bash/Shell/PowerShell;C;C++;C#;Python")</f>
        <v>Assembly;Bash/Shell/PowerShell;C;C++;C#;Python</v>
      </c>
      <c r="M7438" s="9" t="s">
        <v>33</v>
      </c>
    </row>
    <row r="7439" ht="15.75" customHeight="1">
      <c r="A7439" s="7"/>
      <c r="B7439" s="7" t="str">
        <f>IFERROR(__xludf.DUMMYFUNCTION("""COMPUTED_VALUE"""),"Java;Kotlin")</f>
        <v>Java;Kotlin</v>
      </c>
      <c r="M7439" s="9" t="s">
        <v>24</v>
      </c>
    </row>
    <row r="7440" ht="15.75" customHeight="1">
      <c r="A7440" s="7"/>
      <c r="B7440" s="7" t="str">
        <f>IFERROR(__xludf.DUMMYFUNCTION("""COMPUTED_VALUE"""),"Bash/Shell/PowerShell;C#;HTML/CSS;Java;JavaScript;Objective-C;PHP;TypeScript")</f>
        <v>Bash/Shell/PowerShell;C#;HTML/CSS;Java;JavaScript;Objective-C;PHP;TypeScript</v>
      </c>
      <c r="M7440" s="9" t="s">
        <v>21</v>
      </c>
    </row>
    <row r="7441" ht="15.75" customHeight="1">
      <c r="A7441" s="7"/>
      <c r="B7441" s="7" t="str">
        <f>IFERROR(__xludf.DUMMYFUNCTION("""COMPUTED_VALUE"""),"C#;JavaScript;Python;Ruby;Swift")</f>
        <v>C#;JavaScript;Python;Ruby;Swift</v>
      </c>
      <c r="M7441" s="9" t="s">
        <v>37</v>
      </c>
    </row>
    <row r="7442" ht="15.75" customHeight="1">
      <c r="A7442" s="7"/>
      <c r="B7442" s="7" t="str">
        <f>IFERROR(__xludf.DUMMYFUNCTION("""COMPUTED_VALUE"""),"C#;HTML/CSS;Java;JavaScript;PHP")</f>
        <v>C#;HTML/CSS;Java;JavaScript;PHP</v>
      </c>
      <c r="M7442" s="9" t="s">
        <v>22</v>
      </c>
    </row>
    <row r="7443" ht="15.75" customHeight="1">
      <c r="A7443" s="7"/>
      <c r="B7443" s="7" t="str">
        <f>IFERROR(__xludf.DUMMYFUNCTION("""COMPUTED_VALUE"""),"Bash/Shell/PowerShell;HTML/CSS;Java;JavaScript;Python;SQL")</f>
        <v>Bash/Shell/PowerShell;HTML/CSS;Java;JavaScript;Python;SQL</v>
      </c>
      <c r="M7443" s="9" t="s">
        <v>30</v>
      </c>
    </row>
    <row r="7444" ht="15.75" customHeight="1">
      <c r="A7444" s="7"/>
      <c r="B7444" s="7" t="str">
        <f>IFERROR(__xludf.DUMMYFUNCTION("""COMPUTED_VALUE"""),"C;C++;Go;HTML/CSS;Java;JavaScript;PHP;SQL")</f>
        <v>C;C++;Go;HTML/CSS;Java;JavaScript;PHP;SQL</v>
      </c>
      <c r="M7444" s="9" t="s">
        <v>24</v>
      </c>
    </row>
    <row r="7445" ht="15.75" customHeight="1">
      <c r="A7445" s="7"/>
      <c r="B7445" s="7" t="str">
        <f>IFERROR(__xludf.DUMMYFUNCTION("""COMPUTED_VALUE"""),"C++;Go;HTML/CSS;JavaScript;SQL")</f>
        <v>C++;Go;HTML/CSS;JavaScript;SQL</v>
      </c>
      <c r="M7445" s="9" t="s">
        <v>20</v>
      </c>
    </row>
    <row r="7446" ht="15.75" customHeight="1">
      <c r="A7446" s="7"/>
      <c r="B7446" s="7" t="str">
        <f>IFERROR(__xludf.DUMMYFUNCTION("""COMPUTED_VALUE"""),"Bash/Shell/PowerShell;Python")</f>
        <v>Bash/Shell/PowerShell;Python</v>
      </c>
      <c r="M7446" s="9" t="s">
        <v>21</v>
      </c>
    </row>
    <row r="7447" ht="15.75" customHeight="1">
      <c r="A7447" s="7"/>
      <c r="B7447" s="7" t="str">
        <f>IFERROR(__xludf.DUMMYFUNCTION("""COMPUTED_VALUE"""),"HTML/CSS;JavaScript;PHP")</f>
        <v>HTML/CSS;JavaScript;PHP</v>
      </c>
      <c r="M7447" s="9" t="s">
        <v>22</v>
      </c>
    </row>
    <row r="7448" ht="15.75" customHeight="1">
      <c r="A7448" s="7"/>
      <c r="B7448" s="7" t="str">
        <f>IFERROR(__xludf.DUMMYFUNCTION("""COMPUTED_VALUE"""),"C")</f>
        <v>C</v>
      </c>
      <c r="M7448" s="9" t="s">
        <v>40</v>
      </c>
    </row>
    <row r="7449" ht="15.75" customHeight="1">
      <c r="A7449" s="7"/>
      <c r="B7449" s="7" t="str">
        <f>IFERROR(__xludf.DUMMYFUNCTION("""COMPUTED_VALUE"""),"HTML/CSS;JavaScript;Python")</f>
        <v>HTML/CSS;JavaScript;Python</v>
      </c>
      <c r="M7449" s="9" t="s">
        <v>33</v>
      </c>
    </row>
    <row r="7450" ht="15.75" customHeight="1">
      <c r="A7450" s="7"/>
      <c r="B7450" s="7" t="str">
        <f>IFERROR(__xludf.DUMMYFUNCTION("""COMPUTED_VALUE"""),"Java;PHP;Python;SQL")</f>
        <v>Java;PHP;Python;SQL</v>
      </c>
      <c r="M7450" s="9" t="s">
        <v>30</v>
      </c>
    </row>
    <row r="7451" ht="15.75" customHeight="1">
      <c r="A7451" s="7"/>
      <c r="B7451" s="7" t="str">
        <f>IFERROR(__xludf.DUMMYFUNCTION("""COMPUTED_VALUE"""),"HTML/CSS;JavaScript;PHP;SQL")</f>
        <v>HTML/CSS;JavaScript;PHP;SQL</v>
      </c>
      <c r="M7451" s="9" t="s">
        <v>25</v>
      </c>
    </row>
    <row r="7452" ht="15.75" customHeight="1">
      <c r="A7452" s="7"/>
      <c r="B7452" s="7" t="str">
        <f>IFERROR(__xludf.DUMMYFUNCTION("""COMPUTED_VALUE"""),"HTML/CSS;JavaScript;PHP;SQL;VBA")</f>
        <v>HTML/CSS;JavaScript;PHP;SQL;VBA</v>
      </c>
      <c r="M7452" s="9" t="s">
        <v>36</v>
      </c>
    </row>
    <row r="7453" ht="15.75" customHeight="1">
      <c r="A7453" s="7"/>
      <c r="B7453" s="7" t="str">
        <f>IFERROR(__xludf.DUMMYFUNCTION("""COMPUTED_VALUE"""),"C++;HTML/CSS;Java;JavaScript;PHP;SQL")</f>
        <v>C++;HTML/CSS;Java;JavaScript;PHP;SQL</v>
      </c>
      <c r="M7453" s="9" t="s">
        <v>20</v>
      </c>
    </row>
    <row r="7454" ht="15.75" customHeight="1">
      <c r="A7454" s="7"/>
      <c r="B7454" s="7" t="str">
        <f>IFERROR(__xludf.DUMMYFUNCTION("""COMPUTED_VALUE"""),"HTML/CSS;JavaScript;PHP;SQL")</f>
        <v>HTML/CSS;JavaScript;PHP;SQL</v>
      </c>
      <c r="M7454" s="9" t="s">
        <v>22</v>
      </c>
    </row>
    <row r="7455" ht="15.75" customHeight="1">
      <c r="A7455" s="7"/>
      <c r="B7455" s="7" t="str">
        <f>IFERROR(__xludf.DUMMYFUNCTION("""COMPUTED_VALUE"""),"C#;HTML/CSS;JavaScript;SQL;TypeScript")</f>
        <v>C#;HTML/CSS;JavaScript;SQL;TypeScript</v>
      </c>
      <c r="M7455" s="9" t="s">
        <v>46</v>
      </c>
    </row>
    <row r="7456" ht="15.75" customHeight="1">
      <c r="A7456" s="7"/>
      <c r="B7456" s="7" t="str">
        <f>IFERROR(__xludf.DUMMYFUNCTION("""COMPUTED_VALUE"""),"HTML/CSS;JavaScript")</f>
        <v>HTML/CSS;JavaScript</v>
      </c>
      <c r="M7456" s="9" t="s">
        <v>27</v>
      </c>
    </row>
    <row r="7457" ht="15.75" customHeight="1">
      <c r="A7457" s="7"/>
      <c r="B7457" s="7" t="str">
        <f>IFERROR(__xludf.DUMMYFUNCTION("""COMPUTED_VALUE"""),"C++;HTML/CSS;Java;SQL")</f>
        <v>C++;HTML/CSS;Java;SQL</v>
      </c>
      <c r="M7457" s="9" t="s">
        <v>26</v>
      </c>
    </row>
    <row r="7458" ht="15.75" customHeight="1">
      <c r="A7458" s="7"/>
      <c r="B7458" s="7" t="str">
        <f>IFERROR(__xludf.DUMMYFUNCTION("""COMPUTED_VALUE"""),"Java")</f>
        <v>Java</v>
      </c>
      <c r="M7458" s="9" t="s">
        <v>27</v>
      </c>
    </row>
    <row r="7459" ht="15.75" customHeight="1">
      <c r="A7459" s="7"/>
      <c r="B7459" s="7" t="str">
        <f>IFERROR(__xludf.DUMMYFUNCTION("""COMPUTED_VALUE"""),"Bash/Shell/PowerShell;HTML/CSS;Java;JavaScript;Kotlin;Python")</f>
        <v>Bash/Shell/PowerShell;HTML/CSS;Java;JavaScript;Kotlin;Python</v>
      </c>
      <c r="M7459" s="9" t="s">
        <v>36</v>
      </c>
    </row>
    <row r="7460" ht="15.75" customHeight="1">
      <c r="A7460" s="7"/>
      <c r="B7460" s="7" t="str">
        <f>IFERROR(__xludf.DUMMYFUNCTION("""COMPUTED_VALUE"""),"Bash/Shell/PowerShell;C++")</f>
        <v>Bash/Shell/PowerShell;C++</v>
      </c>
      <c r="M7460" s="9" t="s">
        <v>24</v>
      </c>
    </row>
    <row r="7461" ht="15.75" customHeight="1">
      <c r="A7461" s="7"/>
      <c r="B7461" s="7" t="str">
        <f>IFERROR(__xludf.DUMMYFUNCTION("""COMPUTED_VALUE"""),"C#;HTML/CSS;JavaScript;Python;SQL")</f>
        <v>C#;HTML/CSS;JavaScript;Python;SQL</v>
      </c>
      <c r="M7461" s="9" t="s">
        <v>20</v>
      </c>
    </row>
    <row r="7462" ht="15.75" customHeight="1">
      <c r="A7462" s="7"/>
      <c r="B7462" s="7" t="str">
        <f>IFERROR(__xludf.DUMMYFUNCTION("""COMPUTED_VALUE"""),"JavaScript;PHP")</f>
        <v>JavaScript;PHP</v>
      </c>
      <c r="M7462" s="9" t="s">
        <v>21</v>
      </c>
    </row>
    <row r="7463" ht="15.75" customHeight="1">
      <c r="A7463" s="7"/>
      <c r="B7463" s="7" t="str">
        <f>IFERROR(__xludf.DUMMYFUNCTION("""COMPUTED_VALUE"""),"C#;JavaScript;Python;TypeScript")</f>
        <v>C#;JavaScript;Python;TypeScript</v>
      </c>
      <c r="M7463" s="9" t="s">
        <v>39</v>
      </c>
    </row>
    <row r="7464" ht="15.75" customHeight="1">
      <c r="A7464" s="7"/>
      <c r="B7464" s="7" t="str">
        <f>IFERROR(__xludf.DUMMYFUNCTION("""COMPUTED_VALUE"""),"Bash/Shell/PowerShell;SQL;Swift")</f>
        <v>Bash/Shell/PowerShell;SQL;Swift</v>
      </c>
      <c r="M7464" s="9" t="s">
        <v>27</v>
      </c>
    </row>
    <row r="7465" ht="15.75" customHeight="1">
      <c r="A7465" s="7"/>
      <c r="B7465" s="7" t="str">
        <f>IFERROR(__xludf.DUMMYFUNCTION("""COMPUTED_VALUE"""),"Python")</f>
        <v>Python</v>
      </c>
      <c r="M7465" s="9" t="s">
        <v>30</v>
      </c>
    </row>
    <row r="7466" ht="15.75" customHeight="1">
      <c r="A7466" s="7"/>
      <c r="B7466" s="7" t="str">
        <f>IFERROR(__xludf.DUMMYFUNCTION("""COMPUTED_VALUE"""),"C;C#;VBA")</f>
        <v>C;C#;VBA</v>
      </c>
      <c r="M7466" s="9" t="s">
        <v>22</v>
      </c>
    </row>
    <row r="7467" ht="15.75" customHeight="1">
      <c r="A7467" s="7"/>
      <c r="B7467" s="7" t="str">
        <f>IFERROR(__xludf.DUMMYFUNCTION("""COMPUTED_VALUE"""),"HTML/CSS;Java;TypeScript")</f>
        <v>HTML/CSS;Java;TypeScript</v>
      </c>
      <c r="M7467" s="9" t="s">
        <v>35</v>
      </c>
    </row>
    <row r="7468" ht="15.75" customHeight="1">
      <c r="A7468" s="7"/>
      <c r="B7468" s="7" t="str">
        <f>IFERROR(__xludf.DUMMYFUNCTION("""COMPUTED_VALUE"""),"C#;HTML/CSS;JavaScript;SQL")</f>
        <v>C#;HTML/CSS;JavaScript;SQL</v>
      </c>
      <c r="M7468" s="9" t="s">
        <v>38</v>
      </c>
    </row>
    <row r="7469" ht="15.75" customHeight="1">
      <c r="A7469" s="7"/>
      <c r="B7469" s="7" t="str">
        <f>IFERROR(__xludf.DUMMYFUNCTION("""COMPUTED_VALUE"""),"Bash/Shell/PowerShell;HTML/CSS;JavaScript;Ruby")</f>
        <v>Bash/Shell/PowerShell;HTML/CSS;JavaScript;Ruby</v>
      </c>
      <c r="M7469" s="9" t="s">
        <v>30</v>
      </c>
    </row>
    <row r="7470" ht="15.75" customHeight="1">
      <c r="A7470" s="7"/>
      <c r="B7470" s="7" t="str">
        <f>IFERROR(__xludf.DUMMYFUNCTION("""COMPUTED_VALUE"""),"C;HTML/CSS;SQL")</f>
        <v>C;HTML/CSS;SQL</v>
      </c>
      <c r="M7470" s="9" t="s">
        <v>25</v>
      </c>
    </row>
    <row r="7471" ht="15.75" customHeight="1">
      <c r="A7471" s="7"/>
      <c r="B7471" s="7" t="str">
        <f>IFERROR(__xludf.DUMMYFUNCTION("""COMPUTED_VALUE"""),"Assembly;C;C++;C#;HTML/CSS;Java;JavaScript;Objective-C;Python;Scala;SQL;Swift;TypeScript")</f>
        <v>Assembly;C;C++;C#;HTML/CSS;Java;JavaScript;Objective-C;Python;Scala;SQL;Swift;TypeScript</v>
      </c>
      <c r="M7471" s="9" t="s">
        <v>23</v>
      </c>
    </row>
    <row r="7472" ht="15.75" customHeight="1">
      <c r="A7472" s="7"/>
      <c r="B7472" s="7" t="str">
        <f>IFERROR(__xludf.DUMMYFUNCTION("""COMPUTED_VALUE"""),"Go;JavaScript;Ruby")</f>
        <v>Go;JavaScript;Ruby</v>
      </c>
      <c r="M7472" s="9" t="s">
        <v>26</v>
      </c>
    </row>
    <row r="7473" ht="15.75" customHeight="1">
      <c r="A7473" s="7"/>
      <c r="B7473" s="7" t="str">
        <f>IFERROR(__xludf.DUMMYFUNCTION("""COMPUTED_VALUE"""),"C#;JavaScript;TypeScript")</f>
        <v>C#;JavaScript;TypeScript</v>
      </c>
      <c r="M7473" s="9" t="s">
        <v>24</v>
      </c>
    </row>
    <row r="7474" ht="15.75" customHeight="1">
      <c r="A7474" s="7"/>
      <c r="B7474" s="7" t="str">
        <f>IFERROR(__xludf.DUMMYFUNCTION("""COMPUTED_VALUE"""),"C#;HTML/CSS;Java;JavaScript;SQL")</f>
        <v>C#;HTML/CSS;Java;JavaScript;SQL</v>
      </c>
      <c r="M7474" s="9" t="s">
        <v>20</v>
      </c>
    </row>
    <row r="7475" ht="15.75" customHeight="1">
      <c r="A7475" s="7"/>
      <c r="B7475" s="7" t="str">
        <f>IFERROR(__xludf.DUMMYFUNCTION("""COMPUTED_VALUE"""),"Bash/Shell/PowerShell;HTML/CSS;Java;JavaScript;SQL")</f>
        <v>Bash/Shell/PowerShell;HTML/CSS;Java;JavaScript;SQL</v>
      </c>
      <c r="M7475" s="9" t="s">
        <v>21</v>
      </c>
    </row>
    <row r="7476" ht="15.75" customHeight="1">
      <c r="A7476" s="7"/>
      <c r="B7476" s="7" t="str">
        <f>IFERROR(__xludf.DUMMYFUNCTION("""COMPUTED_VALUE"""),"C++;Java;Python;SQL")</f>
        <v>C++;Java;Python;SQL</v>
      </c>
      <c r="M7476" s="9" t="s">
        <v>41</v>
      </c>
    </row>
    <row r="7477" ht="15.75" customHeight="1">
      <c r="A7477" s="7"/>
      <c r="B7477" s="7" t="str">
        <f>IFERROR(__xludf.DUMMYFUNCTION("""COMPUTED_VALUE"""),"R;VBA")</f>
        <v>R;VBA</v>
      </c>
      <c r="M7477" s="9" t="s">
        <v>37</v>
      </c>
    </row>
    <row r="7478" ht="15.75" customHeight="1">
      <c r="A7478" s="7"/>
      <c r="B7478" s="7" t="str">
        <f>IFERROR(__xludf.DUMMYFUNCTION("""COMPUTED_VALUE"""),"C#;HTML/CSS;JavaScript;SQL")</f>
        <v>C#;HTML/CSS;JavaScript;SQL</v>
      </c>
      <c r="M7478" s="9" t="s">
        <v>22</v>
      </c>
    </row>
    <row r="7479" ht="15.75" customHeight="1">
      <c r="A7479" s="7"/>
      <c r="B7479" s="7" t="str">
        <f>IFERROR(__xludf.DUMMYFUNCTION("""COMPUTED_VALUE"""),"C++;HTML/CSS;Java;JavaScript;PHP;SQL")</f>
        <v>C++;HTML/CSS;Java;JavaScript;PHP;SQL</v>
      </c>
      <c r="M7479" s="9" t="s">
        <v>29</v>
      </c>
    </row>
    <row r="7480" ht="15.75" customHeight="1">
      <c r="A7480" s="7"/>
      <c r="B7480" s="7" t="str">
        <f>IFERROR(__xludf.DUMMYFUNCTION("""COMPUTED_VALUE"""),"C;C++;Python")</f>
        <v>C;C++;Python</v>
      </c>
      <c r="M7480" s="9" t="s">
        <v>27</v>
      </c>
    </row>
    <row r="7481" ht="15.75" customHeight="1">
      <c r="A7481" s="7"/>
      <c r="B7481" s="7" t="str">
        <f>IFERROR(__xludf.DUMMYFUNCTION("""COMPUTED_VALUE"""),"C#;HTML/CSS;JavaScript;PHP;Ruby;SQL")</f>
        <v>C#;HTML/CSS;JavaScript;PHP;Ruby;SQL</v>
      </c>
      <c r="M7481" s="9" t="s">
        <v>28</v>
      </c>
    </row>
    <row r="7482" ht="15.75" customHeight="1">
      <c r="A7482" s="7"/>
      <c r="B7482" s="7" t="str">
        <f>IFERROR(__xludf.DUMMYFUNCTION("""COMPUTED_VALUE"""),"Assembly;C#;HTML/CSS;Java;JavaScript;Python;SQL;TypeScript")</f>
        <v>Assembly;C#;HTML/CSS;Java;JavaScript;Python;SQL;TypeScript</v>
      </c>
      <c r="M7482" s="9" t="s">
        <v>36</v>
      </c>
    </row>
    <row r="7483" ht="15.75" customHeight="1">
      <c r="A7483" s="7"/>
      <c r="B7483" s="7" t="str">
        <f>IFERROR(__xludf.DUMMYFUNCTION("""COMPUTED_VALUE"""),"Bash/Shell/PowerShell;Python;Rust")</f>
        <v>Bash/Shell/PowerShell;Python;Rust</v>
      </c>
      <c r="M7483" s="9" t="s">
        <v>24</v>
      </c>
    </row>
    <row r="7484" ht="15.75" customHeight="1">
      <c r="A7484" s="7"/>
      <c r="B7484" s="7" t="str">
        <f>IFERROR(__xludf.DUMMYFUNCTION("""COMPUTED_VALUE"""),"Bash/Shell/PowerShell;C;C++;HTML/CSS;Java;JavaScript;TypeScript")</f>
        <v>Bash/Shell/PowerShell;C;C++;HTML/CSS;Java;JavaScript;TypeScript</v>
      </c>
      <c r="M7484" s="9" t="s">
        <v>21</v>
      </c>
    </row>
    <row r="7485" ht="15.75" customHeight="1">
      <c r="A7485" s="7"/>
      <c r="B7485" s="7" t="str">
        <f>IFERROR(__xludf.DUMMYFUNCTION("""COMPUTED_VALUE"""),"C++;HTML/CSS;Java;JavaScript;Python;SQL")</f>
        <v>C++;HTML/CSS;Java;JavaScript;Python;SQL</v>
      </c>
      <c r="M7485" s="9" t="s">
        <v>24</v>
      </c>
    </row>
    <row r="7486" ht="15.75" customHeight="1">
      <c r="A7486" s="7"/>
      <c r="B7486" s="7" t="str">
        <f>IFERROR(__xludf.DUMMYFUNCTION("""COMPUTED_VALUE"""),"C#;HTML/CSS;JavaScript;Python;SQL;TypeScript")</f>
        <v>C#;HTML/CSS;JavaScript;Python;SQL;TypeScript</v>
      </c>
      <c r="M7486" s="9" t="s">
        <v>33</v>
      </c>
    </row>
    <row r="7487" ht="15.75" customHeight="1">
      <c r="A7487" s="7"/>
      <c r="B7487" s="7" t="str">
        <f>IFERROR(__xludf.DUMMYFUNCTION("""COMPUTED_VALUE"""),"Bash/Shell/PowerShell;C;C#;Java;Python;Ruby;Scala")</f>
        <v>Bash/Shell/PowerShell;C;C#;Java;Python;Ruby;Scala</v>
      </c>
      <c r="M7487" s="9" t="s">
        <v>30</v>
      </c>
    </row>
    <row r="7488" ht="15.75" customHeight="1">
      <c r="A7488" s="7"/>
      <c r="B7488" s="7" t="str">
        <f>IFERROR(__xludf.DUMMYFUNCTION("""COMPUTED_VALUE"""),"Java;JavaScript;Python;SQL;TypeScript")</f>
        <v>Java;JavaScript;Python;SQL;TypeScript</v>
      </c>
      <c r="M7488" s="9" t="s">
        <v>26</v>
      </c>
    </row>
    <row r="7489" ht="15.75" customHeight="1">
      <c r="A7489" s="7"/>
      <c r="B7489" s="7" t="str">
        <f>IFERROR(__xludf.DUMMYFUNCTION("""COMPUTED_VALUE"""),"Bash/Shell/PowerShell;C++;Go;HTML/CSS;Java;JavaScript;Objective-C;PHP;Python;SQL")</f>
        <v>Bash/Shell/PowerShell;C++;Go;HTML/CSS;Java;JavaScript;Objective-C;PHP;Python;SQL</v>
      </c>
      <c r="M7489" s="9" t="s">
        <v>20</v>
      </c>
    </row>
    <row r="7490" ht="15.75" customHeight="1">
      <c r="A7490" s="7"/>
      <c r="B7490" s="7" t="str">
        <f>IFERROR(__xludf.DUMMYFUNCTION("""COMPUTED_VALUE"""),"Bash/Shell/PowerShell;C#;HTML/CSS;Java;JavaScript;Python;Scala;SQL")</f>
        <v>Bash/Shell/PowerShell;C#;HTML/CSS;Java;JavaScript;Python;Scala;SQL</v>
      </c>
      <c r="M7490" s="9" t="s">
        <v>21</v>
      </c>
    </row>
    <row r="7491" ht="15.75" customHeight="1">
      <c r="A7491" s="7"/>
      <c r="B7491" s="7" t="str">
        <f>IFERROR(__xludf.DUMMYFUNCTION("""COMPUTED_VALUE"""),"Bash/Shell/PowerShell;HTML/CSS;JavaScript;Python")</f>
        <v>Bash/Shell/PowerShell;HTML/CSS;JavaScript;Python</v>
      </c>
      <c r="M7491" s="9" t="s">
        <v>39</v>
      </c>
    </row>
    <row r="7492" ht="15.75" customHeight="1">
      <c r="A7492" s="7"/>
      <c r="B7492" s="7" t="str">
        <f>IFERROR(__xludf.DUMMYFUNCTION("""COMPUTED_VALUE"""),"HTML/CSS;JavaScript;SQL;Other(s):")</f>
        <v>HTML/CSS;JavaScript;SQL;Other(s):</v>
      </c>
      <c r="M7492" s="9" t="s">
        <v>37</v>
      </c>
    </row>
    <row r="7493" ht="15.75" customHeight="1">
      <c r="A7493" s="7"/>
      <c r="B7493" s="7" t="str">
        <f>IFERROR(__xludf.DUMMYFUNCTION("""COMPUTED_VALUE"""),"C;C++;C#;HTML/CSS;Java;JavaScript;R;SQL")</f>
        <v>C;C++;C#;HTML/CSS;Java;JavaScript;R;SQL</v>
      </c>
      <c r="M7493" s="9" t="s">
        <v>40</v>
      </c>
    </row>
    <row r="7494" ht="15.75" customHeight="1">
      <c r="A7494" s="7"/>
      <c r="B7494" s="7" t="str">
        <f>IFERROR(__xludf.DUMMYFUNCTION("""COMPUTED_VALUE"""),"HTML/CSS;Java;JavaScript;SQL;TypeScript")</f>
        <v>HTML/CSS;Java;JavaScript;SQL;TypeScript</v>
      </c>
      <c r="M7494" s="9" t="s">
        <v>36</v>
      </c>
    </row>
    <row r="7495" ht="15.75" customHeight="1">
      <c r="A7495" s="7"/>
      <c r="B7495" s="7" t="str">
        <f>IFERROR(__xludf.DUMMYFUNCTION("""COMPUTED_VALUE"""),"C;HTML/CSS;JavaScript")</f>
        <v>C;HTML/CSS;JavaScript</v>
      </c>
      <c r="M7495" s="9" t="s">
        <v>24</v>
      </c>
    </row>
    <row r="7496" ht="15.75" customHeight="1">
      <c r="A7496" s="7"/>
      <c r="B7496" s="7" t="str">
        <f>IFERROR(__xludf.DUMMYFUNCTION("""COMPUTED_VALUE"""),"Bash/Shell/PowerShell;Go;HTML/CSS;Java;JavaScript;Objective-C;PHP;Python;R;Ruby;SQL;Swift;TypeScript")</f>
        <v>Bash/Shell/PowerShell;Go;HTML/CSS;Java;JavaScript;Objective-C;PHP;Python;R;Ruby;SQL;Swift;TypeScript</v>
      </c>
      <c r="M7496" s="9" t="s">
        <v>21</v>
      </c>
    </row>
    <row r="7497" ht="15.75" customHeight="1">
      <c r="A7497" s="7"/>
      <c r="B7497" s="7" t="str">
        <f>IFERROR(__xludf.DUMMYFUNCTION("""COMPUTED_VALUE"""),"HTML/CSS;JavaScript;PHP;SQL")</f>
        <v>HTML/CSS;JavaScript;PHP;SQL</v>
      </c>
      <c r="M7497" s="9" t="s">
        <v>27</v>
      </c>
    </row>
    <row r="7498" ht="15.75" customHeight="1">
      <c r="A7498" s="7"/>
      <c r="B7498" s="7" t="str">
        <f>IFERROR(__xludf.DUMMYFUNCTION("""COMPUTED_VALUE"""),"C;Python")</f>
        <v>C;Python</v>
      </c>
      <c r="M7498" s="9" t="s">
        <v>40</v>
      </c>
    </row>
    <row r="7499" ht="15.75" customHeight="1">
      <c r="A7499" s="7"/>
      <c r="B7499" s="7" t="str">
        <f>IFERROR(__xludf.DUMMYFUNCTION("""COMPUTED_VALUE"""),"C++;JavaScript")</f>
        <v>C++;JavaScript</v>
      </c>
      <c r="M7499" s="9" t="s">
        <v>22</v>
      </c>
    </row>
    <row r="7500" ht="15.75" customHeight="1">
      <c r="A7500" s="7"/>
      <c r="B7500" s="7" t="str">
        <f>IFERROR(__xludf.DUMMYFUNCTION("""COMPUTED_VALUE"""),"Bash/Shell/PowerShell;C#")</f>
        <v>Bash/Shell/PowerShell;C#</v>
      </c>
      <c r="M7500" s="9" t="s">
        <v>29</v>
      </c>
    </row>
    <row r="7501" ht="15.75" customHeight="1">
      <c r="A7501" s="7"/>
      <c r="B7501" s="7" t="str">
        <f>IFERROR(__xludf.DUMMYFUNCTION("""COMPUTED_VALUE"""),"C#;HTML/CSS;JavaScript;SQL;TypeScript")</f>
        <v>C#;HTML/CSS;JavaScript;SQL;TypeScript</v>
      </c>
      <c r="M7501" s="9" t="s">
        <v>24</v>
      </c>
    </row>
    <row r="7502" ht="15.75" customHeight="1">
      <c r="A7502" s="7"/>
      <c r="B7502" s="7" t="str">
        <f>IFERROR(__xludf.DUMMYFUNCTION("""COMPUTED_VALUE"""),"Python;Other(s):")</f>
        <v>Python;Other(s):</v>
      </c>
      <c r="M7502" s="9" t="s">
        <v>22</v>
      </c>
    </row>
    <row r="7503" ht="15.75" customHeight="1">
      <c r="A7503" s="7"/>
      <c r="B7503" s="7" t="str">
        <f>IFERROR(__xludf.DUMMYFUNCTION("""COMPUTED_VALUE"""),"Java;JavaScript;SQL")</f>
        <v>Java;JavaScript;SQL</v>
      </c>
      <c r="M7503" s="9" t="s">
        <v>25</v>
      </c>
    </row>
    <row r="7504" ht="15.75" customHeight="1">
      <c r="A7504" s="7"/>
      <c r="B7504" s="7" t="str">
        <f>IFERROR(__xludf.DUMMYFUNCTION("""COMPUTED_VALUE"""),"C#;HTML/CSS;Java;JavaScript;Python;SQL;TypeScript")</f>
        <v>C#;HTML/CSS;Java;JavaScript;Python;SQL;TypeScript</v>
      </c>
      <c r="M7504" s="9" t="s">
        <v>23</v>
      </c>
    </row>
    <row r="7505" ht="15.75" customHeight="1">
      <c r="A7505" s="7"/>
      <c r="B7505" s="7" t="str">
        <f>IFERROR(__xludf.DUMMYFUNCTION("""COMPUTED_VALUE"""),"Assembly;Bash/Shell/PowerShell;Java;Python;R;SQL")</f>
        <v>Assembly;Bash/Shell/PowerShell;Java;Python;R;SQL</v>
      </c>
      <c r="M7505" s="9" t="s">
        <v>26</v>
      </c>
    </row>
    <row r="7506" ht="15.75" customHeight="1">
      <c r="A7506" s="7"/>
      <c r="B7506" s="7" t="str">
        <f>IFERROR(__xludf.DUMMYFUNCTION("""COMPUTED_VALUE"""),"Bash/Shell/PowerShell;C#;HTML/CSS;JavaScript;SQL;TypeScript")</f>
        <v>Bash/Shell/PowerShell;C#;HTML/CSS;JavaScript;SQL;TypeScript</v>
      </c>
      <c r="M7506" s="9" t="s">
        <v>24</v>
      </c>
    </row>
    <row r="7507" ht="15.75" customHeight="1">
      <c r="A7507" s="7"/>
      <c r="B7507" s="7" t="str">
        <f>IFERROR(__xludf.DUMMYFUNCTION("""COMPUTED_VALUE"""),"C;C++;Elixir;JavaScript;Python;R;SQL")</f>
        <v>C;C++;Elixir;JavaScript;Python;R;SQL</v>
      </c>
      <c r="M7507" s="9" t="s">
        <v>20</v>
      </c>
    </row>
    <row r="7508" ht="15.75" customHeight="1">
      <c r="A7508" s="7"/>
      <c r="B7508" s="7" t="str">
        <f>IFERROR(__xludf.DUMMYFUNCTION("""COMPUTED_VALUE"""),"Objective-C;Swift")</f>
        <v>Objective-C;Swift</v>
      </c>
      <c r="M7508" s="9" t="s">
        <v>21</v>
      </c>
    </row>
    <row r="7509" ht="15.75" customHeight="1">
      <c r="A7509" s="7"/>
      <c r="B7509" s="7" t="str">
        <f>IFERROR(__xludf.DUMMYFUNCTION("""COMPUTED_VALUE"""),"HTML/CSS;JavaScript;Python")</f>
        <v>HTML/CSS;JavaScript;Python</v>
      </c>
      <c r="M7509" s="9" t="s">
        <v>40</v>
      </c>
    </row>
    <row r="7510" ht="15.75" customHeight="1">
      <c r="A7510" s="7"/>
      <c r="B7510" s="7" t="str">
        <f>IFERROR(__xludf.DUMMYFUNCTION("""COMPUTED_VALUE"""),"Java;Kotlin")</f>
        <v>Java;Kotlin</v>
      </c>
      <c r="M7510" s="9" t="s">
        <v>30</v>
      </c>
    </row>
    <row r="7511" ht="15.75" customHeight="1">
      <c r="A7511" s="7"/>
      <c r="B7511" s="7" t="str">
        <f>IFERROR(__xludf.DUMMYFUNCTION("""COMPUTED_VALUE"""),"Assembly;C;Go;HTML/CSS;Java;JavaScript;Python;R;SQL")</f>
        <v>Assembly;C;Go;HTML/CSS;Java;JavaScript;Python;R;SQL</v>
      </c>
      <c r="M7511" s="9" t="s">
        <v>36</v>
      </c>
    </row>
    <row r="7512" ht="15.75" customHeight="1">
      <c r="A7512" s="7"/>
      <c r="B7512" s="7" t="str">
        <f>IFERROR(__xludf.DUMMYFUNCTION("""COMPUTED_VALUE"""),"C#;HTML/CSS;Java;Python;VBA")</f>
        <v>C#;HTML/CSS;Java;Python;VBA</v>
      </c>
      <c r="M7512" s="9" t="s">
        <v>20</v>
      </c>
    </row>
    <row r="7513" ht="15.75" customHeight="1">
      <c r="A7513" s="7"/>
      <c r="B7513" s="7" t="str">
        <f>IFERROR(__xludf.DUMMYFUNCTION("""COMPUTED_VALUE"""),"Ruby;Swift")</f>
        <v>Ruby;Swift</v>
      </c>
      <c r="M7513" s="9" t="s">
        <v>21</v>
      </c>
    </row>
    <row r="7514" ht="15.75" customHeight="1">
      <c r="A7514" s="7"/>
      <c r="B7514" s="7" t="str">
        <f>IFERROR(__xludf.DUMMYFUNCTION("""COMPUTED_VALUE"""),"HTML/CSS;JavaScript")</f>
        <v>HTML/CSS;JavaScript</v>
      </c>
      <c r="M7514" s="9" t="s">
        <v>22</v>
      </c>
    </row>
    <row r="7515" ht="15.75" customHeight="1">
      <c r="A7515" s="7"/>
      <c r="B7515" s="7" t="str">
        <f>IFERROR(__xludf.DUMMYFUNCTION("""COMPUTED_VALUE"""),"Java;SQL")</f>
        <v>Java;SQL</v>
      </c>
      <c r="M7515" s="9" t="s">
        <v>25</v>
      </c>
    </row>
    <row r="7516" ht="15.75" customHeight="1">
      <c r="A7516" s="7"/>
      <c r="B7516" s="7" t="str">
        <f>IFERROR(__xludf.DUMMYFUNCTION("""COMPUTED_VALUE"""),"HTML/CSS;JavaScript;PHP")</f>
        <v>HTML/CSS;JavaScript;PHP</v>
      </c>
      <c r="M7516" s="9" t="s">
        <v>23</v>
      </c>
    </row>
    <row r="7517" ht="15.75" customHeight="1">
      <c r="A7517" s="7"/>
      <c r="B7517" s="7" t="str">
        <f>IFERROR(__xludf.DUMMYFUNCTION("""COMPUTED_VALUE"""),"Bash/Shell/PowerShell;C++;Dart;Elixir;HTML/CSS;Java;JavaScript;Kotlin;Objective-C;Python;Ruby;SQL;Swift")</f>
        <v>Bash/Shell/PowerShell;C++;Dart;Elixir;HTML/CSS;Java;JavaScript;Kotlin;Objective-C;Python;Ruby;SQL;Swift</v>
      </c>
      <c r="M7517" s="9" t="s">
        <v>26</v>
      </c>
    </row>
    <row r="7518" ht="15.75" customHeight="1">
      <c r="A7518" s="7"/>
      <c r="B7518" s="7" t="str">
        <f>IFERROR(__xludf.DUMMYFUNCTION("""COMPUTED_VALUE"""),"Bash/Shell/PowerShell;HTML/CSS;JavaScript")</f>
        <v>Bash/Shell/PowerShell;HTML/CSS;JavaScript</v>
      </c>
      <c r="M7518" s="9" t="s">
        <v>24</v>
      </c>
    </row>
    <row r="7519" ht="15.75" customHeight="1">
      <c r="A7519" s="7"/>
      <c r="B7519" s="7" t="str">
        <f>IFERROR(__xludf.DUMMYFUNCTION("""COMPUTED_VALUE"""),"HTML/CSS;JavaScript")</f>
        <v>HTML/CSS;JavaScript</v>
      </c>
      <c r="M7519" s="9" t="s">
        <v>20</v>
      </c>
    </row>
    <row r="7520" ht="15.75" customHeight="1">
      <c r="A7520" s="7"/>
      <c r="B7520" s="7" t="str">
        <f>IFERROR(__xludf.DUMMYFUNCTION("""COMPUTED_VALUE"""),"Python;R;SQL")</f>
        <v>Python;R;SQL</v>
      </c>
      <c r="M7520" s="9" t="s">
        <v>21</v>
      </c>
    </row>
    <row r="7521" ht="15.75" customHeight="1">
      <c r="A7521" s="7"/>
      <c r="B7521" s="7" t="str">
        <f>IFERROR(__xludf.DUMMYFUNCTION("""COMPUTED_VALUE"""),"Bash/Shell/PowerShell;C++;HTML/CSS;JavaScript;Python")</f>
        <v>Bash/Shell/PowerShell;C++;HTML/CSS;JavaScript;Python</v>
      </c>
      <c r="M7521" s="9" t="s">
        <v>37</v>
      </c>
    </row>
    <row r="7522" ht="15.75" customHeight="1">
      <c r="A7522" s="7"/>
      <c r="B7522" s="7" t="str">
        <f>IFERROR(__xludf.DUMMYFUNCTION("""COMPUTED_VALUE"""),"HTML/CSS;JavaScript;PHP")</f>
        <v>HTML/CSS;JavaScript;PHP</v>
      </c>
      <c r="M7522" s="9" t="s">
        <v>40</v>
      </c>
    </row>
    <row r="7523" ht="15.75" customHeight="1">
      <c r="A7523" s="7"/>
      <c r="B7523" s="7" t="str">
        <f>IFERROR(__xludf.DUMMYFUNCTION("""COMPUTED_VALUE"""),"Bash/Shell/PowerShell;C;C++;Other(s):")</f>
        <v>Bash/Shell/PowerShell;C;C++;Other(s):</v>
      </c>
      <c r="M7523" s="9" t="s">
        <v>30</v>
      </c>
    </row>
    <row r="7524" ht="15.75" customHeight="1">
      <c r="A7524" s="7"/>
      <c r="B7524" s="7" t="str">
        <f>IFERROR(__xludf.DUMMYFUNCTION("""COMPUTED_VALUE"""),"C;C#;Dart;HTML/CSS;Java")</f>
        <v>C;C#;Dart;HTML/CSS;Java</v>
      </c>
      <c r="M7524" s="9" t="s">
        <v>25</v>
      </c>
    </row>
    <row r="7525" ht="15.75" customHeight="1">
      <c r="A7525" s="7"/>
      <c r="B7525" s="7" t="str">
        <f>IFERROR(__xludf.DUMMYFUNCTION("""COMPUTED_VALUE"""),"HTML/CSS;Java;JavaScript;Kotlin;PHP;SQL")</f>
        <v>HTML/CSS;Java;JavaScript;Kotlin;PHP;SQL</v>
      </c>
      <c r="M7525" s="9" t="s">
        <v>27</v>
      </c>
    </row>
    <row r="7526" ht="15.75" customHeight="1">
      <c r="A7526" s="7"/>
      <c r="B7526" s="7" t="str">
        <f>IFERROR(__xludf.DUMMYFUNCTION("""COMPUTED_VALUE"""),"C#;HTML/CSS;Java;JavaScript;SQL;VBA")</f>
        <v>C#;HTML/CSS;Java;JavaScript;SQL;VBA</v>
      </c>
      <c r="M7526" s="9" t="s">
        <v>30</v>
      </c>
    </row>
    <row r="7527" ht="15.75" customHeight="1">
      <c r="A7527" s="7"/>
      <c r="B7527" s="7" t="str">
        <f>IFERROR(__xludf.DUMMYFUNCTION("""COMPUTED_VALUE"""),"Bash/Shell/PowerShell;HTML/CSS;JavaScript;PHP;SQL;VBA")</f>
        <v>Bash/Shell/PowerShell;HTML/CSS;JavaScript;PHP;SQL;VBA</v>
      </c>
      <c r="M7527" s="9" t="s">
        <v>22</v>
      </c>
    </row>
    <row r="7528" ht="15.75" customHeight="1">
      <c r="A7528" s="7"/>
      <c r="B7528" s="7" t="str">
        <f>IFERROR(__xludf.DUMMYFUNCTION("""COMPUTED_VALUE"""),"C;C++;C#;HTML/CSS;JavaScript;PHP;Swift;TypeScript")</f>
        <v>C;C++;C#;HTML/CSS;JavaScript;PHP;Swift;TypeScript</v>
      </c>
      <c r="M7528" s="9" t="s">
        <v>30</v>
      </c>
    </row>
    <row r="7529" ht="15.75" customHeight="1">
      <c r="A7529" s="7"/>
      <c r="B7529" s="7" t="str">
        <f>IFERROR(__xludf.DUMMYFUNCTION("""COMPUTED_VALUE"""),"C++;C#;HTML/CSS;JavaScript;Ruby")</f>
        <v>C++;C#;HTML/CSS;JavaScript;Ruby</v>
      </c>
      <c r="M7529" s="9" t="s">
        <v>24</v>
      </c>
    </row>
    <row r="7530" ht="15.75" customHeight="1">
      <c r="A7530" s="7"/>
      <c r="B7530" s="7" t="str">
        <f>IFERROR(__xludf.DUMMYFUNCTION("""COMPUTED_VALUE"""),"C++;Python;Swift")</f>
        <v>C++;Python;Swift</v>
      </c>
      <c r="M7530" s="9" t="s">
        <v>20</v>
      </c>
    </row>
    <row r="7531" ht="15.75" customHeight="1">
      <c r="A7531" s="7"/>
      <c r="B7531" s="7" t="str">
        <f>IFERROR(__xludf.DUMMYFUNCTION("""COMPUTED_VALUE"""),"C;C++;C#;Go;HTML/CSS;Java;Python")</f>
        <v>C;C++;C#;Go;HTML/CSS;Java;Python</v>
      </c>
      <c r="M7531" s="9" t="s">
        <v>21</v>
      </c>
    </row>
    <row r="7532" ht="15.75" customHeight="1">
      <c r="A7532" s="7"/>
      <c r="B7532" s="7" t="str">
        <f>IFERROR(__xludf.DUMMYFUNCTION("""COMPUTED_VALUE"""),"HTML/CSS;Java;JavaScript")</f>
        <v>HTML/CSS;Java;JavaScript</v>
      </c>
      <c r="M7532" s="9" t="s">
        <v>27</v>
      </c>
    </row>
    <row r="7533" ht="15.75" customHeight="1">
      <c r="A7533" s="7"/>
      <c r="B7533" s="7" t="str">
        <f>IFERROR(__xludf.DUMMYFUNCTION("""COMPUTED_VALUE"""),"Bash/Shell/PowerShell;HTML/CSS;Java;JavaScript;PHP;Python;SQL")</f>
        <v>Bash/Shell/PowerShell;HTML/CSS;Java;JavaScript;PHP;Python;SQL</v>
      </c>
      <c r="M7533" s="9" t="s">
        <v>26</v>
      </c>
    </row>
    <row r="7534" ht="15.75" customHeight="1">
      <c r="A7534" s="7"/>
      <c r="B7534" s="7" t="str">
        <f>IFERROR(__xludf.DUMMYFUNCTION("""COMPUTED_VALUE"""),"Bash/Shell/PowerShell;C;C++;C#;HTML/CSS;Java;JavaScript;Objective-C;PHP;Python;SQL;VBA")</f>
        <v>Bash/Shell/PowerShell;C;C++;C#;HTML/CSS;Java;JavaScript;Objective-C;PHP;Python;SQL;VBA</v>
      </c>
      <c r="M7534" s="9" t="s">
        <v>24</v>
      </c>
    </row>
    <row r="7535" ht="15.75" customHeight="1">
      <c r="A7535" s="7"/>
      <c r="B7535" s="7" t="str">
        <f>IFERROR(__xludf.DUMMYFUNCTION("""COMPUTED_VALUE"""),"Python")</f>
        <v>Python</v>
      </c>
      <c r="M7535" s="9" t="s">
        <v>21</v>
      </c>
    </row>
    <row r="7536" ht="15.75" customHeight="1">
      <c r="A7536" s="7"/>
      <c r="B7536" s="7" t="str">
        <f>IFERROR(__xludf.DUMMYFUNCTION("""COMPUTED_VALUE"""),"HTML/CSS;JavaScript;Python;SQL")</f>
        <v>HTML/CSS;JavaScript;Python;SQL</v>
      </c>
      <c r="M7536" s="9" t="s">
        <v>27</v>
      </c>
    </row>
    <row r="7537" ht="15.75" customHeight="1">
      <c r="A7537" s="7"/>
      <c r="B7537" s="7" t="str">
        <f>IFERROR(__xludf.DUMMYFUNCTION("""COMPUTED_VALUE"""),"Bash/Shell/PowerShell;HTML/CSS;JavaScript;SQL;TypeScript")</f>
        <v>Bash/Shell/PowerShell;HTML/CSS;JavaScript;SQL;TypeScript</v>
      </c>
      <c r="M7537" s="9" t="s">
        <v>33</v>
      </c>
    </row>
    <row r="7538" ht="15.75" customHeight="1">
      <c r="A7538" s="7"/>
      <c r="B7538" s="7" t="str">
        <f>IFERROR(__xludf.DUMMYFUNCTION("""COMPUTED_VALUE"""),"HTML/CSS;Java;JavaScript")</f>
        <v>HTML/CSS;Java;JavaScript</v>
      </c>
      <c r="M7538" s="9" t="s">
        <v>30</v>
      </c>
    </row>
    <row r="7539" ht="15.75" customHeight="1">
      <c r="A7539" s="7"/>
      <c r="B7539" s="7" t="str">
        <f>IFERROR(__xludf.DUMMYFUNCTION("""COMPUTED_VALUE"""),"Bash/Shell/PowerShell;C#;HTML/CSS;Java;JavaScript;Kotlin;SQL;TypeScript")</f>
        <v>Bash/Shell/PowerShell;C#;HTML/CSS;Java;JavaScript;Kotlin;SQL;TypeScript</v>
      </c>
      <c r="M7539" s="9" t="s">
        <v>42</v>
      </c>
    </row>
    <row r="7540" ht="15.75" customHeight="1">
      <c r="A7540" s="7"/>
      <c r="B7540" s="7" t="str">
        <f>IFERROR(__xludf.DUMMYFUNCTION("""COMPUTED_VALUE"""),"C;C++;HTML/CSS;Java;JavaScript;Kotlin;PHP;SQL")</f>
        <v>C;C++;HTML/CSS;Java;JavaScript;Kotlin;PHP;SQL</v>
      </c>
      <c r="M7540" s="9" t="s">
        <v>43</v>
      </c>
    </row>
    <row r="7541" ht="15.75" customHeight="1">
      <c r="A7541" s="7"/>
      <c r="B7541" s="7" t="str">
        <f>IFERROR(__xludf.DUMMYFUNCTION("""COMPUTED_VALUE"""),"HTML/CSS;JavaScript;PHP")</f>
        <v>HTML/CSS;JavaScript;PHP</v>
      </c>
      <c r="M7541" s="9" t="s">
        <v>36</v>
      </c>
    </row>
    <row r="7542" ht="15.75" customHeight="1">
      <c r="A7542" s="7"/>
      <c r="B7542" s="7" t="str">
        <f>IFERROR(__xludf.DUMMYFUNCTION("""COMPUTED_VALUE"""),"C;C++")</f>
        <v>C;C++</v>
      </c>
      <c r="M7542" s="9" t="s">
        <v>20</v>
      </c>
    </row>
    <row r="7543" ht="15.75" customHeight="1">
      <c r="A7543" s="7"/>
      <c r="B7543" s="7" t="str">
        <f>IFERROR(__xludf.DUMMYFUNCTION("""COMPUTED_VALUE"""),"C++")</f>
        <v>C++</v>
      </c>
      <c r="M7543" s="9" t="s">
        <v>21</v>
      </c>
    </row>
    <row r="7544" ht="15.75" customHeight="1">
      <c r="A7544" s="7"/>
      <c r="B7544" s="7" t="str">
        <f>IFERROR(__xludf.DUMMYFUNCTION("""COMPUTED_VALUE"""),"Python;TypeScript")</f>
        <v>Python;TypeScript</v>
      </c>
      <c r="M7544" s="9" t="s">
        <v>22</v>
      </c>
    </row>
    <row r="7545" ht="15.75" customHeight="1">
      <c r="A7545" s="7"/>
      <c r="B7545" s="7" t="str">
        <f>IFERROR(__xludf.DUMMYFUNCTION("""COMPUTED_VALUE"""),"Java")</f>
        <v>Java</v>
      </c>
      <c r="M7545" s="9" t="s">
        <v>31</v>
      </c>
    </row>
    <row r="7546" ht="15.75" customHeight="1">
      <c r="A7546" s="7"/>
      <c r="B7546" s="7" t="str">
        <f>IFERROR(__xludf.DUMMYFUNCTION("""COMPUTED_VALUE"""),"Bash/Shell/PowerShell;HTML/CSS;Java;JavaScript;SQL;TypeScript")</f>
        <v>Bash/Shell/PowerShell;HTML/CSS;Java;JavaScript;SQL;TypeScript</v>
      </c>
      <c r="M7546" s="9" t="s">
        <v>27</v>
      </c>
    </row>
    <row r="7547" ht="15.75" customHeight="1">
      <c r="A7547" s="7"/>
      <c r="B7547" s="7" t="str">
        <f>IFERROR(__xludf.DUMMYFUNCTION("""COMPUTED_VALUE"""),"C#;HTML/CSS;JavaScript;Python;R;SQL;TypeScript")</f>
        <v>C#;HTML/CSS;JavaScript;Python;R;SQL;TypeScript</v>
      </c>
      <c r="M7547" s="9" t="s">
        <v>30</v>
      </c>
    </row>
    <row r="7548" ht="15.75" customHeight="1">
      <c r="A7548" s="7"/>
      <c r="B7548" s="7" t="str">
        <f>IFERROR(__xludf.DUMMYFUNCTION("""COMPUTED_VALUE"""),"Bash/Shell/PowerShell;Java;Python;SQL")</f>
        <v>Bash/Shell/PowerShell;Java;Python;SQL</v>
      </c>
      <c r="M7548" s="9" t="s">
        <v>20</v>
      </c>
    </row>
    <row r="7549" ht="15.75" customHeight="1">
      <c r="A7549" s="7"/>
      <c r="B7549" s="7" t="str">
        <f>IFERROR(__xludf.DUMMYFUNCTION("""COMPUTED_VALUE"""),"C++;C#;Java;Python")</f>
        <v>C++;C#;Java;Python</v>
      </c>
      <c r="M7549" s="9" t="s">
        <v>21</v>
      </c>
    </row>
    <row r="7550" ht="15.75" customHeight="1">
      <c r="A7550" s="7"/>
      <c r="B7550" s="7" t="str">
        <f>IFERROR(__xludf.DUMMYFUNCTION("""COMPUTED_VALUE"""),"Bash/Shell/PowerShell;C#;HTML/CSS;JavaScript;SQL;VBA")</f>
        <v>Bash/Shell/PowerShell;C#;HTML/CSS;JavaScript;SQL;VBA</v>
      </c>
      <c r="M7550" s="9" t="s">
        <v>37</v>
      </c>
    </row>
    <row r="7551" ht="15.75" customHeight="1">
      <c r="A7551" s="7"/>
      <c r="B7551" s="7" t="str">
        <f>IFERROR(__xludf.DUMMYFUNCTION("""COMPUTED_VALUE"""),"PHP;Python;SQL")</f>
        <v>PHP;Python;SQL</v>
      </c>
      <c r="M7551" s="9" t="s">
        <v>27</v>
      </c>
    </row>
    <row r="7552" ht="15.75" customHeight="1">
      <c r="A7552" s="7"/>
      <c r="B7552" s="7" t="str">
        <f>IFERROR(__xludf.DUMMYFUNCTION("""COMPUTED_VALUE"""),"Bash/Shell/PowerShell;HTML/CSS;JavaScript;SQL;Other(s):")</f>
        <v>Bash/Shell/PowerShell;HTML/CSS;JavaScript;SQL;Other(s):</v>
      </c>
      <c r="M7552" s="9" t="s">
        <v>30</v>
      </c>
    </row>
    <row r="7553" ht="15.75" customHeight="1">
      <c r="A7553" s="7"/>
      <c r="B7553" s="7" t="str">
        <f>IFERROR(__xludf.DUMMYFUNCTION("""COMPUTED_VALUE"""),"Bash/Shell/PowerShell;HTML/CSS;JavaScript")</f>
        <v>Bash/Shell/PowerShell;HTML/CSS;JavaScript</v>
      </c>
      <c r="M7553" s="9" t="s">
        <v>23</v>
      </c>
    </row>
    <row r="7554" ht="15.75" customHeight="1">
      <c r="A7554" s="7"/>
      <c r="B7554" s="7" t="str">
        <f>IFERROR(__xludf.DUMMYFUNCTION("""COMPUTED_VALUE"""),"HTML/CSS;Java;Python")</f>
        <v>HTML/CSS;Java;Python</v>
      </c>
      <c r="M7554" s="9" t="s">
        <v>24</v>
      </c>
    </row>
    <row r="7555" ht="15.75" customHeight="1">
      <c r="A7555" s="7"/>
      <c r="B7555" s="7" t="str">
        <f>IFERROR(__xludf.DUMMYFUNCTION("""COMPUTED_VALUE"""),"C#;HTML/CSS;JavaScript;SQL;VBA")</f>
        <v>C#;HTML/CSS;JavaScript;SQL;VBA</v>
      </c>
      <c r="M7555" s="9" t="s">
        <v>21</v>
      </c>
    </row>
    <row r="7556" ht="15.75" customHeight="1">
      <c r="A7556" s="7"/>
      <c r="B7556" s="7" t="str">
        <f>IFERROR(__xludf.DUMMYFUNCTION("""COMPUTED_VALUE"""),"C++;Go;JavaScript;Python")</f>
        <v>C++;Go;JavaScript;Python</v>
      </c>
      <c r="M7556" s="9" t="s">
        <v>37</v>
      </c>
    </row>
    <row r="7557" ht="15.75" customHeight="1">
      <c r="A7557" s="7"/>
      <c r="B7557" s="7" t="str">
        <f>IFERROR(__xludf.DUMMYFUNCTION("""COMPUTED_VALUE"""),"Bash/Shell/PowerShell;C#;HTML/CSS;JavaScript;PHP;Python;Ruby;SQL")</f>
        <v>Bash/Shell/PowerShell;C#;HTML/CSS;JavaScript;PHP;Python;Ruby;SQL</v>
      </c>
      <c r="M7557" s="9" t="s">
        <v>22</v>
      </c>
    </row>
    <row r="7558" ht="15.75" customHeight="1">
      <c r="A7558" s="7"/>
      <c r="B7558" s="7" t="str">
        <f>IFERROR(__xludf.DUMMYFUNCTION("""COMPUTED_VALUE"""),"Java;JavaScript;Python")</f>
        <v>Java;JavaScript;Python</v>
      </c>
      <c r="M7558" s="9" t="s">
        <v>26</v>
      </c>
    </row>
    <row r="7559" ht="15.75" customHeight="1">
      <c r="A7559" s="7"/>
      <c r="B7559" s="7" t="str">
        <f>IFERROR(__xludf.DUMMYFUNCTION("""COMPUTED_VALUE"""),"Bash/Shell/PowerShell;HTML/CSS;JavaScript;PHP;Python;Ruby;Other(s):")</f>
        <v>Bash/Shell/PowerShell;HTML/CSS;JavaScript;PHP;Python;Ruby;Other(s):</v>
      </c>
      <c r="M7559" s="9" t="s">
        <v>24</v>
      </c>
    </row>
    <row r="7560" ht="15.75" customHeight="1">
      <c r="A7560" s="7"/>
      <c r="B7560" s="7" t="str">
        <f>IFERROR(__xludf.DUMMYFUNCTION("""COMPUTED_VALUE"""),"Assembly;Bash/Shell/PowerShell;C;C#;Clojure;HTML/CSS;Java;JavaScript;Python;Rust;SQL")</f>
        <v>Assembly;Bash/Shell/PowerShell;C;C#;Clojure;HTML/CSS;Java;JavaScript;Python;Rust;SQL</v>
      </c>
      <c r="M7560" s="9" t="s">
        <v>21</v>
      </c>
    </row>
    <row r="7561" ht="15.75" customHeight="1">
      <c r="A7561" s="7"/>
      <c r="B7561" s="7" t="str">
        <f>IFERROR(__xludf.DUMMYFUNCTION("""COMPUTED_VALUE"""),"C++;C#;Python;SQL")</f>
        <v>C++;C#;Python;SQL</v>
      </c>
      <c r="M7561" s="9" t="s">
        <v>27</v>
      </c>
    </row>
    <row r="7562" ht="15.75" customHeight="1">
      <c r="A7562" s="7"/>
      <c r="B7562" s="7" t="str">
        <f>IFERROR(__xludf.DUMMYFUNCTION("""COMPUTED_VALUE"""),"C;C++;PHP;Python;R;Ruby")</f>
        <v>C;C++;PHP;Python;R;Ruby</v>
      </c>
      <c r="M7562" s="9" t="s">
        <v>33</v>
      </c>
    </row>
    <row r="7563" ht="15.75" customHeight="1">
      <c r="A7563" s="7"/>
      <c r="B7563" s="7" t="str">
        <f>IFERROR(__xludf.DUMMYFUNCTION("""COMPUTED_VALUE"""),"Assembly;Bash/Shell/PowerShell;C;Erlang;HTML/CSS;Java;JavaScript;Python;SQL")</f>
        <v>Assembly;Bash/Shell/PowerShell;C;Erlang;HTML/CSS;Java;JavaScript;Python;SQL</v>
      </c>
      <c r="M7563" s="9" t="s">
        <v>38</v>
      </c>
    </row>
    <row r="7564" ht="15.75" customHeight="1">
      <c r="A7564" s="7"/>
      <c r="B7564" s="7" t="str">
        <f>IFERROR(__xludf.DUMMYFUNCTION("""COMPUTED_VALUE"""),"C++;HTML/CSS;Java;JavaScript;Python;TypeScript")</f>
        <v>C++;HTML/CSS;Java;JavaScript;Python;TypeScript</v>
      </c>
      <c r="M7564" s="9" t="s">
        <v>30</v>
      </c>
    </row>
    <row r="7565" ht="15.75" customHeight="1">
      <c r="A7565" s="7"/>
      <c r="B7565" s="7" t="str">
        <f>IFERROR(__xludf.DUMMYFUNCTION("""COMPUTED_VALUE"""),"HTML/CSS;PHP;Python")</f>
        <v>HTML/CSS;PHP;Python</v>
      </c>
      <c r="M7565" s="9" t="s">
        <v>23</v>
      </c>
    </row>
    <row r="7566" ht="15.75" customHeight="1">
      <c r="A7566" s="7"/>
      <c r="B7566" s="7" t="str">
        <f>IFERROR(__xludf.DUMMYFUNCTION("""COMPUTED_VALUE"""),"Bash/Shell/PowerShell;HTML/CSS;JavaScript;Python;R;SQL")</f>
        <v>Bash/Shell/PowerShell;HTML/CSS;JavaScript;Python;R;SQL</v>
      </c>
      <c r="M7566" s="9" t="s">
        <v>26</v>
      </c>
    </row>
    <row r="7567" ht="15.75" customHeight="1">
      <c r="A7567" s="7"/>
      <c r="B7567" s="7" t="str">
        <f>IFERROR(__xludf.DUMMYFUNCTION("""COMPUTED_VALUE"""),"Bash/Shell/PowerShell;C;Java;Kotlin;Python")</f>
        <v>Bash/Shell/PowerShell;C;Java;Kotlin;Python</v>
      </c>
      <c r="M7567" s="9" t="s">
        <v>24</v>
      </c>
    </row>
    <row r="7568" ht="15.75" customHeight="1">
      <c r="A7568" s="7"/>
      <c r="B7568" s="7" t="str">
        <f>IFERROR(__xludf.DUMMYFUNCTION("""COMPUTED_VALUE"""),"Bash/Shell/PowerShell;HTML/CSS;JavaScript;PHP;Rust;Other(s):")</f>
        <v>Bash/Shell/PowerShell;HTML/CSS;JavaScript;PHP;Rust;Other(s):</v>
      </c>
      <c r="M7568" s="9" t="s">
        <v>21</v>
      </c>
    </row>
    <row r="7569" ht="15.75" customHeight="1">
      <c r="A7569" s="7"/>
      <c r="B7569" s="7" t="str">
        <f>IFERROR(__xludf.DUMMYFUNCTION("""COMPUTED_VALUE"""),"Go;Python;SQL")</f>
        <v>Go;Python;SQL</v>
      </c>
      <c r="M7569" s="9" t="s">
        <v>22</v>
      </c>
    </row>
    <row r="7570" ht="15.75" customHeight="1">
      <c r="A7570" s="7"/>
      <c r="B7570" s="7" t="str">
        <f>IFERROR(__xludf.DUMMYFUNCTION("""COMPUTED_VALUE"""),"Bash/Shell/PowerShell;C;C++;HTML/CSS;JavaScript;PHP;Python;R;SQL;VBA")</f>
        <v>Bash/Shell/PowerShell;C;C++;HTML/CSS;JavaScript;PHP;Python;R;SQL;VBA</v>
      </c>
      <c r="M7570" s="9" t="s">
        <v>27</v>
      </c>
    </row>
    <row r="7571" ht="15.75" customHeight="1">
      <c r="A7571" s="7"/>
      <c r="B7571" s="7" t="str">
        <f>IFERROR(__xludf.DUMMYFUNCTION("""COMPUTED_VALUE"""),"HTML/CSS;Java;JavaScript;Kotlin")</f>
        <v>HTML/CSS;Java;JavaScript;Kotlin</v>
      </c>
      <c r="M7571" s="9" t="s">
        <v>30</v>
      </c>
    </row>
    <row r="7572" ht="15.75" customHeight="1">
      <c r="A7572" s="7"/>
      <c r="B7572" s="7" t="str">
        <f>IFERROR(__xludf.DUMMYFUNCTION("""COMPUTED_VALUE"""),"Bash/Shell/PowerShell;C++;C#;HTML/CSS;Java;JavaScript;PHP;Python;Ruby;SQL;Swift;TypeScript")</f>
        <v>Bash/Shell/PowerShell;C++;C#;HTML/CSS;Java;JavaScript;PHP;Python;Ruby;SQL;Swift;TypeScript</v>
      </c>
      <c r="M7572" s="9" t="s">
        <v>20</v>
      </c>
    </row>
    <row r="7573" ht="15.75" customHeight="1">
      <c r="A7573" s="7"/>
      <c r="B7573" s="7" t="str">
        <f>IFERROR(__xludf.DUMMYFUNCTION("""COMPUTED_VALUE"""),"Bash/Shell/PowerShell;JavaScript;Python;Rust;Other(s):")</f>
        <v>Bash/Shell/PowerShell;JavaScript;Python;Rust;Other(s):</v>
      </c>
      <c r="M7573" s="9" t="s">
        <v>31</v>
      </c>
    </row>
    <row r="7574" ht="15.75" customHeight="1">
      <c r="A7574" s="7"/>
      <c r="B7574" s="7" t="str">
        <f>IFERROR(__xludf.DUMMYFUNCTION("""COMPUTED_VALUE"""),"Python;Swift")</f>
        <v>Python;Swift</v>
      </c>
      <c r="M7574" s="9" t="s">
        <v>26</v>
      </c>
    </row>
    <row r="7575" ht="15.75" customHeight="1">
      <c r="A7575" s="7"/>
      <c r="B7575" s="7" t="str">
        <f>IFERROR(__xludf.DUMMYFUNCTION("""COMPUTED_VALUE"""),"C#;HTML/CSS;JavaScript;SQL")</f>
        <v>C#;HTML/CSS;JavaScript;SQL</v>
      </c>
      <c r="M7575" s="9" t="s">
        <v>36</v>
      </c>
    </row>
    <row r="7576" ht="15.75" customHeight="1">
      <c r="A7576" s="7"/>
      <c r="B7576" s="7" t="str">
        <f>IFERROR(__xludf.DUMMYFUNCTION("""COMPUTED_VALUE"""),"Bash/Shell/PowerShell;HTML/CSS;Java;JavaScript;PHP;Python;Ruby;TypeScript")</f>
        <v>Bash/Shell/PowerShell;HTML/CSS;Java;JavaScript;PHP;Python;Ruby;TypeScript</v>
      </c>
      <c r="M7576" s="9" t="s">
        <v>24</v>
      </c>
    </row>
    <row r="7577" ht="15.75" customHeight="1">
      <c r="A7577" s="7"/>
      <c r="B7577" s="7" t="str">
        <f>IFERROR(__xludf.DUMMYFUNCTION("""COMPUTED_VALUE"""),"Dart;HTML/CSS;Java;PHP;Python;SQL;TypeScript")</f>
        <v>Dart;HTML/CSS;Java;PHP;Python;SQL;TypeScript</v>
      </c>
      <c r="M7577" s="9" t="s">
        <v>20</v>
      </c>
    </row>
    <row r="7578" ht="15.75" customHeight="1">
      <c r="A7578" s="7"/>
      <c r="B7578" s="7" t="str">
        <f>IFERROR(__xludf.DUMMYFUNCTION("""COMPUTED_VALUE"""),"C++")</f>
        <v>C++</v>
      </c>
      <c r="M7578" s="9" t="s">
        <v>39</v>
      </c>
    </row>
    <row r="7579" ht="15.75" customHeight="1">
      <c r="A7579" s="7"/>
      <c r="B7579" s="7" t="str">
        <f>IFERROR(__xludf.DUMMYFUNCTION("""COMPUTED_VALUE"""),"Bash/Shell/PowerShell;HTML/CSS;Java;JavaScript;Python;SQL")</f>
        <v>Bash/Shell/PowerShell;HTML/CSS;Java;JavaScript;Python;SQL</v>
      </c>
      <c r="M7579" s="9" t="s">
        <v>37</v>
      </c>
    </row>
    <row r="7580" ht="15.75" customHeight="1">
      <c r="A7580" s="7"/>
      <c r="B7580" s="7" t="str">
        <f>IFERROR(__xludf.DUMMYFUNCTION("""COMPUTED_VALUE"""),"Bash/Shell/PowerShell;C;C++;Go;HTML/CSS;Java;JavaScript;Kotlin;PHP;Python;SQL")</f>
        <v>Bash/Shell/PowerShell;C;C++;Go;HTML/CSS;Java;JavaScript;Kotlin;PHP;Python;SQL</v>
      </c>
      <c r="M7580" s="9" t="s">
        <v>22</v>
      </c>
    </row>
    <row r="7581" ht="15.75" customHeight="1">
      <c r="A7581" s="7"/>
      <c r="B7581" s="7" t="str">
        <f>IFERROR(__xludf.DUMMYFUNCTION("""COMPUTED_VALUE"""),"C;C++;C#;HTML/CSS;JavaScript;PHP")</f>
        <v>C;C++;C#;HTML/CSS;JavaScript;PHP</v>
      </c>
      <c r="M7581" s="9" t="s">
        <v>32</v>
      </c>
    </row>
    <row r="7582" ht="15.75" customHeight="1">
      <c r="A7582" s="7"/>
      <c r="B7582" s="7" t="str">
        <f>IFERROR(__xludf.DUMMYFUNCTION("""COMPUTED_VALUE"""),"Dart;HTML/CSS;Java;JavaScript")</f>
        <v>Dart;HTML/CSS;Java;JavaScript</v>
      </c>
      <c r="M7582" s="9" t="s">
        <v>46</v>
      </c>
    </row>
    <row r="7583" ht="15.75" customHeight="1">
      <c r="A7583" s="7"/>
      <c r="B7583" s="7" t="str">
        <f>IFERROR(__xludf.DUMMYFUNCTION("""COMPUTED_VALUE"""),"Bash/Shell/PowerShell;C#;HTML/CSS;Java;JavaScript;SQL;VBA;WebAssembly")</f>
        <v>Bash/Shell/PowerShell;C#;HTML/CSS;Java;JavaScript;SQL;VBA;WebAssembly</v>
      </c>
      <c r="M7583" s="9" t="s">
        <v>27</v>
      </c>
    </row>
    <row r="7584" ht="15.75" customHeight="1">
      <c r="A7584" s="7"/>
      <c r="B7584" s="7" t="str">
        <f>IFERROR(__xludf.DUMMYFUNCTION("""COMPUTED_VALUE"""),"Go;Java;Kotlin")</f>
        <v>Go;Java;Kotlin</v>
      </c>
      <c r="M7584" s="9" t="s">
        <v>40</v>
      </c>
    </row>
    <row r="7585" ht="15.75" customHeight="1">
      <c r="A7585" s="7"/>
      <c r="B7585" s="7" t="str">
        <f>IFERROR(__xludf.DUMMYFUNCTION("""COMPUTED_VALUE"""),"C++;HTML/CSS;Java;JavaScript;SQL")</f>
        <v>C++;HTML/CSS;Java;JavaScript;SQL</v>
      </c>
      <c r="M7585" s="9" t="s">
        <v>33</v>
      </c>
    </row>
    <row r="7586" ht="15.75" customHeight="1">
      <c r="A7586" s="7"/>
      <c r="B7586" s="7" t="str">
        <f>IFERROR(__xludf.DUMMYFUNCTION("""COMPUTED_VALUE"""),"C#;HTML/CSS;JavaScript")</f>
        <v>C#;HTML/CSS;JavaScript</v>
      </c>
      <c r="M7586" s="9" t="s">
        <v>30</v>
      </c>
    </row>
    <row r="7587" ht="15.75" customHeight="1">
      <c r="A7587" s="7"/>
      <c r="B7587" s="7" t="str">
        <f>IFERROR(__xludf.DUMMYFUNCTION("""COMPUTED_VALUE"""),"C#;HTML/CSS;JavaScript;PHP;Python;SQL")</f>
        <v>C#;HTML/CSS;JavaScript;PHP;Python;SQL</v>
      </c>
      <c r="M7587" s="9" t="s">
        <v>24</v>
      </c>
    </row>
    <row r="7588" ht="15.75" customHeight="1">
      <c r="A7588" s="7"/>
      <c r="B7588" s="7" t="str">
        <f>IFERROR(__xludf.DUMMYFUNCTION("""COMPUTED_VALUE"""),"Java")</f>
        <v>Java</v>
      </c>
      <c r="M7588" s="9" t="s">
        <v>31</v>
      </c>
    </row>
    <row r="7589" ht="15.75" customHeight="1">
      <c r="A7589" s="7"/>
      <c r="B7589" s="7" t="str">
        <f>IFERROR(__xludf.DUMMYFUNCTION("""COMPUTED_VALUE"""),"Bash/Shell/PowerShell;C#")</f>
        <v>Bash/Shell/PowerShell;C#</v>
      </c>
      <c r="M7589" s="9" t="s">
        <v>27</v>
      </c>
    </row>
    <row r="7590" ht="15.75" customHeight="1">
      <c r="A7590" s="7"/>
      <c r="B7590" s="7" t="str">
        <f>IFERROR(__xludf.DUMMYFUNCTION("""COMPUTED_VALUE"""),"HTML/CSS;JavaScript;PHP;SQL")</f>
        <v>HTML/CSS;JavaScript;PHP;SQL</v>
      </c>
      <c r="M7590" s="9" t="s">
        <v>38</v>
      </c>
    </row>
    <row r="7591" ht="15.75" customHeight="1">
      <c r="A7591" s="7"/>
      <c r="B7591" s="7" t="str">
        <f>IFERROR(__xludf.DUMMYFUNCTION("""COMPUTED_VALUE"""),"C++;C#;HTML/CSS;Java;JavaScript;PHP;SQL;Swift;TypeScript")</f>
        <v>C++;C#;HTML/CSS;Java;JavaScript;PHP;SQL;Swift;TypeScript</v>
      </c>
      <c r="M7591" s="9" t="s">
        <v>25</v>
      </c>
    </row>
    <row r="7592" ht="15.75" customHeight="1">
      <c r="A7592" s="7"/>
      <c r="B7592" s="7" t="str">
        <f>IFERROR(__xludf.DUMMYFUNCTION("""COMPUTED_VALUE"""),"HTML/CSS;Java;JavaScript")</f>
        <v>HTML/CSS;Java;JavaScript</v>
      </c>
      <c r="M7592" s="9" t="s">
        <v>26</v>
      </c>
    </row>
    <row r="7593" ht="15.75" customHeight="1">
      <c r="A7593" s="7"/>
      <c r="B7593" s="7" t="str">
        <f>IFERROR(__xludf.DUMMYFUNCTION("""COMPUTED_VALUE"""),"Assembly;C;C++;Java;Other(s):")</f>
        <v>Assembly;C;C++;Java;Other(s):</v>
      </c>
      <c r="M7593" s="9" t="s">
        <v>24</v>
      </c>
    </row>
    <row r="7594" ht="15.75" customHeight="1">
      <c r="A7594" s="7"/>
      <c r="B7594" s="7" t="str">
        <f>IFERROR(__xludf.DUMMYFUNCTION("""COMPUTED_VALUE"""),"Bash/Shell/PowerShell;Java;JavaScript;Other(s):")</f>
        <v>Bash/Shell/PowerShell;Java;JavaScript;Other(s):</v>
      </c>
      <c r="M7594" s="9" t="s">
        <v>20</v>
      </c>
    </row>
    <row r="7595" ht="15.75" customHeight="1">
      <c r="A7595" s="7"/>
      <c r="B7595" s="7" t="str">
        <f>IFERROR(__xludf.DUMMYFUNCTION("""COMPUTED_VALUE"""),"C++;C#;Ruby;SQL")</f>
        <v>C++;C#;Ruby;SQL</v>
      </c>
      <c r="M7595" s="9" t="s">
        <v>21</v>
      </c>
    </row>
    <row r="7596" ht="15.75" customHeight="1">
      <c r="A7596" s="7"/>
      <c r="B7596" s="7" t="str">
        <f>IFERROR(__xludf.DUMMYFUNCTION("""COMPUTED_VALUE"""),"Bash/Shell/PowerShell;C#;HTML/CSS;JavaScript;SQL;VBA")</f>
        <v>Bash/Shell/PowerShell;C#;HTML/CSS;JavaScript;SQL;VBA</v>
      </c>
      <c r="M7596" s="9" t="s">
        <v>37</v>
      </c>
    </row>
    <row r="7597" ht="15.75" customHeight="1">
      <c r="A7597" s="7"/>
      <c r="B7597" s="7" t="str">
        <f>IFERROR(__xludf.DUMMYFUNCTION("""COMPUTED_VALUE"""),"Bash/Shell/PowerShell;C#;SQL")</f>
        <v>Bash/Shell/PowerShell;C#;SQL</v>
      </c>
      <c r="M7597" s="9" t="s">
        <v>22</v>
      </c>
    </row>
    <row r="7598" ht="15.75" customHeight="1">
      <c r="A7598" s="7"/>
      <c r="B7598" s="7" t="str">
        <f>IFERROR(__xludf.DUMMYFUNCTION("""COMPUTED_VALUE"""),"C++;Python;Other(s):")</f>
        <v>C++;Python;Other(s):</v>
      </c>
      <c r="M7598" s="9" t="s">
        <v>27</v>
      </c>
    </row>
    <row r="7599" ht="15.75" customHeight="1">
      <c r="A7599" s="7"/>
      <c r="B7599" s="7" t="str">
        <f>IFERROR(__xludf.DUMMYFUNCTION("""COMPUTED_VALUE"""),"C;SQL;VBA")</f>
        <v>C;SQL;VBA</v>
      </c>
      <c r="M7599" s="9" t="s">
        <v>28</v>
      </c>
    </row>
    <row r="7600" ht="15.75" customHeight="1">
      <c r="A7600" s="7"/>
      <c r="B7600" s="7" t="str">
        <f>IFERROR(__xludf.DUMMYFUNCTION("""COMPUTED_VALUE"""),"HTML/CSS;JavaScript;Python")</f>
        <v>HTML/CSS;JavaScript;Python</v>
      </c>
      <c r="M7600" s="9" t="s">
        <v>24</v>
      </c>
    </row>
    <row r="7601" ht="15.75" customHeight="1">
      <c r="A7601" s="7"/>
      <c r="B7601" s="7" t="str">
        <f>IFERROR(__xludf.DUMMYFUNCTION("""COMPUTED_VALUE"""),"HTML/CSS;JavaScript;PHP;SQL")</f>
        <v>HTML/CSS;JavaScript;PHP;SQL</v>
      </c>
      <c r="M7601" s="9" t="s">
        <v>21</v>
      </c>
    </row>
    <row r="7602" ht="15.75" customHeight="1">
      <c r="A7602" s="7"/>
      <c r="B7602" s="7" t="str">
        <f>IFERROR(__xludf.DUMMYFUNCTION("""COMPUTED_VALUE"""),"C;C++;C#;HTML/CSS;Java;JavaScript;PHP;Python;SQL")</f>
        <v>C;C++;C#;HTML/CSS;Java;JavaScript;PHP;Python;SQL</v>
      </c>
      <c r="M7602" s="9" t="s">
        <v>26</v>
      </c>
    </row>
    <row r="7603" ht="15.75" customHeight="1">
      <c r="A7603" s="7"/>
      <c r="B7603" s="7" t="str">
        <f>IFERROR(__xludf.DUMMYFUNCTION("""COMPUTED_VALUE"""),"Bash/Shell/PowerShell;Go;Java;Python;Other(s):")</f>
        <v>Bash/Shell/PowerShell;Go;Java;Python;Other(s):</v>
      </c>
      <c r="M7603" s="9" t="s">
        <v>24</v>
      </c>
    </row>
    <row r="7604" ht="15.75" customHeight="1">
      <c r="A7604" s="7"/>
      <c r="B7604" s="7" t="str">
        <f>IFERROR(__xludf.DUMMYFUNCTION("""COMPUTED_VALUE"""),"Bash/Shell/PowerShell;C++;C#;Dart;F#;Go;HTML/CSS;Java;JavaScript;Rust;SQL;TypeScript;VBA;WebAssembly")</f>
        <v>Bash/Shell/PowerShell;C++;C#;Dart;F#;Go;HTML/CSS;Java;JavaScript;Rust;SQL;TypeScript;VBA;WebAssembly</v>
      </c>
      <c r="M7604" s="9" t="s">
        <v>21</v>
      </c>
    </row>
    <row r="7605" ht="15.75" customHeight="1">
      <c r="A7605" s="7"/>
      <c r="B7605" s="7" t="str">
        <f>IFERROR(__xludf.DUMMYFUNCTION("""COMPUTED_VALUE"""),"HTML/CSS;Java;JavaScript;SQL")</f>
        <v>HTML/CSS;Java;JavaScript;SQL</v>
      </c>
      <c r="M7605" s="9" t="s">
        <v>37</v>
      </c>
    </row>
    <row r="7606" ht="15.75" customHeight="1">
      <c r="A7606" s="7"/>
      <c r="B7606" s="7" t="str">
        <f>IFERROR(__xludf.DUMMYFUNCTION("""COMPUTED_VALUE"""),"Bash/Shell/PowerShell;HTML/CSS;Java;Python;Ruby;SQL")</f>
        <v>Bash/Shell/PowerShell;HTML/CSS;Java;Python;Ruby;SQL</v>
      </c>
      <c r="M7606" s="9" t="s">
        <v>27</v>
      </c>
    </row>
    <row r="7607" ht="15.75" customHeight="1">
      <c r="A7607" s="7"/>
      <c r="B7607" s="7" t="str">
        <f>IFERROR(__xludf.DUMMYFUNCTION("""COMPUTED_VALUE"""),"Assembly;Bash/Shell/PowerShell;C;C++;C#;HTML/CSS;Java;JavaScript;Python")</f>
        <v>Assembly;Bash/Shell/PowerShell;C;C++;C#;HTML/CSS;Java;JavaScript;Python</v>
      </c>
      <c r="M7607" s="9" t="s">
        <v>33</v>
      </c>
    </row>
    <row r="7608" ht="15.75" customHeight="1">
      <c r="A7608" s="7"/>
      <c r="B7608" s="7" t="str">
        <f>IFERROR(__xludf.DUMMYFUNCTION("""COMPUTED_VALUE"""),"Bash/Shell/PowerShell;C++;C#;HTML/CSS;Java;JavaScript;Python;TypeScript")</f>
        <v>Bash/Shell/PowerShell;C++;C#;HTML/CSS;Java;JavaScript;Python;TypeScript</v>
      </c>
      <c r="M7608" s="9" t="s">
        <v>30</v>
      </c>
    </row>
    <row r="7609" ht="15.75" customHeight="1">
      <c r="A7609" s="7"/>
      <c r="B7609" s="7" t="str">
        <f>IFERROR(__xludf.DUMMYFUNCTION("""COMPUTED_VALUE"""),"C#")</f>
        <v>C#</v>
      </c>
      <c r="M7609" s="9" t="s">
        <v>26</v>
      </c>
    </row>
    <row r="7610" ht="15.75" customHeight="1">
      <c r="A7610" s="7"/>
      <c r="B7610" s="7" t="str">
        <f>IFERROR(__xludf.DUMMYFUNCTION("""COMPUTED_VALUE"""),"Assembly;Bash/Shell/PowerShell;C;C++;HTML/CSS;JavaScript;Python")</f>
        <v>Assembly;Bash/Shell/PowerShell;C;C++;HTML/CSS;JavaScript;Python</v>
      </c>
      <c r="M7610" s="9" t="s">
        <v>37</v>
      </c>
    </row>
    <row r="7611" ht="15.75" customHeight="1">
      <c r="A7611" s="7"/>
      <c r="B7611" s="7" t="str">
        <f>IFERROR(__xludf.DUMMYFUNCTION("""COMPUTED_VALUE"""),"HTML/CSS;Java;JavaScript;Python;Ruby;SQL")</f>
        <v>HTML/CSS;Java;JavaScript;Python;Ruby;SQL</v>
      </c>
      <c r="M7611" s="9" t="s">
        <v>27</v>
      </c>
    </row>
    <row r="7612" ht="15.75" customHeight="1">
      <c r="A7612" s="7"/>
      <c r="B7612" s="7" t="str">
        <f>IFERROR(__xludf.DUMMYFUNCTION("""COMPUTED_VALUE"""),"Bash/Shell/PowerShell;C#;HTML/CSS;Java;JavaScript;Python;SQL;TypeScript")</f>
        <v>Bash/Shell/PowerShell;C#;HTML/CSS;Java;JavaScript;Python;SQL;TypeScript</v>
      </c>
      <c r="M7612" s="9" t="s">
        <v>38</v>
      </c>
    </row>
    <row r="7613" ht="15.75" customHeight="1">
      <c r="A7613" s="7"/>
      <c r="B7613" s="7" t="str">
        <f>IFERROR(__xludf.DUMMYFUNCTION("""COMPUTED_VALUE"""),"HTML/CSS;JavaScript")</f>
        <v>HTML/CSS;JavaScript</v>
      </c>
      <c r="M7613" s="9" t="s">
        <v>25</v>
      </c>
    </row>
    <row r="7614" ht="15.75" customHeight="1">
      <c r="A7614" s="7"/>
      <c r="B7614" s="7" t="str">
        <f>IFERROR(__xludf.DUMMYFUNCTION("""COMPUTED_VALUE"""),"HTML/CSS;JavaScript;Python;SQL")</f>
        <v>HTML/CSS;JavaScript;Python;SQL</v>
      </c>
      <c r="M7614" s="9" t="s">
        <v>23</v>
      </c>
    </row>
    <row r="7615" ht="15.75" customHeight="1">
      <c r="A7615" s="7"/>
      <c r="B7615" s="7" t="str">
        <f>IFERROR(__xludf.DUMMYFUNCTION("""COMPUTED_VALUE"""),"C;C++;C#;HTML/CSS;JavaScript;PHP;R;SQL")</f>
        <v>C;C++;C#;HTML/CSS;JavaScript;PHP;R;SQL</v>
      </c>
      <c r="M7615" s="9" t="s">
        <v>26</v>
      </c>
    </row>
    <row r="7616" ht="15.75" customHeight="1">
      <c r="A7616" s="7"/>
      <c r="B7616" s="7" t="str">
        <f>IFERROR(__xludf.DUMMYFUNCTION("""COMPUTED_VALUE"""),"Go")</f>
        <v>Go</v>
      </c>
      <c r="M7616" s="9" t="s">
        <v>35</v>
      </c>
    </row>
    <row r="7617" ht="15.75" customHeight="1">
      <c r="A7617" s="7"/>
      <c r="B7617" s="7" t="str">
        <f>IFERROR(__xludf.DUMMYFUNCTION("""COMPUTED_VALUE"""),"Bash/Shell/PowerShell;C++")</f>
        <v>Bash/Shell/PowerShell;C++</v>
      </c>
      <c r="M7617" s="9" t="s">
        <v>30</v>
      </c>
    </row>
    <row r="7618" ht="15.75" customHeight="1">
      <c r="A7618" s="7"/>
      <c r="B7618" s="7" t="str">
        <f>IFERROR(__xludf.DUMMYFUNCTION("""COMPUTED_VALUE"""),"Bash/Shell/PowerShell;C;C++;C#;JavaScript;SQL")</f>
        <v>Bash/Shell/PowerShell;C;C++;C#;JavaScript;SQL</v>
      </c>
      <c r="M7618" s="9" t="s">
        <v>25</v>
      </c>
    </row>
    <row r="7619" ht="15.75" customHeight="1">
      <c r="A7619" s="7"/>
      <c r="B7619" s="7" t="str">
        <f>IFERROR(__xludf.DUMMYFUNCTION("""COMPUTED_VALUE"""),"HTML/CSS;PHP;Python;SQL")</f>
        <v>HTML/CSS;PHP;Python;SQL</v>
      </c>
      <c r="M7619" s="9" t="s">
        <v>24</v>
      </c>
    </row>
    <row r="7620" ht="15.75" customHeight="1">
      <c r="A7620" s="7"/>
      <c r="B7620" s="7" t="str">
        <f>IFERROR(__xludf.DUMMYFUNCTION("""COMPUTED_VALUE"""),"C#;F#;Go;HTML/CSS;JavaScript;Python;Rust;SQL;TypeScript;WebAssembly;Other(s):")</f>
        <v>C#;F#;Go;HTML/CSS;JavaScript;Python;Rust;SQL;TypeScript;WebAssembly;Other(s):</v>
      </c>
      <c r="M7620" s="9" t="s">
        <v>20</v>
      </c>
    </row>
    <row r="7621" ht="15.75" customHeight="1">
      <c r="A7621" s="7"/>
      <c r="B7621" s="7" t="str">
        <f>IFERROR(__xludf.DUMMYFUNCTION("""COMPUTED_VALUE"""),"C;C++;HTML/CSS;Python;VBA")</f>
        <v>C;C++;HTML/CSS;Python;VBA</v>
      </c>
      <c r="M7621" s="9" t="s">
        <v>21</v>
      </c>
    </row>
    <row r="7622" ht="15.75" customHeight="1">
      <c r="A7622" s="7"/>
      <c r="B7622" s="7" t="str">
        <f>IFERROR(__xludf.DUMMYFUNCTION("""COMPUTED_VALUE"""),"C;C++;C#;HTML/CSS;Java;JavaScript;PHP;Python;SQL")</f>
        <v>C;C++;C#;HTML/CSS;Java;JavaScript;PHP;Python;SQL</v>
      </c>
      <c r="M7622" s="9" t="s">
        <v>22</v>
      </c>
    </row>
    <row r="7623" ht="15.75" customHeight="1">
      <c r="A7623" s="7"/>
      <c r="B7623" s="7" t="str">
        <f>IFERROR(__xludf.DUMMYFUNCTION("""COMPUTED_VALUE"""),"Bash/Shell/PowerShell;C#;HTML/CSS;JavaScript;PHP")</f>
        <v>Bash/Shell/PowerShell;C#;HTML/CSS;JavaScript;PHP</v>
      </c>
      <c r="M7623" s="9" t="s">
        <v>27</v>
      </c>
    </row>
    <row r="7624" ht="15.75" customHeight="1">
      <c r="A7624" s="7"/>
      <c r="B7624" s="7" t="str">
        <f>IFERROR(__xludf.DUMMYFUNCTION("""COMPUTED_VALUE"""),"C")</f>
        <v>C</v>
      </c>
      <c r="M7624" s="9" t="s">
        <v>24</v>
      </c>
    </row>
    <row r="7625" ht="15.75" customHeight="1">
      <c r="A7625" s="7"/>
      <c r="B7625" s="7" t="str">
        <f>IFERROR(__xludf.DUMMYFUNCTION("""COMPUTED_VALUE"""),"Bash/Shell/PowerShell;HTML/CSS;JavaScript;PHP;SQL")</f>
        <v>Bash/Shell/PowerShell;HTML/CSS;JavaScript;PHP;SQL</v>
      </c>
      <c r="M7625" s="9" t="s">
        <v>21</v>
      </c>
    </row>
    <row r="7626" ht="15.75" customHeight="1">
      <c r="A7626" s="7"/>
      <c r="B7626" s="7" t="str">
        <f>IFERROR(__xludf.DUMMYFUNCTION("""COMPUTED_VALUE"""),"Bash/Shell/PowerShell;HTML/CSS;Java;JavaScript;Python;TypeScript")</f>
        <v>Bash/Shell/PowerShell;HTML/CSS;Java;JavaScript;Python;TypeScript</v>
      </c>
      <c r="M7626" s="9" t="s">
        <v>37</v>
      </c>
    </row>
    <row r="7627" ht="15.75" customHeight="1">
      <c r="A7627" s="7"/>
      <c r="B7627" s="7" t="str">
        <f>IFERROR(__xludf.DUMMYFUNCTION("""COMPUTED_VALUE"""),"C++;C#;F#;HTML/CSS;JavaScript;SQL")</f>
        <v>C++;C#;F#;HTML/CSS;JavaScript;SQL</v>
      </c>
      <c r="M7627" s="9" t="s">
        <v>27</v>
      </c>
    </row>
    <row r="7628" ht="15.75" customHeight="1">
      <c r="A7628" s="7"/>
      <c r="B7628" s="7" t="str">
        <f>IFERROR(__xludf.DUMMYFUNCTION("""COMPUTED_VALUE"""),"HTML/CSS;JavaScript;Kotlin")</f>
        <v>HTML/CSS;JavaScript;Kotlin</v>
      </c>
      <c r="M7628" s="9" t="s">
        <v>38</v>
      </c>
    </row>
    <row r="7629" ht="15.75" customHeight="1">
      <c r="A7629" s="7"/>
      <c r="B7629" s="7" t="str">
        <f>IFERROR(__xludf.DUMMYFUNCTION("""COMPUTED_VALUE"""),"JavaScript")</f>
        <v>JavaScript</v>
      </c>
      <c r="M7629" s="9" t="s">
        <v>30</v>
      </c>
    </row>
    <row r="7630" ht="15.75" customHeight="1">
      <c r="A7630" s="7"/>
      <c r="B7630" s="7" t="str">
        <f>IFERROR(__xludf.DUMMYFUNCTION("""COMPUTED_VALUE"""),"Java;Python;SQL")</f>
        <v>Java;Python;SQL</v>
      </c>
      <c r="M7630" s="9" t="s">
        <v>25</v>
      </c>
    </row>
    <row r="7631" ht="15.75" customHeight="1">
      <c r="A7631" s="7"/>
      <c r="B7631" s="7" t="str">
        <f>IFERROR(__xludf.DUMMYFUNCTION("""COMPUTED_VALUE"""),"Bash/Shell/PowerShell;HTML/CSS;JavaScript;PHP;SQL")</f>
        <v>Bash/Shell/PowerShell;HTML/CSS;JavaScript;PHP;SQL</v>
      </c>
      <c r="M7631" s="9" t="s">
        <v>23</v>
      </c>
    </row>
    <row r="7632" ht="15.75" customHeight="1">
      <c r="A7632" s="7"/>
      <c r="B7632" s="7" t="str">
        <f>IFERROR(__xludf.DUMMYFUNCTION("""COMPUTED_VALUE"""),"HTML/CSS;JavaScript;PHP;SQL")</f>
        <v>HTML/CSS;JavaScript;PHP;SQL</v>
      </c>
      <c r="M7632" s="9" t="s">
        <v>22</v>
      </c>
    </row>
    <row r="7633" ht="15.75" customHeight="1">
      <c r="A7633" s="7"/>
      <c r="B7633" s="7" t="str">
        <f>IFERROR(__xludf.DUMMYFUNCTION("""COMPUTED_VALUE"""),"HTML/CSS;Java;JavaScript;PHP")</f>
        <v>HTML/CSS;Java;JavaScript;PHP</v>
      </c>
      <c r="M7633" s="9" t="s">
        <v>30</v>
      </c>
    </row>
    <row r="7634" ht="15.75" customHeight="1">
      <c r="A7634" s="7"/>
      <c r="B7634" s="7" t="str">
        <f>IFERROR(__xludf.DUMMYFUNCTION("""COMPUTED_VALUE"""),"Bash/Shell/PowerShell;C++;Java;Python")</f>
        <v>Bash/Shell/PowerShell;C++;Java;Python</v>
      </c>
      <c r="M7634" s="9" t="s">
        <v>26</v>
      </c>
    </row>
    <row r="7635" ht="15.75" customHeight="1">
      <c r="A7635" s="7"/>
      <c r="B7635" s="7" t="str">
        <f>IFERROR(__xludf.DUMMYFUNCTION("""COMPUTED_VALUE"""),"C#;HTML/CSS;JavaScript;PHP")</f>
        <v>C#;HTML/CSS;JavaScript;PHP</v>
      </c>
      <c r="M7635" s="9" t="s">
        <v>24</v>
      </c>
    </row>
    <row r="7636" ht="15.75" customHeight="1">
      <c r="A7636" s="7"/>
      <c r="B7636" s="7" t="str">
        <f>IFERROR(__xludf.DUMMYFUNCTION("""COMPUTED_VALUE"""),"Bash/Shell/PowerShell;Python;R;SQL")</f>
        <v>Bash/Shell/PowerShell;Python;R;SQL</v>
      </c>
      <c r="M7636" s="9" t="s">
        <v>21</v>
      </c>
    </row>
    <row r="7637" ht="15.75" customHeight="1">
      <c r="A7637" s="7"/>
      <c r="B7637" s="7" t="str">
        <f>IFERROR(__xludf.DUMMYFUNCTION("""COMPUTED_VALUE"""),"Assembly;Bash/Shell/PowerShell;C;C++;HTML/CSS;Java;JavaScript;PHP;R;Scala;SQL")</f>
        <v>Assembly;Bash/Shell/PowerShell;C;C++;HTML/CSS;Java;JavaScript;PHP;R;Scala;SQL</v>
      </c>
      <c r="M7637" s="9" t="s">
        <v>27</v>
      </c>
    </row>
    <row r="7638" ht="15.75" customHeight="1">
      <c r="A7638" s="7"/>
      <c r="B7638" s="7" t="str">
        <f>IFERROR(__xludf.DUMMYFUNCTION("""COMPUTED_VALUE"""),"Java;JavaScript;PHP;Python;SQL")</f>
        <v>Java;JavaScript;PHP;Python;SQL</v>
      </c>
      <c r="M7638" s="9" t="s">
        <v>33</v>
      </c>
    </row>
    <row r="7639" ht="15.75" customHeight="1">
      <c r="A7639" s="7"/>
      <c r="B7639" s="7" t="str">
        <f>IFERROR(__xludf.DUMMYFUNCTION("""COMPUTED_VALUE"""),"Bash/Shell/PowerShell;C;HTML/CSS;Java;Python;SQL")</f>
        <v>Bash/Shell/PowerShell;C;HTML/CSS;Java;Python;SQL</v>
      </c>
      <c r="M7639" s="9" t="s">
        <v>26</v>
      </c>
    </row>
    <row r="7640" ht="15.75" customHeight="1">
      <c r="A7640" s="7"/>
      <c r="B7640" s="7" t="str">
        <f>IFERROR(__xludf.DUMMYFUNCTION("""COMPUTED_VALUE"""),"HTML/CSS;JavaScript;PHP;TypeScript")</f>
        <v>HTML/CSS;JavaScript;PHP;TypeScript</v>
      </c>
      <c r="M7640" s="9" t="s">
        <v>24</v>
      </c>
    </row>
    <row r="7641" ht="15.75" customHeight="1">
      <c r="A7641" s="7"/>
      <c r="B7641" s="7" t="str">
        <f>IFERROR(__xludf.DUMMYFUNCTION("""COMPUTED_VALUE"""),"HTML/CSS;Java;JavaScript;Python;Ruby;SQL;Other(s):")</f>
        <v>HTML/CSS;Java;JavaScript;Python;Ruby;SQL;Other(s):</v>
      </c>
      <c r="M7641" s="9" t="s">
        <v>20</v>
      </c>
    </row>
    <row r="7642" ht="15.75" customHeight="1">
      <c r="A7642" s="7"/>
      <c r="B7642" s="7" t="str">
        <f>IFERROR(__xludf.DUMMYFUNCTION("""COMPUTED_VALUE"""),"Bash/Shell/PowerShell;HTML/CSS;Java;JavaScript;Scala;SQL;Other(s):")</f>
        <v>Bash/Shell/PowerShell;HTML/CSS;Java;JavaScript;Scala;SQL;Other(s):</v>
      </c>
      <c r="M7642" s="9" t="s">
        <v>21</v>
      </c>
    </row>
    <row r="7643" ht="15.75" customHeight="1">
      <c r="A7643" s="7"/>
      <c r="B7643" s="7" t="str">
        <f>IFERROR(__xludf.DUMMYFUNCTION("""COMPUTED_VALUE"""),"JavaScript;Objective-C;PHP;Python;SQL;Swift;TypeScript")</f>
        <v>JavaScript;Objective-C;PHP;Python;SQL;Swift;TypeScript</v>
      </c>
      <c r="M7643" s="9" t="s">
        <v>41</v>
      </c>
    </row>
    <row r="7644" ht="15.75" customHeight="1">
      <c r="A7644" s="7"/>
      <c r="B7644" s="7" t="str">
        <f>IFERROR(__xludf.DUMMYFUNCTION("""COMPUTED_VALUE"""),"Bash/Shell/PowerShell;Go;Java;Python;Rust")</f>
        <v>Bash/Shell/PowerShell;Go;Java;Python;Rust</v>
      </c>
      <c r="M7644" s="9" t="s">
        <v>22</v>
      </c>
    </row>
    <row r="7645" ht="15.75" customHeight="1">
      <c r="A7645" s="7"/>
      <c r="B7645" s="7" t="str">
        <f>IFERROR(__xludf.DUMMYFUNCTION("""COMPUTED_VALUE"""),"Bash/Shell/PowerShell;Go;HTML/CSS;JavaScript;Ruby;SQL")</f>
        <v>Bash/Shell/PowerShell;Go;HTML/CSS;JavaScript;Ruby;SQL</v>
      </c>
      <c r="M7645" s="9" t="s">
        <v>27</v>
      </c>
    </row>
    <row r="7646" ht="15.75" customHeight="1">
      <c r="A7646" s="7"/>
      <c r="B7646" s="7" t="str">
        <f>IFERROR(__xludf.DUMMYFUNCTION("""COMPUTED_VALUE"""),"C++;HTML/CSS;Java;JavaScript;TypeScript")</f>
        <v>C++;HTML/CSS;Java;JavaScript;TypeScript</v>
      </c>
      <c r="M7646" s="9" t="s">
        <v>35</v>
      </c>
    </row>
    <row r="7647" ht="15.75" customHeight="1">
      <c r="A7647" s="7"/>
      <c r="B7647" s="7" t="str">
        <f>IFERROR(__xludf.DUMMYFUNCTION("""COMPUTED_VALUE"""),"Java;Kotlin;Python")</f>
        <v>Java;Kotlin;Python</v>
      </c>
      <c r="M7647" s="9" t="s">
        <v>47</v>
      </c>
    </row>
    <row r="7648" ht="15.75" customHeight="1">
      <c r="A7648" s="7"/>
      <c r="B7648" s="7" t="str">
        <f>IFERROR(__xludf.DUMMYFUNCTION("""COMPUTED_VALUE"""),"Clojure;HTML/CSS")</f>
        <v>Clojure;HTML/CSS</v>
      </c>
      <c r="M7648" s="9" t="s">
        <v>24</v>
      </c>
    </row>
    <row r="7649" ht="15.75" customHeight="1">
      <c r="A7649" s="7"/>
      <c r="B7649" s="7" t="str">
        <f>IFERROR(__xludf.DUMMYFUNCTION("""COMPUTED_VALUE"""),"Assembly;Bash/Shell/PowerShell;C;C++;Java;Objective-C;SQL;Swift")</f>
        <v>Assembly;Bash/Shell/PowerShell;C;C++;Java;Objective-C;SQL;Swift</v>
      </c>
      <c r="M7649" s="9" t="s">
        <v>21</v>
      </c>
    </row>
    <row r="7650" ht="15.75" customHeight="1">
      <c r="A7650" s="7"/>
      <c r="B7650" s="7" t="str">
        <f>IFERROR(__xludf.DUMMYFUNCTION("""COMPUTED_VALUE"""),"HTML/CSS;JavaScript;PHP")</f>
        <v>HTML/CSS;JavaScript;PHP</v>
      </c>
      <c r="M7650" s="9" t="s">
        <v>22</v>
      </c>
    </row>
    <row r="7651" ht="15.75" customHeight="1">
      <c r="A7651" s="7"/>
      <c r="B7651" s="7" t="str">
        <f>IFERROR(__xludf.DUMMYFUNCTION("""COMPUTED_VALUE"""),"C++;C#;HTML/CSS;Java;JavaScript;Python;Swift")</f>
        <v>C++;C#;HTML/CSS;Java;JavaScript;Python;Swift</v>
      </c>
      <c r="M7651" s="9" t="s">
        <v>33</v>
      </c>
    </row>
    <row r="7652" ht="15.75" customHeight="1">
      <c r="A7652" s="7"/>
      <c r="B7652" s="7" t="str">
        <f>IFERROR(__xludf.DUMMYFUNCTION("""COMPUTED_VALUE"""),"Bash/Shell/PowerShell;C;C++;C#;Go;HTML/CSS;JavaScript;Python;Ruby;Scala;SQL;TypeScript")</f>
        <v>Bash/Shell/PowerShell;C;C++;C#;Go;HTML/CSS;JavaScript;Python;Ruby;Scala;SQL;TypeScript</v>
      </c>
      <c r="M7652" s="9" t="s">
        <v>30</v>
      </c>
    </row>
    <row r="7653" ht="15.75" customHeight="1">
      <c r="A7653" s="7"/>
      <c r="B7653" s="7" t="str">
        <f>IFERROR(__xludf.DUMMYFUNCTION("""COMPUTED_VALUE"""),"HTML/CSS;JavaScript;PHP;VBA")</f>
        <v>HTML/CSS;JavaScript;PHP;VBA</v>
      </c>
      <c r="M7653" s="9" t="s">
        <v>25</v>
      </c>
    </row>
    <row r="7654" ht="15.75" customHeight="1">
      <c r="A7654" s="7"/>
      <c r="B7654" s="7" t="str">
        <f>IFERROR(__xludf.DUMMYFUNCTION("""COMPUTED_VALUE"""),"Bash/Shell/PowerShell;C;C++;Dart;Go;HTML/CSS;Java;JavaScript;Kotlin;Objective-C;Python;SQL;Swift")</f>
        <v>Bash/Shell/PowerShell;C;C++;Dart;Go;HTML/CSS;Java;JavaScript;Kotlin;Objective-C;Python;SQL;Swift</v>
      </c>
      <c r="M7654" s="9" t="s">
        <v>23</v>
      </c>
    </row>
    <row r="7655" ht="15.75" customHeight="1">
      <c r="A7655" s="7"/>
      <c r="B7655" s="7" t="str">
        <f>IFERROR(__xludf.DUMMYFUNCTION("""COMPUTED_VALUE"""),"C#;HTML/CSS;JavaScript;Python;R;SQL")</f>
        <v>C#;HTML/CSS;JavaScript;Python;R;SQL</v>
      </c>
      <c r="M7655" s="9" t="s">
        <v>20</v>
      </c>
    </row>
    <row r="7656" ht="15.75" customHeight="1">
      <c r="A7656" s="7"/>
      <c r="B7656" s="7" t="str">
        <f>IFERROR(__xludf.DUMMYFUNCTION("""COMPUTED_VALUE"""),"Bash/Shell/PowerShell;HTML/CSS;JavaScript;PHP;Python;SQL;TypeScript")</f>
        <v>Bash/Shell/PowerShell;HTML/CSS;JavaScript;PHP;Python;SQL;TypeScript</v>
      </c>
      <c r="M7656" s="9" t="s">
        <v>20</v>
      </c>
    </row>
    <row r="7657" ht="15.75" customHeight="1">
      <c r="A7657" s="7"/>
      <c r="B7657" s="7" t="str">
        <f>IFERROR(__xludf.DUMMYFUNCTION("""COMPUTED_VALUE"""),"HTML/CSS;JavaScript;PHP;SQL")</f>
        <v>HTML/CSS;JavaScript;PHP;SQL</v>
      </c>
      <c r="M7657" s="9" t="s">
        <v>27</v>
      </c>
    </row>
    <row r="7658" ht="15.75" customHeight="1">
      <c r="A7658" s="7"/>
      <c r="B7658" s="7" t="str">
        <f>IFERROR(__xludf.DUMMYFUNCTION("""COMPUTED_VALUE"""),"Bash/Shell/PowerShell;Java;JavaScript;PHP;Python;R;SQL;TypeScript")</f>
        <v>Bash/Shell/PowerShell;Java;JavaScript;PHP;Python;R;SQL;TypeScript</v>
      </c>
      <c r="M7658" s="9" t="s">
        <v>24</v>
      </c>
    </row>
    <row r="7659" ht="15.75" customHeight="1">
      <c r="A7659" s="7"/>
      <c r="B7659" s="7" t="str">
        <f>IFERROR(__xludf.DUMMYFUNCTION("""COMPUTED_VALUE"""),"Java;Python")</f>
        <v>Java;Python</v>
      </c>
      <c r="M7659" s="9" t="s">
        <v>21</v>
      </c>
    </row>
    <row r="7660" ht="15.75" customHeight="1">
      <c r="A7660" s="7"/>
      <c r="B7660" s="7" t="str">
        <f>IFERROR(__xludf.DUMMYFUNCTION("""COMPUTED_VALUE"""),"C#")</f>
        <v>C#</v>
      </c>
      <c r="M7660" s="9" t="s">
        <v>37</v>
      </c>
    </row>
    <row r="7661" ht="15.75" customHeight="1">
      <c r="A7661" s="7"/>
      <c r="B7661" s="7" t="str">
        <f>IFERROR(__xludf.DUMMYFUNCTION("""COMPUTED_VALUE"""),"Bash/Shell/PowerShell;HTML/CSS;JavaScript;Python;SQL")</f>
        <v>Bash/Shell/PowerShell;HTML/CSS;JavaScript;Python;SQL</v>
      </c>
      <c r="M7661" s="9" t="s">
        <v>22</v>
      </c>
    </row>
    <row r="7662" ht="15.75" customHeight="1">
      <c r="A7662" s="7"/>
      <c r="B7662" s="7" t="str">
        <f>IFERROR(__xludf.DUMMYFUNCTION("""COMPUTED_VALUE"""),"Bash/Shell/PowerShell;HTML/CSS;Java;JavaScript;Kotlin")</f>
        <v>Bash/Shell/PowerShell;HTML/CSS;Java;JavaScript;Kotlin</v>
      </c>
      <c r="M7662" s="9" t="s">
        <v>30</v>
      </c>
    </row>
    <row r="7663" ht="15.75" customHeight="1">
      <c r="A7663" s="7"/>
      <c r="B7663" s="7" t="str">
        <f>IFERROR(__xludf.DUMMYFUNCTION("""COMPUTED_VALUE"""),"Bash/Shell/PowerShell;HTML/CSS;JavaScript;Python;SQL;TypeScript")</f>
        <v>Bash/Shell/PowerShell;HTML/CSS;JavaScript;Python;SQL;TypeScript</v>
      </c>
      <c r="M7663" s="9" t="s">
        <v>26</v>
      </c>
    </row>
    <row r="7664" ht="15.75" customHeight="1">
      <c r="A7664" s="7"/>
      <c r="B7664" s="7" t="str">
        <f>IFERROR(__xludf.DUMMYFUNCTION("""COMPUTED_VALUE"""),"HTML/CSS;Java;JavaScript;Python;SQL")</f>
        <v>HTML/CSS;Java;JavaScript;Python;SQL</v>
      </c>
      <c r="M7664" s="9" t="s">
        <v>24</v>
      </c>
    </row>
    <row r="7665" ht="15.75" customHeight="1">
      <c r="A7665" s="7"/>
      <c r="B7665" s="7" t="str">
        <f>IFERROR(__xludf.DUMMYFUNCTION("""COMPUTED_VALUE"""),"Bash/Shell/PowerShell;Go;HTML/CSS;JavaScript;Python;SQL")</f>
        <v>Bash/Shell/PowerShell;Go;HTML/CSS;JavaScript;Python;SQL</v>
      </c>
      <c r="M7665" s="9" t="s">
        <v>20</v>
      </c>
    </row>
    <row r="7666" ht="15.75" customHeight="1">
      <c r="A7666" s="7"/>
      <c r="B7666" s="7" t="str">
        <f>IFERROR(__xludf.DUMMYFUNCTION("""COMPUTED_VALUE"""),"C;C++;C#;HTML/CSS;Java;JavaScript;SQL")</f>
        <v>C;C++;C#;HTML/CSS;Java;JavaScript;SQL</v>
      </c>
      <c r="M7666" s="9" t="s">
        <v>21</v>
      </c>
    </row>
    <row r="7667" ht="15.75" customHeight="1">
      <c r="A7667" s="7"/>
      <c r="B7667" s="7" t="str">
        <f>IFERROR(__xludf.DUMMYFUNCTION("""COMPUTED_VALUE"""),"Bash/Shell/PowerShell;HTML/CSS;JavaScript;Ruby")</f>
        <v>Bash/Shell/PowerShell;HTML/CSS;JavaScript;Ruby</v>
      </c>
      <c r="M7667" s="9" t="s">
        <v>27</v>
      </c>
    </row>
    <row r="7668" ht="15.75" customHeight="1">
      <c r="A7668" s="7"/>
      <c r="B7668" s="7" t="str">
        <f>IFERROR(__xludf.DUMMYFUNCTION("""COMPUTED_VALUE"""),"Assembly;C;C++;HTML/CSS;Python;Rust;SQL")</f>
        <v>Assembly;C;C++;HTML/CSS;Python;Rust;SQL</v>
      </c>
      <c r="M7668" s="9" t="s">
        <v>38</v>
      </c>
    </row>
    <row r="7669" ht="15.75" customHeight="1">
      <c r="A7669" s="7"/>
      <c r="B7669" s="7" t="str">
        <f>IFERROR(__xludf.DUMMYFUNCTION("""COMPUTED_VALUE"""),"Bash/Shell/PowerShell;C;C++;HTML/CSS;Java;JavaScript;Objective-C;SQL;Swift")</f>
        <v>Bash/Shell/PowerShell;C;C++;HTML/CSS;Java;JavaScript;Objective-C;SQL;Swift</v>
      </c>
      <c r="M7669" s="9" t="s">
        <v>30</v>
      </c>
    </row>
    <row r="7670" ht="15.75" customHeight="1">
      <c r="A7670" s="7"/>
      <c r="B7670" s="7" t="str">
        <f>IFERROR(__xludf.DUMMYFUNCTION("""COMPUTED_VALUE"""),"SQL")</f>
        <v>SQL</v>
      </c>
      <c r="M7670" s="9" t="s">
        <v>25</v>
      </c>
    </row>
    <row r="7671" ht="15.75" customHeight="1">
      <c r="A7671" s="7"/>
      <c r="B7671" s="7" t="str">
        <f>IFERROR(__xludf.DUMMYFUNCTION("""COMPUTED_VALUE"""),"C#;HTML/CSS;JavaScript;TypeScript")</f>
        <v>C#;HTML/CSS;JavaScript;TypeScript</v>
      </c>
      <c r="M7671" s="9" t="s">
        <v>23</v>
      </c>
    </row>
    <row r="7672" ht="15.75" customHeight="1">
      <c r="A7672" s="7"/>
      <c r="B7672" s="7" t="str">
        <f>IFERROR(__xludf.DUMMYFUNCTION("""COMPUTED_VALUE"""),"C;HTML/CSS;Java;JavaScript;Python")</f>
        <v>C;HTML/CSS;Java;JavaScript;Python</v>
      </c>
      <c r="M7672" s="9" t="s">
        <v>36</v>
      </c>
    </row>
    <row r="7673" ht="15.75" customHeight="1">
      <c r="A7673" s="7"/>
      <c r="B7673" s="7" t="str">
        <f>IFERROR(__xludf.DUMMYFUNCTION("""COMPUTED_VALUE"""),"HTML/CSS;JavaScript")</f>
        <v>HTML/CSS;JavaScript</v>
      </c>
      <c r="M7673" s="9" t="s">
        <v>24</v>
      </c>
    </row>
    <row r="7674" ht="15.75" customHeight="1">
      <c r="A7674" s="7"/>
      <c r="B7674" s="7" t="str">
        <f>IFERROR(__xludf.DUMMYFUNCTION("""COMPUTED_VALUE"""),"HTML/CSS;JavaScript;PHP;Other(s):")</f>
        <v>HTML/CSS;JavaScript;PHP;Other(s):</v>
      </c>
      <c r="M7674" s="9" t="s">
        <v>20</v>
      </c>
    </row>
    <row r="7675" ht="15.75" customHeight="1">
      <c r="A7675" s="7"/>
      <c r="B7675" s="7" t="str">
        <f>IFERROR(__xludf.DUMMYFUNCTION("""COMPUTED_VALUE"""),"Bash/Shell/PowerShell;Java;JavaScript;Other(s):")</f>
        <v>Bash/Shell/PowerShell;Java;JavaScript;Other(s):</v>
      </c>
      <c r="M7675" s="9" t="s">
        <v>21</v>
      </c>
    </row>
    <row r="7676" ht="15.75" customHeight="1">
      <c r="A7676" s="7"/>
      <c r="B7676" s="7" t="str">
        <f>IFERROR(__xludf.DUMMYFUNCTION("""COMPUTED_VALUE"""),"C#;HTML/CSS;Swift")</f>
        <v>C#;HTML/CSS;Swift</v>
      </c>
      <c r="M7676" s="9" t="s">
        <v>37</v>
      </c>
    </row>
    <row r="7677" ht="15.75" customHeight="1">
      <c r="A7677" s="7"/>
      <c r="B7677" s="7" t="str">
        <f>IFERROR(__xludf.DUMMYFUNCTION("""COMPUTED_VALUE"""),"Bash/Shell/PowerShell;HTML/CSS;JavaScript;Python;Ruby")</f>
        <v>Bash/Shell/PowerShell;HTML/CSS;JavaScript;Python;Ruby</v>
      </c>
      <c r="M7677" s="9" t="s">
        <v>22</v>
      </c>
    </row>
    <row r="7678" ht="15.75" customHeight="1">
      <c r="A7678" s="7"/>
      <c r="B7678" s="7" t="str">
        <f>IFERROR(__xludf.DUMMYFUNCTION("""COMPUTED_VALUE"""),"HTML/CSS")</f>
        <v>HTML/CSS</v>
      </c>
      <c r="M7678" s="9" t="s">
        <v>32</v>
      </c>
    </row>
    <row r="7679" ht="15.75" customHeight="1">
      <c r="A7679" s="7"/>
      <c r="B7679" s="7" t="str">
        <f>IFERROR(__xludf.DUMMYFUNCTION("""COMPUTED_VALUE"""),"Bash/Shell/PowerShell;C#;HTML/CSS;Java;JavaScript;Kotlin;PHP;SQL;Other(s):")</f>
        <v>Bash/Shell/PowerShell;C#;HTML/CSS;Java;JavaScript;Kotlin;PHP;SQL;Other(s):</v>
      </c>
      <c r="M7679" s="9" t="s">
        <v>27</v>
      </c>
    </row>
    <row r="7680" ht="15.75" customHeight="1">
      <c r="A7680" s="7"/>
      <c r="B7680" s="7" t="str">
        <f>IFERROR(__xludf.DUMMYFUNCTION("""COMPUTED_VALUE"""),"Bash/Shell/PowerShell;HTML/CSS;JavaScript;Ruby;SQL")</f>
        <v>Bash/Shell/PowerShell;HTML/CSS;JavaScript;Ruby;SQL</v>
      </c>
      <c r="M7680" s="9" t="s">
        <v>24</v>
      </c>
    </row>
    <row r="7681" ht="15.75" customHeight="1">
      <c r="A7681" s="7"/>
      <c r="B7681" s="7" t="str">
        <f>IFERROR(__xludf.DUMMYFUNCTION("""COMPUTED_VALUE"""),"C++;Python")</f>
        <v>C++;Python</v>
      </c>
      <c r="M7681" s="9" t="s">
        <v>21</v>
      </c>
    </row>
    <row r="7682" ht="15.75" customHeight="1">
      <c r="A7682" s="7"/>
      <c r="B7682" s="7" t="str">
        <f>IFERROR(__xludf.DUMMYFUNCTION("""COMPUTED_VALUE"""),"Bash/Shell/PowerShell;C#;Clojure;Java;Python;Scala;SQL")</f>
        <v>Bash/Shell/PowerShell;C#;Clojure;Java;Python;Scala;SQL</v>
      </c>
      <c r="M7682" s="9" t="s">
        <v>37</v>
      </c>
    </row>
    <row r="7683" ht="15.75" customHeight="1">
      <c r="A7683" s="7"/>
      <c r="B7683" s="7" t="str">
        <f>IFERROR(__xludf.DUMMYFUNCTION("""COMPUTED_VALUE"""),"Assembly;HTML/CSS;Java;PHP;SQL")</f>
        <v>Assembly;HTML/CSS;Java;PHP;SQL</v>
      </c>
      <c r="M7683" s="9" t="s">
        <v>31</v>
      </c>
    </row>
    <row r="7684" ht="15.75" customHeight="1">
      <c r="A7684" s="7"/>
      <c r="B7684" s="7" t="str">
        <f>IFERROR(__xludf.DUMMYFUNCTION("""COMPUTED_VALUE"""),"Bash/Shell/PowerShell;C#;Java;JavaScript;SQL")</f>
        <v>Bash/Shell/PowerShell;C#;Java;JavaScript;SQL</v>
      </c>
      <c r="M7684" s="9" t="s">
        <v>30</v>
      </c>
    </row>
    <row r="7685" ht="15.75" customHeight="1">
      <c r="A7685" s="7"/>
      <c r="B7685" s="7" t="str">
        <f>IFERROR(__xludf.DUMMYFUNCTION("""COMPUTED_VALUE"""),"Bash/Shell/PowerShell;C#;Go;HTML/CSS;Java;Kotlin;Python;R;SQL")</f>
        <v>Bash/Shell/PowerShell;C#;Go;HTML/CSS;Java;Kotlin;Python;R;SQL</v>
      </c>
      <c r="M7685" s="9" t="s">
        <v>23</v>
      </c>
    </row>
    <row r="7686" ht="15.75" customHeight="1">
      <c r="A7686" s="7"/>
      <c r="B7686" s="7" t="str">
        <f>IFERROR(__xludf.DUMMYFUNCTION("""COMPUTED_VALUE"""),"C;HTML/CSS;Java;JavaScript;SQL")</f>
        <v>C;HTML/CSS;Java;JavaScript;SQL</v>
      </c>
      <c r="M7686" s="9" t="s">
        <v>20</v>
      </c>
    </row>
    <row r="7687" ht="15.75" customHeight="1">
      <c r="A7687" s="7"/>
      <c r="B7687" s="7" t="str">
        <f>IFERROR(__xludf.DUMMYFUNCTION("""COMPUTED_VALUE"""),"HTML/CSS;Python;SQL")</f>
        <v>HTML/CSS;Python;SQL</v>
      </c>
      <c r="M7687" s="9" t="s">
        <v>22</v>
      </c>
    </row>
    <row r="7688" ht="15.75" customHeight="1">
      <c r="A7688" s="7"/>
      <c r="B7688" s="7" t="str">
        <f>IFERROR(__xludf.DUMMYFUNCTION("""COMPUTED_VALUE"""),"Bash/Shell/PowerShell;Go;HTML/CSS;JavaScript")</f>
        <v>Bash/Shell/PowerShell;Go;HTML/CSS;JavaScript</v>
      </c>
      <c r="M7688" s="9" t="s">
        <v>46</v>
      </c>
    </row>
    <row r="7689" ht="15.75" customHeight="1">
      <c r="A7689" s="7"/>
      <c r="B7689" s="7" t="str">
        <f>IFERROR(__xludf.DUMMYFUNCTION("""COMPUTED_VALUE"""),"Assembly;Bash/Shell/PowerShell;C;C++;HTML/CSS;JavaScript;PHP;Python;Ruby;SQL")</f>
        <v>Assembly;Bash/Shell/PowerShell;C;C++;HTML/CSS;JavaScript;PHP;Python;Ruby;SQL</v>
      </c>
      <c r="M7689" s="9" t="s">
        <v>27</v>
      </c>
    </row>
    <row r="7690" ht="15.75" customHeight="1">
      <c r="A7690" s="7"/>
      <c r="B7690" s="7" t="str">
        <f>IFERROR(__xludf.DUMMYFUNCTION("""COMPUTED_VALUE"""),"HTML/CSS;JavaScript;PHP;Python")</f>
        <v>HTML/CSS;JavaScript;PHP;Python</v>
      </c>
      <c r="M7690" s="9" t="s">
        <v>33</v>
      </c>
    </row>
    <row r="7691" ht="15.75" customHeight="1">
      <c r="A7691" s="7"/>
      <c r="B7691" s="7" t="str">
        <f>IFERROR(__xludf.DUMMYFUNCTION("""COMPUTED_VALUE"""),"Java;Kotlin;Swift")</f>
        <v>Java;Kotlin;Swift</v>
      </c>
      <c r="M7691" s="9" t="s">
        <v>23</v>
      </c>
    </row>
    <row r="7692" ht="15.75" customHeight="1">
      <c r="A7692" s="7"/>
      <c r="B7692" s="7" t="str">
        <f>IFERROR(__xludf.DUMMYFUNCTION("""COMPUTED_VALUE"""),"Kotlin")</f>
        <v>Kotlin</v>
      </c>
      <c r="M7692" s="9" t="s">
        <v>24</v>
      </c>
    </row>
    <row r="7693" ht="15.75" customHeight="1">
      <c r="A7693" s="7"/>
      <c r="B7693" s="7" t="str">
        <f>IFERROR(__xludf.DUMMYFUNCTION("""COMPUTED_VALUE"""),"Bash/Shell/PowerShell;C;Java;JavaScript;SQL;Other(s):")</f>
        <v>Bash/Shell/PowerShell;C;Java;JavaScript;SQL;Other(s):</v>
      </c>
      <c r="M7693" s="9" t="s">
        <v>21</v>
      </c>
    </row>
    <row r="7694" ht="15.75" customHeight="1">
      <c r="A7694" s="7"/>
      <c r="B7694" s="7" t="str">
        <f>IFERROR(__xludf.DUMMYFUNCTION("""COMPUTED_VALUE"""),"C;C++;C#;HTML/CSS;Java;JavaScript;Python;SQL;TypeScript")</f>
        <v>C;C++;C#;HTML/CSS;Java;JavaScript;Python;SQL;TypeScript</v>
      </c>
      <c r="M7694" s="9" t="s">
        <v>27</v>
      </c>
    </row>
    <row r="7695" ht="15.75" customHeight="1">
      <c r="A7695" s="7"/>
      <c r="B7695" s="7" t="str">
        <f>IFERROR(__xludf.DUMMYFUNCTION("""COMPUTED_VALUE"""),"C;Dart;Java;Python")</f>
        <v>C;Dart;Java;Python</v>
      </c>
      <c r="M7695" s="9" t="s">
        <v>26</v>
      </c>
    </row>
    <row r="7696" ht="15.75" customHeight="1">
      <c r="A7696" s="7"/>
      <c r="B7696" s="7" t="str">
        <f>IFERROR(__xludf.DUMMYFUNCTION("""COMPUTED_VALUE"""),"HTML/CSS;JavaScript;PHP")</f>
        <v>HTML/CSS;JavaScript;PHP</v>
      </c>
      <c r="M7696" s="9" t="s">
        <v>24</v>
      </c>
    </row>
    <row r="7697" ht="15.75" customHeight="1">
      <c r="A7697" s="7"/>
      <c r="B7697" s="7" t="str">
        <f>IFERROR(__xludf.DUMMYFUNCTION("""COMPUTED_VALUE"""),"Go;HTML/CSS;JavaScript;Python;Other(s):")</f>
        <v>Go;HTML/CSS;JavaScript;Python;Other(s):</v>
      </c>
      <c r="M7697" s="9" t="s">
        <v>21</v>
      </c>
    </row>
    <row r="7698" ht="15.75" customHeight="1">
      <c r="A7698" s="7"/>
      <c r="B7698" s="7" t="str">
        <f>IFERROR(__xludf.DUMMYFUNCTION("""COMPUTED_VALUE"""),"Scala")</f>
        <v>Scala</v>
      </c>
      <c r="M7698" s="9" t="s">
        <v>27</v>
      </c>
    </row>
    <row r="7699" ht="15.75" customHeight="1">
      <c r="A7699" s="7"/>
      <c r="B7699" s="7" t="str">
        <f>IFERROR(__xludf.DUMMYFUNCTION("""COMPUTED_VALUE"""),"Bash/Shell/PowerShell;HTML/CSS;Java;Scala;SQL")</f>
        <v>Bash/Shell/PowerShell;HTML/CSS;Java;Scala;SQL</v>
      </c>
      <c r="M7699" s="9" t="s">
        <v>28</v>
      </c>
    </row>
    <row r="7700" ht="15.75" customHeight="1">
      <c r="A7700" s="7"/>
      <c r="B7700" s="7" t="str">
        <f>IFERROR(__xludf.DUMMYFUNCTION("""COMPUTED_VALUE"""),"Java")</f>
        <v>Java</v>
      </c>
      <c r="M7700" s="9" t="s">
        <v>24</v>
      </c>
    </row>
    <row r="7701" ht="15.75" customHeight="1">
      <c r="A7701" s="7"/>
      <c r="B7701" s="7" t="str">
        <f>IFERROR(__xludf.DUMMYFUNCTION("""COMPUTED_VALUE"""),"C#;HTML/CSS;JavaScript;Python;SQL;TypeScript")</f>
        <v>C#;HTML/CSS;JavaScript;Python;SQL;TypeScript</v>
      </c>
      <c r="M7701" s="9" t="s">
        <v>21</v>
      </c>
    </row>
    <row r="7702" ht="15.75" customHeight="1">
      <c r="A7702" s="7"/>
      <c r="B7702" s="7" t="str">
        <f>IFERROR(__xludf.DUMMYFUNCTION("""COMPUTED_VALUE"""),"Assembly;C;C++;C#;HTML/CSS;Java;JavaScript;Python;Ruby;TypeScript")</f>
        <v>Assembly;C;C++;C#;HTML/CSS;Java;JavaScript;Python;Ruby;TypeScript</v>
      </c>
      <c r="M7702" s="9" t="s">
        <v>37</v>
      </c>
    </row>
    <row r="7703" ht="15.75" customHeight="1">
      <c r="A7703" s="7"/>
      <c r="B7703" s="7" t="str">
        <f>IFERROR(__xludf.DUMMYFUNCTION("""COMPUTED_VALUE"""),"C#;HTML/CSS;Java;JavaScript;PHP;SQL;TypeScript")</f>
        <v>C#;HTML/CSS;Java;JavaScript;PHP;SQL;TypeScript</v>
      </c>
      <c r="M7703" s="9" t="s">
        <v>22</v>
      </c>
    </row>
    <row r="7704" ht="15.75" customHeight="1">
      <c r="A7704" s="7"/>
      <c r="B7704" s="7" t="str">
        <f>IFERROR(__xludf.DUMMYFUNCTION("""COMPUTED_VALUE"""),"C++;HTML/CSS;Java;JavaScript;SQL")</f>
        <v>C++;HTML/CSS;Java;JavaScript;SQL</v>
      </c>
      <c r="M7704" s="9" t="s">
        <v>27</v>
      </c>
    </row>
    <row r="7705" ht="15.75" customHeight="1">
      <c r="A7705" s="7"/>
      <c r="B7705" s="7" t="str">
        <f>IFERROR(__xludf.DUMMYFUNCTION("""COMPUTED_VALUE"""),"Bash/Shell/PowerShell;JavaScript;Objective-C;Python;Ruby;Swift")</f>
        <v>Bash/Shell/PowerShell;JavaScript;Objective-C;Python;Ruby;Swift</v>
      </c>
      <c r="M7705" s="9" t="s">
        <v>30</v>
      </c>
    </row>
    <row r="7706" ht="15.75" customHeight="1">
      <c r="A7706" s="7"/>
      <c r="B7706" s="7" t="str">
        <f>IFERROR(__xludf.DUMMYFUNCTION("""COMPUTED_VALUE"""),"Bash/Shell/PowerShell;C;C++;Objective-C")</f>
        <v>Bash/Shell/PowerShell;C;C++;Objective-C</v>
      </c>
      <c r="M7706" s="9" t="s">
        <v>24</v>
      </c>
    </row>
    <row r="7707" ht="15.75" customHeight="1">
      <c r="A7707" s="7"/>
      <c r="B7707" s="7" t="str">
        <f>IFERROR(__xludf.DUMMYFUNCTION("""COMPUTED_VALUE"""),"Bash/Shell/PowerShell;HTML/CSS;JavaScript;Python;SQL")</f>
        <v>Bash/Shell/PowerShell;HTML/CSS;JavaScript;Python;SQL</v>
      </c>
      <c r="M7707" s="9" t="s">
        <v>20</v>
      </c>
    </row>
    <row r="7708" ht="15.75" customHeight="1">
      <c r="A7708" s="7"/>
      <c r="B7708" s="7" t="str">
        <f>IFERROR(__xludf.DUMMYFUNCTION("""COMPUTED_VALUE"""),"C#;HTML/CSS;Java;JavaScript;PHP;Python;SQL")</f>
        <v>C#;HTML/CSS;Java;JavaScript;PHP;Python;SQL</v>
      </c>
      <c r="M7708" s="9" t="s">
        <v>27</v>
      </c>
    </row>
    <row r="7709" ht="15.75" customHeight="1">
      <c r="A7709" s="7"/>
      <c r="B7709" s="7" t="str">
        <f>IFERROR(__xludf.DUMMYFUNCTION("""COMPUTED_VALUE"""),"HTML/CSS;Java;JavaScript;Python;Ruby")</f>
        <v>HTML/CSS;Java;JavaScript;Python;Ruby</v>
      </c>
      <c r="M7709" s="9" t="s">
        <v>30</v>
      </c>
    </row>
    <row r="7710" ht="15.75" customHeight="1">
      <c r="A7710" s="7"/>
      <c r="B7710" s="7" t="str">
        <f>IFERROR(__xludf.DUMMYFUNCTION("""COMPUTED_VALUE"""),"Bash/Shell/PowerShell;Python;Other(s):")</f>
        <v>Bash/Shell/PowerShell;Python;Other(s):</v>
      </c>
      <c r="M7710" s="9" t="s">
        <v>23</v>
      </c>
    </row>
    <row r="7711" ht="15.75" customHeight="1">
      <c r="A7711" s="7"/>
      <c r="B7711" s="7" t="str">
        <f>IFERROR(__xludf.DUMMYFUNCTION("""COMPUTED_VALUE"""),"HTML/CSS;JavaScript;PHP;Python;SQL")</f>
        <v>HTML/CSS;JavaScript;PHP;Python;SQL</v>
      </c>
      <c r="M7711" s="9" t="s">
        <v>22</v>
      </c>
    </row>
    <row r="7712" ht="15.75" customHeight="1">
      <c r="A7712" s="7"/>
      <c r="B7712" s="7" t="str">
        <f>IFERROR(__xludf.DUMMYFUNCTION("""COMPUTED_VALUE"""),"Bash/Shell/PowerShell;HTML/CSS;Other(s):")</f>
        <v>Bash/Shell/PowerShell;HTML/CSS;Other(s):</v>
      </c>
      <c r="M7712" s="9" t="s">
        <v>46</v>
      </c>
    </row>
    <row r="7713" ht="15.75" customHeight="1">
      <c r="A7713" s="7"/>
      <c r="B7713" s="7" t="str">
        <f>IFERROR(__xludf.DUMMYFUNCTION("""COMPUTED_VALUE"""),"Bash/Shell/PowerShell;Go;Kotlin;WebAssembly")</f>
        <v>Bash/Shell/PowerShell;Go;Kotlin;WebAssembly</v>
      </c>
      <c r="M7713" s="9" t="s">
        <v>25</v>
      </c>
    </row>
    <row r="7714" ht="15.75" customHeight="1">
      <c r="A7714" s="7"/>
      <c r="B7714" s="7" t="str">
        <f>IFERROR(__xludf.DUMMYFUNCTION("""COMPUTED_VALUE"""),"Bash/Shell/PowerShell;HTML/CSS;JavaScript;Python;SQL")</f>
        <v>Bash/Shell/PowerShell;HTML/CSS;JavaScript;Python;SQL</v>
      </c>
      <c r="M7714" s="9" t="s">
        <v>24</v>
      </c>
    </row>
    <row r="7715" ht="15.75" customHeight="1">
      <c r="A7715" s="7"/>
      <c r="B7715" s="7" t="str">
        <f>IFERROR(__xludf.DUMMYFUNCTION("""COMPUTED_VALUE"""),"Bash/Shell/PowerShell;Python")</f>
        <v>Bash/Shell/PowerShell;Python</v>
      </c>
      <c r="M7715" s="9" t="s">
        <v>21</v>
      </c>
    </row>
    <row r="7716" ht="15.75" customHeight="1">
      <c r="A7716" s="7"/>
      <c r="B7716" s="7" t="str">
        <f>IFERROR(__xludf.DUMMYFUNCTION("""COMPUTED_VALUE"""),"Bash/Shell/PowerShell;C#;F#;HTML/CSS;Java;JavaScript;Python;Scala;SQL;TypeScript")</f>
        <v>Bash/Shell/PowerShell;C#;F#;HTML/CSS;Java;JavaScript;Python;Scala;SQL;TypeScript</v>
      </c>
      <c r="M7716" s="9" t="s">
        <v>37</v>
      </c>
    </row>
    <row r="7717" ht="15.75" customHeight="1">
      <c r="A7717" s="7"/>
      <c r="B7717" s="7" t="str">
        <f>IFERROR(__xludf.DUMMYFUNCTION("""COMPUTED_VALUE"""),"HTML/CSS;JavaScript;PHP")</f>
        <v>HTML/CSS;JavaScript;PHP</v>
      </c>
      <c r="M7717" s="9" t="s">
        <v>29</v>
      </c>
    </row>
    <row r="7718" ht="15.75" customHeight="1">
      <c r="A7718" s="7"/>
      <c r="B7718" s="7" t="str">
        <f>IFERROR(__xludf.DUMMYFUNCTION("""COMPUTED_VALUE"""),"Bash/Shell/PowerShell;C#;HTML/CSS;JavaScript;Python")</f>
        <v>Bash/Shell/PowerShell;C#;HTML/CSS;JavaScript;Python</v>
      </c>
      <c r="M7718" s="9" t="s">
        <v>27</v>
      </c>
    </row>
    <row r="7719" ht="15.75" customHeight="1">
      <c r="A7719" s="7"/>
      <c r="B7719" s="7" t="str">
        <f>IFERROR(__xludf.DUMMYFUNCTION("""COMPUTED_VALUE"""),"HTML/CSS;JavaScript;Python")</f>
        <v>HTML/CSS;JavaScript;Python</v>
      </c>
      <c r="M7719" s="9" t="s">
        <v>28</v>
      </c>
    </row>
    <row r="7720" ht="15.75" customHeight="1">
      <c r="A7720" s="7"/>
      <c r="B7720" s="7" t="str">
        <f>IFERROR(__xludf.DUMMYFUNCTION("""COMPUTED_VALUE"""),"C#;HTML/CSS;JavaScript;SQL")</f>
        <v>C#;HTML/CSS;JavaScript;SQL</v>
      </c>
      <c r="M7720" s="9" t="s">
        <v>26</v>
      </c>
    </row>
    <row r="7721" ht="15.75" customHeight="1">
      <c r="A7721" s="7"/>
      <c r="B7721" s="7" t="str">
        <f>IFERROR(__xludf.DUMMYFUNCTION("""COMPUTED_VALUE"""),"HTML/CSS;Python;R;SQL")</f>
        <v>HTML/CSS;Python;R;SQL</v>
      </c>
      <c r="M7721" s="9" t="s">
        <v>38</v>
      </c>
    </row>
    <row r="7722" ht="15.75" customHeight="1">
      <c r="A7722" s="7"/>
      <c r="B7722" s="7" t="str">
        <f>IFERROR(__xludf.DUMMYFUNCTION("""COMPUTED_VALUE"""),"Bash/Shell/PowerShell;HTML/CSS;JavaScript")</f>
        <v>Bash/Shell/PowerShell;HTML/CSS;JavaScript</v>
      </c>
      <c r="M7722" s="9" t="s">
        <v>25</v>
      </c>
    </row>
    <row r="7723" ht="15.75" customHeight="1">
      <c r="A7723" s="7"/>
      <c r="B7723" s="7" t="str">
        <f>IFERROR(__xludf.DUMMYFUNCTION("""COMPUTED_VALUE"""),"HTML/CSS;JavaScript;Python")</f>
        <v>HTML/CSS;JavaScript;Python</v>
      </c>
      <c r="M7723" s="9" t="s">
        <v>23</v>
      </c>
    </row>
    <row r="7724" ht="15.75" customHeight="1">
      <c r="A7724" s="7"/>
      <c r="B7724" s="7" t="str">
        <f>IFERROR(__xludf.DUMMYFUNCTION("""COMPUTED_VALUE"""),"Bash/Shell/PowerShell;HTML/CSS;Java;JavaScript;Python")</f>
        <v>Bash/Shell/PowerShell;HTML/CSS;Java;JavaScript;Python</v>
      </c>
      <c r="M7724" s="9" t="s">
        <v>24</v>
      </c>
    </row>
    <row r="7725" ht="15.75" customHeight="1">
      <c r="A7725" s="7"/>
      <c r="B7725" s="7" t="str">
        <f>IFERROR(__xludf.DUMMYFUNCTION("""COMPUTED_VALUE"""),"Java;PHP;SQL;VBA")</f>
        <v>Java;PHP;SQL;VBA</v>
      </c>
      <c r="M7725" s="9" t="s">
        <v>20</v>
      </c>
    </row>
    <row r="7726" ht="15.75" customHeight="1">
      <c r="A7726" s="7"/>
      <c r="B7726" s="7" t="str">
        <f>IFERROR(__xludf.DUMMYFUNCTION("""COMPUTED_VALUE"""),"C;C#;HTML/CSS;JavaScript;Python;SQL")</f>
        <v>C;C#;HTML/CSS;JavaScript;Python;SQL</v>
      </c>
      <c r="M7726" s="9" t="s">
        <v>21</v>
      </c>
    </row>
    <row r="7727" ht="15.75" customHeight="1">
      <c r="A7727" s="7"/>
      <c r="B7727" s="7" t="str">
        <f>IFERROR(__xludf.DUMMYFUNCTION("""COMPUTED_VALUE"""),"HTML/CSS;JavaScript;PHP;Python;SQL")</f>
        <v>HTML/CSS;JavaScript;PHP;Python;SQL</v>
      </c>
      <c r="M7727" s="9" t="s">
        <v>39</v>
      </c>
    </row>
    <row r="7728" ht="15.75" customHeight="1">
      <c r="A7728" s="7"/>
      <c r="B7728" s="7" t="str">
        <f>IFERROR(__xludf.DUMMYFUNCTION("""COMPUTED_VALUE"""),"C#;VBA")</f>
        <v>C#;VBA</v>
      </c>
      <c r="M7728" s="9" t="s">
        <v>37</v>
      </c>
    </row>
    <row r="7729" ht="15.75" customHeight="1">
      <c r="A7729" s="7"/>
      <c r="B7729" s="7" t="str">
        <f>IFERROR(__xludf.DUMMYFUNCTION("""COMPUTED_VALUE"""),"HTML/CSS;JavaScript;Python;Scala")</f>
        <v>HTML/CSS;JavaScript;Python;Scala</v>
      </c>
      <c r="M7729" s="9" t="s">
        <v>27</v>
      </c>
    </row>
    <row r="7730" ht="15.75" customHeight="1">
      <c r="A7730" s="7"/>
      <c r="B7730" s="7" t="str">
        <f>IFERROR(__xludf.DUMMYFUNCTION("""COMPUTED_VALUE"""),"Bash/Shell/PowerShell;C++;HTML/CSS;JavaScript;Objective-C;Python")</f>
        <v>Bash/Shell/PowerShell;C++;HTML/CSS;JavaScript;Objective-C;Python</v>
      </c>
      <c r="M7730" s="9" t="s">
        <v>33</v>
      </c>
    </row>
    <row r="7731" ht="15.75" customHeight="1">
      <c r="A7731" s="7"/>
      <c r="B7731" s="7" t="str">
        <f>IFERROR(__xludf.DUMMYFUNCTION("""COMPUTED_VALUE"""),"C++;Dart;Go;HTML/CSS;JavaScript;Python;TypeScript")</f>
        <v>C++;Dart;Go;HTML/CSS;JavaScript;Python;TypeScript</v>
      </c>
      <c r="M7731" s="9" t="s">
        <v>28</v>
      </c>
    </row>
    <row r="7732" ht="15.75" customHeight="1">
      <c r="A7732" s="7"/>
      <c r="B7732" s="7" t="str">
        <f>IFERROR(__xludf.DUMMYFUNCTION("""COMPUTED_VALUE"""),"JavaScript;PHP;SQL")</f>
        <v>JavaScript;PHP;SQL</v>
      </c>
      <c r="M7732" s="9" t="s">
        <v>38</v>
      </c>
    </row>
    <row r="7733" ht="15.75" customHeight="1">
      <c r="A7733" s="7"/>
      <c r="B7733" s="7" t="str">
        <f>IFERROR(__xludf.DUMMYFUNCTION("""COMPUTED_VALUE"""),"C;C++;C#;HTML/CSS;Java;JavaScript;PHP;Python")</f>
        <v>C;C++;C#;HTML/CSS;Java;JavaScript;PHP;Python</v>
      </c>
      <c r="M7733" s="9" t="s">
        <v>25</v>
      </c>
    </row>
    <row r="7734" ht="15.75" customHeight="1">
      <c r="A7734" s="7"/>
      <c r="B7734" s="7" t="str">
        <f>IFERROR(__xludf.DUMMYFUNCTION("""COMPUTED_VALUE"""),"Java;Python")</f>
        <v>Java;Python</v>
      </c>
      <c r="M7734" s="9" t="s">
        <v>23</v>
      </c>
    </row>
    <row r="7735" ht="15.75" customHeight="1">
      <c r="A7735" s="7"/>
      <c r="B7735" s="7" t="str">
        <f>IFERROR(__xludf.DUMMYFUNCTION("""COMPUTED_VALUE"""),"C#;HTML/CSS;JavaScript;Python;SQL;VBA")</f>
        <v>C#;HTML/CSS;JavaScript;Python;SQL;VBA</v>
      </c>
      <c r="M7735" s="9" t="s">
        <v>26</v>
      </c>
    </row>
    <row r="7736" ht="15.75" customHeight="1">
      <c r="A7736" s="7"/>
      <c r="B7736" s="7" t="str">
        <f>IFERROR(__xludf.DUMMYFUNCTION("""COMPUTED_VALUE"""),"Assembly;C;C++;C#;HTML/CSS;JavaScript;PHP;Python;SQL")</f>
        <v>Assembly;C;C++;C#;HTML/CSS;JavaScript;PHP;Python;SQL</v>
      </c>
      <c r="M7736" s="9" t="s">
        <v>22</v>
      </c>
    </row>
    <row r="7737" ht="15.75" customHeight="1">
      <c r="A7737" s="7"/>
      <c r="B7737" s="7" t="str">
        <f>IFERROR(__xludf.DUMMYFUNCTION("""COMPUTED_VALUE"""),"HTML/CSS;Java;JavaScript;TypeScript")</f>
        <v>HTML/CSS;Java;JavaScript;TypeScript</v>
      </c>
      <c r="M7737" s="9" t="s">
        <v>35</v>
      </c>
    </row>
    <row r="7738" ht="15.75" customHeight="1">
      <c r="A7738" s="7"/>
      <c r="B7738" s="7" t="str">
        <f>IFERROR(__xludf.DUMMYFUNCTION("""COMPUTED_VALUE"""),"C#;HTML/CSS;Java;JavaScript;SQL")</f>
        <v>C#;HTML/CSS;Java;JavaScript;SQL</v>
      </c>
      <c r="M7738" s="9" t="s">
        <v>30</v>
      </c>
    </row>
    <row r="7739" ht="15.75" customHeight="1">
      <c r="A7739" s="7"/>
      <c r="B7739" s="7" t="str">
        <f>IFERROR(__xludf.DUMMYFUNCTION("""COMPUTED_VALUE"""),"C#;HTML/CSS;JavaScript;SQL;Other(s):")</f>
        <v>C#;HTML/CSS;JavaScript;SQL;Other(s):</v>
      </c>
      <c r="M7739" s="9" t="s">
        <v>24</v>
      </c>
    </row>
    <row r="7740" ht="15.75" customHeight="1">
      <c r="A7740" s="7"/>
      <c r="B7740" s="7" t="str">
        <f>IFERROR(__xludf.DUMMYFUNCTION("""COMPUTED_VALUE"""),"Bash/Shell/PowerShell;HTML/CSS;Java;JavaScript;TypeScript")</f>
        <v>Bash/Shell/PowerShell;HTML/CSS;Java;JavaScript;TypeScript</v>
      </c>
      <c r="M7740" s="9" t="s">
        <v>20</v>
      </c>
    </row>
    <row r="7741" ht="15.75" customHeight="1">
      <c r="A7741" s="7"/>
      <c r="B7741" s="7" t="str">
        <f>IFERROR(__xludf.DUMMYFUNCTION("""COMPUTED_VALUE"""),"HTML/CSS;JavaScript;Python;SQL;TypeScript")</f>
        <v>HTML/CSS;JavaScript;Python;SQL;TypeScript</v>
      </c>
      <c r="M7741" s="9" t="s">
        <v>21</v>
      </c>
    </row>
    <row r="7742" ht="15.75" customHeight="1">
      <c r="A7742" s="7"/>
      <c r="B7742" s="7" t="str">
        <f>IFERROR(__xludf.DUMMYFUNCTION("""COMPUTED_VALUE"""),"Python;R")</f>
        <v>Python;R</v>
      </c>
      <c r="M7742" s="9" t="s">
        <v>37</v>
      </c>
    </row>
    <row r="7743" ht="15.75" customHeight="1">
      <c r="A7743" s="7"/>
      <c r="B7743" s="7" t="str">
        <f>IFERROR(__xludf.DUMMYFUNCTION("""COMPUTED_VALUE"""),"Bash/Shell/PowerShell;C;C#;HTML/CSS;JavaScript;SQL;TypeScript")</f>
        <v>Bash/Shell/PowerShell;C;C#;HTML/CSS;JavaScript;SQL;TypeScript</v>
      </c>
      <c r="M7743" s="9" t="s">
        <v>22</v>
      </c>
    </row>
    <row r="7744" ht="15.75" customHeight="1">
      <c r="A7744" s="7"/>
      <c r="B7744" s="7" t="str">
        <f>IFERROR(__xludf.DUMMYFUNCTION("""COMPUTED_VALUE"""),"Bash/Shell/PowerShell;C;HTML/CSS;Java;PHP;SQL;TypeScript")</f>
        <v>Bash/Shell/PowerShell;C;HTML/CSS;Java;PHP;SQL;TypeScript</v>
      </c>
      <c r="M7744" s="9" t="s">
        <v>27</v>
      </c>
    </row>
    <row r="7745" ht="15.75" customHeight="1">
      <c r="A7745" s="7"/>
      <c r="B7745" s="7" t="str">
        <f>IFERROR(__xludf.DUMMYFUNCTION("""COMPUTED_VALUE"""),"HTML/CSS;JavaScript;Python")</f>
        <v>HTML/CSS;JavaScript;Python</v>
      </c>
      <c r="M7745" s="9" t="s">
        <v>28</v>
      </c>
    </row>
    <row r="7746" ht="15.75" customHeight="1">
      <c r="A7746" s="7"/>
      <c r="B7746" s="7" t="str">
        <f>IFERROR(__xludf.DUMMYFUNCTION("""COMPUTED_VALUE"""),"HTML/CSS;JavaScript;Python;SQL")</f>
        <v>HTML/CSS;JavaScript;Python;SQL</v>
      </c>
      <c r="M7746" s="9" t="s">
        <v>24</v>
      </c>
    </row>
    <row r="7747" ht="15.75" customHeight="1">
      <c r="A7747" s="7"/>
      <c r="B7747" s="7" t="str">
        <f>IFERROR(__xludf.DUMMYFUNCTION("""COMPUTED_VALUE"""),"HTML/CSS;JavaScript;Python;SQL;TypeScript")</f>
        <v>HTML/CSS;JavaScript;Python;SQL;TypeScript</v>
      </c>
      <c r="M7747" s="9" t="s">
        <v>20</v>
      </c>
    </row>
    <row r="7748" ht="15.75" customHeight="1">
      <c r="A7748" s="7"/>
      <c r="B7748" s="7" t="str">
        <f>IFERROR(__xludf.DUMMYFUNCTION("""COMPUTED_VALUE"""),"Bash/Shell/PowerShell;C#;HTML/CSS;JavaScript;PHP;SQL;TypeScript")</f>
        <v>Bash/Shell/PowerShell;C#;HTML/CSS;JavaScript;PHP;SQL;TypeScript</v>
      </c>
      <c r="M7748" s="9" t="s">
        <v>21</v>
      </c>
    </row>
    <row r="7749" ht="15.75" customHeight="1">
      <c r="A7749" s="7"/>
      <c r="B7749" s="7" t="str">
        <f>IFERROR(__xludf.DUMMYFUNCTION("""COMPUTED_VALUE"""),"Bash/Shell/PowerShell;HTML/CSS;Java;Python;SQL")</f>
        <v>Bash/Shell/PowerShell;HTML/CSS;Java;Python;SQL</v>
      </c>
      <c r="M7749" s="9" t="s">
        <v>39</v>
      </c>
    </row>
    <row r="7750" ht="15.75" customHeight="1">
      <c r="A7750" s="7"/>
      <c r="B7750" s="7" t="str">
        <f>IFERROR(__xludf.DUMMYFUNCTION("""COMPUTED_VALUE"""),"C;Java;Python;R;VBA")</f>
        <v>C;Java;Python;R;VBA</v>
      </c>
      <c r="M7750" s="9" t="s">
        <v>22</v>
      </c>
    </row>
    <row r="7751" ht="15.75" customHeight="1">
      <c r="A7751" s="7"/>
      <c r="B7751" s="7" t="str">
        <f>IFERROR(__xludf.DUMMYFUNCTION("""COMPUTED_VALUE"""),"Bash/Shell/PowerShell;HTML/CSS;JavaScript")</f>
        <v>Bash/Shell/PowerShell;HTML/CSS;JavaScript</v>
      </c>
      <c r="M7751" s="9" t="s">
        <v>33</v>
      </c>
    </row>
    <row r="7752" ht="15.75" customHeight="1">
      <c r="A7752" s="7"/>
      <c r="B7752" s="7" t="str">
        <f>IFERROR(__xludf.DUMMYFUNCTION("""COMPUTED_VALUE"""),"Bash/Shell/PowerShell;Python;R;SQL")</f>
        <v>Bash/Shell/PowerShell;Python;R;SQL</v>
      </c>
      <c r="M7752" s="9" t="s">
        <v>30</v>
      </c>
    </row>
    <row r="7753" ht="15.75" customHeight="1">
      <c r="A7753" s="7"/>
      <c r="B7753" s="7" t="str">
        <f>IFERROR(__xludf.DUMMYFUNCTION("""COMPUTED_VALUE"""),"C#;HTML/CSS;JavaScript;SQL;TypeScript")</f>
        <v>C#;HTML/CSS;JavaScript;SQL;TypeScript</v>
      </c>
      <c r="M7753" s="9" t="s">
        <v>26</v>
      </c>
    </row>
    <row r="7754" ht="15.75" customHeight="1">
      <c r="A7754" s="7"/>
      <c r="B7754" s="7" t="str">
        <f>IFERROR(__xludf.DUMMYFUNCTION("""COMPUTED_VALUE"""),"C#;HTML/CSS;JavaScript;Python;SQL")</f>
        <v>C#;HTML/CSS;JavaScript;Python;SQL</v>
      </c>
      <c r="M7754" s="9" t="s">
        <v>24</v>
      </c>
    </row>
    <row r="7755" ht="15.75" customHeight="1">
      <c r="A7755" s="7"/>
      <c r="B7755" s="7" t="str">
        <f>IFERROR(__xludf.DUMMYFUNCTION("""COMPUTED_VALUE"""),"Assembly;C++;HTML/CSS;Java;PHP;SQL")</f>
        <v>Assembly;C++;HTML/CSS;Java;PHP;SQL</v>
      </c>
      <c r="M7755" s="9" t="s">
        <v>20</v>
      </c>
    </row>
    <row r="7756" ht="15.75" customHeight="1">
      <c r="A7756" s="7"/>
      <c r="B7756" s="7" t="str">
        <f>IFERROR(__xludf.DUMMYFUNCTION("""COMPUTED_VALUE"""),"C#;HTML/CSS;SQL")</f>
        <v>C#;HTML/CSS;SQL</v>
      </c>
      <c r="M7756" s="9" t="s">
        <v>21</v>
      </c>
    </row>
    <row r="7757" ht="15.75" customHeight="1">
      <c r="A7757" s="7"/>
      <c r="B7757" s="7" t="str">
        <f>IFERROR(__xludf.DUMMYFUNCTION("""COMPUTED_VALUE"""),"C#;HTML/CSS;JavaScript;SQL;TypeScript")</f>
        <v>C#;HTML/CSS;JavaScript;SQL;TypeScript</v>
      </c>
      <c r="M7757" s="9" t="s">
        <v>27</v>
      </c>
    </row>
    <row r="7758" ht="15.75" customHeight="1">
      <c r="A7758" s="7"/>
      <c r="B7758" s="7" t="str">
        <f>IFERROR(__xludf.DUMMYFUNCTION("""COMPUTED_VALUE"""),"C++;HTML/CSS;JavaScript")</f>
        <v>C++;HTML/CSS;JavaScript</v>
      </c>
      <c r="M7758" s="9" t="s">
        <v>33</v>
      </c>
    </row>
    <row r="7759" ht="15.75" customHeight="1">
      <c r="A7759" s="7"/>
      <c r="B7759" s="7" t="str">
        <f>IFERROR(__xludf.DUMMYFUNCTION("""COMPUTED_VALUE"""),"C++;HTML/CSS;PHP;Python")</f>
        <v>C++;HTML/CSS;PHP;Python</v>
      </c>
      <c r="M7759" s="9" t="s">
        <v>20</v>
      </c>
    </row>
    <row r="7760" ht="15.75" customHeight="1">
      <c r="A7760" s="7"/>
      <c r="B7760" s="7" t="str">
        <f>IFERROR(__xludf.DUMMYFUNCTION("""COMPUTED_VALUE"""),"C#;HTML/CSS;JavaScript;VBA")</f>
        <v>C#;HTML/CSS;JavaScript;VBA</v>
      </c>
      <c r="M7760" s="9" t="s">
        <v>21</v>
      </c>
    </row>
    <row r="7761" ht="15.75" customHeight="1">
      <c r="A7761" s="7"/>
      <c r="B7761" s="7" t="str">
        <f>IFERROR(__xludf.DUMMYFUNCTION("""COMPUTED_VALUE"""),"Bash/Shell/PowerShell;SQL")</f>
        <v>Bash/Shell/PowerShell;SQL</v>
      </c>
      <c r="M7761" s="9" t="s">
        <v>37</v>
      </c>
    </row>
    <row r="7762" ht="15.75" customHeight="1">
      <c r="A7762" s="7"/>
      <c r="B7762" s="7" t="str">
        <f>IFERROR(__xludf.DUMMYFUNCTION("""COMPUTED_VALUE"""),"HTML/CSS;JavaScript;TypeScript")</f>
        <v>HTML/CSS;JavaScript;TypeScript</v>
      </c>
      <c r="M7762" s="9" t="s">
        <v>27</v>
      </c>
    </row>
    <row r="7763" ht="15.75" customHeight="1">
      <c r="A7763" s="7"/>
      <c r="B7763" s="7" t="str">
        <f>IFERROR(__xludf.DUMMYFUNCTION("""COMPUTED_VALUE"""),"Bash/Shell/PowerShell;HTML/CSS;JavaScript;PHP;SQL;TypeScript")</f>
        <v>Bash/Shell/PowerShell;HTML/CSS;JavaScript;PHP;SQL;TypeScript</v>
      </c>
      <c r="M7763" s="9" t="s">
        <v>20</v>
      </c>
    </row>
    <row r="7764" ht="15.75" customHeight="1">
      <c r="A7764" s="7"/>
      <c r="B7764" s="7" t="str">
        <f>IFERROR(__xludf.DUMMYFUNCTION("""COMPUTED_VALUE"""),"HTML/CSS;Java;SQL")</f>
        <v>HTML/CSS;Java;SQL</v>
      </c>
      <c r="M7764" s="9" t="s">
        <v>21</v>
      </c>
    </row>
    <row r="7765" ht="15.75" customHeight="1">
      <c r="A7765" s="7"/>
      <c r="B7765" s="7" t="str">
        <f>IFERROR(__xludf.DUMMYFUNCTION("""COMPUTED_VALUE"""),"HTML/CSS;JavaScript;TypeScript")</f>
        <v>HTML/CSS;JavaScript;TypeScript</v>
      </c>
      <c r="M7765" s="9" t="s">
        <v>22</v>
      </c>
    </row>
    <row r="7766" ht="15.75" customHeight="1">
      <c r="A7766" s="7"/>
      <c r="B7766" s="7" t="str">
        <f>IFERROR(__xludf.DUMMYFUNCTION("""COMPUTED_VALUE"""),"HTML/CSS;JavaScript")</f>
        <v>HTML/CSS;JavaScript</v>
      </c>
      <c r="M7766" s="9" t="s">
        <v>38</v>
      </c>
    </row>
    <row r="7767" ht="15.75" customHeight="1">
      <c r="A7767" s="7"/>
      <c r="B7767" s="7" t="str">
        <f>IFERROR(__xludf.DUMMYFUNCTION("""COMPUTED_VALUE"""),"C;C++;HTML/CSS;Java;JavaScript;Python")</f>
        <v>C;C++;HTML/CSS;Java;JavaScript;Python</v>
      </c>
      <c r="M7767" s="9" t="s">
        <v>30</v>
      </c>
    </row>
    <row r="7768" ht="15.75" customHeight="1">
      <c r="A7768" s="7"/>
      <c r="B7768" s="7" t="str">
        <f>IFERROR(__xludf.DUMMYFUNCTION("""COMPUTED_VALUE"""),"Bash/Shell/PowerShell;HTML/CSS;Java;JavaScript;SQL;TypeScript")</f>
        <v>Bash/Shell/PowerShell;HTML/CSS;Java;JavaScript;SQL;TypeScript</v>
      </c>
      <c r="M7768" s="9" t="s">
        <v>25</v>
      </c>
    </row>
    <row r="7769" ht="15.75" customHeight="1">
      <c r="A7769" s="7"/>
      <c r="B7769" s="7" t="str">
        <f>IFERROR(__xludf.DUMMYFUNCTION("""COMPUTED_VALUE"""),"Bash/Shell/PowerShell;C;C++;Python;SQL")</f>
        <v>Bash/Shell/PowerShell;C;C++;Python;SQL</v>
      </c>
      <c r="M7769" s="9" t="s">
        <v>23</v>
      </c>
    </row>
    <row r="7770" ht="15.75" customHeight="1">
      <c r="A7770" s="7"/>
      <c r="B7770" s="7" t="str">
        <f>IFERROR(__xludf.DUMMYFUNCTION("""COMPUTED_VALUE"""),"Java")</f>
        <v>Java</v>
      </c>
      <c r="M7770" s="9" t="s">
        <v>24</v>
      </c>
    </row>
    <row r="7771" ht="15.75" customHeight="1">
      <c r="A7771" s="7"/>
      <c r="B7771" s="7" t="str">
        <f>IFERROR(__xludf.DUMMYFUNCTION("""COMPUTED_VALUE"""),"Bash/Shell/PowerShell;HTML/CSS;JavaScript;PHP;SQL")</f>
        <v>Bash/Shell/PowerShell;HTML/CSS;JavaScript;PHP;SQL</v>
      </c>
      <c r="M7771" s="9" t="s">
        <v>20</v>
      </c>
    </row>
    <row r="7772" ht="15.75" customHeight="1">
      <c r="A7772" s="7"/>
      <c r="B7772" s="7" t="str">
        <f>IFERROR(__xludf.DUMMYFUNCTION("""COMPUTED_VALUE"""),"Assembly;HTML/CSS;Java;JavaScript;Ruby;SQL;VBA")</f>
        <v>Assembly;HTML/CSS;Java;JavaScript;Ruby;SQL;VBA</v>
      </c>
      <c r="M7772" s="9" t="s">
        <v>21</v>
      </c>
    </row>
    <row r="7773" ht="15.75" customHeight="1">
      <c r="A7773" s="7"/>
      <c r="B7773" s="7" t="str">
        <f>IFERROR(__xludf.DUMMYFUNCTION("""COMPUTED_VALUE"""),"C;HTML/CSS;Java;JavaScript;Python")</f>
        <v>C;HTML/CSS;Java;JavaScript;Python</v>
      </c>
      <c r="M7773" s="9" t="s">
        <v>22</v>
      </c>
    </row>
    <row r="7774" ht="15.75" customHeight="1">
      <c r="A7774" s="7"/>
      <c r="B7774" s="7" t="str">
        <f>IFERROR(__xludf.DUMMYFUNCTION("""COMPUTED_VALUE"""),"Bash/Shell/PowerShell;C++;JavaScript;Python;Rust")</f>
        <v>Bash/Shell/PowerShell;C++;JavaScript;Python;Rust</v>
      </c>
      <c r="M7774" s="9" t="s">
        <v>27</v>
      </c>
    </row>
    <row r="7775" ht="15.75" customHeight="1">
      <c r="A7775" s="7"/>
      <c r="B7775" s="7" t="str">
        <f>IFERROR(__xludf.DUMMYFUNCTION("""COMPUTED_VALUE"""),"HTML/CSS;JavaScript;PHP;SQL")</f>
        <v>HTML/CSS;JavaScript;PHP;SQL</v>
      </c>
      <c r="M7775" s="9" t="s">
        <v>21</v>
      </c>
    </row>
    <row r="7776" ht="15.75" customHeight="1">
      <c r="A7776" s="7"/>
      <c r="B7776" s="7" t="str">
        <f>IFERROR(__xludf.DUMMYFUNCTION("""COMPUTED_VALUE"""),"Bash/Shell/PowerShell;HTML/CSS;Java;JavaScript;Kotlin;TypeScript")</f>
        <v>Bash/Shell/PowerShell;HTML/CSS;Java;JavaScript;Kotlin;TypeScript</v>
      </c>
      <c r="M7776" s="9" t="s">
        <v>20</v>
      </c>
    </row>
    <row r="7777" ht="15.75" customHeight="1">
      <c r="A7777" s="7"/>
      <c r="B7777" s="7" t="str">
        <f>IFERROR(__xludf.DUMMYFUNCTION("""COMPUTED_VALUE"""),"C;C++;HTML/CSS;JavaScript;PHP;SQL")</f>
        <v>C;C++;HTML/CSS;JavaScript;PHP;SQL</v>
      </c>
      <c r="M7777" s="9" t="s">
        <v>23</v>
      </c>
    </row>
    <row r="7778" ht="15.75" customHeight="1">
      <c r="A7778" s="7"/>
      <c r="B7778" s="7" t="str">
        <f>IFERROR(__xludf.DUMMYFUNCTION("""COMPUTED_VALUE"""),"C;C++;C#;Java;JavaScript;PHP;Python;Scala")</f>
        <v>C;C++;C#;Java;JavaScript;PHP;Python;Scala</v>
      </c>
      <c r="M7778" s="9" t="s">
        <v>21</v>
      </c>
    </row>
    <row r="7779" ht="15.75" customHeight="1">
      <c r="A7779" s="7"/>
      <c r="B7779" s="7" t="str">
        <f>IFERROR(__xludf.DUMMYFUNCTION("""COMPUTED_VALUE"""),"HTML/CSS;Java;JavaScript;TypeScript")</f>
        <v>HTML/CSS;Java;JavaScript;TypeScript</v>
      </c>
      <c r="M7779" s="9" t="s">
        <v>22</v>
      </c>
    </row>
    <row r="7780" ht="15.75" customHeight="1">
      <c r="A7780" s="7"/>
      <c r="B7780" s="7" t="str">
        <f>IFERROR(__xludf.DUMMYFUNCTION("""COMPUTED_VALUE"""),"SQL;VBA")</f>
        <v>SQL;VBA</v>
      </c>
      <c r="M7780" s="9" t="s">
        <v>36</v>
      </c>
    </row>
    <row r="7781" ht="15.75" customHeight="1">
      <c r="A7781" s="7"/>
      <c r="B7781" s="7" t="str">
        <f>IFERROR(__xludf.DUMMYFUNCTION("""COMPUTED_VALUE"""),"C#;TypeScript")</f>
        <v>C#;TypeScript</v>
      </c>
      <c r="M7781" s="9" t="s">
        <v>24</v>
      </c>
    </row>
    <row r="7782" ht="15.75" customHeight="1">
      <c r="A7782" s="7"/>
      <c r="B7782" s="7" t="str">
        <f>IFERROR(__xludf.DUMMYFUNCTION("""COMPUTED_VALUE"""),"C#;HTML/CSS;JavaScript;SQL")</f>
        <v>C#;HTML/CSS;JavaScript;SQL</v>
      </c>
      <c r="M7782" s="9" t="s">
        <v>21</v>
      </c>
    </row>
    <row r="7783" ht="15.75" customHeight="1">
      <c r="A7783" s="7"/>
      <c r="B7783" s="7" t="str">
        <f>IFERROR(__xludf.DUMMYFUNCTION("""COMPUTED_VALUE"""),"JavaScript")</f>
        <v>JavaScript</v>
      </c>
      <c r="M7783" s="9" t="s">
        <v>37</v>
      </c>
    </row>
    <row r="7784" ht="15.75" customHeight="1">
      <c r="A7784" s="7"/>
      <c r="B7784" s="7" t="str">
        <f>IFERROR(__xludf.DUMMYFUNCTION("""COMPUTED_VALUE"""),"HTML/CSS;Java;JavaScript;Python;Ruby")</f>
        <v>HTML/CSS;Java;JavaScript;Python;Ruby</v>
      </c>
      <c r="M7784" s="9" t="s">
        <v>27</v>
      </c>
    </row>
    <row r="7785" ht="15.75" customHeight="1">
      <c r="A7785" s="7"/>
      <c r="B7785" s="7" t="str">
        <f>IFERROR(__xludf.DUMMYFUNCTION("""COMPUTED_VALUE"""),"C#;HTML/CSS;JavaScript;SQL;TypeScript")</f>
        <v>C#;HTML/CSS;JavaScript;SQL;TypeScript</v>
      </c>
      <c r="M7785" s="9" t="s">
        <v>30</v>
      </c>
    </row>
    <row r="7786" ht="15.75" customHeight="1">
      <c r="A7786" s="7"/>
      <c r="B7786" s="7" t="str">
        <f>IFERROR(__xludf.DUMMYFUNCTION("""COMPUTED_VALUE"""),"Bash/Shell/PowerShell;Python;Ruby")</f>
        <v>Bash/Shell/PowerShell;Python;Ruby</v>
      </c>
      <c r="M7786" s="9" t="s">
        <v>21</v>
      </c>
    </row>
    <row r="7787" ht="15.75" customHeight="1">
      <c r="A7787" s="7"/>
      <c r="B7787" s="7" t="str">
        <f>IFERROR(__xludf.DUMMYFUNCTION("""COMPUTED_VALUE"""),"C;C++;C#;HTML/CSS;Java;JavaScript;Objective-C;PHP;Python;SQL")</f>
        <v>C;C++;C#;HTML/CSS;Java;JavaScript;Objective-C;PHP;Python;SQL</v>
      </c>
      <c r="M7787" s="9" t="s">
        <v>22</v>
      </c>
    </row>
    <row r="7788" ht="15.75" customHeight="1">
      <c r="A7788" s="7"/>
      <c r="B7788" s="7" t="str">
        <f>IFERROR(__xludf.DUMMYFUNCTION("""COMPUTED_VALUE"""),"HTML/CSS;Java;JavaScript;Kotlin;Swift")</f>
        <v>HTML/CSS;Java;JavaScript;Kotlin;Swift</v>
      </c>
      <c r="M7788" s="9" t="s">
        <v>29</v>
      </c>
    </row>
    <row r="7789" ht="15.75" customHeight="1">
      <c r="A7789" s="7"/>
      <c r="B7789" s="7" t="str">
        <f>IFERROR(__xludf.DUMMYFUNCTION("""COMPUTED_VALUE"""),"Bash/Shell/PowerShell;HTML/CSS;JavaScript")</f>
        <v>Bash/Shell/PowerShell;HTML/CSS;JavaScript</v>
      </c>
      <c r="M7789" s="9" t="s">
        <v>27</v>
      </c>
    </row>
    <row r="7790" ht="15.75" customHeight="1">
      <c r="A7790" s="7"/>
      <c r="B7790" s="7" t="str">
        <f>IFERROR(__xludf.DUMMYFUNCTION("""COMPUTED_VALUE"""),"Bash/Shell/PowerShell;C;C++;HTML/CSS;Java;JavaScript;PHP;SQL")</f>
        <v>Bash/Shell/PowerShell;C;C++;HTML/CSS;Java;JavaScript;PHP;SQL</v>
      </c>
      <c r="M7790" s="9" t="s">
        <v>26</v>
      </c>
    </row>
    <row r="7791" ht="15.75" customHeight="1">
      <c r="A7791" s="7"/>
      <c r="B7791" s="7" t="str">
        <f>IFERROR(__xludf.DUMMYFUNCTION("""COMPUTED_VALUE"""),"C#;HTML/CSS;JavaScript;SQL;TypeScript")</f>
        <v>C#;HTML/CSS;JavaScript;SQL;TypeScript</v>
      </c>
      <c r="M7791" s="9" t="s">
        <v>24</v>
      </c>
    </row>
    <row r="7792" ht="15.75" customHeight="1">
      <c r="A7792" s="7"/>
      <c r="B7792" s="7" t="str">
        <f>IFERROR(__xludf.DUMMYFUNCTION("""COMPUTED_VALUE"""),"Bash/Shell/PowerShell;Objective-C;Ruby;Swift")</f>
        <v>Bash/Shell/PowerShell;Objective-C;Ruby;Swift</v>
      </c>
      <c r="M7792" s="9" t="s">
        <v>20</v>
      </c>
    </row>
    <row r="7793" ht="15.75" customHeight="1">
      <c r="A7793" s="7"/>
      <c r="B7793" s="7" t="str">
        <f>IFERROR(__xludf.DUMMYFUNCTION("""COMPUTED_VALUE"""),"C++;C#;R")</f>
        <v>C++;C#;R</v>
      </c>
      <c r="M7793" s="9" t="s">
        <v>22</v>
      </c>
    </row>
    <row r="7794" ht="15.75" customHeight="1">
      <c r="A7794" s="7"/>
      <c r="B7794" s="7" t="str">
        <f>IFERROR(__xludf.DUMMYFUNCTION("""COMPUTED_VALUE"""),"C#;HTML/CSS;JavaScript;PHP;SQL")</f>
        <v>C#;HTML/CSS;JavaScript;PHP;SQL</v>
      </c>
      <c r="M7794" s="9" t="s">
        <v>30</v>
      </c>
    </row>
    <row r="7795" ht="15.75" customHeight="1">
      <c r="A7795" s="7"/>
      <c r="B7795" s="7" t="str">
        <f>IFERROR(__xludf.DUMMYFUNCTION("""COMPUTED_VALUE"""),"HTML/CSS;Java;JavaScript;SQL")</f>
        <v>HTML/CSS;Java;JavaScript;SQL</v>
      </c>
      <c r="M7795" s="9" t="s">
        <v>25</v>
      </c>
    </row>
    <row r="7796" ht="15.75" customHeight="1">
      <c r="A7796" s="7"/>
      <c r="B7796" s="7" t="str">
        <f>IFERROR(__xludf.DUMMYFUNCTION("""COMPUTED_VALUE"""),"Swift")</f>
        <v>Swift</v>
      </c>
      <c r="M7796" s="9" t="s">
        <v>23</v>
      </c>
    </row>
    <row r="7797" ht="15.75" customHeight="1">
      <c r="A7797" s="7"/>
      <c r="B7797" s="7" t="str">
        <f>IFERROR(__xludf.DUMMYFUNCTION("""COMPUTED_VALUE"""),"Bash/Shell/PowerShell;C++;C#;HTML/CSS;Java;JavaScript;PHP;Python;R;Ruby;SQL;VBA;Other(s):")</f>
        <v>Bash/Shell/PowerShell;C++;C#;HTML/CSS;Java;JavaScript;PHP;Python;R;Ruby;SQL;VBA;Other(s):</v>
      </c>
      <c r="M7797" s="9" t="s">
        <v>26</v>
      </c>
    </row>
    <row r="7798" ht="15.75" customHeight="1">
      <c r="A7798" s="7"/>
      <c r="B7798" s="7" t="str">
        <f>IFERROR(__xludf.DUMMYFUNCTION("""COMPUTED_VALUE"""),"Assembly;Bash/Shell/PowerShell;C;C++;C#;Go;HTML/CSS;JavaScript;Python")</f>
        <v>Assembly;Bash/Shell/PowerShell;C;C++;C#;Go;HTML/CSS;JavaScript;Python</v>
      </c>
      <c r="M7798" s="9" t="s">
        <v>22</v>
      </c>
    </row>
    <row r="7799" ht="15.75" customHeight="1">
      <c r="A7799" s="7"/>
      <c r="B7799" s="7" t="str">
        <f>IFERROR(__xludf.DUMMYFUNCTION("""COMPUTED_VALUE"""),"Bash/Shell/PowerShell;HTML/CSS;JavaScript;Python;TypeScript")</f>
        <v>Bash/Shell/PowerShell;HTML/CSS;JavaScript;Python;TypeScript</v>
      </c>
      <c r="M7799" s="9" t="s">
        <v>40</v>
      </c>
    </row>
    <row r="7800" ht="15.75" customHeight="1">
      <c r="A7800" s="7"/>
      <c r="B7800" s="7" t="str">
        <f>IFERROR(__xludf.DUMMYFUNCTION("""COMPUTED_VALUE"""),"Python;SQL;VBA;Other(s):")</f>
        <v>Python;SQL;VBA;Other(s):</v>
      </c>
      <c r="M7800" s="9" t="s">
        <v>24</v>
      </c>
    </row>
    <row r="7801" ht="15.75" customHeight="1">
      <c r="A7801" s="7"/>
      <c r="B7801" s="7" t="str">
        <f>IFERROR(__xludf.DUMMYFUNCTION("""COMPUTED_VALUE"""),"Bash/Shell/PowerShell;C;C++;HTML/CSS;Java;JavaScript;Python;SQL;Other(s):")</f>
        <v>Bash/Shell/PowerShell;C;C++;HTML/CSS;Java;JavaScript;Python;SQL;Other(s):</v>
      </c>
      <c r="M7801" s="9" t="s">
        <v>20</v>
      </c>
    </row>
    <row r="7802" ht="15.75" customHeight="1">
      <c r="A7802" s="7"/>
      <c r="B7802" s="7" t="str">
        <f>IFERROR(__xludf.DUMMYFUNCTION("""COMPUTED_VALUE"""),"C;C++;C#;Clojure;F#;SQL;Other(s):")</f>
        <v>C;C++;C#;Clojure;F#;SQL;Other(s):</v>
      </c>
      <c r="M7802" s="9" t="s">
        <v>21</v>
      </c>
    </row>
    <row r="7803" ht="15.75" customHeight="1">
      <c r="A7803" s="7"/>
      <c r="B7803" s="7" t="str">
        <f>IFERROR(__xludf.DUMMYFUNCTION("""COMPUTED_VALUE"""),"JavaScript;TypeScript")</f>
        <v>JavaScript;TypeScript</v>
      </c>
      <c r="M7803" s="9" t="s">
        <v>37</v>
      </c>
    </row>
    <row r="7804" ht="15.75" customHeight="1">
      <c r="A7804" s="7"/>
      <c r="B7804" s="7" t="str">
        <f>IFERROR(__xludf.DUMMYFUNCTION("""COMPUTED_VALUE"""),"C#")</f>
        <v>C#</v>
      </c>
      <c r="M7804" s="9" t="s">
        <v>22</v>
      </c>
    </row>
    <row r="7805" ht="15.75" customHeight="1">
      <c r="A7805" s="7"/>
      <c r="B7805" s="7" t="str">
        <f>IFERROR(__xludf.DUMMYFUNCTION("""COMPUTED_VALUE"""),"HTML/CSS;JavaScript;PHP;TypeScript")</f>
        <v>HTML/CSS;JavaScript;PHP;TypeScript</v>
      </c>
      <c r="M7805" s="9" t="s">
        <v>27</v>
      </c>
    </row>
    <row r="7806" ht="15.75" customHeight="1">
      <c r="A7806" s="7"/>
      <c r="B7806" s="7" t="str">
        <f>IFERROR(__xludf.DUMMYFUNCTION("""COMPUTED_VALUE"""),"Assembly;Bash/Shell/PowerShell;C;C++;C#;Clojure;Dart;Elixir;Erlang;F#;Go;HTML/CSS;Java;JavaScript;Kotlin;Objective-C;PHP;Python;R;Ruby;Rust;Scala;SQL;Swift;TypeScript;VBA;WebAssembly")</f>
        <v>Assembly;Bash/Shell/PowerShell;C;C++;C#;Clojure;Dart;Elixir;Erlang;F#;Go;HTML/CSS;Java;JavaScript;Kotlin;Objective-C;PHP;Python;R;Ruby;Rust;Scala;SQL;Swift;TypeScript;VBA;WebAssembly</v>
      </c>
      <c r="M7806" s="9" t="s">
        <v>26</v>
      </c>
    </row>
    <row r="7807" ht="15.75" customHeight="1">
      <c r="A7807" s="7"/>
      <c r="B7807" s="7" t="str">
        <f>IFERROR(__xludf.DUMMYFUNCTION("""COMPUTED_VALUE"""),"Java;JavaScript;Swift")</f>
        <v>Java;JavaScript;Swift</v>
      </c>
      <c r="M7807" s="9" t="s">
        <v>21</v>
      </c>
    </row>
    <row r="7808" ht="15.75" customHeight="1">
      <c r="A7808" s="7"/>
      <c r="B7808" s="7" t="str">
        <f>IFERROR(__xludf.DUMMYFUNCTION("""COMPUTED_VALUE"""),"HTML/CSS;Java;JavaScript;Scala;SQL")</f>
        <v>HTML/CSS;Java;JavaScript;Scala;SQL</v>
      </c>
      <c r="M7808" s="9" t="s">
        <v>27</v>
      </c>
    </row>
    <row r="7809" ht="15.75" customHeight="1">
      <c r="A7809" s="7"/>
      <c r="B7809" s="7" t="str">
        <f>IFERROR(__xludf.DUMMYFUNCTION("""COMPUTED_VALUE"""),"Bash/Shell/PowerShell;Elixir;HTML/CSS;JavaScript;Ruby")</f>
        <v>Bash/Shell/PowerShell;Elixir;HTML/CSS;JavaScript;Ruby</v>
      </c>
      <c r="M7809" s="9" t="s">
        <v>30</v>
      </c>
    </row>
    <row r="7810" ht="15.75" customHeight="1">
      <c r="A7810" s="7"/>
      <c r="B7810" s="7" t="str">
        <f>IFERROR(__xludf.DUMMYFUNCTION("""COMPUTED_VALUE"""),"C#;HTML/CSS;JavaScript;SQL;Other(s):")</f>
        <v>C#;HTML/CSS;JavaScript;SQL;Other(s):</v>
      </c>
      <c r="M7810" s="9" t="s">
        <v>25</v>
      </c>
    </row>
    <row r="7811" ht="15.75" customHeight="1">
      <c r="A7811" s="7"/>
      <c r="B7811" s="7" t="str">
        <f>IFERROR(__xludf.DUMMYFUNCTION("""COMPUTED_VALUE"""),"Bash/Shell/PowerShell;C#;HTML/CSS;JavaScript;Python;Ruby;SQL;TypeScript")</f>
        <v>Bash/Shell/PowerShell;C#;HTML/CSS;JavaScript;Python;Ruby;SQL;TypeScript</v>
      </c>
      <c r="M7811" s="9" t="s">
        <v>23</v>
      </c>
    </row>
    <row r="7812" ht="15.75" customHeight="1">
      <c r="A7812" s="7"/>
      <c r="B7812" s="7" t="str">
        <f>IFERROR(__xludf.DUMMYFUNCTION("""COMPUTED_VALUE"""),"Bash/Shell/PowerShell;C#;HTML/CSS;Java;JavaScript;PHP;SQL")</f>
        <v>Bash/Shell/PowerShell;C#;HTML/CSS;Java;JavaScript;PHP;SQL</v>
      </c>
      <c r="M7812" s="9" t="s">
        <v>26</v>
      </c>
    </row>
    <row r="7813" ht="15.75" customHeight="1">
      <c r="A7813" s="7"/>
      <c r="B7813" s="7" t="str">
        <f>IFERROR(__xludf.DUMMYFUNCTION("""COMPUTED_VALUE"""),"HTML/CSS;JavaScript;Other(s):")</f>
        <v>HTML/CSS;JavaScript;Other(s):</v>
      </c>
      <c r="M7813" s="9" t="s">
        <v>24</v>
      </c>
    </row>
    <row r="7814" ht="15.75" customHeight="1">
      <c r="A7814" s="7"/>
      <c r="B7814" s="7" t="str">
        <f>IFERROR(__xludf.DUMMYFUNCTION("""COMPUTED_VALUE"""),"Go;HTML/CSS;JavaScript;SQL")</f>
        <v>Go;HTML/CSS;JavaScript;SQL</v>
      </c>
      <c r="M7814" s="9" t="s">
        <v>20</v>
      </c>
    </row>
    <row r="7815" ht="15.75" customHeight="1">
      <c r="A7815" s="7"/>
      <c r="B7815" s="7" t="str">
        <f>IFERROR(__xludf.DUMMYFUNCTION("""COMPUTED_VALUE"""),"HTML/CSS;Java;JavaScript;PHP;Python;SQL;TypeScript")</f>
        <v>HTML/CSS;Java;JavaScript;PHP;Python;SQL;TypeScript</v>
      </c>
      <c r="M7815" s="9" t="s">
        <v>21</v>
      </c>
    </row>
    <row r="7816" ht="15.75" customHeight="1">
      <c r="A7816" s="7"/>
      <c r="B7816" s="7" t="str">
        <f>IFERROR(__xludf.DUMMYFUNCTION("""COMPUTED_VALUE"""),"Java;Python;Scala;TypeScript")</f>
        <v>Java;Python;Scala;TypeScript</v>
      </c>
      <c r="M7816" s="9" t="s">
        <v>37</v>
      </c>
    </row>
    <row r="7817" ht="15.75" customHeight="1">
      <c r="A7817" s="7"/>
      <c r="B7817" s="7" t="str">
        <f>IFERROR(__xludf.DUMMYFUNCTION("""COMPUTED_VALUE"""),"HTML/CSS;Java;TypeScript")</f>
        <v>HTML/CSS;Java;TypeScript</v>
      </c>
      <c r="M7817" s="9" t="s">
        <v>22</v>
      </c>
    </row>
    <row r="7818" ht="15.75" customHeight="1">
      <c r="A7818" s="7"/>
      <c r="B7818" s="7" t="str">
        <f>IFERROR(__xludf.DUMMYFUNCTION("""COMPUTED_VALUE"""),"C#;Java;JavaScript;Python")</f>
        <v>C#;Java;JavaScript;Python</v>
      </c>
      <c r="M7818" s="9" t="s">
        <v>40</v>
      </c>
    </row>
    <row r="7819" ht="15.75" customHeight="1">
      <c r="A7819" s="7"/>
      <c r="B7819" s="7" t="str">
        <f>IFERROR(__xludf.DUMMYFUNCTION("""COMPUTED_VALUE"""),"C#;JavaScript;SQL")</f>
        <v>C#;JavaScript;SQL</v>
      </c>
      <c r="M7819" s="9" t="s">
        <v>33</v>
      </c>
    </row>
    <row r="7820" ht="15.75" customHeight="1">
      <c r="A7820" s="7"/>
      <c r="B7820" s="7" t="str">
        <f>IFERROR(__xludf.DUMMYFUNCTION("""COMPUTED_VALUE"""),"HTML/CSS;Java;JavaScript;TypeScript")</f>
        <v>HTML/CSS;Java;JavaScript;TypeScript</v>
      </c>
      <c r="M7820" s="9" t="s">
        <v>30</v>
      </c>
    </row>
    <row r="7821" ht="15.75" customHeight="1">
      <c r="A7821" s="7"/>
      <c r="B7821" s="7" t="str">
        <f>IFERROR(__xludf.DUMMYFUNCTION("""COMPUTED_VALUE"""),"Bash/Shell/PowerShell;Java;JavaScript")</f>
        <v>Bash/Shell/PowerShell;Java;JavaScript</v>
      </c>
      <c r="M7821" s="9" t="s">
        <v>24</v>
      </c>
    </row>
    <row r="7822" ht="15.75" customHeight="1">
      <c r="A7822" s="7"/>
      <c r="B7822" s="7" t="str">
        <f>IFERROR(__xludf.DUMMYFUNCTION("""COMPUTED_VALUE"""),"HTML/CSS;Java;JavaScript;Kotlin;Python;SQL;TypeScript")</f>
        <v>HTML/CSS;Java;JavaScript;Kotlin;Python;SQL;TypeScript</v>
      </c>
      <c r="M7822" s="9" t="s">
        <v>22</v>
      </c>
    </row>
    <row r="7823" ht="15.75" customHeight="1">
      <c r="A7823" s="7"/>
      <c r="B7823" s="7" t="str">
        <f>IFERROR(__xludf.DUMMYFUNCTION("""COMPUTED_VALUE"""),"HTML/CSS;JavaScript")</f>
        <v>HTML/CSS;JavaScript</v>
      </c>
      <c r="M7823" s="9" t="s">
        <v>29</v>
      </c>
    </row>
    <row r="7824" ht="15.75" customHeight="1">
      <c r="A7824" s="7"/>
      <c r="B7824" s="7" t="str">
        <f>IFERROR(__xludf.DUMMYFUNCTION("""COMPUTED_VALUE"""),"SQL")</f>
        <v>SQL</v>
      </c>
      <c r="M7824" s="9" t="s">
        <v>27</v>
      </c>
    </row>
    <row r="7825" ht="15.75" customHeight="1">
      <c r="A7825" s="7"/>
      <c r="B7825" s="7" t="str">
        <f>IFERROR(__xludf.DUMMYFUNCTION("""COMPUTED_VALUE"""),"Bash/Shell/PowerShell;C;C#;Python;Other(s):")</f>
        <v>Bash/Shell/PowerShell;C;C#;Python;Other(s):</v>
      </c>
      <c r="M7825" s="9" t="s">
        <v>24</v>
      </c>
    </row>
    <row r="7826" ht="15.75" customHeight="1">
      <c r="A7826" s="7"/>
      <c r="B7826" s="7" t="str">
        <f>IFERROR(__xludf.DUMMYFUNCTION("""COMPUTED_VALUE"""),"Bash/Shell/PowerShell;C#;Go;HTML/CSS;Java;JavaScript;Python;Rust;Scala;SQL")</f>
        <v>Bash/Shell/PowerShell;C#;Go;HTML/CSS;Java;JavaScript;Python;Rust;Scala;SQL</v>
      </c>
      <c r="M7826" s="9" t="s">
        <v>20</v>
      </c>
    </row>
    <row r="7827" ht="15.75" customHeight="1">
      <c r="A7827" s="7"/>
      <c r="B7827" s="7" t="str">
        <f>IFERROR(__xludf.DUMMYFUNCTION("""COMPUTED_VALUE"""),"JavaScript;Ruby;SQL")</f>
        <v>JavaScript;Ruby;SQL</v>
      </c>
      <c r="M7827" s="9" t="s">
        <v>21</v>
      </c>
    </row>
    <row r="7828" ht="15.75" customHeight="1">
      <c r="A7828" s="7"/>
      <c r="B7828" s="7" t="str">
        <f>IFERROR(__xludf.DUMMYFUNCTION("""COMPUTED_VALUE"""),"Bash/Shell/PowerShell;C++;C#;Dart;Go;HTML/CSS;Java;JavaScript;Kotlin;PHP;Python;SQL;TypeScript")</f>
        <v>Bash/Shell/PowerShell;C++;C#;Dart;Go;HTML/CSS;Java;JavaScript;Kotlin;PHP;Python;SQL;TypeScript</v>
      </c>
      <c r="M7828" s="9" t="s">
        <v>37</v>
      </c>
    </row>
    <row r="7829" ht="15.75" customHeight="1">
      <c r="A7829" s="7"/>
      <c r="B7829" s="7" t="str">
        <f>IFERROR(__xludf.DUMMYFUNCTION("""COMPUTED_VALUE"""),"HTML/CSS;Java;JavaScript;Python;SQL;Other(s):")</f>
        <v>HTML/CSS;Java;JavaScript;Python;SQL;Other(s):</v>
      </c>
      <c r="M7829" s="9" t="s">
        <v>27</v>
      </c>
    </row>
    <row r="7830" ht="15.75" customHeight="1">
      <c r="A7830" s="7"/>
      <c r="B7830" s="7" t="str">
        <f>IFERROR(__xludf.DUMMYFUNCTION("""COMPUTED_VALUE"""),"Bash/Shell/PowerShell;C;C++;Python")</f>
        <v>Bash/Shell/PowerShell;C;C++;Python</v>
      </c>
      <c r="M7830" s="9" t="s">
        <v>24</v>
      </c>
    </row>
    <row r="7831" ht="15.75" customHeight="1">
      <c r="A7831" s="7"/>
      <c r="B7831" s="7" t="str">
        <f>IFERROR(__xludf.DUMMYFUNCTION("""COMPUTED_VALUE"""),"JavaScript")</f>
        <v>JavaScript</v>
      </c>
      <c r="M7831" s="9" t="s">
        <v>20</v>
      </c>
    </row>
    <row r="7832" ht="15.75" customHeight="1">
      <c r="A7832" s="7"/>
      <c r="B7832" s="7" t="str">
        <f>IFERROR(__xludf.DUMMYFUNCTION("""COMPUTED_VALUE"""),"C#;HTML/CSS;JavaScript;PHP")</f>
        <v>C#;HTML/CSS;JavaScript;PHP</v>
      </c>
      <c r="M7832" s="9" t="s">
        <v>21</v>
      </c>
    </row>
    <row r="7833" ht="15.75" customHeight="1">
      <c r="A7833" s="7"/>
      <c r="B7833" s="7" t="str">
        <f>IFERROR(__xludf.DUMMYFUNCTION("""COMPUTED_VALUE"""),"Bash/Shell/PowerShell;C++;HTML/CSS;JavaScript;Python;SQL;Other(s):")</f>
        <v>Bash/Shell/PowerShell;C++;HTML/CSS;JavaScript;Python;SQL;Other(s):</v>
      </c>
      <c r="M7833" s="9" t="s">
        <v>27</v>
      </c>
    </row>
    <row r="7834" ht="15.75" customHeight="1">
      <c r="A7834" s="7"/>
      <c r="B7834" s="7" t="str">
        <f>IFERROR(__xludf.DUMMYFUNCTION("""COMPUTED_VALUE"""),"Bash/Shell/PowerShell;Python;SQL")</f>
        <v>Bash/Shell/PowerShell;Python;SQL</v>
      </c>
      <c r="M7834" s="9" t="s">
        <v>33</v>
      </c>
    </row>
    <row r="7835" ht="15.75" customHeight="1">
      <c r="A7835" s="7"/>
      <c r="B7835" s="7" t="str">
        <f>IFERROR(__xludf.DUMMYFUNCTION("""COMPUTED_VALUE"""),"Bash/Shell/PowerShell;HTML/CSS;Java;JavaScript;PHP;Python;SQL;VBA")</f>
        <v>Bash/Shell/PowerShell;HTML/CSS;Java;JavaScript;PHP;Python;SQL;VBA</v>
      </c>
      <c r="M7835" s="9" t="s">
        <v>30</v>
      </c>
    </row>
    <row r="7836" ht="15.75" customHeight="1">
      <c r="A7836" s="7"/>
      <c r="B7836" s="7" t="str">
        <f>IFERROR(__xludf.DUMMYFUNCTION("""COMPUTED_VALUE"""),"HTML/CSS;Java;JavaScript;SQL;Other(s):")</f>
        <v>HTML/CSS;Java;JavaScript;SQL;Other(s):</v>
      </c>
      <c r="M7836" s="9" t="s">
        <v>24</v>
      </c>
    </row>
    <row r="7837" ht="15.75" customHeight="1">
      <c r="A7837" s="7"/>
      <c r="B7837" s="7" t="str">
        <f>IFERROR(__xludf.DUMMYFUNCTION("""COMPUTED_VALUE"""),"JavaScript;PHP;SQL")</f>
        <v>JavaScript;PHP;SQL</v>
      </c>
      <c r="M7837" s="9" t="s">
        <v>20</v>
      </c>
    </row>
    <row r="7838" ht="15.75" customHeight="1">
      <c r="A7838" s="7"/>
      <c r="B7838" s="7" t="str">
        <f>IFERROR(__xludf.DUMMYFUNCTION("""COMPUTED_VALUE"""),"Assembly;HTML/CSS;JavaScript;R;Ruby;SQL")</f>
        <v>Assembly;HTML/CSS;JavaScript;R;Ruby;SQL</v>
      </c>
      <c r="M7838" s="9" t="s">
        <v>21</v>
      </c>
    </row>
    <row r="7839" ht="15.75" customHeight="1">
      <c r="A7839" s="7"/>
      <c r="B7839" s="7" t="str">
        <f>IFERROR(__xludf.DUMMYFUNCTION("""COMPUTED_VALUE"""),"C#;Elixir;F#;Java;JavaScript;TypeScript")</f>
        <v>C#;Elixir;F#;Java;JavaScript;TypeScript</v>
      </c>
      <c r="M7839" s="9" t="s">
        <v>39</v>
      </c>
    </row>
    <row r="7840" ht="15.75" customHeight="1">
      <c r="A7840" s="7"/>
      <c r="B7840" s="7" t="str">
        <f>IFERROR(__xludf.DUMMYFUNCTION("""COMPUTED_VALUE"""),"HTML/CSS;JavaScript;TypeScript")</f>
        <v>HTML/CSS;JavaScript;TypeScript</v>
      </c>
      <c r="M7840" s="9" t="s">
        <v>22</v>
      </c>
    </row>
    <row r="7841" ht="15.75" customHeight="1">
      <c r="A7841" s="7"/>
      <c r="B7841" s="7" t="str">
        <f>IFERROR(__xludf.DUMMYFUNCTION("""COMPUTED_VALUE"""),"HTML/CSS;JavaScript;TypeScript")</f>
        <v>HTML/CSS;JavaScript;TypeScript</v>
      </c>
      <c r="M7841" s="9" t="s">
        <v>46</v>
      </c>
    </row>
    <row r="7842" ht="15.75" customHeight="1">
      <c r="A7842" s="7"/>
      <c r="B7842" s="7" t="str">
        <f>IFERROR(__xludf.DUMMYFUNCTION("""COMPUTED_VALUE"""),"Bash/Shell/PowerShell;C;C++;C#;HTML/CSS;JavaScript;Objective-C;Python;R;SQL;TypeScript;VBA")</f>
        <v>Bash/Shell/PowerShell;C;C++;C#;HTML/CSS;JavaScript;Objective-C;Python;R;SQL;TypeScript;VBA</v>
      </c>
      <c r="M7842" s="9" t="s">
        <v>27</v>
      </c>
    </row>
    <row r="7843" ht="15.75" customHeight="1">
      <c r="A7843" s="7"/>
      <c r="B7843" s="7" t="str">
        <f>IFERROR(__xludf.DUMMYFUNCTION("""COMPUTED_VALUE"""),"C#;HTML/CSS;JavaScript;PHP;SQL;VBA")</f>
        <v>C#;HTML/CSS;JavaScript;PHP;SQL;VBA</v>
      </c>
      <c r="M7843" s="9" t="s">
        <v>23</v>
      </c>
    </row>
    <row r="7844" ht="15.75" customHeight="1">
      <c r="A7844" s="7"/>
      <c r="B7844" s="7" t="str">
        <f>IFERROR(__xludf.DUMMYFUNCTION("""COMPUTED_VALUE"""),"JavaScript")</f>
        <v>JavaScript</v>
      </c>
      <c r="M7844" s="9" t="s">
        <v>26</v>
      </c>
    </row>
    <row r="7845" ht="15.75" customHeight="1">
      <c r="A7845" s="7"/>
      <c r="B7845" s="7" t="str">
        <f>IFERROR(__xludf.DUMMYFUNCTION("""COMPUTED_VALUE"""),"Bash/Shell/PowerShell;C;HTML/CSS;Java;JavaScript;Objective-C;SQL")</f>
        <v>Bash/Shell/PowerShell;C;HTML/CSS;Java;JavaScript;Objective-C;SQL</v>
      </c>
      <c r="M7845" s="9" t="s">
        <v>24</v>
      </c>
    </row>
    <row r="7846" ht="15.75" customHeight="1">
      <c r="A7846" s="7"/>
      <c r="B7846" s="7" t="str">
        <f>IFERROR(__xludf.DUMMYFUNCTION("""COMPUTED_VALUE"""),"Python")</f>
        <v>Python</v>
      </c>
      <c r="M7846" s="9" t="s">
        <v>20</v>
      </c>
    </row>
    <row r="7847" ht="15.75" customHeight="1">
      <c r="A7847" s="7"/>
      <c r="B7847" s="7" t="str">
        <f>IFERROR(__xludf.DUMMYFUNCTION("""COMPUTED_VALUE"""),"Bash/Shell/PowerShell;C#;HTML/CSS;JavaScript;PHP;Python;SQL;TypeScript")</f>
        <v>Bash/Shell/PowerShell;C#;HTML/CSS;JavaScript;PHP;Python;SQL;TypeScript</v>
      </c>
      <c r="M7847" s="9" t="s">
        <v>21</v>
      </c>
    </row>
    <row r="7848" ht="15.75" customHeight="1">
      <c r="A7848" s="7"/>
      <c r="B7848" s="7" t="str">
        <f>IFERROR(__xludf.DUMMYFUNCTION("""COMPUTED_VALUE"""),"Bash/Shell/PowerShell;C++;HTML/CSS;Java;JavaScript;Python;SQL;TypeScript")</f>
        <v>Bash/Shell/PowerShell;C++;HTML/CSS;Java;JavaScript;Python;SQL;TypeScript</v>
      </c>
      <c r="M7848" s="9" t="s">
        <v>27</v>
      </c>
    </row>
    <row r="7849" ht="15.75" customHeight="1">
      <c r="A7849" s="7"/>
      <c r="B7849" s="7" t="str">
        <f>IFERROR(__xludf.DUMMYFUNCTION("""COMPUTED_VALUE"""),"Java;Kotlin")</f>
        <v>Java;Kotlin</v>
      </c>
      <c r="M7849" s="9" t="s">
        <v>30</v>
      </c>
    </row>
    <row r="7850" ht="15.75" customHeight="1">
      <c r="A7850" s="7"/>
      <c r="B7850" s="7" t="str">
        <f>IFERROR(__xludf.DUMMYFUNCTION("""COMPUTED_VALUE"""),"C#;HTML/CSS;JavaScript;SQL")</f>
        <v>C#;HTML/CSS;JavaScript;SQL</v>
      </c>
      <c r="M7850" s="9" t="s">
        <v>24</v>
      </c>
    </row>
    <row r="7851" ht="15.75" customHeight="1">
      <c r="A7851" s="7"/>
      <c r="B7851" s="7" t="str">
        <f>IFERROR(__xludf.DUMMYFUNCTION("""COMPUTED_VALUE"""),"Bash/Shell/PowerShell;C++;C#;HTML/CSS;Java;JavaScript;PHP;Python;SQL;TypeScript")</f>
        <v>Bash/Shell/PowerShell;C++;C#;HTML/CSS;Java;JavaScript;PHP;Python;SQL;TypeScript</v>
      </c>
      <c r="M7851" s="9" t="s">
        <v>21</v>
      </c>
    </row>
    <row r="7852" ht="15.75" customHeight="1">
      <c r="A7852" s="7"/>
      <c r="B7852" s="7" t="str">
        <f>IFERROR(__xludf.DUMMYFUNCTION("""COMPUTED_VALUE"""),"HTML/CSS;Java;JavaScript;PHP;Python;SQL")</f>
        <v>HTML/CSS;Java;JavaScript;PHP;Python;SQL</v>
      </c>
      <c r="M7852" s="9" t="s">
        <v>27</v>
      </c>
    </row>
    <row r="7853" ht="15.75" customHeight="1">
      <c r="A7853" s="7"/>
      <c r="B7853" s="7" t="str">
        <f>IFERROR(__xludf.DUMMYFUNCTION("""COMPUTED_VALUE"""),"C#;HTML/CSS;Java;JavaScript;SQL;TypeScript")</f>
        <v>C#;HTML/CSS;Java;JavaScript;SQL;TypeScript</v>
      </c>
      <c r="M7853" s="9" t="s">
        <v>35</v>
      </c>
    </row>
    <row r="7854" ht="15.75" customHeight="1">
      <c r="A7854" s="7"/>
      <c r="B7854" s="7" t="str">
        <f>IFERROR(__xludf.DUMMYFUNCTION("""COMPUTED_VALUE"""),"C;C++;C#;Python")</f>
        <v>C;C++;C#;Python</v>
      </c>
      <c r="M7854" s="9" t="s">
        <v>30</v>
      </c>
    </row>
    <row r="7855" ht="15.75" customHeight="1">
      <c r="A7855" s="7"/>
      <c r="B7855" s="7" t="str">
        <f>IFERROR(__xludf.DUMMYFUNCTION("""COMPUTED_VALUE"""),"Bash/Shell/PowerShell;C;C++;C#;SQL")</f>
        <v>Bash/Shell/PowerShell;C;C++;C#;SQL</v>
      </c>
      <c r="M7855" s="9" t="s">
        <v>24</v>
      </c>
    </row>
    <row r="7856" ht="15.75" customHeight="1">
      <c r="A7856" s="7"/>
      <c r="B7856" s="7" t="str">
        <f>IFERROR(__xludf.DUMMYFUNCTION("""COMPUTED_VALUE"""),"Assembly;Bash/Shell/PowerShell;C;C++;HTML/CSS;Java;JavaScript;Python")</f>
        <v>Assembly;Bash/Shell/PowerShell;C;C++;HTML/CSS;Java;JavaScript;Python</v>
      </c>
      <c r="M7856" s="9" t="s">
        <v>20</v>
      </c>
    </row>
    <row r="7857" ht="15.75" customHeight="1">
      <c r="A7857" s="7"/>
      <c r="B7857" s="7" t="str">
        <f>IFERROR(__xludf.DUMMYFUNCTION("""COMPUTED_VALUE"""),"Python")</f>
        <v>Python</v>
      </c>
      <c r="M7857" s="9" t="s">
        <v>21</v>
      </c>
    </row>
    <row r="7858" ht="15.75" customHeight="1">
      <c r="A7858" s="7"/>
      <c r="B7858" s="7" t="str">
        <f>IFERROR(__xludf.DUMMYFUNCTION("""COMPUTED_VALUE"""),"C#;HTML/CSS;JavaScript;Kotlin;PHP;SQL")</f>
        <v>C#;HTML/CSS;JavaScript;Kotlin;PHP;SQL</v>
      </c>
      <c r="M7858" s="9" t="s">
        <v>37</v>
      </c>
    </row>
    <row r="7859" ht="15.75" customHeight="1">
      <c r="A7859" s="7"/>
      <c r="B7859" s="7" t="str">
        <f>IFERROR(__xludf.DUMMYFUNCTION("""COMPUTED_VALUE"""),"Bash/Shell/PowerShell;HTML/CSS;JavaScript;PHP;SQL;VBA;Other(s):")</f>
        <v>Bash/Shell/PowerShell;HTML/CSS;JavaScript;PHP;SQL;VBA;Other(s):</v>
      </c>
      <c r="M7859" s="9" t="s">
        <v>27</v>
      </c>
    </row>
    <row r="7860" ht="15.75" customHeight="1">
      <c r="A7860" s="7"/>
      <c r="B7860" s="7" t="str">
        <f>IFERROR(__xludf.DUMMYFUNCTION("""COMPUTED_VALUE"""),"Bash/Shell/PowerShell;C;C++;C#;Go;HTML/CSS;JavaScript;PHP;Ruby;SQL")</f>
        <v>Bash/Shell/PowerShell;C;C++;C#;Go;HTML/CSS;JavaScript;PHP;Ruby;SQL</v>
      </c>
      <c r="M7860" s="9" t="s">
        <v>30</v>
      </c>
    </row>
    <row r="7861" ht="15.75" customHeight="1">
      <c r="A7861" s="7"/>
      <c r="B7861" s="7" t="str">
        <f>IFERROR(__xludf.DUMMYFUNCTION("""COMPUTED_VALUE"""),"Bash/Shell/PowerShell;C++;HTML/CSS;JavaScript;PHP;Python;SQL;TypeScript")</f>
        <v>Bash/Shell/PowerShell;C++;HTML/CSS;JavaScript;PHP;Python;SQL;TypeScript</v>
      </c>
      <c r="M7861" s="9" t="s">
        <v>24</v>
      </c>
    </row>
    <row r="7862" ht="15.75" customHeight="1">
      <c r="A7862" s="7"/>
      <c r="B7862" s="7" t="str">
        <f>IFERROR(__xludf.DUMMYFUNCTION("""COMPUTED_VALUE"""),"C#;Python")</f>
        <v>C#;Python</v>
      </c>
      <c r="M7862" s="9" t="s">
        <v>20</v>
      </c>
    </row>
    <row r="7863" ht="15.75" customHeight="1">
      <c r="A7863" s="7"/>
      <c r="B7863" s="7" t="str">
        <f>IFERROR(__xludf.DUMMYFUNCTION("""COMPUTED_VALUE"""),"HTML/CSS;JavaScript;PHP;SQL")</f>
        <v>HTML/CSS;JavaScript;PHP;SQL</v>
      </c>
      <c r="M7863" s="9" t="s">
        <v>21</v>
      </c>
    </row>
    <row r="7864" ht="15.75" customHeight="1">
      <c r="A7864" s="7"/>
      <c r="B7864" s="7" t="str">
        <f>IFERROR(__xludf.DUMMYFUNCTION("""COMPUTED_VALUE"""),"Bash/Shell/PowerShell;Java")</f>
        <v>Bash/Shell/PowerShell;Java</v>
      </c>
      <c r="M7864" s="9" t="s">
        <v>27</v>
      </c>
    </row>
    <row r="7865" ht="15.75" customHeight="1">
      <c r="A7865" s="7"/>
      <c r="B7865" s="7" t="str">
        <f>IFERROR(__xludf.DUMMYFUNCTION("""COMPUTED_VALUE"""),"Assembly;Bash/Shell/PowerShell;Java;Python;Ruby")</f>
        <v>Assembly;Bash/Shell/PowerShell;Java;Python;Ruby</v>
      </c>
      <c r="M7865" s="9" t="s">
        <v>33</v>
      </c>
    </row>
    <row r="7866" ht="15.75" customHeight="1">
      <c r="A7866" s="7"/>
      <c r="B7866" s="7" t="str">
        <f>IFERROR(__xludf.DUMMYFUNCTION("""COMPUTED_VALUE"""),"C#;HTML/CSS;JavaScript;TypeScript")</f>
        <v>C#;HTML/CSS;JavaScript;TypeScript</v>
      </c>
      <c r="M7866" s="9" t="s">
        <v>26</v>
      </c>
    </row>
    <row r="7867" ht="15.75" customHeight="1">
      <c r="A7867" s="7"/>
      <c r="B7867" s="7" t="str">
        <f>IFERROR(__xludf.DUMMYFUNCTION("""COMPUTED_VALUE"""),"JavaScript;Python;Rust;SQL")</f>
        <v>JavaScript;Python;Rust;SQL</v>
      </c>
      <c r="M7867" s="9" t="s">
        <v>27</v>
      </c>
    </row>
    <row r="7868" ht="15.75" customHeight="1">
      <c r="A7868" s="7"/>
      <c r="B7868" s="7" t="str">
        <f>IFERROR(__xludf.DUMMYFUNCTION("""COMPUTED_VALUE"""),"HTML/CSS;JavaScript")</f>
        <v>HTML/CSS;JavaScript</v>
      </c>
      <c r="M7868" s="9" t="s">
        <v>30</v>
      </c>
    </row>
    <row r="7869" ht="15.75" customHeight="1">
      <c r="A7869" s="7"/>
      <c r="B7869" s="7" t="str">
        <f>IFERROR(__xludf.DUMMYFUNCTION("""COMPUTED_VALUE"""),"C#")</f>
        <v>C#</v>
      </c>
      <c r="M7869" s="9" t="s">
        <v>25</v>
      </c>
    </row>
    <row r="7870" ht="15.75" customHeight="1">
      <c r="A7870" s="7"/>
      <c r="B7870" s="7" t="str">
        <f>IFERROR(__xludf.DUMMYFUNCTION("""COMPUTED_VALUE"""),"C;C++;Other(s):")</f>
        <v>C;C++;Other(s):</v>
      </c>
      <c r="M7870" s="9" t="s">
        <v>23</v>
      </c>
    </row>
    <row r="7871" ht="15.75" customHeight="1">
      <c r="A7871" s="7"/>
      <c r="B7871" s="7" t="str">
        <f>IFERROR(__xludf.DUMMYFUNCTION("""COMPUTED_VALUE"""),"Bash/Shell/PowerShell;C++;C#;HTML/CSS;Java;JavaScript;PHP;SQL")</f>
        <v>Bash/Shell/PowerShell;C++;C#;HTML/CSS;Java;JavaScript;PHP;SQL</v>
      </c>
      <c r="M7871" s="9" t="s">
        <v>20</v>
      </c>
    </row>
    <row r="7872" ht="15.75" customHeight="1">
      <c r="A7872" s="7"/>
      <c r="B7872" s="7" t="str">
        <f>IFERROR(__xludf.DUMMYFUNCTION("""COMPUTED_VALUE"""),"Bash/Shell/PowerShell;C#;Go;JavaScript")</f>
        <v>Bash/Shell/PowerShell;C#;Go;JavaScript</v>
      </c>
      <c r="M7872" s="9" t="s">
        <v>39</v>
      </c>
    </row>
    <row r="7873" ht="15.75" customHeight="1">
      <c r="A7873" s="7"/>
      <c r="B7873" s="7" t="str">
        <f>IFERROR(__xludf.DUMMYFUNCTION("""COMPUTED_VALUE"""),"HTML/CSS;JavaScript;PHP;SQL")</f>
        <v>HTML/CSS;JavaScript;PHP;SQL</v>
      </c>
      <c r="M7873" s="9" t="s">
        <v>22</v>
      </c>
    </row>
    <row r="7874" ht="15.75" customHeight="1">
      <c r="A7874" s="7"/>
      <c r="B7874" s="7" t="str">
        <f>IFERROR(__xludf.DUMMYFUNCTION("""COMPUTED_VALUE"""),"Bash/Shell/PowerShell;C;C++;Java;Python;SQL")</f>
        <v>Bash/Shell/PowerShell;C;C++;Java;Python;SQL</v>
      </c>
      <c r="M7874" s="9" t="s">
        <v>35</v>
      </c>
    </row>
    <row r="7875" ht="15.75" customHeight="1">
      <c r="A7875" s="7"/>
      <c r="B7875" s="7" t="str">
        <f>IFERROR(__xludf.DUMMYFUNCTION("""COMPUTED_VALUE"""),"C;C++;C#;HTML/CSS;Java;JavaScript;PHP;SQL")</f>
        <v>C;C++;C#;HTML/CSS;Java;JavaScript;PHP;SQL</v>
      </c>
      <c r="M7875" s="9" t="s">
        <v>23</v>
      </c>
    </row>
    <row r="7876" ht="15.75" customHeight="1">
      <c r="A7876" s="7"/>
      <c r="B7876" s="7" t="str">
        <f>IFERROR(__xludf.DUMMYFUNCTION("""COMPUTED_VALUE"""),"C#")</f>
        <v>C#</v>
      </c>
      <c r="M7876" s="9" t="s">
        <v>24</v>
      </c>
    </row>
    <row r="7877" ht="15.75" customHeight="1">
      <c r="A7877" s="7"/>
      <c r="B7877" s="7" t="str">
        <f>IFERROR(__xludf.DUMMYFUNCTION("""COMPUTED_VALUE"""),"Bash/Shell/PowerShell;Clojure;HTML/CSS;JavaScript;Python;SQL;TypeScript")</f>
        <v>Bash/Shell/PowerShell;Clojure;HTML/CSS;JavaScript;Python;SQL;TypeScript</v>
      </c>
      <c r="M7877" s="9" t="s">
        <v>21</v>
      </c>
    </row>
    <row r="7878" ht="15.75" customHeight="1">
      <c r="A7878" s="7"/>
      <c r="B7878" s="7" t="str">
        <f>IFERROR(__xludf.DUMMYFUNCTION("""COMPUTED_VALUE"""),"C++;C#")</f>
        <v>C++;C#</v>
      </c>
      <c r="M7878" s="9" t="s">
        <v>22</v>
      </c>
    </row>
    <row r="7879" ht="15.75" customHeight="1">
      <c r="A7879" s="7"/>
      <c r="B7879" s="7" t="str">
        <f>IFERROR(__xludf.DUMMYFUNCTION("""COMPUTED_VALUE"""),"HTML/CSS;Java;JavaScript;PHP;Python")</f>
        <v>HTML/CSS;Java;JavaScript;PHP;Python</v>
      </c>
      <c r="M7879" s="9" t="s">
        <v>24</v>
      </c>
    </row>
    <row r="7880" ht="15.75" customHeight="1">
      <c r="A7880" s="7"/>
      <c r="B7880" s="7" t="str">
        <f>IFERROR(__xludf.DUMMYFUNCTION("""COMPUTED_VALUE"""),"Bash/Shell/PowerShell;HTML/CSS;Java")</f>
        <v>Bash/Shell/PowerShell;HTML/CSS;Java</v>
      </c>
      <c r="M7880" s="9" t="s">
        <v>21</v>
      </c>
    </row>
    <row r="7881" ht="15.75" customHeight="1">
      <c r="A7881" s="7"/>
      <c r="B7881" s="7" t="str">
        <f>IFERROR(__xludf.DUMMYFUNCTION("""COMPUTED_VALUE"""),"Python;R")</f>
        <v>Python;R</v>
      </c>
      <c r="M7881" s="9" t="s">
        <v>37</v>
      </c>
    </row>
    <row r="7882" ht="15.75" customHeight="1">
      <c r="A7882" s="7"/>
      <c r="B7882" s="7" t="str">
        <f>IFERROR(__xludf.DUMMYFUNCTION("""COMPUTED_VALUE"""),"Bash/Shell/PowerShell;C;HTML/CSS;JavaScript;Python;SQL;Swift")</f>
        <v>Bash/Shell/PowerShell;C;HTML/CSS;JavaScript;Python;SQL;Swift</v>
      </c>
      <c r="M7882" s="9" t="s">
        <v>46</v>
      </c>
    </row>
    <row r="7883" ht="15.75" customHeight="1">
      <c r="A7883" s="7"/>
      <c r="B7883" s="7" t="str">
        <f>IFERROR(__xludf.DUMMYFUNCTION("""COMPUTED_VALUE"""),"Java;Ruby;Scala;SQL")</f>
        <v>Java;Ruby;Scala;SQL</v>
      </c>
      <c r="M7883" s="9" t="s">
        <v>27</v>
      </c>
    </row>
    <row r="7884" ht="15.75" customHeight="1">
      <c r="A7884" s="7"/>
      <c r="B7884" s="7" t="str">
        <f>IFERROR(__xludf.DUMMYFUNCTION("""COMPUTED_VALUE"""),"C;C++;Java;Other(s):")</f>
        <v>C;C++;Java;Other(s):</v>
      </c>
      <c r="M7884" s="9" t="s">
        <v>30</v>
      </c>
    </row>
    <row r="7885" ht="15.75" customHeight="1">
      <c r="A7885" s="7"/>
      <c r="B7885" s="7" t="str">
        <f>IFERROR(__xludf.DUMMYFUNCTION("""COMPUTED_VALUE"""),"Bash/Shell/PowerShell;Python;R;SQL")</f>
        <v>Bash/Shell/PowerShell;Python;R;SQL</v>
      </c>
      <c r="M7885" s="9" t="s">
        <v>26</v>
      </c>
    </row>
    <row r="7886" ht="15.75" customHeight="1">
      <c r="A7886" s="7"/>
      <c r="B7886" s="7" t="str">
        <f>IFERROR(__xludf.DUMMYFUNCTION("""COMPUTED_VALUE"""),"Assembly;Ruby;WebAssembly;Other(s):")</f>
        <v>Assembly;Ruby;WebAssembly;Other(s):</v>
      </c>
      <c r="M7886" s="9" t="s">
        <v>24</v>
      </c>
    </row>
    <row r="7887" ht="15.75" customHeight="1">
      <c r="A7887" s="7"/>
      <c r="B7887" s="7" t="str">
        <f>IFERROR(__xludf.DUMMYFUNCTION("""COMPUTED_VALUE"""),"C#;HTML/CSS;JavaScript;Python;SQL")</f>
        <v>C#;HTML/CSS;JavaScript;Python;SQL</v>
      </c>
      <c r="M7887" s="9" t="s">
        <v>21</v>
      </c>
    </row>
    <row r="7888" ht="15.75" customHeight="1">
      <c r="A7888" s="7"/>
      <c r="B7888" s="7" t="str">
        <f>IFERROR(__xludf.DUMMYFUNCTION("""COMPUTED_VALUE"""),"HTML/CSS;Java;JavaScript;Ruby;TypeScript")</f>
        <v>HTML/CSS;Java;JavaScript;Ruby;TypeScript</v>
      </c>
      <c r="M7888" s="9" t="s">
        <v>37</v>
      </c>
    </row>
    <row r="7889" ht="15.75" customHeight="1">
      <c r="A7889" s="7"/>
      <c r="B7889" s="7" t="str">
        <f>IFERROR(__xludf.DUMMYFUNCTION("""COMPUTED_VALUE"""),"Bash/Shell/PowerShell;C#;HTML/CSS;JavaScript;SQL;VBA")</f>
        <v>Bash/Shell/PowerShell;C#;HTML/CSS;JavaScript;SQL;VBA</v>
      </c>
      <c r="M7889" s="9" t="s">
        <v>22</v>
      </c>
    </row>
    <row r="7890" ht="15.75" customHeight="1">
      <c r="A7890" s="7"/>
      <c r="B7890" s="7" t="str">
        <f>IFERROR(__xludf.DUMMYFUNCTION("""COMPUTED_VALUE"""),"Assembly;R")</f>
        <v>Assembly;R</v>
      </c>
      <c r="M7890" s="9" t="s">
        <v>27</v>
      </c>
    </row>
    <row r="7891" ht="15.75" customHeight="1">
      <c r="A7891" s="7"/>
      <c r="B7891" s="7" t="str">
        <f>IFERROR(__xludf.DUMMYFUNCTION("""COMPUTED_VALUE"""),"Bash/Shell/PowerShell;C;C++;HTML/CSS;Java;Kotlin;Python")</f>
        <v>Bash/Shell/PowerShell;C;C++;HTML/CSS;Java;Kotlin;Python</v>
      </c>
      <c r="M7891" s="9" t="s">
        <v>25</v>
      </c>
    </row>
    <row r="7892" ht="15.75" customHeight="1">
      <c r="A7892" s="7"/>
      <c r="B7892" s="7" t="str">
        <f>IFERROR(__xludf.DUMMYFUNCTION("""COMPUTED_VALUE"""),"Bash/Shell/PowerShell;C#;Go;HTML/CSS;JavaScript;Python;Ruby;SQL;TypeScript")</f>
        <v>Bash/Shell/PowerShell;C#;Go;HTML/CSS;JavaScript;Python;Ruby;SQL;TypeScript</v>
      </c>
      <c r="M7892" s="9" t="s">
        <v>23</v>
      </c>
    </row>
    <row r="7893" ht="15.75" customHeight="1">
      <c r="A7893" s="7"/>
      <c r="B7893" s="7" t="str">
        <f>IFERROR(__xludf.DUMMYFUNCTION("""COMPUTED_VALUE"""),"Bash/Shell/PowerShell;Java;Python;R;Scala;SQL")</f>
        <v>Bash/Shell/PowerShell;Java;Python;R;Scala;SQL</v>
      </c>
      <c r="M7893" s="9" t="s">
        <v>26</v>
      </c>
    </row>
    <row r="7894" ht="15.75" customHeight="1">
      <c r="A7894" s="7"/>
      <c r="B7894" s="7" t="str">
        <f>IFERROR(__xludf.DUMMYFUNCTION("""COMPUTED_VALUE"""),"Bash/Shell/PowerShell;C#;Go;HTML/CSS;Python;SQL;VBA")</f>
        <v>Bash/Shell/PowerShell;C#;Go;HTML/CSS;Python;SQL;VBA</v>
      </c>
      <c r="M7894" s="9" t="s">
        <v>24</v>
      </c>
    </row>
    <row r="7895" ht="15.75" customHeight="1">
      <c r="A7895" s="7"/>
      <c r="B7895" s="7" t="str">
        <f>IFERROR(__xludf.DUMMYFUNCTION("""COMPUTED_VALUE"""),"C#;HTML/CSS;JavaScript;SQL;TypeScript")</f>
        <v>C#;HTML/CSS;JavaScript;SQL;TypeScript</v>
      </c>
      <c r="M7895" s="9" t="s">
        <v>20</v>
      </c>
    </row>
    <row r="7896" ht="15.75" customHeight="1">
      <c r="A7896" s="7"/>
      <c r="B7896" s="7" t="str">
        <f>IFERROR(__xludf.DUMMYFUNCTION("""COMPUTED_VALUE"""),"Java;JavaScript")</f>
        <v>Java;JavaScript</v>
      </c>
      <c r="M7896" s="9" t="s">
        <v>21</v>
      </c>
    </row>
    <row r="7897" ht="15.75" customHeight="1">
      <c r="A7897" s="7"/>
      <c r="B7897" s="7" t="str">
        <f>IFERROR(__xludf.DUMMYFUNCTION("""COMPUTED_VALUE"""),"Objective-C;Swift")</f>
        <v>Objective-C;Swift</v>
      </c>
      <c r="M7897" s="9" t="s">
        <v>39</v>
      </c>
    </row>
    <row r="7898" ht="15.75" customHeight="1">
      <c r="A7898" s="7"/>
      <c r="B7898" s="7" t="str">
        <f>IFERROR(__xludf.DUMMYFUNCTION("""COMPUTED_VALUE"""),"HTML/CSS;PHP")</f>
        <v>HTML/CSS;PHP</v>
      </c>
      <c r="M7898" s="9" t="s">
        <v>32</v>
      </c>
    </row>
    <row r="7899" ht="15.75" customHeight="1">
      <c r="A7899" s="7"/>
      <c r="B7899" s="7" t="str">
        <f>IFERROR(__xludf.DUMMYFUNCTION("""COMPUTED_VALUE"""),"HTML/CSS;JavaScript;PHP")</f>
        <v>HTML/CSS;JavaScript;PHP</v>
      </c>
      <c r="M7899" s="9" t="s">
        <v>27</v>
      </c>
    </row>
    <row r="7900" ht="15.75" customHeight="1">
      <c r="A7900" s="7"/>
      <c r="B7900" s="7" t="str">
        <f>IFERROR(__xludf.DUMMYFUNCTION("""COMPUTED_VALUE"""),"HTML/CSS;JavaScript;PHP;SQL;TypeScript")</f>
        <v>HTML/CSS;JavaScript;PHP;SQL;TypeScript</v>
      </c>
      <c r="M7900" s="9" t="s">
        <v>40</v>
      </c>
    </row>
    <row r="7901" ht="15.75" customHeight="1">
      <c r="A7901" s="7"/>
      <c r="B7901" s="7" t="str">
        <f>IFERROR(__xludf.DUMMYFUNCTION("""COMPUTED_VALUE"""),"Bash/Shell/PowerShell;C;C++;C#;JavaScript;Objective-C;Swift")</f>
        <v>Bash/Shell/PowerShell;C;C++;C#;JavaScript;Objective-C;Swift</v>
      </c>
      <c r="M7901" s="9" t="s">
        <v>33</v>
      </c>
    </row>
    <row r="7902" ht="15.75" customHeight="1">
      <c r="A7902" s="7"/>
      <c r="B7902" s="7" t="str">
        <f>IFERROR(__xludf.DUMMYFUNCTION("""COMPUTED_VALUE"""),"Assembly;Bash/Shell/PowerShell;C")</f>
        <v>Assembly;Bash/Shell/PowerShell;C</v>
      </c>
      <c r="M7902" s="9" t="s">
        <v>24</v>
      </c>
    </row>
    <row r="7903" ht="15.75" customHeight="1">
      <c r="A7903" s="7"/>
      <c r="B7903" s="7" t="str">
        <f>IFERROR(__xludf.DUMMYFUNCTION("""COMPUTED_VALUE"""),"Python;SQL")</f>
        <v>Python;SQL</v>
      </c>
      <c r="M7903" s="9" t="s">
        <v>21</v>
      </c>
    </row>
    <row r="7904" ht="15.75" customHeight="1">
      <c r="A7904" s="7"/>
      <c r="B7904" s="7" t="str">
        <f>IFERROR(__xludf.DUMMYFUNCTION("""COMPUTED_VALUE"""),"Bash/Shell/PowerShell;C;C++;C#;SQL")</f>
        <v>Bash/Shell/PowerShell;C;C++;C#;SQL</v>
      </c>
      <c r="M7904" s="9" t="s">
        <v>37</v>
      </c>
    </row>
    <row r="7905" ht="15.75" customHeight="1">
      <c r="A7905" s="7"/>
      <c r="B7905" s="7" t="str">
        <f>IFERROR(__xludf.DUMMYFUNCTION("""COMPUTED_VALUE"""),"Bash/Shell/PowerShell;HTML/CSS;Java;JavaScript;PHP;Ruby;SQL;TypeScript")</f>
        <v>Bash/Shell/PowerShell;HTML/CSS;Java;JavaScript;PHP;Ruby;SQL;TypeScript</v>
      </c>
      <c r="M7905" s="9" t="s">
        <v>27</v>
      </c>
    </row>
    <row r="7906" ht="15.75" customHeight="1">
      <c r="A7906" s="7"/>
      <c r="B7906" s="7" t="str">
        <f>IFERROR(__xludf.DUMMYFUNCTION("""COMPUTED_VALUE"""),"C++;Java;SQL")</f>
        <v>C++;Java;SQL</v>
      </c>
      <c r="M7906" s="9" t="s">
        <v>26</v>
      </c>
    </row>
    <row r="7907" ht="15.75" customHeight="1">
      <c r="A7907" s="7"/>
      <c r="B7907" s="7" t="str">
        <f>IFERROR(__xludf.DUMMYFUNCTION("""COMPUTED_VALUE"""),"C++;Java;JavaScript;Python")</f>
        <v>C++;Java;JavaScript;Python</v>
      </c>
      <c r="M7907" s="9" t="s">
        <v>24</v>
      </c>
    </row>
    <row r="7908" ht="15.75" customHeight="1">
      <c r="A7908" s="7"/>
      <c r="B7908" s="7" t="str">
        <f>IFERROR(__xludf.DUMMYFUNCTION("""COMPUTED_VALUE"""),"C#;JavaScript;TypeScript")</f>
        <v>C#;JavaScript;TypeScript</v>
      </c>
      <c r="M7908" s="9" t="s">
        <v>21</v>
      </c>
    </row>
    <row r="7909" ht="15.75" customHeight="1">
      <c r="A7909" s="7"/>
      <c r="B7909" s="7" t="str">
        <f>IFERROR(__xludf.DUMMYFUNCTION("""COMPUTED_VALUE"""),"Bash/Shell/PowerShell;C#;HTML/CSS;JavaScript;PHP;Python;Ruby;SQL;TypeScript")</f>
        <v>Bash/Shell/PowerShell;C#;HTML/CSS;JavaScript;PHP;Python;Ruby;SQL;TypeScript</v>
      </c>
      <c r="M7909" s="9" t="s">
        <v>33</v>
      </c>
    </row>
    <row r="7910" ht="15.75" customHeight="1">
      <c r="A7910" s="7"/>
      <c r="B7910" s="7" t="str">
        <f>IFERROR(__xludf.DUMMYFUNCTION("""COMPUTED_VALUE"""),"Objective-C;Swift")</f>
        <v>Objective-C;Swift</v>
      </c>
      <c r="M7910" s="9" t="s">
        <v>30</v>
      </c>
    </row>
    <row r="7911" ht="15.75" customHeight="1">
      <c r="A7911" s="7"/>
      <c r="B7911" s="7" t="str">
        <f>IFERROR(__xludf.DUMMYFUNCTION("""COMPUTED_VALUE"""),"C#;Java;R;SQL")</f>
        <v>C#;Java;R;SQL</v>
      </c>
      <c r="M7911" s="9" t="s">
        <v>26</v>
      </c>
    </row>
    <row r="7912" ht="15.75" customHeight="1">
      <c r="A7912" s="7"/>
      <c r="B7912" s="7" t="str">
        <f>IFERROR(__xludf.DUMMYFUNCTION("""COMPUTED_VALUE"""),"C#;HTML/CSS;JavaScript;TypeScript")</f>
        <v>C#;HTML/CSS;JavaScript;TypeScript</v>
      </c>
      <c r="M7912" s="9" t="s">
        <v>36</v>
      </c>
    </row>
    <row r="7913" ht="15.75" customHeight="1">
      <c r="A7913" s="7"/>
      <c r="B7913" s="7" t="str">
        <f>IFERROR(__xludf.DUMMYFUNCTION("""COMPUTED_VALUE"""),"C#;Go;HTML/CSS;JavaScript;PHP;Python;Rust;SQL")</f>
        <v>C#;Go;HTML/CSS;JavaScript;PHP;Python;Rust;SQL</v>
      </c>
      <c r="M7913" s="9" t="s">
        <v>24</v>
      </c>
    </row>
    <row r="7914" ht="15.75" customHeight="1">
      <c r="A7914" s="7"/>
      <c r="B7914" s="7" t="str">
        <f>IFERROR(__xludf.DUMMYFUNCTION("""COMPUTED_VALUE"""),"Assembly;C#;Dart;SQL;Other(s):")</f>
        <v>Assembly;C#;Dart;SQL;Other(s):</v>
      </c>
      <c r="M7914" s="9" t="s">
        <v>21</v>
      </c>
    </row>
    <row r="7915" ht="15.75" customHeight="1">
      <c r="A7915" s="7"/>
      <c r="B7915" s="7" t="str">
        <f>IFERROR(__xludf.DUMMYFUNCTION("""COMPUTED_VALUE"""),"C++;HTML/CSS;Java;JavaScript;SQL;TypeScript")</f>
        <v>C++;HTML/CSS;Java;JavaScript;SQL;TypeScript</v>
      </c>
      <c r="M7915" s="9" t="s">
        <v>22</v>
      </c>
    </row>
    <row r="7916" ht="15.75" customHeight="1">
      <c r="A7916" s="7"/>
      <c r="B7916" s="7" t="str">
        <f>IFERROR(__xludf.DUMMYFUNCTION("""COMPUTED_VALUE"""),"Bash/Shell/PowerShell;C#;Dart;HTML/CSS;JavaScript;Objective-C;PHP;SQL;Swift")</f>
        <v>Bash/Shell/PowerShell;C#;Dart;HTML/CSS;JavaScript;Objective-C;PHP;SQL;Swift</v>
      </c>
      <c r="M7916" s="9" t="s">
        <v>29</v>
      </c>
    </row>
    <row r="7917" ht="15.75" customHeight="1">
      <c r="A7917" s="7"/>
      <c r="B7917" s="7" t="str">
        <f>IFERROR(__xludf.DUMMYFUNCTION("""COMPUTED_VALUE"""),"Bash/Shell/PowerShell;Python;Other(s):")</f>
        <v>Bash/Shell/PowerShell;Python;Other(s):</v>
      </c>
      <c r="M7917" s="9" t="s">
        <v>24</v>
      </c>
    </row>
    <row r="7918" ht="15.75" customHeight="1">
      <c r="A7918" s="7"/>
      <c r="B7918" s="7" t="str">
        <f>IFERROR(__xludf.DUMMYFUNCTION("""COMPUTED_VALUE"""),"C#;HTML/CSS;Java;JavaScript;SQL;TypeScript")</f>
        <v>C#;HTML/CSS;Java;JavaScript;SQL;TypeScript</v>
      </c>
      <c r="M7918" s="9" t="s">
        <v>21</v>
      </c>
    </row>
    <row r="7919" ht="15.75" customHeight="1">
      <c r="A7919" s="7"/>
      <c r="B7919" s="7" t="str">
        <f>IFERROR(__xludf.DUMMYFUNCTION("""COMPUTED_VALUE"""),"Java;Kotlin;PHP")</f>
        <v>Java;Kotlin;PHP</v>
      </c>
      <c r="M7919" s="9" t="s">
        <v>22</v>
      </c>
    </row>
    <row r="7920" ht="15.75" customHeight="1">
      <c r="A7920" s="7"/>
      <c r="B7920" s="7" t="str">
        <f>IFERROR(__xludf.DUMMYFUNCTION("""COMPUTED_VALUE"""),"C#;HTML/CSS;Java;JavaScript;SQL;TypeScript")</f>
        <v>C#;HTML/CSS;Java;JavaScript;SQL;TypeScript</v>
      </c>
      <c r="M7920" s="9" t="s">
        <v>35</v>
      </c>
    </row>
    <row r="7921" ht="15.75" customHeight="1">
      <c r="A7921" s="7"/>
      <c r="B7921" s="7" t="str">
        <f>IFERROR(__xludf.DUMMYFUNCTION("""COMPUTED_VALUE"""),"Bash/Shell/PowerShell;C;Python")</f>
        <v>Bash/Shell/PowerShell;C;Python</v>
      </c>
      <c r="M7921" s="9" t="s">
        <v>30</v>
      </c>
    </row>
    <row r="7922" ht="15.75" customHeight="1">
      <c r="A7922" s="7"/>
      <c r="B7922" s="7" t="str">
        <f>IFERROR(__xludf.DUMMYFUNCTION("""COMPUTED_VALUE"""),"C;C#;Java;Python;SQL;VBA;Other(s):")</f>
        <v>C;C#;Java;Python;SQL;VBA;Other(s):</v>
      </c>
      <c r="M7922" s="9" t="s">
        <v>25</v>
      </c>
    </row>
    <row r="7923" ht="15.75" customHeight="1">
      <c r="A7923" s="7"/>
      <c r="B7923" s="7" t="str">
        <f>IFERROR(__xludf.DUMMYFUNCTION("""COMPUTED_VALUE"""),"Bash/Shell/PowerShell;C#;HTML/CSS;JavaScript;SQL;TypeScript;VBA")</f>
        <v>Bash/Shell/PowerShell;C#;HTML/CSS;JavaScript;SQL;TypeScript;VBA</v>
      </c>
      <c r="M7923" s="9" t="s">
        <v>23</v>
      </c>
    </row>
    <row r="7924" ht="15.75" customHeight="1">
      <c r="A7924" s="7"/>
      <c r="B7924" s="7" t="str">
        <f>IFERROR(__xludf.DUMMYFUNCTION("""COMPUTED_VALUE"""),"Bash/Shell/PowerShell;C;C++;Java;JavaScript;Kotlin;Python;SQL")</f>
        <v>Bash/Shell/PowerShell;C;C++;Java;JavaScript;Kotlin;Python;SQL</v>
      </c>
      <c r="M7924" s="9" t="s">
        <v>22</v>
      </c>
    </row>
    <row r="7925" ht="15.75" customHeight="1">
      <c r="A7925" s="7"/>
      <c r="B7925" s="7" t="str">
        <f>IFERROR(__xludf.DUMMYFUNCTION("""COMPUTED_VALUE"""),"Go;HTML/CSS;JavaScript;Python;SQL")</f>
        <v>Go;HTML/CSS;JavaScript;Python;SQL</v>
      </c>
      <c r="M7925" s="9" t="s">
        <v>23</v>
      </c>
    </row>
    <row r="7926" ht="15.75" customHeight="1">
      <c r="A7926" s="7"/>
      <c r="B7926" s="7" t="str">
        <f>IFERROR(__xludf.DUMMYFUNCTION("""COMPUTED_VALUE"""),"Bash/Shell/PowerShell;HTML/CSS;Java;JavaScript;PHP;Python;SQL;TypeScript;WebAssembly")</f>
        <v>Bash/Shell/PowerShell;HTML/CSS;Java;JavaScript;PHP;Python;SQL;TypeScript;WebAssembly</v>
      </c>
      <c r="M7926" s="9" t="s">
        <v>22</v>
      </c>
    </row>
    <row r="7927" ht="15.75" customHeight="1">
      <c r="A7927" s="7"/>
      <c r="B7927" s="7" t="str">
        <f>IFERROR(__xludf.DUMMYFUNCTION("""COMPUTED_VALUE"""),"Assembly;Bash/Shell/PowerShell;C;C++;Go;Python;Rust")</f>
        <v>Assembly;Bash/Shell/PowerShell;C;C++;Go;Python;Rust</v>
      </c>
      <c r="M7927" s="9" t="s">
        <v>24</v>
      </c>
    </row>
    <row r="7928" ht="15.75" customHeight="1">
      <c r="A7928" s="7"/>
      <c r="B7928" s="7" t="str">
        <f>IFERROR(__xludf.DUMMYFUNCTION("""COMPUTED_VALUE"""),"Assembly;Bash/Shell/PowerShell;C;C++;HTML/CSS;Java;JavaScript;PHP;Python;SQL;Other(s):")</f>
        <v>Assembly;Bash/Shell/PowerShell;C;C++;HTML/CSS;Java;JavaScript;PHP;Python;SQL;Other(s):</v>
      </c>
      <c r="M7928" s="9" t="s">
        <v>20</v>
      </c>
    </row>
    <row r="7929" ht="15.75" customHeight="1">
      <c r="A7929" s="7"/>
      <c r="B7929" s="7" t="str">
        <f>IFERROR(__xludf.DUMMYFUNCTION("""COMPUTED_VALUE"""),"Bash/Shell/PowerShell;C++;HTML/CSS;Java;Scala;SQL")</f>
        <v>Bash/Shell/PowerShell;C++;HTML/CSS;Java;Scala;SQL</v>
      </c>
      <c r="M7929" s="9" t="s">
        <v>21</v>
      </c>
    </row>
    <row r="7930" ht="15.75" customHeight="1">
      <c r="A7930" s="7"/>
      <c r="B7930" s="7" t="str">
        <f>IFERROR(__xludf.DUMMYFUNCTION("""COMPUTED_VALUE"""),"Bash/Shell/PowerShell;HTML/CSS;Java;TypeScript")</f>
        <v>Bash/Shell/PowerShell;HTML/CSS;Java;TypeScript</v>
      </c>
      <c r="M7930" s="9" t="s">
        <v>33</v>
      </c>
    </row>
    <row r="7931" ht="15.75" customHeight="1">
      <c r="A7931" s="7"/>
      <c r="B7931" s="7" t="str">
        <f>IFERROR(__xludf.DUMMYFUNCTION("""COMPUTED_VALUE"""),"Bash/Shell/PowerShell;HTML/CSS;JavaScript;PHP;Python;SQL")</f>
        <v>Bash/Shell/PowerShell;HTML/CSS;JavaScript;PHP;Python;SQL</v>
      </c>
      <c r="M7931" s="9" t="s">
        <v>35</v>
      </c>
    </row>
    <row r="7932" ht="15.75" customHeight="1">
      <c r="A7932" s="7"/>
      <c r="B7932" s="7" t="str">
        <f>IFERROR(__xludf.DUMMYFUNCTION("""COMPUTED_VALUE"""),"Assembly;C;Dart;Java;Kotlin")</f>
        <v>Assembly;C;Dart;Java;Kotlin</v>
      </c>
      <c r="M7932" s="9" t="s">
        <v>24</v>
      </c>
    </row>
    <row r="7933" ht="15.75" customHeight="1">
      <c r="A7933" s="7"/>
      <c r="B7933" s="7" t="str">
        <f>IFERROR(__xludf.DUMMYFUNCTION("""COMPUTED_VALUE"""),"HTML/CSS;JavaScript;Python;VBA")</f>
        <v>HTML/CSS;JavaScript;Python;VBA</v>
      </c>
      <c r="M7933" s="9" t="s">
        <v>21</v>
      </c>
    </row>
    <row r="7934" ht="15.75" customHeight="1">
      <c r="A7934" s="7"/>
      <c r="B7934" s="7" t="str">
        <f>IFERROR(__xludf.DUMMYFUNCTION("""COMPUTED_VALUE"""),"Assembly;C++;HTML/CSS;Java;Python;Ruby")</f>
        <v>Assembly;C++;HTML/CSS;Java;Python;Ruby</v>
      </c>
      <c r="M7934" s="9" t="s">
        <v>37</v>
      </c>
    </row>
    <row r="7935" ht="15.75" customHeight="1">
      <c r="A7935" s="7"/>
      <c r="B7935" s="7" t="str">
        <f>IFERROR(__xludf.DUMMYFUNCTION("""COMPUTED_VALUE"""),"Bash/Shell/PowerShell;C;C++;HTML/CSS;Python;SQL;Swift;Other(s):")</f>
        <v>Bash/Shell/PowerShell;C;C++;HTML/CSS;Python;SQL;Swift;Other(s):</v>
      </c>
      <c r="M7935" s="9" t="s">
        <v>31</v>
      </c>
    </row>
    <row r="7936" ht="15.75" customHeight="1">
      <c r="A7936" s="7"/>
      <c r="B7936" s="7" t="str">
        <f>IFERROR(__xludf.DUMMYFUNCTION("""COMPUTED_VALUE"""),"Bash/Shell/PowerShell;C#;Java;SQL;VBA")</f>
        <v>Bash/Shell/PowerShell;C#;Java;SQL;VBA</v>
      </c>
      <c r="M7936" s="9" t="s">
        <v>27</v>
      </c>
    </row>
    <row r="7937" ht="15.75" customHeight="1">
      <c r="A7937" s="7"/>
      <c r="B7937" s="7" t="str">
        <f>IFERROR(__xludf.DUMMYFUNCTION("""COMPUTED_VALUE"""),"Bash/Shell/PowerShell;Go;Java;JavaScript")</f>
        <v>Bash/Shell/PowerShell;Go;Java;JavaScript</v>
      </c>
      <c r="M7937" s="9" t="s">
        <v>33</v>
      </c>
    </row>
    <row r="7938" ht="15.75" customHeight="1">
      <c r="A7938" s="7"/>
      <c r="B7938" s="7" t="str">
        <f>IFERROR(__xludf.DUMMYFUNCTION("""COMPUTED_VALUE"""),"C#;HTML/CSS;JavaScript;SQL")</f>
        <v>C#;HTML/CSS;JavaScript;SQL</v>
      </c>
      <c r="M7938" s="9" t="s">
        <v>35</v>
      </c>
    </row>
    <row r="7939" ht="15.75" customHeight="1">
      <c r="A7939" s="7"/>
      <c r="B7939" s="7" t="str">
        <f>IFERROR(__xludf.DUMMYFUNCTION("""COMPUTED_VALUE"""),"Bash/Shell/PowerShell;C++;C#;HTML/CSS;Java;JavaScript;Scala;SQL")</f>
        <v>Bash/Shell/PowerShell;C++;C#;HTML/CSS;Java;JavaScript;Scala;SQL</v>
      </c>
      <c r="M7939" s="9" t="s">
        <v>30</v>
      </c>
    </row>
    <row r="7940" ht="15.75" customHeight="1">
      <c r="A7940" s="7"/>
      <c r="B7940" s="7" t="str">
        <f>IFERROR(__xludf.DUMMYFUNCTION("""COMPUTED_VALUE"""),"C#;HTML/CSS;SQL;VBA")</f>
        <v>C#;HTML/CSS;SQL;VBA</v>
      </c>
      <c r="M7940" s="9" t="s">
        <v>36</v>
      </c>
    </row>
    <row r="7941" ht="15.75" customHeight="1">
      <c r="A7941" s="7"/>
      <c r="B7941" s="7" t="str">
        <f>IFERROR(__xludf.DUMMYFUNCTION("""COMPUTED_VALUE"""),"HTML/CSS;Java;JavaScript;Python;Rust;SQL")</f>
        <v>HTML/CSS;Java;JavaScript;Python;Rust;SQL</v>
      </c>
      <c r="M7941" s="9" t="s">
        <v>20</v>
      </c>
    </row>
    <row r="7942" ht="15.75" customHeight="1">
      <c r="A7942" s="7"/>
      <c r="B7942" s="7" t="str">
        <f>IFERROR(__xludf.DUMMYFUNCTION("""COMPUTED_VALUE"""),"Java;Scala")</f>
        <v>Java;Scala</v>
      </c>
      <c r="M7942" s="9" t="s">
        <v>39</v>
      </c>
    </row>
    <row r="7943" ht="15.75" customHeight="1">
      <c r="A7943" s="7"/>
      <c r="B7943" s="7" t="str">
        <f>IFERROR(__xludf.DUMMYFUNCTION("""COMPUTED_VALUE"""),"Java;Kotlin;SQL")</f>
        <v>Java;Kotlin;SQL</v>
      </c>
      <c r="M7943" s="9" t="s">
        <v>27</v>
      </c>
    </row>
    <row r="7944" ht="15.75" customHeight="1">
      <c r="A7944" s="7"/>
      <c r="B7944" s="7" t="str">
        <f>IFERROR(__xludf.DUMMYFUNCTION("""COMPUTED_VALUE"""),"C++")</f>
        <v>C++</v>
      </c>
      <c r="M7944" s="9" t="s">
        <v>20</v>
      </c>
    </row>
    <row r="7945" ht="15.75" customHeight="1">
      <c r="A7945" s="7"/>
      <c r="B7945" s="7" t="str">
        <f>IFERROR(__xludf.DUMMYFUNCTION("""COMPUTED_VALUE"""),"Bash/Shell/PowerShell;C++;Go;HTML/CSS;JavaScript;Python;Rust;Other(s):")</f>
        <v>Bash/Shell/PowerShell;C++;Go;HTML/CSS;JavaScript;Python;Rust;Other(s):</v>
      </c>
      <c r="M7945" s="9" t="s">
        <v>21</v>
      </c>
    </row>
    <row r="7946" ht="15.75" customHeight="1">
      <c r="A7946" s="7"/>
      <c r="B7946" s="7" t="str">
        <f>IFERROR(__xludf.DUMMYFUNCTION("""COMPUTED_VALUE"""),"F#;HTML/CSS;Python;R;SQL")</f>
        <v>F#;HTML/CSS;Python;R;SQL</v>
      </c>
      <c r="M7946" s="9" t="s">
        <v>33</v>
      </c>
    </row>
    <row r="7947" ht="15.75" customHeight="1">
      <c r="A7947" s="7"/>
      <c r="B7947" s="7" t="str">
        <f>IFERROR(__xludf.DUMMYFUNCTION("""COMPUTED_VALUE"""),"C++;C#;Java;Python;SQL;Swift;Other(s):")</f>
        <v>C++;C#;Java;Python;SQL;Swift;Other(s):</v>
      </c>
      <c r="M7947" s="9" t="s">
        <v>26</v>
      </c>
    </row>
    <row r="7948" ht="15.75" customHeight="1">
      <c r="A7948" s="7"/>
      <c r="B7948" s="7" t="str">
        <f>IFERROR(__xludf.DUMMYFUNCTION("""COMPUTED_VALUE"""),"Bash/Shell/PowerShell;HTML/CSS;JavaScript;PHP;SQL")</f>
        <v>Bash/Shell/PowerShell;HTML/CSS;JavaScript;PHP;SQL</v>
      </c>
      <c r="M7948" s="9" t="s">
        <v>20</v>
      </c>
    </row>
    <row r="7949" ht="15.75" customHeight="1">
      <c r="A7949" s="7"/>
      <c r="B7949" s="7" t="str">
        <f>IFERROR(__xludf.DUMMYFUNCTION("""COMPUTED_VALUE"""),"Bash/Shell/PowerShell;C#;Dart;HTML/CSS;JavaScript;SQL;TypeScript")</f>
        <v>Bash/Shell/PowerShell;C#;Dart;HTML/CSS;JavaScript;SQL;TypeScript</v>
      </c>
      <c r="M7949" s="9" t="s">
        <v>38</v>
      </c>
    </row>
    <row r="7950" ht="15.75" customHeight="1">
      <c r="A7950" s="7"/>
      <c r="B7950" s="7" t="str">
        <f>IFERROR(__xludf.DUMMYFUNCTION("""COMPUTED_VALUE"""),"Assembly;Bash/Shell/PowerShell;C;C++;HTML/CSS;Java;JavaScript;Python;Rust")</f>
        <v>Assembly;Bash/Shell/PowerShell;C;C++;HTML/CSS;Java;JavaScript;Python;Rust</v>
      </c>
      <c r="M7950" s="9" t="s">
        <v>23</v>
      </c>
    </row>
    <row r="7951" ht="15.75" customHeight="1">
      <c r="A7951" s="7"/>
      <c r="B7951" s="7" t="str">
        <f>IFERROR(__xludf.DUMMYFUNCTION("""COMPUTED_VALUE"""),"Bash/Shell/PowerShell;C++;C#;Python")</f>
        <v>Bash/Shell/PowerShell;C++;C#;Python</v>
      </c>
      <c r="M7951" s="9" t="s">
        <v>24</v>
      </c>
    </row>
    <row r="7952" ht="15.75" customHeight="1">
      <c r="A7952" s="7"/>
      <c r="B7952" s="7" t="str">
        <f>IFERROR(__xludf.DUMMYFUNCTION("""COMPUTED_VALUE"""),"C;C++;C#;HTML/CSS;JavaScript;PHP")</f>
        <v>C;C++;C#;HTML/CSS;JavaScript;PHP</v>
      </c>
      <c r="M7952" s="9" t="s">
        <v>21</v>
      </c>
    </row>
    <row r="7953" ht="15.75" customHeight="1">
      <c r="A7953" s="7"/>
      <c r="B7953" s="7" t="str">
        <f>IFERROR(__xludf.DUMMYFUNCTION("""COMPUTED_VALUE"""),"HTML/CSS;JavaScript;PHP;Python")</f>
        <v>HTML/CSS;JavaScript;PHP;Python</v>
      </c>
      <c r="M7953" s="9" t="s">
        <v>37</v>
      </c>
    </row>
    <row r="7954" ht="15.75" customHeight="1">
      <c r="A7954" s="7"/>
      <c r="B7954" s="7" t="str">
        <f>IFERROR(__xludf.DUMMYFUNCTION("""COMPUTED_VALUE"""),"Assembly;C#;JavaScript;SQL;VBA")</f>
        <v>Assembly;C#;JavaScript;SQL;VBA</v>
      </c>
      <c r="M7954" s="9" t="s">
        <v>22</v>
      </c>
    </row>
    <row r="7955" ht="15.75" customHeight="1">
      <c r="A7955" s="7"/>
      <c r="B7955" s="7" t="str">
        <f>IFERROR(__xludf.DUMMYFUNCTION("""COMPUTED_VALUE"""),"C++;HTML/CSS;Java;JavaScript;PHP;SQL;VBA")</f>
        <v>C++;HTML/CSS;Java;JavaScript;PHP;SQL;VBA</v>
      </c>
      <c r="M7955" s="9" t="s">
        <v>27</v>
      </c>
    </row>
    <row r="7956" ht="15.75" customHeight="1">
      <c r="A7956" s="7"/>
      <c r="B7956" s="7" t="str">
        <f>IFERROR(__xludf.DUMMYFUNCTION("""COMPUTED_VALUE"""),"C;C++;HTML/CSS;Java;PHP;Python;SQL")</f>
        <v>C;C++;HTML/CSS;Java;PHP;Python;SQL</v>
      </c>
      <c r="M7956" s="9" t="s">
        <v>30</v>
      </c>
    </row>
    <row r="7957" ht="15.75" customHeight="1">
      <c r="A7957" s="7"/>
      <c r="B7957" s="7" t="str">
        <f>IFERROR(__xludf.DUMMYFUNCTION("""COMPUTED_VALUE"""),"HTML/CSS;JavaScript;Ruby;SQL;TypeScript")</f>
        <v>HTML/CSS;JavaScript;Ruby;SQL;TypeScript</v>
      </c>
      <c r="M7957" s="9" t="s">
        <v>23</v>
      </c>
    </row>
    <row r="7958" ht="15.75" customHeight="1">
      <c r="A7958" s="7"/>
      <c r="B7958" s="7" t="str">
        <f>IFERROR(__xludf.DUMMYFUNCTION("""COMPUTED_VALUE"""),"Bash/Shell/PowerShell;Java;SQL")</f>
        <v>Bash/Shell/PowerShell;Java;SQL</v>
      </c>
      <c r="M7958" s="9" t="s">
        <v>26</v>
      </c>
    </row>
    <row r="7959" ht="15.75" customHeight="1">
      <c r="A7959" s="7"/>
      <c r="B7959" s="7" t="str">
        <f>IFERROR(__xludf.DUMMYFUNCTION("""COMPUTED_VALUE"""),"Bash/Shell/PowerShell;Go;HTML/CSS;JavaScript;Python")</f>
        <v>Bash/Shell/PowerShell;Go;HTML/CSS;JavaScript;Python</v>
      </c>
      <c r="M7959" s="9" t="s">
        <v>24</v>
      </c>
    </row>
    <row r="7960" ht="15.75" customHeight="1">
      <c r="A7960" s="7"/>
      <c r="B7960" s="7" t="str">
        <f>IFERROR(__xludf.DUMMYFUNCTION("""COMPUTED_VALUE"""),"C;Java;JavaScript;Kotlin;Python;SQL")</f>
        <v>C;Java;JavaScript;Kotlin;Python;SQL</v>
      </c>
      <c r="M7960" s="9" t="s">
        <v>21</v>
      </c>
    </row>
    <row r="7961" ht="15.75" customHeight="1">
      <c r="A7961" s="7"/>
      <c r="B7961" s="7" t="str">
        <f>IFERROR(__xludf.DUMMYFUNCTION("""COMPUTED_VALUE"""),"Bash/Shell/PowerShell;C#;Clojure;Elixir;Erlang;Go;HTML/CSS;Java;JavaScript;Python;R;Ruby;Rust;SQL")</f>
        <v>Bash/Shell/PowerShell;C#;Clojure;Elixir;Erlang;Go;HTML/CSS;Java;JavaScript;Python;R;Ruby;Rust;SQL</v>
      </c>
      <c r="M7961" s="9" t="s">
        <v>22</v>
      </c>
    </row>
    <row r="7962" ht="15.75" customHeight="1">
      <c r="A7962" s="7"/>
      <c r="B7962" s="7" t="str">
        <f>IFERROR(__xludf.DUMMYFUNCTION("""COMPUTED_VALUE"""),"Assembly;C;C++;C#;HTML/CSS;Java;JavaScript;R;SQL;TypeScript;VBA")</f>
        <v>Assembly;C;C++;C#;HTML/CSS;Java;JavaScript;R;SQL;TypeScript;VBA</v>
      </c>
      <c r="M7962" s="9" t="s">
        <v>27</v>
      </c>
    </row>
    <row r="7963" ht="15.75" customHeight="1">
      <c r="A7963" s="7"/>
      <c r="B7963" s="7" t="str">
        <f>IFERROR(__xludf.DUMMYFUNCTION("""COMPUTED_VALUE"""),"Assembly;Bash/Shell/PowerShell;C;HTML/CSS;Java;JavaScript;PHP;Python;R;SQL;Other(s):")</f>
        <v>Assembly;Bash/Shell/PowerShell;C;HTML/CSS;Java;JavaScript;PHP;Python;R;SQL;Other(s):</v>
      </c>
      <c r="M7963" s="9" t="s">
        <v>30</v>
      </c>
    </row>
    <row r="7964" ht="15.75" customHeight="1">
      <c r="A7964" s="7"/>
      <c r="B7964" s="7" t="str">
        <f>IFERROR(__xludf.DUMMYFUNCTION("""COMPUTED_VALUE"""),"C;HTML/CSS;Java;JavaScript;Kotlin;PHP;Swift")</f>
        <v>C;HTML/CSS;Java;JavaScript;Kotlin;PHP;Swift</v>
      </c>
      <c r="M7964" s="9" t="s">
        <v>25</v>
      </c>
    </row>
    <row r="7965" ht="15.75" customHeight="1">
      <c r="A7965" s="7"/>
      <c r="B7965" s="7" t="str">
        <f>IFERROR(__xludf.DUMMYFUNCTION("""COMPUTED_VALUE"""),"Go;HTML/CSS;Java;JavaScript;PHP;Python;R;SQL")</f>
        <v>Go;HTML/CSS;Java;JavaScript;PHP;Python;R;SQL</v>
      </c>
      <c r="M7965" s="9" t="s">
        <v>36</v>
      </c>
    </row>
    <row r="7966" ht="15.75" customHeight="1">
      <c r="A7966" s="7"/>
      <c r="B7966" s="7" t="str">
        <f>IFERROR(__xludf.DUMMYFUNCTION("""COMPUTED_VALUE"""),"Java;Kotlin")</f>
        <v>Java;Kotlin</v>
      </c>
      <c r="M7966" s="9" t="s">
        <v>24</v>
      </c>
    </row>
    <row r="7967" ht="15.75" customHeight="1">
      <c r="A7967" s="7"/>
      <c r="B7967" s="7" t="str">
        <f>IFERROR(__xludf.DUMMYFUNCTION("""COMPUTED_VALUE"""),"Assembly;C;C++;HTML/CSS;Java;JavaScript;SQL")</f>
        <v>Assembly;C;C++;HTML/CSS;Java;JavaScript;SQL</v>
      </c>
      <c r="M7967" s="9" t="s">
        <v>20</v>
      </c>
    </row>
    <row r="7968" ht="15.75" customHeight="1">
      <c r="A7968" s="7"/>
      <c r="B7968" s="7" t="str">
        <f>IFERROR(__xludf.DUMMYFUNCTION("""COMPUTED_VALUE"""),"Bash/Shell/PowerShell;HTML/CSS;JavaScript;PHP;SQL")</f>
        <v>Bash/Shell/PowerShell;HTML/CSS;JavaScript;PHP;SQL</v>
      </c>
      <c r="M7968" s="9" t="s">
        <v>21</v>
      </c>
    </row>
    <row r="7969" ht="15.75" customHeight="1">
      <c r="A7969" s="7"/>
      <c r="B7969" s="7" t="str">
        <f>IFERROR(__xludf.DUMMYFUNCTION("""COMPUTED_VALUE"""),"Bash/Shell/PowerShell;C;C#;HTML/CSS;Java;JavaScript;PHP;SQL;TypeScript")</f>
        <v>Bash/Shell/PowerShell;C;C#;HTML/CSS;Java;JavaScript;PHP;SQL;TypeScript</v>
      </c>
      <c r="M7969" s="9" t="s">
        <v>33</v>
      </c>
    </row>
    <row r="7970" ht="15.75" customHeight="1">
      <c r="A7970" s="7"/>
      <c r="B7970" s="7" t="str">
        <f>IFERROR(__xludf.DUMMYFUNCTION("""COMPUTED_VALUE"""),"HTML/CSS;PHP")</f>
        <v>HTML/CSS;PHP</v>
      </c>
      <c r="M7970" s="9" t="s">
        <v>24</v>
      </c>
    </row>
    <row r="7971" ht="15.75" customHeight="1">
      <c r="A7971" s="7"/>
      <c r="B7971" s="7" t="str">
        <f>IFERROR(__xludf.DUMMYFUNCTION("""COMPUTED_VALUE"""),"Bash/Shell/PowerShell;C#;HTML/CSS;Java;JavaScript;R;SQL")</f>
        <v>Bash/Shell/PowerShell;C#;HTML/CSS;Java;JavaScript;R;SQL</v>
      </c>
      <c r="M7971" s="9" t="s">
        <v>21</v>
      </c>
    </row>
    <row r="7972" ht="15.75" customHeight="1">
      <c r="A7972" s="7"/>
      <c r="B7972" s="7" t="str">
        <f>IFERROR(__xludf.DUMMYFUNCTION("""COMPUTED_VALUE"""),"Python;Scala;SQL")</f>
        <v>Python;Scala;SQL</v>
      </c>
      <c r="M7972" s="9" t="s">
        <v>33</v>
      </c>
    </row>
    <row r="7973" ht="15.75" customHeight="1">
      <c r="A7973" s="7"/>
      <c r="B7973" s="7" t="str">
        <f>IFERROR(__xludf.DUMMYFUNCTION("""COMPUTED_VALUE"""),"Bash/Shell/PowerShell;C#;HTML/CSS;JavaScript;SQL;TypeScript;VBA")</f>
        <v>Bash/Shell/PowerShell;C#;HTML/CSS;JavaScript;SQL;TypeScript;VBA</v>
      </c>
      <c r="M7973" s="9" t="s">
        <v>26</v>
      </c>
    </row>
    <row r="7974" ht="15.75" customHeight="1">
      <c r="A7974" s="7"/>
      <c r="B7974" s="7" t="str">
        <f>IFERROR(__xludf.DUMMYFUNCTION("""COMPUTED_VALUE"""),"Java;Kotlin;SQL")</f>
        <v>Java;Kotlin;SQL</v>
      </c>
      <c r="M7974" s="9" t="s">
        <v>24</v>
      </c>
    </row>
    <row r="7975" ht="15.75" customHeight="1">
      <c r="A7975" s="7"/>
      <c r="B7975" s="7" t="str">
        <f>IFERROR(__xludf.DUMMYFUNCTION("""COMPUTED_VALUE"""),"C#;HTML/CSS;Java;JavaScript;Kotlin;SQL")</f>
        <v>C#;HTML/CSS;Java;JavaScript;Kotlin;SQL</v>
      </c>
      <c r="M7975" s="9" t="s">
        <v>21</v>
      </c>
    </row>
    <row r="7976" ht="15.75" customHeight="1">
      <c r="A7976" s="7"/>
      <c r="B7976" s="7" t="str">
        <f>IFERROR(__xludf.DUMMYFUNCTION("""COMPUTED_VALUE"""),"Bash/Shell/PowerShell;C++;Python;SQL")</f>
        <v>Bash/Shell/PowerShell;C++;Python;SQL</v>
      </c>
      <c r="M7976" s="9" t="s">
        <v>35</v>
      </c>
    </row>
    <row r="7977" ht="15.75" customHeight="1">
      <c r="A7977" s="7"/>
      <c r="B7977" s="7" t="str">
        <f>IFERROR(__xludf.DUMMYFUNCTION("""COMPUTED_VALUE"""),"Bash/Shell/PowerShell;Go;HTML/CSS;Python;SQL")</f>
        <v>Bash/Shell/PowerShell;Go;HTML/CSS;Python;SQL</v>
      </c>
      <c r="M7977" s="9" t="s">
        <v>24</v>
      </c>
    </row>
    <row r="7978" ht="15.75" customHeight="1">
      <c r="A7978" s="7"/>
      <c r="B7978" s="7" t="str">
        <f>IFERROR(__xludf.DUMMYFUNCTION("""COMPUTED_VALUE"""),"Bash/Shell/PowerShell;Go;Python;R;SQL")</f>
        <v>Bash/Shell/PowerShell;Go;Python;R;SQL</v>
      </c>
      <c r="M7978" s="9" t="s">
        <v>21</v>
      </c>
    </row>
    <row r="7979" ht="15.75" customHeight="1">
      <c r="A7979" s="7"/>
      <c r="B7979" s="7" t="str">
        <f>IFERROR(__xludf.DUMMYFUNCTION("""COMPUTED_VALUE"""),"Bash/Shell/PowerShell;C;C++;HTML/CSS;JavaScript;Python;R;Ruby;SQL")</f>
        <v>Bash/Shell/PowerShell;C;C++;HTML/CSS;JavaScript;Python;R;Ruby;SQL</v>
      </c>
      <c r="M7979" s="9" t="s">
        <v>22</v>
      </c>
    </row>
    <row r="7980" ht="15.75" customHeight="1">
      <c r="A7980" s="7"/>
      <c r="B7980" s="7" t="str">
        <f>IFERROR(__xludf.DUMMYFUNCTION("""COMPUTED_VALUE"""),"Python")</f>
        <v>Python</v>
      </c>
      <c r="M7980" s="9" t="s">
        <v>30</v>
      </c>
    </row>
    <row r="7981" ht="15.75" customHeight="1">
      <c r="A7981" s="7"/>
      <c r="B7981" s="7" t="str">
        <f>IFERROR(__xludf.DUMMYFUNCTION("""COMPUTED_VALUE"""),"HTML/CSS;JavaScript")</f>
        <v>HTML/CSS;JavaScript</v>
      </c>
      <c r="M7981" s="9" t="s">
        <v>44</v>
      </c>
    </row>
    <row r="7982" ht="15.75" customHeight="1">
      <c r="A7982" s="7"/>
      <c r="B7982" s="7" t="str">
        <f>IFERROR(__xludf.DUMMYFUNCTION("""COMPUTED_VALUE"""),"C;HTML/CSS;Java;JavaScript;Objective-C;PHP;Python;R;SQL;VBA")</f>
        <v>C;HTML/CSS;Java;JavaScript;Objective-C;PHP;Python;R;SQL;VBA</v>
      </c>
      <c r="M7982" s="9" t="s">
        <v>20</v>
      </c>
    </row>
    <row r="7983" ht="15.75" customHeight="1">
      <c r="A7983" s="7"/>
      <c r="B7983" s="7" t="str">
        <f>IFERROR(__xludf.DUMMYFUNCTION("""COMPUTED_VALUE"""),"Dart;Java;Kotlin")</f>
        <v>Dart;Java;Kotlin</v>
      </c>
      <c r="M7983" s="9" t="s">
        <v>39</v>
      </c>
    </row>
    <row r="7984" ht="15.75" customHeight="1">
      <c r="A7984" s="7"/>
      <c r="B7984" s="7" t="str">
        <f>IFERROR(__xludf.DUMMYFUNCTION("""COMPUTED_VALUE"""),"C#;F#")</f>
        <v>C#;F#</v>
      </c>
      <c r="M7984" s="9" t="s">
        <v>46</v>
      </c>
    </row>
    <row r="7985" ht="15.75" customHeight="1">
      <c r="A7985" s="7"/>
      <c r="B7985" s="7" t="str">
        <f>IFERROR(__xludf.DUMMYFUNCTION("""COMPUTED_VALUE"""),"Bash/Shell/PowerShell;HTML/CSS;JavaScript;Python;SQL;TypeScript")</f>
        <v>Bash/Shell/PowerShell;HTML/CSS;JavaScript;Python;SQL;TypeScript</v>
      </c>
      <c r="M7985" s="9" t="s">
        <v>27</v>
      </c>
    </row>
    <row r="7986" ht="15.75" customHeight="1">
      <c r="A7986" s="7"/>
      <c r="B7986" s="7" t="str">
        <f>IFERROR(__xludf.DUMMYFUNCTION("""COMPUTED_VALUE"""),"Bash/Shell/PowerShell;HTML/CSS;Python;SQL")</f>
        <v>Bash/Shell/PowerShell;HTML/CSS;Python;SQL</v>
      </c>
      <c r="M7986" s="9" t="s">
        <v>20</v>
      </c>
    </row>
    <row r="7987" ht="15.75" customHeight="1">
      <c r="A7987" s="7"/>
      <c r="B7987" s="7" t="str">
        <f>IFERROR(__xludf.DUMMYFUNCTION("""COMPUTED_VALUE"""),"Bash/Shell/PowerShell;HTML/CSS;Java;JavaScript;Python;SQL;TypeScript;Other(s):")</f>
        <v>Bash/Shell/PowerShell;HTML/CSS;Java;JavaScript;Python;SQL;TypeScript;Other(s):</v>
      </c>
      <c r="M7987" s="9" t="s">
        <v>30</v>
      </c>
    </row>
    <row r="7988" ht="15.75" customHeight="1">
      <c r="A7988" s="7"/>
      <c r="B7988" s="7" t="str">
        <f>IFERROR(__xludf.DUMMYFUNCTION("""COMPUTED_VALUE"""),"HTML/CSS;Python")</f>
        <v>HTML/CSS;Python</v>
      </c>
      <c r="M7988" s="9" t="s">
        <v>26</v>
      </c>
    </row>
    <row r="7989" ht="15.75" customHeight="1">
      <c r="A7989" s="7"/>
      <c r="B7989" s="7" t="str">
        <f>IFERROR(__xludf.DUMMYFUNCTION("""COMPUTED_VALUE"""),"Bash/Shell/PowerShell;C;C++;C#;Elixir;Go;HTML/CSS;JavaScript;PHP;Python;Rust;SQL;Other(s):")</f>
        <v>Bash/Shell/PowerShell;C;C++;C#;Elixir;Go;HTML/CSS;JavaScript;PHP;Python;Rust;SQL;Other(s):</v>
      </c>
      <c r="M7989" s="9" t="s">
        <v>24</v>
      </c>
    </row>
    <row r="7990" ht="15.75" customHeight="1">
      <c r="A7990" s="7"/>
      <c r="B7990" s="7" t="str">
        <f>IFERROR(__xludf.DUMMYFUNCTION("""COMPUTED_VALUE"""),"HTML/CSS;JavaScript;Python;SQL")</f>
        <v>HTML/CSS;JavaScript;Python;SQL</v>
      </c>
      <c r="M7990" s="9" t="s">
        <v>21</v>
      </c>
    </row>
    <row r="7991" ht="15.75" customHeight="1">
      <c r="A7991" s="7"/>
      <c r="B7991" s="7" t="str">
        <f>IFERROR(__xludf.DUMMYFUNCTION("""COMPUTED_VALUE"""),"Bash/Shell/PowerShell;C;C++;C#;Dart;HTML/CSS;JavaScript;Python;R;TypeScript;Other(s):")</f>
        <v>Bash/Shell/PowerShell;C;C++;C#;Dart;HTML/CSS;JavaScript;Python;R;TypeScript;Other(s):</v>
      </c>
      <c r="M7991" s="9" t="s">
        <v>27</v>
      </c>
    </row>
    <row r="7992" ht="15.75" customHeight="1">
      <c r="A7992" s="7"/>
      <c r="B7992" s="7" t="str">
        <f>IFERROR(__xludf.DUMMYFUNCTION("""COMPUTED_VALUE"""),"Bash/Shell/PowerShell;C#;HTML/CSS;JavaScript;PHP;SQL")</f>
        <v>Bash/Shell/PowerShell;C#;HTML/CSS;JavaScript;PHP;SQL</v>
      </c>
      <c r="M7992" s="9" t="s">
        <v>33</v>
      </c>
    </row>
    <row r="7993" ht="15.75" customHeight="1">
      <c r="A7993" s="7"/>
      <c r="B7993" s="7" t="str">
        <f>IFERROR(__xludf.DUMMYFUNCTION("""COMPUTED_VALUE"""),"JavaScript;Python")</f>
        <v>JavaScript;Python</v>
      </c>
      <c r="M7993" s="9" t="s">
        <v>38</v>
      </c>
    </row>
    <row r="7994" ht="15.75" customHeight="1">
      <c r="A7994" s="7"/>
      <c r="B7994" s="7" t="str">
        <f>IFERROR(__xludf.DUMMYFUNCTION("""COMPUTED_VALUE"""),"Assembly;Bash/Shell/PowerShell;C;C++;Java;Python;Other(s):")</f>
        <v>Assembly;Bash/Shell/PowerShell;C;C++;Java;Python;Other(s):</v>
      </c>
      <c r="M7994" s="9" t="s">
        <v>24</v>
      </c>
    </row>
    <row r="7995" ht="15.75" customHeight="1">
      <c r="A7995" s="7"/>
      <c r="B7995" s="7" t="str">
        <f>IFERROR(__xludf.DUMMYFUNCTION("""COMPUTED_VALUE"""),"Assembly;C++;Go;Python;SQL;Swift;TypeScript;WebAssembly")</f>
        <v>Assembly;C++;Go;Python;SQL;Swift;TypeScript;WebAssembly</v>
      </c>
      <c r="M7995" s="9" t="s">
        <v>21</v>
      </c>
    </row>
    <row r="7996" ht="15.75" customHeight="1">
      <c r="A7996" s="7"/>
      <c r="B7996" s="7" t="str">
        <f>IFERROR(__xludf.DUMMYFUNCTION("""COMPUTED_VALUE"""),"Assembly;C;C++;C#;HTML/CSS;Java;JavaScript;Objective-C;PHP;Python;Rust;SQL")</f>
        <v>Assembly;C;C++;C#;HTML/CSS;Java;JavaScript;Objective-C;PHP;Python;Rust;SQL</v>
      </c>
      <c r="M7996" s="9" t="s">
        <v>22</v>
      </c>
    </row>
    <row r="7997" ht="15.75" customHeight="1">
      <c r="A7997" s="7"/>
      <c r="B7997" s="7" t="str">
        <f>IFERROR(__xludf.DUMMYFUNCTION("""COMPUTED_VALUE"""),"HTML/CSS;JavaScript;PHP;SQL")</f>
        <v>HTML/CSS;JavaScript;PHP;SQL</v>
      </c>
      <c r="M7997" s="9" t="s">
        <v>27</v>
      </c>
    </row>
    <row r="7998" ht="15.75" customHeight="1">
      <c r="A7998" s="7"/>
      <c r="B7998" s="7" t="str">
        <f>IFERROR(__xludf.DUMMYFUNCTION("""COMPUTED_VALUE"""),"C++")</f>
        <v>C++</v>
      </c>
      <c r="M7998" s="9" t="s">
        <v>33</v>
      </c>
    </row>
    <row r="7999" ht="15.75" customHeight="1">
      <c r="A7999" s="7"/>
      <c r="B7999" s="7" t="str">
        <f>IFERROR(__xludf.DUMMYFUNCTION("""COMPUTED_VALUE"""),"HTML/CSS;JavaScript")</f>
        <v>HTML/CSS;JavaScript</v>
      </c>
      <c r="M7999" s="9" t="s">
        <v>30</v>
      </c>
    </row>
    <row r="8000" ht="15.75" customHeight="1">
      <c r="A8000" s="7"/>
      <c r="B8000" s="7" t="str">
        <f>IFERROR(__xludf.DUMMYFUNCTION("""COMPUTED_VALUE"""),"Bash/Shell/PowerShell;C;C++;HTML/CSS;Java;JavaScript;PHP;Python;SQL")</f>
        <v>Bash/Shell/PowerShell;C;C++;HTML/CSS;Java;JavaScript;PHP;Python;SQL</v>
      </c>
      <c r="M8000" s="9" t="s">
        <v>23</v>
      </c>
    </row>
    <row r="8001" ht="15.75" customHeight="1">
      <c r="A8001" s="7"/>
      <c r="B8001" s="7" t="str">
        <f>IFERROR(__xludf.DUMMYFUNCTION("""COMPUTED_VALUE"""),"JavaScript;PHP;SQL")</f>
        <v>JavaScript;PHP;SQL</v>
      </c>
      <c r="M8001" s="9" t="s">
        <v>30</v>
      </c>
    </row>
    <row r="8002" ht="15.75" customHeight="1">
      <c r="A8002" s="7"/>
      <c r="B8002" s="7" t="str">
        <f>IFERROR(__xludf.DUMMYFUNCTION("""COMPUTED_VALUE"""),"Bash/Shell/PowerShell;C++")</f>
        <v>Bash/Shell/PowerShell;C++</v>
      </c>
      <c r="M8002" s="9" t="s">
        <v>25</v>
      </c>
    </row>
    <row r="8003" ht="15.75" customHeight="1">
      <c r="A8003" s="7"/>
      <c r="B8003" s="7" t="str">
        <f>IFERROR(__xludf.DUMMYFUNCTION("""COMPUTED_VALUE"""),"HTML/CSS;JavaScript;PHP")</f>
        <v>HTML/CSS;JavaScript;PHP</v>
      </c>
      <c r="M8003" s="9" t="s">
        <v>23</v>
      </c>
    </row>
    <row r="8004" ht="15.75" customHeight="1">
      <c r="A8004" s="7"/>
      <c r="B8004" s="7" t="str">
        <f>IFERROR(__xludf.DUMMYFUNCTION("""COMPUTED_VALUE"""),"C;C++;C#;HTML/CSS;Java;JavaScript;Python;SQL;Other(s):")</f>
        <v>C;C++;C#;HTML/CSS;Java;JavaScript;Python;SQL;Other(s):</v>
      </c>
      <c r="M8004" s="9" t="s">
        <v>20</v>
      </c>
    </row>
    <row r="8005" ht="15.75" customHeight="1">
      <c r="A8005" s="7"/>
      <c r="B8005" s="7" t="str">
        <f>IFERROR(__xludf.DUMMYFUNCTION("""COMPUTED_VALUE"""),"C#;Python;SQL")</f>
        <v>C#;Python;SQL</v>
      </c>
      <c r="M8005" s="9" t="s">
        <v>21</v>
      </c>
    </row>
    <row r="8006" ht="15.75" customHeight="1">
      <c r="A8006" s="7"/>
      <c r="B8006" s="7" t="str">
        <f>IFERROR(__xludf.DUMMYFUNCTION("""COMPUTED_VALUE"""),"Bash/Shell/PowerShell;C++;Java;Python")</f>
        <v>Bash/Shell/PowerShell;C++;Java;Python</v>
      </c>
      <c r="M8006" s="9" t="s">
        <v>22</v>
      </c>
    </row>
    <row r="8007" ht="15.75" customHeight="1">
      <c r="A8007" s="7"/>
      <c r="B8007" s="7" t="str">
        <f>IFERROR(__xludf.DUMMYFUNCTION("""COMPUTED_VALUE"""),"Bash/Shell/PowerShell;C#;HTML/CSS;Java;JavaScript;PHP;SQL")</f>
        <v>Bash/Shell/PowerShell;C#;HTML/CSS;Java;JavaScript;PHP;SQL</v>
      </c>
      <c r="M8007" s="9" t="s">
        <v>46</v>
      </c>
    </row>
    <row r="8008" ht="15.75" customHeight="1">
      <c r="A8008" s="7"/>
      <c r="B8008" s="7" t="str">
        <f>IFERROR(__xludf.DUMMYFUNCTION("""COMPUTED_VALUE"""),"Assembly;C;C++;HTML/CSS;PHP;Python;SQL;Other(s):")</f>
        <v>Assembly;C;C++;HTML/CSS;PHP;Python;SQL;Other(s):</v>
      </c>
      <c r="M8008" s="9" t="s">
        <v>24</v>
      </c>
    </row>
    <row r="8009" ht="15.75" customHeight="1">
      <c r="A8009" s="7"/>
      <c r="B8009" s="7" t="str">
        <f>IFERROR(__xludf.DUMMYFUNCTION("""COMPUTED_VALUE"""),"C#;Java;SQL;VBA")</f>
        <v>C#;Java;SQL;VBA</v>
      </c>
      <c r="M8009" s="9" t="s">
        <v>22</v>
      </c>
    </row>
    <row r="8010" ht="15.75" customHeight="1">
      <c r="A8010" s="7"/>
      <c r="B8010" s="7" t="str">
        <f>IFERROR(__xludf.DUMMYFUNCTION("""COMPUTED_VALUE"""),"Bash/Shell/PowerShell;Dart;Go;HTML/CSS;JavaScript;Python;Ruby;SQL;TypeScript")</f>
        <v>Bash/Shell/PowerShell;Dart;Go;HTML/CSS;JavaScript;Python;Ruby;SQL;TypeScript</v>
      </c>
      <c r="M8010" s="9" t="s">
        <v>29</v>
      </c>
    </row>
    <row r="8011" ht="15.75" customHeight="1">
      <c r="A8011" s="7"/>
      <c r="B8011" s="7" t="str">
        <f>IFERROR(__xludf.DUMMYFUNCTION("""COMPUTED_VALUE"""),"C#;HTML/CSS;JavaScript;SQL;TypeScript")</f>
        <v>C#;HTML/CSS;JavaScript;SQL;TypeScript</v>
      </c>
      <c r="M8011" s="9" t="s">
        <v>30</v>
      </c>
    </row>
    <row r="8012" ht="15.75" customHeight="1">
      <c r="A8012" s="7"/>
      <c r="B8012" s="7" t="str">
        <f>IFERROR(__xludf.DUMMYFUNCTION("""COMPUTED_VALUE"""),"C;C++;C#;HTML/CSS;JavaScript;Python")</f>
        <v>C;C++;C#;HTML/CSS;JavaScript;Python</v>
      </c>
      <c r="M8012" s="9" t="s">
        <v>25</v>
      </c>
    </row>
    <row r="8013" ht="15.75" customHeight="1">
      <c r="A8013" s="7"/>
      <c r="B8013" s="7" t="str">
        <f>IFERROR(__xludf.DUMMYFUNCTION("""COMPUTED_VALUE"""),"HTML/CSS;Java;JavaScript;Ruby;TypeScript")</f>
        <v>HTML/CSS;Java;JavaScript;Ruby;TypeScript</v>
      </c>
      <c r="M8013" s="9" t="s">
        <v>23</v>
      </c>
    </row>
    <row r="8014" ht="15.75" customHeight="1">
      <c r="A8014" s="7"/>
      <c r="B8014" s="7" t="str">
        <f>IFERROR(__xludf.DUMMYFUNCTION("""COMPUTED_VALUE"""),"HTML/CSS;JavaScript")</f>
        <v>HTML/CSS;JavaScript</v>
      </c>
      <c r="M8014" s="9" t="s">
        <v>26</v>
      </c>
    </row>
    <row r="8015" ht="15.75" customHeight="1">
      <c r="A8015" s="7"/>
      <c r="B8015" s="7" t="str">
        <f>IFERROR(__xludf.DUMMYFUNCTION("""COMPUTED_VALUE"""),"C;HTML/CSS;Python;R")</f>
        <v>C;HTML/CSS;Python;R</v>
      </c>
      <c r="M8015" s="9" t="s">
        <v>36</v>
      </c>
    </row>
    <row r="8016" ht="15.75" customHeight="1">
      <c r="A8016" s="7"/>
      <c r="B8016" s="7" t="str">
        <f>IFERROR(__xludf.DUMMYFUNCTION("""COMPUTED_VALUE"""),"Assembly;Bash/Shell/PowerShell;C;HTML/CSS;Java;PHP;SQL")</f>
        <v>Assembly;Bash/Shell/PowerShell;C;HTML/CSS;Java;PHP;SQL</v>
      </c>
      <c r="M8016" s="9" t="s">
        <v>24</v>
      </c>
    </row>
    <row r="8017" ht="15.75" customHeight="1">
      <c r="A8017" s="7"/>
      <c r="B8017" s="7" t="str">
        <f>IFERROR(__xludf.DUMMYFUNCTION("""COMPUTED_VALUE"""),"Java;JavaScript;TypeScript")</f>
        <v>Java;JavaScript;TypeScript</v>
      </c>
      <c r="M8017" s="9" t="s">
        <v>21</v>
      </c>
    </row>
    <row r="8018" ht="15.75" customHeight="1">
      <c r="A8018" s="7"/>
      <c r="B8018" s="7" t="str">
        <f>IFERROR(__xludf.DUMMYFUNCTION("""COMPUTED_VALUE"""),"C#;HTML/CSS;JavaScript;PHP;Python")</f>
        <v>C#;HTML/CSS;JavaScript;PHP;Python</v>
      </c>
      <c r="M8018" s="9" t="s">
        <v>37</v>
      </c>
    </row>
    <row r="8019" ht="15.75" customHeight="1">
      <c r="A8019" s="7"/>
      <c r="B8019" s="7" t="str">
        <f>IFERROR(__xludf.DUMMYFUNCTION("""COMPUTED_VALUE"""),"Bash/Shell/PowerShell;C#;HTML/CSS;JavaScript;SQL;TypeScript")</f>
        <v>Bash/Shell/PowerShell;C#;HTML/CSS;JavaScript;SQL;TypeScript</v>
      </c>
      <c r="M8019" s="9" t="s">
        <v>22</v>
      </c>
    </row>
    <row r="8020" ht="15.75" customHeight="1">
      <c r="A8020" s="7"/>
      <c r="B8020" s="7" t="str">
        <f>IFERROR(__xludf.DUMMYFUNCTION("""COMPUTED_VALUE"""),"Bash/Shell/PowerShell;HTML/CSS;Java;JavaScript;Python;SQL")</f>
        <v>Bash/Shell/PowerShell;HTML/CSS;Java;JavaScript;Python;SQL</v>
      </c>
      <c r="M8020" s="9" t="s">
        <v>32</v>
      </c>
    </row>
    <row r="8021" ht="15.75" customHeight="1">
      <c r="A8021" s="7"/>
      <c r="B8021" s="7" t="str">
        <f>IFERROR(__xludf.DUMMYFUNCTION("""COMPUTED_VALUE"""),"Bash/Shell/PowerShell;C;C++;HTML/CSS;Python")</f>
        <v>Bash/Shell/PowerShell;C;C++;HTML/CSS;Python</v>
      </c>
      <c r="M8021" s="9" t="s">
        <v>27</v>
      </c>
    </row>
    <row r="8022" ht="15.75" customHeight="1">
      <c r="A8022" s="7"/>
      <c r="B8022" s="7" t="str">
        <f>IFERROR(__xludf.DUMMYFUNCTION("""COMPUTED_VALUE"""),"HTML/CSS;Ruby;SQL")</f>
        <v>HTML/CSS;Ruby;SQL</v>
      </c>
      <c r="M8022" s="9" t="s">
        <v>33</v>
      </c>
    </row>
    <row r="8023" ht="15.75" customHeight="1">
      <c r="A8023" s="7"/>
      <c r="B8023" s="7" t="str">
        <f>IFERROR(__xludf.DUMMYFUNCTION("""COMPUTED_VALUE"""),"HTML/CSS;Java;PHP;SQL")</f>
        <v>HTML/CSS;Java;PHP;SQL</v>
      </c>
      <c r="M8023" s="9" t="s">
        <v>41</v>
      </c>
    </row>
    <row r="8024" ht="15.75" customHeight="1">
      <c r="A8024" s="7"/>
      <c r="B8024" s="7" t="str">
        <f>IFERROR(__xludf.DUMMYFUNCTION("""COMPUTED_VALUE"""),"C;Java")</f>
        <v>C;Java</v>
      </c>
      <c r="M8024" s="9" t="s">
        <v>40</v>
      </c>
    </row>
    <row r="8025" ht="15.75" customHeight="1">
      <c r="A8025" s="7"/>
      <c r="B8025" s="7" t="str">
        <f>IFERROR(__xludf.DUMMYFUNCTION("""COMPUTED_VALUE"""),"HTML/CSS;JavaScript;PHP;SQL")</f>
        <v>HTML/CSS;JavaScript;PHP;SQL</v>
      </c>
      <c r="M8025" s="9" t="s">
        <v>26</v>
      </c>
    </row>
    <row r="8026" ht="15.75" customHeight="1">
      <c r="A8026" s="7"/>
      <c r="B8026" s="7" t="str">
        <f>IFERROR(__xludf.DUMMYFUNCTION("""COMPUTED_VALUE"""),"Java;SQL")</f>
        <v>Java;SQL</v>
      </c>
      <c r="M8026" s="9" t="s">
        <v>24</v>
      </c>
    </row>
    <row r="8027" ht="15.75" customHeight="1">
      <c r="A8027" s="7"/>
      <c r="B8027" s="7" t="str">
        <f>IFERROR(__xludf.DUMMYFUNCTION("""COMPUTED_VALUE"""),"Assembly;Bash/Shell/PowerShell;C;C++;C#;HTML/CSS;Java;JavaScript;PHP;SQL;TypeScript;VBA")</f>
        <v>Assembly;Bash/Shell/PowerShell;C;C++;C#;HTML/CSS;Java;JavaScript;PHP;SQL;TypeScript;VBA</v>
      </c>
      <c r="M8027" s="9" t="s">
        <v>21</v>
      </c>
    </row>
    <row r="8028" ht="15.75" customHeight="1">
      <c r="A8028" s="7"/>
      <c r="B8028" s="7" t="str">
        <f>IFERROR(__xludf.DUMMYFUNCTION("""COMPUTED_VALUE"""),"JavaScript;Python;Ruby")</f>
        <v>JavaScript;Python;Ruby</v>
      </c>
      <c r="M8028" s="9" t="s">
        <v>22</v>
      </c>
    </row>
    <row r="8029" ht="15.75" customHeight="1">
      <c r="A8029" s="7"/>
      <c r="B8029" s="7" t="str">
        <f>IFERROR(__xludf.DUMMYFUNCTION("""COMPUTED_VALUE"""),"JavaScript;Python")</f>
        <v>JavaScript;Python</v>
      </c>
      <c r="M8029" s="9" t="s">
        <v>30</v>
      </c>
    </row>
    <row r="8030" ht="15.75" customHeight="1">
      <c r="A8030" s="7"/>
      <c r="B8030" s="7" t="str">
        <f>IFERROR(__xludf.DUMMYFUNCTION("""COMPUTED_VALUE"""),"Java")</f>
        <v>Java</v>
      </c>
      <c r="M8030" s="9" t="s">
        <v>23</v>
      </c>
    </row>
    <row r="8031" ht="15.75" customHeight="1">
      <c r="A8031" s="7"/>
      <c r="B8031" s="7" t="str">
        <f>IFERROR(__xludf.DUMMYFUNCTION("""COMPUTED_VALUE"""),"Bash/Shell/PowerShell;C;Java;Python;Swift;Other(s):")</f>
        <v>Bash/Shell/PowerShell;C;Java;Python;Swift;Other(s):</v>
      </c>
      <c r="M8031" s="9" t="s">
        <v>26</v>
      </c>
    </row>
    <row r="8032" ht="15.75" customHeight="1">
      <c r="A8032" s="7"/>
      <c r="B8032" s="7" t="str">
        <f>IFERROR(__xludf.DUMMYFUNCTION("""COMPUTED_VALUE"""),"C++;HTML/CSS;JavaScript;Python")</f>
        <v>C++;HTML/CSS;JavaScript;Python</v>
      </c>
      <c r="M8032" s="9" t="s">
        <v>24</v>
      </c>
    </row>
    <row r="8033" ht="15.75" customHeight="1">
      <c r="A8033" s="7"/>
      <c r="B8033" s="7" t="str">
        <f>IFERROR(__xludf.DUMMYFUNCTION("""COMPUTED_VALUE"""),"Assembly;Bash/Shell/PowerShell;C;C++;Objective-C;Other(s):")</f>
        <v>Assembly;Bash/Shell/PowerShell;C;C++;Objective-C;Other(s):</v>
      </c>
      <c r="M8033" s="9" t="s">
        <v>20</v>
      </c>
    </row>
    <row r="8034" ht="15.75" customHeight="1">
      <c r="A8034" s="7"/>
      <c r="B8034" s="7" t="str">
        <f>IFERROR(__xludf.DUMMYFUNCTION("""COMPUTED_VALUE"""),"Bash/Shell/PowerShell;C;HTML/CSS;JavaScript;PHP;Python;Ruby;Other(s):")</f>
        <v>Bash/Shell/PowerShell;C;HTML/CSS;JavaScript;PHP;Python;Ruby;Other(s):</v>
      </c>
      <c r="M8034" s="9" t="s">
        <v>21</v>
      </c>
    </row>
    <row r="8035" ht="15.75" customHeight="1">
      <c r="A8035" s="7"/>
      <c r="B8035" s="7" t="str">
        <f>IFERROR(__xludf.DUMMYFUNCTION("""COMPUTED_VALUE"""),"C#;HTML/CSS;JavaScript;PHP;SQL")</f>
        <v>C#;HTML/CSS;JavaScript;PHP;SQL</v>
      </c>
      <c r="M8035" s="9" t="s">
        <v>22</v>
      </c>
    </row>
    <row r="8036" ht="15.75" customHeight="1">
      <c r="A8036" s="7"/>
      <c r="B8036" s="7" t="str">
        <f>IFERROR(__xludf.DUMMYFUNCTION("""COMPUTED_VALUE"""),"Bash/Shell/PowerShell;C#;Java;Python;Scala;SQL")</f>
        <v>Bash/Shell/PowerShell;C#;Java;Python;Scala;SQL</v>
      </c>
      <c r="M8036" s="9" t="s">
        <v>31</v>
      </c>
    </row>
    <row r="8037" ht="15.75" customHeight="1">
      <c r="A8037" s="7"/>
      <c r="B8037" s="7" t="str">
        <f>IFERROR(__xludf.DUMMYFUNCTION("""COMPUTED_VALUE"""),"Swift;Other(s):")</f>
        <v>Swift;Other(s):</v>
      </c>
      <c r="M8037" s="9" t="s">
        <v>27</v>
      </c>
    </row>
    <row r="8038" ht="15.75" customHeight="1">
      <c r="A8038" s="7"/>
      <c r="B8038" s="7" t="str">
        <f>IFERROR(__xludf.DUMMYFUNCTION("""COMPUTED_VALUE"""),"Python;SQL")</f>
        <v>Python;SQL</v>
      </c>
      <c r="M8038" s="9" t="s">
        <v>33</v>
      </c>
    </row>
    <row r="8039" ht="15.75" customHeight="1">
      <c r="A8039" s="7"/>
      <c r="B8039" s="7" t="str">
        <f>IFERROR(__xludf.DUMMYFUNCTION("""COMPUTED_VALUE"""),"Bash/Shell/PowerShell;Go;HTML/CSS;Java;JavaScript;Python;Ruby;TypeScript")</f>
        <v>Bash/Shell/PowerShell;Go;HTML/CSS;Java;JavaScript;Python;Ruby;TypeScript</v>
      </c>
      <c r="M8039" s="9" t="s">
        <v>28</v>
      </c>
    </row>
    <row r="8040" ht="15.75" customHeight="1">
      <c r="A8040" s="7"/>
      <c r="B8040" s="7" t="str">
        <f>IFERROR(__xludf.DUMMYFUNCTION("""COMPUTED_VALUE"""),"Assembly;Bash/Shell/PowerShell;C;C++;SQL")</f>
        <v>Assembly;Bash/Shell/PowerShell;C;C++;SQL</v>
      </c>
      <c r="M8040" s="9" t="s">
        <v>26</v>
      </c>
    </row>
    <row r="8041" ht="15.75" customHeight="1">
      <c r="A8041" s="7"/>
      <c r="B8041" s="7" t="str">
        <f>IFERROR(__xludf.DUMMYFUNCTION("""COMPUTED_VALUE"""),"C#;HTML/CSS;TypeScript")</f>
        <v>C#;HTML/CSS;TypeScript</v>
      </c>
      <c r="M8041" s="9" t="s">
        <v>20</v>
      </c>
    </row>
    <row r="8042" ht="15.75" customHeight="1">
      <c r="A8042" s="7"/>
      <c r="B8042" s="7" t="str">
        <f>IFERROR(__xludf.DUMMYFUNCTION("""COMPUTED_VALUE"""),"C;C++;HTML/CSS;Java;Kotlin")</f>
        <v>C;C++;HTML/CSS;Java;Kotlin</v>
      </c>
      <c r="M8042" s="9" t="s">
        <v>21</v>
      </c>
    </row>
    <row r="8043" ht="15.75" customHeight="1">
      <c r="A8043" s="7"/>
      <c r="B8043" s="7" t="str">
        <f>IFERROR(__xludf.DUMMYFUNCTION("""COMPUTED_VALUE"""),"Assembly;C;C++;Elixir;Go;HTML/CSS;Java;Objective-C;Python;Swift")</f>
        <v>Assembly;C;C++;Elixir;Go;HTML/CSS;Java;Objective-C;Python;Swift</v>
      </c>
      <c r="M8043" s="9" t="s">
        <v>37</v>
      </c>
    </row>
    <row r="8044" ht="15.75" customHeight="1">
      <c r="A8044" s="7"/>
      <c r="B8044" s="7" t="str">
        <f>IFERROR(__xludf.DUMMYFUNCTION("""COMPUTED_VALUE"""),"Assembly;Bash/Shell/PowerShell;C;C++;Other(s):")</f>
        <v>Assembly;Bash/Shell/PowerShell;C;C++;Other(s):</v>
      </c>
      <c r="M8044" s="9" t="s">
        <v>27</v>
      </c>
    </row>
    <row r="8045" ht="15.75" customHeight="1">
      <c r="A8045" s="7"/>
      <c r="B8045" s="7" t="str">
        <f>IFERROR(__xludf.DUMMYFUNCTION("""COMPUTED_VALUE"""),"C++;HTML/CSS;Java;JavaScript;PHP;Python;SQL;Swift")</f>
        <v>C++;HTML/CSS;Java;JavaScript;PHP;Python;SQL;Swift</v>
      </c>
      <c r="M8045" s="9" t="s">
        <v>26</v>
      </c>
    </row>
    <row r="8046" ht="15.75" customHeight="1">
      <c r="A8046" s="7"/>
      <c r="B8046" s="7" t="str">
        <f>IFERROR(__xludf.DUMMYFUNCTION("""COMPUTED_VALUE"""),"C;HTML/CSS;JavaScript;PHP;Python;Ruby")</f>
        <v>C;HTML/CSS;JavaScript;PHP;Python;Ruby</v>
      </c>
      <c r="M8046" s="9" t="s">
        <v>27</v>
      </c>
    </row>
    <row r="8047" ht="15.75" customHeight="1">
      <c r="A8047" s="7"/>
      <c r="B8047" s="7" t="str">
        <f>IFERROR(__xludf.DUMMYFUNCTION("""COMPUTED_VALUE"""),"Elixir;HTML/CSS;Java;JavaScript;Python;R")</f>
        <v>Elixir;HTML/CSS;Java;JavaScript;Python;R</v>
      </c>
      <c r="M8047" s="9" t="s">
        <v>26</v>
      </c>
    </row>
    <row r="8048" ht="15.75" customHeight="1">
      <c r="A8048" s="7"/>
      <c r="B8048" s="7" t="str">
        <f>IFERROR(__xludf.DUMMYFUNCTION("""COMPUTED_VALUE"""),"C;C++;C#;HTML/CSS;JavaScript;SQL")</f>
        <v>C;C++;C#;HTML/CSS;JavaScript;SQL</v>
      </c>
      <c r="M8048" s="9" t="s">
        <v>24</v>
      </c>
    </row>
    <row r="8049" ht="15.75" customHeight="1">
      <c r="A8049" s="7"/>
      <c r="B8049" s="7" t="str">
        <f>IFERROR(__xludf.DUMMYFUNCTION("""COMPUTED_VALUE"""),"R;SQL")</f>
        <v>R;SQL</v>
      </c>
      <c r="M8049" s="9" t="s">
        <v>20</v>
      </c>
    </row>
    <row r="8050" ht="15.75" customHeight="1">
      <c r="A8050" s="7"/>
      <c r="B8050" s="7" t="str">
        <f>IFERROR(__xludf.DUMMYFUNCTION("""COMPUTED_VALUE"""),"C#;HTML/CSS;JavaScript;SQL")</f>
        <v>C#;HTML/CSS;JavaScript;SQL</v>
      </c>
      <c r="M8050" s="9" t="s">
        <v>21</v>
      </c>
    </row>
    <row r="8051" ht="15.75" customHeight="1">
      <c r="A8051" s="7"/>
      <c r="B8051" s="7" t="str">
        <f>IFERROR(__xludf.DUMMYFUNCTION("""COMPUTED_VALUE"""),"C++;C#;HTML/CSS;JavaScript;Python;R;SQL;Other(s):")</f>
        <v>C++;C#;HTML/CSS;JavaScript;Python;R;SQL;Other(s):</v>
      </c>
      <c r="M8051" s="9" t="s">
        <v>33</v>
      </c>
    </row>
    <row r="8052" ht="15.75" customHeight="1">
      <c r="A8052" s="7"/>
      <c r="B8052" s="7" t="str">
        <f>IFERROR(__xludf.DUMMYFUNCTION("""COMPUTED_VALUE"""),"C++;JavaScript;Python;TypeScript;WebAssembly")</f>
        <v>C++;JavaScript;Python;TypeScript;WebAssembly</v>
      </c>
      <c r="M8052" s="9" t="s">
        <v>34</v>
      </c>
    </row>
    <row r="8053" ht="15.75" customHeight="1">
      <c r="A8053" s="7"/>
      <c r="B8053" s="7" t="str">
        <f>IFERROR(__xludf.DUMMYFUNCTION("""COMPUTED_VALUE"""),"C;C++;C#;HTML/CSS;Java;JavaScript;PHP;R;Ruby;SQL;TypeScript")</f>
        <v>C;C++;C#;HTML/CSS;Java;JavaScript;PHP;R;Ruby;SQL;TypeScript</v>
      </c>
      <c r="M8053" s="9" t="s">
        <v>35</v>
      </c>
    </row>
    <row r="8054" ht="15.75" customHeight="1">
      <c r="A8054" s="7"/>
      <c r="B8054" s="7" t="str">
        <f>IFERROR(__xludf.DUMMYFUNCTION("""COMPUTED_VALUE"""),"Bash/Shell/PowerShell;C;C++;C#;HTML/CSS;Java;JavaScript;Objective-C;Python;Swift;TypeScript")</f>
        <v>Bash/Shell/PowerShell;C;C++;C#;HTML/CSS;Java;JavaScript;Objective-C;Python;Swift;TypeScript</v>
      </c>
      <c r="M8054" s="9" t="s">
        <v>30</v>
      </c>
    </row>
    <row r="8055" ht="15.75" customHeight="1">
      <c r="A8055" s="7"/>
      <c r="B8055" s="7" t="str">
        <f>IFERROR(__xludf.DUMMYFUNCTION("""COMPUTED_VALUE"""),"Bash/Shell/PowerShell;HTML/CSS;Java;JavaScript;Kotlin;Rust")</f>
        <v>Bash/Shell/PowerShell;HTML/CSS;Java;JavaScript;Kotlin;Rust</v>
      </c>
      <c r="M8055" s="9" t="s">
        <v>24</v>
      </c>
    </row>
    <row r="8056" ht="15.75" customHeight="1">
      <c r="A8056" s="7"/>
      <c r="B8056" s="7" t="str">
        <f>IFERROR(__xludf.DUMMYFUNCTION("""COMPUTED_VALUE"""),"C;C++;HTML/CSS;JavaScript;PHP;Python")</f>
        <v>C;C++;HTML/CSS;JavaScript;PHP;Python</v>
      </c>
      <c r="M8056" s="9" t="s">
        <v>20</v>
      </c>
    </row>
    <row r="8057" ht="15.75" customHeight="1">
      <c r="A8057" s="7"/>
      <c r="B8057" s="7" t="str">
        <f>IFERROR(__xludf.DUMMYFUNCTION("""COMPUTED_VALUE"""),"Bash/Shell/PowerShell;Python")</f>
        <v>Bash/Shell/PowerShell;Python</v>
      </c>
      <c r="M8057" s="9" t="s">
        <v>21</v>
      </c>
    </row>
    <row r="8058" ht="15.75" customHeight="1">
      <c r="A8058" s="7"/>
      <c r="B8058" s="7" t="str">
        <f>IFERROR(__xludf.DUMMYFUNCTION("""COMPUTED_VALUE"""),"Assembly;Bash/Shell/PowerShell;C;C++;HTML/CSS;JavaScript;Python;Rust")</f>
        <v>Assembly;Bash/Shell/PowerShell;C;C++;HTML/CSS;JavaScript;Python;Rust</v>
      </c>
      <c r="M8058" s="9" t="s">
        <v>22</v>
      </c>
    </row>
    <row r="8059" ht="15.75" customHeight="1">
      <c r="A8059" s="7"/>
      <c r="B8059" s="7" t="str">
        <f>IFERROR(__xludf.DUMMYFUNCTION("""COMPUTED_VALUE"""),"HTML/CSS;Java;Python")</f>
        <v>HTML/CSS;Java;Python</v>
      </c>
      <c r="M8059" s="9" t="s">
        <v>27</v>
      </c>
    </row>
    <row r="8060" ht="15.75" customHeight="1">
      <c r="A8060" s="7"/>
      <c r="B8060" s="7" t="str">
        <f>IFERROR(__xludf.DUMMYFUNCTION("""COMPUTED_VALUE"""),"C++;HTML/CSS;JavaScript;PHP;SQL")</f>
        <v>C++;HTML/CSS;JavaScript;PHP;SQL</v>
      </c>
      <c r="M8060" s="9" t="s">
        <v>30</v>
      </c>
    </row>
    <row r="8061" ht="15.75" customHeight="1">
      <c r="A8061" s="7"/>
      <c r="B8061" s="7" t="str">
        <f>IFERROR(__xludf.DUMMYFUNCTION("""COMPUTED_VALUE"""),"Bash/Shell/PowerShell;C#;HTML/CSS;JavaScript;SQL;Other(s):")</f>
        <v>Bash/Shell/PowerShell;C#;HTML/CSS;JavaScript;SQL;Other(s):</v>
      </c>
      <c r="M8061" s="9" t="s">
        <v>23</v>
      </c>
    </row>
    <row r="8062" ht="15.75" customHeight="1">
      <c r="A8062" s="7"/>
      <c r="B8062" s="7" t="str">
        <f>IFERROR(__xludf.DUMMYFUNCTION("""COMPUTED_VALUE"""),"HTML/CSS;Java;JavaScript;SQL")</f>
        <v>HTML/CSS;Java;JavaScript;SQL</v>
      </c>
      <c r="M8062" s="9" t="s">
        <v>26</v>
      </c>
    </row>
    <row r="8063" ht="15.75" customHeight="1">
      <c r="A8063" s="7"/>
      <c r="B8063" s="7" t="str">
        <f>IFERROR(__xludf.DUMMYFUNCTION("""COMPUTED_VALUE"""),"C;C++;C#;JavaScript;Objective-C;Other(s):")</f>
        <v>C;C++;C#;JavaScript;Objective-C;Other(s):</v>
      </c>
      <c r="M8063" s="9" t="s">
        <v>21</v>
      </c>
    </row>
    <row r="8064" ht="15.75" customHeight="1">
      <c r="A8064" s="7"/>
      <c r="B8064" s="7" t="str">
        <f>IFERROR(__xludf.DUMMYFUNCTION("""COMPUTED_VALUE"""),"Assembly;Bash/Shell/PowerShell;C;Java;Python;Ruby")</f>
        <v>Assembly;Bash/Shell/PowerShell;C;Java;Python;Ruby</v>
      </c>
      <c r="M8064" s="9" t="s">
        <v>41</v>
      </c>
    </row>
    <row r="8065" ht="15.75" customHeight="1">
      <c r="A8065" s="7"/>
      <c r="B8065" s="7" t="str">
        <f>IFERROR(__xludf.DUMMYFUNCTION("""COMPUTED_VALUE"""),"C#;HTML/CSS;Java;JavaScript;Kotlin;PHP;Python;SQL;TypeScript")</f>
        <v>C#;HTML/CSS;Java;JavaScript;Kotlin;PHP;Python;SQL;TypeScript</v>
      </c>
      <c r="M8065" s="9" t="s">
        <v>22</v>
      </c>
    </row>
    <row r="8066" ht="15.75" customHeight="1">
      <c r="A8066" s="7"/>
      <c r="B8066" s="7" t="str">
        <f>IFERROR(__xludf.DUMMYFUNCTION("""COMPUTED_VALUE"""),"HTML/CSS;Java;JavaScript;Python;SQL;Swift")</f>
        <v>HTML/CSS;Java;JavaScript;Python;SQL;Swift</v>
      </c>
      <c r="M8066" s="9" t="s">
        <v>40</v>
      </c>
    </row>
    <row r="8067" ht="15.75" customHeight="1">
      <c r="A8067" s="7"/>
      <c r="B8067" s="7" t="str">
        <f>IFERROR(__xludf.DUMMYFUNCTION("""COMPUTED_VALUE"""),"Go;HTML/CSS;JavaScript;PHP;SQL")</f>
        <v>Go;HTML/CSS;JavaScript;PHP;SQL</v>
      </c>
      <c r="M8067" s="9" t="s">
        <v>38</v>
      </c>
    </row>
    <row r="8068" ht="15.75" customHeight="1">
      <c r="A8068" s="7"/>
      <c r="B8068" s="7" t="str">
        <f>IFERROR(__xludf.DUMMYFUNCTION("""COMPUTED_VALUE"""),"C;C#;HTML/CSS;Java;Kotlin;Python;Swift")</f>
        <v>C;C#;HTML/CSS;Java;Kotlin;Python;Swift</v>
      </c>
      <c r="M8068" s="9" t="s">
        <v>30</v>
      </c>
    </row>
    <row r="8069" ht="15.75" customHeight="1">
      <c r="A8069" s="7"/>
      <c r="B8069" s="7" t="str">
        <f>IFERROR(__xludf.DUMMYFUNCTION("""COMPUTED_VALUE"""),"C;C++;HTML/CSS;JavaScript")</f>
        <v>C;C++;HTML/CSS;JavaScript</v>
      </c>
      <c r="M8069" s="9" t="s">
        <v>25</v>
      </c>
    </row>
    <row r="8070" ht="15.75" customHeight="1">
      <c r="A8070" s="7"/>
      <c r="B8070" s="7" t="str">
        <f>IFERROR(__xludf.DUMMYFUNCTION("""COMPUTED_VALUE"""),"JavaScript;PHP;SQL;Other(s):")</f>
        <v>JavaScript;PHP;SQL;Other(s):</v>
      </c>
      <c r="M8070" s="9" t="s">
        <v>22</v>
      </c>
    </row>
    <row r="8071" ht="15.75" customHeight="1">
      <c r="A8071" s="7"/>
      <c r="B8071" s="7" t="str">
        <f>IFERROR(__xludf.DUMMYFUNCTION("""COMPUTED_VALUE"""),"HTML/CSS;JavaScript;PHP;Python")</f>
        <v>HTML/CSS;JavaScript;PHP;Python</v>
      </c>
      <c r="M8071" s="9" t="s">
        <v>30</v>
      </c>
    </row>
    <row r="8072" ht="15.75" customHeight="1">
      <c r="A8072" s="7"/>
      <c r="B8072" s="7" t="str">
        <f>IFERROR(__xludf.DUMMYFUNCTION("""COMPUTED_VALUE"""),"Bash/Shell/PowerShell;SQL;Other(s):")</f>
        <v>Bash/Shell/PowerShell;SQL;Other(s):</v>
      </c>
      <c r="M8072" s="9" t="s">
        <v>24</v>
      </c>
    </row>
    <row r="8073" ht="15.75" customHeight="1">
      <c r="A8073" s="7"/>
      <c r="B8073" s="7" t="str">
        <f>IFERROR(__xludf.DUMMYFUNCTION("""COMPUTED_VALUE"""),"Bash/Shell/PowerShell;HTML/CSS;JavaScript;Python;SQL")</f>
        <v>Bash/Shell/PowerShell;HTML/CSS;JavaScript;Python;SQL</v>
      </c>
      <c r="M8073" s="9" t="s">
        <v>20</v>
      </c>
    </row>
    <row r="8074" ht="15.75" customHeight="1">
      <c r="A8074" s="7"/>
      <c r="B8074" s="7" t="str">
        <f>IFERROR(__xludf.DUMMYFUNCTION("""COMPUTED_VALUE"""),"Bash/Shell/PowerShell;C#;Python;Rust;SQL")</f>
        <v>Bash/Shell/PowerShell;C#;Python;Rust;SQL</v>
      </c>
      <c r="M8074" s="9" t="s">
        <v>21</v>
      </c>
    </row>
    <row r="8075" ht="15.75" customHeight="1">
      <c r="A8075" s="7"/>
      <c r="B8075" s="7" t="str">
        <f>IFERROR(__xludf.DUMMYFUNCTION("""COMPUTED_VALUE"""),"Bash/Shell/PowerShell;C;Go;HTML/CSS;JavaScript;Python;Scala")</f>
        <v>Bash/Shell/PowerShell;C;Go;HTML/CSS;JavaScript;Python;Scala</v>
      </c>
      <c r="M8075" s="9" t="s">
        <v>39</v>
      </c>
    </row>
    <row r="8076" ht="15.75" customHeight="1">
      <c r="A8076" s="7"/>
      <c r="B8076" s="7" t="str">
        <f>IFERROR(__xludf.DUMMYFUNCTION("""COMPUTED_VALUE"""),"Ruby;Scala")</f>
        <v>Ruby;Scala</v>
      </c>
      <c r="M8076" s="9" t="s">
        <v>22</v>
      </c>
    </row>
    <row r="8077" ht="15.75" customHeight="1">
      <c r="A8077" s="7"/>
      <c r="B8077" s="7" t="str">
        <f>IFERROR(__xludf.DUMMYFUNCTION("""COMPUTED_VALUE"""),"Python;VBA")</f>
        <v>Python;VBA</v>
      </c>
      <c r="M8077" s="9" t="s">
        <v>27</v>
      </c>
    </row>
    <row r="8078" ht="15.75" customHeight="1">
      <c r="A8078" s="7"/>
      <c r="B8078" s="7" t="str">
        <f>IFERROR(__xludf.DUMMYFUNCTION("""COMPUTED_VALUE"""),"Bash/Shell/PowerShell;C;C++;HTML/CSS;Java;JavaScript;SQL")</f>
        <v>Bash/Shell/PowerShell;C;C++;HTML/CSS;Java;JavaScript;SQL</v>
      </c>
      <c r="M8078" s="9" t="s">
        <v>30</v>
      </c>
    </row>
    <row r="8079" ht="15.75" customHeight="1">
      <c r="A8079" s="7"/>
      <c r="B8079" s="7" t="str">
        <f>IFERROR(__xludf.DUMMYFUNCTION("""COMPUTED_VALUE"""),"C#;Java;JavaScript;Python;TypeScript")</f>
        <v>C#;Java;JavaScript;Python;TypeScript</v>
      </c>
      <c r="M8079" s="9" t="s">
        <v>22</v>
      </c>
    </row>
    <row r="8080" ht="15.75" customHeight="1">
      <c r="A8080" s="7"/>
      <c r="B8080" s="7" t="str">
        <f>IFERROR(__xludf.DUMMYFUNCTION("""COMPUTED_VALUE"""),"C#;HTML/CSS;JavaScript;SQL;VBA;Other(s):")</f>
        <v>C#;HTML/CSS;JavaScript;SQL;VBA;Other(s):</v>
      </c>
      <c r="M8080" s="9" t="s">
        <v>31</v>
      </c>
    </row>
    <row r="8081" ht="15.75" customHeight="1">
      <c r="A8081" s="7"/>
      <c r="B8081" s="7" t="str">
        <f>IFERROR(__xludf.DUMMYFUNCTION("""COMPUTED_VALUE"""),"Bash/Shell/PowerShell;HTML/CSS;Java;JavaScript;PHP;SQL")</f>
        <v>Bash/Shell/PowerShell;HTML/CSS;Java;JavaScript;PHP;SQL</v>
      </c>
      <c r="M8081" s="9" t="s">
        <v>27</v>
      </c>
    </row>
    <row r="8082" ht="15.75" customHeight="1">
      <c r="A8082" s="7"/>
      <c r="B8082" s="7" t="str">
        <f>IFERROR(__xludf.DUMMYFUNCTION("""COMPUTED_VALUE"""),"Java;SQL")</f>
        <v>Java;SQL</v>
      </c>
      <c r="M8082" s="9" t="s">
        <v>38</v>
      </c>
    </row>
    <row r="8083" ht="15.75" customHeight="1">
      <c r="A8083" s="7"/>
      <c r="B8083" s="7" t="str">
        <f>IFERROR(__xludf.DUMMYFUNCTION("""COMPUTED_VALUE"""),"C;C++;C#")</f>
        <v>C;C++;C#</v>
      </c>
      <c r="M8083" s="9" t="s">
        <v>23</v>
      </c>
    </row>
    <row r="8084" ht="15.75" customHeight="1">
      <c r="A8084" s="7"/>
      <c r="B8084" s="7" t="str">
        <f>IFERROR(__xludf.DUMMYFUNCTION("""COMPUTED_VALUE"""),"HTML/CSS;JavaScript;Other(s):")</f>
        <v>HTML/CSS;JavaScript;Other(s):</v>
      </c>
      <c r="M8084" s="9" t="s">
        <v>26</v>
      </c>
    </row>
    <row r="8085" ht="15.75" customHeight="1">
      <c r="A8085" s="7"/>
      <c r="B8085" s="7" t="str">
        <f>IFERROR(__xludf.DUMMYFUNCTION("""COMPUTED_VALUE"""),"Bash/Shell/PowerShell;HTML/CSS;Java;JavaScript;PHP;SQL;TypeScript")</f>
        <v>Bash/Shell/PowerShell;HTML/CSS;Java;JavaScript;PHP;SQL;TypeScript</v>
      </c>
      <c r="M8085" s="9" t="s">
        <v>20</v>
      </c>
    </row>
    <row r="8086" ht="15.75" customHeight="1">
      <c r="A8086" s="7"/>
      <c r="B8086" s="7" t="str">
        <f>IFERROR(__xludf.DUMMYFUNCTION("""COMPUTED_VALUE"""),"Java;JavaScript;Ruby;SQL;TypeScript")</f>
        <v>Java;JavaScript;Ruby;SQL;TypeScript</v>
      </c>
      <c r="M8086" s="9" t="s">
        <v>21</v>
      </c>
    </row>
    <row r="8087" ht="15.75" customHeight="1">
      <c r="A8087" s="7"/>
      <c r="B8087" s="7" t="str">
        <f>IFERROR(__xludf.DUMMYFUNCTION("""COMPUTED_VALUE"""),"C++;HTML/CSS;Java;JavaScript;TypeScript")</f>
        <v>C++;HTML/CSS;Java;JavaScript;TypeScript</v>
      </c>
      <c r="M8087" s="9" t="s">
        <v>22</v>
      </c>
    </row>
    <row r="8088" ht="15.75" customHeight="1">
      <c r="A8088" s="7"/>
      <c r="B8088" s="7" t="str">
        <f>IFERROR(__xludf.DUMMYFUNCTION("""COMPUTED_VALUE"""),"C;C++;HTML/CSS;JavaScript;Python")</f>
        <v>C;C++;HTML/CSS;JavaScript;Python</v>
      </c>
      <c r="M8088" s="9" t="s">
        <v>28</v>
      </c>
    </row>
    <row r="8089" ht="15.75" customHeight="1">
      <c r="A8089" s="7"/>
      <c r="B8089" s="7" t="str">
        <f>IFERROR(__xludf.DUMMYFUNCTION("""COMPUTED_VALUE"""),"Java;Python;Ruby;SQL")</f>
        <v>Java;Python;Ruby;SQL</v>
      </c>
      <c r="M8089" s="9" t="s">
        <v>24</v>
      </c>
    </row>
    <row r="8090" ht="15.75" customHeight="1">
      <c r="A8090" s="7"/>
      <c r="B8090" s="7" t="str">
        <f>IFERROR(__xludf.DUMMYFUNCTION("""COMPUTED_VALUE"""),"C#;SQL")</f>
        <v>C#;SQL</v>
      </c>
      <c r="M8090" s="9" t="s">
        <v>20</v>
      </c>
    </row>
    <row r="8091" ht="15.75" customHeight="1">
      <c r="A8091" s="7"/>
      <c r="B8091" s="7" t="str">
        <f>IFERROR(__xludf.DUMMYFUNCTION("""COMPUTED_VALUE"""),"HTML/CSS;Java;SQL;TypeScript")</f>
        <v>HTML/CSS;Java;SQL;TypeScript</v>
      </c>
      <c r="M8091" s="9" t="s">
        <v>21</v>
      </c>
    </row>
    <row r="8092" ht="15.75" customHeight="1">
      <c r="A8092" s="7"/>
      <c r="B8092" s="7" t="str">
        <f>IFERROR(__xludf.DUMMYFUNCTION("""COMPUTED_VALUE"""),"HTML/CSS;Java;JavaScript;PHP;SQL;VBA")</f>
        <v>HTML/CSS;Java;JavaScript;PHP;SQL;VBA</v>
      </c>
      <c r="M8092" s="9" t="s">
        <v>37</v>
      </c>
    </row>
    <row r="8093" ht="15.75" customHeight="1">
      <c r="A8093" s="7"/>
      <c r="B8093" s="7" t="str">
        <f>IFERROR(__xludf.DUMMYFUNCTION("""COMPUTED_VALUE"""),"Java;Kotlin")</f>
        <v>Java;Kotlin</v>
      </c>
      <c r="M8093" s="9" t="s">
        <v>27</v>
      </c>
    </row>
    <row r="8094" ht="15.75" customHeight="1">
      <c r="A8094" s="7"/>
      <c r="B8094" s="7" t="str">
        <f>IFERROR(__xludf.DUMMYFUNCTION("""COMPUTED_VALUE"""),"HTML/CSS;JavaScript;PHP;SQL")</f>
        <v>HTML/CSS;JavaScript;PHP;SQL</v>
      </c>
      <c r="M8094" s="9" t="s">
        <v>33</v>
      </c>
    </row>
    <row r="8095" ht="15.75" customHeight="1">
      <c r="A8095" s="7"/>
      <c r="B8095" s="7" t="str">
        <f>IFERROR(__xludf.DUMMYFUNCTION("""COMPUTED_VALUE"""),"C#;HTML/CSS;JavaScript;Python;SQL")</f>
        <v>C#;HTML/CSS;JavaScript;Python;SQL</v>
      </c>
      <c r="M8095" s="9" t="s">
        <v>35</v>
      </c>
    </row>
    <row r="8096" ht="15.75" customHeight="1">
      <c r="A8096" s="7"/>
      <c r="B8096" s="7" t="str">
        <f>IFERROR(__xludf.DUMMYFUNCTION("""COMPUTED_VALUE"""),"C++;HTML/CSS;Java;JavaScript")</f>
        <v>C++;HTML/CSS;Java;JavaScript</v>
      </c>
      <c r="M8096" s="9" t="s">
        <v>30</v>
      </c>
    </row>
    <row r="8097" ht="15.75" customHeight="1">
      <c r="A8097" s="7"/>
      <c r="B8097" s="7" t="str">
        <f>IFERROR(__xludf.DUMMYFUNCTION("""COMPUTED_VALUE"""),"HTML/CSS;JavaScript;PHP;SQL")</f>
        <v>HTML/CSS;JavaScript;PHP;SQL</v>
      </c>
      <c r="M8097" s="9" t="s">
        <v>20</v>
      </c>
    </row>
    <row r="8098" ht="15.75" customHeight="1">
      <c r="A8098" s="7"/>
      <c r="B8098" s="7" t="str">
        <f>IFERROR(__xludf.DUMMYFUNCTION("""COMPUTED_VALUE"""),"C;Elixir;HTML/CSS;JavaScript;PHP;Rust;SQL;Swift;TypeScript;WebAssembly")</f>
        <v>C;Elixir;HTML/CSS;JavaScript;PHP;Rust;SQL;Swift;TypeScript;WebAssembly</v>
      </c>
      <c r="M8098" s="9" t="s">
        <v>21</v>
      </c>
    </row>
    <row r="8099" ht="15.75" customHeight="1">
      <c r="A8099" s="7"/>
      <c r="B8099" s="7" t="str">
        <f>IFERROR(__xludf.DUMMYFUNCTION("""COMPUTED_VALUE"""),"Java")</f>
        <v>Java</v>
      </c>
      <c r="M8099" s="9" t="s">
        <v>22</v>
      </c>
    </row>
    <row r="8100" ht="15.75" customHeight="1">
      <c r="A8100" s="7"/>
      <c r="B8100" s="7" t="str">
        <f>IFERROR(__xludf.DUMMYFUNCTION("""COMPUTED_VALUE"""),"HTML/CSS;JavaScript")</f>
        <v>HTML/CSS;JavaScript</v>
      </c>
      <c r="M8100" s="9" t="s">
        <v>46</v>
      </c>
    </row>
    <row r="8101" ht="15.75" customHeight="1">
      <c r="A8101" s="7"/>
      <c r="B8101" s="7" t="str">
        <f>IFERROR(__xludf.DUMMYFUNCTION("""COMPUTED_VALUE"""),"C;C++;C#;Java;JavaScript;Objective-C;Swift")</f>
        <v>C;C++;C#;Java;JavaScript;Objective-C;Swift</v>
      </c>
      <c r="M8101" s="9" t="s">
        <v>38</v>
      </c>
    </row>
    <row r="8102" ht="15.75" customHeight="1">
      <c r="A8102" s="7"/>
      <c r="B8102" s="7" t="str">
        <f>IFERROR(__xludf.DUMMYFUNCTION("""COMPUTED_VALUE"""),"Assembly")</f>
        <v>Assembly</v>
      </c>
      <c r="M8102" s="9" t="s">
        <v>20</v>
      </c>
    </row>
    <row r="8103" ht="15.75" customHeight="1">
      <c r="A8103" s="7"/>
      <c r="B8103" s="7" t="str">
        <f>IFERROR(__xludf.DUMMYFUNCTION("""COMPUTED_VALUE"""),"Python;R")</f>
        <v>Python;R</v>
      </c>
      <c r="M8103" s="9" t="s">
        <v>46</v>
      </c>
    </row>
    <row r="8104" ht="15.75" customHeight="1">
      <c r="A8104" s="7"/>
      <c r="B8104" s="7" t="str">
        <f>IFERROR(__xludf.DUMMYFUNCTION("""COMPUTED_VALUE"""),"JavaScript;Python;R")</f>
        <v>JavaScript;Python;R</v>
      </c>
      <c r="M8104" s="9" t="s">
        <v>27</v>
      </c>
    </row>
    <row r="8105" ht="15.75" customHeight="1">
      <c r="A8105" s="7"/>
      <c r="B8105" s="7" t="str">
        <f>IFERROR(__xludf.DUMMYFUNCTION("""COMPUTED_VALUE"""),"HTML/CSS;Python;SQL;Swift")</f>
        <v>HTML/CSS;Python;SQL;Swift</v>
      </c>
      <c r="M8105" s="9" t="s">
        <v>24</v>
      </c>
    </row>
    <row r="8106" ht="15.75" customHeight="1">
      <c r="A8106" s="7"/>
      <c r="B8106" s="7" t="str">
        <f>IFERROR(__xludf.DUMMYFUNCTION("""COMPUTED_VALUE"""),"Bash/Shell/PowerShell;HTML/CSS;SQL")</f>
        <v>Bash/Shell/PowerShell;HTML/CSS;SQL</v>
      </c>
      <c r="M8106" s="9" t="s">
        <v>21</v>
      </c>
    </row>
    <row r="8107" ht="15.75" customHeight="1">
      <c r="A8107" s="7"/>
      <c r="B8107" s="7" t="str">
        <f>IFERROR(__xludf.DUMMYFUNCTION("""COMPUTED_VALUE"""),"Bash/Shell/PowerShell;C++;C#;Go;HTML/CSS;JavaScript;PHP;Python;SQL;TypeScript")</f>
        <v>Bash/Shell/PowerShell;C++;C#;Go;HTML/CSS;JavaScript;PHP;Python;SQL;TypeScript</v>
      </c>
      <c r="M8107" s="9" t="s">
        <v>37</v>
      </c>
    </row>
    <row r="8108" ht="15.75" customHeight="1">
      <c r="A8108" s="7"/>
      <c r="B8108" s="7" t="str">
        <f>IFERROR(__xludf.DUMMYFUNCTION("""COMPUTED_VALUE"""),"Bash/Shell/PowerShell;HTML/CSS;Java;JavaScript;SQL;TypeScript")</f>
        <v>Bash/Shell/PowerShell;HTML/CSS;Java;JavaScript;SQL;TypeScript</v>
      </c>
      <c r="M8108" s="9" t="s">
        <v>27</v>
      </c>
    </row>
    <row r="8109" ht="15.75" customHeight="1">
      <c r="A8109" s="7"/>
      <c r="B8109" s="7" t="str">
        <f>IFERROR(__xludf.DUMMYFUNCTION("""COMPUTED_VALUE"""),"Java;JavaScript;SQL")</f>
        <v>Java;JavaScript;SQL</v>
      </c>
      <c r="M8109" s="9" t="s">
        <v>24</v>
      </c>
    </row>
    <row r="8110" ht="15.75" customHeight="1">
      <c r="A8110" s="7"/>
      <c r="B8110" s="7" t="str">
        <f>IFERROR(__xludf.DUMMYFUNCTION("""COMPUTED_VALUE"""),"C#;Java;JavaScript;Objective-C;SQL")</f>
        <v>C#;Java;JavaScript;Objective-C;SQL</v>
      </c>
      <c r="M8110" s="9" t="s">
        <v>20</v>
      </c>
    </row>
    <row r="8111" ht="15.75" customHeight="1">
      <c r="A8111" s="7"/>
      <c r="B8111" s="7" t="str">
        <f>IFERROR(__xludf.DUMMYFUNCTION("""COMPUTED_VALUE"""),"HTML/CSS;JavaScript;PHP")</f>
        <v>HTML/CSS;JavaScript;PHP</v>
      </c>
      <c r="M8111" s="9" t="s">
        <v>21</v>
      </c>
    </row>
    <row r="8112" ht="15.75" customHeight="1">
      <c r="A8112" s="7"/>
      <c r="B8112" s="7" t="str">
        <f>IFERROR(__xludf.DUMMYFUNCTION("""COMPUTED_VALUE"""),"HTML/CSS;JavaScript;Python;SQL")</f>
        <v>HTML/CSS;JavaScript;Python;SQL</v>
      </c>
      <c r="M8112" s="9" t="s">
        <v>30</v>
      </c>
    </row>
    <row r="8113" ht="15.75" customHeight="1">
      <c r="A8113" s="7"/>
      <c r="B8113" s="7" t="str">
        <f>IFERROR(__xludf.DUMMYFUNCTION("""COMPUTED_VALUE"""),"JavaScript;SQL;Other(s):")</f>
        <v>JavaScript;SQL;Other(s):</v>
      </c>
      <c r="M8113" s="9" t="s">
        <v>25</v>
      </c>
    </row>
    <row r="8114" ht="15.75" customHeight="1">
      <c r="A8114" s="7"/>
      <c r="B8114" s="7" t="str">
        <f>IFERROR(__xludf.DUMMYFUNCTION("""COMPUTED_VALUE"""),"Ruby;Swift")</f>
        <v>Ruby;Swift</v>
      </c>
      <c r="M8114" s="9" t="s">
        <v>44</v>
      </c>
    </row>
    <row r="8115" ht="15.75" customHeight="1">
      <c r="A8115" s="7"/>
      <c r="B8115" s="7" t="str">
        <f>IFERROR(__xludf.DUMMYFUNCTION("""COMPUTED_VALUE"""),"HTML/CSS;JavaScript")</f>
        <v>HTML/CSS;JavaScript</v>
      </c>
      <c r="M8115" s="9" t="s">
        <v>24</v>
      </c>
    </row>
    <row r="8116" ht="15.75" customHeight="1">
      <c r="A8116" s="7"/>
      <c r="B8116" s="7" t="str">
        <f>IFERROR(__xludf.DUMMYFUNCTION("""COMPUTED_VALUE"""),"HTML/CSS;JavaScript;PHP;SQL")</f>
        <v>HTML/CSS;JavaScript;PHP;SQL</v>
      </c>
      <c r="M8116" s="9" t="s">
        <v>20</v>
      </c>
    </row>
    <row r="8117" ht="15.75" customHeight="1">
      <c r="A8117" s="7"/>
      <c r="B8117" s="7" t="str">
        <f>IFERROR(__xludf.DUMMYFUNCTION("""COMPUTED_VALUE"""),"Bash/Shell/PowerShell;C#;Java;SQL;TypeScript")</f>
        <v>Bash/Shell/PowerShell;C#;Java;SQL;TypeScript</v>
      </c>
      <c r="M8117" s="9" t="s">
        <v>21</v>
      </c>
    </row>
    <row r="8118" ht="15.75" customHeight="1">
      <c r="A8118" s="7"/>
      <c r="B8118" s="7" t="str">
        <f>IFERROR(__xludf.DUMMYFUNCTION("""COMPUTED_VALUE"""),"C#;Java;SQL")</f>
        <v>C#;Java;SQL</v>
      </c>
      <c r="M8118" s="9" t="s">
        <v>39</v>
      </c>
    </row>
    <row r="8119" ht="15.75" customHeight="1">
      <c r="A8119" s="7"/>
      <c r="B8119" s="7" t="str">
        <f>IFERROR(__xludf.DUMMYFUNCTION("""COMPUTED_VALUE"""),"JavaScript;PHP;TypeScript")</f>
        <v>JavaScript;PHP;TypeScript</v>
      </c>
      <c r="M8119" s="9" t="s">
        <v>22</v>
      </c>
    </row>
    <row r="8120" ht="15.75" customHeight="1">
      <c r="A8120" s="7"/>
      <c r="B8120" s="7" t="str">
        <f>IFERROR(__xludf.DUMMYFUNCTION("""COMPUTED_VALUE"""),"C;C++;HTML/CSS;Java;JavaScript;PHP;Python;Other(s):")</f>
        <v>C;C++;HTML/CSS;Java;JavaScript;PHP;Python;Other(s):</v>
      </c>
      <c r="M8120" s="9" t="s">
        <v>32</v>
      </c>
    </row>
    <row r="8121" ht="15.75" customHeight="1">
      <c r="A8121" s="7"/>
      <c r="B8121" s="7" t="str">
        <f>IFERROR(__xludf.DUMMYFUNCTION("""COMPUTED_VALUE"""),"C#;HTML/CSS;JavaScript;SQL")</f>
        <v>C#;HTML/CSS;JavaScript;SQL</v>
      </c>
      <c r="M8121" s="9" t="s">
        <v>40</v>
      </c>
    </row>
    <row r="8122" ht="15.75" customHeight="1">
      <c r="A8122" s="7"/>
      <c r="B8122" s="7" t="str">
        <f>IFERROR(__xludf.DUMMYFUNCTION("""COMPUTED_VALUE"""),"Bash/Shell/PowerShell;C;C++;HTML/CSS;JavaScript;Ruby;SQL")</f>
        <v>Bash/Shell/PowerShell;C;C++;HTML/CSS;JavaScript;Ruby;SQL</v>
      </c>
      <c r="M8122" s="9" t="s">
        <v>26</v>
      </c>
    </row>
    <row r="8123" ht="15.75" customHeight="1">
      <c r="A8123" s="7"/>
      <c r="B8123" s="7" t="str">
        <f>IFERROR(__xludf.DUMMYFUNCTION("""COMPUTED_VALUE"""),"Bash/Shell/PowerShell;HTML/CSS;JavaScript;R;SQL;VBA")</f>
        <v>Bash/Shell/PowerShell;HTML/CSS;JavaScript;R;SQL;VBA</v>
      </c>
      <c r="M8123" s="9" t="s">
        <v>38</v>
      </c>
    </row>
    <row r="8124" ht="15.75" customHeight="1">
      <c r="A8124" s="7"/>
      <c r="B8124" s="7" t="str">
        <f>IFERROR(__xludf.DUMMYFUNCTION("""COMPUTED_VALUE"""),"Java;Python")</f>
        <v>Java;Python</v>
      </c>
      <c r="M8124" s="9" t="s">
        <v>25</v>
      </c>
    </row>
    <row r="8125" ht="15.75" customHeight="1">
      <c r="A8125" s="7"/>
      <c r="B8125" s="7" t="str">
        <f>IFERROR(__xludf.DUMMYFUNCTION("""COMPUTED_VALUE"""),"HTML/CSS;Java;Kotlin;Objective-C;PHP;SQL;Swift")</f>
        <v>HTML/CSS;Java;Kotlin;Objective-C;PHP;SQL;Swift</v>
      </c>
      <c r="M8125" s="9" t="s">
        <v>23</v>
      </c>
    </row>
    <row r="8126" ht="15.75" customHeight="1">
      <c r="A8126" s="7"/>
      <c r="B8126" s="7" t="str">
        <f>IFERROR(__xludf.DUMMYFUNCTION("""COMPUTED_VALUE"""),"Bash/Shell/PowerShell;HTML/CSS;Java;JavaScript;SQL")</f>
        <v>Bash/Shell/PowerShell;HTML/CSS;Java;JavaScript;SQL</v>
      </c>
      <c r="M8126" s="9" t="s">
        <v>26</v>
      </c>
    </row>
    <row r="8127" ht="15.75" customHeight="1">
      <c r="A8127" s="7"/>
      <c r="B8127" s="7" t="str">
        <f>IFERROR(__xludf.DUMMYFUNCTION("""COMPUTED_VALUE"""),"Bash/Shell/PowerShell;Go;Java;PHP;Python;SQL")</f>
        <v>Bash/Shell/PowerShell;Go;Java;PHP;Python;SQL</v>
      </c>
      <c r="M8127" s="9" t="s">
        <v>22</v>
      </c>
    </row>
    <row r="8128" ht="15.75" customHeight="1">
      <c r="A8128" s="7"/>
      <c r="B8128" s="7" t="str">
        <f>IFERROR(__xludf.DUMMYFUNCTION("""COMPUTED_VALUE"""),"Bash/Shell/PowerShell;C#;Python;SQL;Swift;Other(s):")</f>
        <v>Bash/Shell/PowerShell;C#;Python;SQL;Swift;Other(s):</v>
      </c>
      <c r="M8128" s="9" t="s">
        <v>31</v>
      </c>
    </row>
    <row r="8129" ht="15.75" customHeight="1">
      <c r="A8129" s="7"/>
      <c r="B8129" s="7" t="str">
        <f>IFERROR(__xludf.DUMMYFUNCTION("""COMPUTED_VALUE"""),"HTML/CSS;JavaScript;PHP;SQL;Other(s):")</f>
        <v>HTML/CSS;JavaScript;PHP;SQL;Other(s):</v>
      </c>
      <c r="M8129" s="9" t="s">
        <v>23</v>
      </c>
    </row>
    <row r="8130" ht="15.75" customHeight="1">
      <c r="A8130" s="7"/>
      <c r="B8130" s="7" t="str">
        <f>IFERROR(__xludf.DUMMYFUNCTION("""COMPUTED_VALUE"""),"Java;SQL")</f>
        <v>Java;SQL</v>
      </c>
      <c r="M8130" s="9" t="s">
        <v>26</v>
      </c>
    </row>
    <row r="8131" ht="15.75" customHeight="1">
      <c r="A8131" s="7"/>
      <c r="B8131" s="7" t="str">
        <f>IFERROR(__xludf.DUMMYFUNCTION("""COMPUTED_VALUE"""),"C++;C#;HTML/CSS;JavaScript;SQL;TypeScript")</f>
        <v>C++;C#;HTML/CSS;JavaScript;SQL;TypeScript</v>
      </c>
      <c r="M8131" s="9" t="s">
        <v>20</v>
      </c>
    </row>
    <row r="8132" ht="15.75" customHeight="1">
      <c r="A8132" s="7"/>
      <c r="B8132" s="7" t="str">
        <f>IFERROR(__xludf.DUMMYFUNCTION("""COMPUTED_VALUE"""),"C#;HTML/CSS;JavaScript;SQL;VBA")</f>
        <v>C#;HTML/CSS;JavaScript;SQL;VBA</v>
      </c>
      <c r="M8132" s="9" t="s">
        <v>32</v>
      </c>
    </row>
    <row r="8133" ht="15.75" customHeight="1">
      <c r="A8133" s="7"/>
      <c r="B8133" s="7" t="str">
        <f>IFERROR(__xludf.DUMMYFUNCTION("""COMPUTED_VALUE"""),"C;C#;HTML/CSS")</f>
        <v>C;C#;HTML/CSS</v>
      </c>
      <c r="M8133" s="9" t="s">
        <v>24</v>
      </c>
    </row>
    <row r="8134" ht="15.75" customHeight="1">
      <c r="A8134" s="7"/>
      <c r="B8134" s="7" t="str">
        <f>IFERROR(__xludf.DUMMYFUNCTION("""COMPUTED_VALUE"""),"Bash/Shell/PowerShell;HTML/CSS;JavaScript;Kotlin;Objective-C;SQL;Swift;TypeScript")</f>
        <v>Bash/Shell/PowerShell;HTML/CSS;JavaScript;Kotlin;Objective-C;SQL;Swift;TypeScript</v>
      </c>
      <c r="M8134" s="9" t="s">
        <v>21</v>
      </c>
    </row>
    <row r="8135" ht="15.75" customHeight="1">
      <c r="A8135" s="7"/>
      <c r="B8135" s="7" t="str">
        <f>IFERROR(__xludf.DUMMYFUNCTION("""COMPUTED_VALUE"""),"Bash/Shell/PowerShell;C#;HTML/CSS;JavaScript;PHP;SQL")</f>
        <v>Bash/Shell/PowerShell;C#;HTML/CSS;JavaScript;PHP;SQL</v>
      </c>
      <c r="M8135" s="9" t="s">
        <v>22</v>
      </c>
    </row>
    <row r="8136" ht="15.75" customHeight="1">
      <c r="A8136" s="7"/>
      <c r="B8136" s="7" t="str">
        <f>IFERROR(__xludf.DUMMYFUNCTION("""COMPUTED_VALUE"""),"HTML/CSS;Java;JavaScript;PHP;SQL;TypeScript")</f>
        <v>HTML/CSS;Java;JavaScript;PHP;SQL;TypeScript</v>
      </c>
      <c r="M8136" s="9" t="s">
        <v>35</v>
      </c>
    </row>
    <row r="8137" ht="15.75" customHeight="1">
      <c r="A8137" s="7"/>
      <c r="B8137" s="7" t="str">
        <f>IFERROR(__xludf.DUMMYFUNCTION("""COMPUTED_VALUE"""),"HTML/CSS;Java;JavaScript")</f>
        <v>HTML/CSS;Java;JavaScript</v>
      </c>
      <c r="M8137" s="9" t="s">
        <v>23</v>
      </c>
    </row>
    <row r="8138" ht="15.75" customHeight="1">
      <c r="A8138" s="7"/>
      <c r="B8138" s="7" t="str">
        <f>IFERROR(__xludf.DUMMYFUNCTION("""COMPUTED_VALUE"""),"C;HTML/CSS;JavaScript;Objective-C;PHP;Python")</f>
        <v>C;HTML/CSS;JavaScript;Objective-C;PHP;Python</v>
      </c>
      <c r="M8138" s="9" t="s">
        <v>26</v>
      </c>
    </row>
    <row r="8139" ht="15.75" customHeight="1">
      <c r="A8139" s="7"/>
      <c r="B8139" s="7" t="str">
        <f>IFERROR(__xludf.DUMMYFUNCTION("""COMPUTED_VALUE"""),"Assembly;C#;Erlang;Java;SQL")</f>
        <v>Assembly;C#;Erlang;Java;SQL</v>
      </c>
      <c r="M8139" s="9" t="s">
        <v>24</v>
      </c>
    </row>
    <row r="8140" ht="15.75" customHeight="1">
      <c r="A8140" s="7"/>
      <c r="B8140" s="7" t="str">
        <f>IFERROR(__xludf.DUMMYFUNCTION("""COMPUTED_VALUE"""),"Python;R")</f>
        <v>Python;R</v>
      </c>
      <c r="M8140" s="9" t="s">
        <v>21</v>
      </c>
    </row>
    <row r="8141" ht="15.75" customHeight="1">
      <c r="A8141" s="7"/>
      <c r="B8141" s="7" t="str">
        <f>IFERROR(__xludf.DUMMYFUNCTION("""COMPUTED_VALUE"""),"C;C++;Python")</f>
        <v>C;C++;Python</v>
      </c>
      <c r="M8141" s="9" t="s">
        <v>37</v>
      </c>
    </row>
    <row r="8142" ht="15.75" customHeight="1">
      <c r="A8142" s="7"/>
      <c r="B8142" s="7" t="str">
        <f>IFERROR(__xludf.DUMMYFUNCTION("""COMPUTED_VALUE"""),"Bash/Shell/PowerShell;C;C++;Java;Kotlin;Swift")</f>
        <v>Bash/Shell/PowerShell;C;C++;Java;Kotlin;Swift</v>
      </c>
      <c r="M8142" s="9" t="s">
        <v>22</v>
      </c>
    </row>
    <row r="8143" ht="15.75" customHeight="1">
      <c r="A8143" s="7"/>
      <c r="B8143" s="7" t="str">
        <f>IFERROR(__xludf.DUMMYFUNCTION("""COMPUTED_VALUE"""),"Bash/Shell/PowerShell;C++;C#;HTML/CSS;JavaScript;PHP;SQL")</f>
        <v>Bash/Shell/PowerShell;C++;C#;HTML/CSS;JavaScript;PHP;SQL</v>
      </c>
      <c r="M8143" s="9" t="s">
        <v>29</v>
      </c>
    </row>
    <row r="8144" ht="15.75" customHeight="1">
      <c r="A8144" s="7"/>
      <c r="B8144" s="7" t="str">
        <f>IFERROR(__xludf.DUMMYFUNCTION("""COMPUTED_VALUE"""),"HTML/CSS;JavaScript;PHP;SQL")</f>
        <v>HTML/CSS;JavaScript;PHP;SQL</v>
      </c>
      <c r="M8144" s="9" t="s">
        <v>27</v>
      </c>
    </row>
    <row r="8145" ht="15.75" customHeight="1">
      <c r="A8145" s="7"/>
      <c r="B8145" s="7" t="str">
        <f>IFERROR(__xludf.DUMMYFUNCTION("""COMPUTED_VALUE"""),"Bash/Shell/PowerShell;C++;C#;JavaScript;Python")</f>
        <v>Bash/Shell/PowerShell;C++;C#;JavaScript;Python</v>
      </c>
      <c r="M8145" s="9" t="s">
        <v>30</v>
      </c>
    </row>
    <row r="8146" ht="15.75" customHeight="1">
      <c r="A8146" s="7"/>
      <c r="B8146" s="7" t="str">
        <f>IFERROR(__xludf.DUMMYFUNCTION("""COMPUTED_VALUE"""),"Assembly;JavaScript;Python")</f>
        <v>Assembly;JavaScript;Python</v>
      </c>
      <c r="M8146" s="9" t="s">
        <v>23</v>
      </c>
    </row>
    <row r="8147" ht="15.75" customHeight="1">
      <c r="A8147" s="7"/>
      <c r="B8147" s="7" t="str">
        <f>IFERROR(__xludf.DUMMYFUNCTION("""COMPUTED_VALUE"""),"Python;R")</f>
        <v>Python;R</v>
      </c>
      <c r="M8147" s="9" t="s">
        <v>26</v>
      </c>
    </row>
    <row r="8148" ht="15.75" customHeight="1">
      <c r="A8148" s="7"/>
      <c r="B8148" s="7" t="str">
        <f>IFERROR(__xludf.DUMMYFUNCTION("""COMPUTED_VALUE"""),"C#;HTML/CSS;JavaScript;SQL;TypeScript")</f>
        <v>C#;HTML/CSS;JavaScript;SQL;TypeScript</v>
      </c>
      <c r="M8148" s="9" t="s">
        <v>20</v>
      </c>
    </row>
    <row r="8149" ht="15.75" customHeight="1">
      <c r="A8149" s="7"/>
      <c r="B8149" s="7" t="str">
        <f>IFERROR(__xludf.DUMMYFUNCTION("""COMPUTED_VALUE"""),"Java;JavaScript")</f>
        <v>Java;JavaScript</v>
      </c>
      <c r="M8149" s="9" t="s">
        <v>21</v>
      </c>
    </row>
    <row r="8150" ht="15.75" customHeight="1">
      <c r="A8150" s="7"/>
      <c r="B8150" s="7" t="str">
        <f>IFERROR(__xludf.DUMMYFUNCTION("""COMPUTED_VALUE"""),"Python")</f>
        <v>Python</v>
      </c>
      <c r="M8150" s="9" t="s">
        <v>37</v>
      </c>
    </row>
    <row r="8151" ht="15.75" customHeight="1">
      <c r="A8151" s="7"/>
      <c r="B8151" s="7" t="str">
        <f>IFERROR(__xludf.DUMMYFUNCTION("""COMPUTED_VALUE"""),"JavaScript;TypeScript;WebAssembly")</f>
        <v>JavaScript;TypeScript;WebAssembly</v>
      </c>
      <c r="M8151" s="9" t="s">
        <v>22</v>
      </c>
    </row>
    <row r="8152" ht="15.75" customHeight="1">
      <c r="A8152" s="7"/>
      <c r="B8152" s="7" t="str">
        <f>IFERROR(__xludf.DUMMYFUNCTION("""COMPUTED_VALUE"""),"JavaScript;PHP")</f>
        <v>JavaScript;PHP</v>
      </c>
      <c r="M8152" s="9" t="s">
        <v>33</v>
      </c>
    </row>
    <row r="8153" ht="15.75" customHeight="1">
      <c r="A8153" s="7"/>
      <c r="B8153" s="7" t="str">
        <f>IFERROR(__xludf.DUMMYFUNCTION("""COMPUTED_VALUE"""),"Clojure")</f>
        <v>Clojure</v>
      </c>
      <c r="M8153" s="9" t="s">
        <v>30</v>
      </c>
    </row>
    <row r="8154" ht="15.75" customHeight="1">
      <c r="A8154" s="7"/>
      <c r="B8154" s="7" t="str">
        <f>IFERROR(__xludf.DUMMYFUNCTION("""COMPUTED_VALUE"""),"HTML/CSS;Java;JavaScript;SQL;Other(s):")</f>
        <v>HTML/CSS;Java;JavaScript;SQL;Other(s):</v>
      </c>
      <c r="M8154" s="9" t="s">
        <v>22</v>
      </c>
    </row>
    <row r="8155" ht="15.75" customHeight="1">
      <c r="A8155" s="7"/>
      <c r="B8155" s="7" t="str">
        <f>IFERROR(__xludf.DUMMYFUNCTION("""COMPUTED_VALUE"""),"Bash/Shell/PowerShell;C;C++;Clojure;HTML/CSS;JavaScript;Python;SQL;TypeScript")</f>
        <v>Bash/Shell/PowerShell;C;C++;Clojure;HTML/CSS;JavaScript;Python;SQL;TypeScript</v>
      </c>
      <c r="M8155" s="9" t="s">
        <v>27</v>
      </c>
    </row>
    <row r="8156" ht="15.75" customHeight="1">
      <c r="A8156" s="7"/>
      <c r="B8156" s="7" t="str">
        <f>IFERROR(__xludf.DUMMYFUNCTION("""COMPUTED_VALUE"""),"Bash/Shell/PowerShell;C++;C#;HTML/CSS;JavaScript;Swift")</f>
        <v>Bash/Shell/PowerShell;C++;C#;HTML/CSS;JavaScript;Swift</v>
      </c>
      <c r="M8156" s="9" t="s">
        <v>30</v>
      </c>
    </row>
    <row r="8157" ht="15.75" customHeight="1">
      <c r="A8157" s="7"/>
      <c r="B8157" s="7" t="str">
        <f>IFERROR(__xludf.DUMMYFUNCTION("""COMPUTED_VALUE"""),"C;Python")</f>
        <v>C;Python</v>
      </c>
      <c r="M8157" s="9" t="s">
        <v>42</v>
      </c>
    </row>
    <row r="8158" ht="15.75" customHeight="1">
      <c r="A8158" s="7"/>
      <c r="B8158" s="7" t="str">
        <f>IFERROR(__xludf.DUMMYFUNCTION("""COMPUTED_VALUE"""),"HTML/CSS;Java;JavaScript;SQL")</f>
        <v>HTML/CSS;Java;JavaScript;SQL</v>
      </c>
      <c r="M8158" s="9" t="s">
        <v>24</v>
      </c>
    </row>
    <row r="8159" ht="15.75" customHeight="1">
      <c r="A8159" s="7"/>
      <c r="B8159" s="7" t="str">
        <f>IFERROR(__xludf.DUMMYFUNCTION("""COMPUTED_VALUE"""),"Dart;HTML/CSS;Java;JavaScript;Kotlin;Swift")</f>
        <v>Dart;HTML/CSS;Java;JavaScript;Kotlin;Swift</v>
      </c>
      <c r="M8159" s="9" t="s">
        <v>21</v>
      </c>
    </row>
    <row r="8160" ht="15.75" customHeight="1">
      <c r="A8160" s="7"/>
      <c r="B8160" s="7" t="str">
        <f>IFERROR(__xludf.DUMMYFUNCTION("""COMPUTED_VALUE"""),"Assembly;HTML/CSS;JavaScript;Ruby")</f>
        <v>Assembly;HTML/CSS;JavaScript;Ruby</v>
      </c>
      <c r="M8160" s="9" t="s">
        <v>22</v>
      </c>
    </row>
    <row r="8161" ht="15.75" customHeight="1">
      <c r="A8161" s="7"/>
      <c r="B8161" s="7" t="str">
        <f>IFERROR(__xludf.DUMMYFUNCTION("""COMPUTED_VALUE"""),"HTML/CSS;JavaScript")</f>
        <v>HTML/CSS;JavaScript</v>
      </c>
      <c r="M8161" s="9" t="s">
        <v>31</v>
      </c>
    </row>
    <row r="8162" ht="15.75" customHeight="1">
      <c r="A8162" s="7"/>
      <c r="B8162" s="7" t="str">
        <f>IFERROR(__xludf.DUMMYFUNCTION("""COMPUTED_VALUE"""),"Bash/Shell/PowerShell;C#;HTML/CSS;JavaScript;PHP;SQL;TypeScript")</f>
        <v>Bash/Shell/PowerShell;C#;HTML/CSS;JavaScript;PHP;SQL;TypeScript</v>
      </c>
      <c r="M8162" s="9" t="s">
        <v>27</v>
      </c>
    </row>
    <row r="8163" ht="15.75" customHeight="1">
      <c r="A8163" s="7"/>
      <c r="B8163" s="7" t="str">
        <f>IFERROR(__xludf.DUMMYFUNCTION("""COMPUTED_VALUE"""),"C#;HTML/CSS;Java;JavaScript;PHP;SQL")</f>
        <v>C#;HTML/CSS;Java;JavaScript;PHP;SQL</v>
      </c>
      <c r="M8163" s="9" t="s">
        <v>24</v>
      </c>
    </row>
    <row r="8164" ht="15.75" customHeight="1">
      <c r="A8164" s="7"/>
      <c r="B8164" s="7" t="str">
        <f>IFERROR(__xludf.DUMMYFUNCTION("""COMPUTED_VALUE"""),"Dart;HTML/CSS;Java;JavaScript;Python")</f>
        <v>Dart;HTML/CSS;Java;JavaScript;Python</v>
      </c>
      <c r="M8164" s="9" t="s">
        <v>21</v>
      </c>
    </row>
    <row r="8165" ht="15.75" customHeight="1">
      <c r="A8165" s="7"/>
      <c r="B8165" s="7" t="str">
        <f>IFERROR(__xludf.DUMMYFUNCTION("""COMPUTED_VALUE"""),"Bash/Shell/PowerShell;C;C++;HTML/CSS;Java;JavaScript;PHP;Python;SQL")</f>
        <v>Bash/Shell/PowerShell;C;C++;HTML/CSS;Java;JavaScript;PHP;Python;SQL</v>
      </c>
      <c r="M8165" s="9" t="s">
        <v>39</v>
      </c>
    </row>
    <row r="8166" ht="15.75" customHeight="1">
      <c r="A8166" s="7"/>
      <c r="B8166" s="7" t="str">
        <f>IFERROR(__xludf.DUMMYFUNCTION("""COMPUTED_VALUE"""),"Objective-C;Ruby;Swift")</f>
        <v>Objective-C;Ruby;Swift</v>
      </c>
      <c r="M8166" s="9" t="s">
        <v>37</v>
      </c>
    </row>
    <row r="8167" ht="15.75" customHeight="1">
      <c r="A8167" s="7"/>
      <c r="B8167" s="7" t="str">
        <f>IFERROR(__xludf.DUMMYFUNCTION("""COMPUTED_VALUE"""),"HTML/CSS;Java;JavaScript;SQL;TypeScript")</f>
        <v>HTML/CSS;Java;JavaScript;SQL;TypeScript</v>
      </c>
      <c r="M8167" s="9" t="s">
        <v>31</v>
      </c>
    </row>
    <row r="8168" ht="15.75" customHeight="1">
      <c r="A8168" s="7"/>
      <c r="B8168" s="7" t="str">
        <f>IFERROR(__xludf.DUMMYFUNCTION("""COMPUTED_VALUE"""),"Python")</f>
        <v>Python</v>
      </c>
      <c r="M8168" s="9" t="s">
        <v>27</v>
      </c>
    </row>
    <row r="8169" ht="15.75" customHeight="1">
      <c r="A8169" s="7"/>
      <c r="B8169" s="7" t="str">
        <f>IFERROR(__xludf.DUMMYFUNCTION("""COMPUTED_VALUE"""),"C#;HTML/CSS;Java;JavaScript;SQL")</f>
        <v>C#;HTML/CSS;Java;JavaScript;SQL</v>
      </c>
      <c r="M8169" s="9" t="s">
        <v>24</v>
      </c>
    </row>
    <row r="8170" ht="15.75" customHeight="1">
      <c r="A8170" s="7"/>
      <c r="B8170" s="7" t="str">
        <f>IFERROR(__xludf.DUMMYFUNCTION("""COMPUTED_VALUE"""),"Bash/Shell/PowerShell;C++;Python;Other(s):")</f>
        <v>Bash/Shell/PowerShell;C++;Python;Other(s):</v>
      </c>
      <c r="M8170" s="9" t="s">
        <v>20</v>
      </c>
    </row>
    <row r="8171" ht="15.75" customHeight="1">
      <c r="A8171" s="7"/>
      <c r="B8171" s="7" t="str">
        <f>IFERROR(__xludf.DUMMYFUNCTION("""COMPUTED_VALUE"""),"C++;C#;HTML/CSS;Objective-C;Python;Swift")</f>
        <v>C++;C#;HTML/CSS;Objective-C;Python;Swift</v>
      </c>
      <c r="M8171" s="9" t="s">
        <v>21</v>
      </c>
    </row>
    <row r="8172" ht="15.75" customHeight="1">
      <c r="A8172" s="7"/>
      <c r="B8172" s="7" t="str">
        <f>IFERROR(__xludf.DUMMYFUNCTION("""COMPUTED_VALUE"""),"C#;HTML/CSS;JavaScript;SQL;TypeScript")</f>
        <v>C#;HTML/CSS;JavaScript;SQL;TypeScript</v>
      </c>
      <c r="M8172" s="9" t="s">
        <v>22</v>
      </c>
    </row>
    <row r="8173" ht="15.75" customHeight="1">
      <c r="A8173" s="7"/>
      <c r="B8173" s="7" t="str">
        <f>IFERROR(__xludf.DUMMYFUNCTION("""COMPUTED_VALUE"""),"HTML/CSS;JavaScript;PHP;SQL;TypeScript")</f>
        <v>HTML/CSS;JavaScript;PHP;SQL;TypeScript</v>
      </c>
      <c r="M8173" s="9" t="s">
        <v>31</v>
      </c>
    </row>
    <row r="8174" ht="15.75" customHeight="1">
      <c r="A8174" s="7"/>
      <c r="B8174" s="7" t="str">
        <f>IFERROR(__xludf.DUMMYFUNCTION("""COMPUTED_VALUE"""),"Bash/Shell/PowerShell;Python;R;Ruby;SQL")</f>
        <v>Bash/Shell/PowerShell;Python;R;Ruby;SQL</v>
      </c>
      <c r="M8174" s="9" t="s">
        <v>46</v>
      </c>
    </row>
    <row r="8175" ht="15.75" customHeight="1">
      <c r="A8175" s="7"/>
      <c r="B8175" s="7" t="str">
        <f>IFERROR(__xludf.DUMMYFUNCTION("""COMPUTED_VALUE"""),"Java;JavaScript")</f>
        <v>Java;JavaScript</v>
      </c>
      <c r="M8175" s="9" t="s">
        <v>27</v>
      </c>
    </row>
    <row r="8176" ht="15.75" customHeight="1">
      <c r="A8176" s="7"/>
      <c r="B8176" s="7" t="str">
        <f>IFERROR(__xludf.DUMMYFUNCTION("""COMPUTED_VALUE"""),"Assembly;C++;HTML/CSS;JavaScript;PHP;SQL")</f>
        <v>Assembly;C++;HTML/CSS;JavaScript;PHP;SQL</v>
      </c>
      <c r="M8176" s="9" t="s">
        <v>25</v>
      </c>
    </row>
    <row r="8177" ht="15.75" customHeight="1">
      <c r="A8177" s="7"/>
      <c r="B8177" s="7" t="str">
        <f>IFERROR(__xludf.DUMMYFUNCTION("""COMPUTED_VALUE"""),"Java;Python")</f>
        <v>Java;Python</v>
      </c>
      <c r="M8177" s="9" t="s">
        <v>24</v>
      </c>
    </row>
    <row r="8178" ht="15.75" customHeight="1">
      <c r="A8178" s="7"/>
      <c r="B8178" s="7" t="str">
        <f>IFERROR(__xludf.DUMMYFUNCTION("""COMPUTED_VALUE"""),"C;C++;HTML/CSS;JavaScript;PHP")</f>
        <v>C;C++;HTML/CSS;JavaScript;PHP</v>
      </c>
      <c r="M8178" s="9" t="s">
        <v>21</v>
      </c>
    </row>
    <row r="8179" ht="15.75" customHeight="1">
      <c r="A8179" s="7"/>
      <c r="B8179" s="7" t="str">
        <f>IFERROR(__xludf.DUMMYFUNCTION("""COMPUTED_VALUE"""),"Bash/Shell/PowerShell;HTML/CSS;JavaScript;PHP;SQL")</f>
        <v>Bash/Shell/PowerShell;HTML/CSS;JavaScript;PHP;SQL</v>
      </c>
      <c r="M8179" s="9" t="s">
        <v>33</v>
      </c>
    </row>
    <row r="8180" ht="15.75" customHeight="1">
      <c r="A8180" s="7"/>
      <c r="B8180" s="7" t="str">
        <f>IFERROR(__xludf.DUMMYFUNCTION("""COMPUTED_VALUE"""),"Bash/Shell/PowerShell;C#;HTML/CSS;JavaScript;SQL")</f>
        <v>Bash/Shell/PowerShell;C#;HTML/CSS;JavaScript;SQL</v>
      </c>
      <c r="M8180" s="9" t="s">
        <v>26</v>
      </c>
    </row>
    <row r="8181" ht="15.75" customHeight="1">
      <c r="A8181" s="7"/>
      <c r="B8181" s="7" t="str">
        <f>IFERROR(__xludf.DUMMYFUNCTION("""COMPUTED_VALUE"""),"C;C++;Java;SQL")</f>
        <v>C;C++;Java;SQL</v>
      </c>
      <c r="M8181" s="9" t="s">
        <v>24</v>
      </c>
    </row>
    <row r="8182" ht="15.75" customHeight="1">
      <c r="A8182" s="7"/>
      <c r="B8182" s="7" t="str">
        <f>IFERROR(__xludf.DUMMYFUNCTION("""COMPUTED_VALUE"""),"Go;JavaScript;Ruby;SQL")</f>
        <v>Go;JavaScript;Ruby;SQL</v>
      </c>
      <c r="M8182" s="9" t="s">
        <v>20</v>
      </c>
    </row>
    <row r="8183" ht="15.75" customHeight="1">
      <c r="A8183" s="7"/>
      <c r="B8183" s="7" t="str">
        <f>IFERROR(__xludf.DUMMYFUNCTION("""COMPUTED_VALUE"""),"HTML/CSS;Python")</f>
        <v>HTML/CSS;Python</v>
      </c>
      <c r="M8183" s="9" t="s">
        <v>21</v>
      </c>
    </row>
    <row r="8184" ht="15.75" customHeight="1">
      <c r="A8184" s="7"/>
      <c r="B8184" s="7" t="str">
        <f>IFERROR(__xludf.DUMMYFUNCTION("""COMPUTED_VALUE"""),"Bash/Shell/PowerShell;Java;Other(s):")</f>
        <v>Bash/Shell/PowerShell;Java;Other(s):</v>
      </c>
      <c r="M8184" s="9" t="s">
        <v>30</v>
      </c>
    </row>
    <row r="8185" ht="15.75" customHeight="1">
      <c r="A8185" s="7"/>
      <c r="B8185" s="7" t="str">
        <f>IFERROR(__xludf.DUMMYFUNCTION("""COMPUTED_VALUE"""),"Bash/Shell/PowerShell;C;C++;HTML/CSS;Java;Python;SQL")</f>
        <v>Bash/Shell/PowerShell;C;C++;HTML/CSS;Java;Python;SQL</v>
      </c>
      <c r="M8185" s="9" t="s">
        <v>24</v>
      </c>
    </row>
    <row r="8186" ht="15.75" customHeight="1">
      <c r="A8186" s="7"/>
      <c r="B8186" s="7" t="str">
        <f>IFERROR(__xludf.DUMMYFUNCTION("""COMPUTED_VALUE"""),"Bash/Shell/PowerShell;C;C++;Go;HTML/CSS;JavaScript;Objective-C;Python;SQL")</f>
        <v>Bash/Shell/PowerShell;C;C++;Go;HTML/CSS;JavaScript;Objective-C;Python;SQL</v>
      </c>
      <c r="M8186" s="9" t="s">
        <v>20</v>
      </c>
    </row>
    <row r="8187" ht="15.75" customHeight="1">
      <c r="A8187" s="7"/>
      <c r="B8187" s="7" t="str">
        <f>IFERROR(__xludf.DUMMYFUNCTION("""COMPUTED_VALUE"""),"Go;Python")</f>
        <v>Go;Python</v>
      </c>
      <c r="M8187" s="9" t="s">
        <v>21</v>
      </c>
    </row>
    <row r="8188" ht="15.75" customHeight="1">
      <c r="A8188" s="7"/>
      <c r="B8188" s="7" t="str">
        <f>IFERROR(__xludf.DUMMYFUNCTION("""COMPUTED_VALUE"""),"C;C++;HTML/CSS;Swift")</f>
        <v>C;C++;HTML/CSS;Swift</v>
      </c>
      <c r="M8188" s="9" t="s">
        <v>37</v>
      </c>
    </row>
    <row r="8189" ht="15.75" customHeight="1">
      <c r="A8189" s="7"/>
      <c r="B8189" s="7" t="str">
        <f>IFERROR(__xludf.DUMMYFUNCTION("""COMPUTED_VALUE"""),"C;HTML/CSS;Java;JavaScript;Python;R;Scala;SQL;TypeScript")</f>
        <v>C;HTML/CSS;Java;JavaScript;Python;R;Scala;SQL;TypeScript</v>
      </c>
      <c r="M8189" s="9" t="s">
        <v>22</v>
      </c>
    </row>
    <row r="8190" ht="15.75" customHeight="1">
      <c r="A8190" s="7"/>
      <c r="B8190" s="7" t="str">
        <f>IFERROR(__xludf.DUMMYFUNCTION("""COMPUTED_VALUE"""),"Bash/Shell/PowerShell;HTML/CSS;JavaScript;PHP;Python;Ruby;SQL")</f>
        <v>Bash/Shell/PowerShell;HTML/CSS;JavaScript;PHP;Python;Ruby;SQL</v>
      </c>
      <c r="M8190" s="9" t="s">
        <v>31</v>
      </c>
    </row>
    <row r="8191" ht="15.75" customHeight="1">
      <c r="A8191" s="7"/>
      <c r="B8191" s="7" t="str">
        <f>IFERROR(__xludf.DUMMYFUNCTION("""COMPUTED_VALUE"""),"Bash/Shell/PowerShell;HTML/CSS;JavaScript;Kotlin;Objective-C;Swift;TypeScript")</f>
        <v>Bash/Shell/PowerShell;HTML/CSS;JavaScript;Kotlin;Objective-C;Swift;TypeScript</v>
      </c>
      <c r="M8191" s="9" t="s">
        <v>27</v>
      </c>
    </row>
    <row r="8192" ht="15.75" customHeight="1">
      <c r="A8192" s="7"/>
      <c r="B8192" s="7" t="str">
        <f>IFERROR(__xludf.DUMMYFUNCTION("""COMPUTED_VALUE"""),"Bash/Shell/PowerShell;HTML/CSS;JavaScript;PHP;Python;SQL")</f>
        <v>Bash/Shell/PowerShell;HTML/CSS;JavaScript;PHP;Python;SQL</v>
      </c>
      <c r="M8192" s="9" t="s">
        <v>33</v>
      </c>
    </row>
    <row r="8193" ht="15.75" customHeight="1">
      <c r="A8193" s="7"/>
      <c r="B8193" s="7" t="str">
        <f>IFERROR(__xludf.DUMMYFUNCTION("""COMPUTED_VALUE"""),"Assembly;Bash/Shell/PowerShell;Python;SQL")</f>
        <v>Assembly;Bash/Shell/PowerShell;Python;SQL</v>
      </c>
      <c r="M8193" s="9" t="s">
        <v>30</v>
      </c>
    </row>
    <row r="8194" ht="15.75" customHeight="1">
      <c r="A8194" s="7"/>
      <c r="B8194" s="7" t="str">
        <f>IFERROR(__xludf.DUMMYFUNCTION("""COMPUTED_VALUE"""),"HTML/CSS;JavaScript;PHP;SQL;Other(s):")</f>
        <v>HTML/CSS;JavaScript;PHP;SQL;Other(s):</v>
      </c>
      <c r="M8194" s="9" t="s">
        <v>25</v>
      </c>
    </row>
    <row r="8195" ht="15.75" customHeight="1">
      <c r="A8195" s="7"/>
      <c r="B8195" s="7" t="str">
        <f>IFERROR(__xludf.DUMMYFUNCTION("""COMPUTED_VALUE"""),"Assembly;Bash/Shell/PowerShell;C;C++;HTML/CSS;Python")</f>
        <v>Assembly;Bash/Shell/PowerShell;C;C++;HTML/CSS;Python</v>
      </c>
      <c r="M8195" s="9" t="s">
        <v>24</v>
      </c>
    </row>
    <row r="8196" ht="15.75" customHeight="1">
      <c r="A8196" s="7"/>
      <c r="B8196" s="7" t="str">
        <f>IFERROR(__xludf.DUMMYFUNCTION("""COMPUTED_VALUE"""),"Bash/Shell/PowerShell;HTML/CSS;Python;Scala;SQL")</f>
        <v>Bash/Shell/PowerShell;HTML/CSS;Python;Scala;SQL</v>
      </c>
      <c r="M8196" s="9" t="s">
        <v>21</v>
      </c>
    </row>
    <row r="8197" ht="15.75" customHeight="1">
      <c r="A8197" s="7"/>
      <c r="B8197" s="7" t="str">
        <f>IFERROR(__xludf.DUMMYFUNCTION("""COMPUTED_VALUE"""),"Java;JavaScript")</f>
        <v>Java;JavaScript</v>
      </c>
      <c r="M8197" s="9" t="s">
        <v>22</v>
      </c>
    </row>
    <row r="8198" ht="15.75" customHeight="1">
      <c r="A8198" s="7"/>
      <c r="B8198" s="7" t="str">
        <f>IFERROR(__xludf.DUMMYFUNCTION("""COMPUTED_VALUE"""),"Java;Python")</f>
        <v>Java;Python</v>
      </c>
      <c r="M8198" s="9" t="s">
        <v>32</v>
      </c>
    </row>
    <row r="8199" ht="15.75" customHeight="1">
      <c r="A8199" s="7"/>
      <c r="B8199" s="7" t="str">
        <f>IFERROR(__xludf.DUMMYFUNCTION("""COMPUTED_VALUE"""),"Bash/Shell/PowerShell;Python")</f>
        <v>Bash/Shell/PowerShell;Python</v>
      </c>
      <c r="M8199" s="9" t="s">
        <v>25</v>
      </c>
    </row>
    <row r="8200" ht="15.75" customHeight="1">
      <c r="A8200" s="7"/>
      <c r="B8200" s="7" t="str">
        <f>IFERROR(__xludf.DUMMYFUNCTION("""COMPUTED_VALUE"""),"C#;HTML/CSS;JavaScript;PHP;TypeScript")</f>
        <v>C#;HTML/CSS;JavaScript;PHP;TypeScript</v>
      </c>
      <c r="M8200" s="9" t="s">
        <v>23</v>
      </c>
    </row>
    <row r="8201" ht="15.75" customHeight="1">
      <c r="A8201" s="7"/>
      <c r="B8201" s="7" t="str">
        <f>IFERROR(__xludf.DUMMYFUNCTION("""COMPUTED_VALUE"""),"C#;HTML/CSS;Java;SQL")</f>
        <v>C#;HTML/CSS;Java;SQL</v>
      </c>
      <c r="M8201" s="9" t="s">
        <v>36</v>
      </c>
    </row>
    <row r="8202" ht="15.75" customHeight="1">
      <c r="A8202" s="7"/>
      <c r="B8202" s="7" t="str">
        <f>IFERROR(__xludf.DUMMYFUNCTION("""COMPUTED_VALUE"""),"Java;JavaScript;PHP")</f>
        <v>Java;JavaScript;PHP</v>
      </c>
      <c r="M8202" s="9" t="s">
        <v>24</v>
      </c>
    </row>
    <row r="8203" ht="15.75" customHeight="1">
      <c r="A8203" s="7"/>
      <c r="B8203" s="7" t="str">
        <f>IFERROR(__xludf.DUMMYFUNCTION("""COMPUTED_VALUE"""),"HTML/CSS;JavaScript;PHP;SQL")</f>
        <v>HTML/CSS;JavaScript;PHP;SQL</v>
      </c>
      <c r="M8203" s="9" t="s">
        <v>20</v>
      </c>
    </row>
    <row r="8204" ht="15.75" customHeight="1">
      <c r="A8204" s="7"/>
      <c r="B8204" s="7" t="str">
        <f>IFERROR(__xludf.DUMMYFUNCTION("""COMPUTED_VALUE"""),"Bash/Shell/PowerShell;JavaScript;PHP;SQL")</f>
        <v>Bash/Shell/PowerShell;JavaScript;PHP;SQL</v>
      </c>
      <c r="M8204" s="9" t="s">
        <v>21</v>
      </c>
    </row>
    <row r="8205" ht="15.75" customHeight="1">
      <c r="A8205" s="7"/>
      <c r="B8205" s="7" t="str">
        <f>IFERROR(__xludf.DUMMYFUNCTION("""COMPUTED_VALUE"""),"JavaScript;PHP")</f>
        <v>JavaScript;PHP</v>
      </c>
      <c r="M8205" s="9" t="s">
        <v>41</v>
      </c>
    </row>
    <row r="8206" ht="15.75" customHeight="1">
      <c r="A8206" s="7"/>
      <c r="B8206" s="7" t="str">
        <f>IFERROR(__xludf.DUMMYFUNCTION("""COMPUTED_VALUE"""),"C#;HTML/CSS;JavaScript;SQL")</f>
        <v>C#;HTML/CSS;JavaScript;SQL</v>
      </c>
      <c r="M8206" s="9" t="s">
        <v>22</v>
      </c>
    </row>
    <row r="8207" ht="15.75" customHeight="1">
      <c r="A8207" s="7"/>
      <c r="B8207" s="7" t="str">
        <f>IFERROR(__xludf.DUMMYFUNCTION("""COMPUTED_VALUE"""),"Java;JavaScript;Python;Scala;TypeScript")</f>
        <v>Java;JavaScript;Python;Scala;TypeScript</v>
      </c>
      <c r="M8207" s="9" t="s">
        <v>40</v>
      </c>
    </row>
    <row r="8208" ht="15.75" customHeight="1">
      <c r="A8208" s="7"/>
      <c r="B8208" s="7" t="str">
        <f>IFERROR(__xludf.DUMMYFUNCTION("""COMPUTED_VALUE"""),"Java;SQL")</f>
        <v>Java;SQL</v>
      </c>
      <c r="M8208" s="9" t="s">
        <v>30</v>
      </c>
    </row>
    <row r="8209" ht="15.75" customHeight="1">
      <c r="A8209" s="7"/>
      <c r="B8209" s="7" t="str">
        <f>IFERROR(__xludf.DUMMYFUNCTION("""COMPUTED_VALUE"""),"Bash/Shell/PowerShell;HTML/CSS;JavaScript;PHP;SQL")</f>
        <v>Bash/Shell/PowerShell;HTML/CSS;JavaScript;PHP;SQL</v>
      </c>
      <c r="M8209" s="9" t="s">
        <v>23</v>
      </c>
    </row>
    <row r="8210" ht="15.75" customHeight="1">
      <c r="A8210" s="7"/>
      <c r="B8210" s="7" t="str">
        <f>IFERROR(__xludf.DUMMYFUNCTION("""COMPUTED_VALUE"""),"HTML/CSS;Java;JavaScript;Python;SQL")</f>
        <v>HTML/CSS;Java;JavaScript;Python;SQL</v>
      </c>
      <c r="M8210" s="9" t="s">
        <v>26</v>
      </c>
    </row>
    <row r="8211" ht="15.75" customHeight="1">
      <c r="A8211" s="7"/>
      <c r="B8211" s="7" t="str">
        <f>IFERROR(__xludf.DUMMYFUNCTION("""COMPUTED_VALUE"""),"Bash/Shell/PowerShell;C#;HTML/CSS;JavaScript;VBA")</f>
        <v>Bash/Shell/PowerShell;C#;HTML/CSS;JavaScript;VBA</v>
      </c>
      <c r="M8211" s="9" t="s">
        <v>24</v>
      </c>
    </row>
    <row r="8212" ht="15.75" customHeight="1">
      <c r="A8212" s="7"/>
      <c r="B8212" s="7" t="str">
        <f>IFERROR(__xludf.DUMMYFUNCTION("""COMPUTED_VALUE"""),"Clojure;HTML/CSS;Java;Python;R")</f>
        <v>Clojure;HTML/CSS;Java;Python;R</v>
      </c>
      <c r="M8212" s="9" t="s">
        <v>21</v>
      </c>
    </row>
    <row r="8213" ht="15.75" customHeight="1">
      <c r="A8213" s="7"/>
      <c r="B8213" s="7" t="str">
        <f>IFERROR(__xludf.DUMMYFUNCTION("""COMPUTED_VALUE"""),"Bash/Shell/PowerShell;HTML/CSS;JavaScript;PHP;TypeScript")</f>
        <v>Bash/Shell/PowerShell;HTML/CSS;JavaScript;PHP;TypeScript</v>
      </c>
      <c r="M8213" s="9" t="s">
        <v>37</v>
      </c>
    </row>
    <row r="8214" ht="15.75" customHeight="1">
      <c r="A8214" s="7"/>
      <c r="B8214" s="7" t="str">
        <f>IFERROR(__xludf.DUMMYFUNCTION("""COMPUTED_VALUE"""),"HTML/CSS;Java;Python;SQL")</f>
        <v>HTML/CSS;Java;Python;SQL</v>
      </c>
      <c r="M8214" s="9" t="s">
        <v>22</v>
      </c>
    </row>
    <row r="8215" ht="15.75" customHeight="1">
      <c r="A8215" s="7"/>
      <c r="B8215" s="7" t="str">
        <f>IFERROR(__xludf.DUMMYFUNCTION("""COMPUTED_VALUE"""),"HTML/CSS;JavaScript;PHP;SQL")</f>
        <v>HTML/CSS;JavaScript;PHP;SQL</v>
      </c>
      <c r="M8215" s="9" t="s">
        <v>40</v>
      </c>
    </row>
    <row r="8216" ht="15.75" customHeight="1">
      <c r="A8216" s="7"/>
      <c r="B8216" s="7" t="str">
        <f>IFERROR(__xludf.DUMMYFUNCTION("""COMPUTED_VALUE"""),"Assembly;Bash/Shell/PowerShell;C;C++;C#;HTML/CSS;Java;JavaScript;Objective-C;Python;SQL;TypeScript")</f>
        <v>Assembly;Bash/Shell/PowerShell;C;C++;C#;HTML/CSS;Java;JavaScript;Objective-C;Python;SQL;TypeScript</v>
      </c>
      <c r="M8216" s="9" t="s">
        <v>42</v>
      </c>
    </row>
    <row r="8217" ht="15.75" customHeight="1">
      <c r="A8217" s="7"/>
      <c r="B8217" s="7" t="str">
        <f>IFERROR(__xludf.DUMMYFUNCTION("""COMPUTED_VALUE"""),"HTML/CSS;JavaScript;PHP;SQL")</f>
        <v>HTML/CSS;JavaScript;PHP;SQL</v>
      </c>
      <c r="M8217" s="9" t="s">
        <v>24</v>
      </c>
    </row>
    <row r="8218" ht="15.75" customHeight="1">
      <c r="A8218" s="7"/>
      <c r="B8218" s="7" t="str">
        <f>IFERROR(__xludf.DUMMYFUNCTION("""COMPUTED_VALUE"""),"Bash/Shell/PowerShell;C;C++;C#;HTML/CSS;Python;R;SQL")</f>
        <v>Bash/Shell/PowerShell;C;C++;C#;HTML/CSS;Python;R;SQL</v>
      </c>
      <c r="M8218" s="9" t="s">
        <v>21</v>
      </c>
    </row>
    <row r="8219" ht="15.75" customHeight="1">
      <c r="A8219" s="7"/>
      <c r="B8219" s="7" t="str">
        <f>IFERROR(__xludf.DUMMYFUNCTION("""COMPUTED_VALUE"""),"HTML/CSS;JavaScript;TypeScript")</f>
        <v>HTML/CSS;JavaScript;TypeScript</v>
      </c>
      <c r="M8219" s="9" t="s">
        <v>22</v>
      </c>
    </row>
    <row r="8220" ht="15.75" customHeight="1">
      <c r="A8220" s="7"/>
      <c r="B8220" s="7" t="str">
        <f>IFERROR(__xludf.DUMMYFUNCTION("""COMPUTED_VALUE"""),"HTML/CSS;Java;JavaScript;SQL")</f>
        <v>HTML/CSS;Java;JavaScript;SQL</v>
      </c>
      <c r="M8220" s="9" t="s">
        <v>27</v>
      </c>
    </row>
    <row r="8221" ht="15.75" customHeight="1">
      <c r="A8221" s="7"/>
      <c r="B8221" s="7" t="str">
        <f>IFERROR(__xludf.DUMMYFUNCTION("""COMPUTED_VALUE"""),"HTML/CSS;JavaScript;Python;SQL")</f>
        <v>HTML/CSS;JavaScript;Python;SQL</v>
      </c>
      <c r="M8221" s="9" t="s">
        <v>40</v>
      </c>
    </row>
    <row r="8222" ht="15.75" customHeight="1">
      <c r="A8222" s="7"/>
      <c r="B8222" s="7" t="str">
        <f>IFERROR(__xludf.DUMMYFUNCTION("""COMPUTED_VALUE"""),"Bash/Shell/PowerShell;C#;HTML/CSS;Java;JavaScript;Python;SQL;Swift;TypeScript;Other(s):")</f>
        <v>Bash/Shell/PowerShell;C#;HTML/CSS;Java;JavaScript;Python;SQL;Swift;TypeScript;Other(s):</v>
      </c>
      <c r="M8222" s="9" t="s">
        <v>20</v>
      </c>
    </row>
    <row r="8223" ht="15.75" customHeight="1">
      <c r="A8223" s="7"/>
      <c r="B8223" s="7" t="str">
        <f>IFERROR(__xludf.DUMMYFUNCTION("""COMPUTED_VALUE"""),"Bash/Shell/PowerShell;C;C++;Dart;Go;HTML/CSS;Java;JavaScript;Kotlin;Objective-C;Python;Ruby;SQL;Swift")</f>
        <v>Bash/Shell/PowerShell;C;C++;Dart;Go;HTML/CSS;Java;JavaScript;Kotlin;Objective-C;Python;Ruby;SQL;Swift</v>
      </c>
      <c r="M8223" s="9" t="s">
        <v>21</v>
      </c>
    </row>
    <row r="8224" ht="15.75" customHeight="1">
      <c r="A8224" s="7"/>
      <c r="B8224" s="7" t="str">
        <f>IFERROR(__xludf.DUMMYFUNCTION("""COMPUTED_VALUE"""),"Bash/Shell/PowerShell;C#;HTML/CSS;Java;JavaScript;SQL;Swift;TypeScript")</f>
        <v>Bash/Shell/PowerShell;C#;HTML/CSS;Java;JavaScript;SQL;Swift;TypeScript</v>
      </c>
      <c r="M8224" s="9" t="s">
        <v>26</v>
      </c>
    </row>
    <row r="8225" ht="15.75" customHeight="1">
      <c r="A8225" s="7"/>
      <c r="B8225" s="7" t="str">
        <f>IFERROR(__xludf.DUMMYFUNCTION("""COMPUTED_VALUE"""),"HTML/CSS;JavaScript;Python")</f>
        <v>HTML/CSS;JavaScript;Python</v>
      </c>
      <c r="M8225" s="9" t="s">
        <v>24</v>
      </c>
    </row>
    <row r="8226" ht="15.75" customHeight="1">
      <c r="A8226" s="7"/>
      <c r="B8226" s="7" t="str">
        <f>IFERROR(__xludf.DUMMYFUNCTION("""COMPUTED_VALUE"""),"HTML/CSS;Java;JavaScript")</f>
        <v>HTML/CSS;Java;JavaScript</v>
      </c>
      <c r="M8226" s="9" t="s">
        <v>21</v>
      </c>
    </row>
    <row r="8227" ht="15.75" customHeight="1">
      <c r="A8227" s="7"/>
      <c r="B8227" s="7" t="str">
        <f>IFERROR(__xludf.DUMMYFUNCTION("""COMPUTED_VALUE"""),"C#;HTML/CSS;JavaScript;Swift")</f>
        <v>C#;HTML/CSS;JavaScript;Swift</v>
      </c>
      <c r="M8227" s="9" t="s">
        <v>37</v>
      </c>
    </row>
    <row r="8228" ht="15.75" customHeight="1">
      <c r="A8228" s="7"/>
      <c r="B8228" s="7" t="str">
        <f>IFERROR(__xludf.DUMMYFUNCTION("""COMPUTED_VALUE"""),"HTML/CSS;JavaScript;Python;SQL;TypeScript")</f>
        <v>HTML/CSS;JavaScript;Python;SQL;TypeScript</v>
      </c>
      <c r="M8228" s="9" t="s">
        <v>27</v>
      </c>
    </row>
    <row r="8229" ht="15.75" customHeight="1">
      <c r="A8229" s="7"/>
      <c r="B8229" s="7" t="str">
        <f>IFERROR(__xludf.DUMMYFUNCTION("""COMPUTED_VALUE"""),"Bash/Shell/PowerShell;HTML/CSS;JavaScript;PHP;Python;SQL")</f>
        <v>Bash/Shell/PowerShell;HTML/CSS;JavaScript;PHP;Python;SQL</v>
      </c>
      <c r="M8229" s="9" t="s">
        <v>30</v>
      </c>
    </row>
    <row r="8230" ht="15.75" customHeight="1">
      <c r="A8230" s="7"/>
      <c r="B8230" s="7" t="str">
        <f>IFERROR(__xludf.DUMMYFUNCTION("""COMPUTED_VALUE"""),"C#;JavaScript;SQL")</f>
        <v>C#;JavaScript;SQL</v>
      </c>
      <c r="M8230" s="9" t="s">
        <v>24</v>
      </c>
    </row>
    <row r="8231" ht="15.75" customHeight="1">
      <c r="A8231" s="7"/>
      <c r="B8231" s="7" t="str">
        <f>IFERROR(__xludf.DUMMYFUNCTION("""COMPUTED_VALUE"""),"C;C++;HTML/CSS;JavaScript;SQL")</f>
        <v>C;C++;HTML/CSS;JavaScript;SQL</v>
      </c>
      <c r="M8231" s="9" t="s">
        <v>21</v>
      </c>
    </row>
    <row r="8232" ht="15.75" customHeight="1">
      <c r="A8232" s="7"/>
      <c r="B8232" s="7" t="str">
        <f>IFERROR(__xludf.DUMMYFUNCTION("""COMPUTED_VALUE"""),"C;C#;HTML/CSS;JavaScript;Python")</f>
        <v>C;C#;HTML/CSS;JavaScript;Python</v>
      </c>
      <c r="M8232" s="9" t="s">
        <v>37</v>
      </c>
    </row>
    <row r="8233" ht="15.75" customHeight="1">
      <c r="A8233" s="7"/>
      <c r="B8233" s="7" t="str">
        <f>IFERROR(__xludf.DUMMYFUNCTION("""COMPUTED_VALUE"""),"Bash/Shell/PowerShell;HTML/CSS;JavaScript;PHP;R;SQL")</f>
        <v>Bash/Shell/PowerShell;HTML/CSS;JavaScript;PHP;R;SQL</v>
      </c>
      <c r="M8233" s="9" t="s">
        <v>27</v>
      </c>
    </row>
    <row r="8234" ht="15.75" customHeight="1">
      <c r="A8234" s="7"/>
      <c r="B8234" s="7" t="str">
        <f>IFERROR(__xludf.DUMMYFUNCTION("""COMPUTED_VALUE"""),"Bash/Shell/PowerShell;HTML/CSS;JavaScript;PHP;Rust;SQL;TypeScript")</f>
        <v>Bash/Shell/PowerShell;HTML/CSS;JavaScript;PHP;Rust;SQL;TypeScript</v>
      </c>
      <c r="M8234" s="9" t="s">
        <v>33</v>
      </c>
    </row>
    <row r="8235" ht="15.75" customHeight="1">
      <c r="A8235" s="7"/>
      <c r="B8235" s="7" t="str">
        <f>IFERROR(__xludf.DUMMYFUNCTION("""COMPUTED_VALUE"""),"Java")</f>
        <v>Java</v>
      </c>
      <c r="M8235" s="9" t="s">
        <v>38</v>
      </c>
    </row>
    <row r="8236" ht="15.75" customHeight="1">
      <c r="A8236" s="7"/>
      <c r="B8236" s="7" t="str">
        <f>IFERROR(__xludf.DUMMYFUNCTION("""COMPUTED_VALUE"""),"Bash/Shell/PowerShell;Go;HTML/CSS;JavaScript;Python;TypeScript")</f>
        <v>Bash/Shell/PowerShell;Go;HTML/CSS;JavaScript;Python;TypeScript</v>
      </c>
      <c r="M8236" s="9" t="s">
        <v>30</v>
      </c>
    </row>
    <row r="8237" ht="15.75" customHeight="1">
      <c r="A8237" s="7"/>
      <c r="B8237" s="7" t="str">
        <f>IFERROR(__xludf.DUMMYFUNCTION("""COMPUTED_VALUE"""),"Python;SQL")</f>
        <v>Python;SQL</v>
      </c>
      <c r="M8237" s="9" t="s">
        <v>25</v>
      </c>
    </row>
    <row r="8238" ht="15.75" customHeight="1">
      <c r="A8238" s="7"/>
      <c r="B8238" s="7" t="str">
        <f>IFERROR(__xludf.DUMMYFUNCTION("""COMPUTED_VALUE"""),"HTML/CSS;JavaScript;SQL")</f>
        <v>HTML/CSS;JavaScript;SQL</v>
      </c>
      <c r="M8238" s="9" t="s">
        <v>23</v>
      </c>
    </row>
    <row r="8239" ht="15.75" customHeight="1">
      <c r="A8239" s="7"/>
      <c r="B8239" s="7" t="str">
        <f>IFERROR(__xludf.DUMMYFUNCTION("""COMPUTED_VALUE"""),"Bash/Shell/PowerShell;Python")</f>
        <v>Bash/Shell/PowerShell;Python</v>
      </c>
      <c r="M8239" s="9" t="s">
        <v>24</v>
      </c>
    </row>
    <row r="8240" ht="15.75" customHeight="1">
      <c r="A8240" s="7"/>
      <c r="B8240" s="7" t="str">
        <f>IFERROR(__xludf.DUMMYFUNCTION("""COMPUTED_VALUE"""),"Bash/Shell/PowerShell;C;Java;JavaScript;Scala;SQL")</f>
        <v>Bash/Shell/PowerShell;C;Java;JavaScript;Scala;SQL</v>
      </c>
      <c r="M8240" s="9" t="s">
        <v>20</v>
      </c>
    </row>
    <row r="8241" ht="15.75" customHeight="1">
      <c r="A8241" s="7"/>
      <c r="B8241" s="7" t="str">
        <f>IFERROR(__xludf.DUMMYFUNCTION("""COMPUTED_VALUE"""),"C#;HTML/CSS;JavaScript;PHP;SQL")</f>
        <v>C#;HTML/CSS;JavaScript;PHP;SQL</v>
      </c>
      <c r="M8241" s="9" t="s">
        <v>21</v>
      </c>
    </row>
    <row r="8242" ht="15.75" customHeight="1">
      <c r="A8242" s="7"/>
      <c r="B8242" s="7" t="str">
        <f>IFERROR(__xludf.DUMMYFUNCTION("""COMPUTED_VALUE"""),"HTML/CSS;JavaScript;PHP;Python;Rust;SQL;TypeScript")</f>
        <v>HTML/CSS;JavaScript;PHP;Python;Rust;SQL;TypeScript</v>
      </c>
      <c r="M8242" s="9" t="s">
        <v>37</v>
      </c>
    </row>
    <row r="8243" ht="15.75" customHeight="1">
      <c r="A8243" s="7"/>
      <c r="B8243" s="7" t="str">
        <f>IFERROR(__xludf.DUMMYFUNCTION("""COMPUTED_VALUE"""),"C;Java;Python;SQL")</f>
        <v>C;Java;Python;SQL</v>
      </c>
      <c r="M8243" s="9" t="s">
        <v>22</v>
      </c>
    </row>
    <row r="8244" ht="15.75" customHeight="1">
      <c r="A8244" s="7"/>
      <c r="B8244" s="7" t="str">
        <f>IFERROR(__xludf.DUMMYFUNCTION("""COMPUTED_VALUE"""),"Bash/Shell/PowerShell;C#;Python;TypeScript")</f>
        <v>Bash/Shell/PowerShell;C#;Python;TypeScript</v>
      </c>
      <c r="M8244" s="9" t="s">
        <v>27</v>
      </c>
    </row>
    <row r="8245" ht="15.75" customHeight="1">
      <c r="A8245" s="7"/>
      <c r="B8245" s="7" t="str">
        <f>IFERROR(__xludf.DUMMYFUNCTION("""COMPUTED_VALUE"""),"C++;HTML/CSS;Java;JavaScript;Python;Ruby;SQL")</f>
        <v>C++;HTML/CSS;Java;JavaScript;Python;Ruby;SQL</v>
      </c>
      <c r="M8245" s="9" t="s">
        <v>33</v>
      </c>
    </row>
    <row r="8246" ht="15.75" customHeight="1">
      <c r="A8246" s="7"/>
      <c r="B8246" s="7" t="str">
        <f>IFERROR(__xludf.DUMMYFUNCTION("""COMPUTED_VALUE"""),"C#;Java")</f>
        <v>C#;Java</v>
      </c>
      <c r="M8246" s="9" t="s">
        <v>30</v>
      </c>
    </row>
    <row r="8247" ht="15.75" customHeight="1">
      <c r="A8247" s="7"/>
      <c r="B8247" s="7" t="str">
        <f>IFERROR(__xludf.DUMMYFUNCTION("""COMPUTED_VALUE"""),"Java")</f>
        <v>Java</v>
      </c>
      <c r="M8247" s="9" t="s">
        <v>26</v>
      </c>
    </row>
    <row r="8248" ht="15.75" customHeight="1">
      <c r="A8248" s="7"/>
      <c r="B8248" s="7" t="str">
        <f>IFERROR(__xludf.DUMMYFUNCTION("""COMPUTED_VALUE"""),"Python")</f>
        <v>Python</v>
      </c>
      <c r="M8248" s="9" t="s">
        <v>22</v>
      </c>
    </row>
    <row r="8249" ht="15.75" customHeight="1">
      <c r="A8249" s="7"/>
      <c r="B8249" s="7" t="str">
        <f>IFERROR(__xludf.DUMMYFUNCTION("""COMPUTED_VALUE"""),"C;C++;Python;Other(s):")</f>
        <v>C;C++;Python;Other(s):</v>
      </c>
      <c r="M8249" s="9" t="s">
        <v>27</v>
      </c>
    </row>
    <row r="8250" ht="15.75" customHeight="1">
      <c r="A8250" s="7"/>
      <c r="B8250" s="7" t="str">
        <f>IFERROR(__xludf.DUMMYFUNCTION("""COMPUTED_VALUE"""),"HTML/CSS;JavaScript;PHP;SQL;TypeScript")</f>
        <v>HTML/CSS;JavaScript;PHP;SQL;TypeScript</v>
      </c>
      <c r="M8250" s="9" t="s">
        <v>20</v>
      </c>
    </row>
    <row r="8251" ht="15.75" customHeight="1">
      <c r="A8251" s="7"/>
      <c r="B8251" s="7" t="str">
        <f>IFERROR(__xludf.DUMMYFUNCTION("""COMPUTED_VALUE"""),"HTML/CSS;JavaScript;TypeScript")</f>
        <v>HTML/CSS;JavaScript;TypeScript</v>
      </c>
      <c r="M8251" s="9" t="s">
        <v>21</v>
      </c>
    </row>
    <row r="8252" ht="15.75" customHeight="1">
      <c r="A8252" s="7"/>
      <c r="B8252" s="7" t="str">
        <f>IFERROR(__xludf.DUMMYFUNCTION("""COMPUTED_VALUE"""),"Bash/Shell/PowerShell;C#;HTML/CSS;Java;JavaScript;Kotlin;SQL")</f>
        <v>Bash/Shell/PowerShell;C#;HTML/CSS;Java;JavaScript;Kotlin;SQL</v>
      </c>
      <c r="M8252" s="9" t="s">
        <v>27</v>
      </c>
    </row>
    <row r="8253" ht="15.75" customHeight="1">
      <c r="A8253" s="7"/>
      <c r="B8253" s="7" t="str">
        <f>IFERROR(__xludf.DUMMYFUNCTION("""COMPUTED_VALUE"""),"C#")</f>
        <v>C#</v>
      </c>
      <c r="M8253" s="9" t="s">
        <v>35</v>
      </c>
    </row>
    <row r="8254" ht="15.75" customHeight="1">
      <c r="A8254" s="7"/>
      <c r="B8254" s="7" t="str">
        <f>IFERROR(__xludf.DUMMYFUNCTION("""COMPUTED_VALUE"""),"Bash/Shell/PowerShell;HTML/CSS;Python")</f>
        <v>Bash/Shell/PowerShell;HTML/CSS;Python</v>
      </c>
      <c r="M8254" s="9" t="s">
        <v>24</v>
      </c>
    </row>
    <row r="8255" ht="15.75" customHeight="1">
      <c r="A8255" s="7"/>
      <c r="B8255" s="7" t="str">
        <f>IFERROR(__xludf.DUMMYFUNCTION("""COMPUTED_VALUE"""),"Assembly;Bash/Shell/PowerShell;C;C++;C#;Dart;HTML/CSS;Java;JavaScript;PHP;Python;R;SQL;TypeScript")</f>
        <v>Assembly;Bash/Shell/PowerShell;C;C++;C#;Dart;HTML/CSS;Java;JavaScript;PHP;Python;R;SQL;TypeScript</v>
      </c>
      <c r="M8255" s="9" t="s">
        <v>21</v>
      </c>
    </row>
    <row r="8256" ht="15.75" customHeight="1">
      <c r="A8256" s="7"/>
      <c r="B8256" s="7" t="str">
        <f>IFERROR(__xludf.DUMMYFUNCTION("""COMPUTED_VALUE"""),"C;C++;C#;HTML/CSS;Java;JavaScript;Ruby;SQL")</f>
        <v>C;C++;C#;HTML/CSS;Java;JavaScript;Ruby;SQL</v>
      </c>
      <c r="M8256" s="9" t="s">
        <v>33</v>
      </c>
    </row>
    <row r="8257" ht="15.75" customHeight="1">
      <c r="A8257" s="7"/>
      <c r="B8257" s="7" t="str">
        <f>IFERROR(__xludf.DUMMYFUNCTION("""COMPUTED_VALUE"""),"Elixir;Erlang;JavaScript;PHP;SQL;TypeScript")</f>
        <v>Elixir;Erlang;JavaScript;PHP;SQL;TypeScript</v>
      </c>
      <c r="M8257" s="9" t="s">
        <v>24</v>
      </c>
    </row>
    <row r="8258" ht="15.75" customHeight="1">
      <c r="A8258" s="7"/>
      <c r="B8258" s="7" t="str">
        <f>IFERROR(__xludf.DUMMYFUNCTION("""COMPUTED_VALUE"""),"C++;Objective-C;Python")</f>
        <v>C++;Objective-C;Python</v>
      </c>
      <c r="M8258" s="9" t="s">
        <v>20</v>
      </c>
    </row>
    <row r="8259" ht="15.75" customHeight="1">
      <c r="A8259" s="7"/>
      <c r="B8259" s="7" t="str">
        <f>IFERROR(__xludf.DUMMYFUNCTION("""COMPUTED_VALUE"""),"JavaScript")</f>
        <v>JavaScript</v>
      </c>
      <c r="M8259" s="9" t="s">
        <v>21</v>
      </c>
    </row>
    <row r="8260" ht="15.75" customHeight="1">
      <c r="A8260" s="7"/>
      <c r="B8260" s="7" t="str">
        <f>IFERROR(__xludf.DUMMYFUNCTION("""COMPUTED_VALUE"""),"Python;R;SQL")</f>
        <v>Python;R;SQL</v>
      </c>
      <c r="M8260" s="9" t="s">
        <v>37</v>
      </c>
    </row>
    <row r="8261" ht="15.75" customHeight="1">
      <c r="A8261" s="7"/>
      <c r="B8261" s="7" t="str">
        <f>IFERROR(__xludf.DUMMYFUNCTION("""COMPUTED_VALUE"""),"Bash/Shell/PowerShell;HTML/CSS;JavaScript")</f>
        <v>Bash/Shell/PowerShell;HTML/CSS;JavaScript</v>
      </c>
      <c r="M8261" s="9" t="s">
        <v>22</v>
      </c>
    </row>
    <row r="8262" ht="15.75" customHeight="1">
      <c r="A8262" s="7"/>
      <c r="B8262" s="7" t="str">
        <f>IFERROR(__xludf.DUMMYFUNCTION("""COMPUTED_VALUE"""),"Bash/Shell/PowerShell;C++;C#;HTML/CSS;JavaScript;PHP;Python;SQL;Other(s):")</f>
        <v>Bash/Shell/PowerShell;C++;C#;HTML/CSS;JavaScript;PHP;Python;SQL;Other(s):</v>
      </c>
      <c r="M8262" s="9" t="s">
        <v>25</v>
      </c>
    </row>
    <row r="8263" ht="15.75" customHeight="1">
      <c r="A8263" s="7"/>
      <c r="B8263" s="7" t="str">
        <f>IFERROR(__xludf.DUMMYFUNCTION("""COMPUTED_VALUE"""),"HTML/CSS;JavaScript;R;SQL;VBA")</f>
        <v>HTML/CSS;JavaScript;R;SQL;VBA</v>
      </c>
      <c r="M8263" s="9" t="s">
        <v>36</v>
      </c>
    </row>
    <row r="8264" ht="15.75" customHeight="1">
      <c r="A8264" s="7"/>
      <c r="B8264" s="7" t="str">
        <f>IFERROR(__xludf.DUMMYFUNCTION("""COMPUTED_VALUE"""),"HTML/CSS;JavaScript;PHP;Ruby;SQL")</f>
        <v>HTML/CSS;JavaScript;PHP;Ruby;SQL</v>
      </c>
      <c r="M8264" s="9" t="s">
        <v>20</v>
      </c>
    </row>
    <row r="8265" ht="15.75" customHeight="1">
      <c r="A8265" s="7"/>
      <c r="B8265" s="7" t="str">
        <f>IFERROR(__xludf.DUMMYFUNCTION("""COMPUTED_VALUE"""),"HTML/CSS;JavaScript;Python")</f>
        <v>HTML/CSS;JavaScript;Python</v>
      </c>
      <c r="M8265" s="9" t="s">
        <v>21</v>
      </c>
    </row>
    <row r="8266" ht="15.75" customHeight="1">
      <c r="A8266" s="7"/>
      <c r="B8266" s="7" t="str">
        <f>IFERROR(__xludf.DUMMYFUNCTION("""COMPUTED_VALUE"""),"Bash/Shell/PowerShell;HTML/CSS;JavaScript;Python;SQL")</f>
        <v>Bash/Shell/PowerShell;HTML/CSS;JavaScript;Python;SQL</v>
      </c>
      <c r="M8266" s="9" t="s">
        <v>22</v>
      </c>
    </row>
    <row r="8267" ht="15.75" customHeight="1">
      <c r="A8267" s="7"/>
      <c r="B8267" s="7" t="str">
        <f>IFERROR(__xludf.DUMMYFUNCTION("""COMPUTED_VALUE"""),"Assembly;Bash/Shell/PowerShell;C++;HTML/CSS;JavaScript;PHP;Python")</f>
        <v>Assembly;Bash/Shell/PowerShell;C++;HTML/CSS;JavaScript;PHP;Python</v>
      </c>
      <c r="M8267" s="9" t="s">
        <v>27</v>
      </c>
    </row>
    <row r="8268" ht="15.75" customHeight="1">
      <c r="A8268" s="7"/>
      <c r="B8268" s="7" t="str">
        <f>IFERROR(__xludf.DUMMYFUNCTION("""COMPUTED_VALUE"""),"Bash/Shell/PowerShell;C++;C#;Go;HTML/CSS;Java;JavaScript;Python;SQL")</f>
        <v>Bash/Shell/PowerShell;C++;C#;Go;HTML/CSS;Java;JavaScript;Python;SQL</v>
      </c>
      <c r="M8268" s="9" t="s">
        <v>30</v>
      </c>
    </row>
    <row r="8269" ht="15.75" customHeight="1">
      <c r="A8269" s="7"/>
      <c r="B8269" s="7" t="str">
        <f>IFERROR(__xludf.DUMMYFUNCTION("""COMPUTED_VALUE"""),"Bash/Shell/PowerShell;HTML/CSS;Java;JavaScript;Python;Ruby;SQL")</f>
        <v>Bash/Shell/PowerShell;HTML/CSS;Java;JavaScript;Python;Ruby;SQL</v>
      </c>
      <c r="M8269" s="9" t="s">
        <v>26</v>
      </c>
    </row>
    <row r="8270" ht="15.75" customHeight="1">
      <c r="A8270" s="7"/>
      <c r="B8270" s="7" t="str">
        <f>IFERROR(__xludf.DUMMYFUNCTION("""COMPUTED_VALUE"""),"Bash/Shell/PowerShell;HTML/CSS;JavaScript;Python;SQL")</f>
        <v>Bash/Shell/PowerShell;HTML/CSS;JavaScript;Python;SQL</v>
      </c>
      <c r="M8270" s="9" t="s">
        <v>24</v>
      </c>
    </row>
    <row r="8271" ht="15.75" customHeight="1">
      <c r="A8271" s="7"/>
      <c r="B8271" s="7" t="str">
        <f>IFERROR(__xludf.DUMMYFUNCTION("""COMPUTED_VALUE"""),"C++")</f>
        <v>C++</v>
      </c>
      <c r="M8271" s="9" t="s">
        <v>21</v>
      </c>
    </row>
    <row r="8272" ht="15.75" customHeight="1">
      <c r="A8272" s="7"/>
      <c r="B8272" s="7" t="str">
        <f>IFERROR(__xludf.DUMMYFUNCTION("""COMPUTED_VALUE"""),"HTML/CSS;Kotlin;Objective-C;Ruby;Swift;TypeScript")</f>
        <v>HTML/CSS;Kotlin;Objective-C;Ruby;Swift;TypeScript</v>
      </c>
      <c r="M8272" s="9" t="s">
        <v>27</v>
      </c>
    </row>
    <row r="8273" ht="15.75" customHeight="1">
      <c r="A8273" s="7"/>
      <c r="B8273" s="7" t="str">
        <f>IFERROR(__xludf.DUMMYFUNCTION("""COMPUTED_VALUE"""),"C#;HTML/CSS;JavaScript;SQL;TypeScript")</f>
        <v>C#;HTML/CSS;JavaScript;SQL;TypeScript</v>
      </c>
      <c r="M8273" s="9" t="s">
        <v>30</v>
      </c>
    </row>
    <row r="8274" ht="15.75" customHeight="1">
      <c r="A8274" s="7"/>
      <c r="B8274" s="7" t="str">
        <f>IFERROR(__xludf.DUMMYFUNCTION("""COMPUTED_VALUE"""),"Bash/Shell/PowerShell;JavaScript;Python;SQL;VBA")</f>
        <v>Bash/Shell/PowerShell;JavaScript;Python;SQL;VBA</v>
      </c>
      <c r="M8274" s="9" t="s">
        <v>20</v>
      </c>
    </row>
    <row r="8275" ht="15.75" customHeight="1">
      <c r="A8275" s="7"/>
      <c r="B8275" s="7" t="str">
        <f>IFERROR(__xludf.DUMMYFUNCTION("""COMPUTED_VALUE"""),"Java;JavaScript;Python;Ruby")</f>
        <v>Java;JavaScript;Python;Ruby</v>
      </c>
      <c r="M8275" s="9" t="s">
        <v>22</v>
      </c>
    </row>
    <row r="8276" ht="15.75" customHeight="1">
      <c r="A8276" s="7"/>
      <c r="B8276" s="7" t="str">
        <f>IFERROR(__xludf.DUMMYFUNCTION("""COMPUTED_VALUE"""),"C#;HTML/CSS;Java;JavaScript;PHP")</f>
        <v>C#;HTML/CSS;Java;JavaScript;PHP</v>
      </c>
      <c r="M8276" s="9" t="s">
        <v>26</v>
      </c>
    </row>
    <row r="8277" ht="15.75" customHeight="1">
      <c r="A8277" s="7"/>
      <c r="B8277" s="7" t="str">
        <f>IFERROR(__xludf.DUMMYFUNCTION("""COMPUTED_VALUE"""),"C++;Python")</f>
        <v>C++;Python</v>
      </c>
      <c r="M8277" s="9" t="s">
        <v>24</v>
      </c>
    </row>
    <row r="8278" ht="15.75" customHeight="1">
      <c r="A8278" s="7"/>
      <c r="B8278" s="7" t="str">
        <f>IFERROR(__xludf.DUMMYFUNCTION("""COMPUTED_VALUE"""),"Bash/Shell/PowerShell;Java;Rust")</f>
        <v>Bash/Shell/PowerShell;Java;Rust</v>
      </c>
      <c r="M8278" s="9" t="s">
        <v>21</v>
      </c>
    </row>
    <row r="8279" ht="15.75" customHeight="1">
      <c r="A8279" s="7"/>
      <c r="B8279" s="7" t="str">
        <f>IFERROR(__xludf.DUMMYFUNCTION("""COMPUTED_VALUE"""),"Bash/Shell/PowerShell;C#;HTML/CSS;JavaScript;SQL")</f>
        <v>Bash/Shell/PowerShell;C#;HTML/CSS;JavaScript;SQL</v>
      </c>
      <c r="M8279" s="9" t="s">
        <v>22</v>
      </c>
    </row>
    <row r="8280" ht="15.75" customHeight="1">
      <c r="A8280" s="7"/>
      <c r="B8280" s="7" t="str">
        <f>IFERROR(__xludf.DUMMYFUNCTION("""COMPUTED_VALUE"""),"Bash/Shell/PowerShell;HTML/CSS;Java;JavaScript;Python;Ruby;SQL;Other(s):")</f>
        <v>Bash/Shell/PowerShell;HTML/CSS;Java;JavaScript;Python;Ruby;SQL;Other(s):</v>
      </c>
      <c r="M8280" s="9" t="s">
        <v>27</v>
      </c>
    </row>
    <row r="8281" ht="15.75" customHeight="1">
      <c r="A8281" s="7"/>
      <c r="B8281" s="7" t="str">
        <f>IFERROR(__xludf.DUMMYFUNCTION("""COMPUTED_VALUE"""),"Bash/Shell/PowerShell;C;C++;HTML/CSS;Python")</f>
        <v>Bash/Shell/PowerShell;C;C++;HTML/CSS;Python</v>
      </c>
      <c r="M8281" s="9" t="s">
        <v>33</v>
      </c>
    </row>
    <row r="8282" ht="15.75" customHeight="1">
      <c r="A8282" s="7"/>
      <c r="B8282" s="7" t="str">
        <f>IFERROR(__xludf.DUMMYFUNCTION("""COMPUTED_VALUE"""),"C;HTML/CSS;Java;PHP;Other(s):")</f>
        <v>C;HTML/CSS;Java;PHP;Other(s):</v>
      </c>
      <c r="M8282" s="9" t="s">
        <v>30</v>
      </c>
    </row>
    <row r="8283" ht="15.75" customHeight="1">
      <c r="A8283" s="7"/>
      <c r="B8283" s="7" t="str">
        <f>IFERROR(__xludf.DUMMYFUNCTION("""COMPUTED_VALUE"""),"Bash/Shell/PowerShell;Python;SQL")</f>
        <v>Bash/Shell/PowerShell;Python;SQL</v>
      </c>
      <c r="M8283" s="9" t="s">
        <v>36</v>
      </c>
    </row>
    <row r="8284" ht="15.75" customHeight="1">
      <c r="A8284" s="7"/>
      <c r="B8284" s="7" t="str">
        <f>IFERROR(__xludf.DUMMYFUNCTION("""COMPUTED_VALUE"""),"HTML/CSS;Java;JavaScript;PHP;SQL;VBA")</f>
        <v>HTML/CSS;Java;JavaScript;PHP;SQL;VBA</v>
      </c>
      <c r="M8284" s="9" t="s">
        <v>24</v>
      </c>
    </row>
    <row r="8285" ht="15.75" customHeight="1">
      <c r="A8285" s="7"/>
      <c r="B8285" s="7" t="str">
        <f>IFERROR(__xludf.DUMMYFUNCTION("""COMPUTED_VALUE"""),"HTML/CSS;Java;JavaScript;SQL;TypeScript")</f>
        <v>HTML/CSS;Java;JavaScript;SQL;TypeScript</v>
      </c>
      <c r="M8285" s="9" t="s">
        <v>21</v>
      </c>
    </row>
    <row r="8286" ht="15.75" customHeight="1">
      <c r="A8286" s="7"/>
      <c r="B8286" s="7" t="str">
        <f>IFERROR(__xludf.DUMMYFUNCTION("""COMPUTED_VALUE"""),"C#;JavaScript;SQL")</f>
        <v>C#;JavaScript;SQL</v>
      </c>
      <c r="M8286" s="9" t="s">
        <v>22</v>
      </c>
    </row>
    <row r="8287" ht="15.75" customHeight="1">
      <c r="A8287" s="7"/>
      <c r="B8287" s="7" t="str">
        <f>IFERROR(__xludf.DUMMYFUNCTION("""COMPUTED_VALUE"""),"Assembly;C++;C#;HTML/CSS;Java;JavaScript;Python;SQL")</f>
        <v>Assembly;C++;C#;HTML/CSS;Java;JavaScript;Python;SQL</v>
      </c>
      <c r="M8287" s="9" t="s">
        <v>29</v>
      </c>
    </row>
    <row r="8288" ht="15.75" customHeight="1">
      <c r="A8288" s="7"/>
      <c r="B8288" s="7" t="str">
        <f>IFERROR(__xludf.DUMMYFUNCTION("""COMPUTED_VALUE"""),"Bash/Shell/PowerShell;Python;R;SQL")</f>
        <v>Bash/Shell/PowerShell;Python;R;SQL</v>
      </c>
      <c r="M8288" s="9" t="s">
        <v>31</v>
      </c>
    </row>
    <row r="8289" ht="15.75" customHeight="1">
      <c r="A8289" s="7"/>
      <c r="B8289" s="7" t="str">
        <f>IFERROR(__xludf.DUMMYFUNCTION("""COMPUTED_VALUE"""),"Java;JavaScript;Scala;SQL")</f>
        <v>Java;JavaScript;Scala;SQL</v>
      </c>
      <c r="M8289" s="9" t="s">
        <v>27</v>
      </c>
    </row>
    <row r="8290" ht="15.75" customHeight="1">
      <c r="A8290" s="7"/>
      <c r="B8290" s="7" t="str">
        <f>IFERROR(__xludf.DUMMYFUNCTION("""COMPUTED_VALUE"""),"Bash/Shell/PowerShell;C#;F#;SQL")</f>
        <v>Bash/Shell/PowerShell;C#;F#;SQL</v>
      </c>
      <c r="M8290" s="9" t="s">
        <v>30</v>
      </c>
    </row>
    <row r="8291" ht="15.75" customHeight="1">
      <c r="A8291" s="7"/>
      <c r="B8291" s="7" t="str">
        <f>IFERROR(__xludf.DUMMYFUNCTION("""COMPUTED_VALUE"""),"JavaScript;PHP;SQL")</f>
        <v>JavaScript;PHP;SQL</v>
      </c>
      <c r="M8291" s="9" t="s">
        <v>24</v>
      </c>
    </row>
    <row r="8292" ht="15.75" customHeight="1">
      <c r="A8292" s="7"/>
      <c r="B8292" s="7" t="str">
        <f>IFERROR(__xludf.DUMMYFUNCTION("""COMPUTED_VALUE"""),"Bash/Shell/PowerShell;HTML/CSS;Java;JavaScript")</f>
        <v>Bash/Shell/PowerShell;HTML/CSS;Java;JavaScript</v>
      </c>
      <c r="M8292" s="9" t="s">
        <v>20</v>
      </c>
    </row>
    <row r="8293" ht="15.75" customHeight="1">
      <c r="A8293" s="7"/>
      <c r="B8293" s="7" t="str">
        <f>IFERROR(__xludf.DUMMYFUNCTION("""COMPUTED_VALUE"""),"Bash/Shell/PowerShell;C;C++;C#;Go;HTML/CSS;Java;JavaScript;Kotlin;Python;SQL;Swift")</f>
        <v>Bash/Shell/PowerShell;C;C++;C#;Go;HTML/CSS;Java;JavaScript;Kotlin;Python;SQL;Swift</v>
      </c>
      <c r="M8293" s="9" t="s">
        <v>21</v>
      </c>
    </row>
    <row r="8294" ht="15.75" customHeight="1">
      <c r="A8294" s="7"/>
      <c r="B8294" s="7" t="str">
        <f>IFERROR(__xludf.DUMMYFUNCTION("""COMPUTED_VALUE"""),"Bash/Shell/PowerShell;C#;HTML/CSS;JavaScript")</f>
        <v>Bash/Shell/PowerShell;C#;HTML/CSS;JavaScript</v>
      </c>
      <c r="M8294" s="9" t="s">
        <v>22</v>
      </c>
    </row>
    <row r="8295" ht="15.75" customHeight="1">
      <c r="A8295" s="7"/>
      <c r="B8295" s="7" t="str">
        <f>IFERROR(__xludf.DUMMYFUNCTION("""COMPUTED_VALUE"""),"Bash/Shell/PowerShell;C#;HTML/CSS;SQL;TypeScript")</f>
        <v>Bash/Shell/PowerShell;C#;HTML/CSS;SQL;TypeScript</v>
      </c>
      <c r="M8295" s="9" t="s">
        <v>27</v>
      </c>
    </row>
    <row r="8296" ht="15.75" customHeight="1">
      <c r="A8296" s="7"/>
      <c r="B8296" s="7" t="str">
        <f>IFERROR(__xludf.DUMMYFUNCTION("""COMPUTED_VALUE"""),"Bash/Shell/PowerShell;HTML/CSS;JavaScript;PHP;TypeScript")</f>
        <v>Bash/Shell/PowerShell;HTML/CSS;JavaScript;PHP;TypeScript</v>
      </c>
      <c r="M8296" s="9" t="s">
        <v>33</v>
      </c>
    </row>
    <row r="8297" ht="15.75" customHeight="1">
      <c r="A8297" s="7"/>
      <c r="B8297" s="7" t="str">
        <f>IFERROR(__xludf.DUMMYFUNCTION("""COMPUTED_VALUE"""),"HTML/CSS;JavaScript;TypeScript")</f>
        <v>HTML/CSS;JavaScript;TypeScript</v>
      </c>
      <c r="M8297" s="9" t="s">
        <v>25</v>
      </c>
    </row>
    <row r="8298" ht="15.75" customHeight="1">
      <c r="A8298" s="7"/>
      <c r="B8298" s="7" t="str">
        <f>IFERROR(__xludf.DUMMYFUNCTION("""COMPUTED_VALUE"""),"C#;HTML/CSS;JavaScript;SQL")</f>
        <v>C#;HTML/CSS;JavaScript;SQL</v>
      </c>
      <c r="M8298" s="9" t="s">
        <v>23</v>
      </c>
    </row>
    <row r="8299" ht="15.75" customHeight="1">
      <c r="A8299" s="7"/>
      <c r="B8299" s="7" t="str">
        <f>IFERROR(__xludf.DUMMYFUNCTION("""COMPUTED_VALUE"""),"Java;Rust")</f>
        <v>Java;Rust</v>
      </c>
      <c r="M8299" s="9" t="s">
        <v>24</v>
      </c>
    </row>
    <row r="8300" ht="15.75" customHeight="1">
      <c r="A8300" s="7"/>
      <c r="B8300" s="7" t="str">
        <f>IFERROR(__xludf.DUMMYFUNCTION("""COMPUTED_VALUE"""),"C#;HTML/CSS;JavaScript;SQL;TypeScript")</f>
        <v>C#;HTML/CSS;JavaScript;SQL;TypeScript</v>
      </c>
      <c r="M8300" s="9" t="s">
        <v>20</v>
      </c>
    </row>
    <row r="8301" ht="15.75" customHeight="1">
      <c r="A8301" s="7"/>
      <c r="B8301" s="7" t="str">
        <f>IFERROR(__xludf.DUMMYFUNCTION("""COMPUTED_VALUE"""),"C#;HTML/CSS;Java;JavaScript;PHP;SQL;TypeScript")</f>
        <v>C#;HTML/CSS;Java;JavaScript;PHP;SQL;TypeScript</v>
      </c>
      <c r="M8301" s="9" t="s">
        <v>21</v>
      </c>
    </row>
    <row r="8302" ht="15.75" customHeight="1">
      <c r="A8302" s="7"/>
      <c r="B8302" s="7" t="str">
        <f>IFERROR(__xludf.DUMMYFUNCTION("""COMPUTED_VALUE"""),"Bash/Shell/PowerShell;C;C++;HTML/CSS;Java;JavaScript;Python;R;SQL;Other(s):")</f>
        <v>Bash/Shell/PowerShell;C;C++;HTML/CSS;Java;JavaScript;Python;R;SQL;Other(s):</v>
      </c>
      <c r="M8302" s="9" t="s">
        <v>39</v>
      </c>
    </row>
    <row r="8303" ht="15.75" customHeight="1">
      <c r="A8303" s="7"/>
      <c r="B8303" s="7" t="str">
        <f>IFERROR(__xludf.DUMMYFUNCTION("""COMPUTED_VALUE"""),"Bash/Shell/PowerShell;HTML/CSS;Java;JavaScript;Kotlin;Python")</f>
        <v>Bash/Shell/PowerShell;HTML/CSS;Java;JavaScript;Kotlin;Python</v>
      </c>
      <c r="M8303" s="9" t="s">
        <v>22</v>
      </c>
    </row>
    <row r="8304" ht="15.75" customHeight="1">
      <c r="A8304" s="7"/>
      <c r="B8304" s="7" t="str">
        <f>IFERROR(__xludf.DUMMYFUNCTION("""COMPUTED_VALUE"""),"C;HTML/CSS;Java;JavaScript;Python;R;SQL")</f>
        <v>C;HTML/CSS;Java;JavaScript;Python;R;SQL</v>
      </c>
      <c r="M8304" s="9" t="s">
        <v>27</v>
      </c>
    </row>
    <row r="8305" ht="15.75" customHeight="1">
      <c r="A8305" s="7"/>
      <c r="B8305" s="7" t="str">
        <f>IFERROR(__xludf.DUMMYFUNCTION("""COMPUTED_VALUE"""),"Bash/Shell/PowerShell;C#;HTML/CSS;JavaScript;SQL;TypeScript")</f>
        <v>Bash/Shell/PowerShell;C#;HTML/CSS;JavaScript;SQL;TypeScript</v>
      </c>
      <c r="M8305" s="9" t="s">
        <v>40</v>
      </c>
    </row>
    <row r="8306" ht="15.75" customHeight="1">
      <c r="A8306" s="7"/>
      <c r="B8306" s="7" t="str">
        <f>IFERROR(__xludf.DUMMYFUNCTION("""COMPUTED_VALUE"""),"HTML/CSS;JavaScript;PHP;Python;SQL")</f>
        <v>HTML/CSS;JavaScript;PHP;Python;SQL</v>
      </c>
      <c r="M8306" s="9" t="s">
        <v>26</v>
      </c>
    </row>
    <row r="8307" ht="15.75" customHeight="1">
      <c r="A8307" s="7"/>
      <c r="B8307" s="7" t="str">
        <f>IFERROR(__xludf.DUMMYFUNCTION("""COMPUTED_VALUE"""),"C#;Elixir;HTML/CSS;JavaScript")</f>
        <v>C#;Elixir;HTML/CSS;JavaScript</v>
      </c>
      <c r="M8307" s="9" t="s">
        <v>24</v>
      </c>
    </row>
    <row r="8308" ht="15.75" customHeight="1">
      <c r="A8308" s="7"/>
      <c r="B8308" s="7" t="str">
        <f>IFERROR(__xludf.DUMMYFUNCTION("""COMPUTED_VALUE"""),"Bash/Shell/PowerShell;C#;HTML/CSS;Java;JavaScript;Python;SQL")</f>
        <v>Bash/Shell/PowerShell;C#;HTML/CSS;Java;JavaScript;Python;SQL</v>
      </c>
      <c r="M8308" s="9" t="s">
        <v>20</v>
      </c>
    </row>
    <row r="8309" ht="15.75" customHeight="1">
      <c r="A8309" s="7"/>
      <c r="B8309" s="7" t="str">
        <f>IFERROR(__xludf.DUMMYFUNCTION("""COMPUTED_VALUE"""),"Bash/Shell/PowerShell;HTML/CSS;Java;JavaScript;SQL;TypeScript")</f>
        <v>Bash/Shell/PowerShell;HTML/CSS;Java;JavaScript;SQL;TypeScript</v>
      </c>
      <c r="M8309" s="9" t="s">
        <v>21</v>
      </c>
    </row>
    <row r="8310" ht="15.75" customHeight="1">
      <c r="A8310" s="7"/>
      <c r="B8310" s="7" t="str">
        <f>IFERROR(__xludf.DUMMYFUNCTION("""COMPUTED_VALUE"""),"Bash/Shell/PowerShell;HTML/CSS;Java;JavaScript;PHP;SQL")</f>
        <v>Bash/Shell/PowerShell;HTML/CSS;Java;JavaScript;PHP;SQL</v>
      </c>
      <c r="M8310" s="9" t="s">
        <v>37</v>
      </c>
    </row>
    <row r="8311" ht="15.75" customHeight="1">
      <c r="A8311" s="7"/>
      <c r="B8311" s="7" t="str">
        <f>IFERROR(__xludf.DUMMYFUNCTION("""COMPUTED_VALUE"""),"Bash/Shell/PowerShell;Java;JavaScript;SQL")</f>
        <v>Bash/Shell/PowerShell;Java;JavaScript;SQL</v>
      </c>
      <c r="M8311" s="9" t="s">
        <v>22</v>
      </c>
    </row>
    <row r="8312" ht="15.75" customHeight="1">
      <c r="A8312" s="7"/>
      <c r="B8312" s="7" t="str">
        <f>IFERROR(__xludf.DUMMYFUNCTION("""COMPUTED_VALUE"""),"C#;HTML/CSS;JavaScript;PHP;Other(s):")</f>
        <v>C#;HTML/CSS;JavaScript;PHP;Other(s):</v>
      </c>
      <c r="M8312" s="9" t="s">
        <v>31</v>
      </c>
    </row>
    <row r="8313" ht="15.75" customHeight="1">
      <c r="A8313" s="7"/>
      <c r="B8313" s="7" t="str">
        <f>IFERROR(__xludf.DUMMYFUNCTION("""COMPUTED_VALUE"""),"Assembly;Bash/Shell/PowerShell;C;C++;HTML/CSS;Java;JavaScript;PHP;Python;SQL;VBA")</f>
        <v>Assembly;Bash/Shell/PowerShell;C;C++;HTML/CSS;Java;JavaScript;PHP;Python;SQL;VBA</v>
      </c>
      <c r="M8313" s="9" t="s">
        <v>46</v>
      </c>
    </row>
    <row r="8314" ht="15.75" customHeight="1">
      <c r="A8314" s="7"/>
      <c r="B8314" s="7" t="str">
        <f>IFERROR(__xludf.DUMMYFUNCTION("""COMPUTED_VALUE"""),"Bash/Shell/PowerShell;C;C++;C#;HTML/CSS;Java;JavaScript;PHP;Python;SQL")</f>
        <v>Bash/Shell/PowerShell;C;C++;C#;HTML/CSS;Java;JavaScript;PHP;Python;SQL</v>
      </c>
      <c r="M8314" s="9" t="s">
        <v>27</v>
      </c>
    </row>
    <row r="8315" ht="15.75" customHeight="1">
      <c r="A8315" s="7"/>
      <c r="B8315" s="7" t="str">
        <f>IFERROR(__xludf.DUMMYFUNCTION("""COMPUTED_VALUE"""),"Bash/Shell/PowerShell;HTML/CSS;Java;JavaScript;SQL;TypeScript")</f>
        <v>Bash/Shell/PowerShell;HTML/CSS;Java;JavaScript;SQL;TypeScript</v>
      </c>
      <c r="M8315" s="9" t="s">
        <v>33</v>
      </c>
    </row>
    <row r="8316" ht="15.75" customHeight="1">
      <c r="A8316" s="7"/>
      <c r="B8316" s="7" t="str">
        <f>IFERROR(__xludf.DUMMYFUNCTION("""COMPUTED_VALUE"""),"HTML/CSS;JavaScript;Python")</f>
        <v>HTML/CSS;JavaScript;Python</v>
      </c>
      <c r="M8316" s="9" t="s">
        <v>29</v>
      </c>
    </row>
    <row r="8317" ht="15.75" customHeight="1">
      <c r="A8317" s="7"/>
      <c r="B8317" s="7" t="str">
        <f>IFERROR(__xludf.DUMMYFUNCTION("""COMPUTED_VALUE"""),"Bash/Shell/PowerShell")</f>
        <v>Bash/Shell/PowerShell</v>
      </c>
      <c r="M8317" s="9" t="s">
        <v>47</v>
      </c>
    </row>
    <row r="8318" ht="15.75" customHeight="1">
      <c r="A8318" s="7"/>
      <c r="B8318" s="7" t="str">
        <f>IFERROR(__xludf.DUMMYFUNCTION("""COMPUTED_VALUE"""),"HTML/CSS;Java;JavaScript;PHP;Python;Ruby;SQL")</f>
        <v>HTML/CSS;Java;JavaScript;PHP;Python;Ruby;SQL</v>
      </c>
      <c r="M8318" s="9" t="s">
        <v>20</v>
      </c>
    </row>
    <row r="8319" ht="15.75" customHeight="1">
      <c r="A8319" s="7"/>
      <c r="B8319" s="7" t="str">
        <f>IFERROR(__xludf.DUMMYFUNCTION("""COMPUTED_VALUE"""),"Bash/Shell/PowerShell;HTML/CSS;Java;JavaScript;PHP;Python;SQL")</f>
        <v>Bash/Shell/PowerShell;HTML/CSS;Java;JavaScript;PHP;Python;SQL</v>
      </c>
      <c r="M8319" s="9" t="s">
        <v>21</v>
      </c>
    </row>
    <row r="8320" ht="15.75" customHeight="1">
      <c r="A8320" s="7"/>
      <c r="B8320" s="7" t="str">
        <f>IFERROR(__xludf.DUMMYFUNCTION("""COMPUTED_VALUE"""),"Java;Python;Ruby;SQL")</f>
        <v>Java;Python;Ruby;SQL</v>
      </c>
      <c r="M8320" s="9" t="s">
        <v>39</v>
      </c>
    </row>
    <row r="8321" ht="15.75" customHeight="1">
      <c r="A8321" s="7"/>
      <c r="B8321" s="7" t="str">
        <f>IFERROR(__xludf.DUMMYFUNCTION("""COMPUTED_VALUE"""),"C#;SQL;TypeScript")</f>
        <v>C#;SQL;TypeScript</v>
      </c>
      <c r="M8321" s="9" t="s">
        <v>33</v>
      </c>
    </row>
    <row r="8322" ht="15.75" customHeight="1">
      <c r="A8322" s="7"/>
      <c r="B8322" s="7" t="str">
        <f>IFERROR(__xludf.DUMMYFUNCTION("""COMPUTED_VALUE"""),"C#;HTML/CSS;Java;JavaScript;TypeScript")</f>
        <v>C#;HTML/CSS;Java;JavaScript;TypeScript</v>
      </c>
      <c r="M8322" s="9" t="s">
        <v>30</v>
      </c>
    </row>
    <row r="8323" ht="15.75" customHeight="1">
      <c r="A8323" s="7"/>
      <c r="B8323" s="7" t="str">
        <f>IFERROR(__xludf.DUMMYFUNCTION("""COMPUTED_VALUE"""),"HTML/CSS;JavaScript;Python")</f>
        <v>HTML/CSS;JavaScript;Python</v>
      </c>
      <c r="M8323" s="9" t="s">
        <v>23</v>
      </c>
    </row>
    <row r="8324" ht="15.75" customHeight="1">
      <c r="A8324" s="7"/>
      <c r="B8324" s="7" t="str">
        <f>IFERROR(__xludf.DUMMYFUNCTION("""COMPUTED_VALUE"""),"HTML/CSS;JavaScript;PHP;Python")</f>
        <v>HTML/CSS;JavaScript;PHP;Python</v>
      </c>
      <c r="M8324" s="9" t="s">
        <v>32</v>
      </c>
    </row>
    <row r="8325" ht="15.75" customHeight="1">
      <c r="A8325" s="7"/>
      <c r="B8325" s="7" t="str">
        <f>IFERROR(__xludf.DUMMYFUNCTION("""COMPUTED_VALUE"""),"Bash/Shell/PowerShell;HTML/CSS;Java;JavaScript;Python;SQL;Swift;TypeScript")</f>
        <v>Bash/Shell/PowerShell;HTML/CSS;Java;JavaScript;Python;SQL;Swift;TypeScript</v>
      </c>
      <c r="M8325" s="9" t="s">
        <v>33</v>
      </c>
    </row>
    <row r="8326" ht="15.75" customHeight="1">
      <c r="A8326" s="7"/>
      <c r="B8326" s="7" t="str">
        <f>IFERROR(__xludf.DUMMYFUNCTION("""COMPUTED_VALUE"""),"Bash/Shell/PowerShell;C#;HTML/CSS")</f>
        <v>Bash/Shell/PowerShell;C#;HTML/CSS</v>
      </c>
      <c r="M8326" s="9" t="s">
        <v>23</v>
      </c>
    </row>
    <row r="8327" ht="15.75" customHeight="1">
      <c r="A8327" s="7"/>
      <c r="B8327" s="7" t="str">
        <f>IFERROR(__xludf.DUMMYFUNCTION("""COMPUTED_VALUE"""),"JavaScript;PHP;SQL")</f>
        <v>JavaScript;PHP;SQL</v>
      </c>
      <c r="M8327" s="9" t="s">
        <v>26</v>
      </c>
    </row>
    <row r="8328" ht="15.75" customHeight="1">
      <c r="A8328" s="7"/>
      <c r="B8328" s="7" t="str">
        <f>IFERROR(__xludf.DUMMYFUNCTION("""COMPUTED_VALUE"""),"JavaScript;Python")</f>
        <v>JavaScript;Python</v>
      </c>
      <c r="M8328" s="9" t="s">
        <v>24</v>
      </c>
    </row>
    <row r="8329" ht="15.75" customHeight="1">
      <c r="A8329" s="7"/>
      <c r="B8329" s="7" t="str">
        <f>IFERROR(__xludf.DUMMYFUNCTION("""COMPUTED_VALUE"""),"Dart;Java;Kotlin;Objective-C;Swift")</f>
        <v>Dart;Java;Kotlin;Objective-C;Swift</v>
      </c>
      <c r="M8329" s="9" t="s">
        <v>20</v>
      </c>
    </row>
    <row r="8330" ht="15.75" customHeight="1">
      <c r="A8330" s="7"/>
      <c r="B8330" s="7" t="str">
        <f>IFERROR(__xludf.DUMMYFUNCTION("""COMPUTED_VALUE"""),"C#;HTML/CSS;Python;VBA")</f>
        <v>C#;HTML/CSS;Python;VBA</v>
      </c>
      <c r="M8330" s="9" t="s">
        <v>21</v>
      </c>
    </row>
    <row r="8331" ht="15.75" customHeight="1">
      <c r="A8331" s="7"/>
      <c r="B8331" s="7" t="str">
        <f>IFERROR(__xludf.DUMMYFUNCTION("""COMPUTED_VALUE"""),"Python")</f>
        <v>Python</v>
      </c>
      <c r="M8331" s="9" t="s">
        <v>37</v>
      </c>
    </row>
    <row r="8332" ht="15.75" customHeight="1">
      <c r="A8332" s="7"/>
      <c r="B8332" s="7" t="str">
        <f>IFERROR(__xludf.DUMMYFUNCTION("""COMPUTED_VALUE"""),"Bash/Shell/PowerShell;C++;JavaScript;SQL;Swift")</f>
        <v>Bash/Shell/PowerShell;C++;JavaScript;SQL;Swift</v>
      </c>
      <c r="M8332" s="9" t="s">
        <v>27</v>
      </c>
    </row>
    <row r="8333" ht="15.75" customHeight="1">
      <c r="A8333" s="7"/>
      <c r="B8333" s="7" t="str">
        <f>IFERROR(__xludf.DUMMYFUNCTION("""COMPUTED_VALUE"""),"Bash/Shell/PowerShell;C;C++;C#;Python")</f>
        <v>Bash/Shell/PowerShell;C;C++;C#;Python</v>
      </c>
      <c r="M8333" s="9" t="s">
        <v>24</v>
      </c>
    </row>
    <row r="8334" ht="15.75" customHeight="1">
      <c r="A8334" s="7"/>
      <c r="B8334" s="7" t="str">
        <f>IFERROR(__xludf.DUMMYFUNCTION("""COMPUTED_VALUE"""),"C++;Go;Java;Python;SQL")</f>
        <v>C++;Go;Java;Python;SQL</v>
      </c>
      <c r="M8334" s="9" t="s">
        <v>21</v>
      </c>
    </row>
    <row r="8335" ht="15.75" customHeight="1">
      <c r="A8335" s="7"/>
      <c r="B8335" s="7" t="str">
        <f>IFERROR(__xludf.DUMMYFUNCTION("""COMPUTED_VALUE"""),"Bash/Shell/PowerShell;C#;HTML/CSS;JavaScript;Python;SQL;TypeScript")</f>
        <v>Bash/Shell/PowerShell;C#;HTML/CSS;JavaScript;Python;SQL;TypeScript</v>
      </c>
      <c r="M8335" s="9" t="s">
        <v>31</v>
      </c>
    </row>
    <row r="8336" ht="15.75" customHeight="1">
      <c r="A8336" s="7"/>
      <c r="B8336" s="7" t="str">
        <f>IFERROR(__xludf.DUMMYFUNCTION("""COMPUTED_VALUE"""),"Go;HTML/CSS;JavaScript;SQL;TypeScript")</f>
        <v>Go;HTML/CSS;JavaScript;SQL;TypeScript</v>
      </c>
      <c r="M8336" s="9" t="s">
        <v>24</v>
      </c>
    </row>
    <row r="8337" ht="15.75" customHeight="1">
      <c r="A8337" s="7"/>
      <c r="B8337" s="7" t="str">
        <f>IFERROR(__xludf.DUMMYFUNCTION("""COMPUTED_VALUE"""),"R;SQL")</f>
        <v>R;SQL</v>
      </c>
      <c r="M8337" s="9" t="s">
        <v>21</v>
      </c>
    </row>
    <row r="8338" ht="15.75" customHeight="1">
      <c r="A8338" s="7"/>
      <c r="B8338" s="7" t="str">
        <f>IFERROR(__xludf.DUMMYFUNCTION("""COMPUTED_VALUE"""),"C#;HTML/CSS;SQL")</f>
        <v>C#;HTML/CSS;SQL</v>
      </c>
      <c r="M8338" s="9" t="s">
        <v>37</v>
      </c>
    </row>
    <row r="8339" ht="15.75" customHeight="1">
      <c r="A8339" s="7"/>
      <c r="B8339" s="7" t="str">
        <f>IFERROR(__xludf.DUMMYFUNCTION("""COMPUTED_VALUE"""),"HTML/CSS;Java;JavaScript;PHP;Python;SQL")</f>
        <v>HTML/CSS;Java;JavaScript;PHP;Python;SQL</v>
      </c>
      <c r="M8339" s="9" t="s">
        <v>22</v>
      </c>
    </row>
    <row r="8340" ht="15.75" customHeight="1">
      <c r="A8340" s="7"/>
      <c r="B8340" s="7" t="str">
        <f>IFERROR(__xludf.DUMMYFUNCTION("""COMPUTED_VALUE"""),"HTML/CSS;Java;JavaScript;Python;Ruby;SQL")</f>
        <v>HTML/CSS;Java;JavaScript;Python;Ruby;SQL</v>
      </c>
      <c r="M8340" s="9" t="s">
        <v>24</v>
      </c>
    </row>
    <row r="8341" ht="15.75" customHeight="1">
      <c r="A8341" s="7"/>
      <c r="B8341" s="7" t="str">
        <f>IFERROR(__xludf.DUMMYFUNCTION("""COMPUTED_VALUE"""),"HTML/CSS;JavaScript;PHP;Python")</f>
        <v>HTML/CSS;JavaScript;PHP;Python</v>
      </c>
      <c r="M8341" s="9" t="s">
        <v>21</v>
      </c>
    </row>
    <row r="8342" ht="15.75" customHeight="1">
      <c r="A8342" s="7"/>
      <c r="B8342" s="7" t="str">
        <f>IFERROR(__xludf.DUMMYFUNCTION("""COMPUTED_VALUE"""),"Bash/Shell/PowerShell;Elixir;Go;HTML/CSS;JavaScript;Python;Ruby;SQL;TypeScript")</f>
        <v>Bash/Shell/PowerShell;Elixir;Go;HTML/CSS;JavaScript;Python;Ruby;SQL;TypeScript</v>
      </c>
      <c r="M8342" s="9" t="s">
        <v>37</v>
      </c>
    </row>
    <row r="8343" ht="15.75" customHeight="1">
      <c r="A8343" s="7"/>
      <c r="B8343" s="7" t="str">
        <f>IFERROR(__xludf.DUMMYFUNCTION("""COMPUTED_VALUE"""),"C#;HTML/CSS;Java;JavaScript;PHP;Python;SQL")</f>
        <v>C#;HTML/CSS;Java;JavaScript;PHP;Python;SQL</v>
      </c>
      <c r="M8343" s="9" t="s">
        <v>22</v>
      </c>
    </row>
    <row r="8344" ht="15.75" customHeight="1">
      <c r="A8344" s="7"/>
      <c r="B8344" s="7" t="str">
        <f>IFERROR(__xludf.DUMMYFUNCTION("""COMPUTED_VALUE"""),"C;C++;Objective-C;Swift")</f>
        <v>C;C++;Objective-C;Swift</v>
      </c>
      <c r="M8344" s="9" t="s">
        <v>42</v>
      </c>
    </row>
    <row r="8345" ht="15.75" customHeight="1">
      <c r="A8345" s="7"/>
      <c r="B8345" s="7" t="str">
        <f>IFERROR(__xludf.DUMMYFUNCTION("""COMPUTED_VALUE"""),"Java;JavaScript;SQL")</f>
        <v>Java;JavaScript;SQL</v>
      </c>
      <c r="M8345" s="9" t="s">
        <v>24</v>
      </c>
    </row>
    <row r="8346" ht="15.75" customHeight="1">
      <c r="A8346" s="7"/>
      <c r="B8346" s="7" t="str">
        <f>IFERROR(__xludf.DUMMYFUNCTION("""COMPUTED_VALUE"""),"Bash/Shell/PowerShell;C#;HTML/CSS;Java;Python")</f>
        <v>Bash/Shell/PowerShell;C#;HTML/CSS;Java;Python</v>
      </c>
      <c r="M8346" s="9" t="s">
        <v>21</v>
      </c>
    </row>
    <row r="8347" ht="15.75" customHeight="1">
      <c r="A8347" s="7"/>
      <c r="B8347" s="7" t="str">
        <f>IFERROR(__xludf.DUMMYFUNCTION("""COMPUTED_VALUE"""),"Bash/Shell/PowerShell;C;Other(s):")</f>
        <v>Bash/Shell/PowerShell;C;Other(s):</v>
      </c>
      <c r="M8347" s="9" t="s">
        <v>37</v>
      </c>
    </row>
    <row r="8348" ht="15.75" customHeight="1">
      <c r="A8348" s="7"/>
      <c r="B8348" s="7" t="str">
        <f>IFERROR(__xludf.DUMMYFUNCTION("""COMPUTED_VALUE"""),"Assembly;Bash/Shell/PowerShell;C;C++;HTML/CSS;Java;Python;Ruby")</f>
        <v>Assembly;Bash/Shell/PowerShell;C;C++;HTML/CSS;Java;Python;Ruby</v>
      </c>
      <c r="M8348" s="9" t="s">
        <v>22</v>
      </c>
    </row>
    <row r="8349" ht="15.75" customHeight="1">
      <c r="A8349" s="7"/>
      <c r="B8349" s="7" t="str">
        <f>IFERROR(__xludf.DUMMYFUNCTION("""COMPUTED_VALUE"""),"HTML/CSS;Java;JavaScript;Objective-C;PHP;SQL;Swift")</f>
        <v>HTML/CSS;Java;JavaScript;Objective-C;PHP;SQL;Swift</v>
      </c>
      <c r="M8349" s="9" t="s">
        <v>30</v>
      </c>
    </row>
    <row r="8350" ht="15.75" customHeight="1">
      <c r="A8350" s="7"/>
      <c r="B8350" s="7" t="str">
        <f>IFERROR(__xludf.DUMMYFUNCTION("""COMPUTED_VALUE"""),"C;C++;Java;JavaScript")</f>
        <v>C;C++;Java;JavaScript</v>
      </c>
      <c r="M8350" s="9" t="s">
        <v>25</v>
      </c>
    </row>
    <row r="8351" ht="15.75" customHeight="1">
      <c r="A8351" s="7"/>
      <c r="B8351" s="7" t="str">
        <f>IFERROR(__xludf.DUMMYFUNCTION("""COMPUTED_VALUE"""),"Bash/Shell/PowerShell;C#;HTML/CSS;JavaScript;Objective-C;PHP;Python;Ruby;SQL;Swift;TypeScript")</f>
        <v>Bash/Shell/PowerShell;C#;HTML/CSS;JavaScript;Objective-C;PHP;Python;Ruby;SQL;Swift;TypeScript</v>
      </c>
      <c r="M8351" s="9" t="s">
        <v>24</v>
      </c>
    </row>
    <row r="8352" ht="15.75" customHeight="1">
      <c r="A8352" s="7"/>
      <c r="B8352" s="7" t="str">
        <f>IFERROR(__xludf.DUMMYFUNCTION("""COMPUTED_VALUE"""),"HTML/CSS;Java;JavaScript;PHP;SQL;TypeScript")</f>
        <v>HTML/CSS;Java;JavaScript;PHP;SQL;TypeScript</v>
      </c>
      <c r="M8352" s="9" t="s">
        <v>20</v>
      </c>
    </row>
    <row r="8353" ht="15.75" customHeight="1">
      <c r="A8353" s="7"/>
      <c r="B8353" s="7" t="str">
        <f>IFERROR(__xludf.DUMMYFUNCTION("""COMPUTED_VALUE"""),"Ruby")</f>
        <v>Ruby</v>
      </c>
      <c r="M8353" s="9" t="s">
        <v>21</v>
      </c>
    </row>
    <row r="8354" ht="15.75" customHeight="1">
      <c r="A8354" s="7"/>
      <c r="B8354" s="7" t="str">
        <f>IFERROR(__xludf.DUMMYFUNCTION("""COMPUTED_VALUE"""),"Bash/Shell/PowerShell;HTML/CSS;Python;Ruby;Other(s):")</f>
        <v>Bash/Shell/PowerShell;HTML/CSS;Python;Ruby;Other(s):</v>
      </c>
      <c r="M8354" s="9" t="s">
        <v>37</v>
      </c>
    </row>
    <row r="8355" ht="15.75" customHeight="1">
      <c r="A8355" s="7"/>
      <c r="B8355" s="7" t="str">
        <f>IFERROR(__xludf.DUMMYFUNCTION("""COMPUTED_VALUE"""),"Bash/Shell/PowerShell;C#;HTML/CSS;Java;JavaScript;Kotlin;PHP;SQL;TypeScript")</f>
        <v>Bash/Shell/PowerShell;C#;HTML/CSS;Java;JavaScript;Kotlin;PHP;SQL;TypeScript</v>
      </c>
      <c r="M8355" s="9" t="s">
        <v>22</v>
      </c>
    </row>
    <row r="8356" ht="15.75" customHeight="1">
      <c r="A8356" s="7"/>
      <c r="B8356" s="7" t="str">
        <f>IFERROR(__xludf.DUMMYFUNCTION("""COMPUTED_VALUE"""),"JavaScript")</f>
        <v>JavaScript</v>
      </c>
      <c r="M8356" s="9" t="s">
        <v>27</v>
      </c>
    </row>
    <row r="8357" ht="15.75" customHeight="1">
      <c r="A8357" s="7"/>
      <c r="B8357" s="7" t="str">
        <f>IFERROR(__xludf.DUMMYFUNCTION("""COMPUTED_VALUE"""),"Assembly;Bash/Shell/PowerShell;C;C++;Python;WebAssembly;Other(s):")</f>
        <v>Assembly;Bash/Shell/PowerShell;C;C++;Python;WebAssembly;Other(s):</v>
      </c>
      <c r="M8357" s="9" t="s">
        <v>21</v>
      </c>
    </row>
    <row r="8358" ht="15.75" customHeight="1">
      <c r="A8358" s="7"/>
      <c r="B8358" s="7" t="str">
        <f>IFERROR(__xludf.DUMMYFUNCTION("""COMPUTED_VALUE"""),"HTML/CSS;JavaScript;Swift")</f>
        <v>HTML/CSS;JavaScript;Swift</v>
      </c>
      <c r="M8358" s="9" t="s">
        <v>22</v>
      </c>
    </row>
    <row r="8359" ht="15.75" customHeight="1">
      <c r="A8359" s="7"/>
      <c r="B8359" s="7" t="str">
        <f>IFERROR(__xludf.DUMMYFUNCTION("""COMPUTED_VALUE"""),"C;C++;C#;HTML/CSS;Java;JavaScript;PHP;Python;TypeScript")</f>
        <v>C;C++;C#;HTML/CSS;Java;JavaScript;PHP;Python;TypeScript</v>
      </c>
      <c r="M8359" s="9" t="s">
        <v>36</v>
      </c>
    </row>
    <row r="8360" ht="15.75" customHeight="1">
      <c r="A8360" s="7"/>
      <c r="B8360" s="7" t="str">
        <f>IFERROR(__xludf.DUMMYFUNCTION("""COMPUTED_VALUE"""),"C++;HTML/CSS;JavaScript")</f>
        <v>C++;HTML/CSS;JavaScript</v>
      </c>
      <c r="M8360" s="9" t="s">
        <v>24</v>
      </c>
    </row>
    <row r="8361" ht="15.75" customHeight="1">
      <c r="A8361" s="7"/>
      <c r="B8361" s="7" t="str">
        <f>IFERROR(__xludf.DUMMYFUNCTION("""COMPUTED_VALUE"""),"HTML/CSS;Java;JavaScript;SQL")</f>
        <v>HTML/CSS;Java;JavaScript;SQL</v>
      </c>
      <c r="M8361" s="9" t="s">
        <v>20</v>
      </c>
    </row>
    <row r="8362" ht="15.75" customHeight="1">
      <c r="A8362" s="7"/>
      <c r="B8362" s="7" t="str">
        <f>IFERROR(__xludf.DUMMYFUNCTION("""COMPUTED_VALUE"""),"C;C++;Go;Java;PHP;Python;Ruby;SQL")</f>
        <v>C;C++;Go;Java;PHP;Python;Ruby;SQL</v>
      </c>
      <c r="M8362" s="9" t="s">
        <v>21</v>
      </c>
    </row>
    <row r="8363" ht="15.75" customHeight="1">
      <c r="A8363" s="7"/>
      <c r="B8363" s="7" t="str">
        <f>IFERROR(__xludf.DUMMYFUNCTION("""COMPUTED_VALUE"""),"Java")</f>
        <v>Java</v>
      </c>
      <c r="M8363" s="9" t="s">
        <v>22</v>
      </c>
    </row>
    <row r="8364" ht="15.75" customHeight="1">
      <c r="A8364" s="7"/>
      <c r="B8364" s="7" t="str">
        <f>IFERROR(__xludf.DUMMYFUNCTION("""COMPUTED_VALUE"""),"Go;HTML/CSS;JavaScript;PHP;TypeScript")</f>
        <v>Go;HTML/CSS;JavaScript;PHP;TypeScript</v>
      </c>
      <c r="M8364" s="9" t="s">
        <v>26</v>
      </c>
    </row>
    <row r="8365" ht="15.75" customHeight="1">
      <c r="A8365" s="7"/>
      <c r="B8365" s="7" t="str">
        <f>IFERROR(__xludf.DUMMYFUNCTION("""COMPUTED_VALUE"""),"C;HTML/CSS;JavaScript")</f>
        <v>C;HTML/CSS;JavaScript</v>
      </c>
      <c r="M8365" s="9" t="s">
        <v>24</v>
      </c>
    </row>
    <row r="8366" ht="15.75" customHeight="1">
      <c r="A8366" s="7"/>
      <c r="B8366" s="7" t="str">
        <f>IFERROR(__xludf.DUMMYFUNCTION("""COMPUTED_VALUE"""),"Bash/Shell/PowerShell;C;C++;HTML/CSS;Java;JavaScript;Kotlin;Python;Ruby;Scala;SQL;Other(s):")</f>
        <v>Bash/Shell/PowerShell;C;C++;HTML/CSS;Java;JavaScript;Kotlin;Python;Ruby;Scala;SQL;Other(s):</v>
      </c>
      <c r="M8366" s="9" t="s">
        <v>21</v>
      </c>
    </row>
    <row r="8367" ht="15.75" customHeight="1">
      <c r="A8367" s="7"/>
      <c r="B8367" s="7" t="str">
        <f>IFERROR(__xludf.DUMMYFUNCTION("""COMPUTED_VALUE"""),"HTML/CSS;Java;JavaScript;PHP;Python;SQL")</f>
        <v>HTML/CSS;Java;JavaScript;PHP;Python;SQL</v>
      </c>
      <c r="M8367" s="9" t="s">
        <v>33</v>
      </c>
    </row>
    <row r="8368" ht="15.75" customHeight="1">
      <c r="A8368" s="7"/>
      <c r="B8368" s="7" t="str">
        <f>IFERROR(__xludf.DUMMYFUNCTION("""COMPUTED_VALUE"""),"C++;HTML/CSS;Java;JavaScript;SQL")</f>
        <v>C++;HTML/CSS;Java;JavaScript;SQL</v>
      </c>
      <c r="M8368" s="9" t="s">
        <v>30</v>
      </c>
    </row>
    <row r="8369" ht="15.75" customHeight="1">
      <c r="A8369" s="7"/>
      <c r="B8369" s="7" t="str">
        <f>IFERROR(__xludf.DUMMYFUNCTION("""COMPUTED_VALUE"""),"Java;Kotlin")</f>
        <v>Java;Kotlin</v>
      </c>
      <c r="M8369" s="9" t="s">
        <v>25</v>
      </c>
    </row>
    <row r="8370" ht="15.75" customHeight="1">
      <c r="A8370" s="7"/>
      <c r="B8370" s="7" t="str">
        <f>IFERROR(__xludf.DUMMYFUNCTION("""COMPUTED_VALUE"""),"C;C#;Java;JavaScript;Python;SQL")</f>
        <v>C;C#;Java;JavaScript;Python;SQL</v>
      </c>
      <c r="M8370" s="9" t="s">
        <v>22</v>
      </c>
    </row>
    <row r="8371" ht="15.75" customHeight="1">
      <c r="A8371" s="7"/>
      <c r="B8371" s="7" t="str">
        <f>IFERROR(__xludf.DUMMYFUNCTION("""COMPUTED_VALUE"""),"C#;HTML/CSS;JavaScript;SQL;TypeScript")</f>
        <v>C#;HTML/CSS;JavaScript;SQL;TypeScript</v>
      </c>
      <c r="M8371" s="9" t="s">
        <v>38</v>
      </c>
    </row>
    <row r="8372" ht="15.75" customHeight="1">
      <c r="A8372" s="7"/>
      <c r="B8372" s="7" t="str">
        <f>IFERROR(__xludf.DUMMYFUNCTION("""COMPUTED_VALUE"""),"Bash/Shell/PowerShell;HTML/CSS;JavaScript;PHP;SQL")</f>
        <v>Bash/Shell/PowerShell;HTML/CSS;JavaScript;PHP;SQL</v>
      </c>
      <c r="M8372" s="9" t="s">
        <v>30</v>
      </c>
    </row>
    <row r="8373" ht="15.75" customHeight="1">
      <c r="A8373" s="7"/>
      <c r="B8373" s="7" t="str">
        <f>IFERROR(__xludf.DUMMYFUNCTION("""COMPUTED_VALUE"""),"Bash/Shell/PowerShell;C#;HTML/CSS;JavaScript;TypeScript")</f>
        <v>Bash/Shell/PowerShell;C#;HTML/CSS;JavaScript;TypeScript</v>
      </c>
      <c r="M8373" s="9" t="s">
        <v>25</v>
      </c>
    </row>
    <row r="8374" ht="15.75" customHeight="1">
      <c r="A8374" s="7"/>
      <c r="B8374" s="7" t="str">
        <f>IFERROR(__xludf.DUMMYFUNCTION("""COMPUTED_VALUE"""),"Bash/Shell/PowerShell;Python;R;SQL")</f>
        <v>Bash/Shell/PowerShell;Python;R;SQL</v>
      </c>
      <c r="M8374" s="9" t="s">
        <v>23</v>
      </c>
    </row>
    <row r="8375" ht="15.75" customHeight="1">
      <c r="A8375" s="7"/>
      <c r="B8375" s="7" t="str">
        <f>IFERROR(__xludf.DUMMYFUNCTION("""COMPUTED_VALUE"""),"Assembly;Bash/Shell/PowerShell;C;C++;C#;F#;HTML/CSS;Java;JavaScript;SQL;TypeScript")</f>
        <v>Assembly;Bash/Shell/PowerShell;C;C++;C#;F#;HTML/CSS;Java;JavaScript;SQL;TypeScript</v>
      </c>
      <c r="M8375" s="9" t="s">
        <v>24</v>
      </c>
    </row>
    <row r="8376" ht="15.75" customHeight="1">
      <c r="A8376" s="7"/>
      <c r="B8376" s="7" t="str">
        <f>IFERROR(__xludf.DUMMYFUNCTION("""COMPUTED_VALUE"""),"Objective-C;Swift")</f>
        <v>Objective-C;Swift</v>
      </c>
      <c r="M8376" s="9" t="s">
        <v>20</v>
      </c>
    </row>
    <row r="8377" ht="15.75" customHeight="1">
      <c r="A8377" s="7"/>
      <c r="B8377" s="7" t="str">
        <f>IFERROR(__xludf.DUMMYFUNCTION("""COMPUTED_VALUE"""),"HTML/CSS;Java;JavaScript;Kotlin;Python;Scala;TypeScript")</f>
        <v>HTML/CSS;Java;JavaScript;Kotlin;Python;Scala;TypeScript</v>
      </c>
      <c r="M8377" s="9" t="s">
        <v>21</v>
      </c>
    </row>
    <row r="8378" ht="15.75" customHeight="1">
      <c r="A8378" s="7"/>
      <c r="B8378" s="7" t="str">
        <f>IFERROR(__xludf.DUMMYFUNCTION("""COMPUTED_VALUE"""),"C#;HTML/CSS;Java;JavaScript;SQL")</f>
        <v>C#;HTML/CSS;Java;JavaScript;SQL</v>
      </c>
      <c r="M8378" s="9" t="s">
        <v>37</v>
      </c>
    </row>
    <row r="8379" ht="15.75" customHeight="1">
      <c r="A8379" s="7"/>
      <c r="B8379" s="7" t="str">
        <f>IFERROR(__xludf.DUMMYFUNCTION("""COMPUTED_VALUE"""),"C#;HTML/CSS;JavaScript;SQL;Other(s):")</f>
        <v>C#;HTML/CSS;JavaScript;SQL;Other(s):</v>
      </c>
      <c r="M8379" s="9" t="s">
        <v>22</v>
      </c>
    </row>
    <row r="8380" ht="15.75" customHeight="1">
      <c r="A8380" s="7"/>
      <c r="B8380" s="7" t="str">
        <f>IFERROR(__xludf.DUMMYFUNCTION("""COMPUTED_VALUE"""),"Assembly;Bash/Shell/PowerShell;C;C++;C#;HTML/CSS;Java;JavaScript;Python;SQL")</f>
        <v>Assembly;Bash/Shell/PowerShell;C;C++;C#;HTML/CSS;Java;JavaScript;Python;SQL</v>
      </c>
      <c r="M8380" s="9" t="s">
        <v>27</v>
      </c>
    </row>
    <row r="8381" ht="15.75" customHeight="1">
      <c r="A8381" s="7"/>
      <c r="B8381" s="7" t="str">
        <f>IFERROR(__xludf.DUMMYFUNCTION("""COMPUTED_VALUE"""),"Bash/Shell/PowerShell;C;Go;Java;JavaScript;Python;Other(s):")</f>
        <v>Bash/Shell/PowerShell;C;Go;Java;JavaScript;Python;Other(s):</v>
      </c>
      <c r="M8381" s="9" t="s">
        <v>30</v>
      </c>
    </row>
    <row r="8382" ht="15.75" customHeight="1">
      <c r="A8382" s="7"/>
      <c r="B8382" s="7" t="str">
        <f>IFERROR(__xludf.DUMMYFUNCTION("""COMPUTED_VALUE"""),"Java;JavaScript")</f>
        <v>Java;JavaScript</v>
      </c>
      <c r="M8382" s="9" t="s">
        <v>26</v>
      </c>
    </row>
    <row r="8383" ht="15.75" customHeight="1">
      <c r="A8383" s="7"/>
      <c r="B8383" s="7" t="str">
        <f>IFERROR(__xludf.DUMMYFUNCTION("""COMPUTED_VALUE"""),"Bash/Shell/PowerShell;C;Go;JavaScript;Python")</f>
        <v>Bash/Shell/PowerShell;C;Go;JavaScript;Python</v>
      </c>
      <c r="M8383" s="9" t="s">
        <v>21</v>
      </c>
    </row>
    <row r="8384" ht="15.75" customHeight="1">
      <c r="A8384" s="7"/>
      <c r="B8384" s="7" t="str">
        <f>IFERROR(__xludf.DUMMYFUNCTION("""COMPUTED_VALUE"""),"Python;SQL")</f>
        <v>Python;SQL</v>
      </c>
      <c r="M8384" s="9" t="s">
        <v>27</v>
      </c>
    </row>
    <row r="8385" ht="15.75" customHeight="1">
      <c r="A8385" s="7"/>
      <c r="B8385" s="7" t="str">
        <f>IFERROR(__xludf.DUMMYFUNCTION("""COMPUTED_VALUE"""),"Bash/Shell/PowerShell;C#;HTML/CSS;Java;JavaScript;SQL;TypeScript")</f>
        <v>Bash/Shell/PowerShell;C#;HTML/CSS;Java;JavaScript;SQL;TypeScript</v>
      </c>
      <c r="M8385" s="9" t="s">
        <v>33</v>
      </c>
    </row>
    <row r="8386" ht="15.75" customHeight="1">
      <c r="A8386" s="7"/>
      <c r="B8386" s="7" t="str">
        <f>IFERROR(__xludf.DUMMYFUNCTION("""COMPUTED_VALUE"""),"HTML/CSS;Java;JavaScript;SQL;TypeScript")</f>
        <v>HTML/CSS;Java;JavaScript;SQL;TypeScript</v>
      </c>
      <c r="M8386" s="9" t="s">
        <v>30</v>
      </c>
    </row>
    <row r="8387" ht="15.75" customHeight="1">
      <c r="A8387" s="7"/>
      <c r="B8387" s="7" t="str">
        <f>IFERROR(__xludf.DUMMYFUNCTION("""COMPUTED_VALUE"""),"HTML/CSS;JavaScript;PHP;SQL")</f>
        <v>HTML/CSS;JavaScript;PHP;SQL</v>
      </c>
      <c r="M8387" s="9" t="s">
        <v>26</v>
      </c>
    </row>
    <row r="8388" ht="15.75" customHeight="1">
      <c r="A8388" s="7"/>
      <c r="B8388" s="7" t="str">
        <f>IFERROR(__xludf.DUMMYFUNCTION("""COMPUTED_VALUE"""),"HTML/CSS;SQL")</f>
        <v>HTML/CSS;SQL</v>
      </c>
      <c r="M8388" s="9" t="s">
        <v>21</v>
      </c>
    </row>
    <row r="8389" ht="15.75" customHeight="1">
      <c r="A8389" s="7"/>
      <c r="B8389" s="7" t="str">
        <f>IFERROR(__xludf.DUMMYFUNCTION("""COMPUTED_VALUE"""),"C#;VBA")</f>
        <v>C#;VBA</v>
      </c>
      <c r="M8389" s="9" t="s">
        <v>29</v>
      </c>
    </row>
    <row r="8390" ht="15.75" customHeight="1">
      <c r="A8390" s="7"/>
      <c r="B8390" s="7" t="str">
        <f>IFERROR(__xludf.DUMMYFUNCTION("""COMPUTED_VALUE"""),"C#;HTML/CSS;Java;JavaScript;TypeScript")</f>
        <v>C#;HTML/CSS;Java;JavaScript;TypeScript</v>
      </c>
      <c r="M8390" s="9" t="s">
        <v>38</v>
      </c>
    </row>
    <row r="8391" ht="15.75" customHeight="1">
      <c r="A8391" s="7"/>
      <c r="B8391" s="7" t="str">
        <f>IFERROR(__xludf.DUMMYFUNCTION("""COMPUTED_VALUE"""),"C#;HTML/CSS;Java;JavaScript;PHP;SQL")</f>
        <v>C#;HTML/CSS;Java;JavaScript;PHP;SQL</v>
      </c>
      <c r="M8391" s="9" t="s">
        <v>26</v>
      </c>
    </row>
    <row r="8392" ht="15.75" customHeight="1">
      <c r="A8392" s="7"/>
      <c r="B8392" s="7" t="str">
        <f>IFERROR(__xludf.DUMMYFUNCTION("""COMPUTED_VALUE"""),"Java;JavaScript;Kotlin;PHP")</f>
        <v>Java;JavaScript;Kotlin;PHP</v>
      </c>
      <c r="M8392" s="9" t="s">
        <v>24</v>
      </c>
    </row>
    <row r="8393" ht="15.75" customHeight="1">
      <c r="A8393" s="7"/>
      <c r="B8393" s="7" t="str">
        <f>IFERROR(__xludf.DUMMYFUNCTION("""COMPUTED_VALUE"""),"Bash/Shell/PowerShell;C;C++;HTML/CSS;Java;JavaScript;Python;TypeScript")</f>
        <v>Bash/Shell/PowerShell;C;C++;HTML/CSS;Java;JavaScript;Python;TypeScript</v>
      </c>
      <c r="M8393" s="9" t="s">
        <v>20</v>
      </c>
    </row>
    <row r="8394" ht="15.75" customHeight="1">
      <c r="A8394" s="7"/>
      <c r="B8394" s="7" t="str">
        <f>IFERROR(__xludf.DUMMYFUNCTION("""COMPUTED_VALUE"""),"Bash/Shell/PowerShell;Python;R")</f>
        <v>Bash/Shell/PowerShell;Python;R</v>
      </c>
      <c r="M8394" s="9" t="s">
        <v>21</v>
      </c>
    </row>
    <row r="8395" ht="15.75" customHeight="1">
      <c r="A8395" s="7"/>
      <c r="B8395" s="7" t="str">
        <f>IFERROR(__xludf.DUMMYFUNCTION("""COMPUTED_VALUE"""),"Bash/Shell/PowerShell;C++;HTML/CSS;JavaScript;Python;TypeScript")</f>
        <v>Bash/Shell/PowerShell;C++;HTML/CSS;JavaScript;Python;TypeScript</v>
      </c>
      <c r="M8395" s="9" t="s">
        <v>37</v>
      </c>
    </row>
    <row r="8396" ht="15.75" customHeight="1">
      <c r="A8396" s="7"/>
      <c r="B8396" s="7" t="str">
        <f>IFERROR(__xludf.DUMMYFUNCTION("""COMPUTED_VALUE"""),"Bash/Shell/PowerShell;Python;SQL")</f>
        <v>Bash/Shell/PowerShell;Python;SQL</v>
      </c>
      <c r="M8396" s="9" t="s">
        <v>33</v>
      </c>
    </row>
    <row r="8397" ht="15.75" customHeight="1">
      <c r="A8397" s="7"/>
      <c r="B8397" s="7" t="str">
        <f>IFERROR(__xludf.DUMMYFUNCTION("""COMPUTED_VALUE"""),"Bash/Shell/PowerShell;Python")</f>
        <v>Bash/Shell/PowerShell;Python</v>
      </c>
      <c r="M8397" s="9" t="s">
        <v>24</v>
      </c>
    </row>
    <row r="8398" ht="15.75" customHeight="1">
      <c r="A8398" s="7"/>
      <c r="B8398" s="7" t="str">
        <f>IFERROR(__xludf.DUMMYFUNCTION("""COMPUTED_VALUE"""),"Bash/Shell/PowerShell;C#;HTML/CSS;JavaScript;Python")</f>
        <v>Bash/Shell/PowerShell;C#;HTML/CSS;JavaScript;Python</v>
      </c>
      <c r="M8398" s="9" t="s">
        <v>21</v>
      </c>
    </row>
    <row r="8399" ht="15.75" customHeight="1">
      <c r="A8399" s="7"/>
      <c r="B8399" s="7" t="str">
        <f>IFERROR(__xludf.DUMMYFUNCTION("""COMPUTED_VALUE"""),"C#;Java;JavaScript")</f>
        <v>C#;Java;JavaScript</v>
      </c>
      <c r="M8399" s="9" t="s">
        <v>20</v>
      </c>
    </row>
    <row r="8400" ht="15.75" customHeight="1">
      <c r="A8400" s="7"/>
      <c r="B8400" s="7" t="str">
        <f>IFERROR(__xludf.DUMMYFUNCTION("""COMPUTED_VALUE"""),"Other(s):")</f>
        <v>Other(s):</v>
      </c>
      <c r="M8400" s="9" t="s">
        <v>27</v>
      </c>
    </row>
    <row r="8401" ht="15.75" customHeight="1">
      <c r="A8401" s="7"/>
      <c r="B8401" s="7" t="str">
        <f>IFERROR(__xludf.DUMMYFUNCTION("""COMPUTED_VALUE"""),"C;C++;JavaScript;SQL;Other(s):")</f>
        <v>C;C++;JavaScript;SQL;Other(s):</v>
      </c>
      <c r="M8401" s="9" t="s">
        <v>30</v>
      </c>
    </row>
    <row r="8402" ht="15.75" customHeight="1">
      <c r="A8402" s="7"/>
      <c r="B8402" s="7" t="str">
        <f>IFERROR(__xludf.DUMMYFUNCTION("""COMPUTED_VALUE"""),"C#;HTML/CSS;Java;JavaScript;Python;SQL")</f>
        <v>C#;HTML/CSS;Java;JavaScript;Python;SQL</v>
      </c>
      <c r="M8402" s="9" t="s">
        <v>25</v>
      </c>
    </row>
    <row r="8403" ht="15.75" customHeight="1">
      <c r="A8403" s="7"/>
      <c r="B8403" s="7" t="str">
        <f>IFERROR(__xludf.DUMMYFUNCTION("""COMPUTED_VALUE"""),"C#;HTML/CSS;JavaScript;SQL")</f>
        <v>C#;HTML/CSS;JavaScript;SQL</v>
      </c>
      <c r="M8403" s="9" t="s">
        <v>23</v>
      </c>
    </row>
    <row r="8404" ht="15.75" customHeight="1">
      <c r="A8404" s="7"/>
      <c r="B8404" s="7" t="str">
        <f>IFERROR(__xludf.DUMMYFUNCTION("""COMPUTED_VALUE"""),"C#;HTML/CSS;Java;JavaScript;TypeScript")</f>
        <v>C#;HTML/CSS;Java;JavaScript;TypeScript</v>
      </c>
      <c r="M8404" s="9" t="s">
        <v>26</v>
      </c>
    </row>
    <row r="8405" ht="15.75" customHeight="1">
      <c r="A8405" s="7"/>
      <c r="B8405" s="7" t="str">
        <f>IFERROR(__xludf.DUMMYFUNCTION("""COMPUTED_VALUE"""),"HTML/CSS;Java;JavaScript;SQL")</f>
        <v>HTML/CSS;Java;JavaScript;SQL</v>
      </c>
      <c r="M8405" s="9" t="s">
        <v>24</v>
      </c>
    </row>
    <row r="8406" ht="15.75" customHeight="1">
      <c r="A8406" s="7"/>
      <c r="B8406" s="7" t="str">
        <f>IFERROR(__xludf.DUMMYFUNCTION("""COMPUTED_VALUE"""),"Bash/Shell/PowerShell;Dart;Go;HTML/CSS;JavaScript;SQL;TypeScript")</f>
        <v>Bash/Shell/PowerShell;Dart;Go;HTML/CSS;JavaScript;SQL;TypeScript</v>
      </c>
      <c r="M8406" s="9" t="s">
        <v>20</v>
      </c>
    </row>
    <row r="8407" ht="15.75" customHeight="1">
      <c r="A8407" s="7"/>
      <c r="B8407" s="7" t="str">
        <f>IFERROR(__xludf.DUMMYFUNCTION("""COMPUTED_VALUE"""),"C#;Elixir;HTML/CSS;JavaScript;R;Ruby")</f>
        <v>C#;Elixir;HTML/CSS;JavaScript;R;Ruby</v>
      </c>
      <c r="M8407" s="9" t="s">
        <v>21</v>
      </c>
    </row>
    <row r="8408" ht="15.75" customHeight="1">
      <c r="A8408" s="7"/>
      <c r="B8408" s="7" t="str">
        <f>IFERROR(__xludf.DUMMYFUNCTION("""COMPUTED_VALUE"""),"Bash/Shell/PowerShell;JavaScript;Ruby")</f>
        <v>Bash/Shell/PowerShell;JavaScript;Ruby</v>
      </c>
      <c r="M8408" s="9" t="s">
        <v>39</v>
      </c>
    </row>
    <row r="8409" ht="15.75" customHeight="1">
      <c r="A8409" s="7"/>
      <c r="B8409" s="7" t="str">
        <f>IFERROR(__xludf.DUMMYFUNCTION("""COMPUTED_VALUE"""),"Java;JavaScript;SQL")</f>
        <v>Java;JavaScript;SQL</v>
      </c>
      <c r="M8409" s="9" t="s">
        <v>37</v>
      </c>
    </row>
    <row r="8410" ht="15.75" customHeight="1">
      <c r="A8410" s="7"/>
      <c r="B8410" s="7" t="str">
        <f>IFERROR(__xludf.DUMMYFUNCTION("""COMPUTED_VALUE"""),"C#;Go;HTML/CSS;JavaScript;PHP;Python;R;SQL")</f>
        <v>C#;Go;HTML/CSS;JavaScript;PHP;Python;R;SQL</v>
      </c>
      <c r="M8410" s="9" t="s">
        <v>32</v>
      </c>
    </row>
    <row r="8411" ht="15.75" customHeight="1">
      <c r="A8411" s="7"/>
      <c r="B8411" s="7" t="str">
        <f>IFERROR(__xludf.DUMMYFUNCTION("""COMPUTED_VALUE"""),"Bash/Shell/PowerShell;HTML/CSS;Java;JavaScript;PHP;Scala;SQL")</f>
        <v>Bash/Shell/PowerShell;HTML/CSS;Java;JavaScript;PHP;Scala;SQL</v>
      </c>
      <c r="M8411" s="9" t="s">
        <v>27</v>
      </c>
    </row>
    <row r="8412" ht="15.75" customHeight="1">
      <c r="A8412" s="7"/>
      <c r="B8412" s="7" t="str">
        <f>IFERROR(__xludf.DUMMYFUNCTION("""COMPUTED_VALUE"""),"HTML/CSS;JavaScript;Other(s):")</f>
        <v>HTML/CSS;JavaScript;Other(s):</v>
      </c>
      <c r="M8412" s="9" t="s">
        <v>33</v>
      </c>
    </row>
    <row r="8413" ht="15.75" customHeight="1">
      <c r="A8413" s="7"/>
      <c r="B8413" s="7" t="str">
        <f>IFERROR(__xludf.DUMMYFUNCTION("""COMPUTED_VALUE"""),"PHP;Ruby;SQL")</f>
        <v>PHP;Ruby;SQL</v>
      </c>
      <c r="M8413" s="9" t="s">
        <v>28</v>
      </c>
    </row>
    <row r="8414" ht="15.75" customHeight="1">
      <c r="A8414" s="7"/>
      <c r="B8414" s="7" t="str">
        <f>IFERROR(__xludf.DUMMYFUNCTION("""COMPUTED_VALUE"""),"JavaScript;SQL;TypeScript")</f>
        <v>JavaScript;SQL;TypeScript</v>
      </c>
      <c r="M8414" s="9" t="s">
        <v>35</v>
      </c>
    </row>
    <row r="8415" ht="15.75" customHeight="1">
      <c r="A8415" s="7"/>
      <c r="B8415" s="7" t="str">
        <f>IFERROR(__xludf.DUMMYFUNCTION("""COMPUTED_VALUE"""),"Assembly;Bash/Shell/PowerShell;C;C++;C#;Java;JavaScript;PHP;SQL")</f>
        <v>Assembly;Bash/Shell/PowerShell;C;C++;C#;Java;JavaScript;PHP;SQL</v>
      </c>
      <c r="M8415" s="9" t="s">
        <v>38</v>
      </c>
    </row>
    <row r="8416" ht="15.75" customHeight="1">
      <c r="A8416" s="7"/>
      <c r="B8416" s="7" t="str">
        <f>IFERROR(__xludf.DUMMYFUNCTION("""COMPUTED_VALUE"""),"HTML/CSS;JavaScript;PHP;SQL;VBA")</f>
        <v>HTML/CSS;JavaScript;PHP;SQL;VBA</v>
      </c>
      <c r="M8416" s="9" t="s">
        <v>24</v>
      </c>
    </row>
    <row r="8417" ht="15.75" customHeight="1">
      <c r="A8417" s="7"/>
      <c r="B8417" s="7" t="str">
        <f>IFERROR(__xludf.DUMMYFUNCTION("""COMPUTED_VALUE"""),"C#;Java")</f>
        <v>C#;Java</v>
      </c>
      <c r="M8417" s="9" t="s">
        <v>20</v>
      </c>
    </row>
    <row r="8418" ht="15.75" customHeight="1">
      <c r="A8418" s="7"/>
      <c r="B8418" s="7" t="str">
        <f>IFERROR(__xludf.DUMMYFUNCTION("""COMPUTED_VALUE"""),"HTML/CSS;JavaScript")</f>
        <v>HTML/CSS;JavaScript</v>
      </c>
      <c r="M8418" s="9" t="s">
        <v>21</v>
      </c>
    </row>
    <row r="8419" ht="15.75" customHeight="1">
      <c r="A8419" s="7"/>
      <c r="B8419" s="7" t="str">
        <f>IFERROR(__xludf.DUMMYFUNCTION("""COMPUTED_VALUE"""),"HTML/CSS;JavaScript;Python;TypeScript")</f>
        <v>HTML/CSS;JavaScript;Python;TypeScript</v>
      </c>
      <c r="M8419" s="9" t="s">
        <v>37</v>
      </c>
    </row>
    <row r="8420" ht="15.75" customHeight="1">
      <c r="A8420" s="7"/>
      <c r="B8420" s="7" t="str">
        <f>IFERROR(__xludf.DUMMYFUNCTION("""COMPUTED_VALUE"""),"R")</f>
        <v>R</v>
      </c>
      <c r="M8420" s="9" t="s">
        <v>22</v>
      </c>
    </row>
    <row r="8421" ht="15.75" customHeight="1">
      <c r="A8421" s="7"/>
      <c r="B8421" s="7" t="str">
        <f>IFERROR(__xludf.DUMMYFUNCTION("""COMPUTED_VALUE"""),"Bash/Shell/PowerShell;C#;F#;HTML/CSS;Java;JavaScript;Objective-C;R;SQL;WebAssembly")</f>
        <v>Bash/Shell/PowerShell;C#;F#;HTML/CSS;Java;JavaScript;Objective-C;R;SQL;WebAssembly</v>
      </c>
      <c r="M8421" s="9" t="s">
        <v>27</v>
      </c>
    </row>
    <row r="8422" ht="15.75" customHeight="1">
      <c r="A8422" s="7"/>
      <c r="B8422" s="7" t="str">
        <f>IFERROR(__xludf.DUMMYFUNCTION("""COMPUTED_VALUE"""),"Bash/Shell/PowerShell;Go;Java;JavaScript;Rust;SQL")</f>
        <v>Bash/Shell/PowerShell;Go;Java;JavaScript;Rust;SQL</v>
      </c>
      <c r="M8422" s="9" t="s">
        <v>26</v>
      </c>
    </row>
    <row r="8423" ht="15.75" customHeight="1">
      <c r="A8423" s="7"/>
      <c r="B8423" s="7" t="str">
        <f>IFERROR(__xludf.DUMMYFUNCTION("""COMPUTED_VALUE"""),"HTML/CSS;JavaScript;Ruby;TypeScript")</f>
        <v>HTML/CSS;JavaScript;Ruby;TypeScript</v>
      </c>
      <c r="M8423" s="9" t="s">
        <v>24</v>
      </c>
    </row>
    <row r="8424" ht="15.75" customHeight="1">
      <c r="A8424" s="7"/>
      <c r="B8424" s="7" t="str">
        <f>IFERROR(__xludf.DUMMYFUNCTION("""COMPUTED_VALUE"""),"Bash/Shell/PowerShell;C#;HTML/CSS;JavaScript;TypeScript")</f>
        <v>Bash/Shell/PowerShell;C#;HTML/CSS;JavaScript;TypeScript</v>
      </c>
      <c r="M8424" s="9" t="s">
        <v>21</v>
      </c>
    </row>
    <row r="8425" ht="15.75" customHeight="1">
      <c r="A8425" s="7"/>
      <c r="B8425" s="7" t="str">
        <f>IFERROR(__xludf.DUMMYFUNCTION("""COMPUTED_VALUE"""),"C#;Python")</f>
        <v>C#;Python</v>
      </c>
      <c r="M8425" s="9" t="s">
        <v>25</v>
      </c>
    </row>
    <row r="8426" ht="15.75" customHeight="1">
      <c r="A8426" s="7"/>
      <c r="B8426" s="7" t="str">
        <f>IFERROR(__xludf.DUMMYFUNCTION("""COMPUTED_VALUE"""),"C#;Java")</f>
        <v>C#;Java</v>
      </c>
      <c r="M8426" s="9" t="s">
        <v>23</v>
      </c>
    </row>
    <row r="8427" ht="15.75" customHeight="1">
      <c r="A8427" s="7"/>
      <c r="B8427" s="7" t="str">
        <f>IFERROR(__xludf.DUMMYFUNCTION("""COMPUTED_VALUE"""),"Bash/Shell/PowerShell;Python")</f>
        <v>Bash/Shell/PowerShell;Python</v>
      </c>
      <c r="M8427" s="9" t="s">
        <v>24</v>
      </c>
    </row>
    <row r="8428" ht="15.75" customHeight="1">
      <c r="A8428" s="7"/>
      <c r="B8428" s="7" t="str">
        <f>IFERROR(__xludf.DUMMYFUNCTION("""COMPUTED_VALUE"""),"Go;HTML/CSS;JavaScript;Objective-C;Python;Ruby;SQL")</f>
        <v>Go;HTML/CSS;JavaScript;Objective-C;Python;Ruby;SQL</v>
      </c>
      <c r="M8428" s="9" t="s">
        <v>21</v>
      </c>
    </row>
    <row r="8429" ht="15.75" customHeight="1">
      <c r="A8429" s="7"/>
      <c r="B8429" s="7" t="str">
        <f>IFERROR(__xludf.DUMMYFUNCTION("""COMPUTED_VALUE"""),"Bash/Shell/PowerShell;Java;Python;Ruby")</f>
        <v>Bash/Shell/PowerShell;Java;Python;Ruby</v>
      </c>
      <c r="M8429" s="9" t="s">
        <v>37</v>
      </c>
    </row>
    <row r="8430" ht="15.75" customHeight="1">
      <c r="A8430" s="7"/>
      <c r="B8430" s="7" t="str">
        <f>IFERROR(__xludf.DUMMYFUNCTION("""COMPUTED_VALUE"""),"C++")</f>
        <v>C++</v>
      </c>
      <c r="M8430" s="9" t="s">
        <v>27</v>
      </c>
    </row>
    <row r="8431" ht="15.75" customHeight="1">
      <c r="A8431" s="7"/>
      <c r="B8431" s="7" t="str">
        <f>IFERROR(__xludf.DUMMYFUNCTION("""COMPUTED_VALUE"""),"C#;Java;SQL")</f>
        <v>C#;Java;SQL</v>
      </c>
      <c r="M8431" s="9" t="s">
        <v>30</v>
      </c>
    </row>
    <row r="8432" ht="15.75" customHeight="1">
      <c r="A8432" s="7"/>
      <c r="B8432" s="7" t="str">
        <f>IFERROR(__xludf.DUMMYFUNCTION("""COMPUTED_VALUE"""),"Bash/Shell/PowerShell;C;Python;Other(s):")</f>
        <v>Bash/Shell/PowerShell;C;Python;Other(s):</v>
      </c>
      <c r="M8432" s="9" t="s">
        <v>24</v>
      </c>
    </row>
    <row r="8433" ht="15.75" customHeight="1">
      <c r="A8433" s="7"/>
      <c r="B8433" s="7" t="str">
        <f>IFERROR(__xludf.DUMMYFUNCTION("""COMPUTED_VALUE"""),"Bash/Shell/PowerShell;C#;HTML/CSS;JavaScript;Objective-C;SQL")</f>
        <v>Bash/Shell/PowerShell;C#;HTML/CSS;JavaScript;Objective-C;SQL</v>
      </c>
      <c r="M8433" s="9" t="s">
        <v>21</v>
      </c>
    </row>
    <row r="8434" ht="15.75" customHeight="1">
      <c r="A8434" s="7"/>
      <c r="B8434" s="7" t="str">
        <f>IFERROR(__xludf.DUMMYFUNCTION("""COMPUTED_VALUE"""),"Bash/Shell/PowerShell;Clojure;Java;Kotlin;Python;Ruby;Scala")</f>
        <v>Bash/Shell/PowerShell;Clojure;Java;Kotlin;Python;Ruby;Scala</v>
      </c>
      <c r="M8434" s="9" t="s">
        <v>22</v>
      </c>
    </row>
    <row r="8435" ht="15.75" customHeight="1">
      <c r="A8435" s="7"/>
      <c r="B8435" s="7" t="str">
        <f>IFERROR(__xludf.DUMMYFUNCTION("""COMPUTED_VALUE"""),"Bash/Shell/PowerShell;C#;HTML/CSS;Java;JavaScript;Kotlin;PHP;Python;SQL;TypeScript")</f>
        <v>Bash/Shell/PowerShell;C#;HTML/CSS;Java;JavaScript;Kotlin;PHP;Python;SQL;TypeScript</v>
      </c>
      <c r="M8435" s="9" t="s">
        <v>27</v>
      </c>
    </row>
    <row r="8436" ht="15.75" customHeight="1">
      <c r="A8436" s="7"/>
      <c r="B8436" s="7" t="str">
        <f>IFERROR(__xludf.DUMMYFUNCTION("""COMPUTED_VALUE"""),"HTML/CSS;JavaScript")</f>
        <v>HTML/CSS;JavaScript</v>
      </c>
      <c r="M8436" s="9" t="s">
        <v>35</v>
      </c>
    </row>
    <row r="8437" ht="15.75" customHeight="1">
      <c r="A8437" s="7"/>
      <c r="B8437" s="7" t="str">
        <f>IFERROR(__xludf.DUMMYFUNCTION("""COMPUTED_VALUE"""),"C++;HTML/CSS;Java;JavaScript;Objective-C;PHP;SQL")</f>
        <v>C++;HTML/CSS;Java;JavaScript;Objective-C;PHP;SQL</v>
      </c>
      <c r="M8437" s="9" t="s">
        <v>24</v>
      </c>
    </row>
    <row r="8438" ht="15.75" customHeight="1">
      <c r="A8438" s="7"/>
      <c r="B8438" s="7" t="str">
        <f>IFERROR(__xludf.DUMMYFUNCTION("""COMPUTED_VALUE"""),"Bash/Shell/PowerShell;HTML/CSS;JavaScript;PHP;Ruby")</f>
        <v>Bash/Shell/PowerShell;HTML/CSS;JavaScript;PHP;Ruby</v>
      </c>
      <c r="M8438" s="9" t="s">
        <v>20</v>
      </c>
    </row>
    <row r="8439" ht="15.75" customHeight="1">
      <c r="A8439" s="7"/>
      <c r="B8439" s="7" t="str">
        <f>IFERROR(__xludf.DUMMYFUNCTION("""COMPUTED_VALUE"""),"JavaScript;Python")</f>
        <v>JavaScript;Python</v>
      </c>
      <c r="M8439" s="9" t="s">
        <v>21</v>
      </c>
    </row>
    <row r="8440" ht="15.75" customHeight="1">
      <c r="A8440" s="7"/>
      <c r="B8440" s="7" t="str">
        <f>IFERROR(__xludf.DUMMYFUNCTION("""COMPUTED_VALUE"""),"Bash/Shell/PowerShell;C#;HTML/CSS;JavaScript;Python;TypeScript")</f>
        <v>Bash/Shell/PowerShell;C#;HTML/CSS;JavaScript;Python;TypeScript</v>
      </c>
      <c r="M8440" s="9" t="s">
        <v>22</v>
      </c>
    </row>
    <row r="8441" ht="15.75" customHeight="1">
      <c r="A8441" s="7"/>
      <c r="B8441" s="7" t="str">
        <f>IFERROR(__xludf.DUMMYFUNCTION("""COMPUTED_VALUE"""),"HTML/CSS;Java;JavaScript;SQL;TypeScript")</f>
        <v>HTML/CSS;Java;JavaScript;SQL;TypeScript</v>
      </c>
      <c r="M8441" s="9" t="s">
        <v>29</v>
      </c>
    </row>
    <row r="8442" ht="15.75" customHeight="1">
      <c r="A8442" s="7"/>
      <c r="B8442" s="7" t="str">
        <f>IFERROR(__xludf.DUMMYFUNCTION("""COMPUTED_VALUE"""),"C#;HTML/CSS;JavaScript;SQL;TypeScript")</f>
        <v>C#;HTML/CSS;JavaScript;SQL;TypeScript</v>
      </c>
      <c r="M8442" s="9" t="s">
        <v>24</v>
      </c>
    </row>
    <row r="8443" ht="15.75" customHeight="1">
      <c r="A8443" s="7"/>
      <c r="B8443" s="7" t="str">
        <f>IFERROR(__xludf.DUMMYFUNCTION("""COMPUTED_VALUE"""),"Go;HTML/CSS;JavaScript;Python;Rust;SQL;TypeScript;WebAssembly")</f>
        <v>Go;HTML/CSS;JavaScript;Python;Rust;SQL;TypeScript;WebAssembly</v>
      </c>
      <c r="M8443" s="9" t="s">
        <v>20</v>
      </c>
    </row>
    <row r="8444" ht="15.75" customHeight="1">
      <c r="A8444" s="7"/>
      <c r="B8444" s="7" t="str">
        <f>IFERROR(__xludf.DUMMYFUNCTION("""COMPUTED_VALUE"""),"Bash/Shell/PowerShell;C;Go;HTML/CSS;Java;JavaScript;Python;TypeScript")</f>
        <v>Bash/Shell/PowerShell;C;Go;HTML/CSS;Java;JavaScript;Python;TypeScript</v>
      </c>
      <c r="M8444" s="9" t="s">
        <v>21</v>
      </c>
    </row>
    <row r="8445" ht="15.75" customHeight="1">
      <c r="A8445" s="7"/>
      <c r="B8445" s="7" t="str">
        <f>IFERROR(__xludf.DUMMYFUNCTION("""COMPUTED_VALUE"""),"HTML/CSS;JavaScript;TypeScript")</f>
        <v>HTML/CSS;JavaScript;TypeScript</v>
      </c>
      <c r="M8445" s="9" t="s">
        <v>39</v>
      </c>
    </row>
    <row r="8446" ht="15.75" customHeight="1">
      <c r="A8446" s="7"/>
      <c r="B8446" s="7" t="str">
        <f>IFERROR(__xludf.DUMMYFUNCTION("""COMPUTED_VALUE"""),"HTML/CSS;JavaScript;PHP")</f>
        <v>HTML/CSS;JavaScript;PHP</v>
      </c>
      <c r="M8446" s="9" t="s">
        <v>37</v>
      </c>
    </row>
    <row r="8447" ht="15.75" customHeight="1">
      <c r="A8447" s="7"/>
      <c r="B8447" s="7" t="str">
        <f>IFERROR(__xludf.DUMMYFUNCTION("""COMPUTED_VALUE"""),"HTML/CSS;Java;JavaScript;PHP;Ruby;SQL;TypeScript;VBA")</f>
        <v>HTML/CSS;Java;JavaScript;PHP;Ruby;SQL;TypeScript;VBA</v>
      </c>
      <c r="M8447" s="9" t="s">
        <v>31</v>
      </c>
    </row>
    <row r="8448" ht="15.75" customHeight="1">
      <c r="A8448" s="7"/>
      <c r="B8448" s="7" t="str">
        <f>IFERROR(__xludf.DUMMYFUNCTION("""COMPUTED_VALUE"""),"C#;HTML/CSS;JavaScript;SQL")</f>
        <v>C#;HTML/CSS;JavaScript;SQL</v>
      </c>
      <c r="M8448" s="9" t="s">
        <v>22</v>
      </c>
    </row>
    <row r="8449" ht="15.75" customHeight="1">
      <c r="A8449" s="7"/>
      <c r="B8449" s="7" t="str">
        <f>IFERROR(__xludf.DUMMYFUNCTION("""COMPUTED_VALUE"""),"Bash/Shell/PowerShell;HTML/CSS;JavaScript;PHP;Python;SQL;TypeScript")</f>
        <v>Bash/Shell/PowerShell;HTML/CSS;JavaScript;PHP;Python;SQL;TypeScript</v>
      </c>
      <c r="M8449" s="9" t="s">
        <v>36</v>
      </c>
    </row>
    <row r="8450" ht="15.75" customHeight="1">
      <c r="A8450" s="7"/>
      <c r="B8450" s="7" t="str">
        <f>IFERROR(__xludf.DUMMYFUNCTION("""COMPUTED_VALUE"""),"C++;C#;Python;SQL;VBA")</f>
        <v>C++;C#;Python;SQL;VBA</v>
      </c>
      <c r="M8450" s="9" t="s">
        <v>20</v>
      </c>
    </row>
    <row r="8451" ht="15.75" customHeight="1">
      <c r="A8451" s="7"/>
      <c r="B8451" s="7" t="str">
        <f>IFERROR(__xludf.DUMMYFUNCTION("""COMPUTED_VALUE"""),"Bash/Shell/PowerShell;HTML/CSS;JavaScript;PHP;Python")</f>
        <v>Bash/Shell/PowerShell;HTML/CSS;JavaScript;PHP;Python</v>
      </c>
      <c r="M8451" s="9" t="s">
        <v>21</v>
      </c>
    </row>
    <row r="8452" ht="15.75" customHeight="1">
      <c r="A8452" s="7"/>
      <c r="B8452" s="7" t="str">
        <f>IFERROR(__xludf.DUMMYFUNCTION("""COMPUTED_VALUE"""),"Bash/Shell/PowerShell;PHP;SQL")</f>
        <v>Bash/Shell/PowerShell;PHP;SQL</v>
      </c>
      <c r="M8452" s="9" t="s">
        <v>22</v>
      </c>
    </row>
    <row r="8453" ht="15.75" customHeight="1">
      <c r="A8453" s="7"/>
      <c r="B8453" s="7" t="str">
        <f>IFERROR(__xludf.DUMMYFUNCTION("""COMPUTED_VALUE"""),"C++;Go;Python")</f>
        <v>C++;Go;Python</v>
      </c>
      <c r="M8453" s="9" t="s">
        <v>46</v>
      </c>
    </row>
    <row r="8454" ht="15.75" customHeight="1">
      <c r="A8454" s="7"/>
      <c r="B8454" s="7" t="str">
        <f>IFERROR(__xludf.DUMMYFUNCTION("""COMPUTED_VALUE"""),"Bash/Shell/PowerShell;C++;C#;HTML/CSS;JavaScript;SQL;TypeScript")</f>
        <v>Bash/Shell/PowerShell;C++;C#;HTML/CSS;JavaScript;SQL;TypeScript</v>
      </c>
      <c r="M8454" s="9" t="s">
        <v>20</v>
      </c>
    </row>
    <row r="8455" ht="15.75" customHeight="1">
      <c r="A8455" s="7"/>
      <c r="B8455" s="7" t="str">
        <f>IFERROR(__xludf.DUMMYFUNCTION("""COMPUTED_VALUE"""),"C#;JavaScript;SQL;Other(s):")</f>
        <v>C#;JavaScript;SQL;Other(s):</v>
      </c>
      <c r="M8455" s="9" t="s">
        <v>39</v>
      </c>
    </row>
    <row r="8456" ht="15.75" customHeight="1">
      <c r="A8456" s="7"/>
      <c r="B8456" s="7" t="str">
        <f>IFERROR(__xludf.DUMMYFUNCTION("""COMPUTED_VALUE"""),"Bash/Shell/PowerShell;C;C++")</f>
        <v>Bash/Shell/PowerShell;C;C++</v>
      </c>
      <c r="M8456" s="9" t="s">
        <v>24</v>
      </c>
    </row>
    <row r="8457" ht="15.75" customHeight="1">
      <c r="A8457" s="7"/>
      <c r="B8457" s="7" t="str">
        <f>IFERROR(__xludf.DUMMYFUNCTION("""COMPUTED_VALUE"""),"Bash/Shell/PowerShell;C++;HTML/CSS;Java;JavaScript;PHP;Python")</f>
        <v>Bash/Shell/PowerShell;C++;HTML/CSS;Java;JavaScript;PHP;Python</v>
      </c>
      <c r="M8457" s="9" t="s">
        <v>21</v>
      </c>
    </row>
    <row r="8458" ht="15.75" customHeight="1">
      <c r="A8458" s="7"/>
      <c r="B8458" s="7" t="str">
        <f>IFERROR(__xludf.DUMMYFUNCTION("""COMPUTED_VALUE"""),"C#;HTML/CSS;JavaScript;Python;SQL;TypeScript")</f>
        <v>C#;HTML/CSS;JavaScript;Python;SQL;TypeScript</v>
      </c>
      <c r="M8458" s="9" t="s">
        <v>33</v>
      </c>
    </row>
    <row r="8459" ht="15.75" customHeight="1">
      <c r="A8459" s="7"/>
      <c r="B8459" s="7" t="str">
        <f>IFERROR(__xludf.DUMMYFUNCTION("""COMPUTED_VALUE"""),"Bash/Shell/PowerShell;HTML/CSS;Python;SQL")</f>
        <v>Bash/Shell/PowerShell;HTML/CSS;Python;SQL</v>
      </c>
      <c r="M8459" s="9" t="s">
        <v>30</v>
      </c>
    </row>
    <row r="8460" ht="15.75" customHeight="1">
      <c r="A8460" s="7"/>
      <c r="B8460" s="7" t="str">
        <f>IFERROR(__xludf.DUMMYFUNCTION("""COMPUTED_VALUE"""),"C#;HTML/CSS;JavaScript;Python;TypeScript")</f>
        <v>C#;HTML/CSS;JavaScript;Python;TypeScript</v>
      </c>
      <c r="M8460" s="9" t="s">
        <v>23</v>
      </c>
    </row>
    <row r="8461" ht="15.75" customHeight="1">
      <c r="A8461" s="7"/>
      <c r="B8461" s="7" t="str">
        <f>IFERROR(__xludf.DUMMYFUNCTION("""COMPUTED_VALUE"""),"Assembly;Bash/Shell/PowerShell;C;C++;C#;Kotlin;Objective-C;PHP;SQL;Swift")</f>
        <v>Assembly;Bash/Shell/PowerShell;C;C++;C#;Kotlin;Objective-C;PHP;SQL;Swift</v>
      </c>
      <c r="M8461" s="9" t="s">
        <v>20</v>
      </c>
    </row>
    <row r="8462" ht="15.75" customHeight="1">
      <c r="A8462" s="7"/>
      <c r="B8462" s="7" t="str">
        <f>IFERROR(__xludf.DUMMYFUNCTION("""COMPUTED_VALUE"""),"Java;SQL")</f>
        <v>Java;SQL</v>
      </c>
      <c r="M8462" s="9" t="s">
        <v>22</v>
      </c>
    </row>
    <row r="8463" ht="15.75" customHeight="1">
      <c r="A8463" s="7"/>
      <c r="B8463" s="7" t="str">
        <f>IFERROR(__xludf.DUMMYFUNCTION("""COMPUTED_VALUE"""),"Bash/Shell/PowerShell;HTML/CSS;JavaScript;PHP")</f>
        <v>Bash/Shell/PowerShell;HTML/CSS;JavaScript;PHP</v>
      </c>
      <c r="M8463" s="9" t="s">
        <v>46</v>
      </c>
    </row>
    <row r="8464" ht="15.75" customHeight="1">
      <c r="A8464" s="7"/>
      <c r="B8464" s="7" t="str">
        <f>IFERROR(__xludf.DUMMYFUNCTION("""COMPUTED_VALUE"""),"C;C++;HTML/CSS;JavaScript;PHP;Swift")</f>
        <v>C;C++;HTML/CSS;JavaScript;PHP;Swift</v>
      </c>
      <c r="M8464" s="9" t="s">
        <v>27</v>
      </c>
    </row>
    <row r="8465" ht="15.75" customHeight="1">
      <c r="A8465" s="7"/>
      <c r="B8465" s="7" t="str">
        <f>IFERROR(__xludf.DUMMYFUNCTION("""COMPUTED_VALUE"""),"C++;Java;Kotlin;Objective-C")</f>
        <v>C++;Java;Kotlin;Objective-C</v>
      </c>
      <c r="M8465" s="9" t="s">
        <v>30</v>
      </c>
    </row>
    <row r="8466" ht="15.75" customHeight="1">
      <c r="A8466" s="7"/>
      <c r="B8466" s="7" t="str">
        <f>IFERROR(__xludf.DUMMYFUNCTION("""COMPUTED_VALUE"""),"C++;C#;HTML/CSS;JavaScript;SQL;TypeScript")</f>
        <v>C++;C#;HTML/CSS;JavaScript;SQL;TypeScript</v>
      </c>
      <c r="M8466" s="9" t="s">
        <v>26</v>
      </c>
    </row>
    <row r="8467" ht="15.75" customHeight="1">
      <c r="A8467" s="7"/>
      <c r="B8467" s="7" t="str">
        <f>IFERROR(__xludf.DUMMYFUNCTION("""COMPUTED_VALUE"""),"C;Dart;Java;Kotlin;Python;SQL")</f>
        <v>C;Dart;Java;Kotlin;Python;SQL</v>
      </c>
      <c r="M8467" s="9" t="s">
        <v>36</v>
      </c>
    </row>
    <row r="8468" ht="15.75" customHeight="1">
      <c r="A8468" s="7"/>
      <c r="B8468" s="7" t="str">
        <f>IFERROR(__xludf.DUMMYFUNCTION("""COMPUTED_VALUE"""),"C++;HTML/CSS;Python")</f>
        <v>C++;HTML/CSS;Python</v>
      </c>
      <c r="M8468" s="9" t="s">
        <v>24</v>
      </c>
    </row>
    <row r="8469" ht="15.75" customHeight="1">
      <c r="A8469" s="7"/>
      <c r="B8469" s="7" t="str">
        <f>IFERROR(__xludf.DUMMYFUNCTION("""COMPUTED_VALUE"""),"HTML/CSS;Java;JavaScript;PHP;Python;SQL")</f>
        <v>HTML/CSS;Java;JavaScript;PHP;Python;SQL</v>
      </c>
      <c r="M8469" s="9" t="s">
        <v>20</v>
      </c>
    </row>
    <row r="8470" ht="15.75" customHeight="1">
      <c r="A8470" s="7"/>
      <c r="B8470" s="7" t="str">
        <f>IFERROR(__xludf.DUMMYFUNCTION("""COMPUTED_VALUE"""),"Assembly;Bash/Shell/PowerShell;C;C++;C#;HTML/CSS;Java;JavaScript;PHP;Python;Scala;SQL")</f>
        <v>Assembly;Bash/Shell/PowerShell;C;C++;C#;HTML/CSS;Java;JavaScript;PHP;Python;Scala;SQL</v>
      </c>
      <c r="M8470" s="9" t="s">
        <v>21</v>
      </c>
    </row>
    <row r="8471" ht="15.75" customHeight="1">
      <c r="A8471" s="7"/>
      <c r="B8471" s="7" t="str">
        <f>IFERROR(__xludf.DUMMYFUNCTION("""COMPUTED_VALUE"""),"C#;HTML/CSS;Java;JavaScript;PHP;Python;SQL")</f>
        <v>C#;HTML/CSS;Java;JavaScript;PHP;Python;SQL</v>
      </c>
      <c r="M8471" s="9" t="s">
        <v>36</v>
      </c>
    </row>
    <row r="8472" ht="15.75" customHeight="1">
      <c r="A8472" s="7"/>
      <c r="B8472" s="7" t="str">
        <f>IFERROR(__xludf.DUMMYFUNCTION("""COMPUTED_VALUE"""),"Assembly;Bash/Shell/PowerShell;C#;Dart;Go;JavaScript;Objective-C;Rust;SQL;TypeScript")</f>
        <v>Assembly;Bash/Shell/PowerShell;C#;Dart;Go;JavaScript;Objective-C;Rust;SQL;TypeScript</v>
      </c>
      <c r="M8472" s="9" t="s">
        <v>21</v>
      </c>
    </row>
    <row r="8473" ht="15.75" customHeight="1">
      <c r="A8473" s="7"/>
      <c r="B8473" s="7" t="str">
        <f>IFERROR(__xludf.DUMMYFUNCTION("""COMPUTED_VALUE"""),"Java;JavaScript;Python")</f>
        <v>Java;JavaScript;Python</v>
      </c>
      <c r="M8473" s="9" t="s">
        <v>22</v>
      </c>
    </row>
    <row r="8474" ht="15.75" customHeight="1">
      <c r="A8474" s="7"/>
      <c r="B8474" s="7" t="str">
        <f>IFERROR(__xludf.DUMMYFUNCTION("""COMPUTED_VALUE"""),"Bash/Shell/PowerShell;C++;JavaScript;Python;Ruby")</f>
        <v>Bash/Shell/PowerShell;C++;JavaScript;Python;Ruby</v>
      </c>
      <c r="M8474" s="9" t="s">
        <v>27</v>
      </c>
    </row>
    <row r="8475" ht="15.75" customHeight="1">
      <c r="A8475" s="7"/>
      <c r="B8475" s="7" t="str">
        <f>IFERROR(__xludf.DUMMYFUNCTION("""COMPUTED_VALUE"""),"HTML/CSS;JavaScript;R;SQL")</f>
        <v>HTML/CSS;JavaScript;R;SQL</v>
      </c>
      <c r="M8475" s="9" t="s">
        <v>30</v>
      </c>
    </row>
    <row r="8476" ht="15.75" customHeight="1">
      <c r="A8476" s="7"/>
      <c r="B8476" s="7" t="str">
        <f>IFERROR(__xludf.DUMMYFUNCTION("""COMPUTED_VALUE"""),"C++;C#")</f>
        <v>C++;C#</v>
      </c>
      <c r="M8476" s="9" t="s">
        <v>25</v>
      </c>
    </row>
    <row r="8477" ht="15.75" customHeight="1">
      <c r="A8477" s="7"/>
      <c r="B8477" s="7" t="str">
        <f>IFERROR(__xludf.DUMMYFUNCTION("""COMPUTED_VALUE"""),"HTML/CSS;JavaScript;PHP")</f>
        <v>HTML/CSS;JavaScript;PHP</v>
      </c>
      <c r="M8477" s="9" t="s">
        <v>23</v>
      </c>
    </row>
    <row r="8478" ht="15.75" customHeight="1">
      <c r="A8478" s="7"/>
      <c r="B8478" s="7" t="str">
        <f>IFERROR(__xludf.DUMMYFUNCTION("""COMPUTED_VALUE"""),"HTML/CSS;JavaScript;PHP;SQL")</f>
        <v>HTML/CSS;JavaScript;PHP;SQL</v>
      </c>
      <c r="M8478" s="9" t="s">
        <v>26</v>
      </c>
    </row>
    <row r="8479" ht="15.75" customHeight="1">
      <c r="A8479" s="7"/>
      <c r="B8479" s="7" t="str">
        <f>IFERROR(__xludf.DUMMYFUNCTION("""COMPUTED_VALUE"""),"HTML/CSS;Java;JavaScript;SQL;TypeScript")</f>
        <v>HTML/CSS;Java;JavaScript;SQL;TypeScript</v>
      </c>
      <c r="M8479" s="9" t="s">
        <v>44</v>
      </c>
    </row>
    <row r="8480" ht="15.75" customHeight="1">
      <c r="A8480" s="7"/>
      <c r="B8480" s="7" t="str">
        <f>IFERROR(__xludf.DUMMYFUNCTION("""COMPUTED_VALUE"""),"C#;HTML/CSS;JavaScript;SQL")</f>
        <v>C#;HTML/CSS;JavaScript;SQL</v>
      </c>
      <c r="M8480" s="9" t="s">
        <v>24</v>
      </c>
    </row>
    <row r="8481" ht="15.75" customHeight="1">
      <c r="A8481" s="7"/>
      <c r="B8481" s="7" t="str">
        <f>IFERROR(__xludf.DUMMYFUNCTION("""COMPUTED_VALUE"""),"C#;HTML/CSS;JavaScript;PHP;SQL;TypeScript")</f>
        <v>C#;HTML/CSS;JavaScript;PHP;SQL;TypeScript</v>
      </c>
      <c r="M8481" s="9" t="s">
        <v>20</v>
      </c>
    </row>
    <row r="8482" ht="15.75" customHeight="1">
      <c r="A8482" s="7"/>
      <c r="B8482" s="7" t="str">
        <f>IFERROR(__xludf.DUMMYFUNCTION("""COMPUTED_VALUE"""),"C;C++;C#;HTML/CSS;Java;JavaScript;Kotlin;PHP;SQL;TypeScript")</f>
        <v>C;C++;C#;HTML/CSS;Java;JavaScript;Kotlin;PHP;SQL;TypeScript</v>
      </c>
      <c r="M8482" s="9" t="s">
        <v>21</v>
      </c>
    </row>
    <row r="8483" ht="15.75" customHeight="1">
      <c r="A8483" s="7"/>
      <c r="B8483" s="7" t="str">
        <f>IFERROR(__xludf.DUMMYFUNCTION("""COMPUTED_VALUE"""),"C++;Python;SQL")</f>
        <v>C++;Python;SQL</v>
      </c>
      <c r="M8483" s="9" t="s">
        <v>41</v>
      </c>
    </row>
    <row r="8484" ht="15.75" customHeight="1">
      <c r="A8484" s="7"/>
      <c r="B8484" s="7" t="str">
        <f>IFERROR(__xludf.DUMMYFUNCTION("""COMPUTED_VALUE"""),"C;JavaScript;Objective-C;Ruby;Swift")</f>
        <v>C;JavaScript;Objective-C;Ruby;Swift</v>
      </c>
      <c r="M8484" s="9" t="s">
        <v>22</v>
      </c>
    </row>
    <row r="8485" ht="15.75" customHeight="1">
      <c r="A8485" s="7"/>
      <c r="B8485" s="7" t="str">
        <f>IFERROR(__xludf.DUMMYFUNCTION("""COMPUTED_VALUE"""),"Bash/Shell/PowerShell;C#;Go;HTML/CSS;JavaScript;SQL")</f>
        <v>Bash/Shell/PowerShell;C#;Go;HTML/CSS;JavaScript;SQL</v>
      </c>
      <c r="M8485" s="9" t="s">
        <v>31</v>
      </c>
    </row>
    <row r="8486" ht="15.75" customHeight="1">
      <c r="A8486" s="7"/>
      <c r="B8486" s="7" t="str">
        <f>IFERROR(__xludf.DUMMYFUNCTION("""COMPUTED_VALUE"""),"Bash/Shell/PowerShell;C;C++;Dart;Java;Python")</f>
        <v>Bash/Shell/PowerShell;C;C++;Dart;Java;Python</v>
      </c>
      <c r="M8486" s="9" t="s">
        <v>35</v>
      </c>
    </row>
    <row r="8487" ht="15.75" customHeight="1">
      <c r="A8487" s="7"/>
      <c r="B8487" s="7" t="str">
        <f>IFERROR(__xludf.DUMMYFUNCTION("""COMPUTED_VALUE"""),"Java")</f>
        <v>Java</v>
      </c>
      <c r="M8487" s="9" t="s">
        <v>30</v>
      </c>
    </row>
    <row r="8488" ht="15.75" customHeight="1">
      <c r="A8488" s="7"/>
      <c r="B8488" s="7" t="str">
        <f>IFERROR(__xludf.DUMMYFUNCTION("""COMPUTED_VALUE"""),"Bash/Shell/PowerShell;C;C++;Java;Kotlin;Python;Ruby;SQL")</f>
        <v>Bash/Shell/PowerShell;C;C++;Java;Kotlin;Python;Ruby;SQL</v>
      </c>
      <c r="M8488" s="9" t="s">
        <v>23</v>
      </c>
    </row>
    <row r="8489" ht="15.75" customHeight="1">
      <c r="A8489" s="7"/>
      <c r="B8489" s="7" t="str">
        <f>IFERROR(__xludf.DUMMYFUNCTION("""COMPUTED_VALUE"""),"Bash/Shell/PowerShell;Clojure;HTML/CSS;JavaScript;Ruby")</f>
        <v>Bash/Shell/PowerShell;Clojure;HTML/CSS;JavaScript;Ruby</v>
      </c>
      <c r="M8489" s="9" t="s">
        <v>24</v>
      </c>
    </row>
    <row r="8490" ht="15.75" customHeight="1">
      <c r="A8490" s="7"/>
      <c r="B8490" s="7" t="str">
        <f>IFERROR(__xludf.DUMMYFUNCTION("""COMPUTED_VALUE"""),"C#;HTML/CSS;Java;JavaScript;PHP;SQL;TypeScript")</f>
        <v>C#;HTML/CSS;Java;JavaScript;PHP;SQL;TypeScript</v>
      </c>
      <c r="M8490" s="9" t="s">
        <v>20</v>
      </c>
    </row>
    <row r="8491" ht="15.75" customHeight="1">
      <c r="A8491" s="7"/>
      <c r="B8491" s="7" t="str">
        <f>IFERROR(__xludf.DUMMYFUNCTION("""COMPUTED_VALUE"""),"Bash/Shell/PowerShell;C;C#;HTML/CSS;JavaScript;Python")</f>
        <v>Bash/Shell/PowerShell;C;C#;HTML/CSS;JavaScript;Python</v>
      </c>
      <c r="M8491" s="9" t="s">
        <v>21</v>
      </c>
    </row>
    <row r="8492" ht="15.75" customHeight="1">
      <c r="A8492" s="7"/>
      <c r="B8492" s="7" t="str">
        <f>IFERROR(__xludf.DUMMYFUNCTION("""COMPUTED_VALUE"""),"Bash/Shell/PowerShell;HTML/CSS;JavaScript;Python;R;SQL")</f>
        <v>Bash/Shell/PowerShell;HTML/CSS;JavaScript;Python;R;SQL</v>
      </c>
      <c r="M8492" s="9" t="s">
        <v>37</v>
      </c>
    </row>
    <row r="8493" ht="15.75" customHeight="1">
      <c r="A8493" s="7"/>
      <c r="B8493" s="7" t="str">
        <f>IFERROR(__xludf.DUMMYFUNCTION("""COMPUTED_VALUE"""),"HTML/CSS;JavaScript;TypeScript")</f>
        <v>HTML/CSS;JavaScript;TypeScript</v>
      </c>
      <c r="M8493" s="9" t="s">
        <v>22</v>
      </c>
    </row>
    <row r="8494" ht="15.75" customHeight="1">
      <c r="A8494" s="7"/>
      <c r="B8494" s="7" t="str">
        <f>IFERROR(__xludf.DUMMYFUNCTION("""COMPUTED_VALUE"""),"HTML/CSS;JavaScript;PHP;SQL")</f>
        <v>HTML/CSS;JavaScript;PHP;SQL</v>
      </c>
      <c r="M8494" s="9" t="s">
        <v>29</v>
      </c>
    </row>
    <row r="8495" ht="15.75" customHeight="1">
      <c r="A8495" s="7"/>
      <c r="B8495" s="7" t="str">
        <f>IFERROR(__xludf.DUMMYFUNCTION("""COMPUTED_VALUE"""),"Bash/Shell/PowerShell;C#;SQL")</f>
        <v>Bash/Shell/PowerShell;C#;SQL</v>
      </c>
      <c r="M8495" s="9" t="s">
        <v>27</v>
      </c>
    </row>
    <row r="8496" ht="15.75" customHeight="1">
      <c r="A8496" s="7"/>
      <c r="B8496" s="7" t="str">
        <f>IFERROR(__xludf.DUMMYFUNCTION("""COMPUTED_VALUE"""),"Bash/Shell/PowerShell;HTML/CSS;JavaScript;PHP")</f>
        <v>Bash/Shell/PowerShell;HTML/CSS;JavaScript;PHP</v>
      </c>
      <c r="M8496" s="9" t="s">
        <v>30</v>
      </c>
    </row>
    <row r="8497" ht="15.75" customHeight="1">
      <c r="A8497" s="7"/>
      <c r="B8497" s="7" t="str">
        <f>IFERROR(__xludf.DUMMYFUNCTION("""COMPUTED_VALUE"""),"C;C++;Java")</f>
        <v>C;C++;Java</v>
      </c>
      <c r="M8497" s="9" t="s">
        <v>42</v>
      </c>
    </row>
    <row r="8498" ht="15.75" customHeight="1">
      <c r="A8498" s="7"/>
      <c r="B8498" s="7" t="str">
        <f>IFERROR(__xludf.DUMMYFUNCTION("""COMPUTED_VALUE"""),"Bash/Shell/PowerShell;C#;HTML/CSS;Python;SQL;TypeScript")</f>
        <v>Bash/Shell/PowerShell;C#;HTML/CSS;Python;SQL;TypeScript</v>
      </c>
      <c r="M8498" s="9" t="s">
        <v>24</v>
      </c>
    </row>
    <row r="8499" ht="15.75" customHeight="1">
      <c r="A8499" s="7"/>
      <c r="B8499" s="7" t="str">
        <f>IFERROR(__xludf.DUMMYFUNCTION("""COMPUTED_VALUE"""),"Bash/Shell/PowerShell;HTML/CSS;JavaScript;TypeScript")</f>
        <v>Bash/Shell/PowerShell;HTML/CSS;JavaScript;TypeScript</v>
      </c>
      <c r="M8499" s="9" t="s">
        <v>21</v>
      </c>
    </row>
    <row r="8500" ht="15.75" customHeight="1">
      <c r="A8500" s="7"/>
      <c r="B8500" s="7" t="str">
        <f>IFERROR(__xludf.DUMMYFUNCTION("""COMPUTED_VALUE"""),"Bash/Shell/PowerShell;C#;HTML/CSS;Java;JavaScript;Python;SQL;TypeScript")</f>
        <v>Bash/Shell/PowerShell;C#;HTML/CSS;Java;JavaScript;Python;SQL;TypeScript</v>
      </c>
      <c r="M8500" s="9" t="s">
        <v>37</v>
      </c>
    </row>
    <row r="8501" ht="15.75" customHeight="1">
      <c r="A8501" s="7"/>
      <c r="B8501" s="7" t="str">
        <f>IFERROR(__xludf.DUMMYFUNCTION("""COMPUTED_VALUE"""),"Bash/Shell/PowerShell;C;C++;C#;HTML/CSS;Java;JavaScript;SQL")</f>
        <v>Bash/Shell/PowerShell;C;C++;C#;HTML/CSS;Java;JavaScript;SQL</v>
      </c>
      <c r="M8501" s="9" t="s">
        <v>27</v>
      </c>
    </row>
    <row r="8502" ht="15.75" customHeight="1">
      <c r="A8502" s="7"/>
      <c r="B8502" s="7" t="str">
        <f>IFERROR(__xludf.DUMMYFUNCTION("""COMPUTED_VALUE"""),"Bash/Shell/PowerShell;C;C++;HTML/CSS;Java;JavaScript;PHP;SQL")</f>
        <v>Bash/Shell/PowerShell;C;C++;HTML/CSS;Java;JavaScript;PHP;SQL</v>
      </c>
      <c r="M8502" s="9" t="s">
        <v>30</v>
      </c>
    </row>
    <row r="8503" ht="15.75" customHeight="1">
      <c r="A8503" s="7"/>
      <c r="B8503" s="7" t="str">
        <f>IFERROR(__xludf.DUMMYFUNCTION("""COMPUTED_VALUE"""),"HTML/CSS;JavaScript;PHP;SQL;Other(s):")</f>
        <v>HTML/CSS;JavaScript;PHP;SQL;Other(s):</v>
      </c>
      <c r="M8503" s="9" t="s">
        <v>25</v>
      </c>
    </row>
    <row r="8504" ht="15.75" customHeight="1">
      <c r="A8504" s="7"/>
      <c r="B8504" s="7" t="str">
        <f>IFERROR(__xludf.DUMMYFUNCTION("""COMPUTED_VALUE"""),"HTML/CSS;PHP;Python;SQL;VBA")</f>
        <v>HTML/CSS;PHP;Python;SQL;VBA</v>
      </c>
      <c r="M8504" s="9" t="s">
        <v>24</v>
      </c>
    </row>
    <row r="8505" ht="15.75" customHeight="1">
      <c r="A8505" s="7"/>
      <c r="B8505" s="7" t="str">
        <f>IFERROR(__xludf.DUMMYFUNCTION("""COMPUTED_VALUE"""),"Bash/Shell/PowerShell;Clojure;HTML/CSS;Java;JavaScript;Ruby;SQL")</f>
        <v>Bash/Shell/PowerShell;Clojure;HTML/CSS;Java;JavaScript;Ruby;SQL</v>
      </c>
      <c r="M8505" s="9" t="s">
        <v>20</v>
      </c>
    </row>
    <row r="8506" ht="15.75" customHeight="1">
      <c r="A8506" s="7"/>
      <c r="B8506" s="7" t="str">
        <f>IFERROR(__xludf.DUMMYFUNCTION("""COMPUTED_VALUE"""),"Java;Objective-C")</f>
        <v>Java;Objective-C</v>
      </c>
      <c r="M8506" s="9" t="s">
        <v>21</v>
      </c>
    </row>
    <row r="8507" ht="15.75" customHeight="1">
      <c r="A8507" s="7"/>
      <c r="B8507" s="7" t="str">
        <f>IFERROR(__xludf.DUMMYFUNCTION("""COMPUTED_VALUE"""),"HTML/CSS;JavaScript")</f>
        <v>HTML/CSS;JavaScript</v>
      </c>
      <c r="M8507" s="9" t="s">
        <v>37</v>
      </c>
    </row>
    <row r="8508" ht="15.75" customHeight="1">
      <c r="A8508" s="7"/>
      <c r="B8508" s="7" t="str">
        <f>IFERROR(__xludf.DUMMYFUNCTION("""COMPUTED_VALUE"""),"C#;Go;HTML/CSS;Java;JavaScript;Python;SQL;TypeScript")</f>
        <v>C#;Go;HTML/CSS;Java;JavaScript;Python;SQL;TypeScript</v>
      </c>
      <c r="M8508" s="9" t="s">
        <v>27</v>
      </c>
    </row>
    <row r="8509" ht="15.75" customHeight="1">
      <c r="A8509" s="7"/>
      <c r="B8509" s="7" t="str">
        <f>IFERROR(__xludf.DUMMYFUNCTION("""COMPUTED_VALUE"""),"Java;JavaScript;Kotlin;SQL")</f>
        <v>Java;JavaScript;Kotlin;SQL</v>
      </c>
      <c r="M8509" s="9" t="s">
        <v>30</v>
      </c>
    </row>
    <row r="8510" ht="15.75" customHeight="1">
      <c r="A8510" s="7"/>
      <c r="B8510" s="7" t="str">
        <f>IFERROR(__xludf.DUMMYFUNCTION("""COMPUTED_VALUE"""),"JavaScript")</f>
        <v>JavaScript</v>
      </c>
      <c r="M8510" s="9" t="s">
        <v>20</v>
      </c>
    </row>
    <row r="8511" ht="15.75" customHeight="1">
      <c r="A8511" s="7"/>
      <c r="B8511" s="7" t="str">
        <f>IFERROR(__xludf.DUMMYFUNCTION("""COMPUTED_VALUE"""),"C#;HTML/CSS;Java;JavaScript;PHP;SQL")</f>
        <v>C#;HTML/CSS;Java;JavaScript;PHP;SQL</v>
      </c>
      <c r="M8511" s="9" t="s">
        <v>30</v>
      </c>
    </row>
    <row r="8512" ht="15.75" customHeight="1">
      <c r="A8512" s="7"/>
      <c r="B8512" s="7" t="str">
        <f>IFERROR(__xludf.DUMMYFUNCTION("""COMPUTED_VALUE"""),"C#;Dart;HTML/CSS;Java;JavaScript;Kotlin;Objective-C;SQL;Swift;TypeScript")</f>
        <v>C#;Dart;HTML/CSS;Java;JavaScript;Kotlin;Objective-C;SQL;Swift;TypeScript</v>
      </c>
      <c r="M8512" s="9" t="s">
        <v>24</v>
      </c>
    </row>
    <row r="8513" ht="15.75" customHeight="1">
      <c r="A8513" s="7"/>
      <c r="B8513" s="7" t="str">
        <f>IFERROR(__xludf.DUMMYFUNCTION("""COMPUTED_VALUE"""),"Bash/Shell/PowerShell;C;C++;C#;HTML/CSS;JavaScript;SQL;TypeScript")</f>
        <v>Bash/Shell/PowerShell;C;C++;C#;HTML/CSS;JavaScript;SQL;TypeScript</v>
      </c>
      <c r="M8513" s="9" t="s">
        <v>20</v>
      </c>
    </row>
    <row r="8514" ht="15.75" customHeight="1">
      <c r="A8514" s="7"/>
      <c r="B8514" s="7" t="str">
        <f>IFERROR(__xludf.DUMMYFUNCTION("""COMPUTED_VALUE"""),"Assembly;Bash/Shell/PowerShell;C;HTML/CSS;JavaScript;Swift")</f>
        <v>Assembly;Bash/Shell/PowerShell;C;HTML/CSS;JavaScript;Swift</v>
      </c>
      <c r="M8514" s="9" t="s">
        <v>21</v>
      </c>
    </row>
    <row r="8515" ht="15.75" customHeight="1">
      <c r="A8515" s="7"/>
      <c r="B8515" s="7" t="str">
        <f>IFERROR(__xludf.DUMMYFUNCTION("""COMPUTED_VALUE"""),"HTML/CSS;Java;JavaScript;TypeScript")</f>
        <v>HTML/CSS;Java;JavaScript;TypeScript</v>
      </c>
      <c r="M8515" s="9" t="s">
        <v>37</v>
      </c>
    </row>
    <row r="8516" ht="15.75" customHeight="1">
      <c r="A8516" s="7"/>
      <c r="B8516" s="7" t="str">
        <f>IFERROR(__xludf.DUMMYFUNCTION("""COMPUTED_VALUE"""),"C++;HTML/CSS;JavaScript;PHP;Python;SQL")</f>
        <v>C++;HTML/CSS;JavaScript;PHP;Python;SQL</v>
      </c>
      <c r="M8516" s="9" t="s">
        <v>27</v>
      </c>
    </row>
    <row r="8517" ht="15.75" customHeight="1">
      <c r="A8517" s="7"/>
      <c r="B8517" s="7" t="str">
        <f>IFERROR(__xludf.DUMMYFUNCTION("""COMPUTED_VALUE"""),"C#;HTML/CSS;Java;JavaScript")</f>
        <v>C#;HTML/CSS;Java;JavaScript</v>
      </c>
      <c r="M8517" s="9" t="s">
        <v>25</v>
      </c>
    </row>
    <row r="8518" ht="15.75" customHeight="1">
      <c r="A8518" s="7"/>
      <c r="B8518" s="7" t="str">
        <f>IFERROR(__xludf.DUMMYFUNCTION("""COMPUTED_VALUE"""),"Go;HTML/CSS;Java;JavaScript;Kotlin;SQL")</f>
        <v>Go;HTML/CSS;Java;JavaScript;Kotlin;SQL</v>
      </c>
      <c r="M8518" s="9" t="s">
        <v>23</v>
      </c>
    </row>
    <row r="8519" ht="15.75" customHeight="1">
      <c r="A8519" s="7"/>
      <c r="B8519" s="7" t="str">
        <f>IFERROR(__xludf.DUMMYFUNCTION("""COMPUTED_VALUE"""),"Bash/Shell/PowerShell;C#;HTML/CSS;JavaScript;PHP;SQL;TypeScript")</f>
        <v>Bash/Shell/PowerShell;C#;HTML/CSS;JavaScript;PHP;SQL;TypeScript</v>
      </c>
      <c r="M8519" s="9" t="s">
        <v>24</v>
      </c>
    </row>
    <row r="8520" ht="15.75" customHeight="1">
      <c r="A8520" s="7"/>
      <c r="B8520" s="7" t="str">
        <f>IFERROR(__xludf.DUMMYFUNCTION("""COMPUTED_VALUE"""),"Objective-C;Swift")</f>
        <v>Objective-C;Swift</v>
      </c>
      <c r="M8520" s="9" t="s">
        <v>20</v>
      </c>
    </row>
    <row r="8521" ht="15.75" customHeight="1">
      <c r="A8521" s="7"/>
      <c r="B8521" s="7" t="str">
        <f>IFERROR(__xludf.DUMMYFUNCTION("""COMPUTED_VALUE"""),"HTML/CSS;JavaScript")</f>
        <v>HTML/CSS;JavaScript</v>
      </c>
      <c r="M8521" s="9" t="s">
        <v>21</v>
      </c>
    </row>
    <row r="8522" ht="15.75" customHeight="1">
      <c r="A8522" s="7"/>
      <c r="B8522" s="7" t="str">
        <f>IFERROR(__xludf.DUMMYFUNCTION("""COMPUTED_VALUE"""),"HTML/CSS;PHP;Python")</f>
        <v>HTML/CSS;PHP;Python</v>
      </c>
      <c r="M8522" s="9" t="s">
        <v>39</v>
      </c>
    </row>
    <row r="8523" ht="15.75" customHeight="1">
      <c r="A8523" s="7"/>
      <c r="B8523" s="7" t="str">
        <f>IFERROR(__xludf.DUMMYFUNCTION("""COMPUTED_VALUE"""),"C++;Java;Python")</f>
        <v>C++;Java;Python</v>
      </c>
      <c r="M8523" s="9" t="s">
        <v>37</v>
      </c>
    </row>
    <row r="8524" ht="15.75" customHeight="1">
      <c r="A8524" s="7"/>
      <c r="B8524" s="7" t="str">
        <f>IFERROR(__xludf.DUMMYFUNCTION("""COMPUTED_VALUE"""),"Java;SQL;Other(s):")</f>
        <v>Java;SQL;Other(s):</v>
      </c>
      <c r="M8524" s="9" t="s">
        <v>22</v>
      </c>
    </row>
    <row r="8525" ht="15.75" customHeight="1">
      <c r="A8525" s="7"/>
      <c r="B8525" s="7" t="str">
        <f>IFERROR(__xludf.DUMMYFUNCTION("""COMPUTED_VALUE"""),"Java;JavaScript;Other(s):")</f>
        <v>Java;JavaScript;Other(s):</v>
      </c>
      <c r="M8525" s="9" t="s">
        <v>27</v>
      </c>
    </row>
    <row r="8526" ht="15.75" customHeight="1">
      <c r="A8526" s="7"/>
      <c r="B8526" s="7" t="str">
        <f>IFERROR(__xludf.DUMMYFUNCTION("""COMPUTED_VALUE"""),"Bash/Shell/PowerShell;C;C++;C#;Elixir;Erlang;Go;HTML/CSS;Java;JavaScript;Python;Other(s):")</f>
        <v>Bash/Shell/PowerShell;C;C++;C#;Elixir;Erlang;Go;HTML/CSS;Java;JavaScript;Python;Other(s):</v>
      </c>
      <c r="M8526" s="9" t="s">
        <v>23</v>
      </c>
    </row>
    <row r="8527" ht="15.75" customHeight="1">
      <c r="A8527" s="7"/>
      <c r="B8527" s="7" t="str">
        <f>IFERROR(__xludf.DUMMYFUNCTION("""COMPUTED_VALUE"""),"Bash/Shell/PowerShell;Java;Python")</f>
        <v>Bash/Shell/PowerShell;Java;Python</v>
      </c>
      <c r="M8527" s="9" t="s">
        <v>20</v>
      </c>
    </row>
    <row r="8528" ht="15.75" customHeight="1">
      <c r="A8528" s="7"/>
      <c r="B8528" s="7" t="str">
        <f>IFERROR(__xludf.DUMMYFUNCTION("""COMPUTED_VALUE"""),"Java;JavaScript")</f>
        <v>Java;JavaScript</v>
      </c>
      <c r="M8528" s="9" t="s">
        <v>21</v>
      </c>
    </row>
    <row r="8529" ht="15.75" customHeight="1">
      <c r="A8529" s="7"/>
      <c r="B8529" s="7" t="str">
        <f>IFERROR(__xludf.DUMMYFUNCTION("""COMPUTED_VALUE"""),"C;C++;HTML/CSS;Java;JavaScript;Python")</f>
        <v>C;C++;HTML/CSS;Java;JavaScript;Python</v>
      </c>
      <c r="M8529" s="9" t="s">
        <v>39</v>
      </c>
    </row>
    <row r="8530" ht="15.75" customHeight="1">
      <c r="A8530" s="7"/>
      <c r="B8530" s="7" t="str">
        <f>IFERROR(__xludf.DUMMYFUNCTION("""COMPUTED_VALUE"""),"Bash/Shell/PowerShell;C#;HTML/CSS;JavaScript;SQL")</f>
        <v>Bash/Shell/PowerShell;C#;HTML/CSS;JavaScript;SQL</v>
      </c>
      <c r="M8530" s="9" t="s">
        <v>37</v>
      </c>
    </row>
    <row r="8531" ht="15.75" customHeight="1">
      <c r="A8531" s="7"/>
      <c r="B8531" s="7" t="str">
        <f>IFERROR(__xludf.DUMMYFUNCTION("""COMPUTED_VALUE"""),"HTML/CSS;Java;JavaScript;PHP;SQL;TypeScript")</f>
        <v>HTML/CSS;Java;JavaScript;PHP;SQL;TypeScript</v>
      </c>
      <c r="M8531" s="9" t="s">
        <v>27</v>
      </c>
    </row>
    <row r="8532" ht="15.75" customHeight="1">
      <c r="A8532" s="7"/>
      <c r="B8532" s="7" t="str">
        <f>IFERROR(__xludf.DUMMYFUNCTION("""COMPUTED_VALUE"""),"C++")</f>
        <v>C++</v>
      </c>
      <c r="M8532" s="9" t="s">
        <v>37</v>
      </c>
    </row>
    <row r="8533" ht="15.75" customHeight="1">
      <c r="A8533" s="7"/>
      <c r="B8533" s="7" t="str">
        <f>IFERROR(__xludf.DUMMYFUNCTION("""COMPUTED_VALUE"""),"Clojure;HTML/CSS;Java;JavaScript;Python;Rust;TypeScript")</f>
        <v>Clojure;HTML/CSS;Java;JavaScript;Python;Rust;TypeScript</v>
      </c>
      <c r="M8533" s="9" t="s">
        <v>22</v>
      </c>
    </row>
    <row r="8534" ht="15.75" customHeight="1">
      <c r="A8534" s="7"/>
      <c r="B8534" s="7" t="str">
        <f>IFERROR(__xludf.DUMMYFUNCTION("""COMPUTED_VALUE"""),"Bash/Shell/PowerShell;C#;HTML/CSS;Java;JavaScript;PHP;R;SQL;TypeScript")</f>
        <v>Bash/Shell/PowerShell;C#;HTML/CSS;Java;JavaScript;PHP;R;SQL;TypeScript</v>
      </c>
      <c r="M8534" s="9" t="s">
        <v>25</v>
      </c>
    </row>
    <row r="8535" ht="15.75" customHeight="1">
      <c r="A8535" s="7"/>
      <c r="B8535" s="7" t="str">
        <f>IFERROR(__xludf.DUMMYFUNCTION("""COMPUTED_VALUE"""),"Bash/Shell/PowerShell;Go;HTML/CSS;Java;JavaScript;PHP;Python;SQL")</f>
        <v>Bash/Shell/PowerShell;Go;HTML/CSS;Java;JavaScript;PHP;Python;SQL</v>
      </c>
      <c r="M8535" s="9" t="s">
        <v>23</v>
      </c>
    </row>
    <row r="8536" ht="15.75" customHeight="1">
      <c r="A8536" s="7"/>
      <c r="B8536" s="7" t="str">
        <f>IFERROR(__xludf.DUMMYFUNCTION("""COMPUTED_VALUE"""),"Assembly;C;C++;HTML/CSS;Java;JavaScript;SQL")</f>
        <v>Assembly;C;C++;HTML/CSS;Java;JavaScript;SQL</v>
      </c>
      <c r="M8536" s="9" t="s">
        <v>25</v>
      </c>
    </row>
    <row r="8537" ht="15.75" customHeight="1">
      <c r="A8537" s="7"/>
      <c r="B8537" s="7" t="str">
        <f>IFERROR(__xludf.DUMMYFUNCTION("""COMPUTED_VALUE"""),"Bash/Shell/PowerShell;HTML/CSS;Java;JavaScript;Kotlin;PHP;SQL;TypeScript")</f>
        <v>Bash/Shell/PowerShell;HTML/CSS;Java;JavaScript;Kotlin;PHP;SQL;TypeScript</v>
      </c>
      <c r="M8537" s="9" t="s">
        <v>23</v>
      </c>
    </row>
    <row r="8538" ht="15.75" customHeight="1">
      <c r="A8538" s="7"/>
      <c r="B8538" s="7" t="str">
        <f>IFERROR(__xludf.DUMMYFUNCTION("""COMPUTED_VALUE"""),"HTML/CSS;Java;JavaScript;Kotlin;Python;Ruby;SQL;TypeScript;WebAssembly")</f>
        <v>HTML/CSS;Java;JavaScript;Kotlin;Python;Ruby;SQL;TypeScript;WebAssembly</v>
      </c>
      <c r="M8538" s="9" t="s">
        <v>24</v>
      </c>
    </row>
    <row r="8539" ht="15.75" customHeight="1">
      <c r="A8539" s="7"/>
      <c r="B8539" s="7" t="str">
        <f>IFERROR(__xludf.DUMMYFUNCTION("""COMPUTED_VALUE"""),"Bash/Shell/PowerShell;C#;HTML/CSS;JavaScript;PHP;Python;SQL;Other(s):")</f>
        <v>Bash/Shell/PowerShell;C#;HTML/CSS;JavaScript;PHP;Python;SQL;Other(s):</v>
      </c>
      <c r="M8539" s="9" t="s">
        <v>20</v>
      </c>
    </row>
    <row r="8540" ht="15.75" customHeight="1">
      <c r="A8540" s="7"/>
      <c r="B8540" s="7" t="str">
        <f>IFERROR(__xludf.DUMMYFUNCTION("""COMPUTED_VALUE"""),"Objective-C;TypeScript")</f>
        <v>Objective-C;TypeScript</v>
      </c>
      <c r="M8540" s="9" t="s">
        <v>21</v>
      </c>
    </row>
    <row r="8541" ht="15.75" customHeight="1">
      <c r="A8541" s="7"/>
      <c r="B8541" s="7" t="str">
        <f>IFERROR(__xludf.DUMMYFUNCTION("""COMPUTED_VALUE"""),"Assembly;Bash/Shell/PowerShell;C;C++;C#;Clojure;Dart;Elixir;Erlang;F#;Go;HTML/CSS;Java;JavaScript;Kotlin;Objective-C;PHP;Python;R;Ruby;Scala;SQL;Swift;TypeScript;VBA;WebAssembly;Other(s):")</f>
        <v>Assembly;Bash/Shell/PowerShell;C;C++;C#;Clojure;Dart;Elixir;Erlang;F#;Go;HTML/CSS;Java;JavaScript;Kotlin;Objective-C;PHP;Python;R;Ruby;Scala;SQL;Swift;TypeScript;VBA;WebAssembly;Other(s):</v>
      </c>
      <c r="M8541" s="9" t="s">
        <v>37</v>
      </c>
    </row>
    <row r="8542" ht="15.75" customHeight="1">
      <c r="A8542" s="7"/>
      <c r="B8542" s="7" t="str">
        <f>IFERROR(__xludf.DUMMYFUNCTION("""COMPUTED_VALUE"""),"Bash/Shell/PowerShell;HTML/CSS;JavaScript;PHP;SQL")</f>
        <v>Bash/Shell/PowerShell;HTML/CSS;JavaScript;PHP;SQL</v>
      </c>
      <c r="M8542" s="9" t="s">
        <v>22</v>
      </c>
    </row>
    <row r="8543" ht="15.75" customHeight="1">
      <c r="A8543" s="7"/>
      <c r="B8543" s="7" t="str">
        <f>IFERROR(__xludf.DUMMYFUNCTION("""COMPUTED_VALUE"""),"JavaScript;TypeScript")</f>
        <v>JavaScript;TypeScript</v>
      </c>
      <c r="M8543" s="9" t="s">
        <v>27</v>
      </c>
    </row>
    <row r="8544" ht="15.75" customHeight="1">
      <c r="A8544" s="7"/>
      <c r="B8544" s="7" t="str">
        <f>IFERROR(__xludf.DUMMYFUNCTION("""COMPUTED_VALUE"""),"HTML/CSS;Java;JavaScript;Python")</f>
        <v>HTML/CSS;Java;JavaScript;Python</v>
      </c>
      <c r="M8544" s="9" t="s">
        <v>23</v>
      </c>
    </row>
    <row r="8545" ht="15.75" customHeight="1">
      <c r="A8545" s="7"/>
      <c r="B8545" s="7" t="str">
        <f>IFERROR(__xludf.DUMMYFUNCTION("""COMPUTED_VALUE"""),"Java;Kotlin")</f>
        <v>Java;Kotlin</v>
      </c>
      <c r="M8545" s="9" t="s">
        <v>26</v>
      </c>
    </row>
    <row r="8546" ht="15.75" customHeight="1">
      <c r="A8546" s="7"/>
      <c r="B8546" s="7" t="str">
        <f>IFERROR(__xludf.DUMMYFUNCTION("""COMPUTED_VALUE"""),"C++;C#;JavaScript")</f>
        <v>C++;C#;JavaScript</v>
      </c>
      <c r="M8546" s="9" t="s">
        <v>24</v>
      </c>
    </row>
    <row r="8547" ht="15.75" customHeight="1">
      <c r="A8547" s="7"/>
      <c r="B8547" s="7" t="str">
        <f>IFERROR(__xludf.DUMMYFUNCTION("""COMPUTED_VALUE"""),"Bash/Shell/PowerShell;Java;Python;R;Swift")</f>
        <v>Bash/Shell/PowerShell;Java;Python;R;Swift</v>
      </c>
      <c r="M8547" s="9" t="s">
        <v>21</v>
      </c>
    </row>
    <row r="8548" ht="15.75" customHeight="1">
      <c r="A8548" s="7"/>
      <c r="B8548" s="7" t="str">
        <f>IFERROR(__xludf.DUMMYFUNCTION("""COMPUTED_VALUE"""),"Java;Other(s):")</f>
        <v>Java;Other(s):</v>
      </c>
      <c r="M8548" s="9" t="s">
        <v>22</v>
      </c>
    </row>
    <row r="8549" ht="15.75" customHeight="1">
      <c r="A8549" s="7"/>
      <c r="B8549" s="7" t="str">
        <f>IFERROR(__xludf.DUMMYFUNCTION("""COMPUTED_VALUE"""),"Java;JavaScript")</f>
        <v>Java;JavaScript</v>
      </c>
      <c r="M8549" s="9" t="s">
        <v>33</v>
      </c>
    </row>
    <row r="8550" ht="15.75" customHeight="1">
      <c r="A8550" s="7"/>
      <c r="B8550" s="7" t="str">
        <f>IFERROR(__xludf.DUMMYFUNCTION("""COMPUTED_VALUE"""),"Bash/Shell/PowerShell;C#;HTML/CSS;JavaScript;PHP;Python;Ruby;SQL")</f>
        <v>Bash/Shell/PowerShell;C#;HTML/CSS;JavaScript;PHP;Python;Ruby;SQL</v>
      </c>
      <c r="M8550" s="9" t="s">
        <v>25</v>
      </c>
    </row>
    <row r="8551" ht="15.75" customHeight="1">
      <c r="A8551" s="7"/>
      <c r="B8551" s="7" t="str">
        <f>IFERROR(__xludf.DUMMYFUNCTION("""COMPUTED_VALUE"""),"Bash/Shell/PowerShell;C;C++;HTML/CSS;Java;JavaScript;Python;SQL")</f>
        <v>Bash/Shell/PowerShell;C;C++;HTML/CSS;Java;JavaScript;Python;SQL</v>
      </c>
      <c r="M8551" s="9" t="s">
        <v>23</v>
      </c>
    </row>
    <row r="8552" ht="15.75" customHeight="1">
      <c r="A8552" s="7"/>
      <c r="B8552" s="7" t="str">
        <f>IFERROR(__xludf.DUMMYFUNCTION("""COMPUTED_VALUE"""),"C#;HTML/CSS;SQL")</f>
        <v>C#;HTML/CSS;SQL</v>
      </c>
      <c r="M8552" s="9" t="s">
        <v>24</v>
      </c>
    </row>
    <row r="8553" ht="15.75" customHeight="1">
      <c r="A8553" s="7"/>
      <c r="B8553" s="7" t="str">
        <f>IFERROR(__xludf.DUMMYFUNCTION("""COMPUTED_VALUE"""),"Bash/Shell/PowerShell;HTML/CSS;JavaScript;Python;SQL;TypeScript")</f>
        <v>Bash/Shell/PowerShell;HTML/CSS;JavaScript;Python;SQL;TypeScript</v>
      </c>
      <c r="M8553" s="9" t="s">
        <v>20</v>
      </c>
    </row>
    <row r="8554" ht="15.75" customHeight="1">
      <c r="A8554" s="7"/>
      <c r="B8554" s="7" t="str">
        <f>IFERROR(__xludf.DUMMYFUNCTION("""COMPUTED_VALUE"""),"HTML/CSS;Java;JavaScript")</f>
        <v>HTML/CSS;Java;JavaScript</v>
      </c>
      <c r="M8554" s="9" t="s">
        <v>21</v>
      </c>
    </row>
    <row r="8555" ht="15.75" customHeight="1">
      <c r="A8555" s="7"/>
      <c r="B8555" s="7" t="str">
        <f>IFERROR(__xludf.DUMMYFUNCTION("""COMPUTED_VALUE"""),"C#;Python")</f>
        <v>C#;Python</v>
      </c>
      <c r="M8555" s="9" t="s">
        <v>37</v>
      </c>
    </row>
    <row r="8556" ht="15.75" customHeight="1">
      <c r="A8556" s="7"/>
      <c r="B8556" s="7" t="str">
        <f>IFERROR(__xludf.DUMMYFUNCTION("""COMPUTED_VALUE"""),"C#;HTML/CSS;Objective-C;SQL")</f>
        <v>C#;HTML/CSS;Objective-C;SQL</v>
      </c>
      <c r="M8556" s="9" t="s">
        <v>22</v>
      </c>
    </row>
    <row r="8557" ht="15.75" customHeight="1">
      <c r="A8557" s="7"/>
      <c r="B8557" s="7" t="str">
        <f>IFERROR(__xludf.DUMMYFUNCTION("""COMPUTED_VALUE"""),"Bash/Shell/PowerShell;C#;Java;SQL")</f>
        <v>Bash/Shell/PowerShell;C#;Java;SQL</v>
      </c>
      <c r="M8557" s="9" t="s">
        <v>27</v>
      </c>
    </row>
    <row r="8558" ht="15.75" customHeight="1">
      <c r="A8558" s="7"/>
      <c r="B8558" s="7" t="str">
        <f>IFERROR(__xludf.DUMMYFUNCTION("""COMPUTED_VALUE"""),"C#;HTML/CSS;Java;JavaScript;SQL")</f>
        <v>C#;HTML/CSS;Java;JavaScript;SQL</v>
      </c>
      <c r="M8558" s="9" t="s">
        <v>28</v>
      </c>
    </row>
    <row r="8559" ht="15.75" customHeight="1">
      <c r="A8559" s="7"/>
      <c r="B8559" s="7" t="str">
        <f>IFERROR(__xludf.DUMMYFUNCTION("""COMPUTED_VALUE"""),"Java;JavaScript")</f>
        <v>Java;JavaScript</v>
      </c>
      <c r="M8559" s="9" t="s">
        <v>24</v>
      </c>
    </row>
    <row r="8560" ht="15.75" customHeight="1">
      <c r="A8560" s="7"/>
      <c r="B8560" s="7" t="str">
        <f>IFERROR(__xludf.DUMMYFUNCTION("""COMPUTED_VALUE"""),"HTML/CSS;Java;JavaScript;PHP;SQL")</f>
        <v>HTML/CSS;Java;JavaScript;PHP;SQL</v>
      </c>
      <c r="M8560" s="9" t="s">
        <v>21</v>
      </c>
    </row>
    <row r="8561" ht="15.75" customHeight="1">
      <c r="A8561" s="7"/>
      <c r="B8561" s="7" t="str">
        <f>IFERROR(__xludf.DUMMYFUNCTION("""COMPUTED_VALUE"""),"HTML/CSS;JavaScript;Python")</f>
        <v>HTML/CSS;JavaScript;Python</v>
      </c>
      <c r="M8561" s="9" t="s">
        <v>24</v>
      </c>
    </row>
    <row r="8562" ht="15.75" customHeight="1">
      <c r="A8562" s="7"/>
      <c r="B8562" s="7" t="str">
        <f>IFERROR(__xludf.DUMMYFUNCTION("""COMPUTED_VALUE"""),"Bash/Shell/PowerShell;C;C++;C#;HTML/CSS;Java;JavaScript;Objective-C;PHP;Python;Ruby;SQL;Swift;VBA;Other(s):")</f>
        <v>Bash/Shell/PowerShell;C;C++;C#;HTML/CSS;Java;JavaScript;Objective-C;PHP;Python;Ruby;SQL;Swift;VBA;Other(s):</v>
      </c>
      <c r="M8562" s="9" t="s">
        <v>20</v>
      </c>
    </row>
    <row r="8563" ht="15.75" customHeight="1">
      <c r="A8563" s="7"/>
      <c r="B8563" s="7" t="str">
        <f>IFERROR(__xludf.DUMMYFUNCTION("""COMPUTED_VALUE"""),"HTML/CSS;JavaScript;TypeScript")</f>
        <v>HTML/CSS;JavaScript;TypeScript</v>
      </c>
      <c r="M8563" s="9" t="s">
        <v>21</v>
      </c>
    </row>
    <row r="8564" ht="15.75" customHeight="1">
      <c r="A8564" s="7"/>
      <c r="B8564" s="7" t="str">
        <f>IFERROR(__xludf.DUMMYFUNCTION("""COMPUTED_VALUE"""),"C#;HTML/CSS;JavaScript;SQL;TypeScript")</f>
        <v>C#;HTML/CSS;JavaScript;SQL;TypeScript</v>
      </c>
      <c r="M8564" s="9" t="s">
        <v>27</v>
      </c>
    </row>
    <row r="8565" ht="15.75" customHeight="1">
      <c r="A8565" s="7"/>
      <c r="B8565" s="7" t="str">
        <f>IFERROR(__xludf.DUMMYFUNCTION("""COMPUTED_VALUE"""),"C#;HTML/CSS;JavaScript;SQL")</f>
        <v>C#;HTML/CSS;JavaScript;SQL</v>
      </c>
      <c r="M8565" s="9" t="s">
        <v>37</v>
      </c>
    </row>
    <row r="8566" ht="15.75" customHeight="1">
      <c r="A8566" s="7"/>
      <c r="B8566" s="7" t="str">
        <f>IFERROR(__xludf.DUMMYFUNCTION("""COMPUTED_VALUE"""),"Bash/Shell/PowerShell;C;C++;Go;HTML/CSS;Java;JavaScript;PHP;Python;R;SQL")</f>
        <v>Bash/Shell/PowerShell;C;C++;Go;HTML/CSS;Java;JavaScript;PHP;Python;R;SQL</v>
      </c>
      <c r="M8566" s="9" t="s">
        <v>22</v>
      </c>
    </row>
    <row r="8567" ht="15.75" customHeight="1">
      <c r="A8567" s="7"/>
      <c r="B8567" s="7" t="str">
        <f>IFERROR(__xludf.DUMMYFUNCTION("""COMPUTED_VALUE"""),"HTML/CSS;Java;JavaScript;SQL")</f>
        <v>HTML/CSS;Java;JavaScript;SQL</v>
      </c>
      <c r="M8567" s="9" t="s">
        <v>22</v>
      </c>
    </row>
    <row r="8568" ht="15.75" customHeight="1">
      <c r="A8568" s="7"/>
      <c r="B8568" s="7" t="str">
        <f>IFERROR(__xludf.DUMMYFUNCTION("""COMPUTED_VALUE"""),"Assembly;Bash/Shell/PowerShell;C;C++;C#;Clojure;Dart;Elixir;Erlang;F#;Go;HTML/CSS;Java;Kotlin;Objective-C;PHP;Python;R;Ruby;Scala;SQL;Swift;TypeScript;VBA;WebAssembly;Other(s):")</f>
        <v>Assembly;Bash/Shell/PowerShell;C;C++;C#;Clojure;Dart;Elixir;Erlang;F#;Go;HTML/CSS;Java;Kotlin;Objective-C;PHP;Python;R;Ruby;Scala;SQL;Swift;TypeScript;VBA;WebAssembly;Other(s):</v>
      </c>
      <c r="M8568" s="9" t="s">
        <v>29</v>
      </c>
    </row>
    <row r="8569" ht="15.75" customHeight="1">
      <c r="A8569" s="7"/>
      <c r="B8569" s="7" t="str">
        <f>IFERROR(__xludf.DUMMYFUNCTION("""COMPUTED_VALUE"""),"HTML/CSS;Java;JavaScript;Kotlin")</f>
        <v>HTML/CSS;Java;JavaScript;Kotlin</v>
      </c>
      <c r="M8569" s="9" t="s">
        <v>27</v>
      </c>
    </row>
    <row r="8570" ht="15.75" customHeight="1">
      <c r="A8570" s="7"/>
      <c r="B8570" s="7" t="str">
        <f>IFERROR(__xludf.DUMMYFUNCTION("""COMPUTED_VALUE"""),"Go;JavaScript;SQL;TypeScript")</f>
        <v>Go;JavaScript;SQL;TypeScript</v>
      </c>
      <c r="M8570" s="9" t="s">
        <v>30</v>
      </c>
    </row>
    <row r="8571" ht="15.75" customHeight="1">
      <c r="A8571" s="7"/>
      <c r="B8571" s="7" t="str">
        <f>IFERROR(__xludf.DUMMYFUNCTION("""COMPUTED_VALUE"""),"Java")</f>
        <v>Java</v>
      </c>
      <c r="M8571" s="9" t="s">
        <v>23</v>
      </c>
    </row>
    <row r="8572" ht="15.75" customHeight="1">
      <c r="A8572" s="7"/>
      <c r="B8572" s="7" t="str">
        <f>IFERROR(__xludf.DUMMYFUNCTION("""COMPUTED_VALUE"""),"Bash/Shell/PowerShell;HTML/CSS;JavaScript;PHP;SQL;TypeScript")</f>
        <v>Bash/Shell/PowerShell;HTML/CSS;JavaScript;PHP;SQL;TypeScript</v>
      </c>
      <c r="M8572" s="9" t="s">
        <v>21</v>
      </c>
    </row>
    <row r="8573" ht="15.75" customHeight="1">
      <c r="A8573" s="7"/>
      <c r="B8573" s="7" t="str">
        <f>IFERROR(__xludf.DUMMYFUNCTION("""COMPUTED_VALUE"""),"Bash/Shell/PowerShell;C;Java;Python;R;Scala;SQL")</f>
        <v>Bash/Shell/PowerShell;C;Java;Python;R;Scala;SQL</v>
      </c>
      <c r="M8573" s="9" t="s">
        <v>37</v>
      </c>
    </row>
    <row r="8574" ht="15.75" customHeight="1">
      <c r="A8574" s="7"/>
      <c r="B8574" s="7" t="str">
        <f>IFERROR(__xludf.DUMMYFUNCTION("""COMPUTED_VALUE"""),"C#;SQL;TypeScript")</f>
        <v>C#;SQL;TypeScript</v>
      </c>
      <c r="M8574" s="9" t="s">
        <v>22</v>
      </c>
    </row>
    <row r="8575" ht="15.75" customHeight="1">
      <c r="A8575" s="7"/>
      <c r="B8575" s="7" t="str">
        <f>IFERROR(__xludf.DUMMYFUNCTION("""COMPUTED_VALUE"""),"HTML/CSS;JavaScript")</f>
        <v>HTML/CSS;JavaScript</v>
      </c>
      <c r="M8575" s="9" t="s">
        <v>27</v>
      </c>
    </row>
    <row r="8576" ht="15.75" customHeight="1">
      <c r="A8576" s="7"/>
      <c r="B8576" s="7" t="str">
        <f>IFERROR(__xludf.DUMMYFUNCTION("""COMPUTED_VALUE"""),"Bash/Shell/PowerShell;C++;HTML/CSS;Java;JavaScript;Python;SQL;TypeScript")</f>
        <v>Bash/Shell/PowerShell;C++;HTML/CSS;Java;JavaScript;Python;SQL;TypeScript</v>
      </c>
      <c r="M8576" s="9" t="s">
        <v>38</v>
      </c>
    </row>
    <row r="8577" ht="15.75" customHeight="1">
      <c r="A8577" s="7"/>
      <c r="B8577" s="7" t="str">
        <f>IFERROR(__xludf.DUMMYFUNCTION("""COMPUTED_VALUE"""),"Bash/Shell/PowerShell;HTML/CSS;JavaScript;Ruby;SQL;TypeScript")</f>
        <v>Bash/Shell/PowerShell;HTML/CSS;JavaScript;Ruby;SQL;TypeScript</v>
      </c>
      <c r="M8577" s="9" t="s">
        <v>25</v>
      </c>
    </row>
    <row r="8578" ht="15.75" customHeight="1">
      <c r="A8578" s="7"/>
      <c r="B8578" s="7" t="str">
        <f>IFERROR(__xludf.DUMMYFUNCTION("""COMPUTED_VALUE"""),"Bash/Shell/PowerShell;HTML/CSS;Java;JavaScript;Python;R;Ruby")</f>
        <v>Bash/Shell/PowerShell;HTML/CSS;Java;JavaScript;Python;R;Ruby</v>
      </c>
      <c r="M8578" s="9" t="s">
        <v>23</v>
      </c>
    </row>
    <row r="8579" ht="15.75" customHeight="1">
      <c r="A8579" s="7"/>
      <c r="B8579" s="7" t="str">
        <f>IFERROR(__xludf.DUMMYFUNCTION("""COMPUTED_VALUE"""),"Bash/Shell/PowerShell;C#;SQL")</f>
        <v>Bash/Shell/PowerShell;C#;SQL</v>
      </c>
      <c r="M8579" s="9" t="s">
        <v>26</v>
      </c>
    </row>
    <row r="8580" ht="15.75" customHeight="1">
      <c r="A8580" s="7"/>
      <c r="B8580" s="7" t="str">
        <f>IFERROR(__xludf.DUMMYFUNCTION("""COMPUTED_VALUE"""),"Python;SQL")</f>
        <v>Python;SQL</v>
      </c>
      <c r="M8580" s="9" t="s">
        <v>24</v>
      </c>
    </row>
    <row r="8581" ht="15.75" customHeight="1">
      <c r="A8581" s="7"/>
      <c r="B8581" s="7" t="str">
        <f>IFERROR(__xludf.DUMMYFUNCTION("""COMPUTED_VALUE"""),"Assembly;Python;Other(s):")</f>
        <v>Assembly;Python;Other(s):</v>
      </c>
      <c r="M8581" s="9" t="s">
        <v>20</v>
      </c>
    </row>
    <row r="8582" ht="15.75" customHeight="1">
      <c r="A8582" s="7"/>
      <c r="B8582" s="7" t="str">
        <f>IFERROR(__xludf.DUMMYFUNCTION("""COMPUTED_VALUE"""),"Java")</f>
        <v>Java</v>
      </c>
      <c r="M8582" s="9" t="s">
        <v>21</v>
      </c>
    </row>
    <row r="8583" ht="15.75" customHeight="1">
      <c r="A8583" s="7"/>
      <c r="B8583" s="7" t="str">
        <f>IFERROR(__xludf.DUMMYFUNCTION("""COMPUTED_VALUE"""),"Bash/Shell/PowerShell;HTML/CSS;Java;JavaScript;PHP;SQL")</f>
        <v>Bash/Shell/PowerShell;HTML/CSS;Java;JavaScript;PHP;SQL</v>
      </c>
      <c r="M8583" s="9" t="s">
        <v>37</v>
      </c>
    </row>
    <row r="8584" ht="15.75" customHeight="1">
      <c r="A8584" s="7"/>
      <c r="B8584" s="7" t="str">
        <f>IFERROR(__xludf.DUMMYFUNCTION("""COMPUTED_VALUE"""),"Bash/Shell/PowerShell;C#;JavaScript;SQL")</f>
        <v>Bash/Shell/PowerShell;C#;JavaScript;SQL</v>
      </c>
      <c r="M8584" s="9" t="s">
        <v>22</v>
      </c>
    </row>
    <row r="8585" ht="15.75" customHeight="1">
      <c r="A8585" s="7"/>
      <c r="B8585" s="7" t="str">
        <f>IFERROR(__xludf.DUMMYFUNCTION("""COMPUTED_VALUE"""),"C;C++;HTML/CSS;JavaScript;SQL;Other(s):")</f>
        <v>C;C++;HTML/CSS;JavaScript;SQL;Other(s):</v>
      </c>
      <c r="M8585" s="9" t="s">
        <v>31</v>
      </c>
    </row>
    <row r="8586" ht="15.75" customHeight="1">
      <c r="A8586" s="7"/>
      <c r="B8586" s="7" t="str">
        <f>IFERROR(__xludf.DUMMYFUNCTION("""COMPUTED_VALUE"""),"HTML/CSS;Java;JavaScript;PHP;Python;SQL;TypeScript")</f>
        <v>HTML/CSS;Java;JavaScript;PHP;Python;SQL;TypeScript</v>
      </c>
      <c r="M8586" s="9" t="s">
        <v>27</v>
      </c>
    </row>
    <row r="8587" ht="15.75" customHeight="1">
      <c r="A8587" s="7"/>
      <c r="B8587" s="7" t="str">
        <f>IFERROR(__xludf.DUMMYFUNCTION("""COMPUTED_VALUE"""),"Bash/Shell/PowerShell;C;Objective-C;Swift")</f>
        <v>Bash/Shell/PowerShell;C;Objective-C;Swift</v>
      </c>
      <c r="M8587" s="9" t="s">
        <v>30</v>
      </c>
    </row>
    <row r="8588" ht="15.75" customHeight="1">
      <c r="A8588" s="7"/>
      <c r="B8588" s="7" t="str">
        <f>IFERROR(__xludf.DUMMYFUNCTION("""COMPUTED_VALUE"""),"Python")</f>
        <v>Python</v>
      </c>
      <c r="M8588" s="9" t="s">
        <v>24</v>
      </c>
    </row>
    <row r="8589" ht="15.75" customHeight="1">
      <c r="A8589" s="7"/>
      <c r="B8589" s="7" t="str">
        <f>IFERROR(__xludf.DUMMYFUNCTION("""COMPUTED_VALUE"""),"C++;C#;SQL")</f>
        <v>C++;C#;SQL</v>
      </c>
      <c r="M8589" s="9" t="s">
        <v>20</v>
      </c>
    </row>
    <row r="8590" ht="15.75" customHeight="1">
      <c r="A8590" s="7"/>
      <c r="B8590" s="7" t="str">
        <f>IFERROR(__xludf.DUMMYFUNCTION("""COMPUTED_VALUE"""),"C++;Go")</f>
        <v>C++;Go</v>
      </c>
      <c r="M8590" s="9" t="s">
        <v>21</v>
      </c>
    </row>
    <row r="8591" ht="15.75" customHeight="1">
      <c r="A8591" s="7"/>
      <c r="B8591" s="7" t="str">
        <f>IFERROR(__xludf.DUMMYFUNCTION("""COMPUTED_VALUE"""),"HTML/CSS;JavaScript;PHP;Python;SQL;TypeScript")</f>
        <v>HTML/CSS;JavaScript;PHP;Python;SQL;TypeScript</v>
      </c>
      <c r="M8591" s="9" t="s">
        <v>39</v>
      </c>
    </row>
    <row r="8592" ht="15.75" customHeight="1">
      <c r="A8592" s="7"/>
      <c r="B8592" s="7" t="str">
        <f>IFERROR(__xludf.DUMMYFUNCTION("""COMPUTED_VALUE"""),"C#;HTML/CSS;JavaScript;Python;SQL;VBA")</f>
        <v>C#;HTML/CSS;JavaScript;Python;SQL;VBA</v>
      </c>
      <c r="M8592" s="9" t="s">
        <v>22</v>
      </c>
    </row>
    <row r="8593" ht="15.75" customHeight="1">
      <c r="A8593" s="7"/>
      <c r="B8593" s="7" t="str">
        <f>IFERROR(__xludf.DUMMYFUNCTION("""COMPUTED_VALUE"""),"Bash/Shell/PowerShell;C;C++;Go;Python;TypeScript")</f>
        <v>Bash/Shell/PowerShell;C;C++;Go;Python;TypeScript</v>
      </c>
      <c r="M8593" s="9" t="s">
        <v>46</v>
      </c>
    </row>
    <row r="8594" ht="15.75" customHeight="1">
      <c r="A8594" s="7"/>
      <c r="B8594" s="7" t="str">
        <f>IFERROR(__xludf.DUMMYFUNCTION("""COMPUTED_VALUE"""),"C#;HTML/CSS;JavaScript;PHP;SQL")</f>
        <v>C#;HTML/CSS;JavaScript;PHP;SQL</v>
      </c>
      <c r="M8594" s="9" t="s">
        <v>27</v>
      </c>
    </row>
    <row r="8595" ht="15.75" customHeight="1">
      <c r="A8595" s="7"/>
      <c r="B8595" s="7" t="str">
        <f>IFERROR(__xludf.DUMMYFUNCTION("""COMPUTED_VALUE"""),"C;Java;SQL;Other(s):")</f>
        <v>C;Java;SQL;Other(s):</v>
      </c>
      <c r="M8595" s="9" t="s">
        <v>30</v>
      </c>
    </row>
    <row r="8596" ht="15.75" customHeight="1">
      <c r="A8596" s="7"/>
      <c r="B8596" s="7" t="str">
        <f>IFERROR(__xludf.DUMMYFUNCTION("""COMPUTED_VALUE"""),"HTML/CSS;Java;JavaScript;TypeScript")</f>
        <v>HTML/CSS;Java;JavaScript;TypeScript</v>
      </c>
      <c r="M8596" s="9" t="s">
        <v>26</v>
      </c>
    </row>
    <row r="8597" ht="15.75" customHeight="1">
      <c r="A8597" s="7"/>
      <c r="B8597" s="7" t="str">
        <f>IFERROR(__xludf.DUMMYFUNCTION("""COMPUTED_VALUE"""),"C#;HTML/CSS;JavaScript;PHP;SQL")</f>
        <v>C#;HTML/CSS;JavaScript;PHP;SQL</v>
      </c>
      <c r="M8597" s="9" t="s">
        <v>47</v>
      </c>
    </row>
    <row r="8598" ht="15.75" customHeight="1">
      <c r="A8598" s="7"/>
      <c r="B8598" s="7" t="str">
        <f>IFERROR(__xludf.DUMMYFUNCTION("""COMPUTED_VALUE"""),"Go;HTML/CSS;Python;Ruby;SQL")</f>
        <v>Go;HTML/CSS;Python;Ruby;SQL</v>
      </c>
      <c r="M8598" s="9" t="s">
        <v>42</v>
      </c>
    </row>
    <row r="8599" ht="15.75" customHeight="1">
      <c r="A8599" s="7"/>
      <c r="B8599" s="7" t="str">
        <f>IFERROR(__xludf.DUMMYFUNCTION("""COMPUTED_VALUE"""),"HTML/CSS;Java;JavaScript;Python;SQL;TypeScript")</f>
        <v>HTML/CSS;Java;JavaScript;Python;SQL;TypeScript</v>
      </c>
      <c r="M8599" s="9" t="s">
        <v>36</v>
      </c>
    </row>
    <row r="8600" ht="15.75" customHeight="1">
      <c r="A8600" s="7"/>
      <c r="B8600" s="7" t="str">
        <f>IFERROR(__xludf.DUMMYFUNCTION("""COMPUTED_VALUE"""),"C;C++;HTML/CSS;Java;JavaScript;Python;R;SQL")</f>
        <v>C;C++;HTML/CSS;Java;JavaScript;Python;R;SQL</v>
      </c>
      <c r="M8600" s="9" t="s">
        <v>24</v>
      </c>
    </row>
    <row r="8601" ht="15.75" customHeight="1">
      <c r="A8601" s="7"/>
      <c r="B8601" s="7" t="str">
        <f>IFERROR(__xludf.DUMMYFUNCTION("""COMPUTED_VALUE"""),"Bash/Shell/PowerShell;C#;HTML/CSS;JavaScript;Python;R;TypeScript")</f>
        <v>Bash/Shell/PowerShell;C#;HTML/CSS;JavaScript;Python;R;TypeScript</v>
      </c>
      <c r="M8601" s="9" t="s">
        <v>20</v>
      </c>
    </row>
    <row r="8602" ht="15.75" customHeight="1">
      <c r="A8602" s="7"/>
      <c r="B8602" s="7" t="str">
        <f>IFERROR(__xludf.DUMMYFUNCTION("""COMPUTED_VALUE"""),"HTML/CSS;Java;JavaScript")</f>
        <v>HTML/CSS;Java;JavaScript</v>
      </c>
      <c r="M8602" s="9" t="s">
        <v>21</v>
      </c>
    </row>
    <row r="8603" ht="15.75" customHeight="1">
      <c r="A8603" s="7"/>
      <c r="B8603" s="7" t="str">
        <f>IFERROR(__xludf.DUMMYFUNCTION("""COMPUTED_VALUE"""),"C;HTML/CSS;Java;JavaScript;PHP;Python;SQL;VBA")</f>
        <v>C;HTML/CSS;Java;JavaScript;PHP;Python;SQL;VBA</v>
      </c>
      <c r="M8603" s="9" t="s">
        <v>39</v>
      </c>
    </row>
    <row r="8604" ht="15.75" customHeight="1">
      <c r="A8604" s="7"/>
      <c r="B8604" s="7" t="str">
        <f>IFERROR(__xludf.DUMMYFUNCTION("""COMPUTED_VALUE"""),"HTML/CSS;JavaScript;PHP")</f>
        <v>HTML/CSS;JavaScript;PHP</v>
      </c>
      <c r="M8604" s="9" t="s">
        <v>22</v>
      </c>
    </row>
    <row r="8605" ht="15.75" customHeight="1">
      <c r="A8605" s="7"/>
      <c r="B8605" s="7" t="str">
        <f>IFERROR(__xludf.DUMMYFUNCTION("""COMPUTED_VALUE"""),"Bash/Shell/PowerShell;C;C#;Elixir;JavaScript;SQL;TypeScript")</f>
        <v>Bash/Shell/PowerShell;C;C#;Elixir;JavaScript;SQL;TypeScript</v>
      </c>
      <c r="M8605" s="9" t="s">
        <v>31</v>
      </c>
    </row>
    <row r="8606" ht="15.75" customHeight="1">
      <c r="A8606" s="7"/>
      <c r="B8606" s="7" t="str">
        <f>IFERROR(__xludf.DUMMYFUNCTION("""COMPUTED_VALUE"""),"Bash/Shell/PowerShell;Go;HTML/CSS;Java;JavaScript;PHP;Python;R;Other(s):")</f>
        <v>Bash/Shell/PowerShell;Go;HTML/CSS;Java;JavaScript;PHP;Python;R;Other(s):</v>
      </c>
      <c r="M8606" s="9" t="s">
        <v>40</v>
      </c>
    </row>
    <row r="8607" ht="15.75" customHeight="1">
      <c r="A8607" s="7"/>
      <c r="B8607" s="7" t="str">
        <f>IFERROR(__xludf.DUMMYFUNCTION("""COMPUTED_VALUE"""),"C#;HTML/CSS;Java;JavaScript;PHP;SQL")</f>
        <v>C#;HTML/CSS;Java;JavaScript;PHP;SQL</v>
      </c>
      <c r="M8607" s="9" t="s">
        <v>33</v>
      </c>
    </row>
    <row r="8608" ht="15.75" customHeight="1">
      <c r="A8608" s="7"/>
      <c r="B8608" s="7" t="str">
        <f>IFERROR(__xludf.DUMMYFUNCTION("""COMPUTED_VALUE"""),"Go;HTML/CSS;Java;JavaScript;PHP;Python;SQL")</f>
        <v>Go;HTML/CSS;Java;JavaScript;PHP;Python;SQL</v>
      </c>
      <c r="M8608" s="9" t="s">
        <v>24</v>
      </c>
    </row>
    <row r="8609" ht="15.75" customHeight="1">
      <c r="A8609" s="7"/>
      <c r="B8609" s="7" t="str">
        <f>IFERROR(__xludf.DUMMYFUNCTION("""COMPUTED_VALUE"""),"C;C++;Java;Python;SQL")</f>
        <v>C;C++;Java;Python;SQL</v>
      </c>
      <c r="M8609" s="9" t="s">
        <v>21</v>
      </c>
    </row>
    <row r="8610" ht="15.75" customHeight="1">
      <c r="A8610" s="7"/>
      <c r="B8610" s="7" t="str">
        <f>IFERROR(__xludf.DUMMYFUNCTION("""COMPUTED_VALUE"""),"Bash/Shell/PowerShell;C;C++;HTML/CSS;Java;JavaScript;SQL")</f>
        <v>Bash/Shell/PowerShell;C;C++;HTML/CSS;Java;JavaScript;SQL</v>
      </c>
      <c r="M8610" s="9" t="s">
        <v>33</v>
      </c>
    </row>
    <row r="8611" ht="15.75" customHeight="1">
      <c r="A8611" s="7"/>
      <c r="B8611" s="7" t="str">
        <f>IFERROR(__xludf.DUMMYFUNCTION("""COMPUTED_VALUE"""),"Bash/Shell/PowerShell;HTML/CSS;JavaScript;Ruby")</f>
        <v>Bash/Shell/PowerShell;HTML/CSS;JavaScript;Ruby</v>
      </c>
      <c r="M8611" s="9" t="s">
        <v>38</v>
      </c>
    </row>
    <row r="8612" ht="15.75" customHeight="1">
      <c r="A8612" s="7"/>
      <c r="B8612" s="7" t="str">
        <f>IFERROR(__xludf.DUMMYFUNCTION("""COMPUTED_VALUE"""),"Java;Python")</f>
        <v>Java;Python</v>
      </c>
      <c r="M8612" s="9" t="s">
        <v>30</v>
      </c>
    </row>
    <row r="8613" ht="15.75" customHeight="1">
      <c r="A8613" s="7"/>
      <c r="B8613" s="7" t="str">
        <f>IFERROR(__xludf.DUMMYFUNCTION("""COMPUTED_VALUE"""),"Bash/Shell/PowerShell;Clojure;Go;HTML/CSS;JavaScript;Ruby;Other(s):")</f>
        <v>Bash/Shell/PowerShell;Clojure;Go;HTML/CSS;JavaScript;Ruby;Other(s):</v>
      </c>
      <c r="M8613" s="9" t="s">
        <v>24</v>
      </c>
    </row>
    <row r="8614" ht="15.75" customHeight="1">
      <c r="A8614" s="7"/>
      <c r="B8614" s="7" t="str">
        <f>IFERROR(__xludf.DUMMYFUNCTION("""COMPUTED_VALUE"""),"Bash/Shell/PowerShell;C++;HTML/CSS;PHP;Python;TypeScript")</f>
        <v>Bash/Shell/PowerShell;C++;HTML/CSS;PHP;Python;TypeScript</v>
      </c>
      <c r="M8614" s="9" t="s">
        <v>20</v>
      </c>
    </row>
    <row r="8615" ht="15.75" customHeight="1">
      <c r="A8615" s="7"/>
      <c r="B8615" s="7" t="str">
        <f>IFERROR(__xludf.DUMMYFUNCTION("""COMPUTED_VALUE"""),"Bash/Shell/PowerShell;HTML/CSS;Java;JavaScript;SQL")</f>
        <v>Bash/Shell/PowerShell;HTML/CSS;Java;JavaScript;SQL</v>
      </c>
      <c r="M8615" s="9" t="s">
        <v>21</v>
      </c>
    </row>
    <row r="8616" ht="15.75" customHeight="1">
      <c r="A8616" s="7"/>
      <c r="B8616" s="7" t="str">
        <f>IFERROR(__xludf.DUMMYFUNCTION("""COMPUTED_VALUE"""),"C;Java;Python;TypeScript")</f>
        <v>C;Java;Python;TypeScript</v>
      </c>
      <c r="M8616" s="9" t="s">
        <v>46</v>
      </c>
    </row>
    <row r="8617" ht="15.75" customHeight="1">
      <c r="A8617" s="7"/>
      <c r="B8617" s="7" t="str">
        <f>IFERROR(__xludf.DUMMYFUNCTION("""COMPUTED_VALUE"""),"C#;HTML/CSS;JavaScript;SQL")</f>
        <v>C#;HTML/CSS;JavaScript;SQL</v>
      </c>
      <c r="M8617" s="9" t="s">
        <v>24</v>
      </c>
    </row>
    <row r="8618" ht="15.75" customHeight="1">
      <c r="A8618" s="7"/>
      <c r="B8618" s="7" t="str">
        <f>IFERROR(__xludf.DUMMYFUNCTION("""COMPUTED_VALUE"""),"C#;JavaScript;PHP;SQL")</f>
        <v>C#;JavaScript;PHP;SQL</v>
      </c>
      <c r="M8618" s="9" t="s">
        <v>20</v>
      </c>
    </row>
    <row r="8619" ht="15.75" customHeight="1">
      <c r="A8619" s="7"/>
      <c r="B8619" s="7" t="str">
        <f>IFERROR(__xludf.DUMMYFUNCTION("""COMPUTED_VALUE"""),"Go;JavaScript")</f>
        <v>Go;JavaScript</v>
      </c>
      <c r="M8619" s="9" t="s">
        <v>35</v>
      </c>
    </row>
    <row r="8620" ht="15.75" customHeight="1">
      <c r="A8620" s="7"/>
      <c r="B8620" s="7" t="str">
        <f>IFERROR(__xludf.DUMMYFUNCTION("""COMPUTED_VALUE"""),"HTML/CSS;Java;JavaScript;PHP;Scala;SQL")</f>
        <v>HTML/CSS;Java;JavaScript;PHP;Scala;SQL</v>
      </c>
      <c r="M8620" s="9" t="s">
        <v>20</v>
      </c>
    </row>
    <row r="8621" ht="15.75" customHeight="1">
      <c r="A8621" s="7"/>
      <c r="B8621" s="7" t="str">
        <f>IFERROR(__xludf.DUMMYFUNCTION("""COMPUTED_VALUE"""),"HTML/CSS;JavaScript;PHP")</f>
        <v>HTML/CSS;JavaScript;PHP</v>
      </c>
      <c r="M8621" s="9" t="s">
        <v>35</v>
      </c>
    </row>
    <row r="8622" ht="15.75" customHeight="1">
      <c r="A8622" s="7"/>
      <c r="B8622" s="7" t="str">
        <f>IFERROR(__xludf.DUMMYFUNCTION("""COMPUTED_VALUE"""),"HTML/CSS;JavaScript;Ruby")</f>
        <v>HTML/CSS;JavaScript;Ruby</v>
      </c>
      <c r="M8622" s="9" t="s">
        <v>24</v>
      </c>
    </row>
    <row r="8623" ht="15.75" customHeight="1">
      <c r="A8623" s="7"/>
      <c r="B8623" s="7" t="str">
        <f>IFERROR(__xludf.DUMMYFUNCTION("""COMPUTED_VALUE"""),"Bash/Shell/PowerShell;C++;Java;Python;R;SQL")</f>
        <v>Bash/Shell/PowerShell;C++;Java;Python;R;SQL</v>
      </c>
      <c r="M8623" s="9" t="s">
        <v>20</v>
      </c>
    </row>
    <row r="8624" ht="15.75" customHeight="1">
      <c r="A8624" s="7"/>
      <c r="B8624" s="7" t="str">
        <f>IFERROR(__xludf.DUMMYFUNCTION("""COMPUTED_VALUE"""),"C#;HTML/CSS;JavaScript;SQL")</f>
        <v>C#;HTML/CSS;JavaScript;SQL</v>
      </c>
      <c r="M8624" s="9" t="s">
        <v>21</v>
      </c>
    </row>
    <row r="8625" ht="15.75" customHeight="1">
      <c r="A8625" s="7"/>
      <c r="B8625" s="7" t="str">
        <f>IFERROR(__xludf.DUMMYFUNCTION("""COMPUTED_VALUE"""),"Dart;JavaScript;TypeScript")</f>
        <v>Dart;JavaScript;TypeScript</v>
      </c>
      <c r="M8625" s="9" t="s">
        <v>37</v>
      </c>
    </row>
    <row r="8626" ht="15.75" customHeight="1">
      <c r="A8626" s="7"/>
      <c r="B8626" s="7" t="str">
        <f>IFERROR(__xludf.DUMMYFUNCTION("""COMPUTED_VALUE"""),"Bash/Shell/PowerShell;C++;HTML/CSS;JavaScript;Ruby;SQL;TypeScript")</f>
        <v>Bash/Shell/PowerShell;C++;HTML/CSS;JavaScript;Ruby;SQL;TypeScript</v>
      </c>
      <c r="M8626" s="9" t="s">
        <v>33</v>
      </c>
    </row>
    <row r="8627" ht="15.75" customHeight="1">
      <c r="A8627" s="7"/>
      <c r="B8627" s="7" t="str">
        <f>IFERROR(__xludf.DUMMYFUNCTION("""COMPUTED_VALUE"""),"Assembly;Bash/Shell/PowerShell;C;HTML/CSS;Java;PHP;Python;Ruby;Scala;SQL")</f>
        <v>Assembly;Bash/Shell/PowerShell;C;HTML/CSS;Java;PHP;Python;Ruby;Scala;SQL</v>
      </c>
      <c r="M8627" s="9" t="s">
        <v>24</v>
      </c>
    </row>
    <row r="8628" ht="15.75" customHeight="1">
      <c r="A8628" s="7"/>
      <c r="B8628" s="7" t="str">
        <f>IFERROR(__xludf.DUMMYFUNCTION("""COMPUTED_VALUE"""),"Bash/Shell/PowerShell;HTML/CSS;JavaScript;Python;SQL;TypeScript")</f>
        <v>Bash/Shell/PowerShell;HTML/CSS;JavaScript;Python;SQL;TypeScript</v>
      </c>
      <c r="M8628" s="9" t="s">
        <v>20</v>
      </c>
    </row>
    <row r="8629" ht="15.75" customHeight="1">
      <c r="A8629" s="7"/>
      <c r="B8629" s="7" t="str">
        <f>IFERROR(__xludf.DUMMYFUNCTION("""COMPUTED_VALUE"""),"HTML/CSS;JavaScript")</f>
        <v>HTML/CSS;JavaScript</v>
      </c>
      <c r="M8629" s="9" t="s">
        <v>21</v>
      </c>
    </row>
    <row r="8630" ht="15.75" customHeight="1">
      <c r="A8630" s="7"/>
      <c r="B8630" s="7" t="str">
        <f>IFERROR(__xludf.DUMMYFUNCTION("""COMPUTED_VALUE"""),"Bash/Shell/PowerShell;C;C++;C#;Elixir;Erlang;Go;HTML/CSS;PHP;Python;Ruby;SQL")</f>
        <v>Bash/Shell/PowerShell;C;C++;C#;Elixir;Erlang;Go;HTML/CSS;PHP;Python;Ruby;SQL</v>
      </c>
      <c r="M8630" s="9" t="s">
        <v>27</v>
      </c>
    </row>
    <row r="8631" ht="15.75" customHeight="1">
      <c r="A8631" s="7"/>
      <c r="B8631" s="7" t="str">
        <f>IFERROR(__xludf.DUMMYFUNCTION("""COMPUTED_VALUE"""),"HTML/CSS;Python")</f>
        <v>HTML/CSS;Python</v>
      </c>
      <c r="M8631" s="9" t="s">
        <v>33</v>
      </c>
    </row>
    <row r="8632" ht="15.75" customHeight="1">
      <c r="A8632" s="7"/>
      <c r="B8632" s="7" t="str">
        <f>IFERROR(__xludf.DUMMYFUNCTION("""COMPUTED_VALUE"""),"Java")</f>
        <v>Java</v>
      </c>
      <c r="M8632" s="9" t="s">
        <v>25</v>
      </c>
    </row>
    <row r="8633" ht="15.75" customHeight="1">
      <c r="A8633" s="7"/>
      <c r="B8633" s="7" t="str">
        <f>IFERROR(__xludf.DUMMYFUNCTION("""COMPUTED_VALUE"""),"C++;C#;HTML/CSS;SQL")</f>
        <v>C++;C#;HTML/CSS;SQL</v>
      </c>
      <c r="M8633" s="9" t="s">
        <v>23</v>
      </c>
    </row>
    <row r="8634" ht="15.75" customHeight="1">
      <c r="A8634" s="7"/>
      <c r="B8634" s="7" t="str">
        <f>IFERROR(__xludf.DUMMYFUNCTION("""COMPUTED_VALUE"""),"Assembly;Bash/Shell/PowerShell;C;C++;Java;PHP;SQL;TypeScript;VBA")</f>
        <v>Assembly;Bash/Shell/PowerShell;C;C++;Java;PHP;SQL;TypeScript;VBA</v>
      </c>
      <c r="M8634" s="9" t="s">
        <v>20</v>
      </c>
    </row>
    <row r="8635" ht="15.75" customHeight="1">
      <c r="A8635" s="7"/>
      <c r="B8635" s="7" t="str">
        <f>IFERROR(__xludf.DUMMYFUNCTION("""COMPUTED_VALUE"""),"C;C#;HTML/CSS;Java;JavaScript;PHP;SQL")</f>
        <v>C;C#;HTML/CSS;Java;JavaScript;PHP;SQL</v>
      </c>
      <c r="M8635" s="9" t="s">
        <v>22</v>
      </c>
    </row>
    <row r="8636" ht="15.75" customHeight="1">
      <c r="A8636" s="7"/>
      <c r="B8636" s="7" t="str">
        <f>IFERROR(__xludf.DUMMYFUNCTION("""COMPUTED_VALUE"""),"C;C++;C#;HTML/CSS;Java;JavaScript")</f>
        <v>C;C++;C#;HTML/CSS;Java;JavaScript</v>
      </c>
      <c r="M8636" s="9" t="s">
        <v>24</v>
      </c>
    </row>
    <row r="8637" ht="15.75" customHeight="1">
      <c r="A8637" s="7"/>
      <c r="B8637" s="7" t="str">
        <f>IFERROR(__xludf.DUMMYFUNCTION("""COMPUTED_VALUE"""),"HTML/CSS;JavaScript;PHP;Python;SQL")</f>
        <v>HTML/CSS;JavaScript;PHP;Python;SQL</v>
      </c>
      <c r="M8637" s="9" t="s">
        <v>21</v>
      </c>
    </row>
    <row r="8638" ht="15.75" customHeight="1">
      <c r="A8638" s="7"/>
      <c r="B8638" s="7" t="str">
        <f>IFERROR(__xludf.DUMMYFUNCTION("""COMPUTED_VALUE"""),"Go;HTML/CSS;Java;JavaScript;Python")</f>
        <v>Go;HTML/CSS;Java;JavaScript;Python</v>
      </c>
      <c r="M8638" s="9" t="s">
        <v>33</v>
      </c>
    </row>
    <row r="8639" ht="15.75" customHeight="1">
      <c r="A8639" s="7"/>
      <c r="B8639" s="7" t="str">
        <f>IFERROR(__xludf.DUMMYFUNCTION("""COMPUTED_VALUE"""),"C#;HTML/CSS;JavaScript;SQL")</f>
        <v>C#;HTML/CSS;JavaScript;SQL</v>
      </c>
      <c r="M8639" s="9" t="s">
        <v>20</v>
      </c>
    </row>
    <row r="8640" ht="15.75" customHeight="1">
      <c r="A8640" s="7"/>
      <c r="B8640" s="7" t="str">
        <f>IFERROR(__xludf.DUMMYFUNCTION("""COMPUTED_VALUE"""),"C++")</f>
        <v>C++</v>
      </c>
      <c r="M8640" s="9" t="s">
        <v>46</v>
      </c>
    </row>
    <row r="8641" ht="15.75" customHeight="1">
      <c r="A8641" s="7"/>
      <c r="B8641" s="7" t="str">
        <f>IFERROR(__xludf.DUMMYFUNCTION("""COMPUTED_VALUE"""),"C#;HTML/CSS;Java;Python;SQL;VBA")</f>
        <v>C#;HTML/CSS;Java;Python;SQL;VBA</v>
      </c>
      <c r="M8641" s="9" t="s">
        <v>27</v>
      </c>
    </row>
    <row r="8642" ht="15.75" customHeight="1">
      <c r="A8642" s="7"/>
      <c r="B8642" s="7" t="str">
        <f>IFERROR(__xludf.DUMMYFUNCTION("""COMPUTED_VALUE"""),"C#;HTML/CSS;Java;JavaScript;SQL")</f>
        <v>C#;HTML/CSS;Java;JavaScript;SQL</v>
      </c>
      <c r="M8642" s="9" t="s">
        <v>30</v>
      </c>
    </row>
    <row r="8643" ht="15.75" customHeight="1">
      <c r="A8643" s="7"/>
      <c r="B8643" s="7" t="str">
        <f>IFERROR(__xludf.DUMMYFUNCTION("""COMPUTED_VALUE"""),"C#;Elixir;Erlang;Go;Java;Kotlin;Ruby;SQL")</f>
        <v>C#;Elixir;Erlang;Go;Java;Kotlin;Ruby;SQL</v>
      </c>
      <c r="M8643" s="9" t="s">
        <v>36</v>
      </c>
    </row>
    <row r="8644" ht="15.75" customHeight="1">
      <c r="A8644" s="7"/>
      <c r="B8644" s="7" t="str">
        <f>IFERROR(__xludf.DUMMYFUNCTION("""COMPUTED_VALUE"""),"Bash/Shell/PowerShell;C#;HTML/CSS;JavaScript;SQL;TypeScript")</f>
        <v>Bash/Shell/PowerShell;C#;HTML/CSS;JavaScript;SQL;TypeScript</v>
      </c>
      <c r="M8644" s="9" t="s">
        <v>20</v>
      </c>
    </row>
    <row r="8645" ht="15.75" customHeight="1">
      <c r="A8645" s="7"/>
      <c r="B8645" s="7" t="str">
        <f>IFERROR(__xludf.DUMMYFUNCTION("""COMPUTED_VALUE"""),"Bash/Shell/PowerShell;HTML/CSS;Java;JavaScript;Ruby")</f>
        <v>Bash/Shell/PowerShell;HTML/CSS;Java;JavaScript;Ruby</v>
      </c>
      <c r="M8645" s="9" t="s">
        <v>39</v>
      </c>
    </row>
    <row r="8646" ht="15.75" customHeight="1">
      <c r="A8646" s="7"/>
      <c r="B8646" s="7" t="str">
        <f>IFERROR(__xludf.DUMMYFUNCTION("""COMPUTED_VALUE"""),"C++;HTML/CSS;JavaScript;Python")</f>
        <v>C++;HTML/CSS;JavaScript;Python</v>
      </c>
      <c r="M8646" s="9" t="s">
        <v>22</v>
      </c>
    </row>
    <row r="8647" ht="15.75" customHeight="1">
      <c r="A8647" s="7"/>
      <c r="B8647" s="7" t="str">
        <f>IFERROR(__xludf.DUMMYFUNCTION("""COMPUTED_VALUE"""),"Bash/Shell/PowerShell;C++;Java;JavaScript;Objective-C;PHP;SQL;TypeScript")</f>
        <v>Bash/Shell/PowerShell;C++;Java;JavaScript;Objective-C;PHP;SQL;TypeScript</v>
      </c>
      <c r="M8647" s="9" t="s">
        <v>30</v>
      </c>
    </row>
    <row r="8648" ht="15.75" customHeight="1">
      <c r="A8648" s="7"/>
      <c r="B8648" s="7" t="str">
        <f>IFERROR(__xludf.DUMMYFUNCTION("""COMPUTED_VALUE"""),"Bash/Shell/PowerShell;C;C++;Java;PHP;Python;Rust;SQL")</f>
        <v>Bash/Shell/PowerShell;C;C++;Java;PHP;Python;Rust;SQL</v>
      </c>
      <c r="M8648" s="9" t="s">
        <v>33</v>
      </c>
    </row>
    <row r="8649" ht="15.75" customHeight="1">
      <c r="A8649" s="7"/>
      <c r="B8649" s="7" t="str">
        <f>IFERROR(__xludf.DUMMYFUNCTION("""COMPUTED_VALUE"""),"HTML/CSS;JavaScript;PHP;SQL")</f>
        <v>HTML/CSS;JavaScript;PHP;SQL</v>
      </c>
      <c r="M8649" s="9" t="s">
        <v>23</v>
      </c>
    </row>
    <row r="8650" ht="15.75" customHeight="1">
      <c r="A8650" s="7"/>
      <c r="B8650" s="7" t="str">
        <f>IFERROR(__xludf.DUMMYFUNCTION("""COMPUTED_VALUE"""),"Assembly;C#;HTML/CSS;Java;JavaScript;PHP;SQL;TypeScript")</f>
        <v>Assembly;C#;HTML/CSS;Java;JavaScript;PHP;SQL;TypeScript</v>
      </c>
      <c r="M8650" s="9" t="s">
        <v>20</v>
      </c>
    </row>
    <row r="8651" ht="15.75" customHeight="1">
      <c r="A8651" s="7"/>
      <c r="B8651" s="7" t="str">
        <f>IFERROR(__xludf.DUMMYFUNCTION("""COMPUTED_VALUE"""),"C#;JavaScript;SQL")</f>
        <v>C#;JavaScript;SQL</v>
      </c>
      <c r="M8651" s="9" t="s">
        <v>30</v>
      </c>
    </row>
    <row r="8652" ht="15.75" customHeight="1">
      <c r="A8652" s="7"/>
      <c r="B8652" s="7" t="str">
        <f>IFERROR(__xludf.DUMMYFUNCTION("""COMPUTED_VALUE"""),"Clojure;Go;SQL")</f>
        <v>Clojure;Go;SQL</v>
      </c>
      <c r="M8652" s="9" t="s">
        <v>25</v>
      </c>
    </row>
    <row r="8653" ht="15.75" customHeight="1">
      <c r="A8653" s="7"/>
      <c r="B8653" s="7" t="str">
        <f>IFERROR(__xludf.DUMMYFUNCTION("""COMPUTED_VALUE"""),"C++;C#;HTML/CSS;Java;JavaScript;Objective-C;Python;SQL")</f>
        <v>C++;C#;HTML/CSS;Java;JavaScript;Objective-C;Python;SQL</v>
      </c>
      <c r="M8653" s="9" t="s">
        <v>44</v>
      </c>
    </row>
    <row r="8654" ht="15.75" customHeight="1">
      <c r="A8654" s="7"/>
      <c r="B8654" s="7" t="str">
        <f>IFERROR(__xludf.DUMMYFUNCTION("""COMPUTED_VALUE"""),"HTML/CSS;JavaScript;PHP;VBA")</f>
        <v>HTML/CSS;JavaScript;PHP;VBA</v>
      </c>
      <c r="M8654" s="9" t="s">
        <v>24</v>
      </c>
    </row>
    <row r="8655" ht="15.75" customHeight="1">
      <c r="A8655" s="7"/>
      <c r="B8655" s="7" t="str">
        <f>IFERROR(__xludf.DUMMYFUNCTION("""COMPUTED_VALUE"""),"HTML/CSS;JavaScript;SQL;TypeScript")</f>
        <v>HTML/CSS;JavaScript;SQL;TypeScript</v>
      </c>
      <c r="M8655" s="9" t="s">
        <v>20</v>
      </c>
    </row>
    <row r="8656" ht="15.75" customHeight="1">
      <c r="A8656" s="7"/>
      <c r="B8656" s="7" t="str">
        <f>IFERROR(__xludf.DUMMYFUNCTION("""COMPUTED_VALUE"""),"Bash/Shell/PowerShell;Go;Python;SQL")</f>
        <v>Bash/Shell/PowerShell;Go;Python;SQL</v>
      </c>
      <c r="M8656" s="9" t="s">
        <v>21</v>
      </c>
    </row>
    <row r="8657" ht="15.75" customHeight="1">
      <c r="A8657" s="7"/>
      <c r="B8657" s="7" t="str">
        <f>IFERROR(__xludf.DUMMYFUNCTION("""COMPUTED_VALUE"""),"Bash/Shell/PowerShell;C;C#;HTML/CSS;JavaScript;Python;SQL")</f>
        <v>Bash/Shell/PowerShell;C;C#;HTML/CSS;JavaScript;Python;SQL</v>
      </c>
      <c r="M8657" s="9" t="s">
        <v>33</v>
      </c>
    </row>
    <row r="8658" ht="15.75" customHeight="1">
      <c r="A8658" s="7"/>
      <c r="B8658" s="7" t="str">
        <f>IFERROR(__xludf.DUMMYFUNCTION("""COMPUTED_VALUE"""),"Bash/Shell/PowerShell;Python;Other(s):")</f>
        <v>Bash/Shell/PowerShell;Python;Other(s):</v>
      </c>
      <c r="M8658" s="9" t="s">
        <v>35</v>
      </c>
    </row>
    <row r="8659" ht="15.75" customHeight="1">
      <c r="A8659" s="7"/>
      <c r="B8659" s="7" t="str">
        <f>IFERROR(__xludf.DUMMYFUNCTION("""COMPUTED_VALUE"""),"HTML/CSS;JavaScript;Ruby;TypeScript")</f>
        <v>HTML/CSS;JavaScript;Ruby;TypeScript</v>
      </c>
      <c r="M8659" s="9" t="s">
        <v>26</v>
      </c>
    </row>
    <row r="8660" ht="15.75" customHeight="1">
      <c r="A8660" s="7"/>
      <c r="B8660" s="7" t="str">
        <f>IFERROR(__xludf.DUMMYFUNCTION("""COMPUTED_VALUE"""),"Bash/Shell/PowerShell;C;C#;HTML/CSS;JavaScript;Python")</f>
        <v>Bash/Shell/PowerShell;C;C#;HTML/CSS;JavaScript;Python</v>
      </c>
      <c r="M8660" s="9" t="s">
        <v>24</v>
      </c>
    </row>
    <row r="8661" ht="15.75" customHeight="1">
      <c r="A8661" s="7"/>
      <c r="B8661" s="7" t="str">
        <f>IFERROR(__xludf.DUMMYFUNCTION("""COMPUTED_VALUE"""),"C#;HTML/CSS;JavaScript;SQL;TypeScript")</f>
        <v>C#;HTML/CSS;JavaScript;SQL;TypeScript</v>
      </c>
      <c r="M8661" s="9" t="s">
        <v>21</v>
      </c>
    </row>
    <row r="8662" ht="15.75" customHeight="1">
      <c r="A8662" s="7"/>
      <c r="B8662" s="7" t="str">
        <f>IFERROR(__xludf.DUMMYFUNCTION("""COMPUTED_VALUE"""),"HTML/CSS;JavaScript;PHP;SQL;TypeScript")</f>
        <v>HTML/CSS;JavaScript;PHP;SQL;TypeScript</v>
      </c>
      <c r="M8662" s="9" t="s">
        <v>27</v>
      </c>
    </row>
    <row r="8663" ht="15.75" customHeight="1">
      <c r="A8663" s="7"/>
      <c r="B8663" s="7" t="str">
        <f>IFERROR(__xludf.DUMMYFUNCTION("""COMPUTED_VALUE"""),"Bash/Shell/PowerShell;HTML/CSS;JavaScript;PHP;SQL")</f>
        <v>Bash/Shell/PowerShell;HTML/CSS;JavaScript;PHP;SQL</v>
      </c>
      <c r="M8663" s="9" t="s">
        <v>33</v>
      </c>
    </row>
    <row r="8664" ht="15.75" customHeight="1">
      <c r="A8664" s="7"/>
      <c r="B8664" s="7" t="str">
        <f>IFERROR(__xludf.DUMMYFUNCTION("""COMPUTED_VALUE"""),"Bash/Shell/PowerShell;C;Python")</f>
        <v>Bash/Shell/PowerShell;C;Python</v>
      </c>
      <c r="M8664" s="9" t="s">
        <v>26</v>
      </c>
    </row>
    <row r="8665" ht="15.75" customHeight="1">
      <c r="A8665" s="7"/>
      <c r="B8665" s="7" t="str">
        <f>IFERROR(__xludf.DUMMYFUNCTION("""COMPUTED_VALUE"""),"C#;HTML/CSS;Java;SQL;Other(s):")</f>
        <v>C#;HTML/CSS;Java;SQL;Other(s):</v>
      </c>
      <c r="M8665" s="9" t="s">
        <v>24</v>
      </c>
    </row>
    <row r="8666" ht="15.75" customHeight="1">
      <c r="A8666" s="7"/>
      <c r="B8666" s="7" t="str">
        <f>IFERROR(__xludf.DUMMYFUNCTION("""COMPUTED_VALUE"""),"Bash/Shell/PowerShell;HTML/CSS;Java;JavaScript;PHP;Python;SQL")</f>
        <v>Bash/Shell/PowerShell;HTML/CSS;Java;JavaScript;PHP;Python;SQL</v>
      </c>
      <c r="M8666" s="9" t="s">
        <v>20</v>
      </c>
    </row>
    <row r="8667" ht="15.75" customHeight="1">
      <c r="A8667" s="7"/>
      <c r="B8667" s="7" t="str">
        <f>IFERROR(__xludf.DUMMYFUNCTION("""COMPUTED_VALUE"""),"Bash/Shell/PowerShell;C++;HTML/CSS;Java;JavaScript;PHP;SQL;Other(s):")</f>
        <v>Bash/Shell/PowerShell;C++;HTML/CSS;Java;JavaScript;PHP;SQL;Other(s):</v>
      </c>
      <c r="M8667" s="9" t="s">
        <v>21</v>
      </c>
    </row>
    <row r="8668" ht="15.75" customHeight="1">
      <c r="A8668" s="7"/>
      <c r="B8668" s="7" t="str">
        <f>IFERROR(__xludf.DUMMYFUNCTION("""COMPUTED_VALUE"""),"HTML/CSS;JavaScript;TypeScript")</f>
        <v>HTML/CSS;JavaScript;TypeScript</v>
      </c>
      <c r="M8668" s="9" t="s">
        <v>27</v>
      </c>
    </row>
    <row r="8669" ht="15.75" customHeight="1">
      <c r="A8669" s="7"/>
      <c r="B8669" s="7" t="str">
        <f>IFERROR(__xludf.DUMMYFUNCTION("""COMPUTED_VALUE"""),"Assembly;Bash/Shell/PowerShell;C;Go;Python")</f>
        <v>Assembly;Bash/Shell/PowerShell;C;Go;Python</v>
      </c>
      <c r="M8669" s="9" t="s">
        <v>30</v>
      </c>
    </row>
    <row r="8670" ht="15.75" customHeight="1">
      <c r="A8670" s="7"/>
      <c r="B8670" s="7" t="str">
        <f>IFERROR(__xludf.DUMMYFUNCTION("""COMPUTED_VALUE"""),"Java;JavaScript;SQL")</f>
        <v>Java;JavaScript;SQL</v>
      </c>
      <c r="M8670" s="9" t="s">
        <v>25</v>
      </c>
    </row>
    <row r="8671" ht="15.75" customHeight="1">
      <c r="A8671" s="7"/>
      <c r="B8671" s="7" t="str">
        <f>IFERROR(__xludf.DUMMYFUNCTION("""COMPUTED_VALUE"""),"Java;JavaScript;Python;Ruby;SQL")</f>
        <v>Java;JavaScript;Python;Ruby;SQL</v>
      </c>
      <c r="M8671" s="9" t="s">
        <v>23</v>
      </c>
    </row>
    <row r="8672" ht="15.75" customHeight="1">
      <c r="A8672" s="7"/>
      <c r="B8672" s="7" t="str">
        <f>IFERROR(__xludf.DUMMYFUNCTION("""COMPUTED_VALUE"""),"Bash/Shell/PowerShell;Go;Other(s):")</f>
        <v>Bash/Shell/PowerShell;Go;Other(s):</v>
      </c>
      <c r="M8672" s="9" t="s">
        <v>24</v>
      </c>
    </row>
    <row r="8673" ht="15.75" customHeight="1">
      <c r="A8673" s="7"/>
      <c r="B8673" s="7" t="str">
        <f>IFERROR(__xludf.DUMMYFUNCTION("""COMPUTED_VALUE"""),"Assembly;Bash/Shell/PowerShell;C;C++;HTML/CSS;Java;JavaScript;PHP;SQL;Swift;Other(s):")</f>
        <v>Assembly;Bash/Shell/PowerShell;C;C++;HTML/CSS;Java;JavaScript;PHP;SQL;Swift;Other(s):</v>
      </c>
      <c r="M8673" s="9" t="s">
        <v>21</v>
      </c>
    </row>
    <row r="8674" ht="15.75" customHeight="1">
      <c r="A8674" s="7"/>
      <c r="B8674" s="7" t="str">
        <f>IFERROR(__xludf.DUMMYFUNCTION("""COMPUTED_VALUE"""),"C++;HTML/CSS;JavaScript;Objective-C;SQL;Swift")</f>
        <v>C++;HTML/CSS;JavaScript;Objective-C;SQL;Swift</v>
      </c>
      <c r="M8674" s="9" t="s">
        <v>22</v>
      </c>
    </row>
    <row r="8675" ht="15.75" customHeight="1">
      <c r="A8675" s="7"/>
      <c r="B8675" s="7" t="str">
        <f>IFERROR(__xludf.DUMMYFUNCTION("""COMPUTED_VALUE"""),"HTML/CSS;Java;JavaScript;Python;R;Rust;SQL")</f>
        <v>HTML/CSS;Java;JavaScript;Python;R;Rust;SQL</v>
      </c>
      <c r="M8675" s="9" t="s">
        <v>30</v>
      </c>
    </row>
    <row r="8676" ht="15.75" customHeight="1">
      <c r="A8676" s="7"/>
      <c r="B8676" s="7" t="str">
        <f>IFERROR(__xludf.DUMMYFUNCTION("""COMPUTED_VALUE"""),"Bash/Shell/PowerShell;C#;HTML/CSS;Java;JavaScript;Kotlin;PHP;Python;Ruby;SQL")</f>
        <v>Bash/Shell/PowerShell;C#;HTML/CSS;Java;JavaScript;Kotlin;PHP;Python;Ruby;SQL</v>
      </c>
      <c r="M8676" s="9" t="s">
        <v>26</v>
      </c>
    </row>
    <row r="8677" ht="15.75" customHeight="1">
      <c r="A8677" s="7"/>
      <c r="B8677" s="7" t="str">
        <f>IFERROR(__xludf.DUMMYFUNCTION("""COMPUTED_VALUE"""),"C#;HTML/CSS;Java;JavaScript;SQL;TypeScript")</f>
        <v>C#;HTML/CSS;Java;JavaScript;SQL;TypeScript</v>
      </c>
      <c r="M8677" s="9" t="s">
        <v>24</v>
      </c>
    </row>
    <row r="8678" ht="15.75" customHeight="1">
      <c r="A8678" s="7"/>
      <c r="B8678" s="7" t="str">
        <f>IFERROR(__xludf.DUMMYFUNCTION("""COMPUTED_VALUE"""),"Bash/Shell/PowerShell;HTML/CSS;Java;JavaScript;Python;R;SQL")</f>
        <v>Bash/Shell/PowerShell;HTML/CSS;Java;JavaScript;Python;R;SQL</v>
      </c>
      <c r="M8678" s="9" t="s">
        <v>21</v>
      </c>
    </row>
    <row r="8679" ht="15.75" customHeight="1">
      <c r="A8679" s="7"/>
      <c r="B8679" s="7" t="str">
        <f>IFERROR(__xludf.DUMMYFUNCTION("""COMPUTED_VALUE"""),"Bash/Shell/PowerShell;C++;Go;JavaScript;Python")</f>
        <v>Bash/Shell/PowerShell;C++;Go;JavaScript;Python</v>
      </c>
      <c r="M8679" s="9" t="s">
        <v>22</v>
      </c>
    </row>
    <row r="8680" ht="15.75" customHeight="1">
      <c r="A8680" s="7"/>
      <c r="B8680" s="7" t="str">
        <f>IFERROR(__xludf.DUMMYFUNCTION("""COMPUTED_VALUE"""),"HTML/CSS;SQL;VBA;Other(s):")</f>
        <v>HTML/CSS;SQL;VBA;Other(s):</v>
      </c>
      <c r="M8680" s="9" t="s">
        <v>31</v>
      </c>
    </row>
    <row r="8681" ht="15.75" customHeight="1">
      <c r="A8681" s="7"/>
      <c r="B8681" s="7" t="str">
        <f>IFERROR(__xludf.DUMMYFUNCTION("""COMPUTED_VALUE"""),"C;C++;C#;HTML/CSS;Java;SQL")</f>
        <v>C;C++;C#;HTML/CSS;Java;SQL</v>
      </c>
      <c r="M8681" s="9" t="s">
        <v>27</v>
      </c>
    </row>
    <row r="8682" ht="15.75" customHeight="1">
      <c r="A8682" s="7"/>
      <c r="B8682" s="7" t="str">
        <f>IFERROR(__xludf.DUMMYFUNCTION("""COMPUTED_VALUE"""),"HTML/CSS;Java;JavaScript;Python;SQL;Other(s):")</f>
        <v>HTML/CSS;Java;JavaScript;Python;SQL;Other(s):</v>
      </c>
      <c r="M8682" s="9" t="s">
        <v>33</v>
      </c>
    </row>
    <row r="8683" ht="15.75" customHeight="1">
      <c r="A8683" s="7"/>
      <c r="B8683" s="7" t="str">
        <f>IFERROR(__xludf.DUMMYFUNCTION("""COMPUTED_VALUE"""),"C++;HTML/CSS;JavaScript;Python;Ruby")</f>
        <v>C++;HTML/CSS;JavaScript;Python;Ruby</v>
      </c>
      <c r="M8683" s="9" t="s">
        <v>25</v>
      </c>
    </row>
    <row r="8684" ht="15.75" customHeight="1">
      <c r="A8684" s="7"/>
      <c r="B8684" s="7" t="str">
        <f>IFERROR(__xludf.DUMMYFUNCTION("""COMPUTED_VALUE"""),"C++;HTML/CSS;Java;JavaScript")</f>
        <v>C++;HTML/CSS;Java;JavaScript</v>
      </c>
      <c r="M8684" s="9" t="s">
        <v>23</v>
      </c>
    </row>
    <row r="8685" ht="15.75" customHeight="1">
      <c r="A8685" s="7"/>
      <c r="B8685" s="7" t="str">
        <f>IFERROR(__xludf.DUMMYFUNCTION("""COMPUTED_VALUE"""),"C#;HTML/CSS;JavaScript;TypeScript")</f>
        <v>C#;HTML/CSS;JavaScript;TypeScript</v>
      </c>
      <c r="M8685" s="9" t="s">
        <v>26</v>
      </c>
    </row>
    <row r="8686" ht="15.75" customHeight="1">
      <c r="A8686" s="7"/>
      <c r="B8686" s="7" t="str">
        <f>IFERROR(__xludf.DUMMYFUNCTION("""COMPUTED_VALUE"""),"C#;JavaScript;SQL")</f>
        <v>C#;JavaScript;SQL</v>
      </c>
      <c r="M8686" s="9" t="s">
        <v>21</v>
      </c>
    </row>
    <row r="8687" ht="15.75" customHeight="1">
      <c r="A8687" s="7"/>
      <c r="B8687" s="7" t="str">
        <f>IFERROR(__xludf.DUMMYFUNCTION("""COMPUTED_VALUE"""),"Bash/Shell/PowerShell;HTML/CSS;Java;JavaScript;Kotlin;PHP;Python;Ruby;SQL;Other(s):")</f>
        <v>Bash/Shell/PowerShell;HTML/CSS;Java;JavaScript;Kotlin;PHP;Python;Ruby;SQL;Other(s):</v>
      </c>
      <c r="M8687" s="9" t="s">
        <v>26</v>
      </c>
    </row>
    <row r="8688" ht="15.75" customHeight="1">
      <c r="A8688" s="7"/>
      <c r="B8688" s="7" t="str">
        <f>IFERROR(__xludf.DUMMYFUNCTION("""COMPUTED_VALUE"""),"Bash/Shell/PowerShell;C;C++;C#;Java;Python;R")</f>
        <v>Bash/Shell/PowerShell;C;C++;C#;Java;Python;R</v>
      </c>
      <c r="M8688" s="9" t="s">
        <v>24</v>
      </c>
    </row>
    <row r="8689" ht="15.75" customHeight="1">
      <c r="A8689" s="7"/>
      <c r="B8689" s="7" t="str">
        <f>IFERROR(__xludf.DUMMYFUNCTION("""COMPUTED_VALUE"""),"C++;HTML/CSS;Java;JavaScript;PHP;TypeScript")</f>
        <v>C++;HTML/CSS;Java;JavaScript;PHP;TypeScript</v>
      </c>
      <c r="M8689" s="9" t="s">
        <v>21</v>
      </c>
    </row>
    <row r="8690" ht="15.75" customHeight="1">
      <c r="A8690" s="7"/>
      <c r="B8690" s="7" t="str">
        <f>IFERROR(__xludf.DUMMYFUNCTION("""COMPUTED_VALUE"""),"C#;HTML/CSS;JavaScript;SQL;TypeScript")</f>
        <v>C#;HTML/CSS;JavaScript;SQL;TypeScript</v>
      </c>
      <c r="M8690" s="9" t="s">
        <v>39</v>
      </c>
    </row>
    <row r="8691" ht="15.75" customHeight="1">
      <c r="A8691" s="7"/>
      <c r="B8691" s="7" t="str">
        <f>IFERROR(__xludf.DUMMYFUNCTION("""COMPUTED_VALUE"""),"Bash/Shell/PowerShell;C;C++;HTML/CSS;Java;Kotlin;Python;Other(s):")</f>
        <v>Bash/Shell/PowerShell;C;C++;HTML/CSS;Java;Kotlin;Python;Other(s):</v>
      </c>
      <c r="M8691" s="9" t="s">
        <v>22</v>
      </c>
    </row>
    <row r="8692" ht="15.75" customHeight="1">
      <c r="A8692" s="7"/>
      <c r="B8692" s="7" t="str">
        <f>IFERROR(__xludf.DUMMYFUNCTION("""COMPUTED_VALUE"""),"Assembly;Bash/Shell/PowerShell;C;HTML/CSS;Java;JavaScript;PHP;SQL")</f>
        <v>Assembly;Bash/Shell/PowerShell;C;HTML/CSS;Java;JavaScript;PHP;SQL</v>
      </c>
      <c r="M8692" s="9" t="s">
        <v>27</v>
      </c>
    </row>
    <row r="8693" ht="15.75" customHeight="1">
      <c r="A8693" s="7"/>
      <c r="B8693" s="7" t="str">
        <f>IFERROR(__xludf.DUMMYFUNCTION("""COMPUTED_VALUE"""),"HTML/CSS;JavaScript;PHP;SQL")</f>
        <v>HTML/CSS;JavaScript;PHP;SQL</v>
      </c>
      <c r="M8693" s="9" t="s">
        <v>40</v>
      </c>
    </row>
    <row r="8694" ht="15.75" customHeight="1">
      <c r="A8694" s="7"/>
      <c r="B8694" s="7" t="str">
        <f>IFERROR(__xludf.DUMMYFUNCTION("""COMPUTED_VALUE"""),"HTML/CSS;JavaScript;PHP")</f>
        <v>HTML/CSS;JavaScript;PHP</v>
      </c>
      <c r="M8694" s="9" t="s">
        <v>25</v>
      </c>
    </row>
    <row r="8695" ht="15.75" customHeight="1">
      <c r="A8695" s="7"/>
      <c r="B8695" s="7" t="str">
        <f>IFERROR(__xludf.DUMMYFUNCTION("""COMPUTED_VALUE"""),"Bash/Shell/PowerShell;C++;Go;HTML/CSS;JavaScript;Python;SQL")</f>
        <v>Bash/Shell/PowerShell;C++;Go;HTML/CSS;JavaScript;Python;SQL</v>
      </c>
      <c r="M8695" s="9" t="s">
        <v>26</v>
      </c>
    </row>
    <row r="8696" ht="15.75" customHeight="1">
      <c r="A8696" s="7"/>
      <c r="B8696" s="7" t="str">
        <f>IFERROR(__xludf.DUMMYFUNCTION("""COMPUTED_VALUE"""),"Bash/Shell/PowerShell;HTML/CSS;JavaScript;R;SQL")</f>
        <v>Bash/Shell/PowerShell;HTML/CSS;JavaScript;R;SQL</v>
      </c>
      <c r="M8696" s="9" t="s">
        <v>22</v>
      </c>
    </row>
    <row r="8697" ht="15.75" customHeight="1">
      <c r="A8697" s="7"/>
      <c r="B8697" s="7" t="str">
        <f>IFERROR(__xludf.DUMMYFUNCTION("""COMPUTED_VALUE"""),"Bash/Shell/PowerShell;HTML/CSS;TypeScript")</f>
        <v>Bash/Shell/PowerShell;HTML/CSS;TypeScript</v>
      </c>
      <c r="M8697" s="9" t="s">
        <v>24</v>
      </c>
    </row>
    <row r="8698" ht="15.75" customHeight="1">
      <c r="A8698" s="7"/>
      <c r="B8698" s="7" t="str">
        <f>IFERROR(__xludf.DUMMYFUNCTION("""COMPUTED_VALUE"""),"HTML/CSS;JavaScript;PHP;SQL")</f>
        <v>HTML/CSS;JavaScript;PHP;SQL</v>
      </c>
      <c r="M8698" s="9" t="s">
        <v>21</v>
      </c>
    </row>
    <row r="8699" ht="15.75" customHeight="1">
      <c r="A8699" s="7"/>
      <c r="B8699" s="7" t="str">
        <f>IFERROR(__xludf.DUMMYFUNCTION("""COMPUTED_VALUE"""),"Bash/Shell/PowerShell;C;HTML/CSS;Java;JavaScript;Python;Scala;SQL")</f>
        <v>Bash/Shell/PowerShell;C;HTML/CSS;Java;JavaScript;Python;Scala;SQL</v>
      </c>
      <c r="M8699" s="9" t="s">
        <v>30</v>
      </c>
    </row>
    <row r="8700" ht="15.75" customHeight="1">
      <c r="A8700" s="7"/>
      <c r="B8700" s="7" t="str">
        <f>IFERROR(__xludf.DUMMYFUNCTION("""COMPUTED_VALUE"""),"C#;Java")</f>
        <v>C#;Java</v>
      </c>
      <c r="M8700" s="9" t="s">
        <v>47</v>
      </c>
    </row>
    <row r="8701" ht="15.75" customHeight="1">
      <c r="A8701" s="7"/>
      <c r="B8701" s="7" t="str">
        <f>IFERROR(__xludf.DUMMYFUNCTION("""COMPUTED_VALUE"""),"C#;HTML/CSS;JavaScript")</f>
        <v>C#;HTML/CSS;JavaScript</v>
      </c>
      <c r="M8701" s="9" t="s">
        <v>42</v>
      </c>
    </row>
    <row r="8702" ht="15.75" customHeight="1">
      <c r="A8702" s="7"/>
      <c r="B8702" s="7" t="str">
        <f>IFERROR(__xludf.DUMMYFUNCTION("""COMPUTED_VALUE"""),"C;C++;HTML/CSS;JavaScript;Python;SQL")</f>
        <v>C;C++;HTML/CSS;JavaScript;Python;SQL</v>
      </c>
      <c r="M8702" s="9" t="s">
        <v>36</v>
      </c>
    </row>
    <row r="8703" ht="15.75" customHeight="1">
      <c r="A8703" s="7"/>
      <c r="B8703" s="7" t="str">
        <f>IFERROR(__xludf.DUMMYFUNCTION("""COMPUTED_VALUE"""),"Bash/Shell/PowerShell;Java;JavaScript;Python;SQL;TypeScript")</f>
        <v>Bash/Shell/PowerShell;Java;JavaScript;Python;SQL;TypeScript</v>
      </c>
      <c r="M8703" s="9" t="s">
        <v>24</v>
      </c>
    </row>
    <row r="8704" ht="15.75" customHeight="1">
      <c r="A8704" s="7"/>
      <c r="B8704" s="7" t="str">
        <f>IFERROR(__xludf.DUMMYFUNCTION("""COMPUTED_VALUE"""),"Bash/Shell/PowerShell;Python")</f>
        <v>Bash/Shell/PowerShell;Python</v>
      </c>
      <c r="M8704" s="9" t="s">
        <v>20</v>
      </c>
    </row>
    <row r="8705" ht="15.75" customHeight="1">
      <c r="A8705" s="7"/>
      <c r="B8705" s="7" t="str">
        <f>IFERROR(__xludf.DUMMYFUNCTION("""COMPUTED_VALUE"""),"HTML/CSS;Java;JavaScript")</f>
        <v>HTML/CSS;Java;JavaScript</v>
      </c>
      <c r="M8705" s="9" t="s">
        <v>21</v>
      </c>
    </row>
    <row r="8706" ht="15.75" customHeight="1">
      <c r="A8706" s="7"/>
      <c r="B8706" s="7" t="str">
        <f>IFERROR(__xludf.DUMMYFUNCTION("""COMPUTED_VALUE"""),"C#;HTML/CSS;Java;JavaScript;Python;SQL;TypeScript")</f>
        <v>C#;HTML/CSS;Java;JavaScript;Python;SQL;TypeScript</v>
      </c>
      <c r="M8706" s="9" t="s">
        <v>22</v>
      </c>
    </row>
    <row r="8707" ht="15.75" customHeight="1">
      <c r="A8707" s="7"/>
      <c r="B8707" s="7" t="str">
        <f>IFERROR(__xludf.DUMMYFUNCTION("""COMPUTED_VALUE"""),"Bash/Shell/PowerShell;C#;Java;SQL;VBA;Other(s):")</f>
        <v>Bash/Shell/PowerShell;C#;Java;SQL;VBA;Other(s):</v>
      </c>
      <c r="M8707" s="9" t="s">
        <v>31</v>
      </c>
    </row>
    <row r="8708" ht="15.75" customHeight="1">
      <c r="A8708" s="7"/>
      <c r="B8708" s="7" t="str">
        <f>IFERROR(__xludf.DUMMYFUNCTION("""COMPUTED_VALUE"""),"Bash/Shell/PowerShell;HTML/CSS;JavaScript;PHP;SQL;TypeScript;Other(s):")</f>
        <v>Bash/Shell/PowerShell;HTML/CSS;JavaScript;PHP;SQL;TypeScript;Other(s):</v>
      </c>
      <c r="M8708" s="9" t="s">
        <v>32</v>
      </c>
    </row>
    <row r="8709" ht="15.75" customHeight="1">
      <c r="A8709" s="7"/>
      <c r="B8709" s="7" t="str">
        <f>IFERROR(__xludf.DUMMYFUNCTION("""COMPUTED_VALUE"""),"HTML/CSS;Java;JavaScript;PHP;SQL")</f>
        <v>HTML/CSS;Java;JavaScript;PHP;SQL</v>
      </c>
      <c r="M8709" s="9" t="s">
        <v>27</v>
      </c>
    </row>
    <row r="8710" ht="15.75" customHeight="1">
      <c r="A8710" s="7"/>
      <c r="B8710" s="7" t="str">
        <f>IFERROR(__xludf.DUMMYFUNCTION("""COMPUTED_VALUE"""),"Bash/Shell/PowerShell;HTML/CSS;JavaScript;PHP")</f>
        <v>Bash/Shell/PowerShell;HTML/CSS;JavaScript;PHP</v>
      </c>
      <c r="M8710" s="9" t="s">
        <v>40</v>
      </c>
    </row>
    <row r="8711" ht="15.75" customHeight="1">
      <c r="A8711" s="7"/>
      <c r="B8711" s="7" t="str">
        <f>IFERROR(__xludf.DUMMYFUNCTION("""COMPUTED_VALUE"""),"HTML/CSS;Java;JavaScript;PHP;Python;Scala;SQL")</f>
        <v>HTML/CSS;Java;JavaScript;PHP;Python;Scala;SQL</v>
      </c>
      <c r="M8711" s="9" t="s">
        <v>33</v>
      </c>
    </row>
    <row r="8712" ht="15.75" customHeight="1">
      <c r="A8712" s="7"/>
      <c r="B8712" s="7" t="str">
        <f>IFERROR(__xludf.DUMMYFUNCTION("""COMPUTED_VALUE"""),"C#;HTML/CSS;JavaScript;PHP;Swift")</f>
        <v>C#;HTML/CSS;JavaScript;PHP;Swift</v>
      </c>
      <c r="M8712" s="9" t="s">
        <v>30</v>
      </c>
    </row>
    <row r="8713" ht="15.75" customHeight="1">
      <c r="A8713" s="7"/>
      <c r="B8713" s="7" t="str">
        <f>IFERROR(__xludf.DUMMYFUNCTION("""COMPUTED_VALUE"""),"Bash/Shell/PowerShell;C;C++;C#;HTML/CSS;Java;JavaScript;PHP;R;SQL")</f>
        <v>Bash/Shell/PowerShell;C;C++;C#;HTML/CSS;Java;JavaScript;PHP;R;SQL</v>
      </c>
      <c r="M8713" s="9" t="s">
        <v>24</v>
      </c>
    </row>
    <row r="8714" ht="15.75" customHeight="1">
      <c r="A8714" s="7"/>
      <c r="B8714" s="7" t="str">
        <f>IFERROR(__xludf.DUMMYFUNCTION("""COMPUTED_VALUE"""),"Bash/Shell/PowerShell;Elixir;Go;HTML/CSS;JavaScript;Ruby;TypeScript")</f>
        <v>Bash/Shell/PowerShell;Elixir;Go;HTML/CSS;JavaScript;Ruby;TypeScript</v>
      </c>
      <c r="M8714" s="9" t="s">
        <v>20</v>
      </c>
    </row>
    <row r="8715" ht="15.75" customHeight="1">
      <c r="A8715" s="7"/>
      <c r="B8715" s="7" t="str">
        <f>IFERROR(__xludf.DUMMYFUNCTION("""COMPUTED_VALUE"""),"HTML/CSS;JavaScript;PHP;Python;SQL;Swift")</f>
        <v>HTML/CSS;JavaScript;PHP;Python;SQL;Swift</v>
      </c>
      <c r="M8715" s="9" t="s">
        <v>21</v>
      </c>
    </row>
    <row r="8716" ht="15.75" customHeight="1">
      <c r="A8716" s="7"/>
      <c r="B8716" s="7" t="str">
        <f>IFERROR(__xludf.DUMMYFUNCTION("""COMPUTED_VALUE"""),"Java;JavaScript;Python;TypeScript")</f>
        <v>Java;JavaScript;Python;TypeScript</v>
      </c>
      <c r="M8716" s="9" t="s">
        <v>27</v>
      </c>
    </row>
    <row r="8717" ht="15.75" customHeight="1">
      <c r="A8717" s="7"/>
      <c r="B8717" s="7" t="str">
        <f>IFERROR(__xludf.DUMMYFUNCTION("""COMPUTED_VALUE"""),"Java;JavaScript;Python;SQL")</f>
        <v>Java;JavaScript;Python;SQL</v>
      </c>
      <c r="M8717" s="9" t="s">
        <v>30</v>
      </c>
    </row>
    <row r="8718" ht="15.75" customHeight="1">
      <c r="A8718" s="7"/>
      <c r="B8718" s="7" t="str">
        <f>IFERROR(__xludf.DUMMYFUNCTION("""COMPUTED_VALUE"""),"C#;HTML/CSS;SQL;TypeScript")</f>
        <v>C#;HTML/CSS;SQL;TypeScript</v>
      </c>
      <c r="M8718" s="9" t="s">
        <v>22</v>
      </c>
    </row>
    <row r="8719" ht="15.75" customHeight="1">
      <c r="A8719" s="7"/>
      <c r="B8719" s="7" t="str">
        <f>IFERROR(__xludf.DUMMYFUNCTION("""COMPUTED_VALUE"""),"Bash/Shell/PowerShell;HTML/CSS;Java;JavaScript;SQL")</f>
        <v>Bash/Shell/PowerShell;HTML/CSS;Java;JavaScript;SQL</v>
      </c>
      <c r="M8719" s="9" t="s">
        <v>29</v>
      </c>
    </row>
    <row r="8720" ht="15.75" customHeight="1">
      <c r="A8720" s="7"/>
      <c r="B8720" s="7" t="str">
        <f>IFERROR(__xludf.DUMMYFUNCTION("""COMPUTED_VALUE"""),"HTML/CSS;JavaScript;Ruby")</f>
        <v>HTML/CSS;JavaScript;Ruby</v>
      </c>
      <c r="M8720" s="9" t="s">
        <v>41</v>
      </c>
    </row>
    <row r="8721" ht="15.75" customHeight="1">
      <c r="A8721" s="7"/>
      <c r="B8721" s="7" t="str">
        <f>IFERROR(__xludf.DUMMYFUNCTION("""COMPUTED_VALUE"""),"Bash/Shell/PowerShell;C;C++;Java;Python;R")</f>
        <v>Bash/Shell/PowerShell;C;C++;Java;Python;R</v>
      </c>
      <c r="M8721" s="9" t="s">
        <v>22</v>
      </c>
    </row>
    <row r="8722" ht="15.75" customHeight="1">
      <c r="A8722" s="7"/>
      <c r="B8722" s="7" t="str">
        <f>IFERROR(__xludf.DUMMYFUNCTION("""COMPUTED_VALUE"""),"Bash/Shell/PowerShell;HTML/CSS;Java;JavaScript;Python;SQL")</f>
        <v>Bash/Shell/PowerShell;HTML/CSS;Java;JavaScript;Python;SQL</v>
      </c>
      <c r="M8722" s="9" t="s">
        <v>40</v>
      </c>
    </row>
    <row r="8723" ht="15.75" customHeight="1">
      <c r="A8723" s="7"/>
      <c r="B8723" s="7" t="str">
        <f>IFERROR(__xludf.DUMMYFUNCTION("""COMPUTED_VALUE"""),"Bash/Shell/PowerShell;C;C++;HTML/CSS;Java;JavaScript;Kotlin;PHP;Python")</f>
        <v>Bash/Shell/PowerShell;C;C++;HTML/CSS;Java;JavaScript;Kotlin;PHP;Python</v>
      </c>
      <c r="M8723" s="9" t="s">
        <v>26</v>
      </c>
    </row>
    <row r="8724" ht="15.75" customHeight="1">
      <c r="A8724" s="7"/>
      <c r="B8724" s="7" t="str">
        <f>IFERROR(__xludf.DUMMYFUNCTION("""COMPUTED_VALUE"""),"C;C++;HTML/CSS;Java;JavaScript;Python")</f>
        <v>C;C++;HTML/CSS;Java;JavaScript;Python</v>
      </c>
      <c r="M8724" s="9" t="s">
        <v>24</v>
      </c>
    </row>
    <row r="8725" ht="15.75" customHeight="1">
      <c r="A8725" s="7"/>
      <c r="B8725" s="7" t="str">
        <f>IFERROR(__xludf.DUMMYFUNCTION("""COMPUTED_VALUE"""),"Bash/Shell/PowerShell;Python;R;Ruby")</f>
        <v>Bash/Shell/PowerShell;Python;R;Ruby</v>
      </c>
      <c r="M8725" s="9" t="s">
        <v>21</v>
      </c>
    </row>
    <row r="8726" ht="15.75" customHeight="1">
      <c r="A8726" s="7"/>
      <c r="B8726" s="7" t="str">
        <f>IFERROR(__xludf.DUMMYFUNCTION("""COMPUTED_VALUE"""),"Python;Other(s):")</f>
        <v>Python;Other(s):</v>
      </c>
      <c r="M8726" s="9" t="s">
        <v>27</v>
      </c>
    </row>
    <row r="8727" ht="15.75" customHeight="1">
      <c r="A8727" s="7"/>
      <c r="B8727" s="7" t="str">
        <f>IFERROR(__xludf.DUMMYFUNCTION("""COMPUTED_VALUE"""),"C#;HTML/CSS;JavaScript;TypeScript;Other(s):")</f>
        <v>C#;HTML/CSS;JavaScript;TypeScript;Other(s):</v>
      </c>
      <c r="M8727" s="9" t="s">
        <v>35</v>
      </c>
    </row>
    <row r="8728" ht="15.75" customHeight="1">
      <c r="A8728" s="7"/>
      <c r="B8728" s="7" t="str">
        <f>IFERROR(__xludf.DUMMYFUNCTION("""COMPUTED_VALUE"""),"Bash/Shell/PowerShell;C;C++;HTML/CSS;Java;Python")</f>
        <v>Bash/Shell/PowerShell;C;C++;HTML/CSS;Java;Python</v>
      </c>
      <c r="M8728" s="9" t="s">
        <v>24</v>
      </c>
    </row>
    <row r="8729" ht="15.75" customHeight="1">
      <c r="A8729" s="7"/>
      <c r="B8729" s="7" t="str">
        <f>IFERROR(__xludf.DUMMYFUNCTION("""COMPUTED_VALUE"""),"Bash/Shell/PowerShell;HTML/CSS;VBA;Other(s):")</f>
        <v>Bash/Shell/PowerShell;HTML/CSS;VBA;Other(s):</v>
      </c>
      <c r="M8729" s="9" t="s">
        <v>20</v>
      </c>
    </row>
    <row r="8730" ht="15.75" customHeight="1">
      <c r="A8730" s="7"/>
      <c r="B8730" s="7" t="str">
        <f>IFERROR(__xludf.DUMMYFUNCTION("""COMPUTED_VALUE"""),"HTML/CSS;JavaScript;PHP")</f>
        <v>HTML/CSS;JavaScript;PHP</v>
      </c>
      <c r="M8730" s="9" t="s">
        <v>21</v>
      </c>
    </row>
    <row r="8731" ht="15.75" customHeight="1">
      <c r="A8731" s="7"/>
      <c r="B8731" s="7" t="str">
        <f>IFERROR(__xludf.DUMMYFUNCTION("""COMPUTED_VALUE"""),"C;C++;SQL;VBA")</f>
        <v>C;C++;SQL;VBA</v>
      </c>
      <c r="M8731" s="9" t="s">
        <v>37</v>
      </c>
    </row>
    <row r="8732" ht="15.75" customHeight="1">
      <c r="A8732" s="7"/>
      <c r="B8732" s="7" t="str">
        <f>IFERROR(__xludf.DUMMYFUNCTION("""COMPUTED_VALUE"""),"Assembly;Bash/Shell/PowerShell;Other(s):")</f>
        <v>Assembly;Bash/Shell/PowerShell;Other(s):</v>
      </c>
      <c r="M8732" s="9" t="s">
        <v>31</v>
      </c>
    </row>
    <row r="8733" ht="15.75" customHeight="1">
      <c r="A8733" s="7"/>
      <c r="B8733" s="7" t="str">
        <f>IFERROR(__xludf.DUMMYFUNCTION("""COMPUTED_VALUE"""),"C#;HTML/CSS;JavaScript;SQL")</f>
        <v>C#;HTML/CSS;JavaScript;SQL</v>
      </c>
      <c r="M8733" s="9" t="s">
        <v>27</v>
      </c>
    </row>
    <row r="8734" ht="15.75" customHeight="1">
      <c r="A8734" s="7"/>
      <c r="B8734" s="7" t="str">
        <f>IFERROR(__xludf.DUMMYFUNCTION("""COMPUTED_VALUE"""),"Assembly;Bash/Shell/PowerShell;C;C++;C#;HTML/CSS;Java;JavaScript;SQL;TypeScript")</f>
        <v>Assembly;Bash/Shell/PowerShell;C;C++;C#;HTML/CSS;Java;JavaScript;SQL;TypeScript</v>
      </c>
      <c r="M8734" s="9" t="s">
        <v>24</v>
      </c>
    </row>
    <row r="8735" ht="15.75" customHeight="1">
      <c r="A8735" s="7"/>
      <c r="B8735" s="7" t="str">
        <f>IFERROR(__xludf.DUMMYFUNCTION("""COMPUTED_VALUE"""),"Python")</f>
        <v>Python</v>
      </c>
      <c r="M8735" s="9" t="s">
        <v>21</v>
      </c>
    </row>
    <row r="8736" ht="15.75" customHeight="1">
      <c r="A8736" s="7"/>
      <c r="B8736" s="7" t="str">
        <f>IFERROR(__xludf.DUMMYFUNCTION("""COMPUTED_VALUE"""),"Bash/Shell/PowerShell;C#;SQL")</f>
        <v>Bash/Shell/PowerShell;C#;SQL</v>
      </c>
      <c r="M8736" s="9" t="s">
        <v>22</v>
      </c>
    </row>
    <row r="8737" ht="15.75" customHeight="1">
      <c r="A8737" s="7"/>
      <c r="B8737" s="7" t="str">
        <f>IFERROR(__xludf.DUMMYFUNCTION("""COMPUTED_VALUE"""),"Python;Other(s):")</f>
        <v>Python;Other(s):</v>
      </c>
      <c r="M8737" s="9" t="s">
        <v>28</v>
      </c>
    </row>
    <row r="8738" ht="15.75" customHeight="1">
      <c r="A8738" s="7"/>
      <c r="B8738" s="7" t="str">
        <f>IFERROR(__xludf.DUMMYFUNCTION("""COMPUTED_VALUE"""),"Java;Python")</f>
        <v>Java;Python</v>
      </c>
      <c r="M8738" s="9" t="s">
        <v>30</v>
      </c>
    </row>
    <row r="8739" ht="15.75" customHeight="1">
      <c r="A8739" s="7"/>
      <c r="B8739" s="7" t="str">
        <f>IFERROR(__xludf.DUMMYFUNCTION("""COMPUTED_VALUE"""),"Bash/Shell/PowerShell;Java;Python;SQL")</f>
        <v>Bash/Shell/PowerShell;Java;Python;SQL</v>
      </c>
      <c r="M8739" s="9" t="s">
        <v>23</v>
      </c>
    </row>
    <row r="8740" ht="15.75" customHeight="1">
      <c r="A8740" s="7"/>
      <c r="B8740" s="7" t="str">
        <f>IFERROR(__xludf.DUMMYFUNCTION("""COMPUTED_VALUE"""),"Assembly;Bash/Shell/PowerShell;C;C++;HTML/CSS;Java;JavaScript;PHP;Python;Scala;SQL;TypeScript;Other(s):")</f>
        <v>Assembly;Bash/Shell/PowerShell;C;C++;HTML/CSS;Java;JavaScript;PHP;Python;Scala;SQL;TypeScript;Other(s):</v>
      </c>
      <c r="M8740" s="9" t="s">
        <v>26</v>
      </c>
    </row>
    <row r="8741" ht="15.75" customHeight="1">
      <c r="A8741" s="7"/>
      <c r="B8741" s="7" t="str">
        <f>IFERROR(__xludf.DUMMYFUNCTION("""COMPUTED_VALUE"""),"Go;JavaScript;Python")</f>
        <v>Go;JavaScript;Python</v>
      </c>
      <c r="M8741" s="9" t="s">
        <v>20</v>
      </c>
    </row>
    <row r="8742" ht="15.75" customHeight="1">
      <c r="A8742" s="7"/>
      <c r="B8742" s="7" t="str">
        <f>IFERROR(__xludf.DUMMYFUNCTION("""COMPUTED_VALUE"""),"C#;HTML/CSS;JavaScript;SQL;Other(s):")</f>
        <v>C#;HTML/CSS;JavaScript;SQL;Other(s):</v>
      </c>
      <c r="M8742" s="9" t="s">
        <v>39</v>
      </c>
    </row>
    <row r="8743" ht="15.75" customHeight="1">
      <c r="A8743" s="7"/>
      <c r="B8743" s="7" t="str">
        <f>IFERROR(__xludf.DUMMYFUNCTION("""COMPUTED_VALUE"""),"Assembly;C;C++;C#;Clojure;HTML/CSS;Java;JavaScript;Kotlin;Python;R;Rust;Scala")</f>
        <v>Assembly;C;C++;C#;Clojure;HTML/CSS;Java;JavaScript;Kotlin;Python;R;Rust;Scala</v>
      </c>
      <c r="M8743" s="9" t="s">
        <v>37</v>
      </c>
    </row>
    <row r="8744" ht="15.75" customHeight="1">
      <c r="A8744" s="7"/>
      <c r="B8744" s="7" t="str">
        <f>IFERROR(__xludf.DUMMYFUNCTION("""COMPUTED_VALUE"""),"Bash/Shell/PowerShell;C#;HTML/CSS;Java;JavaScript;Kotlin;SQL;TypeScript")</f>
        <v>Bash/Shell/PowerShell;C#;HTML/CSS;Java;JavaScript;Kotlin;SQL;TypeScript</v>
      </c>
      <c r="M8744" s="9" t="s">
        <v>30</v>
      </c>
    </row>
    <row r="8745" ht="15.75" customHeight="1">
      <c r="A8745" s="7"/>
      <c r="B8745" s="7" t="str">
        <f>IFERROR(__xludf.DUMMYFUNCTION("""COMPUTED_VALUE"""),"HTML/CSS;JavaScript;PHP;VBA")</f>
        <v>HTML/CSS;JavaScript;PHP;VBA</v>
      </c>
      <c r="M8745" s="9" t="s">
        <v>24</v>
      </c>
    </row>
    <row r="8746" ht="15.75" customHeight="1">
      <c r="A8746" s="7"/>
      <c r="B8746" s="7" t="str">
        <f>IFERROR(__xludf.DUMMYFUNCTION("""COMPUTED_VALUE"""),"Bash/Shell/PowerShell;HTML/CSS;Java;Scala")</f>
        <v>Bash/Shell/PowerShell;HTML/CSS;Java;Scala</v>
      </c>
      <c r="M8746" s="9" t="s">
        <v>21</v>
      </c>
    </row>
    <row r="8747" ht="15.75" customHeight="1">
      <c r="A8747" s="7"/>
      <c r="B8747" s="7" t="str">
        <f>IFERROR(__xludf.DUMMYFUNCTION("""COMPUTED_VALUE"""),"C;C++;HTML/CSS;JavaScript;Python;SQL")</f>
        <v>C;C++;HTML/CSS;JavaScript;Python;SQL</v>
      </c>
      <c r="M8747" s="9" t="s">
        <v>31</v>
      </c>
    </row>
    <row r="8748" ht="15.75" customHeight="1">
      <c r="A8748" s="7"/>
      <c r="B8748" s="7" t="str">
        <f>IFERROR(__xludf.DUMMYFUNCTION("""COMPUTED_VALUE"""),"C++;C#;Python")</f>
        <v>C++;C#;Python</v>
      </c>
      <c r="M8748" s="9" t="s">
        <v>27</v>
      </c>
    </row>
    <row r="8749" ht="15.75" customHeight="1">
      <c r="A8749" s="7"/>
      <c r="B8749" s="7" t="str">
        <f>IFERROR(__xludf.DUMMYFUNCTION("""COMPUTED_VALUE"""),"C++;C#;Java;Python;Ruby;Scala")</f>
        <v>C++;C#;Java;Python;Ruby;Scala</v>
      </c>
      <c r="M8749" s="9" t="s">
        <v>30</v>
      </c>
    </row>
    <row r="8750" ht="15.75" customHeight="1">
      <c r="A8750" s="7"/>
      <c r="B8750" s="7" t="str">
        <f>IFERROR(__xludf.DUMMYFUNCTION("""COMPUTED_VALUE"""),"Python;SQL")</f>
        <v>Python;SQL</v>
      </c>
      <c r="M8750" s="9" t="s">
        <v>36</v>
      </c>
    </row>
    <row r="8751" ht="15.75" customHeight="1">
      <c r="A8751" s="7"/>
      <c r="B8751" s="7" t="str">
        <f>IFERROR(__xludf.DUMMYFUNCTION("""COMPUTED_VALUE"""),"C#;Python;SQL")</f>
        <v>C#;Python;SQL</v>
      </c>
      <c r="M8751" s="9" t="s">
        <v>24</v>
      </c>
    </row>
    <row r="8752" ht="15.75" customHeight="1">
      <c r="A8752" s="7"/>
      <c r="B8752" s="7" t="str">
        <f>IFERROR(__xludf.DUMMYFUNCTION("""COMPUTED_VALUE"""),"Bash/Shell/PowerShell;HTML/CSS;Java;JavaScript;Python;Rust;SQL;TypeScript")</f>
        <v>Bash/Shell/PowerShell;HTML/CSS;Java;JavaScript;Python;Rust;SQL;TypeScript</v>
      </c>
      <c r="M8752" s="9" t="s">
        <v>21</v>
      </c>
    </row>
    <row r="8753" ht="15.75" customHeight="1">
      <c r="A8753" s="7"/>
      <c r="B8753" s="7" t="str">
        <f>IFERROR(__xludf.DUMMYFUNCTION("""COMPUTED_VALUE"""),"C;C++;C#;HTML/CSS;JavaScript;Python;Ruby;SQL")</f>
        <v>C;C++;C#;HTML/CSS;JavaScript;Python;Ruby;SQL</v>
      </c>
      <c r="M8753" s="9" t="s">
        <v>31</v>
      </c>
    </row>
    <row r="8754" ht="15.75" customHeight="1">
      <c r="A8754" s="7"/>
      <c r="B8754" s="7" t="str">
        <f>IFERROR(__xludf.DUMMYFUNCTION("""COMPUTED_VALUE"""),"C++;Python;SQL")</f>
        <v>C++;Python;SQL</v>
      </c>
      <c r="M8754" s="9" t="s">
        <v>30</v>
      </c>
    </row>
    <row r="8755" ht="15.75" customHeight="1">
      <c r="A8755" s="7"/>
      <c r="B8755" s="7" t="str">
        <f>IFERROR(__xludf.DUMMYFUNCTION("""COMPUTED_VALUE"""),"Bash/Shell/PowerShell;C#;HTML/CSS;JavaScript;Python;SQL;TypeScript")</f>
        <v>Bash/Shell/PowerShell;C#;HTML/CSS;JavaScript;Python;SQL;TypeScript</v>
      </c>
      <c r="M8755" s="9" t="s">
        <v>25</v>
      </c>
    </row>
    <row r="8756" ht="15.75" customHeight="1">
      <c r="A8756" s="7"/>
      <c r="B8756" s="7" t="str">
        <f>IFERROR(__xludf.DUMMYFUNCTION("""COMPUTED_VALUE"""),"Python")</f>
        <v>Python</v>
      </c>
      <c r="M8756" s="9" t="s">
        <v>24</v>
      </c>
    </row>
    <row r="8757" ht="15.75" customHeight="1">
      <c r="A8757" s="7"/>
      <c r="B8757" s="7" t="str">
        <f>IFERROR(__xludf.DUMMYFUNCTION("""COMPUTED_VALUE"""),"C;C++;Go;JavaScript;Python;Rust;SQL;TypeScript")</f>
        <v>C;C++;Go;JavaScript;Python;Rust;SQL;TypeScript</v>
      </c>
      <c r="M8757" s="9" t="s">
        <v>20</v>
      </c>
    </row>
    <row r="8758" ht="15.75" customHeight="1">
      <c r="A8758" s="7"/>
      <c r="B8758" s="7" t="str">
        <f>IFERROR(__xludf.DUMMYFUNCTION("""COMPUTED_VALUE"""),"HTML/CSS;JavaScript;R")</f>
        <v>HTML/CSS;JavaScript;R</v>
      </c>
      <c r="M8758" s="9" t="s">
        <v>21</v>
      </c>
    </row>
    <row r="8759" ht="15.75" customHeight="1">
      <c r="A8759" s="7"/>
      <c r="B8759" s="7" t="str">
        <f>IFERROR(__xludf.DUMMYFUNCTION("""COMPUTED_VALUE"""),"C")</f>
        <v>C</v>
      </c>
      <c r="M8759" s="9" t="s">
        <v>37</v>
      </c>
    </row>
    <row r="8760" ht="15.75" customHeight="1">
      <c r="A8760" s="7"/>
      <c r="B8760" s="7" t="str">
        <f>IFERROR(__xludf.DUMMYFUNCTION("""COMPUTED_VALUE"""),"Bash/Shell/PowerShell;C#;SQL")</f>
        <v>Bash/Shell/PowerShell;C#;SQL</v>
      </c>
      <c r="M8760" s="9" t="s">
        <v>22</v>
      </c>
    </row>
    <row r="8761" ht="15.75" customHeight="1">
      <c r="A8761" s="7"/>
      <c r="B8761" s="7" t="str">
        <f>IFERROR(__xludf.DUMMYFUNCTION("""COMPUTED_VALUE"""),"Assembly;HTML/CSS;Java;JavaScript;TypeScript")</f>
        <v>Assembly;HTML/CSS;Java;JavaScript;TypeScript</v>
      </c>
      <c r="M8761" s="9" t="s">
        <v>27</v>
      </c>
    </row>
    <row r="8762" ht="15.75" customHeight="1">
      <c r="A8762" s="7"/>
      <c r="B8762" s="7" t="str">
        <f>IFERROR(__xludf.DUMMYFUNCTION("""COMPUTED_VALUE"""),"C#;HTML/CSS;SQL")</f>
        <v>C#;HTML/CSS;SQL</v>
      </c>
      <c r="M8762" s="9" t="s">
        <v>28</v>
      </c>
    </row>
    <row r="8763" ht="15.75" customHeight="1">
      <c r="A8763" s="7"/>
      <c r="B8763" s="7" t="str">
        <f>IFERROR(__xludf.DUMMYFUNCTION("""COMPUTED_VALUE"""),"Bash/Shell/PowerShell;C;HTML/CSS;Java;JavaScript;PHP;SQL")</f>
        <v>Bash/Shell/PowerShell;C;HTML/CSS;Java;JavaScript;PHP;SQL</v>
      </c>
      <c r="M8763" s="9" t="s">
        <v>30</v>
      </c>
    </row>
    <row r="8764" ht="15.75" customHeight="1">
      <c r="A8764" s="7"/>
      <c r="B8764" s="7" t="str">
        <f>IFERROR(__xludf.DUMMYFUNCTION("""COMPUTED_VALUE"""),"C;C++;Java;Python")</f>
        <v>C;C++;Java;Python</v>
      </c>
      <c r="M8764" s="9" t="s">
        <v>22</v>
      </c>
    </row>
    <row r="8765" ht="15.75" customHeight="1">
      <c r="A8765" s="7"/>
      <c r="B8765" s="7" t="str">
        <f>IFERROR(__xludf.DUMMYFUNCTION("""COMPUTED_VALUE"""),"Bash/Shell/PowerShell;C#;Dart;HTML/CSS;JavaScript;SQL;Other(s):")</f>
        <v>Bash/Shell/PowerShell;C#;Dart;HTML/CSS;JavaScript;SQL;Other(s):</v>
      </c>
      <c r="M8765" s="9" t="s">
        <v>27</v>
      </c>
    </row>
    <row r="8766" ht="15.75" customHeight="1">
      <c r="A8766" s="7"/>
      <c r="B8766" s="7" t="str">
        <f>IFERROR(__xludf.DUMMYFUNCTION("""COMPUTED_VALUE"""),"Bash/Shell/PowerShell;Java;Python")</f>
        <v>Bash/Shell/PowerShell;Java;Python</v>
      </c>
      <c r="M8766" s="9" t="s">
        <v>35</v>
      </c>
    </row>
    <row r="8767" ht="15.75" customHeight="1">
      <c r="A8767" s="7"/>
      <c r="B8767" s="7" t="str">
        <f>IFERROR(__xludf.DUMMYFUNCTION("""COMPUTED_VALUE"""),"Bash/Shell/PowerShell;HTML/CSS;Java;JavaScript;R;SQL;VBA")</f>
        <v>Bash/Shell/PowerShell;HTML/CSS;Java;JavaScript;R;SQL;VBA</v>
      </c>
      <c r="M8767" s="9" t="s">
        <v>24</v>
      </c>
    </row>
    <row r="8768" ht="15.75" customHeight="1">
      <c r="A8768" s="7"/>
      <c r="B8768" s="7" t="str">
        <f>IFERROR(__xludf.DUMMYFUNCTION("""COMPUTED_VALUE"""),"Bash/Shell/PowerShell;HTML/CSS;JavaScript;Python;R;SQL;TypeScript")</f>
        <v>Bash/Shell/PowerShell;HTML/CSS;JavaScript;Python;R;SQL;TypeScript</v>
      </c>
      <c r="M8768" s="9" t="s">
        <v>21</v>
      </c>
    </row>
    <row r="8769" ht="15.75" customHeight="1">
      <c r="A8769" s="7"/>
      <c r="B8769" s="7" t="str">
        <f>IFERROR(__xludf.DUMMYFUNCTION("""COMPUTED_VALUE"""),"Assembly;Bash/Shell/PowerShell;C;HTML/CSS;Java;Python")</f>
        <v>Assembly;Bash/Shell/PowerShell;C;HTML/CSS;Java;Python</v>
      </c>
      <c r="M8769" s="9" t="s">
        <v>37</v>
      </c>
    </row>
    <row r="8770" ht="15.75" customHeight="1">
      <c r="A8770" s="7"/>
      <c r="B8770" s="7" t="str">
        <f>IFERROR(__xludf.DUMMYFUNCTION("""COMPUTED_VALUE"""),"Bash/Shell/PowerShell;JavaScript;Python;TypeScript")</f>
        <v>Bash/Shell/PowerShell;JavaScript;Python;TypeScript</v>
      </c>
      <c r="M8770" s="9" t="s">
        <v>27</v>
      </c>
    </row>
    <row r="8771" ht="15.75" customHeight="1">
      <c r="A8771" s="7"/>
      <c r="B8771" s="7" t="str">
        <f>IFERROR(__xludf.DUMMYFUNCTION("""COMPUTED_VALUE"""),"C#;SQL")</f>
        <v>C#;SQL</v>
      </c>
      <c r="M8771" s="9" t="s">
        <v>35</v>
      </c>
    </row>
    <row r="8772" ht="15.75" customHeight="1">
      <c r="A8772" s="7"/>
      <c r="B8772" s="7" t="str">
        <f>IFERROR(__xludf.DUMMYFUNCTION("""COMPUTED_VALUE"""),"C#;F#;HTML/CSS;JavaScript;SQL;TypeScript")</f>
        <v>C#;F#;HTML/CSS;JavaScript;SQL;TypeScript</v>
      </c>
      <c r="M8772" s="9" t="s">
        <v>44</v>
      </c>
    </row>
    <row r="8773" ht="15.75" customHeight="1">
      <c r="A8773" s="7"/>
      <c r="B8773" s="7" t="str">
        <f>IFERROR(__xludf.DUMMYFUNCTION("""COMPUTED_VALUE"""),"C#;HTML/CSS;JavaScript;Objective-C;TypeScript")</f>
        <v>C#;HTML/CSS;JavaScript;Objective-C;TypeScript</v>
      </c>
      <c r="M8773" s="9" t="s">
        <v>24</v>
      </c>
    </row>
    <row r="8774" ht="15.75" customHeight="1">
      <c r="A8774" s="7"/>
      <c r="B8774" s="7" t="str">
        <f>IFERROR(__xludf.DUMMYFUNCTION("""COMPUTED_VALUE"""),"Java")</f>
        <v>Java</v>
      </c>
      <c r="M8774" s="9" t="s">
        <v>21</v>
      </c>
    </row>
    <row r="8775" ht="15.75" customHeight="1">
      <c r="A8775" s="7"/>
      <c r="B8775" s="7" t="str">
        <f>IFERROR(__xludf.DUMMYFUNCTION("""COMPUTED_VALUE"""),"Clojure;HTML/CSS;Java;JavaScript;TypeScript")</f>
        <v>Clojure;HTML/CSS;Java;JavaScript;TypeScript</v>
      </c>
      <c r="M8775" s="9" t="s">
        <v>22</v>
      </c>
    </row>
    <row r="8776" ht="15.75" customHeight="1">
      <c r="A8776" s="7"/>
      <c r="B8776" s="7" t="str">
        <f>IFERROR(__xludf.DUMMYFUNCTION("""COMPUTED_VALUE"""),"C#")</f>
        <v>C#</v>
      </c>
      <c r="M8776" s="9" t="s">
        <v>30</v>
      </c>
    </row>
    <row r="8777" ht="15.75" customHeight="1">
      <c r="A8777" s="7"/>
      <c r="B8777" s="7" t="str">
        <f>IFERROR(__xludf.DUMMYFUNCTION("""COMPUTED_VALUE"""),"C#;JavaScript;SQL;Other(s):")</f>
        <v>C#;JavaScript;SQL;Other(s):</v>
      </c>
      <c r="M8777" s="9" t="s">
        <v>24</v>
      </c>
    </row>
    <row r="8778" ht="15.75" customHeight="1">
      <c r="A8778" s="7"/>
      <c r="B8778" s="7" t="str">
        <f>IFERROR(__xludf.DUMMYFUNCTION("""COMPUTED_VALUE"""),"HTML/CSS;Java;JavaScript;PHP;Rust;SQL")</f>
        <v>HTML/CSS;Java;JavaScript;PHP;Rust;SQL</v>
      </c>
      <c r="M8778" s="9" t="s">
        <v>21</v>
      </c>
    </row>
    <row r="8779" ht="15.75" customHeight="1">
      <c r="A8779" s="7"/>
      <c r="B8779" s="7" t="str">
        <f>IFERROR(__xludf.DUMMYFUNCTION("""COMPUTED_VALUE"""),"C;Python")</f>
        <v>C;Python</v>
      </c>
      <c r="M8779" s="9" t="s">
        <v>37</v>
      </c>
    </row>
    <row r="8780" ht="15.75" customHeight="1">
      <c r="A8780" s="7"/>
      <c r="B8780" s="7" t="str">
        <f>IFERROR(__xludf.DUMMYFUNCTION("""COMPUTED_VALUE"""),"Bash/Shell/PowerShell;C;C++;C#;HTML/CSS;Java;JavaScript;PHP;Python")</f>
        <v>Bash/Shell/PowerShell;C;C++;C#;HTML/CSS;Java;JavaScript;PHP;Python</v>
      </c>
      <c r="M8780" s="9" t="s">
        <v>22</v>
      </c>
    </row>
    <row r="8781" ht="15.75" customHeight="1">
      <c r="A8781" s="7"/>
      <c r="B8781" s="7" t="str">
        <f>IFERROR(__xludf.DUMMYFUNCTION("""COMPUTED_VALUE"""),"Assembly;Bash/Shell/PowerShell;C++;C#;Clojure;Go;Python")</f>
        <v>Assembly;Bash/Shell/PowerShell;C++;C#;Clojure;Go;Python</v>
      </c>
      <c r="M8781" s="9" t="s">
        <v>27</v>
      </c>
    </row>
    <row r="8782" ht="15.75" customHeight="1">
      <c r="A8782" s="7"/>
      <c r="B8782" s="7" t="str">
        <f>IFERROR(__xludf.DUMMYFUNCTION("""COMPUTED_VALUE"""),"Bash/Shell/PowerShell;HTML/CSS;Java;JavaScript;PHP;SQL")</f>
        <v>Bash/Shell/PowerShell;HTML/CSS;Java;JavaScript;PHP;SQL</v>
      </c>
      <c r="M8782" s="9" t="s">
        <v>38</v>
      </c>
    </row>
    <row r="8783" ht="15.75" customHeight="1">
      <c r="A8783" s="7"/>
      <c r="B8783" s="7" t="str">
        <f>IFERROR(__xludf.DUMMYFUNCTION("""COMPUTED_VALUE"""),"Bash/Shell/PowerShell;HTML/CSS;JavaScript;PHP;Python;SQL")</f>
        <v>Bash/Shell/PowerShell;HTML/CSS;JavaScript;PHP;Python;SQL</v>
      </c>
      <c r="M8783" s="9" t="s">
        <v>25</v>
      </c>
    </row>
    <row r="8784" ht="15.75" customHeight="1">
      <c r="A8784" s="7"/>
      <c r="B8784" s="7" t="str">
        <f>IFERROR(__xludf.DUMMYFUNCTION("""COMPUTED_VALUE"""),"HTML/CSS;JavaScript;PHP;SQL;Other(s):")</f>
        <v>HTML/CSS;JavaScript;PHP;SQL;Other(s):</v>
      </c>
      <c r="M8784" s="9" t="s">
        <v>23</v>
      </c>
    </row>
    <row r="8785" ht="15.75" customHeight="1">
      <c r="A8785" s="7"/>
      <c r="B8785" s="7" t="str">
        <f>IFERROR(__xludf.DUMMYFUNCTION("""COMPUTED_VALUE"""),"C#;HTML/CSS;Java;JavaScript;Kotlin;SQL;VBA")</f>
        <v>C#;HTML/CSS;Java;JavaScript;Kotlin;SQL;VBA</v>
      </c>
      <c r="M8785" s="9" t="s">
        <v>20</v>
      </c>
    </row>
    <row r="8786" ht="15.75" customHeight="1">
      <c r="A8786" s="7"/>
      <c r="B8786" s="7" t="str">
        <f>IFERROR(__xludf.DUMMYFUNCTION("""COMPUTED_VALUE"""),"Bash/Shell/PowerShell;C;C++;C#;SQL")</f>
        <v>Bash/Shell/PowerShell;C;C++;C#;SQL</v>
      </c>
      <c r="M8786" s="9" t="s">
        <v>21</v>
      </c>
    </row>
    <row r="8787" ht="15.75" customHeight="1">
      <c r="A8787" s="7"/>
      <c r="B8787" s="7" t="str">
        <f>IFERROR(__xludf.DUMMYFUNCTION("""COMPUTED_VALUE"""),"HTML/CSS;Java;JavaScript;SQL;TypeScript")</f>
        <v>HTML/CSS;Java;JavaScript;SQL;TypeScript</v>
      </c>
      <c r="M8787" s="9" t="s">
        <v>39</v>
      </c>
    </row>
    <row r="8788" ht="15.75" customHeight="1">
      <c r="A8788" s="7"/>
      <c r="B8788" s="7" t="str">
        <f>IFERROR(__xludf.DUMMYFUNCTION("""COMPUTED_VALUE"""),"Bash/Shell/PowerShell;HTML/CSS;JavaScript;Python;SQL;Swift;TypeScript")</f>
        <v>Bash/Shell/PowerShell;HTML/CSS;JavaScript;Python;SQL;Swift;TypeScript</v>
      </c>
      <c r="M8788" s="9" t="s">
        <v>46</v>
      </c>
    </row>
    <row r="8789" ht="15.75" customHeight="1">
      <c r="A8789" s="7"/>
      <c r="B8789" s="7" t="str">
        <f>IFERROR(__xludf.DUMMYFUNCTION("""COMPUTED_VALUE"""),"C#;JavaScript;Python;SQL")</f>
        <v>C#;JavaScript;Python;SQL</v>
      </c>
      <c r="M8789" s="9" t="s">
        <v>27</v>
      </c>
    </row>
    <row r="8790" ht="15.75" customHeight="1">
      <c r="A8790" s="7"/>
      <c r="B8790" s="7" t="str">
        <f>IFERROR(__xludf.DUMMYFUNCTION("""COMPUTED_VALUE"""),"C#;HTML/CSS;JavaScript")</f>
        <v>C#;HTML/CSS;JavaScript</v>
      </c>
      <c r="M8790" s="9" t="s">
        <v>33</v>
      </c>
    </row>
    <row r="8791" ht="15.75" customHeight="1">
      <c r="A8791" s="7"/>
      <c r="B8791" s="7" t="str">
        <f>IFERROR(__xludf.DUMMYFUNCTION("""COMPUTED_VALUE"""),"Bash/Shell/PowerShell;C#;HTML/CSS;JavaScript;SQL;Other(s):")</f>
        <v>Bash/Shell/PowerShell;C#;HTML/CSS;JavaScript;SQL;Other(s):</v>
      </c>
      <c r="M8791" s="9" t="s">
        <v>21</v>
      </c>
    </row>
    <row r="8792" ht="15.75" customHeight="1">
      <c r="A8792" s="7"/>
      <c r="B8792" s="7" t="str">
        <f>IFERROR(__xludf.DUMMYFUNCTION("""COMPUTED_VALUE"""),"HTML/CSS;Java;JavaScript;Python")</f>
        <v>HTML/CSS;Java;JavaScript;Python</v>
      </c>
      <c r="M8792" s="9" t="s">
        <v>26</v>
      </c>
    </row>
    <row r="8793" ht="15.75" customHeight="1">
      <c r="A8793" s="7"/>
      <c r="B8793" s="7" t="str">
        <f>IFERROR(__xludf.DUMMYFUNCTION("""COMPUTED_VALUE"""),"HTML/CSS;JavaScript;PHP;TypeScript")</f>
        <v>HTML/CSS;JavaScript;PHP;TypeScript</v>
      </c>
      <c r="M8793" s="9" t="s">
        <v>24</v>
      </c>
    </row>
    <row r="8794" ht="15.75" customHeight="1">
      <c r="A8794" s="7"/>
      <c r="B8794" s="7" t="str">
        <f>IFERROR(__xludf.DUMMYFUNCTION("""COMPUTED_VALUE"""),"Bash/Shell/PowerShell;Java;Python;SQL")</f>
        <v>Bash/Shell/PowerShell;Java;Python;SQL</v>
      </c>
      <c r="M8794" s="9" t="s">
        <v>20</v>
      </c>
    </row>
    <row r="8795" ht="15.75" customHeight="1">
      <c r="A8795" s="7"/>
      <c r="B8795" s="7" t="str">
        <f>IFERROR(__xludf.DUMMYFUNCTION("""COMPUTED_VALUE"""),"HTML/CSS;Java;JavaScript;PHP;TypeScript")</f>
        <v>HTML/CSS;Java;JavaScript;PHP;TypeScript</v>
      </c>
      <c r="M8795" s="9" t="s">
        <v>37</v>
      </c>
    </row>
    <row r="8796" ht="15.75" customHeight="1">
      <c r="A8796" s="7"/>
      <c r="B8796" s="7" t="str">
        <f>IFERROR(__xludf.DUMMYFUNCTION("""COMPUTED_VALUE"""),"C#;HTML/CSS;JavaScript;PHP;Python;SQL;TypeScript")</f>
        <v>C#;HTML/CSS;JavaScript;PHP;Python;SQL;TypeScript</v>
      </c>
      <c r="M8796" s="9" t="s">
        <v>22</v>
      </c>
    </row>
    <row r="8797" ht="15.75" customHeight="1">
      <c r="A8797" s="7"/>
      <c r="B8797" s="7" t="str">
        <f>IFERROR(__xludf.DUMMYFUNCTION("""COMPUTED_VALUE"""),"Bash/Shell/PowerShell;JavaScript;SQL;TypeScript;Other(s):")</f>
        <v>Bash/Shell/PowerShell;JavaScript;SQL;TypeScript;Other(s):</v>
      </c>
      <c r="M8797" s="9" t="s">
        <v>27</v>
      </c>
    </row>
    <row r="8798" ht="15.75" customHeight="1">
      <c r="A8798" s="7"/>
      <c r="B8798" s="7" t="str">
        <f>IFERROR(__xludf.DUMMYFUNCTION("""COMPUTED_VALUE"""),"HTML/CSS;JavaScript")</f>
        <v>HTML/CSS;JavaScript</v>
      </c>
      <c r="M8798" s="9" t="s">
        <v>26</v>
      </c>
    </row>
    <row r="8799" ht="15.75" customHeight="1">
      <c r="A8799" s="7"/>
      <c r="B8799" s="7" t="str">
        <f>IFERROR(__xludf.DUMMYFUNCTION("""COMPUTED_VALUE"""),"Assembly;Bash/Shell/PowerShell;C;C++;C#;Erlang;HTML/CSS;Java;JavaScript;Python;SQL")</f>
        <v>Assembly;Bash/Shell/PowerShell;C;C++;C#;Erlang;HTML/CSS;Java;JavaScript;Python;SQL</v>
      </c>
      <c r="M8799" s="9" t="s">
        <v>24</v>
      </c>
    </row>
    <row r="8800" ht="15.75" customHeight="1">
      <c r="A8800" s="7"/>
      <c r="B8800" s="7" t="str">
        <f>IFERROR(__xludf.DUMMYFUNCTION("""COMPUTED_VALUE"""),"Bash/Shell/PowerShell;HTML/CSS;Java;JavaScript;SQL")</f>
        <v>Bash/Shell/PowerShell;HTML/CSS;Java;JavaScript;SQL</v>
      </c>
      <c r="M8800" s="9" t="s">
        <v>20</v>
      </c>
    </row>
    <row r="8801" ht="15.75" customHeight="1">
      <c r="A8801" s="7"/>
      <c r="B8801" s="7" t="str">
        <f>IFERROR(__xludf.DUMMYFUNCTION("""COMPUTED_VALUE"""),"Bash/Shell/PowerShell;Go;HTML/CSS;Java;JavaScript;SQL;TypeScript")</f>
        <v>Bash/Shell/PowerShell;Go;HTML/CSS;Java;JavaScript;SQL;TypeScript</v>
      </c>
      <c r="M8801" s="9" t="s">
        <v>21</v>
      </c>
    </row>
    <row r="8802" ht="15.75" customHeight="1">
      <c r="A8802" s="7"/>
      <c r="B8802" s="7" t="str">
        <f>IFERROR(__xludf.DUMMYFUNCTION("""COMPUTED_VALUE"""),"Assembly;Bash/Shell/PowerShell;C;C++;HTML/CSS;Java;JavaScript;PHP;Python;SQL")</f>
        <v>Assembly;Bash/Shell/PowerShell;C;C++;HTML/CSS;Java;JavaScript;PHP;Python;SQL</v>
      </c>
      <c r="M8802" s="9" t="s">
        <v>37</v>
      </c>
    </row>
    <row r="8803" ht="15.75" customHeight="1">
      <c r="A8803" s="7"/>
      <c r="B8803" s="7" t="str">
        <f>IFERROR(__xludf.DUMMYFUNCTION("""COMPUTED_VALUE"""),"Java;Other(s):")</f>
        <v>Java;Other(s):</v>
      </c>
      <c r="M8803" s="9" t="s">
        <v>27</v>
      </c>
    </row>
    <row r="8804" ht="15.75" customHeight="1">
      <c r="A8804" s="7"/>
      <c r="B8804" s="7" t="str">
        <f>IFERROR(__xludf.DUMMYFUNCTION("""COMPUTED_VALUE"""),"Bash/Shell/PowerShell;HTML/CSS;JavaScript;Ruby;SQL")</f>
        <v>Bash/Shell/PowerShell;HTML/CSS;JavaScript;Ruby;SQL</v>
      </c>
      <c r="M8804" s="9" t="s">
        <v>33</v>
      </c>
    </row>
    <row r="8805" ht="15.75" customHeight="1">
      <c r="A8805" s="7"/>
      <c r="B8805" s="7" t="str">
        <f>IFERROR(__xludf.DUMMYFUNCTION("""COMPUTED_VALUE"""),"Java;JavaScript")</f>
        <v>Java;JavaScript</v>
      </c>
      <c r="M8805" s="9" t="s">
        <v>36</v>
      </c>
    </row>
    <row r="8806" ht="15.75" customHeight="1">
      <c r="A8806" s="7"/>
      <c r="B8806" s="7" t="str">
        <f>IFERROR(__xludf.DUMMYFUNCTION("""COMPUTED_VALUE"""),"Java;Kotlin;Python;Scala")</f>
        <v>Java;Kotlin;Python;Scala</v>
      </c>
      <c r="M8806" s="9" t="s">
        <v>24</v>
      </c>
    </row>
    <row r="8807" ht="15.75" customHeight="1">
      <c r="A8807" s="7"/>
      <c r="B8807" s="7" t="str">
        <f>IFERROR(__xludf.DUMMYFUNCTION("""COMPUTED_VALUE"""),"C#;JavaScript;SQL")</f>
        <v>C#;JavaScript;SQL</v>
      </c>
      <c r="M8807" s="9" t="s">
        <v>20</v>
      </c>
    </row>
    <row r="8808" ht="15.75" customHeight="1">
      <c r="A8808" s="7"/>
      <c r="B8808" s="7" t="str">
        <f>IFERROR(__xludf.DUMMYFUNCTION("""COMPUTED_VALUE"""),"Bash/Shell/PowerShell;Erlang;Java;SQL")</f>
        <v>Bash/Shell/PowerShell;Erlang;Java;SQL</v>
      </c>
      <c r="M8808" s="9" t="s">
        <v>21</v>
      </c>
    </row>
    <row r="8809" ht="15.75" customHeight="1">
      <c r="A8809" s="7"/>
      <c r="B8809" s="7" t="str">
        <f>IFERROR(__xludf.DUMMYFUNCTION("""COMPUTED_VALUE"""),"C++;C#;HTML/CSS;Java;JavaScript;Python;SQL")</f>
        <v>C++;C#;HTML/CSS;Java;JavaScript;Python;SQL</v>
      </c>
      <c r="M8809" s="9" t="s">
        <v>37</v>
      </c>
    </row>
    <row r="8810" ht="15.75" customHeight="1">
      <c r="A8810" s="7"/>
      <c r="B8810" s="7" t="str">
        <f>IFERROR(__xludf.DUMMYFUNCTION("""COMPUTED_VALUE"""),"C#")</f>
        <v>C#</v>
      </c>
      <c r="M8810" s="9" t="s">
        <v>22</v>
      </c>
    </row>
    <row r="8811" ht="15.75" customHeight="1">
      <c r="A8811" s="7"/>
      <c r="B8811" s="7" t="str">
        <f>IFERROR(__xludf.DUMMYFUNCTION("""COMPUTED_VALUE"""),"Java;JavaScript")</f>
        <v>Java;JavaScript</v>
      </c>
      <c r="M8811" s="9" t="s">
        <v>27</v>
      </c>
    </row>
    <row r="8812" ht="15.75" customHeight="1">
      <c r="A8812" s="7"/>
      <c r="B8812" s="7" t="str">
        <f>IFERROR(__xludf.DUMMYFUNCTION("""COMPUTED_VALUE"""),"C#;HTML/CSS;JavaScript;Ruby;SQL")</f>
        <v>C#;HTML/CSS;JavaScript;Ruby;SQL</v>
      </c>
      <c r="M8812" s="9" t="s">
        <v>38</v>
      </c>
    </row>
    <row r="8813" ht="15.75" customHeight="1">
      <c r="A8813" s="7"/>
      <c r="B8813" s="7" t="str">
        <f>IFERROR(__xludf.DUMMYFUNCTION("""COMPUTED_VALUE"""),"HTML/CSS;PHP;Ruby")</f>
        <v>HTML/CSS;PHP;Ruby</v>
      </c>
      <c r="M8813" s="9" t="s">
        <v>30</v>
      </c>
    </row>
    <row r="8814" ht="15.75" customHeight="1">
      <c r="A8814" s="7"/>
      <c r="B8814" s="7" t="str">
        <f>IFERROR(__xludf.DUMMYFUNCTION("""COMPUTED_VALUE"""),"C#;JavaScript;SQL")</f>
        <v>C#;JavaScript;SQL</v>
      </c>
      <c r="M8814" s="9" t="s">
        <v>25</v>
      </c>
    </row>
    <row r="8815" ht="15.75" customHeight="1">
      <c r="A8815" s="7"/>
      <c r="B8815" s="7" t="str">
        <f>IFERROR(__xludf.DUMMYFUNCTION("""COMPUTED_VALUE"""),"Bash/Shell/PowerShell;Go;Java;SQL")</f>
        <v>Bash/Shell/PowerShell;Go;Java;SQL</v>
      </c>
      <c r="M8815" s="9" t="s">
        <v>26</v>
      </c>
    </row>
    <row r="8816" ht="15.75" customHeight="1">
      <c r="A8816" s="7"/>
      <c r="B8816" s="7" t="str">
        <f>IFERROR(__xludf.DUMMYFUNCTION("""COMPUTED_VALUE"""),"Go;HTML/CSS;Java;JavaScript;Kotlin;Python")</f>
        <v>Go;HTML/CSS;Java;JavaScript;Kotlin;Python</v>
      </c>
      <c r="M8816" s="9" t="s">
        <v>45</v>
      </c>
    </row>
    <row r="8817" ht="15.75" customHeight="1">
      <c r="A8817" s="7"/>
      <c r="B8817" s="7" t="str">
        <f>IFERROR(__xludf.DUMMYFUNCTION("""COMPUTED_VALUE"""),"C++;Python")</f>
        <v>C++;Python</v>
      </c>
      <c r="M8817" s="9" t="s">
        <v>24</v>
      </c>
    </row>
    <row r="8818" ht="15.75" customHeight="1">
      <c r="A8818" s="7"/>
      <c r="B8818" s="7" t="str">
        <f>IFERROR(__xludf.DUMMYFUNCTION("""COMPUTED_VALUE"""),"Dart;Go;Python")</f>
        <v>Dart;Go;Python</v>
      </c>
      <c r="M8818" s="9" t="s">
        <v>21</v>
      </c>
    </row>
    <row r="8819" ht="15.75" customHeight="1">
      <c r="A8819" s="7"/>
      <c r="B8819" s="7" t="str">
        <f>IFERROR(__xludf.DUMMYFUNCTION("""COMPUTED_VALUE"""),"Bash/Shell/PowerShell;C;C++;Dart;Java;Kotlin;PHP;Python;Rust;Swift;TypeScript")</f>
        <v>Bash/Shell/PowerShell;C;C++;Dart;Java;Kotlin;PHP;Python;Rust;Swift;TypeScript</v>
      </c>
      <c r="M8819" s="9" t="s">
        <v>37</v>
      </c>
    </row>
    <row r="8820" ht="15.75" customHeight="1">
      <c r="A8820" s="7"/>
      <c r="B8820" s="7" t="str">
        <f>IFERROR(__xludf.DUMMYFUNCTION("""COMPUTED_VALUE"""),"HTML/CSS;Java;JavaScript")</f>
        <v>HTML/CSS;Java;JavaScript</v>
      </c>
      <c r="M8820" s="9" t="s">
        <v>22</v>
      </c>
    </row>
    <row r="8821" ht="15.75" customHeight="1">
      <c r="A8821" s="7"/>
      <c r="B8821" s="7" t="str">
        <f>IFERROR(__xludf.DUMMYFUNCTION("""COMPUTED_VALUE"""),"HTML/CSS;JavaScript;Python;Ruby;SQL")</f>
        <v>HTML/CSS;JavaScript;Python;Ruby;SQL</v>
      </c>
      <c r="M8821" s="9" t="s">
        <v>27</v>
      </c>
    </row>
    <row r="8822" ht="15.75" customHeight="1">
      <c r="A8822" s="7"/>
      <c r="B8822" s="7" t="str">
        <f>IFERROR(__xludf.DUMMYFUNCTION("""COMPUTED_VALUE"""),"HTML/CSS;JavaScript;PHP;SQL;TypeScript")</f>
        <v>HTML/CSS;JavaScript;PHP;SQL;TypeScript</v>
      </c>
      <c r="M8822" s="9" t="s">
        <v>33</v>
      </c>
    </row>
    <row r="8823" ht="15.75" customHeight="1">
      <c r="A8823" s="7"/>
      <c r="B8823" s="7" t="str">
        <f>IFERROR(__xludf.DUMMYFUNCTION("""COMPUTED_VALUE"""),"C++;Python")</f>
        <v>C++;Python</v>
      </c>
      <c r="M8823" s="9" t="s">
        <v>28</v>
      </c>
    </row>
    <row r="8824" ht="15.75" customHeight="1">
      <c r="A8824" s="7"/>
      <c r="B8824" s="7" t="str">
        <f>IFERROR(__xludf.DUMMYFUNCTION("""COMPUTED_VALUE"""),"C;Dart;Elixir;HTML/CSS;Java;JavaScript;Kotlin;PHP;Python;SQL")</f>
        <v>C;Dart;Elixir;HTML/CSS;Java;JavaScript;Kotlin;PHP;Python;SQL</v>
      </c>
      <c r="M8824" s="9" t="s">
        <v>35</v>
      </c>
    </row>
    <row r="8825" ht="15.75" customHeight="1">
      <c r="A8825" s="7"/>
      <c r="B8825" s="7" t="str">
        <f>IFERROR(__xludf.DUMMYFUNCTION("""COMPUTED_VALUE"""),"HTML/CSS;JavaScript;PHP")</f>
        <v>HTML/CSS;JavaScript;PHP</v>
      </c>
      <c r="M8825" s="9" t="s">
        <v>30</v>
      </c>
    </row>
    <row r="8826" ht="15.75" customHeight="1">
      <c r="A8826" s="7"/>
      <c r="B8826" s="7" t="str">
        <f>IFERROR(__xludf.DUMMYFUNCTION("""COMPUTED_VALUE"""),"Bash/Shell/PowerShell;Java;SQL;VBA")</f>
        <v>Bash/Shell/PowerShell;Java;SQL;VBA</v>
      </c>
      <c r="M8826" s="9" t="s">
        <v>44</v>
      </c>
    </row>
    <row r="8827" ht="15.75" customHeight="1">
      <c r="A8827" s="7"/>
      <c r="B8827" s="7" t="str">
        <f>IFERROR(__xludf.DUMMYFUNCTION("""COMPUTED_VALUE"""),"HTML/CSS;Java;JavaScript;Objective-C")</f>
        <v>HTML/CSS;Java;JavaScript;Objective-C</v>
      </c>
      <c r="M8827" s="9" t="s">
        <v>20</v>
      </c>
    </row>
    <row r="8828" ht="15.75" customHeight="1">
      <c r="A8828" s="7"/>
      <c r="B8828" s="7" t="str">
        <f>IFERROR(__xludf.DUMMYFUNCTION("""COMPUTED_VALUE"""),"Python")</f>
        <v>Python</v>
      </c>
      <c r="M8828" s="9" t="s">
        <v>21</v>
      </c>
    </row>
    <row r="8829" ht="15.75" customHeight="1">
      <c r="A8829" s="7"/>
      <c r="B8829" s="7" t="str">
        <f>IFERROR(__xludf.DUMMYFUNCTION("""COMPUTED_VALUE"""),"C#;HTML/CSS;JavaScript;SQL;VBA")</f>
        <v>C#;HTML/CSS;JavaScript;SQL;VBA</v>
      </c>
      <c r="M8829" s="9" t="s">
        <v>31</v>
      </c>
    </row>
    <row r="8830" ht="15.75" customHeight="1">
      <c r="A8830" s="7"/>
      <c r="B8830" s="7" t="str">
        <f>IFERROR(__xludf.DUMMYFUNCTION("""COMPUTED_VALUE"""),"HTML/CSS;JavaScript;PHP;SQL")</f>
        <v>HTML/CSS;JavaScript;PHP;SQL</v>
      </c>
      <c r="M8830" s="9" t="s">
        <v>27</v>
      </c>
    </row>
    <row r="8831" ht="15.75" customHeight="1">
      <c r="A8831" s="7"/>
      <c r="B8831" s="7" t="str">
        <f>IFERROR(__xludf.DUMMYFUNCTION("""COMPUTED_VALUE"""),"C++;HTML/CSS;PHP;SQL")</f>
        <v>C++;HTML/CSS;PHP;SQL</v>
      </c>
      <c r="M8831" s="9" t="s">
        <v>38</v>
      </c>
    </row>
    <row r="8832" ht="15.75" customHeight="1">
      <c r="A8832" s="7"/>
      <c r="B8832" s="7" t="str">
        <f>IFERROR(__xludf.DUMMYFUNCTION("""COMPUTED_VALUE"""),"Bash/Shell/PowerShell;C#;HTML/CSS;Java;JavaScript;PHP;SQL;Other(s):")</f>
        <v>Bash/Shell/PowerShell;C#;HTML/CSS;Java;JavaScript;PHP;SQL;Other(s):</v>
      </c>
      <c r="M8832" s="9" t="s">
        <v>26</v>
      </c>
    </row>
    <row r="8833" ht="15.75" customHeight="1">
      <c r="A8833" s="7"/>
      <c r="B8833" s="7" t="str">
        <f>IFERROR(__xludf.DUMMYFUNCTION("""COMPUTED_VALUE"""),"Java;Kotlin")</f>
        <v>Java;Kotlin</v>
      </c>
      <c r="M8833" s="9" t="s">
        <v>24</v>
      </c>
    </row>
    <row r="8834" ht="15.75" customHeight="1">
      <c r="A8834" s="7"/>
      <c r="B8834" s="7" t="str">
        <f>IFERROR(__xludf.DUMMYFUNCTION("""COMPUTED_VALUE"""),"JavaScript;Python;R")</f>
        <v>JavaScript;Python;R</v>
      </c>
      <c r="M8834" s="9" t="s">
        <v>21</v>
      </c>
    </row>
    <row r="8835" ht="15.75" customHeight="1">
      <c r="A8835" s="7"/>
      <c r="B8835" s="7" t="str">
        <f>IFERROR(__xludf.DUMMYFUNCTION("""COMPUTED_VALUE"""),"Java;SQL")</f>
        <v>Java;SQL</v>
      </c>
      <c r="M8835" s="9" t="s">
        <v>27</v>
      </c>
    </row>
    <row r="8836" ht="15.75" customHeight="1">
      <c r="A8836" s="7"/>
      <c r="B8836" s="7" t="str">
        <f>IFERROR(__xludf.DUMMYFUNCTION("""COMPUTED_VALUE"""),"Elixir;JavaScript;Objective-C;Swift;Other(s):")</f>
        <v>Elixir;JavaScript;Objective-C;Swift;Other(s):</v>
      </c>
      <c r="M8836" s="9" t="s">
        <v>22</v>
      </c>
    </row>
    <row r="8837" ht="15.75" customHeight="1">
      <c r="A8837" s="7"/>
      <c r="B8837" s="7" t="str">
        <f>IFERROR(__xludf.DUMMYFUNCTION("""COMPUTED_VALUE"""),"Bash/Shell/PowerShell;C++;C#;HTML/CSS;JavaScript;PHP;Python;SQL;TypeScript;VBA")</f>
        <v>Bash/Shell/PowerShell;C++;C#;HTML/CSS;JavaScript;PHP;Python;SQL;TypeScript;VBA</v>
      </c>
      <c r="M8837" s="9" t="s">
        <v>26</v>
      </c>
    </row>
    <row r="8838" ht="15.75" customHeight="1">
      <c r="A8838" s="7"/>
      <c r="B8838" s="7" t="str">
        <f>IFERROR(__xludf.DUMMYFUNCTION("""COMPUTED_VALUE"""),"C;C++;HTML/CSS;Java;JavaScript;Objective-C;PHP;SQL;TypeScript")</f>
        <v>C;C++;HTML/CSS;Java;JavaScript;Objective-C;PHP;SQL;TypeScript</v>
      </c>
      <c r="M8838" s="9" t="s">
        <v>21</v>
      </c>
    </row>
    <row r="8839" ht="15.75" customHeight="1">
      <c r="A8839" s="7"/>
      <c r="B8839" s="7" t="str">
        <f>IFERROR(__xludf.DUMMYFUNCTION("""COMPUTED_VALUE"""),"Java;JavaScript;Python;TypeScript")</f>
        <v>Java;JavaScript;Python;TypeScript</v>
      </c>
      <c r="M8839" s="9" t="s">
        <v>27</v>
      </c>
    </row>
    <row r="8840" ht="15.75" customHeight="1">
      <c r="A8840" s="7"/>
      <c r="B8840" s="7" t="str">
        <f>IFERROR(__xludf.DUMMYFUNCTION("""COMPUTED_VALUE"""),"Bash/Shell/PowerShell;Java;Python;SQL")</f>
        <v>Bash/Shell/PowerShell;Java;Python;SQL</v>
      </c>
      <c r="M8840" s="9" t="s">
        <v>33</v>
      </c>
    </row>
    <row r="8841" ht="15.75" customHeight="1">
      <c r="A8841" s="7"/>
      <c r="B8841" s="7" t="str">
        <f>IFERROR(__xludf.DUMMYFUNCTION("""COMPUTED_VALUE"""),"Go;HTML/CSS;JavaScript;PHP;SQL")</f>
        <v>Go;HTML/CSS;JavaScript;PHP;SQL</v>
      </c>
      <c r="M8841" s="9" t="s">
        <v>30</v>
      </c>
    </row>
    <row r="8842" ht="15.75" customHeight="1">
      <c r="A8842" s="7"/>
      <c r="B8842" s="7" t="str">
        <f>IFERROR(__xludf.DUMMYFUNCTION("""COMPUTED_VALUE"""),"Assembly;Bash/Shell/PowerShell;C;HTML/CSS;Java;JavaScript;PHP;SQL")</f>
        <v>Assembly;Bash/Shell/PowerShell;C;HTML/CSS;Java;JavaScript;PHP;SQL</v>
      </c>
      <c r="M8842" s="9" t="s">
        <v>23</v>
      </c>
    </row>
    <row r="8843" ht="15.75" customHeight="1">
      <c r="A8843" s="7"/>
      <c r="B8843" s="7" t="str">
        <f>IFERROR(__xludf.DUMMYFUNCTION("""COMPUTED_VALUE"""),"C#;Go;HTML/CSS;Java;JavaScript;Python;SQL;TypeScript")</f>
        <v>C#;Go;HTML/CSS;Java;JavaScript;Python;SQL;TypeScript</v>
      </c>
      <c r="M8843" s="9" t="s">
        <v>26</v>
      </c>
    </row>
    <row r="8844" ht="15.75" customHeight="1">
      <c r="A8844" s="7"/>
      <c r="B8844" s="7" t="str">
        <f>IFERROR(__xludf.DUMMYFUNCTION("""COMPUTED_VALUE"""),"C#;TypeScript")</f>
        <v>C#;TypeScript</v>
      </c>
      <c r="M8844" s="9" t="s">
        <v>22</v>
      </c>
    </row>
    <row r="8845" ht="15.75" customHeight="1">
      <c r="A8845" s="7"/>
      <c r="B8845" s="7" t="str">
        <f>IFERROR(__xludf.DUMMYFUNCTION("""COMPUTED_VALUE"""),"C#;HTML/CSS;Java;JavaScript;Objective-C;SQL;Swift;TypeScript")</f>
        <v>C#;HTML/CSS;Java;JavaScript;Objective-C;SQL;Swift;TypeScript</v>
      </c>
      <c r="M8845" s="9" t="s">
        <v>31</v>
      </c>
    </row>
    <row r="8846" ht="15.75" customHeight="1">
      <c r="A8846" s="7"/>
      <c r="B8846" s="7" t="str">
        <f>IFERROR(__xludf.DUMMYFUNCTION("""COMPUTED_VALUE"""),"Python;R;SQL")</f>
        <v>Python;R;SQL</v>
      </c>
      <c r="M8846" s="9" t="s">
        <v>30</v>
      </c>
    </row>
    <row r="8847" ht="15.75" customHeight="1">
      <c r="A8847" s="7"/>
      <c r="B8847" s="7" t="str">
        <f>IFERROR(__xludf.DUMMYFUNCTION("""COMPUTED_VALUE"""),"C#;HTML/CSS;Java;JavaScript;PHP;SQL")</f>
        <v>C#;HTML/CSS;Java;JavaScript;PHP;SQL</v>
      </c>
      <c r="M8847" s="9" t="s">
        <v>24</v>
      </c>
    </row>
    <row r="8848" ht="15.75" customHeight="1">
      <c r="A8848" s="7"/>
      <c r="B8848" s="7" t="str">
        <f>IFERROR(__xludf.DUMMYFUNCTION("""COMPUTED_VALUE"""),"C#;HTML/CSS;JavaScript;SQL;TypeScript")</f>
        <v>C#;HTML/CSS;JavaScript;SQL;TypeScript</v>
      </c>
      <c r="M8848" s="9" t="s">
        <v>21</v>
      </c>
    </row>
    <row r="8849" ht="15.75" customHeight="1">
      <c r="A8849" s="7"/>
      <c r="B8849" s="7" t="str">
        <f>IFERROR(__xludf.DUMMYFUNCTION("""COMPUTED_VALUE"""),"Java;Kotlin")</f>
        <v>Java;Kotlin</v>
      </c>
      <c r="M8849" s="9" t="s">
        <v>37</v>
      </c>
    </row>
    <row r="8850" ht="15.75" customHeight="1">
      <c r="A8850" s="7"/>
      <c r="B8850" s="7" t="str">
        <f>IFERROR(__xludf.DUMMYFUNCTION("""COMPUTED_VALUE"""),"C#;HTML/CSS;JavaScript;SQL")</f>
        <v>C#;HTML/CSS;JavaScript;SQL</v>
      </c>
      <c r="M8850" s="9" t="s">
        <v>22</v>
      </c>
    </row>
    <row r="8851" ht="15.75" customHeight="1">
      <c r="A8851" s="7"/>
      <c r="B8851" s="7" t="str">
        <f>IFERROR(__xludf.DUMMYFUNCTION("""COMPUTED_VALUE"""),"C#;HTML/CSS;JavaScript;TypeScript")</f>
        <v>C#;HTML/CSS;JavaScript;TypeScript</v>
      </c>
      <c r="M8851" s="9" t="s">
        <v>27</v>
      </c>
    </row>
    <row r="8852" ht="15.75" customHeight="1">
      <c r="A8852" s="7"/>
      <c r="B8852" s="7" t="str">
        <f>IFERROR(__xludf.DUMMYFUNCTION("""COMPUTED_VALUE"""),"HTML/CSS;JavaScript")</f>
        <v>HTML/CSS;JavaScript</v>
      </c>
      <c r="M8852" s="9" t="s">
        <v>33</v>
      </c>
    </row>
    <row r="8853" ht="15.75" customHeight="1">
      <c r="A8853" s="7"/>
      <c r="B8853" s="7" t="str">
        <f>IFERROR(__xludf.DUMMYFUNCTION("""COMPUTED_VALUE"""),"Bash/Shell/PowerShell;C++;Python")</f>
        <v>Bash/Shell/PowerShell;C++;Python</v>
      </c>
      <c r="M8853" s="9" t="s">
        <v>38</v>
      </c>
    </row>
    <row r="8854" ht="15.75" customHeight="1">
      <c r="A8854" s="7"/>
      <c r="B8854" s="7" t="str">
        <f>IFERROR(__xludf.DUMMYFUNCTION("""COMPUTED_VALUE"""),"Assembly;C#;Rust")</f>
        <v>Assembly;C#;Rust</v>
      </c>
      <c r="M8854" s="9" t="s">
        <v>25</v>
      </c>
    </row>
    <row r="8855" ht="15.75" customHeight="1">
      <c r="A8855" s="7"/>
      <c r="B8855" s="7" t="str">
        <f>IFERROR(__xludf.DUMMYFUNCTION("""COMPUTED_VALUE"""),"C#;Java")</f>
        <v>C#;Java</v>
      </c>
      <c r="M8855" s="9" t="s">
        <v>23</v>
      </c>
    </row>
    <row r="8856" ht="15.75" customHeight="1">
      <c r="A8856" s="7"/>
      <c r="B8856" s="7" t="str">
        <f>IFERROR(__xludf.DUMMYFUNCTION("""COMPUTED_VALUE"""),"C#;HTML/CSS;JavaScript;SQL")</f>
        <v>C#;HTML/CSS;JavaScript;SQL</v>
      </c>
      <c r="M8856" s="9" t="s">
        <v>43</v>
      </c>
    </row>
    <row r="8857" ht="15.75" customHeight="1">
      <c r="A8857" s="7"/>
      <c r="B8857" s="7" t="str">
        <f>IFERROR(__xludf.DUMMYFUNCTION("""COMPUTED_VALUE"""),"Assembly;C;C++;JavaScript;Python;Ruby;Rust")</f>
        <v>Assembly;C;C++;JavaScript;Python;Ruby;Rust</v>
      </c>
      <c r="M8857" s="9" t="s">
        <v>36</v>
      </c>
    </row>
    <row r="8858" ht="15.75" customHeight="1">
      <c r="A8858" s="7"/>
      <c r="B8858" s="7" t="str">
        <f>IFERROR(__xludf.DUMMYFUNCTION("""COMPUTED_VALUE"""),"Bash/Shell/PowerShell;C;C++;C#;HTML/CSS;JavaScript")</f>
        <v>Bash/Shell/PowerShell;C;C++;C#;HTML/CSS;JavaScript</v>
      </c>
      <c r="M8858" s="9" t="s">
        <v>24</v>
      </c>
    </row>
    <row r="8859" ht="15.75" customHeight="1">
      <c r="A8859" s="7"/>
      <c r="B8859" s="7" t="str">
        <f>IFERROR(__xludf.DUMMYFUNCTION("""COMPUTED_VALUE"""),"C;Go;JavaScript;Rust;TypeScript")</f>
        <v>C;Go;JavaScript;Rust;TypeScript</v>
      </c>
      <c r="M8859" s="9" t="s">
        <v>20</v>
      </c>
    </row>
    <row r="8860" ht="15.75" customHeight="1">
      <c r="A8860" s="7"/>
      <c r="B8860" s="7" t="str">
        <f>IFERROR(__xludf.DUMMYFUNCTION("""COMPUTED_VALUE"""),"HTML/CSS;Java;JavaScript;PHP")</f>
        <v>HTML/CSS;Java;JavaScript;PHP</v>
      </c>
      <c r="M8860" s="9" t="s">
        <v>21</v>
      </c>
    </row>
    <row r="8861" ht="15.75" customHeight="1">
      <c r="A8861" s="7"/>
      <c r="B8861" s="7" t="str">
        <f>IFERROR(__xludf.DUMMYFUNCTION("""COMPUTED_VALUE"""),"C;C++;C#")</f>
        <v>C;C++;C#</v>
      </c>
      <c r="M8861" s="9" t="s">
        <v>39</v>
      </c>
    </row>
    <row r="8862" ht="15.75" customHeight="1">
      <c r="A8862" s="7"/>
      <c r="B8862" s="7" t="str">
        <f>IFERROR(__xludf.DUMMYFUNCTION("""COMPUTED_VALUE"""),"C#;HTML/CSS;JavaScript;PHP;SQL")</f>
        <v>C#;HTML/CSS;JavaScript;PHP;SQL</v>
      </c>
      <c r="M8862" s="9" t="s">
        <v>30</v>
      </c>
    </row>
    <row r="8863" ht="15.75" customHeight="1">
      <c r="A8863" s="7"/>
      <c r="B8863" s="7" t="str">
        <f>IFERROR(__xludf.DUMMYFUNCTION("""COMPUTED_VALUE"""),"Bash/Shell/PowerShell;C;C++;HTML/CSS;Java;JavaScript;Python;SQL")</f>
        <v>Bash/Shell/PowerShell;C;C++;HTML/CSS;Java;JavaScript;Python;SQL</v>
      </c>
      <c r="M8863" s="9" t="s">
        <v>25</v>
      </c>
    </row>
    <row r="8864" ht="15.75" customHeight="1">
      <c r="A8864" s="7"/>
      <c r="B8864" s="7" t="str">
        <f>IFERROR(__xludf.DUMMYFUNCTION("""COMPUTED_VALUE"""),"HTML/CSS;JavaScript;PHP")</f>
        <v>HTML/CSS;JavaScript;PHP</v>
      </c>
      <c r="M8864" s="9" t="s">
        <v>23</v>
      </c>
    </row>
    <row r="8865" ht="15.75" customHeight="1">
      <c r="A8865" s="7"/>
      <c r="B8865" s="7" t="str">
        <f>IFERROR(__xludf.DUMMYFUNCTION("""COMPUTED_VALUE"""),"HTML/CSS;Python;R;SQL")</f>
        <v>HTML/CSS;Python;R;SQL</v>
      </c>
      <c r="M8865" s="9" t="s">
        <v>20</v>
      </c>
    </row>
    <row r="8866" ht="15.75" customHeight="1">
      <c r="A8866" s="7"/>
      <c r="B8866" s="7" t="str">
        <f>IFERROR(__xludf.DUMMYFUNCTION("""COMPUTED_VALUE"""),"C#;Other(s):")</f>
        <v>C#;Other(s):</v>
      </c>
      <c r="M8866" s="9" t="s">
        <v>41</v>
      </c>
    </row>
    <row r="8867" ht="15.75" customHeight="1">
      <c r="A8867" s="7"/>
      <c r="B8867" s="7" t="str">
        <f>IFERROR(__xludf.DUMMYFUNCTION("""COMPUTED_VALUE"""),"C#;HTML/CSS;JavaScript")</f>
        <v>C#;HTML/CSS;JavaScript</v>
      </c>
      <c r="M8867" s="9" t="s">
        <v>22</v>
      </c>
    </row>
    <row r="8868" ht="15.75" customHeight="1">
      <c r="A8868" s="7"/>
      <c r="B8868" s="7" t="str">
        <f>IFERROR(__xludf.DUMMYFUNCTION("""COMPUTED_VALUE"""),"HTML/CSS;Java;JavaScript;Kotlin;SQL;TypeScript")</f>
        <v>HTML/CSS;Java;JavaScript;Kotlin;SQL;TypeScript</v>
      </c>
      <c r="M8868" s="9" t="s">
        <v>26</v>
      </c>
    </row>
    <row r="8869" ht="15.75" customHeight="1">
      <c r="A8869" s="7"/>
      <c r="B8869" s="7" t="str">
        <f>IFERROR(__xludf.DUMMYFUNCTION("""COMPUTED_VALUE"""),"C;C#")</f>
        <v>C;C#</v>
      </c>
      <c r="M8869" s="9" t="s">
        <v>24</v>
      </c>
    </row>
    <row r="8870" ht="15.75" customHeight="1">
      <c r="A8870" s="7"/>
      <c r="B8870" s="7" t="str">
        <f>IFERROR(__xludf.DUMMYFUNCTION("""COMPUTED_VALUE"""),"HTML/CSS;Java;JavaScript;PHP;SQL")</f>
        <v>HTML/CSS;Java;JavaScript;PHP;SQL</v>
      </c>
      <c r="M8870" s="9" t="s">
        <v>21</v>
      </c>
    </row>
    <row r="8871" ht="15.75" customHeight="1">
      <c r="A8871" s="7"/>
      <c r="B8871" s="7" t="str">
        <f>IFERROR(__xludf.DUMMYFUNCTION("""COMPUTED_VALUE"""),"C#;HTML/CSS;JavaScript;SQL")</f>
        <v>C#;HTML/CSS;JavaScript;SQL</v>
      </c>
      <c r="M8871" s="9" t="s">
        <v>27</v>
      </c>
    </row>
    <row r="8872" ht="15.75" customHeight="1">
      <c r="A8872" s="7"/>
      <c r="B8872" s="7" t="str">
        <f>IFERROR(__xludf.DUMMYFUNCTION("""COMPUTED_VALUE"""),"C++;C#")</f>
        <v>C++;C#</v>
      </c>
      <c r="M8872" s="9" t="s">
        <v>30</v>
      </c>
    </row>
    <row r="8873" ht="15.75" customHeight="1">
      <c r="A8873" s="7"/>
      <c r="B8873" s="7" t="str">
        <f>IFERROR(__xludf.DUMMYFUNCTION("""COMPUTED_VALUE"""),"C#;HTML/CSS;JavaScript;SQL")</f>
        <v>C#;HTML/CSS;JavaScript;SQL</v>
      </c>
      <c r="M8873" s="9" t="s">
        <v>26</v>
      </c>
    </row>
    <row r="8874" ht="15.75" customHeight="1">
      <c r="A8874" s="7"/>
      <c r="B8874" s="7" t="str">
        <f>IFERROR(__xludf.DUMMYFUNCTION("""COMPUTED_VALUE"""),"TypeScript")</f>
        <v>TypeScript</v>
      </c>
      <c r="M8874" s="9" t="s">
        <v>24</v>
      </c>
    </row>
    <row r="8875" ht="15.75" customHeight="1">
      <c r="A8875" s="7"/>
      <c r="B8875" s="7" t="str">
        <f>IFERROR(__xludf.DUMMYFUNCTION("""COMPUTED_VALUE"""),"Bash/Shell/PowerShell;HTML/CSS;JavaScript;PHP;Python;SQL;TypeScript")</f>
        <v>Bash/Shell/PowerShell;HTML/CSS;JavaScript;PHP;Python;SQL;TypeScript</v>
      </c>
      <c r="M8875" s="9" t="s">
        <v>20</v>
      </c>
    </row>
    <row r="8876" ht="15.75" customHeight="1">
      <c r="A8876" s="7"/>
      <c r="B8876" s="7" t="str">
        <f>IFERROR(__xludf.DUMMYFUNCTION("""COMPUTED_VALUE"""),"HTML/CSS;Java;JavaScript;SQL;TypeScript")</f>
        <v>HTML/CSS;Java;JavaScript;SQL;TypeScript</v>
      </c>
      <c r="M8876" s="9" t="s">
        <v>21</v>
      </c>
    </row>
    <row r="8877" ht="15.75" customHeight="1">
      <c r="A8877" s="7"/>
      <c r="B8877" s="7" t="str">
        <f>IFERROR(__xludf.DUMMYFUNCTION("""COMPUTED_VALUE"""),"Java;Kotlin;Python")</f>
        <v>Java;Kotlin;Python</v>
      </c>
      <c r="M8877" s="9" t="s">
        <v>37</v>
      </c>
    </row>
    <row r="8878" ht="15.75" customHeight="1">
      <c r="A8878" s="7"/>
      <c r="B8878" s="7" t="str">
        <f>IFERROR(__xludf.DUMMYFUNCTION("""COMPUTED_VALUE"""),"Bash/Shell/PowerShell;C#;HTML/CSS;JavaScript;SQL;TypeScript")</f>
        <v>Bash/Shell/PowerShell;C#;HTML/CSS;JavaScript;SQL;TypeScript</v>
      </c>
      <c r="M8878" s="9" t="s">
        <v>22</v>
      </c>
    </row>
    <row r="8879" ht="15.75" customHeight="1">
      <c r="A8879" s="7"/>
      <c r="B8879" s="7" t="str">
        <f>IFERROR(__xludf.DUMMYFUNCTION("""COMPUTED_VALUE"""),"HTML/CSS;JavaScript;PHP")</f>
        <v>HTML/CSS;JavaScript;PHP</v>
      </c>
      <c r="M8879" s="9" t="s">
        <v>27</v>
      </c>
    </row>
    <row r="8880" ht="15.75" customHeight="1">
      <c r="A8880" s="7"/>
      <c r="B8880" s="7" t="str">
        <f>IFERROR(__xludf.DUMMYFUNCTION("""COMPUTED_VALUE"""),"Bash/Shell/PowerShell;Go;JavaScript;Python;SQL")</f>
        <v>Bash/Shell/PowerShell;Go;JavaScript;Python;SQL</v>
      </c>
      <c r="M8880" s="9" t="s">
        <v>35</v>
      </c>
    </row>
    <row r="8881" ht="15.75" customHeight="1">
      <c r="A8881" s="7"/>
      <c r="B8881" s="7" t="str">
        <f>IFERROR(__xludf.DUMMYFUNCTION("""COMPUTED_VALUE"""),"Bash/Shell/PowerShell;C;C++;Java;Python;Rust")</f>
        <v>Bash/Shell/PowerShell;C;C++;Java;Python;Rust</v>
      </c>
      <c r="M8881" s="9" t="s">
        <v>36</v>
      </c>
    </row>
    <row r="8882" ht="15.75" customHeight="1">
      <c r="A8882" s="7"/>
      <c r="B8882" s="7" t="str">
        <f>IFERROR(__xludf.DUMMYFUNCTION("""COMPUTED_VALUE"""),"Bash/Shell/PowerShell;C;Go;HTML/CSS;JavaScript;Python;Ruby;Rust;SQL;Swift;TypeScript;WebAssembly;Other(s):")</f>
        <v>Bash/Shell/PowerShell;C;Go;HTML/CSS;JavaScript;Python;Ruby;Rust;SQL;Swift;TypeScript;WebAssembly;Other(s):</v>
      </c>
      <c r="M8882" s="9" t="s">
        <v>24</v>
      </c>
    </row>
    <row r="8883" ht="15.75" customHeight="1">
      <c r="A8883" s="7"/>
      <c r="B8883" s="7" t="str">
        <f>IFERROR(__xludf.DUMMYFUNCTION("""COMPUTED_VALUE"""),"JavaScript;Ruby;TypeScript")</f>
        <v>JavaScript;Ruby;TypeScript</v>
      </c>
      <c r="M8883" s="9" t="s">
        <v>20</v>
      </c>
    </row>
    <row r="8884" ht="15.75" customHeight="1">
      <c r="A8884" s="7"/>
      <c r="B8884" s="7" t="str">
        <f>IFERROR(__xludf.DUMMYFUNCTION("""COMPUTED_VALUE"""),"C++;C#;Python;Rust;Other(s):")</f>
        <v>C++;C#;Python;Rust;Other(s):</v>
      </c>
      <c r="M8884" s="9" t="s">
        <v>21</v>
      </c>
    </row>
    <row r="8885" ht="15.75" customHeight="1">
      <c r="A8885" s="7"/>
      <c r="B8885" s="7" t="str">
        <f>IFERROR(__xludf.DUMMYFUNCTION("""COMPUTED_VALUE"""),"Assembly;C;C++;C#;HTML/CSS;Java;JavaScript;PHP;SQL")</f>
        <v>Assembly;C;C++;C#;HTML/CSS;Java;JavaScript;PHP;SQL</v>
      </c>
      <c r="M8885" s="9" t="s">
        <v>37</v>
      </c>
    </row>
    <row r="8886" ht="15.75" customHeight="1">
      <c r="A8886" s="7"/>
      <c r="B8886" s="7" t="str">
        <f>IFERROR(__xludf.DUMMYFUNCTION("""COMPUTED_VALUE"""),"Java")</f>
        <v>Java</v>
      </c>
      <c r="M8886" s="9" t="s">
        <v>27</v>
      </c>
    </row>
    <row r="8887" ht="15.75" customHeight="1">
      <c r="A8887" s="7"/>
      <c r="B8887" s="7" t="str">
        <f>IFERROR(__xludf.DUMMYFUNCTION("""COMPUTED_VALUE"""),"C#;Go;HTML/CSS;Java;JavaScript;SQL")</f>
        <v>C#;Go;HTML/CSS;Java;JavaScript;SQL</v>
      </c>
      <c r="M8887" s="9" t="s">
        <v>30</v>
      </c>
    </row>
    <row r="8888" ht="15.75" customHeight="1">
      <c r="A8888" s="7"/>
      <c r="B8888" s="7" t="str">
        <f>IFERROR(__xludf.DUMMYFUNCTION("""COMPUTED_VALUE"""),"Bash/Shell/PowerShell;C;C++;HTML/CSS;Java;Python;SQL;VBA")</f>
        <v>Bash/Shell/PowerShell;C;C++;HTML/CSS;Java;Python;SQL;VBA</v>
      </c>
      <c r="M8888" s="9" t="s">
        <v>24</v>
      </c>
    </row>
    <row r="8889" ht="15.75" customHeight="1">
      <c r="A8889" s="7"/>
      <c r="B8889" s="7" t="str">
        <f>IFERROR(__xludf.DUMMYFUNCTION("""COMPUTED_VALUE"""),"Bash/Shell/PowerShell;C++;Elixir;Go;HTML/CSS;Java;JavaScript;PHP;Ruby;SQL;Other(s):")</f>
        <v>Bash/Shell/PowerShell;C++;Elixir;Go;HTML/CSS;Java;JavaScript;PHP;Ruby;SQL;Other(s):</v>
      </c>
      <c r="M8889" s="9" t="s">
        <v>21</v>
      </c>
    </row>
    <row r="8890" ht="15.75" customHeight="1">
      <c r="A8890" s="7"/>
      <c r="B8890" s="7" t="str">
        <f>IFERROR(__xludf.DUMMYFUNCTION("""COMPUTED_VALUE"""),"C;C++;Dart;HTML/CSS;Java;JavaScript;VBA")</f>
        <v>C;C++;Dart;HTML/CSS;Java;JavaScript;VBA</v>
      </c>
      <c r="M8890" s="9" t="s">
        <v>41</v>
      </c>
    </row>
    <row r="8891" ht="15.75" customHeight="1">
      <c r="A8891" s="7"/>
      <c r="B8891" s="7" t="str">
        <f>IFERROR(__xludf.DUMMYFUNCTION("""COMPUTED_VALUE"""),"C;C++;Go;HTML/CSS;JavaScript;Python;Ruby;TypeScript")</f>
        <v>C;C++;Go;HTML/CSS;JavaScript;Python;Ruby;TypeScript</v>
      </c>
      <c r="M8891" s="9" t="s">
        <v>37</v>
      </c>
    </row>
    <row r="8892" ht="15.75" customHeight="1">
      <c r="A8892" s="7"/>
      <c r="B8892" s="7" t="str">
        <f>IFERROR(__xludf.DUMMYFUNCTION("""COMPUTED_VALUE"""),"C#;HTML/CSS;JavaScript;SQL")</f>
        <v>C#;HTML/CSS;JavaScript;SQL</v>
      </c>
      <c r="M8892" s="9" t="s">
        <v>31</v>
      </c>
    </row>
    <row r="8893" ht="15.75" customHeight="1">
      <c r="A8893" s="7"/>
      <c r="B8893" s="7" t="str">
        <f>IFERROR(__xludf.DUMMYFUNCTION("""COMPUTED_VALUE"""),"HTML/CSS;JavaScript;SQL")</f>
        <v>HTML/CSS;JavaScript;SQL</v>
      </c>
      <c r="M8893" s="9" t="s">
        <v>27</v>
      </c>
    </row>
    <row r="8894" ht="15.75" customHeight="1">
      <c r="A8894" s="7"/>
      <c r="B8894" s="7" t="str">
        <f>IFERROR(__xludf.DUMMYFUNCTION("""COMPUTED_VALUE"""),"Bash/Shell/PowerShell;Java;SQL")</f>
        <v>Bash/Shell/PowerShell;Java;SQL</v>
      </c>
      <c r="M8894" s="9" t="s">
        <v>40</v>
      </c>
    </row>
    <row r="8895" ht="15.75" customHeight="1">
      <c r="A8895" s="7"/>
      <c r="B8895" s="7" t="str">
        <f>IFERROR(__xludf.DUMMYFUNCTION("""COMPUTED_VALUE"""),"HTML/CSS;JavaScript;PHP;SQL")</f>
        <v>HTML/CSS;JavaScript;PHP;SQL</v>
      </c>
      <c r="M8895" s="9" t="s">
        <v>22</v>
      </c>
    </row>
    <row r="8896" ht="15.75" customHeight="1">
      <c r="A8896" s="7"/>
      <c r="B8896" s="7" t="str">
        <f>IFERROR(__xludf.DUMMYFUNCTION("""COMPUTED_VALUE"""),"Bash/Shell/PowerShell;C++;HTML/CSS;Java;JavaScript;Python;SQL")</f>
        <v>Bash/Shell/PowerShell;C++;HTML/CSS;Java;JavaScript;Python;SQL</v>
      </c>
      <c r="M8896" s="9" t="s">
        <v>27</v>
      </c>
    </row>
    <row r="8897" ht="15.75" customHeight="1">
      <c r="A8897" s="7"/>
      <c r="B8897" s="7" t="str">
        <f>IFERROR(__xludf.DUMMYFUNCTION("""COMPUTED_VALUE"""),"Bash/Shell/PowerShell;Go;HTML/CSS;JavaScript")</f>
        <v>Bash/Shell/PowerShell;Go;HTML/CSS;JavaScript</v>
      </c>
      <c r="M8897" s="9" t="s">
        <v>28</v>
      </c>
    </row>
    <row r="8898" ht="15.75" customHeight="1">
      <c r="A8898" s="7"/>
      <c r="B8898" s="7" t="str">
        <f>IFERROR(__xludf.DUMMYFUNCTION("""COMPUTED_VALUE"""),"C#;HTML/CSS;JavaScript;SQL")</f>
        <v>C#;HTML/CSS;JavaScript;SQL</v>
      </c>
      <c r="M8898" s="9" t="s">
        <v>20</v>
      </c>
    </row>
    <row r="8899" ht="15.75" customHeight="1">
      <c r="A8899" s="7"/>
      <c r="B8899" s="7" t="str">
        <f>IFERROR(__xludf.DUMMYFUNCTION("""COMPUTED_VALUE"""),"C#;HTML/CSS;JavaScript;SQL")</f>
        <v>C#;HTML/CSS;JavaScript;SQL</v>
      </c>
      <c r="M8899" s="9" t="s">
        <v>39</v>
      </c>
    </row>
    <row r="8900" ht="15.75" customHeight="1">
      <c r="A8900" s="7"/>
      <c r="B8900" s="7" t="str">
        <f>IFERROR(__xludf.DUMMYFUNCTION("""COMPUTED_VALUE"""),"Bash/Shell/PowerShell;C;Dart;HTML/CSS;Java;JavaScript;PHP;SQL;Other(s):")</f>
        <v>Bash/Shell/PowerShell;C;Dart;HTML/CSS;Java;JavaScript;PHP;SQL;Other(s):</v>
      </c>
      <c r="M8900" s="9" t="s">
        <v>38</v>
      </c>
    </row>
    <row r="8901" ht="15.75" customHeight="1">
      <c r="A8901" s="7"/>
      <c r="B8901" s="7" t="str">
        <f>IFERROR(__xludf.DUMMYFUNCTION("""COMPUTED_VALUE"""),"HTML/CSS;JavaScript;SQL;VBA;Other(s):")</f>
        <v>HTML/CSS;JavaScript;SQL;VBA;Other(s):</v>
      </c>
      <c r="M8901" s="9" t="s">
        <v>30</v>
      </c>
    </row>
    <row r="8902" ht="15.75" customHeight="1">
      <c r="A8902" s="7"/>
      <c r="B8902" s="7" t="str">
        <f>IFERROR(__xludf.DUMMYFUNCTION("""COMPUTED_VALUE"""),"C#;HTML/CSS;JavaScript")</f>
        <v>C#;HTML/CSS;JavaScript</v>
      </c>
      <c r="M8902" s="9" t="s">
        <v>21</v>
      </c>
    </row>
    <row r="8903" ht="15.75" customHeight="1">
      <c r="A8903" s="7"/>
      <c r="B8903" s="7" t="str">
        <f>IFERROR(__xludf.DUMMYFUNCTION("""COMPUTED_VALUE"""),"C++;JavaScript;Python;VBA")</f>
        <v>C++;JavaScript;Python;VBA</v>
      </c>
      <c r="M8903" s="9" t="s">
        <v>22</v>
      </c>
    </row>
    <row r="8904" ht="15.75" customHeight="1">
      <c r="A8904" s="7"/>
      <c r="B8904" s="7" t="str">
        <f>IFERROR(__xludf.DUMMYFUNCTION("""COMPUTED_VALUE"""),"HTML/CSS;JavaScript")</f>
        <v>HTML/CSS;JavaScript</v>
      </c>
      <c r="M8904" s="9" t="s">
        <v>26</v>
      </c>
    </row>
    <row r="8905" ht="15.75" customHeight="1">
      <c r="A8905" s="7"/>
      <c r="B8905" s="7" t="str">
        <f>IFERROR(__xludf.DUMMYFUNCTION("""COMPUTED_VALUE"""),"C;C++;Java;JavaScript;Python")</f>
        <v>C;C++;Java;JavaScript;Python</v>
      </c>
      <c r="M8905" s="9" t="s">
        <v>24</v>
      </c>
    </row>
    <row r="8906" ht="15.75" customHeight="1">
      <c r="A8906" s="7"/>
      <c r="B8906" s="7" t="str">
        <f>IFERROR(__xludf.DUMMYFUNCTION("""COMPUTED_VALUE"""),"Bash/Shell/PowerShell;HTML/CSS;Java;JavaScript;PHP")</f>
        <v>Bash/Shell/PowerShell;HTML/CSS;Java;JavaScript;PHP</v>
      </c>
      <c r="M8906" s="9" t="s">
        <v>21</v>
      </c>
    </row>
    <row r="8907" ht="15.75" customHeight="1">
      <c r="A8907" s="7"/>
      <c r="B8907" s="7" t="str">
        <f>IFERROR(__xludf.DUMMYFUNCTION("""COMPUTED_VALUE"""),"Bash/Shell/PowerShell;C;Python;Other(s):")</f>
        <v>Bash/Shell/PowerShell;C;Python;Other(s):</v>
      </c>
      <c r="M8907" s="9" t="s">
        <v>37</v>
      </c>
    </row>
    <row r="8908" ht="15.75" customHeight="1">
      <c r="A8908" s="7"/>
      <c r="B8908" s="7" t="str">
        <f>IFERROR(__xludf.DUMMYFUNCTION("""COMPUTED_VALUE"""),"HTML/CSS;JavaScript;Python")</f>
        <v>HTML/CSS;JavaScript;Python</v>
      </c>
      <c r="M8908" s="9" t="s">
        <v>27</v>
      </c>
    </row>
    <row r="8909" ht="15.75" customHeight="1">
      <c r="A8909" s="7"/>
      <c r="B8909" s="7" t="str">
        <f>IFERROR(__xludf.DUMMYFUNCTION("""COMPUTED_VALUE"""),"Bash/Shell/PowerShell;HTML/CSS;PHP;Python;SQL")</f>
        <v>Bash/Shell/PowerShell;HTML/CSS;PHP;Python;SQL</v>
      </c>
      <c r="M8909" s="9" t="s">
        <v>33</v>
      </c>
    </row>
    <row r="8910" ht="15.75" customHeight="1">
      <c r="A8910" s="7"/>
      <c r="B8910" s="7" t="str">
        <f>IFERROR(__xludf.DUMMYFUNCTION("""COMPUTED_VALUE"""),"C#;HTML/CSS;JavaScript;PHP;SQL")</f>
        <v>C#;HTML/CSS;JavaScript;PHP;SQL</v>
      </c>
      <c r="M8910" s="9" t="s">
        <v>24</v>
      </c>
    </row>
    <row r="8911" ht="15.75" customHeight="1">
      <c r="A8911" s="7"/>
      <c r="B8911" s="7" t="str">
        <f>IFERROR(__xludf.DUMMYFUNCTION("""COMPUTED_VALUE"""),"Bash/Shell/PowerShell;C++;Java;PHP;Ruby;Scala")</f>
        <v>Bash/Shell/PowerShell;C++;Java;PHP;Ruby;Scala</v>
      </c>
      <c r="M8911" s="9" t="s">
        <v>20</v>
      </c>
    </row>
    <row r="8912" ht="15.75" customHeight="1">
      <c r="A8912" s="7"/>
      <c r="B8912" s="7" t="str">
        <f>IFERROR(__xludf.DUMMYFUNCTION("""COMPUTED_VALUE"""),"C#;HTML/CSS;JavaScript;Python;TypeScript")</f>
        <v>C#;HTML/CSS;JavaScript;Python;TypeScript</v>
      </c>
      <c r="M8912" s="9" t="s">
        <v>21</v>
      </c>
    </row>
    <row r="8913" ht="15.75" customHeight="1">
      <c r="A8913" s="7"/>
      <c r="B8913" s="7" t="str">
        <f>IFERROR(__xludf.DUMMYFUNCTION("""COMPUTED_VALUE"""),"Bash/Shell/PowerShell;HTML/CSS;Java;JavaScript;Objective-C;Python;SQL")</f>
        <v>Bash/Shell/PowerShell;HTML/CSS;Java;JavaScript;Objective-C;Python;SQL</v>
      </c>
      <c r="M8913" s="9" t="s">
        <v>27</v>
      </c>
    </row>
    <row r="8914" ht="15.75" customHeight="1">
      <c r="A8914" s="7"/>
      <c r="B8914" s="7" t="str">
        <f>IFERROR(__xludf.DUMMYFUNCTION("""COMPUTED_VALUE"""),"C;C++;C#;HTML/CSS;Java;JavaScript;PHP;Python;SQL")</f>
        <v>C;C++;C#;HTML/CSS;Java;JavaScript;PHP;Python;SQL</v>
      </c>
      <c r="M8914" s="9" t="s">
        <v>24</v>
      </c>
    </row>
    <row r="8915" ht="15.75" customHeight="1">
      <c r="A8915" s="7"/>
      <c r="B8915" s="7" t="str">
        <f>IFERROR(__xludf.DUMMYFUNCTION("""COMPUTED_VALUE"""),"Bash/Shell/PowerShell;JavaScript;Python")</f>
        <v>Bash/Shell/PowerShell;JavaScript;Python</v>
      </c>
      <c r="M8915" s="9" t="s">
        <v>20</v>
      </c>
    </row>
    <row r="8916" ht="15.75" customHeight="1">
      <c r="A8916" s="7"/>
      <c r="B8916" s="7" t="str">
        <f>IFERROR(__xludf.DUMMYFUNCTION("""COMPUTED_VALUE"""),"Java;JavaScript;SQL")</f>
        <v>Java;JavaScript;SQL</v>
      </c>
      <c r="M8916" s="9" t="s">
        <v>27</v>
      </c>
    </row>
    <row r="8917" ht="15.75" customHeight="1">
      <c r="A8917" s="7"/>
      <c r="B8917" s="7" t="str">
        <f>IFERROR(__xludf.DUMMYFUNCTION("""COMPUTED_VALUE"""),"Bash/Shell/PowerShell;C#;HTML/CSS;JavaScript;SQL;TypeScript")</f>
        <v>Bash/Shell/PowerShell;C#;HTML/CSS;JavaScript;SQL;TypeScript</v>
      </c>
      <c r="M8917" s="9" t="s">
        <v>30</v>
      </c>
    </row>
    <row r="8918" ht="15.75" customHeight="1">
      <c r="A8918" s="7"/>
      <c r="B8918" s="7" t="str">
        <f>IFERROR(__xludf.DUMMYFUNCTION("""COMPUTED_VALUE"""),"HTML/CSS;JavaScript;SQL;TypeScript")</f>
        <v>HTML/CSS;JavaScript;SQL;TypeScript</v>
      </c>
      <c r="M8918" s="9" t="s">
        <v>26</v>
      </c>
    </row>
    <row r="8919" ht="15.75" customHeight="1">
      <c r="A8919" s="7"/>
      <c r="B8919" s="7" t="str">
        <f>IFERROR(__xludf.DUMMYFUNCTION("""COMPUTED_VALUE"""),"Bash/Shell/PowerShell;C;Go;HTML/CSS;Java;JavaScript;Kotlin;Objective-C;Python;Ruby;Swift")</f>
        <v>Bash/Shell/PowerShell;C;Go;HTML/CSS;Java;JavaScript;Kotlin;Objective-C;Python;Ruby;Swift</v>
      </c>
      <c r="M8919" s="9" t="s">
        <v>20</v>
      </c>
    </row>
    <row r="8920" ht="15.75" customHeight="1">
      <c r="A8920" s="7"/>
      <c r="B8920" s="7" t="str">
        <f>IFERROR(__xludf.DUMMYFUNCTION("""COMPUTED_VALUE"""),"JavaScript;TypeScript")</f>
        <v>JavaScript;TypeScript</v>
      </c>
      <c r="M8920" s="9" t="s">
        <v>21</v>
      </c>
    </row>
    <row r="8921" ht="15.75" customHeight="1">
      <c r="A8921" s="7"/>
      <c r="B8921" s="7" t="str">
        <f>IFERROR(__xludf.DUMMYFUNCTION("""COMPUTED_VALUE"""),"Python")</f>
        <v>Python</v>
      </c>
      <c r="M8921" s="9" t="s">
        <v>27</v>
      </c>
    </row>
    <row r="8922" ht="15.75" customHeight="1">
      <c r="A8922" s="7"/>
      <c r="B8922" s="7" t="str">
        <f>IFERROR(__xludf.DUMMYFUNCTION("""COMPUTED_VALUE"""),"Java;JavaScript;SQL")</f>
        <v>Java;JavaScript;SQL</v>
      </c>
      <c r="M8922" s="9" t="s">
        <v>28</v>
      </c>
    </row>
    <row r="8923" ht="15.75" customHeight="1">
      <c r="A8923" s="7"/>
      <c r="B8923" s="7" t="str">
        <f>IFERROR(__xludf.DUMMYFUNCTION("""COMPUTED_VALUE"""),"Bash/Shell/PowerShell;HTML/CSS;JavaScript;SQL;Other(s):")</f>
        <v>Bash/Shell/PowerShell;HTML/CSS;JavaScript;SQL;Other(s):</v>
      </c>
      <c r="M8923" s="9" t="s">
        <v>26</v>
      </c>
    </row>
    <row r="8924" ht="15.75" customHeight="1">
      <c r="A8924" s="7"/>
      <c r="B8924" s="7" t="str">
        <f>IFERROR(__xludf.DUMMYFUNCTION("""COMPUTED_VALUE"""),"C;C++;C#")</f>
        <v>C;C++;C#</v>
      </c>
      <c r="M8924" s="9" t="s">
        <v>24</v>
      </c>
    </row>
    <row r="8925" ht="15.75" customHeight="1">
      <c r="A8925" s="7"/>
      <c r="B8925" s="7" t="str">
        <f>IFERROR(__xludf.DUMMYFUNCTION("""COMPUTED_VALUE"""),"Bash/Shell/PowerShell;Elixir;HTML/CSS;Java;JavaScript;Python;SQL;VBA")</f>
        <v>Bash/Shell/PowerShell;Elixir;HTML/CSS;Java;JavaScript;Python;SQL;VBA</v>
      </c>
      <c r="M8925" s="9" t="s">
        <v>21</v>
      </c>
    </row>
    <row r="8926" ht="15.75" customHeight="1">
      <c r="A8926" s="7"/>
      <c r="B8926" s="7" t="str">
        <f>IFERROR(__xludf.DUMMYFUNCTION("""COMPUTED_VALUE"""),"C;C++;Python;Swift")</f>
        <v>C;C++;Python;Swift</v>
      </c>
      <c r="M8926" s="9" t="s">
        <v>27</v>
      </c>
    </row>
    <row r="8927" ht="15.75" customHeight="1">
      <c r="A8927" s="7"/>
      <c r="B8927" s="7" t="str">
        <f>IFERROR(__xludf.DUMMYFUNCTION("""COMPUTED_VALUE"""),"Bash/Shell/PowerShell;HTML/CSS;Java;JavaScript")</f>
        <v>Bash/Shell/PowerShell;HTML/CSS;Java;JavaScript</v>
      </c>
      <c r="M8927" s="9" t="s">
        <v>38</v>
      </c>
    </row>
    <row r="8928" ht="15.75" customHeight="1">
      <c r="A8928" s="7"/>
      <c r="B8928" s="7" t="str">
        <f>IFERROR(__xludf.DUMMYFUNCTION("""COMPUTED_VALUE"""),"Assembly;Bash/Shell/PowerShell;C;C++;HTML/CSS;JavaScript;PHP;Python;SQL;VBA")</f>
        <v>Assembly;Bash/Shell/PowerShell;C;C++;HTML/CSS;JavaScript;PHP;Python;SQL;VBA</v>
      </c>
      <c r="M8928" s="9" t="s">
        <v>30</v>
      </c>
    </row>
    <row r="8929" ht="15.75" customHeight="1">
      <c r="A8929" s="7"/>
      <c r="B8929" s="7" t="str">
        <f>IFERROR(__xludf.DUMMYFUNCTION("""COMPUTED_VALUE"""),"Java;Kotlin")</f>
        <v>Java;Kotlin</v>
      </c>
      <c r="M8929" s="9" t="s">
        <v>42</v>
      </c>
    </row>
    <row r="8930" ht="15.75" customHeight="1">
      <c r="A8930" s="7"/>
      <c r="B8930" s="7" t="str">
        <f>IFERROR(__xludf.DUMMYFUNCTION("""COMPUTED_VALUE"""),"HTML/CSS;JavaScript;PHP;SQL")</f>
        <v>HTML/CSS;JavaScript;PHP;SQL</v>
      </c>
      <c r="M8930" s="9" t="s">
        <v>24</v>
      </c>
    </row>
    <row r="8931" ht="15.75" customHeight="1">
      <c r="A8931" s="7"/>
      <c r="B8931" s="7" t="str">
        <f>IFERROR(__xludf.DUMMYFUNCTION("""COMPUTED_VALUE"""),"C;C++;HTML/CSS;JavaScript;PHP;SQL")</f>
        <v>C;C++;HTML/CSS;JavaScript;PHP;SQL</v>
      </c>
      <c r="M8931" s="9" t="s">
        <v>21</v>
      </c>
    </row>
    <row r="8932" ht="15.75" customHeight="1">
      <c r="A8932" s="7"/>
      <c r="B8932" s="7" t="str">
        <f>IFERROR(__xludf.DUMMYFUNCTION("""COMPUTED_VALUE"""),"C;Java;Python")</f>
        <v>C;Java;Python</v>
      </c>
      <c r="M8932" s="9" t="s">
        <v>31</v>
      </c>
    </row>
    <row r="8933" ht="15.75" customHeight="1">
      <c r="A8933" s="7"/>
      <c r="B8933" s="7" t="str">
        <f>IFERROR(__xludf.DUMMYFUNCTION("""COMPUTED_VALUE"""),"Bash/Shell/PowerShell;HTML/CSS;JavaScript;PHP;Scala")</f>
        <v>Bash/Shell/PowerShell;HTML/CSS;JavaScript;PHP;Scala</v>
      </c>
      <c r="M8933" s="9" t="s">
        <v>46</v>
      </c>
    </row>
    <row r="8934" ht="15.75" customHeight="1">
      <c r="A8934" s="7"/>
      <c r="B8934" s="7" t="str">
        <f>IFERROR(__xludf.DUMMYFUNCTION("""COMPUTED_VALUE"""),"Bash/Shell/PowerShell;HTML/CSS;JavaScript;PHP;Python;TypeScript")</f>
        <v>Bash/Shell/PowerShell;HTML/CSS;JavaScript;PHP;Python;TypeScript</v>
      </c>
      <c r="M8934" s="9" t="s">
        <v>33</v>
      </c>
    </row>
    <row r="8935" ht="15.75" customHeight="1">
      <c r="A8935" s="7"/>
      <c r="B8935" s="7" t="str">
        <f>IFERROR(__xludf.DUMMYFUNCTION("""COMPUTED_VALUE"""),"Bash/Shell/PowerShell;C;C++;HTML/CSS;Java;JavaScript;Kotlin;PHP;Python;SQL;TypeScript;Other(s):")</f>
        <v>Bash/Shell/PowerShell;C;C++;HTML/CSS;Java;JavaScript;Kotlin;PHP;Python;SQL;TypeScript;Other(s):</v>
      </c>
      <c r="M8935" s="9" t="s">
        <v>38</v>
      </c>
    </row>
    <row r="8936" ht="15.75" customHeight="1">
      <c r="A8936" s="7"/>
      <c r="B8936" s="7" t="str">
        <f>IFERROR(__xludf.DUMMYFUNCTION("""COMPUTED_VALUE"""),"HTML/CSS;Java;JavaScript;SQL")</f>
        <v>HTML/CSS;Java;JavaScript;SQL</v>
      </c>
      <c r="M8936" s="9" t="s">
        <v>26</v>
      </c>
    </row>
    <row r="8937" ht="15.75" customHeight="1">
      <c r="A8937" s="7"/>
      <c r="B8937" s="7" t="str">
        <f>IFERROR(__xludf.DUMMYFUNCTION("""COMPUTED_VALUE"""),"Bash/Shell/PowerShell;Clojure;Go;Java;JavaScript;SQL")</f>
        <v>Bash/Shell/PowerShell;Clojure;Go;Java;JavaScript;SQL</v>
      </c>
      <c r="M8937" s="9" t="s">
        <v>20</v>
      </c>
    </row>
    <row r="8938" ht="15.75" customHeight="1">
      <c r="A8938" s="7"/>
      <c r="B8938" s="7" t="str">
        <f>IFERROR(__xludf.DUMMYFUNCTION("""COMPUTED_VALUE"""),"Bash/Shell/PowerShell;C#;SQL")</f>
        <v>Bash/Shell/PowerShell;C#;SQL</v>
      </c>
      <c r="M8938" s="9" t="s">
        <v>22</v>
      </c>
    </row>
    <row r="8939" ht="15.75" customHeight="1">
      <c r="A8939" s="7"/>
      <c r="B8939" s="7" t="str">
        <f>IFERROR(__xludf.DUMMYFUNCTION("""COMPUTED_VALUE"""),"Java")</f>
        <v>Java</v>
      </c>
      <c r="M8939" s="9" t="s">
        <v>27</v>
      </c>
    </row>
    <row r="8940" ht="15.75" customHeight="1">
      <c r="A8940" s="7"/>
      <c r="B8940" s="7" t="str">
        <f>IFERROR(__xludf.DUMMYFUNCTION("""COMPUTED_VALUE"""),"Assembly;Bash/Shell/PowerShell;HTML/CSS;Java;JavaScript;Python;TypeScript")</f>
        <v>Assembly;Bash/Shell/PowerShell;HTML/CSS;Java;JavaScript;Python;TypeScript</v>
      </c>
      <c r="M8940" s="9" t="s">
        <v>24</v>
      </c>
    </row>
    <row r="8941" ht="15.75" customHeight="1">
      <c r="A8941" s="7"/>
      <c r="B8941" s="7" t="str">
        <f>IFERROR(__xludf.DUMMYFUNCTION("""COMPUTED_VALUE"""),"HTML/CSS;Java;JavaScript;PHP;SQL")</f>
        <v>HTML/CSS;Java;JavaScript;PHP;SQL</v>
      </c>
      <c r="M8941" s="9" t="s">
        <v>21</v>
      </c>
    </row>
    <row r="8942" ht="15.75" customHeight="1">
      <c r="A8942" s="7"/>
      <c r="B8942" s="7" t="str">
        <f>IFERROR(__xludf.DUMMYFUNCTION("""COMPUTED_VALUE"""),"Bash/Shell/PowerShell;HTML/CSS;Java;JavaScript;Kotlin;Python;SQL;TypeScript;Other(s):")</f>
        <v>Bash/Shell/PowerShell;HTML/CSS;Java;JavaScript;Kotlin;Python;SQL;TypeScript;Other(s):</v>
      </c>
      <c r="M8942" s="9" t="s">
        <v>37</v>
      </c>
    </row>
    <row r="8943" ht="15.75" customHeight="1">
      <c r="A8943" s="7"/>
      <c r="B8943" s="7" t="str">
        <f>IFERROR(__xludf.DUMMYFUNCTION("""COMPUTED_VALUE"""),"HTML/CSS;JavaScript;PHP;SQL")</f>
        <v>HTML/CSS;JavaScript;PHP;SQL</v>
      </c>
      <c r="M8943" s="9" t="s">
        <v>22</v>
      </c>
    </row>
    <row r="8944" ht="15.75" customHeight="1">
      <c r="A8944" s="7"/>
      <c r="B8944" s="7" t="str">
        <f>IFERROR(__xludf.DUMMYFUNCTION("""COMPUTED_VALUE"""),"C;Java;Kotlin;PHP;SQL;Swift")</f>
        <v>C;Java;Kotlin;PHP;SQL;Swift</v>
      </c>
      <c r="M8944" s="9" t="s">
        <v>27</v>
      </c>
    </row>
    <row r="8945" ht="15.75" customHeight="1">
      <c r="A8945" s="7"/>
      <c r="B8945" s="7" t="str">
        <f>IFERROR(__xludf.DUMMYFUNCTION("""COMPUTED_VALUE"""),"Java;Python")</f>
        <v>Java;Python</v>
      </c>
      <c r="M8945" s="9" t="s">
        <v>26</v>
      </c>
    </row>
    <row r="8946" ht="15.75" customHeight="1">
      <c r="A8946" s="7"/>
      <c r="B8946" s="7" t="str">
        <f>IFERROR(__xludf.DUMMYFUNCTION("""COMPUTED_VALUE"""),"Python")</f>
        <v>Python</v>
      </c>
      <c r="M8946" s="9" t="s">
        <v>24</v>
      </c>
    </row>
    <row r="8947" ht="15.75" customHeight="1">
      <c r="A8947" s="7"/>
      <c r="B8947" s="7" t="str">
        <f>IFERROR(__xludf.DUMMYFUNCTION("""COMPUTED_VALUE"""),"C++;Python")</f>
        <v>C++;Python</v>
      </c>
      <c r="M8947" s="9" t="s">
        <v>21</v>
      </c>
    </row>
    <row r="8948" ht="15.75" customHeight="1">
      <c r="A8948" s="7"/>
      <c r="B8948" s="7" t="str">
        <f>IFERROR(__xludf.DUMMYFUNCTION("""COMPUTED_VALUE"""),"Assembly;Bash/Shell/PowerShell;C;C++;R;Other(s):")</f>
        <v>Assembly;Bash/Shell/PowerShell;C;C++;R;Other(s):</v>
      </c>
      <c r="M8948" s="9" t="s">
        <v>33</v>
      </c>
    </row>
    <row r="8949" ht="15.75" customHeight="1">
      <c r="A8949" s="7"/>
      <c r="B8949" s="7" t="str">
        <f>IFERROR(__xludf.DUMMYFUNCTION("""COMPUTED_VALUE"""),"Bash/Shell/PowerShell;C#;HTML/CSS;JavaScript;SQL;TypeScript")</f>
        <v>Bash/Shell/PowerShell;C#;HTML/CSS;JavaScript;SQL;TypeScript</v>
      </c>
      <c r="M8949" s="9" t="s">
        <v>26</v>
      </c>
    </row>
    <row r="8950" ht="15.75" customHeight="1">
      <c r="A8950" s="7"/>
      <c r="B8950" s="7" t="str">
        <f>IFERROR(__xludf.DUMMYFUNCTION("""COMPUTED_VALUE"""),"Java;Other(s):")</f>
        <v>Java;Other(s):</v>
      </c>
      <c r="M8950" s="9" t="s">
        <v>24</v>
      </c>
    </row>
    <row r="8951" ht="15.75" customHeight="1">
      <c r="A8951" s="7"/>
      <c r="B8951" s="7" t="str">
        <f>IFERROR(__xludf.DUMMYFUNCTION("""COMPUTED_VALUE"""),"HTML/CSS;JavaScript;PHP;SQL;TypeScript")</f>
        <v>HTML/CSS;JavaScript;PHP;SQL;TypeScript</v>
      </c>
      <c r="M8951" s="9" t="s">
        <v>22</v>
      </c>
    </row>
    <row r="8952" ht="15.75" customHeight="1">
      <c r="A8952" s="7"/>
      <c r="B8952" s="7" t="str">
        <f>IFERROR(__xludf.DUMMYFUNCTION("""COMPUTED_VALUE"""),"Bash/Shell/PowerShell;C#;HTML/CSS;JavaScript;SQL")</f>
        <v>Bash/Shell/PowerShell;C#;HTML/CSS;JavaScript;SQL</v>
      </c>
      <c r="M8952" s="9" t="s">
        <v>24</v>
      </c>
    </row>
    <row r="8953" ht="15.75" customHeight="1">
      <c r="A8953" s="7"/>
      <c r="B8953" s="7" t="str">
        <f>IFERROR(__xludf.DUMMYFUNCTION("""COMPUTED_VALUE"""),"C++;Java;Python;Ruby")</f>
        <v>C++;Java;Python;Ruby</v>
      </c>
      <c r="M8953" s="9" t="s">
        <v>21</v>
      </c>
    </row>
    <row r="8954" ht="15.75" customHeight="1">
      <c r="A8954" s="7"/>
      <c r="B8954" s="7" t="str">
        <f>IFERROR(__xludf.DUMMYFUNCTION("""COMPUTED_VALUE"""),"JavaScript;PHP;Python")</f>
        <v>JavaScript;PHP;Python</v>
      </c>
      <c r="M8954" s="9" t="s">
        <v>37</v>
      </c>
    </row>
    <row r="8955" ht="15.75" customHeight="1">
      <c r="A8955" s="7"/>
      <c r="B8955" s="7" t="str">
        <f>IFERROR(__xludf.DUMMYFUNCTION("""COMPUTED_VALUE"""),"Bash/Shell/PowerShell;Java;JavaScript;Kotlin;PHP;Ruby")</f>
        <v>Bash/Shell/PowerShell;Java;JavaScript;Kotlin;PHP;Ruby</v>
      </c>
      <c r="M8955" s="9" t="s">
        <v>22</v>
      </c>
    </row>
    <row r="8956" ht="15.75" customHeight="1">
      <c r="A8956" s="7"/>
      <c r="B8956" s="7" t="str">
        <f>IFERROR(__xludf.DUMMYFUNCTION("""COMPUTED_VALUE"""),"Bash/Shell/PowerShell;C;HTML/CSS;JavaScript;PHP;SQL")</f>
        <v>Bash/Shell/PowerShell;C;HTML/CSS;JavaScript;PHP;SQL</v>
      </c>
      <c r="M8956" s="9" t="s">
        <v>27</v>
      </c>
    </row>
    <row r="8957" ht="15.75" customHeight="1">
      <c r="A8957" s="7"/>
      <c r="B8957" s="7" t="str">
        <f>IFERROR(__xludf.DUMMYFUNCTION("""COMPUTED_VALUE"""),"C;C++;HTML/CSS;Java;JavaScript;PHP;SQL")</f>
        <v>C;C++;HTML/CSS;Java;JavaScript;PHP;SQL</v>
      </c>
      <c r="M8957" s="9" t="s">
        <v>33</v>
      </c>
    </row>
    <row r="8958" ht="15.75" customHeight="1">
      <c r="A8958" s="7"/>
      <c r="B8958" s="7" t="str">
        <f>IFERROR(__xludf.DUMMYFUNCTION("""COMPUTED_VALUE"""),"Bash/Shell/PowerShell;C#;Dart;F#;HTML/CSS;JavaScript;Other(s):")</f>
        <v>Bash/Shell/PowerShell;C#;Dart;F#;HTML/CSS;JavaScript;Other(s):</v>
      </c>
      <c r="M8958" s="9" t="s">
        <v>25</v>
      </c>
    </row>
    <row r="8959" ht="15.75" customHeight="1">
      <c r="A8959" s="7"/>
      <c r="B8959" s="7" t="str">
        <f>IFERROR(__xludf.DUMMYFUNCTION("""COMPUTED_VALUE"""),"HTML/CSS;Java;JavaScript;TypeScript")</f>
        <v>HTML/CSS;Java;JavaScript;TypeScript</v>
      </c>
      <c r="M8959" s="9" t="s">
        <v>23</v>
      </c>
    </row>
    <row r="8960" ht="15.75" customHeight="1">
      <c r="A8960" s="7"/>
      <c r="B8960" s="7" t="str">
        <f>IFERROR(__xludf.DUMMYFUNCTION("""COMPUTED_VALUE"""),"HTML/CSS;Java;JavaScript;Python;SQL")</f>
        <v>HTML/CSS;Java;JavaScript;Python;SQL</v>
      </c>
      <c r="M8960" s="9" t="s">
        <v>24</v>
      </c>
    </row>
    <row r="8961" ht="15.75" customHeight="1">
      <c r="A8961" s="7"/>
      <c r="B8961" s="7" t="str">
        <f>IFERROR(__xludf.DUMMYFUNCTION("""COMPUTED_VALUE"""),"HTML/CSS;JavaScript;PHP;Ruby;SQL")</f>
        <v>HTML/CSS;JavaScript;PHP;Ruby;SQL</v>
      </c>
      <c r="M8961" s="9" t="s">
        <v>20</v>
      </c>
    </row>
    <row r="8962" ht="15.75" customHeight="1">
      <c r="A8962" s="7"/>
      <c r="B8962" s="7" t="str">
        <f>IFERROR(__xludf.DUMMYFUNCTION("""COMPUTED_VALUE"""),"HTML/CSS;JavaScript;PHP;SQL;VBA")</f>
        <v>HTML/CSS;JavaScript;PHP;SQL;VBA</v>
      </c>
      <c r="M8962" s="9" t="s">
        <v>21</v>
      </c>
    </row>
    <row r="8963" ht="15.75" customHeight="1">
      <c r="A8963" s="7"/>
      <c r="B8963" s="7" t="str">
        <f>IFERROR(__xludf.DUMMYFUNCTION("""COMPUTED_VALUE"""),"HTML/CSS;Java;JavaScript;Python;SQL")</f>
        <v>HTML/CSS;Java;JavaScript;Python;SQL</v>
      </c>
      <c r="M8963" s="9" t="s">
        <v>37</v>
      </c>
    </row>
    <row r="8964" ht="15.75" customHeight="1">
      <c r="A8964" s="7"/>
      <c r="B8964" s="7" t="str">
        <f>IFERROR(__xludf.DUMMYFUNCTION("""COMPUTED_VALUE"""),"C#;HTML/CSS;JavaScript;SQL")</f>
        <v>C#;HTML/CSS;JavaScript;SQL</v>
      </c>
      <c r="M8964" s="9" t="s">
        <v>29</v>
      </c>
    </row>
    <row r="8965" ht="15.75" customHeight="1">
      <c r="A8965" s="7"/>
      <c r="B8965" s="7" t="str">
        <f>IFERROR(__xludf.DUMMYFUNCTION("""COMPUTED_VALUE"""),"C;C++;C#;Java;JavaScript;PHP;Python;SQL;TypeScript")</f>
        <v>C;C++;C#;Java;JavaScript;PHP;Python;SQL;TypeScript</v>
      </c>
      <c r="M8965" s="9" t="s">
        <v>28</v>
      </c>
    </row>
    <row r="8966" ht="15.75" customHeight="1">
      <c r="A8966" s="7"/>
      <c r="B8966" s="7" t="str">
        <f>IFERROR(__xludf.DUMMYFUNCTION("""COMPUTED_VALUE"""),"Bash/Shell/PowerShell;HTML/CSS;Java;JavaScript;SQL")</f>
        <v>Bash/Shell/PowerShell;HTML/CSS;Java;JavaScript;SQL</v>
      </c>
      <c r="M8966" s="9" t="s">
        <v>30</v>
      </c>
    </row>
    <row r="8967" ht="15.75" customHeight="1">
      <c r="A8967" s="7"/>
      <c r="B8967" s="7" t="str">
        <f>IFERROR(__xludf.DUMMYFUNCTION("""COMPUTED_VALUE"""),"Bash/Shell/PowerShell;C;Python;R")</f>
        <v>Bash/Shell/PowerShell;C;Python;R</v>
      </c>
      <c r="M8967" s="9" t="s">
        <v>23</v>
      </c>
    </row>
    <row r="8968" ht="15.75" customHeight="1">
      <c r="A8968" s="7"/>
      <c r="B8968" s="7" t="str">
        <f>IFERROR(__xludf.DUMMYFUNCTION("""COMPUTED_VALUE"""),"HTML/CSS;Java;JavaScript")</f>
        <v>HTML/CSS;Java;JavaScript</v>
      </c>
      <c r="M8968" s="9" t="s">
        <v>26</v>
      </c>
    </row>
    <row r="8969" ht="15.75" customHeight="1">
      <c r="A8969" s="7"/>
      <c r="B8969" s="7" t="str">
        <f>IFERROR(__xludf.DUMMYFUNCTION("""COMPUTED_VALUE"""),"C++;C#;HTML/CSS;JavaScript;Python;SQL;TypeScript")</f>
        <v>C++;C#;HTML/CSS;JavaScript;Python;SQL;TypeScript</v>
      </c>
      <c r="M8969" s="9" t="s">
        <v>24</v>
      </c>
    </row>
    <row r="8970" ht="15.75" customHeight="1">
      <c r="A8970" s="7"/>
      <c r="B8970" s="7" t="str">
        <f>IFERROR(__xludf.DUMMYFUNCTION("""COMPUTED_VALUE"""),"R;SQL")</f>
        <v>R;SQL</v>
      </c>
      <c r="M8970" s="9" t="s">
        <v>20</v>
      </c>
    </row>
    <row r="8971" ht="15.75" customHeight="1">
      <c r="A8971" s="7"/>
      <c r="B8971" s="7" t="str">
        <f>IFERROR(__xludf.DUMMYFUNCTION("""COMPUTED_VALUE"""),"Bash/Shell/PowerShell;HTML/CSS;JavaScript;Python;Ruby;SQL")</f>
        <v>Bash/Shell/PowerShell;HTML/CSS;JavaScript;Python;Ruby;SQL</v>
      </c>
      <c r="M8971" s="9" t="s">
        <v>21</v>
      </c>
    </row>
    <row r="8972" ht="15.75" customHeight="1">
      <c r="A8972" s="7"/>
      <c r="B8972" s="7" t="str">
        <f>IFERROR(__xludf.DUMMYFUNCTION("""COMPUTED_VALUE"""),"C#;HTML/CSS;JavaScript;SQL")</f>
        <v>C#;HTML/CSS;JavaScript;SQL</v>
      </c>
      <c r="M8972" s="9" t="s">
        <v>22</v>
      </c>
    </row>
    <row r="8973" ht="15.75" customHeight="1">
      <c r="A8973" s="7"/>
      <c r="B8973" s="7" t="str">
        <f>IFERROR(__xludf.DUMMYFUNCTION("""COMPUTED_VALUE"""),"Java;JavaScript;Kotlin;Objective-C;Python;Swift;TypeScript")</f>
        <v>Java;JavaScript;Kotlin;Objective-C;Python;Swift;TypeScript</v>
      </c>
      <c r="M8973" s="9" t="s">
        <v>46</v>
      </c>
    </row>
    <row r="8974" ht="15.75" customHeight="1">
      <c r="A8974" s="7"/>
      <c r="B8974" s="7" t="str">
        <f>IFERROR(__xludf.DUMMYFUNCTION("""COMPUTED_VALUE"""),"SQL")</f>
        <v>SQL</v>
      </c>
      <c r="M8974" s="9" t="s">
        <v>30</v>
      </c>
    </row>
    <row r="8975" ht="15.75" customHeight="1">
      <c r="A8975" s="7"/>
      <c r="B8975" s="7" t="str">
        <f>IFERROR(__xludf.DUMMYFUNCTION("""COMPUTED_VALUE"""),"C++;HTML/CSS;Java;JavaScript;Python")</f>
        <v>C++;HTML/CSS;Java;JavaScript;Python</v>
      </c>
      <c r="M8975" s="9" t="s">
        <v>25</v>
      </c>
    </row>
    <row r="8976" ht="15.75" customHeight="1">
      <c r="A8976" s="7"/>
      <c r="B8976" s="7" t="str">
        <f>IFERROR(__xludf.DUMMYFUNCTION("""COMPUTED_VALUE"""),"Bash/Shell/PowerShell;HTML/CSS;JavaScript;PHP;SQL")</f>
        <v>Bash/Shell/PowerShell;HTML/CSS;JavaScript;PHP;SQL</v>
      </c>
      <c r="M8976" s="9" t="s">
        <v>42</v>
      </c>
    </row>
    <row r="8977" ht="15.75" customHeight="1">
      <c r="A8977" s="7"/>
      <c r="B8977" s="7" t="str">
        <f>IFERROR(__xludf.DUMMYFUNCTION("""COMPUTED_VALUE"""),"C;C++;HTML/CSS;JavaScript")</f>
        <v>C;C++;HTML/CSS;JavaScript</v>
      </c>
      <c r="M8977" s="9" t="s">
        <v>43</v>
      </c>
    </row>
    <row r="8978" ht="15.75" customHeight="1">
      <c r="A8978" s="7"/>
      <c r="B8978" s="7" t="str">
        <f>IFERROR(__xludf.DUMMYFUNCTION("""COMPUTED_VALUE"""),"Python;R")</f>
        <v>Python;R</v>
      </c>
      <c r="M8978" s="9" t="s">
        <v>36</v>
      </c>
    </row>
    <row r="8979" ht="15.75" customHeight="1">
      <c r="A8979" s="7"/>
      <c r="B8979" s="7" t="str">
        <f>IFERROR(__xludf.DUMMYFUNCTION("""COMPUTED_VALUE"""),"C#;HTML/CSS")</f>
        <v>C#;HTML/CSS</v>
      </c>
      <c r="M8979" s="9" t="s">
        <v>21</v>
      </c>
    </row>
    <row r="8980" ht="15.75" customHeight="1">
      <c r="A8980" s="7"/>
      <c r="B8980" s="7" t="str">
        <f>IFERROR(__xludf.DUMMYFUNCTION("""COMPUTED_VALUE"""),"Bash/Shell/PowerShell;C;C++;C#;Java;JavaScript;Ruby;SQL;Other(s):")</f>
        <v>Bash/Shell/PowerShell;C;C++;C#;Java;JavaScript;Ruby;SQL;Other(s):</v>
      </c>
      <c r="M8980" s="9" t="s">
        <v>33</v>
      </c>
    </row>
    <row r="8981" ht="15.75" customHeight="1">
      <c r="A8981" s="7"/>
      <c r="B8981" s="7" t="str">
        <f>IFERROR(__xludf.DUMMYFUNCTION("""COMPUTED_VALUE"""),"Bash/Shell/PowerShell;C#;HTML/CSS;JavaScript;SQL")</f>
        <v>Bash/Shell/PowerShell;C#;HTML/CSS;JavaScript;SQL</v>
      </c>
      <c r="M8981" s="9" t="s">
        <v>24</v>
      </c>
    </row>
    <row r="8982" ht="15.75" customHeight="1">
      <c r="A8982" s="7"/>
      <c r="B8982" s="7" t="str">
        <f>IFERROR(__xludf.DUMMYFUNCTION("""COMPUTED_VALUE"""),"HTML/CSS;JavaScript")</f>
        <v>HTML/CSS;JavaScript</v>
      </c>
      <c r="M8982" s="9" t="s">
        <v>21</v>
      </c>
    </row>
    <row r="8983" ht="15.75" customHeight="1">
      <c r="A8983" s="7"/>
      <c r="B8983" s="7" t="str">
        <f>IFERROR(__xludf.DUMMYFUNCTION("""COMPUTED_VALUE"""),"HTML/CSS;Java;JavaScript;TypeScript")</f>
        <v>HTML/CSS;Java;JavaScript;TypeScript</v>
      </c>
      <c r="M8983" s="9" t="s">
        <v>38</v>
      </c>
    </row>
    <row r="8984" ht="15.75" customHeight="1">
      <c r="A8984" s="7"/>
      <c r="B8984" s="7" t="str">
        <f>IFERROR(__xludf.DUMMYFUNCTION("""COMPUTED_VALUE"""),"Assembly;Bash/Shell/PowerShell;C;C++;Python")</f>
        <v>Assembly;Bash/Shell/PowerShell;C;C++;Python</v>
      </c>
      <c r="M8984" s="9" t="s">
        <v>30</v>
      </c>
    </row>
    <row r="8985" ht="15.75" customHeight="1">
      <c r="A8985" s="7"/>
      <c r="B8985" s="7" t="str">
        <f>IFERROR(__xludf.DUMMYFUNCTION("""COMPUTED_VALUE"""),"Assembly;Bash/Shell/PowerShell;C;C++;C#;HTML/CSS;JavaScript;SQL;TypeScript")</f>
        <v>Assembly;Bash/Shell/PowerShell;C;C++;C#;HTML/CSS;JavaScript;SQL;TypeScript</v>
      </c>
      <c r="M8985" s="9" t="s">
        <v>25</v>
      </c>
    </row>
    <row r="8986" ht="15.75" customHeight="1">
      <c r="A8986" s="7"/>
      <c r="B8986" s="7" t="str">
        <f>IFERROR(__xludf.DUMMYFUNCTION("""COMPUTED_VALUE"""),"C#;HTML/CSS;Python;SQL")</f>
        <v>C#;HTML/CSS;Python;SQL</v>
      </c>
      <c r="M8986" s="9" t="s">
        <v>26</v>
      </c>
    </row>
    <row r="8987" ht="15.75" customHeight="1">
      <c r="A8987" s="7"/>
      <c r="B8987" s="7" t="str">
        <f>IFERROR(__xludf.DUMMYFUNCTION("""COMPUTED_VALUE"""),"Assembly;Bash/Shell/PowerShell;C;HTML/CSS;Java;JavaScript;PHP;Python;SQL;TypeScript")</f>
        <v>Assembly;Bash/Shell/PowerShell;C;HTML/CSS;Java;JavaScript;PHP;Python;SQL;TypeScript</v>
      </c>
      <c r="M8987" s="9" t="s">
        <v>45</v>
      </c>
    </row>
    <row r="8988" ht="15.75" customHeight="1">
      <c r="A8988" s="7"/>
      <c r="B8988" s="7" t="str">
        <f>IFERROR(__xludf.DUMMYFUNCTION("""COMPUTED_VALUE"""),"Bash/Shell/PowerShell;Elixir;Go;Python;SQL")</f>
        <v>Bash/Shell/PowerShell;Elixir;Go;Python;SQL</v>
      </c>
      <c r="M8988" s="9" t="s">
        <v>40</v>
      </c>
    </row>
    <row r="8989" ht="15.75" customHeight="1">
      <c r="A8989" s="7"/>
      <c r="B8989" s="7" t="str">
        <f>IFERROR(__xludf.DUMMYFUNCTION("""COMPUTED_VALUE"""),"C#;HTML/CSS;Python;Rust;SQL")</f>
        <v>C#;HTML/CSS;Python;Rust;SQL</v>
      </c>
      <c r="M8989" s="9" t="s">
        <v>26</v>
      </c>
    </row>
    <row r="8990" ht="15.75" customHeight="1">
      <c r="A8990" s="7"/>
      <c r="B8990" s="7" t="str">
        <f>IFERROR(__xludf.DUMMYFUNCTION("""COMPUTED_VALUE"""),"Bash/Shell/PowerShell;C;C++;C#;HTML/CSS;Java;Python")</f>
        <v>Bash/Shell/PowerShell;C;C++;C#;HTML/CSS;Java;Python</v>
      </c>
      <c r="M8990" s="9" t="s">
        <v>24</v>
      </c>
    </row>
    <row r="8991" ht="15.75" customHeight="1">
      <c r="A8991" s="7"/>
      <c r="B8991" s="7" t="str">
        <f>IFERROR(__xludf.DUMMYFUNCTION("""COMPUTED_VALUE"""),"HTML/CSS;Python;R;SQL")</f>
        <v>HTML/CSS;Python;R;SQL</v>
      </c>
      <c r="M8991" s="9" t="s">
        <v>21</v>
      </c>
    </row>
    <row r="8992" ht="15.75" customHeight="1">
      <c r="A8992" s="7"/>
      <c r="B8992" s="7" t="str">
        <f>IFERROR(__xludf.DUMMYFUNCTION("""COMPUTED_VALUE"""),"Bash/Shell/PowerShell;C++;C#;HTML/CSS;Java;JavaScript;SQL")</f>
        <v>Bash/Shell/PowerShell;C++;C#;HTML/CSS;Java;JavaScript;SQL</v>
      </c>
      <c r="M8992" s="9" t="s">
        <v>31</v>
      </c>
    </row>
    <row r="8993" ht="15.75" customHeight="1">
      <c r="A8993" s="7"/>
      <c r="B8993" s="7" t="str">
        <f>IFERROR(__xludf.DUMMYFUNCTION("""COMPUTED_VALUE"""),"HTML/CSS;JavaScript;PHP;Python;R;SQL;VBA")</f>
        <v>HTML/CSS;JavaScript;PHP;Python;R;SQL;VBA</v>
      </c>
      <c r="M8993" s="9" t="s">
        <v>30</v>
      </c>
    </row>
    <row r="8994" ht="15.75" customHeight="1">
      <c r="A8994" s="7"/>
      <c r="B8994" s="7" t="str">
        <f>IFERROR(__xludf.DUMMYFUNCTION("""COMPUTED_VALUE"""),"C#;HTML/CSS;Java;SQL;TypeScript")</f>
        <v>C#;HTML/CSS;Java;SQL;TypeScript</v>
      </c>
      <c r="M8994" s="9" t="s">
        <v>36</v>
      </c>
    </row>
    <row r="8995" ht="15.75" customHeight="1">
      <c r="A8995" s="7"/>
      <c r="B8995" s="7" t="str">
        <f>IFERROR(__xludf.DUMMYFUNCTION("""COMPUTED_VALUE"""),"HTML/CSS;JavaScript")</f>
        <v>HTML/CSS;JavaScript</v>
      </c>
      <c r="M8995" s="9" t="s">
        <v>20</v>
      </c>
    </row>
    <row r="8996" ht="15.75" customHeight="1">
      <c r="A8996" s="7"/>
      <c r="B8996" s="7" t="str">
        <f>IFERROR(__xludf.DUMMYFUNCTION("""COMPUTED_VALUE"""),"C++;HTML/CSS;Java;JavaScript;PHP;Python;Ruby;SQL;TypeScript")</f>
        <v>C++;HTML/CSS;Java;JavaScript;PHP;Python;Ruby;SQL;TypeScript</v>
      </c>
      <c r="M8996" s="9" t="s">
        <v>22</v>
      </c>
    </row>
    <row r="8997" ht="15.75" customHeight="1">
      <c r="A8997" s="7"/>
      <c r="B8997" s="7" t="str">
        <f>IFERROR(__xludf.DUMMYFUNCTION("""COMPUTED_VALUE"""),"HTML/CSS;Ruby;SQL")</f>
        <v>HTML/CSS;Ruby;SQL</v>
      </c>
      <c r="M8997" s="9" t="s">
        <v>31</v>
      </c>
    </row>
    <row r="8998" ht="15.75" customHeight="1">
      <c r="A8998" s="7"/>
      <c r="B8998" s="7" t="str">
        <f>IFERROR(__xludf.DUMMYFUNCTION("""COMPUTED_VALUE"""),"C;C++;HTML/CSS;Java;JavaScript;Ruby;SQL;Swift")</f>
        <v>C;C++;HTML/CSS;Java;JavaScript;Ruby;SQL;Swift</v>
      </c>
      <c r="M8998" s="9" t="s">
        <v>27</v>
      </c>
    </row>
    <row r="8999" ht="15.75" customHeight="1">
      <c r="A8999" s="7"/>
      <c r="B8999" s="7" t="str">
        <f>IFERROR(__xludf.DUMMYFUNCTION("""COMPUTED_VALUE"""),"HTML/CSS;Ruby;SQL;Other(s):")</f>
        <v>HTML/CSS;Ruby;SQL;Other(s):</v>
      </c>
      <c r="M8999" s="9" t="s">
        <v>24</v>
      </c>
    </row>
    <row r="9000" ht="15.75" customHeight="1">
      <c r="A9000" s="7"/>
      <c r="B9000" s="7" t="str">
        <f>IFERROR(__xludf.DUMMYFUNCTION("""COMPUTED_VALUE"""),"Java;Kotlin")</f>
        <v>Java;Kotlin</v>
      </c>
      <c r="M9000" s="9" t="s">
        <v>20</v>
      </c>
    </row>
    <row r="9001" ht="15.75" customHeight="1">
      <c r="A9001" s="7"/>
      <c r="B9001" s="7" t="str">
        <f>IFERROR(__xludf.DUMMYFUNCTION("""COMPUTED_VALUE"""),"C;Java")</f>
        <v>C;Java</v>
      </c>
      <c r="M9001" s="9" t="s">
        <v>21</v>
      </c>
    </row>
    <row r="9002" ht="15.75" customHeight="1">
      <c r="A9002" s="7"/>
      <c r="B9002" s="7" t="str">
        <f>IFERROR(__xludf.DUMMYFUNCTION("""COMPUTED_VALUE"""),"Bash/Shell/PowerShell;C#;HTML/CSS;JavaScript;Python;Ruby;SQL")</f>
        <v>Bash/Shell/PowerShell;C#;HTML/CSS;JavaScript;Python;Ruby;SQL</v>
      </c>
      <c r="M9002" s="9" t="s">
        <v>37</v>
      </c>
    </row>
    <row r="9003" ht="15.75" customHeight="1">
      <c r="A9003" s="7"/>
      <c r="B9003" s="7" t="str">
        <f>IFERROR(__xludf.DUMMYFUNCTION("""COMPUTED_VALUE"""),"Java")</f>
        <v>Java</v>
      </c>
      <c r="M9003" s="9" t="s">
        <v>27</v>
      </c>
    </row>
    <row r="9004" ht="15.75" customHeight="1">
      <c r="A9004" s="7"/>
      <c r="B9004" s="7" t="str">
        <f>IFERROR(__xludf.DUMMYFUNCTION("""COMPUTED_VALUE"""),"Bash/Shell/PowerShell;C++;HTML/CSS;JavaScript;Python;R")</f>
        <v>Bash/Shell/PowerShell;C++;HTML/CSS;JavaScript;Python;R</v>
      </c>
      <c r="M9004" s="9" t="s">
        <v>33</v>
      </c>
    </row>
    <row r="9005" ht="15.75" customHeight="1">
      <c r="A9005" s="7"/>
      <c r="B9005" s="7" t="str">
        <f>IFERROR(__xludf.DUMMYFUNCTION("""COMPUTED_VALUE"""),"HTML/CSS;JavaScript;Python;SQL")</f>
        <v>HTML/CSS;JavaScript;Python;SQL</v>
      </c>
      <c r="M9005" s="9" t="s">
        <v>30</v>
      </c>
    </row>
    <row r="9006" ht="15.75" customHeight="1">
      <c r="A9006" s="7"/>
      <c r="B9006" s="7" t="str">
        <f>IFERROR(__xludf.DUMMYFUNCTION("""COMPUTED_VALUE"""),"Java")</f>
        <v>Java</v>
      </c>
      <c r="M9006" s="9" t="s">
        <v>23</v>
      </c>
    </row>
    <row r="9007" ht="15.75" customHeight="1">
      <c r="A9007" s="7"/>
      <c r="B9007" s="7" t="str">
        <f>IFERROR(__xludf.DUMMYFUNCTION("""COMPUTED_VALUE"""),"C#;HTML/CSS;JavaScript;TypeScript")</f>
        <v>C#;HTML/CSS;JavaScript;TypeScript</v>
      </c>
      <c r="M9007" s="9" t="s">
        <v>24</v>
      </c>
    </row>
    <row r="9008" ht="15.75" customHeight="1">
      <c r="A9008" s="7"/>
      <c r="B9008" s="7" t="str">
        <f>IFERROR(__xludf.DUMMYFUNCTION("""COMPUTED_VALUE"""),"Elixir;HTML/CSS;JavaScript;Ruby;Rust;SQL;TypeScript;WebAssembly")</f>
        <v>Elixir;HTML/CSS;JavaScript;Ruby;Rust;SQL;TypeScript;WebAssembly</v>
      </c>
      <c r="M9008" s="9" t="s">
        <v>20</v>
      </c>
    </row>
    <row r="9009" ht="15.75" customHeight="1">
      <c r="A9009" s="7"/>
      <c r="B9009" s="7" t="str">
        <f>IFERROR(__xludf.DUMMYFUNCTION("""COMPUTED_VALUE"""),"C#;HTML/CSS;JavaScript;SQL")</f>
        <v>C#;HTML/CSS;JavaScript;SQL</v>
      </c>
      <c r="M9009" s="9" t="s">
        <v>21</v>
      </c>
    </row>
    <row r="9010" ht="15.75" customHeight="1">
      <c r="A9010" s="7"/>
      <c r="B9010" s="7" t="str">
        <f>IFERROR(__xludf.DUMMYFUNCTION("""COMPUTED_VALUE"""),"Bash/Shell/PowerShell;C++;HTML/CSS;Python")</f>
        <v>Bash/Shell/PowerShell;C++;HTML/CSS;Python</v>
      </c>
      <c r="M9010" s="9" t="s">
        <v>22</v>
      </c>
    </row>
    <row r="9011" ht="15.75" customHeight="1">
      <c r="A9011" s="7"/>
      <c r="B9011" s="7" t="str">
        <f>IFERROR(__xludf.DUMMYFUNCTION("""COMPUTED_VALUE"""),"HTML/CSS;JavaScript;SQL;TypeScript")</f>
        <v>HTML/CSS;JavaScript;SQL;TypeScript</v>
      </c>
      <c r="M9011" s="9" t="s">
        <v>31</v>
      </c>
    </row>
    <row r="9012" ht="15.75" customHeight="1">
      <c r="A9012" s="7"/>
      <c r="B9012" s="7" t="str">
        <f>IFERROR(__xludf.DUMMYFUNCTION("""COMPUTED_VALUE"""),"HTML/CSS;Java;JavaScript;SQL")</f>
        <v>HTML/CSS;Java;JavaScript;SQL</v>
      </c>
      <c r="M9012" s="9" t="s">
        <v>27</v>
      </c>
    </row>
    <row r="9013" ht="15.75" customHeight="1">
      <c r="A9013" s="7"/>
      <c r="B9013" s="7" t="str">
        <f>IFERROR(__xludf.DUMMYFUNCTION("""COMPUTED_VALUE"""),"Bash/Shell/PowerShell;C;C++;C#;Java;Python")</f>
        <v>Bash/Shell/PowerShell;C;C++;C#;Java;Python</v>
      </c>
      <c r="M9013" s="9" t="s">
        <v>25</v>
      </c>
    </row>
    <row r="9014" ht="15.75" customHeight="1">
      <c r="A9014" s="7"/>
      <c r="B9014" s="7" t="str">
        <f>IFERROR(__xludf.DUMMYFUNCTION("""COMPUTED_VALUE"""),"Bash/Shell/PowerShell;HTML/CSS;Java;Python")</f>
        <v>Bash/Shell/PowerShell;HTML/CSS;Java;Python</v>
      </c>
      <c r="M9014" s="9" t="s">
        <v>23</v>
      </c>
    </row>
    <row r="9015" ht="15.75" customHeight="1">
      <c r="A9015" s="7"/>
      <c r="B9015" s="7" t="str">
        <f>IFERROR(__xludf.DUMMYFUNCTION("""COMPUTED_VALUE"""),"HTML/CSS;JavaScript;PHP;TypeScript")</f>
        <v>HTML/CSS;JavaScript;PHP;TypeScript</v>
      </c>
      <c r="M9015" s="9" t="s">
        <v>27</v>
      </c>
    </row>
    <row r="9016" ht="15.75" customHeight="1">
      <c r="A9016" s="7"/>
      <c r="B9016" s="7" t="str">
        <f>IFERROR(__xludf.DUMMYFUNCTION("""COMPUTED_VALUE"""),"Java;JavaScript;Python;Rust;SQL")</f>
        <v>Java;JavaScript;Python;Rust;SQL</v>
      </c>
      <c r="M9016" s="9" t="s">
        <v>23</v>
      </c>
    </row>
    <row r="9017" ht="15.75" customHeight="1">
      <c r="A9017" s="7"/>
      <c r="B9017" s="7" t="str">
        <f>IFERROR(__xludf.DUMMYFUNCTION("""COMPUTED_VALUE"""),"Assembly;HTML/CSS;JavaScript;PHP;SQL")</f>
        <v>Assembly;HTML/CSS;JavaScript;PHP;SQL</v>
      </c>
      <c r="M9017" s="9" t="s">
        <v>21</v>
      </c>
    </row>
    <row r="9018" ht="15.75" customHeight="1">
      <c r="A9018" s="7"/>
      <c r="B9018" s="7" t="str">
        <f>IFERROR(__xludf.DUMMYFUNCTION("""COMPUTED_VALUE"""),"HTML/CSS;JavaScript;SQL;TypeScript")</f>
        <v>HTML/CSS;JavaScript;SQL;TypeScript</v>
      </c>
      <c r="M9018" s="9" t="s">
        <v>22</v>
      </c>
    </row>
    <row r="9019" ht="15.75" customHeight="1">
      <c r="A9019" s="7"/>
      <c r="B9019" s="7" t="str">
        <f>IFERROR(__xludf.DUMMYFUNCTION("""COMPUTED_VALUE"""),"C;Java;Objective-C;Python;SQL")</f>
        <v>C;Java;Objective-C;Python;SQL</v>
      </c>
      <c r="M9019" s="9" t="s">
        <v>21</v>
      </c>
    </row>
    <row r="9020" ht="15.75" customHeight="1">
      <c r="A9020" s="7"/>
      <c r="B9020" s="7" t="str">
        <f>IFERROR(__xludf.DUMMYFUNCTION("""COMPUTED_VALUE"""),"HTML/CSS;Java;JavaScript;SQL")</f>
        <v>HTML/CSS;Java;JavaScript;SQL</v>
      </c>
      <c r="M9020" s="9" t="s">
        <v>33</v>
      </c>
    </row>
    <row r="9021" ht="15.75" customHeight="1">
      <c r="A9021" s="7"/>
      <c r="B9021" s="7" t="str">
        <f>IFERROR(__xludf.DUMMYFUNCTION("""COMPUTED_VALUE"""),"HTML/CSS;JavaScript;Kotlin;Objective-C;PHP;Python;SQL")</f>
        <v>HTML/CSS;JavaScript;Kotlin;Objective-C;PHP;Python;SQL</v>
      </c>
      <c r="M9021" s="9" t="s">
        <v>30</v>
      </c>
    </row>
    <row r="9022" ht="15.75" customHeight="1">
      <c r="A9022" s="7"/>
      <c r="B9022" s="7" t="str">
        <f>IFERROR(__xludf.DUMMYFUNCTION("""COMPUTED_VALUE"""),"HTML/CSS;JavaScript;PHP;SQL")</f>
        <v>HTML/CSS;JavaScript;PHP;SQL</v>
      </c>
      <c r="M9022" s="9" t="s">
        <v>25</v>
      </c>
    </row>
    <row r="9023" ht="15.75" customHeight="1">
      <c r="A9023" s="7"/>
      <c r="B9023" s="7" t="str">
        <f>IFERROR(__xludf.DUMMYFUNCTION("""COMPUTED_VALUE"""),"C;HTML/CSS;Java;JavaScript;PHP;SQL")</f>
        <v>C;HTML/CSS;Java;JavaScript;PHP;SQL</v>
      </c>
      <c r="M9023" s="9" t="s">
        <v>23</v>
      </c>
    </row>
    <row r="9024" ht="15.75" customHeight="1">
      <c r="A9024" s="7"/>
      <c r="B9024" s="7" t="str">
        <f>IFERROR(__xludf.DUMMYFUNCTION("""COMPUTED_VALUE"""),"PHP;Python;SQL")</f>
        <v>PHP;Python;SQL</v>
      </c>
      <c r="M9024" s="9" t="s">
        <v>26</v>
      </c>
    </row>
    <row r="9025" ht="15.75" customHeight="1">
      <c r="A9025" s="7"/>
      <c r="B9025" s="7" t="str">
        <f>IFERROR(__xludf.DUMMYFUNCTION("""COMPUTED_VALUE"""),"C#;HTML/CSS;JavaScript;PHP;SQL;TypeScript")</f>
        <v>C#;HTML/CSS;JavaScript;PHP;SQL;TypeScript</v>
      </c>
      <c r="M9025" s="9" t="s">
        <v>24</v>
      </c>
    </row>
    <row r="9026" ht="15.75" customHeight="1">
      <c r="A9026" s="7"/>
      <c r="B9026" s="7" t="str">
        <f>IFERROR(__xludf.DUMMYFUNCTION("""COMPUTED_VALUE"""),"C#;HTML/CSS;JavaScript;Python;SQL;TypeScript")</f>
        <v>C#;HTML/CSS;JavaScript;Python;SQL;TypeScript</v>
      </c>
      <c r="M9026" s="9" t="s">
        <v>21</v>
      </c>
    </row>
    <row r="9027" ht="15.75" customHeight="1">
      <c r="A9027" s="7"/>
      <c r="B9027" s="7" t="str">
        <f>IFERROR(__xludf.DUMMYFUNCTION("""COMPUTED_VALUE"""),"HTML/CSS;Java;Python;R;SQL")</f>
        <v>HTML/CSS;Java;Python;R;SQL</v>
      </c>
      <c r="M9027" s="9" t="s">
        <v>22</v>
      </c>
    </row>
    <row r="9028" ht="15.75" customHeight="1">
      <c r="A9028" s="7"/>
      <c r="B9028" s="7" t="str">
        <f>IFERROR(__xludf.DUMMYFUNCTION("""COMPUTED_VALUE"""),"HTML/CSS;JavaScript;Python")</f>
        <v>HTML/CSS;JavaScript;Python</v>
      </c>
      <c r="M9028" s="9" t="s">
        <v>27</v>
      </c>
    </row>
    <row r="9029" ht="15.75" customHeight="1">
      <c r="A9029" s="7"/>
      <c r="B9029" s="7" t="str">
        <f>IFERROR(__xludf.DUMMYFUNCTION("""COMPUTED_VALUE"""),"Java;Kotlin;Python;Swift")</f>
        <v>Java;Kotlin;Python;Swift</v>
      </c>
      <c r="M9029" s="9" t="s">
        <v>35</v>
      </c>
    </row>
    <row r="9030" ht="15.75" customHeight="1">
      <c r="A9030" s="7"/>
      <c r="B9030" s="7" t="str">
        <f>IFERROR(__xludf.DUMMYFUNCTION("""COMPUTED_VALUE"""),"HTML/CSS;Java;JavaScript")</f>
        <v>HTML/CSS;Java;JavaScript</v>
      </c>
      <c r="M9030" s="9" t="s">
        <v>30</v>
      </c>
    </row>
    <row r="9031" ht="15.75" customHeight="1">
      <c r="A9031" s="7"/>
      <c r="B9031" s="7" t="str">
        <f>IFERROR(__xludf.DUMMYFUNCTION("""COMPUTED_VALUE"""),"Bash/Shell/PowerShell;C++;Java;Scala")</f>
        <v>Bash/Shell/PowerShell;C++;Java;Scala</v>
      </c>
      <c r="M9031" s="9" t="s">
        <v>26</v>
      </c>
    </row>
    <row r="9032" ht="15.75" customHeight="1">
      <c r="A9032" s="7"/>
      <c r="B9032" s="7" t="str">
        <f>IFERROR(__xludf.DUMMYFUNCTION("""COMPUTED_VALUE"""),"JavaScript")</f>
        <v>JavaScript</v>
      </c>
      <c r="M9032" s="9" t="s">
        <v>36</v>
      </c>
    </row>
    <row r="9033" ht="15.75" customHeight="1">
      <c r="A9033" s="7"/>
      <c r="B9033" s="7" t="str">
        <f>IFERROR(__xludf.DUMMYFUNCTION("""COMPUTED_VALUE"""),"HTML/CSS;JavaScript;PHP")</f>
        <v>HTML/CSS;JavaScript;PHP</v>
      </c>
      <c r="M9033" s="9" t="s">
        <v>23</v>
      </c>
    </row>
    <row r="9034" ht="15.75" customHeight="1">
      <c r="A9034" s="7"/>
      <c r="B9034" s="7" t="str">
        <f>IFERROR(__xludf.DUMMYFUNCTION("""COMPUTED_VALUE"""),"HTML/CSS;Java;JavaScript;SQL")</f>
        <v>HTML/CSS;Java;JavaScript;SQL</v>
      </c>
      <c r="M9034" s="9" t="s">
        <v>26</v>
      </c>
    </row>
    <row r="9035" ht="15.75" customHeight="1">
      <c r="A9035" s="7"/>
      <c r="B9035" s="7" t="str">
        <f>IFERROR(__xludf.DUMMYFUNCTION("""COMPUTED_VALUE"""),"Assembly;Bash/Shell/PowerShell;C;C++;Go;Python;SQL")</f>
        <v>Assembly;Bash/Shell/PowerShell;C;C++;Go;Python;SQL</v>
      </c>
      <c r="M9035" s="9" t="s">
        <v>24</v>
      </c>
    </row>
    <row r="9036" ht="15.75" customHeight="1">
      <c r="A9036" s="7"/>
      <c r="B9036" s="7" t="str">
        <f>IFERROR(__xludf.DUMMYFUNCTION("""COMPUTED_VALUE"""),"Bash/Shell/PowerShell;C++;Go;Python")</f>
        <v>Bash/Shell/PowerShell;C++;Go;Python</v>
      </c>
      <c r="M9036" s="9" t="s">
        <v>21</v>
      </c>
    </row>
    <row r="9037" ht="15.75" customHeight="1">
      <c r="A9037" s="7"/>
      <c r="B9037" s="7" t="str">
        <f>IFERROR(__xludf.DUMMYFUNCTION("""COMPUTED_VALUE"""),"Assembly;Bash/Shell/PowerShell;C;C++;C#;Elixir;HTML/CSS;Java;JavaScript;PHP;Python;SQL;VBA")</f>
        <v>Assembly;Bash/Shell/PowerShell;C;C++;C#;Elixir;HTML/CSS;Java;JavaScript;PHP;Python;SQL;VBA</v>
      </c>
      <c r="M9037" s="9" t="s">
        <v>27</v>
      </c>
    </row>
    <row r="9038" ht="15.75" customHeight="1">
      <c r="A9038" s="7"/>
      <c r="B9038" s="7" t="str">
        <f>IFERROR(__xludf.DUMMYFUNCTION("""COMPUTED_VALUE"""),"Java;PHP")</f>
        <v>Java;PHP</v>
      </c>
      <c r="M9038" s="9" t="s">
        <v>26</v>
      </c>
    </row>
    <row r="9039" ht="15.75" customHeight="1">
      <c r="A9039" s="7"/>
      <c r="B9039" s="7" t="str">
        <f>IFERROR(__xludf.DUMMYFUNCTION("""COMPUTED_VALUE"""),"Assembly;Bash/Shell/PowerShell;C;HTML/CSS;JavaScript;Python;SQL;Other(s):")</f>
        <v>Assembly;Bash/Shell/PowerShell;C;HTML/CSS;JavaScript;Python;SQL;Other(s):</v>
      </c>
      <c r="M9039" s="9" t="s">
        <v>24</v>
      </c>
    </row>
    <row r="9040" ht="15.75" customHeight="1">
      <c r="A9040" s="7"/>
      <c r="B9040" s="7" t="str">
        <f>IFERROR(__xludf.DUMMYFUNCTION("""COMPUTED_VALUE"""),"Bash/Shell/PowerShell;Go;Java;JavaScript;PHP;Python;SQL")</f>
        <v>Bash/Shell/PowerShell;Go;Java;JavaScript;PHP;Python;SQL</v>
      </c>
      <c r="M9040" s="9" t="s">
        <v>21</v>
      </c>
    </row>
    <row r="9041" ht="15.75" customHeight="1">
      <c r="A9041" s="7"/>
      <c r="B9041" s="7" t="str">
        <f>IFERROR(__xludf.DUMMYFUNCTION("""COMPUTED_VALUE"""),"HTML/CSS;JavaScript;PHP;Python")</f>
        <v>HTML/CSS;JavaScript;PHP;Python</v>
      </c>
      <c r="M9041" s="9" t="s">
        <v>37</v>
      </c>
    </row>
    <row r="9042" ht="15.75" customHeight="1">
      <c r="A9042" s="7"/>
      <c r="B9042" s="7" t="str">
        <f>IFERROR(__xludf.DUMMYFUNCTION("""COMPUTED_VALUE"""),"C++;C#;HTML/CSS;SQL;TypeScript")</f>
        <v>C++;C#;HTML/CSS;SQL;TypeScript</v>
      </c>
      <c r="M9042" s="9" t="s">
        <v>27</v>
      </c>
    </row>
    <row r="9043" ht="15.75" customHeight="1">
      <c r="A9043" s="7"/>
      <c r="B9043" s="7" t="str">
        <f>IFERROR(__xludf.DUMMYFUNCTION("""COMPUTED_VALUE"""),"Bash/Shell/PowerShell;Go;HTML/CSS;Java;JavaScript;Python;TypeScript")</f>
        <v>Bash/Shell/PowerShell;Go;HTML/CSS;Java;JavaScript;Python;TypeScript</v>
      </c>
      <c r="M9043" s="9" t="s">
        <v>26</v>
      </c>
    </row>
    <row r="9044" ht="15.75" customHeight="1">
      <c r="A9044" s="7"/>
      <c r="B9044" s="7" t="str">
        <f>IFERROR(__xludf.DUMMYFUNCTION("""COMPUTED_VALUE"""),"C;C++;Java")</f>
        <v>C;C++;Java</v>
      </c>
      <c r="M9044" s="9" t="s">
        <v>24</v>
      </c>
    </row>
    <row r="9045" ht="15.75" customHeight="1">
      <c r="A9045" s="7"/>
      <c r="B9045" s="7" t="str">
        <f>IFERROR(__xludf.DUMMYFUNCTION("""COMPUTED_VALUE"""),"Assembly;Bash/Shell/PowerShell;Go;HTML/CSS;Java;JavaScript;Python;TypeScript")</f>
        <v>Assembly;Bash/Shell/PowerShell;Go;HTML/CSS;Java;JavaScript;Python;TypeScript</v>
      </c>
      <c r="M9045" s="9" t="s">
        <v>21</v>
      </c>
    </row>
    <row r="9046" ht="15.75" customHeight="1">
      <c r="A9046" s="7"/>
      <c r="B9046" s="7" t="str">
        <f>IFERROR(__xludf.DUMMYFUNCTION("""COMPUTED_VALUE"""),"Python;SQL;VBA")</f>
        <v>Python;SQL;VBA</v>
      </c>
      <c r="M9046" s="9" t="s">
        <v>27</v>
      </c>
    </row>
    <row r="9047" ht="15.75" customHeight="1">
      <c r="A9047" s="7"/>
      <c r="B9047" s="7" t="str">
        <f>IFERROR(__xludf.DUMMYFUNCTION("""COMPUTED_VALUE"""),"Java")</f>
        <v>Java</v>
      </c>
      <c r="M9047" s="9" t="s">
        <v>23</v>
      </c>
    </row>
    <row r="9048" ht="15.75" customHeight="1">
      <c r="A9048" s="7"/>
      <c r="B9048" s="7" t="str">
        <f>IFERROR(__xludf.DUMMYFUNCTION("""COMPUTED_VALUE"""),"C#;HTML/CSS;JavaScript;SQL")</f>
        <v>C#;HTML/CSS;JavaScript;SQL</v>
      </c>
      <c r="M9048" s="9" t="s">
        <v>24</v>
      </c>
    </row>
    <row r="9049" ht="15.75" customHeight="1">
      <c r="A9049" s="7"/>
      <c r="B9049" s="7" t="str">
        <f>IFERROR(__xludf.DUMMYFUNCTION("""COMPUTED_VALUE"""),"Go;Java;JavaScript;Ruby;SQL")</f>
        <v>Go;Java;JavaScript;Ruby;SQL</v>
      </c>
      <c r="M9049" s="9" t="s">
        <v>20</v>
      </c>
    </row>
    <row r="9050" ht="15.75" customHeight="1">
      <c r="A9050" s="7"/>
      <c r="B9050" s="7" t="str">
        <f>IFERROR(__xludf.DUMMYFUNCTION("""COMPUTED_VALUE"""),"Java;JavaScript")</f>
        <v>Java;JavaScript</v>
      </c>
      <c r="M9050" s="9" t="s">
        <v>21</v>
      </c>
    </row>
    <row r="9051" ht="15.75" customHeight="1">
      <c r="A9051" s="7"/>
      <c r="B9051" s="7" t="str">
        <f>IFERROR(__xludf.DUMMYFUNCTION("""COMPUTED_VALUE"""),"Bash/Shell/PowerShell;C#;HTML/CSS;Java;JavaScript;PHP;Python;TypeScript")</f>
        <v>Bash/Shell/PowerShell;C#;HTML/CSS;Java;JavaScript;PHP;Python;TypeScript</v>
      </c>
      <c r="M9051" s="9" t="s">
        <v>22</v>
      </c>
    </row>
    <row r="9052" ht="15.75" customHeight="1">
      <c r="A9052" s="7"/>
      <c r="B9052" s="7" t="str">
        <f>IFERROR(__xludf.DUMMYFUNCTION("""COMPUTED_VALUE"""),"C;Java;Python")</f>
        <v>C;Java;Python</v>
      </c>
      <c r="M9052" s="9" t="s">
        <v>29</v>
      </c>
    </row>
    <row r="9053" ht="15.75" customHeight="1">
      <c r="A9053" s="7"/>
      <c r="B9053" s="7" t="str">
        <f>IFERROR(__xludf.DUMMYFUNCTION("""COMPUTED_VALUE"""),"HTML/CSS;JavaScript;PHP")</f>
        <v>HTML/CSS;JavaScript;PHP</v>
      </c>
      <c r="M9053" s="9" t="s">
        <v>31</v>
      </c>
    </row>
    <row r="9054" ht="15.75" customHeight="1">
      <c r="A9054" s="7"/>
      <c r="B9054" s="7" t="str">
        <f>IFERROR(__xludf.DUMMYFUNCTION("""COMPUTED_VALUE"""),"C#;HTML/CSS;JavaScript;SQL;TypeScript")</f>
        <v>C#;HTML/CSS;JavaScript;SQL;TypeScript</v>
      </c>
      <c r="M9054" s="9" t="s">
        <v>27</v>
      </c>
    </row>
    <row r="9055" ht="15.75" customHeight="1">
      <c r="A9055" s="7"/>
      <c r="B9055" s="7" t="str">
        <f>IFERROR(__xludf.DUMMYFUNCTION("""COMPUTED_VALUE"""),"Bash/Shell/PowerShell;HTML/CSS;Java;JavaScript;SQL")</f>
        <v>Bash/Shell/PowerShell;HTML/CSS;Java;JavaScript;SQL</v>
      </c>
      <c r="M9055" s="9" t="s">
        <v>23</v>
      </c>
    </row>
    <row r="9056" ht="15.75" customHeight="1">
      <c r="A9056" s="7"/>
      <c r="B9056" s="7" t="str">
        <f>IFERROR(__xludf.DUMMYFUNCTION("""COMPUTED_VALUE"""),"Bash/Shell/PowerShell;C#;HTML/CSS;Java;JavaScript;PHP;Python;SQL;Swift;TypeScript")</f>
        <v>Bash/Shell/PowerShell;C#;HTML/CSS;Java;JavaScript;PHP;Python;SQL;Swift;TypeScript</v>
      </c>
      <c r="M9056" s="9" t="s">
        <v>22</v>
      </c>
    </row>
    <row r="9057" ht="15.75" customHeight="1">
      <c r="A9057" s="7"/>
      <c r="B9057" s="7" t="str">
        <f>IFERROR(__xludf.DUMMYFUNCTION("""COMPUTED_VALUE"""),"Bash/Shell/PowerShell;Java;Objective-C;Python")</f>
        <v>Bash/Shell/PowerShell;Java;Objective-C;Python</v>
      </c>
      <c r="M9057" s="9" t="s">
        <v>30</v>
      </c>
    </row>
    <row r="9058" ht="15.75" customHeight="1">
      <c r="A9058" s="7"/>
      <c r="B9058" s="7" t="str">
        <f>IFERROR(__xludf.DUMMYFUNCTION("""COMPUTED_VALUE"""),"C#;HTML/CSS;JavaScript;Python;SQL")</f>
        <v>C#;HTML/CSS;JavaScript;Python;SQL</v>
      </c>
      <c r="M9058" s="9" t="s">
        <v>21</v>
      </c>
    </row>
    <row r="9059" ht="15.75" customHeight="1">
      <c r="A9059" s="7"/>
      <c r="B9059" s="7" t="str">
        <f>IFERROR(__xludf.DUMMYFUNCTION("""COMPUTED_VALUE"""),"Go;Python;Rust")</f>
        <v>Go;Python;Rust</v>
      </c>
      <c r="M9059" s="9" t="s">
        <v>22</v>
      </c>
    </row>
    <row r="9060" ht="15.75" customHeight="1">
      <c r="A9060" s="7"/>
      <c r="B9060" s="7" t="str">
        <f>IFERROR(__xludf.DUMMYFUNCTION("""COMPUTED_VALUE"""),"Java;Kotlin")</f>
        <v>Java;Kotlin</v>
      </c>
      <c r="M9060" s="9" t="s">
        <v>33</v>
      </c>
    </row>
    <row r="9061" ht="15.75" customHeight="1">
      <c r="A9061" s="7"/>
      <c r="B9061" s="7" t="str">
        <f>IFERROR(__xludf.DUMMYFUNCTION("""COMPUTED_VALUE"""),"JavaScript;PHP;Python;SQL")</f>
        <v>JavaScript;PHP;Python;SQL</v>
      </c>
      <c r="M9061" s="9" t="s">
        <v>24</v>
      </c>
    </row>
    <row r="9062" ht="15.75" customHeight="1">
      <c r="A9062" s="7"/>
      <c r="B9062" s="7" t="str">
        <f>IFERROR(__xludf.DUMMYFUNCTION("""COMPUTED_VALUE"""),"Bash/Shell/PowerShell;C#;HTML/CSS;JavaScript;Python;SQL;TypeScript")</f>
        <v>Bash/Shell/PowerShell;C#;HTML/CSS;JavaScript;Python;SQL;TypeScript</v>
      </c>
      <c r="M9062" s="9" t="s">
        <v>21</v>
      </c>
    </row>
    <row r="9063" ht="15.75" customHeight="1">
      <c r="A9063" s="7"/>
      <c r="B9063" s="7" t="str">
        <f>IFERROR(__xludf.DUMMYFUNCTION("""COMPUTED_VALUE"""),"Bash/Shell/PowerShell;HTML/CSS;Java;JavaScript;SQL")</f>
        <v>Bash/Shell/PowerShell;HTML/CSS;Java;JavaScript;SQL</v>
      </c>
      <c r="M9063" s="9" t="s">
        <v>28</v>
      </c>
    </row>
    <row r="9064" ht="15.75" customHeight="1">
      <c r="A9064" s="7"/>
      <c r="B9064" s="7" t="str">
        <f>IFERROR(__xludf.DUMMYFUNCTION("""COMPUTED_VALUE"""),"C#;Clojure;Dart;HTML/CSS;JavaScript;Rust;TypeScript;WebAssembly")</f>
        <v>C#;Clojure;Dart;HTML/CSS;JavaScript;Rust;TypeScript;WebAssembly</v>
      </c>
      <c r="M9064" s="9" t="s">
        <v>30</v>
      </c>
    </row>
    <row r="9065" ht="15.75" customHeight="1">
      <c r="A9065" s="7"/>
      <c r="B9065" s="7" t="str">
        <f>IFERROR(__xludf.DUMMYFUNCTION("""COMPUTED_VALUE"""),"C;C++;Java;Scala")</f>
        <v>C;C++;Java;Scala</v>
      </c>
      <c r="M9065" s="9" t="s">
        <v>26</v>
      </c>
    </row>
    <row r="9066" ht="15.75" customHeight="1">
      <c r="A9066" s="7"/>
      <c r="B9066" s="7" t="str">
        <f>IFERROR(__xludf.DUMMYFUNCTION("""COMPUTED_VALUE"""),"Bash/Shell/PowerShell;C;HTML/CSS;Java;JavaScript;Objective-C;PHP;Python;SQL")</f>
        <v>Bash/Shell/PowerShell;C;HTML/CSS;Java;JavaScript;Objective-C;PHP;Python;SQL</v>
      </c>
      <c r="M9066" s="9" t="s">
        <v>24</v>
      </c>
    </row>
    <row r="9067" ht="15.75" customHeight="1">
      <c r="A9067" s="7"/>
      <c r="B9067" s="7" t="str">
        <f>IFERROR(__xludf.DUMMYFUNCTION("""COMPUTED_VALUE"""),"Assembly;HTML/CSS;Java;Swift")</f>
        <v>Assembly;HTML/CSS;Java;Swift</v>
      </c>
      <c r="M9067" s="9" t="s">
        <v>20</v>
      </c>
    </row>
    <row r="9068" ht="15.75" customHeight="1">
      <c r="A9068" s="7"/>
      <c r="B9068" s="7" t="str">
        <f>IFERROR(__xludf.DUMMYFUNCTION("""COMPUTED_VALUE"""),"HTML/CSS;JavaScript;TypeScript")</f>
        <v>HTML/CSS;JavaScript;TypeScript</v>
      </c>
      <c r="M9068" s="9" t="s">
        <v>21</v>
      </c>
    </row>
    <row r="9069" ht="15.75" customHeight="1">
      <c r="A9069" s="7"/>
      <c r="B9069" s="7" t="str">
        <f>IFERROR(__xludf.DUMMYFUNCTION("""COMPUTED_VALUE"""),"C;C#;Python;Swift")</f>
        <v>C;C#;Python;Swift</v>
      </c>
      <c r="M9069" s="9" t="s">
        <v>37</v>
      </c>
    </row>
    <row r="9070" ht="15.75" customHeight="1">
      <c r="A9070" s="7"/>
      <c r="B9070" s="7" t="str">
        <f>IFERROR(__xludf.DUMMYFUNCTION("""COMPUTED_VALUE"""),"Bash/Shell/PowerShell;C;C++;C#;HTML/CSS;JavaScript;Python;Rust;WebAssembly")</f>
        <v>Bash/Shell/PowerShell;C;C++;C#;HTML/CSS;JavaScript;Python;Rust;WebAssembly</v>
      </c>
      <c r="M9070" s="9" t="s">
        <v>22</v>
      </c>
    </row>
    <row r="9071" ht="15.75" customHeight="1">
      <c r="A9071" s="7"/>
      <c r="B9071" s="7" t="str">
        <f>IFERROR(__xludf.DUMMYFUNCTION("""COMPUTED_VALUE"""),"C#;Java;JavaScript;TypeScript")</f>
        <v>C#;Java;JavaScript;TypeScript</v>
      </c>
      <c r="M9071" s="9" t="s">
        <v>29</v>
      </c>
    </row>
    <row r="9072" ht="15.75" customHeight="1">
      <c r="A9072" s="7"/>
      <c r="B9072" s="7" t="str">
        <f>IFERROR(__xludf.DUMMYFUNCTION("""COMPUTED_VALUE"""),"Bash/Shell/PowerShell;Java;SQL")</f>
        <v>Bash/Shell/PowerShell;Java;SQL</v>
      </c>
      <c r="M9072" s="9" t="s">
        <v>31</v>
      </c>
    </row>
    <row r="9073" ht="15.75" customHeight="1">
      <c r="A9073" s="7"/>
      <c r="B9073" s="7" t="str">
        <f>IFERROR(__xludf.DUMMYFUNCTION("""COMPUTED_VALUE"""),"Assembly;C++;HTML/CSS;JavaScript;Python;Swift")</f>
        <v>Assembly;C++;HTML/CSS;JavaScript;Python;Swift</v>
      </c>
      <c r="M9073" s="9" t="s">
        <v>27</v>
      </c>
    </row>
    <row r="9074" ht="15.75" customHeight="1">
      <c r="A9074" s="7"/>
      <c r="B9074" s="7" t="str">
        <f>IFERROR(__xludf.DUMMYFUNCTION("""COMPUTED_VALUE"""),"Bash/Shell/PowerShell;Clojure;HTML/CSS;JavaScript;PHP;Python;R;SQL")</f>
        <v>Bash/Shell/PowerShell;Clojure;HTML/CSS;JavaScript;PHP;Python;R;SQL</v>
      </c>
      <c r="M9074" s="9" t="s">
        <v>28</v>
      </c>
    </row>
    <row r="9075" ht="15.75" customHeight="1">
      <c r="A9075" s="7"/>
      <c r="B9075" s="7" t="str">
        <f>IFERROR(__xludf.DUMMYFUNCTION("""COMPUTED_VALUE"""),"HTML/CSS;JavaScript;Python")</f>
        <v>HTML/CSS;JavaScript;Python</v>
      </c>
      <c r="M9075" s="9" t="s">
        <v>35</v>
      </c>
    </row>
    <row r="9076" ht="15.75" customHeight="1">
      <c r="A9076" s="7"/>
      <c r="B9076" s="7" t="str">
        <f>IFERROR(__xludf.DUMMYFUNCTION("""COMPUTED_VALUE"""),"Bash/Shell/PowerShell;Elixir;PHP;Python;Ruby;Rust;SQL")</f>
        <v>Bash/Shell/PowerShell;Elixir;PHP;Python;Ruby;Rust;SQL</v>
      </c>
      <c r="M9076" s="9" t="s">
        <v>26</v>
      </c>
    </row>
    <row r="9077" ht="15.75" customHeight="1">
      <c r="A9077" s="7"/>
      <c r="B9077" s="7" t="str">
        <f>IFERROR(__xludf.DUMMYFUNCTION("""COMPUTED_VALUE"""),"Java;JavaScript")</f>
        <v>Java;JavaScript</v>
      </c>
      <c r="M9077" s="9" t="s">
        <v>29</v>
      </c>
    </row>
    <row r="9078" ht="15.75" customHeight="1">
      <c r="A9078" s="7"/>
      <c r="B9078" s="7" t="str">
        <f>IFERROR(__xludf.DUMMYFUNCTION("""COMPUTED_VALUE"""),"HTML/CSS;Java;JavaScript;PHP;SQL;TypeScript")</f>
        <v>HTML/CSS;Java;JavaScript;PHP;SQL;TypeScript</v>
      </c>
      <c r="M9078" s="9" t="s">
        <v>27</v>
      </c>
    </row>
    <row r="9079" ht="15.75" customHeight="1">
      <c r="A9079" s="7"/>
      <c r="B9079" s="7" t="str">
        <f>IFERROR(__xludf.DUMMYFUNCTION("""COMPUTED_VALUE"""),"C++;Python")</f>
        <v>C++;Python</v>
      </c>
      <c r="M9079" s="9" t="s">
        <v>35</v>
      </c>
    </row>
    <row r="9080" ht="15.75" customHeight="1">
      <c r="A9080" s="7"/>
      <c r="B9080" s="7" t="str">
        <f>IFERROR(__xludf.DUMMYFUNCTION("""COMPUTED_VALUE"""),"Java;JavaScript;PHP;SQL")</f>
        <v>Java;JavaScript;PHP;SQL</v>
      </c>
      <c r="M9080" s="9" t="s">
        <v>26</v>
      </c>
    </row>
    <row r="9081" ht="15.75" customHeight="1">
      <c r="A9081" s="7"/>
      <c r="B9081" s="7" t="str">
        <f>IFERROR(__xludf.DUMMYFUNCTION("""COMPUTED_VALUE"""),"HTML/CSS;PHP;Python;SQL;VBA")</f>
        <v>HTML/CSS;PHP;Python;SQL;VBA</v>
      </c>
      <c r="M9081" s="9" t="s">
        <v>24</v>
      </c>
    </row>
    <row r="9082" ht="15.75" customHeight="1">
      <c r="A9082" s="7"/>
      <c r="B9082" s="7" t="str">
        <f>IFERROR(__xludf.DUMMYFUNCTION("""COMPUTED_VALUE"""),"Assembly;Go")</f>
        <v>Assembly;Go</v>
      </c>
      <c r="M9082" s="9" t="s">
        <v>21</v>
      </c>
    </row>
    <row r="9083" ht="15.75" customHeight="1">
      <c r="A9083" s="7"/>
      <c r="B9083" s="7" t="str">
        <f>IFERROR(__xludf.DUMMYFUNCTION("""COMPUTED_VALUE"""),"C#;HTML/CSS;JavaScript;SQL;TypeScript;VBA")</f>
        <v>C#;HTML/CSS;JavaScript;SQL;TypeScript;VBA</v>
      </c>
      <c r="M9083" s="9" t="s">
        <v>27</v>
      </c>
    </row>
    <row r="9084" ht="15.75" customHeight="1">
      <c r="A9084" s="7"/>
      <c r="B9084" s="7" t="str">
        <f>IFERROR(__xludf.DUMMYFUNCTION("""COMPUTED_VALUE"""),"C;C++;C#;HTML/CSS;Java;JavaScript;PHP;Python;Scala;SQL")</f>
        <v>C;C++;C#;HTML/CSS;Java;JavaScript;PHP;Python;Scala;SQL</v>
      </c>
      <c r="M9084" s="9" t="s">
        <v>33</v>
      </c>
    </row>
    <row r="9085" ht="15.75" customHeight="1">
      <c r="A9085" s="7"/>
      <c r="B9085" s="7" t="str">
        <f>IFERROR(__xludf.DUMMYFUNCTION("""COMPUTED_VALUE"""),"Bash/Shell/PowerShell;C#;HTML/CSS;JavaScript;SQL;TypeScript;VBA")</f>
        <v>Bash/Shell/PowerShell;C#;HTML/CSS;JavaScript;SQL;TypeScript;VBA</v>
      </c>
      <c r="M9085" s="9" t="s">
        <v>30</v>
      </c>
    </row>
    <row r="9086" ht="15.75" customHeight="1">
      <c r="A9086" s="7"/>
      <c r="B9086" s="7" t="str">
        <f>IFERROR(__xludf.DUMMYFUNCTION("""COMPUTED_VALUE"""),"C#;Java;Kotlin;Swift")</f>
        <v>C#;Java;Kotlin;Swift</v>
      </c>
      <c r="M9086" s="9" t="s">
        <v>26</v>
      </c>
    </row>
    <row r="9087" ht="15.75" customHeight="1">
      <c r="A9087" s="7"/>
      <c r="B9087" s="7" t="str">
        <f>IFERROR(__xludf.DUMMYFUNCTION("""COMPUTED_VALUE"""),"Assembly;C;C++;HTML/CSS;Java;JavaScript;TypeScript")</f>
        <v>Assembly;C;C++;HTML/CSS;Java;JavaScript;TypeScript</v>
      </c>
      <c r="M9087" s="9" t="s">
        <v>24</v>
      </c>
    </row>
    <row r="9088" ht="15.75" customHeight="1">
      <c r="A9088" s="7"/>
      <c r="B9088" s="7" t="str">
        <f>IFERROR(__xludf.DUMMYFUNCTION("""COMPUTED_VALUE"""),"Go;HTML/CSS;JavaScript;Python;TypeScript;WebAssembly")</f>
        <v>Go;HTML/CSS;JavaScript;Python;TypeScript;WebAssembly</v>
      </c>
      <c r="M9088" s="9" t="s">
        <v>21</v>
      </c>
    </row>
    <row r="9089" ht="15.75" customHeight="1">
      <c r="A9089" s="7"/>
      <c r="B9089" s="7" t="str">
        <f>IFERROR(__xludf.DUMMYFUNCTION("""COMPUTED_VALUE"""),"C#;HTML/CSS;JavaScript;SQL;TypeScript")</f>
        <v>C#;HTML/CSS;JavaScript;SQL;TypeScript</v>
      </c>
      <c r="M9089" s="9" t="s">
        <v>37</v>
      </c>
    </row>
    <row r="9090" ht="15.75" customHeight="1">
      <c r="A9090" s="7"/>
      <c r="B9090" s="7" t="str">
        <f>IFERROR(__xludf.DUMMYFUNCTION("""COMPUTED_VALUE"""),"HTML/CSS;JavaScript;Ruby;SQL")</f>
        <v>HTML/CSS;JavaScript;Ruby;SQL</v>
      </c>
      <c r="M9090" s="9" t="s">
        <v>33</v>
      </c>
    </row>
    <row r="9091" ht="15.75" customHeight="1">
      <c r="A9091" s="7"/>
      <c r="B9091" s="7" t="str">
        <f>IFERROR(__xludf.DUMMYFUNCTION("""COMPUTED_VALUE"""),"Bash/Shell/PowerShell;HTML/CSS;JavaScript;PHP;SQL")</f>
        <v>Bash/Shell/PowerShell;HTML/CSS;JavaScript;PHP;SQL</v>
      </c>
      <c r="M9091" s="9" t="s">
        <v>30</v>
      </c>
    </row>
    <row r="9092" ht="15.75" customHeight="1">
      <c r="A9092" s="7"/>
      <c r="B9092" s="7" t="str">
        <f>IFERROR(__xludf.DUMMYFUNCTION("""COMPUTED_VALUE"""),"HTML/CSS;JavaScript;PHP;SQL")</f>
        <v>HTML/CSS;JavaScript;PHP;SQL</v>
      </c>
      <c r="M9092" s="9" t="s">
        <v>25</v>
      </c>
    </row>
    <row r="9093" ht="15.75" customHeight="1">
      <c r="A9093" s="7"/>
      <c r="B9093" s="7" t="str">
        <f>IFERROR(__xludf.DUMMYFUNCTION("""COMPUTED_VALUE"""),"Go;HTML/CSS;JavaScript;Ruby")</f>
        <v>Go;HTML/CSS;JavaScript;Ruby</v>
      </c>
      <c r="M9093" s="9" t="s">
        <v>24</v>
      </c>
    </row>
    <row r="9094" ht="15.75" customHeight="1">
      <c r="A9094" s="7"/>
      <c r="B9094" s="7" t="str">
        <f>IFERROR(__xludf.DUMMYFUNCTION("""COMPUTED_VALUE"""),"Bash/Shell/PowerShell;C#;HTML/CSS;JavaScript;Objective-C;SQL")</f>
        <v>Bash/Shell/PowerShell;C#;HTML/CSS;JavaScript;Objective-C;SQL</v>
      </c>
      <c r="M9094" s="9" t="s">
        <v>20</v>
      </c>
    </row>
    <row r="9095" ht="15.75" customHeight="1">
      <c r="A9095" s="7"/>
      <c r="B9095" s="7" t="str">
        <f>IFERROR(__xludf.DUMMYFUNCTION("""COMPUTED_VALUE"""),"Bash/Shell/PowerShell;Clojure;HTML/CSS;SQL")</f>
        <v>Bash/Shell/PowerShell;Clojure;HTML/CSS;SQL</v>
      </c>
      <c r="M9095" s="9" t="s">
        <v>22</v>
      </c>
    </row>
    <row r="9096" ht="15.75" customHeight="1">
      <c r="A9096" s="7"/>
      <c r="B9096" s="7" t="str">
        <f>IFERROR(__xludf.DUMMYFUNCTION("""COMPUTED_VALUE"""),"Bash/Shell/PowerShell;C#;HTML/CSS;JavaScript;SQL;TypeScript")</f>
        <v>Bash/Shell/PowerShell;C#;HTML/CSS;JavaScript;SQL;TypeScript</v>
      </c>
      <c r="M9096" s="9" t="s">
        <v>27</v>
      </c>
    </row>
    <row r="9097" ht="15.75" customHeight="1">
      <c r="A9097" s="7"/>
      <c r="B9097" s="7" t="str">
        <f>IFERROR(__xludf.DUMMYFUNCTION("""COMPUTED_VALUE"""),"Bash/Shell/PowerShell;HTML/CSS;JavaScript;Python;SQL")</f>
        <v>Bash/Shell/PowerShell;HTML/CSS;JavaScript;Python;SQL</v>
      </c>
      <c r="M9097" s="9" t="s">
        <v>23</v>
      </c>
    </row>
    <row r="9098" ht="15.75" customHeight="1">
      <c r="A9098" s="7"/>
      <c r="B9098" s="7" t="str">
        <f>IFERROR(__xludf.DUMMYFUNCTION("""COMPUTED_VALUE"""),"Bash/Shell/PowerShell;C#;SQL")</f>
        <v>Bash/Shell/PowerShell;C#;SQL</v>
      </c>
      <c r="M9098" s="9" t="s">
        <v>26</v>
      </c>
    </row>
    <row r="9099" ht="15.75" customHeight="1">
      <c r="A9099" s="7"/>
      <c r="B9099" s="7" t="str">
        <f>IFERROR(__xludf.DUMMYFUNCTION("""COMPUTED_VALUE"""),"C#;HTML/CSS;PHP;SQL;Other(s):")</f>
        <v>C#;HTML/CSS;PHP;SQL;Other(s):</v>
      </c>
      <c r="M9099" s="9" t="s">
        <v>24</v>
      </c>
    </row>
    <row r="9100" ht="15.75" customHeight="1">
      <c r="A9100" s="7"/>
      <c r="B9100" s="7" t="str">
        <f>IFERROR(__xludf.DUMMYFUNCTION("""COMPUTED_VALUE"""),"C;C#;HTML/CSS;JavaScript;PHP;Python;SQL")</f>
        <v>C;C#;HTML/CSS;JavaScript;PHP;Python;SQL</v>
      </c>
      <c r="M9100" s="9" t="s">
        <v>20</v>
      </c>
    </row>
    <row r="9101" ht="15.75" customHeight="1">
      <c r="A9101" s="7"/>
      <c r="B9101" s="7" t="str">
        <f>IFERROR(__xludf.DUMMYFUNCTION("""COMPUTED_VALUE"""),"Go;HTML/CSS;JavaScript;PHP;Python;SQL;TypeScript")</f>
        <v>Go;HTML/CSS;JavaScript;PHP;Python;SQL;TypeScript</v>
      </c>
      <c r="M9101" s="9" t="s">
        <v>21</v>
      </c>
    </row>
    <row r="9102" ht="15.75" customHeight="1">
      <c r="A9102" s="7"/>
      <c r="B9102" s="7" t="str">
        <f>IFERROR(__xludf.DUMMYFUNCTION("""COMPUTED_VALUE"""),"Bash/Shell/PowerShell;Go;Java;Python")</f>
        <v>Bash/Shell/PowerShell;Go;Java;Python</v>
      </c>
      <c r="M9102" s="9" t="s">
        <v>41</v>
      </c>
    </row>
    <row r="9103" ht="15.75" customHeight="1">
      <c r="A9103" s="7"/>
      <c r="B9103" s="7" t="str">
        <f>IFERROR(__xludf.DUMMYFUNCTION("""COMPUTED_VALUE"""),"C++;JavaScript;SQL;TypeScript")</f>
        <v>C++;JavaScript;SQL;TypeScript</v>
      </c>
      <c r="M9103" s="9" t="s">
        <v>22</v>
      </c>
    </row>
    <row r="9104" ht="15.75" customHeight="1">
      <c r="A9104" s="7"/>
      <c r="B9104" s="7" t="str">
        <f>IFERROR(__xludf.DUMMYFUNCTION("""COMPUTED_VALUE"""),"Bash/Shell/PowerShell;Java;Python;Scala;SQL")</f>
        <v>Bash/Shell/PowerShell;Java;Python;Scala;SQL</v>
      </c>
      <c r="M9104" s="9" t="s">
        <v>27</v>
      </c>
    </row>
    <row r="9105" ht="15.75" customHeight="1">
      <c r="A9105" s="7"/>
      <c r="B9105" s="7" t="str">
        <f>IFERROR(__xludf.DUMMYFUNCTION("""COMPUTED_VALUE"""),"Bash/Shell/PowerShell;Erlang;Go;HTML/CSS;JavaScript;PHP;Python;SQL")</f>
        <v>Bash/Shell/PowerShell;Erlang;Go;HTML/CSS;JavaScript;PHP;Python;SQL</v>
      </c>
      <c r="M9105" s="9" t="s">
        <v>40</v>
      </c>
    </row>
    <row r="9106" ht="15.75" customHeight="1">
      <c r="A9106" s="7"/>
      <c r="B9106" s="7" t="str">
        <f>IFERROR(__xludf.DUMMYFUNCTION("""COMPUTED_VALUE"""),"Bash/Shell/PowerShell;C;Go;HTML/CSS;JavaScript;Python;SQL")</f>
        <v>Bash/Shell/PowerShell;C;Go;HTML/CSS;JavaScript;Python;SQL</v>
      </c>
      <c r="M9106" s="9" t="s">
        <v>26</v>
      </c>
    </row>
    <row r="9107" ht="15.75" customHeight="1">
      <c r="A9107" s="7"/>
      <c r="B9107" s="7" t="str">
        <f>IFERROR(__xludf.DUMMYFUNCTION("""COMPUTED_VALUE"""),"Bash/Shell/PowerShell;Go;Java;Python;SQL")</f>
        <v>Bash/Shell/PowerShell;Go;Java;Python;SQL</v>
      </c>
      <c r="M9107" s="9" t="s">
        <v>24</v>
      </c>
    </row>
    <row r="9108" ht="15.75" customHeight="1">
      <c r="A9108" s="7"/>
      <c r="B9108" s="7" t="str">
        <f>IFERROR(__xludf.DUMMYFUNCTION("""COMPUTED_VALUE"""),"HTML/CSS;JavaScript;PHP;SQL;TypeScript")</f>
        <v>HTML/CSS;JavaScript;PHP;SQL;TypeScript</v>
      </c>
      <c r="M9108" s="9" t="s">
        <v>21</v>
      </c>
    </row>
    <row r="9109" ht="15.75" customHeight="1">
      <c r="A9109" s="7"/>
      <c r="B9109" s="7" t="str">
        <f>IFERROR(__xludf.DUMMYFUNCTION("""COMPUTED_VALUE"""),"Bash/Shell/PowerShell;HTML/CSS;Java;JavaScript;SQL;TypeScript")</f>
        <v>Bash/Shell/PowerShell;HTML/CSS;Java;JavaScript;SQL;TypeScript</v>
      </c>
      <c r="M9109" s="9" t="s">
        <v>27</v>
      </c>
    </row>
    <row r="9110" ht="15.75" customHeight="1">
      <c r="A9110" s="7"/>
      <c r="B9110" s="7" t="str">
        <f>IFERROR(__xludf.DUMMYFUNCTION("""COMPUTED_VALUE"""),"C++;C#;HTML/CSS;Java")</f>
        <v>C++;C#;HTML/CSS;Java</v>
      </c>
      <c r="M9110" s="9" t="s">
        <v>30</v>
      </c>
    </row>
    <row r="9111" ht="15.75" customHeight="1">
      <c r="A9111" s="7"/>
      <c r="B9111" s="7" t="str">
        <f>IFERROR(__xludf.DUMMYFUNCTION("""COMPUTED_VALUE"""),"Bash/Shell/PowerShell;C;C++;C#;Java;JavaScript;PHP;Python;SQL")</f>
        <v>Bash/Shell/PowerShell;C;C++;C#;Java;JavaScript;PHP;Python;SQL</v>
      </c>
      <c r="M9111" s="9" t="s">
        <v>36</v>
      </c>
    </row>
    <row r="9112" ht="15.75" customHeight="1">
      <c r="A9112" s="7"/>
      <c r="B9112" s="7" t="str">
        <f>IFERROR(__xludf.DUMMYFUNCTION("""COMPUTED_VALUE"""),"Bash/Shell/PowerShell;C;C++;C#;Python")</f>
        <v>Bash/Shell/PowerShell;C;C++;C#;Python</v>
      </c>
      <c r="M9112" s="9" t="s">
        <v>24</v>
      </c>
    </row>
    <row r="9113" ht="15.75" customHeight="1">
      <c r="A9113" s="7"/>
      <c r="B9113" s="7" t="str">
        <f>IFERROR(__xludf.DUMMYFUNCTION("""COMPUTED_VALUE"""),"Bash/Shell/PowerShell;C#")</f>
        <v>Bash/Shell/PowerShell;C#</v>
      </c>
      <c r="M9113" s="9" t="s">
        <v>20</v>
      </c>
    </row>
    <row r="9114" ht="15.75" customHeight="1">
      <c r="A9114" s="7"/>
      <c r="B9114" s="7" t="str">
        <f>IFERROR(__xludf.DUMMYFUNCTION("""COMPUTED_VALUE"""),"HTML/CSS;JavaScript;PHP;Python;SQL")</f>
        <v>HTML/CSS;JavaScript;PHP;Python;SQL</v>
      </c>
      <c r="M9114" s="9" t="s">
        <v>21</v>
      </c>
    </row>
    <row r="9115" ht="15.75" customHeight="1">
      <c r="A9115" s="7"/>
      <c r="B9115" s="7" t="str">
        <f>IFERROR(__xludf.DUMMYFUNCTION("""COMPUTED_VALUE"""),"C++;C#;HTML/CSS;JavaScript;PHP;SQL")</f>
        <v>C++;C#;HTML/CSS;JavaScript;PHP;SQL</v>
      </c>
      <c r="M9115" s="9" t="s">
        <v>31</v>
      </c>
    </row>
    <row r="9116" ht="15.75" customHeight="1">
      <c r="A9116" s="7"/>
      <c r="B9116" s="7" t="str">
        <f>IFERROR(__xludf.DUMMYFUNCTION("""COMPUTED_VALUE"""),"HTML/CSS;JavaScript;PHP;SQL")</f>
        <v>HTML/CSS;JavaScript;PHP;SQL</v>
      </c>
      <c r="M9116" s="9" t="s">
        <v>26</v>
      </c>
    </row>
    <row r="9117" ht="15.75" customHeight="1">
      <c r="A9117" s="7"/>
      <c r="B9117" s="7" t="str">
        <f>IFERROR(__xludf.DUMMYFUNCTION("""COMPUTED_VALUE"""),"HTML/CSS;JavaScript;Python")</f>
        <v>HTML/CSS;JavaScript;Python</v>
      </c>
      <c r="M9117" s="9" t="s">
        <v>42</v>
      </c>
    </row>
    <row r="9118" ht="15.75" customHeight="1">
      <c r="A9118" s="7"/>
      <c r="B9118" s="7" t="str">
        <f>IFERROR(__xludf.DUMMYFUNCTION("""COMPUTED_VALUE"""),"C;C++;Java;Python")</f>
        <v>C;C++;Java;Python</v>
      </c>
      <c r="M9118" s="9" t="s">
        <v>43</v>
      </c>
    </row>
    <row r="9119" ht="15.75" customHeight="1">
      <c r="A9119" s="7"/>
      <c r="B9119" s="7" t="str">
        <f>IFERROR(__xludf.DUMMYFUNCTION("""COMPUTED_VALUE"""),"Bash/Shell/PowerShell;Python;R;Other(s):")</f>
        <v>Bash/Shell/PowerShell;Python;R;Other(s):</v>
      </c>
      <c r="M9119" s="9" t="s">
        <v>24</v>
      </c>
    </row>
    <row r="9120" ht="15.75" customHeight="1">
      <c r="A9120" s="7"/>
      <c r="B9120" s="7" t="str">
        <f>IFERROR(__xludf.DUMMYFUNCTION("""COMPUTED_VALUE"""),"Assembly;Bash/Shell/PowerShell;C;C++;HTML/CSS;JavaScript;Python;SQL;Other(s):")</f>
        <v>Assembly;Bash/Shell/PowerShell;C;C++;HTML/CSS;JavaScript;Python;SQL;Other(s):</v>
      </c>
      <c r="M9120" s="9" t="s">
        <v>21</v>
      </c>
    </row>
    <row r="9121" ht="15.75" customHeight="1">
      <c r="A9121" s="7"/>
      <c r="B9121" s="7" t="str">
        <f>IFERROR(__xludf.DUMMYFUNCTION("""COMPUTED_VALUE"""),"HTML/CSS;JavaScript;PHP")</f>
        <v>HTML/CSS;JavaScript;PHP</v>
      </c>
      <c r="M9121" s="9" t="s">
        <v>22</v>
      </c>
    </row>
    <row r="9122" ht="15.75" customHeight="1">
      <c r="A9122" s="7"/>
      <c r="B9122" s="7" t="str">
        <f>IFERROR(__xludf.DUMMYFUNCTION("""COMPUTED_VALUE"""),"Go;PHP;SQL")</f>
        <v>Go;PHP;SQL</v>
      </c>
      <c r="M9122" s="9" t="s">
        <v>27</v>
      </c>
    </row>
    <row r="9123" ht="15.75" customHeight="1">
      <c r="A9123" s="7"/>
      <c r="B9123" s="7" t="str">
        <f>IFERROR(__xludf.DUMMYFUNCTION("""COMPUTED_VALUE"""),"Bash/Shell/PowerShell;C;Go;HTML/CSS;Java;JavaScript;Kotlin;Python;R;Ruby;Scala;SQL;TypeScript")</f>
        <v>Bash/Shell/PowerShell;C;Go;HTML/CSS;Java;JavaScript;Kotlin;Python;R;Ruby;Scala;SQL;TypeScript</v>
      </c>
      <c r="M9123" s="9" t="s">
        <v>33</v>
      </c>
    </row>
    <row r="9124" ht="15.75" customHeight="1">
      <c r="A9124" s="7"/>
      <c r="B9124" s="7" t="str">
        <f>IFERROR(__xludf.DUMMYFUNCTION("""COMPUTED_VALUE"""),"Bash/Shell/PowerShell;Go;HTML/CSS;Java;JavaScript;Python;Other(s):")</f>
        <v>Bash/Shell/PowerShell;Go;HTML/CSS;Java;JavaScript;Python;Other(s):</v>
      </c>
      <c r="M9124" s="9" t="s">
        <v>24</v>
      </c>
    </row>
    <row r="9125" ht="15.75" customHeight="1">
      <c r="A9125" s="7"/>
      <c r="B9125" s="7" t="str">
        <f>IFERROR(__xludf.DUMMYFUNCTION("""COMPUTED_VALUE"""),"Bash/Shell/PowerShell;C;C++;C#;HTML/CSS;JavaScript;PHP;Python;SQL")</f>
        <v>Bash/Shell/PowerShell;C;C++;C#;HTML/CSS;JavaScript;PHP;Python;SQL</v>
      </c>
      <c r="M9125" s="9" t="s">
        <v>21</v>
      </c>
    </row>
    <row r="9126" ht="15.75" customHeight="1">
      <c r="A9126" s="7"/>
      <c r="B9126" s="7" t="str">
        <f>IFERROR(__xludf.DUMMYFUNCTION("""COMPUTED_VALUE"""),"Bash/Shell/PowerShell;HTML/CSS;JavaScript;PHP;Swift")</f>
        <v>Bash/Shell/PowerShell;HTML/CSS;JavaScript;PHP;Swift</v>
      </c>
      <c r="M9126" s="9" t="s">
        <v>30</v>
      </c>
    </row>
    <row r="9127" ht="15.75" customHeight="1">
      <c r="A9127" s="7"/>
      <c r="B9127" s="7" t="str">
        <f>IFERROR(__xludf.DUMMYFUNCTION("""COMPUTED_VALUE"""),"HTML/CSS;JavaScript;PHP;SQL")</f>
        <v>HTML/CSS;JavaScript;PHP;SQL</v>
      </c>
      <c r="M9127" s="9" t="s">
        <v>25</v>
      </c>
    </row>
    <row r="9128" ht="15.75" customHeight="1">
      <c r="A9128" s="7"/>
      <c r="B9128" s="7" t="str">
        <f>IFERROR(__xludf.DUMMYFUNCTION("""COMPUTED_VALUE"""),"Bash/Shell/PowerShell;C;C++;C#;Elixir;Go;HTML/CSS;Java;JavaScript;PHP;Python;Rust;SQL;TypeScript;Other(s):")</f>
        <v>Bash/Shell/PowerShell;C;C++;C#;Elixir;Go;HTML/CSS;Java;JavaScript;PHP;Python;Rust;SQL;TypeScript;Other(s):</v>
      </c>
      <c r="M9128" s="9" t="s">
        <v>36</v>
      </c>
    </row>
    <row r="9129" ht="15.75" customHeight="1">
      <c r="A9129" s="7"/>
      <c r="B9129" s="7" t="str">
        <f>IFERROR(__xludf.DUMMYFUNCTION("""COMPUTED_VALUE"""),"HTML/CSS;Java;JavaScript;PHP;Python;SQL")</f>
        <v>HTML/CSS;Java;JavaScript;PHP;Python;SQL</v>
      </c>
      <c r="M9129" s="9" t="s">
        <v>37</v>
      </c>
    </row>
    <row r="9130" ht="15.75" customHeight="1">
      <c r="A9130" s="7"/>
      <c r="B9130" s="7" t="str">
        <f>IFERROR(__xludf.DUMMYFUNCTION("""COMPUTED_VALUE"""),"Go;Rust")</f>
        <v>Go;Rust</v>
      </c>
      <c r="M9130" s="9" t="s">
        <v>22</v>
      </c>
    </row>
    <row r="9131" ht="15.75" customHeight="1">
      <c r="A9131" s="7"/>
      <c r="B9131" s="7" t="str">
        <f>IFERROR(__xludf.DUMMYFUNCTION("""COMPUTED_VALUE"""),"Bash/Shell/PowerShell;HTML/CSS;JavaScript;Python")</f>
        <v>Bash/Shell/PowerShell;HTML/CSS;JavaScript;Python</v>
      </c>
      <c r="M9131" s="9" t="s">
        <v>26</v>
      </c>
    </row>
    <row r="9132" ht="15.75" customHeight="1">
      <c r="A9132" s="7"/>
      <c r="B9132" s="7" t="str">
        <f>IFERROR(__xludf.DUMMYFUNCTION("""COMPUTED_VALUE"""),"Assembly;Bash/Shell/PowerShell;C;C++;C#;Dart;HTML/CSS;JavaScript;PHP;Python;SQL;VBA")</f>
        <v>Assembly;Bash/Shell/PowerShell;C;C++;C#;Dart;HTML/CSS;JavaScript;PHP;Python;SQL;VBA</v>
      </c>
      <c r="M9132" s="9" t="s">
        <v>21</v>
      </c>
    </row>
    <row r="9133" ht="15.75" customHeight="1">
      <c r="A9133" s="7"/>
      <c r="B9133" s="7" t="str">
        <f>IFERROR(__xludf.DUMMYFUNCTION("""COMPUTED_VALUE"""),"Bash/Shell/PowerShell;Erlang;Java;Scala;SQL")</f>
        <v>Bash/Shell/PowerShell;Erlang;Java;Scala;SQL</v>
      </c>
      <c r="M9133" s="9" t="s">
        <v>33</v>
      </c>
    </row>
    <row r="9134" ht="15.75" customHeight="1">
      <c r="A9134" s="7"/>
      <c r="B9134" s="7" t="str">
        <f>IFERROR(__xludf.DUMMYFUNCTION("""COMPUTED_VALUE"""),"Python")</f>
        <v>Python</v>
      </c>
      <c r="M9134" s="9" t="s">
        <v>30</v>
      </c>
    </row>
    <row r="9135" ht="15.75" customHeight="1">
      <c r="A9135" s="7"/>
      <c r="B9135" s="7" t="str">
        <f>IFERROR(__xludf.DUMMYFUNCTION("""COMPUTED_VALUE"""),"C#;HTML/CSS;JavaScript;SQL;TypeScript")</f>
        <v>C#;HTML/CSS;JavaScript;SQL;TypeScript</v>
      </c>
      <c r="M9135" s="9" t="s">
        <v>23</v>
      </c>
    </row>
    <row r="9136" ht="15.75" customHeight="1">
      <c r="A9136" s="7"/>
      <c r="B9136" s="7" t="str">
        <f>IFERROR(__xludf.DUMMYFUNCTION("""COMPUTED_VALUE"""),"HTML/CSS;PHP;SQL")</f>
        <v>HTML/CSS;PHP;SQL</v>
      </c>
      <c r="M9136" s="9" t="s">
        <v>24</v>
      </c>
    </row>
    <row r="9137" ht="15.75" customHeight="1">
      <c r="A9137" s="7"/>
      <c r="B9137" s="7" t="str">
        <f>IFERROR(__xludf.DUMMYFUNCTION("""COMPUTED_VALUE"""),"C;Java;Python;R;SQL")</f>
        <v>C;Java;Python;R;SQL</v>
      </c>
      <c r="M9137" s="9" t="s">
        <v>20</v>
      </c>
    </row>
    <row r="9138" ht="15.75" customHeight="1">
      <c r="A9138" s="7"/>
      <c r="B9138" s="7" t="str">
        <f>IFERROR(__xludf.DUMMYFUNCTION("""COMPUTED_VALUE"""),"Bash/Shell/PowerShell;C#;SQL")</f>
        <v>Bash/Shell/PowerShell;C#;SQL</v>
      </c>
      <c r="M9138" s="9" t="s">
        <v>21</v>
      </c>
    </row>
    <row r="9139" ht="15.75" customHeight="1">
      <c r="A9139" s="7"/>
      <c r="B9139" s="7" t="str">
        <f>IFERROR(__xludf.DUMMYFUNCTION("""COMPUTED_VALUE"""),"Bash/Shell/PowerShell;C;C++;Go;JavaScript;Python;TypeScript")</f>
        <v>Bash/Shell/PowerShell;C;C++;Go;JavaScript;Python;TypeScript</v>
      </c>
      <c r="M9139" s="9" t="s">
        <v>27</v>
      </c>
    </row>
    <row r="9140" ht="15.75" customHeight="1">
      <c r="A9140" s="7"/>
      <c r="B9140" s="7" t="str">
        <f>IFERROR(__xludf.DUMMYFUNCTION("""COMPUTED_VALUE"""),"Bash/Shell/PowerShell;C#")</f>
        <v>Bash/Shell/PowerShell;C#</v>
      </c>
      <c r="M9140" s="9" t="s">
        <v>26</v>
      </c>
    </row>
    <row r="9141" ht="15.75" customHeight="1">
      <c r="A9141" s="7"/>
      <c r="B9141" s="7" t="str">
        <f>IFERROR(__xludf.DUMMYFUNCTION("""COMPUTED_VALUE"""),"C;HTML/CSS;JavaScript;TypeScript")</f>
        <v>C;HTML/CSS;JavaScript;TypeScript</v>
      </c>
      <c r="M9141" s="9" t="s">
        <v>21</v>
      </c>
    </row>
    <row r="9142" ht="15.75" customHeight="1">
      <c r="A9142" s="7"/>
      <c r="B9142" s="7" t="str">
        <f>IFERROR(__xludf.DUMMYFUNCTION("""COMPUTED_VALUE"""),"C;C++;C#")</f>
        <v>C;C++;C#</v>
      </c>
      <c r="M9142" s="9" t="s">
        <v>27</v>
      </c>
    </row>
    <row r="9143" ht="15.75" customHeight="1">
      <c r="A9143" s="7"/>
      <c r="B9143" s="7" t="str">
        <f>IFERROR(__xludf.DUMMYFUNCTION("""COMPUTED_VALUE"""),"C;C++;HTML/CSS;Java;JavaScript;Ruby;SQL;VBA")</f>
        <v>C;C++;HTML/CSS;Java;JavaScript;Ruby;SQL;VBA</v>
      </c>
      <c r="M9143" s="9" t="s">
        <v>33</v>
      </c>
    </row>
    <row r="9144" ht="15.75" customHeight="1">
      <c r="A9144" s="7"/>
      <c r="B9144" s="7" t="str">
        <f>IFERROR(__xludf.DUMMYFUNCTION("""COMPUTED_VALUE"""),"Bash/Shell/PowerShell;C;Go;HTML/CSS;JavaScript;PHP;Python;SQL;Other(s):")</f>
        <v>Bash/Shell/PowerShell;C;Go;HTML/CSS;JavaScript;PHP;Python;SQL;Other(s):</v>
      </c>
      <c r="M9144" s="9" t="s">
        <v>26</v>
      </c>
    </row>
    <row r="9145" ht="15.75" customHeight="1">
      <c r="A9145" s="7"/>
      <c r="B9145" s="7" t="str">
        <f>IFERROR(__xludf.DUMMYFUNCTION("""COMPUTED_VALUE"""),"Bash/Shell/PowerShell;HTML/CSS;JavaScript;PHP;Python;SQL")</f>
        <v>Bash/Shell/PowerShell;HTML/CSS;JavaScript;PHP;Python;SQL</v>
      </c>
      <c r="M9145" s="9" t="s">
        <v>27</v>
      </c>
    </row>
    <row r="9146" ht="15.75" customHeight="1">
      <c r="A9146" s="7"/>
      <c r="B9146" s="7" t="str">
        <f>IFERROR(__xludf.DUMMYFUNCTION("""COMPUTED_VALUE"""),"C#;HTML/CSS;Java")</f>
        <v>C#;HTML/CSS;Java</v>
      </c>
      <c r="M9146" s="9" t="s">
        <v>26</v>
      </c>
    </row>
    <row r="9147" ht="15.75" customHeight="1">
      <c r="A9147" s="7"/>
      <c r="B9147" s="7" t="str">
        <f>IFERROR(__xludf.DUMMYFUNCTION("""COMPUTED_VALUE"""),"Bash/Shell/PowerShell;C#;HTML/CSS;JavaScript;Ruby;SQL;VBA")</f>
        <v>Bash/Shell/PowerShell;C#;HTML/CSS;JavaScript;Ruby;SQL;VBA</v>
      </c>
      <c r="M9147" s="9" t="s">
        <v>24</v>
      </c>
    </row>
    <row r="9148" ht="15.75" customHeight="1">
      <c r="A9148" s="7"/>
      <c r="B9148" s="7" t="str">
        <f>IFERROR(__xludf.DUMMYFUNCTION("""COMPUTED_VALUE"""),"HTML/CSS;JavaScript")</f>
        <v>HTML/CSS;JavaScript</v>
      </c>
      <c r="M9148" s="9" t="s">
        <v>21</v>
      </c>
    </row>
    <row r="9149" ht="15.75" customHeight="1">
      <c r="A9149" s="7"/>
      <c r="B9149" s="7" t="str">
        <f>IFERROR(__xludf.DUMMYFUNCTION("""COMPUTED_VALUE"""),"HTML/CSS;Java;JavaScript;Python;R")</f>
        <v>HTML/CSS;Java;JavaScript;Python;R</v>
      </c>
      <c r="M9149" s="9" t="s">
        <v>27</v>
      </c>
    </row>
    <row r="9150" ht="15.75" customHeight="1">
      <c r="A9150" s="7"/>
      <c r="B9150" s="7" t="str">
        <f>IFERROR(__xludf.DUMMYFUNCTION("""COMPUTED_VALUE"""),"C#;HTML/CSS;JavaScript;PHP;SQL;TypeScript")</f>
        <v>C#;HTML/CSS;JavaScript;PHP;SQL;TypeScript</v>
      </c>
      <c r="M9150" s="9" t="s">
        <v>44</v>
      </c>
    </row>
    <row r="9151" ht="15.75" customHeight="1">
      <c r="A9151" s="7"/>
      <c r="B9151" s="7" t="str">
        <f>IFERROR(__xludf.DUMMYFUNCTION("""COMPUTED_VALUE"""),"Bash/Shell/PowerShell;C++;C#;Python;Scala;SQL")</f>
        <v>Bash/Shell/PowerShell;C++;C#;Python;Scala;SQL</v>
      </c>
      <c r="M9151" s="9" t="s">
        <v>21</v>
      </c>
    </row>
    <row r="9152" ht="15.75" customHeight="1">
      <c r="A9152" s="7"/>
      <c r="B9152" s="7" t="str">
        <f>IFERROR(__xludf.DUMMYFUNCTION("""COMPUTED_VALUE"""),"Bash/Shell/PowerShell;C#;HTML/CSS;JavaScript;PHP;Python;Ruby;SQL")</f>
        <v>Bash/Shell/PowerShell;C#;HTML/CSS;JavaScript;PHP;Python;Ruby;SQL</v>
      </c>
      <c r="M9152" s="9" t="s">
        <v>33</v>
      </c>
    </row>
    <row r="9153" ht="15.75" customHeight="1">
      <c r="A9153" s="7"/>
      <c r="B9153" s="7" t="str">
        <f>IFERROR(__xludf.DUMMYFUNCTION("""COMPUTED_VALUE"""),"Bash/Shell/PowerShell;Java;JavaScript;Ruby;SQL")</f>
        <v>Bash/Shell/PowerShell;Java;JavaScript;Ruby;SQL</v>
      </c>
      <c r="M9153" s="9" t="s">
        <v>24</v>
      </c>
    </row>
    <row r="9154" ht="15.75" customHeight="1">
      <c r="A9154" s="7"/>
      <c r="B9154" s="7" t="str">
        <f>IFERROR(__xludf.DUMMYFUNCTION("""COMPUTED_VALUE"""),"C#;Go;HTML/CSS;Java;JavaScript;PHP;Python;SQL")</f>
        <v>C#;Go;HTML/CSS;Java;JavaScript;PHP;Python;SQL</v>
      </c>
      <c r="M9154" s="9" t="s">
        <v>20</v>
      </c>
    </row>
    <row r="9155" ht="15.75" customHeight="1">
      <c r="A9155" s="7"/>
      <c r="B9155" s="7" t="str">
        <f>IFERROR(__xludf.DUMMYFUNCTION("""COMPUTED_VALUE"""),"Elixir;Erlang;HTML/CSS;JavaScript;PHP;SQL;VBA")</f>
        <v>Elixir;Erlang;HTML/CSS;JavaScript;PHP;SQL;VBA</v>
      </c>
      <c r="M9155" s="9" t="s">
        <v>21</v>
      </c>
    </row>
    <row r="9156" ht="15.75" customHeight="1">
      <c r="A9156" s="7"/>
      <c r="B9156" s="7" t="str">
        <f>IFERROR(__xludf.DUMMYFUNCTION("""COMPUTED_VALUE"""),"C#")</f>
        <v>C#</v>
      </c>
      <c r="M9156" s="9" t="s">
        <v>22</v>
      </c>
    </row>
    <row r="9157" ht="15.75" customHeight="1">
      <c r="A9157" s="7"/>
      <c r="B9157" s="7" t="str">
        <f>IFERROR(__xludf.DUMMYFUNCTION("""COMPUTED_VALUE"""),"C#")</f>
        <v>C#</v>
      </c>
      <c r="M9157" s="9" t="s">
        <v>33</v>
      </c>
    </row>
    <row r="9158" ht="15.75" customHeight="1">
      <c r="A9158" s="7"/>
      <c r="B9158" s="7" t="str">
        <f>IFERROR(__xludf.DUMMYFUNCTION("""COMPUTED_VALUE"""),"Bash/Shell/PowerShell;C#;HTML/CSS;JavaScript;TypeScript")</f>
        <v>Bash/Shell/PowerShell;C#;HTML/CSS;JavaScript;TypeScript</v>
      </c>
      <c r="M9158" s="9" t="s">
        <v>30</v>
      </c>
    </row>
    <row r="9159" ht="15.75" customHeight="1">
      <c r="A9159" s="7"/>
      <c r="B9159" s="7" t="str">
        <f>IFERROR(__xludf.DUMMYFUNCTION("""COMPUTED_VALUE"""),"C#;JavaScript;TypeScript")</f>
        <v>C#;JavaScript;TypeScript</v>
      </c>
      <c r="M9159" s="9" t="s">
        <v>36</v>
      </c>
    </row>
    <row r="9160" ht="15.75" customHeight="1">
      <c r="A9160" s="7"/>
      <c r="B9160" s="7" t="str">
        <f>IFERROR(__xludf.DUMMYFUNCTION("""COMPUTED_VALUE"""),"HTML/CSS;JavaScript;TypeScript")</f>
        <v>HTML/CSS;JavaScript;TypeScript</v>
      </c>
      <c r="M9160" s="9" t="s">
        <v>24</v>
      </c>
    </row>
    <row r="9161" ht="15.75" customHeight="1">
      <c r="A9161" s="7"/>
      <c r="B9161" s="7" t="str">
        <f>IFERROR(__xludf.DUMMYFUNCTION("""COMPUTED_VALUE"""),"HTML/CSS;JavaScript;PHP;SQL")</f>
        <v>HTML/CSS;JavaScript;PHP;SQL</v>
      </c>
      <c r="M9161" s="9" t="s">
        <v>21</v>
      </c>
    </row>
    <row r="9162" ht="15.75" customHeight="1">
      <c r="A9162" s="7"/>
      <c r="B9162" s="7" t="str">
        <f>IFERROR(__xludf.DUMMYFUNCTION("""COMPUTED_VALUE"""),"HTML/CSS;JavaScript;PHP;SQL")</f>
        <v>HTML/CSS;JavaScript;PHP;SQL</v>
      </c>
      <c r="M9162" s="9" t="s">
        <v>22</v>
      </c>
    </row>
    <row r="9163" ht="15.75" customHeight="1">
      <c r="A9163" s="7"/>
      <c r="B9163" s="7" t="str">
        <f>IFERROR(__xludf.DUMMYFUNCTION("""COMPUTED_VALUE"""),"Bash/Shell/PowerShell;HTML/CSS;JavaScript;TypeScript")</f>
        <v>Bash/Shell/PowerShell;HTML/CSS;JavaScript;TypeScript</v>
      </c>
      <c r="M9163" s="9" t="s">
        <v>27</v>
      </c>
    </row>
    <row r="9164" ht="15.75" customHeight="1">
      <c r="A9164" s="7"/>
      <c r="B9164" s="7" t="str">
        <f>IFERROR(__xludf.DUMMYFUNCTION("""COMPUTED_VALUE"""),"Python;SQL")</f>
        <v>Python;SQL</v>
      </c>
      <c r="M9164" s="9" t="s">
        <v>30</v>
      </c>
    </row>
    <row r="9165" ht="15.75" customHeight="1">
      <c r="A9165" s="7"/>
      <c r="B9165" s="7" t="str">
        <f>IFERROR(__xludf.DUMMYFUNCTION("""COMPUTED_VALUE"""),"Assembly;Bash/Shell/PowerShell;C#;HTML/CSS;Java;JavaScript;SQL;VBA")</f>
        <v>Assembly;Bash/Shell/PowerShell;C#;HTML/CSS;Java;JavaScript;SQL;VBA</v>
      </c>
      <c r="M9165" s="9" t="s">
        <v>47</v>
      </c>
    </row>
    <row r="9166" ht="15.75" customHeight="1">
      <c r="A9166" s="7"/>
      <c r="B9166" s="7" t="str">
        <f>IFERROR(__xludf.DUMMYFUNCTION("""COMPUTED_VALUE"""),"C;HTML/CSS;JavaScript;Other(s):")</f>
        <v>C;HTML/CSS;JavaScript;Other(s):</v>
      </c>
      <c r="M9166" s="9" t="s">
        <v>20</v>
      </c>
    </row>
    <row r="9167" ht="15.75" customHeight="1">
      <c r="A9167" s="7"/>
      <c r="B9167" s="7" t="str">
        <f>IFERROR(__xludf.DUMMYFUNCTION("""COMPUTED_VALUE"""),"HTML/CSS;JavaScript;Python;Scala;SQL;TypeScript")</f>
        <v>HTML/CSS;JavaScript;Python;Scala;SQL;TypeScript</v>
      </c>
      <c r="M9167" s="9" t="s">
        <v>21</v>
      </c>
    </row>
    <row r="9168" ht="15.75" customHeight="1">
      <c r="A9168" s="7"/>
      <c r="B9168" s="7" t="str">
        <f>IFERROR(__xludf.DUMMYFUNCTION("""COMPUTED_VALUE"""),"Bash/Shell/PowerShell;Python")</f>
        <v>Bash/Shell/PowerShell;Python</v>
      </c>
      <c r="M9168" s="9" t="s">
        <v>41</v>
      </c>
    </row>
    <row r="9169" ht="15.75" customHeight="1">
      <c r="A9169" s="7"/>
      <c r="B9169" s="7" t="str">
        <f>IFERROR(__xludf.DUMMYFUNCTION("""COMPUTED_VALUE"""),"Bash/Shell/PowerShell;C#;HTML/CSS;SQL;VBA")</f>
        <v>Bash/Shell/PowerShell;C#;HTML/CSS;SQL;VBA</v>
      </c>
      <c r="M9169" s="9" t="s">
        <v>40</v>
      </c>
    </row>
    <row r="9170" ht="15.75" customHeight="1">
      <c r="A9170" s="7"/>
      <c r="B9170" s="7" t="str">
        <f>IFERROR(__xludf.DUMMYFUNCTION("""COMPUTED_VALUE"""),"Bash/Shell/PowerShell;C;HTML/CSS;JavaScript;Python;SQL")</f>
        <v>Bash/Shell/PowerShell;C;HTML/CSS;JavaScript;Python;SQL</v>
      </c>
      <c r="M9170" s="9" t="s">
        <v>30</v>
      </c>
    </row>
    <row r="9171" ht="15.75" customHeight="1">
      <c r="A9171" s="7"/>
      <c r="B9171" s="7" t="str">
        <f>IFERROR(__xludf.DUMMYFUNCTION("""COMPUTED_VALUE"""),"Bash/Shell/PowerShell;HTML/CSS;Java;JavaScript;SQL")</f>
        <v>Bash/Shell/PowerShell;HTML/CSS;Java;JavaScript;SQL</v>
      </c>
      <c r="M9171" s="9" t="s">
        <v>26</v>
      </c>
    </row>
    <row r="9172" ht="15.75" customHeight="1">
      <c r="A9172" s="7"/>
      <c r="B9172" s="7" t="str">
        <f>IFERROR(__xludf.DUMMYFUNCTION("""COMPUTED_VALUE"""),"HTML/CSS;Java;SQL")</f>
        <v>HTML/CSS;Java;SQL</v>
      </c>
      <c r="M9172" s="9" t="s">
        <v>24</v>
      </c>
    </row>
    <row r="9173" ht="15.75" customHeight="1">
      <c r="A9173" s="7"/>
      <c r="B9173" s="7" t="str">
        <f>IFERROR(__xludf.DUMMYFUNCTION("""COMPUTED_VALUE"""),"Bash/Shell/PowerShell;HTML/CSS;Java;JavaScript;Ruby;SQL;TypeScript")</f>
        <v>Bash/Shell/PowerShell;HTML/CSS;Java;JavaScript;Ruby;SQL;TypeScript</v>
      </c>
      <c r="M9173" s="9" t="s">
        <v>20</v>
      </c>
    </row>
    <row r="9174" ht="15.75" customHeight="1">
      <c r="A9174" s="7"/>
      <c r="B9174" s="7" t="str">
        <f>IFERROR(__xludf.DUMMYFUNCTION("""COMPUTED_VALUE"""),"C++;HTML/CSS;JavaScript;PHP;Python")</f>
        <v>C++;HTML/CSS;JavaScript;PHP;Python</v>
      </c>
      <c r="M9174" s="9" t="s">
        <v>21</v>
      </c>
    </row>
    <row r="9175" ht="15.75" customHeight="1">
      <c r="A9175" s="7"/>
      <c r="B9175" s="7" t="str">
        <f>IFERROR(__xludf.DUMMYFUNCTION("""COMPUTED_VALUE"""),"HTML/CSS;JavaScript")</f>
        <v>HTML/CSS;JavaScript</v>
      </c>
      <c r="M9175" s="9" t="s">
        <v>27</v>
      </c>
    </row>
    <row r="9176" ht="15.75" customHeight="1">
      <c r="A9176" s="7"/>
      <c r="B9176" s="7" t="str">
        <f>IFERROR(__xludf.DUMMYFUNCTION("""COMPUTED_VALUE"""),"C#;HTML/CSS;JavaScript;PHP;Python;SQL")</f>
        <v>C#;HTML/CSS;JavaScript;PHP;Python;SQL</v>
      </c>
      <c r="M9176" s="9" t="s">
        <v>33</v>
      </c>
    </row>
    <row r="9177" ht="15.75" customHeight="1">
      <c r="A9177" s="7"/>
      <c r="B9177" s="7" t="str">
        <f>IFERROR(__xludf.DUMMYFUNCTION("""COMPUTED_VALUE"""),"Bash/Shell/PowerShell;HTML/CSS;Java;JavaScript;Objective-C;SQL;TypeScript")</f>
        <v>Bash/Shell/PowerShell;HTML/CSS;Java;JavaScript;Objective-C;SQL;TypeScript</v>
      </c>
      <c r="M9177" s="9" t="s">
        <v>28</v>
      </c>
    </row>
    <row r="9178" ht="15.75" customHeight="1">
      <c r="A9178" s="7"/>
      <c r="B9178" s="7" t="str">
        <f>IFERROR(__xludf.DUMMYFUNCTION("""COMPUTED_VALUE"""),"Java")</f>
        <v>Java</v>
      </c>
      <c r="M9178" s="9" t="s">
        <v>26</v>
      </c>
    </row>
    <row r="9179" ht="15.75" customHeight="1">
      <c r="A9179" s="7"/>
      <c r="B9179" s="7" t="str">
        <f>IFERROR(__xludf.DUMMYFUNCTION("""COMPUTED_VALUE"""),"Bash/Shell/PowerShell;C#;HTML/CSS;Java;JavaScript")</f>
        <v>Bash/Shell/PowerShell;C#;HTML/CSS;Java;JavaScript</v>
      </c>
      <c r="M9179" s="9" t="s">
        <v>46</v>
      </c>
    </row>
    <row r="9180" ht="15.75" customHeight="1">
      <c r="A9180" s="7"/>
      <c r="B9180" s="7" t="str">
        <f>IFERROR(__xludf.DUMMYFUNCTION("""COMPUTED_VALUE"""),"Bash/Shell/PowerShell;C;C++;Python;SQL")</f>
        <v>Bash/Shell/PowerShell;C;C++;Python;SQL</v>
      </c>
      <c r="M9180" s="9" t="s">
        <v>27</v>
      </c>
    </row>
    <row r="9181" ht="15.75" customHeight="1">
      <c r="A9181" s="7"/>
      <c r="B9181" s="7" t="str">
        <f>IFERROR(__xludf.DUMMYFUNCTION("""COMPUTED_VALUE"""),"Assembly;Bash/Shell/PowerShell;C;C++;Dart;Elixir;Go;HTML/CSS;JavaScript;Ruby;SQL")</f>
        <v>Assembly;Bash/Shell/PowerShell;C;C++;Dart;Elixir;Go;HTML/CSS;JavaScript;Ruby;SQL</v>
      </c>
      <c r="M9181" s="9" t="s">
        <v>30</v>
      </c>
    </row>
    <row r="9182" ht="15.75" customHeight="1">
      <c r="A9182" s="7"/>
      <c r="B9182" s="7" t="str">
        <f>IFERROR(__xludf.DUMMYFUNCTION("""COMPUTED_VALUE"""),"JavaScript;PHP;SQL")</f>
        <v>JavaScript;PHP;SQL</v>
      </c>
      <c r="M9182" s="9" t="s">
        <v>24</v>
      </c>
    </row>
    <row r="9183" ht="15.75" customHeight="1">
      <c r="A9183" s="7"/>
      <c r="B9183" s="7" t="str">
        <f>IFERROR(__xludf.DUMMYFUNCTION("""COMPUTED_VALUE"""),"Assembly;C#;HTML/CSS;Java")</f>
        <v>Assembly;C#;HTML/CSS;Java</v>
      </c>
      <c r="M9183" s="9" t="s">
        <v>20</v>
      </c>
    </row>
    <row r="9184" ht="15.75" customHeight="1">
      <c r="A9184" s="7"/>
      <c r="B9184" s="7" t="str">
        <f>IFERROR(__xludf.DUMMYFUNCTION("""COMPUTED_VALUE"""),"C#;HTML/CSS;Java;JavaScript;SQL;TypeScript")</f>
        <v>C#;HTML/CSS;Java;JavaScript;SQL;TypeScript</v>
      </c>
      <c r="M9184" s="9" t="s">
        <v>27</v>
      </c>
    </row>
    <row r="9185" ht="15.75" customHeight="1">
      <c r="A9185" s="7"/>
      <c r="B9185" s="7" t="str">
        <f>IFERROR(__xludf.DUMMYFUNCTION("""COMPUTED_VALUE"""),"HTML/CSS;JavaScript;Python")</f>
        <v>HTML/CSS;JavaScript;Python</v>
      </c>
      <c r="M9185" s="9" t="s">
        <v>33</v>
      </c>
    </row>
    <row r="9186" ht="15.75" customHeight="1">
      <c r="A9186" s="7"/>
      <c r="B9186" s="7" t="str">
        <f>IFERROR(__xludf.DUMMYFUNCTION("""COMPUTED_VALUE"""),"HTML/CSS;JavaScript;PHP;SQL;TypeScript")</f>
        <v>HTML/CSS;JavaScript;PHP;SQL;TypeScript</v>
      </c>
      <c r="M9186" s="9" t="s">
        <v>38</v>
      </c>
    </row>
    <row r="9187" ht="15.75" customHeight="1">
      <c r="A9187" s="7"/>
      <c r="B9187" s="7" t="str">
        <f>IFERROR(__xludf.DUMMYFUNCTION("""COMPUTED_VALUE"""),"C#;JavaScript;SQL")</f>
        <v>C#;JavaScript;SQL</v>
      </c>
      <c r="M9187" s="9" t="s">
        <v>23</v>
      </c>
    </row>
    <row r="9188" ht="15.75" customHeight="1">
      <c r="A9188" s="7"/>
      <c r="B9188" s="7" t="str">
        <f>IFERROR(__xludf.DUMMYFUNCTION("""COMPUTED_VALUE"""),"Bash/Shell/PowerShell;HTML/CSS;Java;JavaScript;PHP;SQL;TypeScript")</f>
        <v>Bash/Shell/PowerShell;HTML/CSS;Java;JavaScript;PHP;SQL;TypeScript</v>
      </c>
      <c r="M9188" s="9" t="s">
        <v>26</v>
      </c>
    </row>
    <row r="9189" ht="15.75" customHeight="1">
      <c r="A9189" s="7"/>
      <c r="B9189" s="7" t="str">
        <f>IFERROR(__xludf.DUMMYFUNCTION("""COMPUTED_VALUE"""),"Clojure;HTML/CSS;Java;JavaScript")</f>
        <v>Clojure;HTML/CSS;Java;JavaScript</v>
      </c>
      <c r="M9189" s="9" t="s">
        <v>24</v>
      </c>
    </row>
    <row r="9190" ht="15.75" customHeight="1">
      <c r="A9190" s="7"/>
      <c r="B9190" s="7" t="str">
        <f>IFERROR(__xludf.DUMMYFUNCTION("""COMPUTED_VALUE"""),"C#;HTML/CSS;JavaScript;PHP;SQL")</f>
        <v>C#;HTML/CSS;JavaScript;PHP;SQL</v>
      </c>
      <c r="M9190" s="9" t="s">
        <v>21</v>
      </c>
    </row>
    <row r="9191" ht="15.75" customHeight="1">
      <c r="A9191" s="7"/>
      <c r="B9191" s="7" t="str">
        <f>IFERROR(__xludf.DUMMYFUNCTION("""COMPUTED_VALUE"""),"Bash/Shell/PowerShell;C++")</f>
        <v>Bash/Shell/PowerShell;C++</v>
      </c>
      <c r="M9191" s="9" t="s">
        <v>27</v>
      </c>
    </row>
    <row r="9192" ht="15.75" customHeight="1">
      <c r="A9192" s="7"/>
      <c r="B9192" s="7" t="str">
        <f>IFERROR(__xludf.DUMMYFUNCTION("""COMPUTED_VALUE"""),"C;Python")</f>
        <v>C;Python</v>
      </c>
      <c r="M9192" s="9" t="s">
        <v>33</v>
      </c>
    </row>
    <row r="9193" ht="15.75" customHeight="1">
      <c r="A9193" s="7"/>
      <c r="B9193" s="7" t="str">
        <f>IFERROR(__xludf.DUMMYFUNCTION("""COMPUTED_VALUE"""),"Bash/Shell/PowerShell;C#;HTML/CSS;JavaScript;SQL;TypeScript")</f>
        <v>Bash/Shell/PowerShell;C#;HTML/CSS;JavaScript;SQL;TypeScript</v>
      </c>
      <c r="M9193" s="9" t="s">
        <v>26</v>
      </c>
    </row>
    <row r="9194" ht="15.75" customHeight="1">
      <c r="A9194" s="7"/>
      <c r="B9194" s="7" t="str">
        <f>IFERROR(__xludf.DUMMYFUNCTION("""COMPUTED_VALUE"""),"C;C++")</f>
        <v>C;C++</v>
      </c>
      <c r="M9194" s="9" t="s">
        <v>27</v>
      </c>
    </row>
    <row r="9195" ht="15.75" customHeight="1">
      <c r="A9195" s="7"/>
      <c r="B9195" s="7" t="str">
        <f>IFERROR(__xludf.DUMMYFUNCTION("""COMPUTED_VALUE"""),"HTML/CSS;JavaScript;PHP;SQL")</f>
        <v>HTML/CSS;JavaScript;PHP;SQL</v>
      </c>
      <c r="M9195" s="9" t="s">
        <v>33</v>
      </c>
    </row>
    <row r="9196" ht="15.75" customHeight="1">
      <c r="A9196" s="7"/>
      <c r="B9196" s="7" t="str">
        <f>IFERROR(__xludf.DUMMYFUNCTION("""COMPUTED_VALUE"""),"Bash/Shell/PowerShell;C#;HTML/CSS;Java;JavaScript;PHP;Python;SQL;TypeScript")</f>
        <v>Bash/Shell/PowerShell;C#;HTML/CSS;Java;JavaScript;PHP;Python;SQL;TypeScript</v>
      </c>
      <c r="M9196" s="9" t="s">
        <v>30</v>
      </c>
    </row>
    <row r="9197" ht="15.75" customHeight="1">
      <c r="A9197" s="7"/>
      <c r="B9197" s="7" t="str">
        <f>IFERROR(__xludf.DUMMYFUNCTION("""COMPUTED_VALUE"""),"Bash/Shell/PowerShell;C#;HTML/CSS;JavaScript;PHP;SQL;TypeScript")</f>
        <v>Bash/Shell/PowerShell;C#;HTML/CSS;JavaScript;PHP;SQL;TypeScript</v>
      </c>
      <c r="M9197" s="9" t="s">
        <v>26</v>
      </c>
    </row>
    <row r="9198" ht="15.75" customHeight="1">
      <c r="A9198" s="7"/>
      <c r="B9198" s="7" t="str">
        <f>IFERROR(__xludf.DUMMYFUNCTION("""COMPUTED_VALUE"""),"C#;HTML/CSS;JavaScript;SQL")</f>
        <v>C#;HTML/CSS;JavaScript;SQL</v>
      </c>
      <c r="M9198" s="9" t="s">
        <v>24</v>
      </c>
    </row>
    <row r="9199" ht="15.75" customHeight="1">
      <c r="A9199" s="7"/>
      <c r="B9199" s="7" t="str">
        <f>IFERROR(__xludf.DUMMYFUNCTION("""COMPUTED_VALUE"""),"C;Java")</f>
        <v>C;Java</v>
      </c>
      <c r="M9199" s="9" t="s">
        <v>21</v>
      </c>
    </row>
    <row r="9200" ht="15.75" customHeight="1">
      <c r="A9200" s="7"/>
      <c r="B9200" s="7" t="str">
        <f>IFERROR(__xludf.DUMMYFUNCTION("""COMPUTED_VALUE"""),"C++;C#;HTML/CSS;JavaScript;PHP;SQL;TypeScript;VBA")</f>
        <v>C++;C#;HTML/CSS;JavaScript;PHP;SQL;TypeScript;VBA</v>
      </c>
      <c r="M9200" s="9" t="s">
        <v>27</v>
      </c>
    </row>
    <row r="9201" ht="15.75" customHeight="1">
      <c r="A9201" s="7"/>
      <c r="B9201" s="7" t="str">
        <f>IFERROR(__xludf.DUMMYFUNCTION("""COMPUTED_VALUE"""),"Objective-C;Swift")</f>
        <v>Objective-C;Swift</v>
      </c>
      <c r="M9201" s="9" t="s">
        <v>33</v>
      </c>
    </row>
    <row r="9202" ht="15.75" customHeight="1">
      <c r="A9202" s="7"/>
      <c r="B9202" s="7" t="str">
        <f>IFERROR(__xludf.DUMMYFUNCTION("""COMPUTED_VALUE"""),"Assembly;Bash/Shell/PowerShell;C;C++;C#;HTML/CSS;Java;PHP;Python;SQL")</f>
        <v>Assembly;Bash/Shell/PowerShell;C;C++;C#;HTML/CSS;Java;PHP;Python;SQL</v>
      </c>
      <c r="M9202" s="9" t="s">
        <v>26</v>
      </c>
    </row>
    <row r="9203" ht="15.75" customHeight="1">
      <c r="A9203" s="7"/>
      <c r="B9203" s="7" t="str">
        <f>IFERROR(__xludf.DUMMYFUNCTION("""COMPUTED_VALUE"""),"Bash/Shell/PowerShell;C#;HTML/CSS;JavaScript;SQL")</f>
        <v>Bash/Shell/PowerShell;C#;HTML/CSS;JavaScript;SQL</v>
      </c>
      <c r="M9203" s="9" t="s">
        <v>24</v>
      </c>
    </row>
    <row r="9204" ht="15.75" customHeight="1">
      <c r="A9204" s="7"/>
      <c r="B9204" s="7" t="str">
        <f>IFERROR(__xludf.DUMMYFUNCTION("""COMPUTED_VALUE"""),"Bash/Shell/PowerShell;Erlang;Go;HTML/CSS;JavaScript;Python;TypeScript")</f>
        <v>Bash/Shell/PowerShell;Erlang;Go;HTML/CSS;JavaScript;Python;TypeScript</v>
      </c>
      <c r="M9204" s="9" t="s">
        <v>20</v>
      </c>
    </row>
    <row r="9205" ht="15.75" customHeight="1">
      <c r="A9205" s="7"/>
      <c r="B9205" s="7" t="str">
        <f>IFERROR(__xludf.DUMMYFUNCTION("""COMPUTED_VALUE"""),"Assembly;Java;Python")</f>
        <v>Assembly;Java;Python</v>
      </c>
      <c r="M9205" s="9" t="s">
        <v>21</v>
      </c>
    </row>
    <row r="9206" ht="15.75" customHeight="1">
      <c r="A9206" s="7"/>
      <c r="B9206" s="7" t="str">
        <f>IFERROR(__xludf.DUMMYFUNCTION("""COMPUTED_VALUE"""),"C++;Java;TypeScript")</f>
        <v>C++;Java;TypeScript</v>
      </c>
      <c r="M9206" s="9" t="s">
        <v>40</v>
      </c>
    </row>
    <row r="9207" ht="15.75" customHeight="1">
      <c r="A9207" s="7"/>
      <c r="B9207" s="7" t="str">
        <f>IFERROR(__xludf.DUMMYFUNCTION("""COMPUTED_VALUE"""),"C++;Python")</f>
        <v>C++;Python</v>
      </c>
      <c r="M9207" s="9" t="s">
        <v>35</v>
      </c>
    </row>
    <row r="9208" ht="15.75" customHeight="1">
      <c r="A9208" s="7"/>
      <c r="B9208" s="7" t="str">
        <f>IFERROR(__xludf.DUMMYFUNCTION("""COMPUTED_VALUE"""),"SQL;VBA")</f>
        <v>SQL;VBA</v>
      </c>
      <c r="M9208" s="9" t="s">
        <v>30</v>
      </c>
    </row>
    <row r="9209" ht="15.75" customHeight="1">
      <c r="A9209" s="7"/>
      <c r="B9209" s="7" t="str">
        <f>IFERROR(__xludf.DUMMYFUNCTION("""COMPUTED_VALUE"""),"C++;C#;HTML/CSS;JavaScript;Python;TypeScript")</f>
        <v>C++;C#;HTML/CSS;JavaScript;Python;TypeScript</v>
      </c>
      <c r="M9209" s="9" t="s">
        <v>23</v>
      </c>
    </row>
    <row r="9210" ht="15.75" customHeight="1">
      <c r="A9210" s="7"/>
      <c r="B9210" s="7" t="str">
        <f>IFERROR(__xludf.DUMMYFUNCTION("""COMPUTED_VALUE"""),"Go;HTML/CSS;Kotlin;Objective-C;Ruby;Swift;TypeScript")</f>
        <v>Go;HTML/CSS;Kotlin;Objective-C;Ruby;Swift;TypeScript</v>
      </c>
      <c r="M9210" s="9" t="s">
        <v>24</v>
      </c>
    </row>
    <row r="9211" ht="15.75" customHeight="1">
      <c r="A9211" s="7"/>
      <c r="B9211" s="7" t="str">
        <f>IFERROR(__xludf.DUMMYFUNCTION("""COMPUTED_VALUE"""),"Bash/Shell/PowerShell;HTML/CSS;JavaScript;PHP")</f>
        <v>Bash/Shell/PowerShell;HTML/CSS;JavaScript;PHP</v>
      </c>
      <c r="M9211" s="9" t="s">
        <v>20</v>
      </c>
    </row>
    <row r="9212" ht="15.75" customHeight="1">
      <c r="A9212" s="7"/>
      <c r="B9212" s="7" t="str">
        <f>IFERROR(__xludf.DUMMYFUNCTION("""COMPUTED_VALUE"""),"C;C++;HTML/CSS;Java;JavaScript;PHP;SQL")</f>
        <v>C;C++;HTML/CSS;Java;JavaScript;PHP;SQL</v>
      </c>
      <c r="M9212" s="9" t="s">
        <v>21</v>
      </c>
    </row>
    <row r="9213" ht="15.75" customHeight="1">
      <c r="A9213" s="7"/>
      <c r="B9213" s="7" t="str">
        <f>IFERROR(__xludf.DUMMYFUNCTION("""COMPUTED_VALUE"""),"C#;HTML/CSS;JavaScript;SQL")</f>
        <v>C#;HTML/CSS;JavaScript;SQL</v>
      </c>
      <c r="M9213" s="9" t="s">
        <v>35</v>
      </c>
    </row>
    <row r="9214" ht="15.75" customHeight="1">
      <c r="A9214" s="7"/>
      <c r="B9214" s="7" t="str">
        <f>IFERROR(__xludf.DUMMYFUNCTION("""COMPUTED_VALUE"""),"Java;Python;SQL")</f>
        <v>Java;Python;SQL</v>
      </c>
      <c r="M9214" s="9" t="s">
        <v>25</v>
      </c>
    </row>
    <row r="9215" ht="15.75" customHeight="1">
      <c r="A9215" s="7"/>
      <c r="B9215" s="7" t="str">
        <f>IFERROR(__xludf.DUMMYFUNCTION("""COMPUTED_VALUE"""),"HTML/CSS;Java;JavaScript;Python;SQL;TypeScript")</f>
        <v>HTML/CSS;Java;JavaScript;Python;SQL;TypeScript</v>
      </c>
      <c r="M9215" s="9" t="s">
        <v>23</v>
      </c>
    </row>
    <row r="9216" ht="15.75" customHeight="1">
      <c r="A9216" s="7"/>
      <c r="B9216" s="7" t="str">
        <f>IFERROR(__xludf.DUMMYFUNCTION("""COMPUTED_VALUE"""),"Bash/Shell/PowerShell;C#;Go;Java;Python")</f>
        <v>Bash/Shell/PowerShell;C#;Go;Java;Python</v>
      </c>
      <c r="M9216" s="9" t="s">
        <v>26</v>
      </c>
    </row>
    <row r="9217" ht="15.75" customHeight="1">
      <c r="A9217" s="7"/>
      <c r="B9217" s="7" t="str">
        <f>IFERROR(__xludf.DUMMYFUNCTION("""COMPUTED_VALUE"""),"Assembly;C;C++;C#;Dart;HTML/CSS;Java;JavaScript;PHP;Python;SQL")</f>
        <v>Assembly;C;C++;C#;Dart;HTML/CSS;Java;JavaScript;PHP;Python;SQL</v>
      </c>
      <c r="M9217" s="9" t="s">
        <v>24</v>
      </c>
    </row>
    <row r="9218" ht="15.75" customHeight="1">
      <c r="A9218" s="7"/>
      <c r="B9218" s="7" t="str">
        <f>IFERROR(__xludf.DUMMYFUNCTION("""COMPUTED_VALUE"""),"Python;Scala;SQL")</f>
        <v>Python;Scala;SQL</v>
      </c>
      <c r="M9218" s="9" t="s">
        <v>41</v>
      </c>
    </row>
    <row r="9219" ht="15.75" customHeight="1">
      <c r="A9219" s="7"/>
      <c r="B9219" s="7" t="str">
        <f>IFERROR(__xludf.DUMMYFUNCTION("""COMPUTED_VALUE"""),"Bash/Shell/PowerShell;HTML/CSS;SQL;VBA")</f>
        <v>Bash/Shell/PowerShell;HTML/CSS;SQL;VBA</v>
      </c>
      <c r="M9219" s="9" t="s">
        <v>22</v>
      </c>
    </row>
    <row r="9220" ht="15.75" customHeight="1">
      <c r="A9220" s="7"/>
      <c r="B9220" s="7" t="str">
        <f>IFERROR(__xludf.DUMMYFUNCTION("""COMPUTED_VALUE"""),"C;C#;HTML/CSS;Java;JavaScript;PHP;Python;SQL;TypeScript")</f>
        <v>C;C#;HTML/CSS;Java;JavaScript;PHP;Python;SQL;TypeScript</v>
      </c>
      <c r="M9220" s="9" t="s">
        <v>27</v>
      </c>
    </row>
    <row r="9221" ht="15.75" customHeight="1">
      <c r="A9221" s="7"/>
      <c r="B9221" s="7" t="str">
        <f>IFERROR(__xludf.DUMMYFUNCTION("""COMPUTED_VALUE"""),"C#;HTML/CSS;JavaScript;Rust;SQL;TypeScript")</f>
        <v>C#;HTML/CSS;JavaScript;Rust;SQL;TypeScript</v>
      </c>
      <c r="M9221" s="9" t="s">
        <v>33</v>
      </c>
    </row>
    <row r="9222" ht="15.75" customHeight="1">
      <c r="A9222" s="7"/>
      <c r="B9222" s="7" t="str">
        <f>IFERROR(__xludf.DUMMYFUNCTION("""COMPUTED_VALUE"""),"C#;Python")</f>
        <v>C#;Python</v>
      </c>
      <c r="M9222" s="9" t="s">
        <v>25</v>
      </c>
    </row>
    <row r="9223" ht="15.75" customHeight="1">
      <c r="A9223" s="7"/>
      <c r="B9223" s="7" t="str">
        <f>IFERROR(__xludf.DUMMYFUNCTION("""COMPUTED_VALUE"""),"Bash/Shell/PowerShell;HTML/CSS;Java;JavaScript;Python;Ruby")</f>
        <v>Bash/Shell/PowerShell;HTML/CSS;Java;JavaScript;Python;Ruby</v>
      </c>
      <c r="M9223" s="9" t="s">
        <v>26</v>
      </c>
    </row>
    <row r="9224" ht="15.75" customHeight="1">
      <c r="A9224" s="7"/>
      <c r="B9224" s="7" t="str">
        <f>IFERROR(__xludf.DUMMYFUNCTION("""COMPUTED_VALUE"""),"C;C++;C#;Go;HTML/CSS;Java;JavaScript;PHP;Python;SQL;TypeScript")</f>
        <v>C;C++;C#;Go;HTML/CSS;Java;JavaScript;PHP;Python;SQL;TypeScript</v>
      </c>
      <c r="M9224" s="9" t="s">
        <v>20</v>
      </c>
    </row>
    <row r="9225" ht="15.75" customHeight="1">
      <c r="A9225" s="7"/>
      <c r="B9225" s="7" t="str">
        <f>IFERROR(__xludf.DUMMYFUNCTION("""COMPUTED_VALUE"""),"Bash/Shell/PowerShell;C;C++;Java;JavaScript")</f>
        <v>Bash/Shell/PowerShell;C;C++;Java;JavaScript</v>
      </c>
      <c r="M9225" s="9" t="s">
        <v>22</v>
      </c>
    </row>
    <row r="9226" ht="15.75" customHeight="1">
      <c r="A9226" s="7"/>
      <c r="B9226" s="7" t="str">
        <f>IFERROR(__xludf.DUMMYFUNCTION("""COMPUTED_VALUE"""),"C;C++;C#;HTML/CSS;Java;JavaScript;PHP;SQL")</f>
        <v>C;C++;C#;HTML/CSS;Java;JavaScript;PHP;SQL</v>
      </c>
      <c r="M9226" s="9" t="s">
        <v>27</v>
      </c>
    </row>
    <row r="9227" ht="15.75" customHeight="1">
      <c r="A9227" s="7"/>
      <c r="B9227" s="7" t="str">
        <f>IFERROR(__xludf.DUMMYFUNCTION("""COMPUTED_VALUE"""),"C++;C#;HTML/CSS;JavaScript;PHP;SQL")</f>
        <v>C++;C#;HTML/CSS;JavaScript;PHP;SQL</v>
      </c>
      <c r="M9227" s="9" t="s">
        <v>40</v>
      </c>
    </row>
    <row r="9228" ht="15.75" customHeight="1">
      <c r="A9228" s="7"/>
      <c r="B9228" s="7" t="str">
        <f>IFERROR(__xludf.DUMMYFUNCTION("""COMPUTED_VALUE"""),"HTML/CSS;JavaScript;Python;Rust;SQL;TypeScript")</f>
        <v>HTML/CSS;JavaScript;Python;Rust;SQL;TypeScript</v>
      </c>
      <c r="M9228" s="9" t="s">
        <v>24</v>
      </c>
    </row>
    <row r="9229" ht="15.75" customHeight="1">
      <c r="A9229" s="7"/>
      <c r="B9229" s="7" t="str">
        <f>IFERROR(__xludf.DUMMYFUNCTION("""COMPUTED_VALUE"""),"Bash/Shell/PowerShell;C#;Go;HTML/CSS;JavaScript;PHP;SQL;WebAssembly")</f>
        <v>Bash/Shell/PowerShell;C#;Go;HTML/CSS;JavaScript;PHP;SQL;WebAssembly</v>
      </c>
      <c r="M9229" s="9" t="s">
        <v>20</v>
      </c>
    </row>
    <row r="9230" ht="15.75" customHeight="1">
      <c r="A9230" s="7"/>
      <c r="B9230" s="7" t="str">
        <f>IFERROR(__xludf.DUMMYFUNCTION("""COMPUTED_VALUE"""),"Assembly;C;C++;C#;HTML/CSS;JavaScript;PHP;Python;R;SQL")</f>
        <v>Assembly;C;C++;C#;HTML/CSS;JavaScript;PHP;Python;R;SQL</v>
      </c>
      <c r="M9230" s="9" t="s">
        <v>21</v>
      </c>
    </row>
    <row r="9231" ht="15.75" customHeight="1">
      <c r="A9231" s="7"/>
      <c r="B9231" s="7" t="str">
        <f>IFERROR(__xludf.DUMMYFUNCTION("""COMPUTED_VALUE"""),"Bash/Shell/PowerShell;C++;JavaScript;Python;SQL")</f>
        <v>Bash/Shell/PowerShell;C++;JavaScript;Python;SQL</v>
      </c>
      <c r="M9231" s="9" t="s">
        <v>22</v>
      </c>
    </row>
    <row r="9232" ht="15.75" customHeight="1">
      <c r="A9232" s="7"/>
      <c r="B9232" s="7" t="str">
        <f>IFERROR(__xludf.DUMMYFUNCTION("""COMPUTED_VALUE"""),"Assembly;Bash/Shell/PowerShell;C++;HTML/CSS;JavaScript;TypeScript")</f>
        <v>Assembly;Bash/Shell/PowerShell;C++;HTML/CSS;JavaScript;TypeScript</v>
      </c>
      <c r="M9232" s="9" t="s">
        <v>46</v>
      </c>
    </row>
    <row r="9233" ht="15.75" customHeight="1">
      <c r="A9233" s="7"/>
      <c r="B9233" s="7" t="str">
        <f>IFERROR(__xludf.DUMMYFUNCTION("""COMPUTED_VALUE"""),"HTML/CSS;PHP;SQL")</f>
        <v>HTML/CSS;PHP;SQL</v>
      </c>
      <c r="M9233" s="9" t="s">
        <v>27</v>
      </c>
    </row>
    <row r="9234" ht="15.75" customHeight="1">
      <c r="A9234" s="7"/>
      <c r="B9234" s="7" t="str">
        <f>IFERROR(__xludf.DUMMYFUNCTION("""COMPUTED_VALUE"""),"Bash/Shell/PowerShell;Java;JavaScript;Python;SQL")</f>
        <v>Bash/Shell/PowerShell;Java;JavaScript;Python;SQL</v>
      </c>
      <c r="M9234" s="9" t="s">
        <v>35</v>
      </c>
    </row>
    <row r="9235" ht="15.75" customHeight="1">
      <c r="A9235" s="7"/>
      <c r="B9235" s="7" t="str">
        <f>IFERROR(__xludf.DUMMYFUNCTION("""COMPUTED_VALUE"""),"HTML/CSS;JavaScript;PHP;SQL")</f>
        <v>HTML/CSS;JavaScript;PHP;SQL</v>
      </c>
      <c r="M9235" s="9" t="s">
        <v>30</v>
      </c>
    </row>
    <row r="9236" ht="15.75" customHeight="1">
      <c r="A9236" s="7"/>
      <c r="B9236" s="7" t="str">
        <f>IFERROR(__xludf.DUMMYFUNCTION("""COMPUTED_VALUE"""),"Bash/Shell/PowerShell;C#;Go;HTML/CSS;Java;JavaScript;Objective-C;Ruby;Swift")</f>
        <v>Bash/Shell/PowerShell;C#;Go;HTML/CSS;Java;JavaScript;Objective-C;Ruby;Swift</v>
      </c>
      <c r="M9236" s="9" t="s">
        <v>24</v>
      </c>
    </row>
    <row r="9237" ht="15.75" customHeight="1">
      <c r="A9237" s="7"/>
      <c r="B9237" s="7" t="str">
        <f>IFERROR(__xludf.DUMMYFUNCTION("""COMPUTED_VALUE"""),"C++;C#;HTML/CSS;Java;JavaScript;PHP;Python;SQL;TypeScript")</f>
        <v>C++;C#;HTML/CSS;Java;JavaScript;PHP;Python;SQL;TypeScript</v>
      </c>
      <c r="M9237" s="9" t="s">
        <v>21</v>
      </c>
    </row>
    <row r="9238" ht="15.75" customHeight="1">
      <c r="A9238" s="7"/>
      <c r="B9238" s="7" t="str">
        <f>IFERROR(__xludf.DUMMYFUNCTION("""COMPUTED_VALUE"""),"Bash/Shell/PowerShell;C++;C#;Java;JavaScript;Python;SQL")</f>
        <v>Bash/Shell/PowerShell;C++;C#;Java;JavaScript;Python;SQL</v>
      </c>
      <c r="M9238" s="9" t="s">
        <v>39</v>
      </c>
    </row>
    <row r="9239" ht="15.75" customHeight="1">
      <c r="A9239" s="7"/>
      <c r="B9239" s="7" t="str">
        <f>IFERROR(__xludf.DUMMYFUNCTION("""COMPUTED_VALUE"""),"HTML/CSS;JavaScript")</f>
        <v>HTML/CSS;JavaScript</v>
      </c>
      <c r="M9239" s="9" t="s">
        <v>22</v>
      </c>
    </row>
    <row r="9240" ht="15.75" customHeight="1">
      <c r="A9240" s="7"/>
      <c r="B9240" s="7" t="str">
        <f>IFERROR(__xludf.DUMMYFUNCTION("""COMPUTED_VALUE"""),"HTML/CSS;JavaScript;PHP;SQL")</f>
        <v>HTML/CSS;JavaScript;PHP;SQL</v>
      </c>
      <c r="M9240" s="9" t="s">
        <v>33</v>
      </c>
    </row>
    <row r="9241" ht="15.75" customHeight="1">
      <c r="A9241" s="7"/>
      <c r="B9241" s="7" t="str">
        <f>IFERROR(__xludf.DUMMYFUNCTION("""COMPUTED_VALUE"""),"Bash/Shell/PowerShell;C;HTML/CSS;Java;JavaScript;Python;SQL")</f>
        <v>Bash/Shell/PowerShell;C;HTML/CSS;Java;JavaScript;Python;SQL</v>
      </c>
      <c r="M9241" s="9" t="s">
        <v>26</v>
      </c>
    </row>
    <row r="9242" ht="15.75" customHeight="1">
      <c r="A9242" s="7"/>
      <c r="B9242" s="7" t="str">
        <f>IFERROR(__xludf.DUMMYFUNCTION("""COMPUTED_VALUE"""),"C#;SQL;TypeScript")</f>
        <v>C#;SQL;TypeScript</v>
      </c>
      <c r="M9242" s="9" t="s">
        <v>20</v>
      </c>
    </row>
    <row r="9243" ht="15.75" customHeight="1">
      <c r="A9243" s="7"/>
      <c r="B9243" s="7" t="str">
        <f>IFERROR(__xludf.DUMMYFUNCTION("""COMPUTED_VALUE"""),"Bash/Shell/PowerShell;C;C++;Go;HTML/CSS;JavaScript;PHP;Rust;SQL;TypeScript")</f>
        <v>Bash/Shell/PowerShell;C;C++;Go;HTML/CSS;JavaScript;PHP;Rust;SQL;TypeScript</v>
      </c>
      <c r="M9243" s="9" t="s">
        <v>27</v>
      </c>
    </row>
    <row r="9244" ht="15.75" customHeight="1">
      <c r="A9244" s="7"/>
      <c r="B9244" s="7" t="str">
        <f>IFERROR(__xludf.DUMMYFUNCTION("""COMPUTED_VALUE"""),"Java;JavaScript;Python")</f>
        <v>Java;JavaScript;Python</v>
      </c>
      <c r="M9244" s="9" t="s">
        <v>38</v>
      </c>
    </row>
    <row r="9245" ht="15.75" customHeight="1">
      <c r="A9245" s="7"/>
      <c r="B9245" s="7" t="str">
        <f>IFERROR(__xludf.DUMMYFUNCTION("""COMPUTED_VALUE"""),"JavaScript;Objective-C;Swift")</f>
        <v>JavaScript;Objective-C;Swift</v>
      </c>
      <c r="M9245" s="9" t="s">
        <v>25</v>
      </c>
    </row>
    <row r="9246" ht="15.75" customHeight="1">
      <c r="A9246" s="7"/>
      <c r="B9246" s="7" t="str">
        <f>IFERROR(__xludf.DUMMYFUNCTION("""COMPUTED_VALUE"""),"HTML/CSS;JavaScript;PHP;SQL")</f>
        <v>HTML/CSS;JavaScript;PHP;SQL</v>
      </c>
      <c r="M9246" s="9" t="s">
        <v>23</v>
      </c>
    </row>
    <row r="9247" ht="15.75" customHeight="1">
      <c r="A9247" s="7"/>
      <c r="B9247" s="7" t="str">
        <f>IFERROR(__xludf.DUMMYFUNCTION("""COMPUTED_VALUE"""),"Java;JavaScript")</f>
        <v>Java;JavaScript</v>
      </c>
      <c r="M9247" s="9" t="s">
        <v>26</v>
      </c>
    </row>
    <row r="9248" ht="15.75" customHeight="1">
      <c r="A9248" s="7"/>
      <c r="B9248" s="7" t="str">
        <f>IFERROR(__xludf.DUMMYFUNCTION("""COMPUTED_VALUE"""),"HTML/CSS;JavaScript;Python;SQL;TypeScript")</f>
        <v>HTML/CSS;JavaScript;Python;SQL;TypeScript</v>
      </c>
      <c r="M9248" s="9" t="s">
        <v>20</v>
      </c>
    </row>
    <row r="9249" ht="15.75" customHeight="1">
      <c r="A9249" s="7"/>
      <c r="B9249" s="7" t="str">
        <f>IFERROR(__xludf.DUMMYFUNCTION("""COMPUTED_VALUE"""),"Java;JavaScript;PHP;Python;SQL")</f>
        <v>Java;JavaScript;PHP;Python;SQL</v>
      </c>
      <c r="M9249" s="9" t="s">
        <v>22</v>
      </c>
    </row>
    <row r="9250" ht="15.75" customHeight="1">
      <c r="A9250" s="7"/>
      <c r="B9250" s="7" t="str">
        <f>IFERROR(__xludf.DUMMYFUNCTION("""COMPUTED_VALUE"""),"Bash/Shell/PowerShell;HTML/CSS;SQL")</f>
        <v>Bash/Shell/PowerShell;HTML/CSS;SQL</v>
      </c>
      <c r="M9250" s="9" t="s">
        <v>27</v>
      </c>
    </row>
    <row r="9251" ht="15.75" customHeight="1">
      <c r="A9251" s="7"/>
      <c r="B9251" s="7" t="str">
        <f>IFERROR(__xludf.DUMMYFUNCTION("""COMPUTED_VALUE"""),"Swift;TypeScript")</f>
        <v>Swift;TypeScript</v>
      </c>
      <c r="M9251" s="9" t="s">
        <v>30</v>
      </c>
    </row>
    <row r="9252" ht="15.75" customHeight="1">
      <c r="A9252" s="7"/>
      <c r="B9252" s="7" t="str">
        <f>IFERROR(__xludf.DUMMYFUNCTION("""COMPUTED_VALUE"""),"Bash/Shell/PowerShell;C++;Python")</f>
        <v>Bash/Shell/PowerShell;C++;Python</v>
      </c>
      <c r="M9252" s="9" t="s">
        <v>24</v>
      </c>
    </row>
    <row r="9253" ht="15.75" customHeight="1">
      <c r="A9253" s="7"/>
      <c r="B9253" s="7" t="str">
        <f>IFERROR(__xludf.DUMMYFUNCTION("""COMPUTED_VALUE"""),"Python;R;SQL;VBA")</f>
        <v>Python;R;SQL;VBA</v>
      </c>
      <c r="M9253" s="9" t="s">
        <v>21</v>
      </c>
    </row>
    <row r="9254" ht="15.75" customHeight="1">
      <c r="A9254" s="7"/>
      <c r="B9254" s="7" t="str">
        <f>IFERROR(__xludf.DUMMYFUNCTION("""COMPUTED_VALUE"""),"Bash/Shell/PowerShell;HTML/CSS;Java;Python;Scala;SQL")</f>
        <v>Bash/Shell/PowerShell;HTML/CSS;Java;Python;Scala;SQL</v>
      </c>
      <c r="M9254" s="9" t="s">
        <v>46</v>
      </c>
    </row>
    <row r="9255" ht="15.75" customHeight="1">
      <c r="A9255" s="7"/>
      <c r="B9255" s="7" t="str">
        <f>IFERROR(__xludf.DUMMYFUNCTION("""COMPUTED_VALUE"""),"Assembly;C++;HTML/CSS;JavaScript")</f>
        <v>Assembly;C++;HTML/CSS;JavaScript</v>
      </c>
      <c r="M9255" s="9" t="s">
        <v>27</v>
      </c>
    </row>
    <row r="9256" ht="15.75" customHeight="1">
      <c r="A9256" s="7"/>
      <c r="B9256" s="7" t="str">
        <f>IFERROR(__xludf.DUMMYFUNCTION("""COMPUTED_VALUE"""),"C++;C#;HTML/CSS;Python;SQL;VBA;Other(s):")</f>
        <v>C++;C#;HTML/CSS;Python;SQL;VBA;Other(s):</v>
      </c>
      <c r="M9256" s="9" t="s">
        <v>33</v>
      </c>
    </row>
    <row r="9257" ht="15.75" customHeight="1">
      <c r="A9257" s="7"/>
      <c r="B9257" s="7" t="str">
        <f>IFERROR(__xludf.DUMMYFUNCTION("""COMPUTED_VALUE"""),"Bash/Shell/PowerShell;HTML/CSS;JavaScript")</f>
        <v>Bash/Shell/PowerShell;HTML/CSS;JavaScript</v>
      </c>
      <c r="M9257" s="9" t="s">
        <v>38</v>
      </c>
    </row>
    <row r="9258" ht="15.75" customHeight="1">
      <c r="A9258" s="7"/>
      <c r="B9258" s="7" t="str">
        <f>IFERROR(__xludf.DUMMYFUNCTION("""COMPUTED_VALUE"""),"Assembly;Bash/Shell/PowerShell;C")</f>
        <v>Assembly;Bash/Shell/PowerShell;C</v>
      </c>
      <c r="M9258" s="9" t="s">
        <v>30</v>
      </c>
    </row>
    <row r="9259" ht="15.75" customHeight="1">
      <c r="A9259" s="7"/>
      <c r="B9259" s="7" t="str">
        <f>IFERROR(__xludf.DUMMYFUNCTION("""COMPUTED_VALUE"""),"Bash/Shell/PowerShell;C;C++;C#;HTML/CSS;JavaScript;Objective-C;PHP;Python;SQL;TypeScript")</f>
        <v>Bash/Shell/PowerShell;C;C++;C#;HTML/CSS;JavaScript;Objective-C;PHP;Python;SQL;TypeScript</v>
      </c>
      <c r="M9259" s="9" t="s">
        <v>25</v>
      </c>
    </row>
    <row r="9260" ht="15.75" customHeight="1">
      <c r="A9260" s="7"/>
      <c r="B9260" s="7" t="str">
        <f>IFERROR(__xludf.DUMMYFUNCTION("""COMPUTED_VALUE"""),"Assembly;Bash/Shell/PowerShell;C;C++;HTML/CSS;Java;Objective-C;PHP;SQL")</f>
        <v>Assembly;Bash/Shell/PowerShell;C;C++;HTML/CSS;Java;Objective-C;PHP;SQL</v>
      </c>
      <c r="M9260" s="9" t="s">
        <v>23</v>
      </c>
    </row>
    <row r="9261" ht="15.75" customHeight="1">
      <c r="A9261" s="7"/>
      <c r="B9261" s="7" t="str">
        <f>IFERROR(__xludf.DUMMYFUNCTION("""COMPUTED_VALUE"""),"HTML/CSS;Java;JavaScript;TypeScript")</f>
        <v>HTML/CSS;Java;JavaScript;TypeScript</v>
      </c>
      <c r="M9261" s="9" t="s">
        <v>26</v>
      </c>
    </row>
    <row r="9262" ht="15.75" customHeight="1">
      <c r="A9262" s="7"/>
      <c r="B9262" s="7" t="str">
        <f>IFERROR(__xludf.DUMMYFUNCTION("""COMPUTED_VALUE"""),"HTML/CSS;JavaScript;PHP;SQL")</f>
        <v>HTML/CSS;JavaScript;PHP;SQL</v>
      </c>
      <c r="M9262" s="9" t="s">
        <v>45</v>
      </c>
    </row>
    <row r="9263" ht="15.75" customHeight="1">
      <c r="A9263" s="7"/>
      <c r="B9263" s="7" t="str">
        <f>IFERROR(__xludf.DUMMYFUNCTION("""COMPUTED_VALUE"""),"Bash/Shell/PowerShell;C;HTML/CSS;Java;Python;R;SQL")</f>
        <v>Bash/Shell/PowerShell;C;HTML/CSS;Java;Python;R;SQL</v>
      </c>
      <c r="M9263" s="9" t="s">
        <v>36</v>
      </c>
    </row>
    <row r="9264" ht="15.75" customHeight="1">
      <c r="A9264" s="7"/>
      <c r="B9264" s="7" t="str">
        <f>IFERROR(__xludf.DUMMYFUNCTION("""COMPUTED_VALUE"""),"Objective-C;Swift")</f>
        <v>Objective-C;Swift</v>
      </c>
      <c r="M9264" s="9" t="s">
        <v>24</v>
      </c>
    </row>
    <row r="9265" ht="15.75" customHeight="1">
      <c r="A9265" s="7"/>
      <c r="B9265" s="7" t="str">
        <f>IFERROR(__xludf.DUMMYFUNCTION("""COMPUTED_VALUE"""),"Bash/Shell/PowerShell;C#;Go;HTML/CSS;JavaScript;Python;SQL")</f>
        <v>Bash/Shell/PowerShell;C#;Go;HTML/CSS;JavaScript;Python;SQL</v>
      </c>
      <c r="M9265" s="9" t="s">
        <v>20</v>
      </c>
    </row>
    <row r="9266" ht="15.75" customHeight="1">
      <c r="A9266" s="7"/>
      <c r="B9266" s="7" t="str">
        <f>IFERROR(__xludf.DUMMYFUNCTION("""COMPUTED_VALUE"""),"HTML/CSS;Java;JavaScript;Scala;SQL")</f>
        <v>HTML/CSS;Java;JavaScript;Scala;SQL</v>
      </c>
      <c r="M9266" s="9" t="s">
        <v>21</v>
      </c>
    </row>
    <row r="9267" ht="15.75" customHeight="1">
      <c r="A9267" s="7"/>
      <c r="B9267" s="7" t="str">
        <f>IFERROR(__xludf.DUMMYFUNCTION("""COMPUTED_VALUE"""),"C++;HTML/CSS;Java;JavaScript;PHP;Python;Ruby;SQL")</f>
        <v>C++;HTML/CSS;Java;JavaScript;PHP;Python;Ruby;SQL</v>
      </c>
      <c r="M9267" s="9" t="s">
        <v>39</v>
      </c>
    </row>
    <row r="9268" ht="15.75" customHeight="1">
      <c r="A9268" s="7"/>
      <c r="B9268" s="7" t="str">
        <f>IFERROR(__xludf.DUMMYFUNCTION("""COMPUTED_VALUE"""),"Bash/Shell/PowerShell;C++;C#;Python")</f>
        <v>Bash/Shell/PowerShell;C++;C#;Python</v>
      </c>
      <c r="M9268" s="9" t="s">
        <v>41</v>
      </c>
    </row>
    <row r="9269" ht="15.75" customHeight="1">
      <c r="A9269" s="7"/>
      <c r="B9269" s="7" t="str">
        <f>IFERROR(__xludf.DUMMYFUNCTION("""COMPUTED_VALUE"""),"C#;HTML/CSS;JavaScript")</f>
        <v>C#;HTML/CSS;JavaScript</v>
      </c>
      <c r="M9269" s="9" t="s">
        <v>37</v>
      </c>
    </row>
    <row r="9270" ht="15.75" customHeight="1">
      <c r="A9270" s="7"/>
      <c r="B9270" s="7" t="str">
        <f>IFERROR(__xludf.DUMMYFUNCTION("""COMPUTED_VALUE"""),"Bash/Shell/PowerShell;JavaScript;TypeScript")</f>
        <v>Bash/Shell/PowerShell;JavaScript;TypeScript</v>
      </c>
      <c r="M9270" s="9" t="s">
        <v>22</v>
      </c>
    </row>
    <row r="9271" ht="15.75" customHeight="1">
      <c r="A9271" s="7"/>
      <c r="B9271" s="7" t="str">
        <f>IFERROR(__xludf.DUMMYFUNCTION("""COMPUTED_VALUE"""),"C#;VBA")</f>
        <v>C#;VBA</v>
      </c>
      <c r="M9271" s="9" t="s">
        <v>29</v>
      </c>
    </row>
    <row r="9272" ht="15.75" customHeight="1">
      <c r="A9272" s="7"/>
      <c r="B9272" s="7" t="str">
        <f>IFERROR(__xludf.DUMMYFUNCTION("""COMPUTED_VALUE"""),"Bash/Shell/PowerShell;C++;JavaScript;Python;Swift;Other(s):")</f>
        <v>Bash/Shell/PowerShell;C++;JavaScript;Python;Swift;Other(s):</v>
      </c>
      <c r="M9272" s="9" t="s">
        <v>31</v>
      </c>
    </row>
    <row r="9273" ht="15.75" customHeight="1">
      <c r="A9273" s="7"/>
      <c r="B9273" s="7" t="str">
        <f>IFERROR(__xludf.DUMMYFUNCTION("""COMPUTED_VALUE"""),"C;C++;C#")</f>
        <v>C;C++;C#</v>
      </c>
      <c r="M9273" s="9" t="s">
        <v>32</v>
      </c>
    </row>
    <row r="9274" ht="15.75" customHeight="1">
      <c r="A9274" s="7"/>
      <c r="B9274" s="7" t="str">
        <f>IFERROR(__xludf.DUMMYFUNCTION("""COMPUTED_VALUE"""),"C;C++;C#;HTML/CSS;JavaScript;PHP;SQL")</f>
        <v>C;C++;C#;HTML/CSS;JavaScript;PHP;SQL</v>
      </c>
      <c r="M9274" s="9" t="s">
        <v>46</v>
      </c>
    </row>
    <row r="9275" ht="15.75" customHeight="1">
      <c r="A9275" s="7"/>
      <c r="B9275" s="7" t="str">
        <f>IFERROR(__xludf.DUMMYFUNCTION("""COMPUTED_VALUE"""),"Java;JavaScript;SQL")</f>
        <v>Java;JavaScript;SQL</v>
      </c>
      <c r="M9275" s="9" t="s">
        <v>27</v>
      </c>
    </row>
    <row r="9276" ht="15.75" customHeight="1">
      <c r="A9276" s="7"/>
      <c r="B9276" s="7" t="str">
        <f>IFERROR(__xludf.DUMMYFUNCTION("""COMPUTED_VALUE"""),"HTML/CSS;JavaScript;PHP")</f>
        <v>HTML/CSS;JavaScript;PHP</v>
      </c>
      <c r="M9276" s="9" t="s">
        <v>40</v>
      </c>
    </row>
    <row r="9277" ht="15.75" customHeight="1">
      <c r="A9277" s="7"/>
      <c r="B9277" s="7" t="str">
        <f>IFERROR(__xludf.DUMMYFUNCTION("""COMPUTED_VALUE"""),"HTML/CSS;Java")</f>
        <v>HTML/CSS;Java</v>
      </c>
      <c r="M9277" s="9" t="s">
        <v>33</v>
      </c>
    </row>
    <row r="9278" ht="15.75" customHeight="1">
      <c r="A9278" s="7"/>
      <c r="B9278" s="7" t="str">
        <f>IFERROR(__xludf.DUMMYFUNCTION("""COMPUTED_VALUE"""),"Bash/Shell/PowerShell;C#;HTML/CSS;JavaScript;SQL")</f>
        <v>Bash/Shell/PowerShell;C#;HTML/CSS;JavaScript;SQL</v>
      </c>
      <c r="M9278" s="9" t="s">
        <v>28</v>
      </c>
    </row>
    <row r="9279" ht="15.75" customHeight="1">
      <c r="A9279" s="7"/>
      <c r="B9279" s="7" t="str">
        <f>IFERROR(__xludf.DUMMYFUNCTION("""COMPUTED_VALUE"""),"HTML/CSS;PHP")</f>
        <v>HTML/CSS;PHP</v>
      </c>
      <c r="M9279" s="9" t="s">
        <v>34</v>
      </c>
    </row>
    <row r="9280" ht="15.75" customHeight="1">
      <c r="A9280" s="7"/>
      <c r="B9280" s="7" t="str">
        <f>IFERROR(__xludf.DUMMYFUNCTION("""COMPUTED_VALUE"""),"Python")</f>
        <v>Python</v>
      </c>
      <c r="M9280" s="9" t="s">
        <v>30</v>
      </c>
    </row>
    <row r="9281" ht="15.75" customHeight="1">
      <c r="A9281" s="7"/>
      <c r="B9281" s="7" t="str">
        <f>IFERROR(__xludf.DUMMYFUNCTION("""COMPUTED_VALUE"""),"C#;HTML/CSS;JavaScript;Other(s):")</f>
        <v>C#;HTML/CSS;JavaScript;Other(s):</v>
      </c>
      <c r="M9281" s="9" t="s">
        <v>26</v>
      </c>
    </row>
    <row r="9282" ht="15.75" customHeight="1">
      <c r="A9282" s="7"/>
      <c r="B9282" s="7" t="str">
        <f>IFERROR(__xludf.DUMMYFUNCTION("""COMPUTED_VALUE"""),"Java")</f>
        <v>Java</v>
      </c>
      <c r="M9282" s="9" t="s">
        <v>20</v>
      </c>
    </row>
    <row r="9283" ht="15.75" customHeight="1">
      <c r="A9283" s="7"/>
      <c r="B9283" s="7" t="str">
        <f>IFERROR(__xludf.DUMMYFUNCTION("""COMPUTED_VALUE"""),"Bash/Shell/PowerShell;HTML/CSS;JavaScript;PHP;Python;SQL;TypeScript")</f>
        <v>Bash/Shell/PowerShell;HTML/CSS;JavaScript;PHP;Python;SQL;TypeScript</v>
      </c>
      <c r="M9283" s="9" t="s">
        <v>22</v>
      </c>
    </row>
    <row r="9284" ht="15.75" customHeight="1">
      <c r="A9284" s="7"/>
      <c r="B9284" s="7" t="str">
        <f>IFERROR(__xludf.DUMMYFUNCTION("""COMPUTED_VALUE"""),"Python")</f>
        <v>Python</v>
      </c>
      <c r="M9284" s="9" t="s">
        <v>36</v>
      </c>
    </row>
    <row r="9285" ht="15.75" customHeight="1">
      <c r="A9285" s="7"/>
      <c r="B9285" s="7" t="str">
        <f>IFERROR(__xludf.DUMMYFUNCTION("""COMPUTED_VALUE"""),"Bash/Shell/PowerShell;C++;Java;Kotlin")</f>
        <v>Bash/Shell/PowerShell;C++;Java;Kotlin</v>
      </c>
      <c r="M9285" s="9" t="s">
        <v>24</v>
      </c>
    </row>
    <row r="9286" ht="15.75" customHeight="1">
      <c r="A9286" s="7"/>
      <c r="B9286" s="7" t="str">
        <f>IFERROR(__xludf.DUMMYFUNCTION("""COMPUTED_VALUE"""),"Bash/Shell/PowerShell;Python")</f>
        <v>Bash/Shell/PowerShell;Python</v>
      </c>
      <c r="M9286" s="9" t="s">
        <v>21</v>
      </c>
    </row>
    <row r="9287" ht="15.75" customHeight="1">
      <c r="A9287" s="7"/>
      <c r="B9287" s="7" t="str">
        <f>IFERROR(__xludf.DUMMYFUNCTION("""COMPUTED_VALUE"""),"Bash/Shell/PowerShell;C;C++;C#;Java")</f>
        <v>Bash/Shell/PowerShell;C;C++;C#;Java</v>
      </c>
      <c r="M9287" s="9" t="s">
        <v>39</v>
      </c>
    </row>
    <row r="9288" ht="15.75" customHeight="1">
      <c r="A9288" s="7"/>
      <c r="B9288" s="7" t="str">
        <f>IFERROR(__xludf.DUMMYFUNCTION("""COMPUTED_VALUE"""),"Bash/Shell/PowerShell;HTML/CSS;JavaScript;PHP;Python;Rust;SQL;Other(s):")</f>
        <v>Bash/Shell/PowerShell;HTML/CSS;JavaScript;PHP;Python;Rust;SQL;Other(s):</v>
      </c>
      <c r="M9288" s="9" t="s">
        <v>24</v>
      </c>
    </row>
    <row r="9289" ht="15.75" customHeight="1">
      <c r="A9289" s="7"/>
      <c r="B9289" s="7" t="str">
        <f>IFERROR(__xludf.DUMMYFUNCTION("""COMPUTED_VALUE"""),"C;JavaScript;Python;SQL")</f>
        <v>C;JavaScript;Python;SQL</v>
      </c>
      <c r="M9289" s="9" t="s">
        <v>21</v>
      </c>
    </row>
    <row r="9290" ht="15.75" customHeight="1">
      <c r="A9290" s="7"/>
      <c r="B9290" s="7" t="str">
        <f>IFERROR(__xludf.DUMMYFUNCTION("""COMPUTED_VALUE"""),"Java;JavaScript;SQL;Swift")</f>
        <v>Java;JavaScript;SQL;Swift</v>
      </c>
      <c r="M9290" s="9" t="s">
        <v>22</v>
      </c>
    </row>
    <row r="9291" ht="15.75" customHeight="1">
      <c r="A9291" s="7"/>
      <c r="B9291" s="7" t="str">
        <f>IFERROR(__xludf.DUMMYFUNCTION("""COMPUTED_VALUE"""),"C#;JavaScript;Python;R;SQL")</f>
        <v>C#;JavaScript;Python;R;SQL</v>
      </c>
      <c r="M9291" s="9" t="s">
        <v>30</v>
      </c>
    </row>
    <row r="9292" ht="15.75" customHeight="1">
      <c r="A9292" s="7"/>
      <c r="B9292" s="7" t="str">
        <f>IFERROR(__xludf.DUMMYFUNCTION("""COMPUTED_VALUE"""),"Bash/Shell/PowerShell;C;Python;SQL;VBA")</f>
        <v>Bash/Shell/PowerShell;C;Python;SQL;VBA</v>
      </c>
      <c r="M9292" s="9" t="s">
        <v>23</v>
      </c>
    </row>
    <row r="9293" ht="15.75" customHeight="1">
      <c r="A9293" s="7"/>
      <c r="B9293" s="7" t="str">
        <f>IFERROR(__xludf.DUMMYFUNCTION("""COMPUTED_VALUE"""),"Bash/Shell/PowerShell;C#;Python")</f>
        <v>Bash/Shell/PowerShell;C#;Python</v>
      </c>
      <c r="M9293" s="9" t="s">
        <v>26</v>
      </c>
    </row>
    <row r="9294" ht="15.75" customHeight="1">
      <c r="A9294" s="7"/>
      <c r="B9294" s="7" t="str">
        <f>IFERROR(__xludf.DUMMYFUNCTION("""COMPUTED_VALUE"""),"C#;HTML/CSS;JavaScript;SQL")</f>
        <v>C#;HTML/CSS;JavaScript;SQL</v>
      </c>
      <c r="M9294" s="9" t="s">
        <v>24</v>
      </c>
    </row>
    <row r="9295" ht="15.75" customHeight="1">
      <c r="A9295" s="7"/>
      <c r="B9295" s="7" t="str">
        <f>IFERROR(__xludf.DUMMYFUNCTION("""COMPUTED_VALUE"""),"C;C++;Java;Python;SQL")</f>
        <v>C;C++;Java;Python;SQL</v>
      </c>
      <c r="M9295" s="9" t="s">
        <v>21</v>
      </c>
    </row>
    <row r="9296" ht="15.75" customHeight="1">
      <c r="A9296" s="7"/>
      <c r="B9296" s="7" t="str">
        <f>IFERROR(__xludf.DUMMYFUNCTION("""COMPUTED_VALUE"""),"Bash/Shell/PowerShell;C#;Swift")</f>
        <v>Bash/Shell/PowerShell;C#;Swift</v>
      </c>
      <c r="M9296" s="9" t="s">
        <v>22</v>
      </c>
    </row>
    <row r="9297" ht="15.75" customHeight="1">
      <c r="A9297" s="7"/>
      <c r="B9297" s="7" t="str">
        <f>IFERROR(__xludf.DUMMYFUNCTION("""COMPUTED_VALUE"""),"Java;Kotlin;Objective-C")</f>
        <v>Java;Kotlin;Objective-C</v>
      </c>
      <c r="M9297" s="9" t="s">
        <v>27</v>
      </c>
    </row>
    <row r="9298" ht="15.75" customHeight="1">
      <c r="A9298" s="7"/>
      <c r="B9298" s="7" t="str">
        <f>IFERROR(__xludf.DUMMYFUNCTION("""COMPUTED_VALUE"""),"Assembly;C;Java;JavaScript;Python")</f>
        <v>Assembly;C;Java;JavaScript;Python</v>
      </c>
      <c r="M9298" s="9" t="s">
        <v>33</v>
      </c>
    </row>
    <row r="9299" ht="15.75" customHeight="1">
      <c r="A9299" s="7"/>
      <c r="B9299" s="7" t="str">
        <f>IFERROR(__xludf.DUMMYFUNCTION("""COMPUTED_VALUE"""),"Python")</f>
        <v>Python</v>
      </c>
      <c r="M9299" s="9" t="s">
        <v>44</v>
      </c>
    </row>
    <row r="9300" ht="15.75" customHeight="1">
      <c r="A9300" s="7"/>
      <c r="B9300" s="7" t="str">
        <f>IFERROR(__xludf.DUMMYFUNCTION("""COMPUTED_VALUE"""),"Python;R;SQL;VBA")</f>
        <v>Python;R;SQL;VBA</v>
      </c>
      <c r="M9300" s="9" t="s">
        <v>35</v>
      </c>
    </row>
    <row r="9301" ht="15.75" customHeight="1">
      <c r="A9301" s="7"/>
      <c r="B9301" s="7" t="str">
        <f>IFERROR(__xludf.DUMMYFUNCTION("""COMPUTED_VALUE"""),"C#;HTML/CSS;Python;VBA")</f>
        <v>C#;HTML/CSS;Python;VBA</v>
      </c>
      <c r="M9301" s="9" t="s">
        <v>30</v>
      </c>
    </row>
    <row r="9302" ht="15.75" customHeight="1">
      <c r="A9302" s="7"/>
      <c r="B9302" s="7" t="str">
        <f>IFERROR(__xludf.DUMMYFUNCTION("""COMPUTED_VALUE"""),"C;C++;HTML/CSS;Java;JavaScript;PHP;SQL")</f>
        <v>C;C++;HTML/CSS;Java;JavaScript;PHP;SQL</v>
      </c>
      <c r="M9302" s="9" t="s">
        <v>24</v>
      </c>
    </row>
    <row r="9303" ht="15.75" customHeight="1">
      <c r="A9303" s="7"/>
      <c r="B9303" s="7" t="str">
        <f>IFERROR(__xludf.DUMMYFUNCTION("""COMPUTED_VALUE"""),"Bash/Shell/PowerShell;C;C++;Go;HTML/CSS;Java;JavaScript;Python")</f>
        <v>Bash/Shell/PowerShell;C;C++;Go;HTML/CSS;Java;JavaScript;Python</v>
      </c>
      <c r="M9303" s="9" t="s">
        <v>20</v>
      </c>
    </row>
    <row r="9304" ht="15.75" customHeight="1">
      <c r="A9304" s="7"/>
      <c r="B9304" s="7" t="str">
        <f>IFERROR(__xludf.DUMMYFUNCTION("""COMPUTED_VALUE"""),"Elixir;Ruby")</f>
        <v>Elixir;Ruby</v>
      </c>
      <c r="M9304" s="9" t="s">
        <v>21</v>
      </c>
    </row>
    <row r="9305" ht="15.75" customHeight="1">
      <c r="A9305" s="7"/>
      <c r="B9305" s="7" t="str">
        <f>IFERROR(__xludf.DUMMYFUNCTION("""COMPUTED_VALUE"""),"Bash/Shell/PowerShell;C;C#;HTML/CSS;Java;JavaScript;PHP;Python;Ruby;SQL")</f>
        <v>Bash/Shell/PowerShell;C;C#;HTML/CSS;Java;JavaScript;PHP;Python;Ruby;SQL</v>
      </c>
      <c r="M9305" s="9" t="s">
        <v>30</v>
      </c>
    </row>
    <row r="9306" ht="15.75" customHeight="1">
      <c r="A9306" s="7"/>
      <c r="B9306" s="7" t="str">
        <f>IFERROR(__xludf.DUMMYFUNCTION("""COMPUTED_VALUE"""),"HTML/CSS;Java;JavaScript")</f>
        <v>HTML/CSS;Java;JavaScript</v>
      </c>
      <c r="M9306" s="9" t="s">
        <v>24</v>
      </c>
    </row>
    <row r="9307" ht="15.75" customHeight="1">
      <c r="A9307" s="7"/>
      <c r="B9307" s="7" t="str">
        <f>IFERROR(__xludf.DUMMYFUNCTION("""COMPUTED_VALUE"""),"HTML/CSS;Java;Python;R;VBA")</f>
        <v>HTML/CSS;Java;Python;R;VBA</v>
      </c>
      <c r="M9307" s="9" t="s">
        <v>21</v>
      </c>
    </row>
    <row r="9308" ht="15.75" customHeight="1">
      <c r="A9308" s="7"/>
      <c r="B9308" s="7" t="str">
        <f>IFERROR(__xludf.DUMMYFUNCTION("""COMPUTED_VALUE"""),"JavaScript;TypeScript")</f>
        <v>JavaScript;TypeScript</v>
      </c>
      <c r="M9308" s="9" t="s">
        <v>22</v>
      </c>
    </row>
    <row r="9309" ht="15.75" customHeight="1">
      <c r="A9309" s="7"/>
      <c r="B9309" s="7" t="str">
        <f>IFERROR(__xludf.DUMMYFUNCTION("""COMPUTED_VALUE"""),"Bash/Shell/PowerShell;C#;HTML/CSS;JavaScript;SQL")</f>
        <v>Bash/Shell/PowerShell;C#;HTML/CSS;JavaScript;SQL</v>
      </c>
      <c r="M9309" s="9" t="s">
        <v>30</v>
      </c>
    </row>
    <row r="9310" ht="15.75" customHeight="1">
      <c r="A9310" s="7"/>
      <c r="B9310" s="7" t="str">
        <f>IFERROR(__xludf.DUMMYFUNCTION("""COMPUTED_VALUE"""),"Assembly;Bash/Shell/PowerShell;C;C++;Go;Java;JavaScript;Python;SQL")</f>
        <v>Assembly;Bash/Shell/PowerShell;C;C++;Go;Java;JavaScript;Python;SQL</v>
      </c>
      <c r="M9310" s="9" t="s">
        <v>23</v>
      </c>
    </row>
    <row r="9311" ht="15.75" customHeight="1">
      <c r="A9311" s="7"/>
      <c r="B9311" s="7" t="str">
        <f>IFERROR(__xludf.DUMMYFUNCTION("""COMPUTED_VALUE"""),"Bash/Shell/PowerShell;Python;R;SQL;VBA")</f>
        <v>Bash/Shell/PowerShell;Python;R;SQL;VBA</v>
      </c>
      <c r="M9311" s="9" t="s">
        <v>20</v>
      </c>
    </row>
    <row r="9312" ht="15.75" customHeight="1">
      <c r="A9312" s="7"/>
      <c r="B9312" s="7" t="str">
        <f>IFERROR(__xludf.DUMMYFUNCTION("""COMPUTED_VALUE"""),"Bash/Shell/PowerShell;C;HTML/CSS;JavaScript;Objective-C;TypeScript")</f>
        <v>Bash/Shell/PowerShell;C;HTML/CSS;JavaScript;Objective-C;TypeScript</v>
      </c>
      <c r="M9312" s="9" t="s">
        <v>26</v>
      </c>
    </row>
    <row r="9313" ht="15.75" customHeight="1">
      <c r="A9313" s="7"/>
      <c r="B9313" s="7" t="str">
        <f>IFERROR(__xludf.DUMMYFUNCTION("""COMPUTED_VALUE"""),"C;C#;Java;Python")</f>
        <v>C;C#;Java;Python</v>
      </c>
      <c r="M9313" s="9" t="s">
        <v>29</v>
      </c>
    </row>
    <row r="9314" ht="15.75" customHeight="1">
      <c r="A9314" s="7"/>
      <c r="B9314" s="7" t="str">
        <f>IFERROR(__xludf.DUMMYFUNCTION("""COMPUTED_VALUE"""),"C#;HTML/CSS;JavaScript;SQL;WebAssembly;Other(s):")</f>
        <v>C#;HTML/CSS;JavaScript;SQL;WebAssembly;Other(s):</v>
      </c>
      <c r="M9314" s="9" t="s">
        <v>26</v>
      </c>
    </row>
    <row r="9315" ht="15.75" customHeight="1">
      <c r="A9315" s="7"/>
      <c r="B9315" s="7" t="str">
        <f>IFERROR(__xludf.DUMMYFUNCTION("""COMPUTED_VALUE"""),"Assembly;C;Swift")</f>
        <v>Assembly;C;Swift</v>
      </c>
      <c r="M9315" s="9" t="s">
        <v>24</v>
      </c>
    </row>
    <row r="9316" ht="15.75" customHeight="1">
      <c r="A9316" s="7"/>
      <c r="B9316" s="7" t="str">
        <f>IFERROR(__xludf.DUMMYFUNCTION("""COMPUTED_VALUE"""),"Objective-C;Swift")</f>
        <v>Objective-C;Swift</v>
      </c>
      <c r="M9316" s="9" t="s">
        <v>21</v>
      </c>
    </row>
    <row r="9317" ht="15.75" customHeight="1">
      <c r="A9317" s="7"/>
      <c r="B9317" s="7" t="str">
        <f>IFERROR(__xludf.DUMMYFUNCTION("""COMPUTED_VALUE"""),"C;C++;Go;HTML/CSS;JavaScript;PHP;Python;SQL;TypeScript")</f>
        <v>C;C++;Go;HTML/CSS;JavaScript;PHP;Python;SQL;TypeScript</v>
      </c>
      <c r="M9317" s="9" t="s">
        <v>27</v>
      </c>
    </row>
    <row r="9318" ht="15.75" customHeight="1">
      <c r="A9318" s="7"/>
      <c r="B9318" s="7" t="str">
        <f>IFERROR(__xludf.DUMMYFUNCTION("""COMPUTED_VALUE"""),"C#;HTML/CSS;JavaScript;SQL;TypeScript")</f>
        <v>C#;HTML/CSS;JavaScript;SQL;TypeScript</v>
      </c>
      <c r="M9318" s="9" t="s">
        <v>30</v>
      </c>
    </row>
    <row r="9319" ht="15.75" customHeight="1">
      <c r="A9319" s="7"/>
      <c r="B9319" s="7" t="str">
        <f>IFERROR(__xludf.DUMMYFUNCTION("""COMPUTED_VALUE"""),"JavaScript;Python")</f>
        <v>JavaScript;Python</v>
      </c>
      <c r="M9319" s="9" t="s">
        <v>24</v>
      </c>
    </row>
    <row r="9320" ht="15.75" customHeight="1">
      <c r="A9320" s="7"/>
      <c r="B9320" s="7" t="str">
        <f>IFERROR(__xludf.DUMMYFUNCTION("""COMPUTED_VALUE"""),"C;Go;R")</f>
        <v>C;Go;R</v>
      </c>
      <c r="M9320" s="9" t="s">
        <v>21</v>
      </c>
    </row>
    <row r="9321" ht="15.75" customHeight="1">
      <c r="A9321" s="7"/>
      <c r="B9321" s="7" t="str">
        <f>IFERROR(__xludf.DUMMYFUNCTION("""COMPUTED_VALUE"""),"HTML/CSS;Java;JavaScript;PHP;Python;Ruby;SQL")</f>
        <v>HTML/CSS;Java;JavaScript;PHP;Python;Ruby;SQL</v>
      </c>
      <c r="M9321" s="9" t="s">
        <v>22</v>
      </c>
    </row>
    <row r="9322" ht="15.75" customHeight="1">
      <c r="A9322" s="7"/>
      <c r="B9322" s="7" t="str">
        <f>IFERROR(__xludf.DUMMYFUNCTION("""COMPUTED_VALUE"""),"Bash/Shell/PowerShell;C#")</f>
        <v>Bash/Shell/PowerShell;C#</v>
      </c>
      <c r="M9322" s="9" t="s">
        <v>46</v>
      </c>
    </row>
    <row r="9323" ht="15.75" customHeight="1">
      <c r="A9323" s="7"/>
      <c r="B9323" s="7" t="str">
        <f>IFERROR(__xludf.DUMMYFUNCTION("""COMPUTED_VALUE"""),"C#;HTML/CSS;JavaScript;Python")</f>
        <v>C#;HTML/CSS;JavaScript;Python</v>
      </c>
      <c r="M9323" s="9" t="s">
        <v>27</v>
      </c>
    </row>
    <row r="9324" ht="15.75" customHeight="1">
      <c r="A9324" s="7"/>
      <c r="B9324" s="7" t="str">
        <f>IFERROR(__xludf.DUMMYFUNCTION("""COMPUTED_VALUE"""),"C#;SQL")</f>
        <v>C#;SQL</v>
      </c>
      <c r="M9324" s="9" t="s">
        <v>29</v>
      </c>
    </row>
    <row r="9325" ht="15.75" customHeight="1">
      <c r="A9325" s="7"/>
      <c r="B9325" s="7" t="str">
        <f>IFERROR(__xludf.DUMMYFUNCTION("""COMPUTED_VALUE"""),"C++;Python")</f>
        <v>C++;Python</v>
      </c>
      <c r="M9325" s="9" t="s">
        <v>24</v>
      </c>
    </row>
    <row r="9326" ht="15.75" customHeight="1">
      <c r="A9326" s="7"/>
      <c r="B9326" s="7" t="str">
        <f>IFERROR(__xludf.DUMMYFUNCTION("""COMPUTED_VALUE"""),"Elixir;JavaScript;Python;Ruby")</f>
        <v>Elixir;JavaScript;Python;Ruby</v>
      </c>
      <c r="M9326" s="9" t="s">
        <v>21</v>
      </c>
    </row>
    <row r="9327" ht="15.75" customHeight="1">
      <c r="A9327" s="7"/>
      <c r="B9327" s="7" t="str">
        <f>IFERROR(__xludf.DUMMYFUNCTION("""COMPUTED_VALUE"""),"C;Go;Python")</f>
        <v>C;Go;Python</v>
      </c>
      <c r="M9327" s="9" t="s">
        <v>37</v>
      </c>
    </row>
    <row r="9328" ht="15.75" customHeight="1">
      <c r="A9328" s="7"/>
      <c r="B9328" s="7" t="str">
        <f>IFERROR(__xludf.DUMMYFUNCTION("""COMPUTED_VALUE"""),"Bash/Shell/PowerShell;C#;Go;HTML/CSS;Java;JavaScript;SQL;TypeScript")</f>
        <v>Bash/Shell/PowerShell;C#;Go;HTML/CSS;Java;JavaScript;SQL;TypeScript</v>
      </c>
      <c r="M9328" s="9" t="s">
        <v>31</v>
      </c>
    </row>
    <row r="9329" ht="15.75" customHeight="1">
      <c r="A9329" s="7"/>
      <c r="B9329" s="7" t="str">
        <f>IFERROR(__xludf.DUMMYFUNCTION("""COMPUTED_VALUE"""),"Bash/Shell/PowerShell;HTML/CSS;Java;JavaScript;PHP;Python;SQL")</f>
        <v>Bash/Shell/PowerShell;HTML/CSS;Java;JavaScript;PHP;Python;SQL</v>
      </c>
      <c r="M9329" s="9" t="s">
        <v>44</v>
      </c>
    </row>
    <row r="9330" ht="15.75" customHeight="1">
      <c r="A9330" s="7"/>
      <c r="B9330" s="7" t="str">
        <f>IFERROR(__xludf.DUMMYFUNCTION("""COMPUTED_VALUE"""),"Bash/Shell/PowerShell;HTML/CSS;Java;JavaScript;Python;SQL")</f>
        <v>Bash/Shell/PowerShell;HTML/CSS;Java;JavaScript;Python;SQL</v>
      </c>
      <c r="M9330" s="9" t="s">
        <v>24</v>
      </c>
    </row>
    <row r="9331" ht="15.75" customHeight="1">
      <c r="A9331" s="7"/>
      <c r="B9331" s="7" t="str">
        <f>IFERROR(__xludf.DUMMYFUNCTION("""COMPUTED_VALUE"""),"C#;HTML/CSS;JavaScript;TypeScript;Other(s):")</f>
        <v>C#;HTML/CSS;JavaScript;TypeScript;Other(s):</v>
      </c>
      <c r="M9331" s="9" t="s">
        <v>21</v>
      </c>
    </row>
    <row r="9332" ht="15.75" customHeight="1">
      <c r="A9332" s="7"/>
      <c r="B9332" s="7" t="str">
        <f>IFERROR(__xludf.DUMMYFUNCTION("""COMPUTED_VALUE"""),"HTML/CSS;PHP;Python")</f>
        <v>HTML/CSS;PHP;Python</v>
      </c>
      <c r="M9332" s="9" t="s">
        <v>37</v>
      </c>
    </row>
    <row r="9333" ht="15.75" customHeight="1">
      <c r="A9333" s="7"/>
      <c r="B9333" s="7" t="str">
        <f>IFERROR(__xludf.DUMMYFUNCTION("""COMPUTED_VALUE"""),"Bash/Shell/PowerShell;Go;Python;Rust")</f>
        <v>Bash/Shell/PowerShell;Go;Python;Rust</v>
      </c>
      <c r="M9333" s="9" t="s">
        <v>40</v>
      </c>
    </row>
    <row r="9334" ht="15.75" customHeight="1">
      <c r="A9334" s="7"/>
      <c r="B9334" s="7" t="str">
        <f>IFERROR(__xludf.DUMMYFUNCTION("""COMPUTED_VALUE"""),"Bash/Shell/PowerShell;HTML/CSS;JavaScript;Python;R;SQL")</f>
        <v>Bash/Shell/PowerShell;HTML/CSS;JavaScript;Python;R;SQL</v>
      </c>
      <c r="M9334" s="9" t="s">
        <v>24</v>
      </c>
    </row>
    <row r="9335" ht="15.75" customHeight="1">
      <c r="A9335" s="7"/>
      <c r="B9335" s="7" t="str">
        <f>IFERROR(__xludf.DUMMYFUNCTION("""COMPUTED_VALUE"""),"C;C++;C#;Java;SQL")</f>
        <v>C;C++;C#;Java;SQL</v>
      </c>
      <c r="M9335" s="9" t="s">
        <v>20</v>
      </c>
    </row>
    <row r="9336" ht="15.75" customHeight="1">
      <c r="A9336" s="7"/>
      <c r="B9336" s="7" t="str">
        <f>IFERROR(__xludf.DUMMYFUNCTION("""COMPUTED_VALUE"""),"C#;HTML/CSS;JavaScript;PHP;Python;TypeScript")</f>
        <v>C#;HTML/CSS;JavaScript;PHP;Python;TypeScript</v>
      </c>
      <c r="M9336" s="9" t="s">
        <v>21</v>
      </c>
    </row>
    <row r="9337" ht="15.75" customHeight="1">
      <c r="A9337" s="7"/>
      <c r="B9337" s="7" t="str">
        <f>IFERROR(__xludf.DUMMYFUNCTION("""COMPUTED_VALUE"""),"C#;HTML/CSS;Java;JavaScript;SQL;TypeScript")</f>
        <v>C#;HTML/CSS;Java;JavaScript;SQL;TypeScript</v>
      </c>
      <c r="M9337" s="9" t="s">
        <v>27</v>
      </c>
    </row>
    <row r="9338" ht="15.75" customHeight="1">
      <c r="A9338" s="7"/>
      <c r="B9338" s="7" t="str">
        <f>IFERROR(__xludf.DUMMYFUNCTION("""COMPUTED_VALUE"""),"Bash/Shell/PowerShell;HTML/CSS;JavaScript;Python;Ruby;Swift")</f>
        <v>Bash/Shell/PowerShell;HTML/CSS;JavaScript;Python;Ruby;Swift</v>
      </c>
      <c r="M9338" s="9" t="s">
        <v>22</v>
      </c>
    </row>
    <row r="9339" ht="15.75" customHeight="1">
      <c r="A9339" s="7"/>
      <c r="B9339" s="7" t="str">
        <f>IFERROR(__xludf.DUMMYFUNCTION("""COMPUTED_VALUE"""),"Bash/Shell/PowerShell;HTML/CSS;JavaScript;PHP;TypeScript")</f>
        <v>Bash/Shell/PowerShell;HTML/CSS;JavaScript;PHP;TypeScript</v>
      </c>
      <c r="M9339" s="9" t="s">
        <v>35</v>
      </c>
    </row>
    <row r="9340" ht="15.75" customHeight="1">
      <c r="A9340" s="7"/>
      <c r="B9340" s="7" t="str">
        <f>IFERROR(__xludf.DUMMYFUNCTION("""COMPUTED_VALUE"""),"C#;HTML/CSS;JavaScript;PHP;SQL;TypeScript")</f>
        <v>C#;HTML/CSS;JavaScript;PHP;SQL;TypeScript</v>
      </c>
      <c r="M9340" s="9" t="s">
        <v>30</v>
      </c>
    </row>
    <row r="9341" ht="15.75" customHeight="1">
      <c r="A9341" s="7"/>
      <c r="B9341" s="7" t="str">
        <f>IFERROR(__xludf.DUMMYFUNCTION("""COMPUTED_VALUE"""),"C#;SQL")</f>
        <v>C#;SQL</v>
      </c>
      <c r="M9341" s="9" t="s">
        <v>36</v>
      </c>
    </row>
    <row r="9342" ht="15.75" customHeight="1">
      <c r="A9342" s="7"/>
      <c r="B9342" s="7" t="str">
        <f>IFERROR(__xludf.DUMMYFUNCTION("""COMPUTED_VALUE"""),"C#;HTML/CSS;JavaScript;SQL")</f>
        <v>C#;HTML/CSS;JavaScript;SQL</v>
      </c>
      <c r="M9342" s="9" t="s">
        <v>24</v>
      </c>
    </row>
    <row r="9343" ht="15.75" customHeight="1">
      <c r="A9343" s="7"/>
      <c r="B9343" s="7" t="str">
        <f>IFERROR(__xludf.DUMMYFUNCTION("""COMPUTED_VALUE"""),"Assembly;Bash/Shell/PowerShell;C;C++;C#;Dart;HTML/CSS;Java;JavaScript;Python;R;Rust;SQL;TypeScript")</f>
        <v>Assembly;Bash/Shell/PowerShell;C;C++;C#;Dart;HTML/CSS;Java;JavaScript;Python;R;Rust;SQL;TypeScript</v>
      </c>
      <c r="M9343" s="9" t="s">
        <v>21</v>
      </c>
    </row>
    <row r="9344" ht="15.75" customHeight="1">
      <c r="A9344" s="7"/>
      <c r="B9344" s="7" t="str">
        <f>IFERROR(__xludf.DUMMYFUNCTION("""COMPUTED_VALUE"""),"Java;PHP;Rust")</f>
        <v>Java;PHP;Rust</v>
      </c>
      <c r="M9344" s="9" t="s">
        <v>39</v>
      </c>
    </row>
    <row r="9345" ht="15.75" customHeight="1">
      <c r="A9345" s="7"/>
      <c r="B9345" s="7" t="str">
        <f>IFERROR(__xludf.DUMMYFUNCTION("""COMPUTED_VALUE"""),"Bash/Shell/PowerShell;Python;Other(s):")</f>
        <v>Bash/Shell/PowerShell;Python;Other(s):</v>
      </c>
      <c r="M9345" s="9" t="s">
        <v>22</v>
      </c>
    </row>
    <row r="9346" ht="15.75" customHeight="1">
      <c r="A9346" s="7"/>
      <c r="B9346" s="7" t="str">
        <f>IFERROR(__xludf.DUMMYFUNCTION("""COMPUTED_VALUE"""),"Java;Python;R;VBA")</f>
        <v>Java;Python;R;VBA</v>
      </c>
      <c r="M9346" s="9" t="s">
        <v>31</v>
      </c>
    </row>
    <row r="9347" ht="15.75" customHeight="1">
      <c r="A9347" s="7"/>
      <c r="B9347" s="7" t="str">
        <f>IFERROR(__xludf.DUMMYFUNCTION("""COMPUTED_VALUE"""),"C++;C#;HTML/CSS;Java;JavaScript;PHP;Ruby;SQL")</f>
        <v>C++;C#;HTML/CSS;Java;JavaScript;PHP;Ruby;SQL</v>
      </c>
      <c r="M9347" s="9" t="s">
        <v>27</v>
      </c>
    </row>
    <row r="9348" ht="15.75" customHeight="1">
      <c r="A9348" s="7"/>
      <c r="B9348" s="7" t="str">
        <f>IFERROR(__xludf.DUMMYFUNCTION("""COMPUTED_VALUE"""),"Assembly;Bash/Shell/PowerShell;C;C++;Java;JavaScript;Python;SQL;Other(s):")</f>
        <v>Assembly;Bash/Shell/PowerShell;C;C++;Java;JavaScript;Python;SQL;Other(s):</v>
      </c>
      <c r="M9348" s="9" t="s">
        <v>20</v>
      </c>
    </row>
    <row r="9349" ht="15.75" customHeight="1">
      <c r="A9349" s="7"/>
      <c r="B9349" s="7" t="str">
        <f>IFERROR(__xludf.DUMMYFUNCTION("""COMPUTED_VALUE"""),"C#;HTML/CSS;JavaScript;SQL")</f>
        <v>C#;HTML/CSS;JavaScript;SQL</v>
      </c>
      <c r="M9349" s="9" t="s">
        <v>21</v>
      </c>
    </row>
    <row r="9350" ht="15.75" customHeight="1">
      <c r="A9350" s="7"/>
      <c r="B9350" s="7" t="str">
        <f>IFERROR(__xludf.DUMMYFUNCTION("""COMPUTED_VALUE"""),"HTML/CSS;JavaScript;Python")</f>
        <v>HTML/CSS;JavaScript;Python</v>
      </c>
      <c r="M9350" s="9" t="s">
        <v>27</v>
      </c>
    </row>
    <row r="9351" ht="15.75" customHeight="1">
      <c r="A9351" s="7"/>
      <c r="B9351" s="7" t="str">
        <f>IFERROR(__xludf.DUMMYFUNCTION("""COMPUTED_VALUE"""),"Bash/Shell/PowerShell;HTML/CSS;JavaScript;PHP;SQL")</f>
        <v>Bash/Shell/PowerShell;HTML/CSS;JavaScript;PHP;SQL</v>
      </c>
      <c r="M9351" s="9" t="s">
        <v>30</v>
      </c>
    </row>
    <row r="9352" ht="15.75" customHeight="1">
      <c r="A9352" s="7"/>
      <c r="B9352" s="7" t="str">
        <f>IFERROR(__xludf.DUMMYFUNCTION("""COMPUTED_VALUE"""),"Java;SQL")</f>
        <v>Java;SQL</v>
      </c>
      <c r="M9352" s="9" t="s">
        <v>23</v>
      </c>
    </row>
    <row r="9353" ht="15.75" customHeight="1">
      <c r="A9353" s="7"/>
      <c r="B9353" s="7" t="str">
        <f>IFERROR(__xludf.DUMMYFUNCTION("""COMPUTED_VALUE"""),"HTML/CSS;JavaScript;TypeScript")</f>
        <v>HTML/CSS;JavaScript;TypeScript</v>
      </c>
      <c r="M9353" s="9" t="s">
        <v>24</v>
      </c>
    </row>
    <row r="9354" ht="15.75" customHeight="1">
      <c r="A9354" s="7"/>
      <c r="B9354" s="7" t="str">
        <f>IFERROR(__xludf.DUMMYFUNCTION("""COMPUTED_VALUE"""),"Bash/Shell/PowerShell;JavaScript;Swift")</f>
        <v>Bash/Shell/PowerShell;JavaScript;Swift</v>
      </c>
      <c r="M9354" s="9" t="s">
        <v>21</v>
      </c>
    </row>
    <row r="9355" ht="15.75" customHeight="1">
      <c r="A9355" s="7"/>
      <c r="B9355" s="7" t="str">
        <f>IFERROR(__xludf.DUMMYFUNCTION("""COMPUTED_VALUE"""),"C;C++;C#;Go;HTML/CSS;Java;JavaScript;PHP;TypeScript")</f>
        <v>C;C++;C#;Go;HTML/CSS;Java;JavaScript;PHP;TypeScript</v>
      </c>
      <c r="M9355" s="9" t="s">
        <v>22</v>
      </c>
    </row>
    <row r="9356" ht="15.75" customHeight="1">
      <c r="A9356" s="7"/>
      <c r="B9356" s="7" t="str">
        <f>IFERROR(__xludf.DUMMYFUNCTION("""COMPUTED_VALUE"""),"Bash/Shell/PowerShell;Python;SQL")</f>
        <v>Bash/Shell/PowerShell;Python;SQL</v>
      </c>
      <c r="M9356" s="9" t="s">
        <v>27</v>
      </c>
    </row>
    <row r="9357" ht="15.75" customHeight="1">
      <c r="A9357" s="7"/>
      <c r="B9357" s="7" t="str">
        <f>IFERROR(__xludf.DUMMYFUNCTION("""COMPUTED_VALUE"""),"C#;HTML/CSS;JavaScript;SQL")</f>
        <v>C#;HTML/CSS;JavaScript;SQL</v>
      </c>
      <c r="M9357" s="9" t="s">
        <v>26</v>
      </c>
    </row>
    <row r="9358" ht="15.75" customHeight="1">
      <c r="A9358" s="7"/>
      <c r="B9358" s="7" t="str">
        <f>IFERROR(__xludf.DUMMYFUNCTION("""COMPUTED_VALUE"""),"Python")</f>
        <v>Python</v>
      </c>
      <c r="M9358" s="9" t="s">
        <v>24</v>
      </c>
    </row>
    <row r="9359" ht="15.75" customHeight="1">
      <c r="A9359" s="7"/>
      <c r="B9359" s="7" t="str">
        <f>IFERROR(__xludf.DUMMYFUNCTION("""COMPUTED_VALUE"""),"C;C++;C#;Python")</f>
        <v>C;C++;C#;Python</v>
      </c>
      <c r="M9359" s="9" t="s">
        <v>20</v>
      </c>
    </row>
    <row r="9360" ht="15.75" customHeight="1">
      <c r="A9360" s="7"/>
      <c r="B9360" s="7" t="str">
        <f>IFERROR(__xludf.DUMMYFUNCTION("""COMPUTED_VALUE"""),"HTML/CSS;Java;JavaScript;SQL")</f>
        <v>HTML/CSS;Java;JavaScript;SQL</v>
      </c>
      <c r="M9360" s="9" t="s">
        <v>21</v>
      </c>
    </row>
    <row r="9361" ht="15.75" customHeight="1">
      <c r="A9361" s="7"/>
      <c r="B9361" s="7" t="str">
        <f>IFERROR(__xludf.DUMMYFUNCTION("""COMPUTED_VALUE"""),"C#;SQL")</f>
        <v>C#;SQL</v>
      </c>
      <c r="M9361" s="9" t="s">
        <v>37</v>
      </c>
    </row>
    <row r="9362" ht="15.75" customHeight="1">
      <c r="A9362" s="7"/>
      <c r="B9362" s="7" t="str">
        <f>IFERROR(__xludf.DUMMYFUNCTION("""COMPUTED_VALUE"""),"C++;Go;Java;JavaScript;Python;Ruby;Rust;Scala;SQL;TypeScript")</f>
        <v>C++;Go;Java;JavaScript;Python;Ruby;Rust;Scala;SQL;TypeScript</v>
      </c>
      <c r="M9362" s="9" t="s">
        <v>27</v>
      </c>
    </row>
    <row r="9363" ht="15.75" customHeight="1">
      <c r="A9363" s="7"/>
      <c r="B9363" s="7" t="str">
        <f>IFERROR(__xludf.DUMMYFUNCTION("""COMPUTED_VALUE"""),"C++;HTML/CSS;JavaScript;PHP;Swift")</f>
        <v>C++;HTML/CSS;JavaScript;PHP;Swift</v>
      </c>
      <c r="M9363" s="9" t="s">
        <v>35</v>
      </c>
    </row>
    <row r="9364" ht="15.75" customHeight="1">
      <c r="A9364" s="7"/>
      <c r="B9364" s="7" t="str">
        <f>IFERROR(__xludf.DUMMYFUNCTION("""COMPUTED_VALUE"""),"C#;HTML/CSS;JavaScript;SQL;TypeScript")</f>
        <v>C#;HTML/CSS;JavaScript;SQL;TypeScript</v>
      </c>
      <c r="M9364" s="9" t="s">
        <v>26</v>
      </c>
    </row>
    <row r="9365" ht="15.75" customHeight="1">
      <c r="A9365" s="7"/>
      <c r="B9365" s="7" t="str">
        <f>IFERROR(__xludf.DUMMYFUNCTION("""COMPUTED_VALUE"""),"C#;HTML/CSS;JavaScript;SQL;TypeScript")</f>
        <v>C#;HTML/CSS;JavaScript;SQL;TypeScript</v>
      </c>
      <c r="M9365" s="9" t="s">
        <v>24</v>
      </c>
    </row>
    <row r="9366" ht="15.75" customHeight="1">
      <c r="A9366" s="7"/>
      <c r="B9366" s="7" t="str">
        <f>IFERROR(__xludf.DUMMYFUNCTION("""COMPUTED_VALUE"""),"Dart;JavaScript;SQL;TypeScript")</f>
        <v>Dart;JavaScript;SQL;TypeScript</v>
      </c>
      <c r="M9366" s="9" t="s">
        <v>21</v>
      </c>
    </row>
    <row r="9367" ht="15.75" customHeight="1">
      <c r="A9367" s="7"/>
      <c r="B9367" s="7" t="str">
        <f>IFERROR(__xludf.DUMMYFUNCTION("""COMPUTED_VALUE"""),"Bash/Shell/PowerShell;HTML/CSS;Java;JavaScript")</f>
        <v>Bash/Shell/PowerShell;HTML/CSS;Java;JavaScript</v>
      </c>
      <c r="M9367" s="9" t="s">
        <v>27</v>
      </c>
    </row>
    <row r="9368" ht="15.75" customHeight="1">
      <c r="A9368" s="7"/>
      <c r="B9368" s="7" t="str">
        <f>IFERROR(__xludf.DUMMYFUNCTION("""COMPUTED_VALUE"""),"Bash/Shell/PowerShell;C#;HTML/CSS;Java;JavaScript;PHP;SQL")</f>
        <v>Bash/Shell/PowerShell;C#;HTML/CSS;Java;JavaScript;PHP;SQL</v>
      </c>
      <c r="M9368" s="9" t="s">
        <v>30</v>
      </c>
    </row>
    <row r="9369" ht="15.75" customHeight="1">
      <c r="A9369" s="7"/>
      <c r="B9369" s="7" t="str">
        <f>IFERROR(__xludf.DUMMYFUNCTION("""COMPUTED_VALUE"""),"HTML/CSS;Java;JavaScript;SQL")</f>
        <v>HTML/CSS;Java;JavaScript;SQL</v>
      </c>
      <c r="M9369" s="9" t="s">
        <v>22</v>
      </c>
    </row>
    <row r="9370" ht="15.75" customHeight="1">
      <c r="A9370" s="7"/>
      <c r="B9370" s="7" t="str">
        <f>IFERROR(__xludf.DUMMYFUNCTION("""COMPUTED_VALUE"""),"Dart;Java;Kotlin;PHP;Swift")</f>
        <v>Dart;Java;Kotlin;PHP;Swift</v>
      </c>
      <c r="M9370" s="9" t="s">
        <v>24</v>
      </c>
    </row>
    <row r="9371" ht="15.75" customHeight="1">
      <c r="A9371" s="7"/>
      <c r="B9371" s="7" t="str">
        <f>IFERROR(__xludf.DUMMYFUNCTION("""COMPUTED_VALUE"""),"C++;C#;JavaScript;SQL;TypeScript")</f>
        <v>C++;C#;JavaScript;SQL;TypeScript</v>
      </c>
      <c r="M9371" s="9" t="s">
        <v>20</v>
      </c>
    </row>
    <row r="9372" ht="15.75" customHeight="1">
      <c r="A9372" s="7"/>
      <c r="B9372" s="7" t="str">
        <f>IFERROR(__xludf.DUMMYFUNCTION("""COMPUTED_VALUE"""),"C#;HTML/CSS;JavaScript;Python;SQL")</f>
        <v>C#;HTML/CSS;JavaScript;Python;SQL</v>
      </c>
      <c r="M9372" s="9" t="s">
        <v>21</v>
      </c>
    </row>
    <row r="9373" ht="15.75" customHeight="1">
      <c r="A9373" s="7"/>
      <c r="B9373" s="7" t="str">
        <f>IFERROR(__xludf.DUMMYFUNCTION("""COMPUTED_VALUE"""),"Assembly;Bash/Shell/PowerShell;C;C++;HTML/CSS;Java;Python;R;SQL")</f>
        <v>Assembly;Bash/Shell/PowerShell;C;C++;HTML/CSS;Java;Python;R;SQL</v>
      </c>
      <c r="M9373" s="9" t="s">
        <v>33</v>
      </c>
    </row>
    <row r="9374" ht="15.75" customHeight="1">
      <c r="A9374" s="7"/>
      <c r="B9374" s="7" t="str">
        <f>IFERROR(__xludf.DUMMYFUNCTION("""COMPUTED_VALUE"""),"Bash/Shell/PowerShell;HTML/CSS;JavaScript;Kotlin;SQL;WebAssembly")</f>
        <v>Bash/Shell/PowerShell;HTML/CSS;JavaScript;Kotlin;SQL;WebAssembly</v>
      </c>
      <c r="M9374" s="9" t="s">
        <v>25</v>
      </c>
    </row>
    <row r="9375" ht="15.75" customHeight="1">
      <c r="A9375" s="7"/>
      <c r="B9375" s="7" t="str">
        <f>IFERROR(__xludf.DUMMYFUNCTION("""COMPUTED_VALUE"""),"HTML/CSS;JavaScript;TypeScript")</f>
        <v>HTML/CSS;JavaScript;TypeScript</v>
      </c>
      <c r="M9375" s="9" t="s">
        <v>20</v>
      </c>
    </row>
    <row r="9376" ht="15.75" customHeight="1">
      <c r="A9376" s="7"/>
      <c r="B9376" s="7" t="str">
        <f>IFERROR(__xludf.DUMMYFUNCTION("""COMPUTED_VALUE"""),"Bash/Shell/PowerShell;Go;Python;Other(s):")</f>
        <v>Bash/Shell/PowerShell;Go;Python;Other(s):</v>
      </c>
      <c r="M9376" s="9" t="s">
        <v>24</v>
      </c>
    </row>
    <row r="9377" ht="15.75" customHeight="1">
      <c r="A9377" s="7"/>
      <c r="B9377" s="7" t="str">
        <f>IFERROR(__xludf.DUMMYFUNCTION("""COMPUTED_VALUE"""),"HTML/CSS;JavaScript;Python")</f>
        <v>HTML/CSS;JavaScript;Python</v>
      </c>
      <c r="M9377" s="9" t="s">
        <v>20</v>
      </c>
    </row>
    <row r="9378" ht="15.75" customHeight="1">
      <c r="A9378" s="7"/>
      <c r="B9378" s="7" t="str">
        <f>IFERROR(__xludf.DUMMYFUNCTION("""COMPUTED_VALUE"""),"C;C++;C#;HTML/CSS;Java;JavaScript;PHP;Python;SQL;TypeScript;VBA")</f>
        <v>C;C++;C#;HTML/CSS;Java;JavaScript;PHP;Python;SQL;TypeScript;VBA</v>
      </c>
      <c r="M9378" s="9" t="s">
        <v>21</v>
      </c>
    </row>
    <row r="9379" ht="15.75" customHeight="1">
      <c r="A9379" s="7"/>
      <c r="B9379" s="7" t="str">
        <f>IFERROR(__xludf.DUMMYFUNCTION("""COMPUTED_VALUE"""),"C#;F#;HTML/CSS;JavaScript;SQL")</f>
        <v>C#;F#;HTML/CSS;JavaScript;SQL</v>
      </c>
      <c r="M9379" s="9" t="s">
        <v>39</v>
      </c>
    </row>
    <row r="9380" ht="15.75" customHeight="1">
      <c r="A9380" s="7"/>
      <c r="B9380" s="7" t="str">
        <f>IFERROR(__xludf.DUMMYFUNCTION("""COMPUTED_VALUE"""),"Assembly;Bash/Shell/PowerShell;C;C#;Elixir;Go;HTML/CSS;JavaScript;Kotlin;Python;R;Ruby;Rust;SQL;Swift;TypeScript;WebAssembly")</f>
        <v>Assembly;Bash/Shell/PowerShell;C;C#;Elixir;Go;HTML/CSS;JavaScript;Kotlin;Python;R;Ruby;Rust;SQL;Swift;TypeScript;WebAssembly</v>
      </c>
      <c r="M9380" s="9" t="s">
        <v>46</v>
      </c>
    </row>
    <row r="9381" ht="15.75" customHeight="1">
      <c r="A9381" s="7"/>
      <c r="B9381" s="7" t="str">
        <f>IFERROR(__xludf.DUMMYFUNCTION("""COMPUTED_VALUE"""),"Bash/Shell/PowerShell;C;C++;HTML/CSS;JavaScript;Python")</f>
        <v>Bash/Shell/PowerShell;C;C++;HTML/CSS;JavaScript;Python</v>
      </c>
      <c r="M9381" s="9" t="s">
        <v>30</v>
      </c>
    </row>
    <row r="9382" ht="15.75" customHeight="1">
      <c r="A9382" s="7"/>
      <c r="B9382" s="7" t="str">
        <f>IFERROR(__xludf.DUMMYFUNCTION("""COMPUTED_VALUE"""),"Java;JavaScript;PHP;SQL")</f>
        <v>Java;JavaScript;PHP;SQL</v>
      </c>
      <c r="M9382" s="9" t="s">
        <v>25</v>
      </c>
    </row>
    <row r="9383" ht="15.75" customHeight="1">
      <c r="A9383" s="7"/>
      <c r="B9383" s="7" t="str">
        <f>IFERROR(__xludf.DUMMYFUNCTION("""COMPUTED_VALUE"""),"C++;HTML/CSS;Java;JavaScript;PHP;SQL;TypeScript")</f>
        <v>C++;HTML/CSS;Java;JavaScript;PHP;SQL;TypeScript</v>
      </c>
      <c r="M9383" s="9" t="s">
        <v>36</v>
      </c>
    </row>
    <row r="9384" ht="15.75" customHeight="1">
      <c r="A9384" s="7"/>
      <c r="B9384" s="7" t="str">
        <f>IFERROR(__xludf.DUMMYFUNCTION("""COMPUTED_VALUE"""),"Bash/Shell/PowerShell;HTML/CSS;Java;JavaScript;PHP;SQL;VBA")</f>
        <v>Bash/Shell/PowerShell;HTML/CSS;Java;JavaScript;PHP;SQL;VBA</v>
      </c>
      <c r="M9384" s="9" t="s">
        <v>24</v>
      </c>
    </row>
    <row r="9385" ht="15.75" customHeight="1">
      <c r="A9385" s="7"/>
      <c r="B9385" s="7" t="str">
        <f>IFERROR(__xludf.DUMMYFUNCTION("""COMPUTED_VALUE"""),"Bash/Shell/PowerShell;Clojure;Python;R")</f>
        <v>Bash/Shell/PowerShell;Clojure;Python;R</v>
      </c>
      <c r="M9385" s="9" t="s">
        <v>20</v>
      </c>
    </row>
    <row r="9386" ht="15.75" customHeight="1">
      <c r="A9386" s="7"/>
      <c r="B9386" s="7" t="str">
        <f>IFERROR(__xludf.DUMMYFUNCTION("""COMPUTED_VALUE"""),"Bash/Shell/PowerShell;C#;HTML/CSS;JavaScript;SQL")</f>
        <v>Bash/Shell/PowerShell;C#;HTML/CSS;JavaScript;SQL</v>
      </c>
      <c r="M9386" s="9" t="s">
        <v>21</v>
      </c>
    </row>
    <row r="9387" ht="15.75" customHeight="1">
      <c r="A9387" s="7"/>
      <c r="B9387" s="7" t="str">
        <f>IFERROR(__xludf.DUMMYFUNCTION("""COMPUTED_VALUE"""),"Clojure;JavaScript")</f>
        <v>Clojure;JavaScript</v>
      </c>
      <c r="M9387" s="9" t="s">
        <v>37</v>
      </c>
    </row>
    <row r="9388" ht="15.75" customHeight="1">
      <c r="A9388" s="7"/>
      <c r="B9388" s="7" t="str">
        <f>IFERROR(__xludf.DUMMYFUNCTION("""COMPUTED_VALUE"""),"Bash/Shell/PowerShell;Java;Python")</f>
        <v>Bash/Shell/PowerShell;Java;Python</v>
      </c>
      <c r="M9388" s="9" t="s">
        <v>22</v>
      </c>
    </row>
    <row r="9389" ht="15.75" customHeight="1">
      <c r="A9389" s="7"/>
      <c r="B9389" s="7" t="str">
        <f>IFERROR(__xludf.DUMMYFUNCTION("""COMPUTED_VALUE"""),"C#")</f>
        <v>C#</v>
      </c>
      <c r="M9389" s="9" t="s">
        <v>27</v>
      </c>
    </row>
    <row r="9390" ht="15.75" customHeight="1">
      <c r="A9390" s="7"/>
      <c r="B9390" s="7" t="str">
        <f>IFERROR(__xludf.DUMMYFUNCTION("""COMPUTED_VALUE"""),"JavaScript;Objective-C;Swift")</f>
        <v>JavaScript;Objective-C;Swift</v>
      </c>
      <c r="M9390" s="9" t="s">
        <v>33</v>
      </c>
    </row>
    <row r="9391" ht="15.75" customHeight="1">
      <c r="A9391" s="7"/>
      <c r="B9391" s="7" t="str">
        <f>IFERROR(__xludf.DUMMYFUNCTION("""COMPUTED_VALUE"""),"C#;HTML/CSS;Java;JavaScript;Objective-C;Python")</f>
        <v>C#;HTML/CSS;Java;JavaScript;Objective-C;Python</v>
      </c>
      <c r="M9391" s="9" t="s">
        <v>30</v>
      </c>
    </row>
    <row r="9392" ht="15.75" customHeight="1">
      <c r="A9392" s="7"/>
      <c r="B9392" s="7" t="str">
        <f>IFERROR(__xludf.DUMMYFUNCTION("""COMPUTED_VALUE"""),"C#;SQL;Other(s):")</f>
        <v>C#;SQL;Other(s):</v>
      </c>
      <c r="M9392" s="9" t="s">
        <v>47</v>
      </c>
    </row>
    <row r="9393" ht="15.75" customHeight="1">
      <c r="A9393" s="7"/>
      <c r="B9393" s="7" t="str">
        <f>IFERROR(__xludf.DUMMYFUNCTION("""COMPUTED_VALUE"""),"Assembly;Bash/Shell/PowerShell;C;HTML/CSS;Java;JavaScript;PHP;SQL")</f>
        <v>Assembly;Bash/Shell/PowerShell;C;HTML/CSS;Java;JavaScript;PHP;SQL</v>
      </c>
      <c r="M9393" s="9" t="s">
        <v>24</v>
      </c>
    </row>
    <row r="9394" ht="15.75" customHeight="1">
      <c r="A9394" s="7"/>
      <c r="B9394" s="7" t="str">
        <f>IFERROR(__xludf.DUMMYFUNCTION("""COMPUTED_VALUE"""),"Java")</f>
        <v>Java</v>
      </c>
      <c r="M9394" s="9" t="s">
        <v>20</v>
      </c>
    </row>
    <row r="9395" ht="15.75" customHeight="1">
      <c r="A9395" s="7"/>
      <c r="B9395" s="7" t="str">
        <f>IFERROR(__xludf.DUMMYFUNCTION("""COMPUTED_VALUE"""),"HTML/CSS;JavaScript")</f>
        <v>HTML/CSS;JavaScript</v>
      </c>
      <c r="M9395" s="9" t="s">
        <v>21</v>
      </c>
    </row>
    <row r="9396" ht="15.75" customHeight="1">
      <c r="A9396" s="7"/>
      <c r="B9396" s="7" t="str">
        <f>IFERROR(__xludf.DUMMYFUNCTION("""COMPUTED_VALUE"""),"Go;PHP")</f>
        <v>Go;PHP</v>
      </c>
      <c r="M9396" s="9" t="s">
        <v>39</v>
      </c>
    </row>
    <row r="9397" ht="15.75" customHeight="1">
      <c r="A9397" s="7"/>
      <c r="B9397" s="7" t="str">
        <f>IFERROR(__xludf.DUMMYFUNCTION("""COMPUTED_VALUE"""),"Bash/Shell/PowerShell;HTML/CSS;JavaScript;SQL;VBA;Other(s):")</f>
        <v>Bash/Shell/PowerShell;HTML/CSS;JavaScript;SQL;VBA;Other(s):</v>
      </c>
      <c r="M9397" s="9" t="s">
        <v>41</v>
      </c>
    </row>
    <row r="9398" ht="15.75" customHeight="1">
      <c r="A9398" s="7"/>
      <c r="B9398" s="7" t="str">
        <f>IFERROR(__xludf.DUMMYFUNCTION("""COMPUTED_VALUE"""),"HTML/CSS;Java;JavaScript;PHP;Python;TypeScript")</f>
        <v>HTML/CSS;Java;JavaScript;PHP;Python;TypeScript</v>
      </c>
      <c r="M9398" s="9" t="s">
        <v>37</v>
      </c>
    </row>
    <row r="9399" ht="15.75" customHeight="1">
      <c r="A9399" s="7"/>
      <c r="B9399" s="7" t="str">
        <f>IFERROR(__xludf.DUMMYFUNCTION("""COMPUTED_VALUE"""),"Java;Python;VBA")</f>
        <v>Java;Python;VBA</v>
      </c>
      <c r="M9399" s="9" t="s">
        <v>22</v>
      </c>
    </row>
    <row r="9400" ht="15.75" customHeight="1">
      <c r="A9400" s="7"/>
      <c r="B9400" s="7" t="str">
        <f>IFERROR(__xludf.DUMMYFUNCTION("""COMPUTED_VALUE"""),"Bash/Shell/PowerShell;C++;Go;HTML/CSS;Java;JavaScript;Kotlin;Python;Ruby;Rust;TypeScript")</f>
        <v>Bash/Shell/PowerShell;C++;Go;HTML/CSS;Java;JavaScript;Kotlin;Python;Ruby;Rust;TypeScript</v>
      </c>
      <c r="M9400" s="9" t="s">
        <v>27</v>
      </c>
    </row>
    <row r="9401" ht="15.75" customHeight="1">
      <c r="A9401" s="7"/>
      <c r="B9401" s="7" t="str">
        <f>IFERROR(__xludf.DUMMYFUNCTION("""COMPUTED_VALUE"""),"C#;HTML/CSS;Java;JavaScript;SQL;TypeScript;Other(s):")</f>
        <v>C#;HTML/CSS;Java;JavaScript;SQL;TypeScript;Other(s):</v>
      </c>
      <c r="M9401" s="9" t="s">
        <v>40</v>
      </c>
    </row>
    <row r="9402" ht="15.75" customHeight="1">
      <c r="A9402" s="7"/>
      <c r="B9402" s="7" t="str">
        <f>IFERROR(__xludf.DUMMYFUNCTION("""COMPUTED_VALUE"""),"JavaScript;Python;SQL;TypeScript")</f>
        <v>JavaScript;Python;SQL;TypeScript</v>
      </c>
      <c r="M9402" s="9" t="s">
        <v>38</v>
      </c>
    </row>
    <row r="9403" ht="15.75" customHeight="1">
      <c r="A9403" s="7"/>
      <c r="B9403" s="7" t="str">
        <f>IFERROR(__xludf.DUMMYFUNCTION("""COMPUTED_VALUE"""),"C#;HTML/CSS;JavaScript;SQL;TypeScript")</f>
        <v>C#;HTML/CSS;JavaScript;SQL;TypeScript</v>
      </c>
      <c r="M9403" s="9" t="s">
        <v>25</v>
      </c>
    </row>
    <row r="9404" ht="15.75" customHeight="1">
      <c r="A9404" s="7"/>
      <c r="B9404" s="7" t="str">
        <f>IFERROR(__xludf.DUMMYFUNCTION("""COMPUTED_VALUE"""),"Bash/Shell/PowerShell;C;C++;HTML/CSS;Java;JavaScript;Kotlin;PHP;Python;R;SQL;Swift")</f>
        <v>Bash/Shell/PowerShell;C;C++;HTML/CSS;Java;JavaScript;Kotlin;PHP;Python;R;SQL;Swift</v>
      </c>
      <c r="M9404" s="9" t="s">
        <v>23</v>
      </c>
    </row>
    <row r="9405" ht="15.75" customHeight="1">
      <c r="A9405" s="7"/>
      <c r="B9405" s="7" t="str">
        <f>IFERROR(__xludf.DUMMYFUNCTION("""COMPUTED_VALUE"""),"C#;Java;JavaScript;TypeScript")</f>
        <v>C#;Java;JavaScript;TypeScript</v>
      </c>
      <c r="M9405" s="9" t="s">
        <v>26</v>
      </c>
    </row>
    <row r="9406" ht="15.75" customHeight="1">
      <c r="A9406" s="7"/>
      <c r="B9406" s="7" t="str">
        <f>IFERROR(__xludf.DUMMYFUNCTION("""COMPUTED_VALUE"""),"C#;HTML/CSS;JavaScript;PHP;SQL")</f>
        <v>C#;HTML/CSS;JavaScript;PHP;SQL</v>
      </c>
      <c r="M9406" s="9" t="s">
        <v>24</v>
      </c>
    </row>
    <row r="9407" ht="15.75" customHeight="1">
      <c r="A9407" s="7"/>
      <c r="B9407" s="7" t="str">
        <f>IFERROR(__xludf.DUMMYFUNCTION("""COMPUTED_VALUE"""),"HTML/CSS;Java;JavaScript;SQL;TypeScript")</f>
        <v>HTML/CSS;Java;JavaScript;SQL;TypeScript</v>
      </c>
      <c r="M9407" s="9" t="s">
        <v>21</v>
      </c>
    </row>
    <row r="9408" ht="15.75" customHeight="1">
      <c r="A9408" s="7"/>
      <c r="B9408" s="7" t="str">
        <f>IFERROR(__xludf.DUMMYFUNCTION("""COMPUTED_VALUE"""),"Bash/Shell/PowerShell;Elixir;HTML/CSS;JavaScript;Objective-C;Ruby;SQL;TypeScript;Other(s):")</f>
        <v>Bash/Shell/PowerShell;Elixir;HTML/CSS;JavaScript;Objective-C;Ruby;SQL;TypeScript;Other(s):</v>
      </c>
      <c r="M9408" s="9" t="s">
        <v>27</v>
      </c>
    </row>
    <row r="9409" ht="15.75" customHeight="1">
      <c r="A9409" s="7"/>
      <c r="B9409" s="7" t="str">
        <f>IFERROR(__xludf.DUMMYFUNCTION("""COMPUTED_VALUE"""),"Clojure;HTML/CSS;Java;JavaScript;Python")</f>
        <v>Clojure;HTML/CSS;Java;JavaScript;Python</v>
      </c>
      <c r="M9409" s="9" t="s">
        <v>30</v>
      </c>
    </row>
    <row r="9410" ht="15.75" customHeight="1">
      <c r="A9410" s="7"/>
      <c r="B9410" s="7" t="str">
        <f>IFERROR(__xludf.DUMMYFUNCTION("""COMPUTED_VALUE"""),"Java;JavaScript")</f>
        <v>Java;JavaScript</v>
      </c>
      <c r="M9410" s="9" t="s">
        <v>24</v>
      </c>
    </row>
    <row r="9411" ht="15.75" customHeight="1">
      <c r="A9411" s="7"/>
      <c r="B9411" s="7" t="str">
        <f>IFERROR(__xludf.DUMMYFUNCTION("""COMPUTED_VALUE"""),"C#;HTML/CSS;Java;JavaScript;PHP;Python;SQL;TypeScript")</f>
        <v>C#;HTML/CSS;Java;JavaScript;PHP;Python;SQL;TypeScript</v>
      </c>
      <c r="M9411" s="9" t="s">
        <v>21</v>
      </c>
    </row>
    <row r="9412" ht="15.75" customHeight="1">
      <c r="A9412" s="7"/>
      <c r="B9412" s="7" t="str">
        <f>IFERROR(__xludf.DUMMYFUNCTION("""COMPUTED_VALUE"""),"Bash/Shell/PowerShell;HTML/CSS;JavaScript;PHP;Python;Scala;SQL;TypeScript")</f>
        <v>Bash/Shell/PowerShell;HTML/CSS;JavaScript;PHP;Python;Scala;SQL;TypeScript</v>
      </c>
      <c r="M9412" s="9" t="s">
        <v>22</v>
      </c>
    </row>
    <row r="9413" ht="15.75" customHeight="1">
      <c r="A9413" s="7"/>
      <c r="B9413" s="7" t="str">
        <f>IFERROR(__xludf.DUMMYFUNCTION("""COMPUTED_VALUE"""),"Bash/Shell/PowerShell;HTML/CSS;Java;JavaScript;Kotlin;Python;SQL;TypeScript")</f>
        <v>Bash/Shell/PowerShell;HTML/CSS;Java;JavaScript;Kotlin;Python;SQL;TypeScript</v>
      </c>
      <c r="M9413" s="9" t="s">
        <v>27</v>
      </c>
    </row>
    <row r="9414" ht="15.75" customHeight="1">
      <c r="A9414" s="7"/>
      <c r="B9414" s="7" t="str">
        <f>IFERROR(__xludf.DUMMYFUNCTION("""COMPUTED_VALUE"""),"C#;HTML/CSS;JavaScript;PHP;SQL;TypeScript")</f>
        <v>C#;HTML/CSS;JavaScript;PHP;SQL;TypeScript</v>
      </c>
      <c r="M9414" s="9" t="s">
        <v>28</v>
      </c>
    </row>
    <row r="9415" ht="15.75" customHeight="1">
      <c r="A9415" s="7"/>
      <c r="B9415" s="7" t="str">
        <f>IFERROR(__xludf.DUMMYFUNCTION("""COMPUTED_VALUE"""),"Bash/Shell/PowerShell;C++;Go;Python;SQL")</f>
        <v>Bash/Shell/PowerShell;C++;Go;Python;SQL</v>
      </c>
      <c r="M9415" s="9" t="s">
        <v>23</v>
      </c>
    </row>
    <row r="9416" ht="15.75" customHeight="1">
      <c r="A9416" s="7"/>
      <c r="B9416" s="7" t="str">
        <f>IFERROR(__xludf.DUMMYFUNCTION("""COMPUTED_VALUE"""),"HTML/CSS;Java;JavaScript;Python")</f>
        <v>HTML/CSS;Java;JavaScript;Python</v>
      </c>
      <c r="M9416" s="9" t="s">
        <v>26</v>
      </c>
    </row>
    <row r="9417" ht="15.75" customHeight="1">
      <c r="A9417" s="7"/>
      <c r="B9417" s="7" t="str">
        <f>IFERROR(__xludf.DUMMYFUNCTION("""COMPUTED_VALUE"""),"C;HTML/CSS;Java;JavaScript;PHP;Python;R;SQL")</f>
        <v>C;HTML/CSS;Java;JavaScript;PHP;Python;R;SQL</v>
      </c>
      <c r="M9417" s="9" t="s">
        <v>24</v>
      </c>
    </row>
    <row r="9418" ht="15.75" customHeight="1">
      <c r="A9418" s="7"/>
      <c r="B9418" s="7" t="str">
        <f>IFERROR(__xludf.DUMMYFUNCTION("""COMPUTED_VALUE"""),"HTML/CSS;JavaScript;PHP;Python;SQL;TypeScript")</f>
        <v>HTML/CSS;JavaScript;PHP;Python;SQL;TypeScript</v>
      </c>
      <c r="M9418" s="9" t="s">
        <v>21</v>
      </c>
    </row>
    <row r="9419" ht="15.75" customHeight="1">
      <c r="A9419" s="7"/>
      <c r="B9419" s="7" t="str">
        <f>IFERROR(__xludf.DUMMYFUNCTION("""COMPUTED_VALUE"""),"Java;JavaScript;PHP;TypeScript")</f>
        <v>Java;JavaScript;PHP;TypeScript</v>
      </c>
      <c r="M9419" s="9" t="s">
        <v>22</v>
      </c>
    </row>
    <row r="9420" ht="15.75" customHeight="1">
      <c r="A9420" s="7"/>
      <c r="B9420" s="7" t="str">
        <f>IFERROR(__xludf.DUMMYFUNCTION("""COMPUTED_VALUE"""),"Bash/Shell/PowerShell;HTML/CSS;Java;JavaScript;Python;TypeScript")</f>
        <v>Bash/Shell/PowerShell;HTML/CSS;Java;JavaScript;Python;TypeScript</v>
      </c>
      <c r="M9420" s="9" t="s">
        <v>27</v>
      </c>
    </row>
    <row r="9421" ht="15.75" customHeight="1">
      <c r="A9421" s="7"/>
      <c r="B9421" s="7" t="str">
        <f>IFERROR(__xludf.DUMMYFUNCTION("""COMPUTED_VALUE"""),"HTML/CSS;Java;JavaScript;Scala")</f>
        <v>HTML/CSS;Java;JavaScript;Scala</v>
      </c>
      <c r="M9421" s="9" t="s">
        <v>33</v>
      </c>
    </row>
    <row r="9422" ht="15.75" customHeight="1">
      <c r="A9422" s="7"/>
      <c r="B9422" s="7" t="str">
        <f>IFERROR(__xludf.DUMMYFUNCTION("""COMPUTED_VALUE"""),"Python")</f>
        <v>Python</v>
      </c>
      <c r="M9422" s="9" t="s">
        <v>24</v>
      </c>
    </row>
    <row r="9423" ht="15.75" customHeight="1">
      <c r="A9423" s="7"/>
      <c r="B9423" s="7" t="str">
        <f>IFERROR(__xludf.DUMMYFUNCTION("""COMPUTED_VALUE"""),"C#;HTML/CSS;Java;PHP")</f>
        <v>C#;HTML/CSS;Java;PHP</v>
      </c>
      <c r="M9423" s="9" t="s">
        <v>20</v>
      </c>
    </row>
    <row r="9424" ht="15.75" customHeight="1">
      <c r="A9424" s="7"/>
      <c r="B9424" s="7" t="str">
        <f>IFERROR(__xludf.DUMMYFUNCTION("""COMPUTED_VALUE"""),"Java;SQL")</f>
        <v>Java;SQL</v>
      </c>
      <c r="M9424" s="9" t="s">
        <v>25</v>
      </c>
    </row>
    <row r="9425" ht="15.75" customHeight="1">
      <c r="A9425" s="7"/>
      <c r="B9425" s="7" t="str">
        <f>IFERROR(__xludf.DUMMYFUNCTION("""COMPUTED_VALUE"""),"C#;HTML/CSS;JavaScript;Python;SQL")</f>
        <v>C#;HTML/CSS;JavaScript;Python;SQL</v>
      </c>
      <c r="M9425" s="9" t="s">
        <v>23</v>
      </c>
    </row>
    <row r="9426" ht="15.75" customHeight="1">
      <c r="A9426" s="7"/>
      <c r="B9426" s="7" t="str">
        <f>IFERROR(__xludf.DUMMYFUNCTION("""COMPUTED_VALUE"""),"Bash/Shell/PowerShell;HTML/CSS;JavaScript;PHP")</f>
        <v>Bash/Shell/PowerShell;HTML/CSS;JavaScript;PHP</v>
      </c>
      <c r="M9426" s="9" t="s">
        <v>26</v>
      </c>
    </row>
    <row r="9427" ht="15.75" customHeight="1">
      <c r="A9427" s="7"/>
      <c r="B9427" s="7" t="str">
        <f>IFERROR(__xludf.DUMMYFUNCTION("""COMPUTED_VALUE"""),"Bash/Shell/PowerShell;JavaScript;Python")</f>
        <v>Bash/Shell/PowerShell;JavaScript;Python</v>
      </c>
      <c r="M9427" s="9" t="s">
        <v>24</v>
      </c>
    </row>
    <row r="9428" ht="15.75" customHeight="1">
      <c r="A9428" s="7"/>
      <c r="B9428" s="7" t="str">
        <f>IFERROR(__xludf.DUMMYFUNCTION("""COMPUTED_VALUE"""),"HTML/CSS;JavaScript;PHP;SQL;TypeScript")</f>
        <v>HTML/CSS;JavaScript;PHP;SQL;TypeScript</v>
      </c>
      <c r="M9428" s="9" t="s">
        <v>21</v>
      </c>
    </row>
    <row r="9429" ht="15.75" customHeight="1">
      <c r="A9429" s="7"/>
      <c r="B9429" s="7" t="str">
        <f>IFERROR(__xludf.DUMMYFUNCTION("""COMPUTED_VALUE"""),"HTML/CSS;JavaScript;Python;Rust;SQL")</f>
        <v>HTML/CSS;JavaScript;Python;Rust;SQL</v>
      </c>
      <c r="M9429" s="9" t="s">
        <v>33</v>
      </c>
    </row>
    <row r="9430" ht="15.75" customHeight="1">
      <c r="A9430" s="7"/>
      <c r="B9430" s="7" t="str">
        <f>IFERROR(__xludf.DUMMYFUNCTION("""COMPUTED_VALUE"""),"Bash/Shell/PowerShell;C#;HTML/CSS;Java;JavaScript;Python;SQL;Other(s):")</f>
        <v>Bash/Shell/PowerShell;C#;HTML/CSS;Java;JavaScript;Python;SQL;Other(s):</v>
      </c>
      <c r="M9430" s="9" t="s">
        <v>24</v>
      </c>
    </row>
    <row r="9431" ht="15.75" customHeight="1">
      <c r="A9431" s="7"/>
      <c r="B9431" s="7" t="str">
        <f>IFERROR(__xludf.DUMMYFUNCTION("""COMPUTED_VALUE"""),"Bash/Shell/PowerShell;C++;C#;HTML/CSS;Java;JavaScript;Objective-C;SQL;Swift")</f>
        <v>Bash/Shell/PowerShell;C++;C#;HTML/CSS;Java;JavaScript;Objective-C;SQL;Swift</v>
      </c>
      <c r="M9431" s="9" t="s">
        <v>21</v>
      </c>
    </row>
    <row r="9432" ht="15.75" customHeight="1">
      <c r="A9432" s="7"/>
      <c r="B9432" s="7" t="str">
        <f>IFERROR(__xludf.DUMMYFUNCTION("""COMPUTED_VALUE"""),"HTML/CSS;JavaScript")</f>
        <v>HTML/CSS;JavaScript</v>
      </c>
      <c r="M9432" s="9" t="s">
        <v>22</v>
      </c>
    </row>
    <row r="9433" ht="15.75" customHeight="1">
      <c r="A9433" s="7"/>
      <c r="B9433" s="7" t="str">
        <f>IFERROR(__xludf.DUMMYFUNCTION("""COMPUTED_VALUE"""),"Bash/Shell/PowerShell;C;Go;JavaScript;Python;Ruby")</f>
        <v>Bash/Shell/PowerShell;C;Go;JavaScript;Python;Ruby</v>
      </c>
      <c r="M9433" s="9" t="s">
        <v>29</v>
      </c>
    </row>
    <row r="9434" ht="15.75" customHeight="1">
      <c r="A9434" s="7"/>
      <c r="B9434" s="7" t="str">
        <f>IFERROR(__xludf.DUMMYFUNCTION("""COMPUTED_VALUE"""),"Go;JavaScript;PHP;SQL")</f>
        <v>Go;JavaScript;PHP;SQL</v>
      </c>
      <c r="M9434" s="9" t="s">
        <v>28</v>
      </c>
    </row>
    <row r="9435" ht="15.75" customHeight="1">
      <c r="A9435" s="7"/>
      <c r="B9435" s="7" t="str">
        <f>IFERROR(__xludf.DUMMYFUNCTION("""COMPUTED_VALUE"""),"HTML/CSS;JavaScript;PHP;SQL")</f>
        <v>HTML/CSS;JavaScript;PHP;SQL</v>
      </c>
      <c r="M9435" s="9" t="s">
        <v>30</v>
      </c>
    </row>
    <row r="9436" ht="15.75" customHeight="1">
      <c r="A9436" s="7"/>
      <c r="B9436" s="7" t="str">
        <f>IFERROR(__xludf.DUMMYFUNCTION("""COMPUTED_VALUE"""),"Bash/Shell/PowerShell;HTML/CSS;JavaScript;Python")</f>
        <v>Bash/Shell/PowerShell;HTML/CSS;JavaScript;Python</v>
      </c>
      <c r="M9436" s="9" t="s">
        <v>26</v>
      </c>
    </row>
    <row r="9437" ht="15.75" customHeight="1">
      <c r="A9437" s="7"/>
      <c r="B9437" s="7" t="str">
        <f>IFERROR(__xludf.DUMMYFUNCTION("""COMPUTED_VALUE"""),"C++;C#;HTML/CSS;Java;JavaScript;PHP;SQL")</f>
        <v>C++;C#;HTML/CSS;Java;JavaScript;PHP;SQL</v>
      </c>
      <c r="M9437" s="9" t="s">
        <v>24</v>
      </c>
    </row>
    <row r="9438" ht="15.75" customHeight="1">
      <c r="A9438" s="7"/>
      <c r="B9438" s="7" t="str">
        <f>IFERROR(__xludf.DUMMYFUNCTION("""COMPUTED_VALUE"""),"Python")</f>
        <v>Python</v>
      </c>
      <c r="M9438" s="9" t="s">
        <v>21</v>
      </c>
    </row>
    <row r="9439" ht="15.75" customHeight="1">
      <c r="A9439" s="7"/>
      <c r="B9439" s="7" t="str">
        <f>IFERROR(__xludf.DUMMYFUNCTION("""COMPUTED_VALUE"""),"Bash/Shell/PowerShell;HTML/CSS;Java;JavaScript;Python;SQL;Other(s):")</f>
        <v>Bash/Shell/PowerShell;HTML/CSS;Java;JavaScript;Python;SQL;Other(s):</v>
      </c>
      <c r="M9439" s="9" t="s">
        <v>27</v>
      </c>
    </row>
    <row r="9440" ht="15.75" customHeight="1">
      <c r="A9440" s="7"/>
      <c r="B9440" s="7" t="str">
        <f>IFERROR(__xludf.DUMMYFUNCTION("""COMPUTED_VALUE"""),"C++;C#;HTML/CSS;Java;JavaScript;PHP;SQL")</f>
        <v>C++;C#;HTML/CSS;Java;JavaScript;PHP;SQL</v>
      </c>
      <c r="M9440" s="9" t="s">
        <v>33</v>
      </c>
    </row>
    <row r="9441" ht="15.75" customHeight="1">
      <c r="A9441" s="7"/>
      <c r="B9441" s="7" t="str">
        <f>IFERROR(__xludf.DUMMYFUNCTION("""COMPUTED_VALUE"""),"Python;R;VBA")</f>
        <v>Python;R;VBA</v>
      </c>
      <c r="M9441" s="9" t="s">
        <v>26</v>
      </c>
    </row>
    <row r="9442" ht="15.75" customHeight="1">
      <c r="A9442" s="7"/>
      <c r="B9442" s="7" t="str">
        <f>IFERROR(__xludf.DUMMYFUNCTION("""COMPUTED_VALUE"""),"Assembly;HTML/CSS;Java;JavaScript;PHP;Python;SQL;TypeScript")</f>
        <v>Assembly;HTML/CSS;Java;JavaScript;PHP;Python;SQL;TypeScript</v>
      </c>
      <c r="M9442" s="9" t="s">
        <v>24</v>
      </c>
    </row>
    <row r="9443" ht="15.75" customHeight="1">
      <c r="A9443" s="7"/>
      <c r="B9443" s="7" t="str">
        <f>IFERROR(__xludf.DUMMYFUNCTION("""COMPUTED_VALUE"""),"C++;C#;Dart;HTML/CSS;Java;JavaScript;SQL;TypeScript;WebAssembly")</f>
        <v>C++;C#;Dart;HTML/CSS;Java;JavaScript;SQL;TypeScript;WebAssembly</v>
      </c>
      <c r="M9443" s="9" t="s">
        <v>21</v>
      </c>
    </row>
    <row r="9444" ht="15.75" customHeight="1">
      <c r="A9444" s="7"/>
      <c r="B9444" s="7" t="str">
        <f>IFERROR(__xludf.DUMMYFUNCTION("""COMPUTED_VALUE"""),"Bash/Shell/PowerShell;C++;HTML/CSS;Java;JavaScript;PHP;Python;SQL")</f>
        <v>Bash/Shell/PowerShell;C++;HTML/CSS;Java;JavaScript;PHP;Python;SQL</v>
      </c>
      <c r="M9444" s="9" t="s">
        <v>27</v>
      </c>
    </row>
    <row r="9445" ht="15.75" customHeight="1">
      <c r="A9445" s="7"/>
      <c r="B9445" s="7" t="str">
        <f>IFERROR(__xludf.DUMMYFUNCTION("""COMPUTED_VALUE"""),"Bash/Shell/PowerShell;SQL")</f>
        <v>Bash/Shell/PowerShell;SQL</v>
      </c>
      <c r="M9445" s="9" t="s">
        <v>33</v>
      </c>
    </row>
    <row r="9446" ht="15.75" customHeight="1">
      <c r="A9446" s="7"/>
      <c r="B9446" s="7" t="str">
        <f>IFERROR(__xludf.DUMMYFUNCTION("""COMPUTED_VALUE"""),"Python")</f>
        <v>Python</v>
      </c>
      <c r="M9446" s="9" t="s">
        <v>23</v>
      </c>
    </row>
    <row r="9447" ht="15.75" customHeight="1">
      <c r="A9447" s="7"/>
      <c r="B9447" s="7" t="str">
        <f>IFERROR(__xludf.DUMMYFUNCTION("""COMPUTED_VALUE"""),"C;C++;HTML/CSS;Java;Python")</f>
        <v>C;C++;HTML/CSS;Java;Python</v>
      </c>
      <c r="M9447" s="9" t="s">
        <v>26</v>
      </c>
    </row>
    <row r="9448" ht="15.75" customHeight="1">
      <c r="A9448" s="7"/>
      <c r="B9448" s="7" t="str">
        <f>IFERROR(__xludf.DUMMYFUNCTION("""COMPUTED_VALUE"""),"C++;Python")</f>
        <v>C++;Python</v>
      </c>
      <c r="M9448" s="9" t="s">
        <v>24</v>
      </c>
    </row>
    <row r="9449" ht="15.75" customHeight="1">
      <c r="A9449" s="7"/>
      <c r="B9449" s="7" t="str">
        <f>IFERROR(__xludf.DUMMYFUNCTION("""COMPUTED_VALUE"""),"HTML/CSS;JavaScript;PHP")</f>
        <v>HTML/CSS;JavaScript;PHP</v>
      </c>
      <c r="M9449" s="9" t="s">
        <v>20</v>
      </c>
    </row>
    <row r="9450" ht="15.75" customHeight="1">
      <c r="A9450" s="7"/>
      <c r="B9450" s="7" t="str">
        <f>IFERROR(__xludf.DUMMYFUNCTION("""COMPUTED_VALUE"""),"Bash/Shell/PowerShell;Go;Java;Python;SQL")</f>
        <v>Bash/Shell/PowerShell;Go;Java;Python;SQL</v>
      </c>
      <c r="M9450" s="9" t="s">
        <v>21</v>
      </c>
    </row>
    <row r="9451" ht="15.75" customHeight="1">
      <c r="A9451" s="7"/>
      <c r="B9451" s="7" t="str">
        <f>IFERROR(__xludf.DUMMYFUNCTION("""COMPUTED_VALUE"""),"Go;HTML/CSS;JavaScript;Python;Other(s):")</f>
        <v>Go;HTML/CSS;JavaScript;Python;Other(s):</v>
      </c>
      <c r="M9451" s="9" t="s">
        <v>27</v>
      </c>
    </row>
    <row r="9452" ht="15.75" customHeight="1">
      <c r="A9452" s="7"/>
      <c r="B9452" s="7" t="str">
        <f>IFERROR(__xludf.DUMMYFUNCTION("""COMPUTED_VALUE"""),"C")</f>
        <v>C</v>
      </c>
      <c r="M9452" s="9" t="s">
        <v>30</v>
      </c>
    </row>
    <row r="9453" ht="15.75" customHeight="1">
      <c r="A9453" s="7"/>
      <c r="B9453" s="7" t="str">
        <f>IFERROR(__xludf.DUMMYFUNCTION("""COMPUTED_VALUE"""),"Bash/Shell/PowerShell;C;C++;HTML/CSS;Java;JavaScript;Python")</f>
        <v>Bash/Shell/PowerShell;C;C++;HTML/CSS;Java;JavaScript;Python</v>
      </c>
      <c r="M9453" s="9" t="s">
        <v>26</v>
      </c>
    </row>
    <row r="9454" ht="15.75" customHeight="1">
      <c r="A9454" s="7"/>
      <c r="B9454" s="7" t="str">
        <f>IFERROR(__xludf.DUMMYFUNCTION("""COMPUTED_VALUE"""),"Bash/Shell/PowerShell;C;C++")</f>
        <v>Bash/Shell/PowerShell;C;C++</v>
      </c>
      <c r="M9454" s="9" t="s">
        <v>42</v>
      </c>
    </row>
    <row r="9455" ht="15.75" customHeight="1">
      <c r="A9455" s="7"/>
      <c r="B9455" s="7" t="str">
        <f>IFERROR(__xludf.DUMMYFUNCTION("""COMPUTED_VALUE"""),"Bash/Shell/PowerShell;HTML/CSS;JavaScript;Python;SQL")</f>
        <v>Bash/Shell/PowerShell;HTML/CSS;JavaScript;Python;SQL</v>
      </c>
      <c r="M9455" s="9" t="s">
        <v>24</v>
      </c>
    </row>
    <row r="9456" ht="15.75" customHeight="1">
      <c r="A9456" s="7"/>
      <c r="B9456" s="7" t="str">
        <f>IFERROR(__xludf.DUMMYFUNCTION("""COMPUTED_VALUE"""),"Bash/Shell/PowerShell;HTML/CSS;Java;JavaScript;Scala;SQL")</f>
        <v>Bash/Shell/PowerShell;HTML/CSS;Java;JavaScript;Scala;SQL</v>
      </c>
      <c r="M9456" s="9" t="s">
        <v>20</v>
      </c>
    </row>
    <row r="9457" ht="15.75" customHeight="1">
      <c r="A9457" s="7"/>
      <c r="B9457" s="7" t="str">
        <f>IFERROR(__xludf.DUMMYFUNCTION("""COMPUTED_VALUE"""),"Bash/Shell/PowerShell;HTML/CSS;Java;JavaScript;Python")</f>
        <v>Bash/Shell/PowerShell;HTML/CSS;Java;JavaScript;Python</v>
      </c>
      <c r="M9457" s="9" t="s">
        <v>21</v>
      </c>
    </row>
    <row r="9458" ht="15.75" customHeight="1">
      <c r="A9458" s="7"/>
      <c r="B9458" s="7" t="str">
        <f>IFERROR(__xludf.DUMMYFUNCTION("""COMPUTED_VALUE"""),"HTML/CSS;Java;JavaScript;R;SQL;VBA")</f>
        <v>HTML/CSS;Java;JavaScript;R;SQL;VBA</v>
      </c>
      <c r="M9458" s="9" t="s">
        <v>37</v>
      </c>
    </row>
    <row r="9459" ht="15.75" customHeight="1">
      <c r="A9459" s="7"/>
      <c r="B9459" s="7" t="str">
        <f>IFERROR(__xludf.DUMMYFUNCTION("""COMPUTED_VALUE"""),"Bash/Shell/PowerShell;HTML/CSS;Java;JavaScript;Python;SQL;TypeScript;Other(s):")</f>
        <v>Bash/Shell/PowerShell;HTML/CSS;Java;JavaScript;Python;SQL;TypeScript;Other(s):</v>
      </c>
      <c r="M9459" s="9" t="s">
        <v>22</v>
      </c>
    </row>
    <row r="9460" ht="15.75" customHeight="1">
      <c r="A9460" s="7"/>
      <c r="B9460" s="7" t="str">
        <f>IFERROR(__xludf.DUMMYFUNCTION("""COMPUTED_VALUE"""),"HTML/CSS;JavaScript;Python")</f>
        <v>HTML/CSS;JavaScript;Python</v>
      </c>
      <c r="M9460" s="9" t="s">
        <v>31</v>
      </c>
    </row>
    <row r="9461" ht="15.75" customHeight="1">
      <c r="A9461" s="7"/>
      <c r="B9461" s="7" t="str">
        <f>IFERROR(__xludf.DUMMYFUNCTION("""COMPUTED_VALUE"""),"HTML/CSS;Java;JavaScript")</f>
        <v>HTML/CSS;Java;JavaScript</v>
      </c>
      <c r="M9461" s="9" t="s">
        <v>27</v>
      </c>
    </row>
    <row r="9462" ht="15.75" customHeight="1">
      <c r="A9462" s="7"/>
      <c r="B9462" s="7" t="str">
        <f>IFERROR(__xludf.DUMMYFUNCTION("""COMPUTED_VALUE"""),"Bash/Shell/PowerShell;C#;Go;HTML/CSS;JavaScript;Python;SQL;TypeScript")</f>
        <v>Bash/Shell/PowerShell;C#;Go;HTML/CSS;JavaScript;Python;SQL;TypeScript</v>
      </c>
      <c r="M9462" s="9" t="s">
        <v>20</v>
      </c>
    </row>
    <row r="9463" ht="15.75" customHeight="1">
      <c r="A9463" s="7"/>
      <c r="B9463" s="7" t="str">
        <f>IFERROR(__xludf.DUMMYFUNCTION("""COMPUTED_VALUE"""),"Bash/Shell/PowerShell;Go;HTML/CSS;Java;JavaScript;Python;Ruby;Scala;SQL")</f>
        <v>Bash/Shell/PowerShell;Go;HTML/CSS;Java;JavaScript;Python;Ruby;Scala;SQL</v>
      </c>
      <c r="M9463" s="9" t="s">
        <v>30</v>
      </c>
    </row>
    <row r="9464" ht="15.75" customHeight="1">
      <c r="A9464" s="7"/>
      <c r="B9464" s="7" t="str">
        <f>IFERROR(__xludf.DUMMYFUNCTION("""COMPUTED_VALUE"""),"C;JavaScript;Ruby;Rust;SQL")</f>
        <v>C;JavaScript;Ruby;Rust;SQL</v>
      </c>
      <c r="M9464" s="9" t="s">
        <v>24</v>
      </c>
    </row>
    <row r="9465" ht="15.75" customHeight="1">
      <c r="A9465" s="7"/>
      <c r="B9465" s="7" t="str">
        <f>IFERROR(__xludf.DUMMYFUNCTION("""COMPUTED_VALUE"""),"C++;C#;Java;Python")</f>
        <v>C++;C#;Java;Python</v>
      </c>
      <c r="M9465" s="9" t="s">
        <v>21</v>
      </c>
    </row>
    <row r="9466" ht="15.75" customHeight="1">
      <c r="A9466" s="7"/>
      <c r="B9466" s="7" t="str">
        <f>IFERROR(__xludf.DUMMYFUNCTION("""COMPUTED_VALUE"""),"Go;JavaScript;TypeScript")</f>
        <v>Go;JavaScript;TypeScript</v>
      </c>
      <c r="M9466" s="9" t="s">
        <v>37</v>
      </c>
    </row>
    <row r="9467" ht="15.75" customHeight="1">
      <c r="A9467" s="7"/>
      <c r="B9467" s="7" t="str">
        <f>IFERROR(__xludf.DUMMYFUNCTION("""COMPUTED_VALUE"""),"Bash/Shell/PowerShell;C++;C#;HTML/CSS;JavaScript;Python")</f>
        <v>Bash/Shell/PowerShell;C++;C#;HTML/CSS;JavaScript;Python</v>
      </c>
      <c r="M9467" s="9" t="s">
        <v>22</v>
      </c>
    </row>
    <row r="9468" ht="15.75" customHeight="1">
      <c r="A9468" s="7"/>
      <c r="B9468" s="7" t="str">
        <f>IFERROR(__xludf.DUMMYFUNCTION("""COMPUTED_VALUE"""),"HTML/CSS;JavaScript;PHP;Ruby")</f>
        <v>HTML/CSS;JavaScript;PHP;Ruby</v>
      </c>
      <c r="M9468" s="9" t="s">
        <v>27</v>
      </c>
    </row>
    <row r="9469" ht="15.75" customHeight="1">
      <c r="A9469" s="7"/>
      <c r="B9469" s="7" t="str">
        <f>IFERROR(__xludf.DUMMYFUNCTION("""COMPUTED_VALUE"""),"Java")</f>
        <v>Java</v>
      </c>
      <c r="M9469" s="9" t="s">
        <v>28</v>
      </c>
    </row>
    <row r="9470" ht="15.75" customHeight="1">
      <c r="A9470" s="7"/>
      <c r="B9470" s="7" t="str">
        <f>IFERROR(__xludf.DUMMYFUNCTION("""COMPUTED_VALUE"""),"C;C++;Java;Python;R;SQL")</f>
        <v>C;C++;Java;Python;R;SQL</v>
      </c>
      <c r="M9470" s="9" t="s">
        <v>38</v>
      </c>
    </row>
    <row r="9471" ht="15.75" customHeight="1">
      <c r="A9471" s="7"/>
      <c r="B9471" s="7" t="str">
        <f>IFERROR(__xludf.DUMMYFUNCTION("""COMPUTED_VALUE"""),"C#;HTML/CSS;JavaScript;SQL")</f>
        <v>C#;HTML/CSS;JavaScript;SQL</v>
      </c>
      <c r="M9471" s="9" t="s">
        <v>30</v>
      </c>
    </row>
    <row r="9472" ht="15.75" customHeight="1">
      <c r="A9472" s="7"/>
      <c r="B9472" s="7" t="str">
        <f>IFERROR(__xludf.DUMMYFUNCTION("""COMPUTED_VALUE"""),"C#;HTML/CSS;JavaScript;Python;SQL")</f>
        <v>C#;HTML/CSS;JavaScript;Python;SQL</v>
      </c>
      <c r="M9472" s="9" t="s">
        <v>25</v>
      </c>
    </row>
    <row r="9473" ht="15.75" customHeight="1">
      <c r="A9473" s="7"/>
      <c r="B9473" s="7" t="str">
        <f>IFERROR(__xludf.DUMMYFUNCTION("""COMPUTED_VALUE"""),"C#;HTML/CSS;JavaScript;PHP;SQL;TypeScript;VBA;Other(s):")</f>
        <v>C#;HTML/CSS;JavaScript;PHP;SQL;TypeScript;VBA;Other(s):</v>
      </c>
      <c r="M9473" s="9" t="s">
        <v>23</v>
      </c>
    </row>
    <row r="9474" ht="15.75" customHeight="1">
      <c r="A9474" s="7"/>
      <c r="B9474" s="7" t="str">
        <f>IFERROR(__xludf.DUMMYFUNCTION("""COMPUTED_VALUE"""),"C#;R;SQL")</f>
        <v>C#;R;SQL</v>
      </c>
      <c r="M9474" s="9" t="s">
        <v>26</v>
      </c>
    </row>
    <row r="9475" ht="15.75" customHeight="1">
      <c r="A9475" s="7"/>
      <c r="B9475" s="7" t="str">
        <f>IFERROR(__xludf.DUMMYFUNCTION("""COMPUTED_VALUE"""),"HTML/CSS;Java;JavaScript;Ruby")</f>
        <v>HTML/CSS;Java;JavaScript;Ruby</v>
      </c>
      <c r="M9475" s="9" t="s">
        <v>24</v>
      </c>
    </row>
    <row r="9476" ht="15.75" customHeight="1">
      <c r="A9476" s="7"/>
      <c r="B9476" s="7" t="str">
        <f>IFERROR(__xludf.DUMMYFUNCTION("""COMPUTED_VALUE"""),"HTML/CSS;JavaScript;Objective-C;Swift")</f>
        <v>HTML/CSS;JavaScript;Objective-C;Swift</v>
      </c>
      <c r="M9476" s="9" t="s">
        <v>20</v>
      </c>
    </row>
    <row r="9477" ht="15.75" customHeight="1">
      <c r="A9477" s="7"/>
      <c r="B9477" s="7" t="str">
        <f>IFERROR(__xludf.DUMMYFUNCTION("""COMPUTED_VALUE"""),"Bash/Shell/PowerShell;HTML/CSS;Java;JavaScript;SQL;TypeScript")</f>
        <v>Bash/Shell/PowerShell;HTML/CSS;Java;JavaScript;SQL;TypeScript</v>
      </c>
      <c r="M9477" s="9" t="s">
        <v>21</v>
      </c>
    </row>
    <row r="9478" ht="15.75" customHeight="1">
      <c r="A9478" s="7"/>
      <c r="B9478" s="7" t="str">
        <f>IFERROR(__xludf.DUMMYFUNCTION("""COMPUTED_VALUE"""),"Bash/Shell/PowerShell;C#;Python")</f>
        <v>Bash/Shell/PowerShell;C#;Python</v>
      </c>
      <c r="M9478" s="9" t="s">
        <v>37</v>
      </c>
    </row>
    <row r="9479" ht="15.75" customHeight="1">
      <c r="A9479" s="7"/>
      <c r="B9479" s="7" t="str">
        <f>IFERROR(__xludf.DUMMYFUNCTION("""COMPUTED_VALUE"""),"Bash/Shell/PowerShell;HTML/CSS;JavaScript;PHP;Python;SQL;Other(s):")</f>
        <v>Bash/Shell/PowerShell;HTML/CSS;JavaScript;PHP;Python;SQL;Other(s):</v>
      </c>
      <c r="M9479" s="9" t="s">
        <v>22</v>
      </c>
    </row>
    <row r="9480" ht="15.75" customHeight="1">
      <c r="A9480" s="7"/>
      <c r="B9480" s="7" t="str">
        <f>IFERROR(__xludf.DUMMYFUNCTION("""COMPUTED_VALUE"""),"HTML/CSS;JavaScript;PHP;SQL")</f>
        <v>HTML/CSS;JavaScript;PHP;SQL</v>
      </c>
      <c r="M9480" s="9" t="s">
        <v>27</v>
      </c>
    </row>
    <row r="9481" ht="15.75" customHeight="1">
      <c r="A9481" s="7"/>
      <c r="B9481" s="7" t="str">
        <f>IFERROR(__xludf.DUMMYFUNCTION("""COMPUTED_VALUE"""),"HTML/CSS;JavaScript;PHP;Python;TypeScript")</f>
        <v>HTML/CSS;JavaScript;PHP;Python;TypeScript</v>
      </c>
      <c r="M9481" s="9" t="s">
        <v>40</v>
      </c>
    </row>
    <row r="9482" ht="15.75" customHeight="1">
      <c r="A9482" s="7"/>
      <c r="B9482" s="7" t="str">
        <f>IFERROR(__xludf.DUMMYFUNCTION("""COMPUTED_VALUE"""),"HTML/CSS;JavaScript;PHP;SQL;TypeScript")</f>
        <v>HTML/CSS;JavaScript;PHP;SQL;TypeScript</v>
      </c>
      <c r="M9482" s="9" t="s">
        <v>33</v>
      </c>
    </row>
    <row r="9483" ht="15.75" customHeight="1">
      <c r="A9483" s="7"/>
      <c r="B9483" s="7" t="str">
        <f>IFERROR(__xludf.DUMMYFUNCTION("""COMPUTED_VALUE"""),"Java;JavaScript")</f>
        <v>Java;JavaScript</v>
      </c>
      <c r="M9483" s="9" t="s">
        <v>28</v>
      </c>
    </row>
    <row r="9484" ht="15.75" customHeight="1">
      <c r="A9484" s="7"/>
      <c r="B9484" s="7" t="str">
        <f>IFERROR(__xludf.DUMMYFUNCTION("""COMPUTED_VALUE"""),"C#;HTML/CSS;JavaScript;Objective-C")</f>
        <v>C#;HTML/CSS;JavaScript;Objective-C</v>
      </c>
      <c r="M9484" s="9" t="s">
        <v>30</v>
      </c>
    </row>
    <row r="9485" ht="15.75" customHeight="1">
      <c r="A9485" s="7"/>
      <c r="B9485" s="7" t="str">
        <f>IFERROR(__xludf.DUMMYFUNCTION("""COMPUTED_VALUE"""),"HTML/CSS;JavaScript;PHP;SQL")</f>
        <v>HTML/CSS;JavaScript;PHP;SQL</v>
      </c>
      <c r="M9485" s="9" t="s">
        <v>25</v>
      </c>
    </row>
    <row r="9486" ht="15.75" customHeight="1">
      <c r="A9486" s="7"/>
      <c r="B9486" s="7" t="str">
        <f>IFERROR(__xludf.DUMMYFUNCTION("""COMPUTED_VALUE"""),"C;C++;Java;Python")</f>
        <v>C;C++;Java;Python</v>
      </c>
      <c r="M9486" s="9" t="s">
        <v>24</v>
      </c>
    </row>
    <row r="9487" ht="15.75" customHeight="1">
      <c r="A9487" s="7"/>
      <c r="B9487" s="7" t="str">
        <f>IFERROR(__xludf.DUMMYFUNCTION("""COMPUTED_VALUE"""),"Assembly;C;C++;HTML/CSS;Java;JavaScript;Python;Swift")</f>
        <v>Assembly;C;C++;HTML/CSS;Java;JavaScript;Python;Swift</v>
      </c>
      <c r="M9487" s="9" t="s">
        <v>20</v>
      </c>
    </row>
    <row r="9488" ht="15.75" customHeight="1">
      <c r="A9488" s="7"/>
      <c r="B9488" s="7" t="str">
        <f>IFERROR(__xludf.DUMMYFUNCTION("""COMPUTED_VALUE"""),"Java;Python;R;Rust;Scala;SQL;Swift")</f>
        <v>Java;Python;R;Rust;Scala;SQL;Swift</v>
      </c>
      <c r="M9488" s="9" t="s">
        <v>21</v>
      </c>
    </row>
    <row r="9489" ht="15.75" customHeight="1">
      <c r="A9489" s="7"/>
      <c r="B9489" s="7" t="str">
        <f>IFERROR(__xludf.DUMMYFUNCTION("""COMPUTED_VALUE"""),"Bash/Shell/PowerShell;HTML/CSS;JavaScript;PHP;Python;SQL")</f>
        <v>Bash/Shell/PowerShell;HTML/CSS;JavaScript;PHP;Python;SQL</v>
      </c>
      <c r="M9489" s="9" t="s">
        <v>41</v>
      </c>
    </row>
    <row r="9490" ht="15.75" customHeight="1">
      <c r="A9490" s="7"/>
      <c r="B9490" s="7" t="str">
        <f>IFERROR(__xludf.DUMMYFUNCTION("""COMPUTED_VALUE"""),"C#;HTML/CSS;JavaScript;TypeScript")</f>
        <v>C#;HTML/CSS;JavaScript;TypeScript</v>
      </c>
      <c r="M9490" s="9" t="s">
        <v>37</v>
      </c>
    </row>
    <row r="9491" ht="15.75" customHeight="1">
      <c r="A9491" s="7"/>
      <c r="B9491" s="7" t="str">
        <f>IFERROR(__xludf.DUMMYFUNCTION("""COMPUTED_VALUE"""),"Python;Other(s):")</f>
        <v>Python;Other(s):</v>
      </c>
      <c r="M9491" s="9" t="s">
        <v>22</v>
      </c>
    </row>
    <row r="9492" ht="15.75" customHeight="1">
      <c r="A9492" s="7"/>
      <c r="B9492" s="7" t="str">
        <f>IFERROR(__xludf.DUMMYFUNCTION("""COMPUTED_VALUE"""),"C#;HTML/CSS;Java;JavaScript;SQL;TypeScript")</f>
        <v>C#;HTML/CSS;Java;JavaScript;SQL;TypeScript</v>
      </c>
      <c r="M9492" s="9" t="s">
        <v>27</v>
      </c>
    </row>
    <row r="9493" ht="15.75" customHeight="1">
      <c r="A9493" s="7"/>
      <c r="B9493" s="7" t="str">
        <f>IFERROR(__xludf.DUMMYFUNCTION("""COMPUTED_VALUE"""),"Bash/Shell/PowerShell;HTML/CSS;JavaScript;Python")</f>
        <v>Bash/Shell/PowerShell;HTML/CSS;JavaScript;Python</v>
      </c>
      <c r="M9493" s="9" t="s">
        <v>30</v>
      </c>
    </row>
    <row r="9494" ht="15.75" customHeight="1">
      <c r="A9494" s="7"/>
      <c r="B9494" s="7" t="str">
        <f>IFERROR(__xludf.DUMMYFUNCTION("""COMPUTED_VALUE"""),"Python")</f>
        <v>Python</v>
      </c>
      <c r="M9494" s="9" t="s">
        <v>42</v>
      </c>
    </row>
    <row r="9495" ht="15.75" customHeight="1">
      <c r="A9495" s="7"/>
      <c r="B9495" s="7" t="str">
        <f>IFERROR(__xludf.DUMMYFUNCTION("""COMPUTED_VALUE"""),"C;C++;C#;Dart;Go;HTML/CSS;Java;JavaScript;PHP;SQL;TypeScript")</f>
        <v>C;C++;C#;Dart;Go;HTML/CSS;Java;JavaScript;PHP;SQL;TypeScript</v>
      </c>
      <c r="M9495" s="9" t="s">
        <v>24</v>
      </c>
    </row>
    <row r="9496" ht="15.75" customHeight="1">
      <c r="A9496" s="7"/>
      <c r="B9496" s="7" t="str">
        <f>IFERROR(__xludf.DUMMYFUNCTION("""COMPUTED_VALUE"""),"Bash/Shell/PowerShell;C#;JavaScript;SQL;Other(s):")</f>
        <v>Bash/Shell/PowerShell;C#;JavaScript;SQL;Other(s):</v>
      </c>
      <c r="M9496" s="9" t="s">
        <v>20</v>
      </c>
    </row>
    <row r="9497" ht="15.75" customHeight="1">
      <c r="A9497" s="7"/>
      <c r="B9497" s="7" t="str">
        <f>IFERROR(__xludf.DUMMYFUNCTION("""COMPUTED_VALUE"""),"Bash/Shell/PowerShell;C;C++;Java;Python;R")</f>
        <v>Bash/Shell/PowerShell;C;C++;Java;Python;R</v>
      </c>
      <c r="M9497" s="9" t="s">
        <v>21</v>
      </c>
    </row>
    <row r="9498" ht="15.75" customHeight="1">
      <c r="A9498" s="7"/>
      <c r="B9498" s="7" t="str">
        <f>IFERROR(__xludf.DUMMYFUNCTION("""COMPUTED_VALUE"""),"HTML/CSS;JavaScript;Python;Ruby;Other(s):")</f>
        <v>HTML/CSS;JavaScript;Python;Ruby;Other(s):</v>
      </c>
      <c r="M9498" s="9" t="s">
        <v>22</v>
      </c>
    </row>
    <row r="9499" ht="15.75" customHeight="1">
      <c r="A9499" s="7"/>
      <c r="B9499" s="7" t="str">
        <f>IFERROR(__xludf.DUMMYFUNCTION("""COMPUTED_VALUE"""),"JavaScript;TypeScript")</f>
        <v>JavaScript;TypeScript</v>
      </c>
      <c r="M9499" s="9" t="s">
        <v>27</v>
      </c>
    </row>
    <row r="9500" ht="15.75" customHeight="1">
      <c r="A9500" s="7"/>
      <c r="B9500" s="7" t="str">
        <f>IFERROR(__xludf.DUMMYFUNCTION("""COMPUTED_VALUE"""),"Bash/Shell/PowerShell;C;C++;HTML/CSS;Python;SQL;Other(s):")</f>
        <v>Bash/Shell/PowerShell;C;C++;HTML/CSS;Python;SQL;Other(s):</v>
      </c>
      <c r="M9500" s="9" t="s">
        <v>33</v>
      </c>
    </row>
    <row r="9501" ht="15.75" customHeight="1">
      <c r="A9501" s="7"/>
      <c r="B9501" s="7" t="str">
        <f>IFERROR(__xludf.DUMMYFUNCTION("""COMPUTED_VALUE"""),"Bash/Shell/PowerShell;C;C++;HTML/CSS;Java;Python;SQL")</f>
        <v>Bash/Shell/PowerShell;C;C++;HTML/CSS;Java;Python;SQL</v>
      </c>
      <c r="M9501" s="9" t="s">
        <v>20</v>
      </c>
    </row>
    <row r="9502" ht="15.75" customHeight="1">
      <c r="A9502" s="7"/>
      <c r="B9502" s="7" t="str">
        <f>IFERROR(__xludf.DUMMYFUNCTION("""COMPUTED_VALUE"""),"C;C++;HTML/CSS;Java;Python")</f>
        <v>C;C++;HTML/CSS;Java;Python</v>
      </c>
      <c r="M9502" s="9" t="s">
        <v>20</v>
      </c>
    </row>
    <row r="9503" ht="15.75" customHeight="1">
      <c r="A9503" s="7"/>
      <c r="B9503" s="7" t="str">
        <f>IFERROR(__xludf.DUMMYFUNCTION("""COMPUTED_VALUE"""),"C;Dart;JavaScript;Python")</f>
        <v>C;Dart;JavaScript;Python</v>
      </c>
      <c r="M9503" s="9" t="s">
        <v>27</v>
      </c>
    </row>
    <row r="9504" ht="15.75" customHeight="1">
      <c r="A9504" s="7"/>
      <c r="B9504" s="7" t="str">
        <f>IFERROR(__xludf.DUMMYFUNCTION("""COMPUTED_VALUE"""),"C#;HTML/CSS;JavaScript;PHP;SQL;TypeScript")</f>
        <v>C#;HTML/CSS;JavaScript;PHP;SQL;TypeScript</v>
      </c>
      <c r="M9504" s="9" t="s">
        <v>26</v>
      </c>
    </row>
    <row r="9505" ht="15.75" customHeight="1">
      <c r="A9505" s="7"/>
      <c r="B9505" s="7" t="str">
        <f>IFERROR(__xludf.DUMMYFUNCTION("""COMPUTED_VALUE"""),"Bash/Shell/PowerShell;C;C++;C#;HTML/CSS;Java;JavaScript;PHP;Python;R;SQL")</f>
        <v>Bash/Shell/PowerShell;C;C++;C#;HTML/CSS;Java;JavaScript;PHP;Python;R;SQL</v>
      </c>
      <c r="M9505" s="9" t="s">
        <v>24</v>
      </c>
    </row>
    <row r="9506" ht="15.75" customHeight="1">
      <c r="A9506" s="7"/>
      <c r="B9506" s="7" t="str">
        <f>IFERROR(__xludf.DUMMYFUNCTION("""COMPUTED_VALUE"""),"Bash/Shell/PowerShell;C;C++;Go;HTML/CSS;JavaScript;Ruby")</f>
        <v>Bash/Shell/PowerShell;C;C++;Go;HTML/CSS;JavaScript;Ruby</v>
      </c>
      <c r="M9506" s="9" t="s">
        <v>21</v>
      </c>
    </row>
    <row r="9507" ht="15.75" customHeight="1">
      <c r="A9507" s="7"/>
      <c r="B9507" s="7" t="str">
        <f>IFERROR(__xludf.DUMMYFUNCTION("""COMPUTED_VALUE"""),"C#;HTML/CSS;JavaScript;SQL;TypeScript")</f>
        <v>C#;HTML/CSS;JavaScript;SQL;TypeScript</v>
      </c>
      <c r="M9507" s="9" t="s">
        <v>27</v>
      </c>
    </row>
    <row r="9508" ht="15.75" customHeight="1">
      <c r="A9508" s="7"/>
      <c r="B9508" s="7" t="str">
        <f>IFERROR(__xludf.DUMMYFUNCTION("""COMPUTED_VALUE"""),"Bash/Shell/PowerShell;C;HTML/CSS;JavaScript;Python;SQL")</f>
        <v>Bash/Shell/PowerShell;C;HTML/CSS;JavaScript;Python;SQL</v>
      </c>
      <c r="M9508" s="9" t="s">
        <v>30</v>
      </c>
    </row>
    <row r="9509" ht="15.75" customHeight="1">
      <c r="A9509" s="7"/>
      <c r="B9509" s="7" t="str">
        <f>IFERROR(__xludf.DUMMYFUNCTION("""COMPUTED_VALUE"""),"HTML/CSS;Java;JavaScript;SQL;TypeScript")</f>
        <v>HTML/CSS;Java;JavaScript;SQL;TypeScript</v>
      </c>
      <c r="M9509" s="9" t="s">
        <v>26</v>
      </c>
    </row>
    <row r="9510" ht="15.75" customHeight="1">
      <c r="A9510" s="7"/>
      <c r="B9510" s="7" t="str">
        <f>IFERROR(__xludf.DUMMYFUNCTION("""COMPUTED_VALUE"""),"C;C++;HTML/CSS;Python")</f>
        <v>C;C++;HTML/CSS;Python</v>
      </c>
      <c r="M9510" s="9" t="s">
        <v>24</v>
      </c>
    </row>
    <row r="9511" ht="15.75" customHeight="1">
      <c r="A9511" s="7"/>
      <c r="B9511" s="7" t="str">
        <f>IFERROR(__xludf.DUMMYFUNCTION("""COMPUTED_VALUE"""),"C#;HTML/CSS;Java;JavaScript;Python;SQL;Swift")</f>
        <v>C#;HTML/CSS;Java;JavaScript;Python;SQL;Swift</v>
      </c>
      <c r="M9511" s="9" t="s">
        <v>20</v>
      </c>
    </row>
    <row r="9512" ht="15.75" customHeight="1">
      <c r="A9512" s="7"/>
      <c r="B9512" s="7" t="str">
        <f>IFERROR(__xludf.DUMMYFUNCTION("""COMPUTED_VALUE"""),"HTML/CSS;Java;TypeScript")</f>
        <v>HTML/CSS;Java;TypeScript</v>
      </c>
      <c r="M9512" s="9" t="s">
        <v>21</v>
      </c>
    </row>
    <row r="9513" ht="15.75" customHeight="1">
      <c r="A9513" s="7"/>
      <c r="B9513" s="7" t="str">
        <f>IFERROR(__xludf.DUMMYFUNCTION("""COMPUTED_VALUE"""),"C#;HTML/CSS;JavaScript;TypeScript")</f>
        <v>C#;HTML/CSS;JavaScript;TypeScript</v>
      </c>
      <c r="M9513" s="9" t="s">
        <v>27</v>
      </c>
    </row>
    <row r="9514" ht="15.75" customHeight="1">
      <c r="A9514" s="7"/>
      <c r="B9514" s="7" t="str">
        <f>IFERROR(__xludf.DUMMYFUNCTION("""COMPUTED_VALUE"""),"Assembly;Bash/Shell/PowerShell;C;C++;C#;HTML/CSS;Java;JavaScript;PHP;SQL;VBA")</f>
        <v>Assembly;Bash/Shell/PowerShell;C;C++;C#;HTML/CSS;Java;JavaScript;PHP;SQL;VBA</v>
      </c>
      <c r="M9514" s="9" t="s">
        <v>26</v>
      </c>
    </row>
    <row r="9515" ht="15.75" customHeight="1">
      <c r="A9515" s="7"/>
      <c r="B9515" s="7" t="str">
        <f>IFERROR(__xludf.DUMMYFUNCTION("""COMPUTED_VALUE"""),"Bash/Shell/PowerShell;HTML/CSS;Java;JavaScript;Kotlin;PHP;Python;TypeScript;Other(s):")</f>
        <v>Bash/Shell/PowerShell;HTML/CSS;Java;JavaScript;Kotlin;PHP;Python;TypeScript;Other(s):</v>
      </c>
      <c r="M9515" s="9" t="s">
        <v>45</v>
      </c>
    </row>
    <row r="9516" ht="15.75" customHeight="1">
      <c r="A9516" s="7"/>
      <c r="B9516" s="7" t="str">
        <f>IFERROR(__xludf.DUMMYFUNCTION("""COMPUTED_VALUE"""),"Bash/Shell/PowerShell;C#;HTML/CSS;Java;JavaScript;SQL")</f>
        <v>Bash/Shell/PowerShell;C#;HTML/CSS;Java;JavaScript;SQL</v>
      </c>
      <c r="M9516" s="9" t="s">
        <v>36</v>
      </c>
    </row>
    <row r="9517" ht="15.75" customHeight="1">
      <c r="A9517" s="7"/>
      <c r="B9517" s="7" t="str">
        <f>IFERROR(__xludf.DUMMYFUNCTION("""COMPUTED_VALUE"""),"Bash/Shell/PowerShell;C;HTML/CSS;JavaScript;PHP;Python;SQL")</f>
        <v>Bash/Shell/PowerShell;C;HTML/CSS;JavaScript;PHP;Python;SQL</v>
      </c>
      <c r="M9517" s="9" t="s">
        <v>24</v>
      </c>
    </row>
    <row r="9518" ht="15.75" customHeight="1">
      <c r="A9518" s="7"/>
      <c r="B9518" s="7" t="str">
        <f>IFERROR(__xludf.DUMMYFUNCTION("""COMPUTED_VALUE"""),"Bash/Shell/PowerShell;C++;C#;HTML/CSS;Java;JavaScript;PHP;Python;SQL")</f>
        <v>Bash/Shell/PowerShell;C++;C#;HTML/CSS;Java;JavaScript;PHP;Python;SQL</v>
      </c>
      <c r="M9518" s="9" t="s">
        <v>20</v>
      </c>
    </row>
    <row r="9519" ht="15.75" customHeight="1">
      <c r="A9519" s="7"/>
      <c r="B9519" s="7" t="str">
        <f>IFERROR(__xludf.DUMMYFUNCTION("""COMPUTED_VALUE"""),"C#;HTML/CSS;JavaScript;SQL")</f>
        <v>C#;HTML/CSS;JavaScript;SQL</v>
      </c>
      <c r="M9519" s="9" t="s">
        <v>21</v>
      </c>
    </row>
    <row r="9520" ht="15.75" customHeight="1">
      <c r="A9520" s="7"/>
      <c r="B9520" s="7" t="str">
        <f>IFERROR(__xludf.DUMMYFUNCTION("""COMPUTED_VALUE"""),"Bash/Shell/PowerShell;JavaScript;PHP;SQL;TypeScript")</f>
        <v>Bash/Shell/PowerShell;JavaScript;PHP;SQL;TypeScript</v>
      </c>
      <c r="M9520" s="9" t="s">
        <v>39</v>
      </c>
    </row>
    <row r="9521" ht="15.75" customHeight="1">
      <c r="A9521" s="7"/>
      <c r="B9521" s="7" t="str">
        <f>IFERROR(__xludf.DUMMYFUNCTION("""COMPUTED_VALUE"""),"Bash/Shell/PowerShell;Java;PHP;Python;SQL;VBA")</f>
        <v>Bash/Shell/PowerShell;Java;PHP;Python;SQL;VBA</v>
      </c>
      <c r="M9521" s="9" t="s">
        <v>22</v>
      </c>
    </row>
    <row r="9522" ht="15.75" customHeight="1">
      <c r="A9522" s="7"/>
      <c r="B9522" s="7" t="str">
        <f>IFERROR(__xludf.DUMMYFUNCTION("""COMPUTED_VALUE"""),"C#;HTML/CSS;Java;JavaScript;Python;SQL;TypeScript;Other(s):")</f>
        <v>C#;HTML/CSS;Java;JavaScript;Python;SQL;TypeScript;Other(s):</v>
      </c>
      <c r="M9522" s="9" t="s">
        <v>29</v>
      </c>
    </row>
    <row r="9523" ht="15.75" customHeight="1">
      <c r="A9523" s="7"/>
      <c r="B9523" s="7" t="str">
        <f>IFERROR(__xludf.DUMMYFUNCTION("""COMPUTED_VALUE"""),"Bash/Shell/PowerShell;Python")</f>
        <v>Bash/Shell/PowerShell;Python</v>
      </c>
      <c r="M9523" s="9" t="s">
        <v>27</v>
      </c>
    </row>
    <row r="9524" ht="15.75" customHeight="1">
      <c r="A9524" s="7"/>
      <c r="B9524" s="7" t="str">
        <f>IFERROR(__xludf.DUMMYFUNCTION("""COMPUTED_VALUE"""),"Assembly;C++")</f>
        <v>Assembly;C++</v>
      </c>
      <c r="M9524" s="9" t="s">
        <v>33</v>
      </c>
    </row>
    <row r="9525" ht="15.75" customHeight="1">
      <c r="A9525" s="7"/>
      <c r="B9525" s="7" t="str">
        <f>IFERROR(__xludf.DUMMYFUNCTION("""COMPUTED_VALUE"""),"HTML/CSS;JavaScript;PHP;SQL")</f>
        <v>HTML/CSS;JavaScript;PHP;SQL</v>
      </c>
      <c r="M9525" s="9" t="s">
        <v>30</v>
      </c>
    </row>
    <row r="9526" ht="15.75" customHeight="1">
      <c r="A9526" s="7"/>
      <c r="B9526" s="7" t="str">
        <f>IFERROR(__xludf.DUMMYFUNCTION("""COMPUTED_VALUE"""),"C#;HTML/CSS;JavaScript;SQL;TypeScript")</f>
        <v>C#;HTML/CSS;JavaScript;SQL;TypeScript</v>
      </c>
      <c r="M9526" s="9" t="s">
        <v>24</v>
      </c>
    </row>
    <row r="9527" ht="15.75" customHeight="1">
      <c r="A9527" s="7"/>
      <c r="B9527" s="7" t="str">
        <f>IFERROR(__xludf.DUMMYFUNCTION("""COMPUTED_VALUE"""),"Assembly;HTML/CSS;Java;JavaScript;PHP;SQL;TypeScript;VBA;Other(s):")</f>
        <v>Assembly;HTML/CSS;Java;JavaScript;PHP;SQL;TypeScript;VBA;Other(s):</v>
      </c>
      <c r="M9527" s="9" t="s">
        <v>20</v>
      </c>
    </row>
    <row r="9528" ht="15.75" customHeight="1">
      <c r="A9528" s="7"/>
      <c r="B9528" s="7" t="str">
        <f>IFERROR(__xludf.DUMMYFUNCTION("""COMPUTED_VALUE"""),"C#;HTML/CSS;JavaScript;SQL;VBA")</f>
        <v>C#;HTML/CSS;JavaScript;SQL;VBA</v>
      </c>
      <c r="M9528" s="9" t="s">
        <v>21</v>
      </c>
    </row>
    <row r="9529" ht="15.75" customHeight="1">
      <c r="A9529" s="7"/>
      <c r="B9529" s="7" t="str">
        <f>IFERROR(__xludf.DUMMYFUNCTION("""COMPUTED_VALUE"""),"Bash/Shell/PowerShell;C++;Java;Kotlin;Python")</f>
        <v>Bash/Shell/PowerShell;C++;Java;Kotlin;Python</v>
      </c>
      <c r="M9529" s="9" t="s">
        <v>35</v>
      </c>
    </row>
    <row r="9530" ht="15.75" customHeight="1">
      <c r="A9530" s="7"/>
      <c r="B9530" s="7" t="str">
        <f>IFERROR(__xludf.DUMMYFUNCTION("""COMPUTED_VALUE"""),"Bash/Shell/PowerShell;Go;Java;JavaScript;Kotlin;Python")</f>
        <v>Bash/Shell/PowerShell;Go;Java;JavaScript;Kotlin;Python</v>
      </c>
      <c r="M9530" s="9" t="s">
        <v>38</v>
      </c>
    </row>
    <row r="9531" ht="15.75" customHeight="1">
      <c r="A9531" s="7"/>
      <c r="B9531" s="7" t="str">
        <f>IFERROR(__xludf.DUMMYFUNCTION("""COMPUTED_VALUE"""),"C#;HTML/CSS;JavaScript;SQL")</f>
        <v>C#;HTML/CSS;JavaScript;SQL</v>
      </c>
      <c r="M9531" s="9" t="s">
        <v>25</v>
      </c>
    </row>
    <row r="9532" ht="15.75" customHeight="1">
      <c r="A9532" s="7"/>
      <c r="B9532" s="7" t="str">
        <f>IFERROR(__xludf.DUMMYFUNCTION("""COMPUTED_VALUE"""),"C;C++;Go;HTML/CSS;Java;JavaScript;Objective-C;PHP;Python;Ruby;SQL;Swift")</f>
        <v>C;C++;Go;HTML/CSS;Java;JavaScript;Objective-C;PHP;Python;Ruby;SQL;Swift</v>
      </c>
      <c r="M9532" s="9" t="s">
        <v>23</v>
      </c>
    </row>
    <row r="9533" ht="15.75" customHeight="1">
      <c r="A9533" s="7"/>
      <c r="B9533" s="7" t="str">
        <f>IFERROR(__xludf.DUMMYFUNCTION("""COMPUTED_VALUE"""),"C#;HTML/CSS;Java;JavaScript;PHP;Python;SQL")</f>
        <v>C#;HTML/CSS;Java;JavaScript;PHP;Python;SQL</v>
      </c>
      <c r="M9533" s="9" t="s">
        <v>22</v>
      </c>
    </row>
    <row r="9534" ht="15.75" customHeight="1">
      <c r="A9534" s="7"/>
      <c r="B9534" s="7" t="str">
        <f>IFERROR(__xludf.DUMMYFUNCTION("""COMPUTED_VALUE"""),"Bash/Shell/PowerShell;HTML/CSS;Java;JavaScript;SQL")</f>
        <v>Bash/Shell/PowerShell;HTML/CSS;Java;JavaScript;SQL</v>
      </c>
      <c r="M9534" s="9" t="s">
        <v>25</v>
      </c>
    </row>
    <row r="9535" ht="15.75" customHeight="1">
      <c r="A9535" s="7"/>
      <c r="B9535" s="7" t="str">
        <f>IFERROR(__xludf.DUMMYFUNCTION("""COMPUTED_VALUE"""),"HTML/CSS;JavaScript;SQL")</f>
        <v>HTML/CSS;JavaScript;SQL</v>
      </c>
      <c r="M9535" s="9" t="s">
        <v>23</v>
      </c>
    </row>
    <row r="9536" ht="15.75" customHeight="1">
      <c r="A9536" s="7"/>
      <c r="B9536" s="7" t="str">
        <f>IFERROR(__xludf.DUMMYFUNCTION("""COMPUTED_VALUE"""),"Bash/Shell/PowerShell;C#;HTML/CSS;JavaScript;TypeScript")</f>
        <v>Bash/Shell/PowerShell;C#;HTML/CSS;JavaScript;TypeScript</v>
      </c>
      <c r="M9536" s="9" t="s">
        <v>26</v>
      </c>
    </row>
    <row r="9537" ht="15.75" customHeight="1">
      <c r="A9537" s="7"/>
      <c r="B9537" s="7" t="str">
        <f>IFERROR(__xludf.DUMMYFUNCTION("""COMPUTED_VALUE"""),"HTML/CSS;JavaScript;PHP;SQL")</f>
        <v>HTML/CSS;JavaScript;PHP;SQL</v>
      </c>
      <c r="M9537" s="9" t="s">
        <v>24</v>
      </c>
    </row>
    <row r="9538" ht="15.75" customHeight="1">
      <c r="A9538" s="7"/>
      <c r="B9538" s="7" t="str">
        <f>IFERROR(__xludf.DUMMYFUNCTION("""COMPUTED_VALUE"""),"C#;Java;JavaScript;SQL;TypeScript")</f>
        <v>C#;Java;JavaScript;SQL;TypeScript</v>
      </c>
      <c r="M9538" s="9" t="s">
        <v>41</v>
      </c>
    </row>
    <row r="9539" ht="15.75" customHeight="1">
      <c r="A9539" s="7"/>
      <c r="B9539" s="7" t="str">
        <f>IFERROR(__xludf.DUMMYFUNCTION("""COMPUTED_VALUE"""),"HTML/CSS;JavaScript;Python")</f>
        <v>HTML/CSS;JavaScript;Python</v>
      </c>
      <c r="M9539" s="9" t="s">
        <v>27</v>
      </c>
    </row>
    <row r="9540" ht="15.75" customHeight="1">
      <c r="A9540" s="7"/>
      <c r="B9540" s="7" t="str">
        <f>IFERROR(__xludf.DUMMYFUNCTION("""COMPUTED_VALUE"""),"Bash/Shell/PowerShell;C;C++;HTML/CSS;Java;JavaScript;PHP;Python;SQL")</f>
        <v>Bash/Shell/PowerShell;C;C++;HTML/CSS;Java;JavaScript;PHP;Python;SQL</v>
      </c>
      <c r="M9540" s="9" t="s">
        <v>40</v>
      </c>
    </row>
    <row r="9541" ht="15.75" customHeight="1">
      <c r="A9541" s="7"/>
      <c r="B9541" s="7" t="str">
        <f>IFERROR(__xludf.DUMMYFUNCTION("""COMPUTED_VALUE"""),"Go;Java;JavaScript;Kotlin;SQL")</f>
        <v>Go;Java;JavaScript;Kotlin;SQL</v>
      </c>
      <c r="M9541" s="9" t="s">
        <v>33</v>
      </c>
    </row>
    <row r="9542" ht="15.75" customHeight="1">
      <c r="A9542" s="7"/>
      <c r="B9542" s="7" t="str">
        <f>IFERROR(__xludf.DUMMYFUNCTION("""COMPUTED_VALUE"""),"C#;HTML/CSS;JavaScript;TypeScript")</f>
        <v>C#;HTML/CSS;JavaScript;TypeScript</v>
      </c>
      <c r="M9542" s="9" t="s">
        <v>35</v>
      </c>
    </row>
    <row r="9543" ht="15.75" customHeight="1">
      <c r="A9543" s="7"/>
      <c r="B9543" s="7" t="str">
        <f>IFERROR(__xludf.DUMMYFUNCTION("""COMPUTED_VALUE"""),"C#;HTML/CSS;JavaScript;SQL")</f>
        <v>C#;HTML/CSS;JavaScript;SQL</v>
      </c>
      <c r="M9543" s="9" t="s">
        <v>30</v>
      </c>
    </row>
    <row r="9544" ht="15.75" customHeight="1">
      <c r="A9544" s="7"/>
      <c r="B9544" s="7" t="str">
        <f>IFERROR(__xludf.DUMMYFUNCTION("""COMPUTED_VALUE"""),"Assembly;Bash/Shell/PowerShell;C;C#;HTML/CSS;Java;JavaScript;PHP;SQL;TypeScript")</f>
        <v>Assembly;Bash/Shell/PowerShell;C;C#;HTML/CSS;Java;JavaScript;PHP;SQL;TypeScript</v>
      </c>
      <c r="M9544" s="9" t="s">
        <v>23</v>
      </c>
    </row>
    <row r="9545" ht="15.75" customHeight="1">
      <c r="A9545" s="7"/>
      <c r="B9545" s="7" t="str">
        <f>IFERROR(__xludf.DUMMYFUNCTION("""COMPUTED_VALUE"""),"Bash/Shell/PowerShell;C#;HTML/CSS;Java;JavaScript;R;Scala;SQL")</f>
        <v>Bash/Shell/PowerShell;C#;HTML/CSS;Java;JavaScript;R;Scala;SQL</v>
      </c>
      <c r="M9545" s="9" t="s">
        <v>26</v>
      </c>
    </row>
    <row r="9546" ht="15.75" customHeight="1">
      <c r="A9546" s="7"/>
      <c r="B9546" s="7" t="str">
        <f>IFERROR(__xludf.DUMMYFUNCTION("""COMPUTED_VALUE"""),"HTML/CSS;JavaScript;TypeScript")</f>
        <v>HTML/CSS;JavaScript;TypeScript</v>
      </c>
      <c r="M9546" s="9" t="s">
        <v>21</v>
      </c>
    </row>
    <row r="9547" ht="15.75" customHeight="1">
      <c r="A9547" s="7"/>
      <c r="B9547" s="7" t="str">
        <f>IFERROR(__xludf.DUMMYFUNCTION("""COMPUTED_VALUE"""),"C++;Rust")</f>
        <v>C++;Rust</v>
      </c>
      <c r="M9547" s="9" t="s">
        <v>27</v>
      </c>
    </row>
    <row r="9548" ht="15.75" customHeight="1">
      <c r="A9548" s="7"/>
      <c r="B9548" s="7" t="str">
        <f>IFERROR(__xludf.DUMMYFUNCTION("""COMPUTED_VALUE"""),"Bash/Shell/PowerShell;Clojure;HTML/CSS;JavaScript;PHP;Ruby")</f>
        <v>Bash/Shell/PowerShell;Clojure;HTML/CSS;JavaScript;PHP;Ruby</v>
      </c>
      <c r="M9548" s="9" t="s">
        <v>30</v>
      </c>
    </row>
    <row r="9549" ht="15.75" customHeight="1">
      <c r="A9549" s="7"/>
      <c r="B9549" s="7" t="str">
        <f>IFERROR(__xludf.DUMMYFUNCTION("""COMPUTED_VALUE"""),"Bash/Shell/PowerShell;Java")</f>
        <v>Bash/Shell/PowerShell;Java</v>
      </c>
      <c r="M9549" s="9" t="s">
        <v>24</v>
      </c>
    </row>
    <row r="9550" ht="15.75" customHeight="1">
      <c r="A9550" s="7"/>
      <c r="B9550" s="7" t="str">
        <f>IFERROR(__xludf.DUMMYFUNCTION("""COMPUTED_VALUE"""),"Bash/Shell/PowerShell;HTML/CSS;Python;SQL")</f>
        <v>Bash/Shell/PowerShell;HTML/CSS;Python;SQL</v>
      </c>
      <c r="M9550" s="9" t="s">
        <v>21</v>
      </c>
    </row>
    <row r="9551" ht="15.75" customHeight="1">
      <c r="A9551" s="7"/>
      <c r="B9551" s="7" t="str">
        <f>IFERROR(__xludf.DUMMYFUNCTION("""COMPUTED_VALUE"""),"Assembly;Bash/Shell/PowerShell;C;C++;C#;Clojure;Java;SQL")</f>
        <v>Assembly;Bash/Shell/PowerShell;C;C++;C#;Clojure;Java;SQL</v>
      </c>
      <c r="M9551" s="9" t="s">
        <v>22</v>
      </c>
    </row>
    <row r="9552" ht="15.75" customHeight="1">
      <c r="A9552" s="7"/>
      <c r="B9552" s="7" t="str">
        <f>IFERROR(__xludf.DUMMYFUNCTION("""COMPUTED_VALUE"""),"Bash/Shell/PowerShell;Go;HTML/CSS;JavaScript;Python;SQL")</f>
        <v>Bash/Shell/PowerShell;Go;HTML/CSS;JavaScript;Python;SQL</v>
      </c>
      <c r="M9552" s="9" t="s">
        <v>27</v>
      </c>
    </row>
    <row r="9553" ht="15.75" customHeight="1">
      <c r="A9553" s="7"/>
      <c r="B9553" s="7" t="str">
        <f>IFERROR(__xludf.DUMMYFUNCTION("""COMPUTED_VALUE"""),"C;Other(s):")</f>
        <v>C;Other(s):</v>
      </c>
      <c r="M9553" s="9" t="s">
        <v>33</v>
      </c>
    </row>
    <row r="9554" ht="15.75" customHeight="1">
      <c r="A9554" s="7"/>
      <c r="B9554" s="7" t="str">
        <f>IFERROR(__xludf.DUMMYFUNCTION("""COMPUTED_VALUE"""),"C;HTML/CSS;Java;JavaScript;PHP;SQL")</f>
        <v>C;HTML/CSS;Java;JavaScript;PHP;SQL</v>
      </c>
      <c r="M9554" s="9" t="s">
        <v>35</v>
      </c>
    </row>
    <row r="9555" ht="15.75" customHeight="1">
      <c r="A9555" s="7"/>
      <c r="B9555" s="7" t="str">
        <f>IFERROR(__xludf.DUMMYFUNCTION("""COMPUTED_VALUE"""),"Bash/Shell/PowerShell;C#;HTML/CSS;JavaScript;PHP;Python;Ruby;SQL;TypeScript")</f>
        <v>Bash/Shell/PowerShell;C#;HTML/CSS;JavaScript;PHP;Python;Ruby;SQL;TypeScript</v>
      </c>
      <c r="M9555" s="9" t="s">
        <v>36</v>
      </c>
    </row>
    <row r="9556" ht="15.75" customHeight="1">
      <c r="A9556" s="7"/>
      <c r="B9556" s="7" t="str">
        <f>IFERROR(__xludf.DUMMYFUNCTION("""COMPUTED_VALUE"""),"JavaScript")</f>
        <v>JavaScript</v>
      </c>
      <c r="M9556" s="9" t="s">
        <v>21</v>
      </c>
    </row>
    <row r="9557" ht="15.75" customHeight="1">
      <c r="A9557" s="7"/>
      <c r="B9557" s="7" t="str">
        <f>IFERROR(__xludf.DUMMYFUNCTION("""COMPUTED_VALUE"""),"Bash/Shell/PowerShell;C;C++;HTML/CSS;Java;JavaScript;PHP;Python;Swift")</f>
        <v>Bash/Shell/PowerShell;C;C++;HTML/CSS;Java;JavaScript;PHP;Python;Swift</v>
      </c>
      <c r="M9557" s="9" t="s">
        <v>23</v>
      </c>
    </row>
    <row r="9558" ht="15.75" customHeight="1">
      <c r="A9558" s="7"/>
      <c r="B9558" s="7" t="str">
        <f>IFERROR(__xludf.DUMMYFUNCTION("""COMPUTED_VALUE"""),"C;C++;HTML/CSS;JavaScript;Objective-C;PHP;SQL")</f>
        <v>C;C++;HTML/CSS;JavaScript;Objective-C;PHP;SQL</v>
      </c>
      <c r="M9558" s="9" t="s">
        <v>21</v>
      </c>
    </row>
    <row r="9559" ht="15.75" customHeight="1">
      <c r="A9559" s="7"/>
      <c r="B9559" s="7" t="str">
        <f>IFERROR(__xludf.DUMMYFUNCTION("""COMPUTED_VALUE"""),"HTML/CSS;Java;JavaScript;SQL")</f>
        <v>HTML/CSS;Java;JavaScript;SQL</v>
      </c>
      <c r="M9559" s="9" t="s">
        <v>22</v>
      </c>
    </row>
    <row r="9560" ht="15.75" customHeight="1">
      <c r="A9560" s="7"/>
      <c r="B9560" s="7" t="str">
        <f>IFERROR(__xludf.DUMMYFUNCTION("""COMPUTED_VALUE"""),"C#;Java")</f>
        <v>C#;Java</v>
      </c>
      <c r="M9560" s="9" t="s">
        <v>27</v>
      </c>
    </row>
    <row r="9561" ht="15.75" customHeight="1">
      <c r="A9561" s="7"/>
      <c r="B9561" s="7" t="str">
        <f>IFERROR(__xludf.DUMMYFUNCTION("""COMPUTED_VALUE"""),"Assembly;Bash/Shell/PowerShell;C;HTML/CSS;Java;JavaScript;Kotlin;Python;Ruby;Rust;Scala;SQL;Other(s):")</f>
        <v>Assembly;Bash/Shell/PowerShell;C;HTML/CSS;Java;JavaScript;Kotlin;Python;Ruby;Rust;Scala;SQL;Other(s):</v>
      </c>
      <c r="M9561" s="9" t="s">
        <v>20</v>
      </c>
    </row>
    <row r="9562" ht="15.75" customHeight="1">
      <c r="A9562" s="7"/>
      <c r="B9562" s="7" t="str">
        <f>IFERROR(__xludf.DUMMYFUNCTION("""COMPUTED_VALUE"""),"HTML/CSS;Java;JavaScript;PHP;SQL")</f>
        <v>HTML/CSS;Java;JavaScript;PHP;SQL</v>
      </c>
      <c r="M9562" s="9" t="s">
        <v>21</v>
      </c>
    </row>
    <row r="9563" ht="15.75" customHeight="1">
      <c r="A9563" s="7"/>
      <c r="B9563" s="7" t="str">
        <f>IFERROR(__xludf.DUMMYFUNCTION("""COMPUTED_VALUE"""),"Bash/Shell/PowerShell;C;Erlang;HTML/CSS;Java;JavaScript;Kotlin;Python;R;SQL")</f>
        <v>Bash/Shell/PowerShell;C;Erlang;HTML/CSS;Java;JavaScript;Kotlin;Python;R;SQL</v>
      </c>
      <c r="M9563" s="9" t="s">
        <v>39</v>
      </c>
    </row>
    <row r="9564" ht="15.75" customHeight="1">
      <c r="A9564" s="7"/>
      <c r="B9564" s="7" t="str">
        <f>IFERROR(__xludf.DUMMYFUNCTION("""COMPUTED_VALUE"""),"Java;Swift")</f>
        <v>Java;Swift</v>
      </c>
      <c r="M9564" s="9" t="s">
        <v>41</v>
      </c>
    </row>
    <row r="9565" ht="15.75" customHeight="1">
      <c r="A9565" s="7"/>
      <c r="B9565" s="7" t="str">
        <f>IFERROR(__xludf.DUMMYFUNCTION("""COMPUTED_VALUE"""),"Assembly;Bash/Shell/PowerShell;C;C++;HTML/CSS;Java;JavaScript;Other(s):")</f>
        <v>Assembly;Bash/Shell/PowerShell;C;C++;HTML/CSS;Java;JavaScript;Other(s):</v>
      </c>
      <c r="M9565" s="9" t="s">
        <v>32</v>
      </c>
    </row>
    <row r="9566" ht="15.75" customHeight="1">
      <c r="A9566" s="7"/>
      <c r="B9566" s="7" t="str">
        <f>IFERROR(__xludf.DUMMYFUNCTION("""COMPUTED_VALUE"""),"Bash/Shell/PowerShell;C++;C#;HTML/CSS;Java;JavaScript;PHP;Python;SQL")</f>
        <v>Bash/Shell/PowerShell;C++;C#;HTML/CSS;Java;JavaScript;PHP;Python;SQL</v>
      </c>
      <c r="M9566" s="9" t="s">
        <v>40</v>
      </c>
    </row>
    <row r="9567" ht="15.75" customHeight="1">
      <c r="A9567" s="7"/>
      <c r="B9567" s="7" t="str">
        <f>IFERROR(__xludf.DUMMYFUNCTION("""COMPUTED_VALUE"""),"C;C++;C#;HTML/CSS;Java;JavaScript;Objective-C;SQL;Swift")</f>
        <v>C;C++;C#;HTML/CSS;Java;JavaScript;Objective-C;SQL;Swift</v>
      </c>
      <c r="M9567" s="9" t="s">
        <v>33</v>
      </c>
    </row>
    <row r="9568" ht="15.75" customHeight="1">
      <c r="A9568" s="7"/>
      <c r="B9568" s="7" t="str">
        <f>IFERROR(__xludf.DUMMYFUNCTION("""COMPUTED_VALUE"""),"Python")</f>
        <v>Python</v>
      </c>
      <c r="M9568" s="9" t="s">
        <v>30</v>
      </c>
    </row>
    <row r="9569" ht="15.75" customHeight="1">
      <c r="A9569" s="7"/>
      <c r="B9569" s="7" t="str">
        <f>IFERROR(__xludf.DUMMYFUNCTION("""COMPUTED_VALUE"""),"Bash/Shell/PowerShell;C++;HTML/CSS;Java;JavaScript;Python;SQL")</f>
        <v>Bash/Shell/PowerShell;C++;HTML/CSS;Java;JavaScript;Python;SQL</v>
      </c>
      <c r="M9569" s="9" t="s">
        <v>25</v>
      </c>
    </row>
    <row r="9570" ht="15.75" customHeight="1">
      <c r="A9570" s="7"/>
      <c r="B9570" s="7" t="str">
        <f>IFERROR(__xludf.DUMMYFUNCTION("""COMPUTED_VALUE"""),"Other(s):")</f>
        <v>Other(s):</v>
      </c>
      <c r="M9570" s="9" t="s">
        <v>23</v>
      </c>
    </row>
    <row r="9571" ht="15.75" customHeight="1">
      <c r="A9571" s="7"/>
      <c r="B9571" s="7" t="str">
        <f>IFERROR(__xludf.DUMMYFUNCTION("""COMPUTED_VALUE"""),"Assembly;Bash/Shell/PowerShell;C++;HTML/CSS;Java;PHP;SQL;TypeScript")</f>
        <v>Assembly;Bash/Shell/PowerShell;C++;HTML/CSS;Java;PHP;SQL;TypeScript</v>
      </c>
      <c r="M9571" s="9" t="s">
        <v>36</v>
      </c>
    </row>
    <row r="9572" ht="15.75" customHeight="1">
      <c r="A9572" s="7"/>
      <c r="B9572" s="7" t="str">
        <f>IFERROR(__xludf.DUMMYFUNCTION("""COMPUTED_VALUE"""),"HTML/CSS;JavaScript;PHP;SQL")</f>
        <v>HTML/CSS;JavaScript;PHP;SQL</v>
      </c>
      <c r="M9572" s="9" t="s">
        <v>24</v>
      </c>
    </row>
    <row r="9573" ht="15.75" customHeight="1">
      <c r="A9573" s="7"/>
      <c r="B9573" s="7" t="str">
        <f>IFERROR(__xludf.DUMMYFUNCTION("""COMPUTED_VALUE"""),"Assembly;C;C++;Java")</f>
        <v>Assembly;C;C++;Java</v>
      </c>
      <c r="M9573" s="9" t="s">
        <v>21</v>
      </c>
    </row>
    <row r="9574" ht="15.75" customHeight="1">
      <c r="A9574" s="7"/>
      <c r="B9574" s="7" t="str">
        <f>IFERROR(__xludf.DUMMYFUNCTION("""COMPUTED_VALUE"""),"Bash/Shell/PowerShell;C#;HTML/CSS;Java;JavaScript;Python;Ruby;SQL")</f>
        <v>Bash/Shell/PowerShell;C#;HTML/CSS;Java;JavaScript;Python;Ruby;SQL</v>
      </c>
      <c r="M9574" s="9" t="s">
        <v>22</v>
      </c>
    </row>
    <row r="9575" ht="15.75" customHeight="1">
      <c r="A9575" s="7"/>
      <c r="B9575" s="7" t="str">
        <f>IFERROR(__xludf.DUMMYFUNCTION("""COMPUTED_VALUE"""),"C#;HTML/CSS;Java;JavaScript;PHP;SQL;TypeScript")</f>
        <v>C#;HTML/CSS;Java;JavaScript;PHP;SQL;TypeScript</v>
      </c>
      <c r="M9575" s="9" t="s">
        <v>34</v>
      </c>
    </row>
    <row r="9576" ht="15.75" customHeight="1">
      <c r="A9576" s="7"/>
      <c r="B9576" s="7" t="str">
        <f>IFERROR(__xludf.DUMMYFUNCTION("""COMPUTED_VALUE"""),"C++;Objective-C;Python")</f>
        <v>C++;Objective-C;Python</v>
      </c>
      <c r="M9576" s="9" t="s">
        <v>35</v>
      </c>
    </row>
    <row r="9577" ht="15.75" customHeight="1">
      <c r="A9577" s="7"/>
      <c r="B9577" s="7" t="str">
        <f>IFERROR(__xludf.DUMMYFUNCTION("""COMPUTED_VALUE"""),"C;C++;Java;Kotlin;Swift")</f>
        <v>C;C++;Java;Kotlin;Swift</v>
      </c>
      <c r="M9577" s="9" t="s">
        <v>30</v>
      </c>
    </row>
    <row r="9578" ht="15.75" customHeight="1">
      <c r="A9578" s="7"/>
      <c r="B9578" s="7" t="str">
        <f>IFERROR(__xludf.DUMMYFUNCTION("""COMPUTED_VALUE"""),"C++;Other(s):")</f>
        <v>C++;Other(s):</v>
      </c>
      <c r="M9578" s="9" t="s">
        <v>24</v>
      </c>
    </row>
    <row r="9579" ht="15.75" customHeight="1">
      <c r="A9579" s="7"/>
      <c r="B9579" s="7" t="str">
        <f>IFERROR(__xludf.DUMMYFUNCTION("""COMPUTED_VALUE"""),"Assembly;Bash/Shell/PowerShell;C++;C#;Java;Python")</f>
        <v>Assembly;Bash/Shell/PowerShell;C++;C#;Java;Python</v>
      </c>
      <c r="M9579" s="9" t="s">
        <v>21</v>
      </c>
    </row>
    <row r="9580" ht="15.75" customHeight="1">
      <c r="A9580" s="7"/>
      <c r="B9580" s="7" t="str">
        <f>IFERROR(__xludf.DUMMYFUNCTION("""COMPUTED_VALUE"""),"C#;Java;JavaScript;SQL;WebAssembly")</f>
        <v>C#;Java;JavaScript;SQL;WebAssembly</v>
      </c>
      <c r="M9580" s="9" t="s">
        <v>29</v>
      </c>
    </row>
    <row r="9581" ht="15.75" customHeight="1">
      <c r="A9581" s="7"/>
      <c r="B9581" s="7" t="str">
        <f>IFERROR(__xludf.DUMMYFUNCTION("""COMPUTED_VALUE"""),"Bash/Shell/PowerShell;C;C++;Go;HTML/CSS;JavaScript;Python;SQL")</f>
        <v>Bash/Shell/PowerShell;C;C++;Go;HTML/CSS;JavaScript;Python;SQL</v>
      </c>
      <c r="M9581" s="9" t="s">
        <v>28</v>
      </c>
    </row>
    <row r="9582" ht="15.75" customHeight="1">
      <c r="A9582" s="7"/>
      <c r="B9582" s="7" t="str">
        <f>IFERROR(__xludf.DUMMYFUNCTION("""COMPUTED_VALUE"""),"HTML/CSS;JavaScript;PHP;Python;SQL")</f>
        <v>HTML/CSS;JavaScript;PHP;Python;SQL</v>
      </c>
      <c r="M9582" s="9" t="s">
        <v>35</v>
      </c>
    </row>
    <row r="9583" ht="15.75" customHeight="1">
      <c r="A9583" s="7"/>
      <c r="B9583" s="7" t="str">
        <f>IFERROR(__xludf.DUMMYFUNCTION("""COMPUTED_VALUE"""),"Bash/Shell/PowerShell;Go;HTML/CSS;Java;JavaScript;PHP;Python;TypeScript")</f>
        <v>Bash/Shell/PowerShell;Go;HTML/CSS;Java;JavaScript;PHP;Python;TypeScript</v>
      </c>
      <c r="M9583" s="9" t="s">
        <v>26</v>
      </c>
    </row>
    <row r="9584" ht="15.75" customHeight="1">
      <c r="A9584" s="7"/>
      <c r="B9584" s="7" t="str">
        <f>IFERROR(__xludf.DUMMYFUNCTION("""COMPUTED_VALUE"""),"Bash/Shell/PowerShell;HTML/CSS;JavaScript;Python;TypeScript")</f>
        <v>Bash/Shell/PowerShell;HTML/CSS;JavaScript;Python;TypeScript</v>
      </c>
      <c r="M9584" s="9" t="s">
        <v>24</v>
      </c>
    </row>
    <row r="9585" ht="15.75" customHeight="1">
      <c r="A9585" s="7"/>
      <c r="B9585" s="7" t="str">
        <f>IFERROR(__xludf.DUMMYFUNCTION("""COMPUTED_VALUE"""),"Bash/Shell/PowerShell;HTML/CSS;JavaScript;Kotlin;PHP;Swift;TypeScript")</f>
        <v>Bash/Shell/PowerShell;HTML/CSS;JavaScript;Kotlin;PHP;Swift;TypeScript</v>
      </c>
      <c r="M9585" s="9" t="s">
        <v>21</v>
      </c>
    </row>
    <row r="9586" ht="15.75" customHeight="1">
      <c r="A9586" s="7"/>
      <c r="B9586" s="7" t="str">
        <f>IFERROR(__xludf.DUMMYFUNCTION("""COMPUTED_VALUE"""),"Python")</f>
        <v>Python</v>
      </c>
      <c r="M9586" s="9" t="s">
        <v>33</v>
      </c>
    </row>
    <row r="9587" ht="15.75" customHeight="1">
      <c r="A9587" s="7"/>
      <c r="B9587" s="7" t="str">
        <f>IFERROR(__xludf.DUMMYFUNCTION("""COMPUTED_VALUE"""),"HTML/CSS;Java;JavaScript;Kotlin;PHP;SQL;TypeScript")</f>
        <v>HTML/CSS;Java;JavaScript;Kotlin;PHP;SQL;TypeScript</v>
      </c>
      <c r="M9587" s="9" t="s">
        <v>47</v>
      </c>
    </row>
    <row r="9588" ht="15.75" customHeight="1">
      <c r="A9588" s="7"/>
      <c r="B9588" s="7" t="str">
        <f>IFERROR(__xludf.DUMMYFUNCTION("""COMPUTED_VALUE"""),"Bash/Shell/PowerShell;C++;C#")</f>
        <v>Bash/Shell/PowerShell;C++;C#</v>
      </c>
      <c r="M9588" s="9" t="s">
        <v>20</v>
      </c>
    </row>
    <row r="9589" ht="15.75" customHeight="1">
      <c r="A9589" s="7"/>
      <c r="B9589" s="7" t="str">
        <f>IFERROR(__xludf.DUMMYFUNCTION("""COMPUTED_VALUE"""),"HTML/CSS;JavaScript;PHP")</f>
        <v>HTML/CSS;JavaScript;PHP</v>
      </c>
      <c r="M9589" s="9" t="s">
        <v>21</v>
      </c>
    </row>
    <row r="9590" ht="15.75" customHeight="1">
      <c r="A9590" s="7"/>
      <c r="B9590" s="7" t="str">
        <f>IFERROR(__xludf.DUMMYFUNCTION("""COMPUTED_VALUE"""),"Java;Kotlin")</f>
        <v>Java;Kotlin</v>
      </c>
      <c r="M9590" s="9" t="s">
        <v>39</v>
      </c>
    </row>
    <row r="9591" ht="15.75" customHeight="1">
      <c r="A9591" s="7"/>
      <c r="B9591" s="7" t="str">
        <f>IFERROR(__xludf.DUMMYFUNCTION("""COMPUTED_VALUE"""),"Bash/Shell/PowerShell;C;C++;HTML/CSS;JavaScript;Python;VBA")</f>
        <v>Bash/Shell/PowerShell;C;C++;HTML/CSS;JavaScript;Python;VBA</v>
      </c>
      <c r="M9591" s="9" t="s">
        <v>38</v>
      </c>
    </row>
    <row r="9592" ht="15.75" customHeight="1">
      <c r="A9592" s="7"/>
      <c r="B9592" s="7" t="str">
        <f>IFERROR(__xludf.DUMMYFUNCTION("""COMPUTED_VALUE"""),"C;C++;Java;JavaScript;Swift")</f>
        <v>C;C++;Java;JavaScript;Swift</v>
      </c>
      <c r="M9592" s="9" t="s">
        <v>30</v>
      </c>
    </row>
    <row r="9593" ht="15.75" customHeight="1">
      <c r="A9593" s="7"/>
      <c r="B9593" s="7" t="str">
        <f>IFERROR(__xludf.DUMMYFUNCTION("""COMPUTED_VALUE"""),"C#;HTML/CSS;Java;JavaScript;Kotlin;Python;SQL")</f>
        <v>C#;HTML/CSS;Java;JavaScript;Kotlin;Python;SQL</v>
      </c>
      <c r="M9593" s="9" t="s">
        <v>25</v>
      </c>
    </row>
    <row r="9594" ht="15.75" customHeight="1">
      <c r="A9594" s="7"/>
      <c r="B9594" s="7" t="str">
        <f>IFERROR(__xludf.DUMMYFUNCTION("""COMPUTED_VALUE"""),"C#;HTML/CSS;JavaScript;SQL")</f>
        <v>C#;HTML/CSS;JavaScript;SQL</v>
      </c>
      <c r="M9594" s="9" t="s">
        <v>23</v>
      </c>
    </row>
    <row r="9595" ht="15.75" customHeight="1">
      <c r="A9595" s="7"/>
      <c r="B9595" s="7" t="str">
        <f>IFERROR(__xludf.DUMMYFUNCTION("""COMPUTED_VALUE"""),"HTML/CSS;Java;JavaScript;SQL;TypeScript")</f>
        <v>HTML/CSS;Java;JavaScript;SQL;TypeScript</v>
      </c>
      <c r="M9595" s="9" t="s">
        <v>26</v>
      </c>
    </row>
    <row r="9596" ht="15.75" customHeight="1">
      <c r="A9596" s="7"/>
      <c r="B9596" s="7" t="str">
        <f>IFERROR(__xludf.DUMMYFUNCTION("""COMPUTED_VALUE"""),"Go")</f>
        <v>Go</v>
      </c>
      <c r="M9596" s="9" t="s">
        <v>44</v>
      </c>
    </row>
    <row r="9597" ht="15.75" customHeight="1">
      <c r="A9597" s="7"/>
      <c r="B9597" s="7" t="str">
        <f>IFERROR(__xludf.DUMMYFUNCTION("""COMPUTED_VALUE"""),"Java;Python;SQL")</f>
        <v>Java;Python;SQL</v>
      </c>
      <c r="M9597" s="9" t="s">
        <v>45</v>
      </c>
    </row>
    <row r="9598" ht="15.75" customHeight="1">
      <c r="A9598" s="7"/>
      <c r="B9598" s="7" t="str">
        <f>IFERROR(__xludf.DUMMYFUNCTION("""COMPUTED_VALUE"""),"Bash/Shell/PowerShell;C#;HTML/CSS;JavaScript;Python;R;SQL")</f>
        <v>Bash/Shell/PowerShell;C#;HTML/CSS;JavaScript;Python;R;SQL</v>
      </c>
      <c r="M9598" s="9" t="s">
        <v>36</v>
      </c>
    </row>
    <row r="9599" ht="15.75" customHeight="1">
      <c r="A9599" s="7"/>
      <c r="B9599" s="7" t="str">
        <f>IFERROR(__xludf.DUMMYFUNCTION("""COMPUTED_VALUE"""),"Python;Other(s):")</f>
        <v>Python;Other(s):</v>
      </c>
      <c r="M9599" s="9" t="s">
        <v>24</v>
      </c>
    </row>
    <row r="9600" ht="15.75" customHeight="1">
      <c r="A9600" s="7"/>
      <c r="B9600" s="7" t="str">
        <f>IFERROR(__xludf.DUMMYFUNCTION("""COMPUTED_VALUE"""),"Assembly;Bash/Shell/PowerShell;C;C++;Python;Swift")</f>
        <v>Assembly;Bash/Shell/PowerShell;C;C++;Python;Swift</v>
      </c>
      <c r="M9600" s="9" t="s">
        <v>20</v>
      </c>
    </row>
    <row r="9601" ht="15.75" customHeight="1">
      <c r="A9601" s="7"/>
      <c r="B9601" s="7" t="str">
        <f>IFERROR(__xludf.DUMMYFUNCTION("""COMPUTED_VALUE"""),"HTML/CSS;JavaScript;PHP")</f>
        <v>HTML/CSS;JavaScript;PHP</v>
      </c>
      <c r="M9601" s="9" t="s">
        <v>21</v>
      </c>
    </row>
    <row r="9602" ht="15.75" customHeight="1">
      <c r="A9602" s="7"/>
      <c r="B9602" s="7" t="str">
        <f>IFERROR(__xludf.DUMMYFUNCTION("""COMPUTED_VALUE"""),"C;Java;PHP;Python;SQL")</f>
        <v>C;Java;PHP;Python;SQL</v>
      </c>
      <c r="M9602" s="9" t="s">
        <v>39</v>
      </c>
    </row>
    <row r="9603" ht="15.75" customHeight="1">
      <c r="A9603" s="7"/>
      <c r="B9603" s="7" t="str">
        <f>IFERROR(__xludf.DUMMYFUNCTION("""COMPUTED_VALUE"""),"C;C++;C#;Java")</f>
        <v>C;C++;C#;Java</v>
      </c>
      <c r="M9603" s="9" t="s">
        <v>37</v>
      </c>
    </row>
    <row r="9604" ht="15.75" customHeight="1">
      <c r="A9604" s="7"/>
      <c r="B9604" s="7" t="str">
        <f>IFERROR(__xludf.DUMMYFUNCTION("""COMPUTED_VALUE"""),"Bash/Shell/PowerShell;HTML/CSS;JavaScript;PHP;SQL")</f>
        <v>Bash/Shell/PowerShell;HTML/CSS;JavaScript;PHP;SQL</v>
      </c>
      <c r="M9604" s="9" t="s">
        <v>22</v>
      </c>
    </row>
    <row r="9605" ht="15.75" customHeight="1">
      <c r="A9605" s="7"/>
      <c r="B9605" s="7" t="str">
        <f>IFERROR(__xludf.DUMMYFUNCTION("""COMPUTED_VALUE"""),"Bash/Shell/PowerShell;Go;HTML/CSS;JavaScript;PHP;SQL")</f>
        <v>Bash/Shell/PowerShell;Go;HTML/CSS;JavaScript;PHP;SQL</v>
      </c>
      <c r="M9605" s="9" t="s">
        <v>32</v>
      </c>
    </row>
    <row r="9606" ht="15.75" customHeight="1">
      <c r="A9606" s="7"/>
      <c r="B9606" s="7" t="str">
        <f>IFERROR(__xludf.DUMMYFUNCTION("""COMPUTED_VALUE"""),"C#;HTML/CSS;Java;JavaScript;Python;SQL")</f>
        <v>C#;HTML/CSS;Java;JavaScript;Python;SQL</v>
      </c>
      <c r="M9606" s="9" t="s">
        <v>46</v>
      </c>
    </row>
    <row r="9607" ht="15.75" customHeight="1">
      <c r="A9607" s="7"/>
      <c r="B9607" s="7" t="str">
        <f>IFERROR(__xludf.DUMMYFUNCTION("""COMPUTED_VALUE"""),"C;C++;Dart;HTML/CSS;Java;JavaScript;Kotlin;Objective-C;PHP;Python;Swift")</f>
        <v>C;C++;Dart;HTML/CSS;Java;JavaScript;Kotlin;Objective-C;PHP;Python;Swift</v>
      </c>
      <c r="M9607" s="9" t="s">
        <v>27</v>
      </c>
    </row>
    <row r="9608" ht="15.75" customHeight="1">
      <c r="A9608" s="7"/>
      <c r="B9608" s="7" t="str">
        <f>IFERROR(__xludf.DUMMYFUNCTION("""COMPUTED_VALUE"""),"HTML/CSS;JavaScript;PHP")</f>
        <v>HTML/CSS;JavaScript;PHP</v>
      </c>
      <c r="M9608" s="9" t="s">
        <v>33</v>
      </c>
    </row>
    <row r="9609" ht="15.75" customHeight="1">
      <c r="A9609" s="7"/>
      <c r="B9609" s="7" t="str">
        <f>IFERROR(__xludf.DUMMYFUNCTION("""COMPUTED_VALUE"""),"HTML/CSS;JavaScript;PHP;Python")</f>
        <v>HTML/CSS;JavaScript;PHP;Python</v>
      </c>
      <c r="M9609" s="9" t="s">
        <v>34</v>
      </c>
    </row>
    <row r="9610" ht="15.75" customHeight="1">
      <c r="A9610" s="7"/>
      <c r="B9610" s="7" t="str">
        <f>IFERROR(__xludf.DUMMYFUNCTION("""COMPUTED_VALUE"""),"C#;HTML/CSS;JavaScript;SQL")</f>
        <v>C#;HTML/CSS;JavaScript;SQL</v>
      </c>
      <c r="M9610" s="9" t="s">
        <v>35</v>
      </c>
    </row>
    <row r="9611" ht="15.75" customHeight="1">
      <c r="A9611" s="7"/>
      <c r="B9611" s="7" t="str">
        <f>IFERROR(__xludf.DUMMYFUNCTION("""COMPUTED_VALUE"""),"HTML/CSS;JavaScript;SQL;TypeScript")</f>
        <v>HTML/CSS;JavaScript;SQL;TypeScript</v>
      </c>
      <c r="M9611" s="9" t="s">
        <v>26</v>
      </c>
    </row>
    <row r="9612" ht="15.75" customHeight="1">
      <c r="A9612" s="7"/>
      <c r="B9612" s="7" t="str">
        <f>IFERROR(__xludf.DUMMYFUNCTION("""COMPUTED_VALUE"""),"SQL")</f>
        <v>SQL</v>
      </c>
      <c r="M9612" s="9" t="s">
        <v>24</v>
      </c>
    </row>
    <row r="9613" ht="15.75" customHeight="1">
      <c r="A9613" s="7"/>
      <c r="B9613" s="7" t="str">
        <f>IFERROR(__xludf.DUMMYFUNCTION("""COMPUTED_VALUE"""),"C++;Java;Python")</f>
        <v>C++;Java;Python</v>
      </c>
      <c r="M9613" s="9" t="s">
        <v>21</v>
      </c>
    </row>
    <row r="9614" ht="15.75" customHeight="1">
      <c r="A9614" s="7"/>
      <c r="B9614" s="7" t="str">
        <f>IFERROR(__xludf.DUMMYFUNCTION("""COMPUTED_VALUE"""),"Assembly;Bash/Shell/PowerShell;C;C++;Go;Java;Python")</f>
        <v>Assembly;Bash/Shell/PowerShell;C;C++;Go;Java;Python</v>
      </c>
      <c r="M9614" s="9" t="s">
        <v>31</v>
      </c>
    </row>
    <row r="9615" ht="15.75" customHeight="1">
      <c r="A9615" s="7"/>
      <c r="B9615" s="7" t="str">
        <f>IFERROR(__xludf.DUMMYFUNCTION("""COMPUTED_VALUE"""),"Assembly;Bash/Shell/PowerShell;C;JavaScript;Python")</f>
        <v>Assembly;Bash/Shell/PowerShell;C;JavaScript;Python</v>
      </c>
      <c r="M9615" s="9" t="s">
        <v>27</v>
      </c>
    </row>
    <row r="9616" ht="15.75" customHeight="1">
      <c r="A9616" s="7"/>
      <c r="B9616" s="7" t="str">
        <f>IFERROR(__xludf.DUMMYFUNCTION("""COMPUTED_VALUE"""),"Python")</f>
        <v>Python</v>
      </c>
      <c r="M9616" s="9" t="s">
        <v>30</v>
      </c>
    </row>
    <row r="9617" ht="15.75" customHeight="1">
      <c r="A9617" s="7"/>
      <c r="B9617" s="7" t="str">
        <f>IFERROR(__xludf.DUMMYFUNCTION("""COMPUTED_VALUE"""),"C#;HTML/CSS;JavaScript;SQL;TypeScript")</f>
        <v>C#;HTML/CSS;JavaScript;SQL;TypeScript</v>
      </c>
      <c r="M9617" s="9" t="s">
        <v>25</v>
      </c>
    </row>
    <row r="9618" ht="15.75" customHeight="1">
      <c r="A9618" s="7"/>
      <c r="B9618" s="7" t="str">
        <f>IFERROR(__xludf.DUMMYFUNCTION("""COMPUTED_VALUE"""),"Java;Objective-C;Swift")</f>
        <v>Java;Objective-C;Swift</v>
      </c>
      <c r="M9618" s="9" t="s">
        <v>23</v>
      </c>
    </row>
    <row r="9619" ht="15.75" customHeight="1">
      <c r="A9619" s="7"/>
      <c r="B9619" s="7" t="str">
        <f>IFERROR(__xludf.DUMMYFUNCTION("""COMPUTED_VALUE"""),"Bash/Shell/PowerShell;C;C++;Java;Python;Other(s):")</f>
        <v>Bash/Shell/PowerShell;C;C++;Java;Python;Other(s):</v>
      </c>
      <c r="M9619" s="9" t="s">
        <v>26</v>
      </c>
    </row>
    <row r="9620" ht="15.75" customHeight="1">
      <c r="A9620" s="7"/>
      <c r="B9620" s="7" t="str">
        <f>IFERROR(__xludf.DUMMYFUNCTION("""COMPUTED_VALUE"""),"Bash/Shell/PowerShell;C#;HTML/CSS;Java;JavaScript;SQL;Other(s):")</f>
        <v>Bash/Shell/PowerShell;C#;HTML/CSS;Java;JavaScript;SQL;Other(s):</v>
      </c>
      <c r="M9620" s="9" t="s">
        <v>24</v>
      </c>
    </row>
    <row r="9621" ht="15.75" customHeight="1">
      <c r="A9621" s="7"/>
      <c r="B9621" s="7" t="str">
        <f>IFERROR(__xludf.DUMMYFUNCTION("""COMPUTED_VALUE"""),"C#;HTML/CSS;JavaScript;PHP;SQL;TypeScript")</f>
        <v>C#;HTML/CSS;JavaScript;PHP;SQL;TypeScript</v>
      </c>
      <c r="M9621" s="9" t="s">
        <v>20</v>
      </c>
    </row>
    <row r="9622" ht="15.75" customHeight="1">
      <c r="A9622" s="7"/>
      <c r="B9622" s="7" t="str">
        <f>IFERROR(__xludf.DUMMYFUNCTION("""COMPUTED_VALUE"""),"Java;JavaScript;SQL")</f>
        <v>Java;JavaScript;SQL</v>
      </c>
      <c r="M9622" s="9" t="s">
        <v>21</v>
      </c>
    </row>
    <row r="9623" ht="15.75" customHeight="1">
      <c r="A9623" s="7"/>
      <c r="B9623" s="7" t="str">
        <f>IFERROR(__xludf.DUMMYFUNCTION("""COMPUTED_VALUE"""),"HTML/CSS;JavaScript;TypeScript")</f>
        <v>HTML/CSS;JavaScript;TypeScript</v>
      </c>
      <c r="M9623" s="9" t="s">
        <v>22</v>
      </c>
    </row>
    <row r="9624" ht="15.75" customHeight="1">
      <c r="A9624" s="7"/>
      <c r="B9624" s="7" t="str">
        <f>IFERROR(__xludf.DUMMYFUNCTION("""COMPUTED_VALUE"""),"C;C++;HTML/CSS;JavaScript;PHP;Python;TypeScript")</f>
        <v>C;C++;HTML/CSS;JavaScript;PHP;Python;TypeScript</v>
      </c>
      <c r="M9624" s="9" t="s">
        <v>27</v>
      </c>
    </row>
    <row r="9625" ht="15.75" customHeight="1">
      <c r="A9625" s="7"/>
      <c r="B9625" s="7" t="str">
        <f>IFERROR(__xludf.DUMMYFUNCTION("""COMPUTED_VALUE"""),"HTML/CSS;PHP;SQL")</f>
        <v>HTML/CSS;PHP;SQL</v>
      </c>
      <c r="M9625" s="9" t="s">
        <v>25</v>
      </c>
    </row>
    <row r="9626" ht="15.75" customHeight="1">
      <c r="A9626" s="7"/>
      <c r="B9626" s="7" t="str">
        <f>IFERROR(__xludf.DUMMYFUNCTION("""COMPUTED_VALUE"""),"C#;Java;JavaScript")</f>
        <v>C#;Java;JavaScript</v>
      </c>
      <c r="M9626" s="9" t="s">
        <v>23</v>
      </c>
    </row>
    <row r="9627" ht="15.75" customHeight="1">
      <c r="A9627" s="7"/>
      <c r="B9627" s="7" t="str">
        <f>IFERROR(__xludf.DUMMYFUNCTION("""COMPUTED_VALUE"""),"Python;R;SQL")</f>
        <v>Python;R;SQL</v>
      </c>
      <c r="M9627" s="9" t="s">
        <v>24</v>
      </c>
    </row>
    <row r="9628" ht="15.75" customHeight="1">
      <c r="A9628" s="7"/>
      <c r="B9628" s="7" t="str">
        <f>IFERROR(__xludf.DUMMYFUNCTION("""COMPUTED_VALUE"""),"HTML/CSS;Java;JavaScript;Python;SQL")</f>
        <v>HTML/CSS;Java;JavaScript;Python;SQL</v>
      </c>
      <c r="M9628" s="9" t="s">
        <v>20</v>
      </c>
    </row>
    <row r="9629" ht="15.75" customHeight="1">
      <c r="A9629" s="7"/>
      <c r="B9629" s="7" t="str">
        <f>IFERROR(__xludf.DUMMYFUNCTION("""COMPUTED_VALUE"""),"Elixir;JavaScript;Ruby;SQL")</f>
        <v>Elixir;JavaScript;Ruby;SQL</v>
      </c>
      <c r="M9629" s="9" t="s">
        <v>21</v>
      </c>
    </row>
    <row r="9630" ht="15.75" customHeight="1">
      <c r="A9630" s="7"/>
      <c r="B9630" s="7" t="str">
        <f>IFERROR(__xludf.DUMMYFUNCTION("""COMPUTED_VALUE"""),"Bash/Shell/PowerShell;C++;C#;F#;HTML/CSS;JavaScript;PHP;Python;SQL")</f>
        <v>Bash/Shell/PowerShell;C++;C#;F#;HTML/CSS;JavaScript;PHP;Python;SQL</v>
      </c>
      <c r="M9630" s="9" t="s">
        <v>22</v>
      </c>
    </row>
    <row r="9631" ht="15.75" customHeight="1">
      <c r="A9631" s="7"/>
      <c r="B9631" s="7" t="str">
        <f>IFERROR(__xludf.DUMMYFUNCTION("""COMPUTED_VALUE"""),"Bash/Shell/PowerShell;Python;Rust;SQL")</f>
        <v>Bash/Shell/PowerShell;Python;Rust;SQL</v>
      </c>
      <c r="M9631" s="9" t="s">
        <v>27</v>
      </c>
    </row>
    <row r="9632" ht="15.75" customHeight="1">
      <c r="A9632" s="7"/>
      <c r="B9632" s="7" t="str">
        <f>IFERROR(__xludf.DUMMYFUNCTION("""COMPUTED_VALUE"""),"HTML/CSS;JavaScript;PHP;TypeScript")</f>
        <v>HTML/CSS;JavaScript;PHP;TypeScript</v>
      </c>
      <c r="M9632" s="9" t="s">
        <v>26</v>
      </c>
    </row>
    <row r="9633" ht="15.75" customHeight="1">
      <c r="A9633" s="7"/>
      <c r="B9633" s="7" t="str">
        <f>IFERROR(__xludf.DUMMYFUNCTION("""COMPUTED_VALUE"""),"Java")</f>
        <v>Java</v>
      </c>
      <c r="M9633" s="9" t="s">
        <v>45</v>
      </c>
    </row>
    <row r="9634" ht="15.75" customHeight="1">
      <c r="A9634" s="7"/>
      <c r="B9634" s="7" t="str">
        <f>IFERROR(__xludf.DUMMYFUNCTION("""COMPUTED_VALUE"""),"PHP;SQL")</f>
        <v>PHP;SQL</v>
      </c>
      <c r="M9634" s="9" t="s">
        <v>24</v>
      </c>
    </row>
    <row r="9635" ht="15.75" customHeight="1">
      <c r="A9635" s="7"/>
      <c r="B9635" s="7" t="str">
        <f>IFERROR(__xludf.DUMMYFUNCTION("""COMPUTED_VALUE"""),"C;C#;HTML/CSS;Java;JavaScript;SQL")</f>
        <v>C;C#;HTML/CSS;Java;JavaScript;SQL</v>
      </c>
      <c r="M9635" s="9" t="s">
        <v>27</v>
      </c>
    </row>
    <row r="9636" ht="15.75" customHeight="1">
      <c r="A9636" s="7"/>
      <c r="B9636" s="7" t="str">
        <f>IFERROR(__xludf.DUMMYFUNCTION("""COMPUTED_VALUE"""),"C;C++;HTML/CSS;Java;JavaScript;PHP;SQL")</f>
        <v>C;C++;HTML/CSS;Java;JavaScript;PHP;SQL</v>
      </c>
      <c r="M9636" s="9" t="s">
        <v>35</v>
      </c>
    </row>
    <row r="9637" ht="15.75" customHeight="1">
      <c r="A9637" s="7"/>
      <c r="B9637" s="7" t="str">
        <f>IFERROR(__xludf.DUMMYFUNCTION("""COMPUTED_VALUE"""),"C;C++;C#")</f>
        <v>C;C++;C#</v>
      </c>
      <c r="M9637" s="9" t="s">
        <v>26</v>
      </c>
    </row>
    <row r="9638" ht="15.75" customHeight="1">
      <c r="A9638" s="7"/>
      <c r="B9638" s="7" t="str">
        <f>IFERROR(__xludf.DUMMYFUNCTION("""COMPUTED_VALUE"""),"C")</f>
        <v>C</v>
      </c>
      <c r="M9638" s="9" t="s">
        <v>22</v>
      </c>
    </row>
    <row r="9639" ht="15.75" customHeight="1">
      <c r="A9639" s="7"/>
      <c r="B9639" s="7" t="str">
        <f>IFERROR(__xludf.DUMMYFUNCTION("""COMPUTED_VALUE"""),"Go;HTML/CSS;JavaScript;PHP;Python;R;SQL")</f>
        <v>Go;HTML/CSS;JavaScript;PHP;Python;R;SQL</v>
      </c>
      <c r="M9639" s="9" t="s">
        <v>20</v>
      </c>
    </row>
    <row r="9640" ht="15.75" customHeight="1">
      <c r="A9640" s="7"/>
      <c r="B9640" s="7" t="str">
        <f>IFERROR(__xludf.DUMMYFUNCTION("""COMPUTED_VALUE"""),"JavaScript;PHP")</f>
        <v>JavaScript;PHP</v>
      </c>
      <c r="M9640" s="9" t="s">
        <v>39</v>
      </c>
    </row>
    <row r="9641" ht="15.75" customHeight="1">
      <c r="A9641" s="7"/>
      <c r="B9641" s="7" t="str">
        <f>IFERROR(__xludf.DUMMYFUNCTION("""COMPUTED_VALUE"""),"Kotlin")</f>
        <v>Kotlin</v>
      </c>
      <c r="M9641" s="9" t="s">
        <v>26</v>
      </c>
    </row>
    <row r="9642" ht="15.75" customHeight="1">
      <c r="A9642" s="7"/>
      <c r="B9642" s="7" t="str">
        <f>IFERROR(__xludf.DUMMYFUNCTION("""COMPUTED_VALUE"""),"Bash/Shell/PowerShell;C;C++;C#;HTML/CSS;JavaScript;Objective-C;PHP;Python;Other(s):")</f>
        <v>Bash/Shell/PowerShell;C;C++;C#;HTML/CSS;JavaScript;Objective-C;PHP;Python;Other(s):</v>
      </c>
      <c r="M9642" s="9" t="s">
        <v>24</v>
      </c>
    </row>
    <row r="9643" ht="15.75" customHeight="1">
      <c r="A9643" s="7"/>
      <c r="B9643" s="7" t="str">
        <f>IFERROR(__xludf.DUMMYFUNCTION("""COMPUTED_VALUE"""),"C++;Clojure;Dart;Go;HTML/CSS;JavaScript;Ruby;Swift;TypeScript")</f>
        <v>C++;Clojure;Dart;Go;HTML/CSS;JavaScript;Ruby;Swift;TypeScript</v>
      </c>
      <c r="M9643" s="9" t="s">
        <v>21</v>
      </c>
    </row>
    <row r="9644" ht="15.75" customHeight="1">
      <c r="A9644" s="7"/>
      <c r="B9644" s="7" t="str">
        <f>IFERROR(__xludf.DUMMYFUNCTION("""COMPUTED_VALUE"""),"Swift")</f>
        <v>Swift</v>
      </c>
      <c r="M9644" s="9" t="s">
        <v>33</v>
      </c>
    </row>
    <row r="9645" ht="15.75" customHeight="1">
      <c r="A9645" s="7"/>
      <c r="B9645" s="7" t="str">
        <f>IFERROR(__xludf.DUMMYFUNCTION("""COMPUTED_VALUE"""),"HTML/CSS;Ruby")</f>
        <v>HTML/CSS;Ruby</v>
      </c>
      <c r="M9645" s="9" t="s">
        <v>30</v>
      </c>
    </row>
    <row r="9646" ht="15.75" customHeight="1">
      <c r="A9646" s="7"/>
      <c r="B9646" s="7" t="str">
        <f>IFERROR(__xludf.DUMMYFUNCTION("""COMPUTED_VALUE"""),"C#;Java;SQL")</f>
        <v>C#;Java;SQL</v>
      </c>
      <c r="M9646" s="9" t="s">
        <v>26</v>
      </c>
    </row>
    <row r="9647" ht="15.75" customHeight="1">
      <c r="A9647" s="7"/>
      <c r="B9647" s="7" t="str">
        <f>IFERROR(__xludf.DUMMYFUNCTION("""COMPUTED_VALUE"""),"Bash/Shell/PowerShell;HTML/CSS;Java;JavaScript;TypeScript")</f>
        <v>Bash/Shell/PowerShell;HTML/CSS;Java;JavaScript;TypeScript</v>
      </c>
      <c r="M9647" s="9" t="s">
        <v>24</v>
      </c>
    </row>
    <row r="9648" ht="15.75" customHeight="1">
      <c r="A9648" s="7"/>
      <c r="B9648" s="7" t="str">
        <f>IFERROR(__xludf.DUMMYFUNCTION("""COMPUTED_VALUE"""),"Bash/Shell/PowerShell;C;C++;Go;HTML/CSS;JavaScript;TypeScript;Other(s):")</f>
        <v>Bash/Shell/PowerShell;C;C++;Go;HTML/CSS;JavaScript;TypeScript;Other(s):</v>
      </c>
      <c r="M9648" s="9" t="s">
        <v>21</v>
      </c>
    </row>
    <row r="9649" ht="15.75" customHeight="1">
      <c r="A9649" s="7"/>
      <c r="B9649" s="7" t="str">
        <f>IFERROR(__xludf.DUMMYFUNCTION("""COMPUTED_VALUE"""),"Java;JavaScript;SQL;Swift")</f>
        <v>Java;JavaScript;SQL;Swift</v>
      </c>
      <c r="M9649" s="9" t="s">
        <v>22</v>
      </c>
    </row>
    <row r="9650" ht="15.75" customHeight="1">
      <c r="A9650" s="7"/>
      <c r="B9650" s="7" t="str">
        <f>IFERROR(__xludf.DUMMYFUNCTION("""COMPUTED_VALUE"""),"C;HTML/CSS;JavaScript;PHP;SQL")</f>
        <v>C;HTML/CSS;JavaScript;PHP;SQL</v>
      </c>
      <c r="M9650" s="9" t="s">
        <v>29</v>
      </c>
    </row>
    <row r="9651" ht="15.75" customHeight="1">
      <c r="A9651" s="7"/>
      <c r="B9651" s="7" t="str">
        <f>IFERROR(__xludf.DUMMYFUNCTION("""COMPUTED_VALUE"""),"C++;HTML/CSS;Java;JavaScript;Objective-C;Swift")</f>
        <v>C++;HTML/CSS;Java;JavaScript;Objective-C;Swift</v>
      </c>
      <c r="M9651" s="9" t="s">
        <v>27</v>
      </c>
    </row>
    <row r="9652" ht="15.75" customHeight="1">
      <c r="A9652" s="7"/>
      <c r="B9652" s="7" t="str">
        <f>IFERROR(__xludf.DUMMYFUNCTION("""COMPUTED_VALUE"""),"C++;Java;Python")</f>
        <v>C++;Java;Python</v>
      </c>
      <c r="M9652" s="9" t="s">
        <v>28</v>
      </c>
    </row>
    <row r="9653" ht="15.75" customHeight="1">
      <c r="A9653" s="7"/>
      <c r="B9653" s="7" t="str">
        <f>IFERROR(__xludf.DUMMYFUNCTION("""COMPUTED_VALUE"""),"JavaScript;TypeScript")</f>
        <v>JavaScript;TypeScript</v>
      </c>
      <c r="M9653" s="9" t="s">
        <v>25</v>
      </c>
    </row>
    <row r="9654" ht="15.75" customHeight="1">
      <c r="A9654" s="7"/>
      <c r="B9654" s="7" t="str">
        <f>IFERROR(__xludf.DUMMYFUNCTION("""COMPUTED_VALUE"""),"Bash/Shell/PowerShell;HTML/CSS;Python;SQL")</f>
        <v>Bash/Shell/PowerShell;HTML/CSS;Python;SQL</v>
      </c>
      <c r="M9654" s="9" t="s">
        <v>23</v>
      </c>
    </row>
    <row r="9655" ht="15.75" customHeight="1">
      <c r="A9655" s="7"/>
      <c r="B9655" s="7" t="str">
        <f>IFERROR(__xludf.DUMMYFUNCTION("""COMPUTED_VALUE"""),"Bash/Shell/PowerShell;C;C++")</f>
        <v>Bash/Shell/PowerShell;C;C++</v>
      </c>
      <c r="M9655" s="9" t="s">
        <v>20</v>
      </c>
    </row>
    <row r="9656" ht="15.75" customHeight="1">
      <c r="A9656" s="7"/>
      <c r="B9656" s="7" t="str">
        <f>IFERROR(__xludf.DUMMYFUNCTION("""COMPUTED_VALUE"""),"Bash/Shell/PowerShell;Java;Python;SQL")</f>
        <v>Bash/Shell/PowerShell;Java;Python;SQL</v>
      </c>
      <c r="M9656" s="9" t="s">
        <v>22</v>
      </c>
    </row>
    <row r="9657" ht="15.75" customHeight="1">
      <c r="A9657" s="7"/>
      <c r="B9657" s="7" t="str">
        <f>IFERROR(__xludf.DUMMYFUNCTION("""COMPUTED_VALUE"""),"HTML/CSS;TypeScript")</f>
        <v>HTML/CSS;TypeScript</v>
      </c>
      <c r="M9657" s="9" t="s">
        <v>27</v>
      </c>
    </row>
    <row r="9658" ht="15.75" customHeight="1">
      <c r="A9658" s="7"/>
      <c r="B9658" s="7" t="str">
        <f>IFERROR(__xludf.DUMMYFUNCTION("""COMPUTED_VALUE"""),"HTML/CSS;JavaScript;Ruby")</f>
        <v>HTML/CSS;JavaScript;Ruby</v>
      </c>
      <c r="M9658" s="9" t="s">
        <v>40</v>
      </c>
    </row>
    <row r="9659" ht="15.75" customHeight="1">
      <c r="A9659" s="7"/>
      <c r="B9659" s="7" t="str">
        <f>IFERROR(__xludf.DUMMYFUNCTION("""COMPUTED_VALUE"""),"Bash/Shell/PowerShell;C;C++;Java;Ruby;Scala;SQL")</f>
        <v>Bash/Shell/PowerShell;C;C++;Java;Ruby;Scala;SQL</v>
      </c>
      <c r="M9659" s="9" t="s">
        <v>28</v>
      </c>
    </row>
    <row r="9660" ht="15.75" customHeight="1">
      <c r="A9660" s="7"/>
      <c r="B9660" s="7" t="str">
        <f>IFERROR(__xludf.DUMMYFUNCTION("""COMPUTED_VALUE"""),"C#;HTML/CSS;Java;JavaScript;SQL")</f>
        <v>C#;HTML/CSS;Java;JavaScript;SQL</v>
      </c>
      <c r="M9660" s="9" t="s">
        <v>30</v>
      </c>
    </row>
    <row r="9661" ht="15.75" customHeight="1">
      <c r="A9661" s="7"/>
      <c r="B9661" s="7" t="str">
        <f>IFERROR(__xludf.DUMMYFUNCTION("""COMPUTED_VALUE"""),"Bash/Shell/PowerShell;HTML/CSS;JavaScript;Python;SQL;TypeScript")</f>
        <v>Bash/Shell/PowerShell;HTML/CSS;JavaScript;Python;SQL;TypeScript</v>
      </c>
      <c r="M9661" s="9" t="s">
        <v>24</v>
      </c>
    </row>
    <row r="9662" ht="15.75" customHeight="1">
      <c r="A9662" s="7"/>
      <c r="B9662" s="7" t="str">
        <f>IFERROR(__xludf.DUMMYFUNCTION("""COMPUTED_VALUE"""),"Bash/Shell/PowerShell;Java;R")</f>
        <v>Bash/Shell/PowerShell;Java;R</v>
      </c>
      <c r="M9662" s="9" t="s">
        <v>20</v>
      </c>
    </row>
    <row r="9663" ht="15.75" customHeight="1">
      <c r="A9663" s="7"/>
      <c r="B9663" s="7" t="str">
        <f>IFERROR(__xludf.DUMMYFUNCTION("""COMPUTED_VALUE"""),"Dart;HTML/CSS;Java;JavaScript;Kotlin;Objective-C;PHP;Python;SQL;Swift")</f>
        <v>Dart;HTML/CSS;Java;JavaScript;Kotlin;Objective-C;PHP;Python;SQL;Swift</v>
      </c>
      <c r="M9663" s="9" t="s">
        <v>21</v>
      </c>
    </row>
    <row r="9664" ht="15.75" customHeight="1">
      <c r="A9664" s="7"/>
      <c r="B9664" s="7" t="str">
        <f>IFERROR(__xludf.DUMMYFUNCTION("""COMPUTED_VALUE"""),"C#;HTML/CSS;JavaScript")</f>
        <v>C#;HTML/CSS;JavaScript</v>
      </c>
      <c r="M9664" s="9" t="s">
        <v>37</v>
      </c>
    </row>
    <row r="9665" ht="15.75" customHeight="1">
      <c r="A9665" s="7"/>
      <c r="B9665" s="7" t="str">
        <f>IFERROR(__xludf.DUMMYFUNCTION("""COMPUTED_VALUE"""),"C#;Python")</f>
        <v>C#;Python</v>
      </c>
      <c r="M9665" s="9" t="s">
        <v>31</v>
      </c>
    </row>
    <row r="9666" ht="15.75" customHeight="1">
      <c r="A9666" s="7"/>
      <c r="B9666" s="7" t="str">
        <f>IFERROR(__xludf.DUMMYFUNCTION("""COMPUTED_VALUE"""),"C#;HTML/CSS;JavaScript;Python;SQL")</f>
        <v>C#;HTML/CSS;JavaScript;Python;SQL</v>
      </c>
      <c r="M9666" s="9" t="s">
        <v>27</v>
      </c>
    </row>
    <row r="9667" ht="15.75" customHeight="1">
      <c r="A9667" s="7"/>
      <c r="B9667" s="7" t="str">
        <f>IFERROR(__xludf.DUMMYFUNCTION("""COMPUTED_VALUE"""),"Bash/Shell/PowerShell;Go;HTML/CSS;JavaScript;Python;R;SQL")</f>
        <v>Bash/Shell/PowerShell;Go;HTML/CSS;JavaScript;Python;R;SQL</v>
      </c>
      <c r="M9667" s="9" t="s">
        <v>33</v>
      </c>
    </row>
    <row r="9668" ht="15.75" customHeight="1">
      <c r="A9668" s="7"/>
      <c r="B9668" s="7" t="str">
        <f>IFERROR(__xludf.DUMMYFUNCTION("""COMPUTED_VALUE"""),"C;C++;PHP;SQL")</f>
        <v>C;C++;PHP;SQL</v>
      </c>
      <c r="M9668" s="9" t="s">
        <v>41</v>
      </c>
    </row>
    <row r="9669" ht="15.75" customHeight="1">
      <c r="A9669" s="7"/>
      <c r="B9669" s="7" t="str">
        <f>IFERROR(__xludf.DUMMYFUNCTION("""COMPUTED_VALUE"""),"C;HTML/CSS;Java;JavaScript;PHP;SQL")</f>
        <v>C;HTML/CSS;Java;JavaScript;PHP;SQL</v>
      </c>
      <c r="M9669" s="9" t="s">
        <v>40</v>
      </c>
    </row>
    <row r="9670" ht="15.75" customHeight="1">
      <c r="A9670" s="7"/>
      <c r="B9670" s="7" t="str">
        <f>IFERROR(__xludf.DUMMYFUNCTION("""COMPUTED_VALUE"""),"Bash/Shell/PowerShell;Elixir;HTML/CSS;JavaScript")</f>
        <v>Bash/Shell/PowerShell;Elixir;HTML/CSS;JavaScript</v>
      </c>
      <c r="M9670" s="9" t="s">
        <v>25</v>
      </c>
    </row>
    <row r="9671" ht="15.75" customHeight="1">
      <c r="A9671" s="7"/>
      <c r="B9671" s="7" t="str">
        <f>IFERROR(__xludf.DUMMYFUNCTION("""COMPUTED_VALUE"""),"C#")</f>
        <v>C#</v>
      </c>
      <c r="M9671" s="9" t="s">
        <v>23</v>
      </c>
    </row>
    <row r="9672" ht="15.75" customHeight="1">
      <c r="A9672" s="7"/>
      <c r="B9672" s="7" t="str">
        <f>IFERROR(__xludf.DUMMYFUNCTION("""COMPUTED_VALUE"""),"C#;JavaScript;Python;SQL")</f>
        <v>C#;JavaScript;Python;SQL</v>
      </c>
      <c r="M9672" s="9" t="s">
        <v>26</v>
      </c>
    </row>
    <row r="9673" ht="15.75" customHeight="1">
      <c r="A9673" s="7"/>
      <c r="B9673" s="7" t="str">
        <f>IFERROR(__xludf.DUMMYFUNCTION("""COMPUTED_VALUE"""),"Bash/Shell/PowerShell;C#;Dart;HTML/CSS;Java")</f>
        <v>Bash/Shell/PowerShell;C#;Dart;HTML/CSS;Java</v>
      </c>
      <c r="M9673" s="9" t="s">
        <v>24</v>
      </c>
    </row>
    <row r="9674" ht="15.75" customHeight="1">
      <c r="A9674" s="7"/>
      <c r="B9674" s="7" t="str">
        <f>IFERROR(__xludf.DUMMYFUNCTION("""COMPUTED_VALUE"""),"HTML/CSS;JavaScript")</f>
        <v>HTML/CSS;JavaScript</v>
      </c>
      <c r="M9674" s="9" t="s">
        <v>20</v>
      </c>
    </row>
    <row r="9675" ht="15.75" customHeight="1">
      <c r="A9675" s="7"/>
      <c r="B9675" s="7" t="str">
        <f>IFERROR(__xludf.DUMMYFUNCTION("""COMPUTED_VALUE"""),"Bash/Shell/PowerShell;Python")</f>
        <v>Bash/Shell/PowerShell;Python</v>
      </c>
      <c r="M9675" s="9" t="s">
        <v>21</v>
      </c>
    </row>
    <row r="9676" ht="15.75" customHeight="1">
      <c r="A9676" s="7"/>
      <c r="B9676" s="7" t="str">
        <f>IFERROR(__xludf.DUMMYFUNCTION("""COMPUTED_VALUE"""),"C++;HTML/CSS;Java;JavaScript;PHP;Python;SQL")</f>
        <v>C++;HTML/CSS;Java;JavaScript;PHP;Python;SQL</v>
      </c>
      <c r="M9676" s="9" t="s">
        <v>37</v>
      </c>
    </row>
    <row r="9677" ht="15.75" customHeight="1">
      <c r="A9677" s="7"/>
      <c r="B9677" s="7" t="str">
        <f>IFERROR(__xludf.DUMMYFUNCTION("""COMPUTED_VALUE"""),"C;C++;C#;HTML/CSS;Java")</f>
        <v>C;C++;C#;HTML/CSS;Java</v>
      </c>
      <c r="M9677" s="9" t="s">
        <v>27</v>
      </c>
    </row>
    <row r="9678" ht="15.75" customHeight="1">
      <c r="A9678" s="7"/>
      <c r="B9678" s="7" t="str">
        <f>IFERROR(__xludf.DUMMYFUNCTION("""COMPUTED_VALUE"""),"C;JavaScript;Objective-C")</f>
        <v>C;JavaScript;Objective-C</v>
      </c>
      <c r="M9678" s="9" t="s">
        <v>26</v>
      </c>
    </row>
    <row r="9679" ht="15.75" customHeight="1">
      <c r="A9679" s="7"/>
      <c r="B9679" s="7" t="str">
        <f>IFERROR(__xludf.DUMMYFUNCTION("""COMPUTED_VALUE"""),"HTML/CSS;JavaScript;PHP;SQL")</f>
        <v>HTML/CSS;JavaScript;PHP;SQL</v>
      </c>
      <c r="M9679" s="9" t="s">
        <v>20</v>
      </c>
    </row>
    <row r="9680" ht="15.75" customHeight="1">
      <c r="A9680" s="7"/>
      <c r="B9680" s="7" t="str">
        <f>IFERROR(__xludf.DUMMYFUNCTION("""COMPUTED_VALUE"""),"C;C++;HTML/CSS;Java;JavaScript;Kotlin;PHP;Python;SQL")</f>
        <v>C;C++;HTML/CSS;Java;JavaScript;Kotlin;PHP;Python;SQL</v>
      </c>
      <c r="M9680" s="9" t="s">
        <v>21</v>
      </c>
    </row>
    <row r="9681" ht="15.75" customHeight="1">
      <c r="A9681" s="7"/>
      <c r="B9681" s="7" t="str">
        <f>IFERROR(__xludf.DUMMYFUNCTION("""COMPUTED_VALUE"""),"C#;Java")</f>
        <v>C#;Java</v>
      </c>
      <c r="M9681" s="9" t="s">
        <v>39</v>
      </c>
    </row>
    <row r="9682" ht="15.75" customHeight="1">
      <c r="A9682" s="7"/>
      <c r="B9682" s="7" t="str">
        <f>IFERROR(__xludf.DUMMYFUNCTION("""COMPUTED_VALUE"""),"Ruby")</f>
        <v>Ruby</v>
      </c>
      <c r="M9682" s="9" t="s">
        <v>30</v>
      </c>
    </row>
    <row r="9683" ht="15.75" customHeight="1">
      <c r="A9683" s="7"/>
      <c r="B9683" s="7" t="str">
        <f>IFERROR(__xludf.DUMMYFUNCTION("""COMPUTED_VALUE"""),"Bash/Shell/PowerShell;HTML/CSS;Java;JavaScript;Kotlin;Scala")</f>
        <v>Bash/Shell/PowerShell;HTML/CSS;Java;JavaScript;Kotlin;Scala</v>
      </c>
      <c r="M9683" s="9" t="s">
        <v>44</v>
      </c>
    </row>
    <row r="9684" ht="15.75" customHeight="1">
      <c r="A9684" s="7"/>
      <c r="B9684" s="7" t="str">
        <f>IFERROR(__xludf.DUMMYFUNCTION("""COMPUTED_VALUE"""),"Bash/Shell/PowerShell;C#;Java;Objective-C")</f>
        <v>Bash/Shell/PowerShell;C#;Java;Objective-C</v>
      </c>
      <c r="M9684" s="9" t="s">
        <v>36</v>
      </c>
    </row>
    <row r="9685" ht="15.75" customHeight="1">
      <c r="A9685" s="7"/>
      <c r="B9685" s="7" t="str">
        <f>IFERROR(__xludf.DUMMYFUNCTION("""COMPUTED_VALUE"""),"HTML/CSS;JavaScript")</f>
        <v>HTML/CSS;JavaScript</v>
      </c>
      <c r="M9685" s="9" t="s">
        <v>24</v>
      </c>
    </row>
    <row r="9686" ht="15.75" customHeight="1">
      <c r="A9686" s="7"/>
      <c r="B9686" s="7" t="str">
        <f>IFERROR(__xludf.DUMMYFUNCTION("""COMPUTED_VALUE"""),"C;C++;C#;HTML/CSS;Java;JavaScript;PHP;Python;R;SQL")</f>
        <v>C;C++;C#;HTML/CSS;Java;JavaScript;PHP;Python;R;SQL</v>
      </c>
      <c r="M9686" s="9" t="s">
        <v>27</v>
      </c>
    </row>
    <row r="9687" ht="15.75" customHeight="1">
      <c r="A9687" s="7"/>
      <c r="B9687" s="7" t="str">
        <f>IFERROR(__xludf.DUMMYFUNCTION("""COMPUTED_VALUE"""),"C;C++;Java;JavaScript;Kotlin")</f>
        <v>C;C++;Java;JavaScript;Kotlin</v>
      </c>
      <c r="M9687" s="9" t="s">
        <v>38</v>
      </c>
    </row>
    <row r="9688" ht="15.75" customHeight="1">
      <c r="A9688" s="7"/>
      <c r="B9688" s="7" t="str">
        <f>IFERROR(__xludf.DUMMYFUNCTION("""COMPUTED_VALUE"""),"HTML/CSS;JavaScript;PHP")</f>
        <v>HTML/CSS;JavaScript;PHP</v>
      </c>
      <c r="M9688" s="9" t="s">
        <v>26</v>
      </c>
    </row>
    <row r="9689" ht="15.75" customHeight="1">
      <c r="A9689" s="7"/>
      <c r="B9689" s="7" t="str">
        <f>IFERROR(__xludf.DUMMYFUNCTION("""COMPUTED_VALUE"""),"HTML/CSS;Java;JavaScript")</f>
        <v>HTML/CSS;Java;JavaScript</v>
      </c>
      <c r="M9689" s="9" t="s">
        <v>21</v>
      </c>
    </row>
    <row r="9690" ht="15.75" customHeight="1">
      <c r="A9690" s="7"/>
      <c r="B9690" s="7" t="str">
        <f>IFERROR(__xludf.DUMMYFUNCTION("""COMPUTED_VALUE"""),"C#;HTML/CSS;JavaScript;PHP;Other(s):")</f>
        <v>C#;HTML/CSS;JavaScript;PHP;Other(s):</v>
      </c>
      <c r="M9690" s="9" t="s">
        <v>22</v>
      </c>
    </row>
    <row r="9691" ht="15.75" customHeight="1">
      <c r="A9691" s="7"/>
      <c r="B9691" s="7" t="str">
        <f>IFERROR(__xludf.DUMMYFUNCTION("""COMPUTED_VALUE"""),"Bash/Shell/PowerShell;HTML/CSS;Java;JavaScript;Python;R;Scala;SQL;TypeScript")</f>
        <v>Bash/Shell/PowerShell;HTML/CSS;Java;JavaScript;Python;R;Scala;SQL;TypeScript</v>
      </c>
      <c r="M9691" s="9" t="s">
        <v>27</v>
      </c>
    </row>
    <row r="9692" ht="15.75" customHeight="1">
      <c r="A9692" s="7"/>
      <c r="B9692" s="7" t="str">
        <f>IFERROR(__xludf.DUMMYFUNCTION("""COMPUTED_VALUE"""),"HTML/CSS;Java")</f>
        <v>HTML/CSS;Java</v>
      </c>
      <c r="M9692" s="9" t="s">
        <v>38</v>
      </c>
    </row>
    <row r="9693" ht="15.75" customHeight="1">
      <c r="A9693" s="7"/>
      <c r="B9693" s="7" t="str">
        <f>IFERROR(__xludf.DUMMYFUNCTION("""COMPUTED_VALUE"""),"HTML/CSS;JavaScript;PHP")</f>
        <v>HTML/CSS;JavaScript;PHP</v>
      </c>
      <c r="M9693" s="9" t="s">
        <v>23</v>
      </c>
    </row>
    <row r="9694" ht="15.75" customHeight="1">
      <c r="A9694" s="7"/>
      <c r="B9694" s="7" t="str">
        <f>IFERROR(__xludf.DUMMYFUNCTION("""COMPUTED_VALUE"""),"HTML/CSS;Java;JavaScript")</f>
        <v>HTML/CSS;Java;JavaScript</v>
      </c>
      <c r="M9694" s="9" t="s">
        <v>24</v>
      </c>
    </row>
    <row r="9695" ht="15.75" customHeight="1">
      <c r="A9695" s="7"/>
      <c r="B9695" s="7" t="str">
        <f>IFERROR(__xludf.DUMMYFUNCTION("""COMPUTED_VALUE"""),"Assembly;Bash/Shell/PowerShell;C;C++;C#;HTML/CSS;Java;JavaScript;Python;SQL;TypeScript")</f>
        <v>Assembly;Bash/Shell/PowerShell;C;C++;C#;HTML/CSS;Java;JavaScript;Python;SQL;TypeScript</v>
      </c>
      <c r="M9695" s="9" t="s">
        <v>20</v>
      </c>
    </row>
    <row r="9696" ht="15.75" customHeight="1">
      <c r="A9696" s="7"/>
      <c r="B9696" s="7" t="str">
        <f>IFERROR(__xludf.DUMMYFUNCTION("""COMPUTED_VALUE"""),"Bash/Shell/PowerShell;C;C++;HTML/CSS;Java;Python;Other(s):")</f>
        <v>Bash/Shell/PowerShell;C;C++;HTML/CSS;Java;Python;Other(s):</v>
      </c>
      <c r="M9696" s="9" t="s">
        <v>21</v>
      </c>
    </row>
    <row r="9697" ht="15.75" customHeight="1">
      <c r="A9697" s="7"/>
      <c r="B9697" s="7" t="str">
        <f>IFERROR(__xludf.DUMMYFUNCTION("""COMPUTED_VALUE"""),"Bash/Shell/PowerShell;Go;HTML/CSS;JavaScript;Python;SQL")</f>
        <v>Bash/Shell/PowerShell;Go;HTML/CSS;JavaScript;Python;SQL</v>
      </c>
      <c r="M9697" s="9" t="s">
        <v>37</v>
      </c>
    </row>
    <row r="9698" ht="15.75" customHeight="1">
      <c r="A9698" s="7"/>
      <c r="B9698" s="7" t="str">
        <f>IFERROR(__xludf.DUMMYFUNCTION("""COMPUTED_VALUE"""),"C#;HTML/CSS;JavaScript;PHP;SQL;TypeScript")</f>
        <v>C#;HTML/CSS;JavaScript;PHP;SQL;TypeScript</v>
      </c>
      <c r="M9698" s="9" t="s">
        <v>27</v>
      </c>
    </row>
    <row r="9699" ht="15.75" customHeight="1">
      <c r="A9699" s="7"/>
      <c r="B9699" s="7" t="str">
        <f>IFERROR(__xludf.DUMMYFUNCTION("""COMPUTED_VALUE"""),"Bash/Shell/PowerShell;Java;Python;Rust")</f>
        <v>Bash/Shell/PowerShell;Java;Python;Rust</v>
      </c>
      <c r="M9699" s="9" t="s">
        <v>23</v>
      </c>
    </row>
    <row r="9700" ht="15.75" customHeight="1">
      <c r="A9700" s="7"/>
      <c r="B9700" s="7" t="str">
        <f>IFERROR(__xludf.DUMMYFUNCTION("""COMPUTED_VALUE"""),"C#")</f>
        <v>C#</v>
      </c>
      <c r="M9700" s="9" t="s">
        <v>24</v>
      </c>
    </row>
    <row r="9701" ht="15.75" customHeight="1">
      <c r="A9701" s="7"/>
      <c r="B9701" s="7" t="str">
        <f>IFERROR(__xludf.DUMMYFUNCTION("""COMPUTED_VALUE"""),"Bash/Shell/PowerShell;C;HTML/CSS;JavaScript;PHP;Python;SQL;TypeScript")</f>
        <v>Bash/Shell/PowerShell;C;HTML/CSS;JavaScript;PHP;Python;SQL;TypeScript</v>
      </c>
      <c r="M9701" s="9" t="s">
        <v>20</v>
      </c>
    </row>
    <row r="9702" ht="15.75" customHeight="1">
      <c r="A9702" s="7"/>
      <c r="B9702" s="7" t="str">
        <f>IFERROR(__xludf.DUMMYFUNCTION("""COMPUTED_VALUE"""),"C++;HTML/CSS;JavaScript;Python")</f>
        <v>C++;HTML/CSS;JavaScript;Python</v>
      </c>
      <c r="M9702" s="9" t="s">
        <v>21</v>
      </c>
    </row>
    <row r="9703" ht="15.75" customHeight="1">
      <c r="A9703" s="7"/>
      <c r="B9703" s="7" t="str">
        <f>IFERROR(__xludf.DUMMYFUNCTION("""COMPUTED_VALUE"""),"Bash/Shell/PowerShell;HTML/CSS;Java;JavaScript;PHP;Scala;SQL")</f>
        <v>Bash/Shell/PowerShell;HTML/CSS;Java;JavaScript;PHP;Scala;SQL</v>
      </c>
      <c r="M9703" s="9" t="s">
        <v>33</v>
      </c>
    </row>
    <row r="9704" ht="15.75" customHeight="1">
      <c r="A9704" s="7"/>
      <c r="B9704" s="7" t="str">
        <f>IFERROR(__xludf.DUMMYFUNCTION("""COMPUTED_VALUE"""),"Assembly;C;C++;C#;HTML/CSS;Java;Python")</f>
        <v>Assembly;C;C++;C#;HTML/CSS;Java;Python</v>
      </c>
      <c r="M9704" s="9" t="s">
        <v>26</v>
      </c>
    </row>
    <row r="9705" ht="15.75" customHeight="1">
      <c r="A9705" s="7"/>
      <c r="B9705" s="7" t="str">
        <f>IFERROR(__xludf.DUMMYFUNCTION("""COMPUTED_VALUE"""),"Bash/Shell/PowerShell;Other(s):")</f>
        <v>Bash/Shell/PowerShell;Other(s):</v>
      </c>
      <c r="M9705" s="9" t="s">
        <v>24</v>
      </c>
    </row>
    <row r="9706" ht="15.75" customHeight="1">
      <c r="A9706" s="7"/>
      <c r="B9706" s="7" t="str">
        <f>IFERROR(__xludf.DUMMYFUNCTION("""COMPUTED_VALUE"""),"Bash/Shell/PowerShell;C;C++;HTML/CSS;JavaScript;Python;SQL")</f>
        <v>Bash/Shell/PowerShell;C;C++;HTML/CSS;JavaScript;Python;SQL</v>
      </c>
      <c r="M9706" s="9" t="s">
        <v>20</v>
      </c>
    </row>
    <row r="9707" ht="15.75" customHeight="1">
      <c r="A9707" s="7"/>
      <c r="B9707" s="7" t="str">
        <f>IFERROR(__xludf.DUMMYFUNCTION("""COMPUTED_VALUE"""),"C#;SQL")</f>
        <v>C#;SQL</v>
      </c>
      <c r="M9707" s="9" t="s">
        <v>21</v>
      </c>
    </row>
    <row r="9708" ht="15.75" customHeight="1">
      <c r="A9708" s="7"/>
      <c r="B9708" s="7" t="str">
        <f>IFERROR(__xludf.DUMMYFUNCTION("""COMPUTED_VALUE"""),"Python;R;Scala;SQL")</f>
        <v>Python;R;Scala;SQL</v>
      </c>
      <c r="M9708" s="9" t="s">
        <v>33</v>
      </c>
    </row>
    <row r="9709" ht="15.75" customHeight="1">
      <c r="A9709" s="7"/>
      <c r="B9709" s="7" t="str">
        <f>IFERROR(__xludf.DUMMYFUNCTION("""COMPUTED_VALUE"""),"Bash/Shell/PowerShell;C#;HTML/CSS;Java;JavaScript;Kotlin;Objective-C;PHP;Ruby;SQL;Swift;TypeScript")</f>
        <v>Bash/Shell/PowerShell;C#;HTML/CSS;Java;JavaScript;Kotlin;Objective-C;PHP;Ruby;SQL;Swift;TypeScript</v>
      </c>
      <c r="M9709" s="9" t="s">
        <v>28</v>
      </c>
    </row>
    <row r="9710" ht="15.75" customHeight="1">
      <c r="A9710" s="7"/>
      <c r="B9710" s="7" t="str">
        <f>IFERROR(__xludf.DUMMYFUNCTION("""COMPUTED_VALUE"""),"Bash/Shell/PowerShell;C#;HTML/CSS;JavaScript;SQL")</f>
        <v>Bash/Shell/PowerShell;C#;HTML/CSS;JavaScript;SQL</v>
      </c>
      <c r="M9710" s="9" t="s">
        <v>22</v>
      </c>
    </row>
    <row r="9711" ht="15.75" customHeight="1">
      <c r="A9711" s="7"/>
      <c r="B9711" s="7" t="str">
        <f>IFERROR(__xludf.DUMMYFUNCTION("""COMPUTED_VALUE"""),"C++;HTML/CSS;Python")</f>
        <v>C++;HTML/CSS;Python</v>
      </c>
      <c r="M9711" s="9" t="s">
        <v>31</v>
      </c>
    </row>
    <row r="9712" ht="15.75" customHeight="1">
      <c r="A9712" s="7"/>
      <c r="B9712" s="7" t="str">
        <f>IFERROR(__xludf.DUMMYFUNCTION("""COMPUTED_VALUE"""),"C#;HTML/CSS;Java;JavaScript;SQL;Swift")</f>
        <v>C#;HTML/CSS;Java;JavaScript;SQL;Swift</v>
      </c>
      <c r="M9712" s="9" t="s">
        <v>30</v>
      </c>
    </row>
    <row r="9713" ht="15.75" customHeight="1">
      <c r="A9713" s="7"/>
      <c r="B9713" s="7" t="str">
        <f>IFERROR(__xludf.DUMMYFUNCTION("""COMPUTED_VALUE"""),"HTML/CSS;JavaScript;PHP")</f>
        <v>HTML/CSS;JavaScript;PHP</v>
      </c>
      <c r="M9713" s="9" t="s">
        <v>24</v>
      </c>
    </row>
    <row r="9714" ht="15.75" customHeight="1">
      <c r="A9714" s="7"/>
      <c r="B9714" s="7" t="str">
        <f>IFERROR(__xludf.DUMMYFUNCTION("""COMPUTED_VALUE"""),"C++;Python")</f>
        <v>C++;Python</v>
      </c>
      <c r="M9714" s="9" t="s">
        <v>20</v>
      </c>
    </row>
    <row r="9715" ht="15.75" customHeight="1">
      <c r="A9715" s="7"/>
      <c r="B9715" s="7" t="str">
        <f>IFERROR(__xludf.DUMMYFUNCTION("""COMPUTED_VALUE"""),"C#;HTML/CSS;JavaScript;Python;SQL;TypeScript")</f>
        <v>C#;HTML/CSS;JavaScript;Python;SQL;TypeScript</v>
      </c>
      <c r="M9715" s="9" t="s">
        <v>21</v>
      </c>
    </row>
    <row r="9716" ht="15.75" customHeight="1">
      <c r="A9716" s="7"/>
      <c r="B9716" s="7" t="str">
        <f>IFERROR(__xludf.DUMMYFUNCTION("""COMPUTED_VALUE"""),"Scala;TypeScript")</f>
        <v>Scala;TypeScript</v>
      </c>
      <c r="M9716" s="9" t="s">
        <v>33</v>
      </c>
    </row>
    <row r="9717" ht="15.75" customHeight="1">
      <c r="A9717" s="7"/>
      <c r="B9717" s="7" t="str">
        <f>IFERROR(__xludf.DUMMYFUNCTION("""COMPUTED_VALUE"""),"C;C++;C#;HTML/CSS;Java;JavaScript;PHP;Python;R;SQL")</f>
        <v>C;C++;C#;HTML/CSS;Java;JavaScript;PHP;Python;R;SQL</v>
      </c>
      <c r="M9717" s="9" t="s">
        <v>30</v>
      </c>
    </row>
    <row r="9718" ht="15.75" customHeight="1">
      <c r="A9718" s="7"/>
      <c r="B9718" s="7" t="str">
        <f>IFERROR(__xludf.DUMMYFUNCTION("""COMPUTED_VALUE"""),"C;C++;C#")</f>
        <v>C;C++;C#</v>
      </c>
      <c r="M9718" s="9" t="s">
        <v>26</v>
      </c>
    </row>
    <row r="9719" ht="15.75" customHeight="1">
      <c r="A9719" s="7"/>
      <c r="B9719" s="7" t="str">
        <f>IFERROR(__xludf.DUMMYFUNCTION("""COMPUTED_VALUE"""),"HTML/CSS;Java;JavaScript;Python")</f>
        <v>HTML/CSS;Java;JavaScript;Python</v>
      </c>
      <c r="M9719" s="9" t="s">
        <v>24</v>
      </c>
    </row>
    <row r="9720" ht="15.75" customHeight="1">
      <c r="A9720" s="7"/>
      <c r="B9720" s="7" t="str">
        <f>IFERROR(__xludf.DUMMYFUNCTION("""COMPUTED_VALUE"""),"C#;HTML/CSS;JavaScript;Python;SQL;VBA")</f>
        <v>C#;HTML/CSS;JavaScript;Python;SQL;VBA</v>
      </c>
      <c r="M9720" s="9" t="s">
        <v>21</v>
      </c>
    </row>
    <row r="9721" ht="15.75" customHeight="1">
      <c r="A9721" s="7"/>
      <c r="B9721" s="7" t="str">
        <f>IFERROR(__xludf.DUMMYFUNCTION("""COMPUTED_VALUE"""),"C;C#;Clojure;HTML/CSS;JavaScript;Python;TypeScript")</f>
        <v>C;C#;Clojure;HTML/CSS;JavaScript;Python;TypeScript</v>
      </c>
      <c r="M9721" s="9" t="s">
        <v>22</v>
      </c>
    </row>
    <row r="9722" ht="15.75" customHeight="1">
      <c r="A9722" s="7"/>
      <c r="B9722" s="7" t="str">
        <f>IFERROR(__xludf.DUMMYFUNCTION("""COMPUTED_VALUE"""),"Bash/Shell/PowerShell;HTML/CSS;Java;JavaScript;TypeScript")</f>
        <v>Bash/Shell/PowerShell;HTML/CSS;Java;JavaScript;TypeScript</v>
      </c>
      <c r="M9722" s="9" t="s">
        <v>29</v>
      </c>
    </row>
    <row r="9723" ht="15.75" customHeight="1">
      <c r="A9723" s="7"/>
      <c r="B9723" s="7" t="str">
        <f>IFERROR(__xludf.DUMMYFUNCTION("""COMPUTED_VALUE"""),"HTML/CSS;Java;SQL")</f>
        <v>HTML/CSS;Java;SQL</v>
      </c>
      <c r="M9723" s="9" t="s">
        <v>27</v>
      </c>
    </row>
    <row r="9724" ht="15.75" customHeight="1">
      <c r="A9724" s="7"/>
      <c r="B9724" s="7" t="str">
        <f>IFERROR(__xludf.DUMMYFUNCTION("""COMPUTED_VALUE"""),"Bash/Shell/PowerShell;C;C++;C#;Java;SQL")</f>
        <v>Bash/Shell/PowerShell;C;C++;C#;Java;SQL</v>
      </c>
      <c r="M9724" s="9" t="s">
        <v>28</v>
      </c>
    </row>
    <row r="9725" ht="15.75" customHeight="1">
      <c r="A9725" s="7"/>
      <c r="B9725" s="7" t="str">
        <f>IFERROR(__xludf.DUMMYFUNCTION("""COMPUTED_VALUE"""),"Bash/Shell/PowerShell;HTML/CSS;Java;JavaScript;SQL")</f>
        <v>Bash/Shell/PowerShell;HTML/CSS;Java;JavaScript;SQL</v>
      </c>
      <c r="M9725" s="9" t="s">
        <v>24</v>
      </c>
    </row>
    <row r="9726" ht="15.75" customHeight="1">
      <c r="A9726" s="7"/>
      <c r="B9726" s="7" t="str">
        <f>IFERROR(__xludf.DUMMYFUNCTION("""COMPUTED_VALUE"""),"HTML/CSS;Java;JavaScript;PHP;SQL;TypeScript")</f>
        <v>HTML/CSS;Java;JavaScript;PHP;SQL;TypeScript</v>
      </c>
      <c r="M9726" s="9" t="s">
        <v>21</v>
      </c>
    </row>
    <row r="9727" ht="15.75" customHeight="1">
      <c r="A9727" s="7"/>
      <c r="B9727" s="7" t="str">
        <f>IFERROR(__xludf.DUMMYFUNCTION("""COMPUTED_VALUE"""),"Bash/Shell/PowerShell;C;C++;Go;Objective-C;Python;Ruby;Swift")</f>
        <v>Bash/Shell/PowerShell;C;C++;Go;Objective-C;Python;Ruby;Swift</v>
      </c>
      <c r="M9727" s="9" t="s">
        <v>37</v>
      </c>
    </row>
    <row r="9728" ht="15.75" customHeight="1">
      <c r="A9728" s="7"/>
      <c r="B9728" s="7" t="str">
        <f>IFERROR(__xludf.DUMMYFUNCTION("""COMPUTED_VALUE"""),"JavaScript;Python;R;SQL;VBA")</f>
        <v>JavaScript;Python;R;SQL;VBA</v>
      </c>
      <c r="M9728" s="9" t="s">
        <v>22</v>
      </c>
    </row>
    <row r="9729" ht="15.75" customHeight="1">
      <c r="A9729" s="7"/>
      <c r="B9729" s="7" t="str">
        <f>IFERROR(__xludf.DUMMYFUNCTION("""COMPUTED_VALUE"""),"Bash/Shell/PowerShell;Dart;HTML/CSS;JavaScript;PHP;SQL;TypeScript")</f>
        <v>Bash/Shell/PowerShell;Dart;HTML/CSS;JavaScript;PHP;SQL;TypeScript</v>
      </c>
      <c r="M9729" s="9" t="s">
        <v>31</v>
      </c>
    </row>
    <row r="9730" ht="15.75" customHeight="1">
      <c r="A9730" s="7"/>
      <c r="B9730" s="7" t="str">
        <f>IFERROR(__xludf.DUMMYFUNCTION("""COMPUTED_VALUE"""),"C#;Java;Python")</f>
        <v>C#;Java;Python</v>
      </c>
      <c r="M9730" s="9" t="s">
        <v>27</v>
      </c>
    </row>
    <row r="9731" ht="15.75" customHeight="1">
      <c r="A9731" s="7"/>
      <c r="B9731" s="7" t="str">
        <f>IFERROR(__xludf.DUMMYFUNCTION("""COMPUTED_VALUE"""),"HTML/CSS;JavaScript;PHP")</f>
        <v>HTML/CSS;JavaScript;PHP</v>
      </c>
      <c r="M9731" s="9" t="s">
        <v>35</v>
      </c>
    </row>
    <row r="9732" ht="15.75" customHeight="1">
      <c r="A9732" s="7"/>
      <c r="B9732" s="7" t="str">
        <f>IFERROR(__xludf.DUMMYFUNCTION("""COMPUTED_VALUE"""),"Python;VBA")</f>
        <v>Python;VBA</v>
      </c>
      <c r="M9732" s="9" t="s">
        <v>30</v>
      </c>
    </row>
    <row r="9733" ht="15.75" customHeight="1">
      <c r="A9733" s="7"/>
      <c r="B9733" s="7" t="str">
        <f>IFERROR(__xludf.DUMMYFUNCTION("""COMPUTED_VALUE"""),"Clojure;HTML/CSS;Java;JavaScript;SQL")</f>
        <v>Clojure;HTML/CSS;Java;JavaScript;SQL</v>
      </c>
      <c r="M9733" s="9" t="s">
        <v>36</v>
      </c>
    </row>
    <row r="9734" ht="15.75" customHeight="1">
      <c r="A9734" s="7"/>
      <c r="B9734" s="7" t="str">
        <f>IFERROR(__xludf.DUMMYFUNCTION("""COMPUTED_VALUE"""),"SQL")</f>
        <v>SQL</v>
      </c>
      <c r="M9734" s="9" t="s">
        <v>24</v>
      </c>
    </row>
    <row r="9735" ht="15.75" customHeight="1">
      <c r="A9735" s="7"/>
      <c r="B9735" s="7" t="str">
        <f>IFERROR(__xludf.DUMMYFUNCTION("""COMPUTED_VALUE"""),"C#;HTML/CSS;JavaScript;PHP;SQL")</f>
        <v>C#;HTML/CSS;JavaScript;PHP;SQL</v>
      </c>
      <c r="M9735" s="9" t="s">
        <v>20</v>
      </c>
    </row>
    <row r="9736" ht="15.75" customHeight="1">
      <c r="A9736" s="7"/>
      <c r="B9736" s="7" t="str">
        <f>IFERROR(__xludf.DUMMYFUNCTION("""COMPUTED_VALUE"""),"C#;HTML/CSS;JavaScript;SQL;TypeScript")</f>
        <v>C#;HTML/CSS;JavaScript;SQL;TypeScript</v>
      </c>
      <c r="M9736" s="9" t="s">
        <v>21</v>
      </c>
    </row>
    <row r="9737" ht="15.75" customHeight="1">
      <c r="A9737" s="7"/>
      <c r="B9737" s="7" t="str">
        <f>IFERROR(__xludf.DUMMYFUNCTION("""COMPUTED_VALUE"""),"C#;HTML/CSS;Java;PHP;SQL")</f>
        <v>C#;HTML/CSS;Java;PHP;SQL</v>
      </c>
      <c r="M9737" s="9" t="s">
        <v>46</v>
      </c>
    </row>
    <row r="9738" ht="15.75" customHeight="1">
      <c r="A9738" s="7"/>
      <c r="B9738" s="7" t="str">
        <f>IFERROR(__xludf.DUMMYFUNCTION("""COMPUTED_VALUE"""),"HTML/CSS;JavaScript;Ruby;SQL")</f>
        <v>HTML/CSS;JavaScript;Ruby;SQL</v>
      </c>
      <c r="M9738" s="9" t="s">
        <v>33</v>
      </c>
    </row>
    <row r="9739" ht="15.75" customHeight="1">
      <c r="A9739" s="7"/>
      <c r="B9739" s="7" t="str">
        <f>IFERROR(__xludf.DUMMYFUNCTION("""COMPUTED_VALUE"""),"HTML/CSS;JavaScript;PHP;SQL")</f>
        <v>HTML/CSS;JavaScript;PHP;SQL</v>
      </c>
      <c r="M9739" s="9" t="s">
        <v>24</v>
      </c>
    </row>
    <row r="9740" ht="15.75" customHeight="1">
      <c r="A9740" s="7"/>
      <c r="B9740" s="7" t="str">
        <f>IFERROR(__xludf.DUMMYFUNCTION("""COMPUTED_VALUE"""),"Bash/Shell/PowerShell;HTML/CSS;Java;JavaScript;PHP;Ruby;TypeScript")</f>
        <v>Bash/Shell/PowerShell;HTML/CSS;Java;JavaScript;PHP;Ruby;TypeScript</v>
      </c>
      <c r="M9740" s="9" t="s">
        <v>21</v>
      </c>
    </row>
    <row r="9741" ht="15.75" customHeight="1">
      <c r="A9741" s="7"/>
      <c r="B9741" s="7" t="str">
        <f>IFERROR(__xludf.DUMMYFUNCTION("""COMPUTED_VALUE"""),"Bash/Shell/PowerShell;C#;HTML/CSS;Java;JavaScript;Kotlin;SQL")</f>
        <v>Bash/Shell/PowerShell;C#;HTML/CSS;Java;JavaScript;Kotlin;SQL</v>
      </c>
      <c r="M9741" s="9" t="s">
        <v>30</v>
      </c>
    </row>
    <row r="9742" ht="15.75" customHeight="1">
      <c r="A9742" s="7"/>
      <c r="B9742" s="7" t="str">
        <f>IFERROR(__xludf.DUMMYFUNCTION("""COMPUTED_VALUE"""),"C#;HTML/CSS;SQL")</f>
        <v>C#;HTML/CSS;SQL</v>
      </c>
      <c r="M9742" s="9" t="s">
        <v>24</v>
      </c>
    </row>
    <row r="9743" ht="15.75" customHeight="1">
      <c r="A9743" s="7"/>
      <c r="B9743" s="7" t="str">
        <f>IFERROR(__xludf.DUMMYFUNCTION("""COMPUTED_VALUE"""),"Java;SQL")</f>
        <v>Java;SQL</v>
      </c>
      <c r="M9743" s="9" t="s">
        <v>21</v>
      </c>
    </row>
    <row r="9744" ht="15.75" customHeight="1">
      <c r="A9744" s="7"/>
      <c r="B9744" s="7" t="str">
        <f>IFERROR(__xludf.DUMMYFUNCTION("""COMPUTED_VALUE"""),"Bash/Shell/PowerShell;C#;HTML/CSS;JavaScript;PHP;SQL")</f>
        <v>Bash/Shell/PowerShell;C#;HTML/CSS;JavaScript;PHP;SQL</v>
      </c>
      <c r="M9744" s="9" t="s">
        <v>22</v>
      </c>
    </row>
    <row r="9745" ht="15.75" customHeight="1">
      <c r="A9745" s="7"/>
      <c r="B9745" s="7" t="str">
        <f>IFERROR(__xludf.DUMMYFUNCTION("""COMPUTED_VALUE"""),"Bash/Shell/PowerShell;C;C#;HTML/CSS;Ruby;SQL")</f>
        <v>Bash/Shell/PowerShell;C;C#;HTML/CSS;Ruby;SQL</v>
      </c>
      <c r="M9745" s="9" t="s">
        <v>27</v>
      </c>
    </row>
    <row r="9746" ht="15.75" customHeight="1">
      <c r="A9746" s="7"/>
      <c r="B9746" s="7" t="str">
        <f>IFERROR(__xludf.DUMMYFUNCTION("""COMPUTED_VALUE"""),"C;C++;HTML/CSS;Java;JavaScript;Kotlin;PHP;Python")</f>
        <v>C;C++;HTML/CSS;Java;JavaScript;Kotlin;PHP;Python</v>
      </c>
      <c r="M9746" s="9" t="s">
        <v>35</v>
      </c>
    </row>
    <row r="9747" ht="15.75" customHeight="1">
      <c r="A9747" s="7"/>
      <c r="B9747" s="7" t="str">
        <f>IFERROR(__xludf.DUMMYFUNCTION("""COMPUTED_VALUE"""),"Bash/Shell/PowerShell;HTML/CSS;JavaScript")</f>
        <v>Bash/Shell/PowerShell;HTML/CSS;JavaScript</v>
      </c>
      <c r="M9747" s="9" t="s">
        <v>26</v>
      </c>
    </row>
    <row r="9748" ht="15.75" customHeight="1">
      <c r="A9748" s="7"/>
      <c r="B9748" s="7" t="str">
        <f>IFERROR(__xludf.DUMMYFUNCTION("""COMPUTED_VALUE"""),"C++;HTML/CSS;JavaScript;PHP")</f>
        <v>C++;HTML/CSS;JavaScript;PHP</v>
      </c>
      <c r="M9748" s="9" t="s">
        <v>24</v>
      </c>
    </row>
    <row r="9749" ht="15.75" customHeight="1">
      <c r="A9749" s="7"/>
      <c r="B9749" s="7" t="str">
        <f>IFERROR(__xludf.DUMMYFUNCTION("""COMPUTED_VALUE"""),"C;C++;HTML/CSS;JavaScript;PHP;SQL;VBA;Other(s):")</f>
        <v>C;C++;HTML/CSS;JavaScript;PHP;SQL;VBA;Other(s):</v>
      </c>
      <c r="M9749" s="9" t="s">
        <v>20</v>
      </c>
    </row>
    <row r="9750" ht="15.75" customHeight="1">
      <c r="A9750" s="7"/>
      <c r="B9750" s="7" t="str">
        <f>IFERROR(__xludf.DUMMYFUNCTION("""COMPUTED_VALUE"""),"HTML/CSS;Java;JavaScript;PHP;SQL")</f>
        <v>HTML/CSS;Java;JavaScript;PHP;SQL</v>
      </c>
      <c r="M9750" s="9" t="s">
        <v>21</v>
      </c>
    </row>
    <row r="9751" ht="15.75" customHeight="1">
      <c r="A9751" s="7"/>
      <c r="B9751" s="7" t="str">
        <f>IFERROR(__xludf.DUMMYFUNCTION("""COMPUTED_VALUE"""),"C#;HTML/CSS;JavaScript;SQL;TypeScript;VBA")</f>
        <v>C#;HTML/CSS;JavaScript;SQL;TypeScript;VBA</v>
      </c>
      <c r="M9751" s="9" t="s">
        <v>41</v>
      </c>
    </row>
    <row r="9752" ht="15.75" customHeight="1">
      <c r="A9752" s="7"/>
      <c r="B9752" s="7" t="str">
        <f>IFERROR(__xludf.DUMMYFUNCTION("""COMPUTED_VALUE"""),"Bash/Shell/PowerShell;HTML/CSS;JavaScript;PHP;SQL")</f>
        <v>Bash/Shell/PowerShell;HTML/CSS;JavaScript;PHP;SQL</v>
      </c>
      <c r="M9752" s="9" t="s">
        <v>46</v>
      </c>
    </row>
    <row r="9753" ht="15.75" customHeight="1">
      <c r="A9753" s="7"/>
      <c r="B9753" s="7" t="str">
        <f>IFERROR(__xludf.DUMMYFUNCTION("""COMPUTED_VALUE"""),"HTML/CSS;Java;JavaScript;Kotlin")</f>
        <v>HTML/CSS;Java;JavaScript;Kotlin</v>
      </c>
      <c r="M9753" s="9" t="s">
        <v>27</v>
      </c>
    </row>
    <row r="9754" ht="15.75" customHeight="1">
      <c r="A9754" s="7"/>
      <c r="B9754" s="7" t="str">
        <f>IFERROR(__xludf.DUMMYFUNCTION("""COMPUTED_VALUE"""),"Assembly;C;C#;Python;Rust")</f>
        <v>Assembly;C;C#;Python;Rust</v>
      </c>
      <c r="M9754" s="9" t="s">
        <v>33</v>
      </c>
    </row>
    <row r="9755" ht="15.75" customHeight="1">
      <c r="A9755" s="7"/>
      <c r="B9755" s="7" t="str">
        <f>IFERROR(__xludf.DUMMYFUNCTION("""COMPUTED_VALUE"""),"Bash/Shell/PowerShell;C#;JavaScript;PHP;Python;Ruby;SQL;TypeScript")</f>
        <v>Bash/Shell/PowerShell;C#;JavaScript;PHP;Python;Ruby;SQL;TypeScript</v>
      </c>
      <c r="M9755" s="9" t="s">
        <v>30</v>
      </c>
    </row>
    <row r="9756" ht="15.75" customHeight="1">
      <c r="A9756" s="7"/>
      <c r="B9756" s="7" t="str">
        <f>IFERROR(__xludf.DUMMYFUNCTION("""COMPUTED_VALUE"""),"Bash/Shell/PowerShell;C++;Go;HTML/CSS;Java;JavaScript;PHP;Python;Ruby;SQL")</f>
        <v>Bash/Shell/PowerShell;C++;Go;HTML/CSS;Java;JavaScript;PHP;Python;Ruby;SQL</v>
      </c>
      <c r="M9756" s="9" t="s">
        <v>24</v>
      </c>
    </row>
    <row r="9757" ht="15.75" customHeight="1">
      <c r="A9757" s="7"/>
      <c r="B9757" s="7" t="str">
        <f>IFERROR(__xludf.DUMMYFUNCTION("""COMPUTED_VALUE"""),"Bash/Shell/PowerShell;Python;SQL;Other(s):")</f>
        <v>Bash/Shell/PowerShell;Python;SQL;Other(s):</v>
      </c>
      <c r="M9757" s="9" t="s">
        <v>21</v>
      </c>
    </row>
    <row r="9758" ht="15.75" customHeight="1">
      <c r="A9758" s="7"/>
      <c r="B9758" s="7" t="str">
        <f>IFERROR(__xludf.DUMMYFUNCTION("""COMPUTED_VALUE"""),"Assembly;Bash/Shell/PowerShell;C;C++;C#;HTML/CSS;JavaScript;PHP;Python;Rust;SQL")</f>
        <v>Assembly;Bash/Shell/PowerShell;C;C++;C#;HTML/CSS;JavaScript;PHP;Python;Rust;SQL</v>
      </c>
      <c r="M9758" s="9" t="s">
        <v>22</v>
      </c>
    </row>
    <row r="9759" ht="15.75" customHeight="1">
      <c r="A9759" s="7"/>
      <c r="B9759" s="7" t="str">
        <f>IFERROR(__xludf.DUMMYFUNCTION("""COMPUTED_VALUE"""),"C#;JavaScript;PHP;SQL;Other(s):")</f>
        <v>C#;JavaScript;PHP;SQL;Other(s):</v>
      </c>
      <c r="M9759" s="9" t="s">
        <v>27</v>
      </c>
    </row>
    <row r="9760" ht="15.75" customHeight="1">
      <c r="A9760" s="7"/>
      <c r="B9760" s="7" t="str">
        <f>IFERROR(__xludf.DUMMYFUNCTION("""COMPUTED_VALUE"""),"HTML/CSS;JavaScript;SQL")</f>
        <v>HTML/CSS;JavaScript;SQL</v>
      </c>
      <c r="M9760" s="9" t="s">
        <v>38</v>
      </c>
    </row>
    <row r="9761" ht="15.75" customHeight="1">
      <c r="A9761" s="7"/>
      <c r="B9761" s="7" t="str">
        <f>IFERROR(__xludf.DUMMYFUNCTION("""COMPUTED_VALUE"""),"Java;JavaScript;Scala")</f>
        <v>Java;JavaScript;Scala</v>
      </c>
      <c r="M9761" s="9" t="s">
        <v>30</v>
      </c>
    </row>
    <row r="9762" ht="15.75" customHeight="1">
      <c r="A9762" s="7"/>
      <c r="B9762" s="7" t="str">
        <f>IFERROR(__xludf.DUMMYFUNCTION("""COMPUTED_VALUE"""),"HTML/CSS;JavaScript;PHP")</f>
        <v>HTML/CSS;JavaScript;PHP</v>
      </c>
      <c r="M9762" s="9" t="s">
        <v>23</v>
      </c>
    </row>
    <row r="9763" ht="15.75" customHeight="1">
      <c r="A9763" s="7"/>
      <c r="B9763" s="7" t="str">
        <f>IFERROR(__xludf.DUMMYFUNCTION("""COMPUTED_VALUE"""),"C;C++;C#;HTML/CSS;JavaScript;PHP;SQL")</f>
        <v>C;C++;C#;HTML/CSS;JavaScript;PHP;SQL</v>
      </c>
      <c r="M9763" s="9" t="s">
        <v>26</v>
      </c>
    </row>
    <row r="9764" ht="15.75" customHeight="1">
      <c r="A9764" s="7"/>
      <c r="B9764" s="7" t="str">
        <f>IFERROR(__xludf.DUMMYFUNCTION("""COMPUTED_VALUE"""),"HTML/CSS;JavaScript;Other(s):")</f>
        <v>HTML/CSS;JavaScript;Other(s):</v>
      </c>
      <c r="M9764" s="9" t="s">
        <v>21</v>
      </c>
    </row>
    <row r="9765" ht="15.75" customHeight="1">
      <c r="A9765" s="7"/>
      <c r="B9765" s="7" t="str">
        <f>IFERROR(__xludf.DUMMYFUNCTION("""COMPUTED_VALUE"""),"Bash/Shell/PowerShell;C++;C#;HTML/CSS;Java;JavaScript;SQL;TypeScript")</f>
        <v>Bash/Shell/PowerShell;C++;C#;HTML/CSS;Java;JavaScript;SQL;TypeScript</v>
      </c>
      <c r="M9765" s="9" t="s">
        <v>22</v>
      </c>
    </row>
    <row r="9766" ht="15.75" customHeight="1">
      <c r="A9766" s="7"/>
      <c r="B9766" s="7" t="str">
        <f>IFERROR(__xludf.DUMMYFUNCTION("""COMPUTED_VALUE"""),"C#;HTML/CSS;TypeScript")</f>
        <v>C#;HTML/CSS;TypeScript</v>
      </c>
      <c r="M9766" s="9" t="s">
        <v>26</v>
      </c>
    </row>
    <row r="9767" ht="15.75" customHeight="1">
      <c r="A9767" s="7"/>
      <c r="B9767" s="7" t="str">
        <f>IFERROR(__xludf.DUMMYFUNCTION("""COMPUTED_VALUE"""),"HTML/CSS;Java;JavaScript;PHP;Ruby")</f>
        <v>HTML/CSS;Java;JavaScript;PHP;Ruby</v>
      </c>
      <c r="M9767" s="9" t="s">
        <v>24</v>
      </c>
    </row>
    <row r="9768" ht="15.75" customHeight="1">
      <c r="A9768" s="7"/>
      <c r="B9768" s="7" t="str">
        <f>IFERROR(__xludf.DUMMYFUNCTION("""COMPUTED_VALUE"""),"C;C++;C#;HTML/CSS;Java;PHP")</f>
        <v>C;C++;C#;HTML/CSS;Java;PHP</v>
      </c>
      <c r="M9768" s="9" t="s">
        <v>20</v>
      </c>
    </row>
    <row r="9769" ht="15.75" customHeight="1">
      <c r="A9769" s="7"/>
      <c r="B9769" s="7" t="str">
        <f>IFERROR(__xludf.DUMMYFUNCTION("""COMPUTED_VALUE"""),"C#;HTML/CSS;JavaScript;PHP;Ruby;SQL;TypeScript")</f>
        <v>C#;HTML/CSS;JavaScript;PHP;Ruby;SQL;TypeScript</v>
      </c>
      <c r="M9769" s="9" t="s">
        <v>21</v>
      </c>
    </row>
    <row r="9770" ht="15.75" customHeight="1">
      <c r="A9770" s="7"/>
      <c r="B9770" s="7" t="str">
        <f>IFERROR(__xludf.DUMMYFUNCTION("""COMPUTED_VALUE"""),"Bash/Shell/PowerShell;HTML/CSS;Java;JavaScript;PHP;SQL;Swift")</f>
        <v>Bash/Shell/PowerShell;HTML/CSS;Java;JavaScript;PHP;SQL;Swift</v>
      </c>
      <c r="M9770" s="9" t="s">
        <v>33</v>
      </c>
    </row>
    <row r="9771" ht="15.75" customHeight="1">
      <c r="A9771" s="7"/>
      <c r="B9771" s="7" t="str">
        <f>IFERROR(__xludf.DUMMYFUNCTION("""COMPUTED_VALUE"""),"C#;HTML/CSS;Java;JavaScript;TypeScript")</f>
        <v>C#;HTML/CSS;Java;JavaScript;TypeScript</v>
      </c>
      <c r="M9771" s="9" t="s">
        <v>30</v>
      </c>
    </row>
    <row r="9772" ht="15.75" customHeight="1">
      <c r="A9772" s="7"/>
      <c r="B9772" s="7" t="str">
        <f>IFERROR(__xludf.DUMMYFUNCTION("""COMPUTED_VALUE"""),"C++;C#")</f>
        <v>C++;C#</v>
      </c>
      <c r="M9772" s="9" t="s">
        <v>24</v>
      </c>
    </row>
    <row r="9773" ht="15.75" customHeight="1">
      <c r="A9773" s="7"/>
      <c r="B9773" s="7" t="str">
        <f>IFERROR(__xludf.DUMMYFUNCTION("""COMPUTED_VALUE"""),"C#")</f>
        <v>C#</v>
      </c>
      <c r="M9773" s="9" t="s">
        <v>21</v>
      </c>
    </row>
    <row r="9774" ht="15.75" customHeight="1">
      <c r="A9774" s="7"/>
      <c r="B9774" s="7" t="str">
        <f>IFERROR(__xludf.DUMMYFUNCTION("""COMPUTED_VALUE"""),"C#;HTML/CSS;JavaScript;SQL;TypeScript")</f>
        <v>C#;HTML/CSS;JavaScript;SQL;TypeScript</v>
      </c>
      <c r="M9774" s="9" t="s">
        <v>22</v>
      </c>
    </row>
    <row r="9775" ht="15.75" customHeight="1">
      <c r="A9775" s="7"/>
      <c r="B9775" s="7" t="str">
        <f>IFERROR(__xludf.DUMMYFUNCTION("""COMPUTED_VALUE"""),"Other(s):")</f>
        <v>Other(s):</v>
      </c>
      <c r="M9775" s="9" t="s">
        <v>27</v>
      </c>
    </row>
    <row r="9776" ht="15.75" customHeight="1">
      <c r="A9776" s="7"/>
      <c r="B9776" s="7" t="str">
        <f>IFERROR(__xludf.DUMMYFUNCTION("""COMPUTED_VALUE"""),"C;C++;C#;HTML/CSS;JavaScript;Objective-C;SQL")</f>
        <v>C;C++;C#;HTML/CSS;JavaScript;Objective-C;SQL</v>
      </c>
      <c r="M9776" s="9" t="s">
        <v>23</v>
      </c>
    </row>
    <row r="9777" ht="15.75" customHeight="1">
      <c r="A9777" s="7"/>
      <c r="B9777" s="7" t="str">
        <f>IFERROR(__xludf.DUMMYFUNCTION("""COMPUTED_VALUE"""),"HTML/CSS;JavaScript;TypeScript")</f>
        <v>HTML/CSS;JavaScript;TypeScript</v>
      </c>
      <c r="M9777" s="9" t="s">
        <v>24</v>
      </c>
    </row>
    <row r="9778" ht="15.75" customHeight="1">
      <c r="A9778" s="7"/>
      <c r="B9778" s="7" t="str">
        <f>IFERROR(__xludf.DUMMYFUNCTION("""COMPUTED_VALUE"""),"Bash/Shell/PowerShell;C++;C#;HTML/CSS;Python;SQL;TypeScript")</f>
        <v>Bash/Shell/PowerShell;C++;C#;HTML/CSS;Python;SQL;TypeScript</v>
      </c>
      <c r="M9778" s="9" t="s">
        <v>22</v>
      </c>
    </row>
    <row r="9779" ht="15.75" customHeight="1">
      <c r="A9779" s="7"/>
      <c r="B9779" s="7" t="str">
        <f>IFERROR(__xludf.DUMMYFUNCTION("""COMPUTED_VALUE"""),"Bash/Shell/PowerShell;Python;SQL")</f>
        <v>Bash/Shell/PowerShell;Python;SQL</v>
      </c>
      <c r="M9779" s="9" t="s">
        <v>30</v>
      </c>
    </row>
    <row r="9780" ht="15.75" customHeight="1">
      <c r="A9780" s="7"/>
      <c r="B9780" s="7" t="str">
        <f>IFERROR(__xludf.DUMMYFUNCTION("""COMPUTED_VALUE"""),"JavaScript;Python;SQL;TypeScript")</f>
        <v>JavaScript;Python;SQL;TypeScript</v>
      </c>
      <c r="M9780" s="9" t="s">
        <v>25</v>
      </c>
    </row>
    <row r="9781" ht="15.75" customHeight="1">
      <c r="A9781" s="7"/>
      <c r="B9781" s="7" t="str">
        <f>IFERROR(__xludf.DUMMYFUNCTION("""COMPUTED_VALUE"""),"Java;Kotlin;PHP;SQL")</f>
        <v>Java;Kotlin;PHP;SQL</v>
      </c>
      <c r="M9781" s="9" t="s">
        <v>23</v>
      </c>
    </row>
    <row r="9782" ht="15.75" customHeight="1">
      <c r="A9782" s="7"/>
      <c r="B9782" s="7" t="str">
        <f>IFERROR(__xludf.DUMMYFUNCTION("""COMPUTED_VALUE"""),"C;C++;C#;HTML/CSS;JavaScript;PHP;Ruby")</f>
        <v>C;C++;C#;HTML/CSS;JavaScript;PHP;Ruby</v>
      </c>
      <c r="M9782" s="9" t="s">
        <v>26</v>
      </c>
    </row>
    <row r="9783" ht="15.75" customHeight="1">
      <c r="A9783" s="7"/>
      <c r="B9783" s="7" t="str">
        <f>IFERROR(__xludf.DUMMYFUNCTION("""COMPUTED_VALUE"""),"Bash/Shell/PowerShell;C++;C#;HTML/CSS;JavaScript;SQL;Other(s):")</f>
        <v>Bash/Shell/PowerShell;C++;C#;HTML/CSS;JavaScript;SQL;Other(s):</v>
      </c>
      <c r="M9783" s="9" t="s">
        <v>24</v>
      </c>
    </row>
    <row r="9784" ht="15.75" customHeight="1">
      <c r="A9784" s="7"/>
      <c r="B9784" s="7" t="str">
        <f>IFERROR(__xludf.DUMMYFUNCTION("""COMPUTED_VALUE"""),"Bash/Shell/PowerShell;HTML/CSS;JavaScript;PHP;SQL")</f>
        <v>Bash/Shell/PowerShell;HTML/CSS;JavaScript;PHP;SQL</v>
      </c>
      <c r="M9784" s="9" t="s">
        <v>20</v>
      </c>
    </row>
    <row r="9785" ht="15.75" customHeight="1">
      <c r="A9785" s="7"/>
      <c r="B9785" s="7" t="str">
        <f>IFERROR(__xludf.DUMMYFUNCTION("""COMPUTED_VALUE"""),"Java;JavaScript;SQL")</f>
        <v>Java;JavaScript;SQL</v>
      </c>
      <c r="M9785" s="9" t="s">
        <v>21</v>
      </c>
    </row>
    <row r="9786" ht="15.75" customHeight="1">
      <c r="A9786" s="7"/>
      <c r="B9786" s="7" t="str">
        <f>IFERROR(__xludf.DUMMYFUNCTION("""COMPUTED_VALUE"""),"C++;C#;HTML/CSS;Java;JavaScript;SQL;TypeScript")</f>
        <v>C++;C#;HTML/CSS;Java;JavaScript;SQL;TypeScript</v>
      </c>
      <c r="M9786" s="9" t="s">
        <v>37</v>
      </c>
    </row>
    <row r="9787" ht="15.75" customHeight="1">
      <c r="A9787" s="7"/>
      <c r="B9787" s="7" t="str">
        <f>IFERROR(__xludf.DUMMYFUNCTION("""COMPUTED_VALUE"""),"C;C#")</f>
        <v>C;C#</v>
      </c>
      <c r="M9787" s="9" t="s">
        <v>27</v>
      </c>
    </row>
    <row r="9788" ht="15.75" customHeight="1">
      <c r="A9788" s="7"/>
      <c r="B9788" s="7" t="str">
        <f>IFERROR(__xludf.DUMMYFUNCTION("""COMPUTED_VALUE"""),"Java;JavaScript;Kotlin;SQL")</f>
        <v>Java;JavaScript;Kotlin;SQL</v>
      </c>
      <c r="M9788" s="9" t="s">
        <v>30</v>
      </c>
    </row>
    <row r="9789" ht="15.75" customHeight="1">
      <c r="A9789" s="7"/>
      <c r="B9789" s="7" t="str">
        <f>IFERROR(__xludf.DUMMYFUNCTION("""COMPUTED_VALUE"""),"Assembly;C;Python;Rust")</f>
        <v>Assembly;C;Python;Rust</v>
      </c>
      <c r="M9789" s="9" t="s">
        <v>24</v>
      </c>
    </row>
    <row r="9790" ht="15.75" customHeight="1">
      <c r="A9790" s="7"/>
      <c r="B9790" s="7" t="str">
        <f>IFERROR(__xludf.DUMMYFUNCTION("""COMPUTED_VALUE"""),"Bash/Shell/PowerShell;C;Go;PHP;Python;SQL;Other(s):")</f>
        <v>Bash/Shell/PowerShell;C;Go;PHP;Python;SQL;Other(s):</v>
      </c>
      <c r="M9790" s="9" t="s">
        <v>20</v>
      </c>
    </row>
    <row r="9791" ht="15.75" customHeight="1">
      <c r="A9791" s="7"/>
      <c r="B9791" s="7" t="str">
        <f>IFERROR(__xludf.DUMMYFUNCTION("""COMPUTED_VALUE"""),"C#;HTML/CSS;JavaScript;SQL")</f>
        <v>C#;HTML/CSS;JavaScript;SQL</v>
      </c>
      <c r="M9791" s="9" t="s">
        <v>37</v>
      </c>
    </row>
    <row r="9792" ht="15.75" customHeight="1">
      <c r="A9792" s="7"/>
      <c r="B9792" s="7" t="str">
        <f>IFERROR(__xludf.DUMMYFUNCTION("""COMPUTED_VALUE"""),"Python;SQL")</f>
        <v>Python;SQL</v>
      </c>
      <c r="M9792" s="9" t="s">
        <v>22</v>
      </c>
    </row>
    <row r="9793" ht="15.75" customHeight="1">
      <c r="A9793" s="7"/>
      <c r="B9793" s="7" t="str">
        <f>IFERROR(__xludf.DUMMYFUNCTION("""COMPUTED_VALUE"""),"C++;JavaScript;Python;Ruby")</f>
        <v>C++;JavaScript;Python;Ruby</v>
      </c>
      <c r="M9793" s="9" t="s">
        <v>29</v>
      </c>
    </row>
    <row r="9794" ht="15.75" customHeight="1">
      <c r="A9794" s="7"/>
      <c r="B9794" s="7" t="str">
        <f>IFERROR(__xludf.DUMMYFUNCTION("""COMPUTED_VALUE"""),"HTML/CSS;JavaScript;PHP;SQL;TypeScript")</f>
        <v>HTML/CSS;JavaScript;PHP;SQL;TypeScript</v>
      </c>
      <c r="M9794" s="9" t="s">
        <v>27</v>
      </c>
    </row>
    <row r="9795" ht="15.75" customHeight="1">
      <c r="A9795" s="7"/>
      <c r="B9795" s="7" t="str">
        <f>IFERROR(__xludf.DUMMYFUNCTION("""COMPUTED_VALUE"""),"Bash/Shell/PowerShell;C++;HTML/CSS;JavaScript;Python;TypeScript")</f>
        <v>Bash/Shell/PowerShell;C++;HTML/CSS;JavaScript;Python;TypeScript</v>
      </c>
      <c r="M9795" s="9" t="s">
        <v>30</v>
      </c>
    </row>
    <row r="9796" ht="15.75" customHeight="1">
      <c r="A9796" s="7"/>
      <c r="B9796" s="7" t="str">
        <f>IFERROR(__xludf.DUMMYFUNCTION("""COMPUTED_VALUE"""),"Java;JavaScript;SQL")</f>
        <v>Java;JavaScript;SQL</v>
      </c>
      <c r="M9796" s="9" t="s">
        <v>26</v>
      </c>
    </row>
    <row r="9797" ht="15.75" customHeight="1">
      <c r="A9797" s="7"/>
      <c r="B9797" s="7" t="str">
        <f>IFERROR(__xludf.DUMMYFUNCTION("""COMPUTED_VALUE"""),"C#;HTML/CSS;JavaScript;TypeScript")</f>
        <v>C#;HTML/CSS;JavaScript;TypeScript</v>
      </c>
      <c r="M9797" s="9" t="s">
        <v>24</v>
      </c>
    </row>
    <row r="9798" ht="15.75" customHeight="1">
      <c r="A9798" s="7"/>
      <c r="B9798" s="7" t="str">
        <f>IFERROR(__xludf.DUMMYFUNCTION("""COMPUTED_VALUE"""),"Java;Scala;Other(s):")</f>
        <v>Java;Scala;Other(s):</v>
      </c>
      <c r="M9798" s="9" t="s">
        <v>20</v>
      </c>
    </row>
    <row r="9799" ht="15.75" customHeight="1">
      <c r="A9799" s="7"/>
      <c r="B9799" s="7" t="str">
        <f>IFERROR(__xludf.DUMMYFUNCTION("""COMPUTED_VALUE"""),"HTML/CSS;Kotlin;TypeScript;Other(s):")</f>
        <v>HTML/CSS;Kotlin;TypeScript;Other(s):</v>
      </c>
      <c r="M9799" s="9" t="s">
        <v>21</v>
      </c>
    </row>
    <row r="9800" ht="15.75" customHeight="1">
      <c r="A9800" s="7"/>
      <c r="B9800" s="7" t="str">
        <f>IFERROR(__xludf.DUMMYFUNCTION("""COMPUTED_VALUE"""),"Bash/Shell/PowerShell;C#")</f>
        <v>Bash/Shell/PowerShell;C#</v>
      </c>
      <c r="M9800" s="9" t="s">
        <v>27</v>
      </c>
    </row>
    <row r="9801" ht="15.75" customHeight="1">
      <c r="A9801" s="7"/>
      <c r="B9801" s="7" t="str">
        <f>IFERROR(__xludf.DUMMYFUNCTION("""COMPUTED_VALUE"""),"Bash/Shell/PowerShell;HTML/CSS;Java;JavaScript;Python;Scala;SQL")</f>
        <v>Bash/Shell/PowerShell;HTML/CSS;Java;JavaScript;Python;Scala;SQL</v>
      </c>
      <c r="M9801" s="9" t="s">
        <v>26</v>
      </c>
    </row>
    <row r="9802" ht="15.75" customHeight="1">
      <c r="A9802" s="7"/>
      <c r="B9802" s="7" t="str">
        <f>IFERROR(__xludf.DUMMYFUNCTION("""COMPUTED_VALUE"""),"Bash/Shell/PowerShell;C#;HTML/CSS;Python")</f>
        <v>Bash/Shell/PowerShell;C#;HTML/CSS;Python</v>
      </c>
      <c r="M9802" s="9" t="s">
        <v>27</v>
      </c>
    </row>
    <row r="9803" ht="15.75" customHeight="1">
      <c r="A9803" s="7"/>
      <c r="B9803" s="7" t="str">
        <f>IFERROR(__xludf.DUMMYFUNCTION("""COMPUTED_VALUE"""),"HTML/CSS;JavaScript;Python")</f>
        <v>HTML/CSS;JavaScript;Python</v>
      </c>
      <c r="M9803" s="9" t="s">
        <v>35</v>
      </c>
    </row>
    <row r="9804" ht="15.75" customHeight="1">
      <c r="A9804" s="7"/>
      <c r="B9804" s="7" t="str">
        <f>IFERROR(__xludf.DUMMYFUNCTION("""COMPUTED_VALUE"""),"HTML/CSS;JavaScript;PHP;SQL;VBA")</f>
        <v>HTML/CSS;JavaScript;PHP;SQL;VBA</v>
      </c>
      <c r="M9804" s="9" t="s">
        <v>26</v>
      </c>
    </row>
    <row r="9805" ht="15.75" customHeight="1">
      <c r="A9805" s="7"/>
      <c r="B9805" s="7" t="str">
        <f>IFERROR(__xludf.DUMMYFUNCTION("""COMPUTED_VALUE"""),"Bash/Shell/PowerShell;HTML/CSS;Java;JavaScript")</f>
        <v>Bash/Shell/PowerShell;HTML/CSS;Java;JavaScript</v>
      </c>
      <c r="M9805" s="9" t="s">
        <v>20</v>
      </c>
    </row>
    <row r="9806" ht="15.75" customHeight="1">
      <c r="A9806" s="7"/>
      <c r="B9806" s="7" t="str">
        <f>IFERROR(__xludf.DUMMYFUNCTION("""COMPUTED_VALUE"""),"C#;HTML/CSS;JavaScript;SQL;TypeScript")</f>
        <v>C#;HTML/CSS;JavaScript;SQL;TypeScript</v>
      </c>
      <c r="M9806" s="9" t="s">
        <v>41</v>
      </c>
    </row>
    <row r="9807" ht="15.75" customHeight="1">
      <c r="A9807" s="7"/>
      <c r="B9807" s="7" t="str">
        <f>IFERROR(__xludf.DUMMYFUNCTION("""COMPUTED_VALUE"""),"Bash/Shell/PowerShell;C++;Java;Other(s):")</f>
        <v>Bash/Shell/PowerShell;C++;Java;Other(s):</v>
      </c>
      <c r="M9807" s="9" t="s">
        <v>28</v>
      </c>
    </row>
    <row r="9808" ht="15.75" customHeight="1">
      <c r="A9808" s="7"/>
      <c r="B9808" s="7" t="str">
        <f>IFERROR(__xludf.DUMMYFUNCTION("""COMPUTED_VALUE"""),"C#;HTML/CSS;JavaScript;SQL")</f>
        <v>C#;HTML/CSS;JavaScript;SQL</v>
      </c>
      <c r="M9808" s="9" t="s">
        <v>30</v>
      </c>
    </row>
    <row r="9809" ht="15.75" customHeight="1">
      <c r="A9809" s="7"/>
      <c r="B9809" s="7" t="str">
        <f>IFERROR(__xludf.DUMMYFUNCTION("""COMPUTED_VALUE"""),"C;C++;C#;HTML/CSS;Java;JavaScript;PHP;SQL")</f>
        <v>C;C++;C#;HTML/CSS;Java;JavaScript;PHP;SQL</v>
      </c>
      <c r="M9809" s="9" t="s">
        <v>26</v>
      </c>
    </row>
    <row r="9810" ht="15.75" customHeight="1">
      <c r="A9810" s="7"/>
      <c r="B9810" s="7" t="str">
        <f>IFERROR(__xludf.DUMMYFUNCTION("""COMPUTED_VALUE"""),"Bash/Shell/PowerShell;C;C++;HTML/CSS;Java;JavaScript;Python")</f>
        <v>Bash/Shell/PowerShell;C;C++;HTML/CSS;Java;JavaScript;Python</v>
      </c>
      <c r="M9810" s="9" t="s">
        <v>24</v>
      </c>
    </row>
    <row r="9811" ht="15.75" customHeight="1">
      <c r="A9811" s="7"/>
      <c r="B9811" s="7" t="str">
        <f>IFERROR(__xludf.DUMMYFUNCTION("""COMPUTED_VALUE"""),"Bash/Shell/PowerShell;C;C++;Go;HTML/CSS;JavaScript;Python;SQL")</f>
        <v>Bash/Shell/PowerShell;C;C++;Go;HTML/CSS;JavaScript;Python;SQL</v>
      </c>
      <c r="M9811" s="9" t="s">
        <v>21</v>
      </c>
    </row>
    <row r="9812" ht="15.75" customHeight="1">
      <c r="A9812" s="7"/>
      <c r="B9812" s="7" t="str">
        <f>IFERROR(__xludf.DUMMYFUNCTION("""COMPUTED_VALUE"""),"HTML/CSS;Java;Python;SQL")</f>
        <v>HTML/CSS;Java;Python;SQL</v>
      </c>
      <c r="M9812" s="9" t="s">
        <v>37</v>
      </c>
    </row>
    <row r="9813" ht="15.75" customHeight="1">
      <c r="A9813" s="7"/>
      <c r="B9813" s="7" t="str">
        <f>IFERROR(__xludf.DUMMYFUNCTION("""COMPUTED_VALUE"""),"Bash/Shell/PowerShell;HTML/CSS;JavaScript;PHP;Python;SQL")</f>
        <v>Bash/Shell/PowerShell;HTML/CSS;JavaScript;PHP;Python;SQL</v>
      </c>
      <c r="M9813" s="9" t="s">
        <v>22</v>
      </c>
    </row>
    <row r="9814" ht="15.75" customHeight="1">
      <c r="A9814" s="7"/>
      <c r="B9814" s="7" t="str">
        <f>IFERROR(__xludf.DUMMYFUNCTION("""COMPUTED_VALUE"""),"Bash/Shell/PowerShell;HTML/CSS;JavaScript;PHP;Python;SQL")</f>
        <v>Bash/Shell/PowerShell;HTML/CSS;JavaScript;PHP;Python;SQL</v>
      </c>
      <c r="M9814" s="9" t="s">
        <v>27</v>
      </c>
    </row>
    <row r="9815" ht="15.75" customHeight="1">
      <c r="A9815" s="7"/>
      <c r="B9815" s="7" t="str">
        <f>IFERROR(__xludf.DUMMYFUNCTION("""COMPUTED_VALUE"""),"C#;HTML/CSS;Java;JavaScript;SQL;TypeScript;VBA")</f>
        <v>C#;HTML/CSS;Java;JavaScript;SQL;TypeScript;VBA</v>
      </c>
      <c r="M9815" s="9" t="s">
        <v>28</v>
      </c>
    </row>
    <row r="9816" ht="15.75" customHeight="1">
      <c r="A9816" s="7"/>
      <c r="B9816" s="7" t="str">
        <f>IFERROR(__xludf.DUMMYFUNCTION("""COMPUTED_VALUE"""),"C;JavaScript;TypeScript")</f>
        <v>C;JavaScript;TypeScript</v>
      </c>
      <c r="M9816" s="9" t="s">
        <v>38</v>
      </c>
    </row>
    <row r="9817" ht="15.75" customHeight="1">
      <c r="A9817" s="7"/>
      <c r="B9817" s="7" t="str">
        <f>IFERROR(__xludf.DUMMYFUNCTION("""COMPUTED_VALUE"""),"Bash/Shell/PowerShell;C#;HTML/CSS;JavaScript;SQL;VBA;Other(s):")</f>
        <v>Bash/Shell/PowerShell;C#;HTML/CSS;JavaScript;SQL;VBA;Other(s):</v>
      </c>
      <c r="M9817" s="9" t="s">
        <v>25</v>
      </c>
    </row>
    <row r="9818" ht="15.75" customHeight="1">
      <c r="A9818" s="7"/>
      <c r="B9818" s="7" t="str">
        <f>IFERROR(__xludf.DUMMYFUNCTION("""COMPUTED_VALUE"""),"Bash/Shell/PowerShell;C#;HTML/CSS;JavaScript;SQL")</f>
        <v>Bash/Shell/PowerShell;C#;HTML/CSS;JavaScript;SQL</v>
      </c>
      <c r="M9818" s="9" t="s">
        <v>24</v>
      </c>
    </row>
    <row r="9819" ht="15.75" customHeight="1">
      <c r="A9819" s="7"/>
      <c r="B9819" s="7" t="str">
        <f>IFERROR(__xludf.DUMMYFUNCTION("""COMPUTED_VALUE"""),"C;C++;C#")</f>
        <v>C;C++;C#</v>
      </c>
      <c r="M9819" s="9" t="s">
        <v>20</v>
      </c>
    </row>
    <row r="9820" ht="15.75" customHeight="1">
      <c r="A9820" s="7"/>
      <c r="B9820" s="7" t="str">
        <f>IFERROR(__xludf.DUMMYFUNCTION("""COMPUTED_VALUE"""),"C;HTML/CSS;JavaScript;Objective-C;Python;Swift")</f>
        <v>C;HTML/CSS;JavaScript;Objective-C;Python;Swift</v>
      </c>
      <c r="M9820" s="9" t="s">
        <v>21</v>
      </c>
    </row>
    <row r="9821" ht="15.75" customHeight="1">
      <c r="A9821" s="7"/>
      <c r="B9821" s="7" t="str">
        <f>IFERROR(__xludf.DUMMYFUNCTION("""COMPUTED_VALUE"""),"C#;Scala;SQL;TypeScript")</f>
        <v>C#;Scala;SQL;TypeScript</v>
      </c>
      <c r="M9821" s="9" t="s">
        <v>37</v>
      </c>
    </row>
    <row r="9822" ht="15.75" customHeight="1">
      <c r="A9822" s="7"/>
      <c r="B9822" s="7" t="str">
        <f>IFERROR(__xludf.DUMMYFUNCTION("""COMPUTED_VALUE"""),"Bash/Shell/PowerShell;C++;HTML/CSS;JavaScript;Python;Ruby;SQL;Other(s):")</f>
        <v>Bash/Shell/PowerShell;C++;HTML/CSS;JavaScript;Python;Ruby;SQL;Other(s):</v>
      </c>
      <c r="M9822" s="9" t="s">
        <v>27</v>
      </c>
    </row>
    <row r="9823" ht="15.75" customHeight="1">
      <c r="A9823" s="7"/>
      <c r="B9823" s="7" t="str">
        <f>IFERROR(__xludf.DUMMYFUNCTION("""COMPUTED_VALUE"""),"C#;HTML/CSS;JavaScript;SQL;TypeScript")</f>
        <v>C#;HTML/CSS;JavaScript;SQL;TypeScript</v>
      </c>
      <c r="M9823" s="9" t="s">
        <v>23</v>
      </c>
    </row>
    <row r="9824" ht="15.75" customHeight="1">
      <c r="A9824" s="7"/>
      <c r="B9824" s="7" t="str">
        <f>IFERROR(__xludf.DUMMYFUNCTION("""COMPUTED_VALUE"""),"Bash/Shell/PowerShell;HTML/CSS;Java;JavaScript;Ruby;SQL")</f>
        <v>Bash/Shell/PowerShell;HTML/CSS;Java;JavaScript;Ruby;SQL</v>
      </c>
      <c r="M9824" s="9" t="s">
        <v>22</v>
      </c>
    </row>
    <row r="9825" ht="15.75" customHeight="1">
      <c r="A9825" s="7"/>
      <c r="B9825" s="7" t="str">
        <f>IFERROR(__xludf.DUMMYFUNCTION("""COMPUTED_VALUE"""),"HTML/CSS;Java;JavaScript;SQL;TypeScript")</f>
        <v>HTML/CSS;Java;JavaScript;SQL;TypeScript</v>
      </c>
      <c r="M9825" s="9" t="s">
        <v>38</v>
      </c>
    </row>
    <row r="9826" ht="15.75" customHeight="1">
      <c r="A9826" s="7"/>
      <c r="B9826" s="7" t="str">
        <f>IFERROR(__xludf.DUMMYFUNCTION("""COMPUTED_VALUE"""),"C;C++;C#")</f>
        <v>C;C++;C#</v>
      </c>
      <c r="M9826" s="9" t="s">
        <v>30</v>
      </c>
    </row>
    <row r="9827" ht="15.75" customHeight="1">
      <c r="A9827" s="7"/>
      <c r="B9827" s="7" t="str">
        <f>IFERROR(__xludf.DUMMYFUNCTION("""COMPUTED_VALUE"""),"Bash/Shell/PowerShell;JavaScript;Python;SQL;VBA")</f>
        <v>Bash/Shell/PowerShell;JavaScript;Python;SQL;VBA</v>
      </c>
      <c r="M9827" s="9" t="s">
        <v>25</v>
      </c>
    </row>
    <row r="9828" ht="15.75" customHeight="1">
      <c r="A9828" s="7"/>
      <c r="B9828" s="7" t="str">
        <f>IFERROR(__xludf.DUMMYFUNCTION("""COMPUTED_VALUE"""),"Bash/Shell/PowerShell;Java;Kotlin;SQL")</f>
        <v>Bash/Shell/PowerShell;Java;Kotlin;SQL</v>
      </c>
      <c r="M9828" s="9" t="s">
        <v>23</v>
      </c>
    </row>
    <row r="9829" ht="15.75" customHeight="1">
      <c r="A9829" s="7"/>
      <c r="B9829" s="7" t="str">
        <f>IFERROR(__xludf.DUMMYFUNCTION("""COMPUTED_VALUE"""),"C#")</f>
        <v>C#</v>
      </c>
      <c r="M9829" s="9" t="s">
        <v>26</v>
      </c>
    </row>
    <row r="9830" ht="15.75" customHeight="1">
      <c r="A9830" s="7"/>
      <c r="B9830" s="7" t="str">
        <f>IFERROR(__xludf.DUMMYFUNCTION("""COMPUTED_VALUE"""),"JavaScript;PHP;Python;R;SQL")</f>
        <v>JavaScript;PHP;Python;R;SQL</v>
      </c>
      <c r="M9830" s="9" t="s">
        <v>24</v>
      </c>
    </row>
    <row r="9831" ht="15.75" customHeight="1">
      <c r="A9831" s="7"/>
      <c r="B9831" s="7" t="str">
        <f>IFERROR(__xludf.DUMMYFUNCTION("""COMPUTED_VALUE"""),"C;Java")</f>
        <v>C;Java</v>
      </c>
      <c r="M9831" s="9" t="s">
        <v>20</v>
      </c>
    </row>
    <row r="9832" ht="15.75" customHeight="1">
      <c r="A9832" s="7"/>
      <c r="B9832" s="7" t="str">
        <f>IFERROR(__xludf.DUMMYFUNCTION("""COMPUTED_VALUE"""),"C#;HTML/CSS;Java;JavaScript;PHP;Python;Rust;SQL;Other(s):")</f>
        <v>C#;HTML/CSS;Java;JavaScript;PHP;Python;Rust;SQL;Other(s):</v>
      </c>
      <c r="M9832" s="9" t="s">
        <v>21</v>
      </c>
    </row>
    <row r="9833" ht="15.75" customHeight="1">
      <c r="A9833" s="7"/>
      <c r="B9833" s="7" t="str">
        <f>IFERROR(__xludf.DUMMYFUNCTION("""COMPUTED_VALUE"""),"Go;HTML/CSS;JavaScript;TypeScript")</f>
        <v>Go;HTML/CSS;JavaScript;TypeScript</v>
      </c>
      <c r="M9833" s="9" t="s">
        <v>37</v>
      </c>
    </row>
    <row r="9834" ht="15.75" customHeight="1">
      <c r="A9834" s="7"/>
      <c r="B9834" s="7" t="str">
        <f>IFERROR(__xludf.DUMMYFUNCTION("""COMPUTED_VALUE"""),"Go;HTML/CSS;Java;JavaScript;Kotlin;Python;SQL")</f>
        <v>Go;HTML/CSS;Java;JavaScript;Kotlin;Python;SQL</v>
      </c>
      <c r="M9834" s="9" t="s">
        <v>22</v>
      </c>
    </row>
    <row r="9835" ht="15.75" customHeight="1">
      <c r="A9835" s="7"/>
      <c r="B9835" s="7" t="str">
        <f>IFERROR(__xludf.DUMMYFUNCTION("""COMPUTED_VALUE"""),"Python;R;SQL")</f>
        <v>Python;R;SQL</v>
      </c>
      <c r="M9835" s="9" t="s">
        <v>27</v>
      </c>
    </row>
    <row r="9836" ht="15.75" customHeight="1">
      <c r="A9836" s="7"/>
      <c r="B9836" s="7" t="str">
        <f>IFERROR(__xludf.DUMMYFUNCTION("""COMPUTED_VALUE"""),"Bash/Shell/PowerShell;Java;Kotlin;Python;Scala")</f>
        <v>Bash/Shell/PowerShell;Java;Kotlin;Python;Scala</v>
      </c>
      <c r="M9836" s="9" t="s">
        <v>30</v>
      </c>
    </row>
    <row r="9837" ht="15.75" customHeight="1">
      <c r="A9837" s="7"/>
      <c r="B9837" s="7" t="str">
        <f>IFERROR(__xludf.DUMMYFUNCTION("""COMPUTED_VALUE"""),"Java;Kotlin")</f>
        <v>Java;Kotlin</v>
      </c>
      <c r="M9837" s="9" t="s">
        <v>24</v>
      </c>
    </row>
    <row r="9838" ht="15.75" customHeight="1">
      <c r="A9838" s="7"/>
      <c r="B9838" s="7" t="str">
        <f>IFERROR(__xludf.DUMMYFUNCTION("""COMPUTED_VALUE"""),"C#;HTML/CSS;Java;JavaScript;PHP;Python;SQL;Other(s):")</f>
        <v>C#;HTML/CSS;Java;JavaScript;PHP;Python;SQL;Other(s):</v>
      </c>
      <c r="M9838" s="9" t="s">
        <v>21</v>
      </c>
    </row>
    <row r="9839" ht="15.75" customHeight="1">
      <c r="A9839" s="7"/>
      <c r="B9839" s="7" t="str">
        <f>IFERROR(__xludf.DUMMYFUNCTION("""COMPUTED_VALUE"""),"C#;JavaScript;Objective-C;Swift;TypeScript")</f>
        <v>C#;JavaScript;Objective-C;Swift;TypeScript</v>
      </c>
      <c r="M9839" s="9" t="s">
        <v>27</v>
      </c>
    </row>
    <row r="9840" ht="15.75" customHeight="1">
      <c r="A9840" s="7"/>
      <c r="B9840" s="7" t="str">
        <f>IFERROR(__xludf.DUMMYFUNCTION("""COMPUTED_VALUE"""),"C#;HTML/CSS;Java;JavaScript;SQL")</f>
        <v>C#;HTML/CSS;Java;JavaScript;SQL</v>
      </c>
      <c r="M9840" s="9" t="s">
        <v>33</v>
      </c>
    </row>
    <row r="9841" ht="15.75" customHeight="1">
      <c r="A9841" s="7"/>
      <c r="B9841" s="7" t="str">
        <f>IFERROR(__xludf.DUMMYFUNCTION("""COMPUTED_VALUE"""),"Python")</f>
        <v>Python</v>
      </c>
      <c r="M9841" s="9" t="s">
        <v>30</v>
      </c>
    </row>
    <row r="9842" ht="15.75" customHeight="1">
      <c r="A9842" s="7"/>
      <c r="B9842" s="7" t="str">
        <f>IFERROR(__xludf.DUMMYFUNCTION("""COMPUTED_VALUE"""),"HTML/CSS;Java;JavaScript;Python;SQL")</f>
        <v>HTML/CSS;Java;JavaScript;Python;SQL</v>
      </c>
      <c r="M9842" s="9" t="s">
        <v>23</v>
      </c>
    </row>
    <row r="9843" ht="15.75" customHeight="1">
      <c r="A9843" s="7"/>
      <c r="B9843" s="7" t="str">
        <f>IFERROR(__xludf.DUMMYFUNCTION("""COMPUTED_VALUE"""),"JavaScript;Python")</f>
        <v>JavaScript;Python</v>
      </c>
      <c r="M9843" s="9" t="s">
        <v>26</v>
      </c>
    </row>
    <row r="9844" ht="15.75" customHeight="1">
      <c r="A9844" s="7"/>
      <c r="B9844" s="7" t="str">
        <f>IFERROR(__xludf.DUMMYFUNCTION("""COMPUTED_VALUE"""),"Go;Java;JavaScript;Python")</f>
        <v>Go;Java;JavaScript;Python</v>
      </c>
      <c r="M9844" s="9" t="s">
        <v>24</v>
      </c>
    </row>
    <row r="9845" ht="15.75" customHeight="1">
      <c r="A9845" s="7"/>
      <c r="B9845" s="7" t="str">
        <f>IFERROR(__xludf.DUMMYFUNCTION("""COMPUTED_VALUE"""),"Bash/Shell/PowerShell;C#;JavaScript;SQL")</f>
        <v>Bash/Shell/PowerShell;C#;JavaScript;SQL</v>
      </c>
      <c r="M9845" s="9" t="s">
        <v>21</v>
      </c>
    </row>
    <row r="9846" ht="15.75" customHeight="1">
      <c r="A9846" s="7"/>
      <c r="B9846" s="7" t="str">
        <f>IFERROR(__xludf.DUMMYFUNCTION("""COMPUTED_VALUE"""),"C++;Java")</f>
        <v>C++;Java</v>
      </c>
      <c r="M9846" s="9" t="s">
        <v>27</v>
      </c>
    </row>
    <row r="9847" ht="15.75" customHeight="1">
      <c r="A9847" s="7"/>
      <c r="B9847" s="7" t="str">
        <f>IFERROR(__xludf.DUMMYFUNCTION("""COMPUTED_VALUE"""),"Bash/Shell/PowerShell;C++;Go;HTML/CSS;Java;JavaScript;Python;Rust;Swift;TypeScript")</f>
        <v>Bash/Shell/PowerShell;C++;Go;HTML/CSS;Java;JavaScript;Python;Rust;Swift;TypeScript</v>
      </c>
      <c r="M9847" s="9" t="s">
        <v>26</v>
      </c>
    </row>
    <row r="9848" ht="15.75" customHeight="1">
      <c r="A9848" s="7"/>
      <c r="B9848" s="7" t="str">
        <f>IFERROR(__xludf.DUMMYFUNCTION("""COMPUTED_VALUE"""),"Bash/Shell/PowerShell;HTML/CSS;JavaScript;Python;Ruby;Scala;SQL")</f>
        <v>Bash/Shell/PowerShell;HTML/CSS;JavaScript;Python;Ruby;Scala;SQL</v>
      </c>
      <c r="M9848" s="9" t="s">
        <v>24</v>
      </c>
    </row>
    <row r="9849" ht="15.75" customHeight="1">
      <c r="A9849" s="7"/>
      <c r="B9849" s="7" t="str">
        <f>IFERROR(__xludf.DUMMYFUNCTION("""COMPUTED_VALUE"""),"Assembly;Bash/Shell/PowerShell;C;C++;HTML/CSS;Java;JavaScript;Python;SQL")</f>
        <v>Assembly;Bash/Shell/PowerShell;C;C++;HTML/CSS;Java;JavaScript;Python;SQL</v>
      </c>
      <c r="M9849" s="9" t="s">
        <v>21</v>
      </c>
    </row>
    <row r="9850" ht="15.75" customHeight="1">
      <c r="A9850" s="7"/>
      <c r="B9850" s="7" t="str">
        <f>IFERROR(__xludf.DUMMYFUNCTION("""COMPUTED_VALUE"""),"HTML/CSS;JavaScript;Kotlin;PHP;SQL;Swift;TypeScript")</f>
        <v>HTML/CSS;JavaScript;Kotlin;PHP;SQL;Swift;TypeScript</v>
      </c>
      <c r="M9850" s="9" t="s">
        <v>27</v>
      </c>
    </row>
    <row r="9851" ht="15.75" customHeight="1">
      <c r="A9851" s="7"/>
      <c r="B9851" s="7" t="str">
        <f>IFERROR(__xludf.DUMMYFUNCTION("""COMPUTED_VALUE"""),"C#;Java")</f>
        <v>C#;Java</v>
      </c>
      <c r="M9851" s="9" t="s">
        <v>30</v>
      </c>
    </row>
    <row r="9852" ht="15.75" customHeight="1">
      <c r="A9852" s="7"/>
      <c r="B9852" s="7" t="str">
        <f>IFERROR(__xludf.DUMMYFUNCTION("""COMPUTED_VALUE"""),"Bash/Shell/PowerShell;C++;HTML/CSS;JavaScript;Python;Rust;WebAssembly;Other(s):")</f>
        <v>Bash/Shell/PowerShell;C++;HTML/CSS;JavaScript;Python;Rust;WebAssembly;Other(s):</v>
      </c>
      <c r="M9852" s="9" t="s">
        <v>26</v>
      </c>
    </row>
    <row r="9853" ht="15.75" customHeight="1">
      <c r="A9853" s="7"/>
      <c r="B9853" s="7" t="str">
        <f>IFERROR(__xludf.DUMMYFUNCTION("""COMPUTED_VALUE"""),"C#;SQL;Other(s):")</f>
        <v>C#;SQL;Other(s):</v>
      </c>
      <c r="M9853" s="9" t="s">
        <v>24</v>
      </c>
    </row>
    <row r="9854" ht="15.75" customHeight="1">
      <c r="A9854" s="7"/>
      <c r="B9854" s="7" t="str">
        <f>IFERROR(__xludf.DUMMYFUNCTION("""COMPUTED_VALUE"""),"JavaScript;Objective-C;PHP;SQL")</f>
        <v>JavaScript;Objective-C;PHP;SQL</v>
      </c>
      <c r="M9854" s="9" t="s">
        <v>20</v>
      </c>
    </row>
    <row r="9855" ht="15.75" customHeight="1">
      <c r="A9855" s="7"/>
      <c r="B9855" s="7" t="str">
        <f>IFERROR(__xludf.DUMMYFUNCTION("""COMPUTED_VALUE"""),"C;C++;HTML/CSS;Java;JavaScript;Objective-C;PHP;SQL;TypeScript;Other(s):")</f>
        <v>C;C++;HTML/CSS;Java;JavaScript;Objective-C;PHP;SQL;TypeScript;Other(s):</v>
      </c>
      <c r="M9855" s="9" t="s">
        <v>21</v>
      </c>
    </row>
    <row r="9856" ht="15.75" customHeight="1">
      <c r="A9856" s="7"/>
      <c r="B9856" s="7" t="str">
        <f>IFERROR(__xludf.DUMMYFUNCTION("""COMPUTED_VALUE"""),"C#;Go;HTML/CSS;JavaScript;Python;SQL;TypeScript;WebAssembly")</f>
        <v>C#;Go;HTML/CSS;JavaScript;Python;SQL;TypeScript;WebAssembly</v>
      </c>
      <c r="M9856" s="9" t="s">
        <v>27</v>
      </c>
    </row>
    <row r="9857" ht="15.75" customHeight="1">
      <c r="A9857" s="7"/>
      <c r="B9857" s="7" t="str">
        <f>IFERROR(__xludf.DUMMYFUNCTION("""COMPUTED_VALUE"""),"Bash/Shell/PowerShell;HTML/CSS;JavaScript")</f>
        <v>Bash/Shell/PowerShell;HTML/CSS;JavaScript</v>
      </c>
      <c r="M9857" s="9" t="s">
        <v>40</v>
      </c>
    </row>
    <row r="9858" ht="15.75" customHeight="1">
      <c r="A9858" s="7"/>
      <c r="B9858" s="7" t="str">
        <f>IFERROR(__xludf.DUMMYFUNCTION("""COMPUTED_VALUE"""),"Bash/Shell/PowerShell;HTML/CSS;Java;Python;R;SQL")</f>
        <v>Bash/Shell/PowerShell;HTML/CSS;Java;Python;R;SQL</v>
      </c>
      <c r="M9858" s="9" t="s">
        <v>33</v>
      </c>
    </row>
    <row r="9859" ht="15.75" customHeight="1">
      <c r="A9859" s="7"/>
      <c r="B9859" s="7" t="str">
        <f>IFERROR(__xludf.DUMMYFUNCTION("""COMPUTED_VALUE"""),"C#;HTML/CSS;JavaScript;SQL;TypeScript")</f>
        <v>C#;HTML/CSS;JavaScript;SQL;TypeScript</v>
      </c>
      <c r="M9859" s="9" t="s">
        <v>22</v>
      </c>
    </row>
    <row r="9860" ht="15.75" customHeight="1">
      <c r="A9860" s="7"/>
      <c r="B9860" s="7" t="str">
        <f>IFERROR(__xludf.DUMMYFUNCTION("""COMPUTED_VALUE"""),"Bash/Shell/PowerShell;Go;HTML/CSS;JavaScript;SQL")</f>
        <v>Bash/Shell/PowerShell;Go;HTML/CSS;JavaScript;SQL</v>
      </c>
      <c r="M9860" s="9" t="s">
        <v>35</v>
      </c>
    </row>
    <row r="9861" ht="15.75" customHeight="1">
      <c r="A9861" s="7"/>
      <c r="B9861" s="7" t="str">
        <f>IFERROR(__xludf.DUMMYFUNCTION("""COMPUTED_VALUE"""),"C#;HTML/CSS;JavaScript;PHP;Python")</f>
        <v>C#;HTML/CSS;JavaScript;PHP;Python</v>
      </c>
      <c r="M9861" s="9" t="s">
        <v>30</v>
      </c>
    </row>
    <row r="9862" ht="15.75" customHeight="1">
      <c r="A9862" s="7"/>
      <c r="B9862" s="7" t="str">
        <f>IFERROR(__xludf.DUMMYFUNCTION("""COMPUTED_VALUE"""),"C;C++;Objective-C;Swift")</f>
        <v>C;C++;Objective-C;Swift</v>
      </c>
      <c r="M9862" s="9" t="s">
        <v>24</v>
      </c>
    </row>
    <row r="9863" ht="15.75" customHeight="1">
      <c r="A9863" s="7"/>
      <c r="B9863" s="7" t="str">
        <f>IFERROR(__xludf.DUMMYFUNCTION("""COMPUTED_VALUE"""),"Bash/Shell/PowerShell;HTML/CSS;JavaScript;PHP;Python;SQL;TypeScript")</f>
        <v>Bash/Shell/PowerShell;HTML/CSS;JavaScript;PHP;Python;SQL;TypeScript</v>
      </c>
      <c r="M9863" s="9" t="s">
        <v>21</v>
      </c>
    </row>
    <row r="9864" ht="15.75" customHeight="1">
      <c r="A9864" s="7"/>
      <c r="B9864" s="7" t="str">
        <f>IFERROR(__xludf.DUMMYFUNCTION("""COMPUTED_VALUE"""),"PHP;R")</f>
        <v>PHP;R</v>
      </c>
      <c r="M9864" s="9" t="s">
        <v>33</v>
      </c>
    </row>
    <row r="9865" ht="15.75" customHeight="1">
      <c r="A9865" s="7"/>
      <c r="B9865" s="7" t="str">
        <f>IFERROR(__xludf.DUMMYFUNCTION("""COMPUTED_VALUE"""),"HTML/CSS;Java;JavaScript;Kotlin;Python;SQL")</f>
        <v>HTML/CSS;Java;JavaScript;Kotlin;Python;SQL</v>
      </c>
      <c r="M9865" s="9" t="s">
        <v>26</v>
      </c>
    </row>
    <row r="9866" ht="15.75" customHeight="1">
      <c r="A9866" s="7"/>
      <c r="B9866" s="7" t="str">
        <f>IFERROR(__xludf.DUMMYFUNCTION("""COMPUTED_VALUE"""),"HTML/CSS;JavaScript;PHP;Ruby;SQL")</f>
        <v>HTML/CSS;JavaScript;PHP;Ruby;SQL</v>
      </c>
      <c r="M9866" s="9" t="s">
        <v>24</v>
      </c>
    </row>
    <row r="9867" ht="15.75" customHeight="1">
      <c r="A9867" s="7"/>
      <c r="B9867" s="7" t="str">
        <f>IFERROR(__xludf.DUMMYFUNCTION("""COMPUTED_VALUE"""),"C++;C#;HTML/CSS;JavaScript;PHP;SQL")</f>
        <v>C++;C#;HTML/CSS;JavaScript;PHP;SQL</v>
      </c>
      <c r="M9867" s="9" t="s">
        <v>20</v>
      </c>
    </row>
    <row r="9868" ht="15.75" customHeight="1">
      <c r="A9868" s="7"/>
      <c r="B9868" s="7" t="str">
        <f>IFERROR(__xludf.DUMMYFUNCTION("""COMPUTED_VALUE"""),"Bash/Shell/PowerShell;HTML/CSS;Java;JavaScript")</f>
        <v>Bash/Shell/PowerShell;HTML/CSS;Java;JavaScript</v>
      </c>
      <c r="M9868" s="9" t="s">
        <v>21</v>
      </c>
    </row>
    <row r="9869" ht="15.75" customHeight="1">
      <c r="A9869" s="7"/>
      <c r="B9869" s="7" t="str">
        <f>IFERROR(__xludf.DUMMYFUNCTION("""COMPUTED_VALUE"""),"Bash/Shell/PowerShell;C#;HTML/CSS;JavaScript;Python;SQL;TypeScript")</f>
        <v>Bash/Shell/PowerShell;C#;HTML/CSS;JavaScript;Python;SQL;TypeScript</v>
      </c>
      <c r="M9869" s="9" t="s">
        <v>27</v>
      </c>
    </row>
    <row r="9870" ht="15.75" customHeight="1">
      <c r="A9870" s="7"/>
      <c r="B9870" s="7" t="str">
        <f>IFERROR(__xludf.DUMMYFUNCTION("""COMPUTED_VALUE"""),"Go;HTML/CSS;Java;JavaScript;Python;Ruby;SQL")</f>
        <v>Go;HTML/CSS;Java;JavaScript;Python;Ruby;SQL</v>
      </c>
      <c r="M9870" s="9" t="s">
        <v>33</v>
      </c>
    </row>
    <row r="9871" ht="15.75" customHeight="1">
      <c r="A9871" s="7"/>
      <c r="B9871" s="7" t="str">
        <f>IFERROR(__xludf.DUMMYFUNCTION("""COMPUTED_VALUE"""),"Bash/Shell/PowerShell;HTML/CSS;Java;JavaScript;Python")</f>
        <v>Bash/Shell/PowerShell;HTML/CSS;Java;JavaScript;Python</v>
      </c>
      <c r="M9871" s="9" t="s">
        <v>24</v>
      </c>
    </row>
    <row r="9872" ht="15.75" customHeight="1">
      <c r="A9872" s="7"/>
      <c r="B9872" s="7" t="str">
        <f>IFERROR(__xludf.DUMMYFUNCTION("""COMPUTED_VALUE"""),"Assembly;Bash/Shell/PowerShell;C;C++;C#;Go;HTML/CSS;Java;JavaScript;PHP;Python;Ruby;SQL;TypeScript")</f>
        <v>Assembly;Bash/Shell/PowerShell;C;C++;C#;Go;HTML/CSS;Java;JavaScript;PHP;Python;Ruby;SQL;TypeScript</v>
      </c>
      <c r="M9872" s="9" t="s">
        <v>21</v>
      </c>
    </row>
    <row r="9873" ht="15.75" customHeight="1">
      <c r="A9873" s="7"/>
      <c r="B9873" s="7" t="str">
        <f>IFERROR(__xludf.DUMMYFUNCTION("""COMPUTED_VALUE"""),"HTML/CSS;Java;JavaScript;SQL;VBA")</f>
        <v>HTML/CSS;Java;JavaScript;SQL;VBA</v>
      </c>
      <c r="M9873" s="9" t="s">
        <v>37</v>
      </c>
    </row>
    <row r="9874" ht="15.75" customHeight="1">
      <c r="A9874" s="7"/>
      <c r="B9874" s="7" t="str">
        <f>IFERROR(__xludf.DUMMYFUNCTION("""COMPUTED_VALUE"""),"Bash/Shell/PowerShell;Java;JavaScript;Python;SQL")</f>
        <v>Bash/Shell/PowerShell;Java;JavaScript;Python;SQL</v>
      </c>
      <c r="M9874" s="9" t="s">
        <v>27</v>
      </c>
    </row>
    <row r="9875" ht="15.75" customHeight="1">
      <c r="A9875" s="7"/>
      <c r="B9875" s="7" t="str">
        <f>IFERROR(__xludf.DUMMYFUNCTION("""COMPUTED_VALUE"""),"Bash/Shell/PowerShell;Java;SQL;Other(s):")</f>
        <v>Bash/Shell/PowerShell;Java;SQL;Other(s):</v>
      </c>
      <c r="M9875" s="9" t="s">
        <v>30</v>
      </c>
    </row>
    <row r="9876" ht="15.75" customHeight="1">
      <c r="A9876" s="7"/>
      <c r="B9876" s="7" t="str">
        <f>IFERROR(__xludf.DUMMYFUNCTION("""COMPUTED_VALUE"""),"C#;HTML/CSS;JavaScript;SQL;TypeScript")</f>
        <v>C#;HTML/CSS;JavaScript;SQL;TypeScript</v>
      </c>
      <c r="M9876" s="9" t="s">
        <v>24</v>
      </c>
    </row>
    <row r="9877" ht="15.75" customHeight="1">
      <c r="A9877" s="7"/>
      <c r="B9877" s="7" t="str">
        <f>IFERROR(__xludf.DUMMYFUNCTION("""COMPUTED_VALUE"""),"HTML/CSS;JavaScript;Python;SQL")</f>
        <v>HTML/CSS;JavaScript;Python;SQL</v>
      </c>
      <c r="M9877" s="9" t="s">
        <v>20</v>
      </c>
    </row>
    <row r="9878" ht="15.75" customHeight="1">
      <c r="A9878" s="7"/>
      <c r="B9878" s="7" t="str">
        <f>IFERROR(__xludf.DUMMYFUNCTION("""COMPUTED_VALUE"""),"Bash/Shell/PowerShell;C++;HTML/CSS;Java;JavaScript;Kotlin;Objective-C;Swift;TypeScript")</f>
        <v>Bash/Shell/PowerShell;C++;HTML/CSS;Java;JavaScript;Kotlin;Objective-C;Swift;TypeScript</v>
      </c>
      <c r="M9878" s="9" t="s">
        <v>21</v>
      </c>
    </row>
    <row r="9879" ht="15.75" customHeight="1">
      <c r="A9879" s="7"/>
      <c r="B9879" s="7" t="str">
        <f>IFERROR(__xludf.DUMMYFUNCTION("""COMPUTED_VALUE"""),"C#;JavaScript;SQL;TypeScript")</f>
        <v>C#;JavaScript;SQL;TypeScript</v>
      </c>
      <c r="M9879" s="9" t="s">
        <v>27</v>
      </c>
    </row>
    <row r="9880" ht="15.75" customHeight="1">
      <c r="A9880" s="7"/>
      <c r="B9880" s="7" t="str">
        <f>IFERROR(__xludf.DUMMYFUNCTION("""COMPUTED_VALUE"""),"Bash/Shell/PowerShell;C#;F#;HTML/CSS;JavaScript;PHP;SQL")</f>
        <v>Bash/Shell/PowerShell;C#;F#;HTML/CSS;JavaScript;PHP;SQL</v>
      </c>
      <c r="M9880" s="9" t="s">
        <v>30</v>
      </c>
    </row>
    <row r="9881" ht="15.75" customHeight="1">
      <c r="A9881" s="7"/>
      <c r="B9881" s="7" t="str">
        <f>IFERROR(__xludf.DUMMYFUNCTION("""COMPUTED_VALUE"""),"HTML/CSS;Java;JavaScript;R;SQL")</f>
        <v>HTML/CSS;Java;JavaScript;R;SQL</v>
      </c>
      <c r="M9881" s="9" t="s">
        <v>24</v>
      </c>
    </row>
    <row r="9882" ht="15.75" customHeight="1">
      <c r="A9882" s="7"/>
      <c r="B9882" s="7" t="str">
        <f>IFERROR(__xludf.DUMMYFUNCTION("""COMPUTED_VALUE"""),"Elixir;Go;Kotlin;Ruby;Swift;TypeScript")</f>
        <v>Elixir;Go;Kotlin;Ruby;Swift;TypeScript</v>
      </c>
      <c r="M9882" s="9" t="s">
        <v>21</v>
      </c>
    </row>
    <row r="9883" ht="15.75" customHeight="1">
      <c r="A9883" s="7"/>
      <c r="B9883" s="7" t="str">
        <f>IFERROR(__xludf.DUMMYFUNCTION("""COMPUTED_VALUE"""),"C++;Python")</f>
        <v>C++;Python</v>
      </c>
      <c r="M9883" s="9" t="s">
        <v>37</v>
      </c>
    </row>
    <row r="9884" ht="15.75" customHeight="1">
      <c r="A9884" s="7"/>
      <c r="B9884" s="7" t="str">
        <f>IFERROR(__xludf.DUMMYFUNCTION("""COMPUTED_VALUE"""),"Java")</f>
        <v>Java</v>
      </c>
      <c r="M9884" s="9" t="s">
        <v>27</v>
      </c>
    </row>
    <row r="9885" ht="15.75" customHeight="1">
      <c r="A9885" s="7"/>
      <c r="B9885" s="7" t="str">
        <f>IFERROR(__xludf.DUMMYFUNCTION("""COMPUTED_VALUE"""),"C++;Python")</f>
        <v>C++;Python</v>
      </c>
      <c r="M9885" s="9" t="s">
        <v>30</v>
      </c>
    </row>
    <row r="9886" ht="15.75" customHeight="1">
      <c r="A9886" s="7"/>
      <c r="B9886" s="7" t="str">
        <f>IFERROR(__xludf.DUMMYFUNCTION("""COMPUTED_VALUE"""),"Assembly;Bash/Shell/PowerShell;C;C++;C#;HTML/CSS;Java;JavaScript;PHP;Python;SQL;VBA")</f>
        <v>Assembly;Bash/Shell/PowerShell;C;C++;C#;HTML/CSS;Java;JavaScript;PHP;Python;SQL;VBA</v>
      </c>
      <c r="M9886" s="9" t="s">
        <v>20</v>
      </c>
    </row>
    <row r="9887" ht="15.75" customHeight="1">
      <c r="A9887" s="7"/>
      <c r="B9887" s="7" t="str">
        <f>IFERROR(__xludf.DUMMYFUNCTION("""COMPUTED_VALUE"""),"C;C++;HTML/CSS;PHP")</f>
        <v>C;C++;HTML/CSS;PHP</v>
      </c>
      <c r="M9887" s="9" t="s">
        <v>26</v>
      </c>
    </row>
    <row r="9888" ht="15.75" customHeight="1">
      <c r="A9888" s="7"/>
      <c r="B9888" s="7" t="str">
        <f>IFERROR(__xludf.DUMMYFUNCTION("""COMPUTED_VALUE"""),"C#;Java")</f>
        <v>C#;Java</v>
      </c>
      <c r="M9888" s="9" t="s">
        <v>21</v>
      </c>
    </row>
    <row r="9889" ht="15.75" customHeight="1">
      <c r="A9889" s="7"/>
      <c r="B9889" s="7" t="str">
        <f>IFERROR(__xludf.DUMMYFUNCTION("""COMPUTED_VALUE"""),"Bash/Shell/PowerShell;C;C++;HTML/CSS;Java;JavaScript;SQL;Other(s):")</f>
        <v>Bash/Shell/PowerShell;C;C++;HTML/CSS;Java;JavaScript;SQL;Other(s):</v>
      </c>
      <c r="M9889" s="9" t="s">
        <v>27</v>
      </c>
    </row>
    <row r="9890" ht="15.75" customHeight="1">
      <c r="A9890" s="7"/>
      <c r="B9890" s="7" t="str">
        <f>IFERROR(__xludf.DUMMYFUNCTION("""COMPUTED_VALUE"""),"Java")</f>
        <v>Java</v>
      </c>
      <c r="M9890" s="9" t="s">
        <v>23</v>
      </c>
    </row>
    <row r="9891" ht="15.75" customHeight="1">
      <c r="A9891" s="7"/>
      <c r="B9891" s="7" t="str">
        <f>IFERROR(__xludf.DUMMYFUNCTION("""COMPUTED_VALUE"""),"C;C++;Ruby;Other(s):")</f>
        <v>C;C++;Ruby;Other(s):</v>
      </c>
      <c r="M9891" s="9" t="s">
        <v>26</v>
      </c>
    </row>
    <row r="9892" ht="15.75" customHeight="1">
      <c r="A9892" s="7"/>
      <c r="B9892" s="7" t="str">
        <f>IFERROR(__xludf.DUMMYFUNCTION("""COMPUTED_VALUE"""),"Java;JavaScript;Kotlin;Python;Ruby;Scala;Other(s):")</f>
        <v>Java;JavaScript;Kotlin;Python;Ruby;Scala;Other(s):</v>
      </c>
      <c r="M9892" s="9" t="s">
        <v>26</v>
      </c>
    </row>
    <row r="9893" ht="15.75" customHeight="1">
      <c r="A9893" s="7"/>
      <c r="B9893" s="7" t="str">
        <f>IFERROR(__xludf.DUMMYFUNCTION("""COMPUTED_VALUE"""),"C#;HTML/CSS;JavaScript;SQL")</f>
        <v>C#;HTML/CSS;JavaScript;SQL</v>
      </c>
      <c r="M9893" s="9" t="s">
        <v>24</v>
      </c>
    </row>
    <row r="9894" ht="15.75" customHeight="1">
      <c r="A9894" s="7"/>
      <c r="B9894" s="7" t="str">
        <f>IFERROR(__xludf.DUMMYFUNCTION("""COMPUTED_VALUE"""),"Python;VBA")</f>
        <v>Python;VBA</v>
      </c>
      <c r="M9894" s="9" t="s">
        <v>20</v>
      </c>
    </row>
    <row r="9895" ht="15.75" customHeight="1">
      <c r="A9895" s="7"/>
      <c r="B9895" s="7" t="str">
        <f>IFERROR(__xludf.DUMMYFUNCTION("""COMPUTED_VALUE"""),"Bash/Shell/PowerShell;Java;JavaScript;Python")</f>
        <v>Bash/Shell/PowerShell;Java;JavaScript;Python</v>
      </c>
      <c r="M9895" s="9" t="s">
        <v>21</v>
      </c>
    </row>
    <row r="9896" ht="15.75" customHeight="1">
      <c r="A9896" s="7"/>
      <c r="B9896" s="7" t="str">
        <f>IFERROR(__xludf.DUMMYFUNCTION("""COMPUTED_VALUE"""),"Bash/Shell/PowerShell;JavaScript;Python;Ruby;SQL;TypeScript")</f>
        <v>Bash/Shell/PowerShell;JavaScript;Python;Ruby;SQL;TypeScript</v>
      </c>
      <c r="M9896" s="9" t="s">
        <v>24</v>
      </c>
    </row>
    <row r="9897" ht="15.75" customHeight="1">
      <c r="A9897" s="7"/>
      <c r="B9897" s="7" t="str">
        <f>IFERROR(__xludf.DUMMYFUNCTION("""COMPUTED_VALUE"""),"Bash/Shell/PowerShell;Go;HTML/CSS;Java;JavaScript;Python")</f>
        <v>Bash/Shell/PowerShell;Go;HTML/CSS;Java;JavaScript;Python</v>
      </c>
      <c r="M9897" s="9" t="s">
        <v>21</v>
      </c>
    </row>
    <row r="9898" ht="15.75" customHeight="1">
      <c r="A9898" s="7"/>
      <c r="B9898" s="7" t="str">
        <f>IFERROR(__xludf.DUMMYFUNCTION("""COMPUTED_VALUE"""),"Assembly;Bash/Shell/PowerShell;C;C++;HTML/CSS;Java;JavaScript;PHP;Python;SQL;TypeScript;VBA")</f>
        <v>Assembly;Bash/Shell/PowerShell;C;C++;HTML/CSS;Java;JavaScript;PHP;Python;SQL;TypeScript;VBA</v>
      </c>
      <c r="M9898" s="9" t="s">
        <v>31</v>
      </c>
    </row>
    <row r="9899" ht="15.75" customHeight="1">
      <c r="A9899" s="7"/>
      <c r="B9899" s="7" t="str">
        <f>IFERROR(__xludf.DUMMYFUNCTION("""COMPUTED_VALUE"""),"Java;SQL")</f>
        <v>Java;SQL</v>
      </c>
      <c r="M9899" s="9" t="s">
        <v>24</v>
      </c>
    </row>
    <row r="9900" ht="15.75" customHeight="1">
      <c r="A9900" s="7"/>
      <c r="B9900" s="7" t="str">
        <f>IFERROR(__xludf.DUMMYFUNCTION("""COMPUTED_VALUE"""),"JavaScript;PHP")</f>
        <v>JavaScript;PHP</v>
      </c>
      <c r="M9900" s="9" t="s">
        <v>20</v>
      </c>
    </row>
    <row r="9901" ht="15.75" customHeight="1">
      <c r="A9901" s="7"/>
      <c r="B9901" s="7" t="str">
        <f>IFERROR(__xludf.DUMMYFUNCTION("""COMPUTED_VALUE"""),"Java")</f>
        <v>Java</v>
      </c>
      <c r="M9901" s="9" t="s">
        <v>37</v>
      </c>
    </row>
    <row r="9902" ht="15.75" customHeight="1">
      <c r="A9902" s="7"/>
      <c r="B9902" s="7" t="str">
        <f>IFERROR(__xludf.DUMMYFUNCTION("""COMPUTED_VALUE"""),"C#;Dart;F#;Java;PHP;VBA")</f>
        <v>C#;Dart;F#;Java;PHP;VBA</v>
      </c>
      <c r="M9902" s="9" t="s">
        <v>27</v>
      </c>
    </row>
    <row r="9903" ht="15.75" customHeight="1">
      <c r="A9903" s="7"/>
      <c r="B9903" s="7" t="str">
        <f>IFERROR(__xludf.DUMMYFUNCTION("""COMPUTED_VALUE"""),"HTML/CSS;JavaScript;Python")</f>
        <v>HTML/CSS;JavaScript;Python</v>
      </c>
      <c r="M9903" s="9" t="s">
        <v>26</v>
      </c>
    </row>
    <row r="9904" ht="15.75" customHeight="1">
      <c r="A9904" s="7"/>
      <c r="B9904" s="7" t="str">
        <f>IFERROR(__xludf.DUMMYFUNCTION("""COMPUTED_VALUE"""),"C#;HTML/CSS;JavaScript;SQL;Swift")</f>
        <v>C#;HTML/CSS;JavaScript;SQL;Swift</v>
      </c>
      <c r="M9904" s="9" t="s">
        <v>24</v>
      </c>
    </row>
    <row r="9905" ht="15.75" customHeight="1">
      <c r="A9905" s="7"/>
      <c r="B9905" s="7" t="str">
        <f>IFERROR(__xludf.DUMMYFUNCTION("""COMPUTED_VALUE"""),"HTML/CSS;JavaScript;Python;TypeScript")</f>
        <v>HTML/CSS;JavaScript;Python;TypeScript</v>
      </c>
      <c r="M9905" s="9" t="s">
        <v>21</v>
      </c>
    </row>
    <row r="9906" ht="15.75" customHeight="1">
      <c r="A9906" s="7"/>
      <c r="B9906" s="7" t="str">
        <f>IFERROR(__xludf.DUMMYFUNCTION("""COMPUTED_VALUE"""),"C++;Go;Java;JavaScript;Python")</f>
        <v>C++;Go;Java;JavaScript;Python</v>
      </c>
      <c r="M9906" s="9" t="s">
        <v>27</v>
      </c>
    </row>
    <row r="9907" ht="15.75" customHeight="1">
      <c r="A9907" s="7"/>
      <c r="B9907" s="7" t="str">
        <f>IFERROR(__xludf.DUMMYFUNCTION("""COMPUTED_VALUE"""),"Bash/Shell/PowerShell;HTML/CSS;JavaScript;PHP;Python;SQL")</f>
        <v>Bash/Shell/PowerShell;HTML/CSS;JavaScript;PHP;Python;SQL</v>
      </c>
      <c r="M9907" s="9" t="s">
        <v>23</v>
      </c>
    </row>
    <row r="9908" ht="15.75" customHeight="1">
      <c r="A9908" s="7"/>
      <c r="B9908" s="7" t="str">
        <f>IFERROR(__xludf.DUMMYFUNCTION("""COMPUTED_VALUE"""),"Assembly;C;HTML/CSS;JavaScript;SQL")</f>
        <v>Assembly;C;HTML/CSS;JavaScript;SQL</v>
      </c>
      <c r="M9908" s="9" t="s">
        <v>21</v>
      </c>
    </row>
    <row r="9909" ht="15.75" customHeight="1">
      <c r="A9909" s="7"/>
      <c r="B9909" s="7" t="str">
        <f>IFERROR(__xludf.DUMMYFUNCTION("""COMPUTED_VALUE"""),"C++;HTML/CSS;Java;JavaScript;PHP;Python;SQL")</f>
        <v>C++;HTML/CSS;Java;JavaScript;PHP;Python;SQL</v>
      </c>
      <c r="M9909" s="9" t="s">
        <v>27</v>
      </c>
    </row>
    <row r="9910" ht="15.75" customHeight="1">
      <c r="A9910" s="7"/>
      <c r="B9910" s="7" t="str">
        <f>IFERROR(__xludf.DUMMYFUNCTION("""COMPUTED_VALUE"""),"C#;Go;HTML/CSS;JavaScript;PHP;SQL;Swift;TypeScript")</f>
        <v>C#;Go;HTML/CSS;JavaScript;PHP;SQL;Swift;TypeScript</v>
      </c>
      <c r="M9910" s="9" t="s">
        <v>25</v>
      </c>
    </row>
    <row r="9911" ht="15.75" customHeight="1">
      <c r="A9911" s="7"/>
      <c r="B9911" s="7" t="str">
        <f>IFERROR(__xludf.DUMMYFUNCTION("""COMPUTED_VALUE"""),"Assembly;C;C++;HTML/CSS;Java;JavaScript;VBA")</f>
        <v>Assembly;C;C++;HTML/CSS;Java;JavaScript;VBA</v>
      </c>
      <c r="M9911" s="9" t="s">
        <v>23</v>
      </c>
    </row>
    <row r="9912" ht="15.75" customHeight="1">
      <c r="A9912" s="7"/>
      <c r="B9912" s="7" t="str">
        <f>IFERROR(__xludf.DUMMYFUNCTION("""COMPUTED_VALUE"""),"HTML/CSS;JavaScript;PHP;SQL")</f>
        <v>HTML/CSS;JavaScript;PHP;SQL</v>
      </c>
      <c r="M9912" s="9" t="s">
        <v>26</v>
      </c>
    </row>
    <row r="9913" ht="15.75" customHeight="1">
      <c r="A9913" s="7"/>
      <c r="B9913" s="7" t="str">
        <f>IFERROR(__xludf.DUMMYFUNCTION("""COMPUTED_VALUE"""),"Assembly;Bash/Shell/PowerShell;C;C++")</f>
        <v>Assembly;Bash/Shell/PowerShell;C;C++</v>
      </c>
      <c r="M9913" s="9" t="s">
        <v>36</v>
      </c>
    </row>
    <row r="9914" ht="15.75" customHeight="1">
      <c r="A9914" s="7"/>
      <c r="B9914" s="7" t="str">
        <f>IFERROR(__xludf.DUMMYFUNCTION("""COMPUTED_VALUE"""),"Bash/Shell/PowerShell;C#")</f>
        <v>Bash/Shell/PowerShell;C#</v>
      </c>
      <c r="M9914" s="9" t="s">
        <v>24</v>
      </c>
    </row>
    <row r="9915" ht="15.75" customHeight="1">
      <c r="A9915" s="7"/>
      <c r="B9915" s="7" t="str">
        <f>IFERROR(__xludf.DUMMYFUNCTION("""COMPUTED_VALUE"""),"C#")</f>
        <v>C#</v>
      </c>
      <c r="M9915" s="9" t="s">
        <v>20</v>
      </c>
    </row>
    <row r="9916" ht="15.75" customHeight="1">
      <c r="A9916" s="7"/>
      <c r="B9916" s="7" t="str">
        <f>IFERROR(__xludf.DUMMYFUNCTION("""COMPUTED_VALUE"""),"C;C++;HTML/CSS;JavaScript;PHP;Python;SQL;Other(s):")</f>
        <v>C;C++;HTML/CSS;JavaScript;PHP;Python;SQL;Other(s):</v>
      </c>
      <c r="M9916" s="9" t="s">
        <v>21</v>
      </c>
    </row>
    <row r="9917" ht="15.75" customHeight="1">
      <c r="A9917" s="7"/>
      <c r="B9917" s="7" t="str">
        <f>IFERROR(__xludf.DUMMYFUNCTION("""COMPUTED_VALUE"""),"C;C#;Python")</f>
        <v>C;C#;Python</v>
      </c>
      <c r="M9917" s="9" t="s">
        <v>22</v>
      </c>
    </row>
    <row r="9918" ht="15.75" customHeight="1">
      <c r="A9918" s="7"/>
      <c r="B9918" s="7" t="str">
        <f>IFERROR(__xludf.DUMMYFUNCTION("""COMPUTED_VALUE"""),"Bash/Shell/PowerShell;HTML/CSS;JavaScript;Python;SQL")</f>
        <v>Bash/Shell/PowerShell;HTML/CSS;JavaScript;Python;SQL</v>
      </c>
      <c r="M9918" s="9" t="s">
        <v>29</v>
      </c>
    </row>
    <row r="9919" ht="15.75" customHeight="1">
      <c r="A9919" s="7"/>
      <c r="B9919" s="7" t="str">
        <f>IFERROR(__xludf.DUMMYFUNCTION("""COMPUTED_VALUE"""),"Bash/Shell/PowerShell;Clojure;Java;JavaScript;Ruby;SQL")</f>
        <v>Bash/Shell/PowerShell;Clojure;Java;JavaScript;Ruby;SQL</v>
      </c>
      <c r="M9919" s="9" t="s">
        <v>46</v>
      </c>
    </row>
    <row r="9920" ht="15.75" customHeight="1">
      <c r="A9920" s="7"/>
      <c r="B9920" s="7" t="str">
        <f>IFERROR(__xludf.DUMMYFUNCTION("""COMPUTED_VALUE"""),"C#;HTML/CSS;JavaScript;PHP;SQL;VBA")</f>
        <v>C#;HTML/CSS;JavaScript;PHP;SQL;VBA</v>
      </c>
      <c r="M9920" s="9" t="s">
        <v>27</v>
      </c>
    </row>
    <row r="9921" ht="15.75" customHeight="1">
      <c r="A9921" s="7"/>
      <c r="B9921" s="7" t="str">
        <f>IFERROR(__xludf.DUMMYFUNCTION("""COMPUTED_VALUE"""),"Assembly;C#;Java;JavaScript;SQL")</f>
        <v>Assembly;C#;Java;JavaScript;SQL</v>
      </c>
      <c r="M9921" s="9" t="s">
        <v>28</v>
      </c>
    </row>
    <row r="9922" ht="15.75" customHeight="1">
      <c r="A9922" s="7"/>
      <c r="B9922" s="7" t="str">
        <f>IFERROR(__xludf.DUMMYFUNCTION("""COMPUTED_VALUE"""),"C#;Java;VBA")</f>
        <v>C#;Java;VBA</v>
      </c>
      <c r="M9922" s="9" t="s">
        <v>42</v>
      </c>
    </row>
    <row r="9923" ht="15.75" customHeight="1">
      <c r="A9923" s="7"/>
      <c r="B9923" s="7" t="str">
        <f>IFERROR(__xludf.DUMMYFUNCTION("""COMPUTED_VALUE"""),"Dart;HTML/CSS;Java;JavaScript;Python;Scala;SQL")</f>
        <v>Dart;HTML/CSS;Java;JavaScript;Python;Scala;SQL</v>
      </c>
      <c r="M9923" s="9" t="s">
        <v>24</v>
      </c>
    </row>
    <row r="9924" ht="15.75" customHeight="1">
      <c r="A9924" s="7"/>
      <c r="B9924" s="7" t="str">
        <f>IFERROR(__xludf.DUMMYFUNCTION("""COMPUTED_VALUE"""),"Java;Kotlin")</f>
        <v>Java;Kotlin</v>
      </c>
      <c r="M9924" s="9" t="s">
        <v>20</v>
      </c>
    </row>
    <row r="9925" ht="15.75" customHeight="1">
      <c r="A9925" s="7"/>
      <c r="B9925" s="7" t="str">
        <f>IFERROR(__xludf.DUMMYFUNCTION("""COMPUTED_VALUE"""),"Bash/Shell/PowerShell;C;C++;Go;HTML/CSS;Java;JavaScript;PHP;Python;SQL")</f>
        <v>Bash/Shell/PowerShell;C;C++;Go;HTML/CSS;Java;JavaScript;PHP;Python;SQL</v>
      </c>
      <c r="M9925" s="9" t="s">
        <v>21</v>
      </c>
    </row>
    <row r="9926" ht="15.75" customHeight="1">
      <c r="A9926" s="7"/>
      <c r="B9926" s="7" t="str">
        <f>IFERROR(__xludf.DUMMYFUNCTION("""COMPUTED_VALUE"""),"Assembly;Bash/Shell/PowerShell;C;C++;HTML/CSS;Java;Python;SQL")</f>
        <v>Assembly;Bash/Shell/PowerShell;C;C++;HTML/CSS;Java;Python;SQL</v>
      </c>
      <c r="M9926" s="9" t="s">
        <v>22</v>
      </c>
    </row>
    <row r="9927" ht="15.75" customHeight="1">
      <c r="A9927" s="7"/>
      <c r="B9927" s="7" t="str">
        <f>IFERROR(__xludf.DUMMYFUNCTION("""COMPUTED_VALUE"""),"Bash/Shell/PowerShell;C#;HTML/CSS;SQL;TypeScript")</f>
        <v>Bash/Shell/PowerShell;C#;HTML/CSS;SQL;TypeScript</v>
      </c>
      <c r="M9927" s="9" t="s">
        <v>26</v>
      </c>
    </row>
    <row r="9928" ht="15.75" customHeight="1">
      <c r="A9928" s="7"/>
      <c r="B9928" s="7" t="str">
        <f>IFERROR(__xludf.DUMMYFUNCTION("""COMPUTED_VALUE"""),"Assembly;Bash/Shell/PowerShell;C#;Erlang;HTML/CSS;Java;JavaScript;PHP;Python;SQL")</f>
        <v>Assembly;Bash/Shell/PowerShell;C#;Erlang;HTML/CSS;Java;JavaScript;PHP;Python;SQL</v>
      </c>
      <c r="M9928" s="9" t="s">
        <v>37</v>
      </c>
    </row>
    <row r="9929" ht="15.75" customHeight="1">
      <c r="A9929" s="7"/>
      <c r="B9929" s="7" t="str">
        <f>IFERROR(__xludf.DUMMYFUNCTION("""COMPUTED_VALUE"""),"Assembly;Bash/Shell/PowerShell;C;C++;HTML/CSS;Java;JavaScript;Python;SQL")</f>
        <v>Assembly;Bash/Shell/PowerShell;C;C++;HTML/CSS;Java;JavaScript;Python;SQL</v>
      </c>
      <c r="M9929" s="9" t="s">
        <v>27</v>
      </c>
    </row>
    <row r="9930" ht="15.75" customHeight="1">
      <c r="A9930" s="7"/>
      <c r="B9930" s="7" t="str">
        <f>IFERROR(__xludf.DUMMYFUNCTION("""COMPUTED_VALUE"""),"HTML/CSS;JavaScript;PHP;Python;SQL;Other(s):")</f>
        <v>HTML/CSS;JavaScript;PHP;Python;SQL;Other(s):</v>
      </c>
      <c r="M9930" s="9" t="s">
        <v>25</v>
      </c>
    </row>
    <row r="9931" ht="15.75" customHeight="1">
      <c r="A9931" s="7"/>
      <c r="B9931" s="7" t="str">
        <f>IFERROR(__xludf.DUMMYFUNCTION("""COMPUTED_VALUE"""),"HTML/CSS;PHP;SQL")</f>
        <v>HTML/CSS;PHP;SQL</v>
      </c>
      <c r="M9931" s="9" t="s">
        <v>26</v>
      </c>
    </row>
    <row r="9932" ht="15.75" customHeight="1">
      <c r="A9932" s="7"/>
      <c r="B9932" s="7" t="str">
        <f>IFERROR(__xludf.DUMMYFUNCTION("""COMPUTED_VALUE"""),"Python;R;SQL")</f>
        <v>Python;R;SQL</v>
      </c>
      <c r="M9932" s="9" t="s">
        <v>24</v>
      </c>
    </row>
    <row r="9933" ht="15.75" customHeight="1">
      <c r="A9933" s="7"/>
      <c r="B9933" s="7" t="str">
        <f>IFERROR(__xludf.DUMMYFUNCTION("""COMPUTED_VALUE"""),"Assembly;Bash/Shell/PowerShell;HTML/CSS;Java;JavaScript;PHP;R;SQL;TypeScript")</f>
        <v>Assembly;Bash/Shell/PowerShell;HTML/CSS;Java;JavaScript;PHP;R;SQL;TypeScript</v>
      </c>
      <c r="M9933" s="9" t="s">
        <v>20</v>
      </c>
    </row>
    <row r="9934" ht="15.75" customHeight="1">
      <c r="A9934" s="7"/>
      <c r="B9934" s="7" t="str">
        <f>IFERROR(__xludf.DUMMYFUNCTION("""COMPUTED_VALUE"""),"Bash/Shell/PowerShell;HTML/CSS;JavaScript;PHP;Python;SQL")</f>
        <v>Bash/Shell/PowerShell;HTML/CSS;JavaScript;PHP;Python;SQL</v>
      </c>
      <c r="M9934" s="9" t="s">
        <v>21</v>
      </c>
    </row>
    <row r="9935" ht="15.75" customHeight="1">
      <c r="A9935" s="7"/>
      <c r="B9935" s="7" t="str">
        <f>IFERROR(__xludf.DUMMYFUNCTION("""COMPUTED_VALUE"""),"Bash/Shell/PowerShell;C;C++;HTML/CSS;Java;JavaScript;PHP;Python;SQL")</f>
        <v>Bash/Shell/PowerShell;C;C++;HTML/CSS;Java;JavaScript;PHP;Python;SQL</v>
      </c>
      <c r="M9935" s="9" t="s">
        <v>22</v>
      </c>
    </row>
    <row r="9936" ht="15.75" customHeight="1">
      <c r="A9936" s="7"/>
      <c r="B9936" s="7" t="str">
        <f>IFERROR(__xludf.DUMMYFUNCTION("""COMPUTED_VALUE"""),"HTML/CSS;JavaScript")</f>
        <v>HTML/CSS;JavaScript</v>
      </c>
      <c r="M9936" s="9" t="s">
        <v>29</v>
      </c>
    </row>
    <row r="9937" ht="15.75" customHeight="1">
      <c r="A9937" s="7"/>
      <c r="B9937" s="7" t="str">
        <f>IFERROR(__xludf.DUMMYFUNCTION("""COMPUTED_VALUE"""),"Bash/Shell/PowerShell;C;C#;HTML/CSS;Java;JavaScript;Python")</f>
        <v>Bash/Shell/PowerShell;C;C#;HTML/CSS;Java;JavaScript;Python</v>
      </c>
      <c r="M9937" s="9" t="s">
        <v>27</v>
      </c>
    </row>
    <row r="9938" ht="15.75" customHeight="1">
      <c r="A9938" s="7"/>
      <c r="B9938" s="7" t="str">
        <f>IFERROR(__xludf.DUMMYFUNCTION("""COMPUTED_VALUE"""),"Bash/Shell/PowerShell;Java")</f>
        <v>Bash/Shell/PowerShell;Java</v>
      </c>
      <c r="M9938" s="9" t="s">
        <v>33</v>
      </c>
    </row>
    <row r="9939" ht="15.75" customHeight="1">
      <c r="A9939" s="7"/>
      <c r="B9939" s="7" t="str">
        <f>IFERROR(__xludf.DUMMYFUNCTION("""COMPUTED_VALUE"""),"Bash/Shell/PowerShell;C++;C#;JavaScript")</f>
        <v>Bash/Shell/PowerShell;C++;C#;JavaScript</v>
      </c>
      <c r="M9939" s="9" t="s">
        <v>30</v>
      </c>
    </row>
    <row r="9940" ht="15.75" customHeight="1">
      <c r="A9940" s="7"/>
      <c r="B9940" s="7" t="str">
        <f>IFERROR(__xludf.DUMMYFUNCTION("""COMPUTED_VALUE"""),"Bash/Shell/PowerShell;JavaScript;Python;R;SQL")</f>
        <v>Bash/Shell/PowerShell;JavaScript;Python;R;SQL</v>
      </c>
      <c r="M9940" s="9" t="s">
        <v>26</v>
      </c>
    </row>
    <row r="9941" ht="15.75" customHeight="1">
      <c r="A9941" s="7"/>
      <c r="B9941" s="7" t="str">
        <f>IFERROR(__xludf.DUMMYFUNCTION("""COMPUTED_VALUE"""),"C;C++;HTML/CSS;Java;JavaScript")</f>
        <v>C;C++;HTML/CSS;Java;JavaScript</v>
      </c>
      <c r="M9941" s="9" t="s">
        <v>24</v>
      </c>
    </row>
    <row r="9942" ht="15.75" customHeight="1">
      <c r="A9942" s="7"/>
      <c r="B9942" s="7" t="str">
        <f>IFERROR(__xludf.DUMMYFUNCTION("""COMPUTED_VALUE"""),"Assembly;Bash/Shell/PowerShell;C;HTML/CSS;Java;JavaScript;PHP;SQL;TypeScript")</f>
        <v>Assembly;Bash/Shell/PowerShell;C;HTML/CSS;Java;JavaScript;PHP;SQL;TypeScript</v>
      </c>
      <c r="M9942" s="9" t="s">
        <v>20</v>
      </c>
    </row>
    <row r="9943" ht="15.75" customHeight="1">
      <c r="A9943" s="7"/>
      <c r="B9943" s="7" t="str">
        <f>IFERROR(__xludf.DUMMYFUNCTION("""COMPUTED_VALUE"""),"Bash/Shell/PowerShell;Go;HTML/CSS;Java;JavaScript;Ruby")</f>
        <v>Bash/Shell/PowerShell;Go;HTML/CSS;Java;JavaScript;Ruby</v>
      </c>
      <c r="M9943" s="9" t="s">
        <v>21</v>
      </c>
    </row>
    <row r="9944" ht="15.75" customHeight="1">
      <c r="A9944" s="7"/>
      <c r="B9944" s="7" t="str">
        <f>IFERROR(__xludf.DUMMYFUNCTION("""COMPUTED_VALUE"""),"Bash/Shell/PowerShell;Go;Java;Python;Scala")</f>
        <v>Bash/Shell/PowerShell;Go;Java;Python;Scala</v>
      </c>
      <c r="M9944" s="9" t="s">
        <v>33</v>
      </c>
    </row>
    <row r="9945" ht="15.75" customHeight="1">
      <c r="A9945" s="7"/>
      <c r="B9945" s="7" t="str">
        <f>IFERROR(__xludf.DUMMYFUNCTION("""COMPUTED_VALUE"""),"Assembly;Bash/Shell/PowerShell;C;Objective-C;Python;Swift")</f>
        <v>Assembly;Bash/Shell/PowerShell;C;Objective-C;Python;Swift</v>
      </c>
      <c r="M9945" s="9" t="s">
        <v>35</v>
      </c>
    </row>
    <row r="9946" ht="15.75" customHeight="1">
      <c r="A9946" s="7"/>
      <c r="B9946" s="7" t="str">
        <f>IFERROR(__xludf.DUMMYFUNCTION("""COMPUTED_VALUE"""),"Bash/Shell/PowerShell;Go;Java")</f>
        <v>Bash/Shell/PowerShell;Go;Java</v>
      </c>
      <c r="M9946" s="9" t="s">
        <v>25</v>
      </c>
    </row>
    <row r="9947" ht="15.75" customHeight="1">
      <c r="A9947" s="7"/>
      <c r="B9947" s="7" t="str">
        <f>IFERROR(__xludf.DUMMYFUNCTION("""COMPUTED_VALUE"""),"Java;Python")</f>
        <v>Java;Python</v>
      </c>
      <c r="M9947" s="9" t="s">
        <v>23</v>
      </c>
    </row>
    <row r="9948" ht="15.75" customHeight="1">
      <c r="A9948" s="7"/>
      <c r="B9948" s="7" t="str">
        <f>IFERROR(__xludf.DUMMYFUNCTION("""COMPUTED_VALUE"""),"C#;HTML/CSS;JavaScript;SQL;VBA;Other(s):")</f>
        <v>C#;HTML/CSS;JavaScript;SQL;VBA;Other(s):</v>
      </c>
      <c r="M9948" s="9" t="s">
        <v>23</v>
      </c>
    </row>
    <row r="9949" ht="15.75" customHeight="1">
      <c r="A9949" s="7"/>
      <c r="B9949" s="7" t="str">
        <f>IFERROR(__xludf.DUMMYFUNCTION("""COMPUTED_VALUE"""),"Bash/Shell/PowerShell;C#;HTML/CSS;JavaScript;SQL;Other(s):")</f>
        <v>Bash/Shell/PowerShell;C#;HTML/CSS;JavaScript;SQL;Other(s):</v>
      </c>
      <c r="M9949" s="9" t="s">
        <v>22</v>
      </c>
    </row>
    <row r="9950" ht="15.75" customHeight="1">
      <c r="A9950" s="7"/>
      <c r="B9950" s="7" t="str">
        <f>IFERROR(__xludf.DUMMYFUNCTION("""COMPUTED_VALUE"""),"C#;HTML/CSS;JavaScript;SQL")</f>
        <v>C#;HTML/CSS;JavaScript;SQL</v>
      </c>
      <c r="M9950" s="9" t="s">
        <v>30</v>
      </c>
    </row>
    <row r="9951" ht="15.75" customHeight="1">
      <c r="A9951" s="7"/>
      <c r="B9951" s="7" t="str">
        <f>IFERROR(__xludf.DUMMYFUNCTION("""COMPUTED_VALUE"""),"Bash/Shell/PowerShell;Go;HTML/CSS;Objective-C;Python;Ruby;Rust;SQL;Swift")</f>
        <v>Bash/Shell/PowerShell;Go;HTML/CSS;Objective-C;Python;Ruby;Rust;SQL;Swift</v>
      </c>
      <c r="M9951" s="9" t="s">
        <v>36</v>
      </c>
    </row>
    <row r="9952" ht="15.75" customHeight="1">
      <c r="A9952" s="7"/>
      <c r="B9952" s="7" t="str">
        <f>IFERROR(__xludf.DUMMYFUNCTION("""COMPUTED_VALUE"""),"Bash/Shell/PowerShell;Python")</f>
        <v>Bash/Shell/PowerShell;Python</v>
      </c>
      <c r="M9952" s="9" t="s">
        <v>24</v>
      </c>
    </row>
    <row r="9953" ht="15.75" customHeight="1">
      <c r="A9953" s="7"/>
      <c r="B9953" s="7" t="str">
        <f>IFERROR(__xludf.DUMMYFUNCTION("""COMPUTED_VALUE"""),"Assembly;VBA;Other(s):")</f>
        <v>Assembly;VBA;Other(s):</v>
      </c>
      <c r="M9953" s="9" t="s">
        <v>21</v>
      </c>
    </row>
    <row r="9954" ht="15.75" customHeight="1">
      <c r="A9954" s="7"/>
      <c r="B9954" s="7" t="str">
        <f>IFERROR(__xludf.DUMMYFUNCTION("""COMPUTED_VALUE"""),"Assembly;Bash/Shell/PowerShell;C;C++;C#;HTML/CSS;Java;JavaScript;PHP;SQL")</f>
        <v>Assembly;Bash/Shell/PowerShell;C;C++;C#;HTML/CSS;Java;JavaScript;PHP;SQL</v>
      </c>
      <c r="M9954" s="9" t="s">
        <v>22</v>
      </c>
    </row>
    <row r="9955" ht="15.75" customHeight="1">
      <c r="A9955" s="7"/>
      <c r="B9955" s="7" t="str">
        <f>IFERROR(__xludf.DUMMYFUNCTION("""COMPUTED_VALUE"""),"Bash/Shell/PowerShell;C#;Python;SQL;VBA")</f>
        <v>Bash/Shell/PowerShell;C#;Python;SQL;VBA</v>
      </c>
      <c r="M9955" s="9" t="s">
        <v>31</v>
      </c>
    </row>
    <row r="9956" ht="15.75" customHeight="1">
      <c r="A9956" s="7"/>
      <c r="B9956" s="7" t="str">
        <f>IFERROR(__xludf.DUMMYFUNCTION("""COMPUTED_VALUE"""),"C;C++;HTML/CSS")</f>
        <v>C;C++;HTML/CSS</v>
      </c>
      <c r="M9956" s="9" t="s">
        <v>33</v>
      </c>
    </row>
    <row r="9957" ht="15.75" customHeight="1">
      <c r="A9957" s="7"/>
      <c r="B9957" s="7" t="str">
        <f>IFERROR(__xludf.DUMMYFUNCTION("""COMPUTED_VALUE"""),"Bash/Shell/PowerShell;C#;HTML/CSS;Java")</f>
        <v>Bash/Shell/PowerShell;C#;HTML/CSS;Java</v>
      </c>
      <c r="M9957" s="9" t="s">
        <v>23</v>
      </c>
    </row>
    <row r="9958" ht="15.75" customHeight="1">
      <c r="A9958" s="7"/>
      <c r="B9958" s="7" t="str">
        <f>IFERROR(__xludf.DUMMYFUNCTION("""COMPUTED_VALUE"""),"Bash/Shell/PowerShell;C#;HTML/CSS;Java;JavaScript;SQL")</f>
        <v>Bash/Shell/PowerShell;C#;HTML/CSS;Java;JavaScript;SQL</v>
      </c>
      <c r="M9958" s="9" t="s">
        <v>26</v>
      </c>
    </row>
    <row r="9959" ht="15.75" customHeight="1">
      <c r="A9959" s="7"/>
      <c r="B9959" s="7" t="str">
        <f>IFERROR(__xludf.DUMMYFUNCTION("""COMPUTED_VALUE"""),"C;C++")</f>
        <v>C;C++</v>
      </c>
      <c r="M9959" s="9" t="s">
        <v>36</v>
      </c>
    </row>
    <row r="9960" ht="15.75" customHeight="1">
      <c r="A9960" s="7"/>
      <c r="B9960" s="7" t="str">
        <f>IFERROR(__xludf.DUMMYFUNCTION("""COMPUTED_VALUE"""),"HTML/CSS;JavaScript")</f>
        <v>HTML/CSS;JavaScript</v>
      </c>
      <c r="M9960" s="9" t="s">
        <v>24</v>
      </c>
    </row>
    <row r="9961" ht="15.75" customHeight="1">
      <c r="A9961" s="7"/>
      <c r="B9961" s="7" t="str">
        <f>IFERROR(__xludf.DUMMYFUNCTION("""COMPUTED_VALUE"""),"HTML/CSS;JavaScript;Python")</f>
        <v>HTML/CSS;JavaScript;Python</v>
      </c>
      <c r="M9961" s="9" t="s">
        <v>21</v>
      </c>
    </row>
    <row r="9962" ht="15.75" customHeight="1">
      <c r="A9962" s="7"/>
      <c r="B9962" s="7" t="str">
        <f>IFERROR(__xludf.DUMMYFUNCTION("""COMPUTED_VALUE"""),"Bash/Shell/PowerShell;C#;Dart;Java")</f>
        <v>Bash/Shell/PowerShell;C#;Dart;Java</v>
      </c>
      <c r="M9962" s="9" t="s">
        <v>22</v>
      </c>
    </row>
    <row r="9963" ht="15.75" customHeight="1">
      <c r="A9963" s="7"/>
      <c r="B9963" s="7" t="str">
        <f>IFERROR(__xludf.DUMMYFUNCTION("""COMPUTED_VALUE"""),"Bash/Shell/PowerShell;C#;HTML/CSS;Java;JavaScript;PHP;Python;Ruby;SQL")</f>
        <v>Bash/Shell/PowerShell;C#;HTML/CSS;Java;JavaScript;PHP;Python;Ruby;SQL</v>
      </c>
      <c r="M9963" s="9" t="s">
        <v>27</v>
      </c>
    </row>
    <row r="9964" ht="15.75" customHeight="1">
      <c r="A9964" s="7"/>
      <c r="B9964" s="7" t="str">
        <f>IFERROR(__xludf.DUMMYFUNCTION("""COMPUTED_VALUE"""),"C#;HTML/CSS;JavaScript;SQL")</f>
        <v>C#;HTML/CSS;JavaScript;SQL</v>
      </c>
      <c r="M9964" s="9" t="s">
        <v>24</v>
      </c>
    </row>
    <row r="9965" ht="15.75" customHeight="1">
      <c r="A9965" s="7"/>
      <c r="B9965" s="7" t="str">
        <f>IFERROR(__xludf.DUMMYFUNCTION("""COMPUTED_VALUE"""),"Bash/Shell/PowerShell;HTML/CSS;JavaScript;PHP;Python;SQL")</f>
        <v>Bash/Shell/PowerShell;HTML/CSS;JavaScript;PHP;Python;SQL</v>
      </c>
      <c r="M9965" s="9" t="s">
        <v>21</v>
      </c>
    </row>
    <row r="9966" ht="15.75" customHeight="1">
      <c r="A9966" s="7"/>
      <c r="B9966" s="7" t="str">
        <f>IFERROR(__xludf.DUMMYFUNCTION("""COMPUTED_VALUE"""),"HTML/CSS;JavaScript;PHP")</f>
        <v>HTML/CSS;JavaScript;PHP</v>
      </c>
      <c r="M9966" s="9" t="s">
        <v>31</v>
      </c>
    </row>
    <row r="9967" ht="15.75" customHeight="1">
      <c r="A9967" s="7"/>
      <c r="B9967" s="7" t="str">
        <f>IFERROR(__xludf.DUMMYFUNCTION("""COMPUTED_VALUE"""),"Bash/Shell/PowerShell;C;C#;HTML/CSS;Java;JavaScript;Python;SQL;TypeScript")</f>
        <v>Bash/Shell/PowerShell;C;C#;HTML/CSS;Java;JavaScript;Python;SQL;TypeScript</v>
      </c>
      <c r="M9967" s="9" t="s">
        <v>27</v>
      </c>
    </row>
    <row r="9968" ht="15.75" customHeight="1">
      <c r="A9968" s="7"/>
      <c r="B9968" s="7" t="str">
        <f>IFERROR(__xludf.DUMMYFUNCTION("""COMPUTED_VALUE"""),"HTML/CSS;Java;JavaScript;Kotlin;Python;SQL")</f>
        <v>HTML/CSS;Java;JavaScript;Kotlin;Python;SQL</v>
      </c>
      <c r="M9968" s="9" t="s">
        <v>30</v>
      </c>
    </row>
    <row r="9969" ht="15.75" customHeight="1">
      <c r="A9969" s="7"/>
      <c r="B9969" s="7" t="str">
        <f>IFERROR(__xludf.DUMMYFUNCTION("""COMPUTED_VALUE"""),"C#;HTML/CSS;JavaScript;PHP;SQL")</f>
        <v>C#;HTML/CSS;JavaScript;PHP;SQL</v>
      </c>
      <c r="M9969" s="9" t="s">
        <v>24</v>
      </c>
    </row>
    <row r="9970" ht="15.75" customHeight="1">
      <c r="A9970" s="7"/>
      <c r="B9970" s="7" t="str">
        <f>IFERROR(__xludf.DUMMYFUNCTION("""COMPUTED_VALUE"""),"JavaScript;Python")</f>
        <v>JavaScript;Python</v>
      </c>
      <c r="M9970" s="9" t="s">
        <v>21</v>
      </c>
    </row>
    <row r="9971" ht="15.75" customHeight="1">
      <c r="A9971" s="7"/>
      <c r="B9971" s="7" t="str">
        <f>IFERROR(__xludf.DUMMYFUNCTION("""COMPUTED_VALUE"""),"Bash/Shell/PowerShell;C#;HTML/CSS;Java;JavaScript")</f>
        <v>Bash/Shell/PowerShell;C#;HTML/CSS;Java;JavaScript</v>
      </c>
      <c r="M9971" s="9" t="s">
        <v>30</v>
      </c>
    </row>
    <row r="9972" ht="15.75" customHeight="1">
      <c r="A9972" s="7"/>
      <c r="B9972" s="7" t="str">
        <f>IFERROR(__xludf.DUMMYFUNCTION("""COMPUTED_VALUE"""),"C#")</f>
        <v>C#</v>
      </c>
      <c r="M9972" s="9" t="s">
        <v>24</v>
      </c>
    </row>
    <row r="9973" ht="15.75" customHeight="1">
      <c r="A9973" s="7"/>
      <c r="B9973" s="7" t="str">
        <f>IFERROR(__xludf.DUMMYFUNCTION("""COMPUTED_VALUE"""),"Bash/Shell/PowerShell;C#;HTML/CSS;JavaScript;Python;SQL;TypeScript")</f>
        <v>Bash/Shell/PowerShell;C#;HTML/CSS;JavaScript;Python;SQL;TypeScript</v>
      </c>
      <c r="M9973" s="9" t="s">
        <v>20</v>
      </c>
    </row>
    <row r="9974" ht="15.75" customHeight="1">
      <c r="A9974" s="7"/>
      <c r="B9974" s="7" t="str">
        <f>IFERROR(__xludf.DUMMYFUNCTION("""COMPUTED_VALUE"""),"HTML/CSS;JavaScript;PHP;Other(s):")</f>
        <v>HTML/CSS;JavaScript;PHP;Other(s):</v>
      </c>
      <c r="M9974" s="9" t="s">
        <v>21</v>
      </c>
    </row>
    <row r="9975" ht="15.75" customHeight="1">
      <c r="A9975" s="7"/>
      <c r="B9975" s="7" t="str">
        <f>IFERROR(__xludf.DUMMYFUNCTION("""COMPUTED_VALUE"""),"Bash/Shell/PowerShell;C;C++;Python;R;SQL")</f>
        <v>Bash/Shell/PowerShell;C;C++;Python;R;SQL</v>
      </c>
      <c r="M9975" s="9" t="s">
        <v>31</v>
      </c>
    </row>
    <row r="9976" ht="15.75" customHeight="1">
      <c r="A9976" s="7"/>
      <c r="B9976" s="7" t="str">
        <f>IFERROR(__xludf.DUMMYFUNCTION("""COMPUTED_VALUE"""),"Bash/Shell/PowerShell;C;C++;C#;HTML/CSS;JavaScript;PHP;Python;Ruby;SQL;TypeScript")</f>
        <v>Bash/Shell/PowerShell;C;C++;C#;HTML/CSS;JavaScript;PHP;Python;Ruby;SQL;TypeScript</v>
      </c>
      <c r="M9976" s="9" t="s">
        <v>30</v>
      </c>
    </row>
    <row r="9977" ht="15.75" customHeight="1">
      <c r="A9977" s="7"/>
      <c r="B9977" s="7" t="str">
        <f>IFERROR(__xludf.DUMMYFUNCTION("""COMPUTED_VALUE"""),"C;C++;HTML/CSS;Java;JavaScript;PHP;Swift")</f>
        <v>C;C++;HTML/CSS;Java;JavaScript;PHP;Swift</v>
      </c>
      <c r="M9977" s="9" t="s">
        <v>24</v>
      </c>
    </row>
    <row r="9978" ht="15.75" customHeight="1">
      <c r="A9978" s="7"/>
      <c r="B9978" s="7" t="str">
        <f>IFERROR(__xludf.DUMMYFUNCTION("""COMPUTED_VALUE"""),"HTML/CSS;JavaScript;PHP;Python;SQL")</f>
        <v>HTML/CSS;JavaScript;PHP;Python;SQL</v>
      </c>
      <c r="M9978" s="9" t="s">
        <v>20</v>
      </c>
    </row>
    <row r="9979" ht="15.75" customHeight="1">
      <c r="A9979" s="7"/>
      <c r="B9979" s="7" t="str">
        <f>IFERROR(__xludf.DUMMYFUNCTION("""COMPUTED_VALUE"""),"Bash/Shell/PowerShell;C#;HTML/CSS;Java;JavaScript;SQL;TypeScript")</f>
        <v>Bash/Shell/PowerShell;C#;HTML/CSS;Java;JavaScript;SQL;TypeScript</v>
      </c>
      <c r="M9979" s="9" t="s">
        <v>21</v>
      </c>
    </row>
    <row r="9980" ht="15.75" customHeight="1">
      <c r="A9980" s="7"/>
      <c r="B9980" s="7" t="str">
        <f>IFERROR(__xludf.DUMMYFUNCTION("""COMPUTED_VALUE"""),"HTML/CSS;JavaScript;PHP;SQL")</f>
        <v>HTML/CSS;JavaScript;PHP;SQL</v>
      </c>
      <c r="M9980" s="9" t="s">
        <v>39</v>
      </c>
    </row>
    <row r="9981" ht="15.75" customHeight="1">
      <c r="A9981" s="7"/>
      <c r="B9981" s="7" t="str">
        <f>IFERROR(__xludf.DUMMYFUNCTION("""COMPUTED_VALUE"""),"Bash/Shell/PowerShell;Java;JavaScript;TypeScript")</f>
        <v>Bash/Shell/PowerShell;Java;JavaScript;TypeScript</v>
      </c>
      <c r="M9981" s="9" t="s">
        <v>41</v>
      </c>
    </row>
    <row r="9982" ht="15.75" customHeight="1">
      <c r="A9982" s="7"/>
      <c r="B9982" s="7" t="str">
        <f>IFERROR(__xludf.DUMMYFUNCTION("""COMPUTED_VALUE"""),"JavaScript;Swift")</f>
        <v>JavaScript;Swift</v>
      </c>
      <c r="M9982" s="9" t="s">
        <v>22</v>
      </c>
    </row>
    <row r="9983" ht="15.75" customHeight="1">
      <c r="A9983" s="7"/>
      <c r="B9983" s="7" t="str">
        <f>IFERROR(__xludf.DUMMYFUNCTION("""COMPUTED_VALUE"""),"HTML/CSS;JavaScript;PHP")</f>
        <v>HTML/CSS;JavaScript;PHP</v>
      </c>
      <c r="M9983" s="9" t="s">
        <v>27</v>
      </c>
    </row>
    <row r="9984" ht="15.75" customHeight="1">
      <c r="A9984" s="7"/>
      <c r="B9984" s="7" t="str">
        <f>IFERROR(__xludf.DUMMYFUNCTION("""COMPUTED_VALUE"""),"Bash/Shell/PowerShell;Java;Scala;SQL")</f>
        <v>Bash/Shell/PowerShell;Java;Scala;SQL</v>
      </c>
      <c r="M9984" s="9" t="s">
        <v>40</v>
      </c>
    </row>
    <row r="9985" ht="15.75" customHeight="1">
      <c r="A9985" s="7"/>
      <c r="B9985" s="7" t="str">
        <f>IFERROR(__xludf.DUMMYFUNCTION("""COMPUTED_VALUE"""),"Assembly;C;Java;Python;R;VBA")</f>
        <v>Assembly;C;Java;Python;R;VBA</v>
      </c>
      <c r="M9985" s="9" t="s">
        <v>25</v>
      </c>
    </row>
    <row r="9986" ht="15.75" customHeight="1">
      <c r="A9986" s="7"/>
      <c r="B9986" s="7" t="str">
        <f>IFERROR(__xludf.DUMMYFUNCTION("""COMPUTED_VALUE"""),"Java")</f>
        <v>Java</v>
      </c>
      <c r="M9986" s="9" t="s">
        <v>26</v>
      </c>
    </row>
    <row r="9987" ht="15.75" customHeight="1">
      <c r="A9987" s="7"/>
      <c r="B9987" s="7" t="str">
        <f>IFERROR(__xludf.DUMMYFUNCTION("""COMPUTED_VALUE"""),"HTML/CSS;Java;JavaScript;Kotlin;Python;SQL")</f>
        <v>HTML/CSS;Java;JavaScript;Kotlin;Python;SQL</v>
      </c>
      <c r="M9987" s="9" t="s">
        <v>24</v>
      </c>
    </row>
    <row r="9988" ht="15.75" customHeight="1">
      <c r="A9988" s="7"/>
      <c r="B9988" s="7" t="str">
        <f>IFERROR(__xludf.DUMMYFUNCTION("""COMPUTED_VALUE"""),"Bash/Shell/PowerShell;C;HTML/CSS;Java;JavaScript;Python;SQL;TypeScript")</f>
        <v>Bash/Shell/PowerShell;C;HTML/CSS;Java;JavaScript;Python;SQL;TypeScript</v>
      </c>
      <c r="M9988" s="9" t="s">
        <v>20</v>
      </c>
    </row>
    <row r="9989" ht="15.75" customHeight="1">
      <c r="A9989" s="7"/>
      <c r="B9989" s="7" t="str">
        <f>IFERROR(__xludf.DUMMYFUNCTION("""COMPUTED_VALUE"""),"HTML/CSS;SQL")</f>
        <v>HTML/CSS;SQL</v>
      </c>
      <c r="M9989" s="9" t="s">
        <v>21</v>
      </c>
    </row>
    <row r="9990" ht="15.75" customHeight="1">
      <c r="A9990" s="7"/>
      <c r="B9990" s="7" t="str">
        <f>IFERROR(__xludf.DUMMYFUNCTION("""COMPUTED_VALUE"""),"HTML/CSS;JavaScript;PHP;SQL;Swift")</f>
        <v>HTML/CSS;JavaScript;PHP;SQL;Swift</v>
      </c>
      <c r="M9990" s="9" t="s">
        <v>31</v>
      </c>
    </row>
    <row r="9991" ht="15.75" customHeight="1">
      <c r="A9991" s="7"/>
      <c r="B9991" s="7" t="str">
        <f>IFERROR(__xludf.DUMMYFUNCTION("""COMPUTED_VALUE"""),"HTML/CSS;Java;JavaScript;Scala;SQL")</f>
        <v>HTML/CSS;Java;JavaScript;Scala;SQL</v>
      </c>
      <c r="M9991" s="9" t="s">
        <v>25</v>
      </c>
    </row>
    <row r="9992" ht="15.75" customHeight="1">
      <c r="A9992" s="7"/>
      <c r="B9992" s="7" t="str">
        <f>IFERROR(__xludf.DUMMYFUNCTION("""COMPUTED_VALUE"""),"Bash/Shell/PowerShell;HTML/CSS;JavaScript;Python")</f>
        <v>Bash/Shell/PowerShell;HTML/CSS;JavaScript;Python</v>
      </c>
      <c r="M9992" s="9" t="s">
        <v>23</v>
      </c>
    </row>
    <row r="9993" ht="15.75" customHeight="1">
      <c r="A9993" s="7"/>
      <c r="B9993" s="7" t="str">
        <f>IFERROR(__xludf.DUMMYFUNCTION("""COMPUTED_VALUE"""),"Java;JavaScript;SQL;TypeScript")</f>
        <v>Java;JavaScript;SQL;TypeScript</v>
      </c>
      <c r="M9993" s="9" t="s">
        <v>20</v>
      </c>
    </row>
    <row r="9994" ht="15.75" customHeight="1">
      <c r="A9994" s="7"/>
      <c r="B9994" s="7" t="str">
        <f>IFERROR(__xludf.DUMMYFUNCTION("""COMPUTED_VALUE"""),"Assembly;Bash/Shell/PowerShell;C;HTML/CSS;JavaScript;Kotlin;PHP;Python;SQL;Other(s):")</f>
        <v>Assembly;Bash/Shell/PowerShell;C;HTML/CSS;JavaScript;Kotlin;PHP;Python;SQL;Other(s):</v>
      </c>
      <c r="M9994" s="9" t="s">
        <v>37</v>
      </c>
    </row>
    <row r="9995" ht="15.75" customHeight="1">
      <c r="A9995" s="7"/>
      <c r="B9995" s="7" t="str">
        <f>IFERROR(__xludf.DUMMYFUNCTION("""COMPUTED_VALUE"""),"Bash/Shell/PowerShell;C++;JavaScript;Python")</f>
        <v>Bash/Shell/PowerShell;C++;JavaScript;Python</v>
      </c>
      <c r="M9995" s="9" t="s">
        <v>22</v>
      </c>
    </row>
    <row r="9996" ht="15.75" customHeight="1">
      <c r="A9996" s="7"/>
      <c r="B9996" s="7" t="str">
        <f>IFERROR(__xludf.DUMMYFUNCTION("""COMPUTED_VALUE"""),"Bash/Shell/PowerShell;C#;Go;Ruby;SQL;TypeScript")</f>
        <v>Bash/Shell/PowerShell;C#;Go;Ruby;SQL;TypeScript</v>
      </c>
      <c r="M9996" s="9" t="s">
        <v>31</v>
      </c>
    </row>
    <row r="9997" ht="15.75" customHeight="1">
      <c r="A9997" s="7"/>
      <c r="B9997" s="7" t="str">
        <f>IFERROR(__xludf.DUMMYFUNCTION("""COMPUTED_VALUE"""),"Objective-C;Swift")</f>
        <v>Objective-C;Swift</v>
      </c>
      <c r="M9997" s="9" t="s">
        <v>27</v>
      </c>
    </row>
    <row r="9998" ht="15.75" customHeight="1">
      <c r="A9998" s="7"/>
      <c r="B9998" s="7" t="str">
        <f>IFERROR(__xludf.DUMMYFUNCTION("""COMPUTED_VALUE"""),"HTML/CSS;JavaScript")</f>
        <v>HTML/CSS;JavaScript</v>
      </c>
      <c r="M9998" s="9" t="s">
        <v>30</v>
      </c>
    </row>
    <row r="9999" ht="15.75" customHeight="1">
      <c r="A9999" s="7"/>
      <c r="B9999" s="7" t="str">
        <f>IFERROR(__xludf.DUMMYFUNCTION("""COMPUTED_VALUE"""),"Bash/Shell/PowerShell;C;C++;Java;JavaScript;Rust")</f>
        <v>Bash/Shell/PowerShell;C;C++;Java;JavaScript;Rust</v>
      </c>
      <c r="M9999" s="9" t="s">
        <v>26</v>
      </c>
    </row>
    <row r="10000" ht="15.75" customHeight="1">
      <c r="A10000" s="7"/>
      <c r="B10000" s="7" t="str">
        <f>IFERROR(__xludf.DUMMYFUNCTION("""COMPUTED_VALUE"""),"JavaScript;Objective-C;Swift")</f>
        <v>JavaScript;Objective-C;Swift</v>
      </c>
      <c r="M10000" s="9" t="s">
        <v>45</v>
      </c>
    </row>
    <row r="10001" ht="15.75" customHeight="1">
      <c r="A10001" s="7"/>
      <c r="B10001" s="7" t="str">
        <f>IFERROR(__xludf.DUMMYFUNCTION("""COMPUTED_VALUE"""),"C;Go;HTML/CSS;JavaScript;Python")</f>
        <v>C;Go;HTML/CSS;JavaScript;Python</v>
      </c>
      <c r="M10001" s="9" t="s">
        <v>24</v>
      </c>
    </row>
    <row r="10002" ht="15.75" customHeight="1">
      <c r="A10002" s="7"/>
      <c r="B10002" s="7" t="str">
        <f>IFERROR(__xludf.DUMMYFUNCTION("""COMPUTED_VALUE"""),"Bash/Shell/PowerShell;C#;HTML/CSS;JavaScript;SQL;Other(s):")</f>
        <v>Bash/Shell/PowerShell;C#;HTML/CSS;JavaScript;SQL;Other(s):</v>
      </c>
      <c r="M10002" s="9" t="s">
        <v>21</v>
      </c>
    </row>
    <row r="10003" ht="15.75" customHeight="1">
      <c r="A10003" s="7"/>
      <c r="B10003" s="7"/>
      <c r="M10003" s="9" t="s">
        <v>27</v>
      </c>
    </row>
    <row r="10004" ht="15.75" customHeight="1">
      <c r="A10004" s="7"/>
      <c r="B10004" s="7"/>
      <c r="M10004" s="9" t="s">
        <v>28</v>
      </c>
    </row>
    <row r="10005" ht="15.75" customHeight="1">
      <c r="A10005" s="7"/>
      <c r="B10005" s="7"/>
      <c r="M10005" s="9" t="s">
        <v>26</v>
      </c>
    </row>
    <row r="10006" ht="15.75" customHeight="1">
      <c r="A10006" s="7"/>
      <c r="B10006" s="7"/>
      <c r="M10006" s="9" t="s">
        <v>22</v>
      </c>
    </row>
    <row r="10007" ht="15.75" customHeight="1">
      <c r="A10007" s="7"/>
      <c r="B10007" s="7"/>
      <c r="M10007" s="9" t="s">
        <v>27</v>
      </c>
    </row>
    <row r="10008" ht="15.75" customHeight="1">
      <c r="A10008" s="7"/>
      <c r="B10008" s="7"/>
      <c r="M10008" s="9" t="s">
        <v>29</v>
      </c>
    </row>
    <row r="10009" ht="15.75" customHeight="1">
      <c r="A10009" s="7"/>
      <c r="B10009" s="7"/>
      <c r="M10009" s="9" t="s">
        <v>21</v>
      </c>
    </row>
    <row r="10010" ht="15.75" customHeight="1">
      <c r="A10010" s="7"/>
      <c r="B10010" s="7"/>
      <c r="M10010" s="9" t="s">
        <v>33</v>
      </c>
    </row>
    <row r="10011" ht="15.75" customHeight="1">
      <c r="A10011" s="7"/>
      <c r="B10011" s="7"/>
      <c r="M10011" s="9" t="s">
        <v>26</v>
      </c>
    </row>
    <row r="10012" ht="15.75" customHeight="1">
      <c r="A10012" s="7"/>
      <c r="B10012" s="7"/>
      <c r="M10012" s="9" t="s">
        <v>45</v>
      </c>
    </row>
    <row r="10013" ht="15.75" customHeight="1">
      <c r="A10013" s="7"/>
      <c r="B10013" s="7"/>
      <c r="M10013" s="9" t="s">
        <v>21</v>
      </c>
    </row>
    <row r="10014" ht="15.75" customHeight="1">
      <c r="A10014" s="7"/>
      <c r="B10014" s="7"/>
      <c r="M10014" s="9" t="s">
        <v>46</v>
      </c>
    </row>
    <row r="10015" ht="15.75" customHeight="1">
      <c r="A10015" s="7"/>
      <c r="B10015" s="7"/>
      <c r="M10015" s="9" t="s">
        <v>33</v>
      </c>
    </row>
    <row r="10016" ht="15.75" customHeight="1">
      <c r="A10016" s="7"/>
      <c r="B10016" s="7"/>
      <c r="M10016" s="9" t="s">
        <v>35</v>
      </c>
    </row>
    <row r="10017" ht="15.75" customHeight="1">
      <c r="A10017" s="7"/>
      <c r="B10017" s="7"/>
      <c r="M10017" s="9" t="s">
        <v>26</v>
      </c>
    </row>
    <row r="10018" ht="15.75" customHeight="1">
      <c r="A10018" s="7"/>
      <c r="B10018" s="7"/>
      <c r="M10018" s="9" t="s">
        <v>24</v>
      </c>
    </row>
    <row r="10019" ht="15.75" customHeight="1">
      <c r="A10019" s="7"/>
      <c r="B10019" s="7"/>
      <c r="M10019" s="9" t="s">
        <v>21</v>
      </c>
    </row>
    <row r="10020" ht="15.75" customHeight="1">
      <c r="A10020" s="7"/>
      <c r="B10020" s="7"/>
      <c r="M10020" s="9" t="s">
        <v>27</v>
      </c>
    </row>
    <row r="10021" ht="15.75" customHeight="1">
      <c r="A10021" s="7"/>
      <c r="B10021" s="7"/>
      <c r="M10021" s="9" t="s">
        <v>26</v>
      </c>
    </row>
    <row r="10022" ht="15.75" customHeight="1">
      <c r="A10022" s="7"/>
      <c r="B10022" s="7"/>
      <c r="M10022" s="9" t="s">
        <v>30</v>
      </c>
    </row>
    <row r="10023" ht="15.75" customHeight="1">
      <c r="A10023" s="7"/>
      <c r="B10023" s="7"/>
      <c r="M10023" s="9" t="s">
        <v>25</v>
      </c>
    </row>
    <row r="10024" ht="15.75" customHeight="1">
      <c r="A10024" s="7"/>
      <c r="B10024" s="7"/>
      <c r="M10024" s="9" t="s">
        <v>24</v>
      </c>
    </row>
    <row r="10025" ht="15.75" customHeight="1">
      <c r="A10025" s="7"/>
      <c r="B10025" s="7"/>
      <c r="M10025" s="9" t="s">
        <v>21</v>
      </c>
    </row>
    <row r="10026" ht="15.75" customHeight="1">
      <c r="A10026" s="7"/>
      <c r="B10026" s="7"/>
      <c r="M10026" s="9" t="s">
        <v>27</v>
      </c>
    </row>
    <row r="10027" ht="15.75" customHeight="1">
      <c r="A10027" s="7"/>
      <c r="B10027" s="7"/>
      <c r="M10027" s="9" t="s">
        <v>25</v>
      </c>
    </row>
    <row r="10028" ht="15.75" customHeight="1">
      <c r="A10028" s="7"/>
      <c r="B10028" s="7"/>
      <c r="M10028" s="9" t="s">
        <v>23</v>
      </c>
    </row>
    <row r="10029" ht="15.75" customHeight="1">
      <c r="A10029" s="7"/>
      <c r="B10029" s="7"/>
      <c r="M10029" s="9" t="s">
        <v>20</v>
      </c>
    </row>
    <row r="10030" ht="15.75" customHeight="1">
      <c r="A10030" s="7"/>
      <c r="B10030" s="7"/>
      <c r="M10030" s="9" t="s">
        <v>21</v>
      </c>
    </row>
    <row r="10031" ht="15.75" customHeight="1">
      <c r="A10031" s="7"/>
      <c r="B10031" s="7"/>
      <c r="M10031" s="9" t="s">
        <v>35</v>
      </c>
    </row>
    <row r="10032" ht="15.75" customHeight="1">
      <c r="A10032" s="7"/>
      <c r="B10032" s="7"/>
      <c r="M10032" s="9" t="s">
        <v>30</v>
      </c>
    </row>
    <row r="10033" ht="15.75" customHeight="1">
      <c r="A10033" s="7"/>
      <c r="B10033" s="7"/>
      <c r="M10033" s="9" t="s">
        <v>25</v>
      </c>
    </row>
    <row r="10034" ht="15.75" customHeight="1">
      <c r="A10034" s="7"/>
      <c r="B10034" s="7"/>
      <c r="M10034" s="9" t="s">
        <v>24</v>
      </c>
    </row>
    <row r="10035" ht="15.75" customHeight="1">
      <c r="A10035" s="7"/>
      <c r="B10035" s="7"/>
      <c r="M10035" s="9" t="s">
        <v>21</v>
      </c>
    </row>
    <row r="10036" ht="15.75" customHeight="1">
      <c r="A10036" s="7"/>
      <c r="B10036" s="7"/>
      <c r="M10036" s="9" t="s">
        <v>22</v>
      </c>
    </row>
    <row r="10037" ht="15.75" customHeight="1">
      <c r="A10037" s="7"/>
      <c r="B10037" s="7"/>
      <c r="M10037" s="9" t="s">
        <v>26</v>
      </c>
    </row>
    <row r="10038" ht="15.75" customHeight="1">
      <c r="A10038" s="7"/>
      <c r="B10038" s="7"/>
      <c r="M10038" s="9" t="s">
        <v>27</v>
      </c>
    </row>
    <row r="10039" ht="15.75" customHeight="1">
      <c r="A10039" s="7"/>
      <c r="B10039" s="7"/>
      <c r="M10039" s="9" t="s">
        <v>24</v>
      </c>
    </row>
    <row r="10040" ht="15.75" customHeight="1">
      <c r="A10040" s="7"/>
      <c r="B10040" s="7"/>
      <c r="M10040" s="9" t="s">
        <v>21</v>
      </c>
    </row>
    <row r="10041" ht="15.75" customHeight="1">
      <c r="A10041" s="7"/>
      <c r="B10041" s="7"/>
      <c r="M10041" s="9" t="s">
        <v>37</v>
      </c>
    </row>
    <row r="10042" ht="15.75" customHeight="1">
      <c r="A10042" s="7"/>
      <c r="B10042" s="7"/>
      <c r="M10042" s="9" t="s">
        <v>27</v>
      </c>
    </row>
    <row r="10043" ht="15.75" customHeight="1">
      <c r="A10043" s="7"/>
      <c r="B10043" s="7"/>
      <c r="M10043" s="9" t="s">
        <v>26</v>
      </c>
    </row>
    <row r="10044" ht="15.75" customHeight="1">
      <c r="A10044" s="7"/>
      <c r="B10044" s="7"/>
      <c r="M10044" s="9" t="s">
        <v>24</v>
      </c>
    </row>
    <row r="10045" ht="15.75" customHeight="1">
      <c r="A10045" s="7"/>
      <c r="B10045" s="7"/>
      <c r="M10045" s="9" t="s">
        <v>21</v>
      </c>
    </row>
    <row r="10046" ht="15.75" customHeight="1">
      <c r="A10046" s="7"/>
      <c r="B10046" s="7"/>
      <c r="M10046" s="9" t="s">
        <v>37</v>
      </c>
    </row>
    <row r="10047" ht="15.75" customHeight="1">
      <c r="A10047" s="7"/>
      <c r="B10047" s="7"/>
      <c r="M10047" s="9" t="s">
        <v>30</v>
      </c>
    </row>
    <row r="10048" ht="15.75" customHeight="1">
      <c r="A10048" s="7"/>
      <c r="B10048" s="7"/>
      <c r="M10048" s="9" t="s">
        <v>25</v>
      </c>
    </row>
    <row r="10049" ht="15.75" customHeight="1">
      <c r="A10049" s="7"/>
      <c r="B10049" s="7"/>
      <c r="M10049" s="9" t="s">
        <v>23</v>
      </c>
    </row>
    <row r="10050" ht="15.75" customHeight="1">
      <c r="A10050" s="7"/>
      <c r="B10050" s="7"/>
      <c r="M10050" s="9" t="s">
        <v>24</v>
      </c>
    </row>
    <row r="10051" ht="15.75" customHeight="1">
      <c r="A10051" s="7"/>
      <c r="B10051" s="7"/>
      <c r="M10051" s="9" t="s">
        <v>20</v>
      </c>
    </row>
    <row r="10052" ht="15.75" customHeight="1">
      <c r="A10052" s="7"/>
      <c r="B10052" s="7"/>
      <c r="M10052" s="9" t="s">
        <v>21</v>
      </c>
    </row>
    <row r="10053" ht="15.75" customHeight="1">
      <c r="A10053" s="7"/>
      <c r="B10053" s="7"/>
      <c r="M10053" s="9" t="s">
        <v>37</v>
      </c>
    </row>
    <row r="10054" ht="15.75" customHeight="1">
      <c r="A10054" s="7"/>
      <c r="B10054" s="7"/>
      <c r="M10054" s="9" t="s">
        <v>22</v>
      </c>
    </row>
    <row r="10055" ht="15.75" customHeight="1">
      <c r="A10055" s="7"/>
      <c r="B10055" s="7"/>
      <c r="M10055" s="9" t="s">
        <v>31</v>
      </c>
    </row>
    <row r="10056" ht="15.75" customHeight="1">
      <c r="A10056" s="7"/>
      <c r="B10056" s="7"/>
      <c r="M10056" s="9" t="s">
        <v>27</v>
      </c>
    </row>
    <row r="10057" ht="15.75" customHeight="1">
      <c r="A10057" s="7"/>
      <c r="B10057" s="7"/>
      <c r="M10057" s="9" t="s">
        <v>36</v>
      </c>
    </row>
    <row r="10058" ht="15.75" customHeight="1">
      <c r="A10058" s="7"/>
      <c r="B10058" s="7"/>
      <c r="M10058" s="9" t="s">
        <v>41</v>
      </c>
    </row>
    <row r="10059" ht="15.75" customHeight="1">
      <c r="A10059" s="7"/>
      <c r="B10059" s="7"/>
      <c r="M10059" s="9" t="s">
        <v>40</v>
      </c>
    </row>
    <row r="10060" ht="15.75" customHeight="1">
      <c r="A10060" s="7"/>
      <c r="B10060" s="7"/>
      <c r="M10060" s="9" t="s">
        <v>30</v>
      </c>
    </row>
    <row r="10061" ht="15.75" customHeight="1">
      <c r="A10061" s="7"/>
      <c r="B10061" s="7"/>
      <c r="M10061" s="9" t="s">
        <v>21</v>
      </c>
    </row>
    <row r="10062" ht="15.75" customHeight="1">
      <c r="A10062" s="7"/>
      <c r="B10062" s="7"/>
      <c r="M10062" s="9" t="s">
        <v>41</v>
      </c>
    </row>
    <row r="10063" ht="15.75" customHeight="1">
      <c r="A10063" s="7"/>
      <c r="B10063" s="7"/>
      <c r="M10063" s="9" t="s">
        <v>31</v>
      </c>
    </row>
    <row r="10064" ht="15.75" customHeight="1">
      <c r="A10064" s="7"/>
      <c r="B10064" s="7"/>
      <c r="M10064" s="9" t="s">
        <v>27</v>
      </c>
    </row>
    <row r="10065" ht="15.75" customHeight="1">
      <c r="A10065" s="7"/>
      <c r="B10065" s="7"/>
      <c r="M10065" s="9" t="s">
        <v>40</v>
      </c>
    </row>
    <row r="10066" ht="15.75" customHeight="1">
      <c r="A10066" s="7"/>
      <c r="B10066" s="7"/>
      <c r="M10066" s="9" t="s">
        <v>25</v>
      </c>
    </row>
    <row r="10067" ht="15.75" customHeight="1">
      <c r="A10067" s="7"/>
      <c r="B10067" s="7"/>
      <c r="M10067" s="9" t="s">
        <v>23</v>
      </c>
    </row>
    <row r="10068" ht="15.75" customHeight="1">
      <c r="A10068" s="7"/>
      <c r="B10068" s="7"/>
      <c r="M10068" s="9" t="s">
        <v>24</v>
      </c>
    </row>
    <row r="10069" ht="15.75" customHeight="1">
      <c r="A10069" s="7"/>
      <c r="B10069" s="7"/>
      <c r="M10069" s="9" t="s">
        <v>21</v>
      </c>
    </row>
    <row r="10070" ht="15.75" customHeight="1">
      <c r="A10070" s="7"/>
      <c r="B10070" s="7"/>
      <c r="M10070" s="9" t="s">
        <v>22</v>
      </c>
    </row>
    <row r="10071" ht="15.75" customHeight="1">
      <c r="A10071" s="7"/>
      <c r="B10071" s="7"/>
      <c r="M10071" s="9" t="s">
        <v>25</v>
      </c>
    </row>
    <row r="10072" ht="15.75" customHeight="1">
      <c r="A10072" s="7"/>
      <c r="B10072" s="7"/>
      <c r="M10072" s="9" t="s">
        <v>23</v>
      </c>
    </row>
    <row r="10073" ht="15.75" customHeight="1">
      <c r="A10073" s="7"/>
      <c r="B10073" s="7"/>
      <c r="M10073" s="9" t="s">
        <v>24</v>
      </c>
    </row>
    <row r="10074" ht="15.75" customHeight="1">
      <c r="A10074" s="7"/>
      <c r="B10074" s="7"/>
      <c r="M10074" s="9" t="s">
        <v>20</v>
      </c>
    </row>
    <row r="10075" ht="15.75" customHeight="1">
      <c r="A10075" s="7"/>
      <c r="B10075" s="7"/>
      <c r="M10075" s="9" t="s">
        <v>21</v>
      </c>
    </row>
    <row r="10076" ht="15.75" customHeight="1">
      <c r="A10076" s="7"/>
      <c r="B10076" s="7"/>
      <c r="M10076" s="9" t="s">
        <v>22</v>
      </c>
    </row>
    <row r="10077" ht="15.75" customHeight="1">
      <c r="A10077" s="7"/>
      <c r="B10077" s="7"/>
      <c r="M10077" s="9" t="s">
        <v>29</v>
      </c>
    </row>
    <row r="10078" ht="15.75" customHeight="1">
      <c r="A10078" s="7"/>
      <c r="B10078" s="7"/>
      <c r="M10078" s="9" t="s">
        <v>30</v>
      </c>
    </row>
    <row r="10079" ht="15.75" customHeight="1">
      <c r="A10079" s="7"/>
      <c r="B10079" s="7"/>
      <c r="M10079" s="9" t="s">
        <v>20</v>
      </c>
    </row>
    <row r="10080" ht="15.75" customHeight="1">
      <c r="A10080" s="7"/>
      <c r="B10080" s="7"/>
      <c r="M10080" s="9" t="s">
        <v>24</v>
      </c>
    </row>
    <row r="10081" ht="15.75" customHeight="1">
      <c r="A10081" s="7"/>
      <c r="B10081" s="7"/>
      <c r="M10081" s="9" t="s">
        <v>20</v>
      </c>
    </row>
    <row r="10082" ht="15.75" customHeight="1">
      <c r="A10082" s="7"/>
      <c r="B10082" s="7"/>
      <c r="M10082" s="9" t="s">
        <v>21</v>
      </c>
    </row>
    <row r="10083" ht="15.75" customHeight="1">
      <c r="A10083" s="7"/>
      <c r="B10083" s="7"/>
      <c r="M10083" s="9" t="s">
        <v>39</v>
      </c>
    </row>
    <row r="10084" ht="15.75" customHeight="1">
      <c r="A10084" s="7"/>
      <c r="B10084" s="7"/>
      <c r="M10084" s="9" t="s">
        <v>22</v>
      </c>
    </row>
    <row r="10085" ht="15.75" customHeight="1">
      <c r="A10085" s="7"/>
      <c r="B10085" s="7"/>
      <c r="M10085" s="9" t="s">
        <v>32</v>
      </c>
    </row>
    <row r="10086" ht="15.75" customHeight="1">
      <c r="A10086" s="7"/>
      <c r="B10086" s="7"/>
      <c r="M10086" s="9" t="s">
        <v>40</v>
      </c>
    </row>
    <row r="10087" ht="15.75" customHeight="1">
      <c r="A10087" s="7"/>
      <c r="B10087" s="7"/>
      <c r="M10087" s="9" t="s">
        <v>33</v>
      </c>
    </row>
    <row r="10088" ht="15.75" customHeight="1">
      <c r="A10088" s="7"/>
      <c r="B10088" s="7"/>
      <c r="M10088" s="9" t="s">
        <v>26</v>
      </c>
    </row>
    <row r="10089" ht="15.75" customHeight="1">
      <c r="A10089" s="7"/>
      <c r="B10089" s="7"/>
      <c r="M10089" s="9" t="s">
        <v>24</v>
      </c>
    </row>
    <row r="10090" ht="15.75" customHeight="1">
      <c r="A10090" s="7"/>
      <c r="B10090" s="7"/>
      <c r="M10090" s="9" t="s">
        <v>27</v>
      </c>
    </row>
    <row r="10091" ht="15.75" customHeight="1">
      <c r="A10091" s="7"/>
      <c r="B10091" s="7"/>
      <c r="M10091" s="9" t="s">
        <v>30</v>
      </c>
    </row>
    <row r="10092" ht="15.75" customHeight="1">
      <c r="A10092" s="7"/>
      <c r="B10092" s="7"/>
      <c r="M10092" s="9" t="s">
        <v>26</v>
      </c>
    </row>
    <row r="10093" ht="15.75" customHeight="1">
      <c r="A10093" s="7"/>
      <c r="B10093" s="7"/>
      <c r="M10093" s="9" t="s">
        <v>24</v>
      </c>
    </row>
    <row r="10094" ht="15.75" customHeight="1">
      <c r="A10094" s="7"/>
      <c r="B10094" s="7"/>
      <c r="M10094" s="9" t="s">
        <v>21</v>
      </c>
    </row>
    <row r="10095" ht="15.75" customHeight="1">
      <c r="A10095" s="7"/>
      <c r="B10095" s="7"/>
      <c r="M10095" s="9" t="s">
        <v>27</v>
      </c>
    </row>
    <row r="10096" ht="15.75" customHeight="1">
      <c r="A10096" s="7"/>
      <c r="B10096" s="7"/>
      <c r="M10096" s="9" t="s">
        <v>28</v>
      </c>
    </row>
    <row r="10097" ht="15.75" customHeight="1">
      <c r="A10097" s="7"/>
      <c r="B10097" s="7"/>
      <c r="M10097" s="9" t="s">
        <v>26</v>
      </c>
    </row>
    <row r="10098" ht="15.75" customHeight="1">
      <c r="A10098" s="7"/>
      <c r="B10098" s="7"/>
      <c r="M10098" s="9" t="s">
        <v>24</v>
      </c>
    </row>
    <row r="10099" ht="15.75" customHeight="1">
      <c r="A10099" s="7"/>
      <c r="B10099" s="7"/>
      <c r="M10099" s="9" t="s">
        <v>20</v>
      </c>
    </row>
    <row r="10100" ht="15.75" customHeight="1">
      <c r="A10100" s="7"/>
      <c r="B10100" s="7"/>
      <c r="M10100" s="9" t="s">
        <v>21</v>
      </c>
    </row>
    <row r="10101" ht="15.75" customHeight="1">
      <c r="A10101" s="7"/>
      <c r="B10101" s="7"/>
      <c r="M10101" s="9" t="s">
        <v>27</v>
      </c>
    </row>
    <row r="10102" ht="15.75" customHeight="1">
      <c r="A10102" s="7"/>
      <c r="B10102" s="7"/>
      <c r="M10102" s="9" t="s">
        <v>35</v>
      </c>
    </row>
    <row r="10103" ht="15.75" customHeight="1">
      <c r="A10103" s="7"/>
      <c r="B10103" s="7"/>
      <c r="M10103" s="9" t="s">
        <v>26</v>
      </c>
    </row>
    <row r="10104" ht="15.75" customHeight="1">
      <c r="A10104" s="7"/>
      <c r="B10104" s="7"/>
      <c r="M10104" s="9" t="s">
        <v>24</v>
      </c>
    </row>
    <row r="10105" ht="15.75" customHeight="1">
      <c r="A10105" s="7"/>
      <c r="B10105" s="7"/>
      <c r="M10105" s="9" t="s">
        <v>21</v>
      </c>
    </row>
    <row r="10106" ht="15.75" customHeight="1">
      <c r="A10106" s="7"/>
      <c r="B10106" s="7"/>
      <c r="M10106" s="9" t="s">
        <v>37</v>
      </c>
    </row>
    <row r="10107" ht="15.75" customHeight="1">
      <c r="A10107" s="7"/>
      <c r="B10107" s="7"/>
      <c r="M10107" s="9" t="s">
        <v>27</v>
      </c>
    </row>
    <row r="10108" ht="15.75" customHeight="1">
      <c r="A10108" s="7"/>
      <c r="B10108" s="7"/>
      <c r="M10108" s="9" t="s">
        <v>35</v>
      </c>
    </row>
    <row r="10109" ht="15.75" customHeight="1">
      <c r="A10109" s="7"/>
      <c r="B10109" s="7"/>
      <c r="M10109" s="9" t="s">
        <v>41</v>
      </c>
    </row>
    <row r="10110" ht="15.75" customHeight="1">
      <c r="A10110" s="7"/>
      <c r="B10110" s="7"/>
      <c r="M10110" s="9" t="s">
        <v>40</v>
      </c>
    </row>
    <row r="10111" ht="15.75" customHeight="1">
      <c r="A10111" s="7"/>
      <c r="B10111" s="7"/>
      <c r="M10111" s="9" t="s">
        <v>30</v>
      </c>
    </row>
    <row r="10112" ht="15.75" customHeight="1">
      <c r="A10112" s="7"/>
      <c r="B10112" s="7"/>
      <c r="M10112" s="9" t="s">
        <v>25</v>
      </c>
    </row>
    <row r="10113" ht="15.75" customHeight="1">
      <c r="A10113" s="7"/>
      <c r="B10113" s="7"/>
      <c r="M10113" s="9" t="s">
        <v>44</v>
      </c>
    </row>
    <row r="10114" ht="15.75" customHeight="1">
      <c r="A10114" s="7"/>
      <c r="B10114" s="7"/>
      <c r="M10114" s="9" t="s">
        <v>20</v>
      </c>
    </row>
    <row r="10115" ht="15.75" customHeight="1">
      <c r="A10115" s="7"/>
      <c r="B10115" s="7"/>
      <c r="M10115" s="9" t="s">
        <v>22</v>
      </c>
    </row>
    <row r="10116" ht="15.75" customHeight="1">
      <c r="A10116" s="7"/>
      <c r="B10116" s="7"/>
      <c r="M10116" s="9" t="s">
        <v>32</v>
      </c>
    </row>
    <row r="10117" ht="15.75" customHeight="1">
      <c r="A10117" s="7"/>
      <c r="B10117" s="7"/>
      <c r="M10117" s="9" t="s">
        <v>46</v>
      </c>
    </row>
    <row r="10118" ht="15.75" customHeight="1">
      <c r="A10118" s="7"/>
      <c r="B10118" s="7"/>
      <c r="M10118" s="9" t="s">
        <v>27</v>
      </c>
    </row>
    <row r="10119" ht="15.75" customHeight="1">
      <c r="A10119" s="7"/>
      <c r="B10119" s="7"/>
      <c r="M10119" s="9" t="s">
        <v>26</v>
      </c>
    </row>
    <row r="10120" ht="15.75" customHeight="1">
      <c r="A10120" s="7"/>
      <c r="B10120" s="7"/>
      <c r="M10120" s="9" t="s">
        <v>20</v>
      </c>
    </row>
    <row r="10121" ht="15.75" customHeight="1">
      <c r="A10121" s="7"/>
      <c r="B10121" s="7"/>
      <c r="M10121" s="9" t="s">
        <v>37</v>
      </c>
    </row>
    <row r="10122" ht="15.75" customHeight="1">
      <c r="A10122" s="7"/>
      <c r="B10122" s="7"/>
      <c r="M10122" s="9" t="s">
        <v>22</v>
      </c>
    </row>
    <row r="10123" ht="15.75" customHeight="1">
      <c r="A10123" s="7"/>
      <c r="B10123" s="7"/>
      <c r="M10123" s="9" t="s">
        <v>47</v>
      </c>
    </row>
    <row r="10124" ht="15.75" customHeight="1">
      <c r="A10124" s="7"/>
      <c r="B10124" s="7"/>
      <c r="M10124" s="9" t="s">
        <v>24</v>
      </c>
    </row>
    <row r="10125" ht="15.75" customHeight="1">
      <c r="A10125" s="7"/>
      <c r="B10125" s="7"/>
      <c r="M10125" s="9" t="s">
        <v>20</v>
      </c>
    </row>
    <row r="10126" ht="15.75" customHeight="1">
      <c r="A10126" s="7"/>
      <c r="B10126" s="7"/>
      <c r="M10126" s="9" t="s">
        <v>21</v>
      </c>
    </row>
    <row r="10127" ht="15.75" customHeight="1">
      <c r="A10127" s="7"/>
      <c r="B10127" s="7"/>
      <c r="M10127" s="9" t="s">
        <v>24</v>
      </c>
    </row>
    <row r="10128" ht="15.75" customHeight="1">
      <c r="A10128" s="7"/>
      <c r="B10128" s="7"/>
      <c r="M10128" s="9" t="s">
        <v>21</v>
      </c>
    </row>
    <row r="10129" ht="15.75" customHeight="1">
      <c r="A10129" s="7"/>
      <c r="B10129" s="7"/>
      <c r="M10129" s="9" t="s">
        <v>22</v>
      </c>
    </row>
    <row r="10130" ht="15.75" customHeight="1">
      <c r="A10130" s="7"/>
      <c r="B10130" s="7"/>
      <c r="M10130" s="9" t="s">
        <v>27</v>
      </c>
    </row>
    <row r="10131" ht="15.75" customHeight="1">
      <c r="A10131" s="7"/>
      <c r="B10131" s="7"/>
      <c r="M10131" s="9" t="s">
        <v>38</v>
      </c>
    </row>
    <row r="10132" ht="15.75" customHeight="1">
      <c r="A10132" s="7"/>
      <c r="B10132" s="7"/>
      <c r="M10132" s="9" t="s">
        <v>30</v>
      </c>
    </row>
    <row r="10133" ht="15.75" customHeight="1">
      <c r="A10133" s="7"/>
      <c r="B10133" s="7"/>
      <c r="M10133" s="9" t="s">
        <v>23</v>
      </c>
    </row>
    <row r="10134" ht="15.75" customHeight="1">
      <c r="A10134" s="7"/>
      <c r="B10134" s="7"/>
      <c r="M10134" s="9" t="s">
        <v>23</v>
      </c>
    </row>
    <row r="10135" ht="15.75" customHeight="1">
      <c r="A10135" s="7"/>
      <c r="B10135" s="7"/>
      <c r="M10135" s="9" t="s">
        <v>26</v>
      </c>
    </row>
    <row r="10136" ht="15.75" customHeight="1">
      <c r="A10136" s="7"/>
      <c r="B10136" s="7"/>
      <c r="M10136" s="9" t="s">
        <v>24</v>
      </c>
    </row>
    <row r="10137" ht="15.75" customHeight="1">
      <c r="A10137" s="7"/>
      <c r="B10137" s="7"/>
      <c r="M10137" s="9" t="s">
        <v>22</v>
      </c>
    </row>
    <row r="10138" ht="15.75" customHeight="1">
      <c r="A10138" s="7"/>
      <c r="B10138" s="7"/>
      <c r="M10138" s="9" t="s">
        <v>30</v>
      </c>
    </row>
    <row r="10139" ht="15.75" customHeight="1">
      <c r="A10139" s="7"/>
      <c r="B10139" s="7"/>
      <c r="M10139" s="9" t="s">
        <v>26</v>
      </c>
    </row>
    <row r="10140" ht="15.75" customHeight="1">
      <c r="A10140" s="7"/>
      <c r="B10140" s="7"/>
      <c r="M10140" s="9" t="s">
        <v>24</v>
      </c>
    </row>
    <row r="10141" ht="15.75" customHeight="1">
      <c r="A10141" s="7"/>
      <c r="B10141" s="7"/>
      <c r="M10141" s="9" t="s">
        <v>20</v>
      </c>
    </row>
    <row r="10142" ht="15.75" customHeight="1">
      <c r="A10142" s="7"/>
      <c r="B10142" s="7"/>
      <c r="M10142" s="9" t="s">
        <v>21</v>
      </c>
    </row>
    <row r="10143" ht="15.75" customHeight="1">
      <c r="A10143" s="7"/>
      <c r="B10143" s="7"/>
      <c r="M10143" s="9" t="s">
        <v>37</v>
      </c>
    </row>
    <row r="10144" ht="15.75" customHeight="1">
      <c r="A10144" s="7"/>
      <c r="B10144" s="7"/>
      <c r="M10144" s="9" t="s">
        <v>27</v>
      </c>
    </row>
    <row r="10145" ht="15.75" customHeight="1">
      <c r="A10145" s="7"/>
      <c r="B10145" s="7"/>
      <c r="M10145" s="9" t="s">
        <v>20</v>
      </c>
    </row>
    <row r="10146" ht="15.75" customHeight="1">
      <c r="A10146" s="7"/>
      <c r="B10146" s="7"/>
      <c r="M10146" s="9" t="s">
        <v>22</v>
      </c>
    </row>
    <row r="10147" ht="15.75" customHeight="1">
      <c r="A10147" s="7"/>
      <c r="B10147" s="7"/>
      <c r="M10147" s="9" t="s">
        <v>25</v>
      </c>
    </row>
    <row r="10148" ht="15.75" customHeight="1">
      <c r="A10148" s="7"/>
      <c r="B10148" s="7"/>
      <c r="M10148" s="9" t="s">
        <v>23</v>
      </c>
    </row>
    <row r="10149" ht="15.75" customHeight="1">
      <c r="A10149" s="7"/>
      <c r="B10149" s="7"/>
      <c r="M10149" s="9" t="s">
        <v>26</v>
      </c>
    </row>
    <row r="10150" ht="15.75" customHeight="1">
      <c r="A10150" s="7"/>
      <c r="B10150" s="7"/>
      <c r="M10150" s="9" t="s">
        <v>36</v>
      </c>
    </row>
    <row r="10151" ht="15.75" customHeight="1">
      <c r="A10151" s="7"/>
      <c r="B10151" s="7"/>
      <c r="M10151" s="9" t="s">
        <v>26</v>
      </c>
    </row>
    <row r="10152" ht="15.75" customHeight="1">
      <c r="A10152" s="7"/>
      <c r="B10152" s="7"/>
      <c r="M10152" s="9" t="s">
        <v>27</v>
      </c>
    </row>
    <row r="10153" ht="15.75" customHeight="1">
      <c r="A10153" s="7"/>
      <c r="B10153" s="7"/>
      <c r="M10153" s="9" t="s">
        <v>35</v>
      </c>
    </row>
    <row r="10154" ht="15.75" customHeight="1">
      <c r="A10154" s="7"/>
      <c r="B10154" s="7"/>
      <c r="M10154" s="9" t="s">
        <v>26</v>
      </c>
    </row>
    <row r="10155" ht="15.75" customHeight="1">
      <c r="A10155" s="7"/>
      <c r="B10155" s="7"/>
      <c r="M10155" s="9" t="s">
        <v>24</v>
      </c>
    </row>
    <row r="10156" ht="15.75" customHeight="1">
      <c r="A10156" s="7"/>
      <c r="B10156" s="7"/>
      <c r="M10156" s="9" t="s">
        <v>21</v>
      </c>
    </row>
    <row r="10157" ht="15.75" customHeight="1">
      <c r="A10157" s="7"/>
      <c r="B10157" s="7"/>
      <c r="M10157" s="9" t="s">
        <v>27</v>
      </c>
    </row>
    <row r="10158" ht="15.75" customHeight="1">
      <c r="A10158" s="7"/>
      <c r="B10158" s="7"/>
      <c r="M10158" s="9" t="s">
        <v>30</v>
      </c>
    </row>
    <row r="10159" ht="15.75" customHeight="1">
      <c r="A10159" s="7"/>
      <c r="B10159" s="7"/>
      <c r="M10159" s="9" t="s">
        <v>23</v>
      </c>
    </row>
    <row r="10160" ht="15.75" customHeight="1">
      <c r="A10160" s="7"/>
      <c r="B10160" s="7"/>
      <c r="M10160" s="9" t="s">
        <v>36</v>
      </c>
    </row>
    <row r="10161" ht="15.75" customHeight="1">
      <c r="A10161" s="7"/>
      <c r="B10161" s="7"/>
      <c r="M10161" s="9" t="s">
        <v>24</v>
      </c>
    </row>
    <row r="10162" ht="15.75" customHeight="1">
      <c r="A10162" s="7"/>
      <c r="B10162" s="7"/>
      <c r="M10162" s="9" t="s">
        <v>20</v>
      </c>
    </row>
    <row r="10163" ht="15.75" customHeight="1">
      <c r="A10163" s="7"/>
      <c r="B10163" s="7"/>
      <c r="M10163" s="9" t="s">
        <v>21</v>
      </c>
    </row>
    <row r="10164" ht="15.75" customHeight="1">
      <c r="A10164" s="7"/>
      <c r="B10164" s="7"/>
      <c r="M10164" s="9" t="s">
        <v>37</v>
      </c>
    </row>
    <row r="10165" ht="15.75" customHeight="1">
      <c r="A10165" s="7"/>
      <c r="B10165" s="7"/>
      <c r="M10165" s="9" t="s">
        <v>27</v>
      </c>
    </row>
    <row r="10166" ht="15.75" customHeight="1">
      <c r="A10166" s="7"/>
      <c r="B10166" s="7"/>
      <c r="M10166" s="9" t="s">
        <v>30</v>
      </c>
    </row>
    <row r="10167" ht="15.75" customHeight="1">
      <c r="A10167" s="7"/>
      <c r="B10167" s="7"/>
      <c r="M10167" s="9" t="s">
        <v>24</v>
      </c>
    </row>
    <row r="10168" ht="15.75" customHeight="1">
      <c r="A10168" s="7"/>
      <c r="B10168" s="7"/>
      <c r="M10168" s="9" t="s">
        <v>21</v>
      </c>
    </row>
    <row r="10169" ht="15.75" customHeight="1">
      <c r="A10169" s="7"/>
      <c r="B10169" s="7"/>
      <c r="M10169" s="9" t="s">
        <v>22</v>
      </c>
    </row>
    <row r="10170" ht="15.75" customHeight="1">
      <c r="A10170" s="7"/>
      <c r="B10170" s="7"/>
      <c r="M10170" s="9" t="s">
        <v>27</v>
      </c>
    </row>
    <row r="10171" ht="15.75" customHeight="1">
      <c r="A10171" s="7"/>
      <c r="B10171" s="7"/>
      <c r="M10171" s="9" t="s">
        <v>23</v>
      </c>
    </row>
    <row r="10172" ht="15.75" customHeight="1">
      <c r="A10172" s="7"/>
      <c r="B10172" s="7"/>
      <c r="M10172" s="9" t="s">
        <v>26</v>
      </c>
    </row>
    <row r="10173" ht="15.75" customHeight="1">
      <c r="A10173" s="7"/>
      <c r="B10173" s="7"/>
      <c r="M10173" s="9" t="s">
        <v>21</v>
      </c>
    </row>
    <row r="10174" ht="15.75" customHeight="1">
      <c r="A10174" s="7"/>
      <c r="B10174" s="7"/>
      <c r="M10174" s="9" t="s">
        <v>33</v>
      </c>
    </row>
    <row r="10175" ht="15.75" customHeight="1">
      <c r="A10175" s="7"/>
      <c r="B10175" s="7"/>
      <c r="M10175" s="9" t="s">
        <v>30</v>
      </c>
    </row>
    <row r="10176" ht="15.75" customHeight="1">
      <c r="A10176" s="7"/>
      <c r="B10176" s="7"/>
      <c r="M10176" s="9" t="s">
        <v>25</v>
      </c>
    </row>
    <row r="10177" ht="15.75" customHeight="1">
      <c r="A10177" s="7"/>
      <c r="B10177" s="7"/>
      <c r="M10177" s="9" t="s">
        <v>23</v>
      </c>
    </row>
    <row r="10178" ht="15.75" customHeight="1">
      <c r="A10178" s="7"/>
      <c r="B10178" s="7"/>
      <c r="M10178" s="9" t="s">
        <v>26</v>
      </c>
    </row>
    <row r="10179" ht="15.75" customHeight="1">
      <c r="A10179" s="7"/>
      <c r="B10179" s="7"/>
      <c r="M10179" s="9" t="s">
        <v>20</v>
      </c>
    </row>
    <row r="10180" ht="15.75" customHeight="1">
      <c r="A10180" s="7"/>
      <c r="B10180" s="7"/>
      <c r="M10180" s="9" t="s">
        <v>21</v>
      </c>
    </row>
    <row r="10181" ht="15.75" customHeight="1">
      <c r="A10181" s="7"/>
      <c r="B10181" s="7"/>
      <c r="M10181" s="9" t="s">
        <v>37</v>
      </c>
    </row>
    <row r="10182" ht="15.75" customHeight="1">
      <c r="A10182" s="7"/>
      <c r="B10182" s="7"/>
      <c r="M10182" s="9" t="s">
        <v>22</v>
      </c>
    </row>
    <row r="10183" ht="15.75" customHeight="1">
      <c r="A10183" s="7"/>
      <c r="B10183" s="7"/>
      <c r="M10183" s="9" t="s">
        <v>27</v>
      </c>
    </row>
    <row r="10184" ht="15.75" customHeight="1">
      <c r="A10184" s="7"/>
      <c r="B10184" s="7"/>
      <c r="M10184" s="9" t="s">
        <v>30</v>
      </c>
    </row>
    <row r="10185" ht="15.75" customHeight="1">
      <c r="A10185" s="7"/>
      <c r="B10185" s="7"/>
      <c r="M10185" s="9" t="s">
        <v>20</v>
      </c>
    </row>
    <row r="10186" ht="15.75" customHeight="1">
      <c r="A10186" s="7"/>
      <c r="B10186" s="7"/>
      <c r="M10186" s="9" t="s">
        <v>21</v>
      </c>
    </row>
    <row r="10187" ht="15.75" customHeight="1">
      <c r="A10187" s="7"/>
      <c r="B10187" s="7"/>
      <c r="M10187" s="9" t="s">
        <v>22</v>
      </c>
    </row>
    <row r="10188" ht="15.75" customHeight="1">
      <c r="A10188" s="7"/>
      <c r="B10188" s="7"/>
      <c r="M10188" s="9" t="s">
        <v>27</v>
      </c>
    </row>
    <row r="10189" ht="15.75" customHeight="1">
      <c r="A10189" s="7"/>
      <c r="B10189" s="7"/>
      <c r="M10189" s="9" t="s">
        <v>30</v>
      </c>
    </row>
    <row r="10190" ht="15.75" customHeight="1">
      <c r="A10190" s="7"/>
      <c r="B10190" s="7"/>
      <c r="M10190" s="9" t="s">
        <v>24</v>
      </c>
    </row>
    <row r="10191" ht="15.75" customHeight="1">
      <c r="A10191" s="7"/>
      <c r="B10191" s="7"/>
      <c r="M10191" s="9" t="s">
        <v>21</v>
      </c>
    </row>
    <row r="10192" ht="15.75" customHeight="1">
      <c r="A10192" s="7"/>
      <c r="B10192" s="7"/>
      <c r="M10192" s="9" t="s">
        <v>27</v>
      </c>
    </row>
    <row r="10193" ht="15.75" customHeight="1">
      <c r="A10193" s="7"/>
      <c r="B10193" s="7"/>
      <c r="M10193" s="9" t="s">
        <v>40</v>
      </c>
    </row>
    <row r="10194" ht="15.75" customHeight="1">
      <c r="A10194" s="7"/>
      <c r="B10194" s="7"/>
      <c r="M10194" s="9" t="s">
        <v>21</v>
      </c>
    </row>
    <row r="10195" ht="15.75" customHeight="1">
      <c r="A10195" s="7"/>
      <c r="B10195" s="7"/>
      <c r="M10195" s="9" t="s">
        <v>37</v>
      </c>
    </row>
    <row r="10196" ht="15.75" customHeight="1">
      <c r="A10196" s="7"/>
      <c r="B10196" s="7"/>
      <c r="M10196" s="9" t="s">
        <v>26</v>
      </c>
    </row>
    <row r="10197" ht="15.75" customHeight="1">
      <c r="A10197" s="7"/>
      <c r="B10197" s="7"/>
      <c r="M10197" s="9" t="s">
        <v>24</v>
      </c>
    </row>
    <row r="10198" ht="15.75" customHeight="1">
      <c r="A10198" s="7"/>
      <c r="B10198" s="7"/>
      <c r="M10198" s="9" t="s">
        <v>20</v>
      </c>
    </row>
    <row r="10199" ht="15.75" customHeight="1">
      <c r="A10199" s="7"/>
      <c r="B10199" s="7"/>
      <c r="M10199" s="9" t="s">
        <v>21</v>
      </c>
    </row>
    <row r="10200" ht="15.75" customHeight="1">
      <c r="A10200" s="7"/>
      <c r="B10200" s="7"/>
      <c r="M10200" s="9" t="s">
        <v>37</v>
      </c>
    </row>
    <row r="10201" ht="15.75" customHeight="1">
      <c r="A10201" s="7"/>
      <c r="B10201" s="7"/>
      <c r="M10201" s="9" t="s">
        <v>27</v>
      </c>
    </row>
    <row r="10202" ht="15.75" customHeight="1">
      <c r="A10202" s="7"/>
      <c r="B10202" s="7"/>
      <c r="M10202" s="9" t="s">
        <v>30</v>
      </c>
    </row>
    <row r="10203" ht="15.75" customHeight="1">
      <c r="A10203" s="7"/>
      <c r="B10203" s="7"/>
      <c r="M10203" s="9" t="s">
        <v>24</v>
      </c>
    </row>
    <row r="10204" ht="15.75" customHeight="1">
      <c r="A10204" s="7"/>
      <c r="B10204" s="7"/>
      <c r="M10204" s="9" t="s">
        <v>20</v>
      </c>
    </row>
    <row r="10205" ht="15.75" customHeight="1">
      <c r="A10205" s="7"/>
      <c r="B10205" s="7"/>
      <c r="M10205" s="9" t="s">
        <v>21</v>
      </c>
    </row>
    <row r="10206" ht="15.75" customHeight="1">
      <c r="A10206" s="7"/>
      <c r="B10206" s="7"/>
      <c r="M10206" s="9" t="s">
        <v>37</v>
      </c>
    </row>
    <row r="10207" ht="15.75" customHeight="1">
      <c r="A10207" s="7"/>
      <c r="B10207" s="7"/>
      <c r="M10207" s="9" t="s">
        <v>27</v>
      </c>
    </row>
    <row r="10208" ht="15.75" customHeight="1">
      <c r="A10208" s="7"/>
      <c r="B10208" s="7"/>
      <c r="M10208" s="9" t="s">
        <v>28</v>
      </c>
    </row>
    <row r="10209" ht="15.75" customHeight="1">
      <c r="A10209" s="7"/>
      <c r="B10209" s="7"/>
      <c r="M10209" s="9" t="s">
        <v>24</v>
      </c>
    </row>
    <row r="10210" ht="15.75" customHeight="1">
      <c r="A10210" s="7"/>
      <c r="B10210" s="7"/>
      <c r="M10210" s="9" t="s">
        <v>20</v>
      </c>
    </row>
    <row r="10211" ht="15.75" customHeight="1">
      <c r="A10211" s="7"/>
      <c r="B10211" s="7"/>
      <c r="M10211" s="9" t="s">
        <v>21</v>
      </c>
    </row>
    <row r="10212" ht="15.75" customHeight="1">
      <c r="A10212" s="7"/>
      <c r="B10212" s="7"/>
      <c r="M10212" s="9" t="s">
        <v>33</v>
      </c>
    </row>
    <row r="10213" ht="15.75" customHeight="1">
      <c r="A10213" s="7"/>
      <c r="B10213" s="7"/>
      <c r="M10213" s="9" t="s">
        <v>38</v>
      </c>
    </row>
    <row r="10214" ht="15.75" customHeight="1">
      <c r="A10214" s="7"/>
      <c r="B10214" s="7"/>
      <c r="M10214" s="9" t="s">
        <v>30</v>
      </c>
    </row>
    <row r="10215" ht="15.75" customHeight="1">
      <c r="A10215" s="7"/>
      <c r="B10215" s="7"/>
      <c r="M10215" s="9" t="s">
        <v>20</v>
      </c>
    </row>
    <row r="10216" ht="15.75" customHeight="1">
      <c r="A10216" s="7"/>
      <c r="B10216" s="7"/>
      <c r="M10216" s="9" t="s">
        <v>21</v>
      </c>
    </row>
    <row r="10217" ht="15.75" customHeight="1">
      <c r="A10217" s="7"/>
      <c r="B10217" s="7"/>
      <c r="M10217" s="9" t="s">
        <v>22</v>
      </c>
    </row>
    <row r="10218" ht="15.75" customHeight="1">
      <c r="A10218" s="7"/>
      <c r="B10218" s="7"/>
      <c r="M10218" s="9" t="s">
        <v>27</v>
      </c>
    </row>
    <row r="10219" ht="15.75" customHeight="1">
      <c r="A10219" s="7"/>
      <c r="B10219" s="7"/>
      <c r="M10219" s="9" t="s">
        <v>20</v>
      </c>
    </row>
    <row r="10220" ht="15.75" customHeight="1">
      <c r="A10220" s="7"/>
      <c r="B10220" s="7"/>
      <c r="M10220" s="9" t="s">
        <v>21</v>
      </c>
    </row>
    <row r="10221" ht="15.75" customHeight="1">
      <c r="A10221" s="7"/>
      <c r="B10221" s="7"/>
      <c r="M10221" s="9" t="s">
        <v>27</v>
      </c>
    </row>
    <row r="10222" ht="15.75" customHeight="1">
      <c r="A10222" s="7"/>
      <c r="B10222" s="7"/>
      <c r="M10222" s="9" t="s">
        <v>25</v>
      </c>
    </row>
    <row r="10223" ht="15.75" customHeight="1">
      <c r="A10223" s="7"/>
      <c r="B10223" s="7"/>
      <c r="M10223" s="9" t="s">
        <v>23</v>
      </c>
    </row>
    <row r="10224" ht="15.75" customHeight="1">
      <c r="A10224" s="7"/>
      <c r="B10224" s="7"/>
      <c r="M10224" s="9" t="s">
        <v>26</v>
      </c>
    </row>
    <row r="10225" ht="15.75" customHeight="1">
      <c r="A10225" s="7"/>
      <c r="B10225" s="7"/>
      <c r="M10225" s="9" t="s">
        <v>24</v>
      </c>
    </row>
    <row r="10226" ht="15.75" customHeight="1">
      <c r="A10226" s="7"/>
      <c r="B10226" s="7"/>
      <c r="M10226" s="9" t="s">
        <v>20</v>
      </c>
    </row>
    <row r="10227" ht="15.75" customHeight="1">
      <c r="A10227" s="7"/>
      <c r="B10227" s="7"/>
      <c r="M10227" s="9" t="s">
        <v>21</v>
      </c>
    </row>
    <row r="10228" ht="15.75" customHeight="1">
      <c r="A10228" s="7"/>
      <c r="B10228" s="7"/>
      <c r="M10228" s="9" t="s">
        <v>37</v>
      </c>
    </row>
    <row r="10229" ht="15.75" customHeight="1">
      <c r="A10229" s="7"/>
      <c r="B10229" s="7"/>
      <c r="M10229" s="9" t="s">
        <v>22</v>
      </c>
    </row>
    <row r="10230" ht="15.75" customHeight="1">
      <c r="A10230" s="7"/>
      <c r="B10230" s="7"/>
      <c r="M10230" s="9" t="s">
        <v>27</v>
      </c>
    </row>
    <row r="10231" ht="15.75" customHeight="1">
      <c r="A10231" s="7"/>
      <c r="B10231" s="7"/>
      <c r="M10231" s="9" t="s">
        <v>26</v>
      </c>
    </row>
    <row r="10232" ht="15.75" customHeight="1">
      <c r="A10232" s="7"/>
      <c r="B10232" s="7"/>
      <c r="M10232" s="9" t="s">
        <v>30</v>
      </c>
    </row>
    <row r="10233" ht="15.75" customHeight="1">
      <c r="A10233" s="7"/>
      <c r="B10233" s="7"/>
      <c r="M10233" s="9" t="s">
        <v>25</v>
      </c>
    </row>
    <row r="10234" ht="15.75" customHeight="1">
      <c r="A10234" s="7"/>
      <c r="B10234" s="7"/>
      <c r="M10234" s="9" t="s">
        <v>23</v>
      </c>
    </row>
    <row r="10235" ht="15.75" customHeight="1">
      <c r="A10235" s="7"/>
      <c r="B10235" s="7"/>
      <c r="M10235" s="9" t="s">
        <v>36</v>
      </c>
    </row>
    <row r="10236" ht="15.75" customHeight="1">
      <c r="A10236" s="7"/>
      <c r="B10236" s="7"/>
      <c r="M10236" s="9" t="s">
        <v>39</v>
      </c>
    </row>
    <row r="10237" ht="15.75" customHeight="1">
      <c r="A10237" s="7"/>
      <c r="B10237" s="7"/>
      <c r="M10237" s="9" t="s">
        <v>22</v>
      </c>
    </row>
    <row r="10238" ht="15.75" customHeight="1">
      <c r="A10238" s="7"/>
      <c r="B10238" s="7"/>
      <c r="M10238" s="9" t="s">
        <v>30</v>
      </c>
    </row>
    <row r="10239" ht="15.75" customHeight="1">
      <c r="A10239" s="7"/>
      <c r="B10239" s="7"/>
      <c r="M10239" s="9" t="s">
        <v>24</v>
      </c>
    </row>
    <row r="10240" ht="15.75" customHeight="1">
      <c r="A10240" s="7"/>
      <c r="B10240" s="7"/>
      <c r="M10240" s="9" t="s">
        <v>21</v>
      </c>
    </row>
    <row r="10241" ht="15.75" customHeight="1">
      <c r="A10241" s="7"/>
      <c r="B10241" s="7"/>
      <c r="M10241" s="9" t="s">
        <v>37</v>
      </c>
    </row>
    <row r="10242" ht="15.75" customHeight="1">
      <c r="A10242" s="7"/>
      <c r="B10242" s="7"/>
      <c r="M10242" s="9" t="s">
        <v>27</v>
      </c>
    </row>
    <row r="10243" ht="15.75" customHeight="1">
      <c r="A10243" s="7"/>
      <c r="B10243" s="7"/>
      <c r="M10243" s="9" t="s">
        <v>26</v>
      </c>
    </row>
    <row r="10244" ht="15.75" customHeight="1">
      <c r="A10244" s="7"/>
      <c r="B10244" s="7"/>
      <c r="M10244" s="9" t="s">
        <v>21</v>
      </c>
    </row>
    <row r="10245" ht="15.75" customHeight="1">
      <c r="A10245" s="7"/>
      <c r="B10245" s="7"/>
      <c r="M10245" s="9" t="s">
        <v>22</v>
      </c>
    </row>
    <row r="10246" ht="15.75" customHeight="1">
      <c r="A10246" s="7"/>
      <c r="B10246" s="7"/>
      <c r="M10246" s="9" t="s">
        <v>26</v>
      </c>
    </row>
    <row r="10247" ht="15.75" customHeight="1">
      <c r="A10247" s="7"/>
      <c r="B10247" s="7"/>
      <c r="M10247" s="9" t="s">
        <v>30</v>
      </c>
    </row>
    <row r="10248" ht="15.75" customHeight="1">
      <c r="A10248" s="7"/>
      <c r="B10248" s="7"/>
      <c r="M10248" s="9" t="s">
        <v>26</v>
      </c>
    </row>
    <row r="10249" ht="15.75" customHeight="1">
      <c r="A10249" s="7"/>
      <c r="B10249" s="7"/>
      <c r="M10249" s="9" t="s">
        <v>24</v>
      </c>
    </row>
    <row r="10250" ht="15.75" customHeight="1">
      <c r="A10250" s="7"/>
      <c r="B10250" s="7"/>
      <c r="M10250" s="9" t="s">
        <v>20</v>
      </c>
    </row>
    <row r="10251" ht="15.75" customHeight="1">
      <c r="A10251" s="7"/>
      <c r="B10251" s="7"/>
      <c r="M10251" s="9" t="s">
        <v>21</v>
      </c>
    </row>
    <row r="10252" ht="15.75" customHeight="1">
      <c r="A10252" s="7"/>
      <c r="B10252" s="7"/>
      <c r="M10252" s="9" t="s">
        <v>37</v>
      </c>
    </row>
    <row r="10253" ht="15.75" customHeight="1">
      <c r="A10253" s="7"/>
      <c r="B10253" s="7"/>
      <c r="M10253" s="9" t="s">
        <v>22</v>
      </c>
    </row>
    <row r="10254" ht="15.75" customHeight="1">
      <c r="A10254" s="7"/>
      <c r="B10254" s="7"/>
      <c r="M10254" s="9" t="s">
        <v>29</v>
      </c>
    </row>
    <row r="10255" ht="15.75" customHeight="1">
      <c r="A10255" s="7"/>
      <c r="B10255" s="7"/>
      <c r="M10255" s="9" t="s">
        <v>27</v>
      </c>
    </row>
    <row r="10256" ht="15.75" customHeight="1">
      <c r="A10256" s="7"/>
      <c r="B10256" s="7"/>
      <c r="M10256" s="9" t="s">
        <v>25</v>
      </c>
    </row>
    <row r="10257" ht="15.75" customHeight="1">
      <c r="A10257" s="7"/>
      <c r="B10257" s="7"/>
      <c r="M10257" s="9" t="s">
        <v>24</v>
      </c>
    </row>
    <row r="10258" ht="15.75" customHeight="1">
      <c r="A10258" s="7"/>
      <c r="B10258" s="7"/>
      <c r="M10258" s="9" t="s">
        <v>21</v>
      </c>
    </row>
    <row r="10259" ht="15.75" customHeight="1">
      <c r="A10259" s="7"/>
      <c r="B10259" s="7"/>
      <c r="M10259" s="9" t="s">
        <v>22</v>
      </c>
    </row>
    <row r="10260" ht="15.75" customHeight="1">
      <c r="A10260" s="7"/>
      <c r="B10260" s="7"/>
      <c r="M10260" s="9" t="s">
        <v>27</v>
      </c>
    </row>
    <row r="10261" ht="15.75" customHeight="1">
      <c r="A10261" s="7"/>
      <c r="B10261" s="7"/>
      <c r="M10261" s="9" t="s">
        <v>30</v>
      </c>
    </row>
    <row r="10262" ht="15.75" customHeight="1">
      <c r="A10262" s="7"/>
      <c r="B10262" s="7"/>
      <c r="M10262" s="9" t="s">
        <v>24</v>
      </c>
    </row>
    <row r="10263" ht="15.75" customHeight="1">
      <c r="A10263" s="7"/>
      <c r="B10263" s="7"/>
      <c r="M10263" s="9" t="s">
        <v>21</v>
      </c>
    </row>
    <row r="10264" ht="15.75" customHeight="1">
      <c r="A10264" s="7"/>
      <c r="B10264" s="7"/>
      <c r="M10264" s="9" t="s">
        <v>31</v>
      </c>
    </row>
    <row r="10265" ht="15.75" customHeight="1">
      <c r="A10265" s="7"/>
      <c r="B10265" s="7"/>
      <c r="M10265" s="9" t="s">
        <v>27</v>
      </c>
    </row>
    <row r="10266" ht="15.75" customHeight="1">
      <c r="A10266" s="7"/>
      <c r="B10266" s="7"/>
      <c r="M10266" s="9" t="s">
        <v>21</v>
      </c>
    </row>
    <row r="10267" ht="15.75" customHeight="1">
      <c r="A10267" s="7"/>
      <c r="B10267" s="7"/>
      <c r="M10267" s="9" t="s">
        <v>35</v>
      </c>
    </row>
    <row r="10268" ht="15.75" customHeight="1">
      <c r="A10268" s="7"/>
      <c r="B10268" s="7"/>
      <c r="M10268" s="9" t="s">
        <v>30</v>
      </c>
    </row>
    <row r="10269" ht="15.75" customHeight="1">
      <c r="A10269" s="7"/>
      <c r="B10269" s="7"/>
      <c r="M10269" s="9" t="s">
        <v>26</v>
      </c>
    </row>
    <row r="10270" ht="15.75" customHeight="1">
      <c r="A10270" s="7"/>
      <c r="B10270" s="7"/>
      <c r="M10270" s="9" t="s">
        <v>24</v>
      </c>
    </row>
    <row r="10271" ht="15.75" customHeight="1">
      <c r="A10271" s="7"/>
      <c r="B10271" s="7"/>
      <c r="M10271" s="9" t="s">
        <v>21</v>
      </c>
    </row>
    <row r="10272" ht="15.75" customHeight="1">
      <c r="A10272" s="7"/>
      <c r="B10272" s="7"/>
      <c r="M10272" s="9" t="s">
        <v>31</v>
      </c>
    </row>
    <row r="10273" ht="15.75" customHeight="1">
      <c r="A10273" s="7"/>
      <c r="B10273" s="7"/>
      <c r="M10273" s="9" t="s">
        <v>27</v>
      </c>
    </row>
    <row r="10274" ht="15.75" customHeight="1">
      <c r="A10274" s="7"/>
      <c r="B10274" s="7"/>
      <c r="M10274" s="9" t="s">
        <v>30</v>
      </c>
    </row>
    <row r="10275" ht="15.75" customHeight="1">
      <c r="A10275" s="7"/>
      <c r="B10275" s="7"/>
      <c r="M10275" s="9" t="s">
        <v>23</v>
      </c>
    </row>
    <row r="10276" ht="15.75" customHeight="1">
      <c r="A10276" s="7"/>
      <c r="B10276" s="7"/>
      <c r="M10276" s="9" t="s">
        <v>47</v>
      </c>
    </row>
    <row r="10277" ht="15.75" customHeight="1">
      <c r="A10277" s="7"/>
      <c r="B10277" s="7"/>
      <c r="M10277" s="9" t="s">
        <v>22</v>
      </c>
    </row>
    <row r="10278" ht="15.75" customHeight="1">
      <c r="A10278" s="7"/>
      <c r="B10278" s="7"/>
      <c r="M10278" s="9" t="s">
        <v>30</v>
      </c>
    </row>
    <row r="10279" ht="15.75" customHeight="1">
      <c r="A10279" s="7"/>
      <c r="B10279" s="7"/>
      <c r="M10279" s="9" t="s">
        <v>20</v>
      </c>
    </row>
    <row r="10280" ht="15.75" customHeight="1">
      <c r="A10280" s="7"/>
      <c r="B10280" s="7"/>
      <c r="M10280" s="9" t="s">
        <v>21</v>
      </c>
    </row>
    <row r="10281" ht="15.75" customHeight="1">
      <c r="A10281" s="7"/>
      <c r="B10281" s="7"/>
      <c r="M10281" s="9" t="s">
        <v>27</v>
      </c>
    </row>
    <row r="10282" ht="15.75" customHeight="1">
      <c r="A10282" s="7"/>
      <c r="B10282" s="7"/>
      <c r="M10282" s="9" t="s">
        <v>40</v>
      </c>
    </row>
    <row r="10283" ht="15.75" customHeight="1">
      <c r="A10283" s="7"/>
      <c r="B10283" s="7"/>
      <c r="M10283" s="9" t="s">
        <v>33</v>
      </c>
    </row>
    <row r="10284" ht="15.75" customHeight="1">
      <c r="A10284" s="7"/>
      <c r="B10284" s="7"/>
      <c r="M10284" s="9" t="s">
        <v>26</v>
      </c>
    </row>
    <row r="10285" ht="15.75" customHeight="1">
      <c r="A10285" s="7"/>
      <c r="B10285" s="7"/>
      <c r="M10285" s="9" t="s">
        <v>24</v>
      </c>
    </row>
    <row r="10286" ht="15.75" customHeight="1">
      <c r="A10286" s="7"/>
      <c r="B10286" s="7"/>
      <c r="M10286" s="9" t="s">
        <v>21</v>
      </c>
    </row>
    <row r="10287" ht="15.75" customHeight="1">
      <c r="A10287" s="7"/>
      <c r="B10287" s="7"/>
      <c r="M10287" s="9" t="s">
        <v>27</v>
      </c>
    </row>
    <row r="10288" ht="15.75" customHeight="1">
      <c r="A10288" s="7"/>
      <c r="B10288" s="7"/>
      <c r="M10288" s="9" t="s">
        <v>26</v>
      </c>
    </row>
    <row r="10289" ht="15.75" customHeight="1">
      <c r="A10289" s="7"/>
      <c r="B10289" s="7"/>
      <c r="M10289" s="9" t="s">
        <v>24</v>
      </c>
    </row>
    <row r="10290" ht="15.75" customHeight="1">
      <c r="A10290" s="7"/>
      <c r="B10290" s="7"/>
      <c r="M10290" s="9" t="s">
        <v>21</v>
      </c>
    </row>
    <row r="10291" ht="15.75" customHeight="1">
      <c r="A10291" s="7"/>
      <c r="B10291" s="7"/>
      <c r="M10291" s="9" t="s">
        <v>27</v>
      </c>
    </row>
    <row r="10292" ht="15.75" customHeight="1">
      <c r="A10292" s="7"/>
      <c r="B10292" s="7"/>
      <c r="M10292" s="9" t="s">
        <v>30</v>
      </c>
    </row>
    <row r="10293" ht="15.75" customHeight="1">
      <c r="A10293" s="7"/>
      <c r="B10293" s="7"/>
      <c r="M10293" s="9" t="s">
        <v>47</v>
      </c>
    </row>
    <row r="10294" ht="15.75" customHeight="1">
      <c r="A10294" s="7"/>
      <c r="B10294" s="7"/>
      <c r="M10294" s="9" t="s">
        <v>20</v>
      </c>
    </row>
    <row r="10295" ht="15.75" customHeight="1">
      <c r="A10295" s="7"/>
      <c r="B10295" s="7"/>
      <c r="M10295" s="9" t="s">
        <v>21</v>
      </c>
    </row>
    <row r="10296" ht="15.75" customHeight="1">
      <c r="A10296" s="7"/>
      <c r="B10296" s="7"/>
      <c r="M10296" s="9" t="s">
        <v>20</v>
      </c>
    </row>
    <row r="10297" ht="15.75" customHeight="1">
      <c r="A10297" s="7"/>
      <c r="B10297" s="7"/>
      <c r="M10297" s="9" t="s">
        <v>22</v>
      </c>
    </row>
    <row r="10298" ht="15.75" customHeight="1">
      <c r="A10298" s="7"/>
      <c r="B10298" s="7"/>
      <c r="M10298" s="9" t="s">
        <v>24</v>
      </c>
    </row>
    <row r="10299" ht="15.75" customHeight="1">
      <c r="A10299" s="7"/>
      <c r="B10299" s="7"/>
      <c r="M10299" s="9" t="s">
        <v>21</v>
      </c>
    </row>
    <row r="10300" ht="15.75" customHeight="1">
      <c r="A10300" s="7"/>
      <c r="B10300" s="7"/>
      <c r="M10300" s="9" t="s">
        <v>37</v>
      </c>
    </row>
    <row r="10301" ht="15.75" customHeight="1">
      <c r="A10301" s="7"/>
      <c r="B10301" s="7"/>
      <c r="M10301" s="9" t="s">
        <v>22</v>
      </c>
    </row>
    <row r="10302" ht="15.75" customHeight="1">
      <c r="A10302" s="7"/>
      <c r="B10302" s="7"/>
      <c r="M10302" s="9" t="s">
        <v>20</v>
      </c>
    </row>
    <row r="10303" ht="15.75" customHeight="1">
      <c r="A10303" s="7"/>
      <c r="B10303" s="7"/>
      <c r="M10303" s="9" t="s">
        <v>24</v>
      </c>
    </row>
    <row r="10304" ht="15.75" customHeight="1">
      <c r="A10304" s="7"/>
      <c r="B10304" s="7"/>
      <c r="M10304" s="9" t="s">
        <v>21</v>
      </c>
    </row>
    <row r="10305" ht="15.75" customHeight="1">
      <c r="A10305" s="7"/>
      <c r="B10305" s="7"/>
      <c r="M10305" s="9" t="s">
        <v>31</v>
      </c>
    </row>
    <row r="10306" ht="15.75" customHeight="1">
      <c r="A10306" s="7"/>
      <c r="B10306" s="7"/>
      <c r="M10306" s="9" t="s">
        <v>27</v>
      </c>
    </row>
    <row r="10307" ht="15.75" customHeight="1">
      <c r="A10307" s="7"/>
      <c r="B10307" s="7"/>
      <c r="M10307" s="9" t="s">
        <v>26</v>
      </c>
    </row>
    <row r="10308" ht="15.75" customHeight="1">
      <c r="A10308" s="7"/>
      <c r="B10308" s="7"/>
      <c r="M10308" s="9" t="s">
        <v>24</v>
      </c>
    </row>
    <row r="10309" ht="15.75" customHeight="1">
      <c r="A10309" s="7"/>
      <c r="B10309" s="7"/>
      <c r="M10309" s="9" t="s">
        <v>21</v>
      </c>
    </row>
    <row r="10310" ht="15.75" customHeight="1">
      <c r="A10310" s="7"/>
      <c r="B10310" s="7"/>
      <c r="M10310" s="9" t="s">
        <v>39</v>
      </c>
    </row>
    <row r="10311" ht="15.75" customHeight="1">
      <c r="A10311" s="7"/>
      <c r="B10311" s="7"/>
      <c r="M10311" s="9" t="s">
        <v>27</v>
      </c>
    </row>
    <row r="10312" ht="15.75" customHeight="1">
      <c r="A10312" s="7"/>
      <c r="B10312" s="7"/>
      <c r="M10312" s="9" t="s">
        <v>40</v>
      </c>
    </row>
    <row r="10313" ht="15.75" customHeight="1">
      <c r="A10313" s="7"/>
      <c r="B10313" s="7"/>
      <c r="M10313" s="9" t="s">
        <v>33</v>
      </c>
    </row>
    <row r="10314" ht="15.75" customHeight="1">
      <c r="A10314" s="7"/>
      <c r="B10314" s="7"/>
      <c r="M10314" s="9" t="s">
        <v>25</v>
      </c>
    </row>
    <row r="10315" ht="15.75" customHeight="1">
      <c r="A10315" s="7"/>
      <c r="B10315" s="7"/>
      <c r="M10315" s="9" t="s">
        <v>23</v>
      </c>
    </row>
    <row r="10316" ht="15.75" customHeight="1">
      <c r="A10316" s="7"/>
      <c r="B10316" s="7"/>
      <c r="M10316" s="9" t="s">
        <v>24</v>
      </c>
    </row>
    <row r="10317" ht="15.75" customHeight="1">
      <c r="A10317" s="7"/>
      <c r="B10317" s="7"/>
      <c r="M10317" s="9" t="s">
        <v>20</v>
      </c>
    </row>
    <row r="10318" ht="15.75" customHeight="1">
      <c r="A10318" s="7"/>
      <c r="B10318" s="7"/>
      <c r="M10318" s="9" t="s">
        <v>21</v>
      </c>
    </row>
    <row r="10319" ht="15.75" customHeight="1">
      <c r="A10319" s="7"/>
      <c r="B10319" s="7"/>
      <c r="M10319" s="9" t="s">
        <v>37</v>
      </c>
    </row>
    <row r="10320" ht="15.75" customHeight="1">
      <c r="A10320" s="7"/>
      <c r="B10320" s="7"/>
      <c r="M10320" s="9" t="s">
        <v>22</v>
      </c>
    </row>
    <row r="10321" ht="15.75" customHeight="1">
      <c r="A10321" s="7"/>
      <c r="B10321" s="7"/>
      <c r="M10321" s="9" t="s">
        <v>31</v>
      </c>
    </row>
    <row r="10322" ht="15.75" customHeight="1">
      <c r="A10322" s="7"/>
      <c r="B10322" s="7"/>
      <c r="M10322" s="9" t="s">
        <v>27</v>
      </c>
    </row>
    <row r="10323" ht="15.75" customHeight="1">
      <c r="A10323" s="7"/>
      <c r="B10323" s="7"/>
      <c r="M10323" s="9" t="s">
        <v>40</v>
      </c>
    </row>
    <row r="10324" ht="15.75" customHeight="1">
      <c r="A10324" s="7"/>
      <c r="B10324" s="7"/>
      <c r="M10324" s="9" t="s">
        <v>36</v>
      </c>
    </row>
    <row r="10325" ht="15.75" customHeight="1">
      <c r="A10325" s="7"/>
      <c r="B10325" s="7"/>
      <c r="M10325" s="9" t="s">
        <v>20</v>
      </c>
    </row>
    <row r="10326" ht="15.75" customHeight="1">
      <c r="A10326" s="7"/>
      <c r="B10326" s="7"/>
      <c r="M10326" s="9" t="s">
        <v>22</v>
      </c>
    </row>
    <row r="10327" ht="15.75" customHeight="1">
      <c r="A10327" s="7"/>
      <c r="B10327" s="7"/>
      <c r="M10327" s="9" t="s">
        <v>24</v>
      </c>
    </row>
    <row r="10328" ht="15.75" customHeight="1">
      <c r="A10328" s="7"/>
      <c r="B10328" s="7"/>
      <c r="M10328" s="9" t="s">
        <v>21</v>
      </c>
    </row>
    <row r="10329" ht="15.75" customHeight="1">
      <c r="A10329" s="7"/>
      <c r="B10329" s="7"/>
      <c r="M10329" s="9" t="s">
        <v>33</v>
      </c>
    </row>
    <row r="10330" ht="15.75" customHeight="1">
      <c r="A10330" s="7"/>
      <c r="B10330" s="7"/>
      <c r="M10330" s="9" t="s">
        <v>38</v>
      </c>
    </row>
    <row r="10331" ht="15.75" customHeight="1">
      <c r="A10331" s="7"/>
      <c r="B10331" s="7"/>
      <c r="M10331" s="9" t="s">
        <v>25</v>
      </c>
    </row>
    <row r="10332" ht="15.75" customHeight="1">
      <c r="A10332" s="7"/>
      <c r="B10332" s="7"/>
      <c r="M10332" s="9" t="s">
        <v>23</v>
      </c>
    </row>
    <row r="10333" ht="15.75" customHeight="1">
      <c r="A10333" s="7"/>
      <c r="B10333" s="7"/>
      <c r="M10333" s="9" t="s">
        <v>24</v>
      </c>
    </row>
    <row r="10334" ht="15.75" customHeight="1">
      <c r="A10334" s="7"/>
      <c r="B10334" s="7"/>
      <c r="M10334" s="9" t="s">
        <v>21</v>
      </c>
    </row>
    <row r="10335" ht="15.75" customHeight="1">
      <c r="A10335" s="7"/>
      <c r="B10335" s="7"/>
      <c r="M10335" s="9" t="s">
        <v>30</v>
      </c>
    </row>
    <row r="10336" ht="15.75" customHeight="1">
      <c r="A10336" s="7"/>
      <c r="B10336" s="7"/>
      <c r="M10336" s="9" t="s">
        <v>24</v>
      </c>
    </row>
    <row r="10337" ht="15.75" customHeight="1">
      <c r="A10337" s="7"/>
      <c r="B10337" s="7"/>
      <c r="M10337" s="9" t="s">
        <v>20</v>
      </c>
    </row>
    <row r="10338" ht="15.75" customHeight="1">
      <c r="A10338" s="7"/>
      <c r="B10338" s="7"/>
      <c r="M10338" s="9" t="s">
        <v>21</v>
      </c>
    </row>
    <row r="10339" ht="15.75" customHeight="1">
      <c r="A10339" s="7"/>
      <c r="B10339" s="7"/>
      <c r="M10339" s="9" t="s">
        <v>37</v>
      </c>
    </row>
    <row r="10340" ht="15.75" customHeight="1">
      <c r="A10340" s="7"/>
      <c r="B10340" s="7"/>
      <c r="M10340" s="9" t="s">
        <v>27</v>
      </c>
    </row>
    <row r="10341" ht="15.75" customHeight="1">
      <c r="A10341" s="7"/>
      <c r="B10341" s="7"/>
      <c r="M10341" s="9" t="s">
        <v>30</v>
      </c>
    </row>
    <row r="10342" ht="15.75" customHeight="1">
      <c r="A10342" s="7"/>
      <c r="B10342" s="7"/>
      <c r="M10342" s="9" t="s">
        <v>25</v>
      </c>
    </row>
    <row r="10343" ht="15.75" customHeight="1">
      <c r="A10343" s="7"/>
      <c r="B10343" s="7"/>
      <c r="M10343" s="9" t="s">
        <v>23</v>
      </c>
    </row>
    <row r="10344" ht="15.75" customHeight="1">
      <c r="A10344" s="7"/>
      <c r="B10344" s="7"/>
      <c r="M10344" s="9" t="s">
        <v>24</v>
      </c>
    </row>
    <row r="10345" ht="15.75" customHeight="1">
      <c r="A10345" s="7"/>
      <c r="B10345" s="7"/>
      <c r="M10345" s="9" t="s">
        <v>21</v>
      </c>
    </row>
    <row r="10346" ht="15.75" customHeight="1">
      <c r="A10346" s="7"/>
      <c r="B10346" s="7"/>
      <c r="M10346" s="9" t="s">
        <v>22</v>
      </c>
    </row>
    <row r="10347" ht="15.75" customHeight="1">
      <c r="A10347" s="7"/>
      <c r="B10347" s="7"/>
      <c r="M10347" s="9" t="s">
        <v>29</v>
      </c>
    </row>
    <row r="10348" ht="15.75" customHeight="1">
      <c r="A10348" s="7"/>
      <c r="B10348" s="7"/>
      <c r="M10348" s="9" t="s">
        <v>27</v>
      </c>
    </row>
    <row r="10349" ht="15.75" customHeight="1">
      <c r="A10349" s="7"/>
      <c r="B10349" s="7"/>
      <c r="M10349" s="9" t="s">
        <v>35</v>
      </c>
    </row>
    <row r="10350" ht="15.75" customHeight="1">
      <c r="A10350" s="7"/>
      <c r="B10350" s="7"/>
      <c r="M10350" s="9" t="s">
        <v>26</v>
      </c>
    </row>
    <row r="10351" ht="15.75" customHeight="1">
      <c r="A10351" s="7"/>
      <c r="B10351" s="7"/>
      <c r="M10351" s="9" t="s">
        <v>24</v>
      </c>
    </row>
    <row r="10352" ht="15.75" customHeight="1">
      <c r="A10352" s="7"/>
      <c r="B10352" s="7"/>
      <c r="M10352" s="9" t="s">
        <v>21</v>
      </c>
    </row>
    <row r="10353" ht="15.75" customHeight="1">
      <c r="A10353" s="7"/>
      <c r="B10353" s="7"/>
      <c r="M10353" s="9" t="s">
        <v>30</v>
      </c>
    </row>
    <row r="10354" ht="15.75" customHeight="1">
      <c r="A10354" s="7"/>
      <c r="B10354" s="7"/>
      <c r="M10354" s="9" t="s">
        <v>25</v>
      </c>
    </row>
    <row r="10355" ht="15.75" customHeight="1">
      <c r="A10355" s="7"/>
      <c r="B10355" s="7"/>
      <c r="M10355" s="9" t="s">
        <v>22</v>
      </c>
    </row>
    <row r="10356" ht="15.75" customHeight="1">
      <c r="A10356" s="7"/>
      <c r="B10356" s="7"/>
      <c r="M10356" s="9" t="s">
        <v>30</v>
      </c>
    </row>
    <row r="10357" ht="15.75" customHeight="1">
      <c r="A10357" s="7"/>
      <c r="B10357" s="7"/>
      <c r="M10357" s="9" t="s">
        <v>24</v>
      </c>
    </row>
    <row r="10358" ht="15.75" customHeight="1">
      <c r="A10358" s="7"/>
      <c r="B10358" s="7"/>
      <c r="M10358" s="9" t="s">
        <v>22</v>
      </c>
    </row>
    <row r="10359" ht="15.75" customHeight="1">
      <c r="A10359" s="7"/>
      <c r="B10359" s="7"/>
      <c r="M10359" s="9" t="s">
        <v>27</v>
      </c>
    </row>
    <row r="10360" ht="15.75" customHeight="1">
      <c r="A10360" s="7"/>
      <c r="B10360" s="7"/>
      <c r="M10360" s="9" t="s">
        <v>30</v>
      </c>
    </row>
    <row r="10361" ht="15.75" customHeight="1">
      <c r="A10361" s="7"/>
      <c r="B10361" s="7"/>
      <c r="M10361" s="9" t="s">
        <v>23</v>
      </c>
    </row>
    <row r="10362" ht="15.75" customHeight="1">
      <c r="A10362" s="7"/>
      <c r="B10362" s="7"/>
      <c r="M10362" s="9" t="s">
        <v>21</v>
      </c>
    </row>
    <row r="10363" ht="15.75" customHeight="1">
      <c r="A10363" s="7"/>
      <c r="B10363" s="7"/>
      <c r="M10363" s="9" t="s">
        <v>22</v>
      </c>
    </row>
    <row r="10364" ht="15.75" customHeight="1">
      <c r="A10364" s="7"/>
      <c r="B10364" s="7"/>
      <c r="M10364" s="9" t="s">
        <v>30</v>
      </c>
    </row>
    <row r="10365" ht="15.75" customHeight="1">
      <c r="A10365" s="7"/>
      <c r="B10365" s="7"/>
      <c r="M10365" s="9" t="s">
        <v>26</v>
      </c>
    </row>
    <row r="10366" ht="15.75" customHeight="1">
      <c r="A10366" s="7"/>
      <c r="B10366" s="7"/>
      <c r="M10366" s="9" t="s">
        <v>24</v>
      </c>
    </row>
    <row r="10367" ht="15.75" customHeight="1">
      <c r="A10367" s="7"/>
      <c r="B10367" s="7"/>
      <c r="M10367" s="9" t="s">
        <v>21</v>
      </c>
    </row>
    <row r="10368" ht="15.75" customHeight="1">
      <c r="A10368" s="7"/>
      <c r="B10368" s="7"/>
      <c r="M10368" s="9" t="s">
        <v>27</v>
      </c>
    </row>
    <row r="10369" ht="15.75" customHeight="1">
      <c r="A10369" s="7"/>
      <c r="B10369" s="7"/>
      <c r="M10369" s="9" t="s">
        <v>33</v>
      </c>
    </row>
    <row r="10370" ht="15.75" customHeight="1">
      <c r="A10370" s="7"/>
      <c r="B10370" s="7"/>
      <c r="M10370" s="9" t="s">
        <v>30</v>
      </c>
    </row>
    <row r="10371" ht="15.75" customHeight="1">
      <c r="A10371" s="7"/>
      <c r="B10371" s="7"/>
      <c r="M10371" s="9" t="s">
        <v>23</v>
      </c>
    </row>
    <row r="10372" ht="15.75" customHeight="1">
      <c r="A10372" s="7"/>
      <c r="B10372" s="7"/>
      <c r="M10372" s="9" t="s">
        <v>22</v>
      </c>
    </row>
    <row r="10373" ht="15.75" customHeight="1">
      <c r="A10373" s="7"/>
      <c r="B10373" s="7"/>
      <c r="M10373" s="9" t="s">
        <v>29</v>
      </c>
    </row>
    <row r="10374" ht="15.75" customHeight="1">
      <c r="A10374" s="7"/>
      <c r="B10374" s="7"/>
      <c r="M10374" s="9" t="s">
        <v>24</v>
      </c>
    </row>
    <row r="10375" ht="15.75" customHeight="1">
      <c r="A10375" s="7"/>
      <c r="B10375" s="7"/>
      <c r="M10375" s="9" t="s">
        <v>21</v>
      </c>
    </row>
    <row r="10376" ht="15.75" customHeight="1">
      <c r="A10376" s="7"/>
      <c r="B10376" s="7"/>
      <c r="M10376" s="9" t="s">
        <v>24</v>
      </c>
    </row>
    <row r="10377" ht="15.75" customHeight="1">
      <c r="A10377" s="7"/>
      <c r="B10377" s="7"/>
      <c r="M10377" s="9" t="s">
        <v>20</v>
      </c>
    </row>
    <row r="10378" ht="15.75" customHeight="1">
      <c r="A10378" s="7"/>
      <c r="B10378" s="7"/>
      <c r="M10378" s="9" t="s">
        <v>21</v>
      </c>
    </row>
    <row r="10379" ht="15.75" customHeight="1">
      <c r="A10379" s="7"/>
      <c r="B10379" s="7"/>
      <c r="M10379" s="9" t="s">
        <v>37</v>
      </c>
    </row>
    <row r="10380" ht="15.75" customHeight="1">
      <c r="A10380" s="7"/>
      <c r="B10380" s="7"/>
      <c r="M10380" s="9" t="s">
        <v>31</v>
      </c>
    </row>
    <row r="10381" ht="15.75" customHeight="1">
      <c r="A10381" s="7"/>
      <c r="B10381" s="7"/>
      <c r="M10381" s="9" t="s">
        <v>27</v>
      </c>
    </row>
    <row r="10382" ht="15.75" customHeight="1">
      <c r="A10382" s="7"/>
      <c r="B10382" s="7"/>
      <c r="M10382" s="9" t="s">
        <v>23</v>
      </c>
    </row>
    <row r="10383" ht="15.75" customHeight="1">
      <c r="A10383" s="7"/>
      <c r="B10383" s="7"/>
      <c r="M10383" s="9" t="s">
        <v>24</v>
      </c>
    </row>
    <row r="10384" ht="15.75" customHeight="1">
      <c r="A10384" s="7"/>
      <c r="B10384" s="7"/>
      <c r="M10384" s="9" t="s">
        <v>20</v>
      </c>
    </row>
    <row r="10385" ht="15.75" customHeight="1">
      <c r="A10385" s="7"/>
      <c r="B10385" s="7"/>
      <c r="M10385" s="9" t="s">
        <v>21</v>
      </c>
    </row>
    <row r="10386" ht="15.75" customHeight="1">
      <c r="A10386" s="7"/>
      <c r="B10386" s="7"/>
      <c r="M10386" s="9" t="s">
        <v>22</v>
      </c>
    </row>
    <row r="10387" ht="15.75" customHeight="1">
      <c r="A10387" s="7"/>
      <c r="B10387" s="7"/>
      <c r="M10387" s="9" t="s">
        <v>26</v>
      </c>
    </row>
    <row r="10388" ht="15.75" customHeight="1">
      <c r="A10388" s="7"/>
      <c r="B10388" s="7"/>
      <c r="M10388" s="9" t="s">
        <v>24</v>
      </c>
    </row>
    <row r="10389" ht="15.75" customHeight="1">
      <c r="A10389" s="7"/>
      <c r="B10389" s="7"/>
      <c r="M10389" s="9" t="s">
        <v>21</v>
      </c>
    </row>
    <row r="10390" ht="15.75" customHeight="1">
      <c r="A10390" s="7"/>
      <c r="B10390" s="7"/>
      <c r="M10390" s="9" t="s">
        <v>33</v>
      </c>
    </row>
    <row r="10391" ht="15.75" customHeight="1">
      <c r="A10391" s="7"/>
      <c r="B10391" s="7"/>
      <c r="M10391" s="9" t="s">
        <v>41</v>
      </c>
    </row>
    <row r="10392" ht="15.75" customHeight="1">
      <c r="A10392" s="7"/>
      <c r="B10392" s="7"/>
      <c r="M10392" s="9" t="s">
        <v>40</v>
      </c>
    </row>
    <row r="10393" ht="15.75" customHeight="1">
      <c r="A10393" s="7"/>
      <c r="B10393" s="7"/>
      <c r="M10393" s="9" t="s">
        <v>24</v>
      </c>
    </row>
    <row r="10394" ht="15.75" customHeight="1">
      <c r="A10394" s="7"/>
      <c r="B10394" s="7"/>
      <c r="M10394" s="9" t="s">
        <v>21</v>
      </c>
    </row>
    <row r="10395" ht="15.75" customHeight="1">
      <c r="A10395" s="7"/>
      <c r="B10395" s="7"/>
      <c r="M10395" s="9" t="s">
        <v>38</v>
      </c>
    </row>
    <row r="10396" ht="15.75" customHeight="1">
      <c r="A10396" s="7"/>
      <c r="B10396" s="7"/>
      <c r="M10396" s="9" t="s">
        <v>30</v>
      </c>
    </row>
    <row r="10397" ht="15.75" customHeight="1">
      <c r="A10397" s="7"/>
      <c r="B10397" s="7"/>
      <c r="M10397" s="9" t="s">
        <v>24</v>
      </c>
    </row>
    <row r="10398" ht="15.75" customHeight="1">
      <c r="A10398" s="7"/>
      <c r="B10398" s="7"/>
      <c r="M10398" s="9" t="s">
        <v>21</v>
      </c>
    </row>
    <row r="10399" ht="15.75" customHeight="1">
      <c r="A10399" s="7"/>
      <c r="B10399" s="7"/>
      <c r="M10399" s="9" t="s">
        <v>37</v>
      </c>
    </row>
    <row r="10400" ht="15.75" customHeight="1">
      <c r="A10400" s="7"/>
      <c r="B10400" s="7"/>
      <c r="M10400" s="9" t="s">
        <v>27</v>
      </c>
    </row>
    <row r="10401" ht="15.75" customHeight="1">
      <c r="A10401" s="7"/>
      <c r="B10401" s="7"/>
      <c r="M10401" s="9" t="s">
        <v>20</v>
      </c>
    </row>
    <row r="10402" ht="15.75" customHeight="1">
      <c r="A10402" s="7"/>
      <c r="B10402" s="7"/>
      <c r="M10402" s="9" t="s">
        <v>21</v>
      </c>
    </row>
    <row r="10403" ht="15.75" customHeight="1">
      <c r="A10403" s="7"/>
      <c r="B10403" s="7"/>
      <c r="M10403" s="9" t="s">
        <v>22</v>
      </c>
    </row>
    <row r="10404" ht="15.75" customHeight="1">
      <c r="A10404" s="7"/>
      <c r="B10404" s="7"/>
      <c r="M10404" s="9" t="s">
        <v>35</v>
      </c>
    </row>
    <row r="10405" ht="15.75" customHeight="1">
      <c r="A10405" s="7"/>
      <c r="B10405" s="7"/>
      <c r="M10405" s="9" t="s">
        <v>20</v>
      </c>
    </row>
    <row r="10406" ht="15.75" customHeight="1">
      <c r="A10406" s="7"/>
      <c r="B10406" s="7"/>
      <c r="M10406" s="9" t="s">
        <v>21</v>
      </c>
    </row>
    <row r="10407" ht="15.75" customHeight="1">
      <c r="A10407" s="7"/>
      <c r="B10407" s="7"/>
      <c r="M10407" s="9" t="s">
        <v>27</v>
      </c>
    </row>
    <row r="10408" ht="15.75" customHeight="1">
      <c r="A10408" s="7"/>
      <c r="B10408" s="7"/>
      <c r="M10408" s="9" t="s">
        <v>25</v>
      </c>
    </row>
    <row r="10409" ht="15.75" customHeight="1">
      <c r="A10409" s="7"/>
      <c r="B10409" s="7"/>
      <c r="M10409" s="9" t="s">
        <v>29</v>
      </c>
    </row>
    <row r="10410" ht="15.75" customHeight="1">
      <c r="A10410" s="7"/>
      <c r="B10410" s="7"/>
      <c r="M10410" s="9" t="s">
        <v>25</v>
      </c>
    </row>
    <row r="10411" ht="15.75" customHeight="1">
      <c r="A10411" s="7"/>
      <c r="B10411" s="7"/>
      <c r="M10411" s="9" t="s">
        <v>23</v>
      </c>
    </row>
    <row r="10412" ht="15.75" customHeight="1">
      <c r="A10412" s="7"/>
      <c r="B10412" s="7"/>
      <c r="M10412" s="9" t="s">
        <v>28</v>
      </c>
    </row>
    <row r="10413" ht="15.75" customHeight="1">
      <c r="A10413" s="7"/>
      <c r="B10413" s="7"/>
      <c r="M10413" s="9" t="s">
        <v>38</v>
      </c>
    </row>
    <row r="10414" ht="15.75" customHeight="1">
      <c r="A10414" s="7"/>
      <c r="B10414" s="7"/>
      <c r="M10414" s="9" t="s">
        <v>30</v>
      </c>
    </row>
    <row r="10415" ht="15.75" customHeight="1">
      <c r="A10415" s="7"/>
      <c r="B10415" s="7"/>
      <c r="M10415" s="9" t="s">
        <v>20</v>
      </c>
    </row>
    <row r="10416" ht="15.75" customHeight="1">
      <c r="A10416" s="7"/>
      <c r="B10416" s="7"/>
      <c r="M10416" s="9" t="s">
        <v>30</v>
      </c>
    </row>
    <row r="10417" ht="15.75" customHeight="1">
      <c r="A10417" s="7"/>
      <c r="B10417" s="7"/>
      <c r="M10417" s="9" t="s">
        <v>26</v>
      </c>
    </row>
    <row r="10418" ht="15.75" customHeight="1">
      <c r="A10418" s="7"/>
      <c r="B10418" s="7"/>
      <c r="M10418" s="9" t="s">
        <v>21</v>
      </c>
    </row>
    <row r="10419" ht="15.75" customHeight="1">
      <c r="A10419" s="7"/>
      <c r="B10419" s="7"/>
      <c r="M10419" s="9" t="s">
        <v>27</v>
      </c>
    </row>
    <row r="10420" ht="15.75" customHeight="1">
      <c r="A10420" s="7"/>
      <c r="B10420" s="7"/>
      <c r="M10420" s="9" t="s">
        <v>33</v>
      </c>
    </row>
    <row r="10421" ht="15.75" customHeight="1">
      <c r="A10421" s="7"/>
      <c r="B10421" s="7"/>
      <c r="M10421" s="9" t="s">
        <v>24</v>
      </c>
    </row>
    <row r="10422" ht="15.75" customHeight="1">
      <c r="A10422" s="7"/>
      <c r="B10422" s="7"/>
      <c r="M10422" s="9" t="s">
        <v>20</v>
      </c>
    </row>
    <row r="10423" ht="15.75" customHeight="1">
      <c r="A10423" s="7"/>
      <c r="B10423" s="7"/>
      <c r="M10423" s="9" t="s">
        <v>21</v>
      </c>
    </row>
    <row r="10424" ht="15.75" customHeight="1">
      <c r="A10424" s="7"/>
      <c r="B10424" s="7"/>
      <c r="M10424" s="9" t="s">
        <v>33</v>
      </c>
    </row>
    <row r="10425" ht="15.75" customHeight="1">
      <c r="A10425" s="7"/>
      <c r="B10425" s="7"/>
      <c r="M10425" s="9" t="s">
        <v>36</v>
      </c>
    </row>
    <row r="10426" ht="15.75" customHeight="1">
      <c r="A10426" s="7"/>
      <c r="B10426" s="7"/>
      <c r="M10426" s="9" t="s">
        <v>20</v>
      </c>
    </row>
    <row r="10427" ht="15.75" customHeight="1">
      <c r="A10427" s="7"/>
      <c r="B10427" s="7"/>
      <c r="M10427" s="9" t="s">
        <v>21</v>
      </c>
    </row>
    <row r="10428" ht="15.75" customHeight="1">
      <c r="A10428" s="7"/>
      <c r="B10428" s="7"/>
      <c r="M10428" s="9" t="s">
        <v>37</v>
      </c>
    </row>
    <row r="10429" ht="15.75" customHeight="1">
      <c r="A10429" s="7"/>
      <c r="B10429" s="7"/>
      <c r="M10429" s="9" t="s">
        <v>22</v>
      </c>
    </row>
    <row r="10430" ht="15.75" customHeight="1">
      <c r="A10430" s="7"/>
      <c r="B10430" s="7"/>
      <c r="M10430" s="9" t="s">
        <v>30</v>
      </c>
    </row>
    <row r="10431" ht="15.75" customHeight="1">
      <c r="A10431" s="7"/>
      <c r="B10431" s="7"/>
      <c r="M10431" s="9" t="s">
        <v>36</v>
      </c>
    </row>
    <row r="10432" ht="15.75" customHeight="1">
      <c r="A10432" s="7"/>
      <c r="B10432" s="7"/>
      <c r="M10432" s="9" t="s">
        <v>24</v>
      </c>
    </row>
    <row r="10433" ht="15.75" customHeight="1">
      <c r="A10433" s="7"/>
      <c r="B10433" s="7"/>
      <c r="M10433" s="9" t="s">
        <v>21</v>
      </c>
    </row>
    <row r="10434" ht="15.75" customHeight="1">
      <c r="A10434" s="7"/>
      <c r="B10434" s="7"/>
      <c r="M10434" s="9" t="s">
        <v>26</v>
      </c>
    </row>
    <row r="10435" ht="15.75" customHeight="1">
      <c r="A10435" s="7"/>
      <c r="B10435" s="7"/>
      <c r="M10435" s="9" t="s">
        <v>24</v>
      </c>
    </row>
    <row r="10436" ht="15.75" customHeight="1">
      <c r="A10436" s="7"/>
      <c r="B10436" s="7"/>
      <c r="M10436" s="9" t="s">
        <v>21</v>
      </c>
    </row>
    <row r="10437" ht="15.75" customHeight="1">
      <c r="A10437" s="7"/>
      <c r="B10437" s="7"/>
      <c r="M10437" s="9" t="s">
        <v>27</v>
      </c>
    </row>
    <row r="10438" ht="15.75" customHeight="1">
      <c r="A10438" s="7"/>
      <c r="B10438" s="7"/>
      <c r="M10438" s="9" t="s">
        <v>24</v>
      </c>
    </row>
    <row r="10439" ht="15.75" customHeight="1">
      <c r="A10439" s="7"/>
      <c r="B10439" s="7"/>
      <c r="M10439" s="9" t="s">
        <v>21</v>
      </c>
    </row>
    <row r="10440" ht="15.75" customHeight="1">
      <c r="A10440" s="7"/>
      <c r="B10440" s="7"/>
      <c r="M10440" s="9" t="s">
        <v>35</v>
      </c>
    </row>
    <row r="10441" ht="15.75" customHeight="1">
      <c r="A10441" s="7"/>
      <c r="B10441" s="7"/>
      <c r="M10441" s="9" t="s">
        <v>30</v>
      </c>
    </row>
    <row r="10442" ht="15.75" customHeight="1">
      <c r="A10442" s="7"/>
      <c r="B10442" s="7"/>
      <c r="M10442" s="9" t="s">
        <v>24</v>
      </c>
    </row>
    <row r="10443" ht="15.75" customHeight="1">
      <c r="A10443" s="7"/>
      <c r="B10443" s="7"/>
      <c r="M10443" s="9" t="s">
        <v>20</v>
      </c>
    </row>
    <row r="10444" ht="15.75" customHeight="1">
      <c r="A10444" s="7"/>
      <c r="B10444" s="7"/>
      <c r="M10444" s="9" t="s">
        <v>21</v>
      </c>
    </row>
    <row r="10445" ht="15.75" customHeight="1">
      <c r="A10445" s="7"/>
      <c r="B10445" s="7"/>
      <c r="M10445" s="9" t="s">
        <v>37</v>
      </c>
    </row>
    <row r="10446" ht="15.75" customHeight="1">
      <c r="A10446" s="7"/>
      <c r="B10446" s="7"/>
      <c r="M10446" s="9" t="s">
        <v>22</v>
      </c>
    </row>
    <row r="10447" ht="15.75" customHeight="1">
      <c r="A10447" s="7"/>
      <c r="B10447" s="7"/>
      <c r="M10447" s="9" t="s">
        <v>27</v>
      </c>
    </row>
    <row r="10448" ht="15.75" customHeight="1">
      <c r="A10448" s="7"/>
      <c r="B10448" s="7"/>
      <c r="M10448" s="9" t="s">
        <v>30</v>
      </c>
    </row>
    <row r="10449" ht="15.75" customHeight="1">
      <c r="A10449" s="7"/>
      <c r="B10449" s="7"/>
      <c r="M10449" s="9" t="s">
        <v>36</v>
      </c>
    </row>
    <row r="10450" ht="15.75" customHeight="1">
      <c r="A10450" s="7"/>
      <c r="B10450" s="7"/>
      <c r="M10450" s="9" t="s">
        <v>24</v>
      </c>
    </row>
    <row r="10451" ht="15.75" customHeight="1">
      <c r="A10451" s="7"/>
      <c r="B10451" s="7"/>
      <c r="M10451" s="9" t="s">
        <v>21</v>
      </c>
    </row>
    <row r="10452" ht="15.75" customHeight="1">
      <c r="A10452" s="7"/>
      <c r="B10452" s="7"/>
      <c r="M10452" s="9" t="s">
        <v>22</v>
      </c>
    </row>
    <row r="10453" ht="15.75" customHeight="1">
      <c r="A10453" s="7"/>
      <c r="B10453" s="7"/>
      <c r="M10453" s="9" t="s">
        <v>31</v>
      </c>
    </row>
    <row r="10454" ht="15.75" customHeight="1">
      <c r="A10454" s="7"/>
      <c r="B10454" s="7"/>
      <c r="M10454" s="9" t="s">
        <v>27</v>
      </c>
    </row>
    <row r="10455" ht="15.75" customHeight="1">
      <c r="A10455" s="7"/>
      <c r="B10455" s="7"/>
      <c r="M10455" s="9" t="s">
        <v>21</v>
      </c>
    </row>
    <row r="10456" ht="15.75" customHeight="1">
      <c r="A10456" s="7"/>
      <c r="B10456" s="7"/>
      <c r="M10456" s="9" t="s">
        <v>29</v>
      </c>
    </row>
    <row r="10457" ht="15.75" customHeight="1">
      <c r="A10457" s="7"/>
      <c r="B10457" s="7"/>
      <c r="M10457" s="9" t="s">
        <v>27</v>
      </c>
    </row>
    <row r="10458" ht="15.75" customHeight="1">
      <c r="A10458" s="7"/>
      <c r="B10458" s="7"/>
      <c r="M10458" s="9" t="s">
        <v>28</v>
      </c>
    </row>
    <row r="10459" ht="15.75" customHeight="1">
      <c r="A10459" s="7"/>
      <c r="B10459" s="7"/>
      <c r="M10459" s="9" t="s">
        <v>25</v>
      </c>
    </row>
    <row r="10460" ht="15.75" customHeight="1">
      <c r="A10460" s="7"/>
      <c r="B10460" s="7"/>
      <c r="M10460" s="9" t="s">
        <v>23</v>
      </c>
    </row>
    <row r="10461" ht="15.75" customHeight="1">
      <c r="A10461" s="7"/>
      <c r="B10461" s="7"/>
      <c r="M10461" s="9" t="s">
        <v>21</v>
      </c>
    </row>
    <row r="10462" ht="15.75" customHeight="1">
      <c r="A10462" s="7"/>
      <c r="B10462" s="7"/>
      <c r="M10462" s="9" t="s">
        <v>22</v>
      </c>
    </row>
    <row r="10463" ht="15.75" customHeight="1">
      <c r="A10463" s="7"/>
      <c r="B10463" s="7"/>
      <c r="M10463" s="9" t="s">
        <v>32</v>
      </c>
    </row>
    <row r="10464" ht="15.75" customHeight="1">
      <c r="A10464" s="7"/>
      <c r="B10464" s="7"/>
      <c r="M10464" s="9" t="s">
        <v>24</v>
      </c>
    </row>
    <row r="10465" ht="15.75" customHeight="1">
      <c r="A10465" s="7"/>
      <c r="B10465" s="7"/>
      <c r="M10465" s="9" t="s">
        <v>20</v>
      </c>
    </row>
    <row r="10466" ht="15.75" customHeight="1">
      <c r="A10466" s="7"/>
      <c r="B10466" s="7"/>
      <c r="M10466" s="9" t="s">
        <v>21</v>
      </c>
    </row>
    <row r="10467" ht="15.75" customHeight="1">
      <c r="A10467" s="7"/>
      <c r="B10467" s="7"/>
      <c r="M10467" s="9" t="s">
        <v>27</v>
      </c>
    </row>
    <row r="10468" ht="15.75" customHeight="1">
      <c r="A10468" s="7"/>
      <c r="B10468" s="7"/>
      <c r="M10468" s="9" t="s">
        <v>33</v>
      </c>
    </row>
    <row r="10469" ht="15.75" customHeight="1">
      <c r="A10469" s="7"/>
      <c r="B10469" s="7"/>
      <c r="M10469" s="9" t="s">
        <v>35</v>
      </c>
    </row>
    <row r="10470" ht="15.75" customHeight="1">
      <c r="A10470" s="7"/>
      <c r="B10470" s="7"/>
      <c r="M10470" s="9" t="s">
        <v>30</v>
      </c>
    </row>
    <row r="10471" ht="15.75" customHeight="1">
      <c r="A10471" s="7"/>
      <c r="B10471" s="7"/>
      <c r="M10471" s="9" t="s">
        <v>20</v>
      </c>
    </row>
    <row r="10472" ht="15.75" customHeight="1">
      <c r="A10472" s="7"/>
      <c r="B10472" s="7"/>
      <c r="M10472" s="9" t="s">
        <v>21</v>
      </c>
    </row>
    <row r="10473" ht="15.75" customHeight="1">
      <c r="A10473" s="7"/>
      <c r="B10473" s="7"/>
      <c r="M10473" s="9" t="s">
        <v>37</v>
      </c>
    </row>
    <row r="10474" ht="15.75" customHeight="1">
      <c r="A10474" s="7"/>
      <c r="B10474" s="7"/>
      <c r="M10474" s="9" t="s">
        <v>27</v>
      </c>
    </row>
    <row r="10475" ht="15.75" customHeight="1">
      <c r="A10475" s="7"/>
      <c r="B10475" s="7"/>
      <c r="M10475" s="9" t="s">
        <v>30</v>
      </c>
    </row>
    <row r="10476" ht="15.75" customHeight="1">
      <c r="A10476" s="7"/>
      <c r="B10476" s="7"/>
      <c r="M10476" s="9" t="s">
        <v>25</v>
      </c>
    </row>
    <row r="10477" ht="15.75" customHeight="1">
      <c r="A10477" s="7"/>
      <c r="B10477" s="7"/>
      <c r="M10477" s="9" t="s">
        <v>24</v>
      </c>
    </row>
    <row r="10478" ht="15.75" customHeight="1">
      <c r="A10478" s="7"/>
      <c r="B10478" s="7"/>
      <c r="M10478" s="9" t="s">
        <v>21</v>
      </c>
    </row>
    <row r="10479" ht="15.75" customHeight="1">
      <c r="A10479" s="7"/>
      <c r="B10479" s="7"/>
      <c r="M10479" s="9" t="s">
        <v>37</v>
      </c>
    </row>
    <row r="10480" ht="15.75" customHeight="1">
      <c r="A10480" s="7"/>
      <c r="B10480" s="7"/>
      <c r="M10480" s="9" t="s">
        <v>22</v>
      </c>
    </row>
    <row r="10481" ht="15.75" customHeight="1">
      <c r="A10481" s="7"/>
      <c r="B10481" s="7"/>
      <c r="M10481" s="9" t="s">
        <v>24</v>
      </c>
    </row>
    <row r="10482" ht="15.75" customHeight="1">
      <c r="A10482" s="7"/>
      <c r="B10482" s="7"/>
      <c r="M10482" s="9" t="s">
        <v>21</v>
      </c>
    </row>
    <row r="10483" ht="15.75" customHeight="1">
      <c r="A10483" s="7"/>
      <c r="B10483" s="7"/>
      <c r="M10483" s="9" t="s">
        <v>37</v>
      </c>
    </row>
    <row r="10484" ht="15.75" customHeight="1">
      <c r="A10484" s="7"/>
      <c r="B10484" s="7"/>
      <c r="M10484" s="9" t="s">
        <v>20</v>
      </c>
    </row>
    <row r="10485" ht="15.75" customHeight="1">
      <c r="A10485" s="7"/>
      <c r="B10485" s="7"/>
      <c r="M10485" s="9" t="s">
        <v>39</v>
      </c>
    </row>
    <row r="10486" ht="15.75" customHeight="1">
      <c r="A10486" s="7"/>
      <c r="B10486" s="7"/>
      <c r="M10486" s="9" t="s">
        <v>25</v>
      </c>
    </row>
    <row r="10487" ht="15.75" customHeight="1">
      <c r="A10487" s="7"/>
      <c r="B10487" s="7"/>
      <c r="M10487" s="9" t="s">
        <v>20</v>
      </c>
    </row>
    <row r="10488" ht="15.75" customHeight="1">
      <c r="A10488" s="7"/>
      <c r="B10488" s="7"/>
      <c r="M10488" s="9" t="s">
        <v>21</v>
      </c>
    </row>
    <row r="10489" ht="15.75" customHeight="1">
      <c r="A10489" s="7"/>
      <c r="B10489" s="7"/>
      <c r="M10489" s="9" t="s">
        <v>37</v>
      </c>
    </row>
    <row r="10490" ht="15.75" customHeight="1">
      <c r="A10490" s="7"/>
      <c r="B10490" s="7"/>
      <c r="M10490" s="9" t="s">
        <v>30</v>
      </c>
    </row>
    <row r="10491" ht="15.75" customHeight="1">
      <c r="A10491" s="7"/>
      <c r="B10491" s="7"/>
      <c r="M10491" s="9" t="s">
        <v>24</v>
      </c>
    </row>
    <row r="10492" ht="15.75" customHeight="1">
      <c r="A10492" s="7"/>
      <c r="B10492" s="7"/>
      <c r="M10492" s="9" t="s">
        <v>20</v>
      </c>
    </row>
    <row r="10493" ht="15.75" customHeight="1">
      <c r="A10493" s="7"/>
      <c r="B10493" s="7"/>
      <c r="M10493" s="9" t="s">
        <v>21</v>
      </c>
    </row>
    <row r="10494" ht="15.75" customHeight="1">
      <c r="A10494" s="7"/>
      <c r="B10494" s="7"/>
      <c r="M10494" s="9" t="s">
        <v>22</v>
      </c>
    </row>
    <row r="10495" ht="15.75" customHeight="1">
      <c r="A10495" s="7"/>
      <c r="B10495" s="7"/>
      <c r="M10495" s="9" t="s">
        <v>27</v>
      </c>
    </row>
    <row r="10496" ht="15.75" customHeight="1">
      <c r="A10496" s="7"/>
      <c r="B10496" s="7"/>
      <c r="M10496" s="9" t="s">
        <v>33</v>
      </c>
    </row>
    <row r="10497" ht="15.75" customHeight="1">
      <c r="A10497" s="7"/>
      <c r="B10497" s="7"/>
      <c r="M10497" s="9" t="s">
        <v>25</v>
      </c>
    </row>
    <row r="10498" ht="15.75" customHeight="1">
      <c r="A10498" s="7"/>
      <c r="B10498" s="7"/>
      <c r="M10498" s="9" t="s">
        <v>23</v>
      </c>
    </row>
    <row r="10499" ht="15.75" customHeight="1">
      <c r="A10499" s="7"/>
      <c r="B10499" s="7"/>
      <c r="M10499" s="9" t="s">
        <v>24</v>
      </c>
    </row>
    <row r="10500" ht="15.75" customHeight="1">
      <c r="A10500" s="7"/>
      <c r="B10500" s="7"/>
      <c r="M10500" s="9" t="s">
        <v>20</v>
      </c>
    </row>
    <row r="10501" ht="15.75" customHeight="1">
      <c r="A10501" s="7"/>
      <c r="B10501" s="7"/>
      <c r="M10501" s="9" t="s">
        <v>21</v>
      </c>
    </row>
    <row r="10502" ht="15.75" customHeight="1">
      <c r="A10502" s="7"/>
      <c r="B10502" s="7"/>
      <c r="M10502" s="9" t="s">
        <v>37</v>
      </c>
    </row>
    <row r="10503" ht="15.75" customHeight="1">
      <c r="A10503" s="7"/>
      <c r="B10503" s="7"/>
      <c r="M10503" s="9" t="s">
        <v>22</v>
      </c>
    </row>
    <row r="10504" ht="15.75" customHeight="1">
      <c r="A10504" s="7"/>
      <c r="B10504" s="7"/>
      <c r="M10504" s="9" t="s">
        <v>26</v>
      </c>
    </row>
    <row r="10505" ht="15.75" customHeight="1">
      <c r="A10505" s="7"/>
      <c r="B10505" s="7"/>
      <c r="M10505" s="9" t="s">
        <v>24</v>
      </c>
    </row>
    <row r="10506" ht="15.75" customHeight="1">
      <c r="A10506" s="7"/>
      <c r="B10506" s="7"/>
      <c r="M10506" s="9" t="s">
        <v>21</v>
      </c>
    </row>
    <row r="10507" ht="15.75" customHeight="1">
      <c r="A10507" s="7"/>
      <c r="B10507" s="7"/>
      <c r="M10507" s="9" t="s">
        <v>22</v>
      </c>
    </row>
    <row r="10508" ht="15.75" customHeight="1">
      <c r="A10508" s="7"/>
      <c r="B10508" s="7"/>
      <c r="M10508" s="9" t="s">
        <v>27</v>
      </c>
    </row>
    <row r="10509" ht="15.75" customHeight="1">
      <c r="A10509" s="7"/>
      <c r="B10509" s="7"/>
      <c r="M10509" s="9" t="s">
        <v>24</v>
      </c>
    </row>
    <row r="10510" ht="15.75" customHeight="1">
      <c r="A10510" s="7"/>
      <c r="B10510" s="7"/>
      <c r="M10510" s="9" t="s">
        <v>37</v>
      </c>
    </row>
    <row r="10511" ht="15.75" customHeight="1">
      <c r="A10511" s="7"/>
      <c r="B10511" s="7"/>
      <c r="M10511" s="9" t="s">
        <v>22</v>
      </c>
    </row>
    <row r="10512" ht="15.75" customHeight="1">
      <c r="A10512" s="7"/>
      <c r="B10512" s="7"/>
      <c r="M10512" s="9" t="s">
        <v>27</v>
      </c>
    </row>
    <row r="10513" ht="15.75" customHeight="1">
      <c r="A10513" s="7"/>
      <c r="B10513" s="7"/>
      <c r="M10513" s="9" t="s">
        <v>28</v>
      </c>
    </row>
    <row r="10514" ht="15.75" customHeight="1">
      <c r="A10514" s="7"/>
      <c r="B10514" s="7"/>
      <c r="M10514" s="9" t="s">
        <v>24</v>
      </c>
    </row>
    <row r="10515" ht="15.75" customHeight="1">
      <c r="A10515" s="7"/>
      <c r="B10515" s="7"/>
      <c r="M10515" s="9" t="s">
        <v>21</v>
      </c>
    </row>
    <row r="10516" ht="15.75" customHeight="1">
      <c r="A10516" s="7"/>
      <c r="B10516" s="7"/>
      <c r="M10516" s="9" t="s">
        <v>33</v>
      </c>
    </row>
    <row r="10517" ht="15.75" customHeight="1">
      <c r="A10517" s="7"/>
      <c r="B10517" s="7"/>
      <c r="M10517" s="9" t="s">
        <v>26</v>
      </c>
    </row>
    <row r="10518" ht="15.75" customHeight="1">
      <c r="A10518" s="7"/>
      <c r="B10518" s="7"/>
      <c r="M10518" s="9" t="s">
        <v>30</v>
      </c>
    </row>
    <row r="10519" ht="15.75" customHeight="1">
      <c r="A10519" s="7"/>
      <c r="B10519" s="7"/>
      <c r="M10519" s="9" t="s">
        <v>25</v>
      </c>
    </row>
    <row r="10520" ht="15.75" customHeight="1">
      <c r="A10520" s="7"/>
      <c r="B10520" s="7"/>
      <c r="M10520" s="9" t="s">
        <v>20</v>
      </c>
    </row>
    <row r="10521" ht="15.75" customHeight="1">
      <c r="A10521" s="7"/>
      <c r="B10521" s="7"/>
      <c r="M10521" s="9" t="s">
        <v>22</v>
      </c>
    </row>
    <row r="10522" ht="15.75" customHeight="1">
      <c r="A10522" s="7"/>
      <c r="B10522" s="7"/>
      <c r="M10522" s="9" t="s">
        <v>21</v>
      </c>
    </row>
    <row r="10523" ht="15.75" customHeight="1">
      <c r="A10523" s="7"/>
      <c r="B10523" s="7"/>
      <c r="M10523" s="9" t="s">
        <v>22</v>
      </c>
    </row>
    <row r="10524" ht="15.75" customHeight="1">
      <c r="A10524" s="7"/>
      <c r="B10524" s="7"/>
      <c r="M10524" s="9" t="s">
        <v>24</v>
      </c>
    </row>
    <row r="10525" ht="15.75" customHeight="1">
      <c r="A10525" s="7"/>
      <c r="B10525" s="7"/>
      <c r="M10525" s="9" t="s">
        <v>21</v>
      </c>
    </row>
    <row r="10526" ht="15.75" customHeight="1">
      <c r="A10526" s="7"/>
      <c r="B10526" s="7"/>
      <c r="M10526" s="9" t="s">
        <v>37</v>
      </c>
    </row>
    <row r="10527" ht="15.75" customHeight="1">
      <c r="A10527" s="7"/>
      <c r="B10527" s="7"/>
      <c r="M10527" s="9" t="s">
        <v>27</v>
      </c>
    </row>
    <row r="10528" ht="15.75" customHeight="1">
      <c r="A10528" s="7"/>
      <c r="B10528" s="7"/>
      <c r="M10528" s="9" t="s">
        <v>38</v>
      </c>
    </row>
    <row r="10529" ht="15.75" customHeight="1">
      <c r="A10529" s="7"/>
      <c r="B10529" s="7"/>
      <c r="M10529" s="9" t="s">
        <v>30</v>
      </c>
    </row>
    <row r="10530" ht="15.75" customHeight="1">
      <c r="A10530" s="7"/>
      <c r="B10530" s="7"/>
      <c r="M10530" s="9" t="s">
        <v>25</v>
      </c>
    </row>
    <row r="10531" ht="15.75" customHeight="1">
      <c r="A10531" s="7"/>
      <c r="B10531" s="7"/>
      <c r="M10531" s="9" t="s">
        <v>23</v>
      </c>
    </row>
    <row r="10532" ht="15.75" customHeight="1">
      <c r="A10532" s="7"/>
      <c r="B10532" s="7"/>
      <c r="M10532" s="9" t="s">
        <v>24</v>
      </c>
    </row>
    <row r="10533" ht="15.75" customHeight="1">
      <c r="A10533" s="7"/>
      <c r="B10533" s="7"/>
      <c r="M10533" s="9" t="s">
        <v>20</v>
      </c>
    </row>
    <row r="10534" ht="15.75" customHeight="1">
      <c r="A10534" s="7"/>
      <c r="B10534" s="7"/>
      <c r="M10534" s="9" t="s">
        <v>21</v>
      </c>
    </row>
    <row r="10535" ht="15.75" customHeight="1">
      <c r="A10535" s="7"/>
      <c r="B10535" s="7"/>
      <c r="M10535" s="9" t="s">
        <v>37</v>
      </c>
    </row>
    <row r="10536" ht="15.75" customHeight="1">
      <c r="A10536" s="7"/>
      <c r="B10536" s="7"/>
      <c r="M10536" s="9" t="s">
        <v>22</v>
      </c>
    </row>
    <row r="10537" ht="15.75" customHeight="1">
      <c r="A10537" s="7"/>
      <c r="B10537" s="7"/>
      <c r="M10537" s="9" t="s">
        <v>27</v>
      </c>
    </row>
    <row r="10538" ht="15.75" customHeight="1">
      <c r="A10538" s="7"/>
      <c r="B10538" s="7"/>
      <c r="M10538" s="9" t="s">
        <v>35</v>
      </c>
    </row>
    <row r="10539" ht="15.75" customHeight="1">
      <c r="A10539" s="7"/>
      <c r="B10539" s="7"/>
      <c r="M10539" s="9" t="s">
        <v>20</v>
      </c>
    </row>
    <row r="10540" ht="15.75" customHeight="1">
      <c r="A10540" s="7"/>
      <c r="B10540" s="7"/>
      <c r="M10540" s="9" t="s">
        <v>21</v>
      </c>
    </row>
    <row r="10541" ht="15.75" customHeight="1">
      <c r="A10541" s="7"/>
      <c r="B10541" s="7"/>
      <c r="M10541" s="9" t="s">
        <v>37</v>
      </c>
    </row>
    <row r="10542" ht="15.75" customHeight="1">
      <c r="A10542" s="7"/>
      <c r="B10542" s="7"/>
      <c r="M10542" s="9" t="s">
        <v>27</v>
      </c>
    </row>
    <row r="10543" ht="15.75" customHeight="1">
      <c r="A10543" s="7"/>
      <c r="B10543" s="7"/>
      <c r="M10543" s="9" t="s">
        <v>35</v>
      </c>
    </row>
    <row r="10544" ht="15.75" customHeight="1">
      <c r="A10544" s="7"/>
      <c r="B10544" s="7"/>
      <c r="M10544" s="9" t="s">
        <v>24</v>
      </c>
    </row>
    <row r="10545" ht="15.75" customHeight="1">
      <c r="A10545" s="7"/>
      <c r="B10545" s="7"/>
      <c r="M10545" s="9" t="s">
        <v>21</v>
      </c>
    </row>
    <row r="10546" ht="15.75" customHeight="1">
      <c r="A10546" s="7"/>
      <c r="B10546" s="7"/>
      <c r="M10546" s="9" t="s">
        <v>37</v>
      </c>
    </row>
    <row r="10547" ht="15.75" customHeight="1">
      <c r="A10547" s="7"/>
      <c r="B10547" s="7"/>
      <c r="M10547" s="9" t="s">
        <v>26</v>
      </c>
    </row>
    <row r="10548" ht="15.75" customHeight="1">
      <c r="A10548" s="7"/>
      <c r="B10548" s="7"/>
      <c r="M10548" s="9" t="s">
        <v>45</v>
      </c>
    </row>
    <row r="10549" ht="15.75" customHeight="1">
      <c r="A10549" s="7"/>
      <c r="B10549" s="7"/>
      <c r="M10549" s="9" t="s">
        <v>22</v>
      </c>
    </row>
    <row r="10550" ht="15.75" customHeight="1">
      <c r="A10550" s="7"/>
      <c r="B10550" s="7"/>
      <c r="M10550" s="9" t="s">
        <v>35</v>
      </c>
    </row>
    <row r="10551" ht="15.75" customHeight="1">
      <c r="A10551" s="7"/>
      <c r="B10551" s="7"/>
      <c r="M10551" s="9" t="s">
        <v>21</v>
      </c>
    </row>
    <row r="10552" ht="15.75" customHeight="1">
      <c r="A10552" s="7"/>
      <c r="B10552" s="7"/>
      <c r="M10552" s="9" t="s">
        <v>31</v>
      </c>
    </row>
    <row r="10553" ht="15.75" customHeight="1">
      <c r="A10553" s="7"/>
      <c r="B10553" s="7"/>
      <c r="M10553" s="9" t="s">
        <v>27</v>
      </c>
    </row>
    <row r="10554" ht="15.75" customHeight="1">
      <c r="A10554" s="7"/>
      <c r="B10554" s="7"/>
      <c r="M10554" s="9" t="s">
        <v>38</v>
      </c>
    </row>
    <row r="10555" ht="15.75" customHeight="1">
      <c r="A10555" s="7"/>
      <c r="B10555" s="7"/>
      <c r="M10555" s="9" t="s">
        <v>30</v>
      </c>
    </row>
    <row r="10556" ht="15.75" customHeight="1">
      <c r="A10556" s="7"/>
      <c r="B10556" s="7"/>
      <c r="M10556" s="9" t="s">
        <v>25</v>
      </c>
    </row>
    <row r="10557" ht="15.75" customHeight="1">
      <c r="A10557" s="7"/>
      <c r="B10557" s="7"/>
      <c r="M10557" s="9" t="s">
        <v>23</v>
      </c>
    </row>
    <row r="10558" ht="15.75" customHeight="1">
      <c r="A10558" s="7"/>
      <c r="B10558" s="7"/>
      <c r="M10558" s="9" t="s">
        <v>26</v>
      </c>
    </row>
    <row r="10559" ht="15.75" customHeight="1">
      <c r="A10559" s="7"/>
      <c r="B10559" s="7"/>
      <c r="M10559" s="9" t="s">
        <v>43</v>
      </c>
    </row>
    <row r="10560" ht="15.75" customHeight="1">
      <c r="A10560" s="7"/>
      <c r="B10560" s="7"/>
      <c r="M10560" s="9" t="s">
        <v>45</v>
      </c>
    </row>
    <row r="10561" ht="15.75" customHeight="1">
      <c r="A10561" s="7"/>
      <c r="B10561" s="7"/>
      <c r="M10561" s="9" t="s">
        <v>36</v>
      </c>
    </row>
    <row r="10562" ht="15.75" customHeight="1">
      <c r="A10562" s="7"/>
      <c r="B10562" s="7"/>
      <c r="M10562" s="9" t="s">
        <v>24</v>
      </c>
    </row>
    <row r="10563" ht="15.75" customHeight="1">
      <c r="A10563" s="7"/>
      <c r="B10563" s="7"/>
      <c r="M10563" s="9" t="s">
        <v>20</v>
      </c>
    </row>
    <row r="10564" ht="15.75" customHeight="1">
      <c r="A10564" s="7"/>
      <c r="B10564" s="7"/>
      <c r="M10564" s="9" t="s">
        <v>21</v>
      </c>
    </row>
    <row r="10565" ht="15.75" customHeight="1">
      <c r="A10565" s="7"/>
      <c r="B10565" s="7"/>
      <c r="M10565" s="9" t="s">
        <v>39</v>
      </c>
    </row>
    <row r="10566" ht="15.75" customHeight="1">
      <c r="A10566" s="7"/>
      <c r="B10566" s="7"/>
      <c r="M10566" s="9" t="s">
        <v>22</v>
      </c>
    </row>
    <row r="10567" ht="15.75" customHeight="1">
      <c r="A10567" s="7"/>
      <c r="B10567" s="7"/>
      <c r="M10567" s="9" t="s">
        <v>29</v>
      </c>
    </row>
    <row r="10568" ht="15.75" customHeight="1">
      <c r="A10568" s="7"/>
      <c r="B10568" s="7"/>
      <c r="M10568" s="9" t="s">
        <v>32</v>
      </c>
    </row>
    <row r="10569" ht="15.75" customHeight="1">
      <c r="A10569" s="7"/>
      <c r="B10569" s="7"/>
      <c r="M10569" s="9" t="s">
        <v>40</v>
      </c>
    </row>
    <row r="10570" ht="15.75" customHeight="1">
      <c r="A10570" s="7"/>
      <c r="B10570" s="7"/>
      <c r="M10570" s="9" t="s">
        <v>33</v>
      </c>
    </row>
    <row r="10571" ht="15.75" customHeight="1">
      <c r="A10571" s="7"/>
      <c r="B10571" s="7"/>
      <c r="M10571" s="9" t="s">
        <v>28</v>
      </c>
    </row>
    <row r="10572" ht="15.75" customHeight="1">
      <c r="A10572" s="7"/>
      <c r="B10572" s="7"/>
      <c r="M10572" s="9" t="s">
        <v>34</v>
      </c>
    </row>
    <row r="10573" ht="15.75" customHeight="1">
      <c r="A10573" s="7"/>
      <c r="B10573" s="7"/>
      <c r="M10573" s="9" t="s">
        <v>24</v>
      </c>
    </row>
    <row r="10574" ht="15.75" customHeight="1">
      <c r="A10574" s="7"/>
      <c r="B10574" s="7"/>
      <c r="M10574" s="9" t="s">
        <v>21</v>
      </c>
    </row>
    <row r="10575" ht="15.75" customHeight="1">
      <c r="A10575" s="7"/>
      <c r="B10575" s="7"/>
      <c r="M10575" s="9" t="s">
        <v>37</v>
      </c>
    </row>
    <row r="10576" ht="15.75" customHeight="1">
      <c r="A10576" s="7"/>
      <c r="B10576" s="7"/>
      <c r="M10576" s="9" t="s">
        <v>27</v>
      </c>
    </row>
    <row r="10577" ht="15.75" customHeight="1">
      <c r="A10577" s="7"/>
      <c r="B10577" s="7"/>
      <c r="M10577" s="9" t="s">
        <v>24</v>
      </c>
    </row>
    <row r="10578" ht="15.75" customHeight="1">
      <c r="A10578" s="7"/>
      <c r="B10578" s="7"/>
      <c r="M10578" s="9" t="s">
        <v>21</v>
      </c>
    </row>
    <row r="10579" ht="15.75" customHeight="1">
      <c r="A10579" s="7"/>
      <c r="B10579" s="7"/>
      <c r="M10579" s="9" t="s">
        <v>22</v>
      </c>
    </row>
    <row r="10580" ht="15.75" customHeight="1">
      <c r="A10580" s="7"/>
      <c r="B10580" s="7"/>
      <c r="M10580" s="9" t="s">
        <v>30</v>
      </c>
    </row>
    <row r="10581" ht="15.75" customHeight="1">
      <c r="A10581" s="7"/>
      <c r="B10581" s="7"/>
      <c r="M10581" s="9" t="s">
        <v>24</v>
      </c>
    </row>
    <row r="10582" ht="15.75" customHeight="1">
      <c r="A10582" s="7"/>
      <c r="B10582" s="7"/>
      <c r="M10582" s="9" t="s">
        <v>21</v>
      </c>
    </row>
    <row r="10583" ht="15.75" customHeight="1">
      <c r="A10583" s="7"/>
      <c r="B10583" s="7"/>
      <c r="M10583" s="9" t="s">
        <v>37</v>
      </c>
    </row>
    <row r="10584" ht="15.75" customHeight="1">
      <c r="A10584" s="7"/>
      <c r="B10584" s="7"/>
      <c r="M10584" s="9" t="s">
        <v>33</v>
      </c>
    </row>
    <row r="10585" ht="15.75" customHeight="1">
      <c r="A10585" s="7"/>
      <c r="B10585" s="7"/>
      <c r="M10585" s="9" t="s">
        <v>30</v>
      </c>
    </row>
    <row r="10586" ht="15.75" customHeight="1">
      <c r="A10586" s="7"/>
      <c r="B10586" s="7"/>
      <c r="M10586" s="9" t="s">
        <v>20</v>
      </c>
    </row>
    <row r="10587" ht="15.75" customHeight="1">
      <c r="A10587" s="7"/>
      <c r="B10587" s="7"/>
      <c r="M10587" s="9" t="s">
        <v>22</v>
      </c>
    </row>
    <row r="10588" ht="15.75" customHeight="1">
      <c r="A10588" s="7"/>
      <c r="B10588" s="7"/>
      <c r="M10588" s="9" t="s">
        <v>27</v>
      </c>
    </row>
    <row r="10589" ht="15.75" customHeight="1">
      <c r="A10589" s="7"/>
      <c r="B10589" s="7"/>
      <c r="M10589" s="9" t="s">
        <v>20</v>
      </c>
    </row>
    <row r="10590" ht="15.75" customHeight="1">
      <c r="A10590" s="7"/>
      <c r="B10590" s="7"/>
      <c r="M10590" s="9" t="s">
        <v>27</v>
      </c>
    </row>
    <row r="10591" ht="15.75" customHeight="1">
      <c r="A10591" s="7"/>
      <c r="B10591" s="7"/>
      <c r="M10591" s="9" t="s">
        <v>30</v>
      </c>
    </row>
    <row r="10592" ht="15.75" customHeight="1">
      <c r="A10592" s="7"/>
      <c r="B10592" s="7"/>
      <c r="M10592" s="9" t="s">
        <v>23</v>
      </c>
    </row>
    <row r="10593" ht="15.75" customHeight="1">
      <c r="A10593" s="7"/>
      <c r="B10593" s="7"/>
      <c r="M10593" s="9" t="s">
        <v>22</v>
      </c>
    </row>
    <row r="10594" ht="15.75" customHeight="1">
      <c r="A10594" s="7"/>
      <c r="B10594" s="7"/>
      <c r="M10594" s="9" t="s">
        <v>26</v>
      </c>
    </row>
    <row r="10595" ht="15.75" customHeight="1">
      <c r="A10595" s="7"/>
      <c r="B10595" s="7"/>
      <c r="M10595" s="9" t="s">
        <v>24</v>
      </c>
    </row>
    <row r="10596" ht="15.75" customHeight="1">
      <c r="A10596" s="7"/>
      <c r="B10596" s="7"/>
      <c r="M10596" s="9" t="s">
        <v>21</v>
      </c>
    </row>
    <row r="10597" ht="15.75" customHeight="1">
      <c r="A10597" s="7"/>
      <c r="B10597" s="7"/>
      <c r="M10597" s="9" t="s">
        <v>37</v>
      </c>
    </row>
    <row r="10598" ht="15.75" customHeight="1">
      <c r="A10598" s="7"/>
      <c r="B10598" s="7"/>
      <c r="M10598" s="9" t="s">
        <v>24</v>
      </c>
    </row>
    <row r="10599" ht="15.75" customHeight="1">
      <c r="A10599" s="7"/>
      <c r="B10599" s="7"/>
      <c r="M10599" s="9" t="s">
        <v>21</v>
      </c>
    </row>
    <row r="10600" ht="15.75" customHeight="1">
      <c r="A10600" s="7"/>
      <c r="B10600" s="7"/>
      <c r="M10600" s="9" t="s">
        <v>37</v>
      </c>
    </row>
    <row r="10601" ht="15.75" customHeight="1">
      <c r="A10601" s="7"/>
      <c r="B10601" s="7"/>
      <c r="M10601" s="9" t="s">
        <v>27</v>
      </c>
    </row>
    <row r="10602" ht="15.75" customHeight="1">
      <c r="A10602" s="7"/>
      <c r="B10602" s="7"/>
      <c r="M10602" s="9" t="s">
        <v>30</v>
      </c>
    </row>
    <row r="10603" ht="15.75" customHeight="1">
      <c r="A10603" s="7"/>
      <c r="B10603" s="7"/>
      <c r="M10603" s="9" t="s">
        <v>25</v>
      </c>
    </row>
    <row r="10604" ht="15.75" customHeight="1">
      <c r="A10604" s="7"/>
      <c r="B10604" s="7"/>
      <c r="M10604" s="9" t="s">
        <v>23</v>
      </c>
    </row>
    <row r="10605" ht="15.75" customHeight="1">
      <c r="A10605" s="7"/>
      <c r="B10605" s="7"/>
      <c r="M10605" s="9" t="s">
        <v>26</v>
      </c>
    </row>
    <row r="10606" ht="15.75" customHeight="1">
      <c r="A10606" s="7"/>
      <c r="B10606" s="7"/>
      <c r="M10606" s="9" t="s">
        <v>20</v>
      </c>
    </row>
    <row r="10607" ht="15.75" customHeight="1">
      <c r="A10607" s="7"/>
      <c r="B10607" s="7"/>
      <c r="M10607" s="9" t="s">
        <v>24</v>
      </c>
    </row>
    <row r="10608" ht="15.75" customHeight="1">
      <c r="A10608" s="7"/>
      <c r="B10608" s="7"/>
      <c r="M10608" s="9" t="s">
        <v>20</v>
      </c>
    </row>
    <row r="10609" ht="15.75" customHeight="1">
      <c r="A10609" s="7"/>
      <c r="B10609" s="7"/>
      <c r="M10609" s="9" t="s">
        <v>21</v>
      </c>
    </row>
    <row r="10610" ht="15.75" customHeight="1">
      <c r="A10610" s="7"/>
      <c r="B10610" s="7"/>
      <c r="M10610" s="9" t="s">
        <v>39</v>
      </c>
    </row>
    <row r="10611" ht="15.75" customHeight="1">
      <c r="A10611" s="7"/>
      <c r="B10611" s="7"/>
      <c r="M10611" s="9" t="s">
        <v>22</v>
      </c>
    </row>
    <row r="10612" ht="15.75" customHeight="1">
      <c r="A10612" s="7"/>
      <c r="B10612" s="7"/>
      <c r="M10612" s="9" t="s">
        <v>27</v>
      </c>
    </row>
    <row r="10613" ht="15.75" customHeight="1">
      <c r="A10613" s="7"/>
      <c r="B10613" s="7"/>
      <c r="M10613" s="9" t="s">
        <v>26</v>
      </c>
    </row>
    <row r="10614" ht="15.75" customHeight="1">
      <c r="A10614" s="7"/>
      <c r="B10614" s="7"/>
      <c r="M10614" s="9" t="s">
        <v>24</v>
      </c>
    </row>
    <row r="10615" ht="15.75" customHeight="1">
      <c r="A10615" s="7"/>
      <c r="B10615" s="7"/>
      <c r="M10615" s="9" t="s">
        <v>21</v>
      </c>
    </row>
    <row r="10616" ht="15.75" customHeight="1">
      <c r="A10616" s="7"/>
      <c r="B10616" s="7"/>
      <c r="M10616" s="9" t="s">
        <v>26</v>
      </c>
    </row>
    <row r="10617" ht="15.75" customHeight="1">
      <c r="A10617" s="7"/>
      <c r="B10617" s="7"/>
      <c r="M10617" s="9" t="s">
        <v>24</v>
      </c>
    </row>
    <row r="10618" ht="15.75" customHeight="1">
      <c r="A10618" s="7"/>
      <c r="B10618" s="7"/>
      <c r="M10618" s="9" t="s">
        <v>21</v>
      </c>
    </row>
    <row r="10619" ht="15.75" customHeight="1">
      <c r="A10619" s="7"/>
      <c r="B10619" s="7"/>
      <c r="M10619" s="9" t="s">
        <v>27</v>
      </c>
    </row>
    <row r="10620" ht="15.75" customHeight="1">
      <c r="A10620" s="7"/>
      <c r="B10620" s="7"/>
      <c r="M10620" s="9" t="s">
        <v>33</v>
      </c>
    </row>
    <row r="10621" ht="15.75" customHeight="1">
      <c r="A10621" s="7"/>
      <c r="B10621" s="7"/>
      <c r="M10621" s="9" t="s">
        <v>36</v>
      </c>
    </row>
    <row r="10622" ht="15.75" customHeight="1">
      <c r="A10622" s="7"/>
      <c r="B10622" s="7"/>
      <c r="M10622" s="9" t="s">
        <v>41</v>
      </c>
    </row>
    <row r="10623" ht="15.75" customHeight="1">
      <c r="A10623" s="7"/>
      <c r="B10623" s="7"/>
      <c r="M10623" s="9" t="s">
        <v>40</v>
      </c>
    </row>
    <row r="10624" ht="15.75" customHeight="1">
      <c r="A10624" s="7"/>
      <c r="B10624" s="7"/>
      <c r="M10624" s="9" t="s">
        <v>33</v>
      </c>
    </row>
    <row r="10625" ht="15.75" customHeight="1">
      <c r="A10625" s="7"/>
      <c r="B10625" s="7"/>
      <c r="M10625" s="9" t="s">
        <v>30</v>
      </c>
    </row>
    <row r="10626" ht="15.75" customHeight="1">
      <c r="A10626" s="7"/>
      <c r="B10626" s="7"/>
      <c r="M10626" s="9" t="s">
        <v>42</v>
      </c>
    </row>
    <row r="10627" ht="15.75" customHeight="1">
      <c r="A10627" s="7"/>
      <c r="B10627" s="7"/>
      <c r="M10627" s="9" t="s">
        <v>24</v>
      </c>
    </row>
    <row r="10628" ht="15.75" customHeight="1">
      <c r="A10628" s="7"/>
      <c r="B10628" s="7"/>
      <c r="M10628" s="9" t="s">
        <v>21</v>
      </c>
    </row>
    <row r="10629" ht="15.75" customHeight="1">
      <c r="A10629" s="7"/>
      <c r="B10629" s="7"/>
      <c r="M10629" s="9" t="s">
        <v>31</v>
      </c>
    </row>
    <row r="10630" ht="15.75" customHeight="1">
      <c r="A10630" s="7"/>
      <c r="B10630" s="7"/>
      <c r="M10630" s="9" t="s">
        <v>25</v>
      </c>
    </row>
    <row r="10631" ht="15.75" customHeight="1">
      <c r="A10631" s="7"/>
      <c r="B10631" s="7"/>
      <c r="M10631" s="9" t="s">
        <v>23</v>
      </c>
    </row>
    <row r="10632" ht="15.75" customHeight="1">
      <c r="A10632" s="7"/>
      <c r="B10632" s="7"/>
      <c r="M10632" s="9" t="s">
        <v>20</v>
      </c>
    </row>
    <row r="10633" ht="15.75" customHeight="1">
      <c r="A10633" s="7"/>
      <c r="B10633" s="7"/>
      <c r="M10633" s="9" t="s">
        <v>37</v>
      </c>
    </row>
    <row r="10634" ht="15.75" customHeight="1">
      <c r="A10634" s="7"/>
      <c r="B10634" s="7"/>
      <c r="M10634" s="9" t="s">
        <v>27</v>
      </c>
    </row>
    <row r="10635" ht="15.75" customHeight="1">
      <c r="A10635" s="7"/>
      <c r="B10635" s="7"/>
      <c r="M10635" s="9" t="s">
        <v>21</v>
      </c>
    </row>
    <row r="10636" ht="15.75" customHeight="1">
      <c r="A10636" s="7"/>
      <c r="B10636" s="7"/>
      <c r="M10636" s="9" t="s">
        <v>33</v>
      </c>
    </row>
    <row r="10637" ht="15.75" customHeight="1">
      <c r="A10637" s="7"/>
      <c r="B10637" s="7"/>
      <c r="M10637" s="9" t="s">
        <v>30</v>
      </c>
    </row>
    <row r="10638" ht="15.75" customHeight="1">
      <c r="A10638" s="7"/>
      <c r="B10638" s="7"/>
      <c r="M10638" s="9" t="s">
        <v>26</v>
      </c>
    </row>
    <row r="10639" ht="15.75" customHeight="1">
      <c r="A10639" s="7"/>
      <c r="B10639" s="7"/>
      <c r="M10639" s="9" t="s">
        <v>24</v>
      </c>
    </row>
    <row r="10640" ht="15.75" customHeight="1">
      <c r="A10640" s="7"/>
      <c r="B10640" s="7"/>
      <c r="M10640" s="9" t="s">
        <v>21</v>
      </c>
    </row>
    <row r="10641" ht="15.75" customHeight="1">
      <c r="A10641" s="7"/>
      <c r="B10641" s="7"/>
      <c r="M10641" s="9" t="s">
        <v>37</v>
      </c>
    </row>
    <row r="10642" ht="15.75" customHeight="1">
      <c r="A10642" s="7"/>
      <c r="B10642" s="7"/>
      <c r="M10642" s="9" t="s">
        <v>27</v>
      </c>
    </row>
    <row r="10643" ht="15.75" customHeight="1">
      <c r="A10643" s="7"/>
      <c r="B10643" s="7"/>
      <c r="M10643" s="9" t="s">
        <v>35</v>
      </c>
    </row>
    <row r="10644" ht="15.75" customHeight="1">
      <c r="A10644" s="7"/>
      <c r="B10644" s="7"/>
      <c r="M10644" s="9" t="s">
        <v>21</v>
      </c>
    </row>
    <row r="10645" ht="15.75" customHeight="1">
      <c r="A10645" s="7"/>
      <c r="B10645" s="7"/>
      <c r="M10645" s="9" t="s">
        <v>39</v>
      </c>
    </row>
    <row r="10646" ht="15.75" customHeight="1">
      <c r="A10646" s="7"/>
      <c r="B10646" s="7"/>
      <c r="M10646" s="9" t="s">
        <v>40</v>
      </c>
    </row>
    <row r="10647" ht="15.75" customHeight="1">
      <c r="A10647" s="7"/>
      <c r="B10647" s="7"/>
      <c r="M10647" s="9" t="s">
        <v>30</v>
      </c>
    </row>
    <row r="10648" ht="15.75" customHeight="1">
      <c r="A10648" s="7"/>
      <c r="B10648" s="7"/>
      <c r="M10648" s="9" t="s">
        <v>26</v>
      </c>
    </row>
    <row r="10649" ht="15.75" customHeight="1">
      <c r="A10649" s="7"/>
      <c r="B10649" s="7"/>
      <c r="M10649" s="9" t="s">
        <v>24</v>
      </c>
    </row>
    <row r="10650" ht="15.75" customHeight="1">
      <c r="A10650" s="7"/>
      <c r="B10650" s="7"/>
      <c r="M10650" s="9" t="s">
        <v>21</v>
      </c>
    </row>
    <row r="10651" ht="15.75" customHeight="1">
      <c r="A10651" s="7"/>
      <c r="B10651" s="7"/>
      <c r="M10651" s="9" t="s">
        <v>32</v>
      </c>
    </row>
    <row r="10652" ht="15.75" customHeight="1">
      <c r="A10652" s="7"/>
      <c r="B10652" s="7"/>
      <c r="M10652" s="9" t="s">
        <v>27</v>
      </c>
    </row>
    <row r="10653" ht="15.75" customHeight="1">
      <c r="A10653" s="7"/>
      <c r="B10653" s="7"/>
      <c r="M10653" s="9" t="s">
        <v>33</v>
      </c>
    </row>
    <row r="10654" ht="15.75" customHeight="1">
      <c r="A10654" s="7"/>
      <c r="B10654" s="7"/>
      <c r="M10654" s="9" t="s">
        <v>28</v>
      </c>
    </row>
    <row r="10655" ht="15.75" customHeight="1">
      <c r="A10655" s="7"/>
      <c r="B10655" s="7"/>
      <c r="M10655" s="9" t="s">
        <v>23</v>
      </c>
    </row>
    <row r="10656" ht="15.75" customHeight="1">
      <c r="A10656" s="7"/>
      <c r="B10656" s="7"/>
      <c r="M10656" s="9" t="s">
        <v>24</v>
      </c>
    </row>
    <row r="10657" ht="15.75" customHeight="1">
      <c r="A10657" s="7"/>
      <c r="B10657" s="7"/>
      <c r="M10657" s="9" t="s">
        <v>20</v>
      </c>
    </row>
    <row r="10658" ht="15.75" customHeight="1">
      <c r="A10658" s="7"/>
      <c r="B10658" s="7"/>
      <c r="M10658" s="9" t="s">
        <v>37</v>
      </c>
    </row>
    <row r="10659" ht="15.75" customHeight="1">
      <c r="A10659" s="7"/>
      <c r="B10659" s="7"/>
      <c r="M10659" s="9" t="s">
        <v>22</v>
      </c>
    </row>
    <row r="10660" ht="15.75" customHeight="1">
      <c r="A10660" s="7"/>
      <c r="B10660" s="7"/>
      <c r="M10660" s="9" t="s">
        <v>27</v>
      </c>
    </row>
    <row r="10661" ht="15.75" customHeight="1">
      <c r="A10661" s="7"/>
      <c r="B10661" s="7"/>
      <c r="M10661" s="9" t="s">
        <v>28</v>
      </c>
    </row>
    <row r="10662" ht="15.75" customHeight="1">
      <c r="A10662" s="7"/>
      <c r="B10662" s="7"/>
      <c r="M10662" s="9" t="s">
        <v>26</v>
      </c>
    </row>
    <row r="10663" ht="15.75" customHeight="1">
      <c r="A10663" s="7"/>
      <c r="B10663" s="7"/>
      <c r="M10663" s="9" t="s">
        <v>24</v>
      </c>
    </row>
    <row r="10664" ht="15.75" customHeight="1">
      <c r="A10664" s="7"/>
      <c r="B10664" s="7"/>
      <c r="M10664" s="9" t="s">
        <v>21</v>
      </c>
    </row>
    <row r="10665" ht="15.75" customHeight="1">
      <c r="A10665" s="7"/>
      <c r="B10665" s="7"/>
      <c r="M10665" s="9" t="s">
        <v>33</v>
      </c>
    </row>
    <row r="10666" ht="15.75" customHeight="1">
      <c r="A10666" s="7"/>
      <c r="B10666" s="7"/>
      <c r="M10666" s="9" t="s">
        <v>26</v>
      </c>
    </row>
    <row r="10667" ht="15.75" customHeight="1">
      <c r="A10667" s="7"/>
      <c r="B10667" s="7"/>
      <c r="M10667" s="9" t="s">
        <v>24</v>
      </c>
    </row>
    <row r="10668" ht="15.75" customHeight="1">
      <c r="A10668" s="7"/>
      <c r="B10668" s="7"/>
      <c r="M10668" s="9" t="s">
        <v>41</v>
      </c>
    </row>
    <row r="10669" ht="15.75" customHeight="1">
      <c r="A10669" s="7"/>
      <c r="B10669" s="7"/>
      <c r="M10669" s="9" t="s">
        <v>22</v>
      </c>
    </row>
    <row r="10670" ht="15.75" customHeight="1">
      <c r="A10670" s="7"/>
      <c r="B10670" s="7"/>
      <c r="M10670" s="9" t="s">
        <v>20</v>
      </c>
    </row>
    <row r="10671" ht="15.75" customHeight="1">
      <c r="A10671" s="7"/>
      <c r="B10671" s="7"/>
      <c r="M10671" s="9" t="s">
        <v>27</v>
      </c>
    </row>
    <row r="10672" ht="15.75" customHeight="1">
      <c r="A10672" s="7"/>
      <c r="B10672" s="7"/>
      <c r="M10672" s="9" t="s">
        <v>30</v>
      </c>
    </row>
    <row r="10673" ht="15.75" customHeight="1">
      <c r="A10673" s="7"/>
      <c r="B10673" s="7"/>
      <c r="M10673" s="9" t="s">
        <v>24</v>
      </c>
    </row>
    <row r="10674" ht="15.75" customHeight="1">
      <c r="A10674" s="7"/>
      <c r="B10674" s="7"/>
      <c r="M10674" s="9" t="s">
        <v>21</v>
      </c>
    </row>
    <row r="10675" ht="15.75" customHeight="1">
      <c r="A10675" s="7"/>
      <c r="B10675" s="7"/>
      <c r="M10675" s="9" t="s">
        <v>37</v>
      </c>
    </row>
    <row r="10676" ht="15.75" customHeight="1">
      <c r="A10676" s="7"/>
      <c r="B10676" s="7"/>
      <c r="M10676" s="9" t="s">
        <v>22</v>
      </c>
    </row>
    <row r="10677" ht="15.75" customHeight="1">
      <c r="A10677" s="7"/>
      <c r="B10677" s="7"/>
      <c r="M10677" s="9" t="s">
        <v>27</v>
      </c>
    </row>
    <row r="10678" ht="15.75" customHeight="1">
      <c r="A10678" s="7"/>
      <c r="B10678" s="7"/>
      <c r="M10678" s="9" t="s">
        <v>26</v>
      </c>
    </row>
    <row r="10679" ht="15.75" customHeight="1">
      <c r="A10679" s="7"/>
      <c r="B10679" s="7"/>
      <c r="M10679" s="9" t="s">
        <v>24</v>
      </c>
    </row>
    <row r="10680" ht="15.75" customHeight="1">
      <c r="A10680" s="7"/>
      <c r="B10680" s="7"/>
      <c r="M10680" s="9" t="s">
        <v>20</v>
      </c>
    </row>
    <row r="10681" ht="15.75" customHeight="1">
      <c r="A10681" s="7"/>
      <c r="B10681" s="7"/>
      <c r="M10681" s="9" t="s">
        <v>21</v>
      </c>
    </row>
    <row r="10682" ht="15.75" customHeight="1">
      <c r="A10682" s="7"/>
      <c r="B10682" s="7"/>
      <c r="M10682" s="9" t="s">
        <v>27</v>
      </c>
    </row>
    <row r="10683" ht="15.75" customHeight="1">
      <c r="A10683" s="7"/>
      <c r="B10683" s="7"/>
      <c r="M10683" s="9" t="s">
        <v>33</v>
      </c>
    </row>
    <row r="10684" ht="15.75" customHeight="1">
      <c r="A10684" s="7"/>
      <c r="B10684" s="7"/>
      <c r="M10684" s="9" t="s">
        <v>24</v>
      </c>
    </row>
    <row r="10685" ht="15.75" customHeight="1">
      <c r="A10685" s="7"/>
      <c r="B10685" s="7"/>
      <c r="M10685" s="9" t="s">
        <v>21</v>
      </c>
    </row>
    <row r="10686" ht="15.75" customHeight="1">
      <c r="A10686" s="7"/>
      <c r="B10686" s="7"/>
      <c r="M10686" s="9" t="s">
        <v>37</v>
      </c>
    </row>
    <row r="10687" ht="15.75" customHeight="1">
      <c r="A10687" s="7"/>
      <c r="B10687" s="7"/>
      <c r="M10687" s="9" t="s">
        <v>27</v>
      </c>
    </row>
    <row r="10688" ht="15.75" customHeight="1">
      <c r="A10688" s="7"/>
      <c r="B10688" s="7"/>
      <c r="M10688" s="9" t="s">
        <v>38</v>
      </c>
    </row>
    <row r="10689" ht="15.75" customHeight="1">
      <c r="A10689" s="7"/>
      <c r="B10689" s="7"/>
      <c r="M10689" s="9" t="s">
        <v>30</v>
      </c>
    </row>
    <row r="10690" ht="15.75" customHeight="1">
      <c r="A10690" s="7"/>
      <c r="B10690" s="7"/>
      <c r="M10690" s="9" t="s">
        <v>25</v>
      </c>
    </row>
    <row r="10691" ht="15.75" customHeight="1">
      <c r="A10691" s="7"/>
      <c r="B10691" s="7"/>
      <c r="M10691" s="9" t="s">
        <v>23</v>
      </c>
    </row>
    <row r="10692" ht="15.75" customHeight="1">
      <c r="A10692" s="7"/>
      <c r="B10692" s="7"/>
      <c r="M10692" s="9" t="s">
        <v>26</v>
      </c>
    </row>
    <row r="10693" ht="15.75" customHeight="1">
      <c r="A10693" s="7"/>
      <c r="B10693" s="7"/>
      <c r="M10693" s="9" t="s">
        <v>36</v>
      </c>
    </row>
    <row r="10694" ht="15.75" customHeight="1">
      <c r="A10694" s="7"/>
      <c r="B10694" s="7"/>
      <c r="M10694" s="9" t="s">
        <v>24</v>
      </c>
    </row>
    <row r="10695" ht="15.75" customHeight="1">
      <c r="A10695" s="7"/>
      <c r="B10695" s="7"/>
      <c r="M10695" s="9" t="s">
        <v>21</v>
      </c>
    </row>
    <row r="10696" ht="15.75" customHeight="1">
      <c r="A10696" s="7"/>
      <c r="B10696" s="7"/>
      <c r="M10696" s="9" t="s">
        <v>37</v>
      </c>
    </row>
    <row r="10697" ht="15.75" customHeight="1">
      <c r="A10697" s="7"/>
      <c r="B10697" s="7"/>
      <c r="M10697" s="9" t="s">
        <v>22</v>
      </c>
    </row>
    <row r="10698" ht="15.75" customHeight="1">
      <c r="A10698" s="7"/>
      <c r="B10698" s="7"/>
      <c r="M10698" s="9" t="s">
        <v>32</v>
      </c>
    </row>
    <row r="10699" ht="15.75" customHeight="1">
      <c r="A10699" s="7"/>
      <c r="B10699" s="7"/>
      <c r="M10699" s="9" t="s">
        <v>34</v>
      </c>
    </row>
    <row r="10700" ht="15.75" customHeight="1">
      <c r="A10700" s="7"/>
      <c r="B10700" s="7"/>
      <c r="M10700" s="9" t="s">
        <v>35</v>
      </c>
    </row>
    <row r="10701" ht="15.75" customHeight="1">
      <c r="A10701" s="7"/>
      <c r="B10701" s="7"/>
      <c r="M10701" s="9" t="s">
        <v>38</v>
      </c>
    </row>
    <row r="10702" ht="15.75" customHeight="1">
      <c r="A10702" s="7"/>
      <c r="B10702" s="7"/>
      <c r="M10702" s="9" t="s">
        <v>30</v>
      </c>
    </row>
    <row r="10703" ht="15.75" customHeight="1">
      <c r="A10703" s="7"/>
      <c r="B10703" s="7"/>
      <c r="M10703" s="9" t="s">
        <v>25</v>
      </c>
    </row>
    <row r="10704" ht="15.75" customHeight="1">
      <c r="A10704" s="7"/>
      <c r="B10704" s="7"/>
      <c r="M10704" s="9" t="s">
        <v>23</v>
      </c>
    </row>
    <row r="10705" ht="15.75" customHeight="1">
      <c r="A10705" s="7"/>
      <c r="B10705" s="7"/>
      <c r="M10705" s="9" t="s">
        <v>20</v>
      </c>
    </row>
    <row r="10706" ht="15.75" customHeight="1">
      <c r="A10706" s="7"/>
      <c r="B10706" s="7"/>
      <c r="M10706" s="9" t="s">
        <v>21</v>
      </c>
    </row>
    <row r="10707" ht="15.75" customHeight="1">
      <c r="A10707" s="7"/>
      <c r="B10707" s="7"/>
      <c r="M10707" s="9" t="s">
        <v>37</v>
      </c>
    </row>
    <row r="10708" ht="15.75" customHeight="1">
      <c r="A10708" s="7"/>
      <c r="B10708" s="7"/>
      <c r="M10708" s="9" t="s">
        <v>22</v>
      </c>
    </row>
    <row r="10709" ht="15.75" customHeight="1">
      <c r="A10709" s="7"/>
      <c r="B10709" s="7"/>
      <c r="M10709" s="9" t="s">
        <v>27</v>
      </c>
    </row>
    <row r="10710" ht="15.75" customHeight="1">
      <c r="A10710" s="7"/>
      <c r="B10710" s="7"/>
      <c r="M10710" s="9" t="s">
        <v>34</v>
      </c>
    </row>
    <row r="10711" ht="15.75" customHeight="1">
      <c r="A10711" s="7"/>
      <c r="B10711" s="7"/>
      <c r="M10711" s="9" t="s">
        <v>30</v>
      </c>
    </row>
    <row r="10712" ht="15.75" customHeight="1">
      <c r="A10712" s="7"/>
      <c r="B10712" s="7"/>
      <c r="M10712" s="9" t="s">
        <v>21</v>
      </c>
    </row>
    <row r="10713" ht="15.75" customHeight="1">
      <c r="A10713" s="7"/>
      <c r="B10713" s="7"/>
      <c r="M10713" s="9" t="s">
        <v>37</v>
      </c>
    </row>
    <row r="10714" ht="15.75" customHeight="1">
      <c r="A10714" s="7"/>
      <c r="B10714" s="7"/>
      <c r="M10714" s="9" t="s">
        <v>27</v>
      </c>
    </row>
    <row r="10715" ht="15.75" customHeight="1">
      <c r="A10715" s="7"/>
      <c r="B10715" s="7"/>
      <c r="M10715" s="9" t="s">
        <v>38</v>
      </c>
    </row>
    <row r="10716" ht="15.75" customHeight="1">
      <c r="A10716" s="7"/>
      <c r="B10716" s="7"/>
      <c r="M10716" s="9" t="s">
        <v>23</v>
      </c>
    </row>
    <row r="10717" ht="15.75" customHeight="1">
      <c r="A10717" s="7"/>
      <c r="B10717" s="7"/>
      <c r="M10717" s="9" t="s">
        <v>22</v>
      </c>
    </row>
    <row r="10718" ht="15.75" customHeight="1">
      <c r="A10718" s="7"/>
      <c r="B10718" s="7"/>
      <c r="M10718" s="9" t="s">
        <v>30</v>
      </c>
    </row>
    <row r="10719" ht="15.75" customHeight="1">
      <c r="A10719" s="7"/>
      <c r="B10719" s="7"/>
      <c r="M10719" s="9" t="s">
        <v>26</v>
      </c>
    </row>
    <row r="10720" ht="15.75" customHeight="1">
      <c r="A10720" s="7"/>
      <c r="B10720" s="7"/>
      <c r="M10720" s="9" t="s">
        <v>24</v>
      </c>
    </row>
    <row r="10721" ht="15.75" customHeight="1">
      <c r="A10721" s="7"/>
      <c r="B10721" s="7"/>
      <c r="M10721" s="9" t="s">
        <v>21</v>
      </c>
    </row>
    <row r="10722" ht="15.75" customHeight="1">
      <c r="A10722" s="7"/>
      <c r="B10722" s="7"/>
      <c r="M10722" s="9" t="s">
        <v>22</v>
      </c>
    </row>
    <row r="10723" ht="15.75" customHeight="1">
      <c r="A10723" s="7"/>
      <c r="B10723" s="7"/>
      <c r="M10723" s="9" t="s">
        <v>27</v>
      </c>
    </row>
    <row r="10724" ht="15.75" customHeight="1">
      <c r="A10724" s="7"/>
      <c r="B10724" s="7"/>
      <c r="M10724" s="9" t="s">
        <v>30</v>
      </c>
    </row>
    <row r="10725" ht="15.75" customHeight="1">
      <c r="A10725" s="7"/>
      <c r="B10725" s="7"/>
      <c r="M10725" s="9" t="s">
        <v>25</v>
      </c>
    </row>
    <row r="10726" ht="15.75" customHeight="1">
      <c r="A10726" s="7"/>
      <c r="B10726" s="7"/>
      <c r="M10726" s="9" t="s">
        <v>22</v>
      </c>
    </row>
    <row r="10727" ht="15.75" customHeight="1">
      <c r="A10727" s="7"/>
      <c r="B10727" s="7"/>
      <c r="M10727" s="9" t="s">
        <v>24</v>
      </c>
    </row>
    <row r="10728" ht="15.75" customHeight="1">
      <c r="A10728" s="7"/>
      <c r="B10728" s="7"/>
      <c r="M10728" s="9" t="s">
        <v>31</v>
      </c>
    </row>
    <row r="10729" ht="15.75" customHeight="1">
      <c r="A10729" s="7"/>
      <c r="B10729" s="7"/>
      <c r="M10729" s="9" t="s">
        <v>30</v>
      </c>
    </row>
    <row r="10730" ht="15.75" customHeight="1">
      <c r="A10730" s="7"/>
      <c r="B10730" s="7"/>
      <c r="M10730" s="9" t="s">
        <v>26</v>
      </c>
    </row>
    <row r="10731" ht="15.75" customHeight="1">
      <c r="A10731" s="7"/>
      <c r="B10731" s="7"/>
      <c r="M10731" s="9" t="s">
        <v>27</v>
      </c>
    </row>
    <row r="10732" ht="15.75" customHeight="1">
      <c r="A10732" s="7"/>
      <c r="B10732" s="7"/>
      <c r="M10732" s="9" t="s">
        <v>33</v>
      </c>
    </row>
    <row r="10733" ht="15.75" customHeight="1">
      <c r="A10733" s="7"/>
      <c r="B10733" s="7"/>
      <c r="M10733" s="9" t="s">
        <v>26</v>
      </c>
    </row>
    <row r="10734" ht="15.75" customHeight="1">
      <c r="A10734" s="7"/>
      <c r="B10734" s="7"/>
      <c r="M10734" s="9" t="s">
        <v>24</v>
      </c>
    </row>
    <row r="10735" ht="15.75" customHeight="1">
      <c r="A10735" s="7"/>
      <c r="B10735" s="7"/>
      <c r="M10735" s="9" t="s">
        <v>21</v>
      </c>
    </row>
    <row r="10736" ht="15.75" customHeight="1">
      <c r="A10736" s="7"/>
      <c r="B10736" s="7"/>
      <c r="M10736" s="9" t="s">
        <v>27</v>
      </c>
    </row>
    <row r="10737" ht="15.75" customHeight="1">
      <c r="A10737" s="7"/>
      <c r="B10737" s="7"/>
      <c r="M10737" s="9" t="s">
        <v>34</v>
      </c>
    </row>
    <row r="10738" ht="15.75" customHeight="1">
      <c r="A10738" s="7"/>
      <c r="B10738" s="7"/>
      <c r="M10738" s="9" t="s">
        <v>21</v>
      </c>
    </row>
    <row r="10739" ht="15.75" customHeight="1">
      <c r="A10739" s="7"/>
      <c r="B10739" s="7"/>
      <c r="M10739" s="9" t="s">
        <v>40</v>
      </c>
    </row>
    <row r="10740" ht="15.75" customHeight="1">
      <c r="A10740" s="7"/>
      <c r="B10740" s="7"/>
      <c r="M10740" s="9" t="s">
        <v>33</v>
      </c>
    </row>
    <row r="10741" ht="15.75" customHeight="1">
      <c r="A10741" s="7"/>
      <c r="B10741" s="7"/>
      <c r="M10741" s="9" t="s">
        <v>25</v>
      </c>
    </row>
    <row r="10742" ht="15.75" customHeight="1">
      <c r="A10742" s="7"/>
      <c r="B10742" s="7"/>
      <c r="M10742" s="9" t="s">
        <v>23</v>
      </c>
    </row>
    <row r="10743" ht="15.75" customHeight="1">
      <c r="A10743" s="7"/>
      <c r="B10743" s="7"/>
      <c r="M10743" s="9" t="s">
        <v>26</v>
      </c>
    </row>
    <row r="10744" ht="15.75" customHeight="1">
      <c r="A10744" s="7"/>
      <c r="B10744" s="7"/>
      <c r="M10744" s="9" t="s">
        <v>24</v>
      </c>
    </row>
    <row r="10745" ht="15.75" customHeight="1">
      <c r="A10745" s="7"/>
      <c r="B10745" s="7"/>
      <c r="M10745" s="9" t="s">
        <v>20</v>
      </c>
    </row>
    <row r="10746" ht="15.75" customHeight="1">
      <c r="A10746" s="7"/>
      <c r="B10746" s="7"/>
      <c r="M10746" s="9" t="s">
        <v>21</v>
      </c>
    </row>
    <row r="10747" ht="15.75" customHeight="1">
      <c r="A10747" s="7"/>
      <c r="B10747" s="7"/>
      <c r="M10747" s="9" t="s">
        <v>39</v>
      </c>
    </row>
    <row r="10748" ht="15.75" customHeight="1">
      <c r="A10748" s="7"/>
      <c r="B10748" s="7"/>
      <c r="M10748" s="9" t="s">
        <v>27</v>
      </c>
    </row>
    <row r="10749" ht="15.75" customHeight="1">
      <c r="A10749" s="7"/>
      <c r="B10749" s="7"/>
      <c r="M10749" s="9" t="s">
        <v>33</v>
      </c>
    </row>
    <row r="10750" ht="15.75" customHeight="1">
      <c r="A10750" s="7"/>
      <c r="B10750" s="7"/>
      <c r="M10750" s="9" t="s">
        <v>30</v>
      </c>
    </row>
    <row r="10751" ht="15.75" customHeight="1">
      <c r="A10751" s="7"/>
      <c r="B10751" s="7"/>
      <c r="M10751" s="9" t="s">
        <v>24</v>
      </c>
    </row>
    <row r="10752" ht="15.75" customHeight="1">
      <c r="A10752" s="7"/>
      <c r="B10752" s="7"/>
      <c r="M10752" s="9" t="s">
        <v>21</v>
      </c>
    </row>
    <row r="10753" ht="15.75" customHeight="1">
      <c r="A10753" s="7"/>
      <c r="B10753" s="7"/>
      <c r="M10753" s="9" t="s">
        <v>28</v>
      </c>
    </row>
    <row r="10754" ht="15.75" customHeight="1">
      <c r="A10754" s="7"/>
      <c r="B10754" s="7"/>
      <c r="M10754" s="9" t="s">
        <v>30</v>
      </c>
    </row>
    <row r="10755" ht="15.75" customHeight="1">
      <c r="A10755" s="7"/>
      <c r="B10755" s="7"/>
      <c r="M10755" s="9" t="s">
        <v>26</v>
      </c>
    </row>
    <row r="10756" ht="15.75" customHeight="1">
      <c r="A10756" s="7"/>
      <c r="B10756" s="7"/>
      <c r="M10756" s="9" t="s">
        <v>24</v>
      </c>
    </row>
    <row r="10757" ht="15.75" customHeight="1">
      <c r="A10757" s="7"/>
      <c r="B10757" s="7"/>
      <c r="M10757" s="9" t="s">
        <v>20</v>
      </c>
    </row>
    <row r="10758" ht="15.75" customHeight="1">
      <c r="A10758" s="7"/>
      <c r="B10758" s="7"/>
      <c r="M10758" s="9" t="s">
        <v>21</v>
      </c>
    </row>
    <row r="10759" ht="15.75" customHeight="1">
      <c r="A10759" s="7"/>
      <c r="B10759" s="7"/>
      <c r="M10759" s="9" t="s">
        <v>37</v>
      </c>
    </row>
    <row r="10760" ht="15.75" customHeight="1">
      <c r="A10760" s="7"/>
      <c r="B10760" s="7"/>
      <c r="M10760" s="9" t="s">
        <v>27</v>
      </c>
    </row>
    <row r="10761" ht="15.75" customHeight="1">
      <c r="A10761" s="7"/>
      <c r="B10761" s="7"/>
      <c r="M10761" s="9" t="s">
        <v>20</v>
      </c>
    </row>
    <row r="10762" ht="15.75" customHeight="1">
      <c r="A10762" s="7"/>
      <c r="B10762" s="7"/>
      <c r="M10762" s="9" t="s">
        <v>27</v>
      </c>
    </row>
    <row r="10763" ht="15.75" customHeight="1">
      <c r="A10763" s="7"/>
      <c r="B10763" s="7"/>
      <c r="M10763" s="9" t="s">
        <v>28</v>
      </c>
    </row>
    <row r="10764" ht="15.75" customHeight="1">
      <c r="A10764" s="7"/>
      <c r="B10764" s="7"/>
      <c r="M10764" s="9" t="s">
        <v>24</v>
      </c>
    </row>
    <row r="10765" ht="15.75" customHeight="1">
      <c r="A10765" s="7"/>
      <c r="B10765" s="7"/>
      <c r="M10765" s="9" t="s">
        <v>21</v>
      </c>
    </row>
    <row r="10766" ht="15.75" customHeight="1">
      <c r="A10766" s="7"/>
      <c r="B10766" s="7"/>
      <c r="M10766" s="9" t="s">
        <v>33</v>
      </c>
    </row>
    <row r="10767" ht="15.75" customHeight="1">
      <c r="A10767" s="7"/>
      <c r="B10767" s="7"/>
      <c r="M10767" s="9" t="s">
        <v>21</v>
      </c>
    </row>
    <row r="10768" ht="15.75" customHeight="1">
      <c r="A10768" s="7"/>
      <c r="B10768" s="7"/>
      <c r="M10768" s="9" t="s">
        <v>37</v>
      </c>
    </row>
    <row r="10769" ht="15.75" customHeight="1">
      <c r="A10769" s="7"/>
      <c r="B10769" s="7"/>
      <c r="M10769" s="9" t="s">
        <v>25</v>
      </c>
    </row>
    <row r="10770" ht="15.75" customHeight="1">
      <c r="A10770" s="7"/>
      <c r="B10770" s="7"/>
      <c r="M10770" s="9" t="s">
        <v>23</v>
      </c>
    </row>
    <row r="10771" ht="15.75" customHeight="1">
      <c r="A10771" s="7"/>
      <c r="B10771" s="7"/>
      <c r="M10771" s="9" t="s">
        <v>24</v>
      </c>
    </row>
    <row r="10772" ht="15.75" customHeight="1">
      <c r="A10772" s="7"/>
      <c r="B10772" s="7"/>
      <c r="M10772" s="9" t="s">
        <v>20</v>
      </c>
    </row>
    <row r="10773" ht="15.75" customHeight="1">
      <c r="A10773" s="7"/>
      <c r="B10773" s="7"/>
      <c r="M10773" s="9" t="s">
        <v>21</v>
      </c>
    </row>
    <row r="10774" ht="15.75" customHeight="1">
      <c r="A10774" s="7"/>
      <c r="B10774" s="7"/>
      <c r="M10774" s="9" t="s">
        <v>41</v>
      </c>
    </row>
    <row r="10775" ht="15.75" customHeight="1">
      <c r="A10775" s="7"/>
      <c r="B10775" s="7"/>
      <c r="M10775" s="9" t="s">
        <v>22</v>
      </c>
    </row>
    <row r="10776" ht="15.75" customHeight="1">
      <c r="A10776" s="7"/>
      <c r="B10776" s="7"/>
      <c r="M10776" s="9" t="s">
        <v>33</v>
      </c>
    </row>
    <row r="10777" ht="15.75" customHeight="1">
      <c r="A10777" s="7"/>
      <c r="B10777" s="7"/>
      <c r="M10777" s="9" t="s">
        <v>24</v>
      </c>
    </row>
    <row r="10778" ht="15.75" customHeight="1">
      <c r="A10778" s="7"/>
      <c r="B10778" s="7"/>
      <c r="M10778" s="9" t="s">
        <v>27</v>
      </c>
    </row>
    <row r="10779" ht="15.75" customHeight="1">
      <c r="A10779" s="7"/>
      <c r="B10779" s="7"/>
      <c r="M10779" s="9" t="s">
        <v>35</v>
      </c>
    </row>
    <row r="10780" ht="15.75" customHeight="1">
      <c r="A10780" s="7"/>
      <c r="B10780" s="7"/>
      <c r="M10780" s="9" t="s">
        <v>38</v>
      </c>
    </row>
    <row r="10781" ht="15.75" customHeight="1">
      <c r="A10781" s="7"/>
      <c r="B10781" s="7"/>
      <c r="M10781" s="9" t="s">
        <v>30</v>
      </c>
    </row>
    <row r="10782" ht="15.75" customHeight="1">
      <c r="A10782" s="7"/>
      <c r="B10782" s="7"/>
      <c r="M10782" s="9" t="s">
        <v>25</v>
      </c>
    </row>
    <row r="10783" ht="15.75" customHeight="1">
      <c r="A10783" s="7"/>
      <c r="B10783" s="7"/>
      <c r="M10783" s="9" t="s">
        <v>36</v>
      </c>
    </row>
    <row r="10784" ht="15.75" customHeight="1">
      <c r="A10784" s="7"/>
      <c r="B10784" s="7"/>
      <c r="M10784" s="9" t="s">
        <v>24</v>
      </c>
    </row>
    <row r="10785" ht="15.75" customHeight="1">
      <c r="A10785" s="7"/>
      <c r="B10785" s="7"/>
      <c r="M10785" s="9" t="s">
        <v>20</v>
      </c>
    </row>
    <row r="10786" ht="15.75" customHeight="1">
      <c r="A10786" s="7"/>
      <c r="B10786" s="7"/>
      <c r="M10786" s="9" t="s">
        <v>21</v>
      </c>
    </row>
    <row r="10787" ht="15.75" customHeight="1">
      <c r="A10787" s="7"/>
      <c r="B10787" s="7"/>
      <c r="M10787" s="9" t="s">
        <v>22</v>
      </c>
    </row>
    <row r="10788" ht="15.75" customHeight="1">
      <c r="A10788" s="7"/>
      <c r="B10788" s="7"/>
      <c r="M10788" s="9" t="s">
        <v>29</v>
      </c>
    </row>
    <row r="10789" ht="15.75" customHeight="1">
      <c r="A10789" s="7"/>
      <c r="B10789" s="7"/>
      <c r="M10789" s="9" t="s">
        <v>33</v>
      </c>
    </row>
    <row r="10790" ht="15.75" customHeight="1">
      <c r="A10790" s="7"/>
      <c r="B10790" s="7"/>
      <c r="M10790" s="9" t="s">
        <v>30</v>
      </c>
    </row>
    <row r="10791" ht="15.75" customHeight="1">
      <c r="A10791" s="7"/>
      <c r="B10791" s="7"/>
      <c r="M10791" s="9" t="s">
        <v>25</v>
      </c>
    </row>
    <row r="10792" ht="15.75" customHeight="1">
      <c r="A10792" s="7"/>
      <c r="B10792" s="7"/>
      <c r="M10792" s="9" t="s">
        <v>23</v>
      </c>
    </row>
    <row r="10793" ht="15.75" customHeight="1">
      <c r="A10793" s="7"/>
      <c r="B10793" s="7"/>
      <c r="M10793" s="9" t="s">
        <v>20</v>
      </c>
    </row>
    <row r="10794" ht="15.75" customHeight="1">
      <c r="A10794" s="7"/>
      <c r="B10794" s="7"/>
      <c r="M10794" s="9" t="s">
        <v>22</v>
      </c>
    </row>
    <row r="10795" ht="15.75" customHeight="1">
      <c r="A10795" s="7"/>
      <c r="B10795" s="7"/>
      <c r="M10795" s="9" t="s">
        <v>31</v>
      </c>
    </row>
    <row r="10796" ht="15.75" customHeight="1">
      <c r="A10796" s="7"/>
      <c r="B10796" s="7"/>
      <c r="M10796" s="9" t="s">
        <v>25</v>
      </c>
    </row>
    <row r="10797" ht="15.75" customHeight="1">
      <c r="A10797" s="7"/>
      <c r="B10797" s="7"/>
      <c r="M10797" s="9" t="s">
        <v>23</v>
      </c>
    </row>
    <row r="10798" ht="15.75" customHeight="1">
      <c r="A10798" s="7"/>
      <c r="B10798" s="7"/>
      <c r="M10798" s="9" t="s">
        <v>24</v>
      </c>
    </row>
    <row r="10799" ht="15.75" customHeight="1">
      <c r="A10799" s="7"/>
      <c r="B10799" s="7"/>
      <c r="M10799" s="9" t="s">
        <v>21</v>
      </c>
    </row>
    <row r="10800" ht="15.75" customHeight="1">
      <c r="A10800" s="7"/>
      <c r="B10800" s="7"/>
      <c r="M10800" s="9" t="s">
        <v>22</v>
      </c>
    </row>
    <row r="10801" ht="15.75" customHeight="1">
      <c r="A10801" s="7"/>
      <c r="B10801" s="7"/>
      <c r="M10801" s="9" t="s">
        <v>29</v>
      </c>
    </row>
    <row r="10802" ht="15.75" customHeight="1">
      <c r="A10802" s="7"/>
      <c r="B10802" s="7"/>
      <c r="M10802" s="9" t="s">
        <v>31</v>
      </c>
    </row>
    <row r="10803" ht="15.75" customHeight="1">
      <c r="A10803" s="7"/>
      <c r="B10803" s="7"/>
      <c r="M10803" s="9" t="s">
        <v>27</v>
      </c>
    </row>
    <row r="10804" ht="15.75" customHeight="1">
      <c r="A10804" s="7"/>
      <c r="B10804" s="7"/>
      <c r="M10804" s="9" t="s">
        <v>25</v>
      </c>
    </row>
    <row r="10805" ht="15.75" customHeight="1">
      <c r="A10805" s="7"/>
      <c r="B10805" s="7"/>
      <c r="M10805" s="9" t="s">
        <v>23</v>
      </c>
    </row>
    <row r="10806" ht="15.75" customHeight="1">
      <c r="A10806" s="7"/>
      <c r="B10806" s="7"/>
      <c r="M10806" s="9" t="s">
        <v>24</v>
      </c>
    </row>
    <row r="10807" ht="15.75" customHeight="1">
      <c r="A10807" s="7"/>
      <c r="B10807" s="7"/>
      <c r="M10807" s="9" t="s">
        <v>20</v>
      </c>
    </row>
    <row r="10808" ht="15.75" customHeight="1">
      <c r="A10808" s="7"/>
      <c r="B10808" s="7"/>
      <c r="M10808" s="9" t="s">
        <v>21</v>
      </c>
    </row>
    <row r="10809" ht="15.75" customHeight="1">
      <c r="A10809" s="7"/>
      <c r="B10809" s="7"/>
      <c r="M10809" s="9" t="s">
        <v>41</v>
      </c>
    </row>
    <row r="10810" ht="15.75" customHeight="1">
      <c r="A10810" s="7"/>
      <c r="B10810" s="7"/>
      <c r="M10810" s="9" t="s">
        <v>46</v>
      </c>
    </row>
    <row r="10811" ht="15.75" customHeight="1">
      <c r="A10811" s="7"/>
      <c r="B10811" s="7"/>
      <c r="M10811" s="9" t="s">
        <v>26</v>
      </c>
    </row>
    <row r="10812" ht="15.75" customHeight="1">
      <c r="A10812" s="7"/>
      <c r="B10812" s="7"/>
      <c r="M10812" s="9" t="s">
        <v>24</v>
      </c>
    </row>
    <row r="10813" ht="15.75" customHeight="1">
      <c r="A10813" s="7"/>
      <c r="B10813" s="7"/>
      <c r="M10813" s="9" t="s">
        <v>21</v>
      </c>
    </row>
    <row r="10814" ht="15.75" customHeight="1">
      <c r="A10814" s="7"/>
      <c r="B10814" s="7"/>
      <c r="M10814" s="9" t="s">
        <v>27</v>
      </c>
    </row>
    <row r="10815" ht="15.75" customHeight="1">
      <c r="A10815" s="7"/>
      <c r="B10815" s="7"/>
      <c r="M10815" s="9" t="s">
        <v>33</v>
      </c>
    </row>
    <row r="10816" ht="15.75" customHeight="1">
      <c r="A10816" s="7"/>
      <c r="B10816" s="7"/>
      <c r="M10816" s="9" t="s">
        <v>30</v>
      </c>
    </row>
    <row r="10817" ht="15.75" customHeight="1">
      <c r="A10817" s="7"/>
      <c r="B10817" s="7"/>
      <c r="M10817" s="9" t="s">
        <v>26</v>
      </c>
    </row>
    <row r="10818" ht="15.75" customHeight="1">
      <c r="A10818" s="7"/>
      <c r="B10818" s="7"/>
      <c r="M10818" s="9" t="s">
        <v>24</v>
      </c>
    </row>
    <row r="10819" ht="15.75" customHeight="1">
      <c r="A10819" s="7"/>
      <c r="B10819" s="7"/>
      <c r="M10819" s="9" t="s">
        <v>21</v>
      </c>
    </row>
    <row r="10820" ht="15.75" customHeight="1">
      <c r="A10820" s="7"/>
      <c r="B10820" s="7"/>
      <c r="M10820" s="9" t="s">
        <v>27</v>
      </c>
    </row>
    <row r="10821" ht="15.75" customHeight="1">
      <c r="A10821" s="7"/>
      <c r="B10821" s="7"/>
      <c r="M10821" s="9" t="s">
        <v>30</v>
      </c>
    </row>
    <row r="10822" ht="15.75" customHeight="1">
      <c r="A10822" s="7"/>
      <c r="B10822" s="7"/>
      <c r="M10822" s="9" t="s">
        <v>26</v>
      </c>
    </row>
    <row r="10823" ht="15.75" customHeight="1">
      <c r="A10823" s="7"/>
      <c r="B10823" s="7"/>
      <c r="M10823" s="9" t="s">
        <v>21</v>
      </c>
    </row>
    <row r="10824" ht="15.75" customHeight="1">
      <c r="A10824" s="7"/>
      <c r="B10824" s="7"/>
      <c r="M10824" s="9" t="s">
        <v>22</v>
      </c>
    </row>
    <row r="10825" ht="15.75" customHeight="1">
      <c r="A10825" s="7"/>
      <c r="B10825" s="7"/>
      <c r="M10825" s="9" t="s">
        <v>27</v>
      </c>
    </row>
    <row r="10826" ht="15.75" customHeight="1">
      <c r="A10826" s="7"/>
      <c r="B10826" s="7"/>
      <c r="M10826" s="9" t="s">
        <v>22</v>
      </c>
    </row>
    <row r="10827" ht="15.75" customHeight="1">
      <c r="A10827" s="7"/>
      <c r="B10827" s="7"/>
      <c r="M10827" s="9" t="s">
        <v>27</v>
      </c>
    </row>
    <row r="10828" ht="15.75" customHeight="1">
      <c r="A10828" s="7"/>
      <c r="B10828" s="7"/>
      <c r="M10828" s="9" t="s">
        <v>30</v>
      </c>
    </row>
    <row r="10829" ht="15.75" customHeight="1">
      <c r="A10829" s="7"/>
      <c r="B10829" s="7"/>
      <c r="M10829" s="9" t="s">
        <v>22</v>
      </c>
    </row>
    <row r="10830" ht="15.75" customHeight="1">
      <c r="A10830" s="7"/>
      <c r="B10830" s="7"/>
      <c r="M10830" s="9" t="s">
        <v>30</v>
      </c>
    </row>
    <row r="10831" ht="15.75" customHeight="1">
      <c r="A10831" s="7"/>
      <c r="B10831" s="7"/>
      <c r="M10831" s="9" t="s">
        <v>24</v>
      </c>
    </row>
    <row r="10832" ht="15.75" customHeight="1">
      <c r="A10832" s="7"/>
      <c r="B10832" s="7"/>
      <c r="M10832" s="9" t="s">
        <v>21</v>
      </c>
    </row>
    <row r="10833" ht="15.75" customHeight="1">
      <c r="A10833" s="7"/>
      <c r="B10833" s="7"/>
      <c r="M10833" s="9" t="s">
        <v>37</v>
      </c>
    </row>
    <row r="10834" ht="15.75" customHeight="1">
      <c r="A10834" s="7"/>
      <c r="B10834" s="7"/>
      <c r="M10834" s="9" t="s">
        <v>22</v>
      </c>
    </row>
    <row r="10835" ht="15.75" customHeight="1">
      <c r="A10835" s="7"/>
      <c r="B10835" s="7"/>
      <c r="M10835" s="9" t="s">
        <v>27</v>
      </c>
    </row>
    <row r="10836" ht="15.75" customHeight="1">
      <c r="A10836" s="7"/>
      <c r="B10836" s="7"/>
      <c r="M10836" s="9" t="s">
        <v>23</v>
      </c>
    </row>
    <row r="10837" ht="15.75" customHeight="1">
      <c r="A10837" s="7"/>
      <c r="B10837" s="7"/>
      <c r="M10837" s="9" t="s">
        <v>26</v>
      </c>
    </row>
    <row r="10838" ht="15.75" customHeight="1">
      <c r="A10838" s="7"/>
      <c r="B10838" s="7"/>
      <c r="M10838" s="9" t="s">
        <v>24</v>
      </c>
    </row>
    <row r="10839" ht="15.75" customHeight="1">
      <c r="A10839" s="7"/>
      <c r="B10839" s="7"/>
      <c r="M10839" s="9" t="s">
        <v>21</v>
      </c>
    </row>
    <row r="10840" ht="15.75" customHeight="1">
      <c r="A10840" s="7"/>
      <c r="B10840" s="7"/>
      <c r="M10840" s="9" t="s">
        <v>22</v>
      </c>
    </row>
    <row r="10841" ht="15.75" customHeight="1">
      <c r="A10841" s="7"/>
      <c r="B10841" s="7"/>
      <c r="M10841" s="9" t="s">
        <v>27</v>
      </c>
    </row>
    <row r="10842" ht="15.75" customHeight="1">
      <c r="A10842" s="7"/>
      <c r="B10842" s="7"/>
      <c r="M10842" s="9" t="s">
        <v>33</v>
      </c>
    </row>
    <row r="10843" ht="15.75" customHeight="1">
      <c r="A10843" s="7"/>
      <c r="B10843" s="7"/>
      <c r="M10843" s="9" t="s">
        <v>35</v>
      </c>
    </row>
    <row r="10844" ht="15.75" customHeight="1">
      <c r="A10844" s="7"/>
      <c r="B10844" s="7"/>
      <c r="M10844" s="9" t="s">
        <v>24</v>
      </c>
    </row>
    <row r="10845" ht="15.75" customHeight="1">
      <c r="A10845" s="7"/>
      <c r="B10845" s="7"/>
      <c r="M10845" s="9" t="s">
        <v>20</v>
      </c>
    </row>
    <row r="10846" ht="15.75" customHeight="1">
      <c r="A10846" s="7"/>
      <c r="B10846" s="7"/>
      <c r="M10846" s="9" t="s">
        <v>21</v>
      </c>
    </row>
    <row r="10847" ht="15.75" customHeight="1">
      <c r="A10847" s="7"/>
      <c r="B10847" s="7"/>
      <c r="M10847" s="9" t="s">
        <v>22</v>
      </c>
    </row>
    <row r="10848" ht="15.75" customHeight="1">
      <c r="A10848" s="7"/>
      <c r="B10848" s="7"/>
      <c r="M10848" s="9" t="s">
        <v>27</v>
      </c>
    </row>
    <row r="10849" ht="15.75" customHeight="1">
      <c r="A10849" s="7"/>
      <c r="B10849" s="7"/>
      <c r="M10849" s="9" t="s">
        <v>26</v>
      </c>
    </row>
    <row r="10850" ht="15.75" customHeight="1">
      <c r="A10850" s="7"/>
      <c r="B10850" s="7"/>
      <c r="M10850" s="9" t="s">
        <v>24</v>
      </c>
    </row>
    <row r="10851" ht="15.75" customHeight="1">
      <c r="A10851" s="7"/>
      <c r="B10851" s="7"/>
      <c r="M10851" s="9" t="s">
        <v>20</v>
      </c>
    </row>
    <row r="10852" ht="15.75" customHeight="1">
      <c r="A10852" s="7"/>
      <c r="B10852" s="7"/>
      <c r="M10852" s="9" t="s">
        <v>21</v>
      </c>
    </row>
    <row r="10853" ht="15.75" customHeight="1">
      <c r="A10853" s="7"/>
      <c r="B10853" s="7"/>
      <c r="M10853" s="9" t="s">
        <v>24</v>
      </c>
    </row>
    <row r="10854" ht="15.75" customHeight="1">
      <c r="A10854" s="7"/>
      <c r="B10854" s="7"/>
      <c r="M10854" s="9" t="s">
        <v>20</v>
      </c>
    </row>
    <row r="10855" ht="15.75" customHeight="1">
      <c r="A10855" s="7"/>
      <c r="B10855" s="7"/>
      <c r="M10855" s="9" t="s">
        <v>21</v>
      </c>
    </row>
    <row r="10856" ht="15.75" customHeight="1">
      <c r="A10856" s="7"/>
      <c r="B10856" s="7"/>
      <c r="M10856" s="9" t="s">
        <v>22</v>
      </c>
    </row>
    <row r="10857" ht="15.75" customHeight="1">
      <c r="A10857" s="7"/>
      <c r="B10857" s="7"/>
      <c r="M10857" s="9" t="s">
        <v>35</v>
      </c>
    </row>
    <row r="10858" ht="15.75" customHeight="1">
      <c r="A10858" s="7"/>
      <c r="B10858" s="7"/>
      <c r="M10858" s="9" t="s">
        <v>30</v>
      </c>
    </row>
    <row r="10859" ht="15.75" customHeight="1">
      <c r="A10859" s="7"/>
      <c r="B10859" s="7"/>
      <c r="M10859" s="9" t="s">
        <v>25</v>
      </c>
    </row>
    <row r="10860" ht="15.75" customHeight="1">
      <c r="A10860" s="7"/>
      <c r="B10860" s="7"/>
      <c r="M10860" s="9" t="s">
        <v>23</v>
      </c>
    </row>
    <row r="10861" ht="15.75" customHeight="1">
      <c r="A10861" s="7"/>
      <c r="B10861" s="7"/>
      <c r="M10861" s="9" t="s">
        <v>26</v>
      </c>
    </row>
    <row r="10862" ht="15.75" customHeight="1">
      <c r="A10862" s="7"/>
      <c r="B10862" s="7"/>
      <c r="M10862" s="9" t="s">
        <v>24</v>
      </c>
    </row>
    <row r="10863" ht="15.75" customHeight="1">
      <c r="A10863" s="7"/>
      <c r="B10863" s="7"/>
      <c r="M10863" s="9" t="s">
        <v>21</v>
      </c>
    </row>
    <row r="10864" ht="15.75" customHeight="1">
      <c r="A10864" s="7"/>
      <c r="B10864" s="7"/>
      <c r="M10864" s="9" t="s">
        <v>27</v>
      </c>
    </row>
    <row r="10865" ht="15.75" customHeight="1">
      <c r="A10865" s="7"/>
      <c r="B10865" s="7"/>
      <c r="M10865" s="9" t="s">
        <v>30</v>
      </c>
    </row>
    <row r="10866" ht="15.75" customHeight="1">
      <c r="A10866" s="7"/>
      <c r="B10866" s="7"/>
      <c r="M10866" s="9" t="s">
        <v>24</v>
      </c>
    </row>
    <row r="10867" ht="15.75" customHeight="1">
      <c r="A10867" s="7"/>
      <c r="B10867" s="7"/>
      <c r="M10867" s="9" t="s">
        <v>21</v>
      </c>
    </row>
    <row r="10868" ht="15.75" customHeight="1">
      <c r="A10868" s="7"/>
      <c r="B10868" s="7"/>
      <c r="M10868" s="9" t="s">
        <v>38</v>
      </c>
    </row>
    <row r="10869" ht="15.75" customHeight="1">
      <c r="A10869" s="7"/>
      <c r="B10869" s="7"/>
      <c r="M10869" s="9" t="s">
        <v>30</v>
      </c>
    </row>
    <row r="10870" ht="15.75" customHeight="1">
      <c r="A10870" s="7"/>
      <c r="B10870" s="7"/>
      <c r="M10870" s="9" t="s">
        <v>25</v>
      </c>
    </row>
    <row r="10871" ht="15.75" customHeight="1">
      <c r="A10871" s="7"/>
      <c r="B10871" s="7"/>
      <c r="M10871" s="9" t="s">
        <v>23</v>
      </c>
    </row>
    <row r="10872" ht="15.75" customHeight="1">
      <c r="A10872" s="7"/>
      <c r="B10872" s="7"/>
      <c r="M10872" s="9" t="s">
        <v>36</v>
      </c>
    </row>
    <row r="10873" ht="15.75" customHeight="1">
      <c r="A10873" s="7"/>
      <c r="B10873" s="7"/>
      <c r="M10873" s="9" t="s">
        <v>24</v>
      </c>
    </row>
    <row r="10874" ht="15.75" customHeight="1">
      <c r="A10874" s="7"/>
      <c r="B10874" s="7"/>
      <c r="M10874" s="9" t="s">
        <v>20</v>
      </c>
    </row>
    <row r="10875" ht="15.75" customHeight="1">
      <c r="A10875" s="7"/>
      <c r="B10875" s="7"/>
      <c r="M10875" s="9" t="s">
        <v>37</v>
      </c>
    </row>
    <row r="10876" ht="15.75" customHeight="1">
      <c r="A10876" s="7"/>
      <c r="B10876" s="7"/>
      <c r="M10876" s="9" t="s">
        <v>22</v>
      </c>
    </row>
    <row r="10877" ht="15.75" customHeight="1">
      <c r="A10877" s="7"/>
      <c r="B10877" s="7"/>
      <c r="M10877" s="9" t="s">
        <v>29</v>
      </c>
    </row>
    <row r="10878" ht="15.75" customHeight="1">
      <c r="A10878" s="7"/>
      <c r="B10878" s="7"/>
      <c r="M10878" s="9" t="s">
        <v>46</v>
      </c>
    </row>
    <row r="10879" ht="15.75" customHeight="1">
      <c r="A10879" s="7"/>
      <c r="B10879" s="7"/>
      <c r="M10879" s="9" t="s">
        <v>27</v>
      </c>
    </row>
    <row r="10880" ht="15.75" customHeight="1">
      <c r="A10880" s="7"/>
      <c r="B10880" s="7"/>
      <c r="M10880" s="9" t="s">
        <v>24</v>
      </c>
    </row>
    <row r="10881" ht="15.75" customHeight="1">
      <c r="A10881" s="7"/>
      <c r="B10881" s="7"/>
      <c r="M10881" s="9" t="s">
        <v>21</v>
      </c>
    </row>
    <row r="10882" ht="15.75" customHeight="1">
      <c r="A10882" s="7"/>
      <c r="B10882" s="7"/>
      <c r="M10882" s="9" t="s">
        <v>33</v>
      </c>
    </row>
    <row r="10883" ht="15.75" customHeight="1">
      <c r="A10883" s="7"/>
      <c r="B10883" s="7"/>
      <c r="M10883" s="9" t="s">
        <v>30</v>
      </c>
    </row>
    <row r="10884" ht="15.75" customHeight="1">
      <c r="A10884" s="7"/>
      <c r="B10884" s="7"/>
      <c r="M10884" s="9" t="s">
        <v>22</v>
      </c>
    </row>
    <row r="10885" ht="15.75" customHeight="1">
      <c r="A10885" s="7"/>
      <c r="B10885" s="7"/>
      <c r="M10885" s="9" t="s">
        <v>38</v>
      </c>
    </row>
    <row r="10886" ht="15.75" customHeight="1">
      <c r="A10886" s="7"/>
      <c r="B10886" s="7"/>
      <c r="M10886" s="9" t="s">
        <v>22</v>
      </c>
    </row>
    <row r="10887" ht="15.75" customHeight="1">
      <c r="A10887" s="7"/>
      <c r="B10887" s="7"/>
      <c r="M10887" s="9" t="s">
        <v>36</v>
      </c>
    </row>
    <row r="10888" ht="15.75" customHeight="1">
      <c r="A10888" s="7"/>
      <c r="B10888" s="7"/>
      <c r="M10888" s="9" t="s">
        <v>20</v>
      </c>
    </row>
    <row r="10889" ht="15.75" customHeight="1">
      <c r="A10889" s="7"/>
      <c r="B10889" s="7"/>
      <c r="M10889" s="9" t="s">
        <v>21</v>
      </c>
    </row>
    <row r="10890" ht="15.75" customHeight="1">
      <c r="A10890" s="7"/>
      <c r="B10890" s="7"/>
      <c r="M10890" s="9" t="s">
        <v>37</v>
      </c>
    </row>
    <row r="10891" ht="15.75" customHeight="1">
      <c r="A10891" s="7"/>
      <c r="B10891" s="7"/>
      <c r="M10891" s="9" t="s">
        <v>31</v>
      </c>
    </row>
    <row r="10892" ht="15.75" customHeight="1">
      <c r="A10892" s="7"/>
      <c r="B10892" s="7"/>
      <c r="M10892" s="9" t="s">
        <v>30</v>
      </c>
    </row>
    <row r="10893" ht="15.75" customHeight="1">
      <c r="A10893" s="7"/>
      <c r="B10893" s="7"/>
      <c r="M10893" s="9" t="s">
        <v>26</v>
      </c>
    </row>
    <row r="10894" ht="15.75" customHeight="1">
      <c r="A10894" s="7"/>
      <c r="B10894" s="7"/>
      <c r="M10894" s="9" t="s">
        <v>36</v>
      </c>
    </row>
    <row r="10895" ht="15.75" customHeight="1">
      <c r="A10895" s="7"/>
      <c r="B10895" s="7"/>
      <c r="M10895" s="9" t="s">
        <v>24</v>
      </c>
    </row>
    <row r="10896" ht="15.75" customHeight="1">
      <c r="A10896" s="7"/>
      <c r="B10896" s="7"/>
      <c r="M10896" s="9" t="s">
        <v>20</v>
      </c>
    </row>
    <row r="10897" ht="15.75" customHeight="1">
      <c r="A10897" s="7"/>
      <c r="B10897" s="7"/>
      <c r="M10897" s="9" t="s">
        <v>21</v>
      </c>
    </row>
    <row r="10898" ht="15.75" customHeight="1">
      <c r="A10898" s="7"/>
      <c r="B10898" s="7"/>
      <c r="M10898" s="9" t="s">
        <v>39</v>
      </c>
    </row>
    <row r="10899" ht="15.75" customHeight="1">
      <c r="A10899" s="7"/>
      <c r="B10899" s="7"/>
      <c r="M10899" s="9" t="s">
        <v>33</v>
      </c>
    </row>
    <row r="10900" ht="15.75" customHeight="1">
      <c r="A10900" s="7"/>
      <c r="B10900" s="7"/>
      <c r="M10900" s="9" t="s">
        <v>30</v>
      </c>
    </row>
    <row r="10901" ht="15.75" customHeight="1">
      <c r="A10901" s="7"/>
      <c r="B10901" s="7"/>
      <c r="M10901" s="9" t="s">
        <v>25</v>
      </c>
    </row>
    <row r="10902" ht="15.75" customHeight="1">
      <c r="A10902" s="7"/>
      <c r="B10902" s="7"/>
      <c r="M10902" s="9" t="s">
        <v>23</v>
      </c>
    </row>
    <row r="10903" ht="15.75" customHeight="1">
      <c r="A10903" s="7"/>
      <c r="B10903" s="7"/>
      <c r="M10903" s="9" t="s">
        <v>26</v>
      </c>
    </row>
    <row r="10904" ht="15.75" customHeight="1">
      <c r="A10904" s="7"/>
      <c r="B10904" s="7"/>
      <c r="M10904" s="9" t="s">
        <v>24</v>
      </c>
    </row>
    <row r="10905" ht="15.75" customHeight="1">
      <c r="A10905" s="7"/>
      <c r="B10905" s="7"/>
      <c r="M10905" s="9" t="s">
        <v>33</v>
      </c>
    </row>
    <row r="10906" ht="15.75" customHeight="1">
      <c r="A10906" s="7"/>
      <c r="B10906" s="7"/>
      <c r="M10906" s="9" t="s">
        <v>24</v>
      </c>
    </row>
    <row r="10907" ht="15.75" customHeight="1">
      <c r="A10907" s="7"/>
      <c r="B10907" s="7"/>
      <c r="M10907" s="9" t="s">
        <v>20</v>
      </c>
    </row>
    <row r="10908" ht="15.75" customHeight="1">
      <c r="A10908" s="7"/>
      <c r="B10908" s="7"/>
      <c r="M10908" s="9" t="s">
        <v>21</v>
      </c>
    </row>
    <row r="10909" ht="15.75" customHeight="1">
      <c r="A10909" s="7"/>
      <c r="B10909" s="7"/>
      <c r="M10909" s="9" t="s">
        <v>37</v>
      </c>
    </row>
    <row r="10910" ht="15.75" customHeight="1">
      <c r="A10910" s="7"/>
      <c r="B10910" s="7"/>
      <c r="M10910" s="9" t="s">
        <v>27</v>
      </c>
    </row>
    <row r="10911" ht="15.75" customHeight="1">
      <c r="A10911" s="7"/>
      <c r="B10911" s="7"/>
      <c r="M10911" s="9" t="s">
        <v>26</v>
      </c>
    </row>
    <row r="10912" ht="15.75" customHeight="1">
      <c r="A10912" s="7"/>
      <c r="B10912" s="7"/>
      <c r="M10912" s="9" t="s">
        <v>36</v>
      </c>
    </row>
    <row r="10913" ht="15.75" customHeight="1">
      <c r="A10913" s="7"/>
      <c r="B10913" s="7"/>
      <c r="M10913" s="9" t="s">
        <v>25</v>
      </c>
    </row>
    <row r="10914" ht="15.75" customHeight="1">
      <c r="A10914" s="7"/>
      <c r="B10914" s="7"/>
      <c r="M10914" s="9" t="s">
        <v>20</v>
      </c>
    </row>
    <row r="10915" ht="15.75" customHeight="1">
      <c r="A10915" s="7"/>
      <c r="B10915" s="7"/>
      <c r="M10915" s="9" t="s">
        <v>30</v>
      </c>
    </row>
    <row r="10916" ht="15.75" customHeight="1">
      <c r="A10916" s="7"/>
      <c r="B10916" s="7"/>
      <c r="M10916" s="9" t="s">
        <v>26</v>
      </c>
    </row>
    <row r="10917" ht="15.75" customHeight="1">
      <c r="A10917" s="7"/>
      <c r="B10917" s="7"/>
      <c r="M10917" s="9" t="s">
        <v>42</v>
      </c>
    </row>
    <row r="10918" ht="15.75" customHeight="1">
      <c r="A10918" s="7"/>
      <c r="B10918" s="7"/>
      <c r="M10918" s="9" t="s">
        <v>36</v>
      </c>
    </row>
    <row r="10919" ht="15.75" customHeight="1">
      <c r="A10919" s="7"/>
      <c r="B10919" s="7"/>
      <c r="M10919" s="9" t="s">
        <v>24</v>
      </c>
    </row>
    <row r="10920" ht="15.75" customHeight="1">
      <c r="A10920" s="7"/>
      <c r="B10920" s="7"/>
      <c r="M10920" s="9" t="s">
        <v>21</v>
      </c>
    </row>
    <row r="10921" ht="15.75" customHeight="1">
      <c r="A10921" s="7"/>
      <c r="B10921" s="7"/>
      <c r="M10921" s="9" t="s">
        <v>31</v>
      </c>
    </row>
    <row r="10922" ht="15.75" customHeight="1">
      <c r="A10922" s="7"/>
      <c r="B10922" s="7"/>
      <c r="M10922" s="9" t="s">
        <v>46</v>
      </c>
    </row>
    <row r="10923" ht="15.75" customHeight="1">
      <c r="A10923" s="7"/>
      <c r="B10923" s="7"/>
      <c r="M10923" s="9" t="s">
        <v>40</v>
      </c>
    </row>
    <row r="10924" ht="15.75" customHeight="1">
      <c r="A10924" s="7"/>
      <c r="B10924" s="7"/>
      <c r="M10924" s="9" t="s">
        <v>24</v>
      </c>
    </row>
    <row r="10925" ht="15.75" customHeight="1">
      <c r="A10925" s="7"/>
      <c r="B10925" s="7"/>
      <c r="M10925" s="9" t="s">
        <v>20</v>
      </c>
    </row>
    <row r="10926" ht="15.75" customHeight="1">
      <c r="A10926" s="7"/>
      <c r="B10926" s="7"/>
      <c r="M10926" s="9" t="s">
        <v>22</v>
      </c>
    </row>
    <row r="10927" ht="15.75" customHeight="1">
      <c r="A10927" s="7"/>
      <c r="B10927" s="7"/>
      <c r="M10927" s="9" t="s">
        <v>31</v>
      </c>
    </row>
    <row r="10928" ht="15.75" customHeight="1">
      <c r="A10928" s="7"/>
      <c r="B10928" s="7"/>
      <c r="M10928" s="9" t="s">
        <v>28</v>
      </c>
    </row>
    <row r="10929" ht="15.75" customHeight="1">
      <c r="A10929" s="7"/>
      <c r="B10929" s="7"/>
      <c r="M10929" s="9" t="s">
        <v>35</v>
      </c>
    </row>
    <row r="10930" ht="15.75" customHeight="1">
      <c r="A10930" s="7"/>
      <c r="B10930" s="7"/>
      <c r="M10930" s="9" t="s">
        <v>30</v>
      </c>
    </row>
    <row r="10931" ht="15.75" customHeight="1">
      <c r="A10931" s="7"/>
      <c r="B10931" s="7"/>
      <c r="M10931" s="9" t="s">
        <v>20</v>
      </c>
    </row>
    <row r="10932" ht="15.75" customHeight="1">
      <c r="A10932" s="7"/>
      <c r="B10932" s="7"/>
      <c r="M10932" s="9" t="s">
        <v>40</v>
      </c>
    </row>
    <row r="10933" ht="15.75" customHeight="1">
      <c r="A10933" s="7"/>
      <c r="B10933" s="7"/>
      <c r="M10933" s="9" t="s">
        <v>26</v>
      </c>
    </row>
    <row r="10934" ht="15.75" customHeight="1">
      <c r="A10934" s="7"/>
      <c r="B10934" s="7"/>
      <c r="M10934" s="9" t="s">
        <v>24</v>
      </c>
    </row>
    <row r="10935" ht="15.75" customHeight="1">
      <c r="A10935" s="7"/>
      <c r="B10935" s="7"/>
      <c r="M10935" s="9" t="s">
        <v>21</v>
      </c>
    </row>
    <row r="10936" ht="15.75" customHeight="1">
      <c r="A10936" s="7"/>
      <c r="B10936" s="7"/>
      <c r="M10936" s="9" t="s">
        <v>29</v>
      </c>
    </row>
    <row r="10937" ht="15.75" customHeight="1">
      <c r="A10937" s="7"/>
      <c r="B10937" s="7"/>
      <c r="M10937" s="9" t="s">
        <v>27</v>
      </c>
    </row>
    <row r="10938" ht="15.75" customHeight="1">
      <c r="A10938" s="7"/>
      <c r="B10938" s="7"/>
      <c r="M10938" s="9" t="s">
        <v>30</v>
      </c>
    </row>
    <row r="10939" ht="15.75" customHeight="1">
      <c r="A10939" s="7"/>
      <c r="B10939" s="7"/>
      <c r="M10939" s="9" t="s">
        <v>25</v>
      </c>
    </row>
    <row r="10940" ht="15.75" customHeight="1">
      <c r="A10940" s="7"/>
      <c r="B10940" s="7"/>
      <c r="M10940" s="9" t="s">
        <v>22</v>
      </c>
    </row>
    <row r="10941" ht="15.75" customHeight="1">
      <c r="A10941" s="7"/>
      <c r="B10941" s="7"/>
      <c r="M10941" s="9" t="s">
        <v>27</v>
      </c>
    </row>
    <row r="10942" ht="15.75" customHeight="1">
      <c r="A10942" s="7"/>
      <c r="B10942" s="7"/>
      <c r="M10942" s="9" t="s">
        <v>30</v>
      </c>
    </row>
    <row r="10943" ht="15.75" customHeight="1">
      <c r="A10943" s="7"/>
      <c r="B10943" s="7"/>
      <c r="M10943" s="9" t="s">
        <v>23</v>
      </c>
    </row>
    <row r="10944" ht="15.75" customHeight="1">
      <c r="A10944" s="7"/>
      <c r="B10944" s="7"/>
      <c r="M10944" s="9" t="s">
        <v>47</v>
      </c>
    </row>
    <row r="10945" ht="15.75" customHeight="1">
      <c r="A10945" s="7"/>
      <c r="B10945" s="7"/>
      <c r="M10945" s="9" t="s">
        <v>24</v>
      </c>
    </row>
    <row r="10946" ht="15.75" customHeight="1">
      <c r="A10946" s="7"/>
      <c r="B10946" s="7"/>
      <c r="M10946" s="9" t="s">
        <v>20</v>
      </c>
    </row>
    <row r="10947" ht="15.75" customHeight="1">
      <c r="A10947" s="7"/>
      <c r="B10947" s="7"/>
      <c r="M10947" s="9" t="s">
        <v>21</v>
      </c>
    </row>
    <row r="10948" ht="15.75" customHeight="1">
      <c r="A10948" s="7"/>
      <c r="B10948" s="7"/>
      <c r="M10948" s="9" t="s">
        <v>39</v>
      </c>
    </row>
    <row r="10949" ht="15.75" customHeight="1">
      <c r="A10949" s="7"/>
      <c r="B10949" s="7"/>
      <c r="M10949" s="9" t="s">
        <v>41</v>
      </c>
    </row>
    <row r="10950" ht="15.75" customHeight="1">
      <c r="A10950" s="7"/>
      <c r="B10950" s="7"/>
      <c r="M10950" s="9" t="s">
        <v>22</v>
      </c>
    </row>
    <row r="10951" ht="15.75" customHeight="1">
      <c r="A10951" s="7"/>
      <c r="B10951" s="7"/>
      <c r="M10951" s="9" t="s">
        <v>27</v>
      </c>
    </row>
    <row r="10952" ht="15.75" customHeight="1">
      <c r="A10952" s="7"/>
      <c r="B10952" s="7"/>
      <c r="M10952" s="9" t="s">
        <v>40</v>
      </c>
    </row>
    <row r="10953" ht="15.75" customHeight="1">
      <c r="A10953" s="7"/>
      <c r="B10953" s="7"/>
      <c r="M10953" s="9" t="s">
        <v>26</v>
      </c>
    </row>
    <row r="10954" ht="15.75" customHeight="1">
      <c r="A10954" s="7"/>
      <c r="B10954" s="7"/>
      <c r="M10954" s="9" t="s">
        <v>24</v>
      </c>
    </row>
    <row r="10955" ht="15.75" customHeight="1">
      <c r="A10955" s="7"/>
      <c r="B10955" s="7"/>
      <c r="M10955" s="9" t="s">
        <v>21</v>
      </c>
    </row>
    <row r="10956" ht="15.75" customHeight="1">
      <c r="A10956" s="7"/>
      <c r="B10956" s="7"/>
      <c r="M10956" s="9" t="s">
        <v>27</v>
      </c>
    </row>
    <row r="10957" ht="15.75" customHeight="1">
      <c r="A10957" s="7"/>
      <c r="B10957" s="7"/>
      <c r="M10957" s="9" t="s">
        <v>33</v>
      </c>
    </row>
    <row r="10958" ht="15.75" customHeight="1">
      <c r="A10958" s="7"/>
      <c r="B10958" s="7"/>
      <c r="M10958" s="9" t="s">
        <v>30</v>
      </c>
    </row>
    <row r="10959" ht="15.75" customHeight="1">
      <c r="A10959" s="7"/>
      <c r="B10959" s="7"/>
      <c r="M10959" s="9" t="s">
        <v>24</v>
      </c>
    </row>
    <row r="10960" ht="15.75" customHeight="1">
      <c r="A10960" s="7"/>
      <c r="B10960" s="7"/>
      <c r="M10960" s="9" t="s">
        <v>20</v>
      </c>
    </row>
    <row r="10961" ht="15.75" customHeight="1">
      <c r="A10961" s="7"/>
      <c r="B10961" s="7"/>
      <c r="M10961" s="9" t="s">
        <v>21</v>
      </c>
    </row>
    <row r="10962" ht="15.75" customHeight="1">
      <c r="A10962" s="7"/>
      <c r="B10962" s="7"/>
      <c r="M10962" s="9" t="s">
        <v>27</v>
      </c>
    </row>
    <row r="10963" ht="15.75" customHeight="1">
      <c r="A10963" s="7"/>
      <c r="B10963" s="7"/>
      <c r="M10963" s="9" t="s">
        <v>33</v>
      </c>
    </row>
    <row r="10964" ht="15.75" customHeight="1">
      <c r="A10964" s="7"/>
      <c r="B10964" s="7"/>
      <c r="M10964" s="9" t="s">
        <v>30</v>
      </c>
    </row>
    <row r="10965" ht="15.75" customHeight="1">
      <c r="A10965" s="7"/>
      <c r="B10965" s="7"/>
      <c r="M10965" s="9" t="s">
        <v>26</v>
      </c>
    </row>
    <row r="10966" ht="15.75" customHeight="1">
      <c r="A10966" s="7"/>
      <c r="B10966" s="7"/>
      <c r="M10966" s="9" t="s">
        <v>36</v>
      </c>
    </row>
    <row r="10967" ht="15.75" customHeight="1">
      <c r="A10967" s="7"/>
      <c r="B10967" s="7"/>
      <c r="M10967" s="9" t="s">
        <v>20</v>
      </c>
    </row>
    <row r="10968" ht="15.75" customHeight="1">
      <c r="A10968" s="7"/>
      <c r="B10968" s="7"/>
      <c r="M10968" s="9" t="s">
        <v>21</v>
      </c>
    </row>
    <row r="10969" ht="15.75" customHeight="1">
      <c r="A10969" s="7"/>
      <c r="B10969" s="7"/>
      <c r="M10969" s="9" t="s">
        <v>22</v>
      </c>
    </row>
    <row r="10970" ht="15.75" customHeight="1">
      <c r="A10970" s="7"/>
      <c r="B10970" s="7"/>
      <c r="M10970" s="9" t="s">
        <v>46</v>
      </c>
    </row>
    <row r="10971" ht="15.75" customHeight="1">
      <c r="A10971" s="7"/>
      <c r="B10971" s="7"/>
      <c r="M10971" s="9" t="s">
        <v>27</v>
      </c>
    </row>
    <row r="10972" ht="15.75" customHeight="1">
      <c r="A10972" s="7"/>
      <c r="B10972" s="7"/>
      <c r="M10972" s="9" t="s">
        <v>20</v>
      </c>
    </row>
    <row r="10973" ht="15.75" customHeight="1">
      <c r="A10973" s="7"/>
      <c r="B10973" s="7"/>
      <c r="M10973" s="9" t="s">
        <v>39</v>
      </c>
    </row>
    <row r="10974" ht="15.75" customHeight="1">
      <c r="A10974" s="7"/>
      <c r="B10974" s="7"/>
      <c r="M10974" s="9" t="s">
        <v>24</v>
      </c>
    </row>
    <row r="10975" ht="15.75" customHeight="1">
      <c r="A10975" s="7"/>
      <c r="B10975" s="7"/>
      <c r="M10975" s="9" t="s">
        <v>21</v>
      </c>
    </row>
    <row r="10976" ht="15.75" customHeight="1">
      <c r="A10976" s="7"/>
      <c r="B10976" s="7"/>
      <c r="M10976" s="9" t="s">
        <v>37</v>
      </c>
    </row>
    <row r="10977" ht="15.75" customHeight="1">
      <c r="A10977" s="7"/>
      <c r="B10977" s="7"/>
      <c r="M10977" s="9" t="s">
        <v>33</v>
      </c>
    </row>
    <row r="10978" ht="15.75" customHeight="1">
      <c r="A10978" s="7"/>
      <c r="B10978" s="7"/>
      <c r="M10978" s="9" t="s">
        <v>30</v>
      </c>
    </row>
    <row r="10979" ht="15.75" customHeight="1">
      <c r="A10979" s="7"/>
      <c r="B10979" s="7"/>
      <c r="M10979" s="9" t="s">
        <v>26</v>
      </c>
    </row>
    <row r="10980" ht="15.75" customHeight="1">
      <c r="A10980" s="7"/>
      <c r="B10980" s="7"/>
      <c r="M10980" s="9" t="s">
        <v>24</v>
      </c>
    </row>
    <row r="10981" ht="15.75" customHeight="1">
      <c r="A10981" s="7"/>
      <c r="B10981" s="7"/>
      <c r="M10981" s="9" t="s">
        <v>20</v>
      </c>
    </row>
    <row r="10982" ht="15.75" customHeight="1">
      <c r="A10982" s="7"/>
      <c r="B10982" s="7"/>
      <c r="M10982" s="9" t="s">
        <v>21</v>
      </c>
    </row>
    <row r="10983" ht="15.75" customHeight="1">
      <c r="A10983" s="7"/>
      <c r="B10983" s="7"/>
      <c r="M10983" s="9" t="s">
        <v>27</v>
      </c>
    </row>
    <row r="10984" ht="15.75" customHeight="1">
      <c r="A10984" s="7"/>
      <c r="B10984" s="7"/>
      <c r="M10984" s="9" t="s">
        <v>24</v>
      </c>
    </row>
    <row r="10985" ht="15.75" customHeight="1">
      <c r="A10985" s="7"/>
      <c r="B10985" s="7"/>
      <c r="M10985" s="9" t="s">
        <v>21</v>
      </c>
    </row>
    <row r="10986" ht="15.75" customHeight="1">
      <c r="A10986" s="7"/>
      <c r="B10986" s="7"/>
      <c r="M10986" s="9" t="s">
        <v>37</v>
      </c>
    </row>
    <row r="10987" ht="15.75" customHeight="1">
      <c r="A10987" s="7"/>
      <c r="B10987" s="7"/>
      <c r="M10987" s="9" t="s">
        <v>27</v>
      </c>
    </row>
    <row r="10988" ht="15.75" customHeight="1">
      <c r="A10988" s="7"/>
      <c r="B10988" s="7"/>
      <c r="M10988" s="9" t="s">
        <v>30</v>
      </c>
    </row>
    <row r="10989" ht="15.75" customHeight="1">
      <c r="A10989" s="7"/>
      <c r="B10989" s="7"/>
      <c r="M10989" s="9" t="s">
        <v>25</v>
      </c>
    </row>
    <row r="10990" ht="15.75" customHeight="1">
      <c r="A10990" s="7"/>
      <c r="B10990" s="7"/>
      <c r="M10990" s="9" t="s">
        <v>23</v>
      </c>
    </row>
    <row r="10991" ht="15.75" customHeight="1">
      <c r="A10991" s="7"/>
      <c r="B10991" s="7"/>
      <c r="M10991" s="9" t="s">
        <v>26</v>
      </c>
    </row>
    <row r="10992" ht="15.75" customHeight="1">
      <c r="A10992" s="7"/>
      <c r="B10992" s="7"/>
      <c r="M10992" s="9" t="s">
        <v>24</v>
      </c>
    </row>
    <row r="10993" ht="15.75" customHeight="1">
      <c r="A10993" s="7"/>
      <c r="B10993" s="7"/>
      <c r="M10993" s="9" t="s">
        <v>20</v>
      </c>
    </row>
    <row r="10994" ht="15.75" customHeight="1">
      <c r="A10994" s="7"/>
      <c r="B10994" s="7"/>
      <c r="M10994" s="9" t="s">
        <v>21</v>
      </c>
    </row>
    <row r="10995" ht="15.75" customHeight="1">
      <c r="A10995" s="7"/>
      <c r="B10995" s="7"/>
      <c r="M10995" s="9" t="s">
        <v>37</v>
      </c>
    </row>
    <row r="10996" ht="15.75" customHeight="1">
      <c r="A10996" s="7"/>
      <c r="B10996" s="7"/>
      <c r="M10996" s="9" t="s">
        <v>46</v>
      </c>
    </row>
    <row r="10997" ht="15.75" customHeight="1">
      <c r="A10997" s="7"/>
      <c r="B10997" s="7"/>
      <c r="M10997" s="9" t="s">
        <v>27</v>
      </c>
    </row>
    <row r="10998" ht="15.75" customHeight="1">
      <c r="A10998" s="7"/>
      <c r="B10998" s="7"/>
      <c r="M10998" s="9" t="s">
        <v>24</v>
      </c>
    </row>
    <row r="10999" ht="15.75" customHeight="1">
      <c r="A10999" s="7"/>
      <c r="B10999" s="7"/>
      <c r="M10999" s="9" t="s">
        <v>20</v>
      </c>
    </row>
    <row r="11000" ht="15.75" customHeight="1">
      <c r="A11000" s="7"/>
      <c r="B11000" s="7"/>
      <c r="M11000" s="9" t="s">
        <v>21</v>
      </c>
    </row>
    <row r="11001" ht="15.75" customHeight="1">
      <c r="A11001" s="7"/>
      <c r="B11001" s="7"/>
      <c r="M11001" s="9" t="s">
        <v>22</v>
      </c>
    </row>
    <row r="11002" ht="15.75" customHeight="1">
      <c r="A11002" s="7"/>
      <c r="B11002" s="7"/>
      <c r="M11002" s="9" t="s">
        <v>30</v>
      </c>
    </row>
    <row r="11003" ht="15.75" customHeight="1">
      <c r="A11003" s="7"/>
      <c r="B11003" s="7"/>
      <c r="M11003" s="9" t="s">
        <v>26</v>
      </c>
    </row>
    <row r="11004" ht="15.75" customHeight="1">
      <c r="A11004" s="7"/>
      <c r="B11004" s="7"/>
      <c r="M11004" s="9" t="s">
        <v>44</v>
      </c>
    </row>
    <row r="11005" ht="15.75" customHeight="1">
      <c r="A11005" s="7"/>
      <c r="B11005" s="7"/>
      <c r="M11005" s="9" t="s">
        <v>20</v>
      </c>
    </row>
    <row r="11006" ht="15.75" customHeight="1">
      <c r="A11006" s="7"/>
      <c r="B11006" s="7"/>
      <c r="M11006" s="9" t="s">
        <v>21</v>
      </c>
    </row>
    <row r="11007" ht="15.75" customHeight="1">
      <c r="A11007" s="7"/>
      <c r="B11007" s="7"/>
      <c r="M11007" s="9" t="s">
        <v>22</v>
      </c>
    </row>
    <row r="11008" ht="15.75" customHeight="1">
      <c r="A11008" s="7"/>
      <c r="B11008" s="7"/>
      <c r="M11008" s="9" t="s">
        <v>33</v>
      </c>
    </row>
    <row r="11009" ht="15.75" customHeight="1">
      <c r="A11009" s="7"/>
      <c r="B11009" s="7"/>
      <c r="M11009" s="9" t="s">
        <v>35</v>
      </c>
    </row>
    <row r="11010" ht="15.75" customHeight="1">
      <c r="A11010" s="7"/>
      <c r="B11010" s="7"/>
      <c r="M11010" s="9" t="s">
        <v>24</v>
      </c>
    </row>
    <row r="11011" ht="15.75" customHeight="1">
      <c r="A11011" s="7"/>
      <c r="B11011" s="7"/>
      <c r="M11011" s="9" t="s">
        <v>21</v>
      </c>
    </row>
    <row r="11012" ht="15.75" customHeight="1">
      <c r="A11012" s="7"/>
      <c r="B11012" s="7"/>
      <c r="M11012" s="9" t="s">
        <v>37</v>
      </c>
    </row>
    <row r="11013" ht="15.75" customHeight="1">
      <c r="A11013" s="7"/>
      <c r="B11013" s="7"/>
      <c r="M11013" s="9" t="s">
        <v>25</v>
      </c>
    </row>
    <row r="11014" ht="15.75" customHeight="1">
      <c r="A11014" s="7"/>
      <c r="B11014" s="7"/>
      <c r="M11014" s="9" t="s">
        <v>41</v>
      </c>
    </row>
    <row r="11015" ht="15.75" customHeight="1">
      <c r="A11015" s="7"/>
      <c r="B11015" s="7"/>
      <c r="M11015" s="9" t="s">
        <v>40</v>
      </c>
    </row>
    <row r="11016" ht="15.75" customHeight="1">
      <c r="A11016" s="7"/>
      <c r="B11016" s="7"/>
      <c r="M11016" s="9" t="s">
        <v>26</v>
      </c>
    </row>
    <row r="11017" ht="15.75" customHeight="1">
      <c r="A11017" s="7"/>
      <c r="B11017" s="7"/>
      <c r="M11017" s="9" t="s">
        <v>36</v>
      </c>
    </row>
    <row r="11018" ht="15.75" customHeight="1">
      <c r="A11018" s="7"/>
      <c r="B11018" s="7"/>
      <c r="M11018" s="9" t="s">
        <v>24</v>
      </c>
    </row>
    <row r="11019" ht="15.75" customHeight="1">
      <c r="A11019" s="7"/>
      <c r="B11019" s="7"/>
      <c r="M11019" s="9" t="s">
        <v>20</v>
      </c>
    </row>
    <row r="11020" ht="15.75" customHeight="1">
      <c r="A11020" s="7"/>
      <c r="B11020" s="7"/>
      <c r="M11020" s="9" t="s">
        <v>21</v>
      </c>
    </row>
    <row r="11021" ht="15.75" customHeight="1">
      <c r="A11021" s="7"/>
      <c r="B11021" s="7"/>
      <c r="M11021" s="9" t="s">
        <v>39</v>
      </c>
    </row>
    <row r="11022" ht="15.75" customHeight="1">
      <c r="A11022" s="7"/>
      <c r="B11022" s="7"/>
      <c r="M11022" s="9" t="s">
        <v>41</v>
      </c>
    </row>
    <row r="11023" ht="15.75" customHeight="1">
      <c r="A11023" s="7"/>
      <c r="B11023" s="7"/>
      <c r="M11023" s="9" t="s">
        <v>37</v>
      </c>
    </row>
    <row r="11024" ht="15.75" customHeight="1">
      <c r="A11024" s="7"/>
      <c r="B11024" s="7"/>
      <c r="M11024" s="9" t="s">
        <v>22</v>
      </c>
    </row>
    <row r="11025" ht="15.75" customHeight="1">
      <c r="A11025" s="7"/>
      <c r="B11025" s="7"/>
      <c r="M11025" s="9" t="s">
        <v>27</v>
      </c>
    </row>
    <row r="11026" ht="15.75" customHeight="1">
      <c r="A11026" s="7"/>
      <c r="B11026" s="7"/>
      <c r="M11026" s="9" t="s">
        <v>40</v>
      </c>
    </row>
    <row r="11027" ht="15.75" customHeight="1">
      <c r="A11027" s="7"/>
      <c r="B11027" s="7"/>
      <c r="M11027" s="9" t="s">
        <v>38</v>
      </c>
    </row>
    <row r="11028" ht="15.75" customHeight="1">
      <c r="A11028" s="7"/>
      <c r="B11028" s="7"/>
      <c r="M11028" s="9" t="s">
        <v>30</v>
      </c>
    </row>
    <row r="11029" ht="15.75" customHeight="1">
      <c r="A11029" s="7"/>
      <c r="B11029" s="7"/>
      <c r="M11029" s="9" t="s">
        <v>25</v>
      </c>
    </row>
    <row r="11030" ht="15.75" customHeight="1">
      <c r="A11030" s="7"/>
      <c r="B11030" s="7"/>
      <c r="M11030" s="9" t="s">
        <v>23</v>
      </c>
    </row>
    <row r="11031" ht="15.75" customHeight="1">
      <c r="A11031" s="7"/>
      <c r="B11031" s="7"/>
      <c r="M11031" s="9" t="s">
        <v>26</v>
      </c>
    </row>
    <row r="11032" ht="15.75" customHeight="1">
      <c r="A11032" s="7"/>
      <c r="B11032" s="7"/>
      <c r="M11032" s="9" t="s">
        <v>24</v>
      </c>
    </row>
    <row r="11033" ht="15.75" customHeight="1">
      <c r="A11033" s="7"/>
      <c r="B11033" s="7"/>
      <c r="M11033" s="9" t="s">
        <v>20</v>
      </c>
    </row>
    <row r="11034" ht="15.75" customHeight="1">
      <c r="A11034" s="7"/>
      <c r="B11034" s="7"/>
      <c r="M11034" s="9" t="s">
        <v>21</v>
      </c>
    </row>
    <row r="11035" ht="15.75" customHeight="1">
      <c r="A11035" s="7"/>
      <c r="B11035" s="7"/>
      <c r="M11035" s="9" t="s">
        <v>37</v>
      </c>
    </row>
    <row r="11036" ht="15.75" customHeight="1">
      <c r="A11036" s="7"/>
      <c r="B11036" s="7"/>
      <c r="M11036" s="9" t="s">
        <v>27</v>
      </c>
    </row>
    <row r="11037" ht="15.75" customHeight="1">
      <c r="A11037" s="7"/>
      <c r="B11037" s="7"/>
      <c r="M11037" s="9" t="s">
        <v>33</v>
      </c>
    </row>
    <row r="11038" ht="15.75" customHeight="1">
      <c r="A11038" s="7"/>
      <c r="B11038" s="7"/>
      <c r="M11038" s="9" t="s">
        <v>28</v>
      </c>
    </row>
    <row r="11039" ht="15.75" customHeight="1">
      <c r="A11039" s="7"/>
      <c r="B11039" s="7"/>
      <c r="M11039" s="9" t="s">
        <v>38</v>
      </c>
    </row>
    <row r="11040" ht="15.75" customHeight="1">
      <c r="A11040" s="7"/>
      <c r="B11040" s="7"/>
      <c r="M11040" s="9" t="s">
        <v>30</v>
      </c>
    </row>
    <row r="11041" ht="15.75" customHeight="1">
      <c r="A11041" s="7"/>
      <c r="B11041" s="7"/>
      <c r="M11041" s="9" t="s">
        <v>25</v>
      </c>
    </row>
    <row r="11042" ht="15.75" customHeight="1">
      <c r="A11042" s="7"/>
      <c r="B11042" s="7"/>
      <c r="M11042" s="9" t="s">
        <v>24</v>
      </c>
    </row>
    <row r="11043" ht="15.75" customHeight="1">
      <c r="A11043" s="7"/>
      <c r="B11043" s="7"/>
      <c r="M11043" s="9" t="s">
        <v>20</v>
      </c>
    </row>
    <row r="11044" ht="15.75" customHeight="1">
      <c r="A11044" s="7"/>
      <c r="B11044" s="7"/>
      <c r="M11044" s="9" t="s">
        <v>22</v>
      </c>
    </row>
    <row r="11045" ht="15.75" customHeight="1">
      <c r="A11045" s="7"/>
      <c r="B11045" s="7"/>
      <c r="M11045" s="9" t="s">
        <v>27</v>
      </c>
    </row>
    <row r="11046" ht="15.75" customHeight="1">
      <c r="A11046" s="7"/>
      <c r="B11046" s="7"/>
      <c r="M11046" s="9" t="s">
        <v>30</v>
      </c>
    </row>
    <row r="11047" ht="15.75" customHeight="1">
      <c r="A11047" s="7"/>
      <c r="B11047" s="7"/>
      <c r="M11047" s="9" t="s">
        <v>24</v>
      </c>
    </row>
    <row r="11048" ht="15.75" customHeight="1">
      <c r="A11048" s="7"/>
      <c r="B11048" s="7"/>
      <c r="M11048" s="9" t="s">
        <v>20</v>
      </c>
    </row>
    <row r="11049" ht="15.75" customHeight="1">
      <c r="A11049" s="7"/>
      <c r="B11049" s="7"/>
      <c r="M11049" s="9" t="s">
        <v>21</v>
      </c>
    </row>
    <row r="11050" ht="15.75" customHeight="1">
      <c r="A11050" s="7"/>
      <c r="B11050" s="7"/>
      <c r="M11050" s="9" t="s">
        <v>37</v>
      </c>
    </row>
    <row r="11051" ht="15.75" customHeight="1">
      <c r="A11051" s="7"/>
      <c r="B11051" s="7"/>
      <c r="M11051" s="9" t="s">
        <v>31</v>
      </c>
    </row>
    <row r="11052" ht="15.75" customHeight="1">
      <c r="A11052" s="7"/>
      <c r="B11052" s="7"/>
      <c r="M11052" s="9" t="s">
        <v>27</v>
      </c>
    </row>
    <row r="11053" ht="15.75" customHeight="1">
      <c r="A11053" s="7"/>
      <c r="B11053" s="7"/>
      <c r="M11053" s="9" t="s">
        <v>40</v>
      </c>
    </row>
    <row r="11054" ht="15.75" customHeight="1">
      <c r="A11054" s="7"/>
      <c r="B11054" s="7"/>
      <c r="M11054" s="9" t="s">
        <v>33</v>
      </c>
    </row>
    <row r="11055" ht="15.75" customHeight="1">
      <c r="A11055" s="7"/>
      <c r="B11055" s="7"/>
      <c r="M11055" s="9" t="s">
        <v>30</v>
      </c>
    </row>
    <row r="11056" ht="15.75" customHeight="1">
      <c r="A11056" s="7"/>
      <c r="B11056" s="7"/>
      <c r="M11056" s="9" t="s">
        <v>23</v>
      </c>
    </row>
    <row r="11057" ht="15.75" customHeight="1">
      <c r="A11057" s="7"/>
      <c r="B11057" s="7"/>
      <c r="M11057" s="9" t="s">
        <v>24</v>
      </c>
    </row>
    <row r="11058" ht="15.75" customHeight="1">
      <c r="A11058" s="7"/>
      <c r="B11058" s="7"/>
      <c r="M11058" s="9" t="s">
        <v>20</v>
      </c>
    </row>
    <row r="11059" ht="15.75" customHeight="1">
      <c r="A11059" s="7"/>
      <c r="B11059" s="7"/>
      <c r="M11059" s="9" t="s">
        <v>21</v>
      </c>
    </row>
    <row r="11060" ht="15.75" customHeight="1">
      <c r="A11060" s="7"/>
      <c r="B11060" s="7"/>
      <c r="M11060" s="9" t="s">
        <v>37</v>
      </c>
    </row>
    <row r="11061" ht="15.75" customHeight="1">
      <c r="A11061" s="7"/>
      <c r="B11061" s="7"/>
      <c r="M11061" s="9" t="s">
        <v>22</v>
      </c>
    </row>
    <row r="11062" ht="15.75" customHeight="1">
      <c r="A11062" s="7"/>
      <c r="B11062" s="7"/>
      <c r="M11062" s="9" t="s">
        <v>29</v>
      </c>
    </row>
    <row r="11063" ht="15.75" customHeight="1">
      <c r="A11063" s="7"/>
      <c r="B11063" s="7"/>
      <c r="M11063" s="9" t="s">
        <v>27</v>
      </c>
    </row>
    <row r="11064" ht="15.75" customHeight="1">
      <c r="A11064" s="7"/>
      <c r="B11064" s="7"/>
      <c r="M11064" s="9" t="s">
        <v>23</v>
      </c>
    </row>
    <row r="11065" ht="15.75" customHeight="1">
      <c r="A11065" s="7"/>
      <c r="B11065" s="7"/>
      <c r="M11065" s="9" t="s">
        <v>20</v>
      </c>
    </row>
    <row r="11066" ht="15.75" customHeight="1">
      <c r="A11066" s="7"/>
      <c r="B11066" s="7"/>
      <c r="M11066" s="9" t="s">
        <v>22</v>
      </c>
    </row>
    <row r="11067" ht="15.75" customHeight="1">
      <c r="A11067" s="7"/>
      <c r="B11067" s="7"/>
      <c r="M11067" s="9" t="s">
        <v>27</v>
      </c>
    </row>
    <row r="11068" ht="15.75" customHeight="1">
      <c r="A11068" s="7"/>
      <c r="B11068" s="7"/>
      <c r="M11068" s="9" t="s">
        <v>38</v>
      </c>
    </row>
    <row r="11069" ht="15.75" customHeight="1">
      <c r="A11069" s="7"/>
      <c r="B11069" s="7"/>
      <c r="M11069" s="9" t="s">
        <v>24</v>
      </c>
    </row>
    <row r="11070" ht="15.75" customHeight="1">
      <c r="A11070" s="7"/>
      <c r="B11070" s="7"/>
      <c r="M11070" s="9" t="s">
        <v>20</v>
      </c>
    </row>
    <row r="11071" ht="15.75" customHeight="1">
      <c r="A11071" s="7"/>
      <c r="B11071" s="7"/>
      <c r="M11071" s="9" t="s">
        <v>21</v>
      </c>
    </row>
    <row r="11072" ht="15.75" customHeight="1">
      <c r="A11072" s="7"/>
      <c r="B11072" s="7"/>
      <c r="M11072" s="9" t="s">
        <v>30</v>
      </c>
    </row>
    <row r="11073" ht="15.75" customHeight="1">
      <c r="A11073" s="7"/>
      <c r="B11073" s="7"/>
      <c r="M11073" s="9" t="s">
        <v>24</v>
      </c>
    </row>
    <row r="11074" ht="15.75" customHeight="1">
      <c r="A11074" s="7"/>
      <c r="B11074" s="7"/>
      <c r="M11074" s="9" t="s">
        <v>21</v>
      </c>
    </row>
    <row r="11075" ht="15.75" customHeight="1">
      <c r="A11075" s="7"/>
      <c r="B11075" s="7"/>
      <c r="M11075" s="9" t="s">
        <v>27</v>
      </c>
    </row>
    <row r="11076" ht="15.75" customHeight="1">
      <c r="A11076" s="7"/>
      <c r="B11076" s="7"/>
      <c r="M11076" s="9" t="s">
        <v>35</v>
      </c>
    </row>
    <row r="11077" ht="15.75" customHeight="1">
      <c r="A11077" s="7"/>
      <c r="B11077" s="7"/>
      <c r="M11077" s="9" t="s">
        <v>20</v>
      </c>
    </row>
    <row r="11078" ht="15.75" customHeight="1">
      <c r="A11078" s="7"/>
      <c r="B11078" s="7"/>
      <c r="M11078" s="9" t="s">
        <v>21</v>
      </c>
    </row>
    <row r="11079" ht="15.75" customHeight="1">
      <c r="A11079" s="7"/>
      <c r="B11079" s="7"/>
      <c r="M11079" s="9" t="s">
        <v>27</v>
      </c>
    </row>
    <row r="11080" ht="15.75" customHeight="1">
      <c r="A11080" s="7"/>
      <c r="B11080" s="7"/>
      <c r="M11080" s="9" t="s">
        <v>30</v>
      </c>
    </row>
    <row r="11081" ht="15.75" customHeight="1">
      <c r="A11081" s="7"/>
      <c r="B11081" s="7"/>
      <c r="M11081" s="9" t="s">
        <v>26</v>
      </c>
    </row>
    <row r="11082" ht="15.75" customHeight="1">
      <c r="A11082" s="7"/>
      <c r="B11082" s="7"/>
      <c r="M11082" s="9" t="s">
        <v>24</v>
      </c>
    </row>
    <row r="11083" ht="15.75" customHeight="1">
      <c r="A11083" s="7"/>
      <c r="B11083" s="7"/>
      <c r="M11083" s="9" t="s">
        <v>21</v>
      </c>
    </row>
    <row r="11084" ht="15.75" customHeight="1">
      <c r="A11084" s="7"/>
      <c r="B11084" s="7"/>
      <c r="M11084" s="9" t="s">
        <v>37</v>
      </c>
    </row>
    <row r="11085" ht="15.75" customHeight="1">
      <c r="A11085" s="7"/>
      <c r="B11085" s="7"/>
      <c r="M11085" s="9" t="s">
        <v>27</v>
      </c>
    </row>
    <row r="11086" ht="15.75" customHeight="1">
      <c r="A11086" s="7"/>
      <c r="B11086" s="7"/>
      <c r="M11086" s="9" t="s">
        <v>33</v>
      </c>
    </row>
    <row r="11087" ht="15.75" customHeight="1">
      <c r="A11087" s="7"/>
      <c r="B11087" s="7"/>
      <c r="M11087" s="9" t="s">
        <v>28</v>
      </c>
    </row>
    <row r="11088" ht="15.75" customHeight="1">
      <c r="A11088" s="7"/>
      <c r="B11088" s="7"/>
      <c r="M11088" s="9" t="s">
        <v>24</v>
      </c>
    </row>
    <row r="11089" ht="15.75" customHeight="1">
      <c r="A11089" s="7"/>
      <c r="B11089" s="7"/>
      <c r="M11089" s="9" t="s">
        <v>21</v>
      </c>
    </row>
    <row r="11090" ht="15.75" customHeight="1">
      <c r="A11090" s="7"/>
      <c r="B11090" s="7"/>
      <c r="M11090" s="9" t="s">
        <v>37</v>
      </c>
    </row>
    <row r="11091" ht="15.75" customHeight="1">
      <c r="A11091" s="7"/>
      <c r="B11091" s="7"/>
      <c r="M11091" s="9" t="s">
        <v>22</v>
      </c>
    </row>
    <row r="11092" ht="15.75" customHeight="1">
      <c r="A11092" s="7"/>
      <c r="B11092" s="7"/>
      <c r="M11092" s="9" t="s">
        <v>23</v>
      </c>
    </row>
    <row r="11093" ht="15.75" customHeight="1">
      <c r="A11093" s="7"/>
      <c r="B11093" s="7"/>
      <c r="M11093" s="9" t="s">
        <v>24</v>
      </c>
    </row>
    <row r="11094" ht="15.75" customHeight="1">
      <c r="A11094" s="7"/>
      <c r="B11094" s="7"/>
      <c r="M11094" s="9" t="s">
        <v>20</v>
      </c>
    </row>
    <row r="11095" ht="15.75" customHeight="1">
      <c r="A11095" s="7"/>
      <c r="B11095" s="7"/>
      <c r="M11095" s="9" t="s">
        <v>21</v>
      </c>
    </row>
    <row r="11096" ht="15.75" customHeight="1">
      <c r="A11096" s="7"/>
      <c r="B11096" s="7"/>
      <c r="M11096" s="9" t="s">
        <v>27</v>
      </c>
    </row>
    <row r="11097" ht="15.75" customHeight="1">
      <c r="A11097" s="7"/>
      <c r="B11097" s="7"/>
      <c r="M11097" s="9" t="s">
        <v>33</v>
      </c>
    </row>
    <row r="11098" ht="15.75" customHeight="1">
      <c r="A11098" s="7"/>
      <c r="B11098" s="7"/>
      <c r="M11098" s="9" t="s">
        <v>30</v>
      </c>
    </row>
    <row r="11099" ht="15.75" customHeight="1">
      <c r="A11099" s="7"/>
      <c r="B11099" s="7"/>
      <c r="M11099" s="9" t="s">
        <v>25</v>
      </c>
    </row>
    <row r="11100" ht="15.75" customHeight="1">
      <c r="A11100" s="7"/>
      <c r="B11100" s="7"/>
      <c r="M11100" s="9" t="s">
        <v>23</v>
      </c>
    </row>
    <row r="11101" ht="15.75" customHeight="1">
      <c r="A11101" s="7"/>
      <c r="B11101" s="7"/>
      <c r="M11101" s="9" t="s">
        <v>26</v>
      </c>
    </row>
    <row r="11102" ht="15.75" customHeight="1">
      <c r="A11102" s="7"/>
      <c r="B11102" s="7"/>
      <c r="M11102" s="9" t="s">
        <v>24</v>
      </c>
    </row>
    <row r="11103" ht="15.75" customHeight="1">
      <c r="A11103" s="7"/>
      <c r="B11103" s="7"/>
      <c r="M11103" s="9" t="s">
        <v>21</v>
      </c>
    </row>
    <row r="11104" ht="15.75" customHeight="1">
      <c r="A11104" s="7"/>
      <c r="B11104" s="7"/>
      <c r="M11104" s="9" t="s">
        <v>37</v>
      </c>
    </row>
    <row r="11105" ht="15.75" customHeight="1">
      <c r="A11105" s="7"/>
      <c r="B11105" s="7"/>
      <c r="M11105" s="9" t="s">
        <v>27</v>
      </c>
    </row>
    <row r="11106" ht="15.75" customHeight="1">
      <c r="A11106" s="7"/>
      <c r="B11106" s="7"/>
      <c r="M11106" s="9" t="s">
        <v>28</v>
      </c>
    </row>
    <row r="11107" ht="15.75" customHeight="1">
      <c r="A11107" s="7"/>
      <c r="B11107" s="7"/>
      <c r="M11107" s="9" t="s">
        <v>38</v>
      </c>
    </row>
    <row r="11108" ht="15.75" customHeight="1">
      <c r="A11108" s="7"/>
      <c r="B11108" s="7"/>
      <c r="M11108" s="9" t="s">
        <v>30</v>
      </c>
    </row>
    <row r="11109" ht="15.75" customHeight="1">
      <c r="A11109" s="7"/>
      <c r="B11109" s="7"/>
      <c r="M11109" s="9" t="s">
        <v>25</v>
      </c>
    </row>
    <row r="11110" ht="15.75" customHeight="1">
      <c r="A11110" s="7"/>
      <c r="B11110" s="7"/>
      <c r="M11110" s="9" t="s">
        <v>23</v>
      </c>
    </row>
    <row r="11111" ht="15.75" customHeight="1">
      <c r="A11111" s="7"/>
      <c r="B11111" s="7"/>
      <c r="M11111" s="9" t="s">
        <v>24</v>
      </c>
    </row>
    <row r="11112" ht="15.75" customHeight="1">
      <c r="A11112" s="7"/>
      <c r="B11112" s="7"/>
      <c r="M11112" s="9" t="s">
        <v>20</v>
      </c>
    </row>
    <row r="11113" ht="15.75" customHeight="1">
      <c r="A11113" s="7"/>
      <c r="B11113" s="7"/>
      <c r="M11113" s="9" t="s">
        <v>21</v>
      </c>
    </row>
    <row r="11114" ht="15.75" customHeight="1">
      <c r="A11114" s="7"/>
      <c r="B11114" s="7"/>
      <c r="M11114" s="9" t="s">
        <v>39</v>
      </c>
    </row>
    <row r="11115" ht="15.75" customHeight="1">
      <c r="A11115" s="7"/>
      <c r="B11115" s="7"/>
      <c r="M11115" s="9" t="s">
        <v>37</v>
      </c>
    </row>
    <row r="11116" ht="15.75" customHeight="1">
      <c r="A11116" s="7"/>
      <c r="B11116" s="7"/>
      <c r="M11116" s="9" t="s">
        <v>22</v>
      </c>
    </row>
    <row r="11117" ht="15.75" customHeight="1">
      <c r="A11117" s="7"/>
      <c r="B11117" s="7"/>
      <c r="M11117" s="9" t="s">
        <v>27</v>
      </c>
    </row>
    <row r="11118" ht="15.75" customHeight="1">
      <c r="A11118" s="7"/>
      <c r="B11118" s="7"/>
      <c r="M11118" s="9" t="s">
        <v>40</v>
      </c>
    </row>
    <row r="11119" ht="15.75" customHeight="1">
      <c r="A11119" s="7"/>
      <c r="B11119" s="7"/>
      <c r="M11119" s="9" t="s">
        <v>33</v>
      </c>
    </row>
    <row r="11120" ht="15.75" customHeight="1">
      <c r="A11120" s="7"/>
      <c r="B11120" s="7"/>
      <c r="M11120" s="9" t="s">
        <v>35</v>
      </c>
    </row>
    <row r="11121" ht="15.75" customHeight="1">
      <c r="A11121" s="7"/>
      <c r="B11121" s="7"/>
      <c r="M11121" s="9" t="s">
        <v>30</v>
      </c>
    </row>
    <row r="11122" ht="15.75" customHeight="1">
      <c r="A11122" s="7"/>
      <c r="B11122" s="7"/>
      <c r="M11122" s="9" t="s">
        <v>26</v>
      </c>
    </row>
    <row r="11123" ht="15.75" customHeight="1">
      <c r="A11123" s="7"/>
      <c r="B11123" s="7"/>
      <c r="M11123" s="9" t="s">
        <v>24</v>
      </c>
    </row>
    <row r="11124" ht="15.75" customHeight="1">
      <c r="A11124" s="7"/>
      <c r="B11124" s="7"/>
      <c r="M11124" s="9" t="s">
        <v>20</v>
      </c>
    </row>
    <row r="11125" ht="15.75" customHeight="1">
      <c r="A11125" s="7"/>
      <c r="B11125" s="7"/>
      <c r="M11125" s="9" t="s">
        <v>21</v>
      </c>
    </row>
    <row r="11126" ht="15.75" customHeight="1">
      <c r="A11126" s="7"/>
      <c r="B11126" s="7"/>
      <c r="M11126" s="9" t="s">
        <v>27</v>
      </c>
    </row>
    <row r="11127" ht="15.75" customHeight="1">
      <c r="A11127" s="7"/>
      <c r="B11127" s="7"/>
      <c r="M11127" s="9" t="s">
        <v>33</v>
      </c>
    </row>
    <row r="11128" ht="15.75" customHeight="1">
      <c r="A11128" s="7"/>
      <c r="B11128" s="7"/>
      <c r="M11128" s="9" t="s">
        <v>25</v>
      </c>
    </row>
    <row r="11129" ht="15.75" customHeight="1">
      <c r="A11129" s="7"/>
      <c r="B11129" s="7"/>
      <c r="M11129" s="9" t="s">
        <v>23</v>
      </c>
    </row>
    <row r="11130" ht="15.75" customHeight="1">
      <c r="A11130" s="7"/>
      <c r="B11130" s="7"/>
      <c r="M11130" s="9" t="s">
        <v>20</v>
      </c>
    </row>
    <row r="11131" ht="15.75" customHeight="1">
      <c r="A11131" s="7"/>
      <c r="B11131" s="7"/>
      <c r="M11131" s="9" t="s">
        <v>21</v>
      </c>
    </row>
    <row r="11132" ht="15.75" customHeight="1">
      <c r="A11132" s="7"/>
      <c r="B11132" s="7"/>
      <c r="M11132" s="9" t="s">
        <v>27</v>
      </c>
    </row>
    <row r="11133" ht="15.75" customHeight="1">
      <c r="A11133" s="7"/>
      <c r="B11133" s="7"/>
      <c r="M11133" s="9" t="s">
        <v>33</v>
      </c>
    </row>
    <row r="11134" ht="15.75" customHeight="1">
      <c r="A11134" s="7"/>
      <c r="B11134" s="7"/>
      <c r="M11134" s="9" t="s">
        <v>24</v>
      </c>
    </row>
    <row r="11135" ht="15.75" customHeight="1">
      <c r="A11135" s="7"/>
      <c r="B11135" s="7"/>
      <c r="M11135" s="9" t="s">
        <v>22</v>
      </c>
    </row>
    <row r="11136" ht="15.75" customHeight="1">
      <c r="A11136" s="7"/>
      <c r="B11136" s="7"/>
      <c r="M11136" s="9" t="s">
        <v>29</v>
      </c>
    </row>
    <row r="11137" ht="15.75" customHeight="1">
      <c r="A11137" s="7"/>
      <c r="B11137" s="7"/>
      <c r="M11137" s="9" t="s">
        <v>26</v>
      </c>
    </row>
    <row r="11138" ht="15.75" customHeight="1">
      <c r="A11138" s="7"/>
      <c r="B11138" s="7"/>
      <c r="M11138" s="9" t="s">
        <v>24</v>
      </c>
    </row>
    <row r="11139" ht="15.75" customHeight="1">
      <c r="A11139" s="7"/>
      <c r="B11139" s="7"/>
      <c r="M11139" s="9" t="s">
        <v>21</v>
      </c>
    </row>
    <row r="11140" ht="15.75" customHeight="1">
      <c r="A11140" s="7"/>
      <c r="B11140" s="7"/>
      <c r="M11140" s="9" t="s">
        <v>30</v>
      </c>
    </row>
    <row r="11141" ht="15.75" customHeight="1">
      <c r="A11141" s="7"/>
      <c r="B11141" s="7"/>
      <c r="M11141" s="9" t="s">
        <v>24</v>
      </c>
    </row>
    <row r="11142" ht="15.75" customHeight="1">
      <c r="A11142" s="7"/>
      <c r="B11142" s="7"/>
      <c r="M11142" s="9" t="s">
        <v>21</v>
      </c>
    </row>
    <row r="11143" ht="15.75" customHeight="1">
      <c r="A11143" s="7"/>
      <c r="B11143" s="7"/>
      <c r="M11143" s="9" t="s">
        <v>37</v>
      </c>
    </row>
    <row r="11144" ht="15.75" customHeight="1">
      <c r="A11144" s="7"/>
      <c r="B11144" s="7"/>
      <c r="M11144" s="9" t="s">
        <v>22</v>
      </c>
    </row>
    <row r="11145" ht="15.75" customHeight="1">
      <c r="A11145" s="7"/>
      <c r="B11145" s="7"/>
      <c r="M11145" s="9" t="s">
        <v>27</v>
      </c>
    </row>
    <row r="11146" ht="15.75" customHeight="1">
      <c r="A11146" s="7"/>
      <c r="B11146" s="7"/>
      <c r="M11146" s="9" t="s">
        <v>33</v>
      </c>
    </row>
    <row r="11147" ht="15.75" customHeight="1">
      <c r="A11147" s="7"/>
      <c r="B11147" s="7"/>
      <c r="M11147" s="9" t="s">
        <v>24</v>
      </c>
    </row>
    <row r="11148" ht="15.75" customHeight="1">
      <c r="A11148" s="7"/>
      <c r="B11148" s="7"/>
      <c r="M11148" s="9" t="s">
        <v>21</v>
      </c>
    </row>
    <row r="11149" ht="15.75" customHeight="1">
      <c r="A11149" s="7"/>
      <c r="B11149" s="7"/>
      <c r="M11149" s="9" t="s">
        <v>22</v>
      </c>
    </row>
    <row r="11150" ht="15.75" customHeight="1">
      <c r="A11150" s="7"/>
      <c r="B11150" s="7"/>
      <c r="M11150" s="9" t="s">
        <v>38</v>
      </c>
    </row>
    <row r="11151" ht="15.75" customHeight="1">
      <c r="A11151" s="7"/>
      <c r="B11151" s="7"/>
      <c r="M11151" s="9" t="s">
        <v>25</v>
      </c>
    </row>
    <row r="11152" ht="15.75" customHeight="1">
      <c r="A11152" s="7"/>
      <c r="B11152" s="7"/>
      <c r="M11152" s="9" t="s">
        <v>23</v>
      </c>
    </row>
    <row r="11153" ht="15.75" customHeight="1">
      <c r="A11153" s="7"/>
      <c r="B11153" s="7"/>
      <c r="M11153" s="9" t="s">
        <v>26</v>
      </c>
    </row>
    <row r="11154" ht="15.75" customHeight="1">
      <c r="A11154" s="7"/>
      <c r="B11154" s="7"/>
      <c r="M11154" s="9" t="s">
        <v>24</v>
      </c>
    </row>
    <row r="11155" ht="15.75" customHeight="1">
      <c r="A11155" s="7"/>
      <c r="B11155" s="7"/>
      <c r="M11155" s="9" t="s">
        <v>20</v>
      </c>
    </row>
    <row r="11156" ht="15.75" customHeight="1">
      <c r="A11156" s="7"/>
      <c r="B11156" s="7"/>
      <c r="M11156" s="9" t="s">
        <v>21</v>
      </c>
    </row>
    <row r="11157" ht="15.75" customHeight="1">
      <c r="A11157" s="7"/>
      <c r="B11157" s="7"/>
      <c r="M11157" s="9" t="s">
        <v>37</v>
      </c>
    </row>
    <row r="11158" ht="15.75" customHeight="1">
      <c r="A11158" s="7"/>
      <c r="B11158" s="7"/>
      <c r="M11158" s="9" t="s">
        <v>27</v>
      </c>
    </row>
    <row r="11159" ht="15.75" customHeight="1">
      <c r="A11159" s="7"/>
      <c r="B11159" s="7"/>
      <c r="M11159" s="9" t="s">
        <v>35</v>
      </c>
    </row>
    <row r="11160" ht="15.75" customHeight="1">
      <c r="A11160" s="7"/>
      <c r="B11160" s="7"/>
      <c r="M11160" s="9" t="s">
        <v>25</v>
      </c>
    </row>
    <row r="11161" ht="15.75" customHeight="1">
      <c r="A11161" s="7"/>
      <c r="B11161" s="7"/>
      <c r="M11161" s="9" t="s">
        <v>23</v>
      </c>
    </row>
    <row r="11162" ht="15.75" customHeight="1">
      <c r="A11162" s="7"/>
      <c r="B11162" s="7"/>
      <c r="M11162" s="9" t="s">
        <v>24</v>
      </c>
    </row>
    <row r="11163" ht="15.75" customHeight="1">
      <c r="A11163" s="7"/>
      <c r="B11163" s="7"/>
      <c r="M11163" s="9" t="s">
        <v>21</v>
      </c>
    </row>
    <row r="11164" ht="15.75" customHeight="1">
      <c r="A11164" s="7"/>
      <c r="B11164" s="7"/>
      <c r="M11164" s="9" t="s">
        <v>22</v>
      </c>
    </row>
    <row r="11165" ht="15.75" customHeight="1">
      <c r="A11165" s="7"/>
      <c r="B11165" s="7"/>
      <c r="M11165" s="9" t="s">
        <v>27</v>
      </c>
    </row>
    <row r="11166" ht="15.75" customHeight="1">
      <c r="A11166" s="7"/>
      <c r="B11166" s="7"/>
      <c r="M11166" s="9" t="s">
        <v>24</v>
      </c>
    </row>
    <row r="11167" ht="15.75" customHeight="1">
      <c r="A11167" s="7"/>
      <c r="B11167" s="7"/>
      <c r="M11167" s="9" t="s">
        <v>21</v>
      </c>
    </row>
    <row r="11168" ht="15.75" customHeight="1">
      <c r="A11168" s="7"/>
      <c r="B11168" s="7"/>
      <c r="M11168" s="9" t="s">
        <v>37</v>
      </c>
    </row>
    <row r="11169" ht="15.75" customHeight="1">
      <c r="A11169" s="7"/>
      <c r="B11169" s="7"/>
      <c r="M11169" s="9" t="s">
        <v>27</v>
      </c>
    </row>
    <row r="11170" ht="15.75" customHeight="1">
      <c r="A11170" s="7"/>
      <c r="B11170" s="7"/>
      <c r="M11170" s="9" t="s">
        <v>30</v>
      </c>
    </row>
    <row r="11171" ht="15.75" customHeight="1">
      <c r="A11171" s="7"/>
      <c r="B11171" s="7"/>
      <c r="M11171" s="9" t="s">
        <v>25</v>
      </c>
    </row>
    <row r="11172" ht="15.75" customHeight="1">
      <c r="A11172" s="7"/>
      <c r="B11172" s="7"/>
      <c r="M11172" s="9" t="s">
        <v>20</v>
      </c>
    </row>
    <row r="11173" ht="15.75" customHeight="1">
      <c r="A11173" s="7"/>
      <c r="B11173" s="7"/>
      <c r="M11173" s="9" t="s">
        <v>21</v>
      </c>
    </row>
    <row r="11174" ht="15.75" customHeight="1">
      <c r="A11174" s="7"/>
      <c r="B11174" s="7"/>
      <c r="M11174" s="9" t="s">
        <v>37</v>
      </c>
    </row>
    <row r="11175" ht="15.75" customHeight="1">
      <c r="A11175" s="7"/>
      <c r="B11175" s="7"/>
      <c r="M11175" s="9" t="s">
        <v>22</v>
      </c>
    </row>
    <row r="11176" ht="15.75" customHeight="1">
      <c r="A11176" s="7"/>
      <c r="B11176" s="7"/>
      <c r="M11176" s="9" t="s">
        <v>31</v>
      </c>
    </row>
    <row r="11177" ht="15.75" customHeight="1">
      <c r="A11177" s="7"/>
      <c r="B11177" s="7"/>
      <c r="M11177" s="9" t="s">
        <v>21</v>
      </c>
    </row>
    <row r="11178" ht="15.75" customHeight="1">
      <c r="A11178" s="7"/>
      <c r="B11178" s="7"/>
      <c r="M11178" s="9" t="s">
        <v>22</v>
      </c>
    </row>
    <row r="11179" ht="15.75" customHeight="1">
      <c r="A11179" s="7"/>
      <c r="B11179" s="7"/>
      <c r="M11179" s="9" t="s">
        <v>20</v>
      </c>
    </row>
    <row r="11180" ht="15.75" customHeight="1">
      <c r="A11180" s="7"/>
      <c r="B11180" s="7"/>
      <c r="M11180" s="9" t="s">
        <v>21</v>
      </c>
    </row>
    <row r="11181" ht="15.75" customHeight="1">
      <c r="A11181" s="7"/>
      <c r="B11181" s="7"/>
      <c r="M11181" s="9" t="s">
        <v>25</v>
      </c>
    </row>
    <row r="11182" ht="15.75" customHeight="1">
      <c r="A11182" s="7"/>
      <c r="B11182" s="7"/>
      <c r="M11182" s="9" t="s">
        <v>23</v>
      </c>
    </row>
    <row r="11183" ht="15.75" customHeight="1">
      <c r="A11183" s="7"/>
      <c r="B11183" s="7"/>
      <c r="M11183" s="9" t="s">
        <v>24</v>
      </c>
    </row>
    <row r="11184" ht="15.75" customHeight="1">
      <c r="A11184" s="7"/>
      <c r="B11184" s="7"/>
      <c r="M11184" s="9" t="s">
        <v>20</v>
      </c>
    </row>
    <row r="11185" ht="15.75" customHeight="1">
      <c r="A11185" s="7"/>
      <c r="B11185" s="7"/>
      <c r="M11185" s="9" t="s">
        <v>21</v>
      </c>
    </row>
    <row r="11186" ht="15.75" customHeight="1">
      <c r="A11186" s="7"/>
      <c r="B11186" s="7"/>
      <c r="M11186" s="9" t="s">
        <v>37</v>
      </c>
    </row>
    <row r="11187" ht="15.75" customHeight="1">
      <c r="A11187" s="7"/>
      <c r="B11187" s="7"/>
      <c r="M11187" s="9" t="s">
        <v>29</v>
      </c>
    </row>
    <row r="11188" ht="15.75" customHeight="1">
      <c r="A11188" s="7"/>
      <c r="B11188" s="7"/>
      <c r="M11188" s="9" t="s">
        <v>27</v>
      </c>
    </row>
    <row r="11189" ht="15.75" customHeight="1">
      <c r="A11189" s="7"/>
      <c r="B11189" s="7"/>
      <c r="M11189" s="9" t="s">
        <v>33</v>
      </c>
    </row>
    <row r="11190" ht="15.75" customHeight="1">
      <c r="A11190" s="7"/>
      <c r="B11190" s="7"/>
      <c r="M11190" s="9" t="s">
        <v>30</v>
      </c>
    </row>
    <row r="11191" ht="15.75" customHeight="1">
      <c r="A11191" s="7"/>
      <c r="B11191" s="7"/>
      <c r="M11191" s="9" t="s">
        <v>24</v>
      </c>
    </row>
    <row r="11192" ht="15.75" customHeight="1">
      <c r="A11192" s="7"/>
      <c r="B11192" s="7"/>
      <c r="M11192" s="9" t="s">
        <v>21</v>
      </c>
    </row>
    <row r="11193" ht="15.75" customHeight="1">
      <c r="A11193" s="7"/>
      <c r="B11193" s="7"/>
      <c r="M11193" s="9" t="s">
        <v>22</v>
      </c>
    </row>
    <row r="11194" ht="15.75" customHeight="1">
      <c r="A11194" s="7"/>
      <c r="B11194" s="7"/>
      <c r="M11194" s="9" t="s">
        <v>33</v>
      </c>
    </row>
    <row r="11195" ht="15.75" customHeight="1">
      <c r="A11195" s="7"/>
      <c r="B11195" s="7"/>
      <c r="M11195" s="9" t="s">
        <v>30</v>
      </c>
    </row>
    <row r="11196" ht="15.75" customHeight="1">
      <c r="A11196" s="7"/>
      <c r="B11196" s="7"/>
      <c r="M11196" s="9" t="s">
        <v>24</v>
      </c>
    </row>
    <row r="11197" ht="15.75" customHeight="1">
      <c r="A11197" s="7"/>
      <c r="B11197" s="7"/>
      <c r="M11197" s="9" t="s">
        <v>21</v>
      </c>
    </row>
    <row r="11198" ht="15.75" customHeight="1">
      <c r="A11198" s="7"/>
      <c r="B11198" s="7"/>
      <c r="M11198" s="9" t="s">
        <v>22</v>
      </c>
    </row>
    <row r="11199" ht="15.75" customHeight="1">
      <c r="A11199" s="7"/>
      <c r="B11199" s="7"/>
      <c r="M11199" s="9" t="s">
        <v>27</v>
      </c>
    </row>
    <row r="11200" ht="15.75" customHeight="1">
      <c r="A11200" s="7"/>
      <c r="B11200" s="7"/>
      <c r="M11200" s="9" t="s">
        <v>33</v>
      </c>
    </row>
    <row r="11201" ht="15.75" customHeight="1">
      <c r="A11201" s="7"/>
      <c r="B11201" s="7"/>
      <c r="M11201" s="9" t="s">
        <v>35</v>
      </c>
    </row>
    <row r="11202" ht="15.75" customHeight="1">
      <c r="A11202" s="7"/>
      <c r="B11202" s="7"/>
      <c r="M11202" s="9" t="s">
        <v>30</v>
      </c>
    </row>
    <row r="11203" ht="15.75" customHeight="1">
      <c r="A11203" s="7"/>
      <c r="B11203" s="7"/>
      <c r="M11203" s="9" t="s">
        <v>26</v>
      </c>
    </row>
    <row r="11204" ht="15.75" customHeight="1">
      <c r="A11204" s="7"/>
      <c r="B11204" s="7"/>
      <c r="M11204" s="9" t="s">
        <v>24</v>
      </c>
    </row>
    <row r="11205" ht="15.75" customHeight="1">
      <c r="A11205" s="7"/>
      <c r="B11205" s="7"/>
      <c r="M11205" s="9" t="s">
        <v>21</v>
      </c>
    </row>
    <row r="11206" ht="15.75" customHeight="1">
      <c r="A11206" s="7"/>
      <c r="B11206" s="7"/>
      <c r="M11206" s="9" t="s">
        <v>27</v>
      </c>
    </row>
    <row r="11207" ht="15.75" customHeight="1">
      <c r="A11207" s="7"/>
      <c r="B11207" s="7"/>
      <c r="M11207" s="9" t="s">
        <v>33</v>
      </c>
    </row>
    <row r="11208" ht="15.75" customHeight="1">
      <c r="A11208" s="7"/>
      <c r="B11208" s="7"/>
      <c r="M11208" s="9" t="s">
        <v>30</v>
      </c>
    </row>
    <row r="11209" ht="15.75" customHeight="1">
      <c r="A11209" s="7"/>
      <c r="B11209" s="7"/>
      <c r="M11209" s="9" t="s">
        <v>26</v>
      </c>
    </row>
    <row r="11210" ht="15.75" customHeight="1">
      <c r="A11210" s="7"/>
      <c r="B11210" s="7"/>
      <c r="M11210" s="9" t="s">
        <v>24</v>
      </c>
    </row>
    <row r="11211" ht="15.75" customHeight="1">
      <c r="A11211" s="7"/>
      <c r="B11211" s="7"/>
      <c r="M11211" s="9" t="s">
        <v>21</v>
      </c>
    </row>
    <row r="11212" ht="15.75" customHeight="1">
      <c r="A11212" s="7"/>
      <c r="B11212" s="7"/>
      <c r="M11212" s="9" t="s">
        <v>22</v>
      </c>
    </row>
    <row r="11213" ht="15.75" customHeight="1">
      <c r="A11213" s="7"/>
      <c r="B11213" s="7"/>
      <c r="M11213" s="9" t="s">
        <v>46</v>
      </c>
    </row>
    <row r="11214" ht="15.75" customHeight="1">
      <c r="A11214" s="7"/>
      <c r="B11214" s="7"/>
      <c r="M11214" s="9" t="s">
        <v>27</v>
      </c>
    </row>
    <row r="11215" ht="15.75" customHeight="1">
      <c r="A11215" s="7"/>
      <c r="B11215" s="7"/>
      <c r="M11215" s="9" t="s">
        <v>38</v>
      </c>
    </row>
    <row r="11216" ht="15.75" customHeight="1">
      <c r="A11216" s="7"/>
      <c r="B11216" s="7"/>
      <c r="M11216" s="9" t="s">
        <v>30</v>
      </c>
    </row>
    <row r="11217" ht="15.75" customHeight="1">
      <c r="A11217" s="7"/>
      <c r="B11217" s="7"/>
      <c r="M11217" s="9" t="s">
        <v>25</v>
      </c>
    </row>
    <row r="11218" ht="15.75" customHeight="1">
      <c r="A11218" s="7"/>
      <c r="B11218" s="7"/>
      <c r="M11218" s="9" t="s">
        <v>23</v>
      </c>
    </row>
    <row r="11219" ht="15.75" customHeight="1">
      <c r="A11219" s="7"/>
      <c r="B11219" s="7"/>
      <c r="M11219" s="9" t="s">
        <v>26</v>
      </c>
    </row>
    <row r="11220" ht="15.75" customHeight="1">
      <c r="A11220" s="7"/>
      <c r="B11220" s="7"/>
      <c r="M11220" s="9" t="s">
        <v>24</v>
      </c>
    </row>
    <row r="11221" ht="15.75" customHeight="1">
      <c r="A11221" s="7"/>
      <c r="B11221" s="7"/>
      <c r="M11221" s="9" t="s">
        <v>20</v>
      </c>
    </row>
    <row r="11222" ht="15.75" customHeight="1">
      <c r="A11222" s="7"/>
      <c r="B11222" s="7"/>
      <c r="M11222" s="9" t="s">
        <v>21</v>
      </c>
    </row>
    <row r="11223" ht="15.75" customHeight="1">
      <c r="A11223" s="7"/>
      <c r="B11223" s="7"/>
      <c r="M11223" s="9" t="s">
        <v>37</v>
      </c>
    </row>
    <row r="11224" ht="15.75" customHeight="1">
      <c r="A11224" s="7"/>
      <c r="B11224" s="7"/>
      <c r="M11224" s="9" t="s">
        <v>27</v>
      </c>
    </row>
    <row r="11225" ht="15.75" customHeight="1">
      <c r="A11225" s="7"/>
      <c r="B11225" s="7"/>
      <c r="M11225" s="9" t="s">
        <v>30</v>
      </c>
    </row>
    <row r="11226" ht="15.75" customHeight="1">
      <c r="A11226" s="7"/>
      <c r="B11226" s="7"/>
      <c r="M11226" s="9" t="s">
        <v>22</v>
      </c>
    </row>
    <row r="11227" ht="15.75" customHeight="1">
      <c r="A11227" s="7"/>
      <c r="B11227" s="7"/>
      <c r="M11227" s="9" t="s">
        <v>23</v>
      </c>
    </row>
    <row r="11228" ht="15.75" customHeight="1">
      <c r="A11228" s="7"/>
      <c r="B11228" s="7"/>
      <c r="M11228" s="9" t="s">
        <v>26</v>
      </c>
    </row>
    <row r="11229" ht="15.75" customHeight="1">
      <c r="A11229" s="7"/>
      <c r="B11229" s="7"/>
      <c r="M11229" s="9" t="s">
        <v>24</v>
      </c>
    </row>
    <row r="11230" ht="15.75" customHeight="1">
      <c r="A11230" s="7"/>
      <c r="B11230" s="7"/>
      <c r="M11230" s="9" t="s">
        <v>20</v>
      </c>
    </row>
    <row r="11231" ht="15.75" customHeight="1">
      <c r="A11231" s="7"/>
      <c r="B11231" s="7"/>
      <c r="M11231" s="9" t="s">
        <v>21</v>
      </c>
    </row>
    <row r="11232" ht="15.75" customHeight="1">
      <c r="A11232" s="7"/>
      <c r="B11232" s="7"/>
      <c r="M11232" s="9" t="s">
        <v>37</v>
      </c>
    </row>
    <row r="11233" ht="15.75" customHeight="1">
      <c r="A11233" s="7"/>
      <c r="B11233" s="7"/>
      <c r="M11233" s="9" t="s">
        <v>27</v>
      </c>
    </row>
    <row r="11234" ht="15.75" customHeight="1">
      <c r="A11234" s="7"/>
      <c r="B11234" s="7"/>
      <c r="M11234" s="9" t="s">
        <v>33</v>
      </c>
    </row>
    <row r="11235" ht="15.75" customHeight="1">
      <c r="A11235" s="7"/>
      <c r="B11235" s="7"/>
      <c r="M11235" s="9" t="s">
        <v>30</v>
      </c>
    </row>
    <row r="11236" ht="15.75" customHeight="1">
      <c r="A11236" s="7"/>
      <c r="B11236" s="7"/>
      <c r="M11236" s="9" t="s">
        <v>36</v>
      </c>
    </row>
    <row r="11237" ht="15.75" customHeight="1">
      <c r="A11237" s="7"/>
      <c r="B11237" s="7"/>
      <c r="M11237" s="9" t="s">
        <v>24</v>
      </c>
    </row>
    <row r="11238" ht="15.75" customHeight="1">
      <c r="A11238" s="7"/>
      <c r="B11238" s="7"/>
      <c r="M11238" s="9" t="s">
        <v>21</v>
      </c>
    </row>
    <row r="11239" ht="15.75" customHeight="1">
      <c r="A11239" s="7"/>
      <c r="B11239" s="7"/>
      <c r="M11239" s="9" t="s">
        <v>31</v>
      </c>
    </row>
    <row r="11240" ht="15.75" customHeight="1">
      <c r="A11240" s="7"/>
      <c r="B11240" s="7"/>
      <c r="M11240" s="9" t="s">
        <v>23</v>
      </c>
    </row>
    <row r="11241" ht="15.75" customHeight="1">
      <c r="A11241" s="7"/>
      <c r="B11241" s="7"/>
      <c r="M11241" s="9" t="s">
        <v>26</v>
      </c>
    </row>
    <row r="11242" ht="15.75" customHeight="1">
      <c r="A11242" s="7"/>
      <c r="B11242" s="7"/>
      <c r="M11242" s="9" t="s">
        <v>20</v>
      </c>
    </row>
    <row r="11243" ht="15.75" customHeight="1">
      <c r="A11243" s="7"/>
      <c r="B11243" s="7"/>
      <c r="M11243" s="9" t="s">
        <v>21</v>
      </c>
    </row>
    <row r="11244" ht="15.75" customHeight="1">
      <c r="A11244" s="7"/>
      <c r="B11244" s="7"/>
      <c r="M11244" s="9" t="s">
        <v>37</v>
      </c>
    </row>
    <row r="11245" ht="15.75" customHeight="1">
      <c r="A11245" s="7"/>
      <c r="B11245" s="7"/>
      <c r="M11245" s="9" t="s">
        <v>22</v>
      </c>
    </row>
    <row r="11246" ht="15.75" customHeight="1">
      <c r="A11246" s="7"/>
      <c r="B11246" s="7"/>
      <c r="M11246" s="9" t="s">
        <v>35</v>
      </c>
    </row>
    <row r="11247" ht="15.75" customHeight="1">
      <c r="A11247" s="7"/>
      <c r="B11247" s="7"/>
      <c r="M11247" s="9" t="s">
        <v>23</v>
      </c>
    </row>
    <row r="11248" ht="15.75" customHeight="1">
      <c r="A11248" s="7"/>
      <c r="B11248" s="7"/>
      <c r="M11248" s="9" t="s">
        <v>26</v>
      </c>
    </row>
    <row r="11249" ht="15.75" customHeight="1">
      <c r="A11249" s="7"/>
      <c r="B11249" s="7"/>
      <c r="M11249" s="9" t="s">
        <v>21</v>
      </c>
    </row>
    <row r="11250" ht="15.75" customHeight="1">
      <c r="A11250" s="7"/>
      <c r="B11250" s="7"/>
      <c r="M11250" s="9" t="s">
        <v>41</v>
      </c>
    </row>
    <row r="11251" ht="15.75" customHeight="1">
      <c r="A11251" s="7"/>
      <c r="B11251" s="7"/>
      <c r="M11251" s="9" t="s">
        <v>22</v>
      </c>
    </row>
    <row r="11252" ht="15.75" customHeight="1">
      <c r="A11252" s="7"/>
      <c r="B11252" s="7"/>
      <c r="M11252" s="9" t="s">
        <v>31</v>
      </c>
    </row>
    <row r="11253" ht="15.75" customHeight="1">
      <c r="A11253" s="7"/>
      <c r="B11253" s="7"/>
      <c r="M11253" s="9" t="s">
        <v>27</v>
      </c>
    </row>
    <row r="11254" ht="15.75" customHeight="1">
      <c r="A11254" s="7"/>
      <c r="B11254" s="7"/>
      <c r="M11254" s="9" t="s">
        <v>40</v>
      </c>
    </row>
    <row r="11255" ht="15.75" customHeight="1">
      <c r="A11255" s="7"/>
      <c r="B11255" s="7"/>
      <c r="M11255" s="9" t="s">
        <v>33</v>
      </c>
    </row>
    <row r="11256" ht="15.75" customHeight="1">
      <c r="A11256" s="7"/>
      <c r="B11256" s="7"/>
      <c r="M11256" s="9" t="s">
        <v>26</v>
      </c>
    </row>
    <row r="11257" ht="15.75" customHeight="1">
      <c r="A11257" s="7"/>
      <c r="B11257" s="7"/>
      <c r="M11257" s="9" t="s">
        <v>45</v>
      </c>
    </row>
    <row r="11258" ht="15.75" customHeight="1">
      <c r="A11258" s="7"/>
      <c r="B11258" s="7"/>
      <c r="M11258" s="9" t="s">
        <v>24</v>
      </c>
    </row>
    <row r="11259" ht="15.75" customHeight="1">
      <c r="A11259" s="7"/>
      <c r="B11259" s="7"/>
      <c r="M11259" s="9" t="s">
        <v>20</v>
      </c>
    </row>
    <row r="11260" ht="15.75" customHeight="1">
      <c r="A11260" s="7"/>
      <c r="B11260" s="7"/>
      <c r="M11260" s="9" t="s">
        <v>21</v>
      </c>
    </row>
    <row r="11261" ht="15.75" customHeight="1">
      <c r="A11261" s="7"/>
      <c r="B11261" s="7"/>
      <c r="M11261" s="9" t="s">
        <v>31</v>
      </c>
    </row>
    <row r="11262" ht="15.75" customHeight="1">
      <c r="A11262" s="7"/>
      <c r="B11262" s="7"/>
      <c r="M11262" s="9" t="s">
        <v>27</v>
      </c>
    </row>
    <row r="11263" ht="15.75" customHeight="1">
      <c r="A11263" s="7"/>
      <c r="B11263" s="7"/>
      <c r="M11263" s="9" t="s">
        <v>23</v>
      </c>
    </row>
    <row r="11264" ht="15.75" customHeight="1">
      <c r="A11264" s="7"/>
      <c r="B11264" s="7"/>
      <c r="M11264" s="9" t="s">
        <v>22</v>
      </c>
    </row>
    <row r="11265" ht="15.75" customHeight="1">
      <c r="A11265" s="7"/>
      <c r="B11265" s="7"/>
      <c r="M11265" s="9" t="s">
        <v>22</v>
      </c>
    </row>
    <row r="11266" ht="15.75" customHeight="1">
      <c r="A11266" s="7"/>
      <c r="B11266" s="7"/>
      <c r="M11266" s="9" t="s">
        <v>23</v>
      </c>
    </row>
    <row r="11267" ht="15.75" customHeight="1">
      <c r="A11267" s="7"/>
      <c r="B11267" s="7"/>
      <c r="M11267" s="9" t="s">
        <v>24</v>
      </c>
    </row>
    <row r="11268" ht="15.75" customHeight="1">
      <c r="A11268" s="7"/>
      <c r="B11268" s="7"/>
      <c r="M11268" s="9" t="s">
        <v>21</v>
      </c>
    </row>
    <row r="11269" ht="15.75" customHeight="1">
      <c r="A11269" s="7"/>
      <c r="B11269" s="7"/>
      <c r="M11269" s="9" t="s">
        <v>25</v>
      </c>
    </row>
    <row r="11270" ht="15.75" customHeight="1">
      <c r="A11270" s="7"/>
      <c r="B11270" s="7"/>
      <c r="M11270" s="9" t="s">
        <v>24</v>
      </c>
    </row>
    <row r="11271" ht="15.75" customHeight="1">
      <c r="A11271" s="7"/>
      <c r="B11271" s="7"/>
      <c r="M11271" s="9" t="s">
        <v>21</v>
      </c>
    </row>
    <row r="11272" ht="15.75" customHeight="1">
      <c r="A11272" s="7"/>
      <c r="B11272" s="7"/>
      <c r="M11272" s="9" t="s">
        <v>28</v>
      </c>
    </row>
    <row r="11273" ht="15.75" customHeight="1">
      <c r="A11273" s="7"/>
      <c r="B11273" s="7"/>
      <c r="M11273" s="9" t="s">
        <v>35</v>
      </c>
    </row>
    <row r="11274" ht="15.75" customHeight="1">
      <c r="A11274" s="7"/>
      <c r="B11274" s="7"/>
      <c r="M11274" s="9" t="s">
        <v>25</v>
      </c>
    </row>
    <row r="11275" ht="15.75" customHeight="1">
      <c r="A11275" s="7"/>
      <c r="B11275" s="7"/>
      <c r="M11275" s="9" t="s">
        <v>23</v>
      </c>
    </row>
    <row r="11276" ht="15.75" customHeight="1">
      <c r="A11276" s="7"/>
      <c r="B11276" s="7"/>
      <c r="M11276" s="9" t="s">
        <v>26</v>
      </c>
    </row>
    <row r="11277" ht="15.75" customHeight="1">
      <c r="A11277" s="7"/>
      <c r="B11277" s="7"/>
      <c r="M11277" s="9" t="s">
        <v>30</v>
      </c>
    </row>
    <row r="11278" ht="15.75" customHeight="1">
      <c r="A11278" s="7"/>
      <c r="B11278" s="7"/>
      <c r="M11278" s="9" t="s">
        <v>24</v>
      </c>
    </row>
    <row r="11279" ht="15.75" customHeight="1">
      <c r="A11279" s="7"/>
      <c r="B11279" s="7"/>
      <c r="M11279" s="9" t="s">
        <v>21</v>
      </c>
    </row>
    <row r="11280" ht="15.75" customHeight="1">
      <c r="A11280" s="7"/>
      <c r="B11280" s="7"/>
      <c r="M11280" s="9" t="s">
        <v>37</v>
      </c>
    </row>
    <row r="11281" ht="15.75" customHeight="1">
      <c r="A11281" s="7"/>
      <c r="B11281" s="7"/>
      <c r="M11281" s="9" t="s">
        <v>22</v>
      </c>
    </row>
    <row r="11282" ht="15.75" customHeight="1">
      <c r="A11282" s="7"/>
      <c r="B11282" s="7"/>
      <c r="M11282" s="9" t="s">
        <v>27</v>
      </c>
    </row>
    <row r="11283" ht="15.75" customHeight="1">
      <c r="A11283" s="7"/>
      <c r="B11283" s="7"/>
      <c r="M11283" s="9" t="s">
        <v>26</v>
      </c>
    </row>
    <row r="11284" ht="15.75" customHeight="1">
      <c r="A11284" s="7"/>
      <c r="B11284" s="7"/>
      <c r="M11284" s="9" t="s">
        <v>27</v>
      </c>
    </row>
    <row r="11285" ht="15.75" customHeight="1">
      <c r="A11285" s="7"/>
      <c r="B11285" s="7"/>
      <c r="M11285" s="9" t="s">
        <v>24</v>
      </c>
    </row>
    <row r="11286" ht="15.75" customHeight="1">
      <c r="A11286" s="7"/>
      <c r="B11286" s="7"/>
      <c r="M11286" s="9" t="s">
        <v>20</v>
      </c>
    </row>
    <row r="11287" ht="15.75" customHeight="1">
      <c r="A11287" s="7"/>
      <c r="B11287" s="7"/>
      <c r="M11287" s="9" t="s">
        <v>21</v>
      </c>
    </row>
    <row r="11288" ht="15.75" customHeight="1">
      <c r="A11288" s="7"/>
      <c r="B11288" s="7"/>
      <c r="M11288" s="9" t="s">
        <v>37</v>
      </c>
    </row>
    <row r="11289" ht="15.75" customHeight="1">
      <c r="A11289" s="7"/>
      <c r="B11289" s="7"/>
      <c r="M11289" s="9" t="s">
        <v>27</v>
      </c>
    </row>
    <row r="11290" ht="15.75" customHeight="1">
      <c r="A11290" s="7"/>
      <c r="B11290" s="7"/>
      <c r="M11290" s="9" t="s">
        <v>24</v>
      </c>
    </row>
    <row r="11291" ht="15.75" customHeight="1">
      <c r="A11291" s="7"/>
      <c r="B11291" s="7"/>
      <c r="M11291" s="9" t="s">
        <v>21</v>
      </c>
    </row>
    <row r="11292" ht="15.75" customHeight="1">
      <c r="A11292" s="7"/>
      <c r="B11292" s="7"/>
      <c r="M11292" s="9" t="s">
        <v>27</v>
      </c>
    </row>
    <row r="11293" ht="15.75" customHeight="1">
      <c r="A11293" s="7"/>
      <c r="B11293" s="7"/>
      <c r="M11293" s="9" t="s">
        <v>23</v>
      </c>
    </row>
    <row r="11294" ht="15.75" customHeight="1">
      <c r="A11294" s="7"/>
      <c r="B11294" s="7"/>
      <c r="M11294" s="9" t="s">
        <v>26</v>
      </c>
    </row>
    <row r="11295" ht="15.75" customHeight="1">
      <c r="A11295" s="7"/>
      <c r="B11295" s="7"/>
      <c r="M11295" s="9" t="s">
        <v>24</v>
      </c>
    </row>
    <row r="11296" ht="15.75" customHeight="1">
      <c r="A11296" s="7"/>
      <c r="B11296" s="7"/>
      <c r="M11296" s="9" t="s">
        <v>21</v>
      </c>
    </row>
    <row r="11297" ht="15.75" customHeight="1">
      <c r="A11297" s="7"/>
      <c r="B11297" s="7"/>
      <c r="M11297" s="9" t="s">
        <v>37</v>
      </c>
    </row>
    <row r="11298" ht="15.75" customHeight="1">
      <c r="A11298" s="7"/>
      <c r="B11298" s="7"/>
      <c r="M11298" s="9" t="s">
        <v>32</v>
      </c>
    </row>
    <row r="11299" ht="15.75" customHeight="1">
      <c r="A11299" s="7"/>
      <c r="B11299" s="7"/>
      <c r="M11299" s="9" t="s">
        <v>33</v>
      </c>
    </row>
    <row r="11300" ht="15.75" customHeight="1">
      <c r="A11300" s="7"/>
      <c r="B11300" s="7"/>
      <c r="M11300" s="9" t="s">
        <v>34</v>
      </c>
    </row>
    <row r="11301" ht="15.75" customHeight="1">
      <c r="A11301" s="7"/>
      <c r="B11301" s="7"/>
      <c r="M11301" s="9" t="s">
        <v>30</v>
      </c>
    </row>
    <row r="11302" ht="15.75" customHeight="1">
      <c r="A11302" s="7"/>
      <c r="B11302" s="7"/>
      <c r="M11302" s="9" t="s">
        <v>25</v>
      </c>
    </row>
    <row r="11303" ht="15.75" customHeight="1">
      <c r="A11303" s="7"/>
      <c r="B11303" s="7"/>
      <c r="M11303" s="9" t="s">
        <v>23</v>
      </c>
    </row>
    <row r="11304" ht="15.75" customHeight="1">
      <c r="A11304" s="7"/>
      <c r="B11304" s="7"/>
      <c r="M11304" s="9" t="s">
        <v>26</v>
      </c>
    </row>
    <row r="11305" ht="15.75" customHeight="1">
      <c r="A11305" s="7"/>
      <c r="B11305" s="7"/>
      <c r="M11305" s="9" t="s">
        <v>24</v>
      </c>
    </row>
    <row r="11306" ht="15.75" customHeight="1">
      <c r="A11306" s="7"/>
      <c r="B11306" s="7"/>
      <c r="M11306" s="9" t="s">
        <v>21</v>
      </c>
    </row>
    <row r="11307" ht="15.75" customHeight="1">
      <c r="A11307" s="7"/>
      <c r="B11307" s="7"/>
      <c r="M11307" s="9" t="s">
        <v>39</v>
      </c>
    </row>
    <row r="11308" ht="15.75" customHeight="1">
      <c r="A11308" s="7"/>
      <c r="B11308" s="7"/>
      <c r="M11308" s="9" t="s">
        <v>37</v>
      </c>
    </row>
    <row r="11309" ht="15.75" customHeight="1">
      <c r="A11309" s="7"/>
      <c r="B11309" s="7"/>
      <c r="M11309" s="9" t="s">
        <v>22</v>
      </c>
    </row>
    <row r="11310" ht="15.75" customHeight="1">
      <c r="A11310" s="7"/>
      <c r="B11310" s="7"/>
      <c r="M11310" s="9" t="s">
        <v>32</v>
      </c>
    </row>
    <row r="11311" ht="15.75" customHeight="1">
      <c r="A11311" s="7"/>
      <c r="B11311" s="7"/>
      <c r="M11311" s="9" t="s">
        <v>27</v>
      </c>
    </row>
    <row r="11312" ht="15.75" customHeight="1">
      <c r="A11312" s="7"/>
      <c r="B11312" s="7"/>
      <c r="M11312" s="9" t="s">
        <v>33</v>
      </c>
    </row>
    <row r="11313" ht="15.75" customHeight="1">
      <c r="A11313" s="7"/>
      <c r="B11313" s="7"/>
      <c r="M11313" s="9" t="s">
        <v>20</v>
      </c>
    </row>
    <row r="11314" ht="15.75" customHeight="1">
      <c r="A11314" s="7"/>
      <c r="B11314" s="7"/>
      <c r="M11314" s="9" t="s">
        <v>22</v>
      </c>
    </row>
    <row r="11315" ht="15.75" customHeight="1">
      <c r="A11315" s="7"/>
      <c r="B11315" s="7"/>
      <c r="M11315" s="9" t="s">
        <v>20</v>
      </c>
    </row>
    <row r="11316" ht="15.75" customHeight="1">
      <c r="A11316" s="7"/>
      <c r="B11316" s="7"/>
      <c r="M11316" s="9" t="s">
        <v>39</v>
      </c>
    </row>
    <row r="11317" ht="15.75" customHeight="1">
      <c r="A11317" s="7"/>
      <c r="B11317" s="7"/>
      <c r="M11317" s="9" t="s">
        <v>22</v>
      </c>
    </row>
    <row r="11318" ht="15.75" customHeight="1">
      <c r="A11318" s="7"/>
      <c r="B11318" s="7"/>
      <c r="M11318" s="9" t="s">
        <v>30</v>
      </c>
    </row>
    <row r="11319" ht="15.75" customHeight="1">
      <c r="A11319" s="7"/>
      <c r="B11319" s="7"/>
      <c r="M11319" s="9" t="s">
        <v>24</v>
      </c>
    </row>
    <row r="11320" ht="15.75" customHeight="1">
      <c r="A11320" s="7"/>
      <c r="B11320" s="7"/>
      <c r="M11320" s="9" t="s">
        <v>21</v>
      </c>
    </row>
    <row r="11321" ht="15.75" customHeight="1">
      <c r="A11321" s="7"/>
      <c r="B11321" s="7"/>
      <c r="M11321" s="9" t="s">
        <v>22</v>
      </c>
    </row>
    <row r="11322" ht="15.75" customHeight="1">
      <c r="A11322" s="7"/>
      <c r="B11322" s="7"/>
      <c r="M11322" s="9" t="s">
        <v>31</v>
      </c>
    </row>
    <row r="11323" ht="15.75" customHeight="1">
      <c r="A11323" s="7"/>
      <c r="B11323" s="7"/>
      <c r="M11323" s="9" t="s">
        <v>27</v>
      </c>
    </row>
    <row r="11324" ht="15.75" customHeight="1">
      <c r="A11324" s="7"/>
      <c r="B11324" s="7"/>
      <c r="M11324" s="9" t="s">
        <v>30</v>
      </c>
    </row>
    <row r="11325" ht="15.75" customHeight="1">
      <c r="A11325" s="7"/>
      <c r="B11325" s="7"/>
      <c r="M11325" s="9" t="s">
        <v>36</v>
      </c>
    </row>
    <row r="11326" ht="15.75" customHeight="1">
      <c r="A11326" s="7"/>
      <c r="B11326" s="7"/>
      <c r="M11326" s="9" t="s">
        <v>24</v>
      </c>
    </row>
    <row r="11327" ht="15.75" customHeight="1">
      <c r="A11327" s="7"/>
      <c r="B11327" s="7"/>
      <c r="M11327" s="9" t="s">
        <v>20</v>
      </c>
    </row>
    <row r="11328" ht="15.75" customHeight="1">
      <c r="A11328" s="7"/>
      <c r="B11328" s="7"/>
      <c r="M11328" s="9" t="s">
        <v>21</v>
      </c>
    </row>
    <row r="11329" ht="15.75" customHeight="1">
      <c r="A11329" s="7"/>
      <c r="B11329" s="7"/>
      <c r="M11329" s="9" t="s">
        <v>37</v>
      </c>
    </row>
    <row r="11330" ht="15.75" customHeight="1">
      <c r="A11330" s="7"/>
      <c r="B11330" s="7"/>
      <c r="M11330" s="9" t="s">
        <v>22</v>
      </c>
    </row>
    <row r="11331" ht="15.75" customHeight="1">
      <c r="A11331" s="7"/>
      <c r="B11331" s="7"/>
      <c r="M11331" s="9" t="s">
        <v>27</v>
      </c>
    </row>
    <row r="11332" ht="15.75" customHeight="1">
      <c r="A11332" s="7"/>
      <c r="B11332" s="7"/>
      <c r="M11332" s="9" t="s">
        <v>23</v>
      </c>
    </row>
    <row r="11333" ht="15.75" customHeight="1">
      <c r="A11333" s="7"/>
      <c r="B11333" s="7"/>
      <c r="M11333" s="9" t="s">
        <v>22</v>
      </c>
    </row>
    <row r="11334" ht="15.75" customHeight="1">
      <c r="A11334" s="7"/>
      <c r="B11334" s="7"/>
      <c r="M11334" s="9" t="s">
        <v>30</v>
      </c>
    </row>
    <row r="11335" ht="15.75" customHeight="1">
      <c r="A11335" s="7"/>
      <c r="B11335" s="7"/>
      <c r="M11335" s="9" t="s">
        <v>24</v>
      </c>
    </row>
    <row r="11336" ht="15.75" customHeight="1">
      <c r="A11336" s="7"/>
      <c r="B11336" s="7"/>
      <c r="M11336" s="9" t="s">
        <v>20</v>
      </c>
    </row>
    <row r="11337" ht="15.75" customHeight="1">
      <c r="A11337" s="7"/>
      <c r="B11337" s="7"/>
      <c r="M11337" s="9" t="s">
        <v>21</v>
      </c>
    </row>
    <row r="11338" ht="15.75" customHeight="1">
      <c r="A11338" s="7"/>
      <c r="B11338" s="7"/>
      <c r="M11338" s="9" t="s">
        <v>37</v>
      </c>
    </row>
    <row r="11339" ht="15.75" customHeight="1">
      <c r="A11339" s="7"/>
      <c r="B11339" s="7"/>
      <c r="M11339" s="9" t="s">
        <v>22</v>
      </c>
    </row>
    <row r="11340" ht="15.75" customHeight="1">
      <c r="A11340" s="7"/>
      <c r="B11340" s="7"/>
      <c r="M11340" s="9" t="s">
        <v>27</v>
      </c>
    </row>
    <row r="11341" ht="15.75" customHeight="1">
      <c r="A11341" s="7"/>
      <c r="B11341" s="7"/>
      <c r="M11341" s="9" t="s">
        <v>33</v>
      </c>
    </row>
    <row r="11342" ht="15.75" customHeight="1">
      <c r="A11342" s="7"/>
      <c r="B11342" s="7"/>
      <c r="M11342" s="9" t="s">
        <v>25</v>
      </c>
    </row>
    <row r="11343" ht="15.75" customHeight="1">
      <c r="A11343" s="7"/>
      <c r="B11343" s="7"/>
      <c r="M11343" s="9" t="s">
        <v>26</v>
      </c>
    </row>
    <row r="11344" ht="15.75" customHeight="1">
      <c r="A11344" s="7"/>
      <c r="B11344" s="7"/>
      <c r="M11344" s="9" t="s">
        <v>45</v>
      </c>
    </row>
    <row r="11345" ht="15.75" customHeight="1">
      <c r="A11345" s="7"/>
      <c r="B11345" s="7"/>
      <c r="M11345" s="9" t="s">
        <v>20</v>
      </c>
    </row>
    <row r="11346" ht="15.75" customHeight="1">
      <c r="A11346" s="7"/>
      <c r="B11346" s="7"/>
      <c r="M11346" s="9" t="s">
        <v>41</v>
      </c>
    </row>
    <row r="11347" ht="15.75" customHeight="1">
      <c r="A11347" s="7"/>
      <c r="B11347" s="7"/>
      <c r="M11347" s="9" t="s">
        <v>40</v>
      </c>
    </row>
    <row r="11348" ht="15.75" customHeight="1">
      <c r="A11348" s="7"/>
      <c r="B11348" s="7"/>
      <c r="M11348" s="9" t="s">
        <v>41</v>
      </c>
    </row>
    <row r="11349" ht="15.75" customHeight="1">
      <c r="A11349" s="7"/>
      <c r="B11349" s="7"/>
      <c r="M11349" s="9" t="s">
        <v>40</v>
      </c>
    </row>
    <row r="11350" ht="15.75" customHeight="1">
      <c r="A11350" s="7"/>
      <c r="B11350" s="7"/>
      <c r="M11350" s="9" t="s">
        <v>26</v>
      </c>
    </row>
    <row r="11351" ht="15.75" customHeight="1">
      <c r="A11351" s="7"/>
      <c r="B11351" s="7"/>
      <c r="M11351" s="9" t="s">
        <v>24</v>
      </c>
    </row>
    <row r="11352" ht="15.75" customHeight="1">
      <c r="A11352" s="7"/>
      <c r="B11352" s="7"/>
      <c r="M11352" s="9" t="s">
        <v>20</v>
      </c>
    </row>
    <row r="11353" ht="15.75" customHeight="1">
      <c r="A11353" s="7"/>
      <c r="B11353" s="7"/>
      <c r="M11353" s="9" t="s">
        <v>21</v>
      </c>
    </row>
    <row r="11354" ht="15.75" customHeight="1">
      <c r="A11354" s="7"/>
      <c r="B11354" s="7"/>
      <c r="M11354" s="9" t="s">
        <v>22</v>
      </c>
    </row>
    <row r="11355" ht="15.75" customHeight="1">
      <c r="A11355" s="7"/>
      <c r="B11355" s="7"/>
      <c r="M11355" s="9" t="s">
        <v>27</v>
      </c>
    </row>
    <row r="11356" ht="15.75" customHeight="1">
      <c r="A11356" s="7"/>
      <c r="B11356" s="7"/>
      <c r="M11356" s="9" t="s">
        <v>33</v>
      </c>
    </row>
    <row r="11357" ht="15.75" customHeight="1">
      <c r="A11357" s="7"/>
      <c r="B11357" s="7"/>
      <c r="M11357" s="9" t="s">
        <v>20</v>
      </c>
    </row>
    <row r="11358" ht="15.75" customHeight="1">
      <c r="A11358" s="7"/>
      <c r="B11358" s="7"/>
      <c r="M11358" s="9" t="s">
        <v>21</v>
      </c>
    </row>
    <row r="11359" ht="15.75" customHeight="1">
      <c r="A11359" s="7"/>
      <c r="B11359" s="7"/>
      <c r="M11359" s="9" t="s">
        <v>39</v>
      </c>
    </row>
    <row r="11360" ht="15.75" customHeight="1">
      <c r="A11360" s="7"/>
      <c r="B11360" s="7"/>
      <c r="M11360" s="9" t="s">
        <v>22</v>
      </c>
    </row>
    <row r="11361" ht="15.75" customHeight="1">
      <c r="A11361" s="7"/>
      <c r="B11361" s="7"/>
      <c r="M11361" s="9" t="s">
        <v>29</v>
      </c>
    </row>
    <row r="11362" ht="15.75" customHeight="1">
      <c r="A11362" s="7"/>
      <c r="B11362" s="7"/>
      <c r="M11362" s="9" t="s">
        <v>46</v>
      </c>
    </row>
    <row r="11363" ht="15.75" customHeight="1">
      <c r="A11363" s="7"/>
      <c r="B11363" s="7"/>
      <c r="M11363" s="9" t="s">
        <v>33</v>
      </c>
    </row>
    <row r="11364" ht="15.75" customHeight="1">
      <c r="A11364" s="7"/>
      <c r="B11364" s="7"/>
      <c r="M11364" s="9" t="s">
        <v>30</v>
      </c>
    </row>
    <row r="11365" ht="15.75" customHeight="1">
      <c r="A11365" s="7"/>
      <c r="B11365" s="7"/>
      <c r="M11365" s="9" t="s">
        <v>24</v>
      </c>
    </row>
    <row r="11366" ht="15.75" customHeight="1">
      <c r="A11366" s="7"/>
      <c r="B11366" s="7"/>
      <c r="M11366" s="9" t="s">
        <v>21</v>
      </c>
    </row>
    <row r="11367" ht="15.75" customHeight="1">
      <c r="A11367" s="7"/>
      <c r="B11367" s="7"/>
      <c r="M11367" s="9" t="s">
        <v>22</v>
      </c>
    </row>
    <row r="11368" ht="15.75" customHeight="1">
      <c r="A11368" s="7"/>
      <c r="B11368" s="7"/>
      <c r="M11368" s="9" t="s">
        <v>28</v>
      </c>
    </row>
    <row r="11369" ht="15.75" customHeight="1">
      <c r="A11369" s="7"/>
      <c r="B11369" s="7"/>
      <c r="M11369" s="9" t="s">
        <v>24</v>
      </c>
    </row>
    <row r="11370" ht="15.75" customHeight="1">
      <c r="A11370" s="7"/>
      <c r="B11370" s="7"/>
      <c r="M11370" s="9" t="s">
        <v>21</v>
      </c>
    </row>
    <row r="11371" ht="15.75" customHeight="1">
      <c r="A11371" s="7"/>
      <c r="B11371" s="7"/>
      <c r="M11371" s="9" t="s">
        <v>30</v>
      </c>
    </row>
    <row r="11372" ht="15.75" customHeight="1">
      <c r="A11372" s="7"/>
      <c r="B11372" s="7"/>
      <c r="M11372" s="9" t="s">
        <v>20</v>
      </c>
    </row>
    <row r="11373" ht="15.75" customHeight="1">
      <c r="A11373" s="7"/>
      <c r="B11373" s="7"/>
      <c r="M11373" s="9" t="s">
        <v>21</v>
      </c>
    </row>
    <row r="11374" ht="15.75" customHeight="1">
      <c r="A11374" s="7"/>
      <c r="B11374" s="7"/>
      <c r="M11374" s="9" t="s">
        <v>22</v>
      </c>
    </row>
    <row r="11375" ht="15.75" customHeight="1">
      <c r="A11375" s="7"/>
      <c r="B11375" s="7"/>
      <c r="M11375" s="9" t="s">
        <v>27</v>
      </c>
    </row>
    <row r="11376" ht="15.75" customHeight="1">
      <c r="A11376" s="7"/>
      <c r="B11376" s="7"/>
      <c r="M11376" s="9" t="s">
        <v>30</v>
      </c>
    </row>
    <row r="11377" ht="15.75" customHeight="1">
      <c r="A11377" s="7"/>
      <c r="B11377" s="7"/>
      <c r="M11377" s="9" t="s">
        <v>23</v>
      </c>
    </row>
    <row r="11378" ht="15.75" customHeight="1">
      <c r="A11378" s="7"/>
      <c r="B11378" s="7"/>
      <c r="M11378" s="9" t="s">
        <v>36</v>
      </c>
    </row>
    <row r="11379" ht="15.75" customHeight="1">
      <c r="A11379" s="7"/>
      <c r="B11379" s="7"/>
      <c r="M11379" s="9" t="s">
        <v>24</v>
      </c>
    </row>
    <row r="11380" ht="15.75" customHeight="1">
      <c r="A11380" s="7"/>
      <c r="B11380" s="7"/>
      <c r="M11380" s="9" t="s">
        <v>22</v>
      </c>
    </row>
    <row r="11381" ht="15.75" customHeight="1">
      <c r="A11381" s="7"/>
      <c r="B11381" s="7"/>
      <c r="M11381" s="9" t="s">
        <v>29</v>
      </c>
    </row>
    <row r="11382" ht="15.75" customHeight="1">
      <c r="A11382" s="7"/>
      <c r="B11382" s="7"/>
      <c r="M11382" s="9" t="s">
        <v>46</v>
      </c>
    </row>
    <row r="11383" ht="15.75" customHeight="1">
      <c r="A11383" s="7"/>
      <c r="B11383" s="7"/>
      <c r="M11383" s="9" t="s">
        <v>27</v>
      </c>
    </row>
    <row r="11384" ht="15.75" customHeight="1">
      <c r="A11384" s="7"/>
      <c r="B11384" s="7"/>
      <c r="M11384" s="9" t="s">
        <v>26</v>
      </c>
    </row>
    <row r="11385" ht="15.75" customHeight="1">
      <c r="A11385" s="7"/>
      <c r="B11385" s="7"/>
      <c r="M11385" s="9" t="s">
        <v>24</v>
      </c>
    </row>
    <row r="11386" ht="15.75" customHeight="1">
      <c r="A11386" s="7"/>
      <c r="B11386" s="7"/>
      <c r="M11386" s="9" t="s">
        <v>20</v>
      </c>
    </row>
    <row r="11387" ht="15.75" customHeight="1">
      <c r="A11387" s="7"/>
      <c r="B11387" s="7"/>
      <c r="M11387" s="9" t="s">
        <v>22</v>
      </c>
    </row>
    <row r="11388" ht="15.75" customHeight="1">
      <c r="A11388" s="7"/>
      <c r="B11388" s="7"/>
      <c r="M11388" s="9" t="s">
        <v>27</v>
      </c>
    </row>
    <row r="11389" ht="15.75" customHeight="1">
      <c r="A11389" s="7"/>
      <c r="B11389" s="7"/>
      <c r="M11389" s="9" t="s">
        <v>25</v>
      </c>
    </row>
    <row r="11390" ht="15.75" customHeight="1">
      <c r="A11390" s="7"/>
      <c r="B11390" s="7"/>
      <c r="M11390" s="9" t="s">
        <v>26</v>
      </c>
    </row>
    <row r="11391" ht="15.75" customHeight="1">
      <c r="A11391" s="7"/>
      <c r="B11391" s="7"/>
      <c r="M11391" s="9" t="s">
        <v>24</v>
      </c>
    </row>
    <row r="11392" ht="15.75" customHeight="1">
      <c r="A11392" s="7"/>
      <c r="B11392" s="7"/>
      <c r="M11392" s="9" t="s">
        <v>21</v>
      </c>
    </row>
    <row r="11393" ht="15.75" customHeight="1">
      <c r="A11393" s="7"/>
      <c r="B11393" s="7"/>
      <c r="M11393" s="9" t="s">
        <v>22</v>
      </c>
    </row>
    <row r="11394" ht="15.75" customHeight="1">
      <c r="A11394" s="7"/>
      <c r="B11394" s="7"/>
      <c r="M11394" s="9" t="s">
        <v>26</v>
      </c>
    </row>
    <row r="11395" ht="15.75" customHeight="1">
      <c r="A11395" s="7"/>
      <c r="B11395" s="7"/>
      <c r="M11395" s="9" t="s">
        <v>22</v>
      </c>
    </row>
    <row r="11396" ht="15.75" customHeight="1">
      <c r="A11396" s="7"/>
      <c r="B11396" s="7"/>
      <c r="M11396" s="9" t="s">
        <v>26</v>
      </c>
    </row>
    <row r="11397" ht="15.75" customHeight="1">
      <c r="A11397" s="7"/>
      <c r="B11397" s="7"/>
      <c r="M11397" s="9" t="s">
        <v>27</v>
      </c>
    </row>
    <row r="11398" ht="15.75" customHeight="1">
      <c r="A11398" s="7"/>
      <c r="B11398" s="7"/>
      <c r="M11398" s="9" t="s">
        <v>30</v>
      </c>
    </row>
    <row r="11399" ht="15.75" customHeight="1">
      <c r="A11399" s="7"/>
      <c r="B11399" s="7"/>
      <c r="M11399" s="9" t="s">
        <v>23</v>
      </c>
    </row>
    <row r="11400" ht="15.75" customHeight="1">
      <c r="A11400" s="7"/>
      <c r="B11400" s="7"/>
      <c r="M11400" s="9" t="s">
        <v>42</v>
      </c>
    </row>
    <row r="11401" ht="15.75" customHeight="1">
      <c r="A11401" s="7"/>
      <c r="B11401" s="7"/>
      <c r="M11401" s="9" t="s">
        <v>24</v>
      </c>
    </row>
    <row r="11402" ht="15.75" customHeight="1">
      <c r="A11402" s="7"/>
      <c r="B11402" s="7"/>
      <c r="M11402" s="9" t="s">
        <v>20</v>
      </c>
    </row>
    <row r="11403" ht="15.75" customHeight="1">
      <c r="A11403" s="7"/>
      <c r="B11403" s="7"/>
      <c r="M11403" s="9" t="s">
        <v>21</v>
      </c>
    </row>
    <row r="11404" ht="15.75" customHeight="1">
      <c r="A11404" s="7"/>
      <c r="B11404" s="7"/>
      <c r="M11404" s="9" t="s">
        <v>22</v>
      </c>
    </row>
    <row r="11405" ht="15.75" customHeight="1">
      <c r="A11405" s="7"/>
      <c r="B11405" s="7"/>
      <c r="M11405" s="9" t="s">
        <v>46</v>
      </c>
    </row>
    <row r="11406" ht="15.75" customHeight="1">
      <c r="A11406" s="7"/>
      <c r="B11406" s="7"/>
      <c r="M11406" s="9" t="s">
        <v>27</v>
      </c>
    </row>
    <row r="11407" ht="15.75" customHeight="1">
      <c r="A11407" s="7"/>
      <c r="B11407" s="7"/>
      <c r="M11407" s="9" t="s">
        <v>33</v>
      </c>
    </row>
    <row r="11408" ht="15.75" customHeight="1">
      <c r="A11408" s="7"/>
      <c r="B11408" s="7"/>
      <c r="M11408" s="9" t="s">
        <v>24</v>
      </c>
    </row>
    <row r="11409" ht="15.75" customHeight="1">
      <c r="A11409" s="7"/>
      <c r="B11409" s="7"/>
      <c r="M11409" s="9" t="s">
        <v>20</v>
      </c>
    </row>
    <row r="11410" ht="15.75" customHeight="1">
      <c r="A11410" s="7"/>
      <c r="B11410" s="7"/>
      <c r="M11410" s="9" t="s">
        <v>21</v>
      </c>
    </row>
    <row r="11411" ht="15.75" customHeight="1">
      <c r="A11411" s="7"/>
      <c r="B11411" s="7"/>
      <c r="M11411" s="9" t="s">
        <v>37</v>
      </c>
    </row>
    <row r="11412" ht="15.75" customHeight="1">
      <c r="A11412" s="7"/>
      <c r="B11412" s="7"/>
      <c r="M11412" s="9" t="s">
        <v>29</v>
      </c>
    </row>
    <row r="11413" ht="15.75" customHeight="1">
      <c r="A11413" s="7"/>
      <c r="B11413" s="7"/>
      <c r="M11413" s="9" t="s">
        <v>27</v>
      </c>
    </row>
    <row r="11414" ht="15.75" customHeight="1">
      <c r="A11414" s="7"/>
      <c r="B11414" s="7"/>
      <c r="M11414" s="9" t="s">
        <v>24</v>
      </c>
    </row>
    <row r="11415" ht="15.75" customHeight="1">
      <c r="A11415" s="7"/>
      <c r="B11415" s="7"/>
      <c r="M11415" s="9" t="s">
        <v>20</v>
      </c>
    </row>
    <row r="11416" ht="15.75" customHeight="1">
      <c r="A11416" s="7"/>
      <c r="B11416" s="7"/>
      <c r="M11416" s="9" t="s">
        <v>21</v>
      </c>
    </row>
    <row r="11417" ht="15.75" customHeight="1">
      <c r="A11417" s="7"/>
      <c r="B11417" s="7"/>
      <c r="M11417" s="9" t="s">
        <v>37</v>
      </c>
    </row>
    <row r="11418" ht="15.75" customHeight="1">
      <c r="A11418" s="7"/>
      <c r="B11418" s="7"/>
      <c r="M11418" s="9" t="s">
        <v>27</v>
      </c>
    </row>
    <row r="11419" ht="15.75" customHeight="1">
      <c r="A11419" s="7"/>
      <c r="B11419" s="7"/>
      <c r="M11419" s="9" t="s">
        <v>33</v>
      </c>
    </row>
    <row r="11420" ht="15.75" customHeight="1">
      <c r="A11420" s="7"/>
      <c r="B11420" s="7"/>
      <c r="M11420" s="9" t="s">
        <v>25</v>
      </c>
    </row>
    <row r="11421" ht="15.75" customHeight="1">
      <c r="A11421" s="7"/>
      <c r="B11421" s="7"/>
      <c r="M11421" s="9" t="s">
        <v>20</v>
      </c>
    </row>
    <row r="11422" ht="15.75" customHeight="1">
      <c r="A11422" s="7"/>
      <c r="B11422" s="7"/>
      <c r="M11422" s="9" t="s">
        <v>22</v>
      </c>
    </row>
    <row r="11423" ht="15.75" customHeight="1">
      <c r="A11423" s="7"/>
      <c r="B11423" s="7"/>
      <c r="M11423" s="9" t="s">
        <v>24</v>
      </c>
    </row>
    <row r="11424" ht="15.75" customHeight="1">
      <c r="A11424" s="7"/>
      <c r="B11424" s="7"/>
      <c r="M11424" s="9" t="s">
        <v>20</v>
      </c>
    </row>
    <row r="11425" ht="15.75" customHeight="1">
      <c r="A11425" s="7"/>
      <c r="B11425" s="7"/>
      <c r="M11425" s="9" t="s">
        <v>21</v>
      </c>
    </row>
    <row r="11426" ht="15.75" customHeight="1">
      <c r="A11426" s="7"/>
      <c r="B11426" s="7"/>
      <c r="M11426" s="9" t="s">
        <v>36</v>
      </c>
    </row>
    <row r="11427" ht="15.75" customHeight="1">
      <c r="A11427" s="7"/>
      <c r="B11427" s="7"/>
      <c r="M11427" s="9" t="s">
        <v>24</v>
      </c>
    </row>
    <row r="11428" ht="15.75" customHeight="1">
      <c r="A11428" s="7"/>
      <c r="B11428" s="7"/>
      <c r="M11428" s="9" t="s">
        <v>20</v>
      </c>
    </row>
    <row r="11429" ht="15.75" customHeight="1">
      <c r="A11429" s="7"/>
      <c r="B11429" s="7"/>
      <c r="M11429" s="9" t="s">
        <v>21</v>
      </c>
    </row>
    <row r="11430" ht="15.75" customHeight="1">
      <c r="A11430" s="7"/>
      <c r="B11430" s="7"/>
      <c r="M11430" s="9" t="s">
        <v>22</v>
      </c>
    </row>
    <row r="11431" ht="15.75" customHeight="1">
      <c r="A11431" s="7"/>
      <c r="B11431" s="7"/>
      <c r="M11431" s="9" t="s">
        <v>31</v>
      </c>
    </row>
    <row r="11432" ht="15.75" customHeight="1">
      <c r="A11432" s="7"/>
      <c r="B11432" s="7"/>
      <c r="M11432" s="9" t="s">
        <v>27</v>
      </c>
    </row>
    <row r="11433" ht="15.75" customHeight="1">
      <c r="A11433" s="7"/>
      <c r="B11433" s="7"/>
      <c r="M11433" s="9" t="s">
        <v>30</v>
      </c>
    </row>
    <row r="11434" ht="15.75" customHeight="1">
      <c r="A11434" s="7"/>
      <c r="B11434" s="7"/>
      <c r="M11434" s="9" t="s">
        <v>25</v>
      </c>
    </row>
    <row r="11435" ht="15.75" customHeight="1">
      <c r="A11435" s="7"/>
      <c r="B11435" s="7"/>
      <c r="M11435" s="9" t="s">
        <v>23</v>
      </c>
    </row>
    <row r="11436" ht="15.75" customHeight="1">
      <c r="A11436" s="7"/>
      <c r="B11436" s="7"/>
      <c r="M11436" s="9" t="s">
        <v>24</v>
      </c>
    </row>
    <row r="11437" ht="15.75" customHeight="1">
      <c r="A11437" s="7"/>
      <c r="B11437" s="7"/>
      <c r="M11437" s="9" t="s">
        <v>21</v>
      </c>
    </row>
    <row r="11438" ht="15.75" customHeight="1">
      <c r="A11438" s="7"/>
      <c r="B11438" s="7"/>
      <c r="M11438" s="9" t="s">
        <v>22</v>
      </c>
    </row>
    <row r="11439" ht="15.75" customHeight="1">
      <c r="A11439" s="7"/>
      <c r="B11439" s="7"/>
      <c r="M11439" s="9" t="s">
        <v>30</v>
      </c>
    </row>
    <row r="11440" ht="15.75" customHeight="1">
      <c r="A11440" s="7"/>
      <c r="B11440" s="7"/>
      <c r="M11440" s="9" t="s">
        <v>23</v>
      </c>
    </row>
    <row r="11441" ht="15.75" customHeight="1">
      <c r="A11441" s="7"/>
      <c r="B11441" s="7"/>
      <c r="M11441" s="9" t="s">
        <v>24</v>
      </c>
    </row>
    <row r="11442" ht="15.75" customHeight="1">
      <c r="A11442" s="7"/>
      <c r="B11442" s="7"/>
      <c r="M11442" s="9" t="s">
        <v>21</v>
      </c>
    </row>
    <row r="11443" ht="15.75" customHeight="1">
      <c r="A11443" s="7"/>
      <c r="B11443" s="7"/>
      <c r="M11443" s="9" t="s">
        <v>27</v>
      </c>
    </row>
    <row r="11444" ht="15.75" customHeight="1">
      <c r="A11444" s="7"/>
      <c r="B11444" s="7"/>
      <c r="M11444" s="9" t="s">
        <v>35</v>
      </c>
    </row>
    <row r="11445" ht="15.75" customHeight="1">
      <c r="A11445" s="7"/>
      <c r="B11445" s="7"/>
      <c r="M11445" s="9" t="s">
        <v>30</v>
      </c>
    </row>
    <row r="11446" ht="15.75" customHeight="1">
      <c r="A11446" s="7"/>
      <c r="B11446" s="7"/>
      <c r="M11446" s="9" t="s">
        <v>24</v>
      </c>
    </row>
    <row r="11447" ht="15.75" customHeight="1">
      <c r="A11447" s="7"/>
      <c r="B11447" s="7"/>
      <c r="M11447" s="9" t="s">
        <v>21</v>
      </c>
    </row>
    <row r="11448" ht="15.75" customHeight="1">
      <c r="A11448" s="7"/>
      <c r="B11448" s="7"/>
      <c r="M11448" s="9" t="s">
        <v>37</v>
      </c>
    </row>
    <row r="11449" ht="15.75" customHeight="1">
      <c r="A11449" s="7"/>
      <c r="B11449" s="7"/>
      <c r="M11449" s="9" t="s">
        <v>33</v>
      </c>
    </row>
    <row r="11450" ht="15.75" customHeight="1">
      <c r="A11450" s="7"/>
      <c r="B11450" s="7"/>
      <c r="M11450" s="9" t="s">
        <v>26</v>
      </c>
    </row>
    <row r="11451" ht="15.75" customHeight="1">
      <c r="A11451" s="7"/>
      <c r="B11451" s="7"/>
      <c r="M11451" s="9" t="s">
        <v>20</v>
      </c>
    </row>
    <row r="11452" ht="15.75" customHeight="1">
      <c r="A11452" s="7"/>
      <c r="B11452" s="7"/>
      <c r="M11452" s="9" t="s">
        <v>39</v>
      </c>
    </row>
    <row r="11453" ht="15.75" customHeight="1">
      <c r="A11453" s="7"/>
      <c r="B11453" s="7"/>
      <c r="M11453" s="9" t="s">
        <v>22</v>
      </c>
    </row>
    <row r="11454" ht="15.75" customHeight="1">
      <c r="A11454" s="7"/>
      <c r="B11454" s="7"/>
      <c r="M11454" s="9" t="s">
        <v>23</v>
      </c>
    </row>
    <row r="11455" ht="15.75" customHeight="1">
      <c r="A11455" s="7"/>
      <c r="B11455" s="7"/>
      <c r="M11455" s="9" t="s">
        <v>36</v>
      </c>
    </row>
    <row r="11456" ht="15.75" customHeight="1">
      <c r="A11456" s="7"/>
      <c r="B11456" s="7"/>
      <c r="M11456" s="9" t="s">
        <v>22</v>
      </c>
    </row>
    <row r="11457" ht="15.75" customHeight="1">
      <c r="A11457" s="7"/>
      <c r="B11457" s="7"/>
      <c r="M11457" s="9" t="s">
        <v>24</v>
      </c>
    </row>
    <row r="11458" ht="15.75" customHeight="1">
      <c r="A11458" s="7"/>
      <c r="B11458" s="7"/>
      <c r="M11458" s="9" t="s">
        <v>21</v>
      </c>
    </row>
    <row r="11459" ht="15.75" customHeight="1">
      <c r="A11459" s="7"/>
      <c r="B11459" s="7"/>
      <c r="M11459" s="9" t="s">
        <v>37</v>
      </c>
    </row>
    <row r="11460" ht="15.75" customHeight="1">
      <c r="A11460" s="7"/>
      <c r="B11460" s="7"/>
      <c r="M11460" s="9" t="s">
        <v>22</v>
      </c>
    </row>
    <row r="11461" ht="15.75" customHeight="1">
      <c r="A11461" s="7"/>
      <c r="B11461" s="7"/>
      <c r="M11461" s="9" t="s">
        <v>27</v>
      </c>
    </row>
    <row r="11462" ht="15.75" customHeight="1">
      <c r="A11462" s="7"/>
      <c r="B11462" s="7"/>
      <c r="M11462" s="9" t="s">
        <v>30</v>
      </c>
    </row>
    <row r="11463" ht="15.75" customHeight="1">
      <c r="A11463" s="7"/>
      <c r="B11463" s="7"/>
      <c r="M11463" s="9" t="s">
        <v>25</v>
      </c>
    </row>
    <row r="11464" ht="15.75" customHeight="1">
      <c r="A11464" s="7"/>
      <c r="B11464" s="7"/>
      <c r="M11464" s="9" t="s">
        <v>24</v>
      </c>
    </row>
    <row r="11465" ht="15.75" customHeight="1">
      <c r="A11465" s="7"/>
      <c r="B11465" s="7"/>
      <c r="M11465" s="9" t="s">
        <v>20</v>
      </c>
    </row>
    <row r="11466" ht="15.75" customHeight="1">
      <c r="A11466" s="7"/>
      <c r="B11466" s="7"/>
      <c r="M11466" s="9" t="s">
        <v>21</v>
      </c>
    </row>
    <row r="11467" ht="15.75" customHeight="1">
      <c r="A11467" s="7"/>
      <c r="B11467" s="7"/>
      <c r="M11467" s="9" t="s">
        <v>22</v>
      </c>
    </row>
    <row r="11468" ht="15.75" customHeight="1">
      <c r="A11468" s="7"/>
      <c r="B11468" s="7"/>
      <c r="M11468" s="9" t="s">
        <v>27</v>
      </c>
    </row>
    <row r="11469" ht="15.75" customHeight="1">
      <c r="A11469" s="7"/>
      <c r="B11469" s="7"/>
      <c r="M11469" s="9" t="s">
        <v>21</v>
      </c>
    </row>
    <row r="11470" ht="15.75" customHeight="1">
      <c r="A11470" s="7"/>
      <c r="B11470" s="7"/>
      <c r="M11470" s="9" t="s">
        <v>37</v>
      </c>
    </row>
    <row r="11471" ht="15.75" customHeight="1">
      <c r="A11471" s="7"/>
      <c r="B11471" s="7"/>
      <c r="M11471" s="9" t="s">
        <v>23</v>
      </c>
    </row>
    <row r="11472" ht="15.75" customHeight="1">
      <c r="A11472" s="7"/>
      <c r="B11472" s="7"/>
      <c r="M11472" s="9" t="s">
        <v>20</v>
      </c>
    </row>
    <row r="11473" ht="15.75" customHeight="1">
      <c r="A11473" s="7"/>
      <c r="B11473" s="7"/>
      <c r="M11473" s="9" t="s">
        <v>46</v>
      </c>
    </row>
    <row r="11474" ht="15.75" customHeight="1">
      <c r="A11474" s="7"/>
      <c r="B11474" s="7"/>
      <c r="M11474" s="9" t="s">
        <v>27</v>
      </c>
    </row>
    <row r="11475" ht="15.75" customHeight="1">
      <c r="A11475" s="7"/>
      <c r="B11475" s="7"/>
      <c r="M11475" s="9" t="s">
        <v>20</v>
      </c>
    </row>
    <row r="11476" ht="15.75" customHeight="1">
      <c r="A11476" s="7"/>
      <c r="B11476" s="7"/>
      <c r="M11476" s="9" t="s">
        <v>46</v>
      </c>
    </row>
    <row r="11477" ht="15.75" customHeight="1">
      <c r="A11477" s="7"/>
      <c r="B11477" s="7"/>
      <c r="M11477" s="9" t="s">
        <v>27</v>
      </c>
    </row>
    <row r="11478" ht="15.75" customHeight="1">
      <c r="A11478" s="7"/>
      <c r="B11478" s="7"/>
      <c r="M11478" s="9" t="s">
        <v>30</v>
      </c>
    </row>
    <row r="11479" ht="15.75" customHeight="1">
      <c r="A11479" s="7"/>
      <c r="B11479" s="7"/>
      <c r="M11479" s="9" t="s">
        <v>24</v>
      </c>
    </row>
    <row r="11480" ht="15.75" customHeight="1">
      <c r="A11480" s="7"/>
      <c r="B11480" s="7"/>
      <c r="M11480" s="9" t="s">
        <v>20</v>
      </c>
    </row>
    <row r="11481" ht="15.75" customHeight="1">
      <c r="A11481" s="7"/>
      <c r="B11481" s="7"/>
      <c r="M11481" s="9" t="s">
        <v>21</v>
      </c>
    </row>
    <row r="11482" ht="15.75" customHeight="1">
      <c r="A11482" s="7"/>
      <c r="B11482" s="7"/>
      <c r="M11482" s="9" t="s">
        <v>39</v>
      </c>
    </row>
    <row r="11483" ht="15.75" customHeight="1">
      <c r="A11483" s="7"/>
      <c r="B11483" s="7"/>
      <c r="M11483" s="9" t="s">
        <v>37</v>
      </c>
    </row>
    <row r="11484" ht="15.75" customHeight="1">
      <c r="A11484" s="7"/>
      <c r="B11484" s="7"/>
      <c r="M11484" s="9" t="s">
        <v>22</v>
      </c>
    </row>
    <row r="11485" ht="15.75" customHeight="1">
      <c r="A11485" s="7"/>
      <c r="B11485" s="7"/>
      <c r="M11485" s="9" t="s">
        <v>31</v>
      </c>
    </row>
    <row r="11486" ht="15.75" customHeight="1">
      <c r="A11486" s="7"/>
      <c r="B11486" s="7"/>
      <c r="M11486" s="9" t="s">
        <v>27</v>
      </c>
    </row>
    <row r="11487" ht="15.75" customHeight="1">
      <c r="A11487" s="7"/>
      <c r="B11487" s="7"/>
      <c r="M11487" s="9" t="s">
        <v>40</v>
      </c>
    </row>
    <row r="11488" ht="15.75" customHeight="1">
      <c r="A11488" s="7"/>
      <c r="B11488" s="7"/>
      <c r="M11488" s="9" t="s">
        <v>33</v>
      </c>
    </row>
    <row r="11489" ht="15.75" customHeight="1">
      <c r="A11489" s="7"/>
      <c r="B11489" s="7"/>
      <c r="M11489" s="9" t="s">
        <v>30</v>
      </c>
    </row>
    <row r="11490" ht="15.75" customHeight="1">
      <c r="A11490" s="7"/>
      <c r="B11490" s="7"/>
      <c r="M11490" s="9" t="s">
        <v>25</v>
      </c>
    </row>
    <row r="11491" ht="15.75" customHeight="1">
      <c r="A11491" s="7"/>
      <c r="B11491" s="7"/>
      <c r="M11491" s="9" t="s">
        <v>23</v>
      </c>
    </row>
    <row r="11492" ht="15.75" customHeight="1">
      <c r="A11492" s="7"/>
      <c r="B11492" s="7"/>
      <c r="M11492" s="9" t="s">
        <v>21</v>
      </c>
    </row>
    <row r="11493" ht="15.75" customHeight="1">
      <c r="A11493" s="7"/>
      <c r="B11493" s="7"/>
      <c r="M11493" s="9" t="s">
        <v>22</v>
      </c>
    </row>
    <row r="11494" ht="15.75" customHeight="1">
      <c r="A11494" s="7"/>
      <c r="B11494" s="7"/>
      <c r="M11494" s="9" t="s">
        <v>25</v>
      </c>
    </row>
    <row r="11495" ht="15.75" customHeight="1">
      <c r="A11495" s="7"/>
      <c r="B11495" s="7"/>
      <c r="M11495" s="9" t="s">
        <v>23</v>
      </c>
    </row>
    <row r="11496" ht="15.75" customHeight="1">
      <c r="A11496" s="7"/>
      <c r="B11496" s="7"/>
      <c r="M11496" s="9" t="s">
        <v>24</v>
      </c>
    </row>
    <row r="11497" ht="15.75" customHeight="1">
      <c r="A11497" s="7"/>
      <c r="B11497" s="7"/>
      <c r="M11497" s="9" t="s">
        <v>20</v>
      </c>
    </row>
    <row r="11498" ht="15.75" customHeight="1">
      <c r="A11498" s="7"/>
      <c r="B11498" s="7"/>
      <c r="M11498" s="9" t="s">
        <v>21</v>
      </c>
    </row>
    <row r="11499" ht="15.75" customHeight="1">
      <c r="A11499" s="7"/>
      <c r="B11499" s="7"/>
      <c r="M11499" s="9" t="s">
        <v>37</v>
      </c>
    </row>
    <row r="11500" ht="15.75" customHeight="1">
      <c r="A11500" s="7"/>
      <c r="B11500" s="7"/>
      <c r="M11500" s="9" t="s">
        <v>22</v>
      </c>
    </row>
    <row r="11501" ht="15.75" customHeight="1">
      <c r="A11501" s="7"/>
      <c r="B11501" s="7"/>
      <c r="M11501" s="9" t="s">
        <v>27</v>
      </c>
    </row>
    <row r="11502" ht="15.75" customHeight="1">
      <c r="A11502" s="7"/>
      <c r="B11502" s="7"/>
      <c r="M11502" s="9" t="s">
        <v>30</v>
      </c>
    </row>
    <row r="11503" ht="15.75" customHeight="1">
      <c r="A11503" s="7"/>
      <c r="B11503" s="7"/>
      <c r="M11503" s="9" t="s">
        <v>24</v>
      </c>
    </row>
    <row r="11504" ht="15.75" customHeight="1">
      <c r="A11504" s="7"/>
      <c r="B11504" s="7"/>
      <c r="M11504" s="9" t="s">
        <v>21</v>
      </c>
    </row>
    <row r="11505" ht="15.75" customHeight="1">
      <c r="A11505" s="7"/>
      <c r="B11505" s="7"/>
      <c r="M11505" s="9" t="s">
        <v>22</v>
      </c>
    </row>
    <row r="11506" ht="15.75" customHeight="1">
      <c r="A11506" s="7"/>
      <c r="B11506" s="7"/>
      <c r="M11506" s="9" t="s">
        <v>24</v>
      </c>
    </row>
    <row r="11507" ht="15.75" customHeight="1">
      <c r="A11507" s="7"/>
      <c r="B11507" s="7"/>
      <c r="M11507" s="9" t="s">
        <v>20</v>
      </c>
    </row>
    <row r="11508" ht="15.75" customHeight="1">
      <c r="A11508" s="7"/>
      <c r="B11508" s="7"/>
      <c r="M11508" s="9" t="s">
        <v>21</v>
      </c>
    </row>
    <row r="11509" ht="15.75" customHeight="1">
      <c r="A11509" s="7"/>
      <c r="B11509" s="7"/>
      <c r="M11509" s="9" t="s">
        <v>33</v>
      </c>
    </row>
    <row r="11510" ht="15.75" customHeight="1">
      <c r="A11510" s="7"/>
      <c r="B11510" s="7"/>
      <c r="M11510" s="9" t="s">
        <v>34</v>
      </c>
    </row>
    <row r="11511" ht="15.75" customHeight="1">
      <c r="A11511" s="7"/>
      <c r="B11511" s="7"/>
      <c r="M11511" s="9" t="s">
        <v>30</v>
      </c>
    </row>
    <row r="11512" ht="15.75" customHeight="1">
      <c r="A11512" s="7"/>
      <c r="B11512" s="7"/>
      <c r="M11512" s="9" t="s">
        <v>26</v>
      </c>
    </row>
    <row r="11513" ht="15.75" customHeight="1">
      <c r="A11513" s="7"/>
      <c r="B11513" s="7"/>
      <c r="M11513" s="9" t="s">
        <v>43</v>
      </c>
    </row>
    <row r="11514" ht="15.75" customHeight="1">
      <c r="A11514" s="7"/>
      <c r="B11514" s="7"/>
      <c r="M11514" s="9" t="s">
        <v>24</v>
      </c>
    </row>
    <row r="11515" ht="15.75" customHeight="1">
      <c r="A11515" s="7"/>
      <c r="B11515" s="7"/>
      <c r="M11515" s="9" t="s">
        <v>21</v>
      </c>
    </row>
    <row r="11516" ht="15.75" customHeight="1">
      <c r="A11516" s="7"/>
      <c r="B11516" s="7"/>
      <c r="M11516" s="9" t="s">
        <v>22</v>
      </c>
    </row>
    <row r="11517" ht="15.75" customHeight="1">
      <c r="A11517" s="7"/>
      <c r="B11517" s="7"/>
      <c r="M11517" s="9" t="s">
        <v>27</v>
      </c>
    </row>
    <row r="11518" ht="15.75" customHeight="1">
      <c r="A11518" s="7"/>
      <c r="B11518" s="7"/>
      <c r="M11518" s="9" t="s">
        <v>33</v>
      </c>
    </row>
    <row r="11519" ht="15.75" customHeight="1">
      <c r="A11519" s="7"/>
      <c r="B11519" s="7"/>
      <c r="M11519" s="9" t="s">
        <v>26</v>
      </c>
    </row>
    <row r="11520" ht="15.75" customHeight="1">
      <c r="A11520" s="7"/>
      <c r="B11520" s="7"/>
      <c r="M11520" s="9" t="s">
        <v>24</v>
      </c>
    </row>
    <row r="11521" ht="15.75" customHeight="1">
      <c r="A11521" s="7"/>
      <c r="B11521" s="7"/>
      <c r="M11521" s="9" t="s">
        <v>21</v>
      </c>
    </row>
    <row r="11522" ht="15.75" customHeight="1">
      <c r="A11522" s="7"/>
      <c r="B11522" s="7"/>
      <c r="M11522" s="9" t="s">
        <v>27</v>
      </c>
    </row>
    <row r="11523" ht="15.75" customHeight="1">
      <c r="A11523" s="7"/>
      <c r="B11523" s="7"/>
      <c r="M11523" s="9" t="s">
        <v>30</v>
      </c>
    </row>
    <row r="11524" ht="15.75" customHeight="1">
      <c r="A11524" s="7"/>
      <c r="B11524" s="7"/>
      <c r="M11524" s="9" t="s">
        <v>24</v>
      </c>
    </row>
    <row r="11525" ht="15.75" customHeight="1">
      <c r="A11525" s="7"/>
      <c r="B11525" s="7"/>
      <c r="M11525" s="9" t="s">
        <v>21</v>
      </c>
    </row>
    <row r="11526" ht="15.75" customHeight="1">
      <c r="A11526" s="7"/>
      <c r="B11526" s="7"/>
      <c r="M11526" s="9" t="s">
        <v>22</v>
      </c>
    </row>
    <row r="11527" ht="15.75" customHeight="1">
      <c r="A11527" s="7"/>
      <c r="B11527" s="7"/>
      <c r="M11527" s="9" t="s">
        <v>29</v>
      </c>
    </row>
    <row r="11528" ht="15.75" customHeight="1">
      <c r="A11528" s="7"/>
      <c r="B11528" s="7"/>
      <c r="M11528" s="9" t="s">
        <v>46</v>
      </c>
    </row>
    <row r="11529" ht="15.75" customHeight="1">
      <c r="A11529" s="7"/>
      <c r="B11529" s="7"/>
      <c r="M11529" s="9" t="s">
        <v>27</v>
      </c>
    </row>
    <row r="11530" ht="15.75" customHeight="1">
      <c r="A11530" s="7"/>
      <c r="B11530" s="7"/>
      <c r="M11530" s="9" t="s">
        <v>24</v>
      </c>
    </row>
    <row r="11531" ht="15.75" customHeight="1">
      <c r="A11531" s="7"/>
      <c r="B11531" s="7"/>
      <c r="M11531" s="9" t="s">
        <v>21</v>
      </c>
    </row>
    <row r="11532" ht="15.75" customHeight="1">
      <c r="A11532" s="7"/>
      <c r="B11532" s="7"/>
      <c r="M11532" s="9" t="s">
        <v>30</v>
      </c>
    </row>
    <row r="11533" ht="15.75" customHeight="1">
      <c r="A11533" s="7"/>
      <c r="B11533" s="7"/>
      <c r="M11533" s="9" t="s">
        <v>23</v>
      </c>
    </row>
    <row r="11534" ht="15.75" customHeight="1">
      <c r="A11534" s="7"/>
      <c r="B11534" s="7"/>
      <c r="M11534" s="9" t="s">
        <v>36</v>
      </c>
    </row>
    <row r="11535" ht="15.75" customHeight="1">
      <c r="A11535" s="7"/>
      <c r="B11535" s="7"/>
      <c r="M11535" s="9" t="s">
        <v>24</v>
      </c>
    </row>
    <row r="11536" ht="15.75" customHeight="1">
      <c r="A11536" s="7"/>
      <c r="B11536" s="7"/>
      <c r="M11536" s="9" t="s">
        <v>21</v>
      </c>
    </row>
    <row r="11537" ht="15.75" customHeight="1">
      <c r="A11537" s="7"/>
      <c r="B11537" s="7"/>
      <c r="M11537" s="9" t="s">
        <v>37</v>
      </c>
    </row>
    <row r="11538" ht="15.75" customHeight="1">
      <c r="A11538" s="7"/>
      <c r="B11538" s="7"/>
      <c r="M11538" s="9" t="s">
        <v>22</v>
      </c>
    </row>
    <row r="11539" ht="15.75" customHeight="1">
      <c r="A11539" s="7"/>
      <c r="B11539" s="7"/>
      <c r="M11539" s="9" t="s">
        <v>27</v>
      </c>
    </row>
    <row r="11540" ht="15.75" customHeight="1">
      <c r="A11540" s="7"/>
      <c r="B11540" s="7"/>
      <c r="M11540" s="9" t="s">
        <v>33</v>
      </c>
    </row>
    <row r="11541" ht="15.75" customHeight="1">
      <c r="A11541" s="7"/>
      <c r="B11541" s="7"/>
      <c r="M11541" s="9" t="s">
        <v>26</v>
      </c>
    </row>
    <row r="11542" ht="15.75" customHeight="1">
      <c r="A11542" s="7"/>
      <c r="B11542" s="7"/>
      <c r="M11542" s="9" t="s">
        <v>24</v>
      </c>
    </row>
    <row r="11543" ht="15.75" customHeight="1">
      <c r="A11543" s="7"/>
      <c r="B11543" s="7"/>
      <c r="M11543" s="9" t="s">
        <v>20</v>
      </c>
    </row>
    <row r="11544" ht="15.75" customHeight="1">
      <c r="A11544" s="7"/>
      <c r="B11544" s="7"/>
      <c r="M11544" s="9" t="s">
        <v>21</v>
      </c>
    </row>
    <row r="11545" ht="15.75" customHeight="1">
      <c r="A11545" s="7"/>
      <c r="B11545" s="7"/>
      <c r="M11545" s="9" t="s">
        <v>39</v>
      </c>
    </row>
    <row r="11546" ht="15.75" customHeight="1">
      <c r="A11546" s="7"/>
      <c r="B11546" s="7"/>
      <c r="M11546" s="9" t="s">
        <v>22</v>
      </c>
    </row>
    <row r="11547" ht="15.75" customHeight="1">
      <c r="A11547" s="7"/>
      <c r="B11547" s="7"/>
      <c r="M11547" s="9" t="s">
        <v>29</v>
      </c>
    </row>
    <row r="11548" ht="15.75" customHeight="1">
      <c r="A11548" s="7"/>
      <c r="B11548" s="7"/>
      <c r="M11548" s="9" t="s">
        <v>46</v>
      </c>
    </row>
    <row r="11549" ht="15.75" customHeight="1">
      <c r="A11549" s="7"/>
      <c r="B11549" s="7"/>
      <c r="M11549" s="9" t="s">
        <v>27</v>
      </c>
    </row>
    <row r="11550" ht="15.75" customHeight="1">
      <c r="A11550" s="7"/>
      <c r="B11550" s="7"/>
      <c r="M11550" s="9" t="s">
        <v>33</v>
      </c>
    </row>
    <row r="11551" ht="15.75" customHeight="1">
      <c r="A11551" s="7"/>
      <c r="B11551" s="7"/>
      <c r="M11551" s="9" t="s">
        <v>30</v>
      </c>
    </row>
    <row r="11552" ht="15.75" customHeight="1">
      <c r="A11552" s="7"/>
      <c r="B11552" s="7"/>
      <c r="M11552" s="9" t="s">
        <v>24</v>
      </c>
    </row>
    <row r="11553" ht="15.75" customHeight="1">
      <c r="A11553" s="7"/>
      <c r="B11553" s="7"/>
      <c r="M11553" s="9" t="s">
        <v>20</v>
      </c>
    </row>
    <row r="11554" ht="15.75" customHeight="1">
      <c r="A11554" s="7"/>
      <c r="B11554" s="7"/>
      <c r="M11554" s="9" t="s">
        <v>21</v>
      </c>
    </row>
    <row r="11555" ht="15.75" customHeight="1">
      <c r="A11555" s="7"/>
      <c r="B11555" s="7"/>
      <c r="M11555" s="9" t="s">
        <v>22</v>
      </c>
    </row>
    <row r="11556" ht="15.75" customHeight="1">
      <c r="A11556" s="7"/>
      <c r="B11556" s="7"/>
      <c r="M11556" s="9" t="s">
        <v>27</v>
      </c>
    </row>
    <row r="11557" ht="15.75" customHeight="1">
      <c r="A11557" s="7"/>
      <c r="B11557" s="7"/>
      <c r="M11557" s="9" t="s">
        <v>30</v>
      </c>
    </row>
    <row r="11558" ht="15.75" customHeight="1">
      <c r="A11558" s="7"/>
      <c r="B11558" s="7"/>
      <c r="M11558" s="9" t="s">
        <v>25</v>
      </c>
    </row>
    <row r="11559" ht="15.75" customHeight="1">
      <c r="A11559" s="7"/>
      <c r="B11559" s="7"/>
      <c r="M11559" s="9" t="s">
        <v>23</v>
      </c>
    </row>
    <row r="11560" ht="15.75" customHeight="1">
      <c r="A11560" s="7"/>
      <c r="B11560" s="7"/>
      <c r="M11560" s="9" t="s">
        <v>26</v>
      </c>
    </row>
    <row r="11561" ht="15.75" customHeight="1">
      <c r="A11561" s="7"/>
      <c r="B11561" s="7"/>
      <c r="M11561" s="9" t="s">
        <v>26</v>
      </c>
    </row>
    <row r="11562" ht="15.75" customHeight="1">
      <c r="A11562" s="7"/>
      <c r="B11562" s="7"/>
      <c r="M11562" s="9" t="s">
        <v>24</v>
      </c>
    </row>
    <row r="11563" ht="15.75" customHeight="1">
      <c r="A11563" s="7"/>
      <c r="B11563" s="7"/>
      <c r="M11563" s="9" t="s">
        <v>21</v>
      </c>
    </row>
    <row r="11564" ht="15.75" customHeight="1">
      <c r="A11564" s="7"/>
      <c r="B11564" s="7"/>
      <c r="M11564" s="9" t="s">
        <v>27</v>
      </c>
    </row>
    <row r="11565" ht="15.75" customHeight="1">
      <c r="A11565" s="7"/>
      <c r="B11565" s="7"/>
      <c r="M11565" s="9" t="s">
        <v>24</v>
      </c>
    </row>
    <row r="11566" ht="15.75" customHeight="1">
      <c r="A11566" s="7"/>
      <c r="B11566" s="7"/>
      <c r="M11566" s="9" t="s">
        <v>21</v>
      </c>
    </row>
    <row r="11567" ht="15.75" customHeight="1">
      <c r="A11567" s="7"/>
      <c r="B11567" s="7"/>
      <c r="M11567" s="9" t="s">
        <v>37</v>
      </c>
    </row>
    <row r="11568" ht="15.75" customHeight="1">
      <c r="A11568" s="7"/>
      <c r="B11568" s="7"/>
      <c r="M11568" s="9" t="s">
        <v>27</v>
      </c>
    </row>
    <row r="11569" ht="15.75" customHeight="1">
      <c r="A11569" s="7"/>
      <c r="B11569" s="7"/>
      <c r="M11569" s="9" t="s">
        <v>33</v>
      </c>
    </row>
    <row r="11570" ht="15.75" customHeight="1">
      <c r="A11570" s="7"/>
      <c r="B11570" s="7"/>
      <c r="M11570" s="9" t="s">
        <v>24</v>
      </c>
    </row>
    <row r="11571" ht="15.75" customHeight="1">
      <c r="A11571" s="7"/>
      <c r="B11571" s="7"/>
      <c r="M11571" s="9" t="s">
        <v>20</v>
      </c>
    </row>
    <row r="11572" ht="15.75" customHeight="1">
      <c r="A11572" s="7"/>
      <c r="B11572" s="7"/>
      <c r="M11572" s="9" t="s">
        <v>21</v>
      </c>
    </row>
    <row r="11573" ht="15.75" customHeight="1">
      <c r="A11573" s="7"/>
      <c r="B11573" s="7"/>
      <c r="M11573" s="9" t="s">
        <v>37</v>
      </c>
    </row>
    <row r="11574" ht="15.75" customHeight="1">
      <c r="A11574" s="7"/>
      <c r="B11574" s="7"/>
      <c r="M11574" s="9" t="s">
        <v>22</v>
      </c>
    </row>
    <row r="11575" ht="15.75" customHeight="1">
      <c r="A11575" s="7"/>
      <c r="B11575" s="7"/>
      <c r="M11575" s="9" t="s">
        <v>29</v>
      </c>
    </row>
    <row r="11576" ht="15.75" customHeight="1">
      <c r="A11576" s="7"/>
      <c r="B11576" s="7"/>
      <c r="M11576" s="9" t="s">
        <v>27</v>
      </c>
    </row>
    <row r="11577" ht="15.75" customHeight="1">
      <c r="A11577" s="7"/>
      <c r="B11577" s="7"/>
      <c r="M11577" s="9" t="s">
        <v>40</v>
      </c>
    </row>
    <row r="11578" ht="15.75" customHeight="1">
      <c r="A11578" s="7"/>
      <c r="B11578" s="7"/>
      <c r="M11578" s="9" t="s">
        <v>33</v>
      </c>
    </row>
    <row r="11579" ht="15.75" customHeight="1">
      <c r="A11579" s="7"/>
      <c r="B11579" s="7"/>
      <c r="M11579" s="9" t="s">
        <v>38</v>
      </c>
    </row>
    <row r="11580" ht="15.75" customHeight="1">
      <c r="A11580" s="7"/>
      <c r="B11580" s="7"/>
      <c r="M11580" s="9" t="s">
        <v>30</v>
      </c>
    </row>
    <row r="11581" ht="15.75" customHeight="1">
      <c r="A11581" s="7"/>
      <c r="B11581" s="7"/>
      <c r="M11581" s="9" t="s">
        <v>25</v>
      </c>
    </row>
    <row r="11582" ht="15.75" customHeight="1">
      <c r="A11582" s="7"/>
      <c r="B11582" s="7"/>
      <c r="M11582" s="9" t="s">
        <v>23</v>
      </c>
    </row>
    <row r="11583" ht="15.75" customHeight="1">
      <c r="A11583" s="7"/>
      <c r="B11583" s="7"/>
      <c r="M11583" s="9" t="s">
        <v>24</v>
      </c>
    </row>
    <row r="11584" ht="15.75" customHeight="1">
      <c r="A11584" s="7"/>
      <c r="B11584" s="7"/>
      <c r="M11584" s="9" t="s">
        <v>20</v>
      </c>
    </row>
    <row r="11585" ht="15.75" customHeight="1">
      <c r="A11585" s="7"/>
      <c r="B11585" s="7"/>
      <c r="M11585" s="9" t="s">
        <v>21</v>
      </c>
    </row>
    <row r="11586" ht="15.75" customHeight="1">
      <c r="A11586" s="7"/>
      <c r="B11586" s="7"/>
      <c r="M11586" s="9" t="s">
        <v>41</v>
      </c>
    </row>
    <row r="11587" ht="15.75" customHeight="1">
      <c r="A11587" s="7"/>
      <c r="B11587" s="7"/>
      <c r="M11587" s="9" t="s">
        <v>37</v>
      </c>
    </row>
    <row r="11588" ht="15.75" customHeight="1">
      <c r="A11588" s="7"/>
      <c r="B11588" s="7"/>
      <c r="M11588" s="9" t="s">
        <v>22</v>
      </c>
    </row>
    <row r="11589" ht="15.75" customHeight="1">
      <c r="A11589" s="7"/>
      <c r="B11589" s="7"/>
      <c r="M11589" s="9" t="s">
        <v>27</v>
      </c>
    </row>
    <row r="11590" ht="15.75" customHeight="1">
      <c r="A11590" s="7"/>
      <c r="B11590" s="7"/>
      <c r="M11590" s="9" t="s">
        <v>33</v>
      </c>
    </row>
    <row r="11591" ht="15.75" customHeight="1">
      <c r="A11591" s="7"/>
      <c r="B11591" s="7"/>
      <c r="M11591" s="9" t="s">
        <v>30</v>
      </c>
    </row>
    <row r="11592" ht="15.75" customHeight="1">
      <c r="A11592" s="7"/>
      <c r="B11592" s="7"/>
      <c r="M11592" s="9" t="s">
        <v>20</v>
      </c>
    </row>
    <row r="11593" ht="15.75" customHeight="1">
      <c r="A11593" s="7"/>
      <c r="B11593" s="7"/>
      <c r="M11593" s="9" t="s">
        <v>21</v>
      </c>
    </row>
    <row r="11594" ht="15.75" customHeight="1">
      <c r="A11594" s="7"/>
      <c r="B11594" s="7"/>
      <c r="M11594" s="9" t="s">
        <v>22</v>
      </c>
    </row>
    <row r="11595" ht="15.75" customHeight="1">
      <c r="A11595" s="7"/>
      <c r="B11595" s="7"/>
      <c r="M11595" s="9" t="s">
        <v>33</v>
      </c>
    </row>
    <row r="11596" ht="15.75" customHeight="1">
      <c r="A11596" s="7"/>
      <c r="B11596" s="7"/>
      <c r="M11596" s="9" t="s">
        <v>24</v>
      </c>
    </row>
    <row r="11597" ht="15.75" customHeight="1">
      <c r="A11597" s="7"/>
      <c r="B11597" s="7"/>
      <c r="M11597" s="9" t="s">
        <v>37</v>
      </c>
    </row>
    <row r="11598" ht="15.75" customHeight="1">
      <c r="A11598" s="7"/>
      <c r="B11598" s="7"/>
      <c r="M11598" s="9" t="s">
        <v>27</v>
      </c>
    </row>
    <row r="11599" ht="15.75" customHeight="1">
      <c r="A11599" s="7"/>
      <c r="B11599" s="7"/>
      <c r="M11599" s="9" t="s">
        <v>20</v>
      </c>
    </row>
    <row r="11600" ht="15.75" customHeight="1">
      <c r="A11600" s="7"/>
      <c r="B11600" s="7"/>
      <c r="M11600" s="9" t="s">
        <v>21</v>
      </c>
    </row>
    <row r="11601" ht="15.75" customHeight="1">
      <c r="A11601" s="7"/>
      <c r="B11601" s="7"/>
      <c r="M11601" s="9" t="s">
        <v>39</v>
      </c>
    </row>
    <row r="11602" ht="15.75" customHeight="1">
      <c r="A11602" s="7"/>
      <c r="B11602" s="7"/>
      <c r="M11602" s="9" t="s">
        <v>41</v>
      </c>
    </row>
    <row r="11603" ht="15.75" customHeight="1">
      <c r="A11603" s="7"/>
      <c r="B11603" s="7"/>
      <c r="M11603" s="9" t="s">
        <v>22</v>
      </c>
    </row>
    <row r="11604" ht="15.75" customHeight="1">
      <c r="A11604" s="7"/>
      <c r="B11604" s="7"/>
      <c r="M11604" s="9" t="s">
        <v>27</v>
      </c>
    </row>
    <row r="11605" ht="15.75" customHeight="1">
      <c r="A11605" s="7"/>
      <c r="B11605" s="7"/>
      <c r="M11605" s="9" t="s">
        <v>40</v>
      </c>
    </row>
    <row r="11606" ht="15.75" customHeight="1">
      <c r="A11606" s="7"/>
      <c r="B11606" s="7"/>
      <c r="M11606" s="9" t="s">
        <v>35</v>
      </c>
    </row>
    <row r="11607" ht="15.75" customHeight="1">
      <c r="A11607" s="7"/>
      <c r="B11607" s="7"/>
      <c r="M11607" s="9" t="s">
        <v>24</v>
      </c>
    </row>
    <row r="11608" ht="15.75" customHeight="1">
      <c r="A11608" s="7"/>
      <c r="B11608" s="7"/>
      <c r="M11608" s="9" t="s">
        <v>20</v>
      </c>
    </row>
    <row r="11609" ht="15.75" customHeight="1">
      <c r="A11609" s="7"/>
      <c r="B11609" s="7"/>
      <c r="M11609" s="9" t="s">
        <v>39</v>
      </c>
    </row>
    <row r="11610" ht="15.75" customHeight="1">
      <c r="A11610" s="7"/>
      <c r="B11610" s="7"/>
      <c r="M11610" s="9" t="s">
        <v>27</v>
      </c>
    </row>
    <row r="11611" ht="15.75" customHeight="1">
      <c r="A11611" s="7"/>
      <c r="B11611" s="7"/>
      <c r="M11611" s="9" t="s">
        <v>24</v>
      </c>
    </row>
    <row r="11612" ht="15.75" customHeight="1">
      <c r="A11612" s="7"/>
      <c r="B11612" s="7"/>
      <c r="M11612" s="9" t="s">
        <v>21</v>
      </c>
    </row>
    <row r="11613" ht="15.75" customHeight="1">
      <c r="A11613" s="7"/>
      <c r="B11613" s="7"/>
      <c r="M11613" s="9" t="s">
        <v>37</v>
      </c>
    </row>
    <row r="11614" ht="15.75" customHeight="1">
      <c r="A11614" s="7"/>
      <c r="B11614" s="7"/>
      <c r="M11614" s="9" t="s">
        <v>27</v>
      </c>
    </row>
    <row r="11615" ht="15.75" customHeight="1">
      <c r="A11615" s="7"/>
      <c r="B11615" s="7"/>
      <c r="M11615" s="9" t="s">
        <v>25</v>
      </c>
    </row>
    <row r="11616" ht="15.75" customHeight="1">
      <c r="A11616" s="7"/>
      <c r="B11616" s="7"/>
      <c r="M11616" s="9" t="s">
        <v>23</v>
      </c>
    </row>
    <row r="11617" ht="15.75" customHeight="1">
      <c r="A11617" s="7"/>
      <c r="B11617" s="7"/>
      <c r="M11617" s="9" t="s">
        <v>36</v>
      </c>
    </row>
    <row r="11618" ht="15.75" customHeight="1">
      <c r="A11618" s="7"/>
      <c r="B11618" s="7"/>
      <c r="M11618" s="9" t="s">
        <v>24</v>
      </c>
    </row>
    <row r="11619" ht="15.75" customHeight="1">
      <c r="A11619" s="7"/>
      <c r="B11619" s="7"/>
      <c r="M11619" s="9" t="s">
        <v>21</v>
      </c>
    </row>
    <row r="11620" ht="15.75" customHeight="1">
      <c r="A11620" s="7"/>
      <c r="B11620" s="7"/>
      <c r="M11620" s="9" t="s">
        <v>27</v>
      </c>
    </row>
    <row r="11621" ht="15.75" customHeight="1">
      <c r="A11621" s="7"/>
      <c r="B11621" s="7"/>
      <c r="M11621" s="9" t="s">
        <v>33</v>
      </c>
    </row>
    <row r="11622" ht="15.75" customHeight="1">
      <c r="A11622" s="7"/>
      <c r="B11622" s="7"/>
      <c r="M11622" s="9" t="s">
        <v>20</v>
      </c>
    </row>
    <row r="11623" ht="15.75" customHeight="1">
      <c r="A11623" s="7"/>
      <c r="B11623" s="7"/>
      <c r="M11623" s="9" t="s">
        <v>22</v>
      </c>
    </row>
    <row r="11624" ht="15.75" customHeight="1">
      <c r="A11624" s="7"/>
      <c r="B11624" s="7"/>
      <c r="M11624" s="9" t="s">
        <v>24</v>
      </c>
    </row>
    <row r="11625" ht="15.75" customHeight="1">
      <c r="A11625" s="7"/>
      <c r="B11625" s="7"/>
      <c r="M11625" s="9" t="s">
        <v>21</v>
      </c>
    </row>
    <row r="11626" ht="15.75" customHeight="1">
      <c r="A11626" s="7"/>
      <c r="B11626" s="7"/>
      <c r="M11626" s="9" t="s">
        <v>31</v>
      </c>
    </row>
    <row r="11627" ht="15.75" customHeight="1">
      <c r="A11627" s="7"/>
      <c r="B11627" s="7"/>
      <c r="M11627" s="9" t="s">
        <v>30</v>
      </c>
    </row>
    <row r="11628" ht="15.75" customHeight="1">
      <c r="A11628" s="7"/>
      <c r="B11628" s="7"/>
      <c r="M11628" s="9" t="s">
        <v>25</v>
      </c>
    </row>
    <row r="11629" ht="15.75" customHeight="1">
      <c r="A11629" s="7"/>
      <c r="B11629" s="7"/>
      <c r="M11629" s="9" t="s">
        <v>24</v>
      </c>
    </row>
    <row r="11630" ht="15.75" customHeight="1">
      <c r="A11630" s="7"/>
      <c r="B11630" s="7"/>
      <c r="M11630" s="9" t="s">
        <v>20</v>
      </c>
    </row>
    <row r="11631" ht="15.75" customHeight="1">
      <c r="A11631" s="7"/>
      <c r="B11631" s="7"/>
      <c r="M11631" s="9" t="s">
        <v>21</v>
      </c>
    </row>
    <row r="11632" ht="15.75" customHeight="1">
      <c r="A11632" s="7"/>
      <c r="B11632" s="7"/>
      <c r="M11632" s="9" t="s">
        <v>37</v>
      </c>
    </row>
    <row r="11633" ht="15.75" customHeight="1">
      <c r="A11633" s="7"/>
      <c r="B11633" s="7"/>
      <c r="M11633" s="9" t="s">
        <v>22</v>
      </c>
    </row>
    <row r="11634" ht="15.75" customHeight="1">
      <c r="A11634" s="7"/>
      <c r="B11634" s="7"/>
      <c r="M11634" s="9" t="s">
        <v>27</v>
      </c>
    </row>
    <row r="11635" ht="15.75" customHeight="1">
      <c r="A11635" s="7"/>
      <c r="B11635" s="7"/>
      <c r="M11635" s="9" t="s">
        <v>33</v>
      </c>
    </row>
    <row r="11636" ht="15.75" customHeight="1">
      <c r="A11636" s="7"/>
      <c r="B11636" s="7"/>
      <c r="M11636" s="9" t="s">
        <v>26</v>
      </c>
    </row>
    <row r="11637" ht="15.75" customHeight="1">
      <c r="A11637" s="7"/>
      <c r="B11637" s="7"/>
      <c r="M11637" s="9" t="s">
        <v>24</v>
      </c>
    </row>
    <row r="11638" ht="15.75" customHeight="1">
      <c r="A11638" s="7"/>
      <c r="B11638" s="7"/>
      <c r="M11638" s="9" t="s">
        <v>21</v>
      </c>
    </row>
    <row r="11639" ht="15.75" customHeight="1">
      <c r="A11639" s="7"/>
      <c r="B11639" s="7"/>
      <c r="M11639" s="9" t="s">
        <v>37</v>
      </c>
    </row>
    <row r="11640" ht="15.75" customHeight="1">
      <c r="A11640" s="7"/>
      <c r="B11640" s="7"/>
      <c r="M11640" s="9" t="s">
        <v>30</v>
      </c>
    </row>
    <row r="11641" ht="15.75" customHeight="1">
      <c r="A11641" s="7"/>
      <c r="B11641" s="7"/>
      <c r="M11641" s="9" t="s">
        <v>25</v>
      </c>
    </row>
    <row r="11642" ht="15.75" customHeight="1">
      <c r="A11642" s="7"/>
      <c r="B11642" s="7"/>
      <c r="M11642" s="9" t="s">
        <v>23</v>
      </c>
    </row>
    <row r="11643" ht="15.75" customHeight="1">
      <c r="A11643" s="7"/>
      <c r="B11643" s="7"/>
      <c r="M11643" s="9" t="s">
        <v>26</v>
      </c>
    </row>
    <row r="11644" ht="15.75" customHeight="1">
      <c r="A11644" s="7"/>
      <c r="B11644" s="7"/>
      <c r="M11644" s="9" t="s">
        <v>24</v>
      </c>
    </row>
    <row r="11645" ht="15.75" customHeight="1">
      <c r="A11645" s="7"/>
      <c r="B11645" s="7"/>
      <c r="M11645" s="9" t="s">
        <v>21</v>
      </c>
    </row>
    <row r="11646" ht="15.75" customHeight="1">
      <c r="A11646" s="7"/>
      <c r="B11646" s="7"/>
      <c r="M11646" s="9" t="s">
        <v>27</v>
      </c>
    </row>
    <row r="11647" ht="15.75" customHeight="1">
      <c r="A11647" s="7"/>
      <c r="B11647" s="7"/>
      <c r="M11647" s="9" t="s">
        <v>36</v>
      </c>
    </row>
    <row r="11648" ht="15.75" customHeight="1">
      <c r="A11648" s="7"/>
      <c r="B11648" s="7"/>
      <c r="M11648" s="9" t="s">
        <v>20</v>
      </c>
    </row>
    <row r="11649" ht="15.75" customHeight="1">
      <c r="A11649" s="7"/>
      <c r="B11649" s="7"/>
      <c r="M11649" s="9" t="s">
        <v>21</v>
      </c>
    </row>
    <row r="11650" ht="15.75" customHeight="1">
      <c r="A11650" s="7"/>
      <c r="B11650" s="7"/>
      <c r="M11650" s="9" t="s">
        <v>22</v>
      </c>
    </row>
    <row r="11651" ht="15.75" customHeight="1">
      <c r="A11651" s="7"/>
      <c r="B11651" s="7"/>
      <c r="M11651" s="9" t="s">
        <v>20</v>
      </c>
    </row>
    <row r="11652" ht="15.75" customHeight="1">
      <c r="A11652" s="7"/>
      <c r="B11652" s="7"/>
      <c r="M11652" s="9" t="s">
        <v>44</v>
      </c>
    </row>
    <row r="11653" ht="15.75" customHeight="1">
      <c r="A11653" s="7"/>
      <c r="B11653" s="7"/>
      <c r="M11653" s="9" t="s">
        <v>21</v>
      </c>
    </row>
    <row r="11654" ht="15.75" customHeight="1">
      <c r="A11654" s="7"/>
      <c r="B11654" s="7"/>
      <c r="M11654" s="9" t="s">
        <v>31</v>
      </c>
    </row>
    <row r="11655" ht="15.75" customHeight="1">
      <c r="A11655" s="7"/>
      <c r="B11655" s="7"/>
      <c r="M11655" s="9" t="s">
        <v>27</v>
      </c>
    </row>
    <row r="11656" ht="15.75" customHeight="1">
      <c r="A11656" s="7"/>
      <c r="B11656" s="7"/>
      <c r="M11656" s="9" t="s">
        <v>35</v>
      </c>
    </row>
    <row r="11657" ht="15.75" customHeight="1">
      <c r="A11657" s="7"/>
      <c r="B11657" s="7"/>
      <c r="M11657" s="9" t="s">
        <v>20</v>
      </c>
    </row>
    <row r="11658" ht="15.75" customHeight="1">
      <c r="A11658" s="7"/>
      <c r="B11658" s="7"/>
      <c r="M11658" s="9" t="s">
        <v>21</v>
      </c>
    </row>
    <row r="11659" ht="15.75" customHeight="1">
      <c r="A11659" s="7"/>
      <c r="B11659" s="7"/>
      <c r="M11659" s="9" t="s">
        <v>27</v>
      </c>
    </row>
    <row r="11660" ht="15.75" customHeight="1">
      <c r="A11660" s="7"/>
      <c r="B11660" s="7"/>
      <c r="M11660" s="9" t="s">
        <v>33</v>
      </c>
    </row>
    <row r="11661" ht="15.75" customHeight="1">
      <c r="A11661" s="7"/>
      <c r="B11661" s="7"/>
      <c r="M11661" s="9" t="s">
        <v>30</v>
      </c>
    </row>
    <row r="11662" ht="15.75" customHeight="1">
      <c r="A11662" s="7"/>
      <c r="B11662" s="7"/>
      <c r="M11662" s="9" t="s">
        <v>26</v>
      </c>
    </row>
    <row r="11663" ht="15.75" customHeight="1">
      <c r="A11663" s="7"/>
      <c r="B11663" s="7"/>
      <c r="M11663" s="9" t="s">
        <v>24</v>
      </c>
    </row>
    <row r="11664" ht="15.75" customHeight="1">
      <c r="A11664" s="7"/>
      <c r="B11664" s="7"/>
      <c r="M11664" s="9" t="s">
        <v>21</v>
      </c>
    </row>
    <row r="11665" ht="15.75" customHeight="1">
      <c r="A11665" s="7"/>
      <c r="B11665" s="7"/>
      <c r="M11665" s="9" t="s">
        <v>22</v>
      </c>
    </row>
    <row r="11666" ht="15.75" customHeight="1">
      <c r="A11666" s="7"/>
      <c r="B11666" s="7"/>
      <c r="M11666" s="9" t="s">
        <v>27</v>
      </c>
    </row>
    <row r="11667" ht="15.75" customHeight="1">
      <c r="A11667" s="7"/>
      <c r="B11667" s="7"/>
      <c r="M11667" s="9" t="s">
        <v>24</v>
      </c>
    </row>
    <row r="11668" ht="15.75" customHeight="1">
      <c r="A11668" s="7"/>
      <c r="B11668" s="7"/>
      <c r="M11668" s="9" t="s">
        <v>21</v>
      </c>
    </row>
    <row r="11669" ht="15.75" customHeight="1">
      <c r="A11669" s="7"/>
      <c r="B11669" s="7"/>
      <c r="M11669" s="9" t="s">
        <v>25</v>
      </c>
    </row>
    <row r="11670" ht="15.75" customHeight="1">
      <c r="A11670" s="7"/>
      <c r="B11670" s="7"/>
      <c r="M11670" s="9" t="s">
        <v>22</v>
      </c>
    </row>
    <row r="11671" ht="15.75" customHeight="1">
      <c r="A11671" s="7"/>
      <c r="B11671" s="7"/>
      <c r="M11671" s="9" t="s">
        <v>29</v>
      </c>
    </row>
    <row r="11672" ht="15.75" customHeight="1">
      <c r="A11672" s="7"/>
      <c r="B11672" s="7"/>
      <c r="M11672" s="9" t="s">
        <v>31</v>
      </c>
    </row>
    <row r="11673" ht="15.75" customHeight="1">
      <c r="A11673" s="7"/>
      <c r="B11673" s="7"/>
      <c r="M11673" s="9" t="s">
        <v>27</v>
      </c>
    </row>
    <row r="11674" ht="15.75" customHeight="1">
      <c r="A11674" s="7"/>
      <c r="B11674" s="7"/>
      <c r="M11674" s="9" t="s">
        <v>28</v>
      </c>
    </row>
    <row r="11675" ht="15.75" customHeight="1">
      <c r="A11675" s="7"/>
      <c r="B11675" s="7"/>
      <c r="M11675" s="9" t="s">
        <v>20</v>
      </c>
    </row>
    <row r="11676" ht="15.75" customHeight="1">
      <c r="A11676" s="7"/>
      <c r="B11676" s="7"/>
      <c r="M11676" s="9" t="s">
        <v>31</v>
      </c>
    </row>
    <row r="11677" ht="15.75" customHeight="1">
      <c r="A11677" s="7"/>
      <c r="B11677" s="7"/>
      <c r="M11677" s="9" t="s">
        <v>46</v>
      </c>
    </row>
    <row r="11678" ht="15.75" customHeight="1">
      <c r="A11678" s="7"/>
      <c r="B11678" s="7"/>
      <c r="M11678" s="9" t="s">
        <v>26</v>
      </c>
    </row>
    <row r="11679" ht="15.75" customHeight="1">
      <c r="A11679" s="7"/>
      <c r="B11679" s="7"/>
      <c r="M11679" s="9" t="s">
        <v>22</v>
      </c>
    </row>
    <row r="11680" ht="15.75" customHeight="1">
      <c r="A11680" s="7"/>
      <c r="B11680" s="7"/>
      <c r="M11680" s="9" t="s">
        <v>27</v>
      </c>
    </row>
    <row r="11681" ht="15.75" customHeight="1">
      <c r="A11681" s="7"/>
      <c r="B11681" s="7"/>
      <c r="M11681" s="9" t="s">
        <v>26</v>
      </c>
    </row>
    <row r="11682" ht="15.75" customHeight="1">
      <c r="A11682" s="7"/>
      <c r="B11682" s="7"/>
      <c r="M11682" s="9" t="s">
        <v>24</v>
      </c>
    </row>
    <row r="11683" ht="15.75" customHeight="1">
      <c r="A11683" s="7"/>
      <c r="B11683" s="7"/>
      <c r="M11683" s="9" t="s">
        <v>21</v>
      </c>
    </row>
    <row r="11684" ht="15.75" customHeight="1">
      <c r="A11684" s="7"/>
      <c r="B11684" s="7"/>
      <c r="M11684" s="9" t="s">
        <v>41</v>
      </c>
    </row>
    <row r="11685" ht="15.75" customHeight="1">
      <c r="A11685" s="7"/>
      <c r="B11685" s="7"/>
      <c r="M11685" s="9" t="s">
        <v>37</v>
      </c>
    </row>
    <row r="11686" ht="15.75" customHeight="1">
      <c r="A11686" s="7"/>
      <c r="B11686" s="7"/>
      <c r="M11686" s="9" t="s">
        <v>40</v>
      </c>
    </row>
    <row r="11687" ht="15.75" customHeight="1">
      <c r="A11687" s="7"/>
      <c r="B11687" s="7"/>
      <c r="M11687" s="9" t="s">
        <v>25</v>
      </c>
    </row>
    <row r="11688" ht="15.75" customHeight="1">
      <c r="A11688" s="7"/>
      <c r="B11688" s="7"/>
      <c r="M11688" s="9" t="s">
        <v>24</v>
      </c>
    </row>
    <row r="11689" ht="15.75" customHeight="1">
      <c r="A11689" s="7"/>
      <c r="B11689" s="7"/>
      <c r="M11689" s="9" t="s">
        <v>23</v>
      </c>
    </row>
    <row r="11690" ht="15.75" customHeight="1">
      <c r="A11690" s="7"/>
      <c r="B11690" s="7"/>
      <c r="M11690" s="9" t="s">
        <v>24</v>
      </c>
    </row>
    <row r="11691" ht="15.75" customHeight="1">
      <c r="A11691" s="7"/>
      <c r="B11691" s="7"/>
      <c r="M11691" s="9" t="s">
        <v>20</v>
      </c>
    </row>
    <row r="11692" ht="15.75" customHeight="1">
      <c r="A11692" s="7"/>
      <c r="B11692" s="7"/>
      <c r="M11692" s="9" t="s">
        <v>21</v>
      </c>
    </row>
    <row r="11693" ht="15.75" customHeight="1">
      <c r="A11693" s="7"/>
      <c r="B11693" s="7"/>
      <c r="M11693" s="9" t="s">
        <v>22</v>
      </c>
    </row>
    <row r="11694" ht="15.75" customHeight="1">
      <c r="A11694" s="7"/>
      <c r="B11694" s="7"/>
      <c r="M11694" s="9" t="s">
        <v>41</v>
      </c>
    </row>
    <row r="11695" ht="15.75" customHeight="1">
      <c r="A11695" s="7"/>
      <c r="B11695" s="7"/>
      <c r="M11695" s="9" t="s">
        <v>40</v>
      </c>
    </row>
    <row r="11696" ht="15.75" customHeight="1">
      <c r="A11696" s="7"/>
      <c r="B11696" s="7"/>
      <c r="M11696" s="9" t="s">
        <v>25</v>
      </c>
    </row>
    <row r="11697" ht="15.75" customHeight="1">
      <c r="A11697" s="7"/>
      <c r="B11697" s="7"/>
      <c r="M11697" s="9" t="s">
        <v>23</v>
      </c>
    </row>
    <row r="11698" ht="15.75" customHeight="1">
      <c r="A11698" s="7"/>
      <c r="B11698" s="7"/>
      <c r="M11698" s="9" t="s">
        <v>22</v>
      </c>
    </row>
    <row r="11699" ht="15.75" customHeight="1">
      <c r="A11699" s="7"/>
      <c r="B11699" s="7"/>
      <c r="M11699" s="9" t="s">
        <v>35</v>
      </c>
    </row>
    <row r="11700" ht="15.75" customHeight="1">
      <c r="A11700" s="7"/>
      <c r="B11700" s="7"/>
      <c r="M11700" s="9" t="s">
        <v>24</v>
      </c>
    </row>
    <row r="11701" ht="15.75" customHeight="1">
      <c r="A11701" s="7"/>
      <c r="B11701" s="7"/>
      <c r="M11701" s="9" t="s">
        <v>21</v>
      </c>
    </row>
    <row r="11702" ht="15.75" customHeight="1">
      <c r="A11702" s="7"/>
      <c r="B11702" s="7"/>
      <c r="M11702" s="9" t="s">
        <v>37</v>
      </c>
    </row>
    <row r="11703" ht="15.75" customHeight="1">
      <c r="A11703" s="7"/>
      <c r="B11703" s="7"/>
      <c r="M11703" s="9" t="s">
        <v>27</v>
      </c>
    </row>
    <row r="11704" ht="15.75" customHeight="1">
      <c r="A11704" s="7"/>
      <c r="B11704" s="7"/>
      <c r="M11704" s="9" t="s">
        <v>26</v>
      </c>
    </row>
    <row r="11705" ht="15.75" customHeight="1">
      <c r="A11705" s="7"/>
      <c r="B11705" s="7"/>
      <c r="M11705" s="9" t="s">
        <v>37</v>
      </c>
    </row>
    <row r="11706" ht="15.75" customHeight="1">
      <c r="A11706" s="7"/>
      <c r="B11706" s="7"/>
      <c r="M11706" s="9" t="s">
        <v>27</v>
      </c>
    </row>
    <row r="11707" ht="15.75" customHeight="1">
      <c r="A11707" s="7"/>
      <c r="B11707" s="7"/>
      <c r="M11707" s="9" t="s">
        <v>20</v>
      </c>
    </row>
    <row r="11708" ht="15.75" customHeight="1">
      <c r="A11708" s="7"/>
      <c r="B11708" s="7"/>
      <c r="M11708" s="9" t="s">
        <v>20</v>
      </c>
    </row>
    <row r="11709" ht="15.75" customHeight="1">
      <c r="A11709" s="7"/>
      <c r="B11709" s="7"/>
      <c r="M11709" s="9" t="s">
        <v>22</v>
      </c>
    </row>
    <row r="11710" ht="15.75" customHeight="1">
      <c r="A11710" s="7"/>
      <c r="B11710" s="7"/>
      <c r="M11710" s="9" t="s">
        <v>30</v>
      </c>
    </row>
    <row r="11711" ht="15.75" customHeight="1">
      <c r="A11711" s="7"/>
      <c r="B11711" s="7"/>
      <c r="M11711" s="9" t="s">
        <v>26</v>
      </c>
    </row>
    <row r="11712" ht="15.75" customHeight="1">
      <c r="A11712" s="7"/>
      <c r="B11712" s="7"/>
      <c r="M11712" s="9" t="s">
        <v>27</v>
      </c>
    </row>
    <row r="11713" ht="15.75" customHeight="1">
      <c r="A11713" s="7"/>
      <c r="B11713" s="7"/>
      <c r="M11713" s="9" t="s">
        <v>24</v>
      </c>
    </row>
    <row r="11714" ht="15.75" customHeight="1">
      <c r="A11714" s="7"/>
      <c r="B11714" s="7"/>
      <c r="M11714" s="9" t="s">
        <v>20</v>
      </c>
    </row>
    <row r="11715" ht="15.75" customHeight="1">
      <c r="A11715" s="7"/>
      <c r="B11715" s="7"/>
      <c r="M11715" s="9" t="s">
        <v>21</v>
      </c>
    </row>
    <row r="11716" ht="15.75" customHeight="1">
      <c r="A11716" s="7"/>
      <c r="B11716" s="7"/>
      <c r="M11716" s="9" t="s">
        <v>37</v>
      </c>
    </row>
    <row r="11717" ht="15.75" customHeight="1">
      <c r="A11717" s="7"/>
      <c r="B11717" s="7"/>
      <c r="M11717" s="9" t="s">
        <v>22</v>
      </c>
    </row>
    <row r="11718" ht="15.75" customHeight="1">
      <c r="A11718" s="7"/>
      <c r="B11718" s="7"/>
      <c r="M11718" s="9" t="s">
        <v>27</v>
      </c>
    </row>
    <row r="11719" ht="15.75" customHeight="1">
      <c r="A11719" s="7"/>
      <c r="B11719" s="7"/>
      <c r="M11719" s="9" t="s">
        <v>28</v>
      </c>
    </row>
    <row r="11720" ht="15.75" customHeight="1">
      <c r="A11720" s="7"/>
      <c r="B11720" s="7"/>
      <c r="M11720" s="9" t="s">
        <v>24</v>
      </c>
    </row>
    <row r="11721" ht="15.75" customHeight="1">
      <c r="A11721" s="7"/>
      <c r="B11721" s="7"/>
      <c r="M11721" s="9" t="s">
        <v>21</v>
      </c>
    </row>
    <row r="11722" ht="15.75" customHeight="1">
      <c r="A11722" s="7"/>
      <c r="B11722" s="7"/>
      <c r="M11722" s="9" t="s">
        <v>37</v>
      </c>
    </row>
    <row r="11723" ht="15.75" customHeight="1">
      <c r="A11723" s="7"/>
      <c r="B11723" s="7"/>
      <c r="M11723" s="9" t="s">
        <v>27</v>
      </c>
    </row>
    <row r="11724" ht="15.75" customHeight="1">
      <c r="A11724" s="7"/>
      <c r="B11724" s="7"/>
      <c r="M11724" s="9" t="s">
        <v>23</v>
      </c>
    </row>
    <row r="11725" ht="15.75" customHeight="1">
      <c r="A11725" s="7"/>
      <c r="B11725" s="7"/>
      <c r="M11725" s="9" t="s">
        <v>32</v>
      </c>
    </row>
    <row r="11726" ht="15.75" customHeight="1">
      <c r="A11726" s="7"/>
      <c r="B11726" s="7"/>
      <c r="M11726" s="9" t="s">
        <v>27</v>
      </c>
    </row>
    <row r="11727" ht="15.75" customHeight="1">
      <c r="A11727" s="7"/>
      <c r="B11727" s="7"/>
      <c r="M11727" s="9" t="s">
        <v>33</v>
      </c>
    </row>
    <row r="11728" ht="15.75" customHeight="1">
      <c r="A11728" s="7"/>
      <c r="B11728" s="7"/>
      <c r="M11728" s="9" t="s">
        <v>22</v>
      </c>
    </row>
    <row r="11729" ht="15.75" customHeight="1">
      <c r="A11729" s="7"/>
      <c r="B11729" s="7"/>
      <c r="M11729" s="9" t="s">
        <v>27</v>
      </c>
    </row>
    <row r="11730" ht="15.75" customHeight="1">
      <c r="A11730" s="7"/>
      <c r="B11730" s="7"/>
      <c r="M11730" s="9" t="s">
        <v>36</v>
      </c>
    </row>
    <row r="11731" ht="15.75" customHeight="1">
      <c r="A11731" s="7"/>
      <c r="B11731" s="7"/>
      <c r="M11731" s="9" t="s">
        <v>24</v>
      </c>
    </row>
    <row r="11732" ht="15.75" customHeight="1">
      <c r="A11732" s="7"/>
      <c r="B11732" s="7"/>
      <c r="M11732" s="9" t="s">
        <v>21</v>
      </c>
    </row>
    <row r="11733" ht="15.75" customHeight="1">
      <c r="A11733" s="7"/>
      <c r="B11733" s="7"/>
      <c r="M11733" s="9" t="s">
        <v>22</v>
      </c>
    </row>
    <row r="11734" ht="15.75" customHeight="1">
      <c r="A11734" s="7"/>
      <c r="B11734" s="7"/>
      <c r="M11734" s="9" t="s">
        <v>30</v>
      </c>
    </row>
    <row r="11735" ht="15.75" customHeight="1">
      <c r="A11735" s="7"/>
      <c r="B11735" s="7"/>
      <c r="M11735" s="9" t="s">
        <v>25</v>
      </c>
    </row>
    <row r="11736" ht="15.75" customHeight="1">
      <c r="A11736" s="7"/>
      <c r="B11736" s="7"/>
      <c r="M11736" s="9" t="s">
        <v>23</v>
      </c>
    </row>
    <row r="11737" ht="15.75" customHeight="1">
      <c r="A11737" s="7"/>
      <c r="B11737" s="7"/>
      <c r="M11737" s="9" t="s">
        <v>26</v>
      </c>
    </row>
    <row r="11738" ht="15.75" customHeight="1">
      <c r="A11738" s="7"/>
      <c r="B11738" s="7"/>
      <c r="M11738" s="9" t="s">
        <v>24</v>
      </c>
    </row>
    <row r="11739" ht="15.75" customHeight="1">
      <c r="A11739" s="7"/>
      <c r="B11739" s="7"/>
      <c r="M11739" s="9" t="s">
        <v>20</v>
      </c>
    </row>
    <row r="11740" ht="15.75" customHeight="1">
      <c r="A11740" s="7"/>
      <c r="B11740" s="7"/>
      <c r="M11740" s="9" t="s">
        <v>21</v>
      </c>
    </row>
    <row r="11741" ht="15.75" customHeight="1">
      <c r="A11741" s="7"/>
      <c r="B11741" s="7"/>
      <c r="M11741" s="9" t="s">
        <v>22</v>
      </c>
    </row>
    <row r="11742" ht="15.75" customHeight="1">
      <c r="A11742" s="7"/>
      <c r="B11742" s="7"/>
      <c r="M11742" s="9" t="s">
        <v>27</v>
      </c>
    </row>
    <row r="11743" ht="15.75" customHeight="1">
      <c r="A11743" s="7"/>
      <c r="B11743" s="7"/>
      <c r="M11743" s="9" t="s">
        <v>37</v>
      </c>
    </row>
    <row r="11744" ht="15.75" customHeight="1">
      <c r="A11744" s="7"/>
      <c r="B11744" s="7"/>
      <c r="M11744" s="9" t="s">
        <v>30</v>
      </c>
    </row>
    <row r="11745" ht="15.75" customHeight="1">
      <c r="A11745" s="7"/>
      <c r="B11745" s="7"/>
      <c r="M11745" s="9" t="s">
        <v>26</v>
      </c>
    </row>
    <row r="11746" ht="15.75" customHeight="1">
      <c r="A11746" s="7"/>
      <c r="B11746" s="7"/>
      <c r="M11746" s="9" t="s">
        <v>24</v>
      </c>
    </row>
    <row r="11747" ht="15.75" customHeight="1">
      <c r="A11747" s="7"/>
      <c r="B11747" s="7"/>
      <c r="M11747" s="9" t="s">
        <v>20</v>
      </c>
    </row>
    <row r="11748" ht="15.75" customHeight="1">
      <c r="A11748" s="7"/>
      <c r="B11748" s="7"/>
      <c r="M11748" s="9" t="s">
        <v>21</v>
      </c>
    </row>
    <row r="11749" ht="15.75" customHeight="1">
      <c r="A11749" s="7"/>
      <c r="B11749" s="7"/>
      <c r="M11749" s="9" t="s">
        <v>22</v>
      </c>
    </row>
    <row r="11750" ht="15.75" customHeight="1">
      <c r="A11750" s="7"/>
      <c r="B11750" s="7"/>
      <c r="M11750" s="9" t="s">
        <v>35</v>
      </c>
    </row>
    <row r="11751" ht="15.75" customHeight="1">
      <c r="A11751" s="7"/>
      <c r="B11751" s="7"/>
      <c r="M11751" s="9" t="s">
        <v>30</v>
      </c>
    </row>
    <row r="11752" ht="15.75" customHeight="1">
      <c r="A11752" s="7"/>
      <c r="B11752" s="7"/>
      <c r="M11752" s="9" t="s">
        <v>24</v>
      </c>
    </row>
    <row r="11753" ht="15.75" customHeight="1">
      <c r="A11753" s="7"/>
      <c r="B11753" s="7"/>
      <c r="M11753" s="9" t="s">
        <v>20</v>
      </c>
    </row>
    <row r="11754" ht="15.75" customHeight="1">
      <c r="A11754" s="7"/>
      <c r="B11754" s="7"/>
      <c r="M11754" s="9" t="s">
        <v>21</v>
      </c>
    </row>
    <row r="11755" ht="15.75" customHeight="1">
      <c r="A11755" s="7"/>
      <c r="B11755" s="7"/>
      <c r="M11755" s="9" t="s">
        <v>27</v>
      </c>
    </row>
    <row r="11756" ht="15.75" customHeight="1">
      <c r="A11756" s="7"/>
      <c r="B11756" s="7"/>
      <c r="M11756" s="9" t="s">
        <v>30</v>
      </c>
    </row>
    <row r="11757" ht="15.75" customHeight="1">
      <c r="A11757" s="7"/>
      <c r="B11757" s="7"/>
      <c r="M11757" s="9" t="s">
        <v>26</v>
      </c>
    </row>
    <row r="11758" ht="15.75" customHeight="1">
      <c r="A11758" s="7"/>
      <c r="B11758" s="7"/>
      <c r="M11758" s="9" t="s">
        <v>20</v>
      </c>
    </row>
    <row r="11759" ht="15.75" customHeight="1">
      <c r="A11759" s="7"/>
      <c r="B11759" s="7"/>
      <c r="M11759" s="9" t="s">
        <v>39</v>
      </c>
    </row>
    <row r="11760" ht="15.75" customHeight="1">
      <c r="A11760" s="7"/>
      <c r="B11760" s="7"/>
      <c r="M11760" s="9" t="s">
        <v>41</v>
      </c>
    </row>
    <row r="11761" ht="15.75" customHeight="1">
      <c r="A11761" s="7"/>
      <c r="B11761" s="7"/>
      <c r="M11761" s="9" t="s">
        <v>22</v>
      </c>
    </row>
    <row r="11762" ht="15.75" customHeight="1">
      <c r="A11762" s="7"/>
      <c r="B11762" s="7"/>
      <c r="M11762" s="9" t="s">
        <v>27</v>
      </c>
    </row>
    <row r="11763" ht="15.75" customHeight="1">
      <c r="A11763" s="7"/>
      <c r="B11763" s="7"/>
      <c r="M11763" s="9" t="s">
        <v>40</v>
      </c>
    </row>
    <row r="11764" ht="15.75" customHeight="1">
      <c r="A11764" s="7"/>
      <c r="B11764" s="7"/>
      <c r="M11764" s="9" t="s">
        <v>30</v>
      </c>
    </row>
    <row r="11765" ht="15.75" customHeight="1">
      <c r="A11765" s="7"/>
      <c r="B11765" s="7"/>
      <c r="M11765" s="9" t="s">
        <v>23</v>
      </c>
    </row>
    <row r="11766" ht="15.75" customHeight="1">
      <c r="A11766" s="7"/>
      <c r="B11766" s="7"/>
      <c r="M11766" s="9" t="s">
        <v>20</v>
      </c>
    </row>
    <row r="11767" ht="15.75" customHeight="1">
      <c r="A11767" s="7"/>
      <c r="B11767" s="7"/>
      <c r="M11767" s="9" t="s">
        <v>21</v>
      </c>
    </row>
    <row r="11768" ht="15.75" customHeight="1">
      <c r="A11768" s="7"/>
      <c r="B11768" s="7"/>
      <c r="M11768" s="9" t="s">
        <v>39</v>
      </c>
    </row>
    <row r="11769" ht="15.75" customHeight="1">
      <c r="A11769" s="7"/>
      <c r="B11769" s="7"/>
      <c r="M11769" s="9" t="s">
        <v>22</v>
      </c>
    </row>
    <row r="11770" ht="15.75" customHeight="1">
      <c r="A11770" s="7"/>
      <c r="B11770" s="7"/>
      <c r="M11770" s="9" t="s">
        <v>27</v>
      </c>
    </row>
    <row r="11771" ht="15.75" customHeight="1">
      <c r="A11771" s="7"/>
      <c r="B11771" s="7"/>
      <c r="M11771" s="9" t="s">
        <v>40</v>
      </c>
    </row>
    <row r="11772" ht="15.75" customHeight="1">
      <c r="A11772" s="7"/>
      <c r="B11772" s="7"/>
      <c r="M11772" s="9" t="s">
        <v>23</v>
      </c>
    </row>
    <row r="11773" ht="15.75" customHeight="1">
      <c r="A11773" s="7"/>
      <c r="B11773" s="7"/>
      <c r="M11773" s="9" t="s">
        <v>24</v>
      </c>
    </row>
    <row r="11774" ht="15.75" customHeight="1">
      <c r="A11774" s="7"/>
      <c r="B11774" s="7"/>
      <c r="M11774" s="9" t="s">
        <v>20</v>
      </c>
    </row>
    <row r="11775" ht="15.75" customHeight="1">
      <c r="A11775" s="7"/>
      <c r="B11775" s="7"/>
      <c r="M11775" s="9" t="s">
        <v>21</v>
      </c>
    </row>
    <row r="11776" ht="15.75" customHeight="1">
      <c r="A11776" s="7"/>
      <c r="B11776" s="7"/>
      <c r="M11776" s="9" t="s">
        <v>22</v>
      </c>
    </row>
    <row r="11777" ht="15.75" customHeight="1">
      <c r="A11777" s="7"/>
      <c r="B11777" s="7"/>
      <c r="M11777" s="9" t="s">
        <v>35</v>
      </c>
    </row>
    <row r="11778" ht="15.75" customHeight="1">
      <c r="A11778" s="7"/>
      <c r="B11778" s="7"/>
      <c r="M11778" s="9" t="s">
        <v>26</v>
      </c>
    </row>
    <row r="11779" ht="15.75" customHeight="1">
      <c r="A11779" s="7"/>
      <c r="B11779" s="7"/>
      <c r="M11779" s="9" t="s">
        <v>27</v>
      </c>
    </row>
    <row r="11780" ht="15.75" customHeight="1">
      <c r="A11780" s="7"/>
      <c r="B11780" s="7"/>
      <c r="M11780" s="9" t="s">
        <v>25</v>
      </c>
    </row>
    <row r="11781" ht="15.75" customHeight="1">
      <c r="A11781" s="7"/>
      <c r="B11781" s="7"/>
      <c r="M11781" s="9" t="s">
        <v>23</v>
      </c>
    </row>
    <row r="11782" ht="15.75" customHeight="1">
      <c r="A11782" s="7"/>
      <c r="B11782" s="7"/>
      <c r="M11782" s="9" t="s">
        <v>26</v>
      </c>
    </row>
    <row r="11783" ht="15.75" customHeight="1">
      <c r="A11783" s="7"/>
      <c r="B11783" s="7"/>
      <c r="M11783" s="9" t="s">
        <v>20</v>
      </c>
    </row>
    <row r="11784" ht="15.75" customHeight="1">
      <c r="A11784" s="7"/>
      <c r="B11784" s="7"/>
      <c r="M11784" s="9" t="s">
        <v>21</v>
      </c>
    </row>
    <row r="11785" ht="15.75" customHeight="1">
      <c r="A11785" s="7"/>
      <c r="B11785" s="7"/>
      <c r="M11785" s="9" t="s">
        <v>22</v>
      </c>
    </row>
    <row r="11786" ht="15.75" customHeight="1">
      <c r="A11786" s="7"/>
      <c r="B11786" s="7"/>
      <c r="M11786" s="9" t="s">
        <v>32</v>
      </c>
    </row>
    <row r="11787" ht="15.75" customHeight="1">
      <c r="A11787" s="7"/>
      <c r="B11787" s="7"/>
      <c r="M11787" s="9" t="s">
        <v>27</v>
      </c>
    </row>
    <row r="11788" ht="15.75" customHeight="1">
      <c r="A11788" s="7"/>
      <c r="B11788" s="7"/>
      <c r="M11788" s="9" t="s">
        <v>30</v>
      </c>
    </row>
    <row r="11789" ht="15.75" customHeight="1">
      <c r="A11789" s="7"/>
      <c r="B11789" s="7"/>
      <c r="M11789" s="9" t="s">
        <v>36</v>
      </c>
    </row>
    <row r="11790" ht="15.75" customHeight="1">
      <c r="A11790" s="7"/>
      <c r="B11790" s="7"/>
      <c r="M11790" s="9" t="s">
        <v>22</v>
      </c>
    </row>
    <row r="11791" ht="15.75" customHeight="1">
      <c r="A11791" s="7"/>
      <c r="B11791" s="7"/>
      <c r="M11791" s="9" t="s">
        <v>40</v>
      </c>
    </row>
    <row r="11792" ht="15.75" customHeight="1">
      <c r="A11792" s="7"/>
      <c r="B11792" s="7"/>
      <c r="M11792" s="9" t="s">
        <v>26</v>
      </c>
    </row>
    <row r="11793" ht="15.75" customHeight="1">
      <c r="A11793" s="7"/>
      <c r="B11793" s="7"/>
      <c r="M11793" s="9" t="s">
        <v>37</v>
      </c>
    </row>
    <row r="11794" ht="15.75" customHeight="1">
      <c r="A11794" s="7"/>
      <c r="B11794" s="7"/>
      <c r="M11794" s="9" t="s">
        <v>33</v>
      </c>
    </row>
    <row r="11795" ht="15.75" customHeight="1">
      <c r="A11795" s="7"/>
      <c r="B11795" s="7"/>
      <c r="M11795" s="9" t="s">
        <v>30</v>
      </c>
    </row>
    <row r="11796" ht="15.75" customHeight="1">
      <c r="A11796" s="7"/>
      <c r="B11796" s="7"/>
      <c r="M11796" s="9" t="s">
        <v>24</v>
      </c>
    </row>
    <row r="11797" ht="15.75" customHeight="1">
      <c r="A11797" s="7"/>
      <c r="B11797" s="7"/>
      <c r="M11797" s="9" t="s">
        <v>21</v>
      </c>
    </row>
    <row r="11798" ht="15.75" customHeight="1">
      <c r="A11798" s="7"/>
      <c r="B11798" s="7"/>
      <c r="M11798" s="9" t="s">
        <v>38</v>
      </c>
    </row>
    <row r="11799" ht="15.75" customHeight="1">
      <c r="A11799" s="7"/>
      <c r="B11799" s="7"/>
      <c r="M11799" s="9" t="s">
        <v>25</v>
      </c>
    </row>
    <row r="11800" ht="15.75" customHeight="1">
      <c r="A11800" s="7"/>
      <c r="B11800" s="7"/>
      <c r="M11800" s="9" t="s">
        <v>23</v>
      </c>
    </row>
    <row r="11801" ht="15.75" customHeight="1">
      <c r="A11801" s="7"/>
      <c r="B11801" s="7"/>
      <c r="M11801" s="9" t="s">
        <v>22</v>
      </c>
    </row>
    <row r="11802" ht="15.75" customHeight="1">
      <c r="A11802" s="7"/>
      <c r="B11802" s="7"/>
      <c r="M11802" s="9" t="s">
        <v>20</v>
      </c>
    </row>
    <row r="11803" ht="15.75" customHeight="1">
      <c r="A11803" s="7"/>
      <c r="B11803" s="7"/>
      <c r="M11803" s="9" t="s">
        <v>37</v>
      </c>
    </row>
    <row r="11804" ht="15.75" customHeight="1">
      <c r="A11804" s="7"/>
      <c r="B11804" s="7"/>
      <c r="M11804" s="9" t="s">
        <v>22</v>
      </c>
    </row>
    <row r="11805" ht="15.75" customHeight="1">
      <c r="A11805" s="7"/>
      <c r="B11805" s="7"/>
      <c r="M11805" s="9" t="s">
        <v>27</v>
      </c>
    </row>
    <row r="11806" ht="15.75" customHeight="1">
      <c r="A11806" s="7"/>
      <c r="B11806" s="7"/>
      <c r="M11806" s="9" t="s">
        <v>27</v>
      </c>
    </row>
    <row r="11807" ht="15.75" customHeight="1">
      <c r="A11807" s="7"/>
      <c r="B11807" s="7"/>
      <c r="M11807" s="9" t="s">
        <v>35</v>
      </c>
    </row>
    <row r="11808" ht="15.75" customHeight="1">
      <c r="A11808" s="7"/>
      <c r="B11808" s="7"/>
      <c r="M11808" s="9" t="s">
        <v>30</v>
      </c>
    </row>
    <row r="11809" ht="15.75" customHeight="1">
      <c r="A11809" s="7"/>
      <c r="B11809" s="7"/>
      <c r="M11809" s="9" t="s">
        <v>26</v>
      </c>
    </row>
    <row r="11810" ht="15.75" customHeight="1">
      <c r="A11810" s="7"/>
      <c r="B11810" s="7"/>
      <c r="M11810" s="9" t="s">
        <v>24</v>
      </c>
    </row>
    <row r="11811" ht="15.75" customHeight="1">
      <c r="A11811" s="7"/>
      <c r="B11811" s="7"/>
      <c r="M11811" s="9" t="s">
        <v>21</v>
      </c>
    </row>
    <row r="11812" ht="15.75" customHeight="1">
      <c r="A11812" s="7"/>
      <c r="B11812" s="7"/>
      <c r="M11812" s="9" t="s">
        <v>27</v>
      </c>
    </row>
    <row r="11813" ht="15.75" customHeight="1">
      <c r="A11813" s="7"/>
      <c r="B11813" s="7"/>
      <c r="M11813" s="9" t="s">
        <v>35</v>
      </c>
    </row>
    <row r="11814" ht="15.75" customHeight="1">
      <c r="A11814" s="7"/>
      <c r="B11814" s="7"/>
      <c r="M11814" s="9" t="s">
        <v>30</v>
      </c>
    </row>
    <row r="11815" ht="15.75" customHeight="1">
      <c r="A11815" s="7"/>
      <c r="B11815" s="7"/>
      <c r="M11815" s="9" t="s">
        <v>24</v>
      </c>
    </row>
    <row r="11816" ht="15.75" customHeight="1">
      <c r="A11816" s="7"/>
      <c r="B11816" s="7"/>
      <c r="M11816" s="9" t="s">
        <v>21</v>
      </c>
    </row>
    <row r="11817" ht="15.75" customHeight="1">
      <c r="A11817" s="7"/>
      <c r="B11817" s="7"/>
      <c r="M11817" s="9" t="s">
        <v>41</v>
      </c>
    </row>
    <row r="11818" ht="15.75" customHeight="1">
      <c r="A11818" s="7"/>
      <c r="B11818" s="7"/>
      <c r="M11818" s="9" t="s">
        <v>37</v>
      </c>
    </row>
    <row r="11819" ht="15.75" customHeight="1">
      <c r="A11819" s="7"/>
      <c r="B11819" s="7"/>
      <c r="M11819" s="9" t="s">
        <v>22</v>
      </c>
    </row>
    <row r="11820" ht="15.75" customHeight="1">
      <c r="A11820" s="7"/>
      <c r="B11820" s="7"/>
      <c r="M11820" s="9" t="s">
        <v>31</v>
      </c>
    </row>
    <row r="11821" ht="15.75" customHeight="1">
      <c r="A11821" s="7"/>
      <c r="B11821" s="7"/>
      <c r="M11821" s="9" t="s">
        <v>27</v>
      </c>
    </row>
    <row r="11822" ht="15.75" customHeight="1">
      <c r="A11822" s="7"/>
      <c r="B11822" s="7"/>
      <c r="M11822" s="9" t="s">
        <v>40</v>
      </c>
    </row>
    <row r="11823" ht="15.75" customHeight="1">
      <c r="A11823" s="7"/>
      <c r="B11823" s="7"/>
      <c r="M11823" s="9" t="s">
        <v>36</v>
      </c>
    </row>
    <row r="11824" ht="15.75" customHeight="1">
      <c r="A11824" s="7"/>
      <c r="B11824" s="7"/>
      <c r="M11824" s="9" t="s">
        <v>24</v>
      </c>
    </row>
    <row r="11825" ht="15.75" customHeight="1">
      <c r="A11825" s="7"/>
      <c r="B11825" s="7"/>
      <c r="M11825" s="9" t="s">
        <v>21</v>
      </c>
    </row>
    <row r="11826" ht="15.75" customHeight="1">
      <c r="A11826" s="7"/>
      <c r="B11826" s="7"/>
      <c r="M11826" s="9" t="s">
        <v>37</v>
      </c>
    </row>
    <row r="11827" ht="15.75" customHeight="1">
      <c r="A11827" s="7"/>
      <c r="B11827" s="7"/>
      <c r="M11827" s="9" t="s">
        <v>27</v>
      </c>
    </row>
    <row r="11828" ht="15.75" customHeight="1">
      <c r="A11828" s="7"/>
      <c r="B11828" s="7"/>
      <c r="M11828" s="9" t="s">
        <v>24</v>
      </c>
    </row>
    <row r="11829" ht="15.75" customHeight="1">
      <c r="A11829" s="7"/>
      <c r="B11829" s="7"/>
      <c r="M11829" s="9" t="s">
        <v>21</v>
      </c>
    </row>
    <row r="11830" ht="15.75" customHeight="1">
      <c r="A11830" s="7"/>
      <c r="B11830" s="7"/>
      <c r="M11830" s="9" t="s">
        <v>26</v>
      </c>
    </row>
    <row r="11831" ht="15.75" customHeight="1">
      <c r="A11831" s="7"/>
      <c r="B11831" s="7"/>
      <c r="M11831" s="9" t="s">
        <v>21</v>
      </c>
    </row>
    <row r="11832" ht="15.75" customHeight="1">
      <c r="A11832" s="7"/>
      <c r="B11832" s="7"/>
      <c r="M11832" s="9" t="s">
        <v>35</v>
      </c>
    </row>
    <row r="11833" ht="15.75" customHeight="1">
      <c r="A11833" s="7"/>
      <c r="B11833" s="7"/>
      <c r="M11833" s="9" t="s">
        <v>30</v>
      </c>
    </row>
    <row r="11834" ht="15.75" customHeight="1">
      <c r="A11834" s="7"/>
      <c r="B11834" s="7"/>
      <c r="M11834" s="9" t="s">
        <v>24</v>
      </c>
    </row>
    <row r="11835" ht="15.75" customHeight="1">
      <c r="A11835" s="7"/>
      <c r="B11835" s="7"/>
      <c r="M11835" s="9" t="s">
        <v>20</v>
      </c>
    </row>
    <row r="11836" ht="15.75" customHeight="1">
      <c r="A11836" s="7"/>
      <c r="B11836" s="7"/>
      <c r="M11836" s="9" t="s">
        <v>21</v>
      </c>
    </row>
    <row r="11837" ht="15.75" customHeight="1">
      <c r="A11837" s="7"/>
      <c r="B11837" s="7"/>
      <c r="M11837" s="9" t="s">
        <v>37</v>
      </c>
    </row>
    <row r="11838" ht="15.75" customHeight="1">
      <c r="A11838" s="7"/>
      <c r="B11838" s="7"/>
      <c r="M11838" s="9" t="s">
        <v>27</v>
      </c>
    </row>
    <row r="11839" ht="15.75" customHeight="1">
      <c r="A11839" s="7"/>
      <c r="B11839" s="7"/>
      <c r="M11839" s="9" t="s">
        <v>24</v>
      </c>
    </row>
    <row r="11840" ht="15.75" customHeight="1">
      <c r="A11840" s="7"/>
      <c r="B11840" s="7"/>
      <c r="M11840" s="9" t="s">
        <v>21</v>
      </c>
    </row>
    <row r="11841" ht="15.75" customHeight="1">
      <c r="A11841" s="7"/>
      <c r="B11841" s="7"/>
      <c r="M11841" s="9" t="s">
        <v>37</v>
      </c>
    </row>
    <row r="11842" ht="15.75" customHeight="1">
      <c r="A11842" s="7"/>
      <c r="B11842" s="7"/>
      <c r="M11842" s="9" t="s">
        <v>22</v>
      </c>
    </row>
    <row r="11843" ht="15.75" customHeight="1">
      <c r="A11843" s="7"/>
      <c r="B11843" s="7"/>
      <c r="M11843" s="9" t="s">
        <v>27</v>
      </c>
    </row>
    <row r="11844" ht="15.75" customHeight="1">
      <c r="A11844" s="7"/>
      <c r="B11844" s="7"/>
      <c r="M11844" s="9" t="s">
        <v>20</v>
      </c>
    </row>
    <row r="11845" ht="15.75" customHeight="1">
      <c r="A11845" s="7"/>
      <c r="B11845" s="7"/>
      <c r="M11845" s="9" t="s">
        <v>30</v>
      </c>
    </row>
    <row r="11846" ht="15.75" customHeight="1">
      <c r="A11846" s="7"/>
      <c r="B11846" s="7"/>
      <c r="M11846" s="9" t="s">
        <v>21</v>
      </c>
    </row>
    <row r="11847" ht="15.75" customHeight="1">
      <c r="A11847" s="7"/>
      <c r="B11847" s="7"/>
      <c r="M11847" s="9" t="s">
        <v>22</v>
      </c>
    </row>
    <row r="11848" ht="15.75" customHeight="1">
      <c r="A11848" s="7"/>
      <c r="B11848" s="7"/>
      <c r="M11848" s="9" t="s">
        <v>40</v>
      </c>
    </row>
    <row r="11849" ht="15.75" customHeight="1">
      <c r="A11849" s="7"/>
      <c r="B11849" s="7"/>
      <c r="M11849" s="9" t="s">
        <v>28</v>
      </c>
    </row>
    <row r="11850" ht="15.75" customHeight="1">
      <c r="A11850" s="7"/>
      <c r="B11850" s="7"/>
      <c r="M11850" s="9" t="s">
        <v>23</v>
      </c>
    </row>
    <row r="11851" ht="15.75" customHeight="1">
      <c r="A11851" s="7"/>
      <c r="B11851" s="7"/>
      <c r="M11851" s="9" t="s">
        <v>26</v>
      </c>
    </row>
    <row r="11852" ht="15.75" customHeight="1">
      <c r="A11852" s="7"/>
      <c r="B11852" s="7"/>
      <c r="M11852" s="9" t="s">
        <v>20</v>
      </c>
    </row>
    <row r="11853" ht="15.75" customHeight="1">
      <c r="A11853" s="7"/>
      <c r="B11853" s="7"/>
      <c r="M11853" s="9" t="s">
        <v>21</v>
      </c>
    </row>
    <row r="11854" ht="15.75" customHeight="1">
      <c r="A11854" s="7"/>
      <c r="B11854" s="7"/>
      <c r="M11854" s="9" t="s">
        <v>35</v>
      </c>
    </row>
    <row r="11855" ht="15.75" customHeight="1">
      <c r="A11855" s="7"/>
      <c r="B11855" s="7"/>
      <c r="M11855" s="9" t="s">
        <v>30</v>
      </c>
    </row>
    <row r="11856" ht="15.75" customHeight="1">
      <c r="A11856" s="7"/>
      <c r="B11856" s="7"/>
      <c r="M11856" s="9" t="s">
        <v>20</v>
      </c>
    </row>
    <row r="11857" ht="15.75" customHeight="1">
      <c r="A11857" s="7"/>
      <c r="B11857" s="7"/>
      <c r="M11857" s="9" t="s">
        <v>21</v>
      </c>
    </row>
    <row r="11858" ht="15.75" customHeight="1">
      <c r="A11858" s="7"/>
      <c r="B11858" s="7"/>
      <c r="M11858" s="9" t="s">
        <v>27</v>
      </c>
    </row>
    <row r="11859" ht="15.75" customHeight="1">
      <c r="A11859" s="7"/>
      <c r="B11859" s="7"/>
      <c r="M11859" s="9" t="s">
        <v>24</v>
      </c>
    </row>
    <row r="11860" ht="15.75" customHeight="1">
      <c r="A11860" s="7"/>
      <c r="B11860" s="7"/>
      <c r="M11860" s="9" t="s">
        <v>20</v>
      </c>
    </row>
    <row r="11861" ht="15.75" customHeight="1">
      <c r="A11861" s="7"/>
      <c r="B11861" s="7"/>
      <c r="M11861" s="9" t="s">
        <v>21</v>
      </c>
    </row>
    <row r="11862" ht="15.75" customHeight="1">
      <c r="A11862" s="7"/>
      <c r="B11862" s="7"/>
      <c r="M11862" s="9" t="s">
        <v>37</v>
      </c>
    </row>
    <row r="11863" ht="15.75" customHeight="1">
      <c r="A11863" s="7"/>
      <c r="B11863" s="7"/>
      <c r="M11863" s="9" t="s">
        <v>27</v>
      </c>
    </row>
    <row r="11864" ht="15.75" customHeight="1">
      <c r="A11864" s="7"/>
      <c r="B11864" s="7"/>
      <c r="M11864" s="9" t="s">
        <v>33</v>
      </c>
    </row>
    <row r="11865" ht="15.75" customHeight="1">
      <c r="A11865" s="7"/>
      <c r="B11865" s="7"/>
      <c r="M11865" s="9" t="s">
        <v>36</v>
      </c>
    </row>
    <row r="11866" ht="15.75" customHeight="1">
      <c r="A11866" s="7"/>
      <c r="B11866" s="7"/>
      <c r="M11866" s="9" t="s">
        <v>24</v>
      </c>
    </row>
    <row r="11867" ht="15.75" customHeight="1">
      <c r="A11867" s="7"/>
      <c r="B11867" s="7"/>
      <c r="M11867" s="9" t="s">
        <v>21</v>
      </c>
    </row>
    <row r="11868" ht="15.75" customHeight="1">
      <c r="A11868" s="7"/>
      <c r="B11868" s="7"/>
      <c r="M11868" s="9" t="s">
        <v>33</v>
      </c>
    </row>
    <row r="11869" ht="15.75" customHeight="1">
      <c r="A11869" s="7"/>
      <c r="B11869" s="7"/>
      <c r="M11869" s="9" t="s">
        <v>23</v>
      </c>
    </row>
    <row r="11870" ht="15.75" customHeight="1">
      <c r="A11870" s="7"/>
      <c r="B11870" s="7"/>
      <c r="M11870" s="9" t="s">
        <v>20</v>
      </c>
    </row>
    <row r="11871" ht="15.75" customHeight="1">
      <c r="A11871" s="7"/>
      <c r="B11871" s="7"/>
      <c r="M11871" s="9" t="s">
        <v>35</v>
      </c>
    </row>
    <row r="11872" ht="15.75" customHeight="1">
      <c r="A11872" s="7"/>
      <c r="B11872" s="7"/>
      <c r="M11872" s="9" t="s">
        <v>22</v>
      </c>
    </row>
    <row r="11873" ht="15.75" customHeight="1">
      <c r="A11873" s="7"/>
      <c r="B11873" s="7"/>
      <c r="M11873" s="9" t="s">
        <v>29</v>
      </c>
    </row>
    <row r="11874" ht="15.75" customHeight="1">
      <c r="A11874" s="7"/>
      <c r="B11874" s="7"/>
      <c r="M11874" s="9" t="s">
        <v>27</v>
      </c>
    </row>
    <row r="11875" ht="15.75" customHeight="1">
      <c r="A11875" s="7"/>
      <c r="B11875" s="7"/>
      <c r="M11875" s="9" t="s">
        <v>22</v>
      </c>
    </row>
    <row r="11876" ht="15.75" customHeight="1">
      <c r="A11876" s="7"/>
      <c r="B11876" s="7"/>
      <c r="M11876" s="9" t="s">
        <v>29</v>
      </c>
    </row>
    <row r="11877" ht="15.75" customHeight="1">
      <c r="A11877" s="7"/>
      <c r="B11877" s="7"/>
      <c r="M11877" s="9" t="s">
        <v>27</v>
      </c>
    </row>
    <row r="11878" ht="15.75" customHeight="1">
      <c r="A11878" s="7"/>
      <c r="B11878" s="7"/>
      <c r="M11878" s="9" t="s">
        <v>21</v>
      </c>
    </row>
    <row r="11879" ht="15.75" customHeight="1">
      <c r="A11879" s="7"/>
      <c r="B11879" s="7"/>
      <c r="M11879" s="9" t="s">
        <v>31</v>
      </c>
    </row>
    <row r="11880" ht="15.75" customHeight="1">
      <c r="A11880" s="7"/>
      <c r="B11880" s="7"/>
      <c r="M11880" s="9" t="s">
        <v>30</v>
      </c>
    </row>
    <row r="11881" ht="15.75" customHeight="1">
      <c r="A11881" s="7"/>
      <c r="B11881" s="7"/>
      <c r="M11881" s="9" t="s">
        <v>25</v>
      </c>
    </row>
    <row r="11882" ht="15.75" customHeight="1">
      <c r="A11882" s="7"/>
      <c r="B11882" s="7"/>
      <c r="M11882" s="9" t="s">
        <v>26</v>
      </c>
    </row>
    <row r="11883" ht="15.75" customHeight="1">
      <c r="A11883" s="7"/>
      <c r="B11883" s="7"/>
      <c r="M11883" s="9" t="s">
        <v>24</v>
      </c>
    </row>
    <row r="11884" ht="15.75" customHeight="1">
      <c r="A11884" s="7"/>
      <c r="B11884" s="7"/>
      <c r="M11884" s="9" t="s">
        <v>20</v>
      </c>
    </row>
    <row r="11885" ht="15.75" customHeight="1">
      <c r="A11885" s="7"/>
      <c r="B11885" s="7"/>
      <c r="M11885" s="9" t="s">
        <v>21</v>
      </c>
    </row>
    <row r="11886" ht="15.75" customHeight="1">
      <c r="A11886" s="7"/>
      <c r="B11886" s="7"/>
      <c r="M11886" s="9" t="s">
        <v>22</v>
      </c>
    </row>
    <row r="11887" ht="15.75" customHeight="1">
      <c r="A11887" s="7"/>
      <c r="B11887" s="7"/>
      <c r="M11887" s="9" t="s">
        <v>31</v>
      </c>
    </row>
    <row r="11888" ht="15.75" customHeight="1">
      <c r="A11888" s="7"/>
      <c r="B11888" s="7"/>
      <c r="M11888" s="9" t="s">
        <v>27</v>
      </c>
    </row>
    <row r="11889" ht="15.75" customHeight="1">
      <c r="A11889" s="7"/>
      <c r="B11889" s="7"/>
      <c r="M11889" s="9" t="s">
        <v>33</v>
      </c>
    </row>
    <row r="11890" ht="15.75" customHeight="1">
      <c r="A11890" s="7"/>
      <c r="B11890" s="7"/>
      <c r="M11890" s="9" t="s">
        <v>30</v>
      </c>
    </row>
    <row r="11891" ht="15.75" customHeight="1">
      <c r="A11891" s="7"/>
      <c r="B11891" s="7"/>
      <c r="M11891" s="9" t="s">
        <v>24</v>
      </c>
    </row>
    <row r="11892" ht="15.75" customHeight="1">
      <c r="A11892" s="7"/>
      <c r="B11892" s="7"/>
      <c r="M11892" s="9" t="s">
        <v>20</v>
      </c>
    </row>
    <row r="11893" ht="15.75" customHeight="1">
      <c r="A11893" s="7"/>
      <c r="B11893" s="7"/>
      <c r="M11893" s="9" t="s">
        <v>21</v>
      </c>
    </row>
    <row r="11894" ht="15.75" customHeight="1">
      <c r="A11894" s="7"/>
      <c r="B11894" s="7"/>
      <c r="M11894" s="9" t="s">
        <v>37</v>
      </c>
    </row>
    <row r="11895" ht="15.75" customHeight="1">
      <c r="A11895" s="7"/>
      <c r="B11895" s="7"/>
      <c r="M11895" s="9" t="s">
        <v>22</v>
      </c>
    </row>
    <row r="11896" ht="15.75" customHeight="1">
      <c r="A11896" s="7"/>
      <c r="B11896" s="7"/>
      <c r="M11896" s="9" t="s">
        <v>27</v>
      </c>
    </row>
    <row r="11897" ht="15.75" customHeight="1">
      <c r="A11897" s="7"/>
      <c r="B11897" s="7"/>
      <c r="M11897" s="9" t="s">
        <v>24</v>
      </c>
    </row>
    <row r="11898" ht="15.75" customHeight="1">
      <c r="A11898" s="7"/>
      <c r="B11898" s="7"/>
      <c r="M11898" s="9" t="s">
        <v>21</v>
      </c>
    </row>
    <row r="11899" ht="15.75" customHeight="1">
      <c r="A11899" s="7"/>
      <c r="B11899" s="7"/>
      <c r="M11899" s="9" t="s">
        <v>31</v>
      </c>
    </row>
    <row r="11900" ht="15.75" customHeight="1">
      <c r="A11900" s="7"/>
      <c r="B11900" s="7"/>
      <c r="M11900" s="9" t="s">
        <v>21</v>
      </c>
    </row>
    <row r="11901" ht="15.75" customHeight="1">
      <c r="A11901" s="7"/>
      <c r="B11901" s="7"/>
      <c r="M11901" s="9" t="s">
        <v>31</v>
      </c>
    </row>
    <row r="11902" ht="15.75" customHeight="1">
      <c r="A11902" s="7"/>
      <c r="B11902" s="7"/>
      <c r="M11902" s="9" t="s">
        <v>27</v>
      </c>
    </row>
    <row r="11903" ht="15.75" customHeight="1">
      <c r="A11903" s="7"/>
      <c r="B11903" s="7"/>
      <c r="M11903" s="9" t="s">
        <v>40</v>
      </c>
    </row>
    <row r="11904" ht="15.75" customHeight="1">
      <c r="A11904" s="7"/>
      <c r="B11904" s="7"/>
      <c r="M11904" s="9" t="s">
        <v>33</v>
      </c>
    </row>
    <row r="11905" ht="15.75" customHeight="1">
      <c r="A11905" s="7"/>
      <c r="B11905" s="7"/>
      <c r="M11905" s="9" t="s">
        <v>37</v>
      </c>
    </row>
    <row r="11906" ht="15.75" customHeight="1">
      <c r="A11906" s="7"/>
      <c r="B11906" s="7"/>
      <c r="M11906" s="9" t="s">
        <v>27</v>
      </c>
    </row>
    <row r="11907" ht="15.75" customHeight="1">
      <c r="A11907" s="7"/>
      <c r="B11907" s="7"/>
      <c r="M11907" s="9" t="s">
        <v>30</v>
      </c>
    </row>
    <row r="11908" ht="15.75" customHeight="1">
      <c r="A11908" s="7"/>
      <c r="B11908" s="7"/>
      <c r="M11908" s="9" t="s">
        <v>36</v>
      </c>
    </row>
    <row r="11909" ht="15.75" customHeight="1">
      <c r="A11909" s="7"/>
      <c r="B11909" s="7"/>
      <c r="M11909" s="9" t="s">
        <v>21</v>
      </c>
    </row>
    <row r="11910" ht="15.75" customHeight="1">
      <c r="A11910" s="7"/>
      <c r="B11910" s="7"/>
      <c r="M11910" s="9" t="s">
        <v>22</v>
      </c>
    </row>
    <row r="11911" ht="15.75" customHeight="1">
      <c r="A11911" s="7"/>
      <c r="B11911" s="7"/>
      <c r="M11911" s="9" t="s">
        <v>32</v>
      </c>
    </row>
    <row r="11912" ht="15.75" customHeight="1">
      <c r="A11912" s="7"/>
      <c r="B11912" s="7"/>
      <c r="M11912" s="9" t="s">
        <v>22</v>
      </c>
    </row>
    <row r="11913" ht="15.75" customHeight="1">
      <c r="A11913" s="7"/>
      <c r="B11913" s="7"/>
      <c r="M11913" s="9" t="s">
        <v>30</v>
      </c>
    </row>
    <row r="11914" ht="15.75" customHeight="1">
      <c r="A11914" s="7"/>
      <c r="B11914" s="7"/>
      <c r="M11914" s="9" t="s">
        <v>21</v>
      </c>
    </row>
    <row r="11915" ht="15.75" customHeight="1">
      <c r="A11915" s="7"/>
      <c r="B11915" s="7"/>
      <c r="M11915" s="9" t="s">
        <v>29</v>
      </c>
    </row>
    <row r="11916" ht="15.75" customHeight="1">
      <c r="A11916" s="7"/>
      <c r="B11916" s="7"/>
      <c r="M11916" s="9" t="s">
        <v>27</v>
      </c>
    </row>
    <row r="11917" ht="15.75" customHeight="1">
      <c r="A11917" s="7"/>
      <c r="B11917" s="7"/>
      <c r="M11917" s="9" t="s">
        <v>36</v>
      </c>
    </row>
    <row r="11918" ht="15.75" customHeight="1">
      <c r="A11918" s="7"/>
      <c r="B11918" s="7"/>
      <c r="M11918" s="9" t="s">
        <v>24</v>
      </c>
    </row>
    <row r="11919" ht="15.75" customHeight="1">
      <c r="A11919" s="7"/>
      <c r="B11919" s="7"/>
      <c r="M11919" s="9" t="s">
        <v>21</v>
      </c>
    </row>
    <row r="11920" ht="15.75" customHeight="1">
      <c r="A11920" s="7"/>
      <c r="B11920" s="7"/>
      <c r="M11920" s="9" t="s">
        <v>37</v>
      </c>
    </row>
    <row r="11921" ht="15.75" customHeight="1">
      <c r="A11921" s="7"/>
      <c r="B11921" s="7"/>
      <c r="M11921" s="9" t="s">
        <v>31</v>
      </c>
    </row>
    <row r="11922" ht="15.75" customHeight="1">
      <c r="A11922" s="7"/>
      <c r="B11922" s="7"/>
      <c r="M11922" s="9" t="s">
        <v>27</v>
      </c>
    </row>
    <row r="11923" ht="15.75" customHeight="1">
      <c r="A11923" s="7"/>
      <c r="B11923" s="7"/>
      <c r="M11923" s="9" t="s">
        <v>33</v>
      </c>
    </row>
    <row r="11924" ht="15.75" customHeight="1">
      <c r="A11924" s="7"/>
      <c r="B11924" s="7"/>
      <c r="M11924" s="9" t="s">
        <v>21</v>
      </c>
    </row>
    <row r="11925" ht="15.75" customHeight="1">
      <c r="A11925" s="7"/>
      <c r="B11925" s="7"/>
      <c r="M11925" s="9" t="s">
        <v>22</v>
      </c>
    </row>
    <row r="11926" ht="15.75" customHeight="1">
      <c r="A11926" s="7"/>
      <c r="B11926" s="7"/>
      <c r="M11926" s="9" t="s">
        <v>24</v>
      </c>
    </row>
    <row r="11927" ht="15.75" customHeight="1">
      <c r="A11927" s="7"/>
      <c r="B11927" s="7"/>
      <c r="M11927" s="9" t="s">
        <v>33</v>
      </c>
    </row>
    <row r="11928" ht="15.75" customHeight="1">
      <c r="A11928" s="7"/>
      <c r="B11928" s="7"/>
      <c r="M11928" s="9" t="s">
        <v>30</v>
      </c>
    </row>
    <row r="11929" ht="15.75" customHeight="1">
      <c r="A11929" s="7"/>
      <c r="B11929" s="7"/>
      <c r="M11929" s="9" t="s">
        <v>23</v>
      </c>
    </row>
    <row r="11930" ht="15.75" customHeight="1">
      <c r="A11930" s="7"/>
      <c r="B11930" s="7"/>
      <c r="M11930" s="9" t="s">
        <v>24</v>
      </c>
    </row>
    <row r="11931" ht="15.75" customHeight="1">
      <c r="A11931" s="7"/>
      <c r="B11931" s="7"/>
      <c r="M11931" s="9" t="s">
        <v>22</v>
      </c>
    </row>
    <row r="11932" ht="15.75" customHeight="1">
      <c r="A11932" s="7"/>
      <c r="B11932" s="7"/>
      <c r="M11932" s="9" t="s">
        <v>46</v>
      </c>
    </row>
    <row r="11933" ht="15.75" customHeight="1">
      <c r="A11933" s="7"/>
      <c r="B11933" s="7"/>
      <c r="M11933" s="9" t="s">
        <v>30</v>
      </c>
    </row>
    <row r="11934" ht="15.75" customHeight="1">
      <c r="A11934" s="7"/>
      <c r="B11934" s="7"/>
      <c r="M11934" s="9" t="s">
        <v>21</v>
      </c>
    </row>
    <row r="11935" ht="15.75" customHeight="1">
      <c r="A11935" s="7"/>
      <c r="B11935" s="7"/>
      <c r="M11935" s="9" t="s">
        <v>22</v>
      </c>
    </row>
    <row r="11936" ht="15.75" customHeight="1">
      <c r="A11936" s="7"/>
      <c r="B11936" s="7"/>
      <c r="M11936" s="9" t="s">
        <v>30</v>
      </c>
    </row>
    <row r="11937" ht="15.75" customHeight="1">
      <c r="A11937" s="7"/>
      <c r="B11937" s="7"/>
      <c r="M11937" s="9" t="s">
        <v>26</v>
      </c>
    </row>
    <row r="11938" ht="15.75" customHeight="1">
      <c r="A11938" s="7"/>
      <c r="B11938" s="7"/>
      <c r="M11938" s="9" t="s">
        <v>24</v>
      </c>
    </row>
    <row r="11939" ht="15.75" customHeight="1">
      <c r="A11939" s="7"/>
      <c r="B11939" s="7"/>
      <c r="M11939" s="9" t="s">
        <v>21</v>
      </c>
    </row>
    <row r="11940" ht="15.75" customHeight="1">
      <c r="A11940" s="7"/>
      <c r="B11940" s="7"/>
      <c r="M11940" s="9" t="s">
        <v>27</v>
      </c>
    </row>
    <row r="11941" ht="15.75" customHeight="1">
      <c r="A11941" s="7"/>
      <c r="B11941" s="7"/>
      <c r="M11941" s="9" t="s">
        <v>21</v>
      </c>
    </row>
    <row r="11942" ht="15.75" customHeight="1">
      <c r="A11942" s="7"/>
      <c r="B11942" s="7"/>
      <c r="M11942" s="9" t="s">
        <v>37</v>
      </c>
    </row>
    <row r="11943" ht="15.75" customHeight="1">
      <c r="A11943" s="7"/>
      <c r="B11943" s="7"/>
      <c r="M11943" s="9" t="s">
        <v>27</v>
      </c>
    </row>
    <row r="11944" ht="15.75" customHeight="1">
      <c r="A11944" s="7"/>
      <c r="B11944" s="7"/>
      <c r="M11944" s="9" t="s">
        <v>33</v>
      </c>
    </row>
    <row r="11945" ht="15.75" customHeight="1">
      <c r="A11945" s="7"/>
      <c r="B11945" s="7"/>
      <c r="M11945" s="9" t="s">
        <v>44</v>
      </c>
    </row>
    <row r="11946" ht="15.75" customHeight="1">
      <c r="A11946" s="7"/>
      <c r="B11946" s="7"/>
      <c r="M11946" s="9" t="s">
        <v>20</v>
      </c>
    </row>
    <row r="11947" ht="15.75" customHeight="1">
      <c r="A11947" s="7"/>
      <c r="B11947" s="7"/>
      <c r="M11947" s="9" t="s">
        <v>22</v>
      </c>
    </row>
    <row r="11948" ht="15.75" customHeight="1">
      <c r="A11948" s="7"/>
      <c r="B11948" s="7"/>
      <c r="M11948" s="9" t="s">
        <v>27</v>
      </c>
    </row>
    <row r="11949" ht="15.75" customHeight="1">
      <c r="A11949" s="7"/>
      <c r="B11949" s="7"/>
      <c r="M11949" s="9" t="s">
        <v>30</v>
      </c>
    </row>
    <row r="11950" ht="15.75" customHeight="1">
      <c r="A11950" s="7"/>
      <c r="B11950" s="7"/>
      <c r="M11950" s="9" t="s">
        <v>20</v>
      </c>
    </row>
    <row r="11951" ht="15.75" customHeight="1">
      <c r="A11951" s="7"/>
      <c r="B11951" s="7"/>
      <c r="M11951" s="9" t="s">
        <v>30</v>
      </c>
    </row>
    <row r="11952" ht="15.75" customHeight="1">
      <c r="A11952" s="7"/>
      <c r="B11952" s="7"/>
      <c r="M11952" s="9" t="s">
        <v>26</v>
      </c>
    </row>
    <row r="11953" ht="15.75" customHeight="1">
      <c r="A11953" s="7"/>
      <c r="B11953" s="7"/>
      <c r="M11953" s="9" t="s">
        <v>24</v>
      </c>
    </row>
    <row r="11954" ht="15.75" customHeight="1">
      <c r="A11954" s="7"/>
      <c r="B11954" s="7"/>
      <c r="M11954" s="9" t="s">
        <v>21</v>
      </c>
    </row>
    <row r="11955" ht="15.75" customHeight="1">
      <c r="A11955" s="7"/>
      <c r="B11955" s="7"/>
      <c r="M11955" s="9" t="s">
        <v>22</v>
      </c>
    </row>
    <row r="11956" ht="15.75" customHeight="1">
      <c r="A11956" s="7"/>
      <c r="B11956" s="7"/>
      <c r="M11956" s="9" t="s">
        <v>46</v>
      </c>
    </row>
    <row r="11957" ht="15.75" customHeight="1">
      <c r="A11957" s="7"/>
      <c r="B11957" s="7"/>
      <c r="M11957" s="9" t="s">
        <v>30</v>
      </c>
    </row>
    <row r="11958" ht="15.75" customHeight="1">
      <c r="A11958" s="7"/>
      <c r="B11958" s="7"/>
      <c r="M11958" s="9" t="s">
        <v>36</v>
      </c>
    </row>
    <row r="11959" ht="15.75" customHeight="1">
      <c r="A11959" s="7"/>
      <c r="B11959" s="7"/>
      <c r="M11959" s="9" t="s">
        <v>22</v>
      </c>
    </row>
    <row r="11960" ht="15.75" customHeight="1">
      <c r="A11960" s="7"/>
      <c r="B11960" s="7"/>
      <c r="M11960" s="9" t="s">
        <v>31</v>
      </c>
    </row>
    <row r="11961" ht="15.75" customHeight="1">
      <c r="A11961" s="7"/>
      <c r="B11961" s="7"/>
      <c r="M11961" s="9" t="s">
        <v>38</v>
      </c>
    </row>
    <row r="11962" ht="15.75" customHeight="1">
      <c r="A11962" s="7"/>
      <c r="B11962" s="7"/>
      <c r="M11962" s="9" t="s">
        <v>30</v>
      </c>
    </row>
    <row r="11963" ht="15.75" customHeight="1">
      <c r="A11963" s="7"/>
      <c r="B11963" s="7"/>
      <c r="M11963" s="9" t="s">
        <v>25</v>
      </c>
    </row>
    <row r="11964" ht="15.75" customHeight="1">
      <c r="A11964" s="7"/>
      <c r="B11964" s="7"/>
      <c r="M11964" s="9" t="s">
        <v>24</v>
      </c>
    </row>
    <row r="11965" ht="15.75" customHeight="1">
      <c r="A11965" s="7"/>
      <c r="B11965" s="7"/>
      <c r="M11965" s="9" t="s">
        <v>20</v>
      </c>
    </row>
    <row r="11966" ht="15.75" customHeight="1">
      <c r="A11966" s="7"/>
      <c r="B11966" s="7"/>
      <c r="M11966" s="9" t="s">
        <v>21</v>
      </c>
    </row>
    <row r="11967" ht="15.75" customHeight="1">
      <c r="A11967" s="7"/>
      <c r="B11967" s="7"/>
      <c r="M11967" s="9" t="s">
        <v>22</v>
      </c>
    </row>
    <row r="11968" ht="15.75" customHeight="1">
      <c r="A11968" s="7"/>
      <c r="B11968" s="7"/>
      <c r="M11968" s="9" t="s">
        <v>28</v>
      </c>
    </row>
    <row r="11969" ht="15.75" customHeight="1">
      <c r="A11969" s="7"/>
      <c r="B11969" s="7"/>
      <c r="M11969" s="9" t="s">
        <v>30</v>
      </c>
    </row>
    <row r="11970" ht="15.75" customHeight="1">
      <c r="A11970" s="7"/>
      <c r="B11970" s="7"/>
      <c r="M11970" s="9" t="s">
        <v>26</v>
      </c>
    </row>
    <row r="11971" ht="15.75" customHeight="1">
      <c r="A11971" s="7"/>
      <c r="B11971" s="7"/>
      <c r="M11971" s="9" t="s">
        <v>36</v>
      </c>
    </row>
    <row r="11972" ht="15.75" customHeight="1">
      <c r="A11972" s="7"/>
      <c r="B11972" s="7"/>
      <c r="M11972" s="9" t="s">
        <v>37</v>
      </c>
    </row>
    <row r="11973" ht="15.75" customHeight="1">
      <c r="A11973" s="7"/>
      <c r="B11973" s="7"/>
      <c r="M11973" s="9" t="s">
        <v>22</v>
      </c>
    </row>
    <row r="11974" ht="15.75" customHeight="1">
      <c r="A11974" s="7"/>
      <c r="B11974" s="7"/>
      <c r="M11974" s="9" t="s">
        <v>27</v>
      </c>
    </row>
    <row r="11975" ht="15.75" customHeight="1">
      <c r="A11975" s="7"/>
      <c r="B11975" s="7"/>
      <c r="M11975" s="9" t="s">
        <v>28</v>
      </c>
    </row>
    <row r="11976" ht="15.75" customHeight="1">
      <c r="A11976" s="7"/>
      <c r="B11976" s="7"/>
      <c r="M11976" s="9" t="s">
        <v>24</v>
      </c>
    </row>
    <row r="11977" ht="15.75" customHeight="1">
      <c r="A11977" s="7"/>
      <c r="B11977" s="7"/>
      <c r="M11977" s="9" t="s">
        <v>22</v>
      </c>
    </row>
    <row r="11978" ht="15.75" customHeight="1">
      <c r="A11978" s="7"/>
      <c r="B11978" s="7"/>
      <c r="M11978" s="9" t="s">
        <v>35</v>
      </c>
    </row>
    <row r="11979" ht="15.75" customHeight="1">
      <c r="A11979" s="7"/>
      <c r="B11979" s="7"/>
      <c r="M11979" s="9" t="s">
        <v>22</v>
      </c>
    </row>
    <row r="11980" ht="15.75" customHeight="1">
      <c r="A11980" s="7"/>
      <c r="B11980" s="7"/>
      <c r="M11980" s="9" t="s">
        <v>30</v>
      </c>
    </row>
    <row r="11981" ht="15.75" customHeight="1">
      <c r="A11981" s="7"/>
      <c r="B11981" s="7"/>
      <c r="M11981" s="9" t="s">
        <v>36</v>
      </c>
    </row>
    <row r="11982" ht="15.75" customHeight="1">
      <c r="A11982" s="7"/>
      <c r="B11982" s="7"/>
      <c r="M11982" s="9" t="s">
        <v>21</v>
      </c>
    </row>
    <row r="11983" ht="15.75" customHeight="1">
      <c r="A11983" s="7"/>
      <c r="B11983" s="7"/>
      <c r="M11983" s="9" t="s">
        <v>22</v>
      </c>
    </row>
    <row r="11984" ht="15.75" customHeight="1">
      <c r="A11984" s="7"/>
      <c r="B11984" s="7"/>
      <c r="M11984" s="9" t="s">
        <v>31</v>
      </c>
    </row>
    <row r="11985" ht="15.75" customHeight="1">
      <c r="A11985" s="7"/>
      <c r="B11985" s="7"/>
      <c r="M11985" s="9" t="s">
        <v>27</v>
      </c>
    </row>
    <row r="11986" ht="15.75" customHeight="1">
      <c r="A11986" s="7"/>
      <c r="B11986" s="7"/>
      <c r="M11986" s="9" t="s">
        <v>24</v>
      </c>
    </row>
    <row r="11987" ht="15.75" customHeight="1">
      <c r="A11987" s="7"/>
      <c r="B11987" s="7"/>
      <c r="M11987" s="9" t="s">
        <v>23</v>
      </c>
    </row>
    <row r="11988" ht="15.75" customHeight="1">
      <c r="A11988" s="7"/>
      <c r="B11988" s="7"/>
      <c r="M11988" s="9" t="s">
        <v>20</v>
      </c>
    </row>
    <row r="11989" ht="15.75" customHeight="1">
      <c r="A11989" s="7"/>
      <c r="B11989" s="7"/>
      <c r="M11989" s="9" t="s">
        <v>28</v>
      </c>
    </row>
    <row r="11990" ht="15.75" customHeight="1">
      <c r="A11990" s="7"/>
      <c r="B11990" s="7"/>
      <c r="M11990" s="9" t="s">
        <v>36</v>
      </c>
    </row>
    <row r="11991" ht="15.75" customHeight="1">
      <c r="A11991" s="7"/>
      <c r="B11991" s="7"/>
      <c r="M11991" s="9" t="s">
        <v>24</v>
      </c>
    </row>
    <row r="11992" ht="15.75" customHeight="1">
      <c r="A11992" s="7"/>
      <c r="B11992" s="7"/>
      <c r="M11992" s="9" t="s">
        <v>20</v>
      </c>
    </row>
    <row r="11993" ht="15.75" customHeight="1">
      <c r="A11993" s="7"/>
      <c r="B11993" s="7"/>
      <c r="M11993" s="9" t="s">
        <v>21</v>
      </c>
    </row>
    <row r="11994" ht="15.75" customHeight="1">
      <c r="A11994" s="7"/>
      <c r="B11994" s="7"/>
      <c r="M11994" s="9" t="s">
        <v>30</v>
      </c>
    </row>
    <row r="11995" ht="15.75" customHeight="1">
      <c r="A11995" s="7"/>
      <c r="B11995" s="7"/>
      <c r="M11995" s="9" t="s">
        <v>24</v>
      </c>
    </row>
    <row r="11996" ht="15.75" customHeight="1">
      <c r="A11996" s="7"/>
      <c r="B11996" s="7"/>
      <c r="M11996" s="9" t="s">
        <v>20</v>
      </c>
    </row>
    <row r="11997" ht="15.75" customHeight="1">
      <c r="A11997" s="7"/>
      <c r="B11997" s="7"/>
      <c r="M11997" s="9" t="s">
        <v>21</v>
      </c>
    </row>
    <row r="11998" ht="15.75" customHeight="1">
      <c r="A11998" s="7"/>
      <c r="B11998" s="7"/>
      <c r="M11998" s="9" t="s">
        <v>37</v>
      </c>
    </row>
    <row r="11999" ht="15.75" customHeight="1">
      <c r="A11999" s="7"/>
      <c r="B11999" s="7"/>
      <c r="M11999" s="9" t="s">
        <v>22</v>
      </c>
    </row>
    <row r="12000" ht="15.75" customHeight="1">
      <c r="A12000" s="7"/>
      <c r="B12000" s="7"/>
      <c r="M12000" s="9" t="s">
        <v>46</v>
      </c>
    </row>
    <row r="12001" ht="15.75" customHeight="1">
      <c r="A12001" s="7"/>
      <c r="B12001" s="7"/>
      <c r="M12001" s="9" t="s">
        <v>33</v>
      </c>
    </row>
    <row r="12002" ht="15.75" customHeight="1">
      <c r="A12002" s="7"/>
      <c r="B12002" s="7"/>
      <c r="M12002" s="9" t="s">
        <v>35</v>
      </c>
    </row>
    <row r="12003" ht="15.75" customHeight="1">
      <c r="A12003" s="7"/>
      <c r="B12003" s="7"/>
      <c r="M12003" s="9" t="s">
        <v>30</v>
      </c>
    </row>
    <row r="12004" ht="15.75" customHeight="1">
      <c r="A12004" s="7"/>
      <c r="B12004" s="7"/>
      <c r="M12004" s="9" t="s">
        <v>36</v>
      </c>
    </row>
    <row r="12005" ht="15.75" customHeight="1">
      <c r="A12005" s="7"/>
      <c r="B12005" s="7"/>
      <c r="M12005" s="9" t="s">
        <v>24</v>
      </c>
    </row>
    <row r="12006" ht="15.75" customHeight="1">
      <c r="A12006" s="7"/>
      <c r="B12006" s="7"/>
      <c r="M12006" s="9" t="s">
        <v>21</v>
      </c>
    </row>
    <row r="12007" ht="15.75" customHeight="1">
      <c r="A12007" s="7"/>
      <c r="B12007" s="7"/>
      <c r="M12007" s="9" t="s">
        <v>31</v>
      </c>
    </row>
    <row r="12008" ht="15.75" customHeight="1">
      <c r="A12008" s="7"/>
      <c r="B12008" s="7"/>
      <c r="M12008" s="9" t="s">
        <v>20</v>
      </c>
    </row>
    <row r="12009" ht="15.75" customHeight="1">
      <c r="A12009" s="7"/>
      <c r="B12009" s="7"/>
      <c r="M12009" s="9" t="s">
        <v>21</v>
      </c>
    </row>
    <row r="12010" ht="15.75" customHeight="1">
      <c r="A12010" s="7"/>
      <c r="B12010" s="7"/>
      <c r="M12010" s="9" t="s">
        <v>22</v>
      </c>
    </row>
    <row r="12011" ht="15.75" customHeight="1">
      <c r="A12011" s="7"/>
      <c r="B12011" s="7"/>
      <c r="M12011" s="9" t="s">
        <v>27</v>
      </c>
    </row>
    <row r="12012" ht="15.75" customHeight="1">
      <c r="A12012" s="7"/>
      <c r="B12012" s="7"/>
      <c r="M12012" s="9" t="s">
        <v>35</v>
      </c>
    </row>
    <row r="12013" ht="15.75" customHeight="1">
      <c r="A12013" s="7"/>
      <c r="B12013" s="7"/>
      <c r="M12013" s="9" t="s">
        <v>26</v>
      </c>
    </row>
    <row r="12014" ht="15.75" customHeight="1">
      <c r="A12014" s="7"/>
      <c r="B12014" s="7"/>
      <c r="M12014" s="9" t="s">
        <v>25</v>
      </c>
    </row>
    <row r="12015" ht="15.75" customHeight="1">
      <c r="A12015" s="7"/>
      <c r="B12015" s="7"/>
      <c r="M12015" s="9" t="s">
        <v>23</v>
      </c>
    </row>
    <row r="12016" ht="15.75" customHeight="1">
      <c r="A12016" s="7"/>
      <c r="B12016" s="7"/>
      <c r="M12016" s="9" t="s">
        <v>24</v>
      </c>
    </row>
    <row r="12017" ht="15.75" customHeight="1">
      <c r="A12017" s="7"/>
      <c r="B12017" s="7"/>
      <c r="M12017" s="9" t="s">
        <v>21</v>
      </c>
    </row>
    <row r="12018" ht="15.75" customHeight="1">
      <c r="A12018" s="7"/>
      <c r="B12018" s="7"/>
      <c r="M12018" s="9" t="s">
        <v>37</v>
      </c>
    </row>
    <row r="12019" ht="15.75" customHeight="1">
      <c r="A12019" s="7"/>
      <c r="B12019" s="7"/>
      <c r="M12019" s="9" t="s">
        <v>22</v>
      </c>
    </row>
    <row r="12020" ht="15.75" customHeight="1">
      <c r="A12020" s="7"/>
      <c r="B12020" s="7"/>
      <c r="M12020" s="9" t="s">
        <v>27</v>
      </c>
    </row>
    <row r="12021" ht="15.75" customHeight="1">
      <c r="A12021" s="7"/>
      <c r="B12021" s="7"/>
      <c r="M12021" s="9" t="s">
        <v>28</v>
      </c>
    </row>
    <row r="12022" ht="15.75" customHeight="1">
      <c r="A12022" s="7"/>
      <c r="B12022" s="7"/>
      <c r="M12022" s="9" t="s">
        <v>30</v>
      </c>
    </row>
    <row r="12023" ht="15.75" customHeight="1">
      <c r="A12023" s="7"/>
      <c r="B12023" s="7"/>
      <c r="M12023" s="9" t="s">
        <v>25</v>
      </c>
    </row>
    <row r="12024" ht="15.75" customHeight="1">
      <c r="A12024" s="7"/>
      <c r="B12024" s="7"/>
      <c r="M12024" s="9" t="s">
        <v>23</v>
      </c>
    </row>
    <row r="12025" ht="15.75" customHeight="1">
      <c r="A12025" s="7"/>
      <c r="B12025" s="7"/>
      <c r="M12025" s="9" t="s">
        <v>32</v>
      </c>
    </row>
    <row r="12026" ht="15.75" customHeight="1">
      <c r="A12026" s="7"/>
      <c r="B12026" s="7"/>
      <c r="M12026" s="9" t="s">
        <v>26</v>
      </c>
    </row>
    <row r="12027" ht="15.75" customHeight="1">
      <c r="A12027" s="7"/>
      <c r="B12027" s="7"/>
      <c r="M12027" s="9" t="s">
        <v>24</v>
      </c>
    </row>
    <row r="12028" ht="15.75" customHeight="1">
      <c r="A12028" s="7"/>
      <c r="B12028" s="7"/>
      <c r="M12028" s="9" t="s">
        <v>21</v>
      </c>
    </row>
    <row r="12029" ht="15.75" customHeight="1">
      <c r="A12029" s="7"/>
      <c r="B12029" s="7"/>
      <c r="M12029" s="9" t="s">
        <v>27</v>
      </c>
    </row>
    <row r="12030" ht="15.75" customHeight="1">
      <c r="A12030" s="7"/>
      <c r="B12030" s="7"/>
      <c r="M12030" s="9" t="s">
        <v>26</v>
      </c>
    </row>
    <row r="12031" ht="15.75" customHeight="1">
      <c r="A12031" s="7"/>
      <c r="B12031" s="7"/>
      <c r="M12031" s="9" t="s">
        <v>24</v>
      </c>
    </row>
    <row r="12032" ht="15.75" customHeight="1">
      <c r="A12032" s="7"/>
      <c r="B12032" s="7"/>
      <c r="M12032" s="9" t="s">
        <v>21</v>
      </c>
    </row>
    <row r="12033" ht="15.75" customHeight="1">
      <c r="A12033" s="7"/>
      <c r="B12033" s="7"/>
      <c r="M12033" s="9" t="s">
        <v>22</v>
      </c>
    </row>
    <row r="12034" ht="15.75" customHeight="1">
      <c r="A12034" s="7"/>
      <c r="B12034" s="7"/>
      <c r="M12034" s="9" t="s">
        <v>27</v>
      </c>
    </row>
    <row r="12035" ht="15.75" customHeight="1">
      <c r="A12035" s="7"/>
      <c r="B12035" s="7"/>
      <c r="M12035" s="9" t="s">
        <v>26</v>
      </c>
    </row>
    <row r="12036" ht="15.75" customHeight="1">
      <c r="A12036" s="7"/>
      <c r="B12036" s="7"/>
      <c r="M12036" s="9" t="s">
        <v>24</v>
      </c>
    </row>
    <row r="12037" ht="15.75" customHeight="1">
      <c r="A12037" s="7"/>
      <c r="B12037" s="7"/>
      <c r="M12037" s="9" t="s">
        <v>21</v>
      </c>
    </row>
    <row r="12038" ht="15.75" customHeight="1">
      <c r="A12038" s="7"/>
      <c r="B12038" s="7"/>
      <c r="M12038" s="9" t="s">
        <v>27</v>
      </c>
    </row>
    <row r="12039" ht="15.75" customHeight="1">
      <c r="A12039" s="7"/>
      <c r="B12039" s="7"/>
      <c r="M12039" s="9" t="s">
        <v>33</v>
      </c>
    </row>
    <row r="12040" ht="15.75" customHeight="1">
      <c r="A12040" s="7"/>
      <c r="B12040" s="7"/>
      <c r="M12040" s="9" t="s">
        <v>28</v>
      </c>
    </row>
    <row r="12041" ht="15.75" customHeight="1">
      <c r="A12041" s="7"/>
      <c r="B12041" s="7"/>
      <c r="M12041" s="9" t="s">
        <v>30</v>
      </c>
    </row>
    <row r="12042" ht="15.75" customHeight="1">
      <c r="A12042" s="7"/>
      <c r="B12042" s="7"/>
      <c r="M12042" s="9" t="s">
        <v>26</v>
      </c>
    </row>
    <row r="12043" ht="15.75" customHeight="1">
      <c r="A12043" s="7"/>
      <c r="B12043" s="7"/>
      <c r="M12043" s="9" t="s">
        <v>24</v>
      </c>
    </row>
    <row r="12044" ht="15.75" customHeight="1">
      <c r="A12044" s="7"/>
      <c r="B12044" s="7"/>
      <c r="M12044" s="9" t="s">
        <v>21</v>
      </c>
    </row>
    <row r="12045" ht="15.75" customHeight="1">
      <c r="A12045" s="7"/>
      <c r="B12045" s="7"/>
      <c r="M12045" s="9" t="s">
        <v>22</v>
      </c>
    </row>
    <row r="12046" ht="15.75" customHeight="1">
      <c r="A12046" s="7"/>
      <c r="B12046" s="7"/>
      <c r="M12046" s="9" t="s">
        <v>34</v>
      </c>
    </row>
    <row r="12047" ht="15.75" customHeight="1">
      <c r="A12047" s="7"/>
      <c r="B12047" s="7"/>
      <c r="M12047" s="9" t="s">
        <v>20</v>
      </c>
    </row>
    <row r="12048" ht="15.75" customHeight="1">
      <c r="A12048" s="7"/>
      <c r="B12048" s="7"/>
      <c r="M12048" s="9" t="s">
        <v>21</v>
      </c>
    </row>
    <row r="12049" ht="15.75" customHeight="1">
      <c r="A12049" s="7"/>
      <c r="B12049" s="7"/>
      <c r="M12049" s="9" t="s">
        <v>37</v>
      </c>
    </row>
    <row r="12050" ht="15.75" customHeight="1">
      <c r="A12050" s="7"/>
      <c r="B12050" s="7"/>
      <c r="M12050" s="9" t="s">
        <v>36</v>
      </c>
    </row>
    <row r="12051" ht="15.75" customHeight="1">
      <c r="A12051" s="7"/>
      <c r="B12051" s="7"/>
      <c r="M12051" s="9" t="s">
        <v>24</v>
      </c>
    </row>
    <row r="12052" ht="15.75" customHeight="1">
      <c r="A12052" s="7"/>
      <c r="B12052" s="7"/>
      <c r="M12052" s="9" t="s">
        <v>20</v>
      </c>
    </row>
    <row r="12053" ht="15.75" customHeight="1">
      <c r="A12053" s="7"/>
      <c r="B12053" s="7"/>
      <c r="M12053" s="9" t="s">
        <v>21</v>
      </c>
    </row>
    <row r="12054" ht="15.75" customHeight="1">
      <c r="A12054" s="7"/>
      <c r="B12054" s="7"/>
      <c r="M12054" s="9" t="s">
        <v>37</v>
      </c>
    </row>
    <row r="12055" ht="15.75" customHeight="1">
      <c r="A12055" s="7"/>
      <c r="B12055" s="7"/>
      <c r="M12055" s="9" t="s">
        <v>22</v>
      </c>
    </row>
    <row r="12056" ht="15.75" customHeight="1">
      <c r="A12056" s="7"/>
      <c r="B12056" s="7"/>
      <c r="M12056" s="9" t="s">
        <v>46</v>
      </c>
    </row>
    <row r="12057" ht="15.75" customHeight="1">
      <c r="A12057" s="7"/>
      <c r="B12057" s="7"/>
      <c r="M12057" s="9" t="s">
        <v>27</v>
      </c>
    </row>
    <row r="12058" ht="15.75" customHeight="1">
      <c r="A12058" s="7"/>
      <c r="B12058" s="7"/>
      <c r="M12058" s="9" t="s">
        <v>23</v>
      </c>
    </row>
    <row r="12059" ht="15.75" customHeight="1">
      <c r="A12059" s="7"/>
      <c r="B12059" s="7"/>
      <c r="M12059" s="9" t="s">
        <v>26</v>
      </c>
    </row>
    <row r="12060" ht="15.75" customHeight="1">
      <c r="A12060" s="7"/>
      <c r="B12060" s="7"/>
      <c r="M12060" s="9" t="s">
        <v>24</v>
      </c>
    </row>
    <row r="12061" ht="15.75" customHeight="1">
      <c r="A12061" s="7"/>
      <c r="B12061" s="7"/>
      <c r="M12061" s="9" t="s">
        <v>20</v>
      </c>
    </row>
    <row r="12062" ht="15.75" customHeight="1">
      <c r="A12062" s="7"/>
      <c r="B12062" s="7"/>
      <c r="M12062" s="9" t="s">
        <v>21</v>
      </c>
    </row>
    <row r="12063" ht="15.75" customHeight="1">
      <c r="A12063" s="7"/>
      <c r="B12063" s="7"/>
      <c r="M12063" s="9" t="s">
        <v>37</v>
      </c>
    </row>
    <row r="12064" ht="15.75" customHeight="1">
      <c r="A12064" s="7"/>
      <c r="B12064" s="7"/>
      <c r="M12064" s="9" t="s">
        <v>22</v>
      </c>
    </row>
    <row r="12065" ht="15.75" customHeight="1">
      <c r="A12065" s="7"/>
      <c r="B12065" s="7"/>
      <c r="M12065" s="9" t="s">
        <v>27</v>
      </c>
    </row>
    <row r="12066" ht="15.75" customHeight="1">
      <c r="A12066" s="7"/>
      <c r="B12066" s="7"/>
      <c r="M12066" s="9" t="s">
        <v>33</v>
      </c>
    </row>
    <row r="12067" ht="15.75" customHeight="1">
      <c r="A12067" s="7"/>
      <c r="B12067" s="7"/>
      <c r="M12067" s="9" t="s">
        <v>24</v>
      </c>
    </row>
    <row r="12068" ht="15.75" customHeight="1">
      <c r="A12068" s="7"/>
      <c r="B12068" s="7"/>
      <c r="M12068" s="9" t="s">
        <v>20</v>
      </c>
    </row>
    <row r="12069" ht="15.75" customHeight="1">
      <c r="A12069" s="7"/>
      <c r="B12069" s="7"/>
      <c r="M12069" s="9" t="s">
        <v>21</v>
      </c>
    </row>
    <row r="12070" ht="15.75" customHeight="1">
      <c r="A12070" s="7"/>
      <c r="B12070" s="7"/>
      <c r="M12070" s="9" t="s">
        <v>22</v>
      </c>
    </row>
    <row r="12071" ht="15.75" customHeight="1">
      <c r="A12071" s="7"/>
      <c r="B12071" s="7"/>
      <c r="M12071" s="9" t="s">
        <v>27</v>
      </c>
    </row>
    <row r="12072" ht="15.75" customHeight="1">
      <c r="A12072" s="7"/>
      <c r="B12072" s="7"/>
      <c r="M12072" s="9" t="s">
        <v>40</v>
      </c>
    </row>
    <row r="12073" ht="15.75" customHeight="1">
      <c r="A12073" s="7"/>
      <c r="B12073" s="7"/>
      <c r="M12073" s="9" t="s">
        <v>20</v>
      </c>
    </row>
    <row r="12074" ht="15.75" customHeight="1">
      <c r="A12074" s="7"/>
      <c r="B12074" s="7"/>
      <c r="M12074" s="9" t="s">
        <v>27</v>
      </c>
    </row>
    <row r="12075" ht="15.75" customHeight="1">
      <c r="A12075" s="7"/>
      <c r="B12075" s="7"/>
      <c r="M12075" s="9" t="s">
        <v>25</v>
      </c>
    </row>
    <row r="12076" ht="15.75" customHeight="1">
      <c r="A12076" s="7"/>
      <c r="B12076" s="7"/>
      <c r="M12076" s="9" t="s">
        <v>23</v>
      </c>
    </row>
    <row r="12077" ht="15.75" customHeight="1">
      <c r="A12077" s="7"/>
      <c r="B12077" s="7"/>
      <c r="M12077" s="9" t="s">
        <v>24</v>
      </c>
    </row>
    <row r="12078" ht="15.75" customHeight="1">
      <c r="A12078" s="7"/>
      <c r="B12078" s="7"/>
      <c r="M12078" s="9" t="s">
        <v>20</v>
      </c>
    </row>
    <row r="12079" ht="15.75" customHeight="1">
      <c r="A12079" s="7"/>
      <c r="B12079" s="7"/>
      <c r="M12079" s="9" t="s">
        <v>21</v>
      </c>
    </row>
    <row r="12080" ht="15.75" customHeight="1">
      <c r="A12080" s="7"/>
      <c r="B12080" s="7"/>
      <c r="M12080" s="9" t="s">
        <v>27</v>
      </c>
    </row>
    <row r="12081" ht="15.75" customHeight="1">
      <c r="A12081" s="7"/>
      <c r="B12081" s="7"/>
      <c r="M12081" s="9" t="s">
        <v>21</v>
      </c>
    </row>
    <row r="12082" ht="15.75" customHeight="1">
      <c r="A12082" s="7"/>
      <c r="B12082" s="7"/>
      <c r="M12082" s="9" t="s">
        <v>22</v>
      </c>
    </row>
    <row r="12083" ht="15.75" customHeight="1">
      <c r="A12083" s="7"/>
      <c r="B12083" s="7"/>
      <c r="M12083" s="9" t="s">
        <v>30</v>
      </c>
    </row>
    <row r="12084" ht="15.75" customHeight="1">
      <c r="A12084" s="7"/>
      <c r="B12084" s="7"/>
      <c r="M12084" s="9" t="s">
        <v>24</v>
      </c>
    </row>
    <row r="12085" ht="15.75" customHeight="1">
      <c r="A12085" s="7"/>
      <c r="B12085" s="7"/>
      <c r="M12085" s="9" t="s">
        <v>20</v>
      </c>
    </row>
    <row r="12086" ht="15.75" customHeight="1">
      <c r="A12086" s="7"/>
      <c r="B12086" s="7"/>
      <c r="M12086" s="9" t="s">
        <v>21</v>
      </c>
    </row>
    <row r="12087" ht="15.75" customHeight="1">
      <c r="A12087" s="7"/>
      <c r="B12087" s="7"/>
      <c r="M12087" s="9" t="s">
        <v>27</v>
      </c>
    </row>
    <row r="12088" ht="15.75" customHeight="1">
      <c r="A12088" s="7"/>
      <c r="B12088" s="7"/>
      <c r="M12088" s="9" t="s">
        <v>33</v>
      </c>
    </row>
    <row r="12089" ht="15.75" customHeight="1">
      <c r="A12089" s="7"/>
      <c r="B12089" s="7"/>
      <c r="M12089" s="9" t="s">
        <v>24</v>
      </c>
    </row>
    <row r="12090" ht="15.75" customHeight="1">
      <c r="A12090" s="7"/>
      <c r="B12090" s="7"/>
      <c r="M12090" s="9" t="s">
        <v>20</v>
      </c>
    </row>
    <row r="12091" ht="15.75" customHeight="1">
      <c r="A12091" s="7"/>
      <c r="B12091" s="7"/>
      <c r="M12091" s="9" t="s">
        <v>21</v>
      </c>
    </row>
    <row r="12092" ht="15.75" customHeight="1">
      <c r="A12092" s="7"/>
      <c r="B12092" s="7"/>
      <c r="M12092" s="9" t="s">
        <v>22</v>
      </c>
    </row>
    <row r="12093" ht="15.75" customHeight="1">
      <c r="A12093" s="7"/>
      <c r="B12093" s="7"/>
      <c r="M12093" s="9" t="s">
        <v>24</v>
      </c>
    </row>
    <row r="12094" ht="15.75" customHeight="1">
      <c r="A12094" s="7"/>
      <c r="B12094" s="7"/>
      <c r="M12094" s="9" t="s">
        <v>21</v>
      </c>
    </row>
    <row r="12095" ht="15.75" customHeight="1">
      <c r="A12095" s="7"/>
      <c r="B12095" s="7"/>
      <c r="M12095" s="9" t="s">
        <v>37</v>
      </c>
    </row>
    <row r="12096" ht="15.75" customHeight="1">
      <c r="A12096" s="7"/>
      <c r="B12096" s="7"/>
      <c r="M12096" s="9" t="s">
        <v>30</v>
      </c>
    </row>
    <row r="12097" ht="15.75" customHeight="1">
      <c r="A12097" s="7"/>
      <c r="B12097" s="7"/>
      <c r="M12097" s="9" t="s">
        <v>22</v>
      </c>
    </row>
    <row r="12098" ht="15.75" customHeight="1">
      <c r="A12098" s="7"/>
      <c r="B12098" s="7"/>
      <c r="M12098" s="9" t="s">
        <v>30</v>
      </c>
    </row>
    <row r="12099" ht="15.75" customHeight="1">
      <c r="A12099" s="7"/>
      <c r="B12099" s="7"/>
      <c r="M12099" s="9" t="s">
        <v>24</v>
      </c>
    </row>
    <row r="12100" ht="15.75" customHeight="1">
      <c r="A12100" s="7"/>
      <c r="B12100" s="7"/>
      <c r="M12100" s="9" t="s">
        <v>20</v>
      </c>
    </row>
    <row r="12101" ht="15.75" customHeight="1">
      <c r="A12101" s="7"/>
      <c r="B12101" s="7"/>
      <c r="M12101" s="9" t="s">
        <v>31</v>
      </c>
    </row>
    <row r="12102" ht="15.75" customHeight="1">
      <c r="A12102" s="7"/>
      <c r="B12102" s="7"/>
      <c r="M12102" s="9" t="s">
        <v>27</v>
      </c>
    </row>
    <row r="12103" ht="15.75" customHeight="1">
      <c r="A12103" s="7"/>
      <c r="B12103" s="7"/>
      <c r="M12103" s="9" t="s">
        <v>24</v>
      </c>
    </row>
    <row r="12104" ht="15.75" customHeight="1">
      <c r="A12104" s="7"/>
      <c r="B12104" s="7"/>
      <c r="M12104" s="9" t="s">
        <v>21</v>
      </c>
    </row>
    <row r="12105" ht="15.75" customHeight="1">
      <c r="A12105" s="7"/>
      <c r="B12105" s="7"/>
      <c r="M12105" s="9" t="s">
        <v>27</v>
      </c>
    </row>
    <row r="12106" ht="15.75" customHeight="1">
      <c r="A12106" s="7"/>
      <c r="B12106" s="7"/>
      <c r="M12106" s="9" t="s">
        <v>25</v>
      </c>
    </row>
    <row r="12107" ht="15.75" customHeight="1">
      <c r="A12107" s="7"/>
      <c r="B12107" s="7"/>
      <c r="M12107" s="9" t="s">
        <v>23</v>
      </c>
    </row>
    <row r="12108" ht="15.75" customHeight="1">
      <c r="A12108" s="7"/>
      <c r="B12108" s="7"/>
      <c r="M12108" s="9" t="s">
        <v>24</v>
      </c>
    </row>
    <row r="12109" ht="15.75" customHeight="1">
      <c r="A12109" s="7"/>
      <c r="B12109" s="7"/>
      <c r="M12109" s="9" t="s">
        <v>20</v>
      </c>
    </row>
    <row r="12110" ht="15.75" customHeight="1">
      <c r="A12110" s="7"/>
      <c r="B12110" s="7"/>
      <c r="M12110" s="9" t="s">
        <v>21</v>
      </c>
    </row>
    <row r="12111" ht="15.75" customHeight="1">
      <c r="A12111" s="7"/>
      <c r="B12111" s="7"/>
      <c r="M12111" s="9" t="s">
        <v>28</v>
      </c>
    </row>
    <row r="12112" ht="15.75" customHeight="1">
      <c r="A12112" s="7"/>
      <c r="B12112" s="7"/>
      <c r="M12112" s="9" t="s">
        <v>24</v>
      </c>
    </row>
    <row r="12113" ht="15.75" customHeight="1">
      <c r="A12113" s="7"/>
      <c r="B12113" s="7"/>
      <c r="M12113" s="9" t="s">
        <v>21</v>
      </c>
    </row>
    <row r="12114" ht="15.75" customHeight="1">
      <c r="A12114" s="7"/>
      <c r="B12114" s="7"/>
      <c r="M12114" s="9" t="s">
        <v>33</v>
      </c>
    </row>
    <row r="12115" ht="15.75" customHeight="1">
      <c r="A12115" s="7"/>
      <c r="B12115" s="7"/>
      <c r="M12115" s="9" t="s">
        <v>24</v>
      </c>
    </row>
    <row r="12116" ht="15.75" customHeight="1">
      <c r="A12116" s="7"/>
      <c r="B12116" s="7"/>
      <c r="M12116" s="9" t="s">
        <v>20</v>
      </c>
    </row>
    <row r="12117" ht="15.75" customHeight="1">
      <c r="A12117" s="7"/>
      <c r="B12117" s="7"/>
      <c r="M12117" s="9" t="s">
        <v>21</v>
      </c>
    </row>
    <row r="12118" ht="15.75" customHeight="1">
      <c r="A12118" s="7"/>
      <c r="B12118" s="7"/>
      <c r="M12118" s="9" t="s">
        <v>22</v>
      </c>
    </row>
    <row r="12119" ht="15.75" customHeight="1">
      <c r="A12119" s="7"/>
      <c r="B12119" s="7"/>
      <c r="M12119" s="9" t="s">
        <v>33</v>
      </c>
    </row>
    <row r="12120" ht="15.75" customHeight="1">
      <c r="A12120" s="7"/>
      <c r="B12120" s="7"/>
      <c r="M12120" s="9" t="s">
        <v>24</v>
      </c>
    </row>
    <row r="12121" ht="15.75" customHeight="1">
      <c r="A12121" s="7"/>
      <c r="B12121" s="7"/>
      <c r="M12121" s="9" t="s">
        <v>20</v>
      </c>
    </row>
    <row r="12122" ht="15.75" customHeight="1">
      <c r="A12122" s="7"/>
      <c r="B12122" s="7"/>
      <c r="M12122" s="9" t="s">
        <v>21</v>
      </c>
    </row>
    <row r="12123" ht="15.75" customHeight="1">
      <c r="A12123" s="7"/>
      <c r="B12123" s="7"/>
      <c r="M12123" s="9" t="s">
        <v>22</v>
      </c>
    </row>
    <row r="12124" ht="15.75" customHeight="1">
      <c r="A12124" s="7"/>
      <c r="B12124" s="7"/>
      <c r="M12124" s="9" t="s">
        <v>27</v>
      </c>
    </row>
    <row r="12125" ht="15.75" customHeight="1">
      <c r="A12125" s="7"/>
      <c r="B12125" s="7"/>
      <c r="M12125" s="9" t="s">
        <v>24</v>
      </c>
    </row>
    <row r="12126" ht="15.75" customHeight="1">
      <c r="A12126" s="7"/>
      <c r="B12126" s="7"/>
      <c r="M12126" s="9" t="s">
        <v>21</v>
      </c>
    </row>
    <row r="12127" ht="15.75" customHeight="1">
      <c r="A12127" s="7"/>
      <c r="B12127" s="7"/>
      <c r="M12127" s="9" t="s">
        <v>37</v>
      </c>
    </row>
    <row r="12128" ht="15.75" customHeight="1">
      <c r="A12128" s="7"/>
      <c r="B12128" s="7"/>
      <c r="M12128" s="9" t="s">
        <v>27</v>
      </c>
    </row>
    <row r="12129" ht="15.75" customHeight="1">
      <c r="A12129" s="7"/>
      <c r="B12129" s="7"/>
      <c r="M12129" s="9" t="s">
        <v>26</v>
      </c>
    </row>
    <row r="12130" ht="15.75" customHeight="1">
      <c r="A12130" s="7"/>
      <c r="B12130" s="7"/>
      <c r="M12130" s="9" t="s">
        <v>24</v>
      </c>
    </row>
    <row r="12131" ht="15.75" customHeight="1">
      <c r="A12131" s="7"/>
      <c r="B12131" s="7"/>
      <c r="M12131" s="9" t="s">
        <v>21</v>
      </c>
    </row>
    <row r="12132" ht="15.75" customHeight="1">
      <c r="A12132" s="7"/>
      <c r="B12132" s="7"/>
      <c r="M12132" s="9" t="s">
        <v>27</v>
      </c>
    </row>
    <row r="12133" ht="15.75" customHeight="1">
      <c r="A12133" s="7"/>
      <c r="B12133" s="7"/>
      <c r="M12133" s="9" t="s">
        <v>33</v>
      </c>
    </row>
    <row r="12134" ht="15.75" customHeight="1">
      <c r="A12134" s="7"/>
      <c r="B12134" s="7"/>
      <c r="M12134" s="9" t="s">
        <v>30</v>
      </c>
    </row>
    <row r="12135" ht="15.75" customHeight="1">
      <c r="A12135" s="7"/>
      <c r="B12135" s="7"/>
      <c r="M12135" s="9" t="s">
        <v>24</v>
      </c>
    </row>
    <row r="12136" ht="15.75" customHeight="1">
      <c r="A12136" s="7"/>
      <c r="B12136" s="7"/>
      <c r="M12136" s="9" t="s">
        <v>37</v>
      </c>
    </row>
    <row r="12137" ht="15.75" customHeight="1">
      <c r="A12137" s="7"/>
      <c r="B12137" s="7"/>
      <c r="M12137" s="9" t="s">
        <v>22</v>
      </c>
    </row>
    <row r="12138" ht="15.75" customHeight="1">
      <c r="A12138" s="7"/>
      <c r="B12138" s="7"/>
      <c r="M12138" s="9" t="s">
        <v>27</v>
      </c>
    </row>
    <row r="12139" ht="15.75" customHeight="1">
      <c r="A12139" s="7"/>
      <c r="B12139" s="7"/>
      <c r="M12139" s="9" t="s">
        <v>28</v>
      </c>
    </row>
    <row r="12140" ht="15.75" customHeight="1">
      <c r="A12140" s="7"/>
      <c r="B12140" s="7"/>
      <c r="M12140" s="9" t="s">
        <v>35</v>
      </c>
    </row>
    <row r="12141" ht="15.75" customHeight="1">
      <c r="A12141" s="7"/>
      <c r="B12141" s="7"/>
      <c r="M12141" s="9" t="s">
        <v>38</v>
      </c>
    </row>
    <row r="12142" ht="15.75" customHeight="1">
      <c r="A12142" s="7"/>
      <c r="B12142" s="7"/>
      <c r="M12142" s="9" t="s">
        <v>24</v>
      </c>
    </row>
    <row r="12143" ht="15.75" customHeight="1">
      <c r="A12143" s="7"/>
      <c r="B12143" s="7"/>
      <c r="M12143" s="9" t="s">
        <v>20</v>
      </c>
    </row>
    <row r="12144" ht="15.75" customHeight="1">
      <c r="A12144" s="7"/>
      <c r="B12144" s="7"/>
      <c r="M12144" s="9" t="s">
        <v>21</v>
      </c>
    </row>
    <row r="12145" ht="15.75" customHeight="1">
      <c r="A12145" s="7"/>
      <c r="B12145" s="7"/>
      <c r="M12145" s="9" t="s">
        <v>27</v>
      </c>
    </row>
    <row r="12146" ht="15.75" customHeight="1">
      <c r="A12146" s="7"/>
      <c r="B12146" s="7"/>
      <c r="M12146" s="9" t="s">
        <v>30</v>
      </c>
    </row>
    <row r="12147" ht="15.75" customHeight="1">
      <c r="A12147" s="7"/>
      <c r="B12147" s="7"/>
      <c r="M12147" s="9" t="s">
        <v>24</v>
      </c>
    </row>
    <row r="12148" ht="15.75" customHeight="1">
      <c r="A12148" s="7"/>
      <c r="B12148" s="7"/>
      <c r="M12148" s="9" t="s">
        <v>21</v>
      </c>
    </row>
    <row r="12149" ht="15.75" customHeight="1">
      <c r="A12149" s="7"/>
      <c r="B12149" s="7"/>
      <c r="M12149" s="9" t="s">
        <v>37</v>
      </c>
    </row>
    <row r="12150" ht="15.75" customHeight="1">
      <c r="A12150" s="7"/>
      <c r="B12150" s="7"/>
      <c r="M12150" s="9" t="s">
        <v>22</v>
      </c>
    </row>
    <row r="12151" ht="15.75" customHeight="1">
      <c r="A12151" s="7"/>
      <c r="B12151" s="7"/>
      <c r="M12151" s="9" t="s">
        <v>27</v>
      </c>
    </row>
    <row r="12152" ht="15.75" customHeight="1">
      <c r="A12152" s="7"/>
      <c r="B12152" s="7"/>
      <c r="M12152" s="9" t="s">
        <v>36</v>
      </c>
    </row>
    <row r="12153" ht="15.75" customHeight="1">
      <c r="A12153" s="7"/>
      <c r="B12153" s="7"/>
      <c r="M12153" s="9" t="s">
        <v>24</v>
      </c>
    </row>
    <row r="12154" ht="15.75" customHeight="1">
      <c r="A12154" s="7"/>
      <c r="B12154" s="7"/>
      <c r="M12154" s="9" t="s">
        <v>20</v>
      </c>
    </row>
    <row r="12155" ht="15.75" customHeight="1">
      <c r="A12155" s="7"/>
      <c r="B12155" s="7"/>
      <c r="M12155" s="9" t="s">
        <v>21</v>
      </c>
    </row>
    <row r="12156" ht="15.75" customHeight="1">
      <c r="A12156" s="7"/>
      <c r="B12156" s="7"/>
      <c r="M12156" s="9" t="s">
        <v>22</v>
      </c>
    </row>
    <row r="12157" ht="15.75" customHeight="1">
      <c r="A12157" s="7"/>
      <c r="B12157" s="7"/>
      <c r="M12157" s="9" t="s">
        <v>31</v>
      </c>
    </row>
    <row r="12158" ht="15.75" customHeight="1">
      <c r="A12158" s="7"/>
      <c r="B12158" s="7"/>
      <c r="M12158" s="9" t="s">
        <v>27</v>
      </c>
    </row>
    <row r="12159" ht="15.75" customHeight="1">
      <c r="A12159" s="7"/>
      <c r="B12159" s="7"/>
      <c r="M12159" s="9" t="s">
        <v>33</v>
      </c>
    </row>
    <row r="12160" ht="15.75" customHeight="1">
      <c r="A12160" s="7"/>
      <c r="B12160" s="7"/>
      <c r="M12160" s="9" t="s">
        <v>20</v>
      </c>
    </row>
    <row r="12161" ht="15.75" customHeight="1">
      <c r="A12161" s="7"/>
      <c r="B12161" s="7"/>
      <c r="M12161" s="9" t="s">
        <v>28</v>
      </c>
    </row>
    <row r="12162" ht="15.75" customHeight="1">
      <c r="A12162" s="7"/>
      <c r="B12162" s="7"/>
      <c r="M12162" s="9" t="s">
        <v>26</v>
      </c>
    </row>
    <row r="12163" ht="15.75" customHeight="1">
      <c r="A12163" s="7"/>
      <c r="B12163" s="7"/>
      <c r="M12163" s="9" t="s">
        <v>24</v>
      </c>
    </row>
    <row r="12164" ht="15.75" customHeight="1">
      <c r="A12164" s="7"/>
      <c r="B12164" s="7"/>
      <c r="M12164" s="9" t="s">
        <v>21</v>
      </c>
    </row>
    <row r="12165" ht="15.75" customHeight="1">
      <c r="A12165" s="7"/>
      <c r="B12165" s="7"/>
      <c r="M12165" s="9" t="s">
        <v>27</v>
      </c>
    </row>
    <row r="12166" ht="15.75" customHeight="1">
      <c r="A12166" s="7"/>
      <c r="B12166" s="7"/>
      <c r="M12166" s="9" t="s">
        <v>33</v>
      </c>
    </row>
    <row r="12167" ht="15.75" customHeight="1">
      <c r="A12167" s="7"/>
      <c r="B12167" s="7"/>
      <c r="M12167" s="9" t="s">
        <v>30</v>
      </c>
    </row>
    <row r="12168" ht="15.75" customHeight="1">
      <c r="A12168" s="7"/>
      <c r="B12168" s="7"/>
      <c r="M12168" s="9" t="s">
        <v>26</v>
      </c>
    </row>
    <row r="12169" ht="15.75" customHeight="1">
      <c r="A12169" s="7"/>
      <c r="B12169" s="7"/>
      <c r="M12169" s="9" t="s">
        <v>27</v>
      </c>
    </row>
    <row r="12170" ht="15.75" customHeight="1">
      <c r="A12170" s="7"/>
      <c r="B12170" s="7"/>
      <c r="M12170" s="9" t="s">
        <v>30</v>
      </c>
    </row>
    <row r="12171" ht="15.75" customHeight="1">
      <c r="A12171" s="7"/>
      <c r="B12171" s="7"/>
      <c r="M12171" s="9" t="s">
        <v>24</v>
      </c>
    </row>
    <row r="12172" ht="15.75" customHeight="1">
      <c r="A12172" s="7"/>
      <c r="B12172" s="7"/>
      <c r="M12172" s="9" t="s">
        <v>21</v>
      </c>
    </row>
    <row r="12173" ht="15.75" customHeight="1">
      <c r="A12173" s="7"/>
      <c r="B12173" s="7"/>
      <c r="M12173" s="9" t="s">
        <v>37</v>
      </c>
    </row>
    <row r="12174" ht="15.75" customHeight="1">
      <c r="A12174" s="7"/>
      <c r="B12174" s="7"/>
      <c r="M12174" s="9" t="s">
        <v>22</v>
      </c>
    </row>
    <row r="12175" ht="15.75" customHeight="1">
      <c r="A12175" s="7"/>
      <c r="B12175" s="7"/>
      <c r="M12175" s="9" t="s">
        <v>27</v>
      </c>
    </row>
    <row r="12176" ht="15.75" customHeight="1">
      <c r="A12176" s="7"/>
      <c r="B12176" s="7"/>
      <c r="M12176" s="9" t="s">
        <v>33</v>
      </c>
    </row>
    <row r="12177" ht="15.75" customHeight="1">
      <c r="A12177" s="7"/>
      <c r="B12177" s="7"/>
      <c r="M12177" s="9" t="s">
        <v>26</v>
      </c>
    </row>
    <row r="12178" ht="15.75" customHeight="1">
      <c r="A12178" s="7"/>
      <c r="B12178" s="7"/>
      <c r="M12178" s="9" t="s">
        <v>22</v>
      </c>
    </row>
    <row r="12179" ht="15.75" customHeight="1">
      <c r="A12179" s="7"/>
      <c r="B12179" s="7"/>
      <c r="M12179" s="9" t="s">
        <v>29</v>
      </c>
    </row>
    <row r="12180" ht="15.75" customHeight="1">
      <c r="A12180" s="7"/>
      <c r="B12180" s="7"/>
      <c r="M12180" s="9" t="s">
        <v>32</v>
      </c>
    </row>
    <row r="12181" ht="15.75" customHeight="1">
      <c r="A12181" s="7"/>
      <c r="B12181" s="7"/>
      <c r="M12181" s="9" t="s">
        <v>27</v>
      </c>
    </row>
    <row r="12182" ht="15.75" customHeight="1">
      <c r="A12182" s="7"/>
      <c r="B12182" s="7"/>
      <c r="M12182" s="9" t="s">
        <v>20</v>
      </c>
    </row>
    <row r="12183" ht="15.75" customHeight="1">
      <c r="A12183" s="7"/>
      <c r="B12183" s="7"/>
      <c r="M12183" s="9" t="s">
        <v>21</v>
      </c>
    </row>
    <row r="12184" ht="15.75" customHeight="1">
      <c r="A12184" s="7"/>
      <c r="B12184" s="7"/>
      <c r="M12184" s="9" t="s">
        <v>24</v>
      </c>
    </row>
    <row r="12185" ht="15.75" customHeight="1">
      <c r="A12185" s="7"/>
      <c r="B12185" s="7"/>
      <c r="M12185" s="9" t="s">
        <v>20</v>
      </c>
    </row>
    <row r="12186" ht="15.75" customHeight="1">
      <c r="A12186" s="7"/>
      <c r="B12186" s="7"/>
      <c r="M12186" s="9" t="s">
        <v>21</v>
      </c>
    </row>
    <row r="12187" ht="15.75" customHeight="1">
      <c r="A12187" s="7"/>
      <c r="B12187" s="7"/>
      <c r="M12187" s="9" t="s">
        <v>37</v>
      </c>
    </row>
    <row r="12188" ht="15.75" customHeight="1">
      <c r="A12188" s="7"/>
      <c r="B12188" s="7"/>
      <c r="M12188" s="9" t="s">
        <v>22</v>
      </c>
    </row>
    <row r="12189" ht="15.75" customHeight="1">
      <c r="A12189" s="7"/>
      <c r="B12189" s="7"/>
      <c r="M12189" s="9" t="s">
        <v>27</v>
      </c>
    </row>
    <row r="12190" ht="15.75" customHeight="1">
      <c r="A12190" s="7"/>
      <c r="B12190" s="7"/>
      <c r="M12190" s="9" t="s">
        <v>33</v>
      </c>
    </row>
    <row r="12191" ht="15.75" customHeight="1">
      <c r="A12191" s="7"/>
      <c r="B12191" s="7"/>
      <c r="M12191" s="9" t="s">
        <v>25</v>
      </c>
    </row>
    <row r="12192" ht="15.75" customHeight="1">
      <c r="A12192" s="7"/>
      <c r="B12192" s="7"/>
      <c r="M12192" s="9" t="s">
        <v>20</v>
      </c>
    </row>
    <row r="12193" ht="15.75" customHeight="1">
      <c r="A12193" s="7"/>
      <c r="B12193" s="7"/>
      <c r="M12193" s="9" t="s">
        <v>39</v>
      </c>
    </row>
    <row r="12194" ht="15.75" customHeight="1">
      <c r="A12194" s="7"/>
      <c r="B12194" s="7"/>
      <c r="M12194" s="9" t="s">
        <v>24</v>
      </c>
    </row>
    <row r="12195" ht="15.75" customHeight="1">
      <c r="A12195" s="7"/>
      <c r="B12195" s="7"/>
      <c r="M12195" s="9" t="s">
        <v>20</v>
      </c>
    </row>
    <row r="12196" ht="15.75" customHeight="1">
      <c r="A12196" s="7"/>
      <c r="B12196" s="7"/>
      <c r="M12196" s="9" t="s">
        <v>21</v>
      </c>
    </row>
    <row r="12197" ht="15.75" customHeight="1">
      <c r="A12197" s="7"/>
      <c r="B12197" s="7"/>
      <c r="M12197" s="9" t="s">
        <v>27</v>
      </c>
    </row>
    <row r="12198" ht="15.75" customHeight="1">
      <c r="A12198" s="7"/>
      <c r="B12198" s="7"/>
      <c r="M12198" s="9" t="s">
        <v>44</v>
      </c>
    </row>
    <row r="12199" ht="15.75" customHeight="1">
      <c r="A12199" s="7"/>
      <c r="B12199" s="7"/>
      <c r="M12199" s="9" t="s">
        <v>24</v>
      </c>
    </row>
    <row r="12200" ht="15.75" customHeight="1">
      <c r="A12200" s="7"/>
      <c r="B12200" s="7"/>
      <c r="M12200" s="9" t="s">
        <v>20</v>
      </c>
    </row>
    <row r="12201" ht="15.75" customHeight="1">
      <c r="A12201" s="7"/>
      <c r="B12201" s="7"/>
      <c r="M12201" s="9" t="s">
        <v>35</v>
      </c>
    </row>
    <row r="12202" ht="15.75" customHeight="1">
      <c r="A12202" s="7"/>
      <c r="B12202" s="7"/>
      <c r="M12202" s="9" t="s">
        <v>30</v>
      </c>
    </row>
    <row r="12203" ht="15.75" customHeight="1">
      <c r="A12203" s="7"/>
      <c r="B12203" s="7"/>
      <c r="M12203" s="9" t="s">
        <v>23</v>
      </c>
    </row>
    <row r="12204" ht="15.75" customHeight="1">
      <c r="A12204" s="7"/>
      <c r="B12204" s="7"/>
      <c r="M12204" s="9" t="s">
        <v>24</v>
      </c>
    </row>
    <row r="12205" ht="15.75" customHeight="1">
      <c r="A12205" s="7"/>
      <c r="B12205" s="7"/>
      <c r="M12205" s="9" t="s">
        <v>20</v>
      </c>
    </row>
    <row r="12206" ht="15.75" customHeight="1">
      <c r="A12206" s="7"/>
      <c r="B12206" s="7"/>
      <c r="M12206" s="9" t="s">
        <v>21</v>
      </c>
    </row>
    <row r="12207" ht="15.75" customHeight="1">
      <c r="A12207" s="7"/>
      <c r="B12207" s="7"/>
      <c r="M12207" s="9" t="s">
        <v>22</v>
      </c>
    </row>
    <row r="12208" ht="15.75" customHeight="1">
      <c r="A12208" s="7"/>
      <c r="B12208" s="7"/>
      <c r="M12208" s="9" t="s">
        <v>27</v>
      </c>
    </row>
    <row r="12209" ht="15.75" customHeight="1">
      <c r="A12209" s="7"/>
      <c r="B12209" s="7"/>
      <c r="M12209" s="9" t="s">
        <v>33</v>
      </c>
    </row>
    <row r="12210" ht="15.75" customHeight="1">
      <c r="A12210" s="7"/>
      <c r="B12210" s="7"/>
      <c r="M12210" s="9" t="s">
        <v>30</v>
      </c>
    </row>
    <row r="12211" ht="15.75" customHeight="1">
      <c r="A12211" s="7"/>
      <c r="B12211" s="7"/>
      <c r="M12211" s="9" t="s">
        <v>25</v>
      </c>
    </row>
    <row r="12212" ht="15.75" customHeight="1">
      <c r="A12212" s="7"/>
      <c r="B12212" s="7"/>
      <c r="M12212" s="9" t="s">
        <v>24</v>
      </c>
    </row>
    <row r="12213" ht="15.75" customHeight="1">
      <c r="A12213" s="7"/>
      <c r="B12213" s="7"/>
      <c r="M12213" s="9" t="s">
        <v>21</v>
      </c>
    </row>
    <row r="12214" ht="15.75" customHeight="1">
      <c r="A12214" s="7"/>
      <c r="B12214" s="7"/>
      <c r="M12214" s="9" t="s">
        <v>22</v>
      </c>
    </row>
    <row r="12215" ht="15.75" customHeight="1">
      <c r="A12215" s="7"/>
      <c r="B12215" s="7"/>
      <c r="M12215" s="9" t="s">
        <v>28</v>
      </c>
    </row>
    <row r="12216" ht="15.75" customHeight="1">
      <c r="A12216" s="7"/>
      <c r="B12216" s="7"/>
      <c r="M12216" s="9" t="s">
        <v>30</v>
      </c>
    </row>
    <row r="12217" ht="15.75" customHeight="1">
      <c r="A12217" s="7"/>
      <c r="B12217" s="7"/>
      <c r="M12217" s="9" t="s">
        <v>26</v>
      </c>
    </row>
    <row r="12218" ht="15.75" customHeight="1">
      <c r="A12218" s="7"/>
      <c r="B12218" s="7"/>
      <c r="M12218" s="9" t="s">
        <v>21</v>
      </c>
    </row>
    <row r="12219" ht="15.75" customHeight="1">
      <c r="A12219" s="7"/>
      <c r="B12219" s="7"/>
      <c r="M12219" s="9" t="s">
        <v>27</v>
      </c>
    </row>
    <row r="12220" ht="15.75" customHeight="1">
      <c r="A12220" s="7"/>
      <c r="B12220" s="7"/>
      <c r="M12220" s="9" t="s">
        <v>24</v>
      </c>
    </row>
    <row r="12221" ht="15.75" customHeight="1">
      <c r="A12221" s="7"/>
      <c r="B12221" s="7"/>
      <c r="M12221" s="9" t="s">
        <v>20</v>
      </c>
    </row>
    <row r="12222" ht="15.75" customHeight="1">
      <c r="A12222" s="7"/>
      <c r="B12222" s="7"/>
      <c r="M12222" s="9" t="s">
        <v>27</v>
      </c>
    </row>
    <row r="12223" ht="15.75" customHeight="1">
      <c r="A12223" s="7"/>
      <c r="B12223" s="7"/>
      <c r="M12223" s="9" t="s">
        <v>38</v>
      </c>
    </row>
    <row r="12224" ht="15.75" customHeight="1">
      <c r="A12224" s="7"/>
      <c r="B12224" s="7"/>
      <c r="M12224" s="9" t="s">
        <v>30</v>
      </c>
    </row>
    <row r="12225" ht="15.75" customHeight="1">
      <c r="A12225" s="7"/>
      <c r="B12225" s="7"/>
      <c r="M12225" s="9" t="s">
        <v>25</v>
      </c>
    </row>
    <row r="12226" ht="15.75" customHeight="1">
      <c r="A12226" s="7"/>
      <c r="B12226" s="7"/>
      <c r="M12226" s="9" t="s">
        <v>23</v>
      </c>
    </row>
    <row r="12227" ht="15.75" customHeight="1">
      <c r="A12227" s="7"/>
      <c r="B12227" s="7"/>
      <c r="M12227" s="9" t="s">
        <v>26</v>
      </c>
    </row>
    <row r="12228" ht="15.75" customHeight="1">
      <c r="A12228" s="7"/>
      <c r="B12228" s="7"/>
      <c r="M12228" s="9" t="s">
        <v>24</v>
      </c>
    </row>
    <row r="12229" ht="15.75" customHeight="1">
      <c r="A12229" s="7"/>
      <c r="B12229" s="7"/>
      <c r="M12229" s="9" t="s">
        <v>21</v>
      </c>
    </row>
    <row r="12230" ht="15.75" customHeight="1">
      <c r="A12230" s="7"/>
      <c r="B12230" s="7"/>
      <c r="M12230" s="9" t="s">
        <v>37</v>
      </c>
    </row>
    <row r="12231" ht="15.75" customHeight="1">
      <c r="A12231" s="7"/>
      <c r="B12231" s="7"/>
      <c r="M12231" s="9" t="s">
        <v>27</v>
      </c>
    </row>
    <row r="12232" ht="15.75" customHeight="1">
      <c r="A12232" s="7"/>
      <c r="B12232" s="7"/>
      <c r="M12232" s="9" t="s">
        <v>23</v>
      </c>
    </row>
    <row r="12233" ht="15.75" customHeight="1">
      <c r="A12233" s="7"/>
      <c r="B12233" s="7"/>
      <c r="M12233" s="9" t="s">
        <v>26</v>
      </c>
    </row>
    <row r="12234" ht="15.75" customHeight="1">
      <c r="A12234" s="7"/>
      <c r="B12234" s="7"/>
      <c r="M12234" s="9" t="s">
        <v>20</v>
      </c>
    </row>
    <row r="12235" ht="15.75" customHeight="1">
      <c r="A12235" s="7"/>
      <c r="B12235" s="7"/>
      <c r="M12235" s="9" t="s">
        <v>22</v>
      </c>
    </row>
    <row r="12236" ht="15.75" customHeight="1">
      <c r="A12236" s="7"/>
      <c r="B12236" s="7"/>
      <c r="M12236" s="9" t="s">
        <v>30</v>
      </c>
    </row>
    <row r="12237" ht="15.75" customHeight="1">
      <c r="A12237" s="7"/>
      <c r="B12237" s="7"/>
      <c r="M12237" s="9" t="s">
        <v>23</v>
      </c>
    </row>
    <row r="12238" ht="15.75" customHeight="1">
      <c r="A12238" s="7"/>
      <c r="B12238" s="7"/>
      <c r="M12238" s="9" t="s">
        <v>26</v>
      </c>
    </row>
    <row r="12239" ht="15.75" customHeight="1">
      <c r="A12239" s="7"/>
      <c r="B12239" s="7"/>
      <c r="M12239" s="9" t="s">
        <v>47</v>
      </c>
    </row>
    <row r="12240" ht="15.75" customHeight="1">
      <c r="A12240" s="7"/>
      <c r="B12240" s="7"/>
      <c r="M12240" s="9" t="s">
        <v>45</v>
      </c>
    </row>
    <row r="12241" ht="15.75" customHeight="1">
      <c r="A12241" s="7"/>
      <c r="B12241" s="7"/>
      <c r="M12241" s="9" t="s">
        <v>36</v>
      </c>
    </row>
    <row r="12242" ht="15.75" customHeight="1">
      <c r="A12242" s="7"/>
      <c r="B12242" s="7"/>
      <c r="M12242" s="9" t="s">
        <v>24</v>
      </c>
    </row>
    <row r="12243" ht="15.75" customHeight="1">
      <c r="A12243" s="7"/>
      <c r="B12243" s="7"/>
      <c r="M12243" s="9" t="s">
        <v>20</v>
      </c>
    </row>
    <row r="12244" ht="15.75" customHeight="1">
      <c r="A12244" s="7"/>
      <c r="B12244" s="7"/>
      <c r="M12244" s="9" t="s">
        <v>21</v>
      </c>
    </row>
    <row r="12245" ht="15.75" customHeight="1">
      <c r="A12245" s="7"/>
      <c r="B12245" s="7"/>
      <c r="M12245" s="9" t="s">
        <v>39</v>
      </c>
    </row>
    <row r="12246" ht="15.75" customHeight="1">
      <c r="A12246" s="7"/>
      <c r="B12246" s="7"/>
      <c r="M12246" s="9" t="s">
        <v>41</v>
      </c>
    </row>
    <row r="12247" ht="15.75" customHeight="1">
      <c r="A12247" s="7"/>
      <c r="B12247" s="7"/>
      <c r="M12247" s="9" t="s">
        <v>37</v>
      </c>
    </row>
    <row r="12248" ht="15.75" customHeight="1">
      <c r="A12248" s="7"/>
      <c r="B12248" s="7"/>
      <c r="M12248" s="9" t="s">
        <v>22</v>
      </c>
    </row>
    <row r="12249" ht="15.75" customHeight="1">
      <c r="A12249" s="7"/>
      <c r="B12249" s="7"/>
      <c r="M12249" s="9" t="s">
        <v>31</v>
      </c>
    </row>
    <row r="12250" ht="15.75" customHeight="1">
      <c r="A12250" s="7"/>
      <c r="B12250" s="7"/>
      <c r="M12250" s="9" t="s">
        <v>32</v>
      </c>
    </row>
    <row r="12251" ht="15.75" customHeight="1">
      <c r="A12251" s="7"/>
      <c r="B12251" s="7"/>
      <c r="M12251" s="9" t="s">
        <v>27</v>
      </c>
    </row>
    <row r="12252" ht="15.75" customHeight="1">
      <c r="A12252" s="7"/>
      <c r="B12252" s="7"/>
      <c r="M12252" s="9" t="s">
        <v>40</v>
      </c>
    </row>
    <row r="12253" ht="15.75" customHeight="1">
      <c r="A12253" s="7"/>
      <c r="B12253" s="7"/>
      <c r="M12253" s="9" t="s">
        <v>33</v>
      </c>
    </row>
    <row r="12254" ht="15.75" customHeight="1">
      <c r="A12254" s="7"/>
      <c r="B12254" s="7"/>
      <c r="M12254" s="9" t="s">
        <v>30</v>
      </c>
    </row>
    <row r="12255" ht="15.75" customHeight="1">
      <c r="A12255" s="7"/>
      <c r="B12255" s="7"/>
      <c r="M12255" s="9" t="s">
        <v>23</v>
      </c>
    </row>
    <row r="12256" ht="15.75" customHeight="1">
      <c r="A12256" s="7"/>
      <c r="B12256" s="7"/>
      <c r="M12256" s="9" t="s">
        <v>24</v>
      </c>
    </row>
    <row r="12257" ht="15.75" customHeight="1">
      <c r="A12257" s="7"/>
      <c r="B12257" s="7"/>
      <c r="M12257" s="9" t="s">
        <v>21</v>
      </c>
    </row>
    <row r="12258" ht="15.75" customHeight="1">
      <c r="A12258" s="7"/>
      <c r="B12258" s="7"/>
      <c r="M12258" s="9" t="s">
        <v>32</v>
      </c>
    </row>
    <row r="12259" ht="15.75" customHeight="1">
      <c r="A12259" s="7"/>
      <c r="B12259" s="7"/>
      <c r="M12259" s="9" t="s">
        <v>33</v>
      </c>
    </row>
    <row r="12260" ht="15.75" customHeight="1">
      <c r="A12260" s="7"/>
      <c r="B12260" s="7"/>
      <c r="M12260" s="9" t="s">
        <v>25</v>
      </c>
    </row>
    <row r="12261" ht="15.75" customHeight="1">
      <c r="A12261" s="7"/>
      <c r="B12261" s="7"/>
      <c r="M12261" s="9" t="s">
        <v>24</v>
      </c>
    </row>
    <row r="12262" ht="15.75" customHeight="1">
      <c r="A12262" s="7"/>
      <c r="B12262" s="7"/>
      <c r="M12262" s="9" t="s">
        <v>20</v>
      </c>
    </row>
    <row r="12263" ht="15.75" customHeight="1">
      <c r="A12263" s="7"/>
      <c r="B12263" s="7"/>
      <c r="M12263" s="9" t="s">
        <v>21</v>
      </c>
    </row>
    <row r="12264" ht="15.75" customHeight="1">
      <c r="A12264" s="7"/>
      <c r="B12264" s="7"/>
      <c r="M12264" s="9" t="s">
        <v>37</v>
      </c>
    </row>
    <row r="12265" ht="15.75" customHeight="1">
      <c r="A12265" s="7"/>
      <c r="B12265" s="7"/>
      <c r="M12265" s="9" t="s">
        <v>27</v>
      </c>
    </row>
    <row r="12266" ht="15.75" customHeight="1">
      <c r="A12266" s="7"/>
      <c r="B12266" s="7"/>
      <c r="M12266" s="9" t="s">
        <v>30</v>
      </c>
    </row>
    <row r="12267" ht="15.75" customHeight="1">
      <c r="A12267" s="7"/>
      <c r="B12267" s="7"/>
      <c r="M12267" s="9" t="s">
        <v>25</v>
      </c>
    </row>
    <row r="12268" ht="15.75" customHeight="1">
      <c r="A12268" s="7"/>
      <c r="B12268" s="7"/>
      <c r="M12268" s="9" t="s">
        <v>41</v>
      </c>
    </row>
    <row r="12269" ht="15.75" customHeight="1">
      <c r="A12269" s="7"/>
      <c r="B12269" s="7"/>
      <c r="M12269" s="9" t="s">
        <v>22</v>
      </c>
    </row>
    <row r="12270" ht="15.75" customHeight="1">
      <c r="A12270" s="7"/>
      <c r="B12270" s="7"/>
      <c r="M12270" s="9" t="s">
        <v>24</v>
      </c>
    </row>
    <row r="12271" ht="15.75" customHeight="1">
      <c r="A12271" s="7"/>
      <c r="B12271" s="7"/>
      <c r="M12271" s="9" t="s">
        <v>21</v>
      </c>
    </row>
    <row r="12272" ht="15.75" customHeight="1">
      <c r="A12272" s="7"/>
      <c r="B12272" s="7"/>
      <c r="M12272" s="9" t="s">
        <v>22</v>
      </c>
    </row>
    <row r="12273" ht="15.75" customHeight="1">
      <c r="A12273" s="7"/>
      <c r="B12273" s="7"/>
      <c r="M12273" s="9" t="s">
        <v>27</v>
      </c>
    </row>
    <row r="12274" ht="15.75" customHeight="1">
      <c r="A12274" s="7"/>
      <c r="B12274" s="7"/>
      <c r="M12274" s="9" t="s">
        <v>24</v>
      </c>
    </row>
    <row r="12275" ht="15.75" customHeight="1">
      <c r="A12275" s="7"/>
      <c r="B12275" s="7"/>
      <c r="M12275" s="9" t="s">
        <v>21</v>
      </c>
    </row>
    <row r="12276" ht="15.75" customHeight="1">
      <c r="A12276" s="7"/>
      <c r="B12276" s="7"/>
      <c r="M12276" s="9" t="s">
        <v>37</v>
      </c>
    </row>
    <row r="12277" ht="15.75" customHeight="1">
      <c r="A12277" s="7"/>
      <c r="B12277" s="7"/>
      <c r="M12277" s="9" t="s">
        <v>27</v>
      </c>
    </row>
    <row r="12278" ht="15.75" customHeight="1">
      <c r="A12278" s="7"/>
      <c r="B12278" s="7"/>
      <c r="M12278" s="9" t="s">
        <v>23</v>
      </c>
    </row>
    <row r="12279" ht="15.75" customHeight="1">
      <c r="A12279" s="7"/>
      <c r="B12279" s="7"/>
      <c r="M12279" s="9" t="s">
        <v>26</v>
      </c>
    </row>
    <row r="12280" ht="15.75" customHeight="1">
      <c r="A12280" s="7"/>
      <c r="B12280" s="7"/>
      <c r="M12280" s="9" t="s">
        <v>20</v>
      </c>
    </row>
    <row r="12281" ht="15.75" customHeight="1">
      <c r="A12281" s="7"/>
      <c r="B12281" s="7"/>
      <c r="M12281" s="9" t="s">
        <v>21</v>
      </c>
    </row>
    <row r="12282" ht="15.75" customHeight="1">
      <c r="A12282" s="7"/>
      <c r="B12282" s="7"/>
      <c r="M12282" s="9" t="s">
        <v>22</v>
      </c>
    </row>
    <row r="12283" ht="15.75" customHeight="1">
      <c r="A12283" s="7"/>
      <c r="B12283" s="7"/>
      <c r="M12283" s="9" t="s">
        <v>27</v>
      </c>
    </row>
    <row r="12284" ht="15.75" customHeight="1">
      <c r="A12284" s="7"/>
      <c r="B12284" s="7"/>
      <c r="M12284" s="9" t="s">
        <v>33</v>
      </c>
    </row>
    <row r="12285" ht="15.75" customHeight="1">
      <c r="A12285" s="7"/>
      <c r="B12285" s="7"/>
      <c r="M12285" s="9" t="s">
        <v>24</v>
      </c>
    </row>
    <row r="12286" ht="15.75" customHeight="1">
      <c r="A12286" s="7"/>
      <c r="B12286" s="7"/>
      <c r="M12286" s="9" t="s">
        <v>20</v>
      </c>
    </row>
    <row r="12287" ht="15.75" customHeight="1">
      <c r="A12287" s="7"/>
      <c r="B12287" s="7"/>
      <c r="M12287" s="9" t="s">
        <v>21</v>
      </c>
    </row>
    <row r="12288" ht="15.75" customHeight="1">
      <c r="A12288" s="7"/>
      <c r="B12288" s="7"/>
      <c r="M12288" s="9" t="s">
        <v>37</v>
      </c>
    </row>
    <row r="12289" ht="15.75" customHeight="1">
      <c r="A12289" s="7"/>
      <c r="B12289" s="7"/>
      <c r="M12289" s="9" t="s">
        <v>22</v>
      </c>
    </row>
    <row r="12290" ht="15.75" customHeight="1">
      <c r="A12290" s="7"/>
      <c r="B12290" s="7"/>
      <c r="M12290" s="9" t="s">
        <v>27</v>
      </c>
    </row>
    <row r="12291" ht="15.75" customHeight="1">
      <c r="A12291" s="7"/>
      <c r="B12291" s="7"/>
      <c r="M12291" s="9" t="s">
        <v>38</v>
      </c>
    </row>
    <row r="12292" ht="15.75" customHeight="1">
      <c r="A12292" s="7"/>
      <c r="B12292" s="7"/>
      <c r="M12292" s="9" t="s">
        <v>30</v>
      </c>
    </row>
    <row r="12293" ht="15.75" customHeight="1">
      <c r="A12293" s="7"/>
      <c r="B12293" s="7"/>
      <c r="M12293" s="9" t="s">
        <v>25</v>
      </c>
    </row>
    <row r="12294" ht="15.75" customHeight="1">
      <c r="A12294" s="7"/>
      <c r="B12294" s="7"/>
      <c r="M12294" s="9" t="s">
        <v>23</v>
      </c>
    </row>
    <row r="12295" ht="15.75" customHeight="1">
      <c r="A12295" s="7"/>
      <c r="B12295" s="7"/>
      <c r="M12295" s="9" t="s">
        <v>26</v>
      </c>
    </row>
    <row r="12296" ht="15.75" customHeight="1">
      <c r="A12296" s="7"/>
      <c r="B12296" s="7"/>
      <c r="M12296" s="9" t="s">
        <v>24</v>
      </c>
    </row>
    <row r="12297" ht="15.75" customHeight="1">
      <c r="A12297" s="7"/>
      <c r="B12297" s="7"/>
      <c r="M12297" s="9" t="s">
        <v>20</v>
      </c>
    </row>
    <row r="12298" ht="15.75" customHeight="1">
      <c r="A12298" s="7"/>
      <c r="B12298" s="7"/>
      <c r="M12298" s="9" t="s">
        <v>21</v>
      </c>
    </row>
    <row r="12299" ht="15.75" customHeight="1">
      <c r="A12299" s="7"/>
      <c r="B12299" s="7"/>
      <c r="M12299" s="9" t="s">
        <v>39</v>
      </c>
    </row>
    <row r="12300" ht="15.75" customHeight="1">
      <c r="A12300" s="7"/>
      <c r="B12300" s="7"/>
      <c r="M12300" s="9" t="s">
        <v>37</v>
      </c>
    </row>
    <row r="12301" ht="15.75" customHeight="1">
      <c r="A12301" s="7"/>
      <c r="B12301" s="7"/>
      <c r="M12301" s="9" t="s">
        <v>22</v>
      </c>
    </row>
    <row r="12302" ht="15.75" customHeight="1">
      <c r="A12302" s="7"/>
      <c r="B12302" s="7"/>
      <c r="M12302" s="9" t="s">
        <v>27</v>
      </c>
    </row>
    <row r="12303" ht="15.75" customHeight="1">
      <c r="A12303" s="7"/>
      <c r="B12303" s="7"/>
      <c r="M12303" s="9" t="s">
        <v>33</v>
      </c>
    </row>
    <row r="12304" ht="15.75" customHeight="1">
      <c r="A12304" s="7"/>
      <c r="B12304" s="7"/>
      <c r="M12304" s="9" t="s">
        <v>23</v>
      </c>
    </row>
    <row r="12305" ht="15.75" customHeight="1">
      <c r="A12305" s="7"/>
      <c r="B12305" s="7"/>
      <c r="M12305" s="9" t="s">
        <v>26</v>
      </c>
    </row>
    <row r="12306" ht="15.75" customHeight="1">
      <c r="A12306" s="7"/>
      <c r="B12306" s="7"/>
      <c r="M12306" s="9" t="s">
        <v>24</v>
      </c>
    </row>
    <row r="12307" ht="15.75" customHeight="1">
      <c r="A12307" s="7"/>
      <c r="B12307" s="7"/>
      <c r="M12307" s="9" t="s">
        <v>21</v>
      </c>
    </row>
    <row r="12308" ht="15.75" customHeight="1">
      <c r="A12308" s="7"/>
      <c r="B12308" s="7"/>
      <c r="M12308" s="9" t="s">
        <v>27</v>
      </c>
    </row>
    <row r="12309" ht="15.75" customHeight="1">
      <c r="A12309" s="7"/>
      <c r="B12309" s="7"/>
      <c r="M12309" s="9" t="s">
        <v>30</v>
      </c>
    </row>
    <row r="12310" ht="15.75" customHeight="1">
      <c r="A12310" s="7"/>
      <c r="B12310" s="7"/>
      <c r="M12310" s="9" t="s">
        <v>26</v>
      </c>
    </row>
    <row r="12311" ht="15.75" customHeight="1">
      <c r="A12311" s="7"/>
      <c r="B12311" s="7"/>
      <c r="M12311" s="9" t="s">
        <v>24</v>
      </c>
    </row>
    <row r="12312" ht="15.75" customHeight="1">
      <c r="A12312" s="7"/>
      <c r="B12312" s="7"/>
      <c r="M12312" s="9" t="s">
        <v>20</v>
      </c>
    </row>
    <row r="12313" ht="15.75" customHeight="1">
      <c r="A12313" s="7"/>
      <c r="B12313" s="7"/>
      <c r="M12313" s="9" t="s">
        <v>21</v>
      </c>
    </row>
    <row r="12314" ht="15.75" customHeight="1">
      <c r="A12314" s="7"/>
      <c r="B12314" s="7"/>
      <c r="M12314" s="9" t="s">
        <v>22</v>
      </c>
    </row>
    <row r="12315" ht="15.75" customHeight="1">
      <c r="A12315" s="7"/>
      <c r="B12315" s="7"/>
      <c r="M12315" s="9" t="s">
        <v>21</v>
      </c>
    </row>
    <row r="12316" ht="15.75" customHeight="1">
      <c r="A12316" s="7"/>
      <c r="B12316" s="7"/>
      <c r="M12316" s="9" t="s">
        <v>24</v>
      </c>
    </row>
    <row r="12317" ht="15.75" customHeight="1">
      <c r="A12317" s="7"/>
      <c r="B12317" s="7"/>
      <c r="M12317" s="9" t="s">
        <v>21</v>
      </c>
    </row>
    <row r="12318" ht="15.75" customHeight="1">
      <c r="A12318" s="7"/>
      <c r="B12318" s="7"/>
      <c r="M12318" s="9" t="s">
        <v>22</v>
      </c>
    </row>
    <row r="12319" ht="15.75" customHeight="1">
      <c r="A12319" s="7"/>
      <c r="B12319" s="7"/>
      <c r="M12319" s="9" t="s">
        <v>35</v>
      </c>
    </row>
    <row r="12320" ht="15.75" customHeight="1">
      <c r="A12320" s="7"/>
      <c r="B12320" s="7"/>
      <c r="M12320" s="9" t="s">
        <v>30</v>
      </c>
    </row>
    <row r="12321" ht="15.75" customHeight="1">
      <c r="A12321" s="7"/>
      <c r="B12321" s="7"/>
      <c r="M12321" s="9" t="s">
        <v>24</v>
      </c>
    </row>
    <row r="12322" ht="15.75" customHeight="1">
      <c r="A12322" s="7"/>
      <c r="B12322" s="7"/>
      <c r="M12322" s="9" t="s">
        <v>21</v>
      </c>
    </row>
    <row r="12323" ht="15.75" customHeight="1">
      <c r="A12323" s="7"/>
      <c r="B12323" s="7"/>
      <c r="M12323" s="9" t="s">
        <v>37</v>
      </c>
    </row>
    <row r="12324" ht="15.75" customHeight="1">
      <c r="A12324" s="7"/>
      <c r="B12324" s="7"/>
      <c r="M12324" s="9" t="s">
        <v>33</v>
      </c>
    </row>
    <row r="12325" ht="15.75" customHeight="1">
      <c r="A12325" s="7"/>
      <c r="B12325" s="7"/>
      <c r="M12325" s="9" t="s">
        <v>23</v>
      </c>
    </row>
    <row r="12326" ht="15.75" customHeight="1">
      <c r="A12326" s="7"/>
      <c r="B12326" s="7"/>
      <c r="M12326" s="9" t="s">
        <v>26</v>
      </c>
    </row>
    <row r="12327" ht="15.75" customHeight="1">
      <c r="A12327" s="7"/>
      <c r="B12327" s="7"/>
      <c r="M12327" s="9" t="s">
        <v>24</v>
      </c>
    </row>
    <row r="12328" ht="15.75" customHeight="1">
      <c r="A12328" s="7"/>
      <c r="B12328" s="7"/>
      <c r="M12328" s="9" t="s">
        <v>20</v>
      </c>
    </row>
    <row r="12329" ht="15.75" customHeight="1">
      <c r="A12329" s="7"/>
      <c r="B12329" s="7"/>
      <c r="M12329" s="9" t="s">
        <v>21</v>
      </c>
    </row>
    <row r="12330" ht="15.75" customHeight="1">
      <c r="A12330" s="7"/>
      <c r="B12330" s="7"/>
      <c r="M12330" s="9" t="s">
        <v>37</v>
      </c>
    </row>
    <row r="12331" ht="15.75" customHeight="1">
      <c r="A12331" s="7"/>
      <c r="B12331" s="7"/>
      <c r="M12331" s="9" t="s">
        <v>27</v>
      </c>
    </row>
    <row r="12332" ht="15.75" customHeight="1">
      <c r="A12332" s="7"/>
      <c r="B12332" s="7"/>
      <c r="M12332" s="9" t="s">
        <v>33</v>
      </c>
    </row>
    <row r="12333" ht="15.75" customHeight="1">
      <c r="A12333" s="7"/>
      <c r="B12333" s="7"/>
      <c r="M12333" s="9" t="s">
        <v>30</v>
      </c>
    </row>
    <row r="12334" ht="15.75" customHeight="1">
      <c r="A12334" s="7"/>
      <c r="B12334" s="7"/>
      <c r="M12334" s="9" t="s">
        <v>24</v>
      </c>
    </row>
    <row r="12335" ht="15.75" customHeight="1">
      <c r="A12335" s="7"/>
      <c r="B12335" s="7"/>
      <c r="M12335" s="9" t="s">
        <v>21</v>
      </c>
    </row>
    <row r="12336" ht="15.75" customHeight="1">
      <c r="A12336" s="7"/>
      <c r="B12336" s="7"/>
      <c r="M12336" s="9" t="s">
        <v>38</v>
      </c>
    </row>
    <row r="12337" ht="15.75" customHeight="1">
      <c r="A12337" s="7"/>
      <c r="B12337" s="7"/>
      <c r="M12337" s="9" t="s">
        <v>30</v>
      </c>
    </row>
    <row r="12338" ht="15.75" customHeight="1">
      <c r="A12338" s="7"/>
      <c r="B12338" s="7"/>
      <c r="M12338" s="9" t="s">
        <v>25</v>
      </c>
    </row>
    <row r="12339" ht="15.75" customHeight="1">
      <c r="A12339" s="7"/>
      <c r="B12339" s="7"/>
      <c r="M12339" s="9" t="s">
        <v>23</v>
      </c>
    </row>
    <row r="12340" ht="15.75" customHeight="1">
      <c r="A12340" s="7"/>
      <c r="B12340" s="7"/>
      <c r="M12340" s="9" t="s">
        <v>26</v>
      </c>
    </row>
    <row r="12341" ht="15.75" customHeight="1">
      <c r="A12341" s="7"/>
      <c r="B12341" s="7"/>
      <c r="M12341" s="9" t="s">
        <v>24</v>
      </c>
    </row>
    <row r="12342" ht="15.75" customHeight="1">
      <c r="A12342" s="7"/>
      <c r="B12342" s="7"/>
      <c r="M12342" s="9" t="s">
        <v>20</v>
      </c>
    </row>
    <row r="12343" ht="15.75" customHeight="1">
      <c r="A12343" s="7"/>
      <c r="B12343" s="7"/>
      <c r="M12343" s="9" t="s">
        <v>21</v>
      </c>
    </row>
    <row r="12344" ht="15.75" customHeight="1">
      <c r="A12344" s="7"/>
      <c r="B12344" s="7"/>
      <c r="M12344" s="9" t="s">
        <v>37</v>
      </c>
    </row>
    <row r="12345" ht="15.75" customHeight="1">
      <c r="A12345" s="7"/>
      <c r="B12345" s="7"/>
      <c r="M12345" s="9" t="s">
        <v>22</v>
      </c>
    </row>
    <row r="12346" ht="15.75" customHeight="1">
      <c r="A12346" s="7"/>
      <c r="B12346" s="7"/>
      <c r="M12346" s="9" t="s">
        <v>27</v>
      </c>
    </row>
    <row r="12347" ht="15.75" customHeight="1">
      <c r="A12347" s="7"/>
      <c r="B12347" s="7"/>
      <c r="M12347" s="9" t="s">
        <v>28</v>
      </c>
    </row>
    <row r="12348" ht="15.75" customHeight="1">
      <c r="A12348" s="7"/>
      <c r="B12348" s="7"/>
      <c r="M12348" s="9" t="s">
        <v>24</v>
      </c>
    </row>
    <row r="12349" ht="15.75" customHeight="1">
      <c r="A12349" s="7"/>
      <c r="B12349" s="7"/>
      <c r="M12349" s="9" t="s">
        <v>21</v>
      </c>
    </row>
    <row r="12350" ht="15.75" customHeight="1">
      <c r="A12350" s="7"/>
      <c r="B12350" s="7"/>
      <c r="M12350" s="9" t="s">
        <v>37</v>
      </c>
    </row>
    <row r="12351" ht="15.75" customHeight="1">
      <c r="A12351" s="7"/>
      <c r="B12351" s="7"/>
      <c r="M12351" s="9" t="s">
        <v>27</v>
      </c>
    </row>
    <row r="12352" ht="15.75" customHeight="1">
      <c r="A12352" s="7"/>
      <c r="B12352" s="7"/>
      <c r="M12352" s="9" t="s">
        <v>33</v>
      </c>
    </row>
    <row r="12353" ht="15.75" customHeight="1">
      <c r="A12353" s="7"/>
      <c r="B12353" s="7"/>
      <c r="M12353" s="9" t="s">
        <v>20</v>
      </c>
    </row>
    <row r="12354" ht="15.75" customHeight="1">
      <c r="A12354" s="7"/>
      <c r="B12354" s="7"/>
      <c r="M12354" s="9" t="s">
        <v>21</v>
      </c>
    </row>
    <row r="12355" ht="15.75" customHeight="1">
      <c r="A12355" s="7"/>
      <c r="B12355" s="7"/>
      <c r="M12355" s="9" t="s">
        <v>30</v>
      </c>
    </row>
    <row r="12356" ht="15.75" customHeight="1">
      <c r="A12356" s="7"/>
      <c r="B12356" s="7"/>
      <c r="M12356" s="9" t="s">
        <v>20</v>
      </c>
    </row>
    <row r="12357" ht="15.75" customHeight="1">
      <c r="A12357" s="7"/>
      <c r="B12357" s="7"/>
      <c r="M12357" s="9" t="s">
        <v>27</v>
      </c>
    </row>
    <row r="12358" ht="15.75" customHeight="1">
      <c r="A12358" s="7"/>
      <c r="B12358" s="7"/>
      <c r="M12358" s="9" t="s">
        <v>25</v>
      </c>
    </row>
    <row r="12359" ht="15.75" customHeight="1">
      <c r="A12359" s="7"/>
      <c r="B12359" s="7"/>
      <c r="M12359" s="9" t="s">
        <v>23</v>
      </c>
    </row>
    <row r="12360" ht="15.75" customHeight="1">
      <c r="A12360" s="7"/>
      <c r="B12360" s="7"/>
      <c r="M12360" s="9" t="s">
        <v>26</v>
      </c>
    </row>
    <row r="12361" ht="15.75" customHeight="1">
      <c r="A12361" s="7"/>
      <c r="B12361" s="7"/>
      <c r="M12361" s="9" t="s">
        <v>24</v>
      </c>
    </row>
    <row r="12362" ht="15.75" customHeight="1">
      <c r="A12362" s="7"/>
      <c r="B12362" s="7"/>
      <c r="M12362" s="9" t="s">
        <v>22</v>
      </c>
    </row>
    <row r="12363" ht="15.75" customHeight="1">
      <c r="A12363" s="7"/>
      <c r="B12363" s="7"/>
      <c r="M12363" s="9" t="s">
        <v>27</v>
      </c>
    </row>
    <row r="12364" ht="15.75" customHeight="1">
      <c r="A12364" s="7"/>
      <c r="B12364" s="7"/>
      <c r="M12364" s="9" t="s">
        <v>38</v>
      </c>
    </row>
    <row r="12365" ht="15.75" customHeight="1">
      <c r="A12365" s="7"/>
      <c r="B12365" s="7"/>
      <c r="M12365" s="9" t="s">
        <v>26</v>
      </c>
    </row>
    <row r="12366" ht="15.75" customHeight="1">
      <c r="A12366" s="7"/>
      <c r="B12366" s="7"/>
      <c r="M12366" s="9" t="s">
        <v>22</v>
      </c>
    </row>
    <row r="12367" ht="15.75" customHeight="1">
      <c r="A12367" s="7"/>
      <c r="B12367" s="7"/>
      <c r="M12367" s="9" t="s">
        <v>35</v>
      </c>
    </row>
    <row r="12368" ht="15.75" customHeight="1">
      <c r="A12368" s="7"/>
      <c r="B12368" s="7"/>
      <c r="M12368" s="9" t="s">
        <v>24</v>
      </c>
    </row>
    <row r="12369" ht="15.75" customHeight="1">
      <c r="A12369" s="7"/>
      <c r="B12369" s="7"/>
      <c r="M12369" s="9" t="s">
        <v>21</v>
      </c>
    </row>
    <row r="12370" ht="15.75" customHeight="1">
      <c r="A12370" s="7"/>
      <c r="B12370" s="7"/>
      <c r="M12370" s="9" t="s">
        <v>22</v>
      </c>
    </row>
    <row r="12371" ht="15.75" customHeight="1">
      <c r="A12371" s="7"/>
      <c r="B12371" s="7"/>
      <c r="M12371" s="9" t="s">
        <v>31</v>
      </c>
    </row>
    <row r="12372" ht="15.75" customHeight="1">
      <c r="A12372" s="7"/>
      <c r="B12372" s="7"/>
      <c r="M12372" s="9" t="s">
        <v>33</v>
      </c>
    </row>
    <row r="12373" ht="15.75" customHeight="1">
      <c r="A12373" s="7"/>
      <c r="B12373" s="7"/>
      <c r="M12373" s="9" t="s">
        <v>26</v>
      </c>
    </row>
    <row r="12374" ht="15.75" customHeight="1">
      <c r="A12374" s="7"/>
      <c r="B12374" s="7"/>
      <c r="M12374" s="9" t="s">
        <v>24</v>
      </c>
    </row>
    <row r="12375" ht="15.75" customHeight="1">
      <c r="A12375" s="7"/>
      <c r="B12375" s="7"/>
      <c r="M12375" s="9" t="s">
        <v>20</v>
      </c>
    </row>
    <row r="12376" ht="15.75" customHeight="1">
      <c r="A12376" s="7"/>
      <c r="B12376" s="7"/>
      <c r="M12376" s="9" t="s">
        <v>21</v>
      </c>
    </row>
    <row r="12377" ht="15.75" customHeight="1">
      <c r="A12377" s="7"/>
      <c r="B12377" s="7"/>
      <c r="M12377" s="9" t="s">
        <v>22</v>
      </c>
    </row>
    <row r="12378" ht="15.75" customHeight="1">
      <c r="A12378" s="7"/>
      <c r="B12378" s="7"/>
      <c r="M12378" s="9" t="s">
        <v>27</v>
      </c>
    </row>
    <row r="12379" ht="15.75" customHeight="1">
      <c r="A12379" s="7"/>
      <c r="B12379" s="7"/>
      <c r="M12379" s="9" t="s">
        <v>33</v>
      </c>
    </row>
    <row r="12380" ht="15.75" customHeight="1">
      <c r="A12380" s="7"/>
      <c r="B12380" s="7"/>
      <c r="M12380" s="9" t="s">
        <v>25</v>
      </c>
    </row>
    <row r="12381" ht="15.75" customHeight="1">
      <c r="A12381" s="7"/>
      <c r="B12381" s="7"/>
      <c r="M12381" s="9" t="s">
        <v>23</v>
      </c>
    </row>
    <row r="12382" ht="15.75" customHeight="1">
      <c r="A12382" s="7"/>
      <c r="B12382" s="7"/>
      <c r="M12382" s="9" t="s">
        <v>24</v>
      </c>
    </row>
    <row r="12383" ht="15.75" customHeight="1">
      <c r="A12383" s="7"/>
      <c r="B12383" s="7"/>
      <c r="M12383" s="9" t="s">
        <v>20</v>
      </c>
    </row>
    <row r="12384" ht="15.75" customHeight="1">
      <c r="A12384" s="7"/>
      <c r="B12384" s="7"/>
      <c r="M12384" s="9" t="s">
        <v>21</v>
      </c>
    </row>
    <row r="12385" ht="15.75" customHeight="1">
      <c r="A12385" s="7"/>
      <c r="B12385" s="7"/>
      <c r="M12385" s="9" t="s">
        <v>37</v>
      </c>
    </row>
    <row r="12386" ht="15.75" customHeight="1">
      <c r="A12386" s="7"/>
      <c r="B12386" s="7"/>
      <c r="M12386" s="9" t="s">
        <v>22</v>
      </c>
    </row>
    <row r="12387" ht="15.75" customHeight="1">
      <c r="A12387" s="7"/>
      <c r="B12387" s="7"/>
      <c r="M12387" s="9" t="s">
        <v>27</v>
      </c>
    </row>
    <row r="12388" ht="15.75" customHeight="1">
      <c r="A12388" s="7"/>
      <c r="B12388" s="7"/>
      <c r="M12388" s="9" t="s">
        <v>40</v>
      </c>
    </row>
    <row r="12389" ht="15.75" customHeight="1">
      <c r="A12389" s="7"/>
      <c r="B12389" s="7"/>
      <c r="M12389" s="9" t="s">
        <v>38</v>
      </c>
    </row>
    <row r="12390" ht="15.75" customHeight="1">
      <c r="A12390" s="7"/>
      <c r="B12390" s="7"/>
      <c r="M12390" s="9" t="s">
        <v>24</v>
      </c>
    </row>
    <row r="12391" ht="15.75" customHeight="1">
      <c r="A12391" s="7"/>
      <c r="B12391" s="7"/>
      <c r="M12391" s="9" t="s">
        <v>20</v>
      </c>
    </row>
    <row r="12392" ht="15.75" customHeight="1">
      <c r="A12392" s="7"/>
      <c r="B12392" s="7"/>
      <c r="M12392" s="9" t="s">
        <v>21</v>
      </c>
    </row>
    <row r="12393" ht="15.75" customHeight="1">
      <c r="A12393" s="7"/>
      <c r="B12393" s="7"/>
      <c r="M12393" s="9" t="s">
        <v>26</v>
      </c>
    </row>
    <row r="12394" ht="15.75" customHeight="1">
      <c r="A12394" s="7"/>
      <c r="B12394" s="7"/>
      <c r="M12394" s="9" t="s">
        <v>20</v>
      </c>
    </row>
    <row r="12395" ht="15.75" customHeight="1">
      <c r="A12395" s="7"/>
      <c r="B12395" s="7"/>
      <c r="M12395" s="9" t="s">
        <v>27</v>
      </c>
    </row>
    <row r="12396" ht="15.75" customHeight="1">
      <c r="A12396" s="7"/>
      <c r="B12396" s="7"/>
      <c r="M12396" s="9" t="s">
        <v>35</v>
      </c>
    </row>
    <row r="12397" ht="15.75" customHeight="1">
      <c r="A12397" s="7"/>
      <c r="B12397" s="7"/>
      <c r="M12397" s="9" t="s">
        <v>25</v>
      </c>
    </row>
    <row r="12398" ht="15.75" customHeight="1">
      <c r="A12398" s="7"/>
      <c r="B12398" s="7"/>
      <c r="M12398" s="9" t="s">
        <v>26</v>
      </c>
    </row>
    <row r="12399" ht="15.75" customHeight="1">
      <c r="A12399" s="7"/>
      <c r="B12399" s="7"/>
      <c r="M12399" s="9" t="s">
        <v>24</v>
      </c>
    </row>
    <row r="12400" ht="15.75" customHeight="1">
      <c r="A12400" s="7"/>
      <c r="B12400" s="7"/>
      <c r="M12400" s="9" t="s">
        <v>21</v>
      </c>
    </row>
    <row r="12401" ht="15.75" customHeight="1">
      <c r="A12401" s="7"/>
      <c r="B12401" s="7"/>
      <c r="M12401" s="9" t="s">
        <v>27</v>
      </c>
    </row>
    <row r="12402" ht="15.75" customHeight="1">
      <c r="A12402" s="7"/>
      <c r="B12402" s="7"/>
      <c r="M12402" s="9" t="s">
        <v>36</v>
      </c>
    </row>
    <row r="12403" ht="15.75" customHeight="1">
      <c r="A12403" s="7"/>
      <c r="B12403" s="7"/>
      <c r="M12403" s="9" t="s">
        <v>24</v>
      </c>
    </row>
    <row r="12404" ht="15.75" customHeight="1">
      <c r="A12404" s="7"/>
      <c r="B12404" s="7"/>
      <c r="M12404" s="9" t="s">
        <v>21</v>
      </c>
    </row>
    <row r="12405" ht="15.75" customHeight="1">
      <c r="A12405" s="7"/>
      <c r="B12405" s="7"/>
      <c r="M12405" s="9" t="s">
        <v>37</v>
      </c>
    </row>
    <row r="12406" ht="15.75" customHeight="1">
      <c r="A12406" s="7"/>
      <c r="B12406" s="7"/>
      <c r="M12406" s="9" t="s">
        <v>33</v>
      </c>
    </row>
    <row r="12407" ht="15.75" customHeight="1">
      <c r="A12407" s="7"/>
      <c r="B12407" s="7"/>
      <c r="M12407" s="9" t="s">
        <v>25</v>
      </c>
    </row>
    <row r="12408" ht="15.75" customHeight="1">
      <c r="A12408" s="7"/>
      <c r="B12408" s="7"/>
      <c r="M12408" s="9" t="s">
        <v>26</v>
      </c>
    </row>
    <row r="12409" ht="15.75" customHeight="1">
      <c r="A12409" s="7"/>
      <c r="B12409" s="7"/>
      <c r="M12409" s="9" t="s">
        <v>20</v>
      </c>
    </row>
    <row r="12410" ht="15.75" customHeight="1">
      <c r="A12410" s="7"/>
      <c r="B12410" s="7"/>
      <c r="M12410" s="9" t="s">
        <v>39</v>
      </c>
    </row>
    <row r="12411" ht="15.75" customHeight="1">
      <c r="A12411" s="7"/>
      <c r="B12411" s="7"/>
      <c r="M12411" s="9" t="s">
        <v>30</v>
      </c>
    </row>
    <row r="12412" ht="15.75" customHeight="1">
      <c r="A12412" s="7"/>
      <c r="B12412" s="7"/>
      <c r="M12412" s="9" t="s">
        <v>24</v>
      </c>
    </row>
    <row r="12413" ht="15.75" customHeight="1">
      <c r="A12413" s="7"/>
      <c r="B12413" s="7"/>
      <c r="M12413" s="9" t="s">
        <v>21</v>
      </c>
    </row>
    <row r="12414" ht="15.75" customHeight="1">
      <c r="A12414" s="7"/>
      <c r="B12414" s="7"/>
      <c r="M12414" s="9" t="s">
        <v>31</v>
      </c>
    </row>
    <row r="12415" ht="15.75" customHeight="1">
      <c r="A12415" s="7"/>
      <c r="B12415" s="7"/>
      <c r="M12415" s="9" t="s">
        <v>27</v>
      </c>
    </row>
    <row r="12416" ht="15.75" customHeight="1">
      <c r="A12416" s="7"/>
      <c r="B12416" s="7"/>
      <c r="M12416" s="9" t="s">
        <v>21</v>
      </c>
    </row>
    <row r="12417" ht="15.75" customHeight="1">
      <c r="A12417" s="7"/>
      <c r="B12417" s="7"/>
      <c r="M12417" s="9" t="s">
        <v>37</v>
      </c>
    </row>
    <row r="12418" ht="15.75" customHeight="1">
      <c r="A12418" s="7"/>
      <c r="B12418" s="7"/>
      <c r="M12418" s="9" t="s">
        <v>27</v>
      </c>
    </row>
    <row r="12419" ht="15.75" customHeight="1">
      <c r="A12419" s="7"/>
      <c r="B12419" s="7"/>
      <c r="M12419" s="9" t="s">
        <v>30</v>
      </c>
    </row>
    <row r="12420" ht="15.75" customHeight="1">
      <c r="A12420" s="7"/>
      <c r="B12420" s="7"/>
      <c r="M12420" s="9" t="s">
        <v>25</v>
      </c>
    </row>
    <row r="12421" ht="15.75" customHeight="1">
      <c r="A12421" s="7"/>
      <c r="B12421" s="7"/>
      <c r="M12421" s="9" t="s">
        <v>23</v>
      </c>
    </row>
    <row r="12422" ht="15.75" customHeight="1">
      <c r="A12422" s="7"/>
      <c r="B12422" s="7"/>
      <c r="M12422" s="9" t="s">
        <v>26</v>
      </c>
    </row>
    <row r="12423" ht="15.75" customHeight="1">
      <c r="A12423" s="7"/>
      <c r="B12423" s="7"/>
      <c r="M12423" s="9" t="s">
        <v>22</v>
      </c>
    </row>
    <row r="12424" ht="15.75" customHeight="1">
      <c r="A12424" s="7"/>
      <c r="B12424" s="7"/>
      <c r="M12424" s="9" t="s">
        <v>20</v>
      </c>
    </row>
    <row r="12425" ht="15.75" customHeight="1">
      <c r="A12425" s="7"/>
      <c r="B12425" s="7"/>
      <c r="M12425" s="9" t="s">
        <v>21</v>
      </c>
    </row>
    <row r="12426" ht="15.75" customHeight="1">
      <c r="A12426" s="7"/>
      <c r="B12426" s="7"/>
      <c r="M12426" s="9" t="s">
        <v>32</v>
      </c>
    </row>
    <row r="12427" ht="15.75" customHeight="1">
      <c r="A12427" s="7"/>
      <c r="B12427" s="7"/>
      <c r="M12427" s="9" t="s">
        <v>33</v>
      </c>
    </row>
    <row r="12428" ht="15.75" customHeight="1">
      <c r="A12428" s="7"/>
      <c r="B12428" s="7"/>
      <c r="M12428" s="9" t="s">
        <v>24</v>
      </c>
    </row>
    <row r="12429" ht="15.75" customHeight="1">
      <c r="A12429" s="7"/>
      <c r="B12429" s="7"/>
      <c r="M12429" s="9" t="s">
        <v>20</v>
      </c>
    </row>
    <row r="12430" ht="15.75" customHeight="1">
      <c r="A12430" s="7"/>
      <c r="B12430" s="7"/>
      <c r="M12430" s="9" t="s">
        <v>30</v>
      </c>
    </row>
    <row r="12431" ht="15.75" customHeight="1">
      <c r="A12431" s="7"/>
      <c r="B12431" s="7"/>
      <c r="M12431" s="9" t="s">
        <v>26</v>
      </c>
    </row>
    <row r="12432" ht="15.75" customHeight="1">
      <c r="A12432" s="7"/>
      <c r="B12432" s="7"/>
      <c r="M12432" s="9" t="s">
        <v>24</v>
      </c>
    </row>
    <row r="12433" ht="15.75" customHeight="1">
      <c r="A12433" s="7"/>
      <c r="B12433" s="7"/>
      <c r="M12433" s="9" t="s">
        <v>21</v>
      </c>
    </row>
    <row r="12434" ht="15.75" customHeight="1">
      <c r="A12434" s="7"/>
      <c r="B12434" s="7"/>
      <c r="M12434" s="9" t="s">
        <v>37</v>
      </c>
    </row>
    <row r="12435" ht="15.75" customHeight="1">
      <c r="A12435" s="7"/>
      <c r="B12435" s="7"/>
      <c r="M12435" s="9" t="s">
        <v>27</v>
      </c>
    </row>
    <row r="12436" ht="15.75" customHeight="1">
      <c r="A12436" s="7"/>
      <c r="B12436" s="7"/>
      <c r="M12436" s="9" t="s">
        <v>30</v>
      </c>
    </row>
    <row r="12437" ht="15.75" customHeight="1">
      <c r="A12437" s="7"/>
      <c r="B12437" s="7"/>
      <c r="M12437" s="9" t="s">
        <v>25</v>
      </c>
    </row>
    <row r="12438" ht="15.75" customHeight="1">
      <c r="A12438" s="7"/>
      <c r="B12438" s="7"/>
      <c r="M12438" s="9" t="s">
        <v>23</v>
      </c>
    </row>
    <row r="12439" ht="15.75" customHeight="1">
      <c r="A12439" s="7"/>
      <c r="B12439" s="7"/>
      <c r="M12439" s="9" t="s">
        <v>26</v>
      </c>
    </row>
    <row r="12440" ht="15.75" customHeight="1">
      <c r="A12440" s="7"/>
      <c r="B12440" s="7"/>
      <c r="M12440" s="9" t="s">
        <v>45</v>
      </c>
    </row>
    <row r="12441" ht="15.75" customHeight="1">
      <c r="A12441" s="7"/>
      <c r="B12441" s="7"/>
      <c r="M12441" s="9" t="s">
        <v>36</v>
      </c>
    </row>
    <row r="12442" ht="15.75" customHeight="1">
      <c r="A12442" s="7"/>
      <c r="B12442" s="7"/>
      <c r="M12442" s="9" t="s">
        <v>24</v>
      </c>
    </row>
    <row r="12443" ht="15.75" customHeight="1">
      <c r="A12443" s="7"/>
      <c r="B12443" s="7"/>
      <c r="M12443" s="9" t="s">
        <v>20</v>
      </c>
    </row>
    <row r="12444" ht="15.75" customHeight="1">
      <c r="A12444" s="7"/>
      <c r="B12444" s="7"/>
      <c r="M12444" s="9" t="s">
        <v>21</v>
      </c>
    </row>
    <row r="12445" ht="15.75" customHeight="1">
      <c r="A12445" s="7"/>
      <c r="B12445" s="7"/>
      <c r="M12445" s="9" t="s">
        <v>41</v>
      </c>
    </row>
    <row r="12446" ht="15.75" customHeight="1">
      <c r="A12446" s="7"/>
      <c r="B12446" s="7"/>
      <c r="M12446" s="9" t="s">
        <v>37</v>
      </c>
    </row>
    <row r="12447" ht="15.75" customHeight="1">
      <c r="A12447" s="7"/>
      <c r="B12447" s="7"/>
      <c r="M12447" s="9" t="s">
        <v>22</v>
      </c>
    </row>
    <row r="12448" ht="15.75" customHeight="1">
      <c r="A12448" s="7"/>
      <c r="B12448" s="7"/>
      <c r="M12448" s="9" t="s">
        <v>31</v>
      </c>
    </row>
    <row r="12449" ht="15.75" customHeight="1">
      <c r="A12449" s="7"/>
      <c r="B12449" s="7"/>
      <c r="M12449" s="9" t="s">
        <v>27</v>
      </c>
    </row>
    <row r="12450" ht="15.75" customHeight="1">
      <c r="A12450" s="7"/>
      <c r="B12450" s="7"/>
      <c r="M12450" s="9" t="s">
        <v>40</v>
      </c>
    </row>
    <row r="12451" ht="15.75" customHeight="1">
      <c r="A12451" s="7"/>
      <c r="B12451" s="7"/>
      <c r="M12451" s="9" t="s">
        <v>28</v>
      </c>
    </row>
    <row r="12452" ht="15.75" customHeight="1">
      <c r="A12452" s="7"/>
      <c r="B12452" s="7"/>
      <c r="M12452" s="9" t="s">
        <v>35</v>
      </c>
    </row>
    <row r="12453" ht="15.75" customHeight="1">
      <c r="A12453" s="7"/>
      <c r="B12453" s="7"/>
      <c r="M12453" s="9" t="s">
        <v>38</v>
      </c>
    </row>
    <row r="12454" ht="15.75" customHeight="1">
      <c r="A12454" s="7"/>
      <c r="B12454" s="7"/>
      <c r="M12454" s="9" t="s">
        <v>25</v>
      </c>
    </row>
    <row r="12455" ht="15.75" customHeight="1">
      <c r="A12455" s="7"/>
      <c r="B12455" s="7"/>
      <c r="M12455" s="9" t="s">
        <v>23</v>
      </c>
    </row>
    <row r="12456" ht="15.75" customHeight="1">
      <c r="A12456" s="7"/>
      <c r="B12456" s="7"/>
      <c r="M12456" s="9" t="s">
        <v>26</v>
      </c>
    </row>
    <row r="12457" ht="15.75" customHeight="1">
      <c r="A12457" s="7"/>
      <c r="B12457" s="7"/>
      <c r="M12457" s="9" t="s">
        <v>24</v>
      </c>
    </row>
    <row r="12458" ht="15.75" customHeight="1">
      <c r="A12458" s="7"/>
      <c r="B12458" s="7"/>
      <c r="M12458" s="9" t="s">
        <v>21</v>
      </c>
    </row>
    <row r="12459" ht="15.75" customHeight="1">
      <c r="A12459" s="7"/>
      <c r="B12459" s="7"/>
      <c r="M12459" s="9" t="s">
        <v>37</v>
      </c>
    </row>
    <row r="12460" ht="15.75" customHeight="1">
      <c r="A12460" s="7"/>
      <c r="B12460" s="7"/>
      <c r="M12460" s="9" t="s">
        <v>27</v>
      </c>
    </row>
    <row r="12461" ht="15.75" customHeight="1">
      <c r="A12461" s="7"/>
      <c r="B12461" s="7"/>
      <c r="M12461" s="9" t="s">
        <v>30</v>
      </c>
    </row>
    <row r="12462" ht="15.75" customHeight="1">
      <c r="A12462" s="7"/>
      <c r="B12462" s="7"/>
      <c r="M12462" s="9" t="s">
        <v>24</v>
      </c>
    </row>
    <row r="12463" ht="15.75" customHeight="1">
      <c r="A12463" s="7"/>
      <c r="B12463" s="7"/>
      <c r="M12463" s="9" t="s">
        <v>21</v>
      </c>
    </row>
    <row r="12464" ht="15.75" customHeight="1">
      <c r="A12464" s="7"/>
      <c r="B12464" s="7"/>
      <c r="M12464" s="9" t="s">
        <v>33</v>
      </c>
    </row>
    <row r="12465" ht="15.75" customHeight="1">
      <c r="A12465" s="7"/>
      <c r="B12465" s="7"/>
      <c r="M12465" s="9" t="s">
        <v>21</v>
      </c>
    </row>
    <row r="12466" ht="15.75" customHeight="1">
      <c r="A12466" s="7"/>
      <c r="B12466" s="7"/>
      <c r="M12466" s="9" t="s">
        <v>41</v>
      </c>
    </row>
    <row r="12467" ht="15.75" customHeight="1">
      <c r="A12467" s="7"/>
      <c r="B12467" s="7"/>
      <c r="M12467" s="9" t="s">
        <v>37</v>
      </c>
    </row>
    <row r="12468" ht="15.75" customHeight="1">
      <c r="A12468" s="7"/>
      <c r="B12468" s="7"/>
      <c r="M12468" s="9" t="s">
        <v>40</v>
      </c>
    </row>
    <row r="12469" ht="15.75" customHeight="1">
      <c r="A12469" s="7"/>
      <c r="B12469" s="7"/>
      <c r="M12469" s="9" t="s">
        <v>33</v>
      </c>
    </row>
    <row r="12470" ht="15.75" customHeight="1">
      <c r="A12470" s="7"/>
      <c r="B12470" s="7"/>
      <c r="M12470" s="9" t="s">
        <v>35</v>
      </c>
    </row>
    <row r="12471" ht="15.75" customHeight="1">
      <c r="A12471" s="7"/>
      <c r="B12471" s="7"/>
      <c r="M12471" s="9" t="s">
        <v>30</v>
      </c>
    </row>
    <row r="12472" ht="15.75" customHeight="1">
      <c r="A12472" s="7"/>
      <c r="B12472" s="7"/>
      <c r="M12472" s="9" t="s">
        <v>25</v>
      </c>
    </row>
    <row r="12473" ht="15.75" customHeight="1">
      <c r="A12473" s="7"/>
      <c r="B12473" s="7"/>
      <c r="M12473" s="9" t="s">
        <v>23</v>
      </c>
    </row>
    <row r="12474" ht="15.75" customHeight="1">
      <c r="A12474" s="7"/>
      <c r="B12474" s="7"/>
      <c r="M12474" s="9" t="s">
        <v>24</v>
      </c>
    </row>
    <row r="12475" ht="15.75" customHeight="1">
      <c r="A12475" s="7"/>
      <c r="B12475" s="7"/>
      <c r="M12475" s="9" t="s">
        <v>21</v>
      </c>
    </row>
    <row r="12476" ht="15.75" customHeight="1">
      <c r="A12476" s="7"/>
      <c r="B12476" s="7"/>
      <c r="M12476" s="9" t="s">
        <v>22</v>
      </c>
    </row>
    <row r="12477" ht="15.75" customHeight="1">
      <c r="A12477" s="7"/>
      <c r="B12477" s="7"/>
      <c r="M12477" s="9" t="s">
        <v>33</v>
      </c>
    </row>
    <row r="12478" ht="15.75" customHeight="1">
      <c r="A12478" s="7"/>
      <c r="B12478" s="7"/>
      <c r="M12478" s="9" t="s">
        <v>38</v>
      </c>
    </row>
    <row r="12479" ht="15.75" customHeight="1">
      <c r="A12479" s="7"/>
      <c r="B12479" s="7"/>
      <c r="M12479" s="9" t="s">
        <v>30</v>
      </c>
    </row>
    <row r="12480" ht="15.75" customHeight="1">
      <c r="A12480" s="7"/>
      <c r="B12480" s="7"/>
      <c r="M12480" s="9" t="s">
        <v>25</v>
      </c>
    </row>
    <row r="12481" ht="15.75" customHeight="1">
      <c r="A12481" s="7"/>
      <c r="B12481" s="7"/>
      <c r="M12481" s="9" t="s">
        <v>23</v>
      </c>
    </row>
    <row r="12482" ht="15.75" customHeight="1">
      <c r="A12482" s="7"/>
      <c r="B12482" s="7"/>
      <c r="M12482" s="9" t="s">
        <v>40</v>
      </c>
    </row>
    <row r="12483" ht="15.75" customHeight="1">
      <c r="A12483" s="7"/>
      <c r="B12483" s="7"/>
      <c r="M12483" s="9" t="s">
        <v>33</v>
      </c>
    </row>
    <row r="12484" ht="15.75" customHeight="1">
      <c r="A12484" s="7"/>
      <c r="B12484" s="7"/>
      <c r="M12484" s="9" t="s">
        <v>24</v>
      </c>
    </row>
    <row r="12485" ht="15.75" customHeight="1">
      <c r="A12485" s="7"/>
      <c r="B12485" s="7"/>
      <c r="M12485" s="9" t="s">
        <v>21</v>
      </c>
    </row>
    <row r="12486" ht="15.75" customHeight="1">
      <c r="A12486" s="7"/>
      <c r="B12486" s="7"/>
      <c r="M12486" s="9" t="s">
        <v>37</v>
      </c>
    </row>
    <row r="12487" ht="15.75" customHeight="1">
      <c r="A12487" s="7"/>
      <c r="B12487" s="7"/>
      <c r="M12487" s="9" t="s">
        <v>27</v>
      </c>
    </row>
    <row r="12488" ht="15.75" customHeight="1">
      <c r="A12488" s="7"/>
      <c r="B12488" s="7"/>
      <c r="M12488" s="9" t="s">
        <v>21</v>
      </c>
    </row>
    <row r="12489" ht="15.75" customHeight="1">
      <c r="A12489" s="7"/>
      <c r="B12489" s="7"/>
      <c r="M12489" s="9" t="s">
        <v>22</v>
      </c>
    </row>
    <row r="12490" ht="15.75" customHeight="1">
      <c r="A12490" s="7"/>
      <c r="B12490" s="7"/>
      <c r="M12490" s="9" t="s">
        <v>30</v>
      </c>
    </row>
    <row r="12491" ht="15.75" customHeight="1">
      <c r="A12491" s="7"/>
      <c r="B12491" s="7"/>
      <c r="M12491" s="9" t="s">
        <v>24</v>
      </c>
    </row>
    <row r="12492" ht="15.75" customHeight="1">
      <c r="A12492" s="7"/>
      <c r="B12492" s="7"/>
      <c r="M12492" s="9" t="s">
        <v>21</v>
      </c>
    </row>
    <row r="12493" ht="15.75" customHeight="1">
      <c r="A12493" s="7"/>
      <c r="B12493" s="7"/>
      <c r="M12493" s="9" t="s">
        <v>22</v>
      </c>
    </row>
    <row r="12494" ht="15.75" customHeight="1">
      <c r="A12494" s="7"/>
      <c r="B12494" s="7"/>
      <c r="M12494" s="9" t="s">
        <v>27</v>
      </c>
    </row>
    <row r="12495" ht="15.75" customHeight="1">
      <c r="A12495" s="7"/>
      <c r="B12495" s="7"/>
      <c r="M12495" s="9" t="s">
        <v>38</v>
      </c>
    </row>
    <row r="12496" ht="15.75" customHeight="1">
      <c r="A12496" s="7"/>
      <c r="B12496" s="7"/>
      <c r="M12496" s="9" t="s">
        <v>25</v>
      </c>
    </row>
    <row r="12497" ht="15.75" customHeight="1">
      <c r="A12497" s="7"/>
      <c r="B12497" s="7"/>
      <c r="M12497" s="9" t="s">
        <v>26</v>
      </c>
    </row>
    <row r="12498" ht="15.75" customHeight="1">
      <c r="A12498" s="7"/>
      <c r="B12498" s="7"/>
      <c r="M12498" s="9" t="s">
        <v>24</v>
      </c>
    </row>
    <row r="12499" ht="15.75" customHeight="1">
      <c r="A12499" s="7"/>
      <c r="B12499" s="7"/>
      <c r="M12499" s="9" t="s">
        <v>20</v>
      </c>
    </row>
    <row r="12500" ht="15.75" customHeight="1">
      <c r="A12500" s="7"/>
      <c r="B12500" s="7"/>
      <c r="M12500" s="9" t="s">
        <v>21</v>
      </c>
    </row>
    <row r="12501" ht="15.75" customHeight="1">
      <c r="A12501" s="7"/>
      <c r="B12501" s="7"/>
      <c r="M12501" s="9" t="s">
        <v>37</v>
      </c>
    </row>
    <row r="12502" ht="15.75" customHeight="1">
      <c r="A12502" s="7"/>
      <c r="B12502" s="7"/>
      <c r="M12502" s="9" t="s">
        <v>22</v>
      </c>
    </row>
    <row r="12503" ht="15.75" customHeight="1">
      <c r="A12503" s="7"/>
      <c r="B12503" s="7"/>
      <c r="M12503" s="9" t="s">
        <v>27</v>
      </c>
    </row>
    <row r="12504" ht="15.75" customHeight="1">
      <c r="A12504" s="7"/>
      <c r="B12504" s="7"/>
      <c r="M12504" s="9" t="s">
        <v>28</v>
      </c>
    </row>
    <row r="12505" ht="15.75" customHeight="1">
      <c r="A12505" s="7"/>
      <c r="B12505" s="7"/>
      <c r="M12505" s="9" t="s">
        <v>24</v>
      </c>
    </row>
    <row r="12506" ht="15.75" customHeight="1">
      <c r="A12506" s="7"/>
      <c r="B12506" s="7"/>
      <c r="M12506" s="9" t="s">
        <v>37</v>
      </c>
    </row>
    <row r="12507" ht="15.75" customHeight="1">
      <c r="A12507" s="7"/>
      <c r="B12507" s="7"/>
      <c r="M12507" s="9" t="s">
        <v>22</v>
      </c>
    </row>
    <row r="12508" ht="15.75" customHeight="1">
      <c r="A12508" s="7"/>
      <c r="B12508" s="7"/>
      <c r="M12508" s="9" t="s">
        <v>27</v>
      </c>
    </row>
    <row r="12509" ht="15.75" customHeight="1">
      <c r="A12509" s="7"/>
      <c r="B12509" s="7"/>
      <c r="M12509" s="9" t="s">
        <v>21</v>
      </c>
    </row>
    <row r="12510" ht="15.75" customHeight="1">
      <c r="A12510" s="7"/>
      <c r="B12510" s="7"/>
      <c r="M12510" s="9" t="s">
        <v>31</v>
      </c>
    </row>
    <row r="12511" ht="15.75" customHeight="1">
      <c r="A12511" s="7"/>
      <c r="B12511" s="7"/>
      <c r="M12511" s="9" t="s">
        <v>27</v>
      </c>
    </row>
    <row r="12512" ht="15.75" customHeight="1">
      <c r="A12512" s="7"/>
      <c r="B12512" s="7"/>
      <c r="M12512" s="9" t="s">
        <v>30</v>
      </c>
    </row>
    <row r="12513" ht="15.75" customHeight="1">
      <c r="A12513" s="7"/>
      <c r="B12513" s="7"/>
      <c r="M12513" s="9" t="s">
        <v>23</v>
      </c>
    </row>
    <row r="12514" ht="15.75" customHeight="1">
      <c r="A12514" s="7"/>
      <c r="B12514" s="7"/>
      <c r="M12514" s="9" t="s">
        <v>26</v>
      </c>
    </row>
    <row r="12515" ht="15.75" customHeight="1">
      <c r="A12515" s="7"/>
      <c r="B12515" s="7"/>
      <c r="M12515" s="9" t="s">
        <v>24</v>
      </c>
    </row>
    <row r="12516" ht="15.75" customHeight="1">
      <c r="A12516" s="7"/>
      <c r="B12516" s="7"/>
      <c r="M12516" s="9" t="s">
        <v>21</v>
      </c>
    </row>
    <row r="12517" ht="15.75" customHeight="1">
      <c r="A12517" s="7"/>
      <c r="B12517" s="7"/>
      <c r="M12517" s="9" t="s">
        <v>37</v>
      </c>
    </row>
    <row r="12518" ht="15.75" customHeight="1">
      <c r="A12518" s="7"/>
      <c r="B12518" s="7"/>
      <c r="M12518" s="9" t="s">
        <v>27</v>
      </c>
    </row>
    <row r="12519" ht="15.75" customHeight="1">
      <c r="A12519" s="7"/>
      <c r="B12519" s="7"/>
      <c r="M12519" s="9" t="s">
        <v>33</v>
      </c>
    </row>
    <row r="12520" ht="15.75" customHeight="1">
      <c r="A12520" s="7"/>
      <c r="B12520" s="7"/>
      <c r="M12520" s="9" t="s">
        <v>30</v>
      </c>
    </row>
    <row r="12521" ht="15.75" customHeight="1">
      <c r="A12521" s="7"/>
      <c r="B12521" s="7"/>
      <c r="M12521" s="9" t="s">
        <v>26</v>
      </c>
    </row>
    <row r="12522" ht="15.75" customHeight="1">
      <c r="A12522" s="7"/>
      <c r="B12522" s="7"/>
      <c r="M12522" s="9" t="s">
        <v>24</v>
      </c>
    </row>
    <row r="12523" ht="15.75" customHeight="1">
      <c r="A12523" s="7"/>
      <c r="B12523" s="7"/>
      <c r="M12523" s="9" t="s">
        <v>20</v>
      </c>
    </row>
    <row r="12524" ht="15.75" customHeight="1">
      <c r="A12524" s="7"/>
      <c r="B12524" s="7"/>
      <c r="M12524" s="9" t="s">
        <v>21</v>
      </c>
    </row>
    <row r="12525" ht="15.75" customHeight="1">
      <c r="A12525" s="7"/>
      <c r="B12525" s="7"/>
      <c r="M12525" s="9" t="s">
        <v>27</v>
      </c>
    </row>
    <row r="12526" ht="15.75" customHeight="1">
      <c r="A12526" s="7"/>
      <c r="B12526" s="7"/>
      <c r="M12526" s="9" t="s">
        <v>30</v>
      </c>
    </row>
    <row r="12527" ht="15.75" customHeight="1">
      <c r="A12527" s="7"/>
      <c r="B12527" s="7"/>
      <c r="M12527" s="9" t="s">
        <v>25</v>
      </c>
    </row>
    <row r="12528" ht="15.75" customHeight="1">
      <c r="A12528" s="7"/>
      <c r="B12528" s="7"/>
      <c r="M12528" s="9" t="s">
        <v>23</v>
      </c>
    </row>
    <row r="12529" ht="15.75" customHeight="1">
      <c r="A12529" s="7"/>
      <c r="B12529" s="7"/>
      <c r="M12529" s="9" t="s">
        <v>26</v>
      </c>
    </row>
    <row r="12530" ht="15.75" customHeight="1">
      <c r="A12530" s="7"/>
      <c r="B12530" s="7"/>
      <c r="M12530" s="9" t="s">
        <v>44</v>
      </c>
    </row>
    <row r="12531" ht="15.75" customHeight="1">
      <c r="A12531" s="7"/>
      <c r="B12531" s="7"/>
      <c r="M12531" s="9" t="s">
        <v>36</v>
      </c>
    </row>
    <row r="12532" ht="15.75" customHeight="1">
      <c r="A12532" s="7"/>
      <c r="B12532" s="7"/>
      <c r="M12532" s="9" t="s">
        <v>24</v>
      </c>
    </row>
    <row r="12533" ht="15.75" customHeight="1">
      <c r="A12533" s="7"/>
      <c r="B12533" s="7"/>
      <c r="M12533" s="9" t="s">
        <v>20</v>
      </c>
    </row>
    <row r="12534" ht="15.75" customHeight="1">
      <c r="A12534" s="7"/>
      <c r="B12534" s="7"/>
      <c r="M12534" s="9" t="s">
        <v>21</v>
      </c>
    </row>
    <row r="12535" ht="15.75" customHeight="1">
      <c r="A12535" s="7"/>
      <c r="B12535" s="7"/>
      <c r="M12535" s="9" t="s">
        <v>41</v>
      </c>
    </row>
    <row r="12536" ht="15.75" customHeight="1">
      <c r="A12536" s="7"/>
      <c r="B12536" s="7"/>
      <c r="M12536" s="9" t="s">
        <v>37</v>
      </c>
    </row>
    <row r="12537" ht="15.75" customHeight="1">
      <c r="A12537" s="7"/>
      <c r="B12537" s="7"/>
      <c r="M12537" s="9" t="s">
        <v>22</v>
      </c>
    </row>
    <row r="12538" ht="15.75" customHeight="1">
      <c r="A12538" s="7"/>
      <c r="B12538" s="7"/>
      <c r="M12538" s="9" t="s">
        <v>29</v>
      </c>
    </row>
    <row r="12539" ht="15.75" customHeight="1">
      <c r="A12539" s="7"/>
      <c r="B12539" s="7"/>
      <c r="M12539" s="9" t="s">
        <v>31</v>
      </c>
    </row>
    <row r="12540" ht="15.75" customHeight="1">
      <c r="A12540" s="7"/>
      <c r="B12540" s="7"/>
      <c r="M12540" s="9" t="s">
        <v>46</v>
      </c>
    </row>
    <row r="12541" ht="15.75" customHeight="1">
      <c r="A12541" s="7"/>
      <c r="B12541" s="7"/>
      <c r="M12541" s="9" t="s">
        <v>27</v>
      </c>
    </row>
    <row r="12542" ht="15.75" customHeight="1">
      <c r="A12542" s="7"/>
      <c r="B12542" s="7"/>
      <c r="M12542" s="9" t="s">
        <v>35</v>
      </c>
    </row>
    <row r="12543" ht="15.75" customHeight="1">
      <c r="A12543" s="7"/>
      <c r="B12543" s="7"/>
      <c r="M12543" s="9" t="s">
        <v>24</v>
      </c>
    </row>
    <row r="12544" ht="15.75" customHeight="1">
      <c r="A12544" s="7"/>
      <c r="B12544" s="7"/>
      <c r="M12544" s="9" t="s">
        <v>37</v>
      </c>
    </row>
    <row r="12545" ht="15.75" customHeight="1">
      <c r="A12545" s="7"/>
      <c r="B12545" s="7"/>
      <c r="M12545" s="9" t="s">
        <v>27</v>
      </c>
    </row>
    <row r="12546" ht="15.75" customHeight="1">
      <c r="A12546" s="7"/>
      <c r="B12546" s="7"/>
      <c r="M12546" s="9" t="s">
        <v>30</v>
      </c>
    </row>
    <row r="12547" ht="15.75" customHeight="1">
      <c r="A12547" s="7"/>
      <c r="B12547" s="7"/>
      <c r="M12547" s="9" t="s">
        <v>23</v>
      </c>
    </row>
    <row r="12548" ht="15.75" customHeight="1">
      <c r="A12548" s="7"/>
      <c r="B12548" s="7"/>
      <c r="M12548" s="9" t="s">
        <v>36</v>
      </c>
    </row>
    <row r="12549" ht="15.75" customHeight="1">
      <c r="A12549" s="7"/>
      <c r="B12549" s="7"/>
      <c r="M12549" s="9" t="s">
        <v>24</v>
      </c>
    </row>
    <row r="12550" ht="15.75" customHeight="1">
      <c r="A12550" s="7"/>
      <c r="B12550" s="7"/>
      <c r="M12550" s="9" t="s">
        <v>20</v>
      </c>
    </row>
    <row r="12551" ht="15.75" customHeight="1">
      <c r="A12551" s="7"/>
      <c r="B12551" s="7"/>
      <c r="M12551" s="9" t="s">
        <v>21</v>
      </c>
    </row>
    <row r="12552" ht="15.75" customHeight="1">
      <c r="A12552" s="7"/>
      <c r="B12552" s="7"/>
      <c r="M12552" s="9" t="s">
        <v>22</v>
      </c>
    </row>
    <row r="12553" ht="15.75" customHeight="1">
      <c r="A12553" s="7"/>
      <c r="B12553" s="7"/>
      <c r="M12553" s="9" t="s">
        <v>33</v>
      </c>
    </row>
    <row r="12554" ht="15.75" customHeight="1">
      <c r="A12554" s="7"/>
      <c r="B12554" s="7"/>
      <c r="M12554" s="9" t="s">
        <v>30</v>
      </c>
    </row>
    <row r="12555" ht="15.75" customHeight="1">
      <c r="A12555" s="7"/>
      <c r="B12555" s="7"/>
      <c r="M12555" s="9" t="s">
        <v>25</v>
      </c>
    </row>
    <row r="12556" ht="15.75" customHeight="1">
      <c r="A12556" s="7"/>
      <c r="B12556" s="7"/>
      <c r="M12556" s="9" t="s">
        <v>23</v>
      </c>
    </row>
    <row r="12557" ht="15.75" customHeight="1">
      <c r="A12557" s="7"/>
      <c r="B12557" s="7"/>
      <c r="M12557" s="9" t="s">
        <v>24</v>
      </c>
    </row>
    <row r="12558" ht="15.75" customHeight="1">
      <c r="A12558" s="7"/>
      <c r="B12558" s="7"/>
      <c r="M12558" s="9" t="s">
        <v>20</v>
      </c>
    </row>
    <row r="12559" ht="15.75" customHeight="1">
      <c r="A12559" s="7"/>
      <c r="B12559" s="7"/>
      <c r="M12559" s="9" t="s">
        <v>21</v>
      </c>
    </row>
    <row r="12560" ht="15.75" customHeight="1">
      <c r="A12560" s="7"/>
      <c r="B12560" s="7"/>
      <c r="M12560" s="9" t="s">
        <v>22</v>
      </c>
    </row>
    <row r="12561" ht="15.75" customHeight="1">
      <c r="A12561" s="7"/>
      <c r="B12561" s="7"/>
      <c r="M12561" s="9" t="s">
        <v>27</v>
      </c>
    </row>
    <row r="12562" ht="15.75" customHeight="1">
      <c r="A12562" s="7"/>
      <c r="B12562" s="7"/>
      <c r="M12562" s="9" t="s">
        <v>30</v>
      </c>
    </row>
    <row r="12563" ht="15.75" customHeight="1">
      <c r="A12563" s="7"/>
      <c r="B12563" s="7"/>
      <c r="M12563" s="9" t="s">
        <v>44</v>
      </c>
    </row>
    <row r="12564" ht="15.75" customHeight="1">
      <c r="A12564" s="7"/>
      <c r="B12564" s="7"/>
      <c r="M12564" s="9" t="s">
        <v>24</v>
      </c>
    </row>
    <row r="12565" ht="15.75" customHeight="1">
      <c r="A12565" s="7"/>
      <c r="B12565" s="7"/>
      <c r="M12565" s="9" t="s">
        <v>20</v>
      </c>
    </row>
    <row r="12566" ht="15.75" customHeight="1">
      <c r="A12566" s="7"/>
      <c r="B12566" s="7"/>
      <c r="M12566" s="9" t="s">
        <v>21</v>
      </c>
    </row>
    <row r="12567" ht="15.75" customHeight="1">
      <c r="A12567" s="7"/>
      <c r="B12567" s="7"/>
      <c r="M12567" s="9" t="s">
        <v>27</v>
      </c>
    </row>
    <row r="12568" ht="15.75" customHeight="1">
      <c r="A12568" s="7"/>
      <c r="B12568" s="7"/>
      <c r="M12568" s="9" t="s">
        <v>30</v>
      </c>
    </row>
    <row r="12569" ht="15.75" customHeight="1">
      <c r="A12569" s="7"/>
      <c r="B12569" s="7"/>
      <c r="M12569" s="9" t="s">
        <v>23</v>
      </c>
    </row>
    <row r="12570" ht="15.75" customHeight="1">
      <c r="A12570" s="7"/>
      <c r="B12570" s="7"/>
      <c r="M12570" s="9" t="s">
        <v>29</v>
      </c>
    </row>
    <row r="12571" ht="15.75" customHeight="1">
      <c r="A12571" s="7"/>
      <c r="B12571" s="7"/>
      <c r="M12571" s="9" t="s">
        <v>28</v>
      </c>
    </row>
    <row r="12572" ht="15.75" customHeight="1">
      <c r="A12572" s="7"/>
      <c r="B12572" s="7"/>
      <c r="M12572" s="9" t="s">
        <v>24</v>
      </c>
    </row>
    <row r="12573" ht="15.75" customHeight="1">
      <c r="A12573" s="7"/>
      <c r="B12573" s="7"/>
      <c r="M12573" s="9" t="s">
        <v>20</v>
      </c>
    </row>
    <row r="12574" ht="15.75" customHeight="1">
      <c r="A12574" s="7"/>
      <c r="B12574" s="7"/>
      <c r="M12574" s="9" t="s">
        <v>21</v>
      </c>
    </row>
    <row r="12575" ht="15.75" customHeight="1">
      <c r="A12575" s="7"/>
      <c r="B12575" s="7"/>
      <c r="M12575" s="9" t="s">
        <v>37</v>
      </c>
    </row>
    <row r="12576" ht="15.75" customHeight="1">
      <c r="A12576" s="7"/>
      <c r="B12576" s="7"/>
      <c r="M12576" s="9" t="s">
        <v>33</v>
      </c>
    </row>
    <row r="12577" ht="15.75" customHeight="1">
      <c r="A12577" s="7"/>
      <c r="B12577" s="7"/>
      <c r="M12577" s="9" t="s">
        <v>26</v>
      </c>
    </row>
    <row r="12578" ht="15.75" customHeight="1">
      <c r="A12578" s="7"/>
      <c r="B12578" s="7"/>
      <c r="M12578" s="9" t="s">
        <v>24</v>
      </c>
    </row>
    <row r="12579" ht="15.75" customHeight="1">
      <c r="A12579" s="7"/>
      <c r="B12579" s="7"/>
      <c r="M12579" s="9" t="s">
        <v>21</v>
      </c>
    </row>
    <row r="12580" ht="15.75" customHeight="1">
      <c r="A12580" s="7"/>
      <c r="B12580" s="7"/>
      <c r="M12580" s="9" t="s">
        <v>27</v>
      </c>
    </row>
    <row r="12581" ht="15.75" customHeight="1">
      <c r="A12581" s="7"/>
      <c r="B12581" s="7"/>
      <c r="M12581" s="9" t="s">
        <v>30</v>
      </c>
    </row>
    <row r="12582" ht="15.75" customHeight="1">
      <c r="A12582" s="7"/>
      <c r="B12582" s="7"/>
      <c r="M12582" s="9" t="s">
        <v>24</v>
      </c>
    </row>
    <row r="12583" ht="15.75" customHeight="1">
      <c r="A12583" s="7"/>
      <c r="B12583" s="7"/>
      <c r="M12583" s="9" t="s">
        <v>20</v>
      </c>
    </row>
    <row r="12584" ht="15.75" customHeight="1">
      <c r="A12584" s="7"/>
      <c r="B12584" s="7"/>
      <c r="M12584" s="9" t="s">
        <v>21</v>
      </c>
    </row>
    <row r="12585" ht="15.75" customHeight="1">
      <c r="A12585" s="7"/>
      <c r="B12585" s="7"/>
      <c r="M12585" s="9" t="s">
        <v>37</v>
      </c>
    </row>
    <row r="12586" ht="15.75" customHeight="1">
      <c r="A12586" s="7"/>
      <c r="B12586" s="7"/>
      <c r="M12586" s="9" t="s">
        <v>27</v>
      </c>
    </row>
    <row r="12587" ht="15.75" customHeight="1">
      <c r="A12587" s="7"/>
      <c r="B12587" s="7"/>
      <c r="M12587" s="9" t="s">
        <v>25</v>
      </c>
    </row>
    <row r="12588" ht="15.75" customHeight="1">
      <c r="A12588" s="7"/>
      <c r="B12588" s="7"/>
      <c r="M12588" s="9" t="s">
        <v>23</v>
      </c>
    </row>
    <row r="12589" ht="15.75" customHeight="1">
      <c r="A12589" s="7"/>
      <c r="B12589" s="7"/>
      <c r="M12589" s="9" t="s">
        <v>24</v>
      </c>
    </row>
    <row r="12590" ht="15.75" customHeight="1">
      <c r="A12590" s="7"/>
      <c r="B12590" s="7"/>
      <c r="M12590" s="9" t="s">
        <v>21</v>
      </c>
    </row>
    <row r="12591" ht="15.75" customHeight="1">
      <c r="A12591" s="7"/>
      <c r="B12591" s="7"/>
      <c r="M12591" s="9" t="s">
        <v>37</v>
      </c>
    </row>
    <row r="12592" ht="15.75" customHeight="1">
      <c r="A12592" s="7"/>
      <c r="B12592" s="7"/>
      <c r="M12592" s="9" t="s">
        <v>27</v>
      </c>
    </row>
    <row r="12593" ht="15.75" customHeight="1">
      <c r="A12593" s="7"/>
      <c r="B12593" s="7"/>
      <c r="M12593" s="9" t="s">
        <v>24</v>
      </c>
    </row>
    <row r="12594" ht="15.75" customHeight="1">
      <c r="A12594" s="7"/>
      <c r="B12594" s="7"/>
      <c r="M12594" s="9" t="s">
        <v>20</v>
      </c>
    </row>
    <row r="12595" ht="15.75" customHeight="1">
      <c r="A12595" s="7"/>
      <c r="B12595" s="7"/>
      <c r="M12595" s="9" t="s">
        <v>22</v>
      </c>
    </row>
    <row r="12596" ht="15.75" customHeight="1">
      <c r="A12596" s="7"/>
      <c r="B12596" s="7"/>
      <c r="M12596" s="9" t="s">
        <v>30</v>
      </c>
    </row>
    <row r="12597" ht="15.75" customHeight="1">
      <c r="A12597" s="7"/>
      <c r="B12597" s="7"/>
      <c r="M12597" s="9" t="s">
        <v>25</v>
      </c>
    </row>
    <row r="12598" ht="15.75" customHeight="1">
      <c r="A12598" s="7"/>
      <c r="B12598" s="7"/>
      <c r="M12598" s="9" t="s">
        <v>23</v>
      </c>
    </row>
    <row r="12599" ht="15.75" customHeight="1">
      <c r="A12599" s="7"/>
      <c r="B12599" s="7"/>
      <c r="M12599" s="9" t="s">
        <v>26</v>
      </c>
    </row>
    <row r="12600" ht="15.75" customHeight="1">
      <c r="A12600" s="7"/>
      <c r="B12600" s="7"/>
      <c r="M12600" s="9" t="s">
        <v>44</v>
      </c>
    </row>
    <row r="12601" ht="15.75" customHeight="1">
      <c r="A12601" s="7"/>
      <c r="B12601" s="7"/>
      <c r="M12601" s="9" t="s">
        <v>24</v>
      </c>
    </row>
    <row r="12602" ht="15.75" customHeight="1">
      <c r="A12602" s="7"/>
      <c r="B12602" s="7"/>
      <c r="M12602" s="9" t="s">
        <v>20</v>
      </c>
    </row>
    <row r="12603" ht="15.75" customHeight="1">
      <c r="A12603" s="7"/>
      <c r="B12603" s="7"/>
      <c r="M12603" s="9" t="s">
        <v>21</v>
      </c>
    </row>
    <row r="12604" ht="15.75" customHeight="1">
      <c r="A12604" s="7"/>
      <c r="B12604" s="7"/>
      <c r="M12604" s="9" t="s">
        <v>22</v>
      </c>
    </row>
    <row r="12605" ht="15.75" customHeight="1">
      <c r="A12605" s="7"/>
      <c r="B12605" s="7"/>
      <c r="M12605" s="9" t="s">
        <v>27</v>
      </c>
    </row>
    <row r="12606" ht="15.75" customHeight="1">
      <c r="A12606" s="7"/>
      <c r="B12606" s="7"/>
      <c r="M12606" s="9" t="s">
        <v>33</v>
      </c>
    </row>
    <row r="12607" ht="15.75" customHeight="1">
      <c r="A12607" s="7"/>
      <c r="B12607" s="7"/>
      <c r="M12607" s="9" t="s">
        <v>20</v>
      </c>
    </row>
    <row r="12608" ht="15.75" customHeight="1">
      <c r="A12608" s="7"/>
      <c r="B12608" s="7"/>
      <c r="M12608" s="9" t="s">
        <v>21</v>
      </c>
    </row>
    <row r="12609" ht="15.75" customHeight="1">
      <c r="A12609" s="7"/>
      <c r="B12609" s="7"/>
      <c r="M12609" s="9" t="s">
        <v>22</v>
      </c>
    </row>
    <row r="12610" ht="15.75" customHeight="1">
      <c r="A12610" s="7"/>
      <c r="B12610" s="7"/>
      <c r="M12610" s="9" t="s">
        <v>27</v>
      </c>
    </row>
    <row r="12611" ht="15.75" customHeight="1">
      <c r="A12611" s="7"/>
      <c r="B12611" s="7"/>
      <c r="M12611" s="9" t="s">
        <v>33</v>
      </c>
    </row>
    <row r="12612" ht="15.75" customHeight="1">
      <c r="A12612" s="7"/>
      <c r="B12612" s="7"/>
      <c r="M12612" s="9" t="s">
        <v>38</v>
      </c>
    </row>
    <row r="12613" ht="15.75" customHeight="1">
      <c r="A12613" s="7"/>
      <c r="B12613" s="7"/>
      <c r="M12613" s="9" t="s">
        <v>30</v>
      </c>
    </row>
    <row r="12614" ht="15.75" customHeight="1">
      <c r="A12614" s="7"/>
      <c r="B12614" s="7"/>
      <c r="M12614" s="9" t="s">
        <v>25</v>
      </c>
    </row>
    <row r="12615" ht="15.75" customHeight="1">
      <c r="A12615" s="7"/>
      <c r="B12615" s="7"/>
      <c r="M12615" s="9" t="s">
        <v>23</v>
      </c>
    </row>
    <row r="12616" ht="15.75" customHeight="1">
      <c r="A12616" s="7"/>
      <c r="B12616" s="7"/>
      <c r="M12616" s="9" t="s">
        <v>24</v>
      </c>
    </row>
    <row r="12617" ht="15.75" customHeight="1">
      <c r="A12617" s="7"/>
      <c r="B12617" s="7"/>
      <c r="M12617" s="9" t="s">
        <v>20</v>
      </c>
    </row>
    <row r="12618" ht="15.75" customHeight="1">
      <c r="A12618" s="7"/>
      <c r="B12618" s="7"/>
      <c r="M12618" s="9" t="s">
        <v>21</v>
      </c>
    </row>
    <row r="12619" ht="15.75" customHeight="1">
      <c r="A12619" s="7"/>
      <c r="B12619" s="7"/>
      <c r="M12619" s="9" t="s">
        <v>39</v>
      </c>
    </row>
    <row r="12620" ht="15.75" customHeight="1">
      <c r="A12620" s="7"/>
      <c r="B12620" s="7"/>
      <c r="M12620" s="9" t="s">
        <v>41</v>
      </c>
    </row>
    <row r="12621" ht="15.75" customHeight="1">
      <c r="A12621" s="7"/>
      <c r="B12621" s="7"/>
      <c r="M12621" s="9" t="s">
        <v>22</v>
      </c>
    </row>
    <row r="12622" ht="15.75" customHeight="1">
      <c r="A12622" s="7"/>
      <c r="B12622" s="7"/>
      <c r="M12622" s="9" t="s">
        <v>27</v>
      </c>
    </row>
    <row r="12623" ht="15.75" customHeight="1">
      <c r="A12623" s="7"/>
      <c r="B12623" s="7"/>
      <c r="M12623" s="9" t="s">
        <v>40</v>
      </c>
    </row>
    <row r="12624" ht="15.75" customHeight="1">
      <c r="A12624" s="7"/>
      <c r="B12624" s="7"/>
      <c r="M12624" s="9" t="s">
        <v>30</v>
      </c>
    </row>
    <row r="12625" ht="15.75" customHeight="1">
      <c r="A12625" s="7"/>
      <c r="B12625" s="7"/>
      <c r="M12625" s="9" t="s">
        <v>24</v>
      </c>
    </row>
    <row r="12626" ht="15.75" customHeight="1">
      <c r="A12626" s="7"/>
      <c r="B12626" s="7"/>
      <c r="M12626" s="9" t="s">
        <v>21</v>
      </c>
    </row>
    <row r="12627" ht="15.75" customHeight="1">
      <c r="A12627" s="7"/>
      <c r="B12627" s="7"/>
      <c r="M12627" s="9" t="s">
        <v>22</v>
      </c>
    </row>
    <row r="12628" ht="15.75" customHeight="1">
      <c r="A12628" s="7"/>
      <c r="B12628" s="7"/>
      <c r="M12628" s="9" t="s">
        <v>27</v>
      </c>
    </row>
    <row r="12629" ht="15.75" customHeight="1">
      <c r="A12629" s="7"/>
      <c r="B12629" s="7"/>
      <c r="M12629" s="9" t="s">
        <v>33</v>
      </c>
    </row>
    <row r="12630" ht="15.75" customHeight="1">
      <c r="A12630" s="7"/>
      <c r="B12630" s="7"/>
      <c r="M12630" s="9" t="s">
        <v>30</v>
      </c>
    </row>
    <row r="12631" ht="15.75" customHeight="1">
      <c r="A12631" s="7"/>
      <c r="B12631" s="7"/>
      <c r="M12631" s="9" t="s">
        <v>24</v>
      </c>
    </row>
    <row r="12632" ht="15.75" customHeight="1">
      <c r="A12632" s="7"/>
      <c r="B12632" s="7"/>
      <c r="M12632" s="9" t="s">
        <v>21</v>
      </c>
    </row>
    <row r="12633" ht="15.75" customHeight="1">
      <c r="A12633" s="7"/>
      <c r="B12633" s="7"/>
      <c r="M12633" s="9" t="s">
        <v>37</v>
      </c>
    </row>
    <row r="12634" ht="15.75" customHeight="1">
      <c r="A12634" s="7"/>
      <c r="B12634" s="7"/>
      <c r="M12634" s="9" t="s">
        <v>27</v>
      </c>
    </row>
    <row r="12635" ht="15.75" customHeight="1">
      <c r="A12635" s="7"/>
      <c r="B12635" s="7"/>
      <c r="M12635" s="9" t="s">
        <v>33</v>
      </c>
    </row>
    <row r="12636" ht="15.75" customHeight="1">
      <c r="A12636" s="7"/>
      <c r="B12636" s="7"/>
      <c r="M12636" s="9" t="s">
        <v>24</v>
      </c>
    </row>
    <row r="12637" ht="15.75" customHeight="1">
      <c r="A12637" s="7"/>
      <c r="B12637" s="7"/>
      <c r="M12637" s="9" t="s">
        <v>20</v>
      </c>
    </row>
    <row r="12638" ht="15.75" customHeight="1">
      <c r="A12638" s="7"/>
      <c r="B12638" s="7"/>
      <c r="M12638" s="9" t="s">
        <v>39</v>
      </c>
    </row>
    <row r="12639" ht="15.75" customHeight="1">
      <c r="A12639" s="7"/>
      <c r="B12639" s="7"/>
      <c r="M12639" s="9" t="s">
        <v>27</v>
      </c>
    </row>
    <row r="12640" ht="15.75" customHeight="1">
      <c r="A12640" s="7"/>
      <c r="B12640" s="7"/>
      <c r="M12640" s="9" t="s">
        <v>24</v>
      </c>
    </row>
    <row r="12641" ht="15.75" customHeight="1">
      <c r="A12641" s="7"/>
      <c r="B12641" s="7"/>
      <c r="M12641" s="9" t="s">
        <v>21</v>
      </c>
    </row>
    <row r="12642" ht="15.75" customHeight="1">
      <c r="A12642" s="7"/>
      <c r="B12642" s="7"/>
      <c r="M12642" s="9" t="s">
        <v>37</v>
      </c>
    </row>
    <row r="12643" ht="15.75" customHeight="1">
      <c r="A12643" s="7"/>
      <c r="B12643" s="7"/>
      <c r="M12643" s="9" t="s">
        <v>27</v>
      </c>
    </row>
    <row r="12644" ht="15.75" customHeight="1">
      <c r="A12644" s="7"/>
      <c r="B12644" s="7"/>
      <c r="M12644" s="9" t="s">
        <v>24</v>
      </c>
    </row>
    <row r="12645" ht="15.75" customHeight="1">
      <c r="A12645" s="7"/>
      <c r="B12645" s="7"/>
      <c r="M12645" s="9" t="s">
        <v>20</v>
      </c>
    </row>
    <row r="12646" ht="15.75" customHeight="1">
      <c r="A12646" s="7"/>
      <c r="B12646" s="7"/>
      <c r="M12646" s="9" t="s">
        <v>21</v>
      </c>
    </row>
    <row r="12647" ht="15.75" customHeight="1">
      <c r="A12647" s="7"/>
      <c r="B12647" s="7"/>
      <c r="M12647" s="9" t="s">
        <v>28</v>
      </c>
    </row>
    <row r="12648" ht="15.75" customHeight="1">
      <c r="A12648" s="7"/>
      <c r="B12648" s="7"/>
      <c r="M12648" s="9" t="s">
        <v>25</v>
      </c>
    </row>
    <row r="12649" ht="15.75" customHeight="1">
      <c r="A12649" s="7"/>
      <c r="B12649" s="7"/>
      <c r="M12649" s="9" t="s">
        <v>24</v>
      </c>
    </row>
    <row r="12650" ht="15.75" customHeight="1">
      <c r="A12650" s="7"/>
      <c r="B12650" s="7"/>
      <c r="M12650" s="9" t="s">
        <v>20</v>
      </c>
    </row>
    <row r="12651" ht="15.75" customHeight="1">
      <c r="A12651" s="7"/>
      <c r="B12651" s="7"/>
      <c r="M12651" s="9" t="s">
        <v>21</v>
      </c>
    </row>
    <row r="12652" ht="15.75" customHeight="1">
      <c r="A12652" s="7"/>
      <c r="B12652" s="7"/>
      <c r="M12652" s="9" t="s">
        <v>22</v>
      </c>
    </row>
    <row r="12653" ht="15.75" customHeight="1">
      <c r="A12653" s="7"/>
      <c r="B12653" s="7"/>
      <c r="M12653" s="9" t="s">
        <v>27</v>
      </c>
    </row>
    <row r="12654" ht="15.75" customHeight="1">
      <c r="A12654" s="7"/>
      <c r="B12654" s="7"/>
      <c r="M12654" s="9" t="s">
        <v>30</v>
      </c>
    </row>
    <row r="12655" ht="15.75" customHeight="1">
      <c r="A12655" s="7"/>
      <c r="B12655" s="7"/>
      <c r="M12655" s="9" t="s">
        <v>25</v>
      </c>
    </row>
    <row r="12656" ht="15.75" customHeight="1">
      <c r="A12656" s="7"/>
      <c r="B12656" s="7"/>
      <c r="M12656" s="9" t="s">
        <v>23</v>
      </c>
    </row>
    <row r="12657" ht="15.75" customHeight="1">
      <c r="A12657" s="7"/>
      <c r="B12657" s="7"/>
      <c r="M12657" s="9" t="s">
        <v>44</v>
      </c>
    </row>
    <row r="12658" ht="15.75" customHeight="1">
      <c r="A12658" s="7"/>
      <c r="B12658" s="7"/>
      <c r="M12658" s="9" t="s">
        <v>24</v>
      </c>
    </row>
    <row r="12659" ht="15.75" customHeight="1">
      <c r="A12659" s="7"/>
      <c r="B12659" s="7"/>
      <c r="M12659" s="9" t="s">
        <v>20</v>
      </c>
    </row>
    <row r="12660" ht="15.75" customHeight="1">
      <c r="A12660" s="7"/>
      <c r="B12660" s="7"/>
      <c r="M12660" s="9" t="s">
        <v>22</v>
      </c>
    </row>
    <row r="12661" ht="15.75" customHeight="1">
      <c r="A12661" s="7"/>
      <c r="B12661" s="7"/>
      <c r="M12661" s="9" t="s">
        <v>46</v>
      </c>
    </row>
    <row r="12662" ht="15.75" customHeight="1">
      <c r="A12662" s="7"/>
      <c r="B12662" s="7"/>
      <c r="M12662" s="9" t="s">
        <v>27</v>
      </c>
    </row>
    <row r="12663" ht="15.75" customHeight="1">
      <c r="A12663" s="7"/>
      <c r="B12663" s="7"/>
      <c r="M12663" s="9" t="s">
        <v>24</v>
      </c>
    </row>
    <row r="12664" ht="15.75" customHeight="1">
      <c r="A12664" s="7"/>
      <c r="B12664" s="7"/>
      <c r="M12664" s="9" t="s">
        <v>24</v>
      </c>
    </row>
    <row r="12665" ht="15.75" customHeight="1">
      <c r="A12665" s="7"/>
      <c r="B12665" s="7"/>
      <c r="M12665" s="9" t="s">
        <v>20</v>
      </c>
    </row>
    <row r="12666" ht="15.75" customHeight="1">
      <c r="A12666" s="7"/>
      <c r="B12666" s="7"/>
      <c r="M12666" s="9" t="s">
        <v>21</v>
      </c>
    </row>
    <row r="12667" ht="15.75" customHeight="1">
      <c r="A12667" s="7"/>
      <c r="B12667" s="7"/>
      <c r="M12667" s="9" t="s">
        <v>37</v>
      </c>
    </row>
    <row r="12668" ht="15.75" customHeight="1">
      <c r="A12668" s="7"/>
      <c r="B12668" s="7"/>
      <c r="M12668" s="9" t="s">
        <v>27</v>
      </c>
    </row>
    <row r="12669" ht="15.75" customHeight="1">
      <c r="A12669" s="7"/>
      <c r="B12669" s="7"/>
      <c r="M12669" s="9" t="s">
        <v>20</v>
      </c>
    </row>
    <row r="12670" ht="15.75" customHeight="1">
      <c r="A12670" s="7"/>
      <c r="B12670" s="7"/>
      <c r="M12670" s="9" t="s">
        <v>41</v>
      </c>
    </row>
    <row r="12671" ht="15.75" customHeight="1">
      <c r="A12671" s="7"/>
      <c r="B12671" s="7"/>
      <c r="M12671" s="9" t="s">
        <v>38</v>
      </c>
    </row>
    <row r="12672" ht="15.75" customHeight="1">
      <c r="A12672" s="7"/>
      <c r="B12672" s="7"/>
      <c r="M12672" s="9" t="s">
        <v>30</v>
      </c>
    </row>
    <row r="12673" ht="15.75" customHeight="1">
      <c r="A12673" s="7"/>
      <c r="B12673" s="7"/>
      <c r="M12673" s="9" t="s">
        <v>25</v>
      </c>
    </row>
    <row r="12674" ht="15.75" customHeight="1">
      <c r="A12674" s="7"/>
      <c r="B12674" s="7"/>
      <c r="M12674" s="9" t="s">
        <v>24</v>
      </c>
    </row>
    <row r="12675" ht="15.75" customHeight="1">
      <c r="A12675" s="7"/>
      <c r="B12675" s="7"/>
      <c r="M12675" s="9" t="s">
        <v>20</v>
      </c>
    </row>
    <row r="12676" ht="15.75" customHeight="1">
      <c r="A12676" s="7"/>
      <c r="B12676" s="7"/>
      <c r="M12676" s="9" t="s">
        <v>21</v>
      </c>
    </row>
    <row r="12677" ht="15.75" customHeight="1">
      <c r="A12677" s="7"/>
      <c r="B12677" s="7"/>
      <c r="M12677" s="9" t="s">
        <v>22</v>
      </c>
    </row>
    <row r="12678" ht="15.75" customHeight="1">
      <c r="A12678" s="7"/>
      <c r="B12678" s="7"/>
      <c r="M12678" s="9" t="s">
        <v>27</v>
      </c>
    </row>
    <row r="12679" ht="15.75" customHeight="1">
      <c r="A12679" s="7"/>
      <c r="B12679" s="7"/>
      <c r="M12679" s="9" t="s">
        <v>22</v>
      </c>
    </row>
    <row r="12680" ht="15.75" customHeight="1">
      <c r="A12680" s="7"/>
      <c r="B12680" s="7"/>
      <c r="M12680" s="9" t="s">
        <v>38</v>
      </c>
    </row>
    <row r="12681" ht="15.75" customHeight="1">
      <c r="A12681" s="7"/>
      <c r="B12681" s="7"/>
      <c r="M12681" s="9" t="s">
        <v>30</v>
      </c>
    </row>
    <row r="12682" ht="15.75" customHeight="1">
      <c r="A12682" s="7"/>
      <c r="B12682" s="7"/>
      <c r="M12682" s="9" t="s">
        <v>25</v>
      </c>
    </row>
    <row r="12683" ht="15.75" customHeight="1">
      <c r="A12683" s="7"/>
      <c r="B12683" s="7"/>
      <c r="M12683" s="9" t="s">
        <v>23</v>
      </c>
    </row>
    <row r="12684" ht="15.75" customHeight="1">
      <c r="A12684" s="7"/>
      <c r="B12684" s="7"/>
      <c r="M12684" s="9" t="s">
        <v>26</v>
      </c>
    </row>
    <row r="12685" ht="15.75" customHeight="1">
      <c r="A12685" s="7"/>
      <c r="B12685" s="7"/>
      <c r="M12685" s="9" t="s">
        <v>24</v>
      </c>
    </row>
    <row r="12686" ht="15.75" customHeight="1">
      <c r="A12686" s="7"/>
      <c r="B12686" s="7"/>
      <c r="M12686" s="9" t="s">
        <v>20</v>
      </c>
    </row>
    <row r="12687" ht="15.75" customHeight="1">
      <c r="A12687" s="7"/>
      <c r="B12687" s="7"/>
      <c r="M12687" s="9" t="s">
        <v>21</v>
      </c>
    </row>
    <row r="12688" ht="15.75" customHeight="1">
      <c r="A12688" s="7"/>
      <c r="B12688" s="7"/>
      <c r="M12688" s="9" t="s">
        <v>41</v>
      </c>
    </row>
    <row r="12689" ht="15.75" customHeight="1">
      <c r="A12689" s="7"/>
      <c r="B12689" s="7"/>
      <c r="M12689" s="9" t="s">
        <v>22</v>
      </c>
    </row>
    <row r="12690" ht="15.75" customHeight="1">
      <c r="A12690" s="7"/>
      <c r="B12690" s="7"/>
      <c r="M12690" s="9" t="s">
        <v>40</v>
      </c>
    </row>
    <row r="12691" ht="15.75" customHeight="1">
      <c r="A12691" s="7"/>
      <c r="B12691" s="7"/>
      <c r="M12691" s="9" t="s">
        <v>33</v>
      </c>
    </row>
    <row r="12692" ht="15.75" customHeight="1">
      <c r="A12692" s="7"/>
      <c r="B12692" s="7"/>
      <c r="M12692" s="9" t="s">
        <v>24</v>
      </c>
    </row>
    <row r="12693" ht="15.75" customHeight="1">
      <c r="A12693" s="7"/>
      <c r="B12693" s="7"/>
      <c r="M12693" s="9" t="s">
        <v>21</v>
      </c>
    </row>
    <row r="12694" ht="15.75" customHeight="1">
      <c r="A12694" s="7"/>
      <c r="B12694" s="7"/>
      <c r="M12694" s="9" t="s">
        <v>37</v>
      </c>
    </row>
    <row r="12695" ht="15.75" customHeight="1">
      <c r="A12695" s="7"/>
      <c r="B12695" s="7"/>
      <c r="M12695" s="9" t="s">
        <v>23</v>
      </c>
    </row>
    <row r="12696" ht="15.75" customHeight="1">
      <c r="A12696" s="7"/>
      <c r="B12696" s="7"/>
      <c r="M12696" s="9" t="s">
        <v>20</v>
      </c>
    </row>
    <row r="12697" ht="15.75" customHeight="1">
      <c r="A12697" s="7"/>
      <c r="B12697" s="7"/>
      <c r="M12697" s="9" t="s">
        <v>41</v>
      </c>
    </row>
    <row r="12698" ht="15.75" customHeight="1">
      <c r="A12698" s="7"/>
      <c r="B12698" s="7"/>
      <c r="M12698" s="9" t="s">
        <v>22</v>
      </c>
    </row>
    <row r="12699" ht="15.75" customHeight="1">
      <c r="A12699" s="7"/>
      <c r="B12699" s="7"/>
      <c r="M12699" s="9" t="s">
        <v>40</v>
      </c>
    </row>
    <row r="12700" ht="15.75" customHeight="1">
      <c r="A12700" s="7"/>
      <c r="B12700" s="7"/>
      <c r="M12700" s="9" t="s">
        <v>24</v>
      </c>
    </row>
    <row r="12701" ht="15.75" customHeight="1">
      <c r="A12701" s="7"/>
      <c r="B12701" s="7"/>
      <c r="M12701" s="9" t="s">
        <v>20</v>
      </c>
    </row>
    <row r="12702" ht="15.75" customHeight="1">
      <c r="A12702" s="7"/>
      <c r="B12702" s="7"/>
      <c r="M12702" s="9" t="s">
        <v>21</v>
      </c>
    </row>
    <row r="12703" ht="15.75" customHeight="1">
      <c r="A12703" s="7"/>
      <c r="B12703" s="7"/>
      <c r="M12703" s="9" t="s">
        <v>41</v>
      </c>
    </row>
    <row r="12704" ht="15.75" customHeight="1">
      <c r="A12704" s="7"/>
      <c r="B12704" s="7"/>
      <c r="M12704" s="9" t="s">
        <v>22</v>
      </c>
    </row>
    <row r="12705" ht="15.75" customHeight="1">
      <c r="A12705" s="7"/>
      <c r="B12705" s="7"/>
      <c r="M12705" s="9" t="s">
        <v>33</v>
      </c>
    </row>
    <row r="12706" ht="15.75" customHeight="1">
      <c r="A12706" s="7"/>
      <c r="B12706" s="7"/>
      <c r="M12706" s="9" t="s">
        <v>23</v>
      </c>
    </row>
    <row r="12707" ht="15.75" customHeight="1">
      <c r="A12707" s="7"/>
      <c r="B12707" s="7"/>
      <c r="M12707" s="9" t="s">
        <v>24</v>
      </c>
    </row>
    <row r="12708" ht="15.75" customHeight="1">
      <c r="A12708" s="7"/>
      <c r="B12708" s="7"/>
      <c r="M12708" s="9" t="s">
        <v>21</v>
      </c>
    </row>
    <row r="12709" ht="15.75" customHeight="1">
      <c r="A12709" s="7"/>
      <c r="B12709" s="7"/>
      <c r="M12709" s="9" t="s">
        <v>37</v>
      </c>
    </row>
    <row r="12710" ht="15.75" customHeight="1">
      <c r="A12710" s="7"/>
      <c r="B12710" s="7"/>
      <c r="M12710" s="9" t="s">
        <v>27</v>
      </c>
    </row>
    <row r="12711" ht="15.75" customHeight="1">
      <c r="A12711" s="7"/>
      <c r="B12711" s="7"/>
      <c r="M12711" s="9" t="s">
        <v>33</v>
      </c>
    </row>
    <row r="12712" ht="15.75" customHeight="1">
      <c r="A12712" s="7"/>
      <c r="B12712" s="7"/>
      <c r="M12712" s="9" t="s">
        <v>30</v>
      </c>
    </row>
    <row r="12713" ht="15.75" customHeight="1">
      <c r="A12713" s="7"/>
      <c r="B12713" s="7"/>
      <c r="M12713" s="9" t="s">
        <v>23</v>
      </c>
    </row>
    <row r="12714" ht="15.75" customHeight="1">
      <c r="A12714" s="7"/>
      <c r="B12714" s="7"/>
      <c r="M12714" s="9" t="s">
        <v>26</v>
      </c>
    </row>
    <row r="12715" ht="15.75" customHeight="1">
      <c r="A12715" s="7"/>
      <c r="B12715" s="7"/>
      <c r="M12715" s="9" t="s">
        <v>24</v>
      </c>
    </row>
    <row r="12716" ht="15.75" customHeight="1">
      <c r="A12716" s="7"/>
      <c r="B12716" s="7"/>
      <c r="M12716" s="9" t="s">
        <v>20</v>
      </c>
    </row>
    <row r="12717" ht="15.75" customHeight="1">
      <c r="A12717" s="7"/>
      <c r="B12717" s="7"/>
      <c r="M12717" s="9" t="s">
        <v>21</v>
      </c>
    </row>
    <row r="12718" ht="15.75" customHeight="1">
      <c r="A12718" s="7"/>
      <c r="B12718" s="7"/>
      <c r="M12718" s="9" t="s">
        <v>37</v>
      </c>
    </row>
    <row r="12719" ht="15.75" customHeight="1">
      <c r="A12719" s="7"/>
      <c r="B12719" s="7"/>
      <c r="M12719" s="9" t="s">
        <v>22</v>
      </c>
    </row>
    <row r="12720" ht="15.75" customHeight="1">
      <c r="A12720" s="7"/>
      <c r="B12720" s="7"/>
      <c r="M12720" s="9" t="s">
        <v>31</v>
      </c>
    </row>
    <row r="12721" ht="15.75" customHeight="1">
      <c r="A12721" s="7"/>
      <c r="B12721" s="7"/>
      <c r="M12721" s="9" t="s">
        <v>30</v>
      </c>
    </row>
    <row r="12722" ht="15.75" customHeight="1">
      <c r="A12722" s="7"/>
      <c r="B12722" s="7"/>
      <c r="M12722" s="9" t="s">
        <v>25</v>
      </c>
    </row>
    <row r="12723" ht="15.75" customHeight="1">
      <c r="A12723" s="7"/>
      <c r="B12723" s="7"/>
      <c r="M12723" s="9" t="s">
        <v>39</v>
      </c>
    </row>
    <row r="12724" ht="15.75" customHeight="1">
      <c r="A12724" s="7"/>
      <c r="B12724" s="7"/>
      <c r="M12724" s="9" t="s">
        <v>24</v>
      </c>
    </row>
    <row r="12725" ht="15.75" customHeight="1">
      <c r="A12725" s="7"/>
      <c r="B12725" s="7"/>
      <c r="M12725" s="9" t="s">
        <v>21</v>
      </c>
    </row>
    <row r="12726" ht="15.75" customHeight="1">
      <c r="A12726" s="7"/>
      <c r="B12726" s="7"/>
      <c r="M12726" s="9" t="s">
        <v>33</v>
      </c>
    </row>
    <row r="12727" ht="15.75" customHeight="1">
      <c r="A12727" s="7"/>
      <c r="B12727" s="7"/>
      <c r="M12727" s="9" t="s">
        <v>30</v>
      </c>
    </row>
    <row r="12728" ht="15.75" customHeight="1">
      <c r="A12728" s="7"/>
      <c r="B12728" s="7"/>
      <c r="M12728" s="9" t="s">
        <v>26</v>
      </c>
    </row>
    <row r="12729" ht="15.75" customHeight="1">
      <c r="A12729" s="7"/>
      <c r="B12729" s="7"/>
      <c r="M12729" s="9" t="s">
        <v>24</v>
      </c>
    </row>
    <row r="12730" ht="15.75" customHeight="1">
      <c r="A12730" s="7"/>
      <c r="B12730" s="7"/>
      <c r="M12730" s="9" t="s">
        <v>21</v>
      </c>
    </row>
    <row r="12731" ht="15.75" customHeight="1">
      <c r="A12731" s="7"/>
      <c r="B12731" s="7"/>
      <c r="M12731" s="9" t="s">
        <v>27</v>
      </c>
    </row>
    <row r="12732" ht="15.75" customHeight="1">
      <c r="A12732" s="7"/>
      <c r="B12732" s="7"/>
      <c r="M12732" s="9" t="s">
        <v>33</v>
      </c>
    </row>
    <row r="12733" ht="15.75" customHeight="1">
      <c r="A12733" s="7"/>
      <c r="B12733" s="7"/>
      <c r="M12733" s="9" t="s">
        <v>38</v>
      </c>
    </row>
    <row r="12734" ht="15.75" customHeight="1">
      <c r="A12734" s="7"/>
      <c r="B12734" s="7"/>
      <c r="M12734" s="9" t="s">
        <v>25</v>
      </c>
    </row>
    <row r="12735" ht="15.75" customHeight="1">
      <c r="A12735" s="7"/>
      <c r="B12735" s="7"/>
      <c r="M12735" s="9" t="s">
        <v>23</v>
      </c>
    </row>
    <row r="12736" ht="15.75" customHeight="1">
      <c r="A12736" s="7"/>
      <c r="B12736" s="7"/>
      <c r="M12736" s="9" t="s">
        <v>20</v>
      </c>
    </row>
    <row r="12737" ht="15.75" customHeight="1">
      <c r="A12737" s="7"/>
      <c r="B12737" s="7"/>
      <c r="M12737" s="9" t="s">
        <v>28</v>
      </c>
    </row>
    <row r="12738" ht="15.75" customHeight="1">
      <c r="A12738" s="7"/>
      <c r="B12738" s="7"/>
      <c r="M12738" s="9" t="s">
        <v>30</v>
      </c>
    </row>
    <row r="12739" ht="15.75" customHeight="1">
      <c r="A12739" s="7"/>
      <c r="B12739" s="7"/>
      <c r="M12739" s="9" t="s">
        <v>25</v>
      </c>
    </row>
    <row r="12740" ht="15.75" customHeight="1">
      <c r="A12740" s="7"/>
      <c r="B12740" s="7"/>
      <c r="M12740" s="9" t="s">
        <v>23</v>
      </c>
    </row>
    <row r="12741" ht="15.75" customHeight="1">
      <c r="A12741" s="7"/>
      <c r="B12741" s="7"/>
      <c r="M12741" s="9" t="s">
        <v>24</v>
      </c>
    </row>
    <row r="12742" ht="15.75" customHeight="1">
      <c r="A12742" s="7"/>
      <c r="B12742" s="7"/>
      <c r="M12742" s="9" t="s">
        <v>20</v>
      </c>
    </row>
    <row r="12743" ht="15.75" customHeight="1">
      <c r="A12743" s="7"/>
      <c r="B12743" s="7"/>
      <c r="M12743" s="9" t="s">
        <v>21</v>
      </c>
    </row>
    <row r="12744" ht="15.75" customHeight="1">
      <c r="A12744" s="7"/>
      <c r="B12744" s="7"/>
      <c r="M12744" s="9" t="s">
        <v>22</v>
      </c>
    </row>
    <row r="12745" ht="15.75" customHeight="1">
      <c r="A12745" s="7"/>
      <c r="B12745" s="7"/>
      <c r="M12745" s="9" t="s">
        <v>27</v>
      </c>
    </row>
    <row r="12746" ht="15.75" customHeight="1">
      <c r="A12746" s="7"/>
      <c r="B12746" s="7"/>
      <c r="M12746" s="9" t="s">
        <v>33</v>
      </c>
    </row>
    <row r="12747" ht="15.75" customHeight="1">
      <c r="A12747" s="7"/>
      <c r="B12747" s="7"/>
      <c r="M12747" s="9" t="s">
        <v>24</v>
      </c>
    </row>
    <row r="12748" ht="15.75" customHeight="1">
      <c r="A12748" s="7"/>
      <c r="B12748" s="7"/>
      <c r="M12748" s="9" t="s">
        <v>21</v>
      </c>
    </row>
    <row r="12749" ht="15.75" customHeight="1">
      <c r="A12749" s="7"/>
      <c r="B12749" s="7"/>
      <c r="M12749" s="9" t="s">
        <v>37</v>
      </c>
    </row>
    <row r="12750" ht="15.75" customHeight="1">
      <c r="A12750" s="7"/>
      <c r="B12750" s="7"/>
      <c r="M12750" s="9" t="s">
        <v>22</v>
      </c>
    </row>
    <row r="12751" ht="15.75" customHeight="1">
      <c r="A12751" s="7"/>
      <c r="B12751" s="7"/>
      <c r="M12751" s="9" t="s">
        <v>27</v>
      </c>
    </row>
    <row r="12752" ht="15.75" customHeight="1">
      <c r="A12752" s="7"/>
      <c r="B12752" s="7"/>
      <c r="M12752" s="9" t="s">
        <v>23</v>
      </c>
    </row>
    <row r="12753" ht="15.75" customHeight="1">
      <c r="A12753" s="7"/>
      <c r="B12753" s="7"/>
      <c r="M12753" s="9" t="s">
        <v>22</v>
      </c>
    </row>
    <row r="12754" ht="15.75" customHeight="1">
      <c r="A12754" s="7"/>
      <c r="B12754" s="7"/>
      <c r="M12754" s="9" t="s">
        <v>20</v>
      </c>
    </row>
    <row r="12755" ht="15.75" customHeight="1">
      <c r="A12755" s="7"/>
      <c r="B12755" s="7"/>
      <c r="M12755" s="9" t="s">
        <v>39</v>
      </c>
    </row>
    <row r="12756" ht="15.75" customHeight="1">
      <c r="A12756" s="7"/>
      <c r="B12756" s="7"/>
      <c r="M12756" s="9" t="s">
        <v>30</v>
      </c>
    </row>
    <row r="12757" ht="15.75" customHeight="1">
      <c r="A12757" s="7"/>
      <c r="B12757" s="7"/>
      <c r="M12757" s="9" t="s">
        <v>24</v>
      </c>
    </row>
    <row r="12758" ht="15.75" customHeight="1">
      <c r="A12758" s="7"/>
      <c r="B12758" s="7"/>
      <c r="M12758" s="9" t="s">
        <v>20</v>
      </c>
    </row>
    <row r="12759" ht="15.75" customHeight="1">
      <c r="A12759" s="7"/>
      <c r="B12759" s="7"/>
      <c r="M12759" s="9" t="s">
        <v>21</v>
      </c>
    </row>
    <row r="12760" ht="15.75" customHeight="1">
      <c r="A12760" s="7"/>
      <c r="B12760" s="7"/>
      <c r="M12760" s="9" t="s">
        <v>27</v>
      </c>
    </row>
    <row r="12761" ht="15.75" customHeight="1">
      <c r="A12761" s="7"/>
      <c r="B12761" s="7"/>
      <c r="M12761" s="9" t="s">
        <v>33</v>
      </c>
    </row>
    <row r="12762" ht="15.75" customHeight="1">
      <c r="A12762" s="7"/>
      <c r="B12762" s="7"/>
      <c r="M12762" s="9" t="s">
        <v>41</v>
      </c>
    </row>
    <row r="12763" ht="15.75" customHeight="1">
      <c r="A12763" s="7"/>
      <c r="B12763" s="7"/>
      <c r="M12763" s="9" t="s">
        <v>22</v>
      </c>
    </row>
    <row r="12764" ht="15.75" customHeight="1">
      <c r="A12764" s="7"/>
      <c r="B12764" s="7"/>
      <c r="M12764" s="9" t="s">
        <v>40</v>
      </c>
    </row>
    <row r="12765" ht="15.75" customHeight="1">
      <c r="A12765" s="7"/>
      <c r="B12765" s="7"/>
      <c r="M12765" s="9" t="s">
        <v>26</v>
      </c>
    </row>
    <row r="12766" ht="15.75" customHeight="1">
      <c r="A12766" s="7"/>
      <c r="B12766" s="7"/>
      <c r="M12766" s="9" t="s">
        <v>24</v>
      </c>
    </row>
    <row r="12767" ht="15.75" customHeight="1">
      <c r="A12767" s="7"/>
      <c r="B12767" s="7"/>
      <c r="M12767" s="9" t="s">
        <v>21</v>
      </c>
    </row>
    <row r="12768" ht="15.75" customHeight="1">
      <c r="A12768" s="7"/>
      <c r="B12768" s="7"/>
      <c r="M12768" s="9" t="s">
        <v>27</v>
      </c>
    </row>
    <row r="12769" ht="15.75" customHeight="1">
      <c r="A12769" s="7"/>
      <c r="B12769" s="7"/>
      <c r="M12769" s="9" t="s">
        <v>30</v>
      </c>
    </row>
    <row r="12770" ht="15.75" customHeight="1">
      <c r="A12770" s="7"/>
      <c r="B12770" s="7"/>
      <c r="M12770" s="9" t="s">
        <v>24</v>
      </c>
    </row>
    <row r="12771" ht="15.75" customHeight="1">
      <c r="A12771" s="7"/>
      <c r="B12771" s="7"/>
      <c r="M12771" s="9" t="s">
        <v>21</v>
      </c>
    </row>
    <row r="12772" ht="15.75" customHeight="1">
      <c r="A12772" s="7"/>
      <c r="B12772" s="7"/>
      <c r="M12772" s="9" t="s">
        <v>22</v>
      </c>
    </row>
    <row r="12773" ht="15.75" customHeight="1">
      <c r="A12773" s="7"/>
      <c r="B12773" s="7"/>
      <c r="M12773" s="9" t="s">
        <v>29</v>
      </c>
    </row>
    <row r="12774" ht="15.75" customHeight="1">
      <c r="A12774" s="7"/>
      <c r="B12774" s="7"/>
      <c r="M12774" s="9" t="s">
        <v>22</v>
      </c>
    </row>
    <row r="12775" ht="15.75" customHeight="1">
      <c r="A12775" s="7"/>
      <c r="B12775" s="7"/>
      <c r="M12775" s="9" t="s">
        <v>29</v>
      </c>
    </row>
    <row r="12776" ht="15.75" customHeight="1">
      <c r="A12776" s="7"/>
      <c r="B12776" s="7"/>
      <c r="M12776" s="9" t="s">
        <v>46</v>
      </c>
    </row>
    <row r="12777" ht="15.75" customHeight="1">
      <c r="A12777" s="7"/>
      <c r="B12777" s="7"/>
      <c r="M12777" s="9" t="s">
        <v>27</v>
      </c>
    </row>
    <row r="12778" ht="15.75" customHeight="1">
      <c r="A12778" s="7"/>
      <c r="B12778" s="7"/>
      <c r="M12778" s="9" t="s">
        <v>30</v>
      </c>
    </row>
    <row r="12779" ht="15.75" customHeight="1">
      <c r="A12779" s="7"/>
      <c r="B12779" s="7"/>
      <c r="M12779" s="9" t="s">
        <v>26</v>
      </c>
    </row>
    <row r="12780" ht="15.75" customHeight="1">
      <c r="A12780" s="7"/>
      <c r="B12780" s="7"/>
      <c r="M12780" s="9" t="s">
        <v>36</v>
      </c>
    </row>
    <row r="12781" ht="15.75" customHeight="1">
      <c r="A12781" s="7"/>
      <c r="B12781" s="7"/>
      <c r="M12781" s="9" t="s">
        <v>21</v>
      </c>
    </row>
    <row r="12782" ht="15.75" customHeight="1">
      <c r="A12782" s="7"/>
      <c r="B12782" s="7"/>
      <c r="M12782" s="9" t="s">
        <v>39</v>
      </c>
    </row>
    <row r="12783" ht="15.75" customHeight="1">
      <c r="A12783" s="7"/>
      <c r="B12783" s="7"/>
      <c r="M12783" s="9" t="s">
        <v>32</v>
      </c>
    </row>
    <row r="12784" ht="15.75" customHeight="1">
      <c r="A12784" s="7"/>
      <c r="B12784" s="7"/>
      <c r="M12784" s="9" t="s">
        <v>33</v>
      </c>
    </row>
    <row r="12785" ht="15.75" customHeight="1">
      <c r="A12785" s="7"/>
      <c r="B12785" s="7"/>
      <c r="M12785" s="9" t="s">
        <v>36</v>
      </c>
    </row>
    <row r="12786" ht="15.75" customHeight="1">
      <c r="A12786" s="7"/>
      <c r="B12786" s="7"/>
      <c r="M12786" s="9" t="s">
        <v>21</v>
      </c>
    </row>
    <row r="12787" ht="15.75" customHeight="1">
      <c r="A12787" s="7"/>
      <c r="B12787" s="7"/>
      <c r="M12787" s="9" t="s">
        <v>22</v>
      </c>
    </row>
    <row r="12788" ht="15.75" customHeight="1">
      <c r="A12788" s="7"/>
      <c r="B12788" s="7"/>
      <c r="M12788" s="9" t="s">
        <v>33</v>
      </c>
    </row>
    <row r="12789" ht="15.75" customHeight="1">
      <c r="A12789" s="7"/>
      <c r="B12789" s="7"/>
      <c r="M12789" s="9" t="s">
        <v>26</v>
      </c>
    </row>
    <row r="12790" ht="15.75" customHeight="1">
      <c r="A12790" s="7"/>
      <c r="B12790" s="7"/>
      <c r="M12790" s="9" t="s">
        <v>24</v>
      </c>
    </row>
    <row r="12791" ht="15.75" customHeight="1">
      <c r="A12791" s="7"/>
      <c r="B12791" s="7"/>
      <c r="M12791" s="9" t="s">
        <v>20</v>
      </c>
    </row>
    <row r="12792" ht="15.75" customHeight="1">
      <c r="A12792" s="7"/>
      <c r="B12792" s="7"/>
      <c r="M12792" s="9" t="s">
        <v>21</v>
      </c>
    </row>
    <row r="12793" ht="15.75" customHeight="1">
      <c r="A12793" s="7"/>
      <c r="B12793" s="7"/>
      <c r="M12793" s="9" t="s">
        <v>22</v>
      </c>
    </row>
    <row r="12794" ht="15.75" customHeight="1">
      <c r="A12794" s="7"/>
      <c r="B12794" s="7"/>
      <c r="M12794" s="9" t="s">
        <v>27</v>
      </c>
    </row>
    <row r="12795" ht="15.75" customHeight="1">
      <c r="A12795" s="7"/>
      <c r="B12795" s="7"/>
      <c r="M12795" s="9" t="s">
        <v>33</v>
      </c>
    </row>
    <row r="12796" ht="15.75" customHeight="1">
      <c r="A12796" s="7"/>
      <c r="B12796" s="7"/>
      <c r="M12796" s="9" t="s">
        <v>25</v>
      </c>
    </row>
    <row r="12797" ht="15.75" customHeight="1">
      <c r="A12797" s="7"/>
      <c r="B12797" s="7"/>
      <c r="M12797" s="9" t="s">
        <v>23</v>
      </c>
    </row>
    <row r="12798" ht="15.75" customHeight="1">
      <c r="A12798" s="7"/>
      <c r="B12798" s="7"/>
      <c r="M12798" s="9" t="s">
        <v>20</v>
      </c>
    </row>
    <row r="12799" ht="15.75" customHeight="1">
      <c r="A12799" s="7"/>
      <c r="B12799" s="7"/>
      <c r="M12799" s="9" t="s">
        <v>22</v>
      </c>
    </row>
    <row r="12800" ht="15.75" customHeight="1">
      <c r="A12800" s="7"/>
      <c r="B12800" s="7"/>
      <c r="M12800" s="9" t="s">
        <v>25</v>
      </c>
    </row>
    <row r="12801" ht="15.75" customHeight="1">
      <c r="A12801" s="7"/>
      <c r="B12801" s="7"/>
      <c r="M12801" s="9" t="s">
        <v>26</v>
      </c>
    </row>
    <row r="12802" ht="15.75" customHeight="1">
      <c r="A12802" s="7"/>
      <c r="B12802" s="7"/>
      <c r="M12802" s="9" t="s">
        <v>24</v>
      </c>
    </row>
    <row r="12803" ht="15.75" customHeight="1">
      <c r="A12803" s="7"/>
      <c r="B12803" s="7"/>
      <c r="M12803" s="9" t="s">
        <v>20</v>
      </c>
    </row>
    <row r="12804" ht="15.75" customHeight="1">
      <c r="A12804" s="7"/>
      <c r="B12804" s="7"/>
      <c r="M12804" s="9" t="s">
        <v>21</v>
      </c>
    </row>
    <row r="12805" ht="15.75" customHeight="1">
      <c r="A12805" s="7"/>
      <c r="B12805" s="7"/>
      <c r="M12805" s="9" t="s">
        <v>41</v>
      </c>
    </row>
    <row r="12806" ht="15.75" customHeight="1">
      <c r="A12806" s="7"/>
      <c r="B12806" s="7"/>
      <c r="M12806" s="9" t="s">
        <v>37</v>
      </c>
    </row>
    <row r="12807" ht="15.75" customHeight="1">
      <c r="A12807" s="7"/>
      <c r="B12807" s="7"/>
      <c r="M12807" s="9" t="s">
        <v>27</v>
      </c>
    </row>
    <row r="12808" ht="15.75" customHeight="1">
      <c r="A12808" s="7"/>
      <c r="B12808" s="7"/>
      <c r="M12808" s="9" t="s">
        <v>40</v>
      </c>
    </row>
    <row r="12809" ht="15.75" customHeight="1">
      <c r="A12809" s="7"/>
      <c r="B12809" s="7"/>
      <c r="M12809" s="9" t="s">
        <v>33</v>
      </c>
    </row>
    <row r="12810" ht="15.75" customHeight="1">
      <c r="A12810" s="7"/>
      <c r="B12810" s="7"/>
      <c r="M12810" s="9" t="s">
        <v>36</v>
      </c>
    </row>
    <row r="12811" ht="15.75" customHeight="1">
      <c r="A12811" s="7"/>
      <c r="B12811" s="7"/>
      <c r="M12811" s="9" t="s">
        <v>24</v>
      </c>
    </row>
    <row r="12812" ht="15.75" customHeight="1">
      <c r="A12812" s="7"/>
      <c r="B12812" s="7"/>
      <c r="M12812" s="9" t="s">
        <v>21</v>
      </c>
    </row>
    <row r="12813" ht="15.75" customHeight="1">
      <c r="A12813" s="7"/>
      <c r="B12813" s="7"/>
      <c r="M12813" s="9" t="s">
        <v>33</v>
      </c>
    </row>
    <row r="12814" ht="15.75" customHeight="1">
      <c r="A12814" s="7"/>
      <c r="B12814" s="7"/>
      <c r="M12814" s="9" t="s">
        <v>30</v>
      </c>
    </row>
    <row r="12815" ht="15.75" customHeight="1">
      <c r="A12815" s="7"/>
      <c r="B12815" s="7"/>
      <c r="M12815" s="9" t="s">
        <v>24</v>
      </c>
    </row>
    <row r="12816" ht="15.75" customHeight="1">
      <c r="A12816" s="7"/>
      <c r="B12816" s="7"/>
      <c r="M12816" s="9" t="s">
        <v>20</v>
      </c>
    </row>
    <row r="12817" ht="15.75" customHeight="1">
      <c r="A12817" s="7"/>
      <c r="B12817" s="7"/>
      <c r="M12817" s="9" t="s">
        <v>21</v>
      </c>
    </row>
    <row r="12818" ht="15.75" customHeight="1">
      <c r="A12818" s="7"/>
      <c r="B12818" s="7"/>
      <c r="M12818" s="9" t="s">
        <v>37</v>
      </c>
    </row>
    <row r="12819" ht="15.75" customHeight="1">
      <c r="A12819" s="7"/>
      <c r="B12819" s="7"/>
      <c r="M12819" s="9" t="s">
        <v>22</v>
      </c>
    </row>
    <row r="12820" ht="15.75" customHeight="1">
      <c r="A12820" s="7"/>
      <c r="B12820" s="7"/>
      <c r="M12820" s="9" t="s">
        <v>27</v>
      </c>
    </row>
    <row r="12821" ht="15.75" customHeight="1">
      <c r="A12821" s="7"/>
      <c r="B12821" s="7"/>
      <c r="M12821" s="9" t="s">
        <v>24</v>
      </c>
    </row>
    <row r="12822" ht="15.75" customHeight="1">
      <c r="A12822" s="7"/>
      <c r="B12822" s="7"/>
      <c r="M12822" s="9" t="s">
        <v>37</v>
      </c>
    </row>
    <row r="12823" ht="15.75" customHeight="1">
      <c r="A12823" s="7"/>
      <c r="B12823" s="7"/>
      <c r="M12823" s="9" t="s">
        <v>27</v>
      </c>
    </row>
    <row r="12824" ht="15.75" customHeight="1">
      <c r="A12824" s="7"/>
      <c r="B12824" s="7"/>
      <c r="M12824" s="9" t="s">
        <v>41</v>
      </c>
    </row>
    <row r="12825" ht="15.75" customHeight="1">
      <c r="A12825" s="7"/>
      <c r="B12825" s="7"/>
      <c r="M12825" s="9" t="s">
        <v>40</v>
      </c>
    </row>
    <row r="12826" ht="15.75" customHeight="1">
      <c r="A12826" s="7"/>
      <c r="B12826" s="7"/>
      <c r="M12826" s="9" t="s">
        <v>20</v>
      </c>
    </row>
    <row r="12827" ht="15.75" customHeight="1">
      <c r="A12827" s="7"/>
      <c r="B12827" s="7"/>
      <c r="M12827" s="9" t="s">
        <v>21</v>
      </c>
    </row>
    <row r="12828" ht="15.75" customHeight="1">
      <c r="A12828" s="7"/>
      <c r="B12828" s="7"/>
      <c r="M12828" s="9" t="s">
        <v>46</v>
      </c>
    </row>
    <row r="12829" ht="15.75" customHeight="1">
      <c r="A12829" s="7"/>
      <c r="B12829" s="7"/>
      <c r="M12829" s="9" t="s">
        <v>33</v>
      </c>
    </row>
    <row r="12830" ht="15.75" customHeight="1">
      <c r="A12830" s="7"/>
      <c r="B12830" s="7"/>
      <c r="M12830" s="9" t="s">
        <v>25</v>
      </c>
    </row>
    <row r="12831" ht="15.75" customHeight="1">
      <c r="A12831" s="7"/>
      <c r="B12831" s="7"/>
      <c r="M12831" s="9" t="s">
        <v>22</v>
      </c>
    </row>
    <row r="12832" ht="15.75" customHeight="1">
      <c r="A12832" s="7"/>
      <c r="B12832" s="7"/>
      <c r="M12832" s="9" t="s">
        <v>30</v>
      </c>
    </row>
    <row r="12833" ht="15.75" customHeight="1">
      <c r="A12833" s="7"/>
      <c r="B12833" s="7"/>
      <c r="M12833" s="9" t="s">
        <v>24</v>
      </c>
    </row>
    <row r="12834" ht="15.75" customHeight="1">
      <c r="A12834" s="7"/>
      <c r="B12834" s="7"/>
      <c r="M12834" s="9" t="s">
        <v>21</v>
      </c>
    </row>
    <row r="12835" ht="15.75" customHeight="1">
      <c r="A12835" s="7"/>
      <c r="B12835" s="7"/>
      <c r="M12835" s="9" t="s">
        <v>22</v>
      </c>
    </row>
    <row r="12836" ht="15.75" customHeight="1">
      <c r="A12836" s="7"/>
      <c r="B12836" s="7"/>
      <c r="M12836" s="9" t="s">
        <v>31</v>
      </c>
    </row>
    <row r="12837" ht="15.75" customHeight="1">
      <c r="A12837" s="7"/>
      <c r="B12837" s="7"/>
      <c r="M12837" s="9" t="s">
        <v>33</v>
      </c>
    </row>
    <row r="12838" ht="15.75" customHeight="1">
      <c r="A12838" s="7"/>
      <c r="B12838" s="7"/>
      <c r="M12838" s="9" t="s">
        <v>26</v>
      </c>
    </row>
    <row r="12839" ht="15.75" customHeight="1">
      <c r="A12839" s="7"/>
      <c r="B12839" s="7"/>
      <c r="M12839" s="9" t="s">
        <v>24</v>
      </c>
    </row>
    <row r="12840" ht="15.75" customHeight="1">
      <c r="A12840" s="7"/>
      <c r="B12840" s="7"/>
      <c r="M12840" s="9" t="s">
        <v>21</v>
      </c>
    </row>
    <row r="12841" ht="15.75" customHeight="1">
      <c r="A12841" s="7"/>
      <c r="B12841" s="7"/>
      <c r="M12841" s="9" t="s">
        <v>30</v>
      </c>
    </row>
    <row r="12842" ht="15.75" customHeight="1">
      <c r="A12842" s="7"/>
      <c r="B12842" s="7"/>
      <c r="M12842" s="9" t="s">
        <v>24</v>
      </c>
    </row>
    <row r="12843" ht="15.75" customHeight="1">
      <c r="A12843" s="7"/>
      <c r="B12843" s="7"/>
      <c r="M12843" s="9" t="s">
        <v>21</v>
      </c>
    </row>
    <row r="12844" ht="15.75" customHeight="1">
      <c r="A12844" s="7"/>
      <c r="B12844" s="7"/>
      <c r="M12844" s="9" t="s">
        <v>37</v>
      </c>
    </row>
    <row r="12845" ht="15.75" customHeight="1">
      <c r="A12845" s="7"/>
      <c r="B12845" s="7"/>
      <c r="M12845" s="9" t="s">
        <v>22</v>
      </c>
    </row>
    <row r="12846" ht="15.75" customHeight="1">
      <c r="A12846" s="7"/>
      <c r="B12846" s="7"/>
      <c r="M12846" s="9" t="s">
        <v>35</v>
      </c>
    </row>
    <row r="12847" ht="15.75" customHeight="1">
      <c r="A12847" s="7"/>
      <c r="B12847" s="7"/>
      <c r="M12847" s="9" t="s">
        <v>30</v>
      </c>
    </row>
    <row r="12848" ht="15.75" customHeight="1">
      <c r="A12848" s="7"/>
      <c r="B12848" s="7"/>
      <c r="M12848" s="9" t="s">
        <v>21</v>
      </c>
    </row>
    <row r="12849" ht="15.75" customHeight="1">
      <c r="A12849" s="7"/>
      <c r="B12849" s="7"/>
      <c r="M12849" s="9" t="s">
        <v>37</v>
      </c>
    </row>
    <row r="12850" ht="15.75" customHeight="1">
      <c r="A12850" s="7"/>
      <c r="B12850" s="7"/>
      <c r="M12850" s="9" t="s">
        <v>27</v>
      </c>
    </row>
    <row r="12851" ht="15.75" customHeight="1">
      <c r="A12851" s="7"/>
      <c r="B12851" s="7"/>
      <c r="M12851" s="9" t="s">
        <v>23</v>
      </c>
    </row>
    <row r="12852" ht="15.75" customHeight="1">
      <c r="A12852" s="7"/>
      <c r="B12852" s="7"/>
      <c r="M12852" s="9" t="s">
        <v>26</v>
      </c>
    </row>
    <row r="12853" ht="15.75" customHeight="1">
      <c r="A12853" s="7"/>
      <c r="B12853" s="7"/>
      <c r="M12853" s="9" t="s">
        <v>24</v>
      </c>
    </row>
    <row r="12854" ht="15.75" customHeight="1">
      <c r="A12854" s="7"/>
      <c r="B12854" s="7"/>
      <c r="M12854" s="9" t="s">
        <v>21</v>
      </c>
    </row>
    <row r="12855" ht="15.75" customHeight="1">
      <c r="A12855" s="7"/>
      <c r="B12855" s="7"/>
      <c r="M12855" s="9" t="s">
        <v>28</v>
      </c>
    </row>
    <row r="12856" ht="15.75" customHeight="1">
      <c r="A12856" s="7"/>
      <c r="B12856" s="7"/>
      <c r="M12856" s="9" t="s">
        <v>26</v>
      </c>
    </row>
    <row r="12857" ht="15.75" customHeight="1">
      <c r="A12857" s="7"/>
      <c r="B12857" s="7"/>
      <c r="M12857" s="9" t="s">
        <v>24</v>
      </c>
    </row>
    <row r="12858" ht="15.75" customHeight="1">
      <c r="A12858" s="7"/>
      <c r="B12858" s="7"/>
      <c r="M12858" s="9" t="s">
        <v>21</v>
      </c>
    </row>
    <row r="12859" ht="15.75" customHeight="1">
      <c r="A12859" s="7"/>
      <c r="B12859" s="7"/>
      <c r="M12859" s="9" t="s">
        <v>27</v>
      </c>
    </row>
    <row r="12860" ht="15.75" customHeight="1">
      <c r="A12860" s="7"/>
      <c r="B12860" s="7"/>
      <c r="M12860" s="9" t="s">
        <v>25</v>
      </c>
    </row>
    <row r="12861" ht="15.75" customHeight="1">
      <c r="A12861" s="7"/>
      <c r="B12861" s="7"/>
      <c r="M12861" s="9" t="s">
        <v>26</v>
      </c>
    </row>
    <row r="12862" ht="15.75" customHeight="1">
      <c r="A12862" s="7"/>
      <c r="B12862" s="7"/>
      <c r="M12862" s="9" t="s">
        <v>47</v>
      </c>
    </row>
    <row r="12863" ht="15.75" customHeight="1">
      <c r="A12863" s="7"/>
      <c r="B12863" s="7"/>
      <c r="M12863" s="9" t="s">
        <v>36</v>
      </c>
    </row>
    <row r="12864" ht="15.75" customHeight="1">
      <c r="A12864" s="7"/>
      <c r="B12864" s="7"/>
      <c r="M12864" s="9" t="s">
        <v>24</v>
      </c>
    </row>
    <row r="12865" ht="15.75" customHeight="1">
      <c r="A12865" s="7"/>
      <c r="B12865" s="7"/>
      <c r="M12865" s="9" t="s">
        <v>20</v>
      </c>
    </row>
    <row r="12866" ht="15.75" customHeight="1">
      <c r="A12866" s="7"/>
      <c r="B12866" s="7"/>
      <c r="M12866" s="9" t="s">
        <v>21</v>
      </c>
    </row>
    <row r="12867" ht="15.75" customHeight="1">
      <c r="A12867" s="7"/>
      <c r="B12867" s="7"/>
      <c r="M12867" s="9" t="s">
        <v>22</v>
      </c>
    </row>
    <row r="12868" ht="15.75" customHeight="1">
      <c r="A12868" s="7"/>
      <c r="B12868" s="7"/>
      <c r="M12868" s="9" t="s">
        <v>27</v>
      </c>
    </row>
    <row r="12869" ht="15.75" customHeight="1">
      <c r="A12869" s="7"/>
      <c r="B12869" s="7"/>
      <c r="M12869" s="9" t="s">
        <v>40</v>
      </c>
    </row>
    <row r="12870" ht="15.75" customHeight="1">
      <c r="A12870" s="7"/>
      <c r="B12870" s="7"/>
      <c r="M12870" s="9" t="s">
        <v>33</v>
      </c>
    </row>
    <row r="12871" ht="15.75" customHeight="1">
      <c r="A12871" s="7"/>
      <c r="B12871" s="7"/>
      <c r="M12871" s="9" t="s">
        <v>26</v>
      </c>
    </row>
    <row r="12872" ht="15.75" customHeight="1">
      <c r="A12872" s="7"/>
      <c r="B12872" s="7"/>
      <c r="M12872" s="9" t="s">
        <v>23</v>
      </c>
    </row>
    <row r="12873" ht="15.75" customHeight="1">
      <c r="A12873" s="7"/>
      <c r="B12873" s="7"/>
      <c r="M12873" s="9" t="s">
        <v>24</v>
      </c>
    </row>
    <row r="12874" ht="15.75" customHeight="1">
      <c r="A12874" s="7"/>
      <c r="B12874" s="7"/>
      <c r="M12874" s="9" t="s">
        <v>20</v>
      </c>
    </row>
    <row r="12875" ht="15.75" customHeight="1">
      <c r="A12875" s="7"/>
      <c r="B12875" s="7"/>
      <c r="M12875" s="9" t="s">
        <v>21</v>
      </c>
    </row>
    <row r="12876" ht="15.75" customHeight="1">
      <c r="A12876" s="7"/>
      <c r="B12876" s="7"/>
      <c r="M12876" s="9" t="s">
        <v>46</v>
      </c>
    </row>
    <row r="12877" ht="15.75" customHeight="1">
      <c r="A12877" s="7"/>
      <c r="B12877" s="7"/>
      <c r="M12877" s="9" t="s">
        <v>33</v>
      </c>
    </row>
    <row r="12878" ht="15.75" customHeight="1">
      <c r="A12878" s="7"/>
      <c r="B12878" s="7"/>
      <c r="M12878" s="9" t="s">
        <v>34</v>
      </c>
    </row>
    <row r="12879" ht="15.75" customHeight="1">
      <c r="A12879" s="7"/>
      <c r="B12879" s="7"/>
      <c r="M12879" s="9" t="s">
        <v>30</v>
      </c>
    </row>
    <row r="12880" ht="15.75" customHeight="1">
      <c r="A12880" s="7"/>
      <c r="B12880" s="7"/>
      <c r="M12880" s="9" t="s">
        <v>22</v>
      </c>
    </row>
    <row r="12881" ht="15.75" customHeight="1">
      <c r="A12881" s="7"/>
      <c r="B12881" s="7"/>
      <c r="M12881" s="9" t="s">
        <v>24</v>
      </c>
    </row>
    <row r="12882" ht="15.75" customHeight="1">
      <c r="A12882" s="7"/>
      <c r="B12882" s="7"/>
      <c r="M12882" s="9" t="s">
        <v>21</v>
      </c>
    </row>
    <row r="12883" ht="15.75" customHeight="1">
      <c r="A12883" s="7"/>
      <c r="B12883" s="7"/>
      <c r="M12883" s="9" t="s">
        <v>22</v>
      </c>
    </row>
    <row r="12884" ht="15.75" customHeight="1">
      <c r="A12884" s="7"/>
      <c r="B12884" s="7"/>
      <c r="M12884" s="9" t="s">
        <v>26</v>
      </c>
    </row>
    <row r="12885" ht="15.75" customHeight="1">
      <c r="A12885" s="7"/>
      <c r="B12885" s="7"/>
      <c r="M12885" s="9" t="s">
        <v>47</v>
      </c>
    </row>
    <row r="12886" ht="15.75" customHeight="1">
      <c r="A12886" s="7"/>
      <c r="B12886" s="7"/>
      <c r="M12886" s="9" t="s">
        <v>21</v>
      </c>
    </row>
    <row r="12887" ht="15.75" customHeight="1">
      <c r="A12887" s="7"/>
      <c r="B12887" s="7"/>
      <c r="M12887" s="9" t="s">
        <v>22</v>
      </c>
    </row>
    <row r="12888" ht="15.75" customHeight="1">
      <c r="A12888" s="7"/>
      <c r="B12888" s="7"/>
      <c r="M12888" s="9" t="s">
        <v>27</v>
      </c>
    </row>
    <row r="12889" ht="15.75" customHeight="1">
      <c r="A12889" s="7"/>
      <c r="B12889" s="7"/>
      <c r="M12889" s="9" t="s">
        <v>33</v>
      </c>
    </row>
    <row r="12890" ht="15.75" customHeight="1">
      <c r="A12890" s="7"/>
      <c r="B12890" s="7"/>
      <c r="M12890" s="9" t="s">
        <v>20</v>
      </c>
    </row>
    <row r="12891" ht="15.75" customHeight="1">
      <c r="A12891" s="7"/>
      <c r="B12891" s="7"/>
      <c r="M12891" s="9" t="s">
        <v>24</v>
      </c>
    </row>
    <row r="12892" ht="15.75" customHeight="1">
      <c r="A12892" s="7"/>
      <c r="B12892" s="7"/>
      <c r="M12892" s="9" t="s">
        <v>21</v>
      </c>
    </row>
    <row r="12893" ht="15.75" customHeight="1">
      <c r="A12893" s="7"/>
      <c r="B12893" s="7"/>
      <c r="M12893" s="9" t="s">
        <v>37</v>
      </c>
    </row>
    <row r="12894" ht="15.75" customHeight="1">
      <c r="A12894" s="7"/>
      <c r="B12894" s="7"/>
      <c r="M12894" s="9" t="s">
        <v>27</v>
      </c>
    </row>
    <row r="12895" ht="15.75" customHeight="1">
      <c r="A12895" s="7"/>
      <c r="B12895" s="7"/>
      <c r="M12895" s="9" t="s">
        <v>38</v>
      </c>
    </row>
    <row r="12896" ht="15.75" customHeight="1">
      <c r="A12896" s="7"/>
      <c r="B12896" s="7"/>
      <c r="M12896" s="9" t="s">
        <v>25</v>
      </c>
    </row>
    <row r="12897" ht="15.75" customHeight="1">
      <c r="A12897" s="7"/>
      <c r="B12897" s="7"/>
      <c r="M12897" s="9" t="s">
        <v>23</v>
      </c>
    </row>
    <row r="12898" ht="15.75" customHeight="1">
      <c r="A12898" s="7"/>
      <c r="B12898" s="7"/>
      <c r="M12898" s="9" t="s">
        <v>24</v>
      </c>
    </row>
    <row r="12899" ht="15.75" customHeight="1">
      <c r="A12899" s="7"/>
      <c r="B12899" s="7"/>
      <c r="M12899" s="9" t="s">
        <v>20</v>
      </c>
    </row>
    <row r="12900" ht="15.75" customHeight="1">
      <c r="A12900" s="7"/>
      <c r="B12900" s="7"/>
      <c r="M12900" s="9" t="s">
        <v>21</v>
      </c>
    </row>
    <row r="12901" ht="15.75" customHeight="1">
      <c r="A12901" s="7"/>
      <c r="B12901" s="7"/>
      <c r="M12901" s="9" t="s">
        <v>22</v>
      </c>
    </row>
    <row r="12902" ht="15.75" customHeight="1">
      <c r="A12902" s="7"/>
      <c r="B12902" s="7"/>
      <c r="M12902" s="9" t="s">
        <v>31</v>
      </c>
    </row>
    <row r="12903" ht="15.75" customHeight="1">
      <c r="A12903" s="7"/>
      <c r="B12903" s="7"/>
      <c r="M12903" s="9" t="s">
        <v>46</v>
      </c>
    </row>
    <row r="12904" ht="15.75" customHeight="1">
      <c r="A12904" s="7"/>
      <c r="B12904" s="7"/>
      <c r="M12904" s="9" t="s">
        <v>27</v>
      </c>
    </row>
    <row r="12905" ht="15.75" customHeight="1">
      <c r="A12905" s="7"/>
      <c r="B12905" s="7"/>
      <c r="M12905" s="9" t="s">
        <v>21</v>
      </c>
    </row>
    <row r="12906" ht="15.75" customHeight="1">
      <c r="A12906" s="7"/>
      <c r="B12906" s="7"/>
      <c r="M12906" s="9" t="s">
        <v>30</v>
      </c>
    </row>
    <row r="12907" ht="15.75" customHeight="1">
      <c r="A12907" s="7"/>
      <c r="B12907" s="7"/>
      <c r="M12907" s="9" t="s">
        <v>21</v>
      </c>
    </row>
    <row r="12908" ht="15.75" customHeight="1">
      <c r="A12908" s="7"/>
      <c r="B12908" s="7"/>
      <c r="M12908" s="9" t="s">
        <v>22</v>
      </c>
    </row>
    <row r="12909" ht="15.75" customHeight="1">
      <c r="A12909" s="7"/>
      <c r="B12909" s="7"/>
      <c r="M12909" s="9" t="s">
        <v>24</v>
      </c>
    </row>
    <row r="12910" ht="15.75" customHeight="1">
      <c r="A12910" s="7"/>
      <c r="B12910" s="7"/>
      <c r="M12910" s="9" t="s">
        <v>21</v>
      </c>
    </row>
    <row r="12911" ht="15.75" customHeight="1">
      <c r="A12911" s="7"/>
      <c r="B12911" s="7"/>
      <c r="M12911" s="9" t="s">
        <v>22</v>
      </c>
    </row>
    <row r="12912" ht="15.75" customHeight="1">
      <c r="A12912" s="7"/>
      <c r="B12912" s="7"/>
      <c r="M12912" s="9" t="s">
        <v>27</v>
      </c>
    </row>
    <row r="12913" ht="15.75" customHeight="1">
      <c r="A12913" s="7"/>
      <c r="B12913" s="7"/>
      <c r="M12913" s="9" t="s">
        <v>30</v>
      </c>
    </row>
    <row r="12914" ht="15.75" customHeight="1">
      <c r="A12914" s="7"/>
      <c r="B12914" s="7"/>
      <c r="M12914" s="9" t="s">
        <v>26</v>
      </c>
    </row>
    <row r="12915" ht="15.75" customHeight="1">
      <c r="A12915" s="7"/>
      <c r="B12915" s="7"/>
      <c r="M12915" s="9" t="s">
        <v>24</v>
      </c>
    </row>
    <row r="12916" ht="15.75" customHeight="1">
      <c r="A12916" s="7"/>
      <c r="B12916" s="7"/>
      <c r="M12916" s="9" t="s">
        <v>20</v>
      </c>
    </row>
    <row r="12917" ht="15.75" customHeight="1">
      <c r="A12917" s="7"/>
      <c r="B12917" s="7"/>
      <c r="M12917" s="9" t="s">
        <v>21</v>
      </c>
    </row>
    <row r="12918" ht="15.75" customHeight="1">
      <c r="A12918" s="7"/>
      <c r="B12918" s="7"/>
      <c r="M12918" s="9" t="s">
        <v>32</v>
      </c>
    </row>
    <row r="12919" ht="15.75" customHeight="1">
      <c r="A12919" s="7"/>
      <c r="B12919" s="7"/>
      <c r="M12919" s="9" t="s">
        <v>27</v>
      </c>
    </row>
    <row r="12920" ht="15.75" customHeight="1">
      <c r="A12920" s="7"/>
      <c r="B12920" s="7"/>
      <c r="M12920" s="9" t="s">
        <v>33</v>
      </c>
    </row>
    <row r="12921" ht="15.75" customHeight="1">
      <c r="A12921" s="7"/>
      <c r="B12921" s="7"/>
      <c r="M12921" s="9" t="s">
        <v>24</v>
      </c>
    </row>
    <row r="12922" ht="15.75" customHeight="1">
      <c r="A12922" s="7"/>
      <c r="B12922" s="7"/>
      <c r="M12922" s="9" t="s">
        <v>21</v>
      </c>
    </row>
    <row r="12923" ht="15.75" customHeight="1">
      <c r="A12923" s="7"/>
      <c r="B12923" s="7"/>
      <c r="M12923" s="9" t="s">
        <v>37</v>
      </c>
    </row>
    <row r="12924" ht="15.75" customHeight="1">
      <c r="A12924" s="7"/>
      <c r="B12924" s="7"/>
      <c r="M12924" s="9" t="s">
        <v>31</v>
      </c>
    </row>
    <row r="12925" ht="15.75" customHeight="1">
      <c r="A12925" s="7"/>
      <c r="B12925" s="7"/>
      <c r="M12925" s="9" t="s">
        <v>38</v>
      </c>
    </row>
    <row r="12926" ht="15.75" customHeight="1">
      <c r="A12926" s="7"/>
      <c r="B12926" s="7"/>
      <c r="M12926" s="9" t="s">
        <v>30</v>
      </c>
    </row>
    <row r="12927" ht="15.75" customHeight="1">
      <c r="A12927" s="7"/>
      <c r="B12927" s="7"/>
      <c r="M12927" s="9" t="s">
        <v>25</v>
      </c>
    </row>
    <row r="12928" ht="15.75" customHeight="1">
      <c r="A12928" s="7"/>
      <c r="B12928" s="7"/>
      <c r="M12928" s="9" t="s">
        <v>23</v>
      </c>
    </row>
    <row r="12929" ht="15.75" customHeight="1">
      <c r="A12929" s="7"/>
      <c r="B12929" s="7"/>
      <c r="M12929" s="9" t="s">
        <v>26</v>
      </c>
    </row>
    <row r="12930" ht="15.75" customHeight="1">
      <c r="A12930" s="7"/>
      <c r="B12930" s="7"/>
      <c r="M12930" s="9" t="s">
        <v>24</v>
      </c>
    </row>
    <row r="12931" ht="15.75" customHeight="1">
      <c r="A12931" s="7"/>
      <c r="B12931" s="7"/>
      <c r="M12931" s="9" t="s">
        <v>20</v>
      </c>
    </row>
    <row r="12932" ht="15.75" customHeight="1">
      <c r="A12932" s="7"/>
      <c r="B12932" s="7"/>
      <c r="M12932" s="9" t="s">
        <v>21</v>
      </c>
    </row>
    <row r="12933" ht="15.75" customHeight="1">
      <c r="A12933" s="7"/>
      <c r="B12933" s="7"/>
      <c r="M12933" s="9" t="s">
        <v>39</v>
      </c>
    </row>
    <row r="12934" ht="15.75" customHeight="1">
      <c r="A12934" s="7"/>
      <c r="B12934" s="7"/>
      <c r="M12934" s="9" t="s">
        <v>37</v>
      </c>
    </row>
    <row r="12935" ht="15.75" customHeight="1">
      <c r="A12935" s="7"/>
      <c r="B12935" s="7"/>
      <c r="M12935" s="9" t="s">
        <v>22</v>
      </c>
    </row>
    <row r="12936" ht="15.75" customHeight="1">
      <c r="A12936" s="7"/>
      <c r="B12936" s="7"/>
      <c r="M12936" s="9" t="s">
        <v>27</v>
      </c>
    </row>
    <row r="12937" ht="15.75" customHeight="1">
      <c r="A12937" s="7"/>
      <c r="B12937" s="7"/>
      <c r="M12937" s="9" t="s">
        <v>35</v>
      </c>
    </row>
    <row r="12938" ht="15.75" customHeight="1">
      <c r="A12938" s="7"/>
      <c r="B12938" s="7"/>
      <c r="M12938" s="9" t="s">
        <v>24</v>
      </c>
    </row>
    <row r="12939" ht="15.75" customHeight="1">
      <c r="A12939" s="7"/>
      <c r="B12939" s="7"/>
      <c r="M12939" s="9" t="s">
        <v>20</v>
      </c>
    </row>
    <row r="12940" ht="15.75" customHeight="1">
      <c r="A12940" s="7"/>
      <c r="B12940" s="7"/>
      <c r="M12940" s="9" t="s">
        <v>21</v>
      </c>
    </row>
    <row r="12941" ht="15.75" customHeight="1">
      <c r="A12941" s="7"/>
      <c r="B12941" s="7"/>
      <c r="M12941" s="9" t="s">
        <v>30</v>
      </c>
    </row>
    <row r="12942" ht="15.75" customHeight="1">
      <c r="A12942" s="7"/>
      <c r="B12942" s="7"/>
      <c r="M12942" s="9" t="s">
        <v>25</v>
      </c>
    </row>
    <row r="12943" ht="15.75" customHeight="1">
      <c r="A12943" s="7"/>
      <c r="B12943" s="7"/>
      <c r="M12943" s="9" t="s">
        <v>23</v>
      </c>
    </row>
    <row r="12944" ht="15.75" customHeight="1">
      <c r="A12944" s="7"/>
      <c r="B12944" s="7"/>
      <c r="M12944" s="9" t="s">
        <v>24</v>
      </c>
    </row>
    <row r="12945" ht="15.75" customHeight="1">
      <c r="A12945" s="7"/>
      <c r="B12945" s="7"/>
      <c r="M12945" s="9" t="s">
        <v>20</v>
      </c>
    </row>
    <row r="12946" ht="15.75" customHeight="1">
      <c r="A12946" s="7"/>
      <c r="B12946" s="7"/>
      <c r="M12946" s="9" t="s">
        <v>21</v>
      </c>
    </row>
    <row r="12947" ht="15.75" customHeight="1">
      <c r="A12947" s="7"/>
      <c r="B12947" s="7"/>
      <c r="M12947" s="9" t="s">
        <v>37</v>
      </c>
    </row>
    <row r="12948" ht="15.75" customHeight="1">
      <c r="A12948" s="7"/>
      <c r="B12948" s="7"/>
      <c r="M12948" s="9" t="s">
        <v>22</v>
      </c>
    </row>
    <row r="12949" ht="15.75" customHeight="1">
      <c r="A12949" s="7"/>
      <c r="B12949" s="7"/>
      <c r="M12949" s="9" t="s">
        <v>26</v>
      </c>
    </row>
    <row r="12950" ht="15.75" customHeight="1">
      <c r="A12950" s="7"/>
      <c r="B12950" s="7"/>
      <c r="M12950" s="9" t="s">
        <v>21</v>
      </c>
    </row>
    <row r="12951" ht="15.75" customHeight="1">
      <c r="A12951" s="7"/>
      <c r="B12951" s="7"/>
      <c r="M12951" s="9" t="s">
        <v>27</v>
      </c>
    </row>
    <row r="12952" ht="15.75" customHeight="1">
      <c r="A12952" s="7"/>
      <c r="B12952" s="7"/>
      <c r="M12952" s="9" t="s">
        <v>24</v>
      </c>
    </row>
    <row r="12953" ht="15.75" customHeight="1">
      <c r="A12953" s="7"/>
      <c r="B12953" s="7"/>
      <c r="M12953" s="9" t="s">
        <v>21</v>
      </c>
    </row>
    <row r="12954" ht="15.75" customHeight="1">
      <c r="A12954" s="7"/>
      <c r="B12954" s="7"/>
      <c r="M12954" s="9" t="s">
        <v>33</v>
      </c>
    </row>
    <row r="12955" ht="15.75" customHeight="1">
      <c r="A12955" s="7"/>
      <c r="B12955" s="7"/>
      <c r="M12955" s="9" t="s">
        <v>47</v>
      </c>
    </row>
    <row r="12956" ht="15.75" customHeight="1">
      <c r="A12956" s="7"/>
      <c r="B12956" s="7"/>
      <c r="M12956" s="9" t="s">
        <v>24</v>
      </c>
    </row>
    <row r="12957" ht="15.75" customHeight="1">
      <c r="A12957" s="7"/>
      <c r="B12957" s="7"/>
      <c r="M12957" s="9" t="s">
        <v>21</v>
      </c>
    </row>
    <row r="12958" ht="15.75" customHeight="1">
      <c r="A12958" s="7"/>
      <c r="B12958" s="7"/>
      <c r="M12958" s="9" t="s">
        <v>37</v>
      </c>
    </row>
    <row r="12959" ht="15.75" customHeight="1">
      <c r="A12959" s="7"/>
      <c r="B12959" s="7"/>
      <c r="M12959" s="9" t="s">
        <v>27</v>
      </c>
    </row>
    <row r="12960" ht="15.75" customHeight="1">
      <c r="A12960" s="7"/>
      <c r="B12960" s="7"/>
      <c r="M12960" s="9" t="s">
        <v>30</v>
      </c>
    </row>
    <row r="12961" ht="15.75" customHeight="1">
      <c r="A12961" s="7"/>
      <c r="B12961" s="7"/>
      <c r="M12961" s="9" t="s">
        <v>26</v>
      </c>
    </row>
    <row r="12962" ht="15.75" customHeight="1">
      <c r="A12962" s="7"/>
      <c r="B12962" s="7"/>
      <c r="M12962" s="9" t="s">
        <v>24</v>
      </c>
    </row>
    <row r="12963" ht="15.75" customHeight="1">
      <c r="A12963" s="7"/>
      <c r="B12963" s="7"/>
      <c r="M12963" s="9" t="s">
        <v>21</v>
      </c>
    </row>
    <row r="12964" ht="15.75" customHeight="1">
      <c r="A12964" s="7"/>
      <c r="B12964" s="7"/>
      <c r="M12964" s="9" t="s">
        <v>37</v>
      </c>
    </row>
    <row r="12965" ht="15.75" customHeight="1">
      <c r="A12965" s="7"/>
      <c r="B12965" s="7"/>
      <c r="M12965" s="9" t="s">
        <v>27</v>
      </c>
    </row>
    <row r="12966" ht="15.75" customHeight="1">
      <c r="A12966" s="7"/>
      <c r="B12966" s="7"/>
      <c r="M12966" s="9" t="s">
        <v>39</v>
      </c>
    </row>
    <row r="12967" ht="15.75" customHeight="1">
      <c r="A12967" s="7"/>
      <c r="B12967" s="7"/>
      <c r="M12967" s="9" t="s">
        <v>41</v>
      </c>
    </row>
    <row r="12968" ht="15.75" customHeight="1">
      <c r="A12968" s="7"/>
      <c r="B12968" s="7"/>
      <c r="M12968" s="9" t="s">
        <v>40</v>
      </c>
    </row>
    <row r="12969" ht="15.75" customHeight="1">
      <c r="A12969" s="7"/>
      <c r="B12969" s="7"/>
      <c r="M12969" s="9" t="s">
        <v>30</v>
      </c>
    </row>
    <row r="12970" ht="15.75" customHeight="1">
      <c r="A12970" s="7"/>
      <c r="B12970" s="7"/>
      <c r="M12970" s="9" t="s">
        <v>25</v>
      </c>
    </row>
    <row r="12971" ht="15.75" customHeight="1">
      <c r="A12971" s="7"/>
      <c r="B12971" s="7"/>
      <c r="M12971" s="9" t="s">
        <v>23</v>
      </c>
    </row>
    <row r="12972" ht="15.75" customHeight="1">
      <c r="A12972" s="7"/>
      <c r="B12972" s="7"/>
      <c r="M12972" s="9" t="s">
        <v>26</v>
      </c>
    </row>
    <row r="12973" ht="15.75" customHeight="1">
      <c r="A12973" s="7"/>
      <c r="B12973" s="7"/>
      <c r="M12973" s="9" t="s">
        <v>24</v>
      </c>
    </row>
    <row r="12974" ht="15.75" customHeight="1">
      <c r="A12974" s="7"/>
      <c r="B12974" s="7"/>
      <c r="M12974" s="9" t="s">
        <v>21</v>
      </c>
    </row>
    <row r="12975" ht="15.75" customHeight="1">
      <c r="A12975" s="7"/>
      <c r="B12975" s="7"/>
      <c r="M12975" s="9" t="s">
        <v>37</v>
      </c>
    </row>
    <row r="12976" ht="15.75" customHeight="1">
      <c r="A12976" s="7"/>
      <c r="B12976" s="7"/>
      <c r="M12976" s="9" t="s">
        <v>22</v>
      </c>
    </row>
    <row r="12977" ht="15.75" customHeight="1">
      <c r="A12977" s="7"/>
      <c r="B12977" s="7"/>
      <c r="M12977" s="9" t="s">
        <v>27</v>
      </c>
    </row>
    <row r="12978" ht="15.75" customHeight="1">
      <c r="A12978" s="7"/>
      <c r="B12978" s="7"/>
      <c r="M12978" s="9" t="s">
        <v>34</v>
      </c>
    </row>
    <row r="12979" ht="15.75" customHeight="1">
      <c r="A12979" s="7"/>
      <c r="B12979" s="7"/>
      <c r="M12979" s="9" t="s">
        <v>25</v>
      </c>
    </row>
    <row r="12980" ht="15.75" customHeight="1">
      <c r="A12980" s="7"/>
      <c r="B12980" s="7"/>
      <c r="M12980" s="9" t="s">
        <v>23</v>
      </c>
    </row>
    <row r="12981" ht="15.75" customHeight="1">
      <c r="A12981" s="7"/>
      <c r="B12981" s="7"/>
      <c r="M12981" s="9" t="s">
        <v>24</v>
      </c>
    </row>
    <row r="12982" ht="15.75" customHeight="1">
      <c r="A12982" s="7"/>
      <c r="B12982" s="7"/>
      <c r="M12982" s="9" t="s">
        <v>20</v>
      </c>
    </row>
    <row r="12983" ht="15.75" customHeight="1">
      <c r="A12983" s="7"/>
      <c r="B12983" s="7"/>
      <c r="M12983" s="9" t="s">
        <v>21</v>
      </c>
    </row>
    <row r="12984" ht="15.75" customHeight="1">
      <c r="A12984" s="7"/>
      <c r="B12984" s="7"/>
      <c r="M12984" s="9" t="s">
        <v>22</v>
      </c>
    </row>
    <row r="12985" ht="15.75" customHeight="1">
      <c r="A12985" s="7"/>
      <c r="B12985" s="7"/>
      <c r="M12985" s="9" t="s">
        <v>30</v>
      </c>
    </row>
    <row r="12986" ht="15.75" customHeight="1">
      <c r="A12986" s="7"/>
      <c r="B12986" s="7"/>
      <c r="M12986" s="9" t="s">
        <v>23</v>
      </c>
    </row>
    <row r="12987" ht="15.75" customHeight="1">
      <c r="A12987" s="7"/>
      <c r="B12987" s="7"/>
      <c r="M12987" s="9" t="s">
        <v>26</v>
      </c>
    </row>
    <row r="12988" ht="15.75" customHeight="1">
      <c r="A12988" s="7"/>
      <c r="B12988" s="7"/>
      <c r="M12988" s="9" t="s">
        <v>24</v>
      </c>
    </row>
    <row r="12989" ht="15.75" customHeight="1">
      <c r="A12989" s="7"/>
      <c r="B12989" s="7"/>
      <c r="M12989" s="9" t="s">
        <v>21</v>
      </c>
    </row>
    <row r="12990" ht="15.75" customHeight="1">
      <c r="A12990" s="7"/>
      <c r="B12990" s="7"/>
      <c r="M12990" s="9" t="s">
        <v>37</v>
      </c>
    </row>
    <row r="12991" ht="15.75" customHeight="1">
      <c r="A12991" s="7"/>
      <c r="B12991" s="7"/>
      <c r="M12991" s="9" t="s">
        <v>32</v>
      </c>
    </row>
    <row r="12992" ht="15.75" customHeight="1">
      <c r="A12992" s="7"/>
      <c r="B12992" s="7"/>
      <c r="M12992" s="9" t="s">
        <v>27</v>
      </c>
    </row>
    <row r="12993" ht="15.75" customHeight="1">
      <c r="A12993" s="7"/>
      <c r="B12993" s="7"/>
      <c r="M12993" s="9" t="s">
        <v>33</v>
      </c>
    </row>
    <row r="12994" ht="15.75" customHeight="1">
      <c r="A12994" s="7"/>
      <c r="B12994" s="7"/>
      <c r="M12994" s="9" t="s">
        <v>23</v>
      </c>
    </row>
    <row r="12995" ht="15.75" customHeight="1">
      <c r="A12995" s="7"/>
      <c r="B12995" s="7"/>
      <c r="M12995" s="9" t="s">
        <v>26</v>
      </c>
    </row>
    <row r="12996" ht="15.75" customHeight="1">
      <c r="A12996" s="7"/>
      <c r="B12996" s="7"/>
      <c r="M12996" s="9" t="s">
        <v>36</v>
      </c>
    </row>
    <row r="12997" ht="15.75" customHeight="1">
      <c r="A12997" s="7"/>
      <c r="B12997" s="7"/>
      <c r="M12997" s="9" t="s">
        <v>24</v>
      </c>
    </row>
    <row r="12998" ht="15.75" customHeight="1">
      <c r="A12998" s="7"/>
      <c r="B12998" s="7"/>
      <c r="M12998" s="9" t="s">
        <v>21</v>
      </c>
    </row>
    <row r="12999" ht="15.75" customHeight="1">
      <c r="A12999" s="7"/>
      <c r="B12999" s="7"/>
      <c r="M12999" s="9" t="s">
        <v>22</v>
      </c>
    </row>
    <row r="13000" ht="15.75" customHeight="1">
      <c r="A13000" s="7"/>
      <c r="B13000" s="7"/>
      <c r="M13000" s="9" t="s">
        <v>31</v>
      </c>
    </row>
    <row r="13001" ht="15.75" customHeight="1">
      <c r="A13001" s="7"/>
      <c r="B13001" s="7"/>
      <c r="M13001" s="9" t="s">
        <v>27</v>
      </c>
    </row>
    <row r="13002" ht="15.75" customHeight="1">
      <c r="A13002" s="7"/>
      <c r="B13002" s="7"/>
      <c r="M13002" s="9" t="s">
        <v>23</v>
      </c>
    </row>
    <row r="13003" ht="15.75" customHeight="1">
      <c r="A13003" s="7"/>
      <c r="B13003" s="7"/>
      <c r="M13003" s="9" t="s">
        <v>36</v>
      </c>
    </row>
    <row r="13004" ht="15.75" customHeight="1">
      <c r="A13004" s="7"/>
      <c r="B13004" s="7"/>
      <c r="M13004" s="9" t="s">
        <v>39</v>
      </c>
    </row>
    <row r="13005" ht="15.75" customHeight="1">
      <c r="A13005" s="7"/>
      <c r="B13005" s="7"/>
      <c r="M13005" s="9" t="s">
        <v>22</v>
      </c>
    </row>
    <row r="13006" ht="15.75" customHeight="1">
      <c r="A13006" s="7"/>
      <c r="B13006" s="7"/>
      <c r="M13006" s="9" t="s">
        <v>31</v>
      </c>
    </row>
    <row r="13007" ht="15.75" customHeight="1">
      <c r="A13007" s="7"/>
      <c r="B13007" s="7"/>
      <c r="M13007" s="9" t="s">
        <v>27</v>
      </c>
    </row>
    <row r="13008" ht="15.75" customHeight="1">
      <c r="A13008" s="7"/>
      <c r="B13008" s="7"/>
      <c r="M13008" s="9" t="s">
        <v>40</v>
      </c>
    </row>
    <row r="13009" ht="15.75" customHeight="1">
      <c r="A13009" s="7"/>
      <c r="B13009" s="7"/>
      <c r="M13009" s="9" t="s">
        <v>33</v>
      </c>
    </row>
    <row r="13010" ht="15.75" customHeight="1">
      <c r="A13010" s="7"/>
      <c r="B13010" s="7"/>
      <c r="M13010" s="9" t="s">
        <v>25</v>
      </c>
    </row>
    <row r="13011" ht="15.75" customHeight="1">
      <c r="A13011" s="7"/>
      <c r="B13011" s="7"/>
      <c r="M13011" s="9" t="s">
        <v>24</v>
      </c>
    </row>
    <row r="13012" ht="15.75" customHeight="1">
      <c r="A13012" s="7"/>
      <c r="B13012" s="7"/>
      <c r="M13012" s="9" t="s">
        <v>20</v>
      </c>
    </row>
    <row r="13013" ht="15.75" customHeight="1">
      <c r="A13013" s="7"/>
      <c r="B13013" s="7"/>
      <c r="M13013" s="9" t="s">
        <v>37</v>
      </c>
    </row>
    <row r="13014" ht="15.75" customHeight="1">
      <c r="A13014" s="7"/>
      <c r="B13014" s="7"/>
      <c r="M13014" s="9" t="s">
        <v>27</v>
      </c>
    </row>
    <row r="13015" ht="15.75" customHeight="1">
      <c r="A13015" s="7"/>
      <c r="B13015" s="7"/>
      <c r="M13015" s="9" t="s">
        <v>36</v>
      </c>
    </row>
    <row r="13016" ht="15.75" customHeight="1">
      <c r="A13016" s="7"/>
      <c r="B13016" s="7"/>
      <c r="M13016" s="9" t="s">
        <v>24</v>
      </c>
    </row>
    <row r="13017" ht="15.75" customHeight="1">
      <c r="A13017" s="7"/>
      <c r="B13017" s="7"/>
      <c r="M13017" s="9" t="s">
        <v>21</v>
      </c>
    </row>
    <row r="13018" ht="15.75" customHeight="1">
      <c r="A13018" s="7"/>
      <c r="B13018" s="7"/>
      <c r="M13018" s="9" t="s">
        <v>33</v>
      </c>
    </row>
    <row r="13019" ht="15.75" customHeight="1">
      <c r="A13019" s="7"/>
      <c r="B13019" s="7"/>
      <c r="M13019" s="9" t="s">
        <v>30</v>
      </c>
    </row>
    <row r="13020" ht="15.75" customHeight="1">
      <c r="A13020" s="7"/>
      <c r="B13020" s="7"/>
      <c r="M13020" s="9" t="s">
        <v>22</v>
      </c>
    </row>
    <row r="13021" ht="15.75" customHeight="1">
      <c r="A13021" s="7"/>
      <c r="B13021" s="7"/>
      <c r="M13021" s="9" t="s">
        <v>35</v>
      </c>
    </row>
    <row r="13022" ht="15.75" customHeight="1">
      <c r="A13022" s="7"/>
      <c r="B13022" s="7"/>
      <c r="M13022" s="9" t="s">
        <v>42</v>
      </c>
    </row>
    <row r="13023" ht="15.75" customHeight="1">
      <c r="A13023" s="7"/>
      <c r="B13023" s="7"/>
      <c r="M13023" s="9" t="s">
        <v>21</v>
      </c>
    </row>
    <row r="13024" ht="15.75" customHeight="1">
      <c r="A13024" s="7"/>
      <c r="B13024" s="7"/>
      <c r="M13024" s="9" t="s">
        <v>31</v>
      </c>
    </row>
    <row r="13025" ht="15.75" customHeight="1">
      <c r="A13025" s="7"/>
      <c r="B13025" s="7"/>
      <c r="M13025" s="9" t="s">
        <v>27</v>
      </c>
    </row>
    <row r="13026" ht="15.75" customHeight="1">
      <c r="A13026" s="7"/>
      <c r="B13026" s="7"/>
      <c r="M13026" s="9" t="s">
        <v>33</v>
      </c>
    </row>
    <row r="13027" ht="15.75" customHeight="1">
      <c r="A13027" s="7"/>
      <c r="B13027" s="7"/>
      <c r="M13027" s="9" t="s">
        <v>24</v>
      </c>
    </row>
    <row r="13028" ht="15.75" customHeight="1">
      <c r="A13028" s="7"/>
      <c r="B13028" s="7"/>
      <c r="M13028" s="9" t="s">
        <v>20</v>
      </c>
    </row>
    <row r="13029" ht="15.75" customHeight="1">
      <c r="A13029" s="7"/>
      <c r="B13029" s="7"/>
      <c r="M13029" s="9" t="s">
        <v>21</v>
      </c>
    </row>
    <row r="13030" ht="15.75" customHeight="1">
      <c r="A13030" s="7"/>
      <c r="B13030" s="7"/>
      <c r="M13030" s="9" t="s">
        <v>35</v>
      </c>
    </row>
    <row r="13031" ht="15.75" customHeight="1">
      <c r="A13031" s="7"/>
      <c r="B13031" s="7"/>
      <c r="M13031" s="9" t="s">
        <v>38</v>
      </c>
    </row>
    <row r="13032" ht="15.75" customHeight="1">
      <c r="A13032" s="7"/>
      <c r="B13032" s="7"/>
      <c r="M13032" s="9" t="s">
        <v>30</v>
      </c>
    </row>
    <row r="13033" ht="15.75" customHeight="1">
      <c r="A13033" s="7"/>
      <c r="B13033" s="7"/>
      <c r="M13033" s="9" t="s">
        <v>25</v>
      </c>
    </row>
    <row r="13034" ht="15.75" customHeight="1">
      <c r="A13034" s="7"/>
      <c r="B13034" s="7"/>
      <c r="M13034" s="9" t="s">
        <v>24</v>
      </c>
    </row>
    <row r="13035" ht="15.75" customHeight="1">
      <c r="A13035" s="7"/>
      <c r="B13035" s="7"/>
      <c r="M13035" s="9" t="s">
        <v>21</v>
      </c>
    </row>
    <row r="13036" ht="15.75" customHeight="1">
      <c r="A13036" s="7"/>
      <c r="B13036" s="7"/>
      <c r="M13036" s="9" t="s">
        <v>22</v>
      </c>
    </row>
    <row r="13037" ht="15.75" customHeight="1">
      <c r="A13037" s="7"/>
      <c r="B13037" s="7"/>
      <c r="M13037" s="9" t="s">
        <v>31</v>
      </c>
    </row>
    <row r="13038" ht="15.75" customHeight="1">
      <c r="A13038" s="7"/>
      <c r="B13038" s="7"/>
      <c r="M13038" s="9" t="s">
        <v>27</v>
      </c>
    </row>
    <row r="13039" ht="15.75" customHeight="1">
      <c r="A13039" s="7"/>
      <c r="B13039" s="7"/>
      <c r="M13039" s="9" t="s">
        <v>21</v>
      </c>
    </row>
    <row r="13040" ht="15.75" customHeight="1">
      <c r="A13040" s="7"/>
      <c r="B13040" s="7"/>
      <c r="M13040" s="9" t="s">
        <v>30</v>
      </c>
    </row>
    <row r="13041" ht="15.75" customHeight="1">
      <c r="A13041" s="7"/>
      <c r="B13041" s="7"/>
      <c r="M13041" s="9" t="s">
        <v>25</v>
      </c>
    </row>
    <row r="13042" ht="15.75" customHeight="1">
      <c r="A13042" s="7"/>
      <c r="B13042" s="7"/>
      <c r="M13042" s="9" t="s">
        <v>23</v>
      </c>
    </row>
    <row r="13043" ht="15.75" customHeight="1">
      <c r="A13043" s="7"/>
      <c r="B13043" s="7"/>
      <c r="M13043" s="9" t="s">
        <v>21</v>
      </c>
    </row>
    <row r="13044" ht="15.75" customHeight="1">
      <c r="A13044" s="7"/>
      <c r="B13044" s="7"/>
      <c r="M13044" s="9" t="s">
        <v>22</v>
      </c>
    </row>
    <row r="13045" ht="15.75" customHeight="1">
      <c r="A13045" s="7"/>
      <c r="B13045" s="7"/>
      <c r="M13045" s="9" t="s">
        <v>35</v>
      </c>
    </row>
    <row r="13046" ht="15.75" customHeight="1">
      <c r="A13046" s="7"/>
      <c r="B13046" s="7"/>
      <c r="M13046" s="9" t="s">
        <v>30</v>
      </c>
    </row>
    <row r="13047" ht="15.75" customHeight="1">
      <c r="A13047" s="7"/>
      <c r="B13047" s="7"/>
      <c r="M13047" s="9" t="s">
        <v>23</v>
      </c>
    </row>
    <row r="13048" ht="15.75" customHeight="1">
      <c r="A13048" s="7"/>
      <c r="B13048" s="7"/>
      <c r="M13048" s="9" t="s">
        <v>20</v>
      </c>
    </row>
    <row r="13049" ht="15.75" customHeight="1">
      <c r="A13049" s="7"/>
      <c r="B13049" s="7"/>
      <c r="M13049" s="9" t="s">
        <v>22</v>
      </c>
    </row>
    <row r="13050" ht="15.75" customHeight="1">
      <c r="A13050" s="7"/>
      <c r="B13050" s="7"/>
      <c r="M13050" s="9" t="s">
        <v>27</v>
      </c>
    </row>
    <row r="13051" ht="15.75" customHeight="1">
      <c r="A13051" s="7"/>
      <c r="B13051" s="7"/>
      <c r="M13051" s="9" t="s">
        <v>24</v>
      </c>
    </row>
    <row r="13052" ht="15.75" customHeight="1">
      <c r="A13052" s="7"/>
      <c r="B13052" s="7"/>
      <c r="M13052" s="9" t="s">
        <v>21</v>
      </c>
    </row>
    <row r="13053" ht="15.75" customHeight="1">
      <c r="A13053" s="7"/>
      <c r="B13053" s="7"/>
      <c r="M13053" s="9" t="s">
        <v>37</v>
      </c>
    </row>
    <row r="13054" ht="15.75" customHeight="1">
      <c r="A13054" s="7"/>
      <c r="B13054" s="7"/>
      <c r="M13054" s="9" t="s">
        <v>27</v>
      </c>
    </row>
    <row r="13055" ht="15.75" customHeight="1">
      <c r="A13055" s="7"/>
      <c r="B13055" s="7"/>
      <c r="M13055" s="9" t="s">
        <v>24</v>
      </c>
    </row>
    <row r="13056" ht="15.75" customHeight="1">
      <c r="A13056" s="7"/>
      <c r="B13056" s="7"/>
      <c r="M13056" s="9" t="s">
        <v>21</v>
      </c>
    </row>
    <row r="13057" ht="15.75" customHeight="1">
      <c r="A13057" s="7"/>
      <c r="B13057" s="7"/>
      <c r="M13057" s="9" t="s">
        <v>37</v>
      </c>
    </row>
    <row r="13058" ht="15.75" customHeight="1">
      <c r="A13058" s="7"/>
      <c r="B13058" s="7"/>
      <c r="M13058" s="9" t="s">
        <v>27</v>
      </c>
    </row>
    <row r="13059" ht="15.75" customHeight="1">
      <c r="A13059" s="7"/>
      <c r="B13059" s="7"/>
      <c r="M13059" s="9" t="s">
        <v>33</v>
      </c>
    </row>
    <row r="13060" ht="15.75" customHeight="1">
      <c r="A13060" s="7"/>
      <c r="B13060" s="7"/>
      <c r="M13060" s="9" t="s">
        <v>30</v>
      </c>
    </row>
    <row r="13061" ht="15.75" customHeight="1">
      <c r="A13061" s="7"/>
      <c r="B13061" s="7"/>
      <c r="M13061" s="9" t="s">
        <v>26</v>
      </c>
    </row>
    <row r="13062" ht="15.75" customHeight="1">
      <c r="A13062" s="7"/>
      <c r="B13062" s="7"/>
      <c r="M13062" s="9" t="s">
        <v>24</v>
      </c>
    </row>
    <row r="13063" ht="15.75" customHeight="1">
      <c r="A13063" s="7"/>
      <c r="B13063" s="7"/>
      <c r="M13063" s="9" t="s">
        <v>21</v>
      </c>
    </row>
    <row r="13064" ht="15.75" customHeight="1">
      <c r="A13064" s="7"/>
      <c r="B13064" s="7"/>
      <c r="M13064" s="9" t="s">
        <v>37</v>
      </c>
    </row>
    <row r="13065" ht="15.75" customHeight="1">
      <c r="A13065" s="7"/>
      <c r="B13065" s="7"/>
      <c r="M13065" s="9" t="s">
        <v>31</v>
      </c>
    </row>
    <row r="13066" ht="15.75" customHeight="1">
      <c r="A13066" s="7"/>
      <c r="B13066" s="7"/>
      <c r="M13066" s="9" t="s">
        <v>27</v>
      </c>
    </row>
    <row r="13067" ht="15.75" customHeight="1">
      <c r="A13067" s="7"/>
      <c r="B13067" s="7"/>
      <c r="M13067" s="9" t="s">
        <v>30</v>
      </c>
    </row>
    <row r="13068" ht="15.75" customHeight="1">
      <c r="A13068" s="7"/>
      <c r="B13068" s="7"/>
      <c r="M13068" s="9" t="s">
        <v>26</v>
      </c>
    </row>
    <row r="13069" ht="15.75" customHeight="1">
      <c r="A13069" s="7"/>
      <c r="B13069" s="7"/>
      <c r="M13069" s="9" t="s">
        <v>36</v>
      </c>
    </row>
    <row r="13070" ht="15.75" customHeight="1">
      <c r="A13070" s="7"/>
      <c r="B13070" s="7"/>
      <c r="M13070" s="9" t="s">
        <v>24</v>
      </c>
    </row>
    <row r="13071" ht="15.75" customHeight="1">
      <c r="A13071" s="7"/>
      <c r="B13071" s="7"/>
      <c r="M13071" s="9" t="s">
        <v>21</v>
      </c>
    </row>
    <row r="13072" ht="15.75" customHeight="1">
      <c r="A13072" s="7"/>
      <c r="B13072" s="7"/>
      <c r="M13072" s="9" t="s">
        <v>22</v>
      </c>
    </row>
    <row r="13073" ht="15.75" customHeight="1">
      <c r="A13073" s="7"/>
      <c r="B13073" s="7"/>
      <c r="M13073" s="9" t="s">
        <v>24</v>
      </c>
    </row>
    <row r="13074" ht="15.75" customHeight="1">
      <c r="A13074" s="7"/>
      <c r="B13074" s="7"/>
      <c r="M13074" s="9" t="s">
        <v>21</v>
      </c>
    </row>
    <row r="13075" ht="15.75" customHeight="1">
      <c r="A13075" s="7"/>
      <c r="B13075" s="7"/>
      <c r="M13075" s="9" t="s">
        <v>37</v>
      </c>
    </row>
    <row r="13076" ht="15.75" customHeight="1">
      <c r="A13076" s="7"/>
      <c r="B13076" s="7"/>
      <c r="M13076" s="9" t="s">
        <v>31</v>
      </c>
    </row>
    <row r="13077" ht="15.75" customHeight="1">
      <c r="A13077" s="7"/>
      <c r="B13077" s="7"/>
      <c r="M13077" s="9" t="s">
        <v>27</v>
      </c>
    </row>
    <row r="13078" ht="15.75" customHeight="1">
      <c r="A13078" s="7"/>
      <c r="B13078" s="7"/>
      <c r="M13078" s="9" t="s">
        <v>24</v>
      </c>
    </row>
    <row r="13079" ht="15.75" customHeight="1">
      <c r="A13079" s="7"/>
      <c r="B13079" s="7"/>
      <c r="M13079" s="9" t="s">
        <v>21</v>
      </c>
    </row>
    <row r="13080" ht="15.75" customHeight="1">
      <c r="A13080" s="7"/>
      <c r="B13080" s="7"/>
      <c r="M13080" s="9" t="s">
        <v>22</v>
      </c>
    </row>
    <row r="13081" ht="15.75" customHeight="1">
      <c r="A13081" s="7"/>
      <c r="B13081" s="7"/>
      <c r="M13081" s="9" t="s">
        <v>31</v>
      </c>
    </row>
    <row r="13082" ht="15.75" customHeight="1">
      <c r="A13082" s="7"/>
      <c r="B13082" s="7"/>
      <c r="M13082" s="9" t="s">
        <v>21</v>
      </c>
    </row>
    <row r="13083" ht="15.75" customHeight="1">
      <c r="A13083" s="7"/>
      <c r="B13083" s="7"/>
      <c r="M13083" s="9" t="s">
        <v>33</v>
      </c>
    </row>
    <row r="13084" ht="15.75" customHeight="1">
      <c r="A13084" s="7"/>
      <c r="B13084" s="7"/>
      <c r="M13084" s="9" t="s">
        <v>30</v>
      </c>
    </row>
    <row r="13085" ht="15.75" customHeight="1">
      <c r="A13085" s="7"/>
      <c r="B13085" s="7"/>
      <c r="M13085" s="9" t="s">
        <v>24</v>
      </c>
    </row>
    <row r="13086" ht="15.75" customHeight="1">
      <c r="A13086" s="7"/>
      <c r="B13086" s="7"/>
      <c r="M13086" s="9" t="s">
        <v>21</v>
      </c>
    </row>
    <row r="13087" ht="15.75" customHeight="1">
      <c r="A13087" s="7"/>
      <c r="B13087" s="7"/>
      <c r="M13087" s="9" t="s">
        <v>37</v>
      </c>
    </row>
    <row r="13088" ht="15.75" customHeight="1">
      <c r="A13088" s="7"/>
      <c r="B13088" s="7"/>
      <c r="M13088" s="9" t="s">
        <v>27</v>
      </c>
    </row>
    <row r="13089" ht="15.75" customHeight="1">
      <c r="A13089" s="7"/>
      <c r="B13089" s="7"/>
      <c r="M13089" s="9" t="s">
        <v>20</v>
      </c>
    </row>
    <row r="13090" ht="15.75" customHeight="1">
      <c r="A13090" s="7"/>
      <c r="B13090" s="7"/>
      <c r="M13090" s="9" t="s">
        <v>33</v>
      </c>
    </row>
    <row r="13091" ht="15.75" customHeight="1">
      <c r="A13091" s="7"/>
      <c r="B13091" s="7"/>
      <c r="M13091" s="9" t="s">
        <v>24</v>
      </c>
    </row>
    <row r="13092" ht="15.75" customHeight="1">
      <c r="A13092" s="7"/>
      <c r="B13092" s="7"/>
      <c r="M13092" s="9" t="s">
        <v>21</v>
      </c>
    </row>
    <row r="13093" ht="15.75" customHeight="1">
      <c r="A13093" s="7"/>
      <c r="B13093" s="7"/>
      <c r="M13093" s="9" t="s">
        <v>24</v>
      </c>
    </row>
    <row r="13094" ht="15.75" customHeight="1">
      <c r="A13094" s="7"/>
      <c r="B13094" s="7"/>
      <c r="M13094" s="9" t="s">
        <v>21</v>
      </c>
    </row>
    <row r="13095" ht="15.75" customHeight="1">
      <c r="A13095" s="7"/>
      <c r="B13095" s="7"/>
      <c r="M13095" s="9" t="s">
        <v>33</v>
      </c>
    </row>
    <row r="13096" ht="15.75" customHeight="1">
      <c r="A13096" s="7"/>
      <c r="B13096" s="7"/>
      <c r="M13096" s="9" t="s">
        <v>30</v>
      </c>
    </row>
    <row r="13097" ht="15.75" customHeight="1">
      <c r="A13097" s="7"/>
      <c r="B13097" s="7"/>
      <c r="M13097" s="9" t="s">
        <v>26</v>
      </c>
    </row>
    <row r="13098" ht="15.75" customHeight="1">
      <c r="A13098" s="7"/>
      <c r="B13098" s="7"/>
      <c r="M13098" s="9" t="s">
        <v>35</v>
      </c>
    </row>
    <row r="13099" ht="15.75" customHeight="1">
      <c r="A13099" s="7"/>
      <c r="B13099" s="7"/>
      <c r="M13099" s="9" t="s">
        <v>25</v>
      </c>
    </row>
    <row r="13100" ht="15.75" customHeight="1">
      <c r="A13100" s="7"/>
      <c r="B13100" s="7"/>
      <c r="M13100" s="9" t="s">
        <v>23</v>
      </c>
    </row>
    <row r="13101" ht="15.75" customHeight="1">
      <c r="A13101" s="7"/>
      <c r="B13101" s="7"/>
      <c r="M13101" s="9" t="s">
        <v>22</v>
      </c>
    </row>
    <row r="13102" ht="15.75" customHeight="1">
      <c r="A13102" s="7"/>
      <c r="B13102" s="7"/>
      <c r="M13102" s="9" t="s">
        <v>35</v>
      </c>
    </row>
    <row r="13103" ht="15.75" customHeight="1">
      <c r="A13103" s="7"/>
      <c r="B13103" s="7"/>
      <c r="M13103" s="9" t="s">
        <v>30</v>
      </c>
    </row>
    <row r="13104" ht="15.75" customHeight="1">
      <c r="A13104" s="7"/>
      <c r="B13104" s="7"/>
      <c r="M13104" s="9" t="s">
        <v>26</v>
      </c>
    </row>
    <row r="13105" ht="15.75" customHeight="1">
      <c r="A13105" s="7"/>
      <c r="B13105" s="7"/>
      <c r="M13105" s="9" t="s">
        <v>45</v>
      </c>
    </row>
    <row r="13106" ht="15.75" customHeight="1">
      <c r="A13106" s="7"/>
      <c r="B13106" s="7"/>
      <c r="M13106" s="9" t="s">
        <v>36</v>
      </c>
    </row>
    <row r="13107" ht="15.75" customHeight="1">
      <c r="A13107" s="7"/>
      <c r="B13107" s="7"/>
      <c r="M13107" s="9" t="s">
        <v>30</v>
      </c>
    </row>
    <row r="13108" ht="15.75" customHeight="1">
      <c r="A13108" s="7"/>
      <c r="B13108" s="7"/>
      <c r="M13108" s="9" t="s">
        <v>24</v>
      </c>
    </row>
    <row r="13109" ht="15.75" customHeight="1">
      <c r="A13109" s="7"/>
      <c r="B13109" s="7"/>
      <c r="M13109" s="9" t="s">
        <v>20</v>
      </c>
    </row>
    <row r="13110" ht="15.75" customHeight="1">
      <c r="A13110" s="7"/>
      <c r="B13110" s="7"/>
      <c r="M13110" s="9" t="s">
        <v>21</v>
      </c>
    </row>
    <row r="13111" ht="15.75" customHeight="1">
      <c r="A13111" s="7"/>
      <c r="B13111" s="7"/>
      <c r="M13111" s="9" t="s">
        <v>33</v>
      </c>
    </row>
    <row r="13112" ht="15.75" customHeight="1">
      <c r="A13112" s="7"/>
      <c r="B13112" s="7"/>
      <c r="M13112" s="9" t="s">
        <v>24</v>
      </c>
    </row>
    <row r="13113" ht="15.75" customHeight="1">
      <c r="A13113" s="7"/>
      <c r="B13113" s="7"/>
      <c r="M13113" s="9" t="s">
        <v>20</v>
      </c>
    </row>
    <row r="13114" ht="15.75" customHeight="1">
      <c r="A13114" s="7"/>
      <c r="B13114" s="7"/>
      <c r="M13114" s="9" t="s">
        <v>39</v>
      </c>
    </row>
    <row r="13115" ht="15.75" customHeight="1">
      <c r="A13115" s="7"/>
      <c r="B13115" s="7"/>
      <c r="M13115" s="9" t="s">
        <v>27</v>
      </c>
    </row>
    <row r="13116" ht="15.75" customHeight="1">
      <c r="A13116" s="7"/>
      <c r="B13116" s="7"/>
      <c r="M13116" s="9" t="s">
        <v>28</v>
      </c>
    </row>
    <row r="13117" ht="15.75" customHeight="1">
      <c r="A13117" s="7"/>
      <c r="B13117" s="7"/>
      <c r="M13117" s="9" t="s">
        <v>30</v>
      </c>
    </row>
    <row r="13118" ht="15.75" customHeight="1">
      <c r="A13118" s="7"/>
      <c r="B13118" s="7"/>
      <c r="M13118" s="9" t="s">
        <v>22</v>
      </c>
    </row>
    <row r="13119" ht="15.75" customHeight="1">
      <c r="A13119" s="7"/>
      <c r="B13119" s="7"/>
      <c r="M13119" s="9" t="s">
        <v>29</v>
      </c>
    </row>
    <row r="13120" ht="15.75" customHeight="1">
      <c r="A13120" s="7"/>
      <c r="B13120" s="7"/>
      <c r="M13120" s="9" t="s">
        <v>27</v>
      </c>
    </row>
    <row r="13121" ht="15.75" customHeight="1">
      <c r="A13121" s="7"/>
      <c r="B13121" s="7"/>
      <c r="M13121" s="9" t="s">
        <v>28</v>
      </c>
    </row>
    <row r="13122" ht="15.75" customHeight="1">
      <c r="A13122" s="7"/>
      <c r="B13122" s="7"/>
      <c r="M13122" s="9" t="s">
        <v>30</v>
      </c>
    </row>
    <row r="13123" ht="15.75" customHeight="1">
      <c r="A13123" s="7"/>
      <c r="B13123" s="7"/>
      <c r="M13123" s="9" t="s">
        <v>26</v>
      </c>
    </row>
    <row r="13124" ht="15.75" customHeight="1">
      <c r="A13124" s="7"/>
      <c r="B13124" s="7"/>
      <c r="M13124" s="9" t="s">
        <v>42</v>
      </c>
    </row>
    <row r="13125" ht="15.75" customHeight="1">
      <c r="A13125" s="7"/>
      <c r="B13125" s="7"/>
      <c r="M13125" s="9" t="s">
        <v>43</v>
      </c>
    </row>
    <row r="13126" ht="15.75" customHeight="1">
      <c r="A13126" s="7"/>
      <c r="B13126" s="7"/>
      <c r="M13126" s="9" t="s">
        <v>30</v>
      </c>
    </row>
    <row r="13127" ht="15.75" customHeight="1">
      <c r="A13127" s="7"/>
      <c r="B13127" s="7"/>
      <c r="M13127" s="9" t="s">
        <v>47</v>
      </c>
    </row>
    <row r="13128" ht="15.75" customHeight="1">
      <c r="A13128" s="7"/>
      <c r="B13128" s="7"/>
      <c r="M13128" s="9" t="s">
        <v>24</v>
      </c>
    </row>
    <row r="13129" ht="15.75" customHeight="1">
      <c r="A13129" s="7"/>
      <c r="B13129" s="7"/>
      <c r="M13129" s="9" t="s">
        <v>20</v>
      </c>
    </row>
    <row r="13130" ht="15.75" customHeight="1">
      <c r="A13130" s="7"/>
      <c r="B13130" s="7"/>
      <c r="M13130" s="9" t="s">
        <v>21</v>
      </c>
    </row>
    <row r="13131" ht="15.75" customHeight="1">
      <c r="A13131" s="7"/>
      <c r="B13131" s="7"/>
      <c r="M13131" s="9" t="s">
        <v>22</v>
      </c>
    </row>
    <row r="13132" ht="15.75" customHeight="1">
      <c r="A13132" s="7"/>
      <c r="B13132" s="7"/>
      <c r="M13132" s="9" t="s">
        <v>27</v>
      </c>
    </row>
    <row r="13133" ht="15.75" customHeight="1">
      <c r="A13133" s="7"/>
      <c r="B13133" s="7"/>
      <c r="M13133" s="9" t="s">
        <v>33</v>
      </c>
    </row>
    <row r="13134" ht="15.75" customHeight="1">
      <c r="A13134" s="7"/>
      <c r="B13134" s="7"/>
      <c r="M13134" s="9" t="s">
        <v>24</v>
      </c>
    </row>
    <row r="13135" ht="15.75" customHeight="1">
      <c r="A13135" s="7"/>
      <c r="B13135" s="7"/>
      <c r="M13135" s="9" t="s">
        <v>21</v>
      </c>
    </row>
    <row r="13136" ht="15.75" customHeight="1">
      <c r="A13136" s="7"/>
      <c r="B13136" s="7"/>
      <c r="M13136" s="9" t="s">
        <v>27</v>
      </c>
    </row>
    <row r="13137" ht="15.75" customHeight="1">
      <c r="A13137" s="7"/>
      <c r="B13137" s="7"/>
      <c r="M13137" s="9" t="s">
        <v>33</v>
      </c>
    </row>
    <row r="13138" ht="15.75" customHeight="1">
      <c r="A13138" s="7"/>
      <c r="B13138" s="7"/>
      <c r="M13138" s="9" t="s">
        <v>24</v>
      </c>
    </row>
    <row r="13139" ht="15.75" customHeight="1">
      <c r="A13139" s="7"/>
      <c r="B13139" s="7"/>
      <c r="M13139" s="9" t="s">
        <v>21</v>
      </c>
    </row>
    <row r="13140" ht="15.75" customHeight="1">
      <c r="A13140" s="7"/>
      <c r="B13140" s="7"/>
      <c r="M13140" s="9" t="s">
        <v>37</v>
      </c>
    </row>
    <row r="13141" ht="15.75" customHeight="1">
      <c r="A13141" s="7"/>
      <c r="B13141" s="7"/>
      <c r="M13141" s="9" t="s">
        <v>23</v>
      </c>
    </row>
    <row r="13142" ht="15.75" customHeight="1">
      <c r="A13142" s="7"/>
      <c r="B13142" s="7"/>
      <c r="M13142" s="9" t="s">
        <v>24</v>
      </c>
    </row>
    <row r="13143" ht="15.75" customHeight="1">
      <c r="A13143" s="7"/>
      <c r="B13143" s="7"/>
      <c r="M13143" s="9" t="s">
        <v>20</v>
      </c>
    </row>
    <row r="13144" ht="15.75" customHeight="1">
      <c r="A13144" s="7"/>
      <c r="B13144" s="7"/>
      <c r="M13144" s="9" t="s">
        <v>22</v>
      </c>
    </row>
    <row r="13145" ht="15.75" customHeight="1">
      <c r="A13145" s="7"/>
      <c r="B13145" s="7"/>
      <c r="M13145" s="9" t="s">
        <v>30</v>
      </c>
    </row>
    <row r="13146" ht="15.75" customHeight="1">
      <c r="A13146" s="7"/>
      <c r="B13146" s="7"/>
      <c r="M13146" s="9" t="s">
        <v>24</v>
      </c>
    </row>
    <row r="13147" ht="15.75" customHeight="1">
      <c r="A13147" s="7"/>
      <c r="B13147" s="7"/>
      <c r="M13147" s="9" t="s">
        <v>21</v>
      </c>
    </row>
    <row r="13148" ht="15.75" customHeight="1">
      <c r="A13148" s="7"/>
      <c r="B13148" s="7"/>
      <c r="M13148" s="9" t="s">
        <v>31</v>
      </c>
    </row>
    <row r="13149" ht="15.75" customHeight="1">
      <c r="A13149" s="7"/>
      <c r="B13149" s="7"/>
      <c r="M13149" s="9" t="s">
        <v>27</v>
      </c>
    </row>
    <row r="13150" ht="15.75" customHeight="1">
      <c r="A13150" s="7"/>
      <c r="B13150" s="7"/>
      <c r="M13150" s="9" t="s">
        <v>30</v>
      </c>
    </row>
    <row r="13151" ht="15.75" customHeight="1">
      <c r="A13151" s="7"/>
      <c r="B13151" s="7"/>
      <c r="M13151" s="9" t="s">
        <v>31</v>
      </c>
    </row>
    <row r="13152" ht="15.75" customHeight="1">
      <c r="A13152" s="7"/>
      <c r="B13152" s="7"/>
      <c r="M13152" s="9" t="s">
        <v>27</v>
      </c>
    </row>
    <row r="13153" ht="15.75" customHeight="1">
      <c r="A13153" s="7"/>
      <c r="B13153" s="7"/>
      <c r="M13153" s="9" t="s">
        <v>36</v>
      </c>
    </row>
    <row r="13154" ht="15.75" customHeight="1">
      <c r="A13154" s="7"/>
      <c r="B13154" s="7"/>
      <c r="M13154" s="9" t="s">
        <v>24</v>
      </c>
    </row>
    <row r="13155" ht="15.75" customHeight="1">
      <c r="A13155" s="7"/>
      <c r="B13155" s="7"/>
      <c r="M13155" s="9" t="s">
        <v>21</v>
      </c>
    </row>
    <row r="13156" ht="15.75" customHeight="1">
      <c r="A13156" s="7"/>
      <c r="B13156" s="7"/>
      <c r="M13156" s="9" t="s">
        <v>22</v>
      </c>
    </row>
    <row r="13157" ht="15.75" customHeight="1">
      <c r="A13157" s="7"/>
      <c r="B13157" s="7"/>
      <c r="M13157" s="9" t="s">
        <v>31</v>
      </c>
    </row>
    <row r="13158" ht="15.75" customHeight="1">
      <c r="A13158" s="7"/>
      <c r="B13158" s="7"/>
      <c r="M13158" s="9" t="s">
        <v>27</v>
      </c>
    </row>
    <row r="13159" ht="15.75" customHeight="1">
      <c r="A13159" s="7"/>
      <c r="B13159" s="7"/>
      <c r="M13159" s="9" t="s">
        <v>26</v>
      </c>
    </row>
    <row r="13160" ht="15.75" customHeight="1">
      <c r="A13160" s="7"/>
      <c r="B13160" s="7"/>
      <c r="M13160" s="9" t="s">
        <v>45</v>
      </c>
    </row>
    <row r="13161" ht="15.75" customHeight="1">
      <c r="A13161" s="7"/>
      <c r="B13161" s="7"/>
      <c r="M13161" s="9" t="s">
        <v>20</v>
      </c>
    </row>
    <row r="13162" ht="15.75" customHeight="1">
      <c r="A13162" s="7"/>
      <c r="B13162" s="7"/>
      <c r="M13162" s="9" t="s">
        <v>27</v>
      </c>
    </row>
    <row r="13163" ht="15.75" customHeight="1">
      <c r="A13163" s="7"/>
      <c r="B13163" s="7"/>
      <c r="M13163" s="9" t="s">
        <v>30</v>
      </c>
    </row>
    <row r="13164" ht="15.75" customHeight="1">
      <c r="A13164" s="7"/>
      <c r="B13164" s="7"/>
      <c r="M13164" s="9" t="s">
        <v>24</v>
      </c>
    </row>
    <row r="13165" ht="15.75" customHeight="1">
      <c r="A13165" s="7"/>
      <c r="B13165" s="7"/>
      <c r="M13165" s="9" t="s">
        <v>21</v>
      </c>
    </row>
    <row r="13166" ht="15.75" customHeight="1">
      <c r="A13166" s="7"/>
      <c r="B13166" s="7"/>
      <c r="M13166" s="9" t="s">
        <v>37</v>
      </c>
    </row>
    <row r="13167" ht="15.75" customHeight="1">
      <c r="A13167" s="7"/>
      <c r="B13167" s="7"/>
      <c r="M13167" s="9" t="s">
        <v>22</v>
      </c>
    </row>
    <row r="13168" ht="15.75" customHeight="1">
      <c r="A13168" s="7"/>
      <c r="B13168" s="7"/>
      <c r="M13168" s="9" t="s">
        <v>46</v>
      </c>
    </row>
    <row r="13169" ht="15.75" customHeight="1">
      <c r="A13169" s="7"/>
      <c r="B13169" s="7"/>
      <c r="M13169" s="9" t="s">
        <v>30</v>
      </c>
    </row>
    <row r="13170" ht="15.75" customHeight="1">
      <c r="A13170" s="7"/>
      <c r="B13170" s="7"/>
      <c r="M13170" s="9" t="s">
        <v>25</v>
      </c>
    </row>
    <row r="13171" ht="15.75" customHeight="1">
      <c r="A13171" s="7"/>
      <c r="B13171" s="7"/>
      <c r="M13171" s="9" t="s">
        <v>23</v>
      </c>
    </row>
    <row r="13172" ht="15.75" customHeight="1">
      <c r="A13172" s="7"/>
      <c r="B13172" s="7"/>
      <c r="M13172" s="9" t="s">
        <v>24</v>
      </c>
    </row>
    <row r="13173" ht="15.75" customHeight="1">
      <c r="A13173" s="7"/>
      <c r="B13173" s="7"/>
      <c r="M13173" s="9" t="s">
        <v>20</v>
      </c>
    </row>
    <row r="13174" ht="15.75" customHeight="1">
      <c r="A13174" s="7"/>
      <c r="B13174" s="7"/>
      <c r="M13174" s="9" t="s">
        <v>21</v>
      </c>
    </row>
    <row r="13175" ht="15.75" customHeight="1">
      <c r="A13175" s="7"/>
      <c r="B13175" s="7"/>
      <c r="M13175" s="9" t="s">
        <v>22</v>
      </c>
    </row>
    <row r="13176" ht="15.75" customHeight="1">
      <c r="A13176" s="7"/>
      <c r="B13176" s="7"/>
      <c r="M13176" s="9" t="s">
        <v>27</v>
      </c>
    </row>
    <row r="13177" ht="15.75" customHeight="1">
      <c r="A13177" s="7"/>
      <c r="B13177" s="7"/>
      <c r="M13177" s="9" t="s">
        <v>30</v>
      </c>
    </row>
    <row r="13178" ht="15.75" customHeight="1">
      <c r="A13178" s="7"/>
      <c r="B13178" s="7"/>
      <c r="M13178" s="9" t="s">
        <v>36</v>
      </c>
    </row>
    <row r="13179" ht="15.75" customHeight="1">
      <c r="A13179" s="7"/>
      <c r="B13179" s="7"/>
      <c r="M13179" s="9" t="s">
        <v>24</v>
      </c>
    </row>
    <row r="13180" ht="15.75" customHeight="1">
      <c r="A13180" s="7"/>
      <c r="B13180" s="7"/>
      <c r="M13180" s="9" t="s">
        <v>21</v>
      </c>
    </row>
    <row r="13181" ht="15.75" customHeight="1">
      <c r="A13181" s="7"/>
      <c r="B13181" s="7"/>
      <c r="M13181" s="9" t="s">
        <v>22</v>
      </c>
    </row>
    <row r="13182" ht="15.75" customHeight="1">
      <c r="A13182" s="7"/>
      <c r="B13182" s="7"/>
      <c r="M13182" s="9" t="s">
        <v>27</v>
      </c>
    </row>
    <row r="13183" ht="15.75" customHeight="1">
      <c r="A13183" s="7"/>
      <c r="B13183" s="7"/>
      <c r="M13183" s="9" t="s">
        <v>25</v>
      </c>
    </row>
    <row r="13184" ht="15.75" customHeight="1">
      <c r="A13184" s="7"/>
      <c r="B13184" s="7"/>
      <c r="M13184" s="9" t="s">
        <v>26</v>
      </c>
    </row>
    <row r="13185" ht="15.75" customHeight="1">
      <c r="A13185" s="7"/>
      <c r="B13185" s="7"/>
      <c r="M13185" s="9" t="s">
        <v>36</v>
      </c>
    </row>
    <row r="13186" ht="15.75" customHeight="1">
      <c r="A13186" s="7"/>
      <c r="B13186" s="7"/>
      <c r="M13186" s="9" t="s">
        <v>24</v>
      </c>
    </row>
    <row r="13187" ht="15.75" customHeight="1">
      <c r="A13187" s="7"/>
      <c r="B13187" s="7"/>
      <c r="M13187" s="9" t="s">
        <v>21</v>
      </c>
    </row>
    <row r="13188" ht="15.75" customHeight="1">
      <c r="A13188" s="7"/>
      <c r="B13188" s="7"/>
      <c r="M13188" s="9" t="s">
        <v>37</v>
      </c>
    </row>
    <row r="13189" ht="15.75" customHeight="1">
      <c r="A13189" s="7"/>
      <c r="B13189" s="7"/>
      <c r="M13189" s="9" t="s">
        <v>22</v>
      </c>
    </row>
    <row r="13190" ht="15.75" customHeight="1">
      <c r="A13190" s="7"/>
      <c r="B13190" s="7"/>
      <c r="M13190" s="9" t="s">
        <v>27</v>
      </c>
    </row>
    <row r="13191" ht="15.75" customHeight="1">
      <c r="A13191" s="7"/>
      <c r="B13191" s="7"/>
      <c r="M13191" s="9" t="s">
        <v>24</v>
      </c>
    </row>
    <row r="13192" ht="15.75" customHeight="1">
      <c r="A13192" s="7"/>
      <c r="B13192" s="7"/>
      <c r="M13192" s="9" t="s">
        <v>21</v>
      </c>
    </row>
    <row r="13193" ht="15.75" customHeight="1">
      <c r="A13193" s="7"/>
      <c r="B13193" s="7"/>
      <c r="M13193" s="9" t="s">
        <v>22</v>
      </c>
    </row>
    <row r="13194" ht="15.75" customHeight="1">
      <c r="A13194" s="7"/>
      <c r="B13194" s="7"/>
      <c r="M13194" s="9" t="s">
        <v>27</v>
      </c>
    </row>
    <row r="13195" ht="15.75" customHeight="1">
      <c r="A13195" s="7"/>
      <c r="B13195" s="7"/>
      <c r="M13195" s="9" t="s">
        <v>30</v>
      </c>
    </row>
    <row r="13196" ht="15.75" customHeight="1">
      <c r="A13196" s="7"/>
      <c r="B13196" s="7"/>
      <c r="M13196" s="9" t="s">
        <v>26</v>
      </c>
    </row>
    <row r="13197" ht="15.75" customHeight="1">
      <c r="A13197" s="7"/>
      <c r="B13197" s="7"/>
      <c r="M13197" s="9" t="s">
        <v>20</v>
      </c>
    </row>
    <row r="13198" ht="15.75" customHeight="1">
      <c r="A13198" s="7"/>
      <c r="B13198" s="7"/>
      <c r="M13198" s="9" t="s">
        <v>21</v>
      </c>
    </row>
    <row r="13199" ht="15.75" customHeight="1">
      <c r="A13199" s="7"/>
      <c r="B13199" s="7"/>
      <c r="M13199" s="9" t="s">
        <v>27</v>
      </c>
    </row>
    <row r="13200" ht="15.75" customHeight="1">
      <c r="A13200" s="7"/>
      <c r="B13200" s="7"/>
      <c r="M13200" s="9" t="s">
        <v>26</v>
      </c>
    </row>
    <row r="13201" ht="15.75" customHeight="1">
      <c r="A13201" s="7"/>
      <c r="B13201" s="7"/>
      <c r="M13201" s="9" t="s">
        <v>24</v>
      </c>
    </row>
    <row r="13202" ht="15.75" customHeight="1">
      <c r="A13202" s="7"/>
      <c r="B13202" s="7"/>
      <c r="M13202" s="9" t="s">
        <v>21</v>
      </c>
    </row>
    <row r="13203" ht="15.75" customHeight="1">
      <c r="A13203" s="7"/>
      <c r="B13203" s="7"/>
      <c r="M13203" s="9" t="s">
        <v>27</v>
      </c>
    </row>
    <row r="13204" ht="15.75" customHeight="1">
      <c r="A13204" s="7"/>
      <c r="B13204" s="7"/>
      <c r="M13204" s="9" t="s">
        <v>35</v>
      </c>
    </row>
    <row r="13205" ht="15.75" customHeight="1">
      <c r="A13205" s="7"/>
      <c r="B13205" s="7"/>
      <c r="M13205" s="9" t="s">
        <v>30</v>
      </c>
    </row>
    <row r="13206" ht="15.75" customHeight="1">
      <c r="A13206" s="7"/>
      <c r="B13206" s="7"/>
      <c r="M13206" s="9" t="s">
        <v>25</v>
      </c>
    </row>
    <row r="13207" ht="15.75" customHeight="1">
      <c r="A13207" s="7"/>
      <c r="B13207" s="7"/>
      <c r="M13207" s="9" t="s">
        <v>23</v>
      </c>
    </row>
    <row r="13208" ht="15.75" customHeight="1">
      <c r="A13208" s="7"/>
      <c r="B13208" s="7"/>
      <c r="M13208" s="9" t="s">
        <v>24</v>
      </c>
    </row>
    <row r="13209" ht="15.75" customHeight="1">
      <c r="A13209" s="7"/>
      <c r="B13209" s="7"/>
      <c r="M13209" s="9" t="s">
        <v>21</v>
      </c>
    </row>
    <row r="13210" ht="15.75" customHeight="1">
      <c r="A13210" s="7"/>
      <c r="B13210" s="7"/>
      <c r="M13210" s="9" t="s">
        <v>22</v>
      </c>
    </row>
    <row r="13211" ht="15.75" customHeight="1">
      <c r="A13211" s="7"/>
      <c r="B13211" s="7"/>
      <c r="M13211" s="9" t="s">
        <v>32</v>
      </c>
    </row>
    <row r="13212" ht="15.75" customHeight="1">
      <c r="A13212" s="7"/>
      <c r="B13212" s="7"/>
      <c r="M13212" s="9" t="s">
        <v>27</v>
      </c>
    </row>
    <row r="13213" ht="15.75" customHeight="1">
      <c r="A13213" s="7"/>
      <c r="B13213" s="7"/>
      <c r="M13213" s="9" t="s">
        <v>26</v>
      </c>
    </row>
    <row r="13214" ht="15.75" customHeight="1">
      <c r="A13214" s="7"/>
      <c r="B13214" s="7"/>
      <c r="M13214" s="9" t="s">
        <v>21</v>
      </c>
    </row>
    <row r="13215" ht="15.75" customHeight="1">
      <c r="A13215" s="7"/>
      <c r="B13215" s="7"/>
      <c r="M13215" s="9" t="s">
        <v>33</v>
      </c>
    </row>
    <row r="13216" ht="15.75" customHeight="1">
      <c r="A13216" s="7"/>
      <c r="B13216" s="7"/>
      <c r="M13216" s="9" t="s">
        <v>24</v>
      </c>
    </row>
    <row r="13217" ht="15.75" customHeight="1">
      <c r="A13217" s="7"/>
      <c r="B13217" s="7"/>
      <c r="M13217" s="9" t="s">
        <v>27</v>
      </c>
    </row>
    <row r="13218" ht="15.75" customHeight="1">
      <c r="A13218" s="7"/>
      <c r="B13218" s="7"/>
      <c r="M13218" s="9" t="s">
        <v>26</v>
      </c>
    </row>
    <row r="13219" ht="15.75" customHeight="1">
      <c r="A13219" s="7"/>
      <c r="B13219" s="7"/>
      <c r="M13219" s="9" t="s">
        <v>24</v>
      </c>
    </row>
    <row r="13220" ht="15.75" customHeight="1">
      <c r="A13220" s="7"/>
      <c r="B13220" s="7"/>
      <c r="M13220" s="9" t="s">
        <v>20</v>
      </c>
    </row>
    <row r="13221" ht="15.75" customHeight="1">
      <c r="A13221" s="7"/>
      <c r="B13221" s="7"/>
      <c r="M13221" s="9" t="s">
        <v>21</v>
      </c>
    </row>
    <row r="13222" ht="15.75" customHeight="1">
      <c r="A13222" s="7"/>
      <c r="B13222" s="7"/>
      <c r="M13222" s="9" t="s">
        <v>37</v>
      </c>
    </row>
    <row r="13223" ht="15.75" customHeight="1">
      <c r="A13223" s="7"/>
      <c r="B13223" s="7"/>
      <c r="M13223" s="9" t="s">
        <v>27</v>
      </c>
    </row>
    <row r="13224" ht="15.75" customHeight="1">
      <c r="A13224" s="7"/>
      <c r="B13224" s="7"/>
      <c r="M13224" s="9" t="s">
        <v>28</v>
      </c>
    </row>
    <row r="13225" ht="15.75" customHeight="1">
      <c r="A13225" s="7"/>
      <c r="B13225" s="7"/>
      <c r="M13225" s="9" t="s">
        <v>26</v>
      </c>
    </row>
    <row r="13226" ht="15.75" customHeight="1">
      <c r="A13226" s="7"/>
      <c r="B13226" s="7"/>
      <c r="M13226" s="9" t="s">
        <v>21</v>
      </c>
    </row>
    <row r="13227" ht="15.75" customHeight="1">
      <c r="A13227" s="7"/>
      <c r="B13227" s="7"/>
      <c r="M13227" s="9" t="s">
        <v>33</v>
      </c>
    </row>
    <row r="13228" ht="15.75" customHeight="1">
      <c r="A13228" s="7"/>
      <c r="B13228" s="7"/>
      <c r="M13228" s="9" t="s">
        <v>26</v>
      </c>
    </row>
    <row r="13229" ht="15.75" customHeight="1">
      <c r="A13229" s="7"/>
      <c r="B13229" s="7"/>
      <c r="M13229" s="9" t="s">
        <v>24</v>
      </c>
    </row>
    <row r="13230" ht="15.75" customHeight="1">
      <c r="A13230" s="7"/>
      <c r="B13230" s="7"/>
      <c r="M13230" s="9" t="s">
        <v>21</v>
      </c>
    </row>
    <row r="13231" ht="15.75" customHeight="1">
      <c r="A13231" s="7"/>
      <c r="B13231" s="7"/>
      <c r="M13231" s="9" t="s">
        <v>33</v>
      </c>
    </row>
    <row r="13232" ht="15.75" customHeight="1">
      <c r="A13232" s="7"/>
      <c r="B13232" s="7"/>
      <c r="M13232" s="9" t="s">
        <v>36</v>
      </c>
    </row>
    <row r="13233" ht="15.75" customHeight="1">
      <c r="A13233" s="7"/>
      <c r="B13233" s="7"/>
      <c r="M13233" s="9" t="s">
        <v>24</v>
      </c>
    </row>
    <row r="13234" ht="15.75" customHeight="1">
      <c r="A13234" s="7"/>
      <c r="B13234" s="7"/>
      <c r="M13234" s="9" t="s">
        <v>21</v>
      </c>
    </row>
    <row r="13235" ht="15.75" customHeight="1">
      <c r="A13235" s="7"/>
      <c r="B13235" s="7"/>
      <c r="M13235" s="9" t="s">
        <v>33</v>
      </c>
    </row>
    <row r="13236" ht="15.75" customHeight="1">
      <c r="A13236" s="7"/>
      <c r="B13236" s="7"/>
      <c r="M13236" s="9" t="s">
        <v>26</v>
      </c>
    </row>
    <row r="13237" ht="15.75" customHeight="1">
      <c r="A13237" s="7"/>
      <c r="B13237" s="7"/>
      <c r="M13237" s="9" t="s">
        <v>45</v>
      </c>
    </row>
    <row r="13238" ht="15.75" customHeight="1">
      <c r="A13238" s="7"/>
      <c r="B13238" s="7"/>
      <c r="M13238" s="9" t="s">
        <v>27</v>
      </c>
    </row>
    <row r="13239" ht="15.75" customHeight="1">
      <c r="A13239" s="7"/>
      <c r="B13239" s="7"/>
      <c r="M13239" s="9" t="s">
        <v>42</v>
      </c>
    </row>
    <row r="13240" ht="15.75" customHeight="1">
      <c r="A13240" s="7"/>
      <c r="B13240" s="7"/>
      <c r="M13240" s="9" t="s">
        <v>24</v>
      </c>
    </row>
    <row r="13241" ht="15.75" customHeight="1">
      <c r="A13241" s="7"/>
      <c r="B13241" s="7"/>
      <c r="M13241" s="9" t="s">
        <v>21</v>
      </c>
    </row>
    <row r="13242" ht="15.75" customHeight="1">
      <c r="A13242" s="7"/>
      <c r="B13242" s="7"/>
      <c r="M13242" s="9" t="s">
        <v>31</v>
      </c>
    </row>
    <row r="13243" ht="15.75" customHeight="1">
      <c r="A13243" s="7"/>
      <c r="B13243" s="7"/>
      <c r="M13243" s="9" t="s">
        <v>24</v>
      </c>
    </row>
    <row r="13244" ht="15.75" customHeight="1">
      <c r="A13244" s="7"/>
      <c r="B13244" s="7"/>
      <c r="M13244" s="9" t="s">
        <v>21</v>
      </c>
    </row>
    <row r="13245" ht="15.75" customHeight="1">
      <c r="A13245" s="7"/>
      <c r="B13245" s="7"/>
      <c r="M13245" s="9" t="s">
        <v>37</v>
      </c>
    </row>
    <row r="13246" ht="15.75" customHeight="1">
      <c r="A13246" s="7"/>
      <c r="B13246" s="7"/>
      <c r="M13246" s="9" t="s">
        <v>27</v>
      </c>
    </row>
    <row r="13247" ht="15.75" customHeight="1">
      <c r="A13247" s="7"/>
      <c r="B13247" s="7"/>
      <c r="M13247" s="9" t="s">
        <v>33</v>
      </c>
    </row>
    <row r="13248" ht="15.75" customHeight="1">
      <c r="A13248" s="7"/>
      <c r="B13248" s="7"/>
      <c r="M13248" s="9" t="s">
        <v>23</v>
      </c>
    </row>
    <row r="13249" ht="15.75" customHeight="1">
      <c r="A13249" s="7"/>
      <c r="B13249" s="7"/>
      <c r="M13249" s="9" t="s">
        <v>26</v>
      </c>
    </row>
    <row r="13250" ht="15.75" customHeight="1">
      <c r="A13250" s="7"/>
      <c r="B13250" s="7"/>
      <c r="M13250" s="9" t="s">
        <v>24</v>
      </c>
    </row>
    <row r="13251" ht="15.75" customHeight="1">
      <c r="A13251" s="7"/>
      <c r="B13251" s="7"/>
      <c r="M13251" s="9" t="s">
        <v>20</v>
      </c>
    </row>
    <row r="13252" ht="15.75" customHeight="1">
      <c r="A13252" s="7"/>
      <c r="B13252" s="7"/>
      <c r="M13252" s="9" t="s">
        <v>21</v>
      </c>
    </row>
    <row r="13253" ht="15.75" customHeight="1">
      <c r="A13253" s="7"/>
      <c r="B13253" s="7"/>
      <c r="M13253" s="9" t="s">
        <v>27</v>
      </c>
    </row>
    <row r="13254" ht="15.75" customHeight="1">
      <c r="A13254" s="7"/>
      <c r="B13254" s="7"/>
      <c r="M13254" s="9" t="s">
        <v>35</v>
      </c>
    </row>
    <row r="13255" ht="15.75" customHeight="1">
      <c r="A13255" s="7"/>
      <c r="B13255" s="7"/>
      <c r="M13255" s="9" t="s">
        <v>30</v>
      </c>
    </row>
    <row r="13256" ht="15.75" customHeight="1">
      <c r="A13256" s="7"/>
      <c r="B13256" s="7"/>
      <c r="M13256" s="9" t="s">
        <v>24</v>
      </c>
    </row>
    <row r="13257" ht="15.75" customHeight="1">
      <c r="A13257" s="7"/>
      <c r="B13257" s="7"/>
      <c r="M13257" s="9" t="s">
        <v>27</v>
      </c>
    </row>
    <row r="13258" ht="15.75" customHeight="1">
      <c r="A13258" s="7"/>
      <c r="B13258" s="7"/>
      <c r="M13258" s="9" t="s">
        <v>28</v>
      </c>
    </row>
    <row r="13259" ht="15.75" customHeight="1">
      <c r="A13259" s="7"/>
      <c r="B13259" s="7"/>
      <c r="M13259" s="9" t="s">
        <v>26</v>
      </c>
    </row>
    <row r="13260" ht="15.75" customHeight="1">
      <c r="A13260" s="7"/>
      <c r="B13260" s="7"/>
      <c r="M13260" s="9" t="s">
        <v>24</v>
      </c>
    </row>
    <row r="13261" ht="15.75" customHeight="1">
      <c r="A13261" s="7"/>
      <c r="B13261" s="7"/>
      <c r="M13261" s="9" t="s">
        <v>21</v>
      </c>
    </row>
    <row r="13262" ht="15.75" customHeight="1">
      <c r="A13262" s="7"/>
      <c r="B13262" s="7"/>
      <c r="M13262" s="9" t="s">
        <v>37</v>
      </c>
    </row>
    <row r="13263" ht="15.75" customHeight="1">
      <c r="A13263" s="7"/>
      <c r="B13263" s="7"/>
      <c r="M13263" s="9" t="s">
        <v>31</v>
      </c>
    </row>
    <row r="13264" ht="15.75" customHeight="1">
      <c r="A13264" s="7"/>
      <c r="B13264" s="7"/>
      <c r="M13264" s="9" t="s">
        <v>27</v>
      </c>
    </row>
    <row r="13265" ht="15.75" customHeight="1">
      <c r="A13265" s="7"/>
      <c r="B13265" s="7"/>
      <c r="M13265" s="9" t="s">
        <v>30</v>
      </c>
    </row>
    <row r="13266" ht="15.75" customHeight="1">
      <c r="A13266" s="7"/>
      <c r="B13266" s="7"/>
      <c r="M13266" s="9" t="s">
        <v>26</v>
      </c>
    </row>
    <row r="13267" ht="15.75" customHeight="1">
      <c r="A13267" s="7"/>
      <c r="B13267" s="7"/>
      <c r="M13267" s="9" t="s">
        <v>24</v>
      </c>
    </row>
    <row r="13268" ht="15.75" customHeight="1">
      <c r="A13268" s="7"/>
      <c r="B13268" s="7"/>
      <c r="M13268" s="9" t="s">
        <v>20</v>
      </c>
    </row>
    <row r="13269" ht="15.75" customHeight="1">
      <c r="A13269" s="7"/>
      <c r="B13269" s="7"/>
      <c r="M13269" s="9" t="s">
        <v>22</v>
      </c>
    </row>
    <row r="13270" ht="15.75" customHeight="1">
      <c r="A13270" s="7"/>
      <c r="B13270" s="7"/>
      <c r="M13270" s="9" t="s">
        <v>27</v>
      </c>
    </row>
    <row r="13271" ht="15.75" customHeight="1">
      <c r="A13271" s="7"/>
      <c r="B13271" s="7"/>
      <c r="M13271" s="9" t="s">
        <v>26</v>
      </c>
    </row>
    <row r="13272" ht="15.75" customHeight="1">
      <c r="A13272" s="7"/>
      <c r="B13272" s="7"/>
      <c r="M13272" s="9" t="s">
        <v>37</v>
      </c>
    </row>
    <row r="13273" ht="15.75" customHeight="1">
      <c r="A13273" s="7"/>
      <c r="B13273" s="7"/>
      <c r="M13273" s="9" t="s">
        <v>27</v>
      </c>
    </row>
    <row r="13274" ht="15.75" customHeight="1">
      <c r="A13274" s="7"/>
      <c r="B13274" s="7"/>
      <c r="M13274" s="9" t="s">
        <v>38</v>
      </c>
    </row>
    <row r="13275" ht="15.75" customHeight="1">
      <c r="A13275" s="7"/>
      <c r="B13275" s="7"/>
      <c r="M13275" s="9" t="s">
        <v>25</v>
      </c>
    </row>
    <row r="13276" ht="15.75" customHeight="1">
      <c r="A13276" s="7"/>
      <c r="B13276" s="7"/>
      <c r="M13276" s="9" t="s">
        <v>23</v>
      </c>
    </row>
    <row r="13277" ht="15.75" customHeight="1">
      <c r="A13277" s="7"/>
      <c r="B13277" s="7"/>
      <c r="M13277" s="9" t="s">
        <v>26</v>
      </c>
    </row>
    <row r="13278" ht="15.75" customHeight="1">
      <c r="A13278" s="7"/>
      <c r="B13278" s="7"/>
      <c r="M13278" s="9" t="s">
        <v>24</v>
      </c>
    </row>
    <row r="13279" ht="15.75" customHeight="1">
      <c r="A13279" s="7"/>
      <c r="B13279" s="7"/>
      <c r="M13279" s="9" t="s">
        <v>20</v>
      </c>
    </row>
    <row r="13280" ht="15.75" customHeight="1">
      <c r="A13280" s="7"/>
      <c r="B13280" s="7"/>
      <c r="M13280" s="9" t="s">
        <v>21</v>
      </c>
    </row>
    <row r="13281" ht="15.75" customHeight="1">
      <c r="A13281" s="7"/>
      <c r="B13281" s="7"/>
      <c r="M13281" s="9" t="s">
        <v>37</v>
      </c>
    </row>
    <row r="13282" ht="15.75" customHeight="1">
      <c r="A13282" s="7"/>
      <c r="B13282" s="7"/>
      <c r="M13282" s="9" t="s">
        <v>27</v>
      </c>
    </row>
    <row r="13283" ht="15.75" customHeight="1">
      <c r="A13283" s="7"/>
      <c r="B13283" s="7"/>
      <c r="M13283" s="9" t="s">
        <v>28</v>
      </c>
    </row>
    <row r="13284" ht="15.75" customHeight="1">
      <c r="A13284" s="7"/>
      <c r="B13284" s="7"/>
      <c r="M13284" s="9" t="s">
        <v>24</v>
      </c>
    </row>
    <row r="13285" ht="15.75" customHeight="1">
      <c r="A13285" s="7"/>
      <c r="B13285" s="7"/>
      <c r="M13285" s="9" t="s">
        <v>21</v>
      </c>
    </row>
    <row r="13286" ht="15.75" customHeight="1">
      <c r="A13286" s="7"/>
      <c r="B13286" s="7"/>
      <c r="M13286" s="9" t="s">
        <v>24</v>
      </c>
    </row>
    <row r="13287" ht="15.75" customHeight="1">
      <c r="A13287" s="7"/>
      <c r="B13287" s="7"/>
      <c r="M13287" s="9" t="s">
        <v>21</v>
      </c>
    </row>
    <row r="13288" ht="15.75" customHeight="1">
      <c r="A13288" s="7"/>
      <c r="B13288" s="7"/>
      <c r="M13288" s="9" t="s">
        <v>30</v>
      </c>
    </row>
    <row r="13289" ht="15.75" customHeight="1">
      <c r="A13289" s="7"/>
      <c r="B13289" s="7"/>
      <c r="M13289" s="9" t="s">
        <v>26</v>
      </c>
    </row>
    <row r="13290" ht="15.75" customHeight="1">
      <c r="A13290" s="7"/>
      <c r="B13290" s="7"/>
      <c r="M13290" s="9" t="s">
        <v>24</v>
      </c>
    </row>
    <row r="13291" ht="15.75" customHeight="1">
      <c r="A13291" s="7"/>
      <c r="B13291" s="7"/>
      <c r="M13291" s="9" t="s">
        <v>21</v>
      </c>
    </row>
    <row r="13292" ht="15.75" customHeight="1">
      <c r="A13292" s="7"/>
      <c r="B13292" s="7"/>
      <c r="M13292" s="9" t="s">
        <v>25</v>
      </c>
    </row>
    <row r="13293" ht="15.75" customHeight="1">
      <c r="A13293" s="7"/>
      <c r="B13293" s="7"/>
      <c r="M13293" s="9" t="s">
        <v>23</v>
      </c>
    </row>
    <row r="13294" ht="15.75" customHeight="1">
      <c r="A13294" s="7"/>
      <c r="B13294" s="7"/>
      <c r="M13294" s="9" t="s">
        <v>24</v>
      </c>
    </row>
    <row r="13295" ht="15.75" customHeight="1">
      <c r="A13295" s="7"/>
      <c r="B13295" s="7"/>
      <c r="M13295" s="9" t="s">
        <v>20</v>
      </c>
    </row>
    <row r="13296" ht="15.75" customHeight="1">
      <c r="A13296" s="7"/>
      <c r="B13296" s="7"/>
      <c r="M13296" s="9" t="s">
        <v>21</v>
      </c>
    </row>
    <row r="13297" ht="15.75" customHeight="1">
      <c r="A13297" s="7"/>
      <c r="B13297" s="7"/>
      <c r="M13297" s="9" t="s">
        <v>37</v>
      </c>
    </row>
    <row r="13298" ht="15.75" customHeight="1">
      <c r="A13298" s="7"/>
      <c r="B13298" s="7"/>
      <c r="M13298" s="9" t="s">
        <v>27</v>
      </c>
    </row>
    <row r="13299" ht="15.75" customHeight="1">
      <c r="A13299" s="7"/>
      <c r="B13299" s="7"/>
      <c r="M13299" s="9" t="s">
        <v>30</v>
      </c>
    </row>
    <row r="13300" ht="15.75" customHeight="1">
      <c r="A13300" s="7"/>
      <c r="B13300" s="7"/>
      <c r="M13300" s="9" t="s">
        <v>25</v>
      </c>
    </row>
    <row r="13301" ht="15.75" customHeight="1">
      <c r="A13301" s="7"/>
      <c r="B13301" s="7"/>
      <c r="M13301" s="9" t="s">
        <v>23</v>
      </c>
    </row>
    <row r="13302" ht="15.75" customHeight="1">
      <c r="A13302" s="7"/>
      <c r="B13302" s="7"/>
      <c r="M13302" s="9" t="s">
        <v>26</v>
      </c>
    </row>
    <row r="13303" ht="15.75" customHeight="1">
      <c r="A13303" s="7"/>
      <c r="B13303" s="7"/>
      <c r="M13303" s="9" t="s">
        <v>20</v>
      </c>
    </row>
    <row r="13304" ht="15.75" customHeight="1">
      <c r="A13304" s="7"/>
      <c r="B13304" s="7"/>
      <c r="M13304" s="9" t="s">
        <v>41</v>
      </c>
    </row>
    <row r="13305" ht="15.75" customHeight="1">
      <c r="A13305" s="7"/>
      <c r="B13305" s="7"/>
      <c r="M13305" s="9" t="s">
        <v>31</v>
      </c>
    </row>
    <row r="13306" ht="15.75" customHeight="1">
      <c r="A13306" s="7"/>
      <c r="B13306" s="7"/>
      <c r="M13306" s="9" t="s">
        <v>40</v>
      </c>
    </row>
    <row r="13307" ht="15.75" customHeight="1">
      <c r="A13307" s="7"/>
      <c r="B13307" s="7"/>
      <c r="M13307" s="9" t="s">
        <v>30</v>
      </c>
    </row>
    <row r="13308" ht="15.75" customHeight="1">
      <c r="A13308" s="7"/>
      <c r="B13308" s="7"/>
      <c r="M13308" s="9" t="s">
        <v>24</v>
      </c>
    </row>
    <row r="13309" ht="15.75" customHeight="1">
      <c r="A13309" s="7"/>
      <c r="B13309" s="7"/>
      <c r="M13309" s="9" t="s">
        <v>21</v>
      </c>
    </row>
    <row r="13310" ht="15.75" customHeight="1">
      <c r="A13310" s="7"/>
      <c r="B13310" s="7"/>
      <c r="M13310" s="9" t="s">
        <v>37</v>
      </c>
    </row>
    <row r="13311" ht="15.75" customHeight="1">
      <c r="A13311" s="7"/>
      <c r="B13311" s="7"/>
      <c r="M13311" s="9" t="s">
        <v>22</v>
      </c>
    </row>
    <row r="13312" ht="15.75" customHeight="1">
      <c r="A13312" s="7"/>
      <c r="B13312" s="7"/>
      <c r="M13312" s="9" t="s">
        <v>32</v>
      </c>
    </row>
    <row r="13313" ht="15.75" customHeight="1">
      <c r="A13313" s="7"/>
      <c r="B13313" s="7"/>
      <c r="M13313" s="9" t="s">
        <v>27</v>
      </c>
    </row>
    <row r="13314" ht="15.75" customHeight="1">
      <c r="A13314" s="7"/>
      <c r="B13314" s="7"/>
      <c r="M13314" s="9" t="s">
        <v>33</v>
      </c>
    </row>
    <row r="13315" ht="15.75" customHeight="1">
      <c r="A13315" s="7"/>
      <c r="B13315" s="7"/>
      <c r="M13315" s="9" t="s">
        <v>26</v>
      </c>
    </row>
    <row r="13316" ht="15.75" customHeight="1">
      <c r="A13316" s="7"/>
      <c r="B13316" s="7"/>
      <c r="M13316" s="9" t="s">
        <v>20</v>
      </c>
    </row>
    <row r="13317" ht="15.75" customHeight="1">
      <c r="A13317" s="7"/>
      <c r="B13317" s="7"/>
      <c r="M13317" s="9" t="s">
        <v>21</v>
      </c>
    </row>
    <row r="13318" ht="15.75" customHeight="1">
      <c r="A13318" s="7"/>
      <c r="B13318" s="7"/>
      <c r="M13318" s="9" t="s">
        <v>33</v>
      </c>
    </row>
    <row r="13319" ht="15.75" customHeight="1">
      <c r="A13319" s="7"/>
      <c r="B13319" s="7"/>
      <c r="M13319" s="9" t="s">
        <v>20</v>
      </c>
    </row>
    <row r="13320" ht="15.75" customHeight="1">
      <c r="A13320" s="7"/>
      <c r="B13320" s="7"/>
      <c r="M13320" s="9" t="s">
        <v>21</v>
      </c>
    </row>
    <row r="13321" ht="15.75" customHeight="1">
      <c r="A13321" s="7"/>
      <c r="B13321" s="7"/>
      <c r="M13321" s="9" t="s">
        <v>30</v>
      </c>
    </row>
    <row r="13322" ht="15.75" customHeight="1">
      <c r="A13322" s="7"/>
      <c r="B13322" s="7"/>
      <c r="M13322" s="9" t="s">
        <v>26</v>
      </c>
    </row>
    <row r="13323" ht="15.75" customHeight="1">
      <c r="A13323" s="7"/>
      <c r="B13323" s="7"/>
      <c r="M13323" s="9" t="s">
        <v>21</v>
      </c>
    </row>
    <row r="13324" ht="15.75" customHeight="1">
      <c r="A13324" s="7"/>
      <c r="B13324" s="7"/>
      <c r="M13324" s="9" t="s">
        <v>27</v>
      </c>
    </row>
    <row r="13325" ht="15.75" customHeight="1">
      <c r="A13325" s="7"/>
      <c r="B13325" s="7"/>
      <c r="M13325" s="9" t="s">
        <v>33</v>
      </c>
    </row>
    <row r="13326" ht="15.75" customHeight="1">
      <c r="A13326" s="7"/>
      <c r="B13326" s="7"/>
      <c r="M13326" s="9" t="s">
        <v>30</v>
      </c>
    </row>
    <row r="13327" ht="15.75" customHeight="1">
      <c r="A13327" s="7"/>
      <c r="B13327" s="7"/>
      <c r="M13327" s="9" t="s">
        <v>26</v>
      </c>
    </row>
    <row r="13328" ht="15.75" customHeight="1">
      <c r="A13328" s="7"/>
      <c r="B13328" s="7"/>
      <c r="M13328" s="9" t="s">
        <v>27</v>
      </c>
    </row>
    <row r="13329" ht="15.75" customHeight="1">
      <c r="A13329" s="7"/>
      <c r="B13329" s="7"/>
      <c r="M13329" s="9" t="s">
        <v>30</v>
      </c>
    </row>
    <row r="13330" ht="15.75" customHeight="1">
      <c r="A13330" s="7"/>
      <c r="B13330" s="7"/>
      <c r="M13330" s="9" t="s">
        <v>24</v>
      </c>
    </row>
    <row r="13331" ht="15.75" customHeight="1">
      <c r="A13331" s="7"/>
      <c r="B13331" s="7"/>
      <c r="M13331" s="9" t="s">
        <v>21</v>
      </c>
    </row>
    <row r="13332" ht="15.75" customHeight="1">
      <c r="A13332" s="7"/>
      <c r="B13332" s="7"/>
      <c r="M13332" s="9" t="s">
        <v>22</v>
      </c>
    </row>
    <row r="13333" ht="15.75" customHeight="1">
      <c r="A13333" s="7"/>
      <c r="B13333" s="7"/>
      <c r="M13333" s="9" t="s">
        <v>32</v>
      </c>
    </row>
    <row r="13334" ht="15.75" customHeight="1">
      <c r="A13334" s="7"/>
      <c r="B13334" s="7"/>
      <c r="M13334" s="9" t="s">
        <v>30</v>
      </c>
    </row>
    <row r="13335" ht="15.75" customHeight="1">
      <c r="A13335" s="7"/>
      <c r="B13335" s="7"/>
      <c r="M13335" s="9" t="s">
        <v>20</v>
      </c>
    </row>
    <row r="13336" ht="15.75" customHeight="1">
      <c r="A13336" s="7"/>
      <c r="B13336" s="7"/>
      <c r="M13336" s="9" t="s">
        <v>27</v>
      </c>
    </row>
    <row r="13337" ht="15.75" customHeight="1">
      <c r="A13337" s="7"/>
      <c r="B13337" s="7"/>
      <c r="M13337" s="9" t="s">
        <v>33</v>
      </c>
    </row>
    <row r="13338" ht="15.75" customHeight="1">
      <c r="A13338" s="7"/>
      <c r="B13338" s="7"/>
      <c r="M13338" s="9" t="s">
        <v>30</v>
      </c>
    </row>
    <row r="13339" ht="15.75" customHeight="1">
      <c r="A13339" s="7"/>
      <c r="B13339" s="7"/>
      <c r="M13339" s="9" t="s">
        <v>22</v>
      </c>
    </row>
    <row r="13340" ht="15.75" customHeight="1">
      <c r="A13340" s="7"/>
      <c r="B13340" s="7"/>
      <c r="M13340" s="9" t="s">
        <v>27</v>
      </c>
    </row>
    <row r="13341" ht="15.75" customHeight="1">
      <c r="A13341" s="7"/>
      <c r="B13341" s="7"/>
      <c r="M13341" s="9" t="s">
        <v>35</v>
      </c>
    </row>
    <row r="13342" ht="15.75" customHeight="1">
      <c r="A13342" s="7"/>
      <c r="B13342" s="7"/>
      <c r="M13342" s="9" t="s">
        <v>20</v>
      </c>
    </row>
    <row r="13343" ht="15.75" customHeight="1">
      <c r="A13343" s="7"/>
      <c r="B13343" s="7"/>
      <c r="M13343" s="9" t="s">
        <v>30</v>
      </c>
    </row>
    <row r="13344" ht="15.75" customHeight="1">
      <c r="A13344" s="7"/>
      <c r="B13344" s="7"/>
      <c r="M13344" s="9" t="s">
        <v>24</v>
      </c>
    </row>
    <row r="13345" ht="15.75" customHeight="1">
      <c r="A13345" s="7"/>
      <c r="B13345" s="7"/>
      <c r="M13345" s="9" t="s">
        <v>20</v>
      </c>
    </row>
    <row r="13346" ht="15.75" customHeight="1">
      <c r="A13346" s="7"/>
      <c r="B13346" s="7"/>
      <c r="M13346" s="9" t="s">
        <v>21</v>
      </c>
    </row>
    <row r="13347" ht="15.75" customHeight="1">
      <c r="A13347" s="7"/>
      <c r="B13347" s="7"/>
      <c r="M13347" s="9" t="s">
        <v>22</v>
      </c>
    </row>
    <row r="13348" ht="15.75" customHeight="1">
      <c r="A13348" s="7"/>
      <c r="B13348" s="7"/>
      <c r="M13348" s="9" t="s">
        <v>26</v>
      </c>
    </row>
    <row r="13349" ht="15.75" customHeight="1">
      <c r="A13349" s="7"/>
      <c r="B13349" s="7"/>
      <c r="M13349" s="9" t="s">
        <v>24</v>
      </c>
    </row>
    <row r="13350" ht="15.75" customHeight="1">
      <c r="A13350" s="7"/>
      <c r="B13350" s="7"/>
      <c r="M13350" s="9" t="s">
        <v>20</v>
      </c>
    </row>
    <row r="13351" ht="15.75" customHeight="1">
      <c r="A13351" s="7"/>
      <c r="B13351" s="7"/>
      <c r="M13351" s="9" t="s">
        <v>21</v>
      </c>
    </row>
    <row r="13352" ht="15.75" customHeight="1">
      <c r="A13352" s="7"/>
      <c r="B13352" s="7"/>
      <c r="M13352" s="9" t="s">
        <v>37</v>
      </c>
    </row>
    <row r="13353" ht="15.75" customHeight="1">
      <c r="A13353" s="7"/>
      <c r="B13353" s="7"/>
      <c r="M13353" s="9" t="s">
        <v>27</v>
      </c>
    </row>
    <row r="13354" ht="15.75" customHeight="1">
      <c r="A13354" s="7"/>
      <c r="B13354" s="7"/>
      <c r="M13354" s="9" t="s">
        <v>33</v>
      </c>
    </row>
    <row r="13355" ht="15.75" customHeight="1">
      <c r="A13355" s="7"/>
      <c r="B13355" s="7"/>
      <c r="M13355" s="9" t="s">
        <v>26</v>
      </c>
    </row>
    <row r="13356" ht="15.75" customHeight="1">
      <c r="A13356" s="7"/>
      <c r="B13356" s="7"/>
      <c r="M13356" s="9" t="s">
        <v>24</v>
      </c>
    </row>
    <row r="13357" ht="15.75" customHeight="1">
      <c r="A13357" s="7"/>
      <c r="B13357" s="7"/>
      <c r="M13357" s="9" t="s">
        <v>21</v>
      </c>
    </row>
    <row r="13358" ht="15.75" customHeight="1">
      <c r="A13358" s="7"/>
      <c r="B13358" s="7"/>
      <c r="M13358" s="9" t="s">
        <v>33</v>
      </c>
    </row>
    <row r="13359" ht="15.75" customHeight="1">
      <c r="A13359" s="7"/>
      <c r="B13359" s="7"/>
      <c r="M13359" s="9" t="s">
        <v>25</v>
      </c>
    </row>
    <row r="13360" ht="15.75" customHeight="1">
      <c r="A13360" s="7"/>
      <c r="B13360" s="7"/>
      <c r="M13360" s="9" t="s">
        <v>23</v>
      </c>
    </row>
    <row r="13361" ht="15.75" customHeight="1">
      <c r="A13361" s="7"/>
      <c r="B13361" s="7"/>
      <c r="M13361" s="9" t="s">
        <v>24</v>
      </c>
    </row>
    <row r="13362" ht="15.75" customHeight="1">
      <c r="A13362" s="7"/>
      <c r="B13362" s="7"/>
      <c r="M13362" s="9" t="s">
        <v>20</v>
      </c>
    </row>
    <row r="13363" ht="15.75" customHeight="1">
      <c r="A13363" s="7"/>
      <c r="B13363" s="7"/>
      <c r="M13363" s="9" t="s">
        <v>21</v>
      </c>
    </row>
    <row r="13364" ht="15.75" customHeight="1">
      <c r="A13364" s="7"/>
      <c r="B13364" s="7"/>
      <c r="M13364" s="9" t="s">
        <v>41</v>
      </c>
    </row>
    <row r="13365" ht="15.75" customHeight="1">
      <c r="A13365" s="7"/>
      <c r="B13365" s="7"/>
      <c r="M13365" s="9" t="s">
        <v>40</v>
      </c>
    </row>
    <row r="13366" ht="15.75" customHeight="1">
      <c r="A13366" s="7"/>
      <c r="B13366" s="7"/>
      <c r="M13366" s="9" t="s">
        <v>30</v>
      </c>
    </row>
    <row r="13367" ht="15.75" customHeight="1">
      <c r="A13367" s="7"/>
      <c r="B13367" s="7"/>
      <c r="M13367" s="9" t="s">
        <v>25</v>
      </c>
    </row>
    <row r="13368" ht="15.75" customHeight="1">
      <c r="A13368" s="7"/>
      <c r="B13368" s="7"/>
      <c r="M13368" s="9" t="s">
        <v>23</v>
      </c>
    </row>
    <row r="13369" ht="15.75" customHeight="1">
      <c r="A13369" s="7"/>
      <c r="B13369" s="7"/>
      <c r="M13369" s="9" t="s">
        <v>24</v>
      </c>
    </row>
    <row r="13370" ht="15.75" customHeight="1">
      <c r="A13370" s="7"/>
      <c r="B13370" s="7"/>
      <c r="M13370" s="9" t="s">
        <v>20</v>
      </c>
    </row>
    <row r="13371" ht="15.75" customHeight="1">
      <c r="A13371" s="7"/>
      <c r="B13371" s="7"/>
      <c r="M13371" s="9" t="s">
        <v>22</v>
      </c>
    </row>
    <row r="13372" ht="15.75" customHeight="1">
      <c r="A13372" s="7"/>
      <c r="B13372" s="7"/>
      <c r="M13372" s="9" t="s">
        <v>24</v>
      </c>
    </row>
    <row r="13373" ht="15.75" customHeight="1">
      <c r="A13373" s="7"/>
      <c r="B13373" s="7"/>
      <c r="M13373" s="9" t="s">
        <v>21</v>
      </c>
    </row>
    <row r="13374" ht="15.75" customHeight="1">
      <c r="A13374" s="7"/>
      <c r="B13374" s="7"/>
      <c r="M13374" s="9" t="s">
        <v>24</v>
      </c>
    </row>
    <row r="13375" ht="15.75" customHeight="1">
      <c r="A13375" s="7"/>
      <c r="B13375" s="7"/>
      <c r="M13375" s="9" t="s">
        <v>21</v>
      </c>
    </row>
    <row r="13376" ht="15.75" customHeight="1">
      <c r="A13376" s="7"/>
      <c r="B13376" s="7"/>
      <c r="M13376" s="9" t="s">
        <v>37</v>
      </c>
    </row>
    <row r="13377" ht="15.75" customHeight="1">
      <c r="A13377" s="7"/>
      <c r="B13377" s="7"/>
      <c r="M13377" s="9" t="s">
        <v>27</v>
      </c>
    </row>
    <row r="13378" ht="15.75" customHeight="1">
      <c r="A13378" s="7"/>
      <c r="B13378" s="7"/>
      <c r="M13378" s="9" t="s">
        <v>38</v>
      </c>
    </row>
    <row r="13379" ht="15.75" customHeight="1">
      <c r="A13379" s="7"/>
      <c r="B13379" s="7"/>
      <c r="M13379" s="9" t="s">
        <v>30</v>
      </c>
    </row>
    <row r="13380" ht="15.75" customHeight="1">
      <c r="A13380" s="7"/>
      <c r="B13380" s="7"/>
      <c r="M13380" s="9" t="s">
        <v>25</v>
      </c>
    </row>
    <row r="13381" ht="15.75" customHeight="1">
      <c r="A13381" s="7"/>
      <c r="B13381" s="7"/>
      <c r="M13381" s="9" t="s">
        <v>23</v>
      </c>
    </row>
    <row r="13382" ht="15.75" customHeight="1">
      <c r="A13382" s="7"/>
      <c r="B13382" s="7"/>
      <c r="M13382" s="9" t="s">
        <v>26</v>
      </c>
    </row>
    <row r="13383" ht="15.75" customHeight="1">
      <c r="A13383" s="7"/>
      <c r="B13383" s="7"/>
      <c r="M13383" s="9" t="s">
        <v>24</v>
      </c>
    </row>
    <row r="13384" ht="15.75" customHeight="1">
      <c r="A13384" s="7"/>
      <c r="B13384" s="7"/>
      <c r="M13384" s="9" t="s">
        <v>20</v>
      </c>
    </row>
    <row r="13385" ht="15.75" customHeight="1">
      <c r="A13385" s="7"/>
      <c r="B13385" s="7"/>
      <c r="M13385" s="9" t="s">
        <v>21</v>
      </c>
    </row>
    <row r="13386" ht="15.75" customHeight="1">
      <c r="A13386" s="7"/>
      <c r="B13386" s="7"/>
      <c r="M13386" s="9" t="s">
        <v>39</v>
      </c>
    </row>
    <row r="13387" ht="15.75" customHeight="1">
      <c r="A13387" s="7"/>
      <c r="B13387" s="7"/>
      <c r="M13387" s="9" t="s">
        <v>22</v>
      </c>
    </row>
    <row r="13388" ht="15.75" customHeight="1">
      <c r="A13388" s="7"/>
      <c r="B13388" s="7"/>
      <c r="M13388" s="9" t="s">
        <v>27</v>
      </c>
    </row>
    <row r="13389" ht="15.75" customHeight="1">
      <c r="A13389" s="7"/>
      <c r="B13389" s="7"/>
      <c r="M13389" s="9" t="s">
        <v>38</v>
      </c>
    </row>
    <row r="13390" ht="15.75" customHeight="1">
      <c r="A13390" s="7"/>
      <c r="B13390" s="7"/>
      <c r="M13390" s="9" t="s">
        <v>30</v>
      </c>
    </row>
    <row r="13391" ht="15.75" customHeight="1">
      <c r="A13391" s="7"/>
      <c r="B13391" s="7"/>
      <c r="M13391" s="9" t="s">
        <v>25</v>
      </c>
    </row>
    <row r="13392" ht="15.75" customHeight="1">
      <c r="A13392" s="7"/>
      <c r="B13392" s="7"/>
      <c r="M13392" s="9" t="s">
        <v>24</v>
      </c>
    </row>
    <row r="13393" ht="15.75" customHeight="1">
      <c r="A13393" s="7"/>
      <c r="B13393" s="7"/>
      <c r="M13393" s="9" t="s">
        <v>21</v>
      </c>
    </row>
    <row r="13394" ht="15.75" customHeight="1">
      <c r="A13394" s="7"/>
      <c r="B13394" s="7"/>
      <c r="M13394" s="9" t="s">
        <v>37</v>
      </c>
    </row>
    <row r="13395" ht="15.75" customHeight="1">
      <c r="A13395" s="7"/>
      <c r="B13395" s="7"/>
      <c r="M13395" s="9" t="s">
        <v>22</v>
      </c>
    </row>
    <row r="13396" ht="15.75" customHeight="1">
      <c r="A13396" s="7"/>
      <c r="B13396" s="7"/>
      <c r="M13396" s="9" t="s">
        <v>27</v>
      </c>
    </row>
    <row r="13397" ht="15.75" customHeight="1">
      <c r="A13397" s="7"/>
      <c r="B13397" s="7"/>
      <c r="M13397" s="9" t="s">
        <v>35</v>
      </c>
    </row>
    <row r="13398" ht="15.75" customHeight="1">
      <c r="A13398" s="7"/>
      <c r="B13398" s="7"/>
      <c r="M13398" s="9" t="s">
        <v>30</v>
      </c>
    </row>
    <row r="13399" ht="15.75" customHeight="1">
      <c r="A13399" s="7"/>
      <c r="B13399" s="7"/>
      <c r="M13399" s="9" t="s">
        <v>36</v>
      </c>
    </row>
    <row r="13400" ht="15.75" customHeight="1">
      <c r="A13400" s="7"/>
      <c r="B13400" s="7"/>
      <c r="M13400" s="9" t="s">
        <v>24</v>
      </c>
    </row>
    <row r="13401" ht="15.75" customHeight="1">
      <c r="A13401" s="7"/>
      <c r="B13401" s="7"/>
      <c r="M13401" s="9" t="s">
        <v>20</v>
      </c>
    </row>
    <row r="13402" ht="15.75" customHeight="1">
      <c r="A13402" s="7"/>
      <c r="B13402" s="7"/>
      <c r="M13402" s="9" t="s">
        <v>21</v>
      </c>
    </row>
    <row r="13403" ht="15.75" customHeight="1">
      <c r="A13403" s="7"/>
      <c r="B13403" s="7"/>
      <c r="M13403" s="9" t="s">
        <v>22</v>
      </c>
    </row>
    <row r="13404" ht="15.75" customHeight="1">
      <c r="A13404" s="7"/>
      <c r="B13404" s="7"/>
      <c r="M13404" s="9" t="s">
        <v>27</v>
      </c>
    </row>
    <row r="13405" ht="15.75" customHeight="1">
      <c r="A13405" s="7"/>
      <c r="B13405" s="7"/>
      <c r="M13405" s="9" t="s">
        <v>28</v>
      </c>
    </row>
    <row r="13406" ht="15.75" customHeight="1">
      <c r="A13406" s="7"/>
      <c r="B13406" s="7"/>
      <c r="M13406" s="9" t="s">
        <v>30</v>
      </c>
    </row>
    <row r="13407" ht="15.75" customHeight="1">
      <c r="A13407" s="7"/>
      <c r="B13407" s="7"/>
      <c r="M13407" s="9" t="s">
        <v>25</v>
      </c>
    </row>
    <row r="13408" ht="15.75" customHeight="1">
      <c r="A13408" s="7"/>
      <c r="B13408" s="7"/>
      <c r="M13408" s="9" t="s">
        <v>24</v>
      </c>
    </row>
    <row r="13409" ht="15.75" customHeight="1">
      <c r="A13409" s="7"/>
      <c r="B13409" s="7"/>
      <c r="M13409" s="9" t="s">
        <v>21</v>
      </c>
    </row>
    <row r="13410" ht="15.75" customHeight="1">
      <c r="A13410" s="7"/>
      <c r="B13410" s="7"/>
      <c r="M13410" s="9" t="s">
        <v>31</v>
      </c>
    </row>
    <row r="13411" ht="15.75" customHeight="1">
      <c r="A13411" s="7"/>
      <c r="B13411" s="7"/>
      <c r="M13411" s="9" t="s">
        <v>33</v>
      </c>
    </row>
    <row r="13412" ht="15.75" customHeight="1">
      <c r="A13412" s="7"/>
      <c r="B13412" s="7"/>
      <c r="M13412" s="9" t="s">
        <v>38</v>
      </c>
    </row>
    <row r="13413" ht="15.75" customHeight="1">
      <c r="A13413" s="7"/>
      <c r="B13413" s="7"/>
      <c r="M13413" s="9" t="s">
        <v>30</v>
      </c>
    </row>
    <row r="13414" ht="15.75" customHeight="1">
      <c r="A13414" s="7"/>
      <c r="B13414" s="7"/>
      <c r="M13414" s="9" t="s">
        <v>25</v>
      </c>
    </row>
    <row r="13415" ht="15.75" customHeight="1">
      <c r="A13415" s="7"/>
      <c r="B13415" s="7"/>
      <c r="M13415" s="9" t="s">
        <v>24</v>
      </c>
    </row>
    <row r="13416" ht="15.75" customHeight="1">
      <c r="A13416" s="7"/>
      <c r="B13416" s="7"/>
      <c r="M13416" s="9" t="s">
        <v>20</v>
      </c>
    </row>
    <row r="13417" ht="15.75" customHeight="1">
      <c r="A13417" s="7"/>
      <c r="B13417" s="7"/>
      <c r="M13417" s="9" t="s">
        <v>21</v>
      </c>
    </row>
    <row r="13418" ht="15.75" customHeight="1">
      <c r="A13418" s="7"/>
      <c r="B13418" s="7"/>
      <c r="M13418" s="9" t="s">
        <v>37</v>
      </c>
    </row>
    <row r="13419" ht="15.75" customHeight="1">
      <c r="A13419" s="7"/>
      <c r="B13419" s="7"/>
      <c r="M13419" s="9" t="s">
        <v>27</v>
      </c>
    </row>
    <row r="13420" ht="15.75" customHeight="1">
      <c r="A13420" s="7"/>
      <c r="B13420" s="7"/>
      <c r="M13420" s="9" t="s">
        <v>43</v>
      </c>
    </row>
    <row r="13421" ht="15.75" customHeight="1">
      <c r="A13421" s="7"/>
      <c r="B13421" s="7"/>
      <c r="M13421" s="9" t="s">
        <v>36</v>
      </c>
    </row>
    <row r="13422" ht="15.75" customHeight="1">
      <c r="A13422" s="7"/>
      <c r="B13422" s="7"/>
      <c r="M13422" s="9" t="s">
        <v>24</v>
      </c>
    </row>
    <row r="13423" ht="15.75" customHeight="1">
      <c r="A13423" s="7"/>
      <c r="B13423" s="7"/>
      <c r="M13423" s="9" t="s">
        <v>20</v>
      </c>
    </row>
    <row r="13424" ht="15.75" customHeight="1">
      <c r="A13424" s="7"/>
      <c r="B13424" s="7"/>
      <c r="M13424" s="9" t="s">
        <v>21</v>
      </c>
    </row>
    <row r="13425" ht="15.75" customHeight="1">
      <c r="A13425" s="7"/>
      <c r="B13425" s="7"/>
      <c r="M13425" s="9" t="s">
        <v>22</v>
      </c>
    </row>
    <row r="13426" ht="15.75" customHeight="1">
      <c r="A13426" s="7"/>
      <c r="B13426" s="7"/>
      <c r="M13426" s="9" t="s">
        <v>27</v>
      </c>
    </row>
    <row r="13427" ht="15.75" customHeight="1">
      <c r="A13427" s="7"/>
      <c r="B13427" s="7"/>
      <c r="M13427" s="9" t="s">
        <v>33</v>
      </c>
    </row>
    <row r="13428" ht="15.75" customHeight="1">
      <c r="A13428" s="7"/>
      <c r="B13428" s="7"/>
      <c r="M13428" s="9" t="s">
        <v>24</v>
      </c>
    </row>
    <row r="13429" ht="15.75" customHeight="1">
      <c r="A13429" s="7"/>
      <c r="B13429" s="7"/>
      <c r="M13429" s="9" t="s">
        <v>21</v>
      </c>
    </row>
    <row r="13430" ht="15.75" customHeight="1">
      <c r="A13430" s="7"/>
      <c r="B13430" s="7"/>
      <c r="M13430" s="9" t="s">
        <v>37</v>
      </c>
    </row>
    <row r="13431" ht="15.75" customHeight="1">
      <c r="A13431" s="7"/>
      <c r="B13431" s="7"/>
      <c r="M13431" s="9" t="s">
        <v>31</v>
      </c>
    </row>
    <row r="13432" ht="15.75" customHeight="1">
      <c r="A13432" s="7"/>
      <c r="B13432" s="7"/>
      <c r="M13432" s="9" t="s">
        <v>27</v>
      </c>
    </row>
    <row r="13433" ht="15.75" customHeight="1">
      <c r="A13433" s="7"/>
      <c r="B13433" s="7"/>
      <c r="M13433" s="9" t="s">
        <v>30</v>
      </c>
    </row>
    <row r="13434" ht="15.75" customHeight="1">
      <c r="A13434" s="7"/>
      <c r="B13434" s="7"/>
      <c r="M13434" s="9" t="s">
        <v>25</v>
      </c>
    </row>
    <row r="13435" ht="15.75" customHeight="1">
      <c r="A13435" s="7"/>
      <c r="B13435" s="7"/>
      <c r="M13435" s="9" t="s">
        <v>23</v>
      </c>
    </row>
    <row r="13436" ht="15.75" customHeight="1">
      <c r="A13436" s="7"/>
      <c r="B13436" s="7"/>
      <c r="M13436" s="9" t="s">
        <v>24</v>
      </c>
    </row>
    <row r="13437" ht="15.75" customHeight="1">
      <c r="A13437" s="7"/>
      <c r="B13437" s="7"/>
      <c r="M13437" s="9" t="s">
        <v>22</v>
      </c>
    </row>
    <row r="13438" ht="15.75" customHeight="1">
      <c r="A13438" s="7"/>
      <c r="B13438" s="7"/>
      <c r="M13438" s="9" t="s">
        <v>29</v>
      </c>
    </row>
    <row r="13439" ht="15.75" customHeight="1">
      <c r="A13439" s="7"/>
      <c r="B13439" s="7"/>
      <c r="M13439" s="9" t="s">
        <v>32</v>
      </c>
    </row>
    <row r="13440" ht="15.75" customHeight="1">
      <c r="A13440" s="7"/>
      <c r="B13440" s="7"/>
      <c r="M13440" s="9" t="s">
        <v>35</v>
      </c>
    </row>
    <row r="13441" ht="15.75" customHeight="1">
      <c r="A13441" s="7"/>
      <c r="B13441" s="7"/>
      <c r="M13441" s="9" t="s">
        <v>36</v>
      </c>
    </row>
    <row r="13442" ht="15.75" customHeight="1">
      <c r="A13442" s="7"/>
      <c r="B13442" s="7"/>
      <c r="M13442" s="9" t="s">
        <v>22</v>
      </c>
    </row>
    <row r="13443" ht="15.75" customHeight="1">
      <c r="A13443" s="7"/>
      <c r="B13443" s="7"/>
      <c r="M13443" s="9" t="s">
        <v>30</v>
      </c>
    </row>
    <row r="13444" ht="15.75" customHeight="1">
      <c r="A13444" s="7"/>
      <c r="B13444" s="7"/>
      <c r="M13444" s="9" t="s">
        <v>26</v>
      </c>
    </row>
    <row r="13445" ht="15.75" customHeight="1">
      <c r="A13445" s="7"/>
      <c r="B13445" s="7"/>
      <c r="M13445" s="9" t="s">
        <v>27</v>
      </c>
    </row>
    <row r="13446" ht="15.75" customHeight="1">
      <c r="A13446" s="7"/>
      <c r="B13446" s="7"/>
      <c r="M13446" s="9" t="s">
        <v>22</v>
      </c>
    </row>
    <row r="13447" ht="15.75" customHeight="1">
      <c r="A13447" s="7"/>
      <c r="B13447" s="7"/>
      <c r="M13447" s="9" t="s">
        <v>24</v>
      </c>
    </row>
    <row r="13448" ht="15.75" customHeight="1">
      <c r="A13448" s="7"/>
      <c r="B13448" s="7"/>
      <c r="M13448" s="9" t="s">
        <v>21</v>
      </c>
    </row>
    <row r="13449" ht="15.75" customHeight="1">
      <c r="A13449" s="7"/>
      <c r="B13449" s="7"/>
      <c r="M13449" s="9" t="s">
        <v>31</v>
      </c>
    </row>
    <row r="13450" ht="15.75" customHeight="1">
      <c r="A13450" s="7"/>
      <c r="B13450" s="7"/>
      <c r="M13450" s="9" t="s">
        <v>27</v>
      </c>
    </row>
    <row r="13451" ht="15.75" customHeight="1">
      <c r="A13451" s="7"/>
      <c r="B13451" s="7"/>
      <c r="M13451" s="9" t="s">
        <v>33</v>
      </c>
    </row>
    <row r="13452" ht="15.75" customHeight="1">
      <c r="A13452" s="7"/>
      <c r="B13452" s="7"/>
      <c r="M13452" s="9" t="s">
        <v>24</v>
      </c>
    </row>
    <row r="13453" ht="15.75" customHeight="1">
      <c r="A13453" s="7"/>
      <c r="B13453" s="7"/>
      <c r="M13453" s="9" t="s">
        <v>21</v>
      </c>
    </row>
    <row r="13454" ht="15.75" customHeight="1">
      <c r="A13454" s="7"/>
      <c r="B13454" s="7"/>
      <c r="M13454" s="9" t="s">
        <v>37</v>
      </c>
    </row>
    <row r="13455" ht="15.75" customHeight="1">
      <c r="A13455" s="7"/>
      <c r="B13455" s="7"/>
      <c r="M13455" s="9" t="s">
        <v>27</v>
      </c>
    </row>
    <row r="13456" ht="15.75" customHeight="1">
      <c r="A13456" s="7"/>
      <c r="B13456" s="7"/>
      <c r="M13456" s="9" t="s">
        <v>21</v>
      </c>
    </row>
    <row r="13457" ht="15.75" customHeight="1">
      <c r="A13457" s="7"/>
      <c r="B13457" s="7"/>
      <c r="M13457" s="9" t="s">
        <v>38</v>
      </c>
    </row>
    <row r="13458" ht="15.75" customHeight="1">
      <c r="A13458" s="7"/>
      <c r="B13458" s="7"/>
      <c r="M13458" s="9" t="s">
        <v>22</v>
      </c>
    </row>
    <row r="13459" ht="15.75" customHeight="1">
      <c r="A13459" s="7"/>
      <c r="B13459" s="7"/>
      <c r="M13459" s="9" t="s">
        <v>22</v>
      </c>
    </row>
    <row r="13460" ht="15.75" customHeight="1">
      <c r="A13460" s="7"/>
      <c r="B13460" s="7"/>
      <c r="M13460" s="9" t="s">
        <v>36</v>
      </c>
    </row>
    <row r="13461" ht="15.75" customHeight="1">
      <c r="A13461" s="7"/>
      <c r="B13461" s="7"/>
      <c r="M13461" s="9" t="s">
        <v>21</v>
      </c>
    </row>
    <row r="13462" ht="15.75" customHeight="1">
      <c r="A13462" s="7"/>
      <c r="B13462" s="7"/>
      <c r="M13462" s="9" t="s">
        <v>41</v>
      </c>
    </row>
    <row r="13463" ht="15.75" customHeight="1">
      <c r="A13463" s="7"/>
      <c r="B13463" s="7"/>
      <c r="M13463" s="9" t="s">
        <v>37</v>
      </c>
    </row>
    <row r="13464" ht="15.75" customHeight="1">
      <c r="A13464" s="7"/>
      <c r="B13464" s="7"/>
      <c r="M13464" s="9" t="s">
        <v>31</v>
      </c>
    </row>
    <row r="13465" ht="15.75" customHeight="1">
      <c r="A13465" s="7"/>
      <c r="B13465" s="7"/>
      <c r="M13465" s="9" t="s">
        <v>27</v>
      </c>
    </row>
    <row r="13466" ht="15.75" customHeight="1">
      <c r="A13466" s="7"/>
      <c r="B13466" s="7"/>
      <c r="M13466" s="9" t="s">
        <v>40</v>
      </c>
    </row>
    <row r="13467" ht="15.75" customHeight="1">
      <c r="A13467" s="7"/>
      <c r="B13467" s="7"/>
      <c r="M13467" s="9" t="s">
        <v>30</v>
      </c>
    </row>
    <row r="13468" ht="15.75" customHeight="1">
      <c r="A13468" s="7"/>
      <c r="B13468" s="7"/>
      <c r="M13468" s="9" t="s">
        <v>20</v>
      </c>
    </row>
    <row r="13469" ht="15.75" customHeight="1">
      <c r="A13469" s="7"/>
      <c r="B13469" s="7"/>
      <c r="M13469" s="9" t="s">
        <v>27</v>
      </c>
    </row>
    <row r="13470" ht="15.75" customHeight="1">
      <c r="A13470" s="7"/>
      <c r="B13470" s="7"/>
      <c r="M13470" s="9" t="s">
        <v>30</v>
      </c>
    </row>
    <row r="13471" ht="15.75" customHeight="1">
      <c r="A13471" s="7"/>
      <c r="B13471" s="7"/>
      <c r="M13471" s="9" t="s">
        <v>25</v>
      </c>
    </row>
    <row r="13472" ht="15.75" customHeight="1">
      <c r="A13472" s="7"/>
      <c r="B13472" s="7"/>
      <c r="M13472" s="9" t="s">
        <v>23</v>
      </c>
    </row>
    <row r="13473" ht="15.75" customHeight="1">
      <c r="A13473" s="7"/>
      <c r="B13473" s="7"/>
      <c r="M13473" s="9" t="s">
        <v>36</v>
      </c>
    </row>
    <row r="13474" ht="15.75" customHeight="1">
      <c r="A13474" s="7"/>
      <c r="B13474" s="7"/>
      <c r="M13474" s="9" t="s">
        <v>26</v>
      </c>
    </row>
    <row r="13475" ht="15.75" customHeight="1">
      <c r="A13475" s="7"/>
      <c r="B13475" s="7"/>
      <c r="M13475" s="9" t="s">
        <v>24</v>
      </c>
    </row>
    <row r="13476" ht="15.75" customHeight="1">
      <c r="A13476" s="7"/>
      <c r="B13476" s="7"/>
      <c r="M13476" s="9" t="s">
        <v>21</v>
      </c>
    </row>
    <row r="13477" ht="15.75" customHeight="1">
      <c r="A13477" s="7"/>
      <c r="B13477" s="7"/>
      <c r="M13477" s="9" t="s">
        <v>38</v>
      </c>
    </row>
    <row r="13478" ht="15.75" customHeight="1">
      <c r="A13478" s="7"/>
      <c r="B13478" s="7"/>
      <c r="M13478" s="9" t="s">
        <v>23</v>
      </c>
    </row>
    <row r="13479" ht="15.75" customHeight="1">
      <c r="A13479" s="7"/>
      <c r="B13479" s="7"/>
      <c r="M13479" s="9" t="s">
        <v>24</v>
      </c>
    </row>
    <row r="13480" ht="15.75" customHeight="1">
      <c r="A13480" s="7"/>
      <c r="B13480" s="7"/>
      <c r="M13480" s="9" t="s">
        <v>20</v>
      </c>
    </row>
    <row r="13481" ht="15.75" customHeight="1">
      <c r="A13481" s="7"/>
      <c r="B13481" s="7"/>
      <c r="M13481" s="9" t="s">
        <v>21</v>
      </c>
    </row>
    <row r="13482" ht="15.75" customHeight="1">
      <c r="A13482" s="7"/>
      <c r="B13482" s="7"/>
      <c r="M13482" s="9" t="s">
        <v>27</v>
      </c>
    </row>
    <row r="13483" ht="15.75" customHeight="1">
      <c r="A13483" s="7"/>
      <c r="B13483" s="7"/>
      <c r="M13483" s="9" t="s">
        <v>40</v>
      </c>
    </row>
    <row r="13484" ht="15.75" customHeight="1">
      <c r="A13484" s="7"/>
      <c r="B13484" s="7"/>
      <c r="M13484" s="9" t="s">
        <v>33</v>
      </c>
    </row>
    <row r="13485" ht="15.75" customHeight="1">
      <c r="A13485" s="7"/>
      <c r="B13485" s="7"/>
      <c r="M13485" s="9" t="s">
        <v>28</v>
      </c>
    </row>
    <row r="13486" ht="15.75" customHeight="1">
      <c r="A13486" s="7"/>
      <c r="B13486" s="7"/>
      <c r="M13486" s="9" t="s">
        <v>30</v>
      </c>
    </row>
    <row r="13487" ht="15.75" customHeight="1">
      <c r="A13487" s="7"/>
      <c r="B13487" s="7"/>
      <c r="M13487" s="9" t="s">
        <v>24</v>
      </c>
    </row>
    <row r="13488" ht="15.75" customHeight="1">
      <c r="A13488" s="7"/>
      <c r="B13488" s="7"/>
      <c r="M13488" s="9" t="s">
        <v>21</v>
      </c>
    </row>
    <row r="13489" ht="15.75" customHeight="1">
      <c r="A13489" s="7"/>
      <c r="B13489" s="7"/>
      <c r="M13489" s="9" t="s">
        <v>22</v>
      </c>
    </row>
    <row r="13490" ht="15.75" customHeight="1">
      <c r="A13490" s="7"/>
      <c r="B13490" s="7"/>
      <c r="M13490" s="9" t="s">
        <v>33</v>
      </c>
    </row>
    <row r="13491" ht="15.75" customHeight="1">
      <c r="A13491" s="7"/>
      <c r="B13491" s="7"/>
      <c r="M13491" s="9" t="s">
        <v>24</v>
      </c>
    </row>
    <row r="13492" ht="15.75" customHeight="1">
      <c r="A13492" s="7"/>
      <c r="B13492" s="7"/>
      <c r="M13492" s="9" t="s">
        <v>21</v>
      </c>
    </row>
    <row r="13493" ht="15.75" customHeight="1">
      <c r="A13493" s="7"/>
      <c r="B13493" s="7"/>
      <c r="M13493" s="9" t="s">
        <v>22</v>
      </c>
    </row>
    <row r="13494" ht="15.75" customHeight="1">
      <c r="A13494" s="7"/>
      <c r="B13494" s="7"/>
      <c r="M13494" s="9" t="s">
        <v>31</v>
      </c>
    </row>
    <row r="13495" ht="15.75" customHeight="1">
      <c r="A13495" s="7"/>
      <c r="B13495" s="7"/>
      <c r="M13495" s="9" t="s">
        <v>27</v>
      </c>
    </row>
    <row r="13496" ht="15.75" customHeight="1">
      <c r="A13496" s="7"/>
      <c r="B13496" s="7"/>
      <c r="M13496" s="9" t="s">
        <v>28</v>
      </c>
    </row>
    <row r="13497" ht="15.75" customHeight="1">
      <c r="A13497" s="7"/>
      <c r="B13497" s="7"/>
      <c r="M13497" s="9" t="s">
        <v>24</v>
      </c>
    </row>
    <row r="13498" ht="15.75" customHeight="1">
      <c r="A13498" s="7"/>
      <c r="B13498" s="7"/>
      <c r="M13498" s="9" t="s">
        <v>21</v>
      </c>
    </row>
    <row r="13499" ht="15.75" customHeight="1">
      <c r="A13499" s="7"/>
      <c r="B13499" s="7"/>
      <c r="M13499" s="9" t="s">
        <v>37</v>
      </c>
    </row>
    <row r="13500" ht="15.75" customHeight="1">
      <c r="A13500" s="7"/>
      <c r="B13500" s="7"/>
      <c r="M13500" s="9" t="s">
        <v>20</v>
      </c>
    </row>
    <row r="13501" ht="15.75" customHeight="1">
      <c r="A13501" s="7"/>
      <c r="B13501" s="7"/>
      <c r="M13501" s="9" t="s">
        <v>25</v>
      </c>
    </row>
    <row r="13502" ht="15.75" customHeight="1">
      <c r="A13502" s="7"/>
      <c r="B13502" s="7"/>
      <c r="M13502" s="9" t="s">
        <v>24</v>
      </c>
    </row>
    <row r="13503" ht="15.75" customHeight="1">
      <c r="A13503" s="7"/>
      <c r="B13503" s="7"/>
      <c r="M13503" s="9" t="s">
        <v>20</v>
      </c>
    </row>
    <row r="13504" ht="15.75" customHeight="1">
      <c r="A13504" s="7"/>
      <c r="B13504" s="7"/>
      <c r="M13504" s="9" t="s">
        <v>21</v>
      </c>
    </row>
    <row r="13505" ht="15.75" customHeight="1">
      <c r="A13505" s="7"/>
      <c r="B13505" s="7"/>
      <c r="M13505" s="9" t="s">
        <v>37</v>
      </c>
    </row>
    <row r="13506" ht="15.75" customHeight="1">
      <c r="A13506" s="7"/>
      <c r="B13506" s="7"/>
      <c r="M13506" s="9" t="s">
        <v>22</v>
      </c>
    </row>
    <row r="13507" ht="15.75" customHeight="1">
      <c r="A13507" s="7"/>
      <c r="B13507" s="7"/>
      <c r="M13507" s="9" t="s">
        <v>27</v>
      </c>
    </row>
    <row r="13508" ht="15.75" customHeight="1">
      <c r="A13508" s="7"/>
      <c r="B13508" s="7"/>
      <c r="M13508" s="9" t="s">
        <v>23</v>
      </c>
    </row>
    <row r="13509" ht="15.75" customHeight="1">
      <c r="A13509" s="7"/>
      <c r="B13509" s="7"/>
      <c r="M13509" s="9" t="s">
        <v>41</v>
      </c>
    </row>
    <row r="13510" ht="15.75" customHeight="1">
      <c r="A13510" s="7"/>
      <c r="B13510" s="7"/>
      <c r="M13510" s="9" t="s">
        <v>40</v>
      </c>
    </row>
    <row r="13511" ht="15.75" customHeight="1">
      <c r="A13511" s="7"/>
      <c r="B13511" s="7"/>
      <c r="M13511" s="9" t="s">
        <v>22</v>
      </c>
    </row>
    <row r="13512" ht="15.75" customHeight="1">
      <c r="A13512" s="7"/>
      <c r="B13512" s="7"/>
      <c r="M13512" s="9" t="s">
        <v>30</v>
      </c>
    </row>
    <row r="13513" ht="15.75" customHeight="1">
      <c r="A13513" s="7"/>
      <c r="B13513" s="7"/>
      <c r="M13513" s="9" t="s">
        <v>25</v>
      </c>
    </row>
    <row r="13514" ht="15.75" customHeight="1">
      <c r="A13514" s="7"/>
      <c r="B13514" s="7"/>
      <c r="M13514" s="9" t="s">
        <v>23</v>
      </c>
    </row>
    <row r="13515" ht="15.75" customHeight="1">
      <c r="A13515" s="7"/>
      <c r="B13515" s="7"/>
      <c r="M13515" s="9" t="s">
        <v>47</v>
      </c>
    </row>
    <row r="13516" ht="15.75" customHeight="1">
      <c r="A13516" s="7"/>
      <c r="B13516" s="7"/>
      <c r="M13516" s="9" t="s">
        <v>36</v>
      </c>
    </row>
    <row r="13517" ht="15.75" customHeight="1">
      <c r="A13517" s="7"/>
      <c r="B13517" s="7"/>
      <c r="M13517" s="9" t="s">
        <v>24</v>
      </c>
    </row>
    <row r="13518" ht="15.75" customHeight="1">
      <c r="A13518" s="7"/>
      <c r="B13518" s="7"/>
      <c r="M13518" s="9" t="s">
        <v>20</v>
      </c>
    </row>
    <row r="13519" ht="15.75" customHeight="1">
      <c r="A13519" s="7"/>
      <c r="B13519" s="7"/>
      <c r="M13519" s="9" t="s">
        <v>21</v>
      </c>
    </row>
    <row r="13520" ht="15.75" customHeight="1">
      <c r="A13520" s="7"/>
      <c r="B13520" s="7"/>
      <c r="M13520" s="9" t="s">
        <v>39</v>
      </c>
    </row>
    <row r="13521" ht="15.75" customHeight="1">
      <c r="A13521" s="7"/>
      <c r="B13521" s="7"/>
      <c r="M13521" s="9" t="s">
        <v>22</v>
      </c>
    </row>
    <row r="13522" ht="15.75" customHeight="1">
      <c r="A13522" s="7"/>
      <c r="B13522" s="7"/>
      <c r="M13522" s="9" t="s">
        <v>31</v>
      </c>
    </row>
    <row r="13523" ht="15.75" customHeight="1">
      <c r="A13523" s="7"/>
      <c r="B13523" s="7"/>
      <c r="M13523" s="9" t="s">
        <v>32</v>
      </c>
    </row>
    <row r="13524" ht="15.75" customHeight="1">
      <c r="A13524" s="7"/>
      <c r="B13524" s="7"/>
      <c r="M13524" s="9" t="s">
        <v>46</v>
      </c>
    </row>
    <row r="13525" ht="15.75" customHeight="1">
      <c r="A13525" s="7"/>
      <c r="B13525" s="7"/>
      <c r="M13525" s="9" t="s">
        <v>27</v>
      </c>
    </row>
    <row r="13526" ht="15.75" customHeight="1">
      <c r="A13526" s="7"/>
      <c r="B13526" s="7"/>
      <c r="M13526" s="9" t="s">
        <v>33</v>
      </c>
    </row>
    <row r="13527" ht="15.75" customHeight="1">
      <c r="A13527" s="7"/>
      <c r="B13527" s="7"/>
      <c r="M13527" s="9" t="s">
        <v>30</v>
      </c>
    </row>
    <row r="13528" ht="15.75" customHeight="1">
      <c r="A13528" s="7"/>
      <c r="B13528" s="7"/>
      <c r="M13528" s="9" t="s">
        <v>47</v>
      </c>
    </row>
    <row r="13529" ht="15.75" customHeight="1">
      <c r="A13529" s="7"/>
      <c r="B13529" s="7"/>
      <c r="M13529" s="9" t="s">
        <v>24</v>
      </c>
    </row>
    <row r="13530" ht="15.75" customHeight="1">
      <c r="A13530" s="7"/>
      <c r="B13530" s="7"/>
      <c r="M13530" s="9" t="s">
        <v>21</v>
      </c>
    </row>
    <row r="13531" ht="15.75" customHeight="1">
      <c r="A13531" s="7"/>
      <c r="B13531" s="7"/>
      <c r="M13531" s="9" t="s">
        <v>22</v>
      </c>
    </row>
    <row r="13532" ht="15.75" customHeight="1">
      <c r="A13532" s="7"/>
      <c r="B13532" s="7"/>
      <c r="M13532" s="9" t="s">
        <v>32</v>
      </c>
    </row>
    <row r="13533" ht="15.75" customHeight="1">
      <c r="A13533" s="7"/>
      <c r="B13533" s="7"/>
      <c r="M13533" s="9" t="s">
        <v>33</v>
      </c>
    </row>
    <row r="13534" ht="15.75" customHeight="1">
      <c r="A13534" s="7"/>
      <c r="B13534" s="7"/>
      <c r="M13534" s="9" t="s">
        <v>24</v>
      </c>
    </row>
    <row r="13535" ht="15.75" customHeight="1">
      <c r="A13535" s="7"/>
      <c r="B13535" s="7"/>
      <c r="M13535" s="9" t="s">
        <v>20</v>
      </c>
    </row>
    <row r="13536" ht="15.75" customHeight="1">
      <c r="A13536" s="7"/>
      <c r="B13536" s="7"/>
      <c r="M13536" s="9" t="s">
        <v>22</v>
      </c>
    </row>
    <row r="13537" ht="15.75" customHeight="1">
      <c r="A13537" s="7"/>
      <c r="B13537" s="7"/>
      <c r="M13537" s="9" t="s">
        <v>27</v>
      </c>
    </row>
    <row r="13538" ht="15.75" customHeight="1">
      <c r="A13538" s="7"/>
      <c r="B13538" s="7"/>
      <c r="M13538" s="9" t="s">
        <v>24</v>
      </c>
    </row>
    <row r="13539" ht="15.75" customHeight="1">
      <c r="A13539" s="7"/>
      <c r="B13539" s="7"/>
      <c r="M13539" s="9" t="s">
        <v>21</v>
      </c>
    </row>
    <row r="13540" ht="15.75" customHeight="1">
      <c r="A13540" s="7"/>
      <c r="B13540" s="7"/>
      <c r="M13540" s="9" t="s">
        <v>37</v>
      </c>
    </row>
    <row r="13541" ht="15.75" customHeight="1">
      <c r="A13541" s="7"/>
      <c r="B13541" s="7"/>
      <c r="M13541" s="9" t="s">
        <v>30</v>
      </c>
    </row>
    <row r="13542" ht="15.75" customHeight="1">
      <c r="A13542" s="7"/>
      <c r="B13542" s="7"/>
      <c r="M13542" s="9" t="s">
        <v>24</v>
      </c>
    </row>
    <row r="13543" ht="15.75" customHeight="1">
      <c r="A13543" s="7"/>
      <c r="B13543" s="7"/>
      <c r="M13543" s="9" t="s">
        <v>20</v>
      </c>
    </row>
    <row r="13544" ht="15.75" customHeight="1">
      <c r="A13544" s="7"/>
      <c r="B13544" s="7"/>
      <c r="M13544" s="9" t="s">
        <v>21</v>
      </c>
    </row>
    <row r="13545" ht="15.75" customHeight="1">
      <c r="A13545" s="7"/>
      <c r="B13545" s="7"/>
      <c r="M13545" s="9" t="s">
        <v>37</v>
      </c>
    </row>
    <row r="13546" ht="15.75" customHeight="1">
      <c r="A13546" s="7"/>
      <c r="B13546" s="7"/>
      <c r="M13546" s="9" t="s">
        <v>22</v>
      </c>
    </row>
    <row r="13547" ht="15.75" customHeight="1">
      <c r="A13547" s="7"/>
      <c r="B13547" s="7"/>
      <c r="M13547" s="9" t="s">
        <v>27</v>
      </c>
    </row>
    <row r="13548" ht="15.75" customHeight="1">
      <c r="A13548" s="7"/>
      <c r="B13548" s="7"/>
      <c r="M13548" s="9" t="s">
        <v>30</v>
      </c>
    </row>
    <row r="13549" ht="15.75" customHeight="1">
      <c r="A13549" s="7"/>
      <c r="B13549" s="7"/>
      <c r="M13549" s="9" t="s">
        <v>25</v>
      </c>
    </row>
    <row r="13550" ht="15.75" customHeight="1">
      <c r="A13550" s="7"/>
      <c r="B13550" s="7"/>
      <c r="M13550" s="9" t="s">
        <v>20</v>
      </c>
    </row>
    <row r="13551" ht="15.75" customHeight="1">
      <c r="A13551" s="7"/>
      <c r="B13551" s="7"/>
      <c r="M13551" s="9" t="s">
        <v>30</v>
      </c>
    </row>
    <row r="13552" ht="15.75" customHeight="1">
      <c r="A13552" s="7"/>
      <c r="B13552" s="7"/>
      <c r="M13552" s="9" t="s">
        <v>47</v>
      </c>
    </row>
    <row r="13553" ht="15.75" customHeight="1">
      <c r="A13553" s="7"/>
      <c r="B13553" s="7"/>
      <c r="M13553" s="9" t="s">
        <v>20</v>
      </c>
    </row>
    <row r="13554" ht="15.75" customHeight="1">
      <c r="A13554" s="7"/>
      <c r="B13554" s="7"/>
      <c r="M13554" s="9" t="s">
        <v>21</v>
      </c>
    </row>
    <row r="13555" ht="15.75" customHeight="1">
      <c r="A13555" s="7"/>
      <c r="B13555" s="7"/>
      <c r="M13555" s="9" t="s">
        <v>39</v>
      </c>
    </row>
    <row r="13556" ht="15.75" customHeight="1">
      <c r="A13556" s="7"/>
      <c r="B13556" s="7"/>
      <c r="M13556" s="9" t="s">
        <v>29</v>
      </c>
    </row>
    <row r="13557" ht="15.75" customHeight="1">
      <c r="A13557" s="7"/>
      <c r="B13557" s="7"/>
      <c r="M13557" s="9" t="s">
        <v>27</v>
      </c>
    </row>
    <row r="13558" ht="15.75" customHeight="1">
      <c r="A13558" s="7"/>
      <c r="B13558" s="7"/>
      <c r="M13558" s="9" t="s">
        <v>25</v>
      </c>
    </row>
    <row r="13559" ht="15.75" customHeight="1">
      <c r="A13559" s="7"/>
      <c r="B13559" s="7"/>
      <c r="M13559" s="9" t="s">
        <v>26</v>
      </c>
    </row>
    <row r="13560" ht="15.75" customHeight="1">
      <c r="A13560" s="7"/>
      <c r="B13560" s="7"/>
      <c r="M13560" s="9" t="s">
        <v>24</v>
      </c>
    </row>
    <row r="13561" ht="15.75" customHeight="1">
      <c r="A13561" s="7"/>
      <c r="B13561" s="7"/>
      <c r="M13561" s="9" t="s">
        <v>20</v>
      </c>
    </row>
    <row r="13562" ht="15.75" customHeight="1">
      <c r="A13562" s="7"/>
      <c r="B13562" s="7"/>
      <c r="M13562" s="9" t="s">
        <v>22</v>
      </c>
    </row>
    <row r="13563" ht="15.75" customHeight="1">
      <c r="A13563" s="7"/>
      <c r="B13563" s="7"/>
      <c r="M13563" s="9" t="s">
        <v>27</v>
      </c>
    </row>
    <row r="13564" ht="15.75" customHeight="1">
      <c r="A13564" s="7"/>
      <c r="B13564" s="7"/>
      <c r="M13564" s="9" t="s">
        <v>24</v>
      </c>
    </row>
    <row r="13565" ht="15.75" customHeight="1">
      <c r="A13565" s="7"/>
      <c r="B13565" s="7"/>
      <c r="M13565" s="9" t="s">
        <v>21</v>
      </c>
    </row>
    <row r="13566" ht="15.75" customHeight="1">
      <c r="A13566" s="7"/>
      <c r="B13566" s="7"/>
      <c r="M13566" s="9" t="s">
        <v>37</v>
      </c>
    </row>
    <row r="13567" ht="15.75" customHeight="1">
      <c r="A13567" s="7"/>
      <c r="B13567" s="7"/>
      <c r="M13567" s="9" t="s">
        <v>27</v>
      </c>
    </row>
    <row r="13568" ht="15.75" customHeight="1">
      <c r="A13568" s="7"/>
      <c r="B13568" s="7"/>
      <c r="M13568" s="9" t="s">
        <v>23</v>
      </c>
    </row>
    <row r="13569" ht="15.75" customHeight="1">
      <c r="A13569" s="7"/>
      <c r="B13569" s="7"/>
      <c r="M13569" s="9" t="s">
        <v>29</v>
      </c>
    </row>
    <row r="13570" ht="15.75" customHeight="1">
      <c r="A13570" s="7"/>
      <c r="B13570" s="7"/>
      <c r="M13570" s="9" t="s">
        <v>30</v>
      </c>
    </row>
    <row r="13571" ht="15.75" customHeight="1">
      <c r="A13571" s="7"/>
      <c r="B13571" s="7"/>
      <c r="M13571" s="9" t="s">
        <v>24</v>
      </c>
    </row>
    <row r="13572" ht="15.75" customHeight="1">
      <c r="A13572" s="7"/>
      <c r="B13572" s="7"/>
      <c r="M13572" s="9" t="s">
        <v>21</v>
      </c>
    </row>
    <row r="13573" ht="15.75" customHeight="1">
      <c r="A13573" s="7"/>
      <c r="B13573" s="7"/>
      <c r="M13573" s="9" t="s">
        <v>27</v>
      </c>
    </row>
    <row r="13574" ht="15.75" customHeight="1">
      <c r="A13574" s="7"/>
      <c r="B13574" s="7"/>
      <c r="M13574" s="9" t="s">
        <v>24</v>
      </c>
    </row>
    <row r="13575" ht="15.75" customHeight="1">
      <c r="A13575" s="7"/>
      <c r="B13575" s="7"/>
      <c r="M13575" s="9" t="s">
        <v>20</v>
      </c>
    </row>
    <row r="13576" ht="15.75" customHeight="1">
      <c r="A13576" s="7"/>
      <c r="B13576" s="7"/>
      <c r="M13576" s="9" t="s">
        <v>39</v>
      </c>
    </row>
    <row r="13577" ht="15.75" customHeight="1">
      <c r="A13577" s="7"/>
      <c r="B13577" s="7"/>
      <c r="M13577" s="9" t="s">
        <v>24</v>
      </c>
    </row>
    <row r="13578" ht="15.75" customHeight="1">
      <c r="A13578" s="7"/>
      <c r="B13578" s="7"/>
      <c r="M13578" s="9" t="s">
        <v>21</v>
      </c>
    </row>
    <row r="13579" ht="15.75" customHeight="1">
      <c r="A13579" s="7"/>
      <c r="B13579" s="7"/>
      <c r="M13579" s="9" t="s">
        <v>37</v>
      </c>
    </row>
    <row r="13580" ht="15.75" customHeight="1">
      <c r="A13580" s="7"/>
      <c r="B13580" s="7"/>
      <c r="M13580" s="9" t="s">
        <v>22</v>
      </c>
    </row>
    <row r="13581" ht="15.75" customHeight="1">
      <c r="A13581" s="7"/>
      <c r="B13581" s="7"/>
      <c r="M13581" s="9" t="s">
        <v>27</v>
      </c>
    </row>
    <row r="13582" ht="15.75" customHeight="1">
      <c r="A13582" s="7"/>
      <c r="B13582" s="7"/>
      <c r="M13582" s="9" t="s">
        <v>30</v>
      </c>
    </row>
    <row r="13583" ht="15.75" customHeight="1">
      <c r="A13583" s="7"/>
      <c r="B13583" s="7"/>
      <c r="M13583" s="9" t="s">
        <v>26</v>
      </c>
    </row>
    <row r="13584" ht="15.75" customHeight="1">
      <c r="A13584" s="7"/>
      <c r="B13584" s="7"/>
      <c r="M13584" s="9" t="s">
        <v>20</v>
      </c>
    </row>
    <row r="13585" ht="15.75" customHeight="1">
      <c r="A13585" s="7"/>
      <c r="B13585" s="7"/>
      <c r="M13585" s="9" t="s">
        <v>27</v>
      </c>
    </row>
    <row r="13586" ht="15.75" customHeight="1">
      <c r="A13586" s="7"/>
      <c r="B13586" s="7"/>
      <c r="M13586" s="9" t="s">
        <v>35</v>
      </c>
    </row>
    <row r="13587" ht="15.75" customHeight="1">
      <c r="A13587" s="7"/>
      <c r="B13587" s="7"/>
      <c r="M13587" s="9" t="s">
        <v>24</v>
      </c>
    </row>
    <row r="13588" ht="15.75" customHeight="1">
      <c r="A13588" s="7"/>
      <c r="B13588" s="7"/>
      <c r="M13588" s="9" t="s">
        <v>20</v>
      </c>
    </row>
    <row r="13589" ht="15.75" customHeight="1">
      <c r="A13589" s="7"/>
      <c r="B13589" s="7"/>
      <c r="M13589" s="9" t="s">
        <v>21</v>
      </c>
    </row>
    <row r="13590" ht="15.75" customHeight="1">
      <c r="A13590" s="7"/>
      <c r="B13590" s="7"/>
      <c r="M13590" s="9" t="s">
        <v>39</v>
      </c>
    </row>
    <row r="13591" ht="15.75" customHeight="1">
      <c r="A13591" s="7"/>
      <c r="B13591" s="7"/>
      <c r="M13591" s="9" t="s">
        <v>37</v>
      </c>
    </row>
    <row r="13592" ht="15.75" customHeight="1">
      <c r="A13592" s="7"/>
      <c r="B13592" s="7"/>
      <c r="M13592" s="9" t="s">
        <v>27</v>
      </c>
    </row>
    <row r="13593" ht="15.75" customHeight="1">
      <c r="A13593" s="7"/>
      <c r="B13593" s="7"/>
      <c r="M13593" s="9" t="s">
        <v>40</v>
      </c>
    </row>
    <row r="13594" ht="15.75" customHeight="1">
      <c r="A13594" s="7"/>
      <c r="B13594" s="7"/>
      <c r="M13594" s="9" t="s">
        <v>26</v>
      </c>
    </row>
    <row r="13595" ht="15.75" customHeight="1">
      <c r="A13595" s="7"/>
      <c r="B13595" s="7"/>
      <c r="M13595" s="9" t="s">
        <v>24</v>
      </c>
    </row>
    <row r="13596" ht="15.75" customHeight="1">
      <c r="A13596" s="7"/>
      <c r="B13596" s="7"/>
      <c r="M13596" s="9" t="s">
        <v>21</v>
      </c>
    </row>
    <row r="13597" ht="15.75" customHeight="1">
      <c r="A13597" s="7"/>
      <c r="B13597" s="7"/>
      <c r="M13597" s="9" t="s">
        <v>37</v>
      </c>
    </row>
    <row r="13598" ht="15.75" customHeight="1">
      <c r="A13598" s="7"/>
      <c r="B13598" s="7"/>
      <c r="M13598" s="9" t="s">
        <v>27</v>
      </c>
    </row>
    <row r="13599" ht="15.75" customHeight="1">
      <c r="A13599" s="7"/>
      <c r="B13599" s="7"/>
      <c r="M13599" s="9" t="s">
        <v>30</v>
      </c>
    </row>
    <row r="13600" ht="15.75" customHeight="1">
      <c r="A13600" s="7"/>
      <c r="B13600" s="7"/>
      <c r="M13600" s="9" t="s">
        <v>26</v>
      </c>
    </row>
    <row r="13601" ht="15.75" customHeight="1">
      <c r="A13601" s="7"/>
      <c r="B13601" s="7"/>
      <c r="M13601" s="9" t="s">
        <v>24</v>
      </c>
    </row>
    <row r="13602" ht="15.75" customHeight="1">
      <c r="A13602" s="7"/>
      <c r="B13602" s="7"/>
      <c r="M13602" s="9" t="s">
        <v>21</v>
      </c>
    </row>
    <row r="13603" ht="15.75" customHeight="1">
      <c r="A13603" s="7"/>
      <c r="B13603" s="7"/>
      <c r="M13603" s="9" t="s">
        <v>27</v>
      </c>
    </row>
    <row r="13604" ht="15.75" customHeight="1">
      <c r="A13604" s="7"/>
      <c r="B13604" s="7"/>
      <c r="M13604" s="9" t="s">
        <v>33</v>
      </c>
    </row>
    <row r="13605" ht="15.75" customHeight="1">
      <c r="A13605" s="7"/>
      <c r="B13605" s="7"/>
      <c r="M13605" s="9" t="s">
        <v>30</v>
      </c>
    </row>
    <row r="13606" ht="15.75" customHeight="1">
      <c r="A13606" s="7"/>
      <c r="B13606" s="7"/>
      <c r="M13606" s="9" t="s">
        <v>26</v>
      </c>
    </row>
    <row r="13607" ht="15.75" customHeight="1">
      <c r="A13607" s="7"/>
      <c r="B13607" s="7"/>
      <c r="M13607" s="9" t="s">
        <v>24</v>
      </c>
    </row>
    <row r="13608" ht="15.75" customHeight="1">
      <c r="A13608" s="7"/>
      <c r="B13608" s="7"/>
      <c r="M13608" s="9" t="s">
        <v>20</v>
      </c>
    </row>
    <row r="13609" ht="15.75" customHeight="1">
      <c r="A13609" s="7"/>
      <c r="B13609" s="7"/>
      <c r="M13609" s="9" t="s">
        <v>21</v>
      </c>
    </row>
    <row r="13610" ht="15.75" customHeight="1">
      <c r="A13610" s="7"/>
      <c r="B13610" s="7"/>
      <c r="M13610" s="9" t="s">
        <v>27</v>
      </c>
    </row>
    <row r="13611" ht="15.75" customHeight="1">
      <c r="A13611" s="7"/>
      <c r="B13611" s="7"/>
      <c r="M13611" s="9" t="s">
        <v>33</v>
      </c>
    </row>
    <row r="13612" ht="15.75" customHeight="1">
      <c r="A13612" s="7"/>
      <c r="B13612" s="7"/>
      <c r="M13612" s="9" t="s">
        <v>24</v>
      </c>
    </row>
    <row r="13613" ht="15.75" customHeight="1">
      <c r="A13613" s="7"/>
      <c r="B13613" s="7"/>
      <c r="M13613" s="9" t="s">
        <v>21</v>
      </c>
    </row>
    <row r="13614" ht="15.75" customHeight="1">
      <c r="A13614" s="7"/>
      <c r="B13614" s="7"/>
      <c r="M13614" s="9" t="s">
        <v>22</v>
      </c>
    </row>
    <row r="13615" ht="15.75" customHeight="1">
      <c r="A13615" s="7"/>
      <c r="B13615" s="7"/>
      <c r="M13615" s="9" t="s">
        <v>27</v>
      </c>
    </row>
    <row r="13616" ht="15.75" customHeight="1">
      <c r="A13616" s="7"/>
      <c r="B13616" s="7"/>
      <c r="M13616" s="9" t="s">
        <v>30</v>
      </c>
    </row>
    <row r="13617" ht="15.75" customHeight="1">
      <c r="A13617" s="7"/>
      <c r="B13617" s="7"/>
      <c r="M13617" s="9" t="s">
        <v>23</v>
      </c>
    </row>
    <row r="13618" ht="15.75" customHeight="1">
      <c r="A13618" s="7"/>
      <c r="B13618" s="7"/>
      <c r="M13618" s="9" t="s">
        <v>21</v>
      </c>
    </row>
    <row r="13619" ht="15.75" customHeight="1">
      <c r="A13619" s="7"/>
      <c r="B13619" s="7"/>
      <c r="M13619" s="9" t="s">
        <v>22</v>
      </c>
    </row>
    <row r="13620" ht="15.75" customHeight="1">
      <c r="A13620" s="7"/>
      <c r="B13620" s="7"/>
      <c r="M13620" s="9" t="s">
        <v>33</v>
      </c>
    </row>
    <row r="13621" ht="15.75" customHeight="1">
      <c r="A13621" s="7"/>
      <c r="B13621" s="7"/>
      <c r="M13621" s="9" t="s">
        <v>24</v>
      </c>
    </row>
    <row r="13622" ht="15.75" customHeight="1">
      <c r="A13622" s="7"/>
      <c r="B13622" s="7"/>
      <c r="M13622" s="9" t="s">
        <v>20</v>
      </c>
    </row>
    <row r="13623" ht="15.75" customHeight="1">
      <c r="A13623" s="7"/>
      <c r="B13623" s="7"/>
      <c r="M13623" s="9" t="s">
        <v>21</v>
      </c>
    </row>
    <row r="13624" ht="15.75" customHeight="1">
      <c r="A13624" s="7"/>
      <c r="B13624" s="7"/>
      <c r="M13624" s="9" t="s">
        <v>37</v>
      </c>
    </row>
    <row r="13625" ht="15.75" customHeight="1">
      <c r="A13625" s="7"/>
      <c r="B13625" s="7"/>
      <c r="M13625" s="9" t="s">
        <v>22</v>
      </c>
    </row>
    <row r="13626" ht="15.75" customHeight="1">
      <c r="A13626" s="7"/>
      <c r="B13626" s="7"/>
      <c r="M13626" s="9" t="s">
        <v>30</v>
      </c>
    </row>
    <row r="13627" ht="15.75" customHeight="1">
      <c r="A13627" s="7"/>
      <c r="B13627" s="7"/>
      <c r="M13627" s="9" t="s">
        <v>26</v>
      </c>
    </row>
    <row r="13628" ht="15.75" customHeight="1">
      <c r="A13628" s="7"/>
      <c r="B13628" s="7"/>
      <c r="M13628" s="9" t="s">
        <v>24</v>
      </c>
    </row>
    <row r="13629" ht="15.75" customHeight="1">
      <c r="A13629" s="7"/>
      <c r="B13629" s="7"/>
      <c r="M13629" s="9" t="s">
        <v>21</v>
      </c>
    </row>
    <row r="13630" ht="15.75" customHeight="1">
      <c r="A13630" s="7"/>
      <c r="B13630" s="7"/>
      <c r="M13630" s="9" t="s">
        <v>22</v>
      </c>
    </row>
    <row r="13631" ht="15.75" customHeight="1">
      <c r="A13631" s="7"/>
      <c r="B13631" s="7"/>
      <c r="M13631" s="9" t="s">
        <v>27</v>
      </c>
    </row>
    <row r="13632" ht="15.75" customHeight="1">
      <c r="A13632" s="7"/>
      <c r="B13632" s="7"/>
      <c r="M13632" s="9" t="s">
        <v>23</v>
      </c>
    </row>
    <row r="13633" ht="15.75" customHeight="1">
      <c r="A13633" s="7"/>
      <c r="B13633" s="7"/>
      <c r="M13633" s="9" t="s">
        <v>30</v>
      </c>
    </row>
    <row r="13634" ht="15.75" customHeight="1">
      <c r="A13634" s="7"/>
      <c r="B13634" s="7"/>
      <c r="M13634" s="9" t="s">
        <v>21</v>
      </c>
    </row>
    <row r="13635" ht="15.75" customHeight="1">
      <c r="A13635" s="7"/>
      <c r="B13635" s="7"/>
      <c r="M13635" s="9" t="s">
        <v>22</v>
      </c>
    </row>
    <row r="13636" ht="15.75" customHeight="1">
      <c r="A13636" s="7"/>
      <c r="B13636" s="7"/>
      <c r="M13636" s="9" t="s">
        <v>29</v>
      </c>
    </row>
    <row r="13637" ht="15.75" customHeight="1">
      <c r="A13637" s="7"/>
      <c r="B13637" s="7"/>
      <c r="M13637" s="9" t="s">
        <v>27</v>
      </c>
    </row>
    <row r="13638" ht="15.75" customHeight="1">
      <c r="A13638" s="7"/>
      <c r="B13638" s="7"/>
      <c r="M13638" s="9" t="s">
        <v>35</v>
      </c>
    </row>
    <row r="13639" ht="15.75" customHeight="1">
      <c r="A13639" s="7"/>
      <c r="B13639" s="7"/>
      <c r="M13639" s="9" t="s">
        <v>23</v>
      </c>
    </row>
    <row r="13640" ht="15.75" customHeight="1">
      <c r="A13640" s="7"/>
      <c r="B13640" s="7"/>
      <c r="M13640" s="9" t="s">
        <v>21</v>
      </c>
    </row>
    <row r="13641" ht="15.75" customHeight="1">
      <c r="A13641" s="7"/>
      <c r="B13641" s="7"/>
      <c r="M13641" s="9" t="s">
        <v>22</v>
      </c>
    </row>
    <row r="13642" ht="15.75" customHeight="1">
      <c r="A13642" s="7"/>
      <c r="B13642" s="7"/>
      <c r="M13642" s="9" t="s">
        <v>32</v>
      </c>
    </row>
    <row r="13643" ht="15.75" customHeight="1">
      <c r="A13643" s="7"/>
      <c r="B13643" s="7"/>
      <c r="M13643" s="9" t="s">
        <v>33</v>
      </c>
    </row>
    <row r="13644" ht="15.75" customHeight="1">
      <c r="A13644" s="7"/>
      <c r="B13644" s="7"/>
      <c r="M13644" s="9" t="s">
        <v>30</v>
      </c>
    </row>
    <row r="13645" ht="15.75" customHeight="1">
      <c r="A13645" s="7"/>
      <c r="B13645" s="7"/>
      <c r="M13645" s="9" t="s">
        <v>26</v>
      </c>
    </row>
    <row r="13646" ht="15.75" customHeight="1">
      <c r="A13646" s="7"/>
      <c r="B13646" s="7"/>
      <c r="M13646" s="9" t="s">
        <v>45</v>
      </c>
    </row>
    <row r="13647" ht="15.75" customHeight="1">
      <c r="A13647" s="7"/>
      <c r="B13647" s="7"/>
      <c r="M13647" s="9" t="s">
        <v>27</v>
      </c>
    </row>
    <row r="13648" ht="15.75" customHeight="1">
      <c r="A13648" s="7"/>
      <c r="B13648" s="7"/>
      <c r="M13648" s="9" t="s">
        <v>30</v>
      </c>
    </row>
    <row r="13649" ht="15.75" customHeight="1">
      <c r="A13649" s="7"/>
      <c r="B13649" s="7"/>
      <c r="M13649" s="9" t="s">
        <v>25</v>
      </c>
    </row>
    <row r="13650" ht="15.75" customHeight="1">
      <c r="A13650" s="7"/>
      <c r="B13650" s="7"/>
      <c r="M13650" s="9" t="s">
        <v>24</v>
      </c>
    </row>
    <row r="13651" ht="15.75" customHeight="1">
      <c r="A13651" s="7"/>
      <c r="B13651" s="7"/>
      <c r="M13651" s="9" t="s">
        <v>20</v>
      </c>
    </row>
    <row r="13652" ht="15.75" customHeight="1">
      <c r="A13652" s="7"/>
      <c r="B13652" s="7"/>
      <c r="M13652" s="9" t="s">
        <v>21</v>
      </c>
    </row>
    <row r="13653" ht="15.75" customHeight="1">
      <c r="A13653" s="7"/>
      <c r="B13653" s="7"/>
      <c r="M13653" s="9" t="s">
        <v>41</v>
      </c>
    </row>
    <row r="13654" ht="15.75" customHeight="1">
      <c r="A13654" s="7"/>
      <c r="B13654" s="7"/>
      <c r="M13654" s="9" t="s">
        <v>27</v>
      </c>
    </row>
    <row r="13655" ht="15.75" customHeight="1">
      <c r="A13655" s="7"/>
      <c r="B13655" s="7"/>
      <c r="M13655" s="9" t="s">
        <v>25</v>
      </c>
    </row>
    <row r="13656" ht="15.75" customHeight="1">
      <c r="A13656" s="7"/>
      <c r="B13656" s="7"/>
      <c r="M13656" s="9" t="s">
        <v>23</v>
      </c>
    </row>
    <row r="13657" ht="15.75" customHeight="1">
      <c r="A13657" s="7"/>
      <c r="B13657" s="7"/>
      <c r="M13657" s="9" t="s">
        <v>20</v>
      </c>
    </row>
    <row r="13658" ht="15.75" customHeight="1">
      <c r="A13658" s="7"/>
      <c r="B13658" s="7"/>
      <c r="M13658" s="9" t="s">
        <v>21</v>
      </c>
    </row>
    <row r="13659" ht="15.75" customHeight="1">
      <c r="A13659" s="7"/>
      <c r="B13659" s="7"/>
      <c r="M13659" s="9" t="s">
        <v>39</v>
      </c>
    </row>
    <row r="13660" ht="15.75" customHeight="1">
      <c r="A13660" s="7"/>
      <c r="B13660" s="7"/>
      <c r="M13660" s="9" t="s">
        <v>33</v>
      </c>
    </row>
    <row r="13661" ht="15.75" customHeight="1">
      <c r="A13661" s="7"/>
      <c r="B13661" s="7"/>
      <c r="M13661" s="9" t="s">
        <v>20</v>
      </c>
    </row>
    <row r="13662" ht="15.75" customHeight="1">
      <c r="A13662" s="7"/>
      <c r="B13662" s="7"/>
      <c r="M13662" s="9" t="s">
        <v>21</v>
      </c>
    </row>
    <row r="13663" ht="15.75" customHeight="1">
      <c r="A13663" s="7"/>
      <c r="B13663" s="7"/>
      <c r="M13663" s="9" t="s">
        <v>30</v>
      </c>
    </row>
    <row r="13664" ht="15.75" customHeight="1">
      <c r="A13664" s="7"/>
      <c r="B13664" s="7"/>
      <c r="M13664" s="9" t="s">
        <v>24</v>
      </c>
    </row>
    <row r="13665" ht="15.75" customHeight="1">
      <c r="A13665" s="7"/>
      <c r="B13665" s="7"/>
      <c r="M13665" s="9" t="s">
        <v>21</v>
      </c>
    </row>
    <row r="13666" ht="15.75" customHeight="1">
      <c r="A13666" s="7"/>
      <c r="B13666" s="7"/>
      <c r="M13666" s="9" t="s">
        <v>37</v>
      </c>
    </row>
    <row r="13667" ht="15.75" customHeight="1">
      <c r="A13667" s="7"/>
      <c r="B13667" s="7"/>
      <c r="M13667" s="9" t="s">
        <v>27</v>
      </c>
    </row>
    <row r="13668" ht="15.75" customHeight="1">
      <c r="A13668" s="7"/>
      <c r="B13668" s="7"/>
      <c r="M13668" s="9" t="s">
        <v>30</v>
      </c>
    </row>
    <row r="13669" ht="15.75" customHeight="1">
      <c r="A13669" s="7"/>
      <c r="B13669" s="7"/>
      <c r="M13669" s="9" t="s">
        <v>42</v>
      </c>
    </row>
    <row r="13670" ht="15.75" customHeight="1">
      <c r="A13670" s="7"/>
      <c r="B13670" s="7"/>
      <c r="M13670" s="9" t="s">
        <v>24</v>
      </c>
    </row>
    <row r="13671" ht="15.75" customHeight="1">
      <c r="A13671" s="7"/>
      <c r="B13671" s="7"/>
      <c r="M13671" s="9" t="s">
        <v>20</v>
      </c>
    </row>
    <row r="13672" ht="15.75" customHeight="1">
      <c r="A13672" s="7"/>
      <c r="B13672" s="7"/>
      <c r="M13672" s="9" t="s">
        <v>21</v>
      </c>
    </row>
    <row r="13673" ht="15.75" customHeight="1">
      <c r="A13673" s="7"/>
      <c r="B13673" s="7"/>
      <c r="M13673" s="9" t="s">
        <v>31</v>
      </c>
    </row>
    <row r="13674" ht="15.75" customHeight="1">
      <c r="A13674" s="7"/>
      <c r="B13674" s="7"/>
      <c r="M13674" s="9" t="s">
        <v>27</v>
      </c>
    </row>
    <row r="13675" ht="15.75" customHeight="1">
      <c r="A13675" s="7"/>
      <c r="B13675" s="7"/>
      <c r="M13675" s="9" t="s">
        <v>30</v>
      </c>
    </row>
    <row r="13676" ht="15.75" customHeight="1">
      <c r="A13676" s="7"/>
      <c r="B13676" s="7"/>
      <c r="M13676" s="9" t="s">
        <v>25</v>
      </c>
    </row>
    <row r="13677" ht="15.75" customHeight="1">
      <c r="A13677" s="7"/>
      <c r="B13677" s="7"/>
      <c r="M13677" s="9" t="s">
        <v>21</v>
      </c>
    </row>
    <row r="13678" ht="15.75" customHeight="1">
      <c r="A13678" s="7"/>
      <c r="B13678" s="7"/>
      <c r="M13678" s="9" t="s">
        <v>22</v>
      </c>
    </row>
    <row r="13679" ht="15.75" customHeight="1">
      <c r="A13679" s="7"/>
      <c r="B13679" s="7"/>
      <c r="M13679" s="9" t="s">
        <v>28</v>
      </c>
    </row>
    <row r="13680" ht="15.75" customHeight="1">
      <c r="A13680" s="7"/>
      <c r="B13680" s="7"/>
      <c r="M13680" s="9" t="s">
        <v>24</v>
      </c>
    </row>
    <row r="13681" ht="15.75" customHeight="1">
      <c r="A13681" s="7"/>
      <c r="B13681" s="7"/>
      <c r="M13681" s="9" t="s">
        <v>21</v>
      </c>
    </row>
    <row r="13682" ht="15.75" customHeight="1">
      <c r="A13682" s="7"/>
      <c r="B13682" s="7"/>
      <c r="M13682" s="9" t="s">
        <v>37</v>
      </c>
    </row>
    <row r="13683" ht="15.75" customHeight="1">
      <c r="A13683" s="7"/>
      <c r="B13683" s="7"/>
      <c r="M13683" s="9" t="s">
        <v>27</v>
      </c>
    </row>
    <row r="13684" ht="15.75" customHeight="1">
      <c r="A13684" s="7"/>
      <c r="B13684" s="7"/>
      <c r="M13684" s="9" t="s">
        <v>33</v>
      </c>
    </row>
    <row r="13685" ht="15.75" customHeight="1">
      <c r="A13685" s="7"/>
      <c r="B13685" s="7"/>
      <c r="M13685" s="9" t="s">
        <v>24</v>
      </c>
    </row>
    <row r="13686" ht="15.75" customHeight="1">
      <c r="A13686" s="7"/>
      <c r="B13686" s="7"/>
      <c r="M13686" s="9" t="s">
        <v>21</v>
      </c>
    </row>
    <row r="13687" ht="15.75" customHeight="1">
      <c r="A13687" s="7"/>
      <c r="B13687" s="7"/>
      <c r="M13687" s="9" t="s">
        <v>22</v>
      </c>
    </row>
    <row r="13688" ht="15.75" customHeight="1">
      <c r="A13688" s="7"/>
      <c r="B13688" s="7"/>
      <c r="M13688" s="9" t="s">
        <v>27</v>
      </c>
    </row>
    <row r="13689" ht="15.75" customHeight="1">
      <c r="A13689" s="7"/>
      <c r="B13689" s="7"/>
      <c r="M13689" s="9" t="s">
        <v>33</v>
      </c>
    </row>
    <row r="13690" ht="15.75" customHeight="1">
      <c r="A13690" s="7"/>
      <c r="B13690" s="7"/>
      <c r="M13690" s="9" t="s">
        <v>30</v>
      </c>
    </row>
    <row r="13691" ht="15.75" customHeight="1">
      <c r="A13691" s="7"/>
      <c r="B13691" s="7"/>
      <c r="M13691" s="9" t="s">
        <v>25</v>
      </c>
    </row>
    <row r="13692" ht="15.75" customHeight="1">
      <c r="A13692" s="7"/>
      <c r="B13692" s="7"/>
      <c r="M13692" s="9" t="s">
        <v>37</v>
      </c>
    </row>
    <row r="13693" ht="15.75" customHeight="1">
      <c r="A13693" s="7"/>
      <c r="B13693" s="7"/>
      <c r="M13693" s="9" t="s">
        <v>22</v>
      </c>
    </row>
    <row r="13694" ht="15.75" customHeight="1">
      <c r="A13694" s="7"/>
      <c r="B13694" s="7"/>
      <c r="M13694" s="9" t="s">
        <v>22</v>
      </c>
    </row>
    <row r="13695" ht="15.75" customHeight="1">
      <c r="A13695" s="7"/>
      <c r="B13695" s="7"/>
      <c r="M13695" s="9" t="s">
        <v>25</v>
      </c>
    </row>
    <row r="13696" ht="15.75" customHeight="1">
      <c r="A13696" s="7"/>
      <c r="B13696" s="7"/>
      <c r="M13696" s="9" t="s">
        <v>23</v>
      </c>
    </row>
    <row r="13697" ht="15.75" customHeight="1">
      <c r="A13697" s="7"/>
      <c r="B13697" s="7"/>
      <c r="M13697" s="9" t="s">
        <v>24</v>
      </c>
    </row>
    <row r="13698" ht="15.75" customHeight="1">
      <c r="A13698" s="7"/>
      <c r="B13698" s="7"/>
      <c r="M13698" s="9" t="s">
        <v>21</v>
      </c>
    </row>
    <row r="13699" ht="15.75" customHeight="1">
      <c r="A13699" s="7"/>
      <c r="B13699" s="7"/>
      <c r="M13699" s="9" t="s">
        <v>37</v>
      </c>
    </row>
    <row r="13700" ht="15.75" customHeight="1">
      <c r="A13700" s="7"/>
      <c r="B13700" s="7"/>
      <c r="M13700" s="9" t="s">
        <v>27</v>
      </c>
    </row>
    <row r="13701" ht="15.75" customHeight="1">
      <c r="A13701" s="7"/>
      <c r="B13701" s="7"/>
      <c r="M13701" s="9" t="s">
        <v>34</v>
      </c>
    </row>
    <row r="13702" ht="15.75" customHeight="1">
      <c r="A13702" s="7"/>
      <c r="B13702" s="7"/>
      <c r="M13702" s="9" t="s">
        <v>23</v>
      </c>
    </row>
    <row r="13703" ht="15.75" customHeight="1">
      <c r="A13703" s="7"/>
      <c r="B13703" s="7"/>
      <c r="M13703" s="9" t="s">
        <v>24</v>
      </c>
    </row>
    <row r="13704" ht="15.75" customHeight="1">
      <c r="A13704" s="7"/>
      <c r="B13704" s="7"/>
      <c r="M13704" s="9" t="s">
        <v>37</v>
      </c>
    </row>
    <row r="13705" ht="15.75" customHeight="1">
      <c r="A13705" s="7"/>
      <c r="B13705" s="7"/>
      <c r="M13705" s="9" t="s">
        <v>27</v>
      </c>
    </row>
    <row r="13706" ht="15.75" customHeight="1">
      <c r="A13706" s="7"/>
      <c r="B13706" s="7"/>
      <c r="M13706" s="9" t="s">
        <v>26</v>
      </c>
    </row>
    <row r="13707" ht="15.75" customHeight="1">
      <c r="A13707" s="7"/>
      <c r="B13707" s="7"/>
      <c r="M13707" s="9" t="s">
        <v>24</v>
      </c>
    </row>
    <row r="13708" ht="15.75" customHeight="1">
      <c r="A13708" s="7"/>
      <c r="B13708" s="7"/>
      <c r="M13708" s="9" t="s">
        <v>21</v>
      </c>
    </row>
    <row r="13709" ht="15.75" customHeight="1">
      <c r="A13709" s="7"/>
      <c r="B13709" s="7"/>
      <c r="M13709" s="9" t="s">
        <v>27</v>
      </c>
    </row>
    <row r="13710" ht="15.75" customHeight="1">
      <c r="A13710" s="7"/>
      <c r="B13710" s="7"/>
      <c r="M13710" s="9" t="s">
        <v>33</v>
      </c>
    </row>
    <row r="13711" ht="15.75" customHeight="1">
      <c r="A13711" s="7"/>
      <c r="B13711" s="7"/>
      <c r="M13711" s="9" t="s">
        <v>24</v>
      </c>
    </row>
    <row r="13712" ht="15.75" customHeight="1">
      <c r="A13712" s="7"/>
      <c r="B13712" s="7"/>
      <c r="M13712" s="9" t="s">
        <v>20</v>
      </c>
    </row>
    <row r="13713" ht="15.75" customHeight="1">
      <c r="A13713" s="7"/>
      <c r="B13713" s="7"/>
      <c r="M13713" s="9" t="s">
        <v>21</v>
      </c>
    </row>
    <row r="13714" ht="15.75" customHeight="1">
      <c r="A13714" s="7"/>
      <c r="B13714" s="7"/>
      <c r="M13714" s="9" t="s">
        <v>37</v>
      </c>
    </row>
    <row r="13715" ht="15.75" customHeight="1">
      <c r="A13715" s="7"/>
      <c r="B13715" s="7"/>
      <c r="M13715" s="9" t="s">
        <v>27</v>
      </c>
    </row>
    <row r="13716" ht="15.75" customHeight="1">
      <c r="A13716" s="7"/>
      <c r="B13716" s="7"/>
      <c r="M13716" s="9" t="s">
        <v>33</v>
      </c>
    </row>
    <row r="13717" ht="15.75" customHeight="1">
      <c r="A13717" s="7"/>
      <c r="B13717" s="7"/>
      <c r="M13717" s="9" t="s">
        <v>35</v>
      </c>
    </row>
    <row r="13718" ht="15.75" customHeight="1">
      <c r="A13718" s="7"/>
      <c r="B13718" s="7"/>
      <c r="M13718" s="9" t="s">
        <v>24</v>
      </c>
    </row>
    <row r="13719" ht="15.75" customHeight="1">
      <c r="A13719" s="7"/>
      <c r="B13719" s="7"/>
      <c r="M13719" s="9" t="s">
        <v>21</v>
      </c>
    </row>
    <row r="13720" ht="15.75" customHeight="1">
      <c r="A13720" s="7"/>
      <c r="B13720" s="7"/>
      <c r="M13720" s="9" t="s">
        <v>37</v>
      </c>
    </row>
    <row r="13721" ht="15.75" customHeight="1">
      <c r="A13721" s="7"/>
      <c r="B13721" s="7"/>
      <c r="M13721" s="9" t="s">
        <v>22</v>
      </c>
    </row>
    <row r="13722" ht="15.75" customHeight="1">
      <c r="A13722" s="7"/>
      <c r="B13722" s="7"/>
      <c r="M13722" s="9" t="s">
        <v>20</v>
      </c>
    </row>
    <row r="13723" ht="15.75" customHeight="1">
      <c r="A13723" s="7"/>
      <c r="B13723" s="7"/>
      <c r="M13723" s="9" t="s">
        <v>21</v>
      </c>
    </row>
    <row r="13724" ht="15.75" customHeight="1">
      <c r="A13724" s="7"/>
      <c r="B13724" s="7"/>
      <c r="M13724" s="9" t="s">
        <v>24</v>
      </c>
    </row>
    <row r="13725" ht="15.75" customHeight="1">
      <c r="A13725" s="7"/>
      <c r="B13725" s="7"/>
      <c r="M13725" s="9" t="s">
        <v>21</v>
      </c>
    </row>
    <row r="13726" ht="15.75" customHeight="1">
      <c r="A13726" s="7"/>
      <c r="B13726" s="7"/>
      <c r="M13726" s="9" t="s">
        <v>37</v>
      </c>
    </row>
    <row r="13727" ht="15.75" customHeight="1">
      <c r="A13727" s="7"/>
      <c r="B13727" s="7"/>
      <c r="M13727" s="9" t="s">
        <v>33</v>
      </c>
    </row>
    <row r="13728" ht="15.75" customHeight="1">
      <c r="A13728" s="7"/>
      <c r="B13728" s="7"/>
      <c r="M13728" s="9" t="s">
        <v>24</v>
      </c>
    </row>
    <row r="13729" ht="15.75" customHeight="1">
      <c r="A13729" s="7"/>
      <c r="B13729" s="7"/>
      <c r="M13729" s="9" t="s">
        <v>21</v>
      </c>
    </row>
    <row r="13730" ht="15.75" customHeight="1">
      <c r="A13730" s="7"/>
      <c r="B13730" s="7"/>
      <c r="M13730" s="9" t="s">
        <v>22</v>
      </c>
    </row>
    <row r="13731" ht="15.75" customHeight="1">
      <c r="A13731" s="7"/>
      <c r="B13731" s="7"/>
      <c r="M13731" s="9" t="s">
        <v>30</v>
      </c>
    </row>
    <row r="13732" ht="15.75" customHeight="1">
      <c r="A13732" s="7"/>
      <c r="B13732" s="7"/>
      <c r="M13732" s="9" t="s">
        <v>26</v>
      </c>
    </row>
    <row r="13733" ht="15.75" customHeight="1">
      <c r="A13733" s="7"/>
      <c r="B13733" s="7"/>
      <c r="M13733" s="9" t="s">
        <v>24</v>
      </c>
    </row>
    <row r="13734" ht="15.75" customHeight="1">
      <c r="A13734" s="7"/>
      <c r="B13734" s="7"/>
      <c r="M13734" s="9" t="s">
        <v>21</v>
      </c>
    </row>
    <row r="13735" ht="15.75" customHeight="1">
      <c r="A13735" s="7"/>
      <c r="B13735" s="7"/>
      <c r="M13735" s="9" t="s">
        <v>27</v>
      </c>
    </row>
    <row r="13736" ht="15.75" customHeight="1">
      <c r="A13736" s="7"/>
      <c r="B13736" s="7"/>
      <c r="M13736" s="9" t="s">
        <v>33</v>
      </c>
    </row>
    <row r="13737" ht="15.75" customHeight="1">
      <c r="A13737" s="7"/>
      <c r="B13737" s="7"/>
      <c r="M13737" s="9" t="s">
        <v>30</v>
      </c>
    </row>
    <row r="13738" ht="15.75" customHeight="1">
      <c r="A13738" s="7"/>
      <c r="B13738" s="7"/>
      <c r="M13738" s="9" t="s">
        <v>25</v>
      </c>
    </row>
    <row r="13739" ht="15.75" customHeight="1">
      <c r="A13739" s="7"/>
      <c r="B13739" s="7"/>
      <c r="M13739" s="9" t="s">
        <v>23</v>
      </c>
    </row>
    <row r="13740" ht="15.75" customHeight="1">
      <c r="A13740" s="7"/>
      <c r="B13740" s="7"/>
      <c r="M13740" s="9" t="s">
        <v>24</v>
      </c>
    </row>
    <row r="13741" ht="15.75" customHeight="1">
      <c r="A13741" s="7"/>
      <c r="B13741" s="7"/>
      <c r="M13741" s="9" t="s">
        <v>22</v>
      </c>
    </row>
    <row r="13742" ht="15.75" customHeight="1">
      <c r="A13742" s="7"/>
      <c r="B13742" s="7"/>
      <c r="M13742" s="9" t="s">
        <v>21</v>
      </c>
    </row>
    <row r="13743" ht="15.75" customHeight="1">
      <c r="A13743" s="7"/>
      <c r="B13743" s="7"/>
      <c r="M13743" s="9" t="s">
        <v>36</v>
      </c>
    </row>
    <row r="13744" ht="15.75" customHeight="1">
      <c r="A13744" s="7"/>
      <c r="B13744" s="7"/>
      <c r="M13744" s="9" t="s">
        <v>24</v>
      </c>
    </row>
    <row r="13745" ht="15.75" customHeight="1">
      <c r="A13745" s="7"/>
      <c r="B13745" s="7"/>
      <c r="M13745" s="9" t="s">
        <v>20</v>
      </c>
    </row>
    <row r="13746" ht="15.75" customHeight="1">
      <c r="A13746" s="7"/>
      <c r="B13746" s="7"/>
      <c r="M13746" s="9" t="s">
        <v>21</v>
      </c>
    </row>
    <row r="13747" ht="15.75" customHeight="1">
      <c r="A13747" s="7"/>
      <c r="B13747" s="7"/>
      <c r="M13747" s="9" t="s">
        <v>22</v>
      </c>
    </row>
    <row r="13748" ht="15.75" customHeight="1">
      <c r="A13748" s="7"/>
      <c r="B13748" s="7"/>
      <c r="M13748" s="9" t="s">
        <v>31</v>
      </c>
    </row>
    <row r="13749" ht="15.75" customHeight="1">
      <c r="A13749" s="7"/>
      <c r="B13749" s="7"/>
      <c r="M13749" s="9" t="s">
        <v>46</v>
      </c>
    </row>
    <row r="13750" ht="15.75" customHeight="1">
      <c r="A13750" s="7"/>
      <c r="B13750" s="7"/>
      <c r="M13750" s="9" t="s">
        <v>30</v>
      </c>
    </row>
    <row r="13751" ht="15.75" customHeight="1">
      <c r="A13751" s="7"/>
      <c r="B13751" s="7"/>
      <c r="M13751" s="9" t="s">
        <v>24</v>
      </c>
    </row>
    <row r="13752" ht="15.75" customHeight="1">
      <c r="A13752" s="7"/>
      <c r="B13752" s="7"/>
      <c r="M13752" s="9" t="s">
        <v>21</v>
      </c>
    </row>
    <row r="13753" ht="15.75" customHeight="1">
      <c r="A13753" s="7"/>
      <c r="B13753" s="7"/>
      <c r="M13753" s="9" t="s">
        <v>37</v>
      </c>
    </row>
    <row r="13754" ht="15.75" customHeight="1">
      <c r="A13754" s="7"/>
      <c r="B13754" s="7"/>
      <c r="M13754" s="9" t="s">
        <v>27</v>
      </c>
    </row>
    <row r="13755" ht="15.75" customHeight="1">
      <c r="A13755" s="7"/>
      <c r="B13755" s="7"/>
      <c r="M13755" s="9" t="s">
        <v>33</v>
      </c>
    </row>
    <row r="13756" ht="15.75" customHeight="1">
      <c r="A13756" s="7"/>
      <c r="B13756" s="7"/>
      <c r="M13756" s="9" t="s">
        <v>24</v>
      </c>
    </row>
    <row r="13757" ht="15.75" customHeight="1">
      <c r="A13757" s="7"/>
      <c r="B13757" s="7"/>
      <c r="M13757" s="9" t="s">
        <v>20</v>
      </c>
    </row>
    <row r="13758" ht="15.75" customHeight="1">
      <c r="A13758" s="7"/>
      <c r="B13758" s="7"/>
      <c r="M13758" s="9" t="s">
        <v>21</v>
      </c>
    </row>
    <row r="13759" ht="15.75" customHeight="1">
      <c r="A13759" s="7"/>
      <c r="B13759" s="7"/>
      <c r="M13759" s="9" t="s">
        <v>22</v>
      </c>
    </row>
    <row r="13760" ht="15.75" customHeight="1">
      <c r="A13760" s="7"/>
      <c r="B13760" s="7"/>
      <c r="M13760" s="9" t="s">
        <v>27</v>
      </c>
    </row>
    <row r="13761" ht="15.75" customHeight="1">
      <c r="A13761" s="7"/>
      <c r="B13761" s="7"/>
      <c r="M13761" s="9" t="s">
        <v>30</v>
      </c>
    </row>
    <row r="13762" ht="15.75" customHeight="1">
      <c r="A13762" s="7"/>
      <c r="B13762" s="7"/>
      <c r="M13762" s="9" t="s">
        <v>24</v>
      </c>
    </row>
    <row r="13763" ht="15.75" customHeight="1">
      <c r="A13763" s="7"/>
      <c r="B13763" s="7"/>
      <c r="M13763" s="9" t="s">
        <v>21</v>
      </c>
    </row>
    <row r="13764" ht="15.75" customHeight="1">
      <c r="A13764" s="7"/>
      <c r="B13764" s="7"/>
      <c r="M13764" s="9" t="s">
        <v>22</v>
      </c>
    </row>
    <row r="13765" ht="15.75" customHeight="1">
      <c r="A13765" s="7"/>
      <c r="B13765" s="7"/>
      <c r="M13765" s="9" t="s">
        <v>27</v>
      </c>
    </row>
    <row r="13766" ht="15.75" customHeight="1">
      <c r="A13766" s="7"/>
      <c r="B13766" s="7"/>
      <c r="M13766" s="9" t="s">
        <v>26</v>
      </c>
    </row>
    <row r="13767" ht="15.75" customHeight="1">
      <c r="A13767" s="7"/>
      <c r="B13767" s="7"/>
      <c r="M13767" s="9" t="s">
        <v>36</v>
      </c>
    </row>
    <row r="13768" ht="15.75" customHeight="1">
      <c r="A13768" s="7"/>
      <c r="B13768" s="7"/>
      <c r="M13768" s="9" t="s">
        <v>24</v>
      </c>
    </row>
    <row r="13769" ht="15.75" customHeight="1">
      <c r="A13769" s="7"/>
      <c r="B13769" s="7"/>
      <c r="M13769" s="9" t="s">
        <v>20</v>
      </c>
    </row>
    <row r="13770" ht="15.75" customHeight="1">
      <c r="A13770" s="7"/>
      <c r="B13770" s="7"/>
      <c r="M13770" s="9" t="s">
        <v>21</v>
      </c>
    </row>
    <row r="13771" ht="15.75" customHeight="1">
      <c r="A13771" s="7"/>
      <c r="B13771" s="7"/>
      <c r="M13771" s="9" t="s">
        <v>41</v>
      </c>
    </row>
    <row r="13772" ht="15.75" customHeight="1">
      <c r="A13772" s="7"/>
      <c r="B13772" s="7"/>
      <c r="M13772" s="9" t="s">
        <v>27</v>
      </c>
    </row>
    <row r="13773" ht="15.75" customHeight="1">
      <c r="A13773" s="7"/>
      <c r="B13773" s="7"/>
      <c r="M13773" s="9" t="s">
        <v>40</v>
      </c>
    </row>
    <row r="13774" ht="15.75" customHeight="1">
      <c r="A13774" s="7"/>
      <c r="B13774" s="7"/>
      <c r="M13774" s="9" t="s">
        <v>35</v>
      </c>
    </row>
    <row r="13775" ht="15.75" customHeight="1">
      <c r="A13775" s="7"/>
      <c r="B13775" s="7"/>
      <c r="M13775" s="9" t="s">
        <v>26</v>
      </c>
    </row>
    <row r="13776" ht="15.75" customHeight="1">
      <c r="A13776" s="7"/>
      <c r="B13776" s="7"/>
      <c r="M13776" s="9" t="s">
        <v>24</v>
      </c>
    </row>
    <row r="13777" ht="15.75" customHeight="1">
      <c r="A13777" s="7"/>
      <c r="B13777" s="7"/>
      <c r="M13777" s="9" t="s">
        <v>20</v>
      </c>
    </row>
    <row r="13778" ht="15.75" customHeight="1">
      <c r="A13778" s="7"/>
      <c r="B13778" s="7"/>
      <c r="M13778" s="9" t="s">
        <v>21</v>
      </c>
    </row>
    <row r="13779" ht="15.75" customHeight="1">
      <c r="A13779" s="7"/>
      <c r="B13779" s="7"/>
      <c r="M13779" s="9" t="s">
        <v>24</v>
      </c>
    </row>
    <row r="13780" ht="15.75" customHeight="1">
      <c r="A13780" s="7"/>
      <c r="B13780" s="7"/>
      <c r="M13780" s="9" t="s">
        <v>21</v>
      </c>
    </row>
    <row r="13781" ht="15.75" customHeight="1">
      <c r="A13781" s="7"/>
      <c r="B13781" s="7"/>
      <c r="M13781" s="9" t="s">
        <v>37</v>
      </c>
    </row>
    <row r="13782" ht="15.75" customHeight="1">
      <c r="A13782" s="7"/>
      <c r="B13782" s="7"/>
      <c r="M13782" s="9" t="s">
        <v>22</v>
      </c>
    </row>
    <row r="13783" ht="15.75" customHeight="1">
      <c r="A13783" s="7"/>
      <c r="B13783" s="7"/>
      <c r="M13783" s="9" t="s">
        <v>31</v>
      </c>
    </row>
    <row r="13784" ht="15.75" customHeight="1">
      <c r="A13784" s="7"/>
      <c r="B13784" s="7"/>
      <c r="M13784" s="9" t="s">
        <v>27</v>
      </c>
    </row>
    <row r="13785" ht="15.75" customHeight="1">
      <c r="A13785" s="7"/>
      <c r="B13785" s="7"/>
      <c r="M13785" s="9" t="s">
        <v>30</v>
      </c>
    </row>
    <row r="13786" ht="15.75" customHeight="1">
      <c r="A13786" s="7"/>
      <c r="B13786" s="7"/>
      <c r="M13786" s="9" t="s">
        <v>25</v>
      </c>
    </row>
    <row r="13787" ht="15.75" customHeight="1">
      <c r="A13787" s="7"/>
      <c r="B13787" s="7"/>
      <c r="M13787" s="9" t="s">
        <v>26</v>
      </c>
    </row>
    <row r="13788" ht="15.75" customHeight="1">
      <c r="A13788" s="7"/>
      <c r="B13788" s="7"/>
      <c r="M13788" s="9" t="s">
        <v>24</v>
      </c>
    </row>
    <row r="13789" ht="15.75" customHeight="1">
      <c r="A13789" s="7"/>
      <c r="B13789" s="7"/>
      <c r="M13789" s="9" t="s">
        <v>20</v>
      </c>
    </row>
    <row r="13790" ht="15.75" customHeight="1">
      <c r="A13790" s="7"/>
      <c r="B13790" s="7"/>
      <c r="M13790" s="9" t="s">
        <v>21</v>
      </c>
    </row>
    <row r="13791" ht="15.75" customHeight="1">
      <c r="A13791" s="7"/>
      <c r="B13791" s="7"/>
      <c r="M13791" s="9" t="s">
        <v>22</v>
      </c>
    </row>
    <row r="13792" ht="15.75" customHeight="1">
      <c r="A13792" s="7"/>
      <c r="B13792" s="7"/>
      <c r="M13792" s="9" t="s">
        <v>27</v>
      </c>
    </row>
    <row r="13793" ht="15.75" customHeight="1">
      <c r="A13793" s="7"/>
      <c r="B13793" s="7"/>
      <c r="M13793" s="9" t="s">
        <v>24</v>
      </c>
    </row>
    <row r="13794" ht="15.75" customHeight="1">
      <c r="A13794" s="7"/>
      <c r="B13794" s="7"/>
      <c r="M13794" s="9" t="s">
        <v>20</v>
      </c>
    </row>
    <row r="13795" ht="15.75" customHeight="1">
      <c r="A13795" s="7"/>
      <c r="B13795" s="7"/>
      <c r="M13795" s="9" t="s">
        <v>21</v>
      </c>
    </row>
    <row r="13796" ht="15.75" customHeight="1">
      <c r="A13796" s="7"/>
      <c r="B13796" s="7"/>
      <c r="M13796" s="9" t="s">
        <v>27</v>
      </c>
    </row>
    <row r="13797" ht="15.75" customHeight="1">
      <c r="A13797" s="7"/>
      <c r="B13797" s="7"/>
      <c r="M13797" s="9" t="s">
        <v>26</v>
      </c>
    </row>
    <row r="13798" ht="15.75" customHeight="1">
      <c r="A13798" s="7"/>
      <c r="B13798" s="7"/>
      <c r="M13798" s="9" t="s">
        <v>24</v>
      </c>
    </row>
    <row r="13799" ht="15.75" customHeight="1">
      <c r="A13799" s="7"/>
      <c r="B13799" s="7"/>
      <c r="M13799" s="9" t="s">
        <v>27</v>
      </c>
    </row>
    <row r="13800" ht="15.75" customHeight="1">
      <c r="A13800" s="7"/>
      <c r="B13800" s="7"/>
      <c r="M13800" s="9" t="s">
        <v>24</v>
      </c>
    </row>
    <row r="13801" ht="15.75" customHeight="1">
      <c r="A13801" s="7"/>
      <c r="B13801" s="7"/>
      <c r="M13801" s="9" t="s">
        <v>21</v>
      </c>
    </row>
    <row r="13802" ht="15.75" customHeight="1">
      <c r="A13802" s="7"/>
      <c r="B13802" s="7"/>
      <c r="M13802" s="9" t="s">
        <v>22</v>
      </c>
    </row>
    <row r="13803" ht="15.75" customHeight="1">
      <c r="A13803" s="7"/>
      <c r="B13803" s="7"/>
      <c r="M13803" s="9" t="s">
        <v>31</v>
      </c>
    </row>
    <row r="13804" ht="15.75" customHeight="1">
      <c r="A13804" s="7"/>
      <c r="B13804" s="7"/>
      <c r="M13804" s="9" t="s">
        <v>27</v>
      </c>
    </row>
    <row r="13805" ht="15.75" customHeight="1">
      <c r="A13805" s="7"/>
      <c r="B13805" s="7"/>
      <c r="M13805" s="9" t="s">
        <v>28</v>
      </c>
    </row>
    <row r="13806" ht="15.75" customHeight="1">
      <c r="A13806" s="7"/>
      <c r="B13806" s="7"/>
      <c r="M13806" s="9" t="s">
        <v>30</v>
      </c>
    </row>
    <row r="13807" ht="15.75" customHeight="1">
      <c r="A13807" s="7"/>
      <c r="B13807" s="7"/>
      <c r="M13807" s="9" t="s">
        <v>25</v>
      </c>
    </row>
    <row r="13808" ht="15.75" customHeight="1">
      <c r="A13808" s="7"/>
      <c r="B13808" s="7"/>
      <c r="M13808" s="9" t="s">
        <v>23</v>
      </c>
    </row>
    <row r="13809" ht="15.75" customHeight="1">
      <c r="A13809" s="7"/>
      <c r="B13809" s="7"/>
      <c r="M13809" s="9" t="s">
        <v>26</v>
      </c>
    </row>
    <row r="13810" ht="15.75" customHeight="1">
      <c r="A13810" s="7"/>
      <c r="B13810" s="7"/>
      <c r="M13810" s="9" t="s">
        <v>24</v>
      </c>
    </row>
    <row r="13811" ht="15.75" customHeight="1">
      <c r="A13811" s="7"/>
      <c r="B13811" s="7"/>
      <c r="M13811" s="9" t="s">
        <v>20</v>
      </c>
    </row>
    <row r="13812" ht="15.75" customHeight="1">
      <c r="A13812" s="7"/>
      <c r="B13812" s="7"/>
      <c r="M13812" s="9" t="s">
        <v>22</v>
      </c>
    </row>
    <row r="13813" ht="15.75" customHeight="1">
      <c r="A13813" s="7"/>
      <c r="B13813" s="7"/>
      <c r="M13813" s="9" t="s">
        <v>32</v>
      </c>
    </row>
    <row r="13814" ht="15.75" customHeight="1">
      <c r="A13814" s="7"/>
      <c r="B13814" s="7"/>
      <c r="M13814" s="9" t="s">
        <v>46</v>
      </c>
    </row>
    <row r="13815" ht="15.75" customHeight="1">
      <c r="A13815" s="7"/>
      <c r="B13815" s="7"/>
      <c r="M13815" s="9" t="s">
        <v>27</v>
      </c>
    </row>
    <row r="13816" ht="15.75" customHeight="1">
      <c r="A13816" s="7"/>
      <c r="B13816" s="7"/>
      <c r="M13816" s="9" t="s">
        <v>33</v>
      </c>
    </row>
    <row r="13817" ht="15.75" customHeight="1">
      <c r="A13817" s="7"/>
      <c r="B13817" s="7"/>
      <c r="M13817" s="9" t="s">
        <v>26</v>
      </c>
    </row>
    <row r="13818" ht="15.75" customHeight="1">
      <c r="A13818" s="7"/>
      <c r="B13818" s="7"/>
      <c r="M13818" s="9" t="s">
        <v>20</v>
      </c>
    </row>
    <row r="13819" ht="15.75" customHeight="1">
      <c r="A13819" s="7"/>
      <c r="B13819" s="7"/>
      <c r="M13819" s="9" t="s">
        <v>21</v>
      </c>
    </row>
    <row r="13820" ht="15.75" customHeight="1">
      <c r="A13820" s="7"/>
      <c r="B13820" s="7"/>
      <c r="M13820" s="9" t="s">
        <v>37</v>
      </c>
    </row>
    <row r="13821" ht="15.75" customHeight="1">
      <c r="A13821" s="7"/>
      <c r="B13821" s="7"/>
      <c r="M13821" s="9" t="s">
        <v>27</v>
      </c>
    </row>
    <row r="13822" ht="15.75" customHeight="1">
      <c r="A13822" s="7"/>
      <c r="B13822" s="7"/>
      <c r="M13822" s="9" t="s">
        <v>24</v>
      </c>
    </row>
    <row r="13823" ht="15.75" customHeight="1">
      <c r="A13823" s="7"/>
      <c r="B13823" s="7"/>
      <c r="M13823" s="9" t="s">
        <v>20</v>
      </c>
    </row>
    <row r="13824" ht="15.75" customHeight="1">
      <c r="A13824" s="7"/>
      <c r="B13824" s="7"/>
      <c r="M13824" s="9" t="s">
        <v>21</v>
      </c>
    </row>
    <row r="13825" ht="15.75" customHeight="1">
      <c r="A13825" s="7"/>
      <c r="B13825" s="7"/>
      <c r="M13825" s="9" t="s">
        <v>33</v>
      </c>
    </row>
    <row r="13826" ht="15.75" customHeight="1">
      <c r="A13826" s="7"/>
      <c r="B13826" s="7"/>
      <c r="M13826" s="9" t="s">
        <v>23</v>
      </c>
    </row>
    <row r="13827" ht="15.75" customHeight="1">
      <c r="A13827" s="7"/>
      <c r="B13827" s="7"/>
      <c r="M13827" s="9" t="s">
        <v>24</v>
      </c>
    </row>
    <row r="13828" ht="15.75" customHeight="1">
      <c r="A13828" s="7"/>
      <c r="B13828" s="7"/>
      <c r="M13828" s="9" t="s">
        <v>21</v>
      </c>
    </row>
    <row r="13829" ht="15.75" customHeight="1">
      <c r="A13829" s="7"/>
      <c r="B13829" s="7"/>
      <c r="M13829" s="9" t="s">
        <v>37</v>
      </c>
    </row>
    <row r="13830" ht="15.75" customHeight="1">
      <c r="A13830" s="7"/>
      <c r="B13830" s="7"/>
      <c r="M13830" s="9" t="s">
        <v>27</v>
      </c>
    </row>
    <row r="13831" ht="15.75" customHeight="1">
      <c r="A13831" s="7"/>
      <c r="B13831" s="7"/>
      <c r="M13831" s="9" t="s">
        <v>24</v>
      </c>
    </row>
    <row r="13832" ht="15.75" customHeight="1">
      <c r="A13832" s="7"/>
      <c r="B13832" s="7"/>
      <c r="M13832" s="9" t="s">
        <v>21</v>
      </c>
    </row>
    <row r="13833" ht="15.75" customHeight="1">
      <c r="A13833" s="7"/>
      <c r="B13833" s="7"/>
      <c r="M13833" s="9" t="s">
        <v>37</v>
      </c>
    </row>
    <row r="13834" ht="15.75" customHeight="1">
      <c r="A13834" s="7"/>
      <c r="B13834" s="7"/>
      <c r="M13834" s="9" t="s">
        <v>27</v>
      </c>
    </row>
    <row r="13835" ht="15.75" customHeight="1">
      <c r="A13835" s="7"/>
      <c r="B13835" s="7"/>
      <c r="M13835" s="9" t="s">
        <v>30</v>
      </c>
    </row>
    <row r="13836" ht="15.75" customHeight="1">
      <c r="A13836" s="7"/>
      <c r="B13836" s="7"/>
      <c r="M13836" s="9" t="s">
        <v>23</v>
      </c>
    </row>
    <row r="13837" ht="15.75" customHeight="1">
      <c r="A13837" s="7"/>
      <c r="B13837" s="7"/>
      <c r="M13837" s="9" t="s">
        <v>26</v>
      </c>
    </row>
    <row r="13838" ht="15.75" customHeight="1">
      <c r="A13838" s="7"/>
      <c r="B13838" s="7"/>
      <c r="M13838" s="9" t="s">
        <v>24</v>
      </c>
    </row>
    <row r="13839" ht="15.75" customHeight="1">
      <c r="A13839" s="7"/>
      <c r="B13839" s="7"/>
      <c r="M13839" s="9" t="s">
        <v>21</v>
      </c>
    </row>
    <row r="13840" ht="15.75" customHeight="1">
      <c r="A13840" s="7"/>
      <c r="B13840" s="7"/>
      <c r="M13840" s="9" t="s">
        <v>37</v>
      </c>
    </row>
    <row r="13841" ht="15.75" customHeight="1">
      <c r="A13841" s="7"/>
      <c r="B13841" s="7"/>
      <c r="M13841" s="9" t="s">
        <v>27</v>
      </c>
    </row>
    <row r="13842" ht="15.75" customHeight="1">
      <c r="A13842" s="7"/>
      <c r="B13842" s="7"/>
      <c r="M13842" s="9" t="s">
        <v>33</v>
      </c>
    </row>
    <row r="13843" ht="15.75" customHeight="1">
      <c r="A13843" s="7"/>
      <c r="B13843" s="7"/>
      <c r="M13843" s="9" t="s">
        <v>23</v>
      </c>
    </row>
    <row r="13844" ht="15.75" customHeight="1">
      <c r="A13844" s="7"/>
      <c r="B13844" s="7"/>
      <c r="M13844" s="9" t="s">
        <v>24</v>
      </c>
    </row>
    <row r="13845" ht="15.75" customHeight="1">
      <c r="A13845" s="7"/>
      <c r="B13845" s="7"/>
      <c r="M13845" s="9" t="s">
        <v>20</v>
      </c>
    </row>
    <row r="13846" ht="15.75" customHeight="1">
      <c r="A13846" s="7"/>
      <c r="B13846" s="7"/>
      <c r="M13846" s="9" t="s">
        <v>21</v>
      </c>
    </row>
    <row r="13847" ht="15.75" customHeight="1">
      <c r="A13847" s="7"/>
      <c r="B13847" s="7"/>
      <c r="M13847" s="9" t="s">
        <v>27</v>
      </c>
    </row>
    <row r="13848" ht="15.75" customHeight="1">
      <c r="A13848" s="7"/>
      <c r="B13848" s="7"/>
      <c r="M13848" s="9" t="s">
        <v>30</v>
      </c>
    </row>
    <row r="13849" ht="15.75" customHeight="1">
      <c r="A13849" s="7"/>
      <c r="B13849" s="7"/>
      <c r="M13849" s="9" t="s">
        <v>26</v>
      </c>
    </row>
    <row r="13850" ht="15.75" customHeight="1">
      <c r="A13850" s="7"/>
      <c r="B13850" s="7"/>
      <c r="M13850" s="9" t="s">
        <v>24</v>
      </c>
    </row>
    <row r="13851" ht="15.75" customHeight="1">
      <c r="A13851" s="7"/>
      <c r="B13851" s="7"/>
      <c r="M13851" s="9" t="s">
        <v>21</v>
      </c>
    </row>
    <row r="13852" ht="15.75" customHeight="1">
      <c r="A13852" s="7"/>
      <c r="B13852" s="7"/>
      <c r="M13852" s="9" t="s">
        <v>37</v>
      </c>
    </row>
    <row r="13853" ht="15.75" customHeight="1">
      <c r="A13853" s="7"/>
      <c r="B13853" s="7"/>
      <c r="M13853" s="9" t="s">
        <v>22</v>
      </c>
    </row>
    <row r="13854" ht="15.75" customHeight="1">
      <c r="A13854" s="7"/>
      <c r="B13854" s="7"/>
      <c r="M13854" s="9" t="s">
        <v>27</v>
      </c>
    </row>
    <row r="13855" ht="15.75" customHeight="1">
      <c r="A13855" s="7"/>
      <c r="B13855" s="7"/>
      <c r="M13855" s="9" t="s">
        <v>28</v>
      </c>
    </row>
    <row r="13856" ht="15.75" customHeight="1">
      <c r="A13856" s="7"/>
      <c r="B13856" s="7"/>
      <c r="M13856" s="9" t="s">
        <v>30</v>
      </c>
    </row>
    <row r="13857" ht="15.75" customHeight="1">
      <c r="A13857" s="7"/>
      <c r="B13857" s="7"/>
      <c r="M13857" s="9" t="s">
        <v>44</v>
      </c>
    </row>
    <row r="13858" ht="15.75" customHeight="1">
      <c r="A13858" s="7"/>
      <c r="B13858" s="7"/>
      <c r="M13858" s="9" t="s">
        <v>36</v>
      </c>
    </row>
    <row r="13859" ht="15.75" customHeight="1">
      <c r="A13859" s="7"/>
      <c r="B13859" s="7"/>
      <c r="M13859" s="9" t="s">
        <v>21</v>
      </c>
    </row>
    <row r="13860" ht="15.75" customHeight="1">
      <c r="A13860" s="7"/>
      <c r="B13860" s="7"/>
      <c r="M13860" s="9" t="s">
        <v>22</v>
      </c>
    </row>
    <row r="13861" ht="15.75" customHeight="1">
      <c r="A13861" s="7"/>
      <c r="B13861" s="7"/>
      <c r="M13861" s="9" t="s">
        <v>27</v>
      </c>
    </row>
    <row r="13862" ht="15.75" customHeight="1">
      <c r="A13862" s="7"/>
      <c r="B13862" s="7"/>
      <c r="M13862" s="9" t="s">
        <v>26</v>
      </c>
    </row>
    <row r="13863" ht="15.75" customHeight="1">
      <c r="A13863" s="7"/>
      <c r="B13863" s="7"/>
      <c r="M13863" s="9" t="s">
        <v>24</v>
      </c>
    </row>
    <row r="13864" ht="15.75" customHeight="1">
      <c r="A13864" s="7"/>
      <c r="B13864" s="7"/>
      <c r="M13864" s="9" t="s">
        <v>21</v>
      </c>
    </row>
    <row r="13865" ht="15.75" customHeight="1">
      <c r="A13865" s="7"/>
      <c r="B13865" s="7"/>
      <c r="M13865" s="9" t="s">
        <v>37</v>
      </c>
    </row>
    <row r="13866" ht="15.75" customHeight="1">
      <c r="A13866" s="7"/>
      <c r="B13866" s="7"/>
      <c r="M13866" s="9" t="s">
        <v>22</v>
      </c>
    </row>
    <row r="13867" ht="15.75" customHeight="1">
      <c r="A13867" s="7"/>
      <c r="B13867" s="7"/>
      <c r="M13867" s="9" t="s">
        <v>27</v>
      </c>
    </row>
    <row r="13868" ht="15.75" customHeight="1">
      <c r="A13868" s="7"/>
      <c r="B13868" s="7"/>
      <c r="M13868" s="9" t="s">
        <v>33</v>
      </c>
    </row>
    <row r="13869" ht="15.75" customHeight="1">
      <c r="A13869" s="7"/>
      <c r="B13869" s="7"/>
      <c r="M13869" s="9" t="s">
        <v>30</v>
      </c>
    </row>
    <row r="13870" ht="15.75" customHeight="1">
      <c r="A13870" s="7"/>
      <c r="B13870" s="7"/>
      <c r="M13870" s="9" t="s">
        <v>25</v>
      </c>
    </row>
    <row r="13871" ht="15.75" customHeight="1">
      <c r="A13871" s="7"/>
      <c r="B13871" s="7"/>
      <c r="M13871" s="9" t="s">
        <v>24</v>
      </c>
    </row>
    <row r="13872" ht="15.75" customHeight="1">
      <c r="A13872" s="7"/>
      <c r="B13872" s="7"/>
      <c r="M13872" s="9" t="s">
        <v>21</v>
      </c>
    </row>
    <row r="13873" ht="15.75" customHeight="1">
      <c r="A13873" s="7"/>
      <c r="B13873" s="7"/>
      <c r="M13873" s="9" t="s">
        <v>22</v>
      </c>
    </row>
    <row r="13874" ht="15.75" customHeight="1">
      <c r="A13874" s="7"/>
      <c r="B13874" s="7"/>
      <c r="M13874" s="9" t="s">
        <v>33</v>
      </c>
    </row>
    <row r="13875" ht="15.75" customHeight="1">
      <c r="A13875" s="7"/>
      <c r="B13875" s="7"/>
      <c r="M13875" s="9" t="s">
        <v>30</v>
      </c>
    </row>
    <row r="13876" ht="15.75" customHeight="1">
      <c r="A13876" s="7"/>
      <c r="B13876" s="7"/>
      <c r="M13876" s="9" t="s">
        <v>23</v>
      </c>
    </row>
    <row r="13877" ht="15.75" customHeight="1">
      <c r="A13877" s="7"/>
      <c r="B13877" s="7"/>
      <c r="M13877" s="9" t="s">
        <v>24</v>
      </c>
    </row>
    <row r="13878" ht="15.75" customHeight="1">
      <c r="A13878" s="7"/>
      <c r="B13878" s="7"/>
      <c r="M13878" s="9" t="s">
        <v>21</v>
      </c>
    </row>
    <row r="13879" ht="15.75" customHeight="1">
      <c r="A13879" s="7"/>
      <c r="B13879" s="7"/>
      <c r="M13879" s="9" t="s">
        <v>22</v>
      </c>
    </row>
    <row r="13880" ht="15.75" customHeight="1">
      <c r="A13880" s="7"/>
      <c r="B13880" s="7"/>
      <c r="M13880" s="9" t="s">
        <v>44</v>
      </c>
    </row>
    <row r="13881" ht="15.75" customHeight="1">
      <c r="A13881" s="7"/>
      <c r="B13881" s="7"/>
      <c r="M13881" s="9" t="s">
        <v>42</v>
      </c>
    </row>
    <row r="13882" ht="15.75" customHeight="1">
      <c r="A13882" s="7"/>
      <c r="B13882" s="7"/>
      <c r="M13882" s="9" t="s">
        <v>24</v>
      </c>
    </row>
    <row r="13883" ht="15.75" customHeight="1">
      <c r="A13883" s="7"/>
      <c r="B13883" s="7"/>
      <c r="M13883" s="9" t="s">
        <v>21</v>
      </c>
    </row>
    <row r="13884" ht="15.75" customHeight="1">
      <c r="A13884" s="7"/>
      <c r="B13884" s="7"/>
      <c r="M13884" s="9" t="s">
        <v>22</v>
      </c>
    </row>
    <row r="13885" ht="15.75" customHeight="1">
      <c r="A13885" s="7"/>
      <c r="B13885" s="7"/>
      <c r="M13885" s="9" t="s">
        <v>29</v>
      </c>
    </row>
    <row r="13886" ht="15.75" customHeight="1">
      <c r="A13886" s="7"/>
      <c r="B13886" s="7"/>
      <c r="M13886" s="9" t="s">
        <v>32</v>
      </c>
    </row>
    <row r="13887" ht="15.75" customHeight="1">
      <c r="A13887" s="7"/>
      <c r="B13887" s="7"/>
      <c r="M13887" s="9" t="s">
        <v>27</v>
      </c>
    </row>
    <row r="13888" ht="15.75" customHeight="1">
      <c r="A13888" s="7"/>
      <c r="B13888" s="7"/>
      <c r="M13888" s="9" t="s">
        <v>33</v>
      </c>
    </row>
    <row r="13889" ht="15.75" customHeight="1">
      <c r="A13889" s="7"/>
      <c r="B13889" s="7"/>
      <c r="M13889" s="9" t="s">
        <v>26</v>
      </c>
    </row>
    <row r="13890" ht="15.75" customHeight="1">
      <c r="A13890" s="7"/>
      <c r="B13890" s="7"/>
      <c r="M13890" s="9" t="s">
        <v>27</v>
      </c>
    </row>
    <row r="13891" ht="15.75" customHeight="1">
      <c r="A13891" s="7"/>
      <c r="B13891" s="7"/>
      <c r="M13891" s="9" t="s">
        <v>38</v>
      </c>
    </row>
    <row r="13892" ht="15.75" customHeight="1">
      <c r="A13892" s="7"/>
      <c r="B13892" s="7"/>
      <c r="M13892" s="9" t="s">
        <v>30</v>
      </c>
    </row>
    <row r="13893" ht="15.75" customHeight="1">
      <c r="A13893" s="7"/>
      <c r="B13893" s="7"/>
      <c r="M13893" s="9" t="s">
        <v>25</v>
      </c>
    </row>
    <row r="13894" ht="15.75" customHeight="1">
      <c r="A13894" s="7"/>
      <c r="B13894" s="7"/>
      <c r="M13894" s="9" t="s">
        <v>24</v>
      </c>
    </row>
    <row r="13895" ht="15.75" customHeight="1">
      <c r="A13895" s="7"/>
      <c r="B13895" s="7"/>
      <c r="M13895" s="9" t="s">
        <v>21</v>
      </c>
    </row>
    <row r="13896" ht="15.75" customHeight="1">
      <c r="A13896" s="7"/>
      <c r="B13896" s="7"/>
      <c r="M13896" s="9" t="s">
        <v>22</v>
      </c>
    </row>
    <row r="13897" ht="15.75" customHeight="1">
      <c r="A13897" s="7"/>
      <c r="B13897" s="7"/>
      <c r="M13897" s="9" t="s">
        <v>31</v>
      </c>
    </row>
    <row r="13898" ht="15.75" customHeight="1">
      <c r="A13898" s="7"/>
      <c r="B13898" s="7"/>
      <c r="M13898" s="9" t="s">
        <v>25</v>
      </c>
    </row>
    <row r="13899" ht="15.75" customHeight="1">
      <c r="A13899" s="7"/>
      <c r="B13899" s="7"/>
      <c r="M13899" s="9" t="s">
        <v>23</v>
      </c>
    </row>
    <row r="13900" ht="15.75" customHeight="1">
      <c r="A13900" s="7"/>
      <c r="B13900" s="7"/>
      <c r="M13900" s="9" t="s">
        <v>26</v>
      </c>
    </row>
    <row r="13901" ht="15.75" customHeight="1">
      <c r="A13901" s="7"/>
      <c r="B13901" s="7"/>
      <c r="M13901" s="9" t="s">
        <v>24</v>
      </c>
    </row>
    <row r="13902" ht="15.75" customHeight="1">
      <c r="A13902" s="7"/>
      <c r="B13902" s="7"/>
      <c r="M13902" s="9" t="s">
        <v>20</v>
      </c>
    </row>
    <row r="13903" ht="15.75" customHeight="1">
      <c r="A13903" s="7"/>
      <c r="B13903" s="7"/>
      <c r="M13903" s="9" t="s">
        <v>30</v>
      </c>
    </row>
    <row r="13904" ht="15.75" customHeight="1">
      <c r="A13904" s="7"/>
      <c r="B13904" s="7"/>
      <c r="M13904" s="9" t="s">
        <v>22</v>
      </c>
    </row>
    <row r="13905" ht="15.75" customHeight="1">
      <c r="A13905" s="7"/>
      <c r="B13905" s="7"/>
      <c r="M13905" s="9" t="s">
        <v>46</v>
      </c>
    </row>
    <row r="13906" ht="15.75" customHeight="1">
      <c r="A13906" s="7"/>
      <c r="B13906" s="7"/>
      <c r="M13906" s="9" t="s">
        <v>27</v>
      </c>
    </row>
    <row r="13907" ht="15.75" customHeight="1">
      <c r="A13907" s="7"/>
      <c r="B13907" s="7"/>
      <c r="M13907" s="9" t="s">
        <v>30</v>
      </c>
    </row>
    <row r="13908" ht="15.75" customHeight="1">
      <c r="A13908" s="7"/>
      <c r="B13908" s="7"/>
      <c r="M13908" s="9" t="s">
        <v>25</v>
      </c>
    </row>
    <row r="13909" ht="15.75" customHeight="1">
      <c r="A13909" s="7"/>
      <c r="B13909" s="7"/>
      <c r="M13909" s="9" t="s">
        <v>23</v>
      </c>
    </row>
    <row r="13910" ht="15.75" customHeight="1">
      <c r="A13910" s="7"/>
      <c r="B13910" s="7"/>
      <c r="M13910" s="9" t="s">
        <v>24</v>
      </c>
    </row>
    <row r="13911" ht="15.75" customHeight="1">
      <c r="A13911" s="7"/>
      <c r="B13911" s="7"/>
      <c r="M13911" s="9" t="s">
        <v>20</v>
      </c>
    </row>
    <row r="13912" ht="15.75" customHeight="1">
      <c r="A13912" s="7"/>
      <c r="B13912" s="7"/>
      <c r="M13912" s="9" t="s">
        <v>21</v>
      </c>
    </row>
    <row r="13913" ht="15.75" customHeight="1">
      <c r="A13913" s="7"/>
      <c r="B13913" s="7"/>
      <c r="M13913" s="9" t="s">
        <v>22</v>
      </c>
    </row>
    <row r="13914" ht="15.75" customHeight="1">
      <c r="A13914" s="7"/>
      <c r="B13914" s="7"/>
      <c r="M13914" s="9" t="s">
        <v>27</v>
      </c>
    </row>
    <row r="13915" ht="15.75" customHeight="1">
      <c r="A13915" s="7"/>
      <c r="B13915" s="7"/>
      <c r="M13915" s="9" t="s">
        <v>35</v>
      </c>
    </row>
    <row r="13916" ht="15.75" customHeight="1">
      <c r="A13916" s="7"/>
      <c r="B13916" s="7"/>
      <c r="M13916" s="9" t="s">
        <v>24</v>
      </c>
    </row>
    <row r="13917" ht="15.75" customHeight="1">
      <c r="A13917" s="7"/>
      <c r="B13917" s="7"/>
      <c r="M13917" s="9" t="s">
        <v>21</v>
      </c>
    </row>
    <row r="13918" ht="15.75" customHeight="1">
      <c r="A13918" s="7"/>
      <c r="B13918" s="7"/>
      <c r="M13918" s="9" t="s">
        <v>37</v>
      </c>
    </row>
    <row r="13919" ht="15.75" customHeight="1">
      <c r="A13919" s="7"/>
      <c r="B13919" s="7"/>
      <c r="M13919" s="9" t="s">
        <v>30</v>
      </c>
    </row>
    <row r="13920" ht="15.75" customHeight="1">
      <c r="A13920" s="7"/>
      <c r="B13920" s="7"/>
      <c r="M13920" s="9" t="s">
        <v>25</v>
      </c>
    </row>
    <row r="13921" ht="15.75" customHeight="1">
      <c r="A13921" s="7"/>
      <c r="B13921" s="7"/>
      <c r="M13921" s="9" t="s">
        <v>26</v>
      </c>
    </row>
    <row r="13922" ht="15.75" customHeight="1">
      <c r="A13922" s="7"/>
      <c r="B13922" s="7"/>
      <c r="M13922" s="9" t="s">
        <v>47</v>
      </c>
    </row>
    <row r="13923" ht="15.75" customHeight="1">
      <c r="A13923" s="7"/>
      <c r="B13923" s="7"/>
      <c r="M13923" s="9" t="s">
        <v>36</v>
      </c>
    </row>
    <row r="13924" ht="15.75" customHeight="1">
      <c r="A13924" s="7"/>
      <c r="B13924" s="7"/>
      <c r="M13924" s="9" t="s">
        <v>24</v>
      </c>
    </row>
    <row r="13925" ht="15.75" customHeight="1">
      <c r="A13925" s="7"/>
      <c r="B13925" s="7"/>
      <c r="M13925" s="9" t="s">
        <v>21</v>
      </c>
    </row>
    <row r="13926" ht="15.75" customHeight="1">
      <c r="A13926" s="7"/>
      <c r="B13926" s="7"/>
      <c r="M13926" s="9" t="s">
        <v>27</v>
      </c>
    </row>
    <row r="13927" ht="15.75" customHeight="1">
      <c r="A13927" s="7"/>
      <c r="B13927" s="7"/>
      <c r="M13927" s="9" t="s">
        <v>33</v>
      </c>
    </row>
    <row r="13928" ht="15.75" customHeight="1">
      <c r="A13928" s="7"/>
      <c r="B13928" s="7"/>
      <c r="M13928" s="9" t="s">
        <v>20</v>
      </c>
    </row>
    <row r="13929" ht="15.75" customHeight="1">
      <c r="A13929" s="7"/>
      <c r="B13929" s="7"/>
      <c r="M13929" s="9" t="s">
        <v>21</v>
      </c>
    </row>
    <row r="13930" ht="15.75" customHeight="1">
      <c r="A13930" s="7"/>
      <c r="B13930" s="7"/>
      <c r="M13930" s="9" t="s">
        <v>22</v>
      </c>
    </row>
    <row r="13931" ht="15.75" customHeight="1">
      <c r="A13931" s="7"/>
      <c r="B13931" s="7"/>
      <c r="M13931" s="9" t="s">
        <v>24</v>
      </c>
    </row>
    <row r="13932" ht="15.75" customHeight="1">
      <c r="A13932" s="7"/>
      <c r="B13932" s="7"/>
      <c r="M13932" s="9" t="s">
        <v>21</v>
      </c>
    </row>
    <row r="13933" ht="15.75" customHeight="1">
      <c r="A13933" s="7"/>
      <c r="B13933" s="7"/>
      <c r="M13933" s="9" t="s">
        <v>35</v>
      </c>
    </row>
    <row r="13934" ht="15.75" customHeight="1">
      <c r="A13934" s="7"/>
      <c r="B13934" s="7"/>
      <c r="M13934" s="9" t="s">
        <v>25</v>
      </c>
    </row>
    <row r="13935" ht="15.75" customHeight="1">
      <c r="A13935" s="7"/>
      <c r="B13935" s="7"/>
      <c r="M13935" s="9" t="s">
        <v>26</v>
      </c>
    </row>
    <row r="13936" ht="15.75" customHeight="1">
      <c r="A13936" s="7"/>
      <c r="B13936" s="7"/>
      <c r="M13936" s="9" t="s">
        <v>24</v>
      </c>
    </row>
    <row r="13937" ht="15.75" customHeight="1">
      <c r="A13937" s="7"/>
      <c r="B13937" s="7"/>
      <c r="M13937" s="9" t="s">
        <v>21</v>
      </c>
    </row>
    <row r="13938" ht="15.75" customHeight="1">
      <c r="A13938" s="7"/>
      <c r="B13938" s="7"/>
      <c r="M13938" s="9" t="s">
        <v>37</v>
      </c>
    </row>
    <row r="13939" ht="15.75" customHeight="1">
      <c r="A13939" s="7"/>
      <c r="B13939" s="7"/>
      <c r="M13939" s="9" t="s">
        <v>22</v>
      </c>
    </row>
    <row r="13940" ht="15.75" customHeight="1">
      <c r="A13940" s="7"/>
      <c r="B13940" s="7"/>
      <c r="M13940" s="9" t="s">
        <v>30</v>
      </c>
    </row>
    <row r="13941" ht="15.75" customHeight="1">
      <c r="A13941" s="7"/>
      <c r="B13941" s="7"/>
      <c r="M13941" s="9" t="s">
        <v>24</v>
      </c>
    </row>
    <row r="13942" ht="15.75" customHeight="1">
      <c r="A13942" s="7"/>
      <c r="B13942" s="7"/>
      <c r="M13942" s="9" t="s">
        <v>20</v>
      </c>
    </row>
    <row r="13943" ht="15.75" customHeight="1">
      <c r="A13943" s="7"/>
      <c r="B13943" s="7"/>
      <c r="M13943" s="9" t="s">
        <v>21</v>
      </c>
    </row>
    <row r="13944" ht="15.75" customHeight="1">
      <c r="A13944" s="7"/>
      <c r="B13944" s="7"/>
      <c r="M13944" s="9" t="s">
        <v>22</v>
      </c>
    </row>
    <row r="13945" ht="15.75" customHeight="1">
      <c r="A13945" s="7"/>
      <c r="B13945" s="7"/>
      <c r="M13945" s="9" t="s">
        <v>27</v>
      </c>
    </row>
    <row r="13946" ht="15.75" customHeight="1">
      <c r="A13946" s="7"/>
      <c r="B13946" s="7"/>
      <c r="M13946" s="9" t="s">
        <v>38</v>
      </c>
    </row>
    <row r="13947" ht="15.75" customHeight="1">
      <c r="A13947" s="7"/>
      <c r="B13947" s="7"/>
      <c r="M13947" s="9" t="s">
        <v>30</v>
      </c>
    </row>
    <row r="13948" ht="15.75" customHeight="1">
      <c r="A13948" s="7"/>
      <c r="B13948" s="7"/>
      <c r="M13948" s="9" t="s">
        <v>25</v>
      </c>
    </row>
    <row r="13949" ht="15.75" customHeight="1">
      <c r="A13949" s="7"/>
      <c r="B13949" s="7"/>
      <c r="M13949" s="9" t="s">
        <v>23</v>
      </c>
    </row>
    <row r="13950" ht="15.75" customHeight="1">
      <c r="A13950" s="7"/>
      <c r="B13950" s="7"/>
      <c r="M13950" s="9" t="s">
        <v>26</v>
      </c>
    </row>
    <row r="13951" ht="15.75" customHeight="1">
      <c r="A13951" s="7"/>
      <c r="B13951" s="7"/>
      <c r="M13951" s="9" t="s">
        <v>24</v>
      </c>
    </row>
    <row r="13952" ht="15.75" customHeight="1">
      <c r="A13952" s="7"/>
      <c r="B13952" s="7"/>
      <c r="M13952" s="9" t="s">
        <v>20</v>
      </c>
    </row>
    <row r="13953" ht="15.75" customHeight="1">
      <c r="A13953" s="7"/>
      <c r="B13953" s="7"/>
      <c r="M13953" s="9" t="s">
        <v>39</v>
      </c>
    </row>
    <row r="13954" ht="15.75" customHeight="1">
      <c r="A13954" s="7"/>
      <c r="B13954" s="7"/>
      <c r="M13954" s="9" t="s">
        <v>37</v>
      </c>
    </row>
    <row r="13955" ht="15.75" customHeight="1">
      <c r="A13955" s="7"/>
      <c r="B13955" s="7"/>
      <c r="M13955" s="9" t="s">
        <v>27</v>
      </c>
    </row>
    <row r="13956" ht="15.75" customHeight="1">
      <c r="A13956" s="7"/>
      <c r="B13956" s="7"/>
      <c r="M13956" s="9" t="s">
        <v>40</v>
      </c>
    </row>
    <row r="13957" ht="15.75" customHeight="1">
      <c r="A13957" s="7"/>
      <c r="B13957" s="7"/>
      <c r="M13957" s="9" t="s">
        <v>30</v>
      </c>
    </row>
    <row r="13958" ht="15.75" customHeight="1">
      <c r="A13958" s="7"/>
      <c r="B13958" s="7"/>
      <c r="M13958" s="9" t="s">
        <v>25</v>
      </c>
    </row>
    <row r="13959" ht="15.75" customHeight="1">
      <c r="A13959" s="7"/>
      <c r="B13959" s="7"/>
      <c r="M13959" s="9" t="s">
        <v>24</v>
      </c>
    </row>
    <row r="13960" ht="15.75" customHeight="1">
      <c r="A13960" s="7"/>
      <c r="B13960" s="7"/>
      <c r="M13960" s="9" t="s">
        <v>21</v>
      </c>
    </row>
    <row r="13961" ht="15.75" customHeight="1">
      <c r="A13961" s="7"/>
      <c r="B13961" s="7"/>
      <c r="M13961" s="9" t="s">
        <v>22</v>
      </c>
    </row>
    <row r="13962" ht="15.75" customHeight="1">
      <c r="A13962" s="7"/>
      <c r="B13962" s="7"/>
      <c r="M13962" s="9" t="s">
        <v>30</v>
      </c>
    </row>
    <row r="13963" ht="15.75" customHeight="1">
      <c r="A13963" s="7"/>
      <c r="B13963" s="7"/>
      <c r="M13963" s="9" t="s">
        <v>23</v>
      </c>
    </row>
    <row r="13964" ht="15.75" customHeight="1">
      <c r="A13964" s="7"/>
      <c r="B13964" s="7"/>
      <c r="M13964" s="9" t="s">
        <v>26</v>
      </c>
    </row>
    <row r="13965" ht="15.75" customHeight="1">
      <c r="A13965" s="7"/>
      <c r="B13965" s="7"/>
      <c r="M13965" s="9" t="s">
        <v>24</v>
      </c>
    </row>
    <row r="13966" ht="15.75" customHeight="1">
      <c r="A13966" s="7"/>
      <c r="B13966" s="7"/>
      <c r="M13966" s="9" t="s">
        <v>21</v>
      </c>
    </row>
    <row r="13967" ht="15.75" customHeight="1">
      <c r="A13967" s="7"/>
      <c r="B13967" s="7"/>
      <c r="M13967" s="9" t="s">
        <v>37</v>
      </c>
    </row>
    <row r="13968" ht="15.75" customHeight="1">
      <c r="A13968" s="7"/>
      <c r="B13968" s="7"/>
      <c r="M13968" s="9" t="s">
        <v>22</v>
      </c>
    </row>
    <row r="13969" ht="15.75" customHeight="1">
      <c r="A13969" s="7"/>
      <c r="B13969" s="7"/>
      <c r="M13969" s="9" t="s">
        <v>27</v>
      </c>
    </row>
    <row r="13970" ht="15.75" customHeight="1">
      <c r="A13970" s="7"/>
      <c r="B13970" s="7"/>
      <c r="M13970" s="9" t="s">
        <v>33</v>
      </c>
    </row>
    <row r="13971" ht="15.75" customHeight="1">
      <c r="A13971" s="7"/>
      <c r="B13971" s="7"/>
      <c r="M13971" s="9" t="s">
        <v>30</v>
      </c>
    </row>
    <row r="13972" ht="15.75" customHeight="1">
      <c r="A13972" s="7"/>
      <c r="B13972" s="7"/>
      <c r="M13972" s="9" t="s">
        <v>25</v>
      </c>
    </row>
    <row r="13973" ht="15.75" customHeight="1">
      <c r="A13973" s="7"/>
      <c r="B13973" s="7"/>
      <c r="M13973" s="9" t="s">
        <v>23</v>
      </c>
    </row>
    <row r="13974" ht="15.75" customHeight="1">
      <c r="A13974" s="7"/>
      <c r="B13974" s="7"/>
      <c r="M13974" s="9" t="s">
        <v>26</v>
      </c>
    </row>
    <row r="13975" ht="15.75" customHeight="1">
      <c r="A13975" s="7"/>
      <c r="B13975" s="7"/>
      <c r="M13975" s="9" t="s">
        <v>22</v>
      </c>
    </row>
    <row r="13976" ht="15.75" customHeight="1">
      <c r="A13976" s="7"/>
      <c r="B13976" s="7"/>
      <c r="M13976" s="9" t="s">
        <v>38</v>
      </c>
    </row>
    <row r="13977" ht="15.75" customHeight="1">
      <c r="A13977" s="7"/>
      <c r="B13977" s="7"/>
      <c r="M13977" s="9" t="s">
        <v>30</v>
      </c>
    </row>
    <row r="13978" ht="15.75" customHeight="1">
      <c r="A13978" s="7"/>
      <c r="B13978" s="7"/>
      <c r="M13978" s="9" t="s">
        <v>25</v>
      </c>
    </row>
    <row r="13979" ht="15.75" customHeight="1">
      <c r="A13979" s="7"/>
      <c r="B13979" s="7"/>
      <c r="M13979" s="9" t="s">
        <v>23</v>
      </c>
    </row>
    <row r="13980" ht="15.75" customHeight="1">
      <c r="A13980" s="7"/>
      <c r="B13980" s="7"/>
      <c r="M13980" s="9" t="s">
        <v>24</v>
      </c>
    </row>
    <row r="13981" ht="15.75" customHeight="1">
      <c r="A13981" s="7"/>
      <c r="B13981" s="7"/>
      <c r="M13981" s="9" t="s">
        <v>21</v>
      </c>
    </row>
    <row r="13982" ht="15.75" customHeight="1">
      <c r="A13982" s="7"/>
      <c r="B13982" s="7"/>
      <c r="M13982" s="9" t="s">
        <v>37</v>
      </c>
    </row>
    <row r="13983" ht="15.75" customHeight="1">
      <c r="A13983" s="7"/>
      <c r="B13983" s="7"/>
      <c r="M13983" s="9" t="s">
        <v>22</v>
      </c>
    </row>
    <row r="13984" ht="15.75" customHeight="1">
      <c r="A13984" s="7"/>
      <c r="B13984" s="7"/>
      <c r="M13984" s="9" t="s">
        <v>27</v>
      </c>
    </row>
    <row r="13985" ht="15.75" customHeight="1">
      <c r="A13985" s="7"/>
      <c r="B13985" s="7"/>
      <c r="M13985" s="9" t="s">
        <v>20</v>
      </c>
    </row>
    <row r="13986" ht="15.75" customHeight="1">
      <c r="A13986" s="7"/>
      <c r="B13986" s="7"/>
      <c r="M13986" s="9" t="s">
        <v>22</v>
      </c>
    </row>
    <row r="13987" ht="15.75" customHeight="1">
      <c r="A13987" s="7"/>
      <c r="B13987" s="7"/>
      <c r="M13987" s="9" t="s">
        <v>31</v>
      </c>
    </row>
    <row r="13988" ht="15.75" customHeight="1">
      <c r="A13988" s="7"/>
      <c r="B13988" s="7"/>
      <c r="M13988" s="9" t="s">
        <v>24</v>
      </c>
    </row>
    <row r="13989" ht="15.75" customHeight="1">
      <c r="A13989" s="7"/>
      <c r="B13989" s="7"/>
      <c r="M13989" s="9" t="s">
        <v>21</v>
      </c>
    </row>
    <row r="13990" ht="15.75" customHeight="1">
      <c r="A13990" s="7"/>
      <c r="B13990" s="7"/>
      <c r="M13990" s="9" t="s">
        <v>22</v>
      </c>
    </row>
    <row r="13991" ht="15.75" customHeight="1">
      <c r="A13991" s="7"/>
      <c r="B13991" s="7"/>
      <c r="M13991" s="9" t="s">
        <v>33</v>
      </c>
    </row>
    <row r="13992" ht="15.75" customHeight="1">
      <c r="A13992" s="7"/>
      <c r="B13992" s="7"/>
      <c r="M13992" s="9" t="s">
        <v>30</v>
      </c>
    </row>
    <row r="13993" ht="15.75" customHeight="1">
      <c r="A13993" s="7"/>
      <c r="B13993" s="7"/>
      <c r="M13993" s="9" t="s">
        <v>36</v>
      </c>
    </row>
    <row r="13994" ht="15.75" customHeight="1">
      <c r="A13994" s="7"/>
      <c r="B13994" s="7"/>
      <c r="M13994" s="9" t="s">
        <v>24</v>
      </c>
    </row>
    <row r="13995" ht="15.75" customHeight="1">
      <c r="A13995" s="7"/>
      <c r="B13995" s="7"/>
      <c r="M13995" s="9" t="s">
        <v>20</v>
      </c>
    </row>
    <row r="13996" ht="15.75" customHeight="1">
      <c r="A13996" s="7"/>
      <c r="B13996" s="7"/>
      <c r="M13996" s="9" t="s">
        <v>21</v>
      </c>
    </row>
    <row r="13997" ht="15.75" customHeight="1">
      <c r="A13997" s="7"/>
      <c r="B13997" s="7"/>
      <c r="M13997" s="9" t="s">
        <v>39</v>
      </c>
    </row>
    <row r="13998" ht="15.75" customHeight="1">
      <c r="A13998" s="7"/>
      <c r="B13998" s="7"/>
      <c r="M13998" s="9" t="s">
        <v>37</v>
      </c>
    </row>
    <row r="13999" ht="15.75" customHeight="1">
      <c r="A13999" s="7"/>
      <c r="B13999" s="7"/>
      <c r="M13999" s="9" t="s">
        <v>22</v>
      </c>
    </row>
    <row r="14000" ht="15.75" customHeight="1">
      <c r="A14000" s="7"/>
      <c r="B14000" s="7"/>
      <c r="M14000" s="9" t="s">
        <v>31</v>
      </c>
    </row>
    <row r="14001" ht="15.75" customHeight="1">
      <c r="A14001" s="7"/>
      <c r="B14001" s="7"/>
      <c r="M14001" s="9" t="s">
        <v>27</v>
      </c>
    </row>
    <row r="14002" ht="15.75" customHeight="1">
      <c r="A14002" s="7"/>
      <c r="B14002" s="7"/>
      <c r="M14002" s="9" t="s">
        <v>30</v>
      </c>
    </row>
    <row r="14003" ht="15.75" customHeight="1">
      <c r="A14003" s="7"/>
      <c r="B14003" s="7"/>
      <c r="M14003" s="9" t="s">
        <v>26</v>
      </c>
    </row>
    <row r="14004" ht="15.75" customHeight="1">
      <c r="A14004" s="7"/>
      <c r="B14004" s="7"/>
      <c r="M14004" s="9" t="s">
        <v>24</v>
      </c>
    </row>
    <row r="14005" ht="15.75" customHeight="1">
      <c r="A14005" s="7"/>
      <c r="B14005" s="7"/>
      <c r="M14005" s="9" t="s">
        <v>21</v>
      </c>
    </row>
    <row r="14006" ht="15.75" customHeight="1">
      <c r="A14006" s="7"/>
      <c r="B14006" s="7"/>
      <c r="M14006" s="9" t="s">
        <v>22</v>
      </c>
    </row>
    <row r="14007" ht="15.75" customHeight="1">
      <c r="A14007" s="7"/>
      <c r="B14007" s="7"/>
      <c r="M14007" s="9" t="s">
        <v>29</v>
      </c>
    </row>
    <row r="14008" ht="15.75" customHeight="1">
      <c r="A14008" s="7"/>
      <c r="B14008" s="7"/>
      <c r="M14008" s="9" t="s">
        <v>27</v>
      </c>
    </row>
    <row r="14009" ht="15.75" customHeight="1">
      <c r="A14009" s="7"/>
      <c r="B14009" s="7"/>
      <c r="M14009" s="9" t="s">
        <v>21</v>
      </c>
    </row>
    <row r="14010" ht="15.75" customHeight="1">
      <c r="A14010" s="7"/>
      <c r="B14010" s="7"/>
      <c r="M14010" s="9" t="s">
        <v>33</v>
      </c>
    </row>
    <row r="14011" ht="15.75" customHeight="1">
      <c r="A14011" s="7"/>
      <c r="B14011" s="7"/>
      <c r="M14011" s="9" t="s">
        <v>25</v>
      </c>
    </row>
    <row r="14012" ht="15.75" customHeight="1">
      <c r="A14012" s="7"/>
      <c r="B14012" s="7"/>
      <c r="M14012" s="9" t="s">
        <v>24</v>
      </c>
    </row>
    <row r="14013" ht="15.75" customHeight="1">
      <c r="A14013" s="7"/>
      <c r="B14013" s="7"/>
      <c r="M14013" s="9" t="s">
        <v>20</v>
      </c>
    </row>
    <row r="14014" ht="15.75" customHeight="1">
      <c r="A14014" s="7"/>
      <c r="B14014" s="7"/>
      <c r="M14014" s="9" t="s">
        <v>21</v>
      </c>
    </row>
    <row r="14015" ht="15.75" customHeight="1">
      <c r="A14015" s="7"/>
      <c r="B14015" s="7"/>
      <c r="M14015" s="9" t="s">
        <v>22</v>
      </c>
    </row>
    <row r="14016" ht="15.75" customHeight="1">
      <c r="A14016" s="7"/>
      <c r="B14016" s="7"/>
      <c r="M14016" s="9" t="s">
        <v>27</v>
      </c>
    </row>
    <row r="14017" ht="15.75" customHeight="1">
      <c r="A14017" s="7"/>
      <c r="B14017" s="7"/>
      <c r="M14017" s="9" t="s">
        <v>26</v>
      </c>
    </row>
    <row r="14018" ht="15.75" customHeight="1">
      <c r="A14018" s="7"/>
      <c r="B14018" s="7"/>
      <c r="M14018" s="9" t="s">
        <v>20</v>
      </c>
    </row>
    <row r="14019" ht="15.75" customHeight="1">
      <c r="A14019" s="7"/>
      <c r="B14019" s="7"/>
      <c r="M14019" s="9" t="s">
        <v>39</v>
      </c>
    </row>
    <row r="14020" ht="15.75" customHeight="1">
      <c r="A14020" s="7"/>
      <c r="B14020" s="7"/>
      <c r="M14020" s="9" t="s">
        <v>41</v>
      </c>
    </row>
    <row r="14021" ht="15.75" customHeight="1">
      <c r="A14021" s="7"/>
      <c r="B14021" s="7"/>
      <c r="M14021" s="9" t="s">
        <v>22</v>
      </c>
    </row>
    <row r="14022" ht="15.75" customHeight="1">
      <c r="A14022" s="7"/>
      <c r="B14022" s="7"/>
      <c r="M14022" s="9" t="s">
        <v>27</v>
      </c>
    </row>
    <row r="14023" ht="15.75" customHeight="1">
      <c r="A14023" s="7"/>
      <c r="B14023" s="7"/>
      <c r="M14023" s="9" t="s">
        <v>40</v>
      </c>
    </row>
    <row r="14024" ht="15.75" customHeight="1">
      <c r="A14024" s="7"/>
      <c r="B14024" s="7"/>
      <c r="M14024" s="9" t="s">
        <v>26</v>
      </c>
    </row>
    <row r="14025" ht="15.75" customHeight="1">
      <c r="A14025" s="7"/>
      <c r="B14025" s="7"/>
      <c r="M14025" s="9" t="s">
        <v>21</v>
      </c>
    </row>
    <row r="14026" ht="15.75" customHeight="1">
      <c r="A14026" s="7"/>
      <c r="B14026" s="7"/>
      <c r="M14026" s="9" t="s">
        <v>27</v>
      </c>
    </row>
    <row r="14027" ht="15.75" customHeight="1">
      <c r="A14027" s="7"/>
      <c r="B14027" s="7"/>
      <c r="M14027" s="9" t="s">
        <v>33</v>
      </c>
    </row>
    <row r="14028" ht="15.75" customHeight="1">
      <c r="A14028" s="7"/>
      <c r="B14028" s="7"/>
      <c r="M14028" s="9" t="s">
        <v>28</v>
      </c>
    </row>
    <row r="14029" ht="15.75" customHeight="1">
      <c r="A14029" s="7"/>
      <c r="B14029" s="7"/>
      <c r="M14029" s="9" t="s">
        <v>26</v>
      </c>
    </row>
    <row r="14030" ht="15.75" customHeight="1">
      <c r="A14030" s="7"/>
      <c r="B14030" s="7"/>
      <c r="M14030" s="9" t="s">
        <v>45</v>
      </c>
    </row>
    <row r="14031" ht="15.75" customHeight="1">
      <c r="A14031" s="7"/>
      <c r="B14031" s="7"/>
      <c r="M14031" s="9" t="s">
        <v>30</v>
      </c>
    </row>
    <row r="14032" ht="15.75" customHeight="1">
      <c r="A14032" s="7"/>
      <c r="B14032" s="7"/>
      <c r="M14032" s="9" t="s">
        <v>24</v>
      </c>
    </row>
    <row r="14033" ht="15.75" customHeight="1">
      <c r="A14033" s="7"/>
      <c r="B14033" s="7"/>
      <c r="M14033" s="9" t="s">
        <v>21</v>
      </c>
    </row>
    <row r="14034" ht="15.75" customHeight="1">
      <c r="A14034" s="7"/>
      <c r="B14034" s="7"/>
      <c r="M14034" s="9" t="s">
        <v>25</v>
      </c>
    </row>
    <row r="14035" ht="15.75" customHeight="1">
      <c r="A14035" s="7"/>
      <c r="B14035" s="7"/>
      <c r="M14035" s="9" t="s">
        <v>27</v>
      </c>
    </row>
    <row r="14036" ht="15.75" customHeight="1">
      <c r="A14036" s="7"/>
      <c r="B14036" s="7"/>
      <c r="M14036" s="9" t="s">
        <v>25</v>
      </c>
    </row>
    <row r="14037" ht="15.75" customHeight="1">
      <c r="A14037" s="7"/>
      <c r="B14037" s="7"/>
      <c r="M14037" s="9" t="s">
        <v>26</v>
      </c>
    </row>
    <row r="14038" ht="15.75" customHeight="1">
      <c r="A14038" s="7"/>
      <c r="B14038" s="7"/>
      <c r="M14038" s="9" t="s">
        <v>24</v>
      </c>
    </row>
    <row r="14039" ht="15.75" customHeight="1">
      <c r="A14039" s="7"/>
      <c r="B14039" s="7"/>
      <c r="M14039" s="9" t="s">
        <v>20</v>
      </c>
    </row>
    <row r="14040" ht="15.75" customHeight="1">
      <c r="A14040" s="7"/>
      <c r="B14040" s="7"/>
      <c r="M14040" s="9" t="s">
        <v>21</v>
      </c>
    </row>
    <row r="14041" ht="15.75" customHeight="1">
      <c r="A14041" s="7"/>
      <c r="B14041" s="7"/>
      <c r="M14041" s="9" t="s">
        <v>31</v>
      </c>
    </row>
    <row r="14042" ht="15.75" customHeight="1">
      <c r="A14042" s="7"/>
      <c r="B14042" s="7"/>
      <c r="M14042" s="9" t="s">
        <v>27</v>
      </c>
    </row>
    <row r="14043" ht="15.75" customHeight="1">
      <c r="A14043" s="7"/>
      <c r="B14043" s="7"/>
      <c r="M14043" s="9" t="s">
        <v>28</v>
      </c>
    </row>
    <row r="14044" ht="15.75" customHeight="1">
      <c r="A14044" s="7"/>
      <c r="B14044" s="7"/>
      <c r="M14044" s="9" t="s">
        <v>30</v>
      </c>
    </row>
    <row r="14045" ht="15.75" customHeight="1">
      <c r="A14045" s="7"/>
      <c r="B14045" s="7"/>
      <c r="M14045" s="9" t="s">
        <v>24</v>
      </c>
    </row>
    <row r="14046" ht="15.75" customHeight="1">
      <c r="A14046" s="7"/>
      <c r="B14046" s="7"/>
      <c r="M14046" s="9" t="s">
        <v>21</v>
      </c>
    </row>
    <row r="14047" ht="15.75" customHeight="1">
      <c r="A14047" s="7"/>
      <c r="B14047" s="7"/>
      <c r="M14047" s="9" t="s">
        <v>22</v>
      </c>
    </row>
    <row r="14048" ht="15.75" customHeight="1">
      <c r="A14048" s="7"/>
      <c r="B14048" s="7"/>
      <c r="M14048" s="9" t="s">
        <v>27</v>
      </c>
    </row>
    <row r="14049" ht="15.75" customHeight="1">
      <c r="A14049" s="7"/>
      <c r="B14049" s="7"/>
      <c r="M14049" s="9" t="s">
        <v>24</v>
      </c>
    </row>
    <row r="14050" ht="15.75" customHeight="1">
      <c r="A14050" s="7"/>
      <c r="B14050" s="7"/>
      <c r="M14050" s="9" t="s">
        <v>21</v>
      </c>
    </row>
    <row r="14051" ht="15.75" customHeight="1">
      <c r="A14051" s="7"/>
      <c r="B14051" s="7"/>
      <c r="M14051" s="9" t="s">
        <v>27</v>
      </c>
    </row>
    <row r="14052" ht="15.75" customHeight="1">
      <c r="A14052" s="7"/>
      <c r="B14052" s="7"/>
      <c r="M14052" s="9" t="s">
        <v>30</v>
      </c>
    </row>
    <row r="14053" ht="15.75" customHeight="1">
      <c r="A14053" s="7"/>
      <c r="B14053" s="7"/>
      <c r="M14053" s="9" t="s">
        <v>24</v>
      </c>
    </row>
    <row r="14054" ht="15.75" customHeight="1">
      <c r="A14054" s="7"/>
      <c r="B14054" s="7"/>
      <c r="M14054" s="9" t="s">
        <v>21</v>
      </c>
    </row>
    <row r="14055" ht="15.75" customHeight="1">
      <c r="A14055" s="7"/>
      <c r="B14055" s="7"/>
      <c r="M14055" s="9" t="s">
        <v>38</v>
      </c>
    </row>
    <row r="14056" ht="15.75" customHeight="1">
      <c r="A14056" s="7"/>
      <c r="B14056" s="7"/>
      <c r="M14056" s="9" t="s">
        <v>30</v>
      </c>
    </row>
    <row r="14057" ht="15.75" customHeight="1">
      <c r="A14057" s="7"/>
      <c r="B14057" s="7"/>
      <c r="M14057" s="9" t="s">
        <v>25</v>
      </c>
    </row>
    <row r="14058" ht="15.75" customHeight="1">
      <c r="A14058" s="7"/>
      <c r="B14058" s="7"/>
      <c r="M14058" s="9" t="s">
        <v>30</v>
      </c>
    </row>
    <row r="14059" ht="15.75" customHeight="1">
      <c r="A14059" s="7"/>
      <c r="B14059" s="7"/>
      <c r="M14059" s="9" t="s">
        <v>24</v>
      </c>
    </row>
    <row r="14060" ht="15.75" customHeight="1">
      <c r="A14060" s="7"/>
      <c r="B14060" s="7"/>
      <c r="M14060" s="9" t="s">
        <v>21</v>
      </c>
    </row>
    <row r="14061" ht="15.75" customHeight="1">
      <c r="A14061" s="7"/>
      <c r="B14061" s="7"/>
      <c r="M14061" s="9" t="s">
        <v>31</v>
      </c>
    </row>
    <row r="14062" ht="15.75" customHeight="1">
      <c r="A14062" s="7"/>
      <c r="B14062" s="7"/>
      <c r="M14062" s="9" t="s">
        <v>24</v>
      </c>
    </row>
    <row r="14063" ht="15.75" customHeight="1">
      <c r="A14063" s="7"/>
      <c r="B14063" s="7"/>
      <c r="M14063" s="9" t="s">
        <v>20</v>
      </c>
    </row>
    <row r="14064" ht="15.75" customHeight="1">
      <c r="A14064" s="7"/>
      <c r="B14064" s="7"/>
      <c r="M14064" s="9" t="s">
        <v>21</v>
      </c>
    </row>
    <row r="14065" ht="15.75" customHeight="1">
      <c r="A14065" s="7"/>
      <c r="B14065" s="7"/>
      <c r="M14065" s="9" t="s">
        <v>22</v>
      </c>
    </row>
    <row r="14066" ht="15.75" customHeight="1">
      <c r="A14066" s="7"/>
      <c r="B14066" s="7"/>
      <c r="M14066" s="9" t="s">
        <v>29</v>
      </c>
    </row>
    <row r="14067" ht="15.75" customHeight="1">
      <c r="A14067" s="7"/>
      <c r="B14067" s="7"/>
      <c r="M14067" s="9" t="s">
        <v>27</v>
      </c>
    </row>
    <row r="14068" ht="15.75" customHeight="1">
      <c r="A14068" s="7"/>
      <c r="B14068" s="7"/>
      <c r="M14068" s="9" t="s">
        <v>30</v>
      </c>
    </row>
    <row r="14069" ht="15.75" customHeight="1">
      <c r="A14069" s="7"/>
      <c r="B14069" s="7"/>
      <c r="M14069" s="9" t="s">
        <v>24</v>
      </c>
    </row>
    <row r="14070" ht="15.75" customHeight="1">
      <c r="A14070" s="7"/>
      <c r="B14070" s="7"/>
      <c r="M14070" s="9" t="s">
        <v>21</v>
      </c>
    </row>
    <row r="14071" ht="15.75" customHeight="1">
      <c r="A14071" s="7"/>
      <c r="B14071" s="7"/>
      <c r="M14071" s="9" t="s">
        <v>24</v>
      </c>
    </row>
    <row r="14072" ht="15.75" customHeight="1">
      <c r="A14072" s="7"/>
      <c r="B14072" s="7"/>
      <c r="M14072" s="9" t="s">
        <v>21</v>
      </c>
    </row>
    <row r="14073" ht="15.75" customHeight="1">
      <c r="A14073" s="7"/>
      <c r="B14073" s="7"/>
      <c r="M14073" s="9" t="s">
        <v>37</v>
      </c>
    </row>
    <row r="14074" ht="15.75" customHeight="1">
      <c r="A14074" s="7"/>
      <c r="B14074" s="7"/>
      <c r="M14074" s="9" t="s">
        <v>27</v>
      </c>
    </row>
    <row r="14075" ht="15.75" customHeight="1">
      <c r="A14075" s="7"/>
      <c r="B14075" s="7"/>
      <c r="M14075" s="9" t="s">
        <v>30</v>
      </c>
    </row>
    <row r="14076" ht="15.75" customHeight="1">
      <c r="A14076" s="7"/>
      <c r="B14076" s="7"/>
      <c r="M14076" s="9" t="s">
        <v>23</v>
      </c>
    </row>
    <row r="14077" ht="15.75" customHeight="1">
      <c r="A14077" s="7"/>
      <c r="B14077" s="7"/>
      <c r="M14077" s="9" t="s">
        <v>36</v>
      </c>
    </row>
    <row r="14078" ht="15.75" customHeight="1">
      <c r="A14078" s="7"/>
      <c r="B14078" s="7"/>
      <c r="M14078" s="9" t="s">
        <v>20</v>
      </c>
    </row>
    <row r="14079" ht="15.75" customHeight="1">
      <c r="A14079" s="7"/>
      <c r="B14079" s="7"/>
      <c r="M14079" s="9" t="s">
        <v>32</v>
      </c>
    </row>
    <row r="14080" ht="15.75" customHeight="1">
      <c r="A14080" s="7"/>
      <c r="B14080" s="7"/>
      <c r="M14080" s="9" t="s">
        <v>26</v>
      </c>
    </row>
    <row r="14081" ht="15.75" customHeight="1">
      <c r="A14081" s="7"/>
      <c r="B14081" s="7"/>
      <c r="M14081" s="9" t="s">
        <v>24</v>
      </c>
    </row>
    <row r="14082" ht="15.75" customHeight="1">
      <c r="A14082" s="7"/>
      <c r="B14082" s="7"/>
      <c r="M14082" s="9" t="s">
        <v>21</v>
      </c>
    </row>
    <row r="14083" ht="15.75" customHeight="1">
      <c r="A14083" s="7"/>
      <c r="B14083" s="7"/>
      <c r="M14083" s="9" t="s">
        <v>27</v>
      </c>
    </row>
    <row r="14084" ht="15.75" customHeight="1">
      <c r="A14084" s="7"/>
      <c r="B14084" s="7"/>
      <c r="M14084" s="9" t="s">
        <v>36</v>
      </c>
    </row>
    <row r="14085" ht="15.75" customHeight="1">
      <c r="A14085" s="7"/>
      <c r="B14085" s="7"/>
      <c r="M14085" s="9" t="s">
        <v>31</v>
      </c>
    </row>
    <row r="14086" ht="15.75" customHeight="1">
      <c r="A14086" s="7"/>
      <c r="B14086" s="7"/>
      <c r="M14086" s="9" t="s">
        <v>33</v>
      </c>
    </row>
    <row r="14087" ht="15.75" customHeight="1">
      <c r="A14087" s="7"/>
      <c r="B14087" s="7"/>
      <c r="M14087" s="9" t="s">
        <v>38</v>
      </c>
    </row>
    <row r="14088" ht="15.75" customHeight="1">
      <c r="A14088" s="7"/>
      <c r="B14088" s="7"/>
      <c r="M14088" s="9" t="s">
        <v>30</v>
      </c>
    </row>
    <row r="14089" ht="15.75" customHeight="1">
      <c r="A14089" s="7"/>
      <c r="B14089" s="7"/>
      <c r="M14089" s="9" t="s">
        <v>25</v>
      </c>
    </row>
    <row r="14090" ht="15.75" customHeight="1">
      <c r="A14090" s="7"/>
      <c r="B14090" s="7"/>
      <c r="M14090" s="9" t="s">
        <v>23</v>
      </c>
    </row>
    <row r="14091" ht="15.75" customHeight="1">
      <c r="A14091" s="7"/>
      <c r="B14091" s="7"/>
      <c r="M14091" s="9" t="s">
        <v>26</v>
      </c>
    </row>
    <row r="14092" ht="15.75" customHeight="1">
      <c r="A14092" s="7"/>
      <c r="B14092" s="7"/>
      <c r="M14092" s="9" t="s">
        <v>36</v>
      </c>
    </row>
    <row r="14093" ht="15.75" customHeight="1">
      <c r="A14093" s="7"/>
      <c r="B14093" s="7"/>
      <c r="M14093" s="9" t="s">
        <v>24</v>
      </c>
    </row>
    <row r="14094" ht="15.75" customHeight="1">
      <c r="A14094" s="7"/>
      <c r="B14094" s="7"/>
      <c r="M14094" s="9" t="s">
        <v>20</v>
      </c>
    </row>
    <row r="14095" ht="15.75" customHeight="1">
      <c r="A14095" s="7"/>
      <c r="B14095" s="7"/>
      <c r="M14095" s="9" t="s">
        <v>21</v>
      </c>
    </row>
    <row r="14096" ht="15.75" customHeight="1">
      <c r="A14096" s="7"/>
      <c r="B14096" s="7"/>
      <c r="M14096" s="9" t="s">
        <v>39</v>
      </c>
    </row>
    <row r="14097" ht="15.75" customHeight="1">
      <c r="A14097" s="7"/>
      <c r="B14097" s="7"/>
      <c r="M14097" s="9" t="s">
        <v>37</v>
      </c>
    </row>
    <row r="14098" ht="15.75" customHeight="1">
      <c r="A14098" s="7"/>
      <c r="B14098" s="7"/>
      <c r="M14098" s="9" t="s">
        <v>22</v>
      </c>
    </row>
    <row r="14099" ht="15.75" customHeight="1">
      <c r="A14099" s="7"/>
      <c r="B14099" s="7"/>
      <c r="M14099" s="9" t="s">
        <v>27</v>
      </c>
    </row>
    <row r="14100" ht="15.75" customHeight="1">
      <c r="A14100" s="7"/>
      <c r="B14100" s="7"/>
      <c r="M14100" s="9" t="s">
        <v>28</v>
      </c>
    </row>
    <row r="14101" ht="15.75" customHeight="1">
      <c r="A14101" s="7"/>
      <c r="B14101" s="7"/>
      <c r="M14101" s="9" t="s">
        <v>23</v>
      </c>
    </row>
    <row r="14102" ht="15.75" customHeight="1">
      <c r="A14102" s="7"/>
      <c r="B14102" s="7"/>
      <c r="M14102" s="9" t="s">
        <v>26</v>
      </c>
    </row>
    <row r="14103" ht="15.75" customHeight="1">
      <c r="A14103" s="7"/>
      <c r="B14103" s="7"/>
      <c r="M14103" s="9" t="s">
        <v>24</v>
      </c>
    </row>
    <row r="14104" ht="15.75" customHeight="1">
      <c r="A14104" s="7"/>
      <c r="B14104" s="7"/>
      <c r="M14104" s="9" t="s">
        <v>20</v>
      </c>
    </row>
    <row r="14105" ht="15.75" customHeight="1">
      <c r="A14105" s="7"/>
      <c r="B14105" s="7"/>
      <c r="M14105" s="9" t="s">
        <v>21</v>
      </c>
    </row>
    <row r="14106" ht="15.75" customHeight="1">
      <c r="A14106" s="7"/>
      <c r="B14106" s="7"/>
      <c r="M14106" s="9" t="s">
        <v>27</v>
      </c>
    </row>
    <row r="14107" ht="15.75" customHeight="1">
      <c r="A14107" s="7"/>
      <c r="B14107" s="7"/>
      <c r="M14107" s="9" t="s">
        <v>38</v>
      </c>
    </row>
    <row r="14108" ht="15.75" customHeight="1">
      <c r="A14108" s="7"/>
      <c r="B14108" s="7"/>
      <c r="M14108" s="9" t="s">
        <v>30</v>
      </c>
    </row>
    <row r="14109" ht="15.75" customHeight="1">
      <c r="A14109" s="7"/>
      <c r="B14109" s="7"/>
      <c r="M14109" s="9" t="s">
        <v>25</v>
      </c>
    </row>
    <row r="14110" ht="15.75" customHeight="1">
      <c r="A14110" s="7"/>
      <c r="B14110" s="7"/>
      <c r="M14110" s="9" t="s">
        <v>23</v>
      </c>
    </row>
    <row r="14111" ht="15.75" customHeight="1">
      <c r="A14111" s="7"/>
      <c r="B14111" s="7"/>
      <c r="M14111" s="9" t="s">
        <v>47</v>
      </c>
    </row>
    <row r="14112" ht="15.75" customHeight="1">
      <c r="A14112" s="7"/>
      <c r="B14112" s="7"/>
      <c r="M14112" s="9" t="s">
        <v>42</v>
      </c>
    </row>
    <row r="14113" ht="15.75" customHeight="1">
      <c r="A14113" s="7"/>
      <c r="B14113" s="7"/>
      <c r="M14113" s="9" t="s">
        <v>43</v>
      </c>
    </row>
    <row r="14114" ht="15.75" customHeight="1">
      <c r="A14114" s="7"/>
      <c r="B14114" s="7"/>
      <c r="M14114" s="9" t="s">
        <v>36</v>
      </c>
    </row>
    <row r="14115" ht="15.75" customHeight="1">
      <c r="A14115" s="7"/>
      <c r="B14115" s="7"/>
      <c r="M14115" s="9" t="s">
        <v>24</v>
      </c>
    </row>
    <row r="14116" ht="15.75" customHeight="1">
      <c r="A14116" s="7"/>
      <c r="B14116" s="7"/>
      <c r="M14116" s="9" t="s">
        <v>20</v>
      </c>
    </row>
    <row r="14117" ht="15.75" customHeight="1">
      <c r="A14117" s="7"/>
      <c r="B14117" s="7"/>
      <c r="M14117" s="9" t="s">
        <v>21</v>
      </c>
    </row>
    <row r="14118" ht="15.75" customHeight="1">
      <c r="A14118" s="7"/>
      <c r="B14118" s="7"/>
      <c r="M14118" s="9" t="s">
        <v>31</v>
      </c>
    </row>
    <row r="14119" ht="15.75" customHeight="1">
      <c r="A14119" s="7"/>
      <c r="B14119" s="7"/>
      <c r="M14119" s="9" t="s">
        <v>32</v>
      </c>
    </row>
    <row r="14120" ht="15.75" customHeight="1">
      <c r="A14120" s="7"/>
      <c r="B14120" s="7"/>
      <c r="M14120" s="9" t="s">
        <v>33</v>
      </c>
    </row>
    <row r="14121" ht="15.75" customHeight="1">
      <c r="A14121" s="7"/>
      <c r="B14121" s="7"/>
      <c r="M14121" s="9" t="s">
        <v>34</v>
      </c>
    </row>
    <row r="14122" ht="15.75" customHeight="1">
      <c r="A14122" s="7"/>
      <c r="B14122" s="7"/>
      <c r="M14122" s="9" t="s">
        <v>30</v>
      </c>
    </row>
    <row r="14123" ht="15.75" customHeight="1">
      <c r="A14123" s="7"/>
      <c r="B14123" s="7"/>
      <c r="M14123" s="9" t="s">
        <v>24</v>
      </c>
    </row>
    <row r="14124" ht="15.75" customHeight="1">
      <c r="A14124" s="7"/>
      <c r="B14124" s="7"/>
      <c r="M14124" s="9" t="s">
        <v>20</v>
      </c>
    </row>
    <row r="14125" ht="15.75" customHeight="1">
      <c r="A14125" s="7"/>
      <c r="B14125" s="7"/>
      <c r="M14125" s="9" t="s">
        <v>21</v>
      </c>
    </row>
    <row r="14126" ht="15.75" customHeight="1">
      <c r="A14126" s="7"/>
      <c r="B14126" s="7"/>
      <c r="M14126" s="9" t="s">
        <v>37</v>
      </c>
    </row>
    <row r="14127" ht="15.75" customHeight="1">
      <c r="A14127" s="7"/>
      <c r="B14127" s="7"/>
      <c r="M14127" s="9" t="s">
        <v>27</v>
      </c>
    </row>
    <row r="14128" ht="15.75" customHeight="1">
      <c r="A14128" s="7"/>
      <c r="B14128" s="7"/>
      <c r="M14128" s="9" t="s">
        <v>20</v>
      </c>
    </row>
    <row r="14129" ht="15.75" customHeight="1">
      <c r="A14129" s="7"/>
      <c r="B14129" s="7"/>
      <c r="M14129" s="9" t="s">
        <v>27</v>
      </c>
    </row>
    <row r="14130" ht="15.75" customHeight="1">
      <c r="A14130" s="7"/>
      <c r="B14130" s="7"/>
      <c r="M14130" s="9" t="s">
        <v>24</v>
      </c>
    </row>
    <row r="14131" ht="15.75" customHeight="1">
      <c r="A14131" s="7"/>
      <c r="B14131" s="7"/>
      <c r="M14131" s="9" t="s">
        <v>20</v>
      </c>
    </row>
    <row r="14132" ht="15.75" customHeight="1">
      <c r="A14132" s="7"/>
      <c r="B14132" s="7"/>
      <c r="M14132" s="9" t="s">
        <v>21</v>
      </c>
    </row>
    <row r="14133" ht="15.75" customHeight="1">
      <c r="A14133" s="7"/>
      <c r="B14133" s="7"/>
      <c r="M14133" s="9" t="s">
        <v>20</v>
      </c>
    </row>
    <row r="14134" ht="15.75" customHeight="1">
      <c r="A14134" s="7"/>
      <c r="B14134" s="7"/>
      <c r="M14134" s="9" t="s">
        <v>37</v>
      </c>
    </row>
    <row r="14135" ht="15.75" customHeight="1">
      <c r="A14135" s="7"/>
      <c r="B14135" s="7"/>
      <c r="M14135" s="9" t="s">
        <v>22</v>
      </c>
    </row>
    <row r="14136" ht="15.75" customHeight="1">
      <c r="A14136" s="7"/>
      <c r="B14136" s="7"/>
      <c r="M14136" s="9" t="s">
        <v>24</v>
      </c>
    </row>
    <row r="14137" ht="15.75" customHeight="1">
      <c r="A14137" s="7"/>
      <c r="B14137" s="7"/>
      <c r="M14137" s="9" t="s">
        <v>21</v>
      </c>
    </row>
    <row r="14138" ht="15.75" customHeight="1">
      <c r="A14138" s="7"/>
      <c r="B14138" s="7"/>
      <c r="M14138" s="9" t="s">
        <v>27</v>
      </c>
    </row>
    <row r="14139" ht="15.75" customHeight="1">
      <c r="A14139" s="7"/>
      <c r="B14139" s="7"/>
      <c r="M14139" s="9" t="s">
        <v>36</v>
      </c>
    </row>
    <row r="14140" ht="15.75" customHeight="1">
      <c r="A14140" s="7"/>
      <c r="B14140" s="7"/>
      <c r="M14140" s="9" t="s">
        <v>35</v>
      </c>
    </row>
    <row r="14141" ht="15.75" customHeight="1">
      <c r="A14141" s="7"/>
      <c r="B14141" s="7"/>
      <c r="M14141" s="9" t="s">
        <v>24</v>
      </c>
    </row>
    <row r="14142" ht="15.75" customHeight="1">
      <c r="A14142" s="7"/>
      <c r="B14142" s="7"/>
      <c r="M14142" s="9" t="s">
        <v>21</v>
      </c>
    </row>
    <row r="14143" ht="15.75" customHeight="1">
      <c r="A14143" s="7"/>
      <c r="B14143" s="7"/>
      <c r="M14143" s="9" t="s">
        <v>30</v>
      </c>
    </row>
    <row r="14144" ht="15.75" customHeight="1">
      <c r="A14144" s="7"/>
      <c r="B14144" s="7"/>
      <c r="M14144" s="9" t="s">
        <v>26</v>
      </c>
    </row>
    <row r="14145" ht="15.75" customHeight="1">
      <c r="A14145" s="7"/>
      <c r="B14145" s="7"/>
      <c r="M14145" s="9" t="s">
        <v>24</v>
      </c>
    </row>
    <row r="14146" ht="15.75" customHeight="1">
      <c r="A14146" s="7"/>
      <c r="B14146" s="7"/>
      <c r="M14146" s="9" t="s">
        <v>21</v>
      </c>
    </row>
    <row r="14147" ht="15.75" customHeight="1">
      <c r="A14147" s="7"/>
      <c r="B14147" s="7"/>
      <c r="M14147" s="9" t="s">
        <v>27</v>
      </c>
    </row>
    <row r="14148" ht="15.75" customHeight="1">
      <c r="A14148" s="7"/>
      <c r="B14148" s="7"/>
      <c r="M14148" s="9" t="s">
        <v>33</v>
      </c>
    </row>
    <row r="14149" ht="15.75" customHeight="1">
      <c r="A14149" s="7"/>
      <c r="B14149" s="7"/>
      <c r="M14149" s="9" t="s">
        <v>25</v>
      </c>
    </row>
    <row r="14150" ht="15.75" customHeight="1">
      <c r="A14150" s="7"/>
      <c r="B14150" s="7"/>
      <c r="M14150" s="9" t="s">
        <v>23</v>
      </c>
    </row>
    <row r="14151" ht="15.75" customHeight="1">
      <c r="A14151" s="7"/>
      <c r="B14151" s="7"/>
      <c r="M14151" s="9" t="s">
        <v>26</v>
      </c>
    </row>
    <row r="14152" ht="15.75" customHeight="1">
      <c r="A14152" s="7"/>
      <c r="B14152" s="7"/>
      <c r="M14152" s="9" t="s">
        <v>36</v>
      </c>
    </row>
    <row r="14153" ht="15.75" customHeight="1">
      <c r="A14153" s="7"/>
      <c r="B14153" s="7"/>
      <c r="M14153" s="9" t="s">
        <v>24</v>
      </c>
    </row>
    <row r="14154" ht="15.75" customHeight="1">
      <c r="A14154" s="7"/>
      <c r="B14154" s="7"/>
      <c r="M14154" s="9" t="s">
        <v>20</v>
      </c>
    </row>
    <row r="14155" ht="15.75" customHeight="1">
      <c r="A14155" s="7"/>
      <c r="B14155" s="7"/>
      <c r="M14155" s="9" t="s">
        <v>21</v>
      </c>
    </row>
    <row r="14156" ht="15.75" customHeight="1">
      <c r="A14156" s="7"/>
      <c r="B14156" s="7"/>
      <c r="M14156" s="9" t="s">
        <v>41</v>
      </c>
    </row>
    <row r="14157" ht="15.75" customHeight="1">
      <c r="A14157" s="7"/>
      <c r="B14157" s="7"/>
      <c r="M14157" s="9" t="s">
        <v>37</v>
      </c>
    </row>
    <row r="14158" ht="15.75" customHeight="1">
      <c r="A14158" s="7"/>
      <c r="B14158" s="7"/>
      <c r="M14158" s="9" t="s">
        <v>22</v>
      </c>
    </row>
    <row r="14159" ht="15.75" customHeight="1">
      <c r="A14159" s="7"/>
      <c r="B14159" s="7"/>
      <c r="M14159" s="9" t="s">
        <v>31</v>
      </c>
    </row>
    <row r="14160" ht="15.75" customHeight="1">
      <c r="A14160" s="7"/>
      <c r="B14160" s="7"/>
      <c r="M14160" s="9" t="s">
        <v>27</v>
      </c>
    </row>
    <row r="14161" ht="15.75" customHeight="1">
      <c r="A14161" s="7"/>
      <c r="B14161" s="7"/>
      <c r="M14161" s="9" t="s">
        <v>40</v>
      </c>
    </row>
    <row r="14162" ht="15.75" customHeight="1">
      <c r="A14162" s="7"/>
      <c r="B14162" s="7"/>
      <c r="M14162" s="9" t="s">
        <v>33</v>
      </c>
    </row>
    <row r="14163" ht="15.75" customHeight="1">
      <c r="A14163" s="7"/>
      <c r="B14163" s="7"/>
      <c r="M14163" s="9" t="s">
        <v>23</v>
      </c>
    </row>
    <row r="14164" ht="15.75" customHeight="1">
      <c r="A14164" s="7"/>
      <c r="B14164" s="7"/>
      <c r="M14164" s="9" t="s">
        <v>26</v>
      </c>
    </row>
    <row r="14165" ht="15.75" customHeight="1">
      <c r="A14165" s="7"/>
      <c r="B14165" s="7"/>
      <c r="M14165" s="9" t="s">
        <v>45</v>
      </c>
    </row>
    <row r="14166" ht="15.75" customHeight="1">
      <c r="A14166" s="7"/>
      <c r="B14166" s="7"/>
      <c r="M14166" s="9" t="s">
        <v>24</v>
      </c>
    </row>
    <row r="14167" ht="15.75" customHeight="1">
      <c r="A14167" s="7"/>
      <c r="B14167" s="7"/>
      <c r="M14167" s="9" t="s">
        <v>21</v>
      </c>
    </row>
    <row r="14168" ht="15.75" customHeight="1">
      <c r="A14168" s="7"/>
      <c r="B14168" s="7"/>
      <c r="M14168" s="9" t="s">
        <v>33</v>
      </c>
    </row>
    <row r="14169" ht="15.75" customHeight="1">
      <c r="A14169" s="7"/>
      <c r="B14169" s="7"/>
      <c r="M14169" s="9" t="s">
        <v>34</v>
      </c>
    </row>
    <row r="14170" ht="15.75" customHeight="1">
      <c r="A14170" s="7"/>
      <c r="B14170" s="7"/>
      <c r="M14170" s="9" t="s">
        <v>30</v>
      </c>
    </row>
    <row r="14171" ht="15.75" customHeight="1">
      <c r="A14171" s="7"/>
      <c r="B14171" s="7"/>
      <c r="M14171" s="9" t="s">
        <v>24</v>
      </c>
    </row>
    <row r="14172" ht="15.75" customHeight="1">
      <c r="A14172" s="7"/>
      <c r="B14172" s="7"/>
      <c r="M14172" s="9" t="s">
        <v>21</v>
      </c>
    </row>
    <row r="14173" ht="15.75" customHeight="1">
      <c r="A14173" s="7"/>
      <c r="B14173" s="7"/>
      <c r="M14173" s="9" t="s">
        <v>22</v>
      </c>
    </row>
    <row r="14174" ht="15.75" customHeight="1">
      <c r="A14174" s="7"/>
      <c r="B14174" s="7"/>
      <c r="M14174" s="9" t="s">
        <v>29</v>
      </c>
    </row>
    <row r="14175" ht="15.75" customHeight="1">
      <c r="A14175" s="7"/>
      <c r="B14175" s="7"/>
      <c r="M14175" s="9" t="s">
        <v>27</v>
      </c>
    </row>
    <row r="14176" ht="15.75" customHeight="1">
      <c r="A14176" s="7"/>
      <c r="B14176" s="7"/>
      <c r="M14176" s="9" t="s">
        <v>20</v>
      </c>
    </row>
    <row r="14177" ht="15.75" customHeight="1">
      <c r="A14177" s="7"/>
      <c r="B14177" s="7"/>
      <c r="M14177" s="9" t="s">
        <v>21</v>
      </c>
    </row>
    <row r="14178" ht="15.75" customHeight="1">
      <c r="A14178" s="7"/>
      <c r="B14178" s="7"/>
      <c r="M14178" s="9" t="s">
        <v>33</v>
      </c>
    </row>
    <row r="14179" ht="15.75" customHeight="1">
      <c r="A14179" s="7"/>
      <c r="B14179" s="7"/>
      <c r="M14179" s="9" t="s">
        <v>30</v>
      </c>
    </row>
    <row r="14180" ht="15.75" customHeight="1">
      <c r="A14180" s="7"/>
      <c r="B14180" s="7"/>
      <c r="M14180" s="9" t="s">
        <v>24</v>
      </c>
    </row>
    <row r="14181" ht="15.75" customHeight="1">
      <c r="A14181" s="7"/>
      <c r="B14181" s="7"/>
      <c r="M14181" s="9" t="s">
        <v>20</v>
      </c>
    </row>
    <row r="14182" ht="15.75" customHeight="1">
      <c r="A14182" s="7"/>
      <c r="B14182" s="7"/>
      <c r="M14182" s="9" t="s">
        <v>21</v>
      </c>
    </row>
    <row r="14183" ht="15.75" customHeight="1">
      <c r="A14183" s="7"/>
      <c r="B14183" s="7"/>
      <c r="M14183" s="9" t="s">
        <v>37</v>
      </c>
    </row>
    <row r="14184" ht="15.75" customHeight="1">
      <c r="A14184" s="7"/>
      <c r="B14184" s="7"/>
      <c r="M14184" s="9" t="s">
        <v>22</v>
      </c>
    </row>
    <row r="14185" ht="15.75" customHeight="1">
      <c r="A14185" s="7"/>
      <c r="B14185" s="7"/>
      <c r="M14185" s="9" t="s">
        <v>27</v>
      </c>
    </row>
    <row r="14186" ht="15.75" customHeight="1">
      <c r="A14186" s="7"/>
      <c r="B14186" s="7"/>
      <c r="M14186" s="9" t="s">
        <v>20</v>
      </c>
    </row>
    <row r="14187" ht="15.75" customHeight="1">
      <c r="A14187" s="7"/>
      <c r="B14187" s="7"/>
      <c r="M14187" s="9" t="s">
        <v>21</v>
      </c>
    </row>
    <row r="14188" ht="15.75" customHeight="1">
      <c r="A14188" s="7"/>
      <c r="B14188" s="7"/>
      <c r="M14188" s="9" t="s">
        <v>46</v>
      </c>
    </row>
    <row r="14189" ht="15.75" customHeight="1">
      <c r="A14189" s="7"/>
      <c r="B14189" s="7"/>
      <c r="M14189" s="9" t="s">
        <v>33</v>
      </c>
    </row>
    <row r="14190" ht="15.75" customHeight="1">
      <c r="A14190" s="7"/>
      <c r="B14190" s="7"/>
      <c r="M14190" s="9" t="s">
        <v>21</v>
      </c>
    </row>
    <row r="14191" ht="15.75" customHeight="1">
      <c r="A14191" s="7"/>
      <c r="B14191" s="7"/>
      <c r="M14191" s="9" t="s">
        <v>24</v>
      </c>
    </row>
    <row r="14192" ht="15.75" customHeight="1">
      <c r="A14192" s="7"/>
      <c r="B14192" s="7"/>
      <c r="M14192" s="9" t="s">
        <v>20</v>
      </c>
    </row>
    <row r="14193" ht="15.75" customHeight="1">
      <c r="A14193" s="7"/>
      <c r="B14193" s="7"/>
      <c r="M14193" s="9" t="s">
        <v>21</v>
      </c>
    </row>
    <row r="14194" ht="15.75" customHeight="1">
      <c r="A14194" s="7"/>
      <c r="B14194" s="7"/>
      <c r="M14194" s="9" t="s">
        <v>27</v>
      </c>
    </row>
    <row r="14195" ht="15.75" customHeight="1">
      <c r="A14195" s="7"/>
      <c r="B14195" s="7"/>
      <c r="M14195" s="9" t="s">
        <v>35</v>
      </c>
    </row>
    <row r="14196" ht="15.75" customHeight="1">
      <c r="A14196" s="7"/>
      <c r="B14196" s="7"/>
      <c r="M14196" s="9" t="s">
        <v>26</v>
      </c>
    </row>
    <row r="14197" ht="15.75" customHeight="1">
      <c r="A14197" s="7"/>
      <c r="B14197" s="7"/>
      <c r="M14197" s="9" t="s">
        <v>24</v>
      </c>
    </row>
    <row r="14198" ht="15.75" customHeight="1">
      <c r="A14198" s="7"/>
      <c r="B14198" s="7"/>
      <c r="M14198" s="9" t="s">
        <v>21</v>
      </c>
    </row>
    <row r="14199" ht="15.75" customHeight="1">
      <c r="A14199" s="7"/>
      <c r="B14199" s="7"/>
      <c r="M14199" s="9" t="s">
        <v>33</v>
      </c>
    </row>
    <row r="14200" ht="15.75" customHeight="1">
      <c r="A14200" s="7"/>
      <c r="B14200" s="7"/>
      <c r="M14200" s="9" t="s">
        <v>30</v>
      </c>
    </row>
    <row r="14201" ht="15.75" customHeight="1">
      <c r="A14201" s="7"/>
      <c r="B14201" s="7"/>
      <c r="M14201" s="9" t="s">
        <v>24</v>
      </c>
    </row>
    <row r="14202" ht="15.75" customHeight="1">
      <c r="A14202" s="7"/>
      <c r="B14202" s="7"/>
      <c r="M14202" s="9" t="s">
        <v>21</v>
      </c>
    </row>
    <row r="14203" ht="15.75" customHeight="1">
      <c r="A14203" s="7"/>
      <c r="B14203" s="7"/>
      <c r="M14203" s="9" t="s">
        <v>22</v>
      </c>
    </row>
    <row r="14204" ht="15.75" customHeight="1">
      <c r="A14204" s="7"/>
      <c r="B14204" s="7"/>
      <c r="M14204" s="9" t="s">
        <v>31</v>
      </c>
    </row>
    <row r="14205" ht="15.75" customHeight="1">
      <c r="A14205" s="7"/>
      <c r="B14205" s="7"/>
      <c r="M14205" s="9" t="s">
        <v>47</v>
      </c>
    </row>
    <row r="14206" ht="15.75" customHeight="1">
      <c r="A14206" s="7"/>
      <c r="B14206" s="7"/>
      <c r="M14206" s="9" t="s">
        <v>20</v>
      </c>
    </row>
    <row r="14207" ht="15.75" customHeight="1">
      <c r="A14207" s="7"/>
      <c r="B14207" s="7"/>
      <c r="M14207" s="9" t="s">
        <v>21</v>
      </c>
    </row>
    <row r="14208" ht="15.75" customHeight="1">
      <c r="A14208" s="7"/>
      <c r="B14208" s="7"/>
      <c r="M14208" s="9" t="s">
        <v>27</v>
      </c>
    </row>
    <row r="14209" ht="15.75" customHeight="1">
      <c r="A14209" s="7"/>
      <c r="B14209" s="7"/>
      <c r="M14209" s="9" t="s">
        <v>33</v>
      </c>
    </row>
    <row r="14210" ht="15.75" customHeight="1">
      <c r="A14210" s="7"/>
      <c r="B14210" s="7"/>
      <c r="M14210" s="9" t="s">
        <v>21</v>
      </c>
    </row>
    <row r="14211" ht="15.75" customHeight="1">
      <c r="A14211" s="7"/>
      <c r="B14211" s="7"/>
      <c r="M14211" s="9" t="s">
        <v>22</v>
      </c>
    </row>
    <row r="14212" ht="15.75" customHeight="1">
      <c r="A14212" s="7"/>
      <c r="B14212" s="7"/>
      <c r="M14212" s="9" t="s">
        <v>33</v>
      </c>
    </row>
    <row r="14213" ht="15.75" customHeight="1">
      <c r="A14213" s="7"/>
      <c r="B14213" s="7"/>
      <c r="M14213" s="9" t="s">
        <v>24</v>
      </c>
    </row>
    <row r="14214" ht="15.75" customHeight="1">
      <c r="A14214" s="7"/>
      <c r="B14214" s="7"/>
      <c r="M14214" s="9" t="s">
        <v>21</v>
      </c>
    </row>
    <row r="14215" ht="15.75" customHeight="1">
      <c r="A14215" s="7"/>
      <c r="B14215" s="7"/>
      <c r="M14215" s="9" t="s">
        <v>31</v>
      </c>
    </row>
    <row r="14216" ht="15.75" customHeight="1">
      <c r="A14216" s="7"/>
      <c r="B14216" s="7"/>
      <c r="M14216" s="9" t="s">
        <v>27</v>
      </c>
    </row>
    <row r="14217" ht="15.75" customHeight="1">
      <c r="A14217" s="7"/>
      <c r="B14217" s="7"/>
      <c r="M14217" s="9" t="s">
        <v>22</v>
      </c>
    </row>
    <row r="14218" ht="15.75" customHeight="1">
      <c r="A14218" s="7"/>
      <c r="B14218" s="7"/>
      <c r="M14218" s="9" t="s">
        <v>27</v>
      </c>
    </row>
    <row r="14219" ht="15.75" customHeight="1">
      <c r="A14219" s="7"/>
      <c r="B14219" s="7"/>
      <c r="M14219" s="9" t="s">
        <v>23</v>
      </c>
    </row>
    <row r="14220" ht="15.75" customHeight="1">
      <c r="A14220" s="7"/>
      <c r="B14220" s="7"/>
      <c r="M14220" s="9" t="s">
        <v>23</v>
      </c>
    </row>
    <row r="14221" ht="15.75" customHeight="1">
      <c r="A14221" s="7"/>
      <c r="B14221" s="7"/>
      <c r="M14221" s="9" t="s">
        <v>24</v>
      </c>
    </row>
    <row r="14222" ht="15.75" customHeight="1">
      <c r="A14222" s="7"/>
      <c r="B14222" s="7"/>
      <c r="M14222" s="9" t="s">
        <v>20</v>
      </c>
    </row>
    <row r="14223" ht="15.75" customHeight="1">
      <c r="A14223" s="7"/>
      <c r="B14223" s="7"/>
      <c r="M14223" s="9" t="s">
        <v>37</v>
      </c>
    </row>
    <row r="14224" ht="15.75" customHeight="1">
      <c r="A14224" s="7"/>
      <c r="B14224" s="7"/>
      <c r="M14224" s="9" t="s">
        <v>27</v>
      </c>
    </row>
    <row r="14225" ht="15.75" customHeight="1">
      <c r="A14225" s="7"/>
      <c r="B14225" s="7"/>
      <c r="M14225" s="9" t="s">
        <v>30</v>
      </c>
    </row>
    <row r="14226" ht="15.75" customHeight="1">
      <c r="A14226" s="7"/>
      <c r="B14226" s="7"/>
      <c r="M14226" s="9" t="s">
        <v>26</v>
      </c>
    </row>
    <row r="14227" ht="15.75" customHeight="1">
      <c r="A14227" s="7"/>
      <c r="B14227" s="7"/>
      <c r="M14227" s="9" t="s">
        <v>22</v>
      </c>
    </row>
    <row r="14228" ht="15.75" customHeight="1">
      <c r="A14228" s="7"/>
      <c r="B14228" s="7"/>
      <c r="M14228" s="9" t="s">
        <v>27</v>
      </c>
    </row>
    <row r="14229" ht="15.75" customHeight="1">
      <c r="A14229" s="7"/>
      <c r="B14229" s="7"/>
      <c r="M14229" s="9" t="s">
        <v>26</v>
      </c>
    </row>
    <row r="14230" ht="15.75" customHeight="1">
      <c r="A14230" s="7"/>
      <c r="B14230" s="7"/>
      <c r="M14230" s="9" t="s">
        <v>24</v>
      </c>
    </row>
    <row r="14231" ht="15.75" customHeight="1">
      <c r="A14231" s="7"/>
      <c r="B14231" s="7"/>
      <c r="M14231" s="9" t="s">
        <v>21</v>
      </c>
    </row>
    <row r="14232" ht="15.75" customHeight="1">
      <c r="A14232" s="7"/>
      <c r="B14232" s="7"/>
      <c r="M14232" s="9" t="s">
        <v>25</v>
      </c>
    </row>
    <row r="14233" ht="15.75" customHeight="1">
      <c r="A14233" s="7"/>
      <c r="B14233" s="7"/>
      <c r="M14233" s="9" t="s">
        <v>23</v>
      </c>
    </row>
    <row r="14234" ht="15.75" customHeight="1">
      <c r="A14234" s="7"/>
      <c r="B14234" s="7"/>
      <c r="M14234" s="9" t="s">
        <v>24</v>
      </c>
    </row>
    <row r="14235" ht="15.75" customHeight="1">
      <c r="A14235" s="7"/>
      <c r="B14235" s="7"/>
      <c r="M14235" s="9" t="s">
        <v>20</v>
      </c>
    </row>
    <row r="14236" ht="15.75" customHeight="1">
      <c r="A14236" s="7"/>
      <c r="B14236" s="7"/>
      <c r="M14236" s="9" t="s">
        <v>22</v>
      </c>
    </row>
    <row r="14237" ht="15.75" customHeight="1">
      <c r="A14237" s="7"/>
      <c r="B14237" s="7"/>
      <c r="M14237" s="9" t="s">
        <v>27</v>
      </c>
    </row>
    <row r="14238" ht="15.75" customHeight="1">
      <c r="A14238" s="7"/>
      <c r="B14238" s="7"/>
      <c r="M14238" s="9" t="s">
        <v>30</v>
      </c>
    </row>
    <row r="14239" ht="15.75" customHeight="1">
      <c r="A14239" s="7"/>
      <c r="B14239" s="7"/>
      <c r="M14239" s="9" t="s">
        <v>24</v>
      </c>
    </row>
    <row r="14240" ht="15.75" customHeight="1">
      <c r="A14240" s="7"/>
      <c r="B14240" s="7"/>
      <c r="M14240" s="9" t="s">
        <v>21</v>
      </c>
    </row>
    <row r="14241" ht="15.75" customHeight="1">
      <c r="A14241" s="7"/>
      <c r="B14241" s="7"/>
      <c r="M14241" s="9" t="s">
        <v>37</v>
      </c>
    </row>
    <row r="14242" ht="15.75" customHeight="1">
      <c r="A14242" s="7"/>
      <c r="B14242" s="7"/>
      <c r="M14242" s="9" t="s">
        <v>20</v>
      </c>
    </row>
    <row r="14243" ht="15.75" customHeight="1">
      <c r="A14243" s="7"/>
      <c r="B14243" s="7"/>
      <c r="M14243" s="9" t="s">
        <v>22</v>
      </c>
    </row>
    <row r="14244" ht="15.75" customHeight="1">
      <c r="A14244" s="7"/>
      <c r="B14244" s="7"/>
      <c r="M14244" s="9" t="s">
        <v>29</v>
      </c>
    </row>
    <row r="14245" ht="15.75" customHeight="1">
      <c r="A14245" s="7"/>
      <c r="B14245" s="7"/>
      <c r="M14245" s="9" t="s">
        <v>27</v>
      </c>
    </row>
    <row r="14246" ht="15.75" customHeight="1">
      <c r="A14246" s="7"/>
      <c r="B14246" s="7"/>
      <c r="M14246" s="9" t="s">
        <v>28</v>
      </c>
    </row>
    <row r="14247" ht="15.75" customHeight="1">
      <c r="A14247" s="7"/>
      <c r="B14247" s="7"/>
      <c r="M14247" s="9" t="s">
        <v>38</v>
      </c>
    </row>
    <row r="14248" ht="15.75" customHeight="1">
      <c r="A14248" s="7"/>
      <c r="B14248" s="7"/>
      <c r="M14248" s="9" t="s">
        <v>20</v>
      </c>
    </row>
    <row r="14249" ht="15.75" customHeight="1">
      <c r="A14249" s="7"/>
      <c r="B14249" s="7"/>
      <c r="M14249" s="9" t="s">
        <v>25</v>
      </c>
    </row>
    <row r="14250" ht="15.75" customHeight="1">
      <c r="A14250" s="7"/>
      <c r="B14250" s="7"/>
      <c r="M14250" s="9" t="s">
        <v>23</v>
      </c>
    </row>
    <row r="14251" ht="15.75" customHeight="1">
      <c r="A14251" s="7"/>
      <c r="B14251" s="7"/>
      <c r="M14251" s="9" t="s">
        <v>24</v>
      </c>
    </row>
    <row r="14252" ht="15.75" customHeight="1">
      <c r="A14252" s="7"/>
      <c r="B14252" s="7"/>
      <c r="M14252" s="9" t="s">
        <v>21</v>
      </c>
    </row>
    <row r="14253" ht="15.75" customHeight="1">
      <c r="A14253" s="7"/>
      <c r="B14253" s="7"/>
      <c r="M14253" s="9" t="s">
        <v>22</v>
      </c>
    </row>
    <row r="14254" ht="15.75" customHeight="1">
      <c r="A14254" s="7"/>
      <c r="B14254" s="7"/>
      <c r="M14254" s="9" t="s">
        <v>27</v>
      </c>
    </row>
    <row r="14255" ht="15.75" customHeight="1">
      <c r="A14255" s="7"/>
      <c r="B14255" s="7"/>
      <c r="M14255" s="9" t="s">
        <v>26</v>
      </c>
    </row>
    <row r="14256" ht="15.75" customHeight="1">
      <c r="A14256" s="7"/>
      <c r="B14256" s="7"/>
      <c r="M14256" s="9" t="s">
        <v>24</v>
      </c>
    </row>
    <row r="14257" ht="15.75" customHeight="1">
      <c r="A14257" s="7"/>
      <c r="B14257" s="7"/>
      <c r="M14257" s="9" t="s">
        <v>21</v>
      </c>
    </row>
    <row r="14258" ht="15.75" customHeight="1">
      <c r="A14258" s="7"/>
      <c r="B14258" s="7"/>
      <c r="M14258" s="9" t="s">
        <v>27</v>
      </c>
    </row>
    <row r="14259" ht="15.75" customHeight="1">
      <c r="A14259" s="7"/>
      <c r="B14259" s="7"/>
      <c r="M14259" s="9" t="s">
        <v>24</v>
      </c>
    </row>
    <row r="14260" ht="15.75" customHeight="1">
      <c r="A14260" s="7"/>
      <c r="B14260" s="7"/>
      <c r="M14260" s="9" t="s">
        <v>21</v>
      </c>
    </row>
    <row r="14261" ht="15.75" customHeight="1">
      <c r="A14261" s="7"/>
      <c r="B14261" s="7"/>
      <c r="M14261" s="9" t="s">
        <v>22</v>
      </c>
    </row>
    <row r="14262" ht="15.75" customHeight="1">
      <c r="A14262" s="7"/>
      <c r="B14262" s="7"/>
      <c r="M14262" s="9" t="s">
        <v>27</v>
      </c>
    </row>
    <row r="14263" ht="15.75" customHeight="1">
      <c r="A14263" s="7"/>
      <c r="B14263" s="7"/>
      <c r="M14263" s="9" t="s">
        <v>26</v>
      </c>
    </row>
    <row r="14264" ht="15.75" customHeight="1">
      <c r="A14264" s="7"/>
      <c r="B14264" s="7"/>
      <c r="M14264" s="9" t="s">
        <v>24</v>
      </c>
    </row>
    <row r="14265" ht="15.75" customHeight="1">
      <c r="A14265" s="7"/>
      <c r="B14265" s="7"/>
      <c r="M14265" s="9" t="s">
        <v>20</v>
      </c>
    </row>
    <row r="14266" ht="15.75" customHeight="1">
      <c r="A14266" s="7"/>
      <c r="B14266" s="7"/>
      <c r="M14266" s="9" t="s">
        <v>21</v>
      </c>
    </row>
    <row r="14267" ht="15.75" customHeight="1">
      <c r="A14267" s="7"/>
      <c r="B14267" s="7"/>
      <c r="M14267" s="9" t="s">
        <v>37</v>
      </c>
    </row>
    <row r="14268" ht="15.75" customHeight="1">
      <c r="A14268" s="7"/>
      <c r="B14268" s="7"/>
      <c r="M14268" s="9" t="s">
        <v>27</v>
      </c>
    </row>
    <row r="14269" ht="15.75" customHeight="1">
      <c r="A14269" s="7"/>
      <c r="B14269" s="7"/>
      <c r="M14269" s="9" t="s">
        <v>30</v>
      </c>
    </row>
    <row r="14270" ht="15.75" customHeight="1">
      <c r="A14270" s="7"/>
      <c r="B14270" s="7"/>
      <c r="M14270" s="9" t="s">
        <v>24</v>
      </c>
    </row>
    <row r="14271" ht="15.75" customHeight="1">
      <c r="A14271" s="7"/>
      <c r="B14271" s="7"/>
      <c r="M14271" s="9" t="s">
        <v>21</v>
      </c>
    </row>
    <row r="14272" ht="15.75" customHeight="1">
      <c r="A14272" s="7"/>
      <c r="B14272" s="7"/>
      <c r="M14272" s="9" t="s">
        <v>31</v>
      </c>
    </row>
    <row r="14273" ht="15.75" customHeight="1">
      <c r="A14273" s="7"/>
      <c r="B14273" s="7"/>
      <c r="M14273" s="9" t="s">
        <v>30</v>
      </c>
    </row>
    <row r="14274" ht="15.75" customHeight="1">
      <c r="A14274" s="7"/>
      <c r="B14274" s="7"/>
      <c r="M14274" s="9" t="s">
        <v>26</v>
      </c>
    </row>
    <row r="14275" ht="15.75" customHeight="1">
      <c r="A14275" s="7"/>
      <c r="B14275" s="7"/>
      <c r="M14275" s="9" t="s">
        <v>24</v>
      </c>
    </row>
    <row r="14276" ht="15.75" customHeight="1">
      <c r="A14276" s="7"/>
      <c r="B14276" s="7"/>
      <c r="M14276" s="9" t="s">
        <v>21</v>
      </c>
    </row>
    <row r="14277" ht="15.75" customHeight="1">
      <c r="A14277" s="7"/>
      <c r="B14277" s="7"/>
      <c r="M14277" s="9" t="s">
        <v>22</v>
      </c>
    </row>
    <row r="14278" ht="15.75" customHeight="1">
      <c r="A14278" s="7"/>
      <c r="B14278" s="7"/>
      <c r="M14278" s="9" t="s">
        <v>29</v>
      </c>
    </row>
    <row r="14279" ht="15.75" customHeight="1">
      <c r="A14279" s="7"/>
      <c r="B14279" s="7"/>
      <c r="M14279" s="9" t="s">
        <v>27</v>
      </c>
    </row>
    <row r="14280" ht="15.75" customHeight="1">
      <c r="A14280" s="7"/>
      <c r="B14280" s="7"/>
      <c r="M14280" s="9" t="s">
        <v>24</v>
      </c>
    </row>
    <row r="14281" ht="15.75" customHeight="1">
      <c r="A14281" s="7"/>
      <c r="B14281" s="7"/>
      <c r="M14281" s="9" t="s">
        <v>20</v>
      </c>
    </row>
    <row r="14282" ht="15.75" customHeight="1">
      <c r="A14282" s="7"/>
      <c r="B14282" s="7"/>
      <c r="M14282" s="9" t="s">
        <v>21</v>
      </c>
    </row>
    <row r="14283" ht="15.75" customHeight="1">
      <c r="A14283" s="7"/>
      <c r="B14283" s="7"/>
      <c r="M14283" s="9" t="s">
        <v>24</v>
      </c>
    </row>
    <row r="14284" ht="15.75" customHeight="1">
      <c r="A14284" s="7"/>
      <c r="B14284" s="7"/>
      <c r="M14284" s="9" t="s">
        <v>20</v>
      </c>
    </row>
    <row r="14285" ht="15.75" customHeight="1">
      <c r="A14285" s="7"/>
      <c r="B14285" s="7"/>
      <c r="M14285" s="9" t="s">
        <v>21</v>
      </c>
    </row>
    <row r="14286" ht="15.75" customHeight="1">
      <c r="A14286" s="7"/>
      <c r="B14286" s="7"/>
      <c r="M14286" s="9" t="s">
        <v>37</v>
      </c>
    </row>
    <row r="14287" ht="15.75" customHeight="1">
      <c r="A14287" s="7"/>
      <c r="B14287" s="7"/>
      <c r="M14287" s="9" t="s">
        <v>22</v>
      </c>
    </row>
    <row r="14288" ht="15.75" customHeight="1">
      <c r="A14288" s="7"/>
      <c r="B14288" s="7"/>
      <c r="M14288" s="9" t="s">
        <v>27</v>
      </c>
    </row>
    <row r="14289" ht="15.75" customHeight="1">
      <c r="A14289" s="7"/>
      <c r="B14289" s="7"/>
      <c r="M14289" s="9" t="s">
        <v>33</v>
      </c>
    </row>
    <row r="14290" ht="15.75" customHeight="1">
      <c r="A14290" s="7"/>
      <c r="B14290" s="7"/>
      <c r="M14290" s="9" t="s">
        <v>30</v>
      </c>
    </row>
    <row r="14291" ht="15.75" customHeight="1">
      <c r="A14291" s="7"/>
      <c r="B14291" s="7"/>
      <c r="M14291" s="9" t="s">
        <v>36</v>
      </c>
    </row>
    <row r="14292" ht="15.75" customHeight="1">
      <c r="A14292" s="7"/>
      <c r="B14292" s="7"/>
      <c r="M14292" s="9" t="s">
        <v>24</v>
      </c>
    </row>
    <row r="14293" ht="15.75" customHeight="1">
      <c r="A14293" s="7"/>
      <c r="B14293" s="7"/>
      <c r="M14293" s="9" t="s">
        <v>20</v>
      </c>
    </row>
    <row r="14294" ht="15.75" customHeight="1">
      <c r="A14294" s="7"/>
      <c r="B14294" s="7"/>
      <c r="M14294" s="9" t="s">
        <v>21</v>
      </c>
    </row>
    <row r="14295" ht="15.75" customHeight="1">
      <c r="A14295" s="7"/>
      <c r="B14295" s="7"/>
      <c r="M14295" s="9" t="s">
        <v>41</v>
      </c>
    </row>
    <row r="14296" ht="15.75" customHeight="1">
      <c r="A14296" s="7"/>
      <c r="B14296" s="7"/>
      <c r="M14296" s="9" t="s">
        <v>37</v>
      </c>
    </row>
    <row r="14297" ht="15.75" customHeight="1">
      <c r="A14297" s="7"/>
      <c r="B14297" s="7"/>
      <c r="M14297" s="9" t="s">
        <v>22</v>
      </c>
    </row>
    <row r="14298" ht="15.75" customHeight="1">
      <c r="A14298" s="7"/>
      <c r="B14298" s="7"/>
      <c r="M14298" s="9" t="s">
        <v>31</v>
      </c>
    </row>
    <row r="14299" ht="15.75" customHeight="1">
      <c r="A14299" s="7"/>
      <c r="B14299" s="7"/>
      <c r="M14299" s="9" t="s">
        <v>27</v>
      </c>
    </row>
    <row r="14300" ht="15.75" customHeight="1">
      <c r="A14300" s="7"/>
      <c r="B14300" s="7"/>
      <c r="M14300" s="9" t="s">
        <v>41</v>
      </c>
    </row>
    <row r="14301" ht="15.75" customHeight="1">
      <c r="A14301" s="7"/>
      <c r="B14301" s="7"/>
      <c r="M14301" s="9" t="s">
        <v>40</v>
      </c>
    </row>
    <row r="14302" ht="15.75" customHeight="1">
      <c r="A14302" s="7"/>
      <c r="B14302" s="7"/>
      <c r="M14302" s="9" t="s">
        <v>24</v>
      </c>
    </row>
    <row r="14303" ht="15.75" customHeight="1">
      <c r="A14303" s="7"/>
      <c r="B14303" s="7"/>
      <c r="M14303" s="9" t="s">
        <v>20</v>
      </c>
    </row>
    <row r="14304" ht="15.75" customHeight="1">
      <c r="A14304" s="7"/>
      <c r="B14304" s="7"/>
      <c r="M14304" s="9" t="s">
        <v>21</v>
      </c>
    </row>
    <row r="14305" ht="15.75" customHeight="1">
      <c r="A14305" s="7"/>
      <c r="B14305" s="7"/>
      <c r="M14305" s="9" t="s">
        <v>27</v>
      </c>
    </row>
    <row r="14306" ht="15.75" customHeight="1">
      <c r="A14306" s="7"/>
      <c r="B14306" s="7"/>
      <c r="M14306" s="9" t="s">
        <v>30</v>
      </c>
    </row>
    <row r="14307" ht="15.75" customHeight="1">
      <c r="A14307" s="7"/>
      <c r="B14307" s="7"/>
      <c r="M14307" s="9" t="s">
        <v>25</v>
      </c>
    </row>
    <row r="14308" ht="15.75" customHeight="1">
      <c r="A14308" s="7"/>
      <c r="B14308" s="7"/>
      <c r="M14308" s="9" t="s">
        <v>20</v>
      </c>
    </row>
    <row r="14309" ht="15.75" customHeight="1">
      <c r="A14309" s="7"/>
      <c r="B14309" s="7"/>
      <c r="M14309" s="9" t="s">
        <v>21</v>
      </c>
    </row>
    <row r="14310" ht="15.75" customHeight="1">
      <c r="A14310" s="7"/>
      <c r="B14310" s="7"/>
      <c r="M14310" s="9" t="s">
        <v>22</v>
      </c>
    </row>
    <row r="14311" ht="15.75" customHeight="1">
      <c r="A14311" s="7"/>
      <c r="B14311" s="7"/>
      <c r="M14311" s="9" t="s">
        <v>29</v>
      </c>
    </row>
    <row r="14312" ht="15.75" customHeight="1">
      <c r="A14312" s="7"/>
      <c r="B14312" s="7"/>
      <c r="M14312" s="9" t="s">
        <v>46</v>
      </c>
    </row>
    <row r="14313" ht="15.75" customHeight="1">
      <c r="A14313" s="7"/>
      <c r="B14313" s="7"/>
      <c r="M14313" s="9" t="s">
        <v>27</v>
      </c>
    </row>
    <row r="14314" ht="15.75" customHeight="1">
      <c r="A14314" s="7"/>
      <c r="B14314" s="7"/>
      <c r="M14314" s="9" t="s">
        <v>30</v>
      </c>
    </row>
    <row r="14315" ht="15.75" customHeight="1">
      <c r="A14315" s="7"/>
      <c r="B14315" s="7"/>
      <c r="M14315" s="9" t="s">
        <v>26</v>
      </c>
    </row>
    <row r="14316" ht="15.75" customHeight="1">
      <c r="A14316" s="7"/>
      <c r="B14316" s="7"/>
      <c r="M14316" s="9" t="s">
        <v>24</v>
      </c>
    </row>
    <row r="14317" ht="15.75" customHeight="1">
      <c r="A14317" s="7"/>
      <c r="B14317" s="7"/>
      <c r="M14317" s="9" t="s">
        <v>21</v>
      </c>
    </row>
    <row r="14318" ht="15.75" customHeight="1">
      <c r="A14318" s="7"/>
      <c r="B14318" s="7"/>
      <c r="M14318" s="9" t="s">
        <v>33</v>
      </c>
    </row>
    <row r="14319" ht="15.75" customHeight="1">
      <c r="A14319" s="7"/>
      <c r="B14319" s="7"/>
      <c r="M14319" s="9" t="s">
        <v>28</v>
      </c>
    </row>
    <row r="14320" ht="15.75" customHeight="1">
      <c r="A14320" s="7"/>
      <c r="B14320" s="7"/>
      <c r="M14320" s="9" t="s">
        <v>30</v>
      </c>
    </row>
    <row r="14321" ht="15.75" customHeight="1">
      <c r="A14321" s="7"/>
      <c r="B14321" s="7"/>
      <c r="M14321" s="9" t="s">
        <v>25</v>
      </c>
    </row>
    <row r="14322" ht="15.75" customHeight="1">
      <c r="A14322" s="7"/>
      <c r="B14322" s="7"/>
      <c r="M14322" s="9" t="s">
        <v>24</v>
      </c>
    </row>
    <row r="14323" ht="15.75" customHeight="1">
      <c r="A14323" s="7"/>
      <c r="B14323" s="7"/>
      <c r="M14323" s="9" t="s">
        <v>20</v>
      </c>
    </row>
    <row r="14324" ht="15.75" customHeight="1">
      <c r="A14324" s="7"/>
      <c r="B14324" s="7"/>
      <c r="M14324" s="9" t="s">
        <v>21</v>
      </c>
    </row>
    <row r="14325" ht="15.75" customHeight="1">
      <c r="A14325" s="7"/>
      <c r="B14325" s="7"/>
      <c r="M14325" s="9" t="s">
        <v>27</v>
      </c>
    </row>
    <row r="14326" ht="15.75" customHeight="1">
      <c r="A14326" s="7"/>
      <c r="B14326" s="7"/>
      <c r="M14326" s="9" t="s">
        <v>33</v>
      </c>
    </row>
    <row r="14327" ht="15.75" customHeight="1">
      <c r="A14327" s="7"/>
      <c r="B14327" s="7"/>
      <c r="M14327" s="9" t="s">
        <v>35</v>
      </c>
    </row>
    <row r="14328" ht="15.75" customHeight="1">
      <c r="A14328" s="7"/>
      <c r="B14328" s="7"/>
      <c r="M14328" s="9" t="s">
        <v>24</v>
      </c>
    </row>
    <row r="14329" ht="15.75" customHeight="1">
      <c r="A14329" s="7"/>
      <c r="B14329" s="7"/>
      <c r="M14329" s="9" t="s">
        <v>21</v>
      </c>
    </row>
    <row r="14330" ht="15.75" customHeight="1">
      <c r="A14330" s="7"/>
      <c r="B14330" s="7"/>
      <c r="M14330" s="9" t="s">
        <v>22</v>
      </c>
    </row>
    <row r="14331" ht="15.75" customHeight="1">
      <c r="A14331" s="7"/>
      <c r="B14331" s="7"/>
      <c r="M14331" s="9" t="s">
        <v>35</v>
      </c>
    </row>
    <row r="14332" ht="15.75" customHeight="1">
      <c r="A14332" s="7"/>
      <c r="B14332" s="7"/>
      <c r="M14332" s="9" t="s">
        <v>47</v>
      </c>
    </row>
    <row r="14333" ht="15.75" customHeight="1">
      <c r="A14333" s="7"/>
      <c r="B14333" s="7"/>
      <c r="M14333" s="9" t="s">
        <v>24</v>
      </c>
    </row>
    <row r="14334" ht="15.75" customHeight="1">
      <c r="A14334" s="7"/>
      <c r="B14334" s="7"/>
      <c r="M14334" s="9" t="s">
        <v>20</v>
      </c>
    </row>
    <row r="14335" ht="15.75" customHeight="1">
      <c r="A14335" s="7"/>
      <c r="B14335" s="7"/>
      <c r="M14335" s="9" t="s">
        <v>22</v>
      </c>
    </row>
    <row r="14336" ht="15.75" customHeight="1">
      <c r="A14336" s="7"/>
      <c r="B14336" s="7"/>
      <c r="M14336" s="9" t="s">
        <v>24</v>
      </c>
    </row>
    <row r="14337" ht="15.75" customHeight="1">
      <c r="A14337" s="7"/>
      <c r="B14337" s="7"/>
      <c r="M14337" s="9" t="s">
        <v>20</v>
      </c>
    </row>
    <row r="14338" ht="15.75" customHeight="1">
      <c r="A14338" s="7"/>
      <c r="B14338" s="7"/>
      <c r="M14338" s="9" t="s">
        <v>21</v>
      </c>
    </row>
    <row r="14339" ht="15.75" customHeight="1">
      <c r="A14339" s="7"/>
      <c r="B14339" s="7"/>
      <c r="M14339" s="9" t="s">
        <v>37</v>
      </c>
    </row>
    <row r="14340" ht="15.75" customHeight="1">
      <c r="A14340" s="7"/>
      <c r="B14340" s="7"/>
      <c r="M14340" s="9" t="s">
        <v>27</v>
      </c>
    </row>
    <row r="14341" ht="15.75" customHeight="1">
      <c r="A14341" s="7"/>
      <c r="B14341" s="7"/>
      <c r="M14341" s="9" t="s">
        <v>24</v>
      </c>
    </row>
    <row r="14342" ht="15.75" customHeight="1">
      <c r="A14342" s="7"/>
      <c r="B14342" s="7"/>
      <c r="M14342" s="9" t="s">
        <v>20</v>
      </c>
    </row>
    <row r="14343" ht="15.75" customHeight="1">
      <c r="A14343" s="7"/>
      <c r="B14343" s="7"/>
      <c r="M14343" s="9" t="s">
        <v>21</v>
      </c>
    </row>
    <row r="14344" ht="15.75" customHeight="1">
      <c r="A14344" s="7"/>
      <c r="B14344" s="7"/>
      <c r="M14344" s="9" t="s">
        <v>39</v>
      </c>
    </row>
    <row r="14345" ht="15.75" customHeight="1">
      <c r="A14345" s="7"/>
      <c r="B14345" s="7"/>
      <c r="M14345" s="9" t="s">
        <v>25</v>
      </c>
    </row>
    <row r="14346" ht="15.75" customHeight="1">
      <c r="A14346" s="7"/>
      <c r="B14346" s="7"/>
      <c r="M14346" s="9" t="s">
        <v>23</v>
      </c>
    </row>
    <row r="14347" ht="15.75" customHeight="1">
      <c r="A14347" s="7"/>
      <c r="B14347" s="7"/>
      <c r="M14347" s="9" t="s">
        <v>41</v>
      </c>
    </row>
    <row r="14348" ht="15.75" customHeight="1">
      <c r="A14348" s="7"/>
      <c r="B14348" s="7"/>
      <c r="M14348" s="9" t="s">
        <v>27</v>
      </c>
    </row>
    <row r="14349" ht="15.75" customHeight="1">
      <c r="A14349" s="7"/>
      <c r="B14349" s="7"/>
      <c r="M14349" s="9" t="s">
        <v>40</v>
      </c>
    </row>
    <row r="14350" ht="15.75" customHeight="1">
      <c r="A14350" s="7"/>
      <c r="B14350" s="7"/>
      <c r="M14350" s="9" t="s">
        <v>24</v>
      </c>
    </row>
    <row r="14351" ht="15.75" customHeight="1">
      <c r="A14351" s="7"/>
      <c r="B14351" s="7"/>
      <c r="M14351" s="9" t="s">
        <v>21</v>
      </c>
    </row>
    <row r="14352" ht="15.75" customHeight="1">
      <c r="A14352" s="7"/>
      <c r="B14352" s="7"/>
      <c r="M14352" s="9" t="s">
        <v>37</v>
      </c>
    </row>
    <row r="14353" ht="15.75" customHeight="1">
      <c r="A14353" s="7"/>
      <c r="B14353" s="7"/>
      <c r="M14353" s="9" t="s">
        <v>27</v>
      </c>
    </row>
    <row r="14354" ht="15.75" customHeight="1">
      <c r="A14354" s="7"/>
      <c r="B14354" s="7"/>
      <c r="M14354" s="9" t="s">
        <v>35</v>
      </c>
    </row>
    <row r="14355" ht="15.75" customHeight="1">
      <c r="A14355" s="7"/>
      <c r="B14355" s="7"/>
      <c r="M14355" s="9" t="s">
        <v>20</v>
      </c>
    </row>
    <row r="14356" ht="15.75" customHeight="1">
      <c r="A14356" s="7"/>
      <c r="B14356" s="7"/>
      <c r="M14356" s="9" t="s">
        <v>21</v>
      </c>
    </row>
    <row r="14357" ht="15.75" customHeight="1">
      <c r="A14357" s="7"/>
      <c r="B14357" s="7"/>
      <c r="M14357" s="9" t="s">
        <v>22</v>
      </c>
    </row>
    <row r="14358" ht="15.75" customHeight="1">
      <c r="A14358" s="7"/>
      <c r="B14358" s="7"/>
      <c r="M14358" s="9" t="s">
        <v>46</v>
      </c>
    </row>
    <row r="14359" ht="15.75" customHeight="1">
      <c r="A14359" s="7"/>
      <c r="B14359" s="7"/>
      <c r="M14359" s="9" t="s">
        <v>27</v>
      </c>
    </row>
    <row r="14360" ht="15.75" customHeight="1">
      <c r="A14360" s="7"/>
      <c r="B14360" s="7"/>
      <c r="M14360" s="9" t="s">
        <v>26</v>
      </c>
    </row>
    <row r="14361" ht="15.75" customHeight="1">
      <c r="A14361" s="7"/>
      <c r="B14361" s="7"/>
      <c r="M14361" s="9" t="s">
        <v>45</v>
      </c>
    </row>
    <row r="14362" ht="15.75" customHeight="1">
      <c r="A14362" s="7"/>
      <c r="B14362" s="7"/>
      <c r="M14362" s="9" t="s">
        <v>24</v>
      </c>
    </row>
    <row r="14363" ht="15.75" customHeight="1">
      <c r="A14363" s="7"/>
      <c r="B14363" s="7"/>
      <c r="M14363" s="9" t="s">
        <v>25</v>
      </c>
    </row>
    <row r="14364" ht="15.75" customHeight="1">
      <c r="A14364" s="7"/>
      <c r="B14364" s="7"/>
      <c r="M14364" s="9" t="s">
        <v>20</v>
      </c>
    </row>
    <row r="14365" ht="15.75" customHeight="1">
      <c r="A14365" s="7"/>
      <c r="B14365" s="7"/>
      <c r="M14365" s="9" t="s">
        <v>22</v>
      </c>
    </row>
    <row r="14366" ht="15.75" customHeight="1">
      <c r="A14366" s="7"/>
      <c r="B14366" s="7"/>
      <c r="M14366" s="9" t="s">
        <v>38</v>
      </c>
    </row>
    <row r="14367" ht="15.75" customHeight="1">
      <c r="A14367" s="7"/>
      <c r="B14367" s="7"/>
      <c r="M14367" s="9" t="s">
        <v>30</v>
      </c>
    </row>
    <row r="14368" ht="15.75" customHeight="1">
      <c r="A14368" s="7"/>
      <c r="B14368" s="7"/>
      <c r="M14368" s="9" t="s">
        <v>23</v>
      </c>
    </row>
    <row r="14369" ht="15.75" customHeight="1">
      <c r="A14369" s="7"/>
      <c r="B14369" s="7"/>
      <c r="M14369" s="9" t="s">
        <v>26</v>
      </c>
    </row>
    <row r="14370" ht="15.75" customHeight="1">
      <c r="A14370" s="7"/>
      <c r="B14370" s="7"/>
      <c r="M14370" s="9" t="s">
        <v>24</v>
      </c>
    </row>
    <row r="14371" ht="15.75" customHeight="1">
      <c r="A14371" s="7"/>
      <c r="B14371" s="7"/>
      <c r="M14371" s="9" t="s">
        <v>21</v>
      </c>
    </row>
    <row r="14372" ht="15.75" customHeight="1">
      <c r="A14372" s="7"/>
      <c r="B14372" s="7"/>
      <c r="M14372" s="9" t="s">
        <v>22</v>
      </c>
    </row>
    <row r="14373" ht="15.75" customHeight="1">
      <c r="A14373" s="7"/>
      <c r="B14373" s="7"/>
      <c r="M14373" s="9" t="s">
        <v>29</v>
      </c>
    </row>
    <row r="14374" ht="15.75" customHeight="1">
      <c r="A14374" s="7"/>
      <c r="B14374" s="7"/>
      <c r="M14374" s="9" t="s">
        <v>27</v>
      </c>
    </row>
    <row r="14375" ht="15.75" customHeight="1">
      <c r="A14375" s="7"/>
      <c r="B14375" s="7"/>
      <c r="M14375" s="9" t="s">
        <v>35</v>
      </c>
    </row>
    <row r="14376" ht="15.75" customHeight="1">
      <c r="A14376" s="7"/>
      <c r="B14376" s="7"/>
      <c r="M14376" s="9" t="s">
        <v>21</v>
      </c>
    </row>
    <row r="14377" ht="15.75" customHeight="1">
      <c r="A14377" s="7"/>
      <c r="B14377" s="7"/>
      <c r="M14377" s="9" t="s">
        <v>37</v>
      </c>
    </row>
    <row r="14378" ht="15.75" customHeight="1">
      <c r="A14378" s="7"/>
      <c r="B14378" s="7"/>
      <c r="M14378" s="9" t="s">
        <v>27</v>
      </c>
    </row>
    <row r="14379" ht="15.75" customHeight="1">
      <c r="A14379" s="7"/>
      <c r="B14379" s="7"/>
      <c r="M14379" s="9" t="s">
        <v>24</v>
      </c>
    </row>
    <row r="14380" ht="15.75" customHeight="1">
      <c r="A14380" s="7"/>
      <c r="B14380" s="7"/>
      <c r="M14380" s="9" t="s">
        <v>21</v>
      </c>
    </row>
    <row r="14381" ht="15.75" customHeight="1">
      <c r="A14381" s="7"/>
      <c r="B14381" s="7"/>
      <c r="M14381" s="9" t="s">
        <v>37</v>
      </c>
    </row>
    <row r="14382" ht="15.75" customHeight="1">
      <c r="A14382" s="7"/>
      <c r="B14382" s="7"/>
      <c r="M14382" s="9" t="s">
        <v>30</v>
      </c>
    </row>
    <row r="14383" ht="15.75" customHeight="1">
      <c r="A14383" s="7"/>
      <c r="B14383" s="7"/>
      <c r="M14383" s="9" t="s">
        <v>25</v>
      </c>
    </row>
    <row r="14384" ht="15.75" customHeight="1">
      <c r="A14384" s="7"/>
      <c r="B14384" s="7"/>
      <c r="M14384" s="9" t="s">
        <v>23</v>
      </c>
    </row>
    <row r="14385" ht="15.75" customHeight="1">
      <c r="A14385" s="7"/>
      <c r="B14385" s="7"/>
      <c r="M14385" s="9" t="s">
        <v>24</v>
      </c>
    </row>
    <row r="14386" ht="15.75" customHeight="1">
      <c r="A14386" s="7"/>
      <c r="B14386" s="7"/>
      <c r="M14386" s="9" t="s">
        <v>20</v>
      </c>
    </row>
    <row r="14387" ht="15.75" customHeight="1">
      <c r="A14387" s="7"/>
      <c r="B14387" s="7"/>
      <c r="M14387" s="9" t="s">
        <v>21</v>
      </c>
    </row>
    <row r="14388" ht="15.75" customHeight="1">
      <c r="A14388" s="7"/>
      <c r="B14388" s="7"/>
      <c r="M14388" s="9" t="s">
        <v>41</v>
      </c>
    </row>
    <row r="14389" ht="15.75" customHeight="1">
      <c r="A14389" s="7"/>
      <c r="B14389" s="7"/>
      <c r="M14389" s="9" t="s">
        <v>27</v>
      </c>
    </row>
    <row r="14390" ht="15.75" customHeight="1">
      <c r="A14390" s="7"/>
      <c r="B14390" s="7"/>
      <c r="M14390" s="9" t="s">
        <v>20</v>
      </c>
    </row>
    <row r="14391" ht="15.75" customHeight="1">
      <c r="A14391" s="7"/>
      <c r="B14391" s="7"/>
      <c r="M14391" s="9" t="s">
        <v>21</v>
      </c>
    </row>
    <row r="14392" ht="15.75" customHeight="1">
      <c r="A14392" s="7"/>
      <c r="B14392" s="7"/>
      <c r="M14392" s="9" t="s">
        <v>38</v>
      </c>
    </row>
    <row r="14393" ht="15.75" customHeight="1">
      <c r="A14393" s="7"/>
      <c r="B14393" s="7"/>
      <c r="M14393" s="9" t="s">
        <v>30</v>
      </c>
    </row>
    <row r="14394" ht="15.75" customHeight="1">
      <c r="A14394" s="7"/>
      <c r="B14394" s="7"/>
      <c r="M14394" s="9" t="s">
        <v>25</v>
      </c>
    </row>
    <row r="14395" ht="15.75" customHeight="1">
      <c r="A14395" s="7"/>
      <c r="B14395" s="7"/>
      <c r="M14395" s="9" t="s">
        <v>23</v>
      </c>
    </row>
    <row r="14396" ht="15.75" customHeight="1">
      <c r="A14396" s="7"/>
      <c r="B14396" s="7"/>
      <c r="M14396" s="9" t="s">
        <v>26</v>
      </c>
    </row>
    <row r="14397" ht="15.75" customHeight="1">
      <c r="A14397" s="7"/>
      <c r="B14397" s="7"/>
      <c r="M14397" s="9" t="s">
        <v>24</v>
      </c>
    </row>
    <row r="14398" ht="15.75" customHeight="1">
      <c r="A14398" s="7"/>
      <c r="B14398" s="7"/>
      <c r="M14398" s="9" t="s">
        <v>20</v>
      </c>
    </row>
    <row r="14399" ht="15.75" customHeight="1">
      <c r="A14399" s="7"/>
      <c r="B14399" s="7"/>
      <c r="M14399" s="9" t="s">
        <v>21</v>
      </c>
    </row>
    <row r="14400" ht="15.75" customHeight="1">
      <c r="A14400" s="7"/>
      <c r="B14400" s="7"/>
      <c r="M14400" s="9" t="s">
        <v>27</v>
      </c>
    </row>
    <row r="14401" ht="15.75" customHeight="1">
      <c r="A14401" s="7"/>
      <c r="B14401" s="7"/>
      <c r="M14401" s="9" t="s">
        <v>28</v>
      </c>
    </row>
    <row r="14402" ht="15.75" customHeight="1">
      <c r="A14402" s="7"/>
      <c r="B14402" s="7"/>
      <c r="M14402" s="9" t="s">
        <v>24</v>
      </c>
    </row>
    <row r="14403" ht="15.75" customHeight="1">
      <c r="A14403" s="7"/>
      <c r="B14403" s="7"/>
      <c r="M14403" s="9" t="s">
        <v>20</v>
      </c>
    </row>
    <row r="14404" ht="15.75" customHeight="1">
      <c r="A14404" s="7"/>
      <c r="B14404" s="7"/>
      <c r="M14404" s="9" t="s">
        <v>21</v>
      </c>
    </row>
    <row r="14405" ht="15.75" customHeight="1">
      <c r="A14405" s="7"/>
      <c r="B14405" s="7"/>
      <c r="M14405" s="9" t="s">
        <v>37</v>
      </c>
    </row>
    <row r="14406" ht="15.75" customHeight="1">
      <c r="A14406" s="7"/>
      <c r="B14406" s="7"/>
      <c r="M14406" s="9" t="s">
        <v>35</v>
      </c>
    </row>
    <row r="14407" ht="15.75" customHeight="1">
      <c r="A14407" s="7"/>
      <c r="B14407" s="7"/>
      <c r="M14407" s="9" t="s">
        <v>26</v>
      </c>
    </row>
    <row r="14408" ht="15.75" customHeight="1">
      <c r="A14408" s="7"/>
      <c r="B14408" s="7"/>
      <c r="M14408" s="9" t="s">
        <v>24</v>
      </c>
    </row>
    <row r="14409" ht="15.75" customHeight="1">
      <c r="A14409" s="7"/>
      <c r="B14409" s="7"/>
      <c r="M14409" s="9" t="s">
        <v>21</v>
      </c>
    </row>
    <row r="14410" ht="15.75" customHeight="1">
      <c r="A14410" s="7"/>
      <c r="B14410" s="7"/>
      <c r="M14410" s="9" t="s">
        <v>27</v>
      </c>
    </row>
    <row r="14411" ht="15.75" customHeight="1">
      <c r="A14411" s="7"/>
      <c r="B14411" s="7"/>
      <c r="M14411" s="9" t="s">
        <v>26</v>
      </c>
    </row>
    <row r="14412" ht="15.75" customHeight="1">
      <c r="A14412" s="7"/>
      <c r="B14412" s="7"/>
      <c r="M14412" s="9" t="s">
        <v>24</v>
      </c>
    </row>
    <row r="14413" ht="15.75" customHeight="1">
      <c r="A14413" s="7"/>
      <c r="B14413" s="7"/>
      <c r="M14413" s="9" t="s">
        <v>21</v>
      </c>
    </row>
    <row r="14414" ht="15.75" customHeight="1">
      <c r="A14414" s="7"/>
      <c r="B14414" s="7"/>
      <c r="M14414" s="9" t="s">
        <v>37</v>
      </c>
    </row>
    <row r="14415" ht="15.75" customHeight="1">
      <c r="A14415" s="7"/>
      <c r="B14415" s="7"/>
      <c r="M14415" s="9" t="s">
        <v>27</v>
      </c>
    </row>
    <row r="14416" ht="15.75" customHeight="1">
      <c r="A14416" s="7"/>
      <c r="B14416" s="7"/>
      <c r="M14416" s="9" t="s">
        <v>26</v>
      </c>
    </row>
    <row r="14417" ht="15.75" customHeight="1">
      <c r="A14417" s="7"/>
      <c r="B14417" s="7"/>
      <c r="M14417" s="9" t="s">
        <v>21</v>
      </c>
    </row>
    <row r="14418" ht="15.75" customHeight="1">
      <c r="A14418" s="7"/>
      <c r="B14418" s="7"/>
      <c r="M14418" s="9" t="s">
        <v>27</v>
      </c>
    </row>
    <row r="14419" ht="15.75" customHeight="1">
      <c r="A14419" s="7"/>
      <c r="B14419" s="7"/>
      <c r="M14419" s="9" t="s">
        <v>23</v>
      </c>
    </row>
    <row r="14420" ht="15.75" customHeight="1">
      <c r="A14420" s="7"/>
      <c r="B14420" s="7"/>
      <c r="M14420" s="9" t="s">
        <v>41</v>
      </c>
    </row>
    <row r="14421" ht="15.75" customHeight="1">
      <c r="A14421" s="7"/>
      <c r="B14421" s="7"/>
      <c r="M14421" s="9" t="s">
        <v>30</v>
      </c>
    </row>
    <row r="14422" ht="15.75" customHeight="1">
      <c r="A14422" s="7"/>
      <c r="B14422" s="7"/>
      <c r="M14422" s="9" t="s">
        <v>21</v>
      </c>
    </row>
    <row r="14423" ht="15.75" customHeight="1">
      <c r="A14423" s="7"/>
      <c r="B14423" s="7"/>
      <c r="M14423" s="9" t="s">
        <v>37</v>
      </c>
    </row>
    <row r="14424" ht="15.75" customHeight="1">
      <c r="A14424" s="7"/>
      <c r="B14424" s="7"/>
      <c r="M14424" s="9" t="s">
        <v>33</v>
      </c>
    </row>
    <row r="14425" ht="15.75" customHeight="1">
      <c r="A14425" s="7"/>
      <c r="B14425" s="7"/>
      <c r="M14425" s="9" t="s">
        <v>24</v>
      </c>
    </row>
    <row r="14426" ht="15.75" customHeight="1">
      <c r="A14426" s="7"/>
      <c r="B14426" s="7"/>
      <c r="M14426" s="9" t="s">
        <v>21</v>
      </c>
    </row>
    <row r="14427" ht="15.75" customHeight="1">
      <c r="A14427" s="7"/>
      <c r="B14427" s="7"/>
      <c r="M14427" s="9" t="s">
        <v>22</v>
      </c>
    </row>
    <row r="14428" ht="15.75" customHeight="1">
      <c r="A14428" s="7"/>
      <c r="B14428" s="7"/>
      <c r="M14428" s="9" t="s">
        <v>27</v>
      </c>
    </row>
    <row r="14429" ht="15.75" customHeight="1">
      <c r="A14429" s="7"/>
      <c r="B14429" s="7"/>
      <c r="M14429" s="9" t="s">
        <v>28</v>
      </c>
    </row>
    <row r="14430" ht="15.75" customHeight="1">
      <c r="A14430" s="7"/>
      <c r="B14430" s="7"/>
      <c r="M14430" s="9" t="s">
        <v>26</v>
      </c>
    </row>
    <row r="14431" ht="15.75" customHeight="1">
      <c r="A14431" s="7"/>
      <c r="B14431" s="7"/>
      <c r="M14431" s="9" t="s">
        <v>24</v>
      </c>
    </row>
    <row r="14432" ht="15.75" customHeight="1">
      <c r="A14432" s="7"/>
      <c r="B14432" s="7"/>
      <c r="M14432" s="9" t="s">
        <v>38</v>
      </c>
    </row>
    <row r="14433" ht="15.75" customHeight="1">
      <c r="A14433" s="7"/>
      <c r="B14433" s="7"/>
      <c r="M14433" s="9" t="s">
        <v>30</v>
      </c>
    </row>
    <row r="14434" ht="15.75" customHeight="1">
      <c r="A14434" s="7"/>
      <c r="B14434" s="7"/>
      <c r="M14434" s="9" t="s">
        <v>25</v>
      </c>
    </row>
    <row r="14435" ht="15.75" customHeight="1">
      <c r="A14435" s="7"/>
      <c r="B14435" s="7"/>
      <c r="M14435" s="9" t="s">
        <v>24</v>
      </c>
    </row>
    <row r="14436" ht="15.75" customHeight="1">
      <c r="A14436" s="7"/>
      <c r="B14436" s="7"/>
      <c r="M14436" s="9" t="s">
        <v>20</v>
      </c>
    </row>
    <row r="14437" ht="15.75" customHeight="1">
      <c r="A14437" s="7"/>
      <c r="B14437" s="7"/>
      <c r="M14437" s="9" t="s">
        <v>22</v>
      </c>
    </row>
    <row r="14438" ht="15.75" customHeight="1">
      <c r="A14438" s="7"/>
      <c r="B14438" s="7"/>
      <c r="M14438" s="9" t="s">
        <v>38</v>
      </c>
    </row>
    <row r="14439" ht="15.75" customHeight="1">
      <c r="A14439" s="7"/>
      <c r="B14439" s="7"/>
      <c r="M14439" s="9" t="s">
        <v>30</v>
      </c>
    </row>
    <row r="14440" ht="15.75" customHeight="1">
      <c r="A14440" s="7"/>
      <c r="B14440" s="7"/>
      <c r="M14440" s="9" t="s">
        <v>25</v>
      </c>
    </row>
    <row r="14441" ht="15.75" customHeight="1">
      <c r="A14441" s="7"/>
      <c r="B14441" s="7"/>
      <c r="M14441" s="9" t="s">
        <v>23</v>
      </c>
    </row>
    <row r="14442" ht="15.75" customHeight="1">
      <c r="A14442" s="7"/>
      <c r="B14442" s="7"/>
      <c r="M14442" s="9" t="s">
        <v>24</v>
      </c>
    </row>
    <row r="14443" ht="15.75" customHeight="1">
      <c r="A14443" s="7"/>
      <c r="B14443" s="7"/>
      <c r="M14443" s="9" t="s">
        <v>20</v>
      </c>
    </row>
    <row r="14444" ht="15.75" customHeight="1">
      <c r="A14444" s="7"/>
      <c r="B14444" s="7"/>
      <c r="M14444" s="9" t="s">
        <v>21</v>
      </c>
    </row>
    <row r="14445" ht="15.75" customHeight="1">
      <c r="A14445" s="7"/>
      <c r="B14445" s="7"/>
      <c r="M14445" s="9" t="s">
        <v>37</v>
      </c>
    </row>
    <row r="14446" ht="15.75" customHeight="1">
      <c r="A14446" s="7"/>
      <c r="B14446" s="7"/>
      <c r="M14446" s="9" t="s">
        <v>22</v>
      </c>
    </row>
    <row r="14447" ht="15.75" customHeight="1">
      <c r="A14447" s="7"/>
      <c r="B14447" s="7"/>
      <c r="M14447" s="9" t="s">
        <v>31</v>
      </c>
    </row>
    <row r="14448" ht="15.75" customHeight="1">
      <c r="A14448" s="7"/>
      <c r="B14448" s="7"/>
      <c r="M14448" s="9" t="s">
        <v>27</v>
      </c>
    </row>
    <row r="14449" ht="15.75" customHeight="1">
      <c r="A14449" s="7"/>
      <c r="B14449" s="7"/>
      <c r="M14449" s="9" t="s">
        <v>24</v>
      </c>
    </row>
    <row r="14450" ht="15.75" customHeight="1">
      <c r="A14450" s="7"/>
      <c r="B14450" s="7"/>
      <c r="M14450" s="9" t="s">
        <v>22</v>
      </c>
    </row>
    <row r="14451" ht="15.75" customHeight="1">
      <c r="A14451" s="7"/>
      <c r="B14451" s="7"/>
      <c r="M14451" s="9" t="s">
        <v>24</v>
      </c>
    </row>
    <row r="14452" ht="15.75" customHeight="1">
      <c r="A14452" s="7"/>
      <c r="B14452" s="7"/>
      <c r="M14452" s="9" t="s">
        <v>20</v>
      </c>
    </row>
    <row r="14453" ht="15.75" customHeight="1">
      <c r="A14453" s="7"/>
      <c r="B14453" s="7"/>
      <c r="M14453" s="9" t="s">
        <v>21</v>
      </c>
    </row>
    <row r="14454" ht="15.75" customHeight="1">
      <c r="A14454" s="7"/>
      <c r="B14454" s="7"/>
      <c r="M14454" s="9" t="s">
        <v>38</v>
      </c>
    </row>
    <row r="14455" ht="15.75" customHeight="1">
      <c r="A14455" s="7"/>
      <c r="B14455" s="7"/>
      <c r="M14455" s="9" t="s">
        <v>30</v>
      </c>
    </row>
    <row r="14456" ht="15.75" customHeight="1">
      <c r="A14456" s="7"/>
      <c r="B14456" s="7"/>
      <c r="M14456" s="9" t="s">
        <v>25</v>
      </c>
    </row>
    <row r="14457" ht="15.75" customHeight="1">
      <c r="A14457" s="7"/>
      <c r="B14457" s="7"/>
      <c r="M14457" s="9" t="s">
        <v>23</v>
      </c>
    </row>
    <row r="14458" ht="15.75" customHeight="1">
      <c r="A14458" s="7"/>
      <c r="B14458" s="7"/>
      <c r="M14458" s="9" t="s">
        <v>26</v>
      </c>
    </row>
    <row r="14459" ht="15.75" customHeight="1">
      <c r="A14459" s="7"/>
      <c r="B14459" s="7"/>
      <c r="M14459" s="9" t="s">
        <v>24</v>
      </c>
    </row>
    <row r="14460" ht="15.75" customHeight="1">
      <c r="A14460" s="7"/>
      <c r="B14460" s="7"/>
      <c r="M14460" s="9" t="s">
        <v>27</v>
      </c>
    </row>
    <row r="14461" ht="15.75" customHeight="1">
      <c r="A14461" s="7"/>
      <c r="B14461" s="7"/>
      <c r="M14461" s="9" t="s">
        <v>21</v>
      </c>
    </row>
    <row r="14462" ht="15.75" customHeight="1">
      <c r="A14462" s="7"/>
      <c r="B14462" s="7"/>
      <c r="M14462" s="9" t="s">
        <v>27</v>
      </c>
    </row>
    <row r="14463" ht="15.75" customHeight="1">
      <c r="A14463" s="7"/>
      <c r="B14463" s="7"/>
      <c r="M14463" s="9" t="s">
        <v>33</v>
      </c>
    </row>
    <row r="14464" ht="15.75" customHeight="1">
      <c r="A14464" s="7"/>
      <c r="B14464" s="7"/>
      <c r="M14464" s="9" t="s">
        <v>20</v>
      </c>
    </row>
    <row r="14465" ht="15.75" customHeight="1">
      <c r="A14465" s="7"/>
      <c r="B14465" s="7"/>
      <c r="M14465" s="9" t="s">
        <v>22</v>
      </c>
    </row>
    <row r="14466" ht="15.75" customHeight="1">
      <c r="A14466" s="7"/>
      <c r="B14466" s="7"/>
      <c r="M14466" s="9" t="s">
        <v>31</v>
      </c>
    </row>
    <row r="14467" ht="15.75" customHeight="1">
      <c r="A14467" s="7"/>
      <c r="B14467" s="7"/>
      <c r="M14467" s="9" t="s">
        <v>46</v>
      </c>
    </row>
    <row r="14468" ht="15.75" customHeight="1">
      <c r="A14468" s="7"/>
      <c r="B14468" s="7"/>
      <c r="M14468" s="9" t="s">
        <v>24</v>
      </c>
    </row>
    <row r="14469" ht="15.75" customHeight="1">
      <c r="A14469" s="7"/>
      <c r="B14469" s="7"/>
      <c r="M14469" s="9" t="s">
        <v>21</v>
      </c>
    </row>
    <row r="14470" ht="15.75" customHeight="1">
      <c r="A14470" s="7"/>
      <c r="B14470" s="7"/>
      <c r="M14470" s="9" t="s">
        <v>37</v>
      </c>
    </row>
    <row r="14471" ht="15.75" customHeight="1">
      <c r="A14471" s="7"/>
      <c r="B14471" s="7"/>
      <c r="M14471" s="9" t="s">
        <v>27</v>
      </c>
    </row>
    <row r="14472" ht="15.75" customHeight="1">
      <c r="A14472" s="7"/>
      <c r="B14472" s="7"/>
      <c r="M14472" s="9" t="s">
        <v>38</v>
      </c>
    </row>
    <row r="14473" ht="15.75" customHeight="1">
      <c r="A14473" s="7"/>
      <c r="B14473" s="7"/>
      <c r="M14473" s="9" t="s">
        <v>25</v>
      </c>
    </row>
    <row r="14474" ht="15.75" customHeight="1">
      <c r="A14474" s="7"/>
      <c r="B14474" s="7"/>
      <c r="M14474" s="9" t="s">
        <v>23</v>
      </c>
    </row>
    <row r="14475" ht="15.75" customHeight="1">
      <c r="A14475" s="7"/>
      <c r="B14475" s="7"/>
      <c r="M14475" s="9" t="s">
        <v>24</v>
      </c>
    </row>
    <row r="14476" ht="15.75" customHeight="1">
      <c r="A14476" s="7"/>
      <c r="B14476" s="7"/>
      <c r="M14476" s="9" t="s">
        <v>20</v>
      </c>
    </row>
    <row r="14477" ht="15.75" customHeight="1">
      <c r="A14477" s="7"/>
      <c r="B14477" s="7"/>
      <c r="M14477" s="9" t="s">
        <v>41</v>
      </c>
    </row>
    <row r="14478" ht="15.75" customHeight="1">
      <c r="A14478" s="7"/>
      <c r="B14478" s="7"/>
      <c r="M14478" s="9" t="s">
        <v>22</v>
      </c>
    </row>
    <row r="14479" ht="15.75" customHeight="1">
      <c r="A14479" s="7"/>
      <c r="B14479" s="7"/>
      <c r="M14479" s="9" t="s">
        <v>27</v>
      </c>
    </row>
    <row r="14480" ht="15.75" customHeight="1">
      <c r="A14480" s="7"/>
      <c r="B14480" s="7"/>
      <c r="M14480" s="9" t="s">
        <v>38</v>
      </c>
    </row>
    <row r="14481" ht="15.75" customHeight="1">
      <c r="A14481" s="7"/>
      <c r="B14481" s="7"/>
      <c r="M14481" s="9" t="s">
        <v>23</v>
      </c>
    </row>
    <row r="14482" ht="15.75" customHeight="1">
      <c r="A14482" s="7"/>
      <c r="B14482" s="7"/>
      <c r="M14482" s="9" t="s">
        <v>26</v>
      </c>
    </row>
    <row r="14483" ht="15.75" customHeight="1">
      <c r="A14483" s="7"/>
      <c r="B14483" s="7"/>
      <c r="M14483" s="9" t="s">
        <v>24</v>
      </c>
    </row>
    <row r="14484" ht="15.75" customHeight="1">
      <c r="A14484" s="7"/>
      <c r="B14484" s="7"/>
      <c r="M14484" s="9" t="s">
        <v>20</v>
      </c>
    </row>
    <row r="14485" ht="15.75" customHeight="1">
      <c r="A14485" s="7"/>
      <c r="B14485" s="7"/>
      <c r="M14485" s="9" t="s">
        <v>21</v>
      </c>
    </row>
    <row r="14486" ht="15.75" customHeight="1">
      <c r="A14486" s="7"/>
      <c r="B14486" s="7"/>
      <c r="M14486" s="9" t="s">
        <v>37</v>
      </c>
    </row>
    <row r="14487" ht="15.75" customHeight="1">
      <c r="A14487" s="7"/>
      <c r="B14487" s="7"/>
      <c r="M14487" s="9" t="s">
        <v>22</v>
      </c>
    </row>
    <row r="14488" ht="15.75" customHeight="1">
      <c r="A14488" s="7"/>
      <c r="B14488" s="7"/>
      <c r="M14488" s="9" t="s">
        <v>27</v>
      </c>
    </row>
    <row r="14489" ht="15.75" customHeight="1">
      <c r="A14489" s="7"/>
      <c r="B14489" s="7"/>
      <c r="M14489" s="9" t="s">
        <v>26</v>
      </c>
    </row>
    <row r="14490" ht="15.75" customHeight="1">
      <c r="A14490" s="7"/>
      <c r="B14490" s="7"/>
      <c r="M14490" s="9" t="s">
        <v>24</v>
      </c>
    </row>
    <row r="14491" ht="15.75" customHeight="1">
      <c r="A14491" s="7"/>
      <c r="B14491" s="7"/>
      <c r="M14491" s="9" t="s">
        <v>21</v>
      </c>
    </row>
    <row r="14492" ht="15.75" customHeight="1">
      <c r="A14492" s="7"/>
      <c r="B14492" s="7"/>
      <c r="M14492" s="9" t="s">
        <v>27</v>
      </c>
    </row>
    <row r="14493" ht="15.75" customHeight="1">
      <c r="A14493" s="7"/>
      <c r="B14493" s="7"/>
      <c r="M14493" s="9" t="s">
        <v>40</v>
      </c>
    </row>
    <row r="14494" ht="15.75" customHeight="1">
      <c r="A14494" s="7"/>
      <c r="B14494" s="7"/>
      <c r="M14494" s="9" t="s">
        <v>33</v>
      </c>
    </row>
    <row r="14495" ht="15.75" customHeight="1">
      <c r="A14495" s="7"/>
      <c r="B14495" s="7"/>
      <c r="M14495" s="9" t="s">
        <v>26</v>
      </c>
    </row>
    <row r="14496" ht="15.75" customHeight="1">
      <c r="A14496" s="7"/>
      <c r="B14496" s="7"/>
      <c r="M14496" s="9" t="s">
        <v>20</v>
      </c>
    </row>
    <row r="14497" ht="15.75" customHeight="1">
      <c r="A14497" s="7"/>
      <c r="B14497" s="7"/>
      <c r="M14497" s="9" t="s">
        <v>39</v>
      </c>
    </row>
    <row r="14498" ht="15.75" customHeight="1">
      <c r="A14498" s="7"/>
      <c r="B14498" s="7"/>
      <c r="M14498" s="9" t="s">
        <v>41</v>
      </c>
    </row>
    <row r="14499" ht="15.75" customHeight="1">
      <c r="A14499" s="7"/>
      <c r="B14499" s="7"/>
      <c r="M14499" s="9" t="s">
        <v>40</v>
      </c>
    </row>
    <row r="14500" ht="15.75" customHeight="1">
      <c r="A14500" s="7"/>
      <c r="B14500" s="7"/>
      <c r="M14500" s="9" t="s">
        <v>35</v>
      </c>
    </row>
    <row r="14501" ht="15.75" customHeight="1">
      <c r="A14501" s="7"/>
      <c r="B14501" s="7"/>
      <c r="M14501" s="9" t="s">
        <v>24</v>
      </c>
    </row>
    <row r="14502" ht="15.75" customHeight="1">
      <c r="A14502" s="7"/>
      <c r="B14502" s="7"/>
      <c r="M14502" s="9" t="s">
        <v>20</v>
      </c>
    </row>
    <row r="14503" ht="15.75" customHeight="1">
      <c r="A14503" s="7"/>
      <c r="B14503" s="7"/>
      <c r="M14503" s="9" t="s">
        <v>21</v>
      </c>
    </row>
    <row r="14504" ht="15.75" customHeight="1">
      <c r="A14504" s="7"/>
      <c r="B14504" s="7"/>
      <c r="M14504" s="9" t="s">
        <v>37</v>
      </c>
    </row>
    <row r="14505" ht="15.75" customHeight="1">
      <c r="A14505" s="7"/>
      <c r="B14505" s="7"/>
      <c r="M14505" s="9" t="s">
        <v>30</v>
      </c>
    </row>
    <row r="14506" ht="15.75" customHeight="1">
      <c r="A14506" s="7"/>
      <c r="B14506" s="7"/>
      <c r="M14506" s="9" t="s">
        <v>36</v>
      </c>
    </row>
    <row r="14507" ht="15.75" customHeight="1">
      <c r="A14507" s="7"/>
      <c r="B14507" s="7"/>
      <c r="M14507" s="9" t="s">
        <v>24</v>
      </c>
    </row>
    <row r="14508" ht="15.75" customHeight="1">
      <c r="A14508" s="7"/>
      <c r="B14508" s="7"/>
      <c r="M14508" s="9" t="s">
        <v>20</v>
      </c>
    </row>
    <row r="14509" ht="15.75" customHeight="1">
      <c r="A14509" s="7"/>
      <c r="B14509" s="7"/>
      <c r="M14509" s="9" t="s">
        <v>21</v>
      </c>
    </row>
    <row r="14510" ht="15.75" customHeight="1">
      <c r="A14510" s="7"/>
      <c r="B14510" s="7"/>
      <c r="M14510" s="9" t="s">
        <v>22</v>
      </c>
    </row>
    <row r="14511" ht="15.75" customHeight="1">
      <c r="A14511" s="7"/>
      <c r="B14511" s="7"/>
      <c r="M14511" s="9" t="s">
        <v>31</v>
      </c>
    </row>
    <row r="14512" ht="15.75" customHeight="1">
      <c r="A14512" s="7"/>
      <c r="B14512" s="7"/>
      <c r="M14512" s="9" t="s">
        <v>32</v>
      </c>
    </row>
    <row r="14513" ht="15.75" customHeight="1">
      <c r="A14513" s="7"/>
      <c r="B14513" s="7"/>
      <c r="M14513" s="9" t="s">
        <v>27</v>
      </c>
    </row>
    <row r="14514" ht="15.75" customHeight="1">
      <c r="A14514" s="7"/>
      <c r="B14514" s="7"/>
      <c r="M14514" s="9" t="s">
        <v>40</v>
      </c>
    </row>
    <row r="14515" ht="15.75" customHeight="1">
      <c r="A14515" s="7"/>
      <c r="B14515" s="7"/>
      <c r="M14515" s="9" t="s">
        <v>33</v>
      </c>
    </row>
    <row r="14516" ht="15.75" customHeight="1">
      <c r="A14516" s="7"/>
      <c r="B14516" s="7"/>
      <c r="M14516" s="9" t="s">
        <v>34</v>
      </c>
    </row>
    <row r="14517" ht="15.75" customHeight="1">
      <c r="A14517" s="7"/>
      <c r="B14517" s="7"/>
      <c r="M14517" s="9" t="s">
        <v>38</v>
      </c>
    </row>
    <row r="14518" ht="15.75" customHeight="1">
      <c r="A14518" s="7"/>
      <c r="B14518" s="7"/>
      <c r="M14518" s="9" t="s">
        <v>25</v>
      </c>
    </row>
    <row r="14519" ht="15.75" customHeight="1">
      <c r="A14519" s="7"/>
      <c r="B14519" s="7"/>
      <c r="M14519" s="9" t="s">
        <v>23</v>
      </c>
    </row>
    <row r="14520" ht="15.75" customHeight="1">
      <c r="A14520" s="7"/>
      <c r="B14520" s="7"/>
      <c r="M14520" s="9" t="s">
        <v>24</v>
      </c>
    </row>
    <row r="14521" ht="15.75" customHeight="1">
      <c r="A14521" s="7"/>
      <c r="B14521" s="7"/>
      <c r="M14521" s="9" t="s">
        <v>20</v>
      </c>
    </row>
    <row r="14522" ht="15.75" customHeight="1">
      <c r="A14522" s="7"/>
      <c r="B14522" s="7"/>
      <c r="M14522" s="9" t="s">
        <v>21</v>
      </c>
    </row>
    <row r="14523" ht="15.75" customHeight="1">
      <c r="A14523" s="7"/>
      <c r="B14523" s="7"/>
      <c r="M14523" s="9" t="s">
        <v>31</v>
      </c>
    </row>
    <row r="14524" ht="15.75" customHeight="1">
      <c r="A14524" s="7"/>
      <c r="B14524" s="7"/>
      <c r="M14524" s="9" t="s">
        <v>30</v>
      </c>
    </row>
    <row r="14525" ht="15.75" customHeight="1">
      <c r="A14525" s="7"/>
      <c r="B14525" s="7"/>
      <c r="M14525" s="9" t="s">
        <v>36</v>
      </c>
    </row>
    <row r="14526" ht="15.75" customHeight="1">
      <c r="A14526" s="7"/>
      <c r="B14526" s="7"/>
      <c r="M14526" s="9" t="s">
        <v>24</v>
      </c>
    </row>
    <row r="14527" ht="15.75" customHeight="1">
      <c r="A14527" s="7"/>
      <c r="B14527" s="7"/>
      <c r="M14527" s="9" t="s">
        <v>39</v>
      </c>
    </row>
    <row r="14528" ht="15.75" customHeight="1">
      <c r="A14528" s="7"/>
      <c r="B14528" s="7"/>
      <c r="M14528" s="9" t="s">
        <v>22</v>
      </c>
    </row>
    <row r="14529" ht="15.75" customHeight="1">
      <c r="A14529" s="7"/>
      <c r="B14529" s="7"/>
      <c r="M14529" s="9" t="s">
        <v>27</v>
      </c>
    </row>
    <row r="14530" ht="15.75" customHeight="1">
      <c r="A14530" s="7"/>
      <c r="B14530" s="7"/>
      <c r="M14530" s="9" t="s">
        <v>30</v>
      </c>
    </row>
    <row r="14531" ht="15.75" customHeight="1">
      <c r="A14531" s="7"/>
      <c r="B14531" s="7"/>
      <c r="M14531" s="9" t="s">
        <v>41</v>
      </c>
    </row>
    <row r="14532" ht="15.75" customHeight="1">
      <c r="A14532" s="7"/>
      <c r="B14532" s="7"/>
      <c r="M14532" s="9" t="s">
        <v>22</v>
      </c>
    </row>
    <row r="14533" ht="15.75" customHeight="1">
      <c r="A14533" s="7"/>
      <c r="B14533" s="7"/>
      <c r="M14533" s="9" t="s">
        <v>40</v>
      </c>
    </row>
    <row r="14534" ht="15.75" customHeight="1">
      <c r="A14534" s="7"/>
      <c r="B14534" s="7"/>
      <c r="M14534" s="9" t="s">
        <v>38</v>
      </c>
    </row>
    <row r="14535" ht="15.75" customHeight="1">
      <c r="A14535" s="7"/>
      <c r="B14535" s="7"/>
      <c r="M14535" s="9" t="s">
        <v>30</v>
      </c>
    </row>
    <row r="14536" ht="15.75" customHeight="1">
      <c r="A14536" s="7"/>
      <c r="B14536" s="7"/>
      <c r="M14536" s="9" t="s">
        <v>25</v>
      </c>
    </row>
    <row r="14537" ht="15.75" customHeight="1">
      <c r="A14537" s="7"/>
      <c r="B14537" s="7"/>
      <c r="M14537" s="9" t="s">
        <v>23</v>
      </c>
    </row>
    <row r="14538" ht="15.75" customHeight="1">
      <c r="A14538" s="7"/>
      <c r="B14538" s="7"/>
      <c r="M14538" s="9" t="s">
        <v>24</v>
      </c>
    </row>
    <row r="14539" ht="15.75" customHeight="1">
      <c r="A14539" s="7"/>
      <c r="B14539" s="7"/>
      <c r="M14539" s="9" t="s">
        <v>21</v>
      </c>
    </row>
    <row r="14540" ht="15.75" customHeight="1">
      <c r="A14540" s="7"/>
      <c r="B14540" s="7"/>
      <c r="M14540" s="9" t="s">
        <v>37</v>
      </c>
    </row>
    <row r="14541" ht="15.75" customHeight="1">
      <c r="A14541" s="7"/>
      <c r="B14541" s="7"/>
      <c r="M14541" s="9" t="s">
        <v>31</v>
      </c>
    </row>
    <row r="14542" ht="15.75" customHeight="1">
      <c r="A14542" s="7"/>
      <c r="B14542" s="7"/>
      <c r="M14542" s="9" t="s">
        <v>23</v>
      </c>
    </row>
    <row r="14543" ht="15.75" customHeight="1">
      <c r="A14543" s="7"/>
      <c r="B14543" s="7"/>
      <c r="M14543" s="9" t="s">
        <v>36</v>
      </c>
    </row>
    <row r="14544" ht="15.75" customHeight="1">
      <c r="A14544" s="7"/>
      <c r="B14544" s="7"/>
      <c r="M14544" s="9" t="s">
        <v>30</v>
      </c>
    </row>
    <row r="14545" ht="15.75" customHeight="1">
      <c r="A14545" s="7"/>
      <c r="B14545" s="7"/>
      <c r="M14545" s="9" t="s">
        <v>26</v>
      </c>
    </row>
    <row r="14546" ht="15.75" customHeight="1">
      <c r="A14546" s="7"/>
      <c r="B14546" s="7"/>
      <c r="M14546" s="9" t="s">
        <v>36</v>
      </c>
    </row>
    <row r="14547" ht="15.75" customHeight="1">
      <c r="A14547" s="7"/>
      <c r="B14547" s="7"/>
      <c r="M14547" s="9" t="s">
        <v>24</v>
      </c>
    </row>
    <row r="14548" ht="15.75" customHeight="1">
      <c r="A14548" s="7"/>
      <c r="B14548" s="7"/>
      <c r="M14548" s="9" t="s">
        <v>21</v>
      </c>
    </row>
    <row r="14549" ht="15.75" customHeight="1">
      <c r="A14549" s="7"/>
      <c r="B14549" s="7"/>
      <c r="M14549" s="9" t="s">
        <v>37</v>
      </c>
    </row>
    <row r="14550" ht="15.75" customHeight="1">
      <c r="A14550" s="7"/>
      <c r="B14550" s="7"/>
      <c r="M14550" s="9" t="s">
        <v>22</v>
      </c>
    </row>
    <row r="14551" ht="15.75" customHeight="1">
      <c r="A14551" s="7"/>
      <c r="B14551" s="7"/>
      <c r="M14551" s="9" t="s">
        <v>27</v>
      </c>
    </row>
    <row r="14552" ht="15.75" customHeight="1">
      <c r="A14552" s="7"/>
      <c r="B14552" s="7"/>
      <c r="M14552" s="9" t="s">
        <v>28</v>
      </c>
    </row>
    <row r="14553" ht="15.75" customHeight="1">
      <c r="A14553" s="7"/>
      <c r="B14553" s="7"/>
      <c r="M14553" s="9" t="s">
        <v>24</v>
      </c>
    </row>
    <row r="14554" ht="15.75" customHeight="1">
      <c r="A14554" s="7"/>
      <c r="B14554" s="7"/>
      <c r="M14554" s="9" t="s">
        <v>21</v>
      </c>
    </row>
    <row r="14555" ht="15.75" customHeight="1">
      <c r="A14555" s="7"/>
      <c r="B14555" s="7"/>
      <c r="M14555" s="9" t="s">
        <v>37</v>
      </c>
    </row>
    <row r="14556" ht="15.75" customHeight="1">
      <c r="A14556" s="7"/>
      <c r="B14556" s="7"/>
      <c r="M14556" s="9" t="s">
        <v>27</v>
      </c>
    </row>
    <row r="14557" ht="15.75" customHeight="1">
      <c r="A14557" s="7"/>
      <c r="B14557" s="7"/>
      <c r="M14557" s="9" t="s">
        <v>33</v>
      </c>
    </row>
    <row r="14558" ht="15.75" customHeight="1">
      <c r="A14558" s="7"/>
      <c r="B14558" s="7"/>
      <c r="M14558" s="9" t="s">
        <v>35</v>
      </c>
    </row>
    <row r="14559" ht="15.75" customHeight="1">
      <c r="A14559" s="7"/>
      <c r="B14559" s="7"/>
      <c r="M14559" s="9" t="s">
        <v>24</v>
      </c>
    </row>
    <row r="14560" ht="15.75" customHeight="1">
      <c r="A14560" s="7"/>
      <c r="B14560" s="7"/>
      <c r="M14560" s="9" t="s">
        <v>21</v>
      </c>
    </row>
    <row r="14561" ht="15.75" customHeight="1">
      <c r="A14561" s="7"/>
      <c r="B14561" s="7"/>
      <c r="M14561" s="9" t="s">
        <v>37</v>
      </c>
    </row>
    <row r="14562" ht="15.75" customHeight="1">
      <c r="A14562" s="7"/>
      <c r="B14562" s="7"/>
      <c r="M14562" s="9" t="s">
        <v>27</v>
      </c>
    </row>
    <row r="14563" ht="15.75" customHeight="1">
      <c r="A14563" s="7"/>
      <c r="B14563" s="7"/>
      <c r="M14563" s="9" t="s">
        <v>35</v>
      </c>
    </row>
    <row r="14564" ht="15.75" customHeight="1">
      <c r="A14564" s="7"/>
      <c r="B14564" s="7"/>
      <c r="M14564" s="9" t="s">
        <v>23</v>
      </c>
    </row>
    <row r="14565" ht="15.75" customHeight="1">
      <c r="A14565" s="7"/>
      <c r="B14565" s="7"/>
      <c r="M14565" s="9" t="s">
        <v>47</v>
      </c>
    </row>
    <row r="14566" ht="15.75" customHeight="1">
      <c r="A14566" s="7"/>
      <c r="B14566" s="7"/>
      <c r="M14566" s="9" t="s">
        <v>36</v>
      </c>
    </row>
    <row r="14567" ht="15.75" customHeight="1">
      <c r="A14567" s="7"/>
      <c r="B14567" s="7"/>
      <c r="M14567" s="9" t="s">
        <v>24</v>
      </c>
    </row>
    <row r="14568" ht="15.75" customHeight="1">
      <c r="A14568" s="7"/>
      <c r="B14568" s="7"/>
      <c r="M14568" s="9" t="s">
        <v>27</v>
      </c>
    </row>
    <row r="14569" ht="15.75" customHeight="1">
      <c r="A14569" s="7"/>
      <c r="B14569" s="7"/>
      <c r="M14569" s="9" t="s">
        <v>28</v>
      </c>
    </row>
    <row r="14570" ht="15.75" customHeight="1">
      <c r="A14570" s="7"/>
      <c r="B14570" s="7"/>
      <c r="M14570" s="9" t="s">
        <v>38</v>
      </c>
    </row>
    <row r="14571" ht="15.75" customHeight="1">
      <c r="A14571" s="7"/>
      <c r="B14571" s="7"/>
      <c r="M14571" s="9" t="s">
        <v>30</v>
      </c>
    </row>
    <row r="14572" ht="15.75" customHeight="1">
      <c r="A14572" s="7"/>
      <c r="B14572" s="7"/>
      <c r="M14572" s="9" t="s">
        <v>25</v>
      </c>
    </row>
    <row r="14573" ht="15.75" customHeight="1">
      <c r="A14573" s="7"/>
      <c r="B14573" s="7"/>
      <c r="M14573" s="9" t="s">
        <v>23</v>
      </c>
    </row>
    <row r="14574" ht="15.75" customHeight="1">
      <c r="A14574" s="7"/>
      <c r="B14574" s="7"/>
      <c r="M14574" s="9" t="s">
        <v>24</v>
      </c>
    </row>
    <row r="14575" ht="15.75" customHeight="1">
      <c r="A14575" s="7"/>
      <c r="B14575" s="7"/>
      <c r="M14575" s="9" t="s">
        <v>20</v>
      </c>
    </row>
    <row r="14576" ht="15.75" customHeight="1">
      <c r="A14576" s="7"/>
      <c r="B14576" s="7"/>
      <c r="M14576" s="9" t="s">
        <v>21</v>
      </c>
    </row>
    <row r="14577" ht="15.75" customHeight="1">
      <c r="A14577" s="7"/>
      <c r="B14577" s="7"/>
      <c r="M14577" s="9" t="s">
        <v>22</v>
      </c>
    </row>
    <row r="14578" ht="15.75" customHeight="1">
      <c r="A14578" s="7"/>
      <c r="B14578" s="7"/>
      <c r="M14578" s="9" t="s">
        <v>27</v>
      </c>
    </row>
    <row r="14579" ht="15.75" customHeight="1">
      <c r="A14579" s="7"/>
      <c r="B14579" s="7"/>
      <c r="M14579" s="9" t="s">
        <v>33</v>
      </c>
    </row>
    <row r="14580" ht="15.75" customHeight="1">
      <c r="A14580" s="7"/>
      <c r="B14580" s="7"/>
      <c r="M14580" s="9" t="s">
        <v>23</v>
      </c>
    </row>
    <row r="14581" ht="15.75" customHeight="1">
      <c r="A14581" s="7"/>
      <c r="B14581" s="7"/>
      <c r="M14581" s="9" t="s">
        <v>26</v>
      </c>
    </row>
    <row r="14582" ht="15.75" customHeight="1">
      <c r="A14582" s="7"/>
      <c r="B14582" s="7"/>
      <c r="M14582" s="9" t="s">
        <v>24</v>
      </c>
    </row>
    <row r="14583" ht="15.75" customHeight="1">
      <c r="A14583" s="7"/>
      <c r="B14583" s="7"/>
      <c r="M14583" s="9" t="s">
        <v>20</v>
      </c>
    </row>
    <row r="14584" ht="15.75" customHeight="1">
      <c r="A14584" s="7"/>
      <c r="B14584" s="7"/>
      <c r="M14584" s="9" t="s">
        <v>21</v>
      </c>
    </row>
    <row r="14585" ht="15.75" customHeight="1">
      <c r="A14585" s="7"/>
      <c r="B14585" s="7"/>
      <c r="M14585" s="9" t="s">
        <v>39</v>
      </c>
    </row>
    <row r="14586" ht="15.75" customHeight="1">
      <c r="A14586" s="7"/>
      <c r="B14586" s="7"/>
      <c r="M14586" s="9" t="s">
        <v>27</v>
      </c>
    </row>
    <row r="14587" ht="15.75" customHeight="1">
      <c r="A14587" s="7"/>
      <c r="B14587" s="7"/>
      <c r="M14587" s="9" t="s">
        <v>33</v>
      </c>
    </row>
    <row r="14588" ht="15.75" customHeight="1">
      <c r="A14588" s="7"/>
      <c r="B14588" s="7"/>
      <c r="M14588" s="9" t="s">
        <v>24</v>
      </c>
    </row>
    <row r="14589" ht="15.75" customHeight="1">
      <c r="A14589" s="7"/>
      <c r="B14589" s="7"/>
      <c r="M14589" s="9" t="s">
        <v>20</v>
      </c>
    </row>
    <row r="14590" ht="15.75" customHeight="1">
      <c r="A14590" s="7"/>
      <c r="B14590" s="7"/>
      <c r="M14590" s="9" t="s">
        <v>21</v>
      </c>
    </row>
    <row r="14591" ht="15.75" customHeight="1">
      <c r="A14591" s="7"/>
      <c r="B14591" s="7"/>
      <c r="M14591" s="9" t="s">
        <v>22</v>
      </c>
    </row>
    <row r="14592" ht="15.75" customHeight="1">
      <c r="A14592" s="7"/>
      <c r="B14592" s="7"/>
      <c r="M14592" s="9" t="s">
        <v>27</v>
      </c>
    </row>
    <row r="14593" ht="15.75" customHeight="1">
      <c r="A14593" s="7"/>
      <c r="B14593" s="7"/>
      <c r="M14593" s="9" t="s">
        <v>30</v>
      </c>
    </row>
    <row r="14594" ht="15.75" customHeight="1">
      <c r="A14594" s="7"/>
      <c r="B14594" s="7"/>
      <c r="M14594" s="9" t="s">
        <v>23</v>
      </c>
    </row>
    <row r="14595" ht="15.75" customHeight="1">
      <c r="A14595" s="7"/>
      <c r="B14595" s="7"/>
      <c r="M14595" s="9" t="s">
        <v>26</v>
      </c>
    </row>
    <row r="14596" ht="15.75" customHeight="1">
      <c r="A14596" s="7"/>
      <c r="B14596" s="7"/>
      <c r="M14596" s="9" t="s">
        <v>24</v>
      </c>
    </row>
    <row r="14597" ht="15.75" customHeight="1">
      <c r="A14597" s="7"/>
      <c r="B14597" s="7"/>
      <c r="M14597" s="9" t="s">
        <v>21</v>
      </c>
    </row>
    <row r="14598" ht="15.75" customHeight="1">
      <c r="A14598" s="7"/>
      <c r="B14598" s="7"/>
      <c r="M14598" s="9" t="s">
        <v>30</v>
      </c>
    </row>
    <row r="14599" ht="15.75" customHeight="1">
      <c r="A14599" s="7"/>
      <c r="B14599" s="7"/>
      <c r="M14599" s="9" t="s">
        <v>24</v>
      </c>
    </row>
    <row r="14600" ht="15.75" customHeight="1">
      <c r="A14600" s="7"/>
      <c r="B14600" s="7"/>
      <c r="M14600" s="9" t="s">
        <v>20</v>
      </c>
    </row>
    <row r="14601" ht="15.75" customHeight="1">
      <c r="A14601" s="7"/>
      <c r="B14601" s="7"/>
      <c r="M14601" s="9" t="s">
        <v>21</v>
      </c>
    </row>
    <row r="14602" ht="15.75" customHeight="1">
      <c r="A14602" s="7"/>
      <c r="B14602" s="7"/>
      <c r="M14602" s="9" t="s">
        <v>37</v>
      </c>
    </row>
    <row r="14603" ht="15.75" customHeight="1">
      <c r="A14603" s="7"/>
      <c r="B14603" s="7"/>
      <c r="M14603" s="9" t="s">
        <v>27</v>
      </c>
    </row>
    <row r="14604" ht="15.75" customHeight="1">
      <c r="A14604" s="7"/>
      <c r="B14604" s="7"/>
      <c r="M14604" s="9" t="s">
        <v>20</v>
      </c>
    </row>
    <row r="14605" ht="15.75" customHeight="1">
      <c r="A14605" s="7"/>
      <c r="B14605" s="7"/>
      <c r="M14605" s="9" t="s">
        <v>38</v>
      </c>
    </row>
    <row r="14606" ht="15.75" customHeight="1">
      <c r="A14606" s="7"/>
      <c r="B14606" s="7"/>
      <c r="M14606" s="9" t="s">
        <v>30</v>
      </c>
    </row>
    <row r="14607" ht="15.75" customHeight="1">
      <c r="A14607" s="7"/>
      <c r="B14607" s="7"/>
      <c r="M14607" s="9" t="s">
        <v>25</v>
      </c>
    </row>
    <row r="14608" ht="15.75" customHeight="1">
      <c r="A14608" s="7"/>
      <c r="B14608" s="7"/>
      <c r="M14608" s="9" t="s">
        <v>23</v>
      </c>
    </row>
    <row r="14609" ht="15.75" customHeight="1">
      <c r="A14609" s="7"/>
      <c r="B14609" s="7"/>
      <c r="M14609" s="9" t="s">
        <v>26</v>
      </c>
    </row>
    <row r="14610" ht="15.75" customHeight="1">
      <c r="A14610" s="7"/>
      <c r="B14610" s="7"/>
      <c r="M14610" s="9" t="s">
        <v>24</v>
      </c>
    </row>
    <row r="14611" ht="15.75" customHeight="1">
      <c r="A14611" s="7"/>
      <c r="B14611" s="7"/>
      <c r="M14611" s="9" t="s">
        <v>20</v>
      </c>
    </row>
    <row r="14612" ht="15.75" customHeight="1">
      <c r="A14612" s="7"/>
      <c r="B14612" s="7"/>
      <c r="M14612" s="9" t="s">
        <v>21</v>
      </c>
    </row>
    <row r="14613" ht="15.75" customHeight="1">
      <c r="A14613" s="7"/>
      <c r="B14613" s="7"/>
      <c r="M14613" s="9" t="s">
        <v>22</v>
      </c>
    </row>
    <row r="14614" ht="15.75" customHeight="1">
      <c r="A14614" s="7"/>
      <c r="B14614" s="7"/>
      <c r="M14614" s="9" t="s">
        <v>27</v>
      </c>
    </row>
    <row r="14615" ht="15.75" customHeight="1">
      <c r="A14615" s="7"/>
      <c r="B14615" s="7"/>
      <c r="M14615" s="9" t="s">
        <v>33</v>
      </c>
    </row>
    <row r="14616" ht="15.75" customHeight="1">
      <c r="A14616" s="7"/>
      <c r="B14616" s="7"/>
      <c r="M14616" s="9" t="s">
        <v>23</v>
      </c>
    </row>
    <row r="14617" ht="15.75" customHeight="1">
      <c r="A14617" s="7"/>
      <c r="B14617" s="7"/>
      <c r="M14617" s="9" t="s">
        <v>20</v>
      </c>
    </row>
    <row r="14618" ht="15.75" customHeight="1">
      <c r="A14618" s="7"/>
      <c r="B14618" s="7"/>
      <c r="M14618" s="9" t="s">
        <v>22</v>
      </c>
    </row>
    <row r="14619" ht="15.75" customHeight="1">
      <c r="A14619" s="7"/>
      <c r="B14619" s="7"/>
      <c r="M14619" s="9" t="s">
        <v>30</v>
      </c>
    </row>
    <row r="14620" ht="15.75" customHeight="1">
      <c r="A14620" s="7"/>
      <c r="B14620" s="7"/>
      <c r="M14620" s="9" t="s">
        <v>26</v>
      </c>
    </row>
    <row r="14621" ht="15.75" customHeight="1">
      <c r="A14621" s="7"/>
      <c r="B14621" s="7"/>
      <c r="M14621" s="9" t="s">
        <v>24</v>
      </c>
    </row>
    <row r="14622" ht="15.75" customHeight="1">
      <c r="A14622" s="7"/>
      <c r="B14622" s="7"/>
      <c r="M14622" s="9" t="s">
        <v>21</v>
      </c>
    </row>
    <row r="14623" ht="15.75" customHeight="1">
      <c r="A14623" s="7"/>
      <c r="B14623" s="7"/>
      <c r="M14623" s="9" t="s">
        <v>27</v>
      </c>
    </row>
    <row r="14624" ht="15.75" customHeight="1">
      <c r="A14624" s="7"/>
      <c r="B14624" s="7"/>
      <c r="M14624" s="9" t="s">
        <v>33</v>
      </c>
    </row>
    <row r="14625" ht="15.75" customHeight="1">
      <c r="A14625" s="7"/>
      <c r="B14625" s="7"/>
      <c r="M14625" s="9" t="s">
        <v>28</v>
      </c>
    </row>
    <row r="14626" ht="15.75" customHeight="1">
      <c r="A14626" s="7"/>
      <c r="B14626" s="7"/>
      <c r="M14626" s="9" t="s">
        <v>44</v>
      </c>
    </row>
    <row r="14627" ht="15.75" customHeight="1">
      <c r="A14627" s="7"/>
      <c r="B14627" s="7"/>
      <c r="M14627" s="9" t="s">
        <v>24</v>
      </c>
    </row>
    <row r="14628" ht="15.75" customHeight="1">
      <c r="A14628" s="7"/>
      <c r="B14628" s="7"/>
      <c r="M14628" s="9" t="s">
        <v>21</v>
      </c>
    </row>
    <row r="14629" ht="15.75" customHeight="1">
      <c r="A14629" s="7"/>
      <c r="B14629" s="7"/>
      <c r="M14629" s="9" t="s">
        <v>37</v>
      </c>
    </row>
    <row r="14630" ht="15.75" customHeight="1">
      <c r="A14630" s="7"/>
      <c r="B14630" s="7"/>
      <c r="M14630" s="9" t="s">
        <v>27</v>
      </c>
    </row>
    <row r="14631" ht="15.75" customHeight="1">
      <c r="A14631" s="7"/>
      <c r="B14631" s="7"/>
      <c r="M14631" s="9" t="s">
        <v>20</v>
      </c>
    </row>
    <row r="14632" ht="15.75" customHeight="1">
      <c r="A14632" s="7"/>
      <c r="B14632" s="7"/>
      <c r="M14632" s="9" t="s">
        <v>22</v>
      </c>
    </row>
    <row r="14633" ht="15.75" customHeight="1">
      <c r="A14633" s="7"/>
      <c r="B14633" s="7"/>
      <c r="M14633" s="9" t="s">
        <v>46</v>
      </c>
    </row>
    <row r="14634" ht="15.75" customHeight="1">
      <c r="A14634" s="7"/>
      <c r="B14634" s="7"/>
      <c r="M14634" s="9" t="s">
        <v>27</v>
      </c>
    </row>
    <row r="14635" ht="15.75" customHeight="1">
      <c r="A14635" s="7"/>
      <c r="B14635" s="7"/>
      <c r="M14635" s="9" t="s">
        <v>26</v>
      </c>
    </row>
    <row r="14636" ht="15.75" customHeight="1">
      <c r="A14636" s="7"/>
      <c r="B14636" s="7"/>
      <c r="M14636" s="9" t="s">
        <v>27</v>
      </c>
    </row>
    <row r="14637" ht="15.75" customHeight="1">
      <c r="A14637" s="7"/>
      <c r="B14637" s="7"/>
      <c r="M14637" s="9" t="s">
        <v>24</v>
      </c>
    </row>
    <row r="14638" ht="15.75" customHeight="1">
      <c r="A14638" s="7"/>
      <c r="B14638" s="7"/>
      <c r="M14638" s="9" t="s">
        <v>20</v>
      </c>
    </row>
    <row r="14639" ht="15.75" customHeight="1">
      <c r="A14639" s="7"/>
      <c r="B14639" s="7"/>
      <c r="M14639" s="9" t="s">
        <v>21</v>
      </c>
    </row>
    <row r="14640" ht="15.75" customHeight="1">
      <c r="A14640" s="7"/>
      <c r="B14640" s="7"/>
      <c r="M14640" s="9" t="s">
        <v>22</v>
      </c>
    </row>
    <row r="14641" ht="15.75" customHeight="1">
      <c r="A14641" s="7"/>
      <c r="B14641" s="7"/>
      <c r="M14641" s="9" t="s">
        <v>27</v>
      </c>
    </row>
    <row r="14642" ht="15.75" customHeight="1">
      <c r="A14642" s="7"/>
      <c r="B14642" s="7"/>
      <c r="M14642" s="9" t="s">
        <v>30</v>
      </c>
    </row>
    <row r="14643" ht="15.75" customHeight="1">
      <c r="A14643" s="7"/>
      <c r="B14643" s="7"/>
      <c r="M14643" s="9" t="s">
        <v>24</v>
      </c>
    </row>
    <row r="14644" ht="15.75" customHeight="1">
      <c r="A14644" s="7"/>
      <c r="B14644" s="7"/>
      <c r="M14644" s="9" t="s">
        <v>21</v>
      </c>
    </row>
    <row r="14645" ht="15.75" customHeight="1">
      <c r="A14645" s="7"/>
      <c r="B14645" s="7"/>
      <c r="M14645" s="9" t="s">
        <v>22</v>
      </c>
    </row>
    <row r="14646" ht="15.75" customHeight="1">
      <c r="A14646" s="7"/>
      <c r="B14646" s="7"/>
      <c r="M14646" s="9" t="s">
        <v>38</v>
      </c>
    </row>
    <row r="14647" ht="15.75" customHeight="1">
      <c r="A14647" s="7"/>
      <c r="B14647" s="7"/>
      <c r="M14647" s="9" t="s">
        <v>30</v>
      </c>
    </row>
    <row r="14648" ht="15.75" customHeight="1">
      <c r="A14648" s="7"/>
      <c r="B14648" s="7"/>
      <c r="M14648" s="9" t="s">
        <v>25</v>
      </c>
    </row>
    <row r="14649" ht="15.75" customHeight="1">
      <c r="A14649" s="7"/>
      <c r="B14649" s="7"/>
      <c r="M14649" s="9" t="s">
        <v>23</v>
      </c>
    </row>
    <row r="14650" ht="15.75" customHeight="1">
      <c r="A14650" s="7"/>
      <c r="B14650" s="7"/>
      <c r="M14650" s="9" t="s">
        <v>24</v>
      </c>
    </row>
    <row r="14651" ht="15.75" customHeight="1">
      <c r="A14651" s="7"/>
      <c r="B14651" s="7"/>
      <c r="M14651" s="9" t="s">
        <v>22</v>
      </c>
    </row>
    <row r="14652" ht="15.75" customHeight="1">
      <c r="A14652" s="7"/>
      <c r="B14652" s="7"/>
      <c r="M14652" s="9" t="s">
        <v>28</v>
      </c>
    </row>
    <row r="14653" ht="15.75" customHeight="1">
      <c r="A14653" s="7"/>
      <c r="B14653" s="7"/>
      <c r="M14653" s="9" t="s">
        <v>25</v>
      </c>
    </row>
    <row r="14654" ht="15.75" customHeight="1">
      <c r="A14654" s="7"/>
      <c r="B14654" s="7"/>
      <c r="M14654" s="9" t="s">
        <v>24</v>
      </c>
    </row>
    <row r="14655" ht="15.75" customHeight="1">
      <c r="A14655" s="7"/>
      <c r="B14655" s="7"/>
      <c r="M14655" s="9" t="s">
        <v>20</v>
      </c>
    </row>
    <row r="14656" ht="15.75" customHeight="1">
      <c r="A14656" s="7"/>
      <c r="B14656" s="7"/>
      <c r="M14656" s="9" t="s">
        <v>21</v>
      </c>
    </row>
    <row r="14657" ht="15.75" customHeight="1">
      <c r="A14657" s="7"/>
      <c r="B14657" s="7"/>
      <c r="M14657" s="9" t="s">
        <v>22</v>
      </c>
    </row>
    <row r="14658" ht="15.75" customHeight="1">
      <c r="A14658" s="7"/>
      <c r="B14658" s="7"/>
      <c r="M14658" s="9" t="s">
        <v>24</v>
      </c>
    </row>
    <row r="14659" ht="15.75" customHeight="1">
      <c r="A14659" s="7"/>
      <c r="B14659" s="7"/>
      <c r="M14659" s="9" t="s">
        <v>21</v>
      </c>
    </row>
    <row r="14660" ht="15.75" customHeight="1">
      <c r="A14660" s="7"/>
      <c r="B14660" s="7"/>
      <c r="M14660" s="9" t="s">
        <v>22</v>
      </c>
    </row>
    <row r="14661" ht="15.75" customHeight="1">
      <c r="A14661" s="7"/>
      <c r="B14661" s="7"/>
      <c r="M14661" s="9" t="s">
        <v>27</v>
      </c>
    </row>
    <row r="14662" ht="15.75" customHeight="1">
      <c r="A14662" s="7"/>
      <c r="B14662" s="7"/>
      <c r="M14662" s="9" t="s">
        <v>25</v>
      </c>
    </row>
    <row r="14663" ht="15.75" customHeight="1">
      <c r="A14663" s="7"/>
      <c r="B14663" s="7"/>
      <c r="M14663" s="9" t="s">
        <v>23</v>
      </c>
    </row>
    <row r="14664" ht="15.75" customHeight="1">
      <c r="A14664" s="7"/>
      <c r="B14664" s="7"/>
      <c r="M14664" s="9" t="s">
        <v>20</v>
      </c>
    </row>
    <row r="14665" ht="15.75" customHeight="1">
      <c r="A14665" s="7"/>
      <c r="B14665" s="7"/>
      <c r="M14665" s="9" t="s">
        <v>39</v>
      </c>
    </row>
    <row r="14666" ht="15.75" customHeight="1">
      <c r="A14666" s="7"/>
      <c r="B14666" s="7"/>
      <c r="M14666" s="9" t="s">
        <v>27</v>
      </c>
    </row>
    <row r="14667" ht="15.75" customHeight="1">
      <c r="A14667" s="7"/>
      <c r="B14667" s="7"/>
      <c r="M14667" s="9" t="s">
        <v>35</v>
      </c>
    </row>
    <row r="14668" ht="15.75" customHeight="1">
      <c r="A14668" s="7"/>
      <c r="B14668" s="7"/>
      <c r="M14668" s="9" t="s">
        <v>30</v>
      </c>
    </row>
    <row r="14669" ht="15.75" customHeight="1">
      <c r="A14669" s="7"/>
      <c r="B14669" s="7"/>
      <c r="M14669" s="9" t="s">
        <v>26</v>
      </c>
    </row>
    <row r="14670" ht="15.75" customHeight="1">
      <c r="A14670" s="7"/>
      <c r="B14670" s="7"/>
      <c r="M14670" s="9" t="s">
        <v>24</v>
      </c>
    </row>
    <row r="14671" ht="15.75" customHeight="1">
      <c r="A14671" s="7"/>
      <c r="B14671" s="7"/>
      <c r="M14671" s="9" t="s">
        <v>21</v>
      </c>
    </row>
    <row r="14672" ht="15.75" customHeight="1">
      <c r="A14672" s="7"/>
      <c r="B14672" s="7"/>
      <c r="M14672" s="9" t="s">
        <v>39</v>
      </c>
    </row>
    <row r="14673" ht="15.75" customHeight="1">
      <c r="A14673" s="7"/>
      <c r="B14673" s="7"/>
      <c r="M14673" s="9" t="s">
        <v>37</v>
      </c>
    </row>
    <row r="14674" ht="15.75" customHeight="1">
      <c r="A14674" s="7"/>
      <c r="B14674" s="7"/>
      <c r="M14674" s="9" t="s">
        <v>22</v>
      </c>
    </row>
    <row r="14675" ht="15.75" customHeight="1">
      <c r="A14675" s="7"/>
      <c r="B14675" s="7"/>
      <c r="M14675" s="9" t="s">
        <v>27</v>
      </c>
    </row>
    <row r="14676" ht="15.75" customHeight="1">
      <c r="A14676" s="7"/>
      <c r="B14676" s="7"/>
      <c r="M14676" s="9" t="s">
        <v>33</v>
      </c>
    </row>
    <row r="14677" ht="15.75" customHeight="1">
      <c r="A14677" s="7"/>
      <c r="B14677" s="7"/>
      <c r="M14677" s="9" t="s">
        <v>20</v>
      </c>
    </row>
    <row r="14678" ht="15.75" customHeight="1">
      <c r="A14678" s="7"/>
      <c r="B14678" s="7"/>
      <c r="M14678" s="9" t="s">
        <v>21</v>
      </c>
    </row>
    <row r="14679" ht="15.75" customHeight="1">
      <c r="A14679" s="7"/>
      <c r="B14679" s="7"/>
      <c r="M14679" s="9" t="s">
        <v>27</v>
      </c>
    </row>
    <row r="14680" ht="15.75" customHeight="1">
      <c r="A14680" s="7"/>
      <c r="B14680" s="7"/>
      <c r="M14680" s="9" t="s">
        <v>24</v>
      </c>
    </row>
    <row r="14681" ht="15.75" customHeight="1">
      <c r="A14681" s="7"/>
      <c r="B14681" s="7"/>
      <c r="M14681" s="9" t="s">
        <v>21</v>
      </c>
    </row>
    <row r="14682" ht="15.75" customHeight="1">
      <c r="A14682" s="7"/>
      <c r="B14682" s="7"/>
      <c r="M14682" s="9" t="s">
        <v>30</v>
      </c>
    </row>
    <row r="14683" ht="15.75" customHeight="1">
      <c r="A14683" s="7"/>
      <c r="B14683" s="7"/>
      <c r="M14683" s="9" t="s">
        <v>20</v>
      </c>
    </row>
    <row r="14684" ht="15.75" customHeight="1">
      <c r="A14684" s="7"/>
      <c r="B14684" s="7"/>
      <c r="M14684" s="9" t="s">
        <v>22</v>
      </c>
    </row>
    <row r="14685" ht="15.75" customHeight="1">
      <c r="A14685" s="7"/>
      <c r="B14685" s="7"/>
      <c r="M14685" s="9" t="s">
        <v>23</v>
      </c>
    </row>
    <row r="14686" ht="15.75" customHeight="1">
      <c r="A14686" s="7"/>
      <c r="B14686" s="7"/>
      <c r="M14686" s="9" t="s">
        <v>24</v>
      </c>
    </row>
    <row r="14687" ht="15.75" customHeight="1">
      <c r="A14687" s="7"/>
      <c r="B14687" s="7"/>
      <c r="M14687" s="9" t="s">
        <v>21</v>
      </c>
    </row>
    <row r="14688" ht="15.75" customHeight="1">
      <c r="A14688" s="7"/>
      <c r="B14688" s="7"/>
      <c r="M14688" s="9" t="s">
        <v>37</v>
      </c>
    </row>
    <row r="14689" ht="15.75" customHeight="1">
      <c r="A14689" s="7"/>
      <c r="B14689" s="7"/>
      <c r="M14689" s="9" t="s">
        <v>24</v>
      </c>
    </row>
    <row r="14690" ht="15.75" customHeight="1">
      <c r="A14690" s="7"/>
      <c r="B14690" s="7"/>
      <c r="M14690" s="9" t="s">
        <v>21</v>
      </c>
    </row>
    <row r="14691" ht="15.75" customHeight="1">
      <c r="A14691" s="7"/>
      <c r="B14691" s="7"/>
      <c r="M14691" s="9" t="s">
        <v>37</v>
      </c>
    </row>
    <row r="14692" ht="15.75" customHeight="1">
      <c r="A14692" s="7"/>
      <c r="B14692" s="7"/>
      <c r="M14692" s="9" t="s">
        <v>31</v>
      </c>
    </row>
    <row r="14693" ht="15.75" customHeight="1">
      <c r="A14693" s="7"/>
      <c r="B14693" s="7"/>
      <c r="M14693" s="9" t="s">
        <v>27</v>
      </c>
    </row>
    <row r="14694" ht="15.75" customHeight="1">
      <c r="A14694" s="7"/>
      <c r="B14694" s="7"/>
      <c r="M14694" s="9" t="s">
        <v>22</v>
      </c>
    </row>
    <row r="14695" ht="15.75" customHeight="1">
      <c r="A14695" s="7"/>
      <c r="B14695" s="7"/>
      <c r="M14695" s="9" t="s">
        <v>24</v>
      </c>
    </row>
    <row r="14696" ht="15.75" customHeight="1">
      <c r="A14696" s="7"/>
      <c r="B14696" s="7"/>
      <c r="M14696" s="9" t="s">
        <v>20</v>
      </c>
    </row>
    <row r="14697" ht="15.75" customHeight="1">
      <c r="A14697" s="7"/>
      <c r="B14697" s="7"/>
      <c r="M14697" s="9" t="s">
        <v>39</v>
      </c>
    </row>
    <row r="14698" ht="15.75" customHeight="1">
      <c r="A14698" s="7"/>
      <c r="B14698" s="7"/>
      <c r="M14698" s="9" t="s">
        <v>30</v>
      </c>
    </row>
    <row r="14699" ht="15.75" customHeight="1">
      <c r="A14699" s="7"/>
      <c r="B14699" s="7"/>
      <c r="M14699" s="9" t="s">
        <v>24</v>
      </c>
    </row>
    <row r="14700" ht="15.75" customHeight="1">
      <c r="A14700" s="7"/>
      <c r="B14700" s="7"/>
      <c r="M14700" s="9" t="s">
        <v>20</v>
      </c>
    </row>
    <row r="14701" ht="15.75" customHeight="1">
      <c r="A14701" s="7"/>
      <c r="B14701" s="7"/>
      <c r="M14701" s="9" t="s">
        <v>21</v>
      </c>
    </row>
    <row r="14702" ht="15.75" customHeight="1">
      <c r="A14702" s="7"/>
      <c r="B14702" s="7"/>
      <c r="M14702" s="9" t="s">
        <v>22</v>
      </c>
    </row>
    <row r="14703" ht="15.75" customHeight="1">
      <c r="A14703" s="7"/>
      <c r="B14703" s="7"/>
      <c r="M14703" s="9" t="s">
        <v>33</v>
      </c>
    </row>
    <row r="14704" ht="15.75" customHeight="1">
      <c r="A14704" s="7"/>
      <c r="B14704" s="7"/>
      <c r="M14704" s="9" t="s">
        <v>30</v>
      </c>
    </row>
    <row r="14705" ht="15.75" customHeight="1">
      <c r="A14705" s="7"/>
      <c r="B14705" s="7"/>
      <c r="M14705" s="9" t="s">
        <v>20</v>
      </c>
    </row>
    <row r="14706" ht="15.75" customHeight="1">
      <c r="A14706" s="7"/>
      <c r="B14706" s="7"/>
      <c r="M14706" s="9" t="s">
        <v>27</v>
      </c>
    </row>
    <row r="14707" ht="15.75" customHeight="1">
      <c r="A14707" s="7"/>
      <c r="B14707" s="7"/>
      <c r="M14707" s="9" t="s">
        <v>26</v>
      </c>
    </row>
    <row r="14708" ht="15.75" customHeight="1">
      <c r="A14708" s="7"/>
      <c r="B14708" s="7"/>
      <c r="M14708" s="9" t="s">
        <v>24</v>
      </c>
    </row>
    <row r="14709" ht="15.75" customHeight="1">
      <c r="A14709" s="7"/>
      <c r="B14709" s="7"/>
      <c r="M14709" s="9" t="s">
        <v>21</v>
      </c>
    </row>
    <row r="14710" ht="15.75" customHeight="1">
      <c r="A14710" s="7"/>
      <c r="B14710" s="7"/>
      <c r="M14710" s="9" t="s">
        <v>27</v>
      </c>
    </row>
    <row r="14711" ht="15.75" customHeight="1">
      <c r="A14711" s="7"/>
      <c r="B14711" s="7"/>
      <c r="M14711" s="9" t="s">
        <v>33</v>
      </c>
    </row>
    <row r="14712" ht="15.75" customHeight="1">
      <c r="A14712" s="7"/>
      <c r="B14712" s="7"/>
      <c r="M14712" s="9" t="s">
        <v>38</v>
      </c>
    </row>
    <row r="14713" ht="15.75" customHeight="1">
      <c r="A14713" s="7"/>
      <c r="B14713" s="7"/>
      <c r="M14713" s="9" t="s">
        <v>30</v>
      </c>
    </row>
    <row r="14714" ht="15.75" customHeight="1">
      <c r="A14714" s="7"/>
      <c r="B14714" s="7"/>
      <c r="M14714" s="9" t="s">
        <v>25</v>
      </c>
    </row>
    <row r="14715" ht="15.75" customHeight="1">
      <c r="A14715" s="7"/>
      <c r="B14715" s="7"/>
      <c r="M14715" s="9" t="s">
        <v>47</v>
      </c>
    </row>
    <row r="14716" ht="15.75" customHeight="1">
      <c r="A14716" s="7"/>
      <c r="B14716" s="7"/>
      <c r="M14716" s="9" t="s">
        <v>20</v>
      </c>
    </row>
    <row r="14717" ht="15.75" customHeight="1">
      <c r="A14717" s="7"/>
      <c r="B14717" s="7"/>
      <c r="M14717" s="9" t="s">
        <v>22</v>
      </c>
    </row>
    <row r="14718" ht="15.75" customHeight="1">
      <c r="A14718" s="7"/>
      <c r="B14718" s="7"/>
      <c r="M14718" s="9" t="s">
        <v>29</v>
      </c>
    </row>
    <row r="14719" ht="15.75" customHeight="1">
      <c r="A14719" s="7"/>
      <c r="B14719" s="7"/>
      <c r="M14719" s="9" t="s">
        <v>27</v>
      </c>
    </row>
    <row r="14720" ht="15.75" customHeight="1">
      <c r="A14720" s="7"/>
      <c r="B14720" s="7"/>
      <c r="M14720" s="9" t="s">
        <v>20</v>
      </c>
    </row>
    <row r="14721" ht="15.75" customHeight="1">
      <c r="A14721" s="7"/>
      <c r="B14721" s="7"/>
      <c r="M14721" s="9" t="s">
        <v>39</v>
      </c>
    </row>
    <row r="14722" ht="15.75" customHeight="1">
      <c r="A14722" s="7"/>
      <c r="B14722" s="7"/>
      <c r="M14722" s="9" t="s">
        <v>30</v>
      </c>
    </row>
    <row r="14723" ht="15.75" customHeight="1">
      <c r="A14723" s="7"/>
      <c r="B14723" s="7"/>
      <c r="M14723" s="9" t="s">
        <v>24</v>
      </c>
    </row>
    <row r="14724" ht="15.75" customHeight="1">
      <c r="A14724" s="7"/>
      <c r="B14724" s="7"/>
      <c r="M14724" s="9" t="s">
        <v>37</v>
      </c>
    </row>
    <row r="14725" ht="15.75" customHeight="1">
      <c r="A14725" s="7"/>
      <c r="B14725" s="7"/>
      <c r="M14725" s="9" t="s">
        <v>24</v>
      </c>
    </row>
    <row r="14726" ht="15.75" customHeight="1">
      <c r="A14726" s="7"/>
      <c r="B14726" s="7"/>
      <c r="M14726" s="9" t="s">
        <v>21</v>
      </c>
    </row>
    <row r="14727" ht="15.75" customHeight="1">
      <c r="A14727" s="7"/>
      <c r="B14727" s="7"/>
      <c r="M14727" s="9" t="s">
        <v>22</v>
      </c>
    </row>
    <row r="14728" ht="15.75" customHeight="1">
      <c r="A14728" s="7"/>
      <c r="B14728" s="7"/>
      <c r="M14728" s="9" t="s">
        <v>33</v>
      </c>
    </row>
    <row r="14729" ht="15.75" customHeight="1">
      <c r="A14729" s="7"/>
      <c r="B14729" s="7"/>
      <c r="M14729" s="9" t="s">
        <v>30</v>
      </c>
    </row>
    <row r="14730" ht="15.75" customHeight="1">
      <c r="A14730" s="7"/>
      <c r="B14730" s="7"/>
      <c r="M14730" s="9" t="s">
        <v>21</v>
      </c>
    </row>
    <row r="14731" ht="15.75" customHeight="1">
      <c r="A14731" s="7"/>
      <c r="B14731" s="7"/>
      <c r="M14731" s="9" t="s">
        <v>38</v>
      </c>
    </row>
    <row r="14732" ht="15.75" customHeight="1">
      <c r="A14732" s="7"/>
      <c r="B14732" s="7"/>
      <c r="M14732" s="9" t="s">
        <v>25</v>
      </c>
    </row>
    <row r="14733" ht="15.75" customHeight="1">
      <c r="A14733" s="7"/>
      <c r="B14733" s="7"/>
      <c r="M14733" s="9" t="s">
        <v>22</v>
      </c>
    </row>
    <row r="14734" ht="15.75" customHeight="1">
      <c r="A14734" s="7"/>
      <c r="B14734" s="7"/>
      <c r="M14734" s="9" t="s">
        <v>25</v>
      </c>
    </row>
    <row r="14735" ht="15.75" customHeight="1">
      <c r="A14735" s="7"/>
      <c r="B14735" s="7"/>
      <c r="M14735" s="9" t="s">
        <v>23</v>
      </c>
    </row>
    <row r="14736" ht="15.75" customHeight="1">
      <c r="A14736" s="7"/>
      <c r="B14736" s="7"/>
      <c r="M14736" s="9" t="s">
        <v>22</v>
      </c>
    </row>
    <row r="14737" ht="15.75" customHeight="1">
      <c r="A14737" s="7"/>
      <c r="B14737" s="7"/>
      <c r="M14737" s="9" t="s">
        <v>25</v>
      </c>
    </row>
    <row r="14738" ht="15.75" customHeight="1">
      <c r="A14738" s="7"/>
      <c r="B14738" s="7"/>
      <c r="M14738" s="9" t="s">
        <v>23</v>
      </c>
    </row>
    <row r="14739" ht="15.75" customHeight="1">
      <c r="A14739" s="7"/>
      <c r="B14739" s="7"/>
      <c r="M14739" s="9" t="s">
        <v>26</v>
      </c>
    </row>
    <row r="14740" ht="15.75" customHeight="1">
      <c r="A14740" s="7"/>
      <c r="B14740" s="7"/>
      <c r="M14740" s="9" t="s">
        <v>24</v>
      </c>
    </row>
    <row r="14741" ht="15.75" customHeight="1">
      <c r="A14741" s="7"/>
      <c r="B14741" s="7"/>
      <c r="M14741" s="9" t="s">
        <v>20</v>
      </c>
    </row>
    <row r="14742" ht="15.75" customHeight="1">
      <c r="A14742" s="7"/>
      <c r="B14742" s="7"/>
      <c r="M14742" s="9" t="s">
        <v>21</v>
      </c>
    </row>
    <row r="14743" ht="15.75" customHeight="1">
      <c r="A14743" s="7"/>
      <c r="B14743" s="7"/>
      <c r="M14743" s="9" t="s">
        <v>27</v>
      </c>
    </row>
    <row r="14744" ht="15.75" customHeight="1">
      <c r="A14744" s="7"/>
      <c r="B14744" s="7"/>
      <c r="M14744" s="9" t="s">
        <v>33</v>
      </c>
    </row>
    <row r="14745" ht="15.75" customHeight="1">
      <c r="A14745" s="7"/>
      <c r="B14745" s="7"/>
      <c r="M14745" s="9" t="s">
        <v>30</v>
      </c>
    </row>
    <row r="14746" ht="15.75" customHeight="1">
      <c r="A14746" s="7"/>
      <c r="B14746" s="7"/>
      <c r="M14746" s="9" t="s">
        <v>36</v>
      </c>
    </row>
    <row r="14747" ht="15.75" customHeight="1">
      <c r="A14747" s="7"/>
      <c r="B14747" s="7"/>
      <c r="M14747" s="9" t="s">
        <v>24</v>
      </c>
    </row>
    <row r="14748" ht="15.75" customHeight="1">
      <c r="A14748" s="7"/>
      <c r="B14748" s="7"/>
      <c r="M14748" s="9" t="s">
        <v>21</v>
      </c>
    </row>
    <row r="14749" ht="15.75" customHeight="1">
      <c r="A14749" s="7"/>
      <c r="B14749" s="7"/>
      <c r="M14749" s="9" t="s">
        <v>22</v>
      </c>
    </row>
    <row r="14750" ht="15.75" customHeight="1">
      <c r="A14750" s="7"/>
      <c r="B14750" s="7"/>
      <c r="M14750" s="9" t="s">
        <v>31</v>
      </c>
    </row>
    <row r="14751" ht="15.75" customHeight="1">
      <c r="A14751" s="7"/>
      <c r="B14751" s="7"/>
      <c r="M14751" s="9" t="s">
        <v>27</v>
      </c>
    </row>
    <row r="14752" ht="15.75" customHeight="1">
      <c r="A14752" s="7"/>
      <c r="B14752" s="7"/>
      <c r="M14752" s="9" t="s">
        <v>26</v>
      </c>
    </row>
    <row r="14753" ht="15.75" customHeight="1">
      <c r="A14753" s="7"/>
      <c r="B14753" s="7"/>
      <c r="M14753" s="9" t="s">
        <v>20</v>
      </c>
    </row>
    <row r="14754" ht="15.75" customHeight="1">
      <c r="A14754" s="7"/>
      <c r="B14754" s="7"/>
      <c r="M14754" s="9" t="s">
        <v>20</v>
      </c>
    </row>
    <row r="14755" ht="15.75" customHeight="1">
      <c r="A14755" s="7"/>
      <c r="B14755" s="7"/>
      <c r="M14755" s="9" t="s">
        <v>39</v>
      </c>
    </row>
    <row r="14756" ht="15.75" customHeight="1">
      <c r="A14756" s="7"/>
      <c r="B14756" s="7"/>
      <c r="M14756" s="9" t="s">
        <v>22</v>
      </c>
    </row>
    <row r="14757" ht="15.75" customHeight="1">
      <c r="A14757" s="7"/>
      <c r="B14757" s="7"/>
      <c r="M14757" s="9" t="s">
        <v>25</v>
      </c>
    </row>
    <row r="14758" ht="15.75" customHeight="1">
      <c r="A14758" s="7"/>
      <c r="B14758" s="7"/>
      <c r="M14758" s="9" t="s">
        <v>23</v>
      </c>
    </row>
    <row r="14759" ht="15.75" customHeight="1">
      <c r="A14759" s="7"/>
      <c r="B14759" s="7"/>
      <c r="M14759" s="9" t="s">
        <v>24</v>
      </c>
    </row>
    <row r="14760" ht="15.75" customHeight="1">
      <c r="A14760" s="7"/>
      <c r="B14760" s="7"/>
      <c r="M14760" s="9" t="s">
        <v>37</v>
      </c>
    </row>
    <row r="14761" ht="15.75" customHeight="1">
      <c r="A14761" s="7"/>
      <c r="B14761" s="7"/>
      <c r="M14761" s="9" t="s">
        <v>35</v>
      </c>
    </row>
    <row r="14762" ht="15.75" customHeight="1">
      <c r="A14762" s="7"/>
      <c r="B14762" s="7"/>
      <c r="M14762" s="9" t="s">
        <v>24</v>
      </c>
    </row>
    <row r="14763" ht="15.75" customHeight="1">
      <c r="A14763" s="7"/>
      <c r="B14763" s="7"/>
      <c r="M14763" s="9" t="s">
        <v>21</v>
      </c>
    </row>
    <row r="14764" ht="15.75" customHeight="1">
      <c r="A14764" s="7"/>
      <c r="B14764" s="7"/>
      <c r="M14764" s="9" t="s">
        <v>37</v>
      </c>
    </row>
    <row r="14765" ht="15.75" customHeight="1">
      <c r="A14765" s="7"/>
      <c r="B14765" s="7"/>
      <c r="M14765" s="9" t="s">
        <v>26</v>
      </c>
    </row>
    <row r="14766" ht="15.75" customHeight="1">
      <c r="A14766" s="7"/>
      <c r="B14766" s="7"/>
      <c r="M14766" s="9" t="s">
        <v>24</v>
      </c>
    </row>
    <row r="14767" ht="15.75" customHeight="1">
      <c r="A14767" s="7"/>
      <c r="B14767" s="7"/>
      <c r="M14767" s="9" t="s">
        <v>21</v>
      </c>
    </row>
    <row r="14768" ht="15.75" customHeight="1">
      <c r="A14768" s="7"/>
      <c r="B14768" s="7"/>
      <c r="M14768" s="9" t="s">
        <v>32</v>
      </c>
    </row>
    <row r="14769" ht="15.75" customHeight="1">
      <c r="A14769" s="7"/>
      <c r="B14769" s="7"/>
      <c r="M14769" s="9" t="s">
        <v>27</v>
      </c>
    </row>
    <row r="14770" ht="15.75" customHeight="1">
      <c r="A14770" s="7"/>
      <c r="B14770" s="7"/>
      <c r="M14770" s="9" t="s">
        <v>33</v>
      </c>
    </row>
    <row r="14771" ht="15.75" customHeight="1">
      <c r="A14771" s="7"/>
      <c r="B14771" s="7"/>
      <c r="M14771" s="9" t="s">
        <v>30</v>
      </c>
    </row>
    <row r="14772" ht="15.75" customHeight="1">
      <c r="A14772" s="7"/>
      <c r="B14772" s="7"/>
      <c r="M14772" s="9" t="s">
        <v>24</v>
      </c>
    </row>
    <row r="14773" ht="15.75" customHeight="1">
      <c r="A14773" s="7"/>
      <c r="B14773" s="7"/>
      <c r="M14773" s="9" t="s">
        <v>21</v>
      </c>
    </row>
    <row r="14774" ht="15.75" customHeight="1">
      <c r="A14774" s="7"/>
      <c r="B14774" s="7"/>
      <c r="M14774" s="9" t="s">
        <v>37</v>
      </c>
    </row>
    <row r="14775" ht="15.75" customHeight="1">
      <c r="A14775" s="7"/>
      <c r="B14775" s="7"/>
      <c r="M14775" s="9" t="s">
        <v>31</v>
      </c>
    </row>
    <row r="14776" ht="15.75" customHeight="1">
      <c r="A14776" s="7"/>
      <c r="B14776" s="7"/>
      <c r="M14776" s="9" t="s">
        <v>27</v>
      </c>
    </row>
    <row r="14777" ht="15.75" customHeight="1">
      <c r="A14777" s="7"/>
      <c r="B14777" s="7"/>
      <c r="M14777" s="9" t="s">
        <v>33</v>
      </c>
    </row>
    <row r="14778" ht="15.75" customHeight="1">
      <c r="A14778" s="7"/>
      <c r="B14778" s="7"/>
      <c r="M14778" s="9" t="s">
        <v>35</v>
      </c>
    </row>
    <row r="14779" ht="15.75" customHeight="1">
      <c r="A14779" s="7"/>
      <c r="B14779" s="7"/>
      <c r="M14779" s="9" t="s">
        <v>30</v>
      </c>
    </row>
    <row r="14780" ht="15.75" customHeight="1">
      <c r="A14780" s="7"/>
      <c r="B14780" s="7"/>
      <c r="M14780" s="9" t="s">
        <v>26</v>
      </c>
    </row>
    <row r="14781" ht="15.75" customHeight="1">
      <c r="A14781" s="7"/>
      <c r="B14781" s="7"/>
      <c r="M14781" s="9" t="s">
        <v>24</v>
      </c>
    </row>
    <row r="14782" ht="15.75" customHeight="1">
      <c r="A14782" s="7"/>
      <c r="B14782" s="7"/>
      <c r="M14782" s="9" t="s">
        <v>21</v>
      </c>
    </row>
    <row r="14783" ht="15.75" customHeight="1">
      <c r="A14783" s="7"/>
      <c r="B14783" s="7"/>
      <c r="M14783" s="9" t="s">
        <v>25</v>
      </c>
    </row>
    <row r="14784" ht="15.75" customHeight="1">
      <c r="A14784" s="7"/>
      <c r="B14784" s="7"/>
      <c r="M14784" s="9" t="s">
        <v>23</v>
      </c>
    </row>
    <row r="14785" ht="15.75" customHeight="1">
      <c r="A14785" s="7"/>
      <c r="B14785" s="7"/>
      <c r="M14785" s="9" t="s">
        <v>24</v>
      </c>
    </row>
    <row r="14786" ht="15.75" customHeight="1">
      <c r="A14786" s="7"/>
      <c r="B14786" s="7"/>
      <c r="M14786" s="9" t="s">
        <v>20</v>
      </c>
    </row>
    <row r="14787" ht="15.75" customHeight="1">
      <c r="A14787" s="7"/>
      <c r="B14787" s="7"/>
      <c r="M14787" s="9" t="s">
        <v>21</v>
      </c>
    </row>
    <row r="14788" ht="15.75" customHeight="1">
      <c r="A14788" s="7"/>
      <c r="B14788" s="7"/>
      <c r="M14788" s="9" t="s">
        <v>22</v>
      </c>
    </row>
    <row r="14789" ht="15.75" customHeight="1">
      <c r="A14789" s="7"/>
      <c r="B14789" s="7"/>
      <c r="M14789" s="9" t="s">
        <v>28</v>
      </c>
    </row>
    <row r="14790" ht="15.75" customHeight="1">
      <c r="A14790" s="7"/>
      <c r="B14790" s="7"/>
      <c r="M14790" s="9" t="s">
        <v>47</v>
      </c>
    </row>
    <row r="14791" ht="15.75" customHeight="1">
      <c r="A14791" s="7"/>
      <c r="B14791" s="7"/>
      <c r="M14791" s="9" t="s">
        <v>36</v>
      </c>
    </row>
    <row r="14792" ht="15.75" customHeight="1">
      <c r="A14792" s="7"/>
      <c r="B14792" s="7"/>
      <c r="M14792" s="9" t="s">
        <v>21</v>
      </c>
    </row>
    <row r="14793" ht="15.75" customHeight="1">
      <c r="A14793" s="7"/>
      <c r="B14793" s="7"/>
      <c r="M14793" s="9" t="s">
        <v>32</v>
      </c>
    </row>
    <row r="14794" ht="15.75" customHeight="1">
      <c r="A14794" s="7"/>
      <c r="B14794" s="7"/>
      <c r="M14794" s="9" t="s">
        <v>34</v>
      </c>
    </row>
    <row r="14795" ht="15.75" customHeight="1">
      <c r="A14795" s="7"/>
      <c r="B14795" s="7"/>
      <c r="M14795" s="9" t="s">
        <v>26</v>
      </c>
    </row>
    <row r="14796" ht="15.75" customHeight="1">
      <c r="A14796" s="7"/>
      <c r="B14796" s="7"/>
      <c r="M14796" s="9" t="s">
        <v>24</v>
      </c>
    </row>
    <row r="14797" ht="15.75" customHeight="1">
      <c r="A14797" s="7"/>
      <c r="B14797" s="7"/>
      <c r="M14797" s="9" t="s">
        <v>21</v>
      </c>
    </row>
    <row r="14798" ht="15.75" customHeight="1">
      <c r="A14798" s="7"/>
      <c r="B14798" s="7"/>
      <c r="M14798" s="9" t="s">
        <v>27</v>
      </c>
    </row>
    <row r="14799" ht="15.75" customHeight="1">
      <c r="A14799" s="7"/>
      <c r="B14799" s="7"/>
      <c r="M14799" s="9" t="s">
        <v>28</v>
      </c>
    </row>
    <row r="14800" ht="15.75" customHeight="1">
      <c r="A14800" s="7"/>
      <c r="B14800" s="7"/>
      <c r="M14800" s="9" t="s">
        <v>30</v>
      </c>
    </row>
    <row r="14801" ht="15.75" customHeight="1">
      <c r="A14801" s="7"/>
      <c r="B14801" s="7"/>
      <c r="M14801" s="9" t="s">
        <v>25</v>
      </c>
    </row>
    <row r="14802" ht="15.75" customHeight="1">
      <c r="A14802" s="7"/>
      <c r="B14802" s="7"/>
      <c r="M14802" s="9" t="s">
        <v>24</v>
      </c>
    </row>
    <row r="14803" ht="15.75" customHeight="1">
      <c r="A14803" s="7"/>
      <c r="B14803" s="7"/>
      <c r="M14803" s="9" t="s">
        <v>20</v>
      </c>
    </row>
    <row r="14804" ht="15.75" customHeight="1">
      <c r="A14804" s="7"/>
      <c r="B14804" s="7"/>
      <c r="M14804" s="9" t="s">
        <v>21</v>
      </c>
    </row>
    <row r="14805" ht="15.75" customHeight="1">
      <c r="A14805" s="7"/>
      <c r="B14805" s="7"/>
      <c r="M14805" s="9" t="s">
        <v>22</v>
      </c>
    </row>
    <row r="14806" ht="15.75" customHeight="1">
      <c r="A14806" s="7"/>
      <c r="B14806" s="7"/>
      <c r="M14806" s="9" t="s">
        <v>31</v>
      </c>
    </row>
    <row r="14807" ht="15.75" customHeight="1">
      <c r="A14807" s="7"/>
      <c r="B14807" s="7"/>
      <c r="M14807" s="9" t="s">
        <v>27</v>
      </c>
    </row>
    <row r="14808" ht="15.75" customHeight="1">
      <c r="A14808" s="7"/>
      <c r="B14808" s="7"/>
      <c r="M14808" s="9" t="s">
        <v>33</v>
      </c>
    </row>
    <row r="14809" ht="15.75" customHeight="1">
      <c r="A14809" s="7"/>
      <c r="B14809" s="7"/>
      <c r="M14809" s="9" t="s">
        <v>26</v>
      </c>
    </row>
    <row r="14810" ht="15.75" customHeight="1">
      <c r="A14810" s="7"/>
      <c r="B14810" s="7"/>
      <c r="M14810" s="9" t="s">
        <v>24</v>
      </c>
    </row>
    <row r="14811" ht="15.75" customHeight="1">
      <c r="A14811" s="7"/>
      <c r="B14811" s="7"/>
      <c r="M14811" s="9" t="s">
        <v>20</v>
      </c>
    </row>
    <row r="14812" ht="15.75" customHeight="1">
      <c r="A14812" s="7"/>
      <c r="B14812" s="7"/>
      <c r="M14812" s="9" t="s">
        <v>21</v>
      </c>
    </row>
    <row r="14813" ht="15.75" customHeight="1">
      <c r="A14813" s="7"/>
      <c r="B14813" s="7"/>
      <c r="M14813" s="9" t="s">
        <v>39</v>
      </c>
    </row>
    <row r="14814" ht="15.75" customHeight="1">
      <c r="A14814" s="7"/>
      <c r="B14814" s="7"/>
      <c r="M14814" s="9" t="s">
        <v>27</v>
      </c>
    </row>
    <row r="14815" ht="15.75" customHeight="1">
      <c r="A14815" s="7"/>
      <c r="B14815" s="7"/>
      <c r="M14815" s="9" t="s">
        <v>33</v>
      </c>
    </row>
    <row r="14816" ht="15.75" customHeight="1">
      <c r="A14816" s="7"/>
      <c r="B14816" s="7"/>
      <c r="M14816" s="9" t="s">
        <v>30</v>
      </c>
    </row>
    <row r="14817" ht="15.75" customHeight="1">
      <c r="A14817" s="7"/>
      <c r="B14817" s="7"/>
      <c r="M14817" s="9" t="s">
        <v>24</v>
      </c>
    </row>
    <row r="14818" ht="15.75" customHeight="1">
      <c r="A14818" s="7"/>
      <c r="B14818" s="7"/>
      <c r="M14818" s="9" t="s">
        <v>20</v>
      </c>
    </row>
    <row r="14819" ht="15.75" customHeight="1">
      <c r="A14819" s="7"/>
      <c r="B14819" s="7"/>
      <c r="M14819" s="9" t="s">
        <v>21</v>
      </c>
    </row>
    <row r="14820" ht="15.75" customHeight="1">
      <c r="A14820" s="7"/>
      <c r="B14820" s="7"/>
      <c r="M14820" s="9" t="s">
        <v>37</v>
      </c>
    </row>
    <row r="14821" ht="15.75" customHeight="1">
      <c r="A14821" s="7"/>
      <c r="B14821" s="7"/>
      <c r="M14821" s="9" t="s">
        <v>27</v>
      </c>
    </row>
    <row r="14822" ht="15.75" customHeight="1">
      <c r="A14822" s="7"/>
      <c r="B14822" s="7"/>
      <c r="M14822" s="9" t="s">
        <v>24</v>
      </c>
    </row>
    <row r="14823" ht="15.75" customHeight="1">
      <c r="A14823" s="7"/>
      <c r="B14823" s="7"/>
      <c r="M14823" s="9" t="s">
        <v>20</v>
      </c>
    </row>
    <row r="14824" ht="15.75" customHeight="1">
      <c r="A14824" s="7"/>
      <c r="B14824" s="7"/>
      <c r="M14824" s="9" t="s">
        <v>21</v>
      </c>
    </row>
    <row r="14825" ht="15.75" customHeight="1">
      <c r="A14825" s="7"/>
      <c r="B14825" s="7"/>
      <c r="M14825" s="9" t="s">
        <v>24</v>
      </c>
    </row>
    <row r="14826" ht="15.75" customHeight="1">
      <c r="A14826" s="7"/>
      <c r="B14826" s="7"/>
      <c r="M14826" s="9" t="s">
        <v>20</v>
      </c>
    </row>
    <row r="14827" ht="15.75" customHeight="1">
      <c r="A14827" s="7"/>
      <c r="B14827" s="7"/>
      <c r="M14827" s="9" t="s">
        <v>21</v>
      </c>
    </row>
    <row r="14828" ht="15.75" customHeight="1">
      <c r="A14828" s="7"/>
      <c r="B14828" s="7"/>
      <c r="M14828" s="9" t="s">
        <v>37</v>
      </c>
    </row>
    <row r="14829" ht="15.75" customHeight="1">
      <c r="A14829" s="7"/>
      <c r="B14829" s="7"/>
      <c r="M14829" s="9" t="s">
        <v>22</v>
      </c>
    </row>
    <row r="14830" ht="15.75" customHeight="1">
      <c r="A14830" s="7"/>
      <c r="B14830" s="7"/>
      <c r="M14830" s="9" t="s">
        <v>30</v>
      </c>
    </row>
    <row r="14831" ht="15.75" customHeight="1">
      <c r="A14831" s="7"/>
      <c r="B14831" s="7"/>
      <c r="M14831" s="9" t="s">
        <v>26</v>
      </c>
    </row>
    <row r="14832" ht="15.75" customHeight="1">
      <c r="A14832" s="7"/>
      <c r="B14832" s="7"/>
      <c r="M14832" s="9" t="s">
        <v>24</v>
      </c>
    </row>
    <row r="14833" ht="15.75" customHeight="1">
      <c r="A14833" s="7"/>
      <c r="B14833" s="7"/>
      <c r="M14833" s="9" t="s">
        <v>20</v>
      </c>
    </row>
    <row r="14834" ht="15.75" customHeight="1">
      <c r="A14834" s="7"/>
      <c r="B14834" s="7"/>
      <c r="M14834" s="9" t="s">
        <v>21</v>
      </c>
    </row>
    <row r="14835" ht="15.75" customHeight="1">
      <c r="A14835" s="7"/>
      <c r="B14835" s="7"/>
      <c r="M14835" s="9" t="s">
        <v>27</v>
      </c>
    </row>
    <row r="14836" ht="15.75" customHeight="1">
      <c r="A14836" s="7"/>
      <c r="B14836" s="7"/>
      <c r="M14836" s="9" t="s">
        <v>33</v>
      </c>
    </row>
    <row r="14837" ht="15.75" customHeight="1">
      <c r="A14837" s="7"/>
      <c r="B14837" s="7"/>
      <c r="M14837" s="9" t="s">
        <v>35</v>
      </c>
    </row>
    <row r="14838" ht="15.75" customHeight="1">
      <c r="A14838" s="7"/>
      <c r="B14838" s="7"/>
      <c r="M14838" s="9" t="s">
        <v>30</v>
      </c>
    </row>
    <row r="14839" ht="15.75" customHeight="1">
      <c r="A14839" s="7"/>
      <c r="B14839" s="7"/>
      <c r="M14839" s="9" t="s">
        <v>26</v>
      </c>
    </row>
    <row r="14840" ht="15.75" customHeight="1">
      <c r="A14840" s="7"/>
      <c r="B14840" s="7"/>
      <c r="M14840" s="9" t="s">
        <v>36</v>
      </c>
    </row>
    <row r="14841" ht="15.75" customHeight="1">
      <c r="A14841" s="7"/>
      <c r="B14841" s="7"/>
      <c r="M14841" s="9" t="s">
        <v>24</v>
      </c>
    </row>
    <row r="14842" ht="15.75" customHeight="1">
      <c r="A14842" s="7"/>
      <c r="B14842" s="7"/>
      <c r="M14842" s="9" t="s">
        <v>21</v>
      </c>
    </row>
    <row r="14843" ht="15.75" customHeight="1">
      <c r="A14843" s="7"/>
      <c r="B14843" s="7"/>
      <c r="M14843" s="9" t="s">
        <v>39</v>
      </c>
    </row>
    <row r="14844" ht="15.75" customHeight="1">
      <c r="A14844" s="7"/>
      <c r="B14844" s="7"/>
      <c r="M14844" s="9" t="s">
        <v>22</v>
      </c>
    </row>
    <row r="14845" ht="15.75" customHeight="1">
      <c r="A14845" s="7"/>
      <c r="B14845" s="7"/>
      <c r="M14845" s="9" t="s">
        <v>27</v>
      </c>
    </row>
    <row r="14846" ht="15.75" customHeight="1">
      <c r="A14846" s="7"/>
      <c r="B14846" s="7"/>
      <c r="M14846" s="9" t="s">
        <v>33</v>
      </c>
    </row>
    <row r="14847" ht="15.75" customHeight="1">
      <c r="A14847" s="7"/>
      <c r="B14847" s="7"/>
      <c r="M14847" s="9" t="s">
        <v>40</v>
      </c>
    </row>
    <row r="14848" ht="15.75" customHeight="1">
      <c r="A14848" s="7"/>
      <c r="B14848" s="7"/>
      <c r="M14848" s="9" t="s">
        <v>24</v>
      </c>
    </row>
    <row r="14849" ht="15.75" customHeight="1">
      <c r="A14849" s="7"/>
      <c r="B14849" s="7"/>
      <c r="M14849" s="9" t="s">
        <v>20</v>
      </c>
    </row>
    <row r="14850" ht="15.75" customHeight="1">
      <c r="A14850" s="7"/>
      <c r="B14850" s="7"/>
      <c r="M14850" s="9" t="s">
        <v>21</v>
      </c>
    </row>
    <row r="14851" ht="15.75" customHeight="1">
      <c r="A14851" s="7"/>
      <c r="B14851" s="7"/>
      <c r="M14851" s="9" t="s">
        <v>27</v>
      </c>
    </row>
    <row r="14852" ht="15.75" customHeight="1">
      <c r="A14852" s="7"/>
      <c r="B14852" s="7"/>
      <c r="M14852" s="9" t="s">
        <v>26</v>
      </c>
    </row>
    <row r="14853" ht="15.75" customHeight="1">
      <c r="A14853" s="7"/>
      <c r="B14853" s="7"/>
      <c r="M14853" s="9" t="s">
        <v>20</v>
      </c>
    </row>
    <row r="14854" ht="15.75" customHeight="1">
      <c r="A14854" s="7"/>
      <c r="B14854" s="7"/>
      <c r="M14854" s="9" t="s">
        <v>21</v>
      </c>
    </row>
    <row r="14855" ht="15.75" customHeight="1">
      <c r="A14855" s="7"/>
      <c r="B14855" s="7"/>
      <c r="M14855" s="9" t="s">
        <v>37</v>
      </c>
    </row>
    <row r="14856" ht="15.75" customHeight="1">
      <c r="A14856" s="7"/>
      <c r="B14856" s="7"/>
      <c r="M14856" s="9" t="s">
        <v>27</v>
      </c>
    </row>
    <row r="14857" ht="15.75" customHeight="1">
      <c r="A14857" s="7"/>
      <c r="B14857" s="7"/>
      <c r="M14857" s="9" t="s">
        <v>40</v>
      </c>
    </row>
    <row r="14858" ht="15.75" customHeight="1">
      <c r="A14858" s="7"/>
      <c r="B14858" s="7"/>
      <c r="M14858" s="9" t="s">
        <v>30</v>
      </c>
    </row>
    <row r="14859" ht="15.75" customHeight="1">
      <c r="A14859" s="7"/>
      <c r="B14859" s="7"/>
      <c r="M14859" s="9" t="s">
        <v>24</v>
      </c>
    </row>
    <row r="14860" ht="15.75" customHeight="1">
      <c r="A14860" s="7"/>
      <c r="B14860" s="7"/>
      <c r="M14860" s="9" t="s">
        <v>21</v>
      </c>
    </row>
    <row r="14861" ht="15.75" customHeight="1">
      <c r="A14861" s="7"/>
      <c r="B14861" s="7"/>
      <c r="M14861" s="9" t="s">
        <v>37</v>
      </c>
    </row>
    <row r="14862" ht="15.75" customHeight="1">
      <c r="A14862" s="7"/>
      <c r="B14862" s="7"/>
      <c r="M14862" s="9" t="s">
        <v>22</v>
      </c>
    </row>
    <row r="14863" ht="15.75" customHeight="1">
      <c r="A14863" s="7"/>
      <c r="B14863" s="7"/>
      <c r="M14863" s="9" t="s">
        <v>27</v>
      </c>
    </row>
    <row r="14864" ht="15.75" customHeight="1">
      <c r="A14864" s="7"/>
      <c r="B14864" s="7"/>
      <c r="M14864" s="9" t="s">
        <v>30</v>
      </c>
    </row>
    <row r="14865" ht="15.75" customHeight="1">
      <c r="A14865" s="7"/>
      <c r="B14865" s="7"/>
      <c r="M14865" s="9" t="s">
        <v>36</v>
      </c>
    </row>
    <row r="14866" ht="15.75" customHeight="1">
      <c r="A14866" s="7"/>
      <c r="B14866" s="7"/>
      <c r="M14866" s="9" t="s">
        <v>24</v>
      </c>
    </row>
    <row r="14867" ht="15.75" customHeight="1">
      <c r="A14867" s="7"/>
      <c r="B14867" s="7"/>
      <c r="M14867" s="9" t="s">
        <v>21</v>
      </c>
    </row>
    <row r="14868" ht="15.75" customHeight="1">
      <c r="A14868" s="7"/>
      <c r="B14868" s="7"/>
      <c r="M14868" s="9" t="s">
        <v>41</v>
      </c>
    </row>
    <row r="14869" ht="15.75" customHeight="1">
      <c r="A14869" s="7"/>
      <c r="B14869" s="7"/>
      <c r="M14869" s="9" t="s">
        <v>31</v>
      </c>
    </row>
    <row r="14870" ht="15.75" customHeight="1">
      <c r="A14870" s="7"/>
      <c r="B14870" s="7"/>
      <c r="M14870" s="9" t="s">
        <v>27</v>
      </c>
    </row>
    <row r="14871" ht="15.75" customHeight="1">
      <c r="A14871" s="7"/>
      <c r="B14871" s="7"/>
      <c r="M14871" s="9" t="s">
        <v>40</v>
      </c>
    </row>
    <row r="14872" ht="15.75" customHeight="1">
      <c r="A14872" s="7"/>
      <c r="B14872" s="7"/>
      <c r="M14872" s="9" t="s">
        <v>33</v>
      </c>
    </row>
    <row r="14873" ht="15.75" customHeight="1">
      <c r="A14873" s="7"/>
      <c r="B14873" s="7"/>
      <c r="M14873" s="9" t="s">
        <v>30</v>
      </c>
    </row>
    <row r="14874" ht="15.75" customHeight="1">
      <c r="A14874" s="7"/>
      <c r="B14874" s="7"/>
      <c r="M14874" s="9" t="s">
        <v>36</v>
      </c>
    </row>
    <row r="14875" ht="15.75" customHeight="1">
      <c r="A14875" s="7"/>
      <c r="B14875" s="7"/>
      <c r="M14875" s="9" t="s">
        <v>20</v>
      </c>
    </row>
    <row r="14876" ht="15.75" customHeight="1">
      <c r="A14876" s="7"/>
      <c r="B14876" s="7"/>
      <c r="M14876" s="9" t="s">
        <v>39</v>
      </c>
    </row>
    <row r="14877" ht="15.75" customHeight="1">
      <c r="A14877" s="7"/>
      <c r="B14877" s="7"/>
      <c r="M14877" s="9" t="s">
        <v>22</v>
      </c>
    </row>
    <row r="14878" ht="15.75" customHeight="1">
      <c r="A14878" s="7"/>
      <c r="B14878" s="7"/>
      <c r="M14878" s="9" t="s">
        <v>30</v>
      </c>
    </row>
    <row r="14879" ht="15.75" customHeight="1">
      <c r="A14879" s="7"/>
      <c r="B14879" s="7"/>
      <c r="M14879" s="9" t="s">
        <v>25</v>
      </c>
    </row>
    <row r="14880" ht="15.75" customHeight="1">
      <c r="A14880" s="7"/>
      <c r="B14880" s="7"/>
      <c r="M14880" s="9" t="s">
        <v>22</v>
      </c>
    </row>
    <row r="14881" ht="15.75" customHeight="1">
      <c r="A14881" s="7"/>
      <c r="B14881" s="7"/>
      <c r="M14881" s="9" t="s">
        <v>38</v>
      </c>
    </row>
    <row r="14882" ht="15.75" customHeight="1">
      <c r="A14882" s="7"/>
      <c r="B14882" s="7"/>
      <c r="M14882" s="9" t="s">
        <v>25</v>
      </c>
    </row>
    <row r="14883" ht="15.75" customHeight="1">
      <c r="A14883" s="7"/>
      <c r="B14883" s="7"/>
      <c r="M14883" s="9" t="s">
        <v>23</v>
      </c>
    </row>
    <row r="14884" ht="15.75" customHeight="1">
      <c r="A14884" s="7"/>
      <c r="B14884" s="7"/>
      <c r="M14884" s="9" t="s">
        <v>26</v>
      </c>
    </row>
    <row r="14885" ht="15.75" customHeight="1">
      <c r="A14885" s="7"/>
      <c r="B14885" s="7"/>
      <c r="M14885" s="9" t="s">
        <v>24</v>
      </c>
    </row>
    <row r="14886" ht="15.75" customHeight="1">
      <c r="A14886" s="7"/>
      <c r="B14886" s="7"/>
      <c r="M14886" s="9" t="s">
        <v>20</v>
      </c>
    </row>
    <row r="14887" ht="15.75" customHeight="1">
      <c r="A14887" s="7"/>
      <c r="B14887" s="7"/>
      <c r="M14887" s="9" t="s">
        <v>21</v>
      </c>
    </row>
    <row r="14888" ht="15.75" customHeight="1">
      <c r="A14888" s="7"/>
      <c r="B14888" s="7"/>
      <c r="M14888" s="9" t="s">
        <v>22</v>
      </c>
    </row>
    <row r="14889" ht="15.75" customHeight="1">
      <c r="A14889" s="7"/>
      <c r="B14889" s="7"/>
      <c r="M14889" s="9" t="s">
        <v>25</v>
      </c>
    </row>
    <row r="14890" ht="15.75" customHeight="1">
      <c r="A14890" s="7"/>
      <c r="B14890" s="7"/>
      <c r="M14890" s="9" t="s">
        <v>21</v>
      </c>
    </row>
    <row r="14891" ht="15.75" customHeight="1">
      <c r="A14891" s="7"/>
      <c r="B14891" s="7"/>
      <c r="M14891" s="9" t="s">
        <v>22</v>
      </c>
    </row>
    <row r="14892" ht="15.75" customHeight="1">
      <c r="A14892" s="7"/>
      <c r="B14892" s="7"/>
      <c r="M14892" s="9" t="s">
        <v>30</v>
      </c>
    </row>
    <row r="14893" ht="15.75" customHeight="1">
      <c r="A14893" s="7"/>
      <c r="B14893" s="7"/>
      <c r="M14893" s="9" t="s">
        <v>36</v>
      </c>
    </row>
    <row r="14894" ht="15.75" customHeight="1">
      <c r="A14894" s="7"/>
      <c r="B14894" s="7"/>
      <c r="M14894" s="9" t="s">
        <v>21</v>
      </c>
    </row>
    <row r="14895" ht="15.75" customHeight="1">
      <c r="A14895" s="7"/>
      <c r="B14895" s="7"/>
      <c r="M14895" s="9" t="s">
        <v>37</v>
      </c>
    </row>
    <row r="14896" ht="15.75" customHeight="1">
      <c r="A14896" s="7"/>
      <c r="B14896" s="7"/>
      <c r="M14896" s="9" t="s">
        <v>22</v>
      </c>
    </row>
    <row r="14897" ht="15.75" customHeight="1">
      <c r="A14897" s="7"/>
      <c r="B14897" s="7"/>
      <c r="M14897" s="9" t="s">
        <v>35</v>
      </c>
    </row>
    <row r="14898" ht="15.75" customHeight="1">
      <c r="A14898" s="7"/>
      <c r="B14898" s="7"/>
      <c r="M14898" s="9" t="s">
        <v>26</v>
      </c>
    </row>
    <row r="14899" ht="15.75" customHeight="1">
      <c r="A14899" s="7"/>
      <c r="B14899" s="7"/>
      <c r="M14899" s="9" t="s">
        <v>24</v>
      </c>
    </row>
    <row r="14900" ht="15.75" customHeight="1">
      <c r="A14900" s="7"/>
      <c r="B14900" s="7"/>
      <c r="M14900" s="9" t="s">
        <v>33</v>
      </c>
    </row>
    <row r="14901" ht="15.75" customHeight="1">
      <c r="A14901" s="7"/>
      <c r="B14901" s="7"/>
      <c r="M14901" s="9" t="s">
        <v>30</v>
      </c>
    </row>
    <row r="14902" ht="15.75" customHeight="1">
      <c r="A14902" s="7"/>
      <c r="B14902" s="7"/>
      <c r="M14902" s="9" t="s">
        <v>25</v>
      </c>
    </row>
    <row r="14903" ht="15.75" customHeight="1">
      <c r="A14903" s="7"/>
      <c r="B14903" s="7"/>
      <c r="M14903" s="9" t="s">
        <v>23</v>
      </c>
    </row>
    <row r="14904" ht="15.75" customHeight="1">
      <c r="A14904" s="7"/>
      <c r="B14904" s="7"/>
      <c r="M14904" s="9" t="s">
        <v>36</v>
      </c>
    </row>
    <row r="14905" ht="15.75" customHeight="1">
      <c r="A14905" s="7"/>
      <c r="B14905" s="7"/>
      <c r="M14905" s="9" t="s">
        <v>20</v>
      </c>
    </row>
    <row r="14906" ht="15.75" customHeight="1">
      <c r="A14906" s="7"/>
      <c r="B14906" s="7"/>
      <c r="M14906" s="9" t="s">
        <v>21</v>
      </c>
    </row>
    <row r="14907" ht="15.75" customHeight="1">
      <c r="A14907" s="7"/>
      <c r="B14907" s="7"/>
      <c r="M14907" s="9" t="s">
        <v>22</v>
      </c>
    </row>
    <row r="14908" ht="15.75" customHeight="1">
      <c r="A14908" s="7"/>
      <c r="B14908" s="7"/>
      <c r="M14908" s="9" t="s">
        <v>27</v>
      </c>
    </row>
    <row r="14909" ht="15.75" customHeight="1">
      <c r="A14909" s="7"/>
      <c r="B14909" s="7"/>
      <c r="M14909" s="9" t="s">
        <v>30</v>
      </c>
    </row>
    <row r="14910" ht="15.75" customHeight="1">
      <c r="A14910" s="7"/>
      <c r="B14910" s="7"/>
      <c r="M14910" s="9" t="s">
        <v>24</v>
      </c>
    </row>
    <row r="14911" ht="15.75" customHeight="1">
      <c r="A14911" s="7"/>
      <c r="B14911" s="7"/>
      <c r="M14911" s="9" t="s">
        <v>20</v>
      </c>
    </row>
    <row r="14912" ht="15.75" customHeight="1">
      <c r="A14912" s="7"/>
      <c r="B14912" s="7"/>
      <c r="M14912" s="9" t="s">
        <v>21</v>
      </c>
    </row>
    <row r="14913" ht="15.75" customHeight="1">
      <c r="A14913" s="7"/>
      <c r="B14913" s="7"/>
      <c r="M14913" s="9" t="s">
        <v>39</v>
      </c>
    </row>
    <row r="14914" ht="15.75" customHeight="1">
      <c r="A14914" s="7"/>
      <c r="B14914" s="7"/>
      <c r="M14914" s="9" t="s">
        <v>22</v>
      </c>
    </row>
    <row r="14915" ht="15.75" customHeight="1">
      <c r="A14915" s="7"/>
      <c r="B14915" s="7"/>
      <c r="M14915" s="9" t="s">
        <v>33</v>
      </c>
    </row>
    <row r="14916" ht="15.75" customHeight="1">
      <c r="A14916" s="7"/>
      <c r="B14916" s="7"/>
      <c r="M14916" s="9" t="s">
        <v>25</v>
      </c>
    </row>
    <row r="14917" ht="15.75" customHeight="1">
      <c r="A14917" s="7"/>
      <c r="B14917" s="7"/>
      <c r="M14917" s="9" t="s">
        <v>23</v>
      </c>
    </row>
    <row r="14918" ht="15.75" customHeight="1">
      <c r="A14918" s="7"/>
      <c r="B14918" s="7"/>
      <c r="M14918" s="9" t="s">
        <v>41</v>
      </c>
    </row>
    <row r="14919" ht="15.75" customHeight="1">
      <c r="A14919" s="7"/>
      <c r="B14919" s="7"/>
      <c r="M14919" s="9" t="s">
        <v>40</v>
      </c>
    </row>
    <row r="14920" ht="15.75" customHeight="1">
      <c r="A14920" s="7"/>
      <c r="B14920" s="7"/>
      <c r="M14920" s="9" t="s">
        <v>33</v>
      </c>
    </row>
    <row r="14921" ht="15.75" customHeight="1">
      <c r="A14921" s="7"/>
      <c r="B14921" s="7"/>
      <c r="M14921" s="9" t="s">
        <v>30</v>
      </c>
    </row>
    <row r="14922" ht="15.75" customHeight="1">
      <c r="A14922" s="7"/>
      <c r="B14922" s="7"/>
      <c r="M14922" s="9" t="s">
        <v>21</v>
      </c>
    </row>
    <row r="14923" ht="15.75" customHeight="1">
      <c r="A14923" s="7"/>
      <c r="B14923" s="7"/>
      <c r="M14923" s="9" t="s">
        <v>33</v>
      </c>
    </row>
    <row r="14924" ht="15.75" customHeight="1">
      <c r="A14924" s="7"/>
      <c r="B14924" s="7"/>
      <c r="M14924" s="9" t="s">
        <v>30</v>
      </c>
    </row>
    <row r="14925" ht="15.75" customHeight="1">
      <c r="A14925" s="7"/>
      <c r="B14925" s="7"/>
      <c r="M14925" s="9" t="s">
        <v>26</v>
      </c>
    </row>
    <row r="14926" ht="15.75" customHeight="1">
      <c r="A14926" s="7"/>
      <c r="B14926" s="7"/>
      <c r="M14926" s="9" t="s">
        <v>24</v>
      </c>
    </row>
    <row r="14927" ht="15.75" customHeight="1">
      <c r="A14927" s="7"/>
      <c r="B14927" s="7"/>
      <c r="M14927" s="9" t="s">
        <v>20</v>
      </c>
    </row>
    <row r="14928" ht="15.75" customHeight="1">
      <c r="A14928" s="7"/>
      <c r="B14928" s="7"/>
      <c r="M14928" s="9" t="s">
        <v>21</v>
      </c>
    </row>
    <row r="14929" ht="15.75" customHeight="1">
      <c r="A14929" s="7"/>
      <c r="B14929" s="7"/>
      <c r="M14929" s="9" t="s">
        <v>37</v>
      </c>
    </row>
    <row r="14930" ht="15.75" customHeight="1">
      <c r="A14930" s="7"/>
      <c r="B14930" s="7"/>
      <c r="M14930" s="9" t="s">
        <v>22</v>
      </c>
    </row>
    <row r="14931" ht="15.75" customHeight="1">
      <c r="A14931" s="7"/>
      <c r="B14931" s="7"/>
      <c r="M14931" s="9" t="s">
        <v>27</v>
      </c>
    </row>
    <row r="14932" ht="15.75" customHeight="1">
      <c r="A14932" s="7"/>
      <c r="B14932" s="7"/>
      <c r="M14932" s="9" t="s">
        <v>33</v>
      </c>
    </row>
    <row r="14933" ht="15.75" customHeight="1">
      <c r="A14933" s="7"/>
      <c r="B14933" s="7"/>
      <c r="M14933" s="9" t="s">
        <v>24</v>
      </c>
    </row>
    <row r="14934" ht="15.75" customHeight="1">
      <c r="A14934" s="7"/>
      <c r="B14934" s="7"/>
      <c r="M14934" s="9" t="s">
        <v>21</v>
      </c>
    </row>
    <row r="14935" ht="15.75" customHeight="1">
      <c r="A14935" s="7"/>
      <c r="B14935" s="7"/>
      <c r="M14935" s="9" t="s">
        <v>39</v>
      </c>
    </row>
    <row r="14936" ht="15.75" customHeight="1">
      <c r="A14936" s="7"/>
      <c r="B14936" s="7"/>
      <c r="M14936" s="9" t="s">
        <v>22</v>
      </c>
    </row>
    <row r="14937" ht="15.75" customHeight="1">
      <c r="A14937" s="7"/>
      <c r="B14937" s="7"/>
      <c r="M14937" s="9" t="s">
        <v>46</v>
      </c>
    </row>
    <row r="14938" ht="15.75" customHeight="1">
      <c r="A14938" s="7"/>
      <c r="B14938" s="7"/>
      <c r="M14938" s="9" t="s">
        <v>27</v>
      </c>
    </row>
    <row r="14939" ht="15.75" customHeight="1">
      <c r="A14939" s="7"/>
      <c r="B14939" s="7"/>
      <c r="M14939" s="9" t="s">
        <v>33</v>
      </c>
    </row>
    <row r="14940" ht="15.75" customHeight="1">
      <c r="A14940" s="7"/>
      <c r="B14940" s="7"/>
      <c r="M14940" s="9" t="s">
        <v>24</v>
      </c>
    </row>
    <row r="14941" ht="15.75" customHeight="1">
      <c r="A14941" s="7"/>
      <c r="B14941" s="7"/>
      <c r="M14941" s="9" t="s">
        <v>21</v>
      </c>
    </row>
    <row r="14942" ht="15.75" customHeight="1">
      <c r="A14942" s="7"/>
      <c r="B14942" s="7"/>
      <c r="M14942" s="9" t="s">
        <v>33</v>
      </c>
    </row>
    <row r="14943" ht="15.75" customHeight="1">
      <c r="A14943" s="7"/>
      <c r="B14943" s="7"/>
      <c r="M14943" s="9" t="s">
        <v>24</v>
      </c>
    </row>
    <row r="14944" ht="15.75" customHeight="1">
      <c r="A14944" s="7"/>
      <c r="B14944" s="7"/>
      <c r="M14944" s="9" t="s">
        <v>21</v>
      </c>
    </row>
    <row r="14945" ht="15.75" customHeight="1">
      <c r="A14945" s="7"/>
      <c r="B14945" s="7"/>
      <c r="M14945" s="9" t="s">
        <v>22</v>
      </c>
    </row>
    <row r="14946" ht="15.75" customHeight="1">
      <c r="A14946" s="7"/>
      <c r="B14946" s="7"/>
      <c r="M14946" s="9" t="s">
        <v>25</v>
      </c>
    </row>
    <row r="14947" ht="15.75" customHeight="1">
      <c r="A14947" s="7"/>
      <c r="B14947" s="7"/>
      <c r="M14947" s="9" t="s">
        <v>23</v>
      </c>
    </row>
    <row r="14948" ht="15.75" customHeight="1">
      <c r="A14948" s="7"/>
      <c r="B14948" s="7"/>
      <c r="M14948" s="9" t="s">
        <v>26</v>
      </c>
    </row>
    <row r="14949" ht="15.75" customHeight="1">
      <c r="A14949" s="7"/>
      <c r="B14949" s="7"/>
      <c r="M14949" s="9" t="s">
        <v>24</v>
      </c>
    </row>
    <row r="14950" ht="15.75" customHeight="1">
      <c r="A14950" s="7"/>
      <c r="B14950" s="7"/>
      <c r="M14950" s="9" t="s">
        <v>21</v>
      </c>
    </row>
    <row r="14951" ht="15.75" customHeight="1">
      <c r="A14951" s="7"/>
      <c r="B14951" s="7"/>
      <c r="M14951" s="9" t="s">
        <v>37</v>
      </c>
    </row>
    <row r="14952" ht="15.75" customHeight="1">
      <c r="A14952" s="7"/>
      <c r="B14952" s="7"/>
      <c r="M14952" s="9" t="s">
        <v>27</v>
      </c>
    </row>
    <row r="14953" ht="15.75" customHeight="1">
      <c r="A14953" s="7"/>
      <c r="B14953" s="7"/>
      <c r="M14953" s="9" t="s">
        <v>38</v>
      </c>
    </row>
    <row r="14954" ht="15.75" customHeight="1">
      <c r="A14954" s="7"/>
      <c r="B14954" s="7"/>
      <c r="M14954" s="9" t="s">
        <v>25</v>
      </c>
    </row>
    <row r="14955" ht="15.75" customHeight="1">
      <c r="A14955" s="7"/>
      <c r="B14955" s="7"/>
      <c r="M14955" s="9" t="s">
        <v>23</v>
      </c>
    </row>
    <row r="14956" ht="15.75" customHeight="1">
      <c r="A14956" s="7"/>
      <c r="B14956" s="7"/>
      <c r="M14956" s="9" t="s">
        <v>26</v>
      </c>
    </row>
    <row r="14957" ht="15.75" customHeight="1">
      <c r="A14957" s="7"/>
      <c r="B14957" s="7"/>
      <c r="M14957" s="9" t="s">
        <v>24</v>
      </c>
    </row>
    <row r="14958" ht="15.75" customHeight="1">
      <c r="A14958" s="7"/>
      <c r="B14958" s="7"/>
      <c r="M14958" s="9" t="s">
        <v>21</v>
      </c>
    </row>
    <row r="14959" ht="15.75" customHeight="1">
      <c r="A14959" s="7"/>
      <c r="B14959" s="7"/>
      <c r="M14959" s="9" t="s">
        <v>22</v>
      </c>
    </row>
    <row r="14960" ht="15.75" customHeight="1">
      <c r="A14960" s="7"/>
      <c r="B14960" s="7"/>
      <c r="M14960" s="9" t="s">
        <v>33</v>
      </c>
    </row>
    <row r="14961" ht="15.75" customHeight="1">
      <c r="A14961" s="7"/>
      <c r="B14961" s="7"/>
      <c r="M14961" s="9" t="s">
        <v>38</v>
      </c>
    </row>
    <row r="14962" ht="15.75" customHeight="1">
      <c r="A14962" s="7"/>
      <c r="B14962" s="7"/>
      <c r="M14962" s="9" t="s">
        <v>25</v>
      </c>
    </row>
    <row r="14963" ht="15.75" customHeight="1">
      <c r="A14963" s="7"/>
      <c r="B14963" s="7"/>
      <c r="M14963" s="9" t="s">
        <v>23</v>
      </c>
    </row>
    <row r="14964" ht="15.75" customHeight="1">
      <c r="A14964" s="7"/>
      <c r="B14964" s="7"/>
      <c r="M14964" s="9" t="s">
        <v>26</v>
      </c>
    </row>
    <row r="14965" ht="15.75" customHeight="1">
      <c r="A14965" s="7"/>
      <c r="B14965" s="7"/>
      <c r="M14965" s="9" t="s">
        <v>24</v>
      </c>
    </row>
    <row r="14966" ht="15.75" customHeight="1">
      <c r="A14966" s="7"/>
      <c r="B14966" s="7"/>
      <c r="M14966" s="9" t="s">
        <v>20</v>
      </c>
    </row>
    <row r="14967" ht="15.75" customHeight="1">
      <c r="A14967" s="7"/>
      <c r="B14967" s="7"/>
      <c r="M14967" s="9" t="s">
        <v>21</v>
      </c>
    </row>
    <row r="14968" ht="15.75" customHeight="1">
      <c r="A14968" s="7"/>
      <c r="B14968" s="7"/>
      <c r="M14968" s="9" t="s">
        <v>28</v>
      </c>
    </row>
    <row r="14969" ht="15.75" customHeight="1">
      <c r="A14969" s="7"/>
      <c r="B14969" s="7"/>
      <c r="M14969" s="9" t="s">
        <v>47</v>
      </c>
    </row>
    <row r="14970" ht="15.75" customHeight="1">
      <c r="A14970" s="7"/>
      <c r="B14970" s="7"/>
      <c r="M14970" s="9" t="s">
        <v>24</v>
      </c>
    </row>
    <row r="14971" ht="15.75" customHeight="1">
      <c r="A14971" s="7"/>
      <c r="B14971" s="7"/>
      <c r="M14971" s="9" t="s">
        <v>21</v>
      </c>
    </row>
    <row r="14972" ht="15.75" customHeight="1">
      <c r="A14972" s="7"/>
      <c r="B14972" s="7"/>
      <c r="M14972" s="9" t="s">
        <v>37</v>
      </c>
    </row>
    <row r="14973" ht="15.75" customHeight="1">
      <c r="A14973" s="7"/>
      <c r="B14973" s="7"/>
      <c r="M14973" s="9" t="s">
        <v>21</v>
      </c>
    </row>
    <row r="14974" ht="15.75" customHeight="1">
      <c r="A14974" s="7"/>
      <c r="B14974" s="7"/>
      <c r="M14974" s="9" t="s">
        <v>37</v>
      </c>
    </row>
    <row r="14975" ht="15.75" customHeight="1">
      <c r="A14975" s="7"/>
      <c r="B14975" s="7"/>
      <c r="M14975" s="9" t="s">
        <v>27</v>
      </c>
    </row>
    <row r="14976" ht="15.75" customHeight="1">
      <c r="A14976" s="7"/>
      <c r="B14976" s="7"/>
      <c r="M14976" s="9" t="s">
        <v>33</v>
      </c>
    </row>
    <row r="14977" ht="15.75" customHeight="1">
      <c r="A14977" s="7"/>
      <c r="B14977" s="7"/>
      <c r="M14977" s="9" t="s">
        <v>30</v>
      </c>
    </row>
    <row r="14978" ht="15.75" customHeight="1">
      <c r="A14978" s="7"/>
      <c r="B14978" s="7"/>
      <c r="M14978" s="9" t="s">
        <v>25</v>
      </c>
    </row>
    <row r="14979" ht="15.75" customHeight="1">
      <c r="A14979" s="7"/>
      <c r="B14979" s="7"/>
      <c r="M14979" s="9" t="s">
        <v>23</v>
      </c>
    </row>
    <row r="14980" ht="15.75" customHeight="1">
      <c r="A14980" s="7"/>
      <c r="B14980" s="7"/>
      <c r="M14980" s="9" t="s">
        <v>26</v>
      </c>
    </row>
    <row r="14981" ht="15.75" customHeight="1">
      <c r="A14981" s="7"/>
      <c r="B14981" s="7"/>
      <c r="M14981" s="9" t="s">
        <v>24</v>
      </c>
    </row>
    <row r="14982" ht="15.75" customHeight="1">
      <c r="A14982" s="7"/>
      <c r="B14982" s="7"/>
      <c r="M14982" s="9" t="s">
        <v>21</v>
      </c>
    </row>
    <row r="14983" ht="15.75" customHeight="1">
      <c r="A14983" s="7"/>
      <c r="B14983" s="7"/>
      <c r="M14983" s="9" t="s">
        <v>27</v>
      </c>
    </row>
    <row r="14984" ht="15.75" customHeight="1">
      <c r="A14984" s="7"/>
      <c r="B14984" s="7"/>
      <c r="M14984" s="9" t="s">
        <v>33</v>
      </c>
    </row>
    <row r="14985" ht="15.75" customHeight="1">
      <c r="A14985" s="7"/>
      <c r="B14985" s="7"/>
      <c r="M14985" s="9" t="s">
        <v>24</v>
      </c>
    </row>
    <row r="14986" ht="15.75" customHeight="1">
      <c r="A14986" s="7"/>
      <c r="B14986" s="7"/>
      <c r="M14986" s="9" t="s">
        <v>21</v>
      </c>
    </row>
    <row r="14987" ht="15.75" customHeight="1">
      <c r="A14987" s="7"/>
      <c r="B14987" s="7"/>
      <c r="M14987" s="9" t="s">
        <v>37</v>
      </c>
    </row>
    <row r="14988" ht="15.75" customHeight="1">
      <c r="A14988" s="7"/>
      <c r="B14988" s="7"/>
      <c r="M14988" s="9" t="s">
        <v>25</v>
      </c>
    </row>
    <row r="14989" ht="15.75" customHeight="1">
      <c r="A14989" s="7"/>
      <c r="B14989" s="7"/>
      <c r="M14989" s="9" t="s">
        <v>23</v>
      </c>
    </row>
    <row r="14990" ht="15.75" customHeight="1">
      <c r="A14990" s="7"/>
      <c r="B14990" s="7"/>
      <c r="M14990" s="9" t="s">
        <v>24</v>
      </c>
    </row>
    <row r="14991" ht="15.75" customHeight="1">
      <c r="A14991" s="7"/>
      <c r="B14991" s="7"/>
      <c r="M14991" s="9" t="s">
        <v>20</v>
      </c>
    </row>
    <row r="14992" ht="15.75" customHeight="1">
      <c r="A14992" s="7"/>
      <c r="B14992" s="7"/>
      <c r="M14992" s="9" t="s">
        <v>37</v>
      </c>
    </row>
    <row r="14993" ht="15.75" customHeight="1">
      <c r="A14993" s="7"/>
      <c r="B14993" s="7"/>
      <c r="M14993" s="9" t="s">
        <v>22</v>
      </c>
    </row>
    <row r="14994" ht="15.75" customHeight="1">
      <c r="A14994" s="7"/>
      <c r="B14994" s="7"/>
      <c r="M14994" s="9" t="s">
        <v>27</v>
      </c>
    </row>
    <row r="14995" ht="15.75" customHeight="1">
      <c r="A14995" s="7"/>
      <c r="B14995" s="7"/>
      <c r="M14995" s="9" t="s">
        <v>20</v>
      </c>
    </row>
    <row r="14996" ht="15.75" customHeight="1">
      <c r="A14996" s="7"/>
      <c r="B14996" s="7"/>
      <c r="M14996" s="9" t="s">
        <v>24</v>
      </c>
    </row>
    <row r="14997" ht="15.75" customHeight="1">
      <c r="A14997" s="7"/>
      <c r="B14997" s="7"/>
      <c r="M14997" s="9" t="s">
        <v>21</v>
      </c>
    </row>
    <row r="14998" ht="15.75" customHeight="1">
      <c r="A14998" s="7"/>
      <c r="B14998" s="7"/>
      <c r="M14998" s="9" t="s">
        <v>22</v>
      </c>
    </row>
    <row r="14999" ht="15.75" customHeight="1">
      <c r="A14999" s="7"/>
      <c r="B14999" s="7"/>
      <c r="M14999" s="9" t="s">
        <v>26</v>
      </c>
    </row>
    <row r="15000" ht="15.75" customHeight="1">
      <c r="A15000" s="7"/>
      <c r="B15000" s="7"/>
      <c r="M15000" s="9" t="s">
        <v>31</v>
      </c>
    </row>
    <row r="15001" ht="15.75" customHeight="1">
      <c r="A15001" s="7"/>
      <c r="B15001" s="7"/>
      <c r="M15001" s="9" t="s">
        <v>40</v>
      </c>
    </row>
    <row r="15002" ht="15.75" customHeight="1">
      <c r="A15002" s="7"/>
      <c r="B15002" s="7"/>
      <c r="M15002" s="9" t="s">
        <v>36</v>
      </c>
    </row>
    <row r="15003" ht="15.75" customHeight="1">
      <c r="A15003" s="7"/>
      <c r="B15003" s="7"/>
      <c r="M15003" s="9" t="s">
        <v>20</v>
      </c>
    </row>
    <row r="15004" ht="15.75" customHeight="1">
      <c r="A15004" s="7"/>
      <c r="B15004" s="7"/>
      <c r="M15004" s="9" t="s">
        <v>22</v>
      </c>
    </row>
    <row r="15005" ht="15.75" customHeight="1">
      <c r="A15005" s="7"/>
      <c r="B15005" s="7"/>
      <c r="M15005" s="9" t="s">
        <v>35</v>
      </c>
    </row>
    <row r="15006" ht="15.75" customHeight="1">
      <c r="A15006" s="7"/>
      <c r="B15006" s="7"/>
      <c r="M15006" s="9" t="s">
        <v>25</v>
      </c>
    </row>
    <row r="15007" ht="15.75" customHeight="1">
      <c r="A15007" s="7"/>
      <c r="B15007" s="7"/>
      <c r="M15007" s="9" t="s">
        <v>23</v>
      </c>
    </row>
    <row r="15008" ht="15.75" customHeight="1">
      <c r="A15008" s="7"/>
      <c r="B15008" s="7"/>
      <c r="M15008" s="9" t="s">
        <v>24</v>
      </c>
    </row>
    <row r="15009" ht="15.75" customHeight="1">
      <c r="A15009" s="7"/>
      <c r="B15009" s="7"/>
      <c r="M15009" s="9" t="s">
        <v>21</v>
      </c>
    </row>
    <row r="15010" ht="15.75" customHeight="1">
      <c r="A15010" s="7"/>
      <c r="B15010" s="7"/>
      <c r="M15010" s="9" t="s">
        <v>37</v>
      </c>
    </row>
    <row r="15011" ht="15.75" customHeight="1">
      <c r="A15011" s="7"/>
      <c r="B15011" s="7"/>
      <c r="M15011" s="9" t="s">
        <v>35</v>
      </c>
    </row>
    <row r="15012" ht="15.75" customHeight="1">
      <c r="A15012" s="7"/>
      <c r="B15012" s="7"/>
      <c r="M15012" s="9" t="s">
        <v>23</v>
      </c>
    </row>
    <row r="15013" ht="15.75" customHeight="1">
      <c r="A15013" s="7"/>
      <c r="B15013" s="7"/>
      <c r="M15013" s="9" t="s">
        <v>24</v>
      </c>
    </row>
    <row r="15014" ht="15.75" customHeight="1">
      <c r="A15014" s="7"/>
      <c r="B15014" s="7"/>
      <c r="M15014" s="9" t="s">
        <v>21</v>
      </c>
    </row>
    <row r="15015" ht="15.75" customHeight="1">
      <c r="A15015" s="7"/>
      <c r="B15015" s="7"/>
      <c r="M15015" s="9" t="s">
        <v>39</v>
      </c>
    </row>
    <row r="15016" ht="15.75" customHeight="1">
      <c r="A15016" s="7"/>
      <c r="B15016" s="7"/>
      <c r="M15016" s="9" t="s">
        <v>33</v>
      </c>
    </row>
    <row r="15017" ht="15.75" customHeight="1">
      <c r="A15017" s="7"/>
      <c r="B15017" s="7"/>
      <c r="M15017" s="9" t="s">
        <v>35</v>
      </c>
    </row>
    <row r="15018" ht="15.75" customHeight="1">
      <c r="A15018" s="7"/>
      <c r="B15018" s="7"/>
      <c r="M15018" s="9" t="s">
        <v>30</v>
      </c>
    </row>
    <row r="15019" ht="15.75" customHeight="1">
      <c r="A15019" s="7"/>
      <c r="B15019" s="7"/>
      <c r="M15019" s="9" t="s">
        <v>24</v>
      </c>
    </row>
    <row r="15020" ht="15.75" customHeight="1">
      <c r="A15020" s="7"/>
      <c r="B15020" s="7"/>
      <c r="M15020" s="9" t="s">
        <v>21</v>
      </c>
    </row>
    <row r="15021" ht="15.75" customHeight="1">
      <c r="A15021" s="7"/>
      <c r="B15021" s="7"/>
      <c r="M15021" s="9" t="s">
        <v>22</v>
      </c>
    </row>
    <row r="15022" ht="15.75" customHeight="1">
      <c r="A15022" s="7"/>
      <c r="B15022" s="7"/>
      <c r="M15022" s="9" t="s">
        <v>27</v>
      </c>
    </row>
    <row r="15023" ht="15.75" customHeight="1">
      <c r="A15023" s="7"/>
      <c r="B15023" s="7"/>
      <c r="M15023" s="9" t="s">
        <v>30</v>
      </c>
    </row>
    <row r="15024" ht="15.75" customHeight="1">
      <c r="A15024" s="7"/>
      <c r="B15024" s="7"/>
      <c r="M15024" s="9" t="s">
        <v>25</v>
      </c>
    </row>
    <row r="15025" ht="15.75" customHeight="1">
      <c r="A15025" s="7"/>
      <c r="B15025" s="7"/>
      <c r="M15025" s="9" t="s">
        <v>23</v>
      </c>
    </row>
    <row r="15026" ht="15.75" customHeight="1">
      <c r="A15026" s="7"/>
      <c r="B15026" s="7"/>
      <c r="M15026" s="9" t="s">
        <v>26</v>
      </c>
    </row>
    <row r="15027" ht="15.75" customHeight="1">
      <c r="A15027" s="7"/>
      <c r="B15027" s="7"/>
      <c r="M15027" s="9" t="s">
        <v>24</v>
      </c>
    </row>
    <row r="15028" ht="15.75" customHeight="1">
      <c r="A15028" s="7"/>
      <c r="B15028" s="7"/>
      <c r="M15028" s="9" t="s">
        <v>20</v>
      </c>
    </row>
    <row r="15029" ht="15.75" customHeight="1">
      <c r="A15029" s="7"/>
      <c r="B15029" s="7"/>
      <c r="M15029" s="9" t="s">
        <v>21</v>
      </c>
    </row>
    <row r="15030" ht="15.75" customHeight="1">
      <c r="A15030" s="7"/>
      <c r="B15030" s="7"/>
      <c r="M15030" s="9" t="s">
        <v>37</v>
      </c>
    </row>
    <row r="15031" ht="15.75" customHeight="1">
      <c r="A15031" s="7"/>
      <c r="B15031" s="7"/>
      <c r="M15031" s="9" t="s">
        <v>22</v>
      </c>
    </row>
    <row r="15032" ht="15.75" customHeight="1">
      <c r="A15032" s="7"/>
      <c r="B15032" s="7"/>
      <c r="M15032" s="9" t="s">
        <v>27</v>
      </c>
    </row>
    <row r="15033" ht="15.75" customHeight="1">
      <c r="A15033" s="7"/>
      <c r="B15033" s="7"/>
      <c r="M15033" s="9" t="s">
        <v>28</v>
      </c>
    </row>
    <row r="15034" ht="15.75" customHeight="1">
      <c r="A15034" s="7"/>
      <c r="B15034" s="7"/>
      <c r="M15034" s="9" t="s">
        <v>30</v>
      </c>
    </row>
    <row r="15035" ht="15.75" customHeight="1">
      <c r="A15035" s="7"/>
      <c r="B15035" s="7"/>
      <c r="M15035" s="9" t="s">
        <v>25</v>
      </c>
    </row>
    <row r="15036" ht="15.75" customHeight="1">
      <c r="A15036" s="7"/>
      <c r="B15036" s="7"/>
      <c r="M15036" s="9" t="s">
        <v>24</v>
      </c>
    </row>
    <row r="15037" ht="15.75" customHeight="1">
      <c r="A15037" s="7"/>
      <c r="B15037" s="7"/>
      <c r="M15037" s="9" t="s">
        <v>20</v>
      </c>
    </row>
    <row r="15038" ht="15.75" customHeight="1">
      <c r="A15038" s="7"/>
      <c r="B15038" s="7"/>
      <c r="M15038" s="9" t="s">
        <v>21</v>
      </c>
    </row>
    <row r="15039" ht="15.75" customHeight="1">
      <c r="A15039" s="7"/>
      <c r="B15039" s="7"/>
      <c r="M15039" s="9" t="s">
        <v>27</v>
      </c>
    </row>
    <row r="15040" ht="15.75" customHeight="1">
      <c r="A15040" s="7"/>
      <c r="B15040" s="7"/>
      <c r="M15040" s="9" t="s">
        <v>24</v>
      </c>
    </row>
    <row r="15041" ht="15.75" customHeight="1">
      <c r="A15041" s="7"/>
      <c r="B15041" s="7"/>
      <c r="M15041" s="9" t="s">
        <v>37</v>
      </c>
    </row>
    <row r="15042" ht="15.75" customHeight="1">
      <c r="A15042" s="7"/>
      <c r="B15042" s="7"/>
      <c r="M15042" s="9" t="s">
        <v>27</v>
      </c>
    </row>
    <row r="15043" ht="15.75" customHeight="1">
      <c r="A15043" s="7"/>
      <c r="B15043" s="7"/>
      <c r="M15043" s="9" t="s">
        <v>24</v>
      </c>
    </row>
    <row r="15044" ht="15.75" customHeight="1">
      <c r="A15044" s="7"/>
      <c r="B15044" s="7"/>
      <c r="M15044" s="9" t="s">
        <v>20</v>
      </c>
    </row>
    <row r="15045" ht="15.75" customHeight="1">
      <c r="A15045" s="7"/>
      <c r="B15045" s="7"/>
      <c r="M15045" s="9" t="s">
        <v>21</v>
      </c>
    </row>
    <row r="15046" ht="15.75" customHeight="1">
      <c r="A15046" s="7"/>
      <c r="B15046" s="7"/>
      <c r="M15046" s="9" t="s">
        <v>37</v>
      </c>
    </row>
    <row r="15047" ht="15.75" customHeight="1">
      <c r="A15047" s="7"/>
      <c r="B15047" s="7"/>
      <c r="M15047" s="9" t="s">
        <v>22</v>
      </c>
    </row>
    <row r="15048" ht="15.75" customHeight="1">
      <c r="A15048" s="7"/>
      <c r="B15048" s="7"/>
      <c r="M15048" s="9" t="s">
        <v>27</v>
      </c>
    </row>
    <row r="15049" ht="15.75" customHeight="1">
      <c r="A15049" s="7"/>
      <c r="B15049" s="7"/>
      <c r="M15049" s="9" t="s">
        <v>25</v>
      </c>
    </row>
    <row r="15050" ht="15.75" customHeight="1">
      <c r="A15050" s="7"/>
      <c r="B15050" s="7"/>
      <c r="M15050" s="9" t="s">
        <v>23</v>
      </c>
    </row>
    <row r="15051" ht="15.75" customHeight="1">
      <c r="A15051" s="7"/>
      <c r="B15051" s="7"/>
      <c r="M15051" s="9" t="s">
        <v>26</v>
      </c>
    </row>
    <row r="15052" ht="15.75" customHeight="1">
      <c r="A15052" s="7"/>
      <c r="B15052" s="7"/>
      <c r="M15052" s="9" t="s">
        <v>24</v>
      </c>
    </row>
    <row r="15053" ht="15.75" customHeight="1">
      <c r="A15053" s="7"/>
      <c r="B15053" s="7"/>
      <c r="M15053" s="9" t="s">
        <v>21</v>
      </c>
    </row>
    <row r="15054" ht="15.75" customHeight="1">
      <c r="A15054" s="7"/>
      <c r="B15054" s="7"/>
      <c r="M15054" s="9" t="s">
        <v>27</v>
      </c>
    </row>
    <row r="15055" ht="15.75" customHeight="1">
      <c r="A15055" s="7"/>
      <c r="B15055" s="7"/>
      <c r="M15055" s="9" t="s">
        <v>30</v>
      </c>
    </row>
    <row r="15056" ht="15.75" customHeight="1">
      <c r="A15056" s="7"/>
      <c r="B15056" s="7"/>
      <c r="M15056" s="9" t="s">
        <v>23</v>
      </c>
    </row>
    <row r="15057" ht="15.75" customHeight="1">
      <c r="A15057" s="7"/>
      <c r="B15057" s="7"/>
      <c r="M15057" s="9" t="s">
        <v>26</v>
      </c>
    </row>
    <row r="15058" ht="15.75" customHeight="1">
      <c r="A15058" s="7"/>
      <c r="B15058" s="7"/>
      <c r="M15058" s="9" t="s">
        <v>36</v>
      </c>
    </row>
    <row r="15059" ht="15.75" customHeight="1">
      <c r="A15059" s="7"/>
      <c r="B15059" s="7"/>
      <c r="M15059" s="9" t="s">
        <v>20</v>
      </c>
    </row>
    <row r="15060" ht="15.75" customHeight="1">
      <c r="A15060" s="7"/>
      <c r="B15060" s="7"/>
      <c r="M15060" s="9" t="s">
        <v>39</v>
      </c>
    </row>
    <row r="15061" ht="15.75" customHeight="1">
      <c r="A15061" s="7"/>
      <c r="B15061" s="7"/>
      <c r="M15061" s="9" t="s">
        <v>22</v>
      </c>
    </row>
    <row r="15062" ht="15.75" customHeight="1">
      <c r="A15062" s="7"/>
      <c r="B15062" s="7"/>
      <c r="M15062" s="9" t="s">
        <v>27</v>
      </c>
    </row>
    <row r="15063" ht="15.75" customHeight="1">
      <c r="A15063" s="7"/>
      <c r="B15063" s="7"/>
      <c r="M15063" s="9" t="s">
        <v>30</v>
      </c>
    </row>
    <row r="15064" ht="15.75" customHeight="1">
      <c r="A15064" s="7"/>
      <c r="B15064" s="7"/>
      <c r="M15064" s="9" t="s">
        <v>24</v>
      </c>
    </row>
    <row r="15065" ht="15.75" customHeight="1">
      <c r="A15065" s="7"/>
      <c r="B15065" s="7"/>
      <c r="M15065" s="9" t="s">
        <v>20</v>
      </c>
    </row>
    <row r="15066" ht="15.75" customHeight="1">
      <c r="A15066" s="7"/>
      <c r="B15066" s="7"/>
      <c r="M15066" s="9" t="s">
        <v>21</v>
      </c>
    </row>
    <row r="15067" ht="15.75" customHeight="1">
      <c r="A15067" s="7"/>
      <c r="B15067" s="7"/>
      <c r="M15067" s="9" t="s">
        <v>37</v>
      </c>
    </row>
    <row r="15068" ht="15.75" customHeight="1">
      <c r="A15068" s="7"/>
      <c r="B15068" s="7"/>
      <c r="M15068" s="9" t="s">
        <v>27</v>
      </c>
    </row>
    <row r="15069" ht="15.75" customHeight="1">
      <c r="A15069" s="7"/>
      <c r="B15069" s="7"/>
      <c r="M15069" s="9" t="s">
        <v>30</v>
      </c>
    </row>
    <row r="15070" ht="15.75" customHeight="1">
      <c r="A15070" s="7"/>
      <c r="B15070" s="7"/>
      <c r="M15070" s="9" t="s">
        <v>24</v>
      </c>
    </row>
    <row r="15071" ht="15.75" customHeight="1">
      <c r="A15071" s="7"/>
      <c r="B15071" s="7"/>
      <c r="M15071" s="9" t="s">
        <v>21</v>
      </c>
    </row>
    <row r="15072" ht="15.75" customHeight="1">
      <c r="A15072" s="7"/>
      <c r="B15072" s="7"/>
      <c r="M15072" s="9" t="s">
        <v>31</v>
      </c>
    </row>
    <row r="15073" ht="15.75" customHeight="1">
      <c r="A15073" s="7"/>
      <c r="B15073" s="7"/>
      <c r="M15073" s="9" t="s">
        <v>24</v>
      </c>
    </row>
    <row r="15074" ht="15.75" customHeight="1">
      <c r="A15074" s="7"/>
      <c r="B15074" s="7"/>
      <c r="M15074" s="9" t="s">
        <v>20</v>
      </c>
    </row>
    <row r="15075" ht="15.75" customHeight="1">
      <c r="A15075" s="7"/>
      <c r="B15075" s="7"/>
      <c r="M15075" s="9" t="s">
        <v>21</v>
      </c>
    </row>
    <row r="15076" ht="15.75" customHeight="1">
      <c r="A15076" s="7"/>
      <c r="B15076" s="7"/>
      <c r="M15076" s="9" t="s">
        <v>41</v>
      </c>
    </row>
    <row r="15077" ht="15.75" customHeight="1">
      <c r="A15077" s="7"/>
      <c r="B15077" s="7"/>
      <c r="M15077" s="9" t="s">
        <v>27</v>
      </c>
    </row>
    <row r="15078" ht="15.75" customHeight="1">
      <c r="A15078" s="7"/>
      <c r="B15078" s="7"/>
      <c r="M15078" s="9" t="s">
        <v>40</v>
      </c>
    </row>
    <row r="15079" ht="15.75" customHeight="1">
      <c r="A15079" s="7"/>
      <c r="B15079" s="7"/>
      <c r="M15079" s="9" t="s">
        <v>20</v>
      </c>
    </row>
    <row r="15080" ht="15.75" customHeight="1">
      <c r="A15080" s="7"/>
      <c r="B15080" s="7"/>
      <c r="M15080" s="9" t="s">
        <v>22</v>
      </c>
    </row>
    <row r="15081" ht="15.75" customHeight="1">
      <c r="A15081" s="7"/>
      <c r="B15081" s="7"/>
      <c r="M15081" s="9" t="s">
        <v>20</v>
      </c>
    </row>
    <row r="15082" ht="15.75" customHeight="1">
      <c r="A15082" s="7"/>
      <c r="B15082" s="7"/>
      <c r="M15082" s="9" t="s">
        <v>37</v>
      </c>
    </row>
    <row r="15083" ht="15.75" customHeight="1">
      <c r="A15083" s="7"/>
      <c r="B15083" s="7"/>
      <c r="M15083" s="9" t="s">
        <v>22</v>
      </c>
    </row>
    <row r="15084" ht="15.75" customHeight="1">
      <c r="A15084" s="7"/>
      <c r="B15084" s="7"/>
      <c r="M15084" s="9" t="s">
        <v>27</v>
      </c>
    </row>
    <row r="15085" ht="15.75" customHeight="1">
      <c r="A15085" s="7"/>
      <c r="B15085" s="7"/>
      <c r="M15085" s="9" t="s">
        <v>26</v>
      </c>
    </row>
    <row r="15086" ht="15.75" customHeight="1">
      <c r="A15086" s="7"/>
      <c r="B15086" s="7"/>
      <c r="M15086" s="9" t="s">
        <v>24</v>
      </c>
    </row>
    <row r="15087" ht="15.75" customHeight="1">
      <c r="A15087" s="7"/>
      <c r="B15087" s="7"/>
      <c r="M15087" s="9" t="s">
        <v>21</v>
      </c>
    </row>
    <row r="15088" ht="15.75" customHeight="1">
      <c r="A15088" s="7"/>
      <c r="B15088" s="7"/>
      <c r="M15088" s="9" t="s">
        <v>22</v>
      </c>
    </row>
    <row r="15089" ht="15.75" customHeight="1">
      <c r="A15089" s="7"/>
      <c r="B15089" s="7"/>
      <c r="M15089" s="9" t="s">
        <v>28</v>
      </c>
    </row>
    <row r="15090" ht="15.75" customHeight="1">
      <c r="A15090" s="7"/>
      <c r="B15090" s="7"/>
      <c r="M15090" s="9" t="s">
        <v>35</v>
      </c>
    </row>
    <row r="15091" ht="15.75" customHeight="1">
      <c r="A15091" s="7"/>
      <c r="B15091" s="7"/>
      <c r="M15091" s="9" t="s">
        <v>30</v>
      </c>
    </row>
    <row r="15092" ht="15.75" customHeight="1">
      <c r="A15092" s="7"/>
      <c r="B15092" s="7"/>
      <c r="M15092" s="9" t="s">
        <v>25</v>
      </c>
    </row>
    <row r="15093" ht="15.75" customHeight="1">
      <c r="A15093" s="7"/>
      <c r="B15093" s="7"/>
      <c r="M15093" s="9" t="s">
        <v>23</v>
      </c>
    </row>
    <row r="15094" ht="15.75" customHeight="1">
      <c r="A15094" s="7"/>
      <c r="B15094" s="7"/>
      <c r="M15094" s="9" t="s">
        <v>26</v>
      </c>
    </row>
    <row r="15095" ht="15.75" customHeight="1">
      <c r="A15095" s="7"/>
      <c r="B15095" s="7"/>
      <c r="M15095" s="9" t="s">
        <v>21</v>
      </c>
    </row>
    <row r="15096" ht="15.75" customHeight="1">
      <c r="A15096" s="7"/>
      <c r="B15096" s="7"/>
      <c r="M15096" s="9" t="s">
        <v>37</v>
      </c>
    </row>
    <row r="15097" ht="15.75" customHeight="1">
      <c r="A15097" s="7"/>
      <c r="B15097" s="7"/>
      <c r="M15097" s="9" t="s">
        <v>27</v>
      </c>
    </row>
    <row r="15098" ht="15.75" customHeight="1">
      <c r="A15098" s="7"/>
      <c r="B15098" s="7"/>
      <c r="M15098" s="9" t="s">
        <v>24</v>
      </c>
    </row>
    <row r="15099" ht="15.75" customHeight="1">
      <c r="A15099" s="7"/>
      <c r="B15099" s="7"/>
      <c r="M15099" s="9" t="s">
        <v>21</v>
      </c>
    </row>
    <row r="15100" ht="15.75" customHeight="1">
      <c r="A15100" s="7"/>
      <c r="B15100" s="7"/>
      <c r="M15100" s="9" t="s">
        <v>33</v>
      </c>
    </row>
    <row r="15101" ht="15.75" customHeight="1">
      <c r="A15101" s="7"/>
      <c r="B15101" s="7"/>
      <c r="M15101" s="9" t="s">
        <v>35</v>
      </c>
    </row>
    <row r="15102" ht="15.75" customHeight="1">
      <c r="A15102" s="7"/>
      <c r="B15102" s="7"/>
      <c r="M15102" s="9" t="s">
        <v>38</v>
      </c>
    </row>
    <row r="15103" ht="15.75" customHeight="1">
      <c r="A15103" s="7"/>
      <c r="B15103" s="7"/>
      <c r="M15103" s="9" t="s">
        <v>30</v>
      </c>
    </row>
    <row r="15104" ht="15.75" customHeight="1">
      <c r="A15104" s="7"/>
      <c r="B15104" s="7"/>
      <c r="M15104" s="9" t="s">
        <v>25</v>
      </c>
    </row>
    <row r="15105" ht="15.75" customHeight="1">
      <c r="A15105" s="7"/>
      <c r="B15105" s="7"/>
      <c r="M15105" s="9" t="s">
        <v>24</v>
      </c>
    </row>
    <row r="15106" ht="15.75" customHeight="1">
      <c r="A15106" s="7"/>
      <c r="B15106" s="7"/>
      <c r="M15106" s="9" t="s">
        <v>21</v>
      </c>
    </row>
    <row r="15107" ht="15.75" customHeight="1">
      <c r="A15107" s="7"/>
      <c r="B15107" s="7"/>
      <c r="M15107" s="9" t="s">
        <v>37</v>
      </c>
    </row>
    <row r="15108" ht="15.75" customHeight="1">
      <c r="A15108" s="7"/>
      <c r="B15108" s="7"/>
      <c r="M15108" s="9" t="s">
        <v>22</v>
      </c>
    </row>
    <row r="15109" ht="15.75" customHeight="1">
      <c r="A15109" s="7"/>
      <c r="B15109" s="7"/>
      <c r="M15109" s="9" t="s">
        <v>27</v>
      </c>
    </row>
    <row r="15110" ht="15.75" customHeight="1">
      <c r="A15110" s="7"/>
      <c r="B15110" s="7"/>
      <c r="M15110" s="9" t="s">
        <v>30</v>
      </c>
    </row>
    <row r="15111" ht="15.75" customHeight="1">
      <c r="A15111" s="7"/>
      <c r="B15111" s="7"/>
      <c r="M15111" s="9" t="s">
        <v>44</v>
      </c>
    </row>
    <row r="15112" ht="15.75" customHeight="1">
      <c r="A15112" s="7"/>
      <c r="B15112" s="7"/>
      <c r="M15112" s="9" t="s">
        <v>24</v>
      </c>
    </row>
    <row r="15113" ht="15.75" customHeight="1">
      <c r="A15113" s="7"/>
      <c r="B15113" s="7"/>
      <c r="M15113" s="9" t="s">
        <v>20</v>
      </c>
    </row>
    <row r="15114" ht="15.75" customHeight="1">
      <c r="A15114" s="7"/>
      <c r="B15114" s="7"/>
      <c r="M15114" s="9" t="s">
        <v>21</v>
      </c>
    </row>
    <row r="15115" ht="15.75" customHeight="1">
      <c r="A15115" s="7"/>
      <c r="B15115" s="7"/>
      <c r="M15115" s="9" t="s">
        <v>23</v>
      </c>
    </row>
    <row r="15116" ht="15.75" customHeight="1">
      <c r="A15116" s="7"/>
      <c r="B15116" s="7"/>
      <c r="M15116" s="9" t="s">
        <v>24</v>
      </c>
    </row>
    <row r="15117" ht="15.75" customHeight="1">
      <c r="A15117" s="7"/>
      <c r="B15117" s="7"/>
      <c r="M15117" s="9" t="s">
        <v>21</v>
      </c>
    </row>
    <row r="15118" ht="15.75" customHeight="1">
      <c r="A15118" s="7"/>
      <c r="B15118" s="7"/>
      <c r="M15118" s="9" t="s">
        <v>27</v>
      </c>
    </row>
    <row r="15119" ht="15.75" customHeight="1">
      <c r="A15119" s="7"/>
      <c r="B15119" s="7"/>
      <c r="M15119" s="9" t="s">
        <v>26</v>
      </c>
    </row>
    <row r="15120" ht="15.75" customHeight="1">
      <c r="A15120" s="7"/>
      <c r="B15120" s="7"/>
      <c r="M15120" s="9" t="s">
        <v>24</v>
      </c>
    </row>
    <row r="15121" ht="15.75" customHeight="1">
      <c r="A15121" s="7"/>
      <c r="B15121" s="7"/>
      <c r="M15121" s="9" t="s">
        <v>20</v>
      </c>
    </row>
    <row r="15122" ht="15.75" customHeight="1">
      <c r="A15122" s="7"/>
      <c r="B15122" s="7"/>
      <c r="M15122" s="9" t="s">
        <v>21</v>
      </c>
    </row>
    <row r="15123" ht="15.75" customHeight="1">
      <c r="A15123" s="7"/>
      <c r="B15123" s="7"/>
      <c r="M15123" s="9" t="s">
        <v>37</v>
      </c>
    </row>
    <row r="15124" ht="15.75" customHeight="1">
      <c r="A15124" s="7"/>
      <c r="B15124" s="7"/>
      <c r="M15124" s="9" t="s">
        <v>27</v>
      </c>
    </row>
    <row r="15125" ht="15.75" customHeight="1">
      <c r="A15125" s="7"/>
      <c r="B15125" s="7"/>
      <c r="M15125" s="9" t="s">
        <v>28</v>
      </c>
    </row>
    <row r="15126" ht="15.75" customHeight="1">
      <c r="A15126" s="7"/>
      <c r="B15126" s="7"/>
      <c r="M15126" s="9" t="s">
        <v>25</v>
      </c>
    </row>
    <row r="15127" ht="15.75" customHeight="1">
      <c r="A15127" s="7"/>
      <c r="B15127" s="7"/>
      <c r="M15127" s="9" t="s">
        <v>23</v>
      </c>
    </row>
    <row r="15128" ht="15.75" customHeight="1">
      <c r="A15128" s="7"/>
      <c r="B15128" s="7"/>
      <c r="M15128" s="9" t="s">
        <v>26</v>
      </c>
    </row>
    <row r="15129" ht="15.75" customHeight="1">
      <c r="A15129" s="7"/>
      <c r="B15129" s="7"/>
      <c r="M15129" s="9" t="s">
        <v>24</v>
      </c>
    </row>
    <row r="15130" ht="15.75" customHeight="1">
      <c r="A15130" s="7"/>
      <c r="B15130" s="7"/>
      <c r="M15130" s="9" t="s">
        <v>20</v>
      </c>
    </row>
    <row r="15131" ht="15.75" customHeight="1">
      <c r="A15131" s="7"/>
      <c r="B15131" s="7"/>
      <c r="M15131" s="9" t="s">
        <v>21</v>
      </c>
    </row>
    <row r="15132" ht="15.75" customHeight="1">
      <c r="A15132" s="7"/>
      <c r="B15132" s="7"/>
      <c r="M15132" s="9" t="s">
        <v>27</v>
      </c>
    </row>
    <row r="15133" ht="15.75" customHeight="1">
      <c r="A15133" s="7"/>
      <c r="B15133" s="7"/>
      <c r="M15133" s="9" t="s">
        <v>34</v>
      </c>
    </row>
    <row r="15134" ht="15.75" customHeight="1">
      <c r="A15134" s="7"/>
      <c r="B15134" s="7"/>
      <c r="M15134" s="9" t="s">
        <v>30</v>
      </c>
    </row>
    <row r="15135" ht="15.75" customHeight="1">
      <c r="A15135" s="7"/>
      <c r="B15135" s="7"/>
      <c r="M15135" s="9" t="s">
        <v>24</v>
      </c>
    </row>
    <row r="15136" ht="15.75" customHeight="1">
      <c r="A15136" s="7"/>
      <c r="B15136" s="7"/>
      <c r="M15136" s="9" t="s">
        <v>21</v>
      </c>
    </row>
    <row r="15137" ht="15.75" customHeight="1">
      <c r="A15137" s="7"/>
      <c r="B15137" s="7"/>
      <c r="M15137" s="9" t="s">
        <v>37</v>
      </c>
    </row>
    <row r="15138" ht="15.75" customHeight="1">
      <c r="A15138" s="7"/>
      <c r="B15138" s="7"/>
      <c r="M15138" s="9" t="s">
        <v>22</v>
      </c>
    </row>
    <row r="15139" ht="15.75" customHeight="1">
      <c r="A15139" s="7"/>
      <c r="B15139" s="7"/>
      <c r="M15139" s="9" t="s">
        <v>27</v>
      </c>
    </row>
    <row r="15140" ht="15.75" customHeight="1">
      <c r="A15140" s="7"/>
      <c r="B15140" s="7"/>
      <c r="M15140" s="9" t="s">
        <v>40</v>
      </c>
    </row>
    <row r="15141" ht="15.75" customHeight="1">
      <c r="A15141" s="7"/>
      <c r="B15141" s="7"/>
      <c r="M15141" s="9" t="s">
        <v>26</v>
      </c>
    </row>
    <row r="15142" ht="15.75" customHeight="1">
      <c r="A15142" s="7"/>
      <c r="B15142" s="7"/>
      <c r="M15142" s="9" t="s">
        <v>24</v>
      </c>
    </row>
    <row r="15143" ht="15.75" customHeight="1">
      <c r="A15143" s="7"/>
      <c r="B15143" s="7"/>
      <c r="M15143" s="9" t="s">
        <v>21</v>
      </c>
    </row>
    <row r="15144" ht="15.75" customHeight="1">
      <c r="A15144" s="7"/>
      <c r="B15144" s="7"/>
      <c r="M15144" s="9" t="s">
        <v>27</v>
      </c>
    </row>
    <row r="15145" ht="15.75" customHeight="1">
      <c r="A15145" s="7"/>
      <c r="B15145" s="7"/>
      <c r="M15145" s="9" t="s">
        <v>33</v>
      </c>
    </row>
    <row r="15146" ht="15.75" customHeight="1">
      <c r="A15146" s="7"/>
      <c r="B15146" s="7"/>
      <c r="M15146" s="9" t="s">
        <v>30</v>
      </c>
    </row>
    <row r="15147" ht="15.75" customHeight="1">
      <c r="A15147" s="7"/>
      <c r="B15147" s="7"/>
      <c r="M15147" s="9" t="s">
        <v>24</v>
      </c>
    </row>
    <row r="15148" ht="15.75" customHeight="1">
      <c r="A15148" s="7"/>
      <c r="B15148" s="7"/>
      <c r="M15148" s="9" t="s">
        <v>20</v>
      </c>
    </row>
    <row r="15149" ht="15.75" customHeight="1">
      <c r="A15149" s="7"/>
      <c r="B15149" s="7"/>
      <c r="M15149" s="9" t="s">
        <v>21</v>
      </c>
    </row>
    <row r="15150" ht="15.75" customHeight="1">
      <c r="A15150" s="7"/>
      <c r="B15150" s="7"/>
      <c r="M15150" s="9" t="s">
        <v>39</v>
      </c>
    </row>
    <row r="15151" ht="15.75" customHeight="1">
      <c r="A15151" s="7"/>
      <c r="B15151" s="7"/>
      <c r="M15151" s="9" t="s">
        <v>26</v>
      </c>
    </row>
    <row r="15152" ht="15.75" customHeight="1">
      <c r="A15152" s="7"/>
      <c r="B15152" s="7"/>
      <c r="M15152" s="9" t="s">
        <v>24</v>
      </c>
    </row>
    <row r="15153" ht="15.75" customHeight="1">
      <c r="A15153" s="7"/>
      <c r="B15153" s="7"/>
      <c r="M15153" s="9" t="s">
        <v>21</v>
      </c>
    </row>
    <row r="15154" ht="15.75" customHeight="1">
      <c r="A15154" s="7"/>
      <c r="B15154" s="7"/>
      <c r="M15154" s="9" t="s">
        <v>27</v>
      </c>
    </row>
    <row r="15155" ht="15.75" customHeight="1">
      <c r="A15155" s="7"/>
      <c r="B15155" s="7"/>
      <c r="M15155" s="9" t="s">
        <v>25</v>
      </c>
    </row>
    <row r="15156" ht="15.75" customHeight="1">
      <c r="A15156" s="7"/>
      <c r="B15156" s="7"/>
      <c r="M15156" s="9" t="s">
        <v>23</v>
      </c>
    </row>
    <row r="15157" ht="15.75" customHeight="1">
      <c r="A15157" s="7"/>
      <c r="B15157" s="7"/>
      <c r="M15157" s="9" t="s">
        <v>26</v>
      </c>
    </row>
    <row r="15158" ht="15.75" customHeight="1">
      <c r="A15158" s="7"/>
      <c r="B15158" s="7"/>
      <c r="M15158" s="9" t="s">
        <v>20</v>
      </c>
    </row>
    <row r="15159" ht="15.75" customHeight="1">
      <c r="A15159" s="7"/>
      <c r="B15159" s="7"/>
      <c r="M15159" s="9" t="s">
        <v>21</v>
      </c>
    </row>
    <row r="15160" ht="15.75" customHeight="1">
      <c r="A15160" s="7"/>
      <c r="B15160" s="7"/>
      <c r="M15160" s="9" t="s">
        <v>30</v>
      </c>
    </row>
    <row r="15161" ht="15.75" customHeight="1">
      <c r="A15161" s="7"/>
      <c r="B15161" s="7"/>
      <c r="M15161" s="9" t="s">
        <v>26</v>
      </c>
    </row>
    <row r="15162" ht="15.75" customHeight="1">
      <c r="A15162" s="7"/>
      <c r="B15162" s="7"/>
      <c r="M15162" s="9" t="s">
        <v>24</v>
      </c>
    </row>
    <row r="15163" ht="15.75" customHeight="1">
      <c r="A15163" s="7"/>
      <c r="B15163" s="7"/>
      <c r="M15163" s="9" t="s">
        <v>21</v>
      </c>
    </row>
    <row r="15164" ht="15.75" customHeight="1">
      <c r="A15164" s="7"/>
      <c r="B15164" s="7"/>
      <c r="M15164" s="9" t="s">
        <v>22</v>
      </c>
    </row>
    <row r="15165" ht="15.75" customHeight="1">
      <c r="A15165" s="7"/>
      <c r="B15165" s="7"/>
      <c r="M15165" s="9" t="s">
        <v>30</v>
      </c>
    </row>
    <row r="15166" ht="15.75" customHeight="1">
      <c r="A15166" s="7"/>
      <c r="B15166" s="7"/>
      <c r="M15166" s="9" t="s">
        <v>20</v>
      </c>
    </row>
    <row r="15167" ht="15.75" customHeight="1">
      <c r="A15167" s="7"/>
      <c r="B15167" s="7"/>
      <c r="M15167" s="9" t="s">
        <v>39</v>
      </c>
    </row>
    <row r="15168" ht="15.75" customHeight="1">
      <c r="A15168" s="7"/>
      <c r="B15168" s="7"/>
      <c r="M15168" s="9" t="s">
        <v>22</v>
      </c>
    </row>
    <row r="15169" ht="15.75" customHeight="1">
      <c r="A15169" s="7"/>
      <c r="B15169" s="7"/>
      <c r="M15169" s="9" t="s">
        <v>30</v>
      </c>
    </row>
    <row r="15170" ht="15.75" customHeight="1">
      <c r="A15170" s="7"/>
      <c r="B15170" s="7"/>
      <c r="M15170" s="9" t="s">
        <v>24</v>
      </c>
    </row>
    <row r="15171" ht="15.75" customHeight="1">
      <c r="A15171" s="7"/>
      <c r="B15171" s="7"/>
      <c r="M15171" s="9" t="s">
        <v>21</v>
      </c>
    </row>
    <row r="15172" ht="15.75" customHeight="1">
      <c r="A15172" s="7"/>
      <c r="B15172" s="7"/>
      <c r="M15172" s="9" t="s">
        <v>31</v>
      </c>
    </row>
    <row r="15173" ht="15.75" customHeight="1">
      <c r="A15173" s="7"/>
      <c r="B15173" s="7"/>
      <c r="M15173" s="9" t="s">
        <v>38</v>
      </c>
    </row>
    <row r="15174" ht="15.75" customHeight="1">
      <c r="A15174" s="7"/>
      <c r="B15174" s="7"/>
      <c r="M15174" s="9" t="s">
        <v>30</v>
      </c>
    </row>
    <row r="15175" ht="15.75" customHeight="1">
      <c r="A15175" s="7"/>
      <c r="B15175" s="7"/>
      <c r="M15175" s="9" t="s">
        <v>25</v>
      </c>
    </row>
    <row r="15176" ht="15.75" customHeight="1">
      <c r="A15176" s="7"/>
      <c r="B15176" s="7"/>
      <c r="M15176" s="9" t="s">
        <v>23</v>
      </c>
    </row>
    <row r="15177" ht="15.75" customHeight="1">
      <c r="A15177" s="7"/>
      <c r="B15177" s="7"/>
      <c r="M15177" s="9" t="s">
        <v>20</v>
      </c>
    </row>
    <row r="15178" ht="15.75" customHeight="1">
      <c r="A15178" s="7"/>
      <c r="B15178" s="7"/>
      <c r="M15178" s="9" t="s">
        <v>27</v>
      </c>
    </row>
    <row r="15179" ht="15.75" customHeight="1">
      <c r="A15179" s="7"/>
      <c r="B15179" s="7"/>
      <c r="M15179" s="9" t="s">
        <v>30</v>
      </c>
    </row>
    <row r="15180" ht="15.75" customHeight="1">
      <c r="A15180" s="7"/>
      <c r="B15180" s="7"/>
      <c r="M15180" s="9" t="s">
        <v>36</v>
      </c>
    </row>
    <row r="15181" ht="15.75" customHeight="1">
      <c r="A15181" s="7"/>
      <c r="B15181" s="7"/>
      <c r="M15181" s="9" t="s">
        <v>24</v>
      </c>
    </row>
    <row r="15182" ht="15.75" customHeight="1">
      <c r="A15182" s="7"/>
      <c r="B15182" s="7"/>
      <c r="M15182" s="9" t="s">
        <v>21</v>
      </c>
    </row>
    <row r="15183" ht="15.75" customHeight="1">
      <c r="A15183" s="7"/>
      <c r="B15183" s="7"/>
      <c r="M15183" s="9" t="s">
        <v>27</v>
      </c>
    </row>
    <row r="15184" ht="15.75" customHeight="1">
      <c r="A15184" s="7"/>
      <c r="B15184" s="7"/>
      <c r="M15184" s="9" t="s">
        <v>26</v>
      </c>
    </row>
    <row r="15185" ht="15.75" customHeight="1">
      <c r="A15185" s="7"/>
      <c r="B15185" s="7"/>
      <c r="M15185" s="9" t="s">
        <v>21</v>
      </c>
    </row>
    <row r="15186" ht="15.75" customHeight="1">
      <c r="A15186" s="7"/>
      <c r="B15186" s="7"/>
      <c r="M15186" s="9" t="s">
        <v>39</v>
      </c>
    </row>
    <row r="15187" ht="15.75" customHeight="1">
      <c r="A15187" s="7"/>
      <c r="B15187" s="7"/>
      <c r="M15187" s="9" t="s">
        <v>33</v>
      </c>
    </row>
    <row r="15188" ht="15.75" customHeight="1">
      <c r="A15188" s="7"/>
      <c r="B15188" s="7"/>
      <c r="M15188" s="9" t="s">
        <v>23</v>
      </c>
    </row>
    <row r="15189" ht="15.75" customHeight="1">
      <c r="A15189" s="7"/>
      <c r="B15189" s="7"/>
      <c r="M15189" s="9" t="s">
        <v>26</v>
      </c>
    </row>
    <row r="15190" ht="15.75" customHeight="1">
      <c r="A15190" s="7"/>
      <c r="B15190" s="7"/>
      <c r="M15190" s="9" t="s">
        <v>24</v>
      </c>
    </row>
    <row r="15191" ht="15.75" customHeight="1">
      <c r="A15191" s="7"/>
      <c r="B15191" s="7"/>
      <c r="M15191" s="9" t="s">
        <v>21</v>
      </c>
    </row>
    <row r="15192" ht="15.75" customHeight="1">
      <c r="A15192" s="7"/>
      <c r="B15192" s="7"/>
      <c r="M15192" s="9" t="s">
        <v>27</v>
      </c>
    </row>
    <row r="15193" ht="15.75" customHeight="1">
      <c r="A15193" s="7"/>
      <c r="B15193" s="7"/>
      <c r="M15193" s="9" t="s">
        <v>33</v>
      </c>
    </row>
    <row r="15194" ht="15.75" customHeight="1">
      <c r="A15194" s="7"/>
      <c r="B15194" s="7"/>
      <c r="M15194" s="9" t="s">
        <v>30</v>
      </c>
    </row>
    <row r="15195" ht="15.75" customHeight="1">
      <c r="A15195" s="7"/>
      <c r="B15195" s="7"/>
      <c r="M15195" s="9" t="s">
        <v>25</v>
      </c>
    </row>
    <row r="15196" ht="15.75" customHeight="1">
      <c r="A15196" s="7"/>
      <c r="B15196" s="7"/>
      <c r="M15196" s="9" t="s">
        <v>24</v>
      </c>
    </row>
    <row r="15197" ht="15.75" customHeight="1">
      <c r="A15197" s="7"/>
      <c r="B15197" s="7"/>
      <c r="M15197" s="9" t="s">
        <v>20</v>
      </c>
    </row>
    <row r="15198" ht="15.75" customHeight="1">
      <c r="A15198" s="7"/>
      <c r="B15198" s="7"/>
      <c r="M15198" s="9" t="s">
        <v>22</v>
      </c>
    </row>
    <row r="15199" ht="15.75" customHeight="1">
      <c r="A15199" s="7"/>
      <c r="B15199" s="7"/>
      <c r="M15199" s="9" t="s">
        <v>30</v>
      </c>
    </row>
    <row r="15200" ht="15.75" customHeight="1">
      <c r="A15200" s="7"/>
      <c r="B15200" s="7"/>
      <c r="M15200" s="9" t="s">
        <v>25</v>
      </c>
    </row>
    <row r="15201" ht="15.75" customHeight="1">
      <c r="A15201" s="7"/>
      <c r="B15201" s="7"/>
      <c r="M15201" s="9" t="s">
        <v>44</v>
      </c>
    </row>
    <row r="15202" ht="15.75" customHeight="1">
      <c r="A15202" s="7"/>
      <c r="B15202" s="7"/>
      <c r="M15202" s="9" t="s">
        <v>42</v>
      </c>
    </row>
    <row r="15203" ht="15.75" customHeight="1">
      <c r="A15203" s="7"/>
      <c r="B15203" s="7"/>
      <c r="M15203" s="9" t="s">
        <v>24</v>
      </c>
    </row>
    <row r="15204" ht="15.75" customHeight="1">
      <c r="A15204" s="7"/>
      <c r="B15204" s="7"/>
      <c r="M15204" s="9" t="s">
        <v>20</v>
      </c>
    </row>
    <row r="15205" ht="15.75" customHeight="1">
      <c r="A15205" s="7"/>
      <c r="B15205" s="7"/>
      <c r="M15205" s="9" t="s">
        <v>21</v>
      </c>
    </row>
    <row r="15206" ht="15.75" customHeight="1">
      <c r="A15206" s="7"/>
      <c r="B15206" s="7"/>
      <c r="M15206" s="9" t="s">
        <v>22</v>
      </c>
    </row>
    <row r="15207" ht="15.75" customHeight="1">
      <c r="A15207" s="7"/>
      <c r="B15207" s="7"/>
      <c r="M15207" s="9" t="s">
        <v>29</v>
      </c>
    </row>
    <row r="15208" ht="15.75" customHeight="1">
      <c r="A15208" s="7"/>
      <c r="B15208" s="7"/>
      <c r="M15208" s="9" t="s">
        <v>32</v>
      </c>
    </row>
    <row r="15209" ht="15.75" customHeight="1">
      <c r="A15209" s="7"/>
      <c r="B15209" s="7"/>
      <c r="M15209" s="9" t="s">
        <v>35</v>
      </c>
    </row>
    <row r="15210" ht="15.75" customHeight="1">
      <c r="A15210" s="7"/>
      <c r="B15210" s="7"/>
      <c r="M15210" s="9" t="s">
        <v>44</v>
      </c>
    </row>
    <row r="15211" ht="15.75" customHeight="1">
      <c r="A15211" s="7"/>
      <c r="B15211" s="7"/>
      <c r="M15211" s="9" t="s">
        <v>20</v>
      </c>
    </row>
    <row r="15212" ht="15.75" customHeight="1">
      <c r="A15212" s="7"/>
      <c r="B15212" s="7"/>
      <c r="M15212" s="9" t="s">
        <v>25</v>
      </c>
    </row>
    <row r="15213" ht="15.75" customHeight="1">
      <c r="A15213" s="7"/>
      <c r="B15213" s="7"/>
      <c r="M15213" s="9" t="s">
        <v>24</v>
      </c>
    </row>
    <row r="15214" ht="15.75" customHeight="1">
      <c r="A15214" s="7"/>
      <c r="B15214" s="7"/>
      <c r="M15214" s="9" t="s">
        <v>20</v>
      </c>
    </row>
    <row r="15215" ht="15.75" customHeight="1">
      <c r="A15215" s="7"/>
      <c r="B15215" s="7"/>
      <c r="M15215" s="9" t="s">
        <v>21</v>
      </c>
    </row>
    <row r="15216" ht="15.75" customHeight="1">
      <c r="A15216" s="7"/>
      <c r="B15216" s="7"/>
      <c r="M15216" s="9" t="s">
        <v>22</v>
      </c>
    </row>
    <row r="15217" ht="15.75" customHeight="1">
      <c r="A15217" s="7"/>
      <c r="B15217" s="7"/>
      <c r="M15217" s="9" t="s">
        <v>30</v>
      </c>
    </row>
    <row r="15218" ht="15.75" customHeight="1">
      <c r="A15218" s="7"/>
      <c r="B15218" s="7"/>
      <c r="M15218" s="9" t="s">
        <v>26</v>
      </c>
    </row>
    <row r="15219" ht="15.75" customHeight="1">
      <c r="A15219" s="7"/>
      <c r="B15219" s="7"/>
      <c r="M15219" s="9" t="s">
        <v>24</v>
      </c>
    </row>
    <row r="15220" ht="15.75" customHeight="1">
      <c r="A15220" s="7"/>
      <c r="B15220" s="7"/>
      <c r="M15220" s="9" t="s">
        <v>20</v>
      </c>
    </row>
    <row r="15221" ht="15.75" customHeight="1">
      <c r="A15221" s="7"/>
      <c r="B15221" s="7"/>
      <c r="M15221" s="9" t="s">
        <v>21</v>
      </c>
    </row>
    <row r="15222" ht="15.75" customHeight="1">
      <c r="A15222" s="7"/>
      <c r="B15222" s="7"/>
      <c r="M15222" s="9" t="s">
        <v>27</v>
      </c>
    </row>
    <row r="15223" ht="15.75" customHeight="1">
      <c r="A15223" s="7"/>
      <c r="B15223" s="7"/>
      <c r="M15223" s="9" t="s">
        <v>28</v>
      </c>
    </row>
    <row r="15224" ht="15.75" customHeight="1">
      <c r="A15224" s="7"/>
      <c r="B15224" s="7"/>
      <c r="M15224" s="9" t="s">
        <v>42</v>
      </c>
    </row>
    <row r="15225" ht="15.75" customHeight="1">
      <c r="A15225" s="7"/>
      <c r="B15225" s="7"/>
      <c r="M15225" s="9" t="s">
        <v>41</v>
      </c>
    </row>
    <row r="15226" ht="15.75" customHeight="1">
      <c r="A15226" s="7"/>
      <c r="B15226" s="7"/>
      <c r="M15226" s="9" t="s">
        <v>40</v>
      </c>
    </row>
    <row r="15227" ht="15.75" customHeight="1">
      <c r="A15227" s="7"/>
      <c r="B15227" s="7"/>
      <c r="M15227" s="9" t="s">
        <v>37</v>
      </c>
    </row>
    <row r="15228" ht="15.75" customHeight="1">
      <c r="A15228" s="7"/>
      <c r="B15228" s="7"/>
      <c r="M15228" s="9" t="s">
        <v>27</v>
      </c>
    </row>
    <row r="15229" ht="15.75" customHeight="1">
      <c r="A15229" s="7"/>
      <c r="B15229" s="7"/>
      <c r="M15229" s="9" t="s">
        <v>35</v>
      </c>
    </row>
    <row r="15230" ht="15.75" customHeight="1">
      <c r="A15230" s="7"/>
      <c r="B15230" s="7"/>
      <c r="M15230" s="9" t="s">
        <v>38</v>
      </c>
    </row>
    <row r="15231" ht="15.75" customHeight="1">
      <c r="A15231" s="7"/>
      <c r="B15231" s="7"/>
      <c r="M15231" s="9" t="s">
        <v>30</v>
      </c>
    </row>
    <row r="15232" ht="15.75" customHeight="1">
      <c r="A15232" s="7"/>
      <c r="B15232" s="7"/>
      <c r="M15232" s="9" t="s">
        <v>23</v>
      </c>
    </row>
    <row r="15233" ht="15.75" customHeight="1">
      <c r="A15233" s="7"/>
      <c r="B15233" s="7"/>
      <c r="M15233" s="9" t="s">
        <v>26</v>
      </c>
    </row>
    <row r="15234" ht="15.75" customHeight="1">
      <c r="A15234" s="7"/>
      <c r="B15234" s="7"/>
      <c r="M15234" s="9" t="s">
        <v>45</v>
      </c>
    </row>
    <row r="15235" ht="15.75" customHeight="1">
      <c r="A15235" s="7"/>
      <c r="B15235" s="7"/>
      <c r="M15235" s="9" t="s">
        <v>24</v>
      </c>
    </row>
    <row r="15236" ht="15.75" customHeight="1">
      <c r="A15236" s="7"/>
      <c r="B15236" s="7"/>
      <c r="M15236" s="9" t="s">
        <v>21</v>
      </c>
    </row>
    <row r="15237" ht="15.75" customHeight="1">
      <c r="A15237" s="7"/>
      <c r="B15237" s="7"/>
      <c r="M15237" s="9" t="s">
        <v>27</v>
      </c>
    </row>
    <row r="15238" ht="15.75" customHeight="1">
      <c r="A15238" s="7"/>
      <c r="B15238" s="7"/>
      <c r="M15238" s="9" t="s">
        <v>33</v>
      </c>
    </row>
    <row r="15239" ht="15.75" customHeight="1">
      <c r="A15239" s="7"/>
      <c r="B15239" s="7"/>
      <c r="M15239" s="9" t="s">
        <v>34</v>
      </c>
    </row>
    <row r="15240" ht="15.75" customHeight="1">
      <c r="A15240" s="7"/>
      <c r="B15240" s="7"/>
      <c r="M15240" s="9" t="s">
        <v>21</v>
      </c>
    </row>
    <row r="15241" ht="15.75" customHeight="1">
      <c r="A15241" s="7"/>
      <c r="B15241" s="7"/>
      <c r="M15241" s="9" t="s">
        <v>22</v>
      </c>
    </row>
    <row r="15242" ht="15.75" customHeight="1">
      <c r="A15242" s="7"/>
      <c r="B15242" s="7"/>
      <c r="M15242" s="9" t="s">
        <v>42</v>
      </c>
    </row>
    <row r="15243" ht="15.75" customHeight="1">
      <c r="A15243" s="7"/>
      <c r="B15243" s="7"/>
      <c r="M15243" s="9" t="s">
        <v>24</v>
      </c>
    </row>
    <row r="15244" ht="15.75" customHeight="1">
      <c r="A15244" s="7"/>
      <c r="B15244" s="7"/>
      <c r="M15244" s="9" t="s">
        <v>21</v>
      </c>
    </row>
    <row r="15245" ht="15.75" customHeight="1">
      <c r="A15245" s="7"/>
      <c r="B15245" s="7"/>
      <c r="M15245" s="9" t="s">
        <v>31</v>
      </c>
    </row>
    <row r="15246" ht="15.75" customHeight="1">
      <c r="A15246" s="7"/>
      <c r="B15246" s="7"/>
      <c r="M15246" s="9" t="s">
        <v>27</v>
      </c>
    </row>
    <row r="15247" ht="15.75" customHeight="1">
      <c r="A15247" s="7"/>
      <c r="B15247" s="7"/>
      <c r="M15247" s="9" t="s">
        <v>25</v>
      </c>
    </row>
    <row r="15248" ht="15.75" customHeight="1">
      <c r="A15248" s="7"/>
      <c r="B15248" s="7"/>
      <c r="M15248" s="9" t="s">
        <v>23</v>
      </c>
    </row>
    <row r="15249" ht="15.75" customHeight="1">
      <c r="A15249" s="7"/>
      <c r="B15249" s="7"/>
      <c r="M15249" s="9" t="s">
        <v>23</v>
      </c>
    </row>
    <row r="15250" ht="15.75" customHeight="1">
      <c r="A15250" s="7"/>
      <c r="B15250" s="7"/>
      <c r="M15250" s="9" t="s">
        <v>22</v>
      </c>
    </row>
    <row r="15251" ht="15.75" customHeight="1">
      <c r="A15251" s="7"/>
      <c r="B15251" s="7"/>
      <c r="M15251" s="9" t="s">
        <v>22</v>
      </c>
    </row>
    <row r="15252" ht="15.75" customHeight="1">
      <c r="A15252" s="7"/>
      <c r="B15252" s="7"/>
      <c r="M15252" s="9" t="s">
        <v>27</v>
      </c>
    </row>
    <row r="15253" ht="15.75" customHeight="1">
      <c r="A15253" s="7"/>
      <c r="B15253" s="7"/>
      <c r="M15253" s="9" t="s">
        <v>26</v>
      </c>
    </row>
    <row r="15254" ht="15.75" customHeight="1">
      <c r="A15254" s="7"/>
      <c r="B15254" s="7"/>
      <c r="M15254" s="9" t="s">
        <v>24</v>
      </c>
    </row>
    <row r="15255" ht="15.75" customHeight="1">
      <c r="A15255" s="7"/>
      <c r="B15255" s="7"/>
      <c r="M15255" s="9" t="s">
        <v>20</v>
      </c>
    </row>
    <row r="15256" ht="15.75" customHeight="1">
      <c r="A15256" s="7"/>
      <c r="B15256" s="7"/>
      <c r="M15256" s="9" t="s">
        <v>21</v>
      </c>
    </row>
    <row r="15257" ht="15.75" customHeight="1">
      <c r="A15257" s="7"/>
      <c r="B15257" s="7"/>
      <c r="M15257" s="9" t="s">
        <v>39</v>
      </c>
    </row>
    <row r="15258" ht="15.75" customHeight="1">
      <c r="A15258" s="7"/>
      <c r="B15258" s="7"/>
      <c r="M15258" s="9" t="s">
        <v>41</v>
      </c>
    </row>
    <row r="15259" ht="15.75" customHeight="1">
      <c r="A15259" s="7"/>
      <c r="B15259" s="7"/>
      <c r="M15259" s="9" t="s">
        <v>27</v>
      </c>
    </row>
    <row r="15260" ht="15.75" customHeight="1">
      <c r="A15260" s="7"/>
      <c r="B15260" s="7"/>
      <c r="M15260" s="9" t="s">
        <v>40</v>
      </c>
    </row>
    <row r="15261" ht="15.75" customHeight="1">
      <c r="A15261" s="7"/>
      <c r="B15261" s="7"/>
      <c r="M15261" s="9" t="s">
        <v>36</v>
      </c>
    </row>
    <row r="15262" ht="15.75" customHeight="1">
      <c r="A15262" s="7"/>
      <c r="B15262" s="7"/>
      <c r="M15262" s="9" t="s">
        <v>31</v>
      </c>
    </row>
    <row r="15263" ht="15.75" customHeight="1">
      <c r="A15263" s="7"/>
      <c r="B15263" s="7"/>
      <c r="M15263" s="9" t="s">
        <v>46</v>
      </c>
    </row>
    <row r="15264" ht="15.75" customHeight="1">
      <c r="A15264" s="7"/>
      <c r="B15264" s="7"/>
      <c r="M15264" s="9" t="s">
        <v>21</v>
      </c>
    </row>
    <row r="15265" ht="15.75" customHeight="1">
      <c r="A15265" s="7"/>
      <c r="B15265" s="7"/>
      <c r="M15265" s="9" t="s">
        <v>26</v>
      </c>
    </row>
    <row r="15266" ht="15.75" customHeight="1">
      <c r="A15266" s="7"/>
      <c r="B15266" s="7"/>
      <c r="M15266" s="9" t="s">
        <v>20</v>
      </c>
    </row>
    <row r="15267" ht="15.75" customHeight="1">
      <c r="A15267" s="7"/>
      <c r="B15267" s="7"/>
      <c r="M15267" s="9" t="s">
        <v>21</v>
      </c>
    </row>
    <row r="15268" ht="15.75" customHeight="1">
      <c r="A15268" s="7"/>
      <c r="B15268" s="7"/>
      <c r="M15268" s="9" t="s">
        <v>22</v>
      </c>
    </row>
    <row r="15269" ht="15.75" customHeight="1">
      <c r="A15269" s="7"/>
      <c r="B15269" s="7"/>
      <c r="M15269" s="9" t="s">
        <v>46</v>
      </c>
    </row>
    <row r="15270" ht="15.75" customHeight="1">
      <c r="A15270" s="7"/>
      <c r="B15270" s="7"/>
      <c r="M15270" s="9" t="s">
        <v>27</v>
      </c>
    </row>
    <row r="15271" ht="15.75" customHeight="1">
      <c r="A15271" s="7"/>
      <c r="B15271" s="7"/>
      <c r="M15271" s="9" t="s">
        <v>23</v>
      </c>
    </row>
    <row r="15272" ht="15.75" customHeight="1">
      <c r="A15272" s="7"/>
      <c r="B15272" s="7"/>
      <c r="M15272" s="9" t="s">
        <v>22</v>
      </c>
    </row>
    <row r="15273" ht="15.75" customHeight="1">
      <c r="A15273" s="7"/>
      <c r="B15273" s="7"/>
      <c r="M15273" s="9" t="s">
        <v>35</v>
      </c>
    </row>
    <row r="15274" ht="15.75" customHeight="1">
      <c r="A15274" s="7"/>
      <c r="B15274" s="7"/>
      <c r="M15274" s="9" t="s">
        <v>22</v>
      </c>
    </row>
    <row r="15275" ht="15.75" customHeight="1">
      <c r="A15275" s="7"/>
      <c r="B15275" s="7"/>
      <c r="M15275" s="9" t="s">
        <v>29</v>
      </c>
    </row>
    <row r="15276" ht="15.75" customHeight="1">
      <c r="A15276" s="7"/>
      <c r="B15276" s="7"/>
      <c r="M15276" s="9" t="s">
        <v>27</v>
      </c>
    </row>
    <row r="15277" ht="15.75" customHeight="1">
      <c r="A15277" s="7"/>
      <c r="B15277" s="7"/>
      <c r="M15277" s="9" t="s">
        <v>30</v>
      </c>
    </row>
    <row r="15278" ht="15.75" customHeight="1">
      <c r="A15278" s="7"/>
      <c r="B15278" s="7"/>
      <c r="M15278" s="9" t="s">
        <v>25</v>
      </c>
    </row>
    <row r="15279" ht="15.75" customHeight="1">
      <c r="A15279" s="7"/>
      <c r="B15279" s="7"/>
      <c r="M15279" s="9" t="s">
        <v>23</v>
      </c>
    </row>
    <row r="15280" ht="15.75" customHeight="1">
      <c r="A15280" s="7"/>
      <c r="B15280" s="7"/>
      <c r="M15280" s="9" t="s">
        <v>24</v>
      </c>
    </row>
    <row r="15281" ht="15.75" customHeight="1">
      <c r="A15281" s="7"/>
      <c r="B15281" s="7"/>
      <c r="M15281" s="9" t="s">
        <v>20</v>
      </c>
    </row>
    <row r="15282" ht="15.75" customHeight="1">
      <c r="A15282" s="7"/>
      <c r="B15282" s="7"/>
      <c r="M15282" s="9" t="s">
        <v>21</v>
      </c>
    </row>
    <row r="15283" ht="15.75" customHeight="1">
      <c r="A15283" s="7"/>
      <c r="B15283" s="7"/>
      <c r="M15283" s="9" t="s">
        <v>37</v>
      </c>
    </row>
    <row r="15284" ht="15.75" customHeight="1">
      <c r="A15284" s="7"/>
      <c r="B15284" s="7"/>
      <c r="M15284" s="9" t="s">
        <v>22</v>
      </c>
    </row>
    <row r="15285" ht="15.75" customHeight="1">
      <c r="A15285" s="7"/>
      <c r="B15285" s="7"/>
      <c r="M15285" s="9" t="s">
        <v>26</v>
      </c>
    </row>
    <row r="15286" ht="15.75" customHeight="1">
      <c r="A15286" s="7"/>
      <c r="B15286" s="7"/>
      <c r="M15286" s="9" t="s">
        <v>24</v>
      </c>
    </row>
    <row r="15287" ht="15.75" customHeight="1">
      <c r="A15287" s="7"/>
      <c r="B15287" s="7"/>
      <c r="M15287" s="9" t="s">
        <v>21</v>
      </c>
    </row>
    <row r="15288" ht="15.75" customHeight="1">
      <c r="A15288" s="7"/>
      <c r="B15288" s="7"/>
      <c r="M15288" s="9" t="s">
        <v>27</v>
      </c>
    </row>
    <row r="15289" ht="15.75" customHeight="1">
      <c r="A15289" s="7"/>
      <c r="B15289" s="7"/>
      <c r="M15289" s="9" t="s">
        <v>23</v>
      </c>
    </row>
    <row r="15290" ht="15.75" customHeight="1">
      <c r="A15290" s="7"/>
      <c r="B15290" s="7"/>
      <c r="M15290" s="9" t="s">
        <v>26</v>
      </c>
    </row>
    <row r="15291" ht="15.75" customHeight="1">
      <c r="A15291" s="7"/>
      <c r="B15291" s="7"/>
      <c r="M15291" s="9" t="s">
        <v>21</v>
      </c>
    </row>
    <row r="15292" ht="15.75" customHeight="1">
      <c r="A15292" s="7"/>
      <c r="B15292" s="7"/>
      <c r="M15292" s="9" t="s">
        <v>30</v>
      </c>
    </row>
    <row r="15293" ht="15.75" customHeight="1">
      <c r="A15293" s="7"/>
      <c r="B15293" s="7"/>
      <c r="M15293" s="9" t="s">
        <v>26</v>
      </c>
    </row>
    <row r="15294" ht="15.75" customHeight="1">
      <c r="A15294" s="7"/>
      <c r="B15294" s="7"/>
      <c r="M15294" s="9" t="s">
        <v>24</v>
      </c>
    </row>
    <row r="15295" ht="15.75" customHeight="1">
      <c r="A15295" s="7"/>
      <c r="B15295" s="7"/>
      <c r="M15295" s="9" t="s">
        <v>20</v>
      </c>
    </row>
    <row r="15296" ht="15.75" customHeight="1">
      <c r="A15296" s="7"/>
      <c r="B15296" s="7"/>
      <c r="M15296" s="9" t="s">
        <v>21</v>
      </c>
    </row>
    <row r="15297" ht="15.75" customHeight="1">
      <c r="A15297" s="7"/>
      <c r="B15297" s="7"/>
      <c r="M15297" s="9" t="s">
        <v>37</v>
      </c>
    </row>
    <row r="15298" ht="15.75" customHeight="1">
      <c r="A15298" s="7"/>
      <c r="B15298" s="7"/>
      <c r="M15298" s="9" t="s">
        <v>22</v>
      </c>
    </row>
    <row r="15299" ht="15.75" customHeight="1">
      <c r="A15299" s="7"/>
      <c r="B15299" s="7"/>
      <c r="M15299" s="9" t="s">
        <v>27</v>
      </c>
    </row>
    <row r="15300" ht="15.75" customHeight="1">
      <c r="A15300" s="7"/>
      <c r="B15300" s="7"/>
      <c r="M15300" s="9" t="s">
        <v>30</v>
      </c>
    </row>
    <row r="15301" ht="15.75" customHeight="1">
      <c r="A15301" s="7"/>
      <c r="B15301" s="7"/>
      <c r="M15301" s="9" t="s">
        <v>21</v>
      </c>
    </row>
    <row r="15302" ht="15.75" customHeight="1">
      <c r="A15302" s="7"/>
      <c r="B15302" s="7"/>
      <c r="M15302" s="9" t="s">
        <v>37</v>
      </c>
    </row>
    <row r="15303" ht="15.75" customHeight="1">
      <c r="A15303" s="7"/>
      <c r="B15303" s="7"/>
      <c r="M15303" s="9" t="s">
        <v>22</v>
      </c>
    </row>
    <row r="15304" ht="15.75" customHeight="1">
      <c r="A15304" s="7"/>
      <c r="B15304" s="7"/>
      <c r="M15304" s="9" t="s">
        <v>27</v>
      </c>
    </row>
    <row r="15305" ht="15.75" customHeight="1">
      <c r="A15305" s="7"/>
      <c r="B15305" s="7"/>
      <c r="M15305" s="9" t="s">
        <v>23</v>
      </c>
    </row>
    <row r="15306" ht="15.75" customHeight="1">
      <c r="A15306" s="7"/>
      <c r="B15306" s="7"/>
      <c r="M15306" s="9" t="s">
        <v>24</v>
      </c>
    </row>
    <row r="15307" ht="15.75" customHeight="1">
      <c r="A15307" s="7"/>
      <c r="B15307" s="7"/>
      <c r="M15307" s="9" t="s">
        <v>21</v>
      </c>
    </row>
    <row r="15308" ht="15.75" customHeight="1">
      <c r="A15308" s="7"/>
      <c r="B15308" s="7"/>
      <c r="M15308" s="9" t="s">
        <v>37</v>
      </c>
    </row>
    <row r="15309" ht="15.75" customHeight="1">
      <c r="A15309" s="7"/>
      <c r="B15309" s="7"/>
      <c r="M15309" s="9" t="s">
        <v>22</v>
      </c>
    </row>
    <row r="15310" ht="15.75" customHeight="1">
      <c r="A15310" s="7"/>
      <c r="B15310" s="7"/>
      <c r="M15310" s="9" t="s">
        <v>27</v>
      </c>
    </row>
    <row r="15311" ht="15.75" customHeight="1">
      <c r="A15311" s="7"/>
      <c r="B15311" s="7"/>
      <c r="M15311" s="9" t="s">
        <v>33</v>
      </c>
    </row>
    <row r="15312" ht="15.75" customHeight="1">
      <c r="A15312" s="7"/>
      <c r="B15312" s="7"/>
      <c r="M15312" s="9" t="s">
        <v>24</v>
      </c>
    </row>
    <row r="15313" ht="15.75" customHeight="1">
      <c r="A15313" s="7"/>
      <c r="B15313" s="7"/>
      <c r="M15313" s="9" t="s">
        <v>21</v>
      </c>
    </row>
    <row r="15314" ht="15.75" customHeight="1">
      <c r="A15314" s="7"/>
      <c r="B15314" s="7"/>
      <c r="M15314" s="9" t="s">
        <v>37</v>
      </c>
    </row>
    <row r="15315" ht="15.75" customHeight="1">
      <c r="A15315" s="7"/>
      <c r="B15315" s="7"/>
      <c r="M15315" s="9" t="s">
        <v>24</v>
      </c>
    </row>
    <row r="15316" ht="15.75" customHeight="1">
      <c r="A15316" s="7"/>
      <c r="B15316" s="7"/>
      <c r="M15316" s="9" t="s">
        <v>21</v>
      </c>
    </row>
    <row r="15317" ht="15.75" customHeight="1">
      <c r="A15317" s="7"/>
      <c r="B15317" s="7"/>
      <c r="M15317" s="9" t="s">
        <v>37</v>
      </c>
    </row>
    <row r="15318" ht="15.75" customHeight="1">
      <c r="A15318" s="7"/>
      <c r="B15318" s="7"/>
      <c r="M15318" s="9" t="s">
        <v>27</v>
      </c>
    </row>
    <row r="15319" ht="15.75" customHeight="1">
      <c r="A15319" s="7"/>
      <c r="B15319" s="7"/>
      <c r="M15319" s="9" t="s">
        <v>30</v>
      </c>
    </row>
    <row r="15320" ht="15.75" customHeight="1">
      <c r="A15320" s="7"/>
      <c r="B15320" s="7"/>
      <c r="M15320" s="9" t="s">
        <v>23</v>
      </c>
    </row>
    <row r="15321" ht="15.75" customHeight="1">
      <c r="A15321" s="7"/>
      <c r="B15321" s="7"/>
      <c r="M15321" s="9" t="s">
        <v>26</v>
      </c>
    </row>
    <row r="15322" ht="15.75" customHeight="1">
      <c r="A15322" s="7"/>
      <c r="B15322" s="7"/>
      <c r="M15322" s="9" t="s">
        <v>45</v>
      </c>
    </row>
    <row r="15323" ht="15.75" customHeight="1">
      <c r="A15323" s="7"/>
      <c r="B15323" s="7"/>
      <c r="M15323" s="9" t="s">
        <v>24</v>
      </c>
    </row>
    <row r="15324" ht="15.75" customHeight="1">
      <c r="A15324" s="7"/>
      <c r="B15324" s="7"/>
      <c r="M15324" s="9" t="s">
        <v>27</v>
      </c>
    </row>
    <row r="15325" ht="15.75" customHeight="1">
      <c r="A15325" s="7"/>
      <c r="B15325" s="7"/>
      <c r="M15325" s="9" t="s">
        <v>33</v>
      </c>
    </row>
    <row r="15326" ht="15.75" customHeight="1">
      <c r="A15326" s="7"/>
      <c r="B15326" s="7"/>
      <c r="M15326" s="9" t="s">
        <v>26</v>
      </c>
    </row>
    <row r="15327" ht="15.75" customHeight="1">
      <c r="A15327" s="7"/>
      <c r="B15327" s="7"/>
      <c r="M15327" s="9" t="s">
        <v>24</v>
      </c>
    </row>
    <row r="15328" ht="15.75" customHeight="1">
      <c r="A15328" s="7"/>
      <c r="B15328" s="7"/>
      <c r="M15328" s="9" t="s">
        <v>21</v>
      </c>
    </row>
    <row r="15329" ht="15.75" customHeight="1">
      <c r="A15329" s="7"/>
      <c r="B15329" s="7"/>
      <c r="M15329" s="9" t="s">
        <v>27</v>
      </c>
    </row>
    <row r="15330" ht="15.75" customHeight="1">
      <c r="A15330" s="7"/>
      <c r="B15330" s="7"/>
      <c r="M15330" s="9" t="s">
        <v>33</v>
      </c>
    </row>
    <row r="15331" ht="15.75" customHeight="1">
      <c r="A15331" s="7"/>
      <c r="B15331" s="7"/>
      <c r="M15331" s="9" t="s">
        <v>30</v>
      </c>
    </row>
    <row r="15332" ht="15.75" customHeight="1">
      <c r="A15332" s="7"/>
      <c r="B15332" s="7"/>
      <c r="M15332" s="9" t="s">
        <v>26</v>
      </c>
    </row>
    <row r="15333" ht="15.75" customHeight="1">
      <c r="A15333" s="7"/>
      <c r="B15333" s="7"/>
      <c r="M15333" s="9" t="s">
        <v>21</v>
      </c>
    </row>
    <row r="15334" ht="15.75" customHeight="1">
      <c r="A15334" s="7"/>
      <c r="B15334" s="7"/>
      <c r="M15334" s="9" t="s">
        <v>37</v>
      </c>
    </row>
    <row r="15335" ht="15.75" customHeight="1">
      <c r="A15335" s="7"/>
      <c r="B15335" s="7"/>
      <c r="M15335" s="9" t="s">
        <v>27</v>
      </c>
    </row>
    <row r="15336" ht="15.75" customHeight="1">
      <c r="A15336" s="7"/>
      <c r="B15336" s="7"/>
      <c r="M15336" s="9" t="s">
        <v>28</v>
      </c>
    </row>
    <row r="15337" ht="15.75" customHeight="1">
      <c r="A15337" s="7"/>
      <c r="B15337" s="7"/>
      <c r="M15337" s="9" t="s">
        <v>25</v>
      </c>
    </row>
    <row r="15338" ht="15.75" customHeight="1">
      <c r="A15338" s="7"/>
      <c r="B15338" s="7"/>
      <c r="M15338" s="9" t="s">
        <v>23</v>
      </c>
    </row>
    <row r="15339" ht="15.75" customHeight="1">
      <c r="A15339" s="7"/>
      <c r="B15339" s="7"/>
      <c r="M15339" s="9" t="s">
        <v>26</v>
      </c>
    </row>
    <row r="15340" ht="15.75" customHeight="1">
      <c r="A15340" s="7"/>
      <c r="B15340" s="7"/>
      <c r="M15340" s="9" t="s">
        <v>20</v>
      </c>
    </row>
    <row r="15341" ht="15.75" customHeight="1">
      <c r="A15341" s="7"/>
      <c r="B15341" s="7"/>
      <c r="M15341" s="9" t="s">
        <v>22</v>
      </c>
    </row>
    <row r="15342" ht="15.75" customHeight="1">
      <c r="A15342" s="7"/>
      <c r="B15342" s="7"/>
      <c r="M15342" s="9" t="s">
        <v>29</v>
      </c>
    </row>
    <row r="15343" ht="15.75" customHeight="1">
      <c r="A15343" s="7"/>
      <c r="B15343" s="7"/>
      <c r="M15343" s="9" t="s">
        <v>44</v>
      </c>
    </row>
    <row r="15344" ht="15.75" customHeight="1">
      <c r="A15344" s="7"/>
      <c r="B15344" s="7"/>
      <c r="M15344" s="9" t="s">
        <v>43</v>
      </c>
    </row>
    <row r="15345" ht="15.75" customHeight="1">
      <c r="A15345" s="7"/>
      <c r="B15345" s="7"/>
      <c r="M15345" s="9" t="s">
        <v>22</v>
      </c>
    </row>
    <row r="15346" ht="15.75" customHeight="1">
      <c r="A15346" s="7"/>
      <c r="B15346" s="7"/>
      <c r="M15346" s="9" t="s">
        <v>35</v>
      </c>
    </row>
    <row r="15347" ht="15.75" customHeight="1">
      <c r="A15347" s="7"/>
      <c r="B15347" s="7"/>
      <c r="M15347" s="9" t="s">
        <v>20</v>
      </c>
    </row>
    <row r="15348" ht="15.75" customHeight="1">
      <c r="A15348" s="7"/>
      <c r="B15348" s="7"/>
      <c r="M15348" s="9" t="s">
        <v>22</v>
      </c>
    </row>
    <row r="15349" ht="15.75" customHeight="1">
      <c r="A15349" s="7"/>
      <c r="B15349" s="7"/>
      <c r="M15349" s="9" t="s">
        <v>27</v>
      </c>
    </row>
    <row r="15350" ht="15.75" customHeight="1">
      <c r="A15350" s="7"/>
      <c r="B15350" s="7"/>
      <c r="M15350" s="9" t="s">
        <v>38</v>
      </c>
    </row>
    <row r="15351" ht="15.75" customHeight="1">
      <c r="A15351" s="7"/>
      <c r="B15351" s="7"/>
      <c r="M15351" s="9" t="s">
        <v>25</v>
      </c>
    </row>
    <row r="15352" ht="15.75" customHeight="1">
      <c r="A15352" s="7"/>
      <c r="B15352" s="7"/>
      <c r="M15352" s="9" t="s">
        <v>26</v>
      </c>
    </row>
    <row r="15353" ht="15.75" customHeight="1">
      <c r="A15353" s="7"/>
      <c r="B15353" s="7"/>
      <c r="M15353" s="9" t="s">
        <v>24</v>
      </c>
    </row>
    <row r="15354" ht="15.75" customHeight="1">
      <c r="A15354" s="7"/>
      <c r="B15354" s="7"/>
      <c r="M15354" s="9" t="s">
        <v>21</v>
      </c>
    </row>
    <row r="15355" ht="15.75" customHeight="1">
      <c r="A15355" s="7"/>
      <c r="B15355" s="7"/>
      <c r="M15355" s="9" t="s">
        <v>27</v>
      </c>
    </row>
    <row r="15356" ht="15.75" customHeight="1">
      <c r="A15356" s="7"/>
      <c r="B15356" s="7"/>
      <c r="M15356" s="9" t="s">
        <v>30</v>
      </c>
    </row>
    <row r="15357" ht="15.75" customHeight="1">
      <c r="A15357" s="7"/>
      <c r="B15357" s="7"/>
      <c r="M15357" s="9" t="s">
        <v>25</v>
      </c>
    </row>
    <row r="15358" ht="15.75" customHeight="1">
      <c r="A15358" s="7"/>
      <c r="B15358" s="7"/>
      <c r="M15358" s="9" t="s">
        <v>26</v>
      </c>
    </row>
    <row r="15359" ht="15.75" customHeight="1">
      <c r="A15359" s="7"/>
      <c r="B15359" s="7"/>
      <c r="M15359" s="9" t="s">
        <v>36</v>
      </c>
    </row>
    <row r="15360" ht="15.75" customHeight="1">
      <c r="A15360" s="7"/>
      <c r="B15360" s="7"/>
      <c r="M15360" s="9" t="s">
        <v>21</v>
      </c>
    </row>
    <row r="15361" ht="15.75" customHeight="1">
      <c r="A15361" s="7"/>
      <c r="B15361" s="7"/>
      <c r="M15361" s="9" t="s">
        <v>22</v>
      </c>
    </row>
    <row r="15362" ht="15.75" customHeight="1">
      <c r="A15362" s="7"/>
      <c r="B15362" s="7"/>
      <c r="M15362" s="9" t="s">
        <v>31</v>
      </c>
    </row>
    <row r="15363" ht="15.75" customHeight="1">
      <c r="A15363" s="7"/>
      <c r="B15363" s="7"/>
      <c r="M15363" s="9" t="s">
        <v>25</v>
      </c>
    </row>
    <row r="15364" ht="15.75" customHeight="1">
      <c r="A15364" s="7"/>
      <c r="B15364" s="7"/>
      <c r="M15364" s="9" t="s">
        <v>24</v>
      </c>
    </row>
    <row r="15365" ht="15.75" customHeight="1">
      <c r="A15365" s="7"/>
      <c r="B15365" s="7"/>
      <c r="M15365" s="9" t="s">
        <v>20</v>
      </c>
    </row>
    <row r="15366" ht="15.75" customHeight="1">
      <c r="A15366" s="7"/>
      <c r="B15366" s="7"/>
      <c r="M15366" s="9" t="s">
        <v>21</v>
      </c>
    </row>
    <row r="15367" ht="15.75" customHeight="1">
      <c r="A15367" s="7"/>
      <c r="B15367" s="7"/>
      <c r="M15367" s="9" t="s">
        <v>22</v>
      </c>
    </row>
    <row r="15368" ht="15.75" customHeight="1">
      <c r="A15368" s="7"/>
      <c r="B15368" s="7"/>
      <c r="M15368" s="9" t="s">
        <v>33</v>
      </c>
    </row>
    <row r="15369" ht="15.75" customHeight="1">
      <c r="A15369" s="7"/>
      <c r="B15369" s="7"/>
      <c r="M15369" s="9" t="s">
        <v>25</v>
      </c>
    </row>
    <row r="15370" ht="15.75" customHeight="1">
      <c r="A15370" s="7"/>
      <c r="B15370" s="7"/>
      <c r="M15370" s="9" t="s">
        <v>23</v>
      </c>
    </row>
    <row r="15371" ht="15.75" customHeight="1">
      <c r="A15371" s="7"/>
      <c r="B15371" s="7"/>
      <c r="M15371" s="9" t="s">
        <v>20</v>
      </c>
    </row>
    <row r="15372" ht="15.75" customHeight="1">
      <c r="A15372" s="7"/>
      <c r="B15372" s="7"/>
      <c r="M15372" s="9" t="s">
        <v>39</v>
      </c>
    </row>
    <row r="15373" ht="15.75" customHeight="1">
      <c r="A15373" s="7"/>
      <c r="B15373" s="7"/>
      <c r="M15373" s="9" t="s">
        <v>41</v>
      </c>
    </row>
    <row r="15374" ht="15.75" customHeight="1">
      <c r="A15374" s="7"/>
      <c r="B15374" s="7"/>
      <c r="M15374" s="9" t="s">
        <v>22</v>
      </c>
    </row>
    <row r="15375" ht="15.75" customHeight="1">
      <c r="A15375" s="7"/>
      <c r="B15375" s="7"/>
      <c r="M15375" s="9" t="s">
        <v>40</v>
      </c>
    </row>
    <row r="15376" ht="15.75" customHeight="1">
      <c r="A15376" s="7"/>
      <c r="B15376" s="7"/>
      <c r="M15376" s="9" t="s">
        <v>41</v>
      </c>
    </row>
    <row r="15377" ht="15.75" customHeight="1">
      <c r="A15377" s="7"/>
      <c r="B15377" s="7"/>
      <c r="M15377" s="9" t="s">
        <v>40</v>
      </c>
    </row>
    <row r="15378" ht="15.75" customHeight="1">
      <c r="A15378" s="7"/>
      <c r="B15378" s="7"/>
      <c r="M15378" s="9" t="s">
        <v>30</v>
      </c>
    </row>
    <row r="15379" ht="15.75" customHeight="1">
      <c r="A15379" s="7"/>
      <c r="B15379" s="7"/>
      <c r="M15379" s="9" t="s">
        <v>25</v>
      </c>
    </row>
    <row r="15380" ht="15.75" customHeight="1">
      <c r="A15380" s="7"/>
      <c r="B15380" s="7"/>
      <c r="M15380" s="9" t="s">
        <v>24</v>
      </c>
    </row>
    <row r="15381" ht="15.75" customHeight="1">
      <c r="A15381" s="7"/>
      <c r="B15381" s="7"/>
      <c r="M15381" s="9" t="s">
        <v>20</v>
      </c>
    </row>
    <row r="15382" ht="15.75" customHeight="1">
      <c r="A15382" s="7"/>
      <c r="B15382" s="7"/>
      <c r="M15382" s="9" t="s">
        <v>21</v>
      </c>
    </row>
    <row r="15383" ht="15.75" customHeight="1">
      <c r="A15383" s="7"/>
      <c r="B15383" s="7"/>
      <c r="M15383" s="9" t="s">
        <v>22</v>
      </c>
    </row>
    <row r="15384" ht="15.75" customHeight="1">
      <c r="A15384" s="7"/>
      <c r="B15384" s="7"/>
      <c r="M15384" s="9" t="s">
        <v>27</v>
      </c>
    </row>
    <row r="15385" ht="15.75" customHeight="1">
      <c r="A15385" s="7"/>
      <c r="B15385" s="7"/>
      <c r="M15385" s="9" t="s">
        <v>26</v>
      </c>
    </row>
    <row r="15386" ht="15.75" customHeight="1">
      <c r="A15386" s="7"/>
      <c r="B15386" s="7"/>
      <c r="M15386" s="9" t="s">
        <v>24</v>
      </c>
    </row>
    <row r="15387" ht="15.75" customHeight="1">
      <c r="A15387" s="7"/>
      <c r="B15387" s="7"/>
      <c r="M15387" s="9" t="s">
        <v>20</v>
      </c>
    </row>
    <row r="15388" ht="15.75" customHeight="1">
      <c r="A15388" s="7"/>
      <c r="B15388" s="7"/>
      <c r="M15388" s="9" t="s">
        <v>21</v>
      </c>
    </row>
    <row r="15389" ht="15.75" customHeight="1">
      <c r="A15389" s="7"/>
      <c r="B15389" s="7"/>
      <c r="M15389" s="9" t="s">
        <v>46</v>
      </c>
    </row>
    <row r="15390" ht="15.75" customHeight="1">
      <c r="A15390" s="7"/>
      <c r="B15390" s="7"/>
      <c r="M15390" s="9" t="s">
        <v>27</v>
      </c>
    </row>
    <row r="15391" ht="15.75" customHeight="1">
      <c r="A15391" s="7"/>
      <c r="B15391" s="7"/>
      <c r="M15391" s="9" t="s">
        <v>30</v>
      </c>
    </row>
    <row r="15392" ht="15.75" customHeight="1">
      <c r="A15392" s="7"/>
      <c r="B15392" s="7"/>
      <c r="M15392" s="9" t="s">
        <v>25</v>
      </c>
    </row>
    <row r="15393" ht="15.75" customHeight="1">
      <c r="A15393" s="7"/>
      <c r="B15393" s="7"/>
      <c r="M15393" s="9" t="s">
        <v>23</v>
      </c>
    </row>
    <row r="15394" ht="15.75" customHeight="1">
      <c r="A15394" s="7"/>
      <c r="B15394" s="7"/>
      <c r="M15394" s="9" t="s">
        <v>36</v>
      </c>
    </row>
    <row r="15395" ht="15.75" customHeight="1">
      <c r="A15395" s="7"/>
      <c r="B15395" s="7"/>
      <c r="M15395" s="9" t="s">
        <v>24</v>
      </c>
    </row>
    <row r="15396" ht="15.75" customHeight="1">
      <c r="A15396" s="7"/>
      <c r="B15396" s="7"/>
      <c r="M15396" s="9" t="s">
        <v>20</v>
      </c>
    </row>
    <row r="15397" ht="15.75" customHeight="1">
      <c r="A15397" s="7"/>
      <c r="B15397" s="7"/>
      <c r="M15397" s="9" t="s">
        <v>21</v>
      </c>
    </row>
    <row r="15398" ht="15.75" customHeight="1">
      <c r="A15398" s="7"/>
      <c r="B15398" s="7"/>
      <c r="M15398" s="9" t="s">
        <v>22</v>
      </c>
    </row>
    <row r="15399" ht="15.75" customHeight="1">
      <c r="A15399" s="7"/>
      <c r="B15399" s="7"/>
      <c r="M15399" s="9" t="s">
        <v>27</v>
      </c>
    </row>
    <row r="15400" ht="15.75" customHeight="1">
      <c r="A15400" s="7"/>
      <c r="B15400" s="7"/>
      <c r="M15400" s="9" t="s">
        <v>38</v>
      </c>
    </row>
    <row r="15401" ht="15.75" customHeight="1">
      <c r="A15401" s="7"/>
      <c r="B15401" s="7"/>
      <c r="M15401" s="9" t="s">
        <v>30</v>
      </c>
    </row>
    <row r="15402" ht="15.75" customHeight="1">
      <c r="A15402" s="7"/>
      <c r="B15402" s="7"/>
      <c r="M15402" s="9" t="s">
        <v>25</v>
      </c>
    </row>
    <row r="15403" ht="15.75" customHeight="1">
      <c r="A15403" s="7"/>
      <c r="B15403" s="7"/>
      <c r="M15403" s="9" t="s">
        <v>23</v>
      </c>
    </row>
    <row r="15404" ht="15.75" customHeight="1">
      <c r="A15404" s="7"/>
      <c r="B15404" s="7"/>
      <c r="M15404" s="9" t="s">
        <v>26</v>
      </c>
    </row>
    <row r="15405" ht="15.75" customHeight="1">
      <c r="A15405" s="7"/>
      <c r="B15405" s="7"/>
      <c r="M15405" s="9" t="s">
        <v>24</v>
      </c>
    </row>
    <row r="15406" ht="15.75" customHeight="1">
      <c r="A15406" s="7"/>
      <c r="B15406" s="7"/>
      <c r="M15406" s="9" t="s">
        <v>20</v>
      </c>
    </row>
    <row r="15407" ht="15.75" customHeight="1">
      <c r="A15407" s="7"/>
      <c r="B15407" s="7"/>
      <c r="M15407" s="9" t="s">
        <v>21</v>
      </c>
    </row>
    <row r="15408" ht="15.75" customHeight="1">
      <c r="A15408" s="7"/>
      <c r="B15408" s="7"/>
      <c r="M15408" s="9" t="s">
        <v>22</v>
      </c>
    </row>
    <row r="15409" ht="15.75" customHeight="1">
      <c r="A15409" s="7"/>
      <c r="B15409" s="7"/>
      <c r="M15409" s="9" t="s">
        <v>30</v>
      </c>
    </row>
    <row r="15410" ht="15.75" customHeight="1">
      <c r="A15410" s="7"/>
      <c r="B15410" s="7"/>
      <c r="M15410" s="9" t="s">
        <v>24</v>
      </c>
    </row>
    <row r="15411" ht="15.75" customHeight="1">
      <c r="A15411" s="7"/>
      <c r="B15411" s="7"/>
      <c r="M15411" s="9" t="s">
        <v>21</v>
      </c>
    </row>
    <row r="15412" ht="15.75" customHeight="1">
      <c r="A15412" s="7"/>
      <c r="B15412" s="7"/>
      <c r="M15412" s="9" t="s">
        <v>37</v>
      </c>
    </row>
    <row r="15413" ht="15.75" customHeight="1">
      <c r="A15413" s="7"/>
      <c r="B15413" s="7"/>
      <c r="M15413" s="9" t="s">
        <v>22</v>
      </c>
    </row>
    <row r="15414" ht="15.75" customHeight="1">
      <c r="A15414" s="7"/>
      <c r="B15414" s="7"/>
      <c r="M15414" s="9" t="s">
        <v>27</v>
      </c>
    </row>
    <row r="15415" ht="15.75" customHeight="1">
      <c r="A15415" s="7"/>
      <c r="B15415" s="7"/>
      <c r="M15415" s="9" t="s">
        <v>26</v>
      </c>
    </row>
    <row r="15416" ht="15.75" customHeight="1">
      <c r="A15416" s="7"/>
      <c r="B15416" s="7"/>
      <c r="M15416" s="9" t="s">
        <v>24</v>
      </c>
    </row>
    <row r="15417" ht="15.75" customHeight="1">
      <c r="A15417" s="7"/>
      <c r="B15417" s="7"/>
      <c r="M15417" s="9" t="s">
        <v>20</v>
      </c>
    </row>
    <row r="15418" ht="15.75" customHeight="1">
      <c r="A15418" s="7"/>
      <c r="B15418" s="7"/>
      <c r="M15418" s="9" t="s">
        <v>21</v>
      </c>
    </row>
    <row r="15419" ht="15.75" customHeight="1">
      <c r="A15419" s="7"/>
      <c r="B15419" s="7"/>
      <c r="M15419" s="9" t="s">
        <v>37</v>
      </c>
    </row>
    <row r="15420" ht="15.75" customHeight="1">
      <c r="A15420" s="7"/>
      <c r="B15420" s="7"/>
      <c r="M15420" s="9" t="s">
        <v>27</v>
      </c>
    </row>
    <row r="15421" ht="15.75" customHeight="1">
      <c r="A15421" s="7"/>
      <c r="B15421" s="7"/>
      <c r="M15421" s="9" t="s">
        <v>26</v>
      </c>
    </row>
    <row r="15422" ht="15.75" customHeight="1">
      <c r="A15422" s="7"/>
      <c r="B15422" s="7"/>
      <c r="M15422" s="9" t="s">
        <v>23</v>
      </c>
    </row>
    <row r="15423" ht="15.75" customHeight="1">
      <c r="A15423" s="7"/>
      <c r="B15423" s="7"/>
      <c r="M15423" s="9" t="s">
        <v>26</v>
      </c>
    </row>
    <row r="15424" ht="15.75" customHeight="1">
      <c r="A15424" s="7"/>
      <c r="B15424" s="7"/>
      <c r="M15424" s="9" t="s">
        <v>24</v>
      </c>
    </row>
    <row r="15425" ht="15.75" customHeight="1">
      <c r="A15425" s="7"/>
      <c r="B15425" s="7"/>
      <c r="M15425" s="9" t="s">
        <v>20</v>
      </c>
    </row>
    <row r="15426" ht="15.75" customHeight="1">
      <c r="A15426" s="7"/>
      <c r="B15426" s="7"/>
      <c r="M15426" s="9" t="s">
        <v>21</v>
      </c>
    </row>
    <row r="15427" ht="15.75" customHeight="1">
      <c r="A15427" s="7"/>
      <c r="B15427" s="7"/>
      <c r="M15427" s="9" t="s">
        <v>37</v>
      </c>
    </row>
    <row r="15428" ht="15.75" customHeight="1">
      <c r="A15428" s="7"/>
      <c r="B15428" s="7"/>
      <c r="M15428" s="9" t="s">
        <v>22</v>
      </c>
    </row>
    <row r="15429" ht="15.75" customHeight="1">
      <c r="A15429" s="7"/>
      <c r="B15429" s="7"/>
      <c r="M15429" s="9" t="s">
        <v>31</v>
      </c>
    </row>
    <row r="15430" ht="15.75" customHeight="1">
      <c r="A15430" s="7"/>
      <c r="B15430" s="7"/>
      <c r="M15430" s="9" t="s">
        <v>27</v>
      </c>
    </row>
    <row r="15431" ht="15.75" customHeight="1">
      <c r="A15431" s="7"/>
      <c r="B15431" s="7"/>
      <c r="M15431" s="9" t="s">
        <v>21</v>
      </c>
    </row>
    <row r="15432" ht="15.75" customHeight="1">
      <c r="A15432" s="7"/>
      <c r="B15432" s="7"/>
      <c r="M15432" s="9" t="s">
        <v>22</v>
      </c>
    </row>
    <row r="15433" ht="15.75" customHeight="1">
      <c r="A15433" s="7"/>
      <c r="B15433" s="7"/>
      <c r="M15433" s="9" t="s">
        <v>25</v>
      </c>
    </row>
    <row r="15434" ht="15.75" customHeight="1">
      <c r="A15434" s="7"/>
      <c r="B15434" s="7"/>
      <c r="M15434" s="9" t="s">
        <v>23</v>
      </c>
    </row>
    <row r="15435" ht="15.75" customHeight="1">
      <c r="A15435" s="7"/>
      <c r="B15435" s="7"/>
      <c r="M15435" s="9" t="s">
        <v>24</v>
      </c>
    </row>
    <row r="15436" ht="15.75" customHeight="1">
      <c r="A15436" s="7"/>
      <c r="B15436" s="7"/>
      <c r="M15436" s="9" t="s">
        <v>21</v>
      </c>
    </row>
    <row r="15437" ht="15.75" customHeight="1">
      <c r="A15437" s="7"/>
      <c r="B15437" s="7"/>
      <c r="M15437" s="9" t="s">
        <v>27</v>
      </c>
    </row>
    <row r="15438" ht="15.75" customHeight="1">
      <c r="A15438" s="7"/>
      <c r="B15438" s="7"/>
      <c r="M15438" s="9" t="s">
        <v>40</v>
      </c>
    </row>
    <row r="15439" ht="15.75" customHeight="1">
      <c r="A15439" s="7"/>
      <c r="B15439" s="7"/>
      <c r="M15439" s="9" t="s">
        <v>23</v>
      </c>
    </row>
    <row r="15440" ht="15.75" customHeight="1">
      <c r="A15440" s="7"/>
      <c r="B15440" s="7"/>
      <c r="M15440" s="9" t="s">
        <v>30</v>
      </c>
    </row>
    <row r="15441" ht="15.75" customHeight="1">
      <c r="A15441" s="7"/>
      <c r="B15441" s="7"/>
      <c r="M15441" s="9" t="s">
        <v>26</v>
      </c>
    </row>
    <row r="15442" ht="15.75" customHeight="1">
      <c r="A15442" s="7"/>
      <c r="B15442" s="7"/>
      <c r="M15442" s="9" t="s">
        <v>24</v>
      </c>
    </row>
    <row r="15443" ht="15.75" customHeight="1">
      <c r="A15443" s="7"/>
      <c r="B15443" s="7"/>
      <c r="M15443" s="9" t="s">
        <v>20</v>
      </c>
    </row>
    <row r="15444" ht="15.75" customHeight="1">
      <c r="A15444" s="7"/>
      <c r="B15444" s="7"/>
      <c r="M15444" s="9" t="s">
        <v>21</v>
      </c>
    </row>
    <row r="15445" ht="15.75" customHeight="1">
      <c r="A15445" s="7"/>
      <c r="B15445" s="7"/>
      <c r="M15445" s="9" t="s">
        <v>31</v>
      </c>
    </row>
    <row r="15446" ht="15.75" customHeight="1">
      <c r="A15446" s="7"/>
      <c r="B15446" s="7"/>
      <c r="M15446" s="9" t="s">
        <v>30</v>
      </c>
    </row>
    <row r="15447" ht="15.75" customHeight="1">
      <c r="A15447" s="7"/>
      <c r="B15447" s="7"/>
      <c r="M15447" s="9" t="s">
        <v>44</v>
      </c>
    </row>
    <row r="15448" ht="15.75" customHeight="1">
      <c r="A15448" s="7"/>
      <c r="B15448" s="7"/>
      <c r="M15448" s="9" t="s">
        <v>24</v>
      </c>
    </row>
    <row r="15449" ht="15.75" customHeight="1">
      <c r="A15449" s="7"/>
      <c r="B15449" s="7"/>
      <c r="M15449" s="9" t="s">
        <v>20</v>
      </c>
    </row>
    <row r="15450" ht="15.75" customHeight="1">
      <c r="A15450" s="7"/>
      <c r="B15450" s="7"/>
      <c r="M15450" s="9" t="s">
        <v>21</v>
      </c>
    </row>
    <row r="15451" ht="15.75" customHeight="1">
      <c r="A15451" s="7"/>
      <c r="B15451" s="7"/>
      <c r="M15451" s="9" t="s">
        <v>22</v>
      </c>
    </row>
    <row r="15452" ht="15.75" customHeight="1">
      <c r="A15452" s="7"/>
      <c r="B15452" s="7"/>
      <c r="M15452" s="9" t="s">
        <v>31</v>
      </c>
    </row>
    <row r="15453" ht="15.75" customHeight="1">
      <c r="A15453" s="7"/>
      <c r="B15453" s="7"/>
      <c r="M15453" s="9" t="s">
        <v>27</v>
      </c>
    </row>
    <row r="15454" ht="15.75" customHeight="1">
      <c r="A15454" s="7"/>
      <c r="B15454" s="7"/>
      <c r="M15454" s="9" t="s">
        <v>25</v>
      </c>
    </row>
    <row r="15455" ht="15.75" customHeight="1">
      <c r="A15455" s="7"/>
      <c r="B15455" s="7"/>
      <c r="M15455" s="9" t="s">
        <v>26</v>
      </c>
    </row>
    <row r="15456" ht="15.75" customHeight="1">
      <c r="A15456" s="7"/>
      <c r="B15456" s="7"/>
      <c r="M15456" s="9" t="s">
        <v>24</v>
      </c>
    </row>
    <row r="15457" ht="15.75" customHeight="1">
      <c r="A15457" s="7"/>
      <c r="B15457" s="7"/>
      <c r="M15457" s="9" t="s">
        <v>22</v>
      </c>
    </row>
    <row r="15458" ht="15.75" customHeight="1">
      <c r="A15458" s="7"/>
      <c r="B15458" s="7"/>
      <c r="M15458" s="9" t="s">
        <v>29</v>
      </c>
    </row>
    <row r="15459" ht="15.75" customHeight="1">
      <c r="A15459" s="7"/>
      <c r="B15459" s="7"/>
      <c r="M15459" s="9" t="s">
        <v>27</v>
      </c>
    </row>
    <row r="15460" ht="15.75" customHeight="1">
      <c r="A15460" s="7"/>
      <c r="B15460" s="7"/>
      <c r="M15460" s="9" t="s">
        <v>34</v>
      </c>
    </row>
    <row r="15461" ht="15.75" customHeight="1">
      <c r="A15461" s="7"/>
      <c r="B15461" s="7"/>
      <c r="M15461" s="9" t="s">
        <v>25</v>
      </c>
    </row>
    <row r="15462" ht="15.75" customHeight="1">
      <c r="A15462" s="7"/>
      <c r="B15462" s="7"/>
      <c r="M15462" s="9" t="s">
        <v>23</v>
      </c>
    </row>
    <row r="15463" ht="15.75" customHeight="1">
      <c r="A15463" s="7"/>
      <c r="B15463" s="7"/>
      <c r="M15463" s="9" t="s">
        <v>21</v>
      </c>
    </row>
    <row r="15464" ht="15.75" customHeight="1">
      <c r="A15464" s="7"/>
      <c r="B15464" s="7"/>
      <c r="M15464" s="9" t="s">
        <v>41</v>
      </c>
    </row>
    <row r="15465" ht="15.75" customHeight="1">
      <c r="A15465" s="7"/>
      <c r="B15465" s="7"/>
      <c r="M15465" s="9" t="s">
        <v>40</v>
      </c>
    </row>
    <row r="15466" ht="15.75" customHeight="1">
      <c r="A15466" s="7"/>
      <c r="B15466" s="7"/>
      <c r="M15466" s="9" t="s">
        <v>33</v>
      </c>
    </row>
    <row r="15467" ht="15.75" customHeight="1">
      <c r="A15467" s="7"/>
      <c r="B15467" s="7"/>
      <c r="M15467" s="9" t="s">
        <v>30</v>
      </c>
    </row>
    <row r="15468" ht="15.75" customHeight="1">
      <c r="A15468" s="7"/>
      <c r="B15468" s="7"/>
      <c r="M15468" s="9" t="s">
        <v>25</v>
      </c>
    </row>
    <row r="15469" ht="15.75" customHeight="1">
      <c r="A15469" s="7"/>
      <c r="B15469" s="7"/>
      <c r="M15469" s="9" t="s">
        <v>23</v>
      </c>
    </row>
    <row r="15470" ht="15.75" customHeight="1">
      <c r="A15470" s="7"/>
      <c r="B15470" s="7"/>
      <c r="M15470" s="9" t="s">
        <v>24</v>
      </c>
    </row>
    <row r="15471" ht="15.75" customHeight="1">
      <c r="A15471" s="7"/>
      <c r="B15471" s="7"/>
      <c r="M15471" s="9" t="s">
        <v>20</v>
      </c>
    </row>
    <row r="15472" ht="15.75" customHeight="1">
      <c r="A15472" s="7"/>
      <c r="B15472" s="7"/>
      <c r="M15472" s="9" t="s">
        <v>21</v>
      </c>
    </row>
    <row r="15473" ht="15.75" customHeight="1">
      <c r="A15473" s="7"/>
      <c r="B15473" s="7"/>
      <c r="M15473" s="9" t="s">
        <v>37</v>
      </c>
    </row>
    <row r="15474" ht="15.75" customHeight="1">
      <c r="A15474" s="7"/>
      <c r="B15474" s="7"/>
      <c r="M15474" s="9" t="s">
        <v>22</v>
      </c>
    </row>
    <row r="15475" ht="15.75" customHeight="1">
      <c r="A15475" s="7"/>
      <c r="B15475" s="7"/>
      <c r="M15475" s="9" t="s">
        <v>27</v>
      </c>
    </row>
    <row r="15476" ht="15.75" customHeight="1">
      <c r="A15476" s="7"/>
      <c r="B15476" s="7"/>
      <c r="M15476" s="9" t="s">
        <v>28</v>
      </c>
    </row>
    <row r="15477" ht="15.75" customHeight="1">
      <c r="A15477" s="7"/>
      <c r="B15477" s="7"/>
      <c r="M15477" s="9" t="s">
        <v>42</v>
      </c>
    </row>
    <row r="15478" ht="15.75" customHeight="1">
      <c r="A15478" s="7"/>
      <c r="B15478" s="7"/>
      <c r="M15478" s="9" t="s">
        <v>43</v>
      </c>
    </row>
    <row r="15479" ht="15.75" customHeight="1">
      <c r="A15479" s="7"/>
      <c r="B15479" s="7"/>
      <c r="M15479" s="9" t="s">
        <v>36</v>
      </c>
    </row>
    <row r="15480" ht="15.75" customHeight="1">
      <c r="A15480" s="7"/>
      <c r="B15480" s="7"/>
      <c r="M15480" s="9" t="s">
        <v>22</v>
      </c>
    </row>
    <row r="15481" ht="15.75" customHeight="1">
      <c r="A15481" s="7"/>
      <c r="B15481" s="7"/>
      <c r="M15481" s="9" t="s">
        <v>32</v>
      </c>
    </row>
    <row r="15482" ht="15.75" customHeight="1">
      <c r="A15482" s="7"/>
      <c r="B15482" s="7"/>
      <c r="M15482" s="9" t="s">
        <v>26</v>
      </c>
    </row>
    <row r="15483" ht="15.75" customHeight="1">
      <c r="A15483" s="7"/>
      <c r="B15483" s="7"/>
      <c r="M15483" s="9" t="s">
        <v>24</v>
      </c>
    </row>
    <row r="15484" ht="15.75" customHeight="1">
      <c r="A15484" s="7"/>
      <c r="B15484" s="7"/>
      <c r="M15484" s="9" t="s">
        <v>21</v>
      </c>
    </row>
    <row r="15485" ht="15.75" customHeight="1">
      <c r="A15485" s="7"/>
      <c r="B15485" s="7"/>
      <c r="M15485" s="9" t="s">
        <v>22</v>
      </c>
    </row>
    <row r="15486" ht="15.75" customHeight="1">
      <c r="A15486" s="7"/>
      <c r="B15486" s="7"/>
      <c r="M15486" s="9" t="s">
        <v>26</v>
      </c>
    </row>
    <row r="15487" ht="15.75" customHeight="1">
      <c r="A15487" s="7"/>
      <c r="B15487" s="7"/>
      <c r="M15487" s="9" t="s">
        <v>24</v>
      </c>
    </row>
    <row r="15488" ht="15.75" customHeight="1">
      <c r="A15488" s="7"/>
      <c r="B15488" s="7"/>
      <c r="M15488" s="9" t="s">
        <v>20</v>
      </c>
    </row>
    <row r="15489" ht="15.75" customHeight="1">
      <c r="A15489" s="7"/>
      <c r="B15489" s="7"/>
      <c r="M15489" s="9" t="s">
        <v>21</v>
      </c>
    </row>
    <row r="15490" ht="15.75" customHeight="1">
      <c r="A15490" s="7"/>
      <c r="B15490" s="7"/>
      <c r="M15490" s="9" t="s">
        <v>20</v>
      </c>
    </row>
    <row r="15491" ht="15.75" customHeight="1">
      <c r="A15491" s="7"/>
      <c r="B15491" s="7"/>
      <c r="M15491" s="9" t="s">
        <v>27</v>
      </c>
    </row>
    <row r="15492" ht="15.75" customHeight="1">
      <c r="A15492" s="7"/>
      <c r="B15492" s="7"/>
      <c r="M15492" s="9" t="s">
        <v>47</v>
      </c>
    </row>
    <row r="15493" ht="15.75" customHeight="1">
      <c r="A15493" s="7"/>
      <c r="B15493" s="7"/>
      <c r="M15493" s="9" t="s">
        <v>20</v>
      </c>
    </row>
    <row r="15494" ht="15.75" customHeight="1">
      <c r="A15494" s="7"/>
      <c r="B15494" s="7"/>
      <c r="M15494" s="9" t="s">
        <v>39</v>
      </c>
    </row>
    <row r="15495" ht="15.75" customHeight="1">
      <c r="A15495" s="7"/>
      <c r="B15495" s="7"/>
      <c r="M15495" s="9" t="s">
        <v>41</v>
      </c>
    </row>
    <row r="15496" ht="15.75" customHeight="1">
      <c r="A15496" s="7"/>
      <c r="B15496" s="7"/>
      <c r="M15496" s="9" t="s">
        <v>22</v>
      </c>
    </row>
    <row r="15497" ht="15.75" customHeight="1">
      <c r="A15497" s="7"/>
      <c r="B15497" s="7"/>
      <c r="M15497" s="9" t="s">
        <v>40</v>
      </c>
    </row>
    <row r="15498" ht="15.75" customHeight="1">
      <c r="A15498" s="7"/>
      <c r="B15498" s="7"/>
      <c r="M15498" s="9" t="s">
        <v>21</v>
      </c>
    </row>
    <row r="15499" ht="15.75" customHeight="1">
      <c r="A15499" s="7"/>
      <c r="B15499" s="7"/>
      <c r="M15499" s="9" t="s">
        <v>37</v>
      </c>
    </row>
    <row r="15500" ht="15.75" customHeight="1">
      <c r="A15500" s="7"/>
      <c r="B15500" s="7"/>
      <c r="M15500" s="9" t="s">
        <v>24</v>
      </c>
    </row>
    <row r="15501" ht="15.75" customHeight="1">
      <c r="A15501" s="7"/>
      <c r="B15501" s="7"/>
      <c r="M15501" s="9" t="s">
        <v>21</v>
      </c>
    </row>
    <row r="15502" ht="15.75" customHeight="1">
      <c r="A15502" s="7"/>
      <c r="B15502" s="7"/>
      <c r="M15502" s="9" t="s">
        <v>30</v>
      </c>
    </row>
    <row r="15503" ht="15.75" customHeight="1">
      <c r="A15503" s="7"/>
      <c r="B15503" s="7"/>
      <c r="M15503" s="9" t="s">
        <v>36</v>
      </c>
    </row>
    <row r="15504" ht="15.75" customHeight="1">
      <c r="A15504" s="7"/>
      <c r="B15504" s="7"/>
      <c r="M15504" s="9" t="s">
        <v>24</v>
      </c>
    </row>
    <row r="15505" ht="15.75" customHeight="1">
      <c r="A15505" s="7"/>
      <c r="B15505" s="7"/>
      <c r="M15505" s="9" t="s">
        <v>21</v>
      </c>
    </row>
    <row r="15506" ht="15.75" customHeight="1">
      <c r="A15506" s="7"/>
      <c r="B15506" s="7"/>
      <c r="M15506" s="9" t="s">
        <v>22</v>
      </c>
    </row>
    <row r="15507" ht="15.75" customHeight="1">
      <c r="A15507" s="7"/>
      <c r="B15507" s="7"/>
      <c r="M15507" s="9" t="s">
        <v>32</v>
      </c>
    </row>
    <row r="15508" ht="15.75" customHeight="1">
      <c r="A15508" s="7"/>
      <c r="B15508" s="7"/>
      <c r="M15508" s="9" t="s">
        <v>27</v>
      </c>
    </row>
    <row r="15509" ht="15.75" customHeight="1">
      <c r="A15509" s="7"/>
      <c r="B15509" s="7"/>
      <c r="M15509" s="9" t="s">
        <v>22</v>
      </c>
    </row>
    <row r="15510" ht="15.75" customHeight="1">
      <c r="A15510" s="7"/>
      <c r="B15510" s="7"/>
      <c r="M15510" s="9" t="s">
        <v>29</v>
      </c>
    </row>
    <row r="15511" ht="15.75" customHeight="1">
      <c r="A15511" s="7"/>
      <c r="B15511" s="7"/>
      <c r="M15511" s="9" t="s">
        <v>27</v>
      </c>
    </row>
    <row r="15512" ht="15.75" customHeight="1">
      <c r="A15512" s="7"/>
      <c r="B15512" s="7"/>
      <c r="M15512" s="9" t="s">
        <v>30</v>
      </c>
    </row>
    <row r="15513" ht="15.75" customHeight="1">
      <c r="A15513" s="7"/>
      <c r="B15513" s="7"/>
      <c r="M15513" s="9" t="s">
        <v>24</v>
      </c>
    </row>
    <row r="15514" ht="15.75" customHeight="1">
      <c r="A15514" s="7"/>
      <c r="B15514" s="7"/>
      <c r="M15514" s="9" t="s">
        <v>21</v>
      </c>
    </row>
    <row r="15515" ht="15.75" customHeight="1">
      <c r="A15515" s="7"/>
      <c r="B15515" s="7"/>
      <c r="M15515" s="9" t="s">
        <v>37</v>
      </c>
    </row>
    <row r="15516" ht="15.75" customHeight="1">
      <c r="A15516" s="7"/>
      <c r="B15516" s="7"/>
      <c r="M15516" s="9" t="s">
        <v>22</v>
      </c>
    </row>
    <row r="15517" ht="15.75" customHeight="1">
      <c r="A15517" s="7"/>
      <c r="B15517" s="7"/>
      <c r="M15517" s="9" t="s">
        <v>27</v>
      </c>
    </row>
    <row r="15518" ht="15.75" customHeight="1">
      <c r="A15518" s="7"/>
      <c r="B15518" s="7"/>
      <c r="M15518" s="9" t="s">
        <v>30</v>
      </c>
    </row>
    <row r="15519" ht="15.75" customHeight="1">
      <c r="A15519" s="7"/>
      <c r="B15519" s="7"/>
      <c r="M15519" s="9" t="s">
        <v>23</v>
      </c>
    </row>
    <row r="15520" ht="15.75" customHeight="1">
      <c r="A15520" s="7"/>
      <c r="B15520" s="7"/>
      <c r="M15520" s="9" t="s">
        <v>24</v>
      </c>
    </row>
    <row r="15521" ht="15.75" customHeight="1">
      <c r="A15521" s="7"/>
      <c r="B15521" s="7"/>
      <c r="M15521" s="9" t="s">
        <v>20</v>
      </c>
    </row>
    <row r="15522" ht="15.75" customHeight="1">
      <c r="A15522" s="7"/>
      <c r="B15522" s="7"/>
      <c r="M15522" s="9" t="s">
        <v>21</v>
      </c>
    </row>
    <row r="15523" ht="15.75" customHeight="1">
      <c r="A15523" s="7"/>
      <c r="B15523" s="7"/>
      <c r="M15523" s="9" t="s">
        <v>37</v>
      </c>
    </row>
    <row r="15524" ht="15.75" customHeight="1">
      <c r="A15524" s="7"/>
      <c r="B15524" s="7"/>
      <c r="M15524" s="9" t="s">
        <v>27</v>
      </c>
    </row>
    <row r="15525" ht="15.75" customHeight="1">
      <c r="A15525" s="7"/>
      <c r="B15525" s="7"/>
      <c r="M15525" s="9" t="s">
        <v>24</v>
      </c>
    </row>
    <row r="15526" ht="15.75" customHeight="1">
      <c r="A15526" s="7"/>
      <c r="B15526" s="7"/>
      <c r="M15526" s="9" t="s">
        <v>20</v>
      </c>
    </row>
    <row r="15527" ht="15.75" customHeight="1">
      <c r="A15527" s="7"/>
      <c r="B15527" s="7"/>
      <c r="M15527" s="9" t="s">
        <v>21</v>
      </c>
    </row>
    <row r="15528" ht="15.75" customHeight="1">
      <c r="A15528" s="7"/>
      <c r="B15528" s="7"/>
      <c r="M15528" s="9" t="s">
        <v>27</v>
      </c>
    </row>
    <row r="15529" ht="15.75" customHeight="1">
      <c r="A15529" s="7"/>
      <c r="B15529" s="7"/>
      <c r="M15529" s="9" t="s">
        <v>30</v>
      </c>
    </row>
    <row r="15530" ht="15.75" customHeight="1">
      <c r="A15530" s="7"/>
      <c r="B15530" s="7"/>
      <c r="M15530" s="9" t="s">
        <v>25</v>
      </c>
    </row>
    <row r="15531" ht="15.75" customHeight="1">
      <c r="A15531" s="7"/>
      <c r="B15531" s="7"/>
      <c r="M15531" s="9" t="s">
        <v>37</v>
      </c>
    </row>
    <row r="15532" ht="15.75" customHeight="1">
      <c r="A15532" s="7"/>
      <c r="B15532" s="7"/>
      <c r="M15532" s="9" t="s">
        <v>30</v>
      </c>
    </row>
    <row r="15533" ht="15.75" customHeight="1">
      <c r="A15533" s="7"/>
      <c r="B15533" s="7"/>
      <c r="M15533" s="9" t="s">
        <v>25</v>
      </c>
    </row>
    <row r="15534" ht="15.75" customHeight="1">
      <c r="A15534" s="7"/>
      <c r="B15534" s="7"/>
      <c r="M15534" s="9" t="s">
        <v>23</v>
      </c>
    </row>
    <row r="15535" ht="15.75" customHeight="1">
      <c r="A15535" s="7"/>
      <c r="B15535" s="7"/>
      <c r="M15535" s="9" t="s">
        <v>20</v>
      </c>
    </row>
    <row r="15536" ht="15.75" customHeight="1">
      <c r="A15536" s="7"/>
      <c r="B15536" s="7"/>
      <c r="M15536" s="9" t="s">
        <v>22</v>
      </c>
    </row>
    <row r="15537" ht="15.75" customHeight="1">
      <c r="A15537" s="7"/>
      <c r="B15537" s="7"/>
      <c r="M15537" s="9" t="s">
        <v>46</v>
      </c>
    </row>
    <row r="15538" ht="15.75" customHeight="1">
      <c r="A15538" s="7"/>
      <c r="B15538" s="7"/>
      <c r="M15538" s="9" t="s">
        <v>24</v>
      </c>
    </row>
    <row r="15539" ht="15.75" customHeight="1">
      <c r="A15539" s="7"/>
      <c r="B15539" s="7"/>
      <c r="M15539" s="9" t="s">
        <v>20</v>
      </c>
    </row>
    <row r="15540" ht="15.75" customHeight="1">
      <c r="A15540" s="7"/>
      <c r="B15540" s="7"/>
      <c r="M15540" s="9" t="s">
        <v>21</v>
      </c>
    </row>
    <row r="15541" ht="15.75" customHeight="1">
      <c r="A15541" s="7"/>
      <c r="B15541" s="7"/>
      <c r="M15541" s="9" t="s">
        <v>24</v>
      </c>
    </row>
    <row r="15542" ht="15.75" customHeight="1">
      <c r="A15542" s="7"/>
      <c r="B15542" s="7"/>
      <c r="M15542" s="9" t="s">
        <v>20</v>
      </c>
    </row>
    <row r="15543" ht="15.75" customHeight="1">
      <c r="A15543" s="7"/>
      <c r="B15543" s="7"/>
      <c r="M15543" s="9" t="s">
        <v>21</v>
      </c>
    </row>
    <row r="15544" ht="15.75" customHeight="1">
      <c r="A15544" s="7"/>
      <c r="B15544" s="7"/>
      <c r="M15544" s="9" t="s">
        <v>37</v>
      </c>
    </row>
    <row r="15545" ht="15.75" customHeight="1">
      <c r="A15545" s="7"/>
      <c r="B15545" s="7"/>
      <c r="M15545" s="9" t="s">
        <v>40</v>
      </c>
    </row>
    <row r="15546" ht="15.75" customHeight="1">
      <c r="A15546" s="7"/>
      <c r="B15546" s="7"/>
      <c r="M15546" s="9" t="s">
        <v>24</v>
      </c>
    </row>
    <row r="15547" ht="15.75" customHeight="1">
      <c r="A15547" s="7"/>
      <c r="B15547" s="7"/>
      <c r="M15547" s="9" t="s">
        <v>20</v>
      </c>
    </row>
    <row r="15548" ht="15.75" customHeight="1">
      <c r="A15548" s="7"/>
      <c r="B15548" s="7"/>
      <c r="M15548" s="9" t="s">
        <v>21</v>
      </c>
    </row>
    <row r="15549" ht="15.75" customHeight="1">
      <c r="A15549" s="7"/>
      <c r="B15549" s="7"/>
      <c r="M15549" s="9" t="s">
        <v>22</v>
      </c>
    </row>
    <row r="15550" ht="15.75" customHeight="1">
      <c r="A15550" s="7"/>
      <c r="B15550" s="7"/>
      <c r="M15550" s="9" t="s">
        <v>22</v>
      </c>
    </row>
    <row r="15551" ht="15.75" customHeight="1">
      <c r="A15551" s="7"/>
      <c r="B15551" s="7"/>
      <c r="M15551" s="9" t="s">
        <v>27</v>
      </c>
    </row>
    <row r="15552" ht="15.75" customHeight="1">
      <c r="A15552" s="7"/>
      <c r="B15552" s="7"/>
      <c r="M15552" s="9" t="s">
        <v>25</v>
      </c>
    </row>
    <row r="15553" ht="15.75" customHeight="1">
      <c r="A15553" s="7"/>
      <c r="B15553" s="7"/>
      <c r="M15553" s="9" t="s">
        <v>23</v>
      </c>
    </row>
    <row r="15554" ht="15.75" customHeight="1">
      <c r="A15554" s="7"/>
      <c r="B15554" s="7"/>
      <c r="M15554" s="9" t="s">
        <v>24</v>
      </c>
    </row>
    <row r="15555" ht="15.75" customHeight="1">
      <c r="A15555" s="7"/>
      <c r="B15555" s="7"/>
      <c r="M15555" s="9" t="s">
        <v>20</v>
      </c>
    </row>
    <row r="15556" ht="15.75" customHeight="1">
      <c r="A15556" s="7"/>
      <c r="B15556" s="7"/>
      <c r="M15556" s="9" t="s">
        <v>21</v>
      </c>
    </row>
    <row r="15557" ht="15.75" customHeight="1">
      <c r="A15557" s="7"/>
      <c r="B15557" s="7"/>
      <c r="M15557" s="9" t="s">
        <v>37</v>
      </c>
    </row>
    <row r="15558" ht="15.75" customHeight="1">
      <c r="A15558" s="7"/>
      <c r="B15558" s="7"/>
      <c r="M15558" s="9" t="s">
        <v>22</v>
      </c>
    </row>
    <row r="15559" ht="15.75" customHeight="1">
      <c r="A15559" s="7"/>
      <c r="B15559" s="7"/>
      <c r="M15559" s="9" t="s">
        <v>31</v>
      </c>
    </row>
    <row r="15560" ht="15.75" customHeight="1">
      <c r="A15560" s="7"/>
      <c r="B15560" s="7"/>
      <c r="M15560" s="9" t="s">
        <v>27</v>
      </c>
    </row>
    <row r="15561" ht="15.75" customHeight="1">
      <c r="A15561" s="7"/>
      <c r="B15561" s="7"/>
      <c r="M15561" s="9" t="s">
        <v>30</v>
      </c>
    </row>
    <row r="15562" ht="15.75" customHeight="1">
      <c r="A15562" s="7"/>
      <c r="B15562" s="7"/>
      <c r="M15562" s="9" t="s">
        <v>26</v>
      </c>
    </row>
    <row r="15563" ht="15.75" customHeight="1">
      <c r="A15563" s="7"/>
      <c r="B15563" s="7"/>
      <c r="M15563" s="9" t="s">
        <v>24</v>
      </c>
    </row>
    <row r="15564" ht="15.75" customHeight="1">
      <c r="A15564" s="7"/>
      <c r="B15564" s="7"/>
      <c r="M15564" s="9" t="s">
        <v>21</v>
      </c>
    </row>
    <row r="15565" ht="15.75" customHeight="1">
      <c r="A15565" s="7"/>
      <c r="B15565" s="7"/>
      <c r="M15565" s="9" t="s">
        <v>22</v>
      </c>
    </row>
    <row r="15566" ht="15.75" customHeight="1">
      <c r="A15566" s="7"/>
      <c r="B15566" s="7"/>
      <c r="M15566" s="9" t="s">
        <v>27</v>
      </c>
    </row>
    <row r="15567" ht="15.75" customHeight="1">
      <c r="A15567" s="7"/>
      <c r="B15567" s="7"/>
      <c r="M15567" s="9" t="s">
        <v>33</v>
      </c>
    </row>
    <row r="15568" ht="15.75" customHeight="1">
      <c r="A15568" s="7"/>
      <c r="B15568" s="7"/>
      <c r="M15568" s="9" t="s">
        <v>24</v>
      </c>
    </row>
    <row r="15569" ht="15.75" customHeight="1">
      <c r="A15569" s="7"/>
      <c r="B15569" s="7"/>
      <c r="M15569" s="9" t="s">
        <v>21</v>
      </c>
    </row>
    <row r="15570" ht="15.75" customHeight="1">
      <c r="A15570" s="7"/>
      <c r="B15570" s="7"/>
      <c r="M15570" s="9" t="s">
        <v>31</v>
      </c>
    </row>
    <row r="15571" ht="15.75" customHeight="1">
      <c r="A15571" s="7"/>
      <c r="B15571" s="7"/>
      <c r="M15571" s="9" t="s">
        <v>30</v>
      </c>
    </row>
    <row r="15572" ht="15.75" customHeight="1">
      <c r="A15572" s="7"/>
      <c r="B15572" s="7"/>
      <c r="M15572" s="9" t="s">
        <v>23</v>
      </c>
    </row>
    <row r="15573" ht="15.75" customHeight="1">
      <c r="A15573" s="7"/>
      <c r="B15573" s="7"/>
      <c r="M15573" s="9" t="s">
        <v>22</v>
      </c>
    </row>
    <row r="15574" ht="15.75" customHeight="1">
      <c r="A15574" s="7"/>
      <c r="B15574" s="7"/>
      <c r="M15574" s="9" t="s">
        <v>35</v>
      </c>
    </row>
    <row r="15575" ht="15.75" customHeight="1">
      <c r="A15575" s="7"/>
      <c r="B15575" s="7"/>
      <c r="M15575" s="9" t="s">
        <v>26</v>
      </c>
    </row>
    <row r="15576" ht="15.75" customHeight="1">
      <c r="A15576" s="7"/>
      <c r="B15576" s="7"/>
      <c r="M15576" s="9" t="s">
        <v>27</v>
      </c>
    </row>
    <row r="15577" ht="15.75" customHeight="1">
      <c r="A15577" s="7"/>
      <c r="B15577" s="7"/>
      <c r="M15577" s="9" t="s">
        <v>28</v>
      </c>
    </row>
    <row r="15578" ht="15.75" customHeight="1">
      <c r="A15578" s="7"/>
      <c r="B15578" s="7"/>
      <c r="M15578" s="9" t="s">
        <v>35</v>
      </c>
    </row>
    <row r="15579" ht="15.75" customHeight="1">
      <c r="A15579" s="7"/>
      <c r="B15579" s="7"/>
      <c r="M15579" s="9" t="s">
        <v>25</v>
      </c>
    </row>
    <row r="15580" ht="15.75" customHeight="1">
      <c r="A15580" s="7"/>
      <c r="B15580" s="7"/>
      <c r="M15580" s="9" t="s">
        <v>23</v>
      </c>
    </row>
    <row r="15581" ht="15.75" customHeight="1">
      <c r="A15581" s="7"/>
      <c r="B15581" s="7"/>
      <c r="M15581" s="9" t="s">
        <v>24</v>
      </c>
    </row>
    <row r="15582" ht="15.75" customHeight="1">
      <c r="A15582" s="7"/>
      <c r="B15582" s="7"/>
      <c r="M15582" s="9" t="s">
        <v>20</v>
      </c>
    </row>
    <row r="15583" ht="15.75" customHeight="1">
      <c r="A15583" s="7"/>
      <c r="B15583" s="7"/>
      <c r="M15583" s="9" t="s">
        <v>25</v>
      </c>
    </row>
    <row r="15584" ht="15.75" customHeight="1">
      <c r="A15584" s="7"/>
      <c r="B15584" s="7"/>
      <c r="M15584" s="9" t="s">
        <v>23</v>
      </c>
    </row>
    <row r="15585" ht="15.75" customHeight="1">
      <c r="A15585" s="7"/>
      <c r="B15585" s="7"/>
      <c r="M15585" s="9" t="s">
        <v>24</v>
      </c>
    </row>
    <row r="15586" ht="15.75" customHeight="1">
      <c r="A15586" s="7"/>
      <c r="B15586" s="7"/>
      <c r="M15586" s="9" t="s">
        <v>21</v>
      </c>
    </row>
    <row r="15587" ht="15.75" customHeight="1">
      <c r="A15587" s="7"/>
      <c r="B15587" s="7"/>
      <c r="M15587" s="9" t="s">
        <v>35</v>
      </c>
    </row>
    <row r="15588" ht="15.75" customHeight="1">
      <c r="A15588" s="7"/>
      <c r="B15588" s="7"/>
      <c r="M15588" s="9" t="s">
        <v>30</v>
      </c>
    </row>
    <row r="15589" ht="15.75" customHeight="1">
      <c r="A15589" s="7"/>
      <c r="B15589" s="7"/>
      <c r="M15589" s="9" t="s">
        <v>26</v>
      </c>
    </row>
    <row r="15590" ht="15.75" customHeight="1">
      <c r="A15590" s="7"/>
      <c r="B15590" s="7"/>
      <c r="M15590" s="9" t="s">
        <v>24</v>
      </c>
    </row>
    <row r="15591" ht="15.75" customHeight="1">
      <c r="A15591" s="7"/>
      <c r="B15591" s="7"/>
      <c r="M15591" s="9" t="s">
        <v>21</v>
      </c>
    </row>
    <row r="15592" ht="15.75" customHeight="1">
      <c r="A15592" s="7"/>
      <c r="B15592" s="7"/>
      <c r="M15592" s="9" t="s">
        <v>27</v>
      </c>
    </row>
    <row r="15593" ht="15.75" customHeight="1">
      <c r="A15593" s="7"/>
      <c r="B15593" s="7"/>
      <c r="M15593" s="9" t="s">
        <v>20</v>
      </c>
    </row>
    <row r="15594" ht="15.75" customHeight="1">
      <c r="A15594" s="7"/>
      <c r="B15594" s="7"/>
      <c r="M15594" s="9" t="s">
        <v>21</v>
      </c>
    </row>
    <row r="15595" ht="15.75" customHeight="1">
      <c r="A15595" s="7"/>
      <c r="B15595" s="7"/>
      <c r="M15595" s="9" t="s">
        <v>30</v>
      </c>
    </row>
    <row r="15596" ht="15.75" customHeight="1">
      <c r="A15596" s="7"/>
      <c r="B15596" s="7"/>
      <c r="M15596" s="9" t="s">
        <v>25</v>
      </c>
    </row>
    <row r="15597" ht="15.75" customHeight="1">
      <c r="A15597" s="7"/>
      <c r="B15597" s="7"/>
      <c r="M15597" s="9" t="s">
        <v>24</v>
      </c>
    </row>
    <row r="15598" ht="15.75" customHeight="1">
      <c r="A15598" s="7"/>
      <c r="B15598" s="7"/>
      <c r="M15598" s="9" t="s">
        <v>20</v>
      </c>
    </row>
    <row r="15599" ht="15.75" customHeight="1">
      <c r="A15599" s="7"/>
      <c r="B15599" s="7"/>
      <c r="M15599" s="9" t="s">
        <v>21</v>
      </c>
    </row>
    <row r="15600" ht="15.75" customHeight="1">
      <c r="A15600" s="7"/>
      <c r="B15600" s="7"/>
      <c r="M15600" s="9" t="s">
        <v>37</v>
      </c>
    </row>
    <row r="15601" ht="15.75" customHeight="1">
      <c r="A15601" s="7"/>
      <c r="B15601" s="7"/>
      <c r="M15601" s="9" t="s">
        <v>22</v>
      </c>
    </row>
    <row r="15602" ht="15.75" customHeight="1">
      <c r="A15602" s="7"/>
      <c r="B15602" s="7"/>
      <c r="M15602" s="9" t="s">
        <v>33</v>
      </c>
    </row>
    <row r="15603" ht="15.75" customHeight="1">
      <c r="A15603" s="7"/>
      <c r="B15603" s="7"/>
      <c r="M15603" s="9" t="s">
        <v>24</v>
      </c>
    </row>
    <row r="15604" ht="15.75" customHeight="1">
      <c r="A15604" s="7"/>
      <c r="B15604" s="7"/>
      <c r="M15604" s="9" t="s">
        <v>21</v>
      </c>
    </row>
    <row r="15605" ht="15.75" customHeight="1">
      <c r="A15605" s="7"/>
      <c r="B15605" s="7"/>
      <c r="M15605" s="9" t="s">
        <v>22</v>
      </c>
    </row>
    <row r="15606" ht="15.75" customHeight="1">
      <c r="A15606" s="7"/>
      <c r="B15606" s="7"/>
      <c r="M15606" s="9" t="s">
        <v>35</v>
      </c>
    </row>
    <row r="15607" ht="15.75" customHeight="1">
      <c r="A15607" s="7"/>
      <c r="B15607" s="7"/>
      <c r="M15607" s="9" t="s">
        <v>30</v>
      </c>
    </row>
    <row r="15608" ht="15.75" customHeight="1">
      <c r="A15608" s="7"/>
      <c r="B15608" s="7"/>
      <c r="M15608" s="9" t="s">
        <v>26</v>
      </c>
    </row>
    <row r="15609" ht="15.75" customHeight="1">
      <c r="A15609" s="7"/>
      <c r="B15609" s="7"/>
      <c r="M15609" s="9" t="s">
        <v>24</v>
      </c>
    </row>
    <row r="15610" ht="15.75" customHeight="1">
      <c r="A15610" s="7"/>
      <c r="B15610" s="7"/>
      <c r="M15610" s="9" t="s">
        <v>21</v>
      </c>
    </row>
    <row r="15611" ht="15.75" customHeight="1">
      <c r="A15611" s="7"/>
      <c r="B15611" s="7"/>
      <c r="M15611" s="9" t="s">
        <v>38</v>
      </c>
    </row>
    <row r="15612" ht="15.75" customHeight="1">
      <c r="A15612" s="7"/>
      <c r="B15612" s="7"/>
      <c r="M15612" s="9" t="s">
        <v>30</v>
      </c>
    </row>
    <row r="15613" ht="15.75" customHeight="1">
      <c r="A15613" s="7"/>
      <c r="B15613" s="7"/>
      <c r="M15613" s="9" t="s">
        <v>25</v>
      </c>
    </row>
    <row r="15614" ht="15.75" customHeight="1">
      <c r="A15614" s="7"/>
      <c r="B15614" s="7"/>
      <c r="M15614" s="9" t="s">
        <v>23</v>
      </c>
    </row>
    <row r="15615" ht="15.75" customHeight="1">
      <c r="A15615" s="7"/>
      <c r="B15615" s="7"/>
      <c r="M15615" s="9" t="s">
        <v>26</v>
      </c>
    </row>
    <row r="15616" ht="15.75" customHeight="1">
      <c r="A15616" s="7"/>
      <c r="B15616" s="7"/>
      <c r="M15616" s="9" t="s">
        <v>24</v>
      </c>
    </row>
    <row r="15617" ht="15.75" customHeight="1">
      <c r="A15617" s="7"/>
      <c r="B15617" s="7"/>
      <c r="M15617" s="9" t="s">
        <v>21</v>
      </c>
    </row>
    <row r="15618" ht="15.75" customHeight="1">
      <c r="A15618" s="7"/>
      <c r="B15618" s="7"/>
      <c r="M15618" s="9" t="s">
        <v>27</v>
      </c>
    </row>
    <row r="15619" ht="15.75" customHeight="1">
      <c r="A15619" s="7"/>
      <c r="B15619" s="7"/>
      <c r="M15619" s="9" t="s">
        <v>33</v>
      </c>
    </row>
    <row r="15620" ht="15.75" customHeight="1">
      <c r="A15620" s="7"/>
      <c r="B15620" s="7"/>
      <c r="M15620" s="9" t="s">
        <v>30</v>
      </c>
    </row>
    <row r="15621" ht="15.75" customHeight="1">
      <c r="A15621" s="7"/>
      <c r="B15621" s="7"/>
      <c r="M15621" s="9" t="s">
        <v>23</v>
      </c>
    </row>
    <row r="15622" ht="15.75" customHeight="1">
      <c r="A15622" s="7"/>
      <c r="B15622" s="7"/>
      <c r="M15622" s="9" t="s">
        <v>26</v>
      </c>
    </row>
    <row r="15623" ht="15.75" customHeight="1">
      <c r="A15623" s="7"/>
      <c r="B15623" s="7"/>
      <c r="M15623" s="9" t="s">
        <v>27</v>
      </c>
    </row>
    <row r="15624" ht="15.75" customHeight="1">
      <c r="A15624" s="7"/>
      <c r="B15624" s="7"/>
      <c r="M15624" s="9" t="s">
        <v>30</v>
      </c>
    </row>
    <row r="15625" ht="15.75" customHeight="1">
      <c r="A15625" s="7"/>
      <c r="B15625" s="7"/>
      <c r="M15625" s="9" t="s">
        <v>26</v>
      </c>
    </row>
    <row r="15626" ht="15.75" customHeight="1">
      <c r="A15626" s="7"/>
      <c r="B15626" s="7"/>
      <c r="M15626" s="9" t="s">
        <v>24</v>
      </c>
    </row>
    <row r="15627" ht="15.75" customHeight="1">
      <c r="A15627" s="7"/>
      <c r="B15627" s="7"/>
      <c r="M15627" s="9" t="s">
        <v>21</v>
      </c>
    </row>
    <row r="15628" ht="15.75" customHeight="1">
      <c r="A15628" s="7"/>
      <c r="B15628" s="7"/>
      <c r="M15628" s="9" t="s">
        <v>22</v>
      </c>
    </row>
    <row r="15629" ht="15.75" customHeight="1">
      <c r="A15629" s="7"/>
      <c r="B15629" s="7"/>
      <c r="M15629" s="9" t="s">
        <v>27</v>
      </c>
    </row>
    <row r="15630" ht="15.75" customHeight="1">
      <c r="A15630" s="7"/>
      <c r="B15630" s="7"/>
      <c r="M15630" s="9" t="s">
        <v>30</v>
      </c>
    </row>
    <row r="15631" ht="15.75" customHeight="1">
      <c r="A15631" s="7"/>
      <c r="B15631" s="7"/>
      <c r="M15631" s="9" t="s">
        <v>26</v>
      </c>
    </row>
    <row r="15632" ht="15.75" customHeight="1">
      <c r="A15632" s="7"/>
      <c r="B15632" s="7"/>
      <c r="M15632" s="9" t="s">
        <v>24</v>
      </c>
    </row>
    <row r="15633" ht="15.75" customHeight="1">
      <c r="A15633" s="7"/>
      <c r="B15633" s="7"/>
      <c r="M15633" s="9" t="s">
        <v>21</v>
      </c>
    </row>
    <row r="15634" ht="15.75" customHeight="1">
      <c r="A15634" s="7"/>
      <c r="B15634" s="7"/>
      <c r="M15634" s="9" t="s">
        <v>33</v>
      </c>
    </row>
    <row r="15635" ht="15.75" customHeight="1">
      <c r="A15635" s="7"/>
      <c r="B15635" s="7"/>
      <c r="M15635" s="9" t="s">
        <v>24</v>
      </c>
    </row>
    <row r="15636" ht="15.75" customHeight="1">
      <c r="A15636" s="7"/>
      <c r="B15636" s="7"/>
      <c r="M15636" s="9" t="s">
        <v>21</v>
      </c>
    </row>
    <row r="15637" ht="15.75" customHeight="1">
      <c r="A15637" s="7"/>
      <c r="B15637" s="7"/>
      <c r="M15637" s="9" t="s">
        <v>37</v>
      </c>
    </row>
    <row r="15638" ht="15.75" customHeight="1">
      <c r="A15638" s="7"/>
      <c r="B15638" s="7"/>
      <c r="M15638" s="9" t="s">
        <v>33</v>
      </c>
    </row>
    <row r="15639" ht="15.75" customHeight="1">
      <c r="A15639" s="7"/>
      <c r="B15639" s="7"/>
      <c r="M15639" s="9" t="s">
        <v>26</v>
      </c>
    </row>
    <row r="15640" ht="15.75" customHeight="1">
      <c r="A15640" s="7"/>
      <c r="B15640" s="7"/>
      <c r="M15640" s="9" t="s">
        <v>45</v>
      </c>
    </row>
    <row r="15641" ht="15.75" customHeight="1">
      <c r="A15641" s="7"/>
      <c r="B15641" s="7"/>
      <c r="M15641" s="9" t="s">
        <v>24</v>
      </c>
    </row>
    <row r="15642" ht="15.75" customHeight="1">
      <c r="A15642" s="7"/>
      <c r="B15642" s="7"/>
      <c r="M15642" s="9" t="s">
        <v>21</v>
      </c>
    </row>
    <row r="15643" ht="15.75" customHeight="1">
      <c r="A15643" s="7"/>
      <c r="B15643" s="7"/>
      <c r="M15643" s="9" t="s">
        <v>25</v>
      </c>
    </row>
    <row r="15644" ht="15.75" customHeight="1">
      <c r="A15644" s="7"/>
      <c r="B15644" s="7"/>
      <c r="M15644" s="9" t="s">
        <v>23</v>
      </c>
    </row>
    <row r="15645" ht="15.75" customHeight="1">
      <c r="A15645" s="7"/>
      <c r="B15645" s="7"/>
      <c r="M15645" s="9" t="s">
        <v>24</v>
      </c>
    </row>
    <row r="15646" ht="15.75" customHeight="1">
      <c r="A15646" s="7"/>
      <c r="B15646" s="7"/>
      <c r="M15646" s="9" t="s">
        <v>20</v>
      </c>
    </row>
    <row r="15647" ht="15.75" customHeight="1">
      <c r="A15647" s="7"/>
      <c r="B15647" s="7"/>
      <c r="M15647" s="9" t="s">
        <v>21</v>
      </c>
    </row>
    <row r="15648" ht="15.75" customHeight="1">
      <c r="A15648" s="7"/>
      <c r="B15648" s="7"/>
      <c r="M15648" s="9" t="s">
        <v>27</v>
      </c>
    </row>
    <row r="15649" ht="15.75" customHeight="1">
      <c r="A15649" s="7"/>
      <c r="B15649" s="7"/>
      <c r="M15649" s="9" t="s">
        <v>23</v>
      </c>
    </row>
    <row r="15650" ht="15.75" customHeight="1">
      <c r="A15650" s="7"/>
      <c r="B15650" s="7"/>
      <c r="M15650" s="9" t="s">
        <v>26</v>
      </c>
    </row>
    <row r="15651" ht="15.75" customHeight="1">
      <c r="A15651" s="7"/>
      <c r="B15651" s="7"/>
      <c r="M15651" s="9" t="s">
        <v>27</v>
      </c>
    </row>
    <row r="15652" ht="15.75" customHeight="1">
      <c r="A15652" s="7"/>
      <c r="B15652" s="7"/>
      <c r="M15652" s="9" t="s">
        <v>30</v>
      </c>
    </row>
    <row r="15653" ht="15.75" customHeight="1">
      <c r="A15653" s="7"/>
      <c r="B15653" s="7"/>
      <c r="M15653" s="9" t="s">
        <v>25</v>
      </c>
    </row>
    <row r="15654" ht="15.75" customHeight="1">
      <c r="A15654" s="7"/>
      <c r="B15654" s="7"/>
      <c r="M15654" s="9" t="s">
        <v>23</v>
      </c>
    </row>
    <row r="15655" ht="15.75" customHeight="1">
      <c r="A15655" s="7"/>
      <c r="B15655" s="7"/>
      <c r="M15655" s="9" t="s">
        <v>24</v>
      </c>
    </row>
    <row r="15656" ht="15.75" customHeight="1">
      <c r="A15656" s="7"/>
      <c r="B15656" s="7"/>
      <c r="M15656" s="9" t="s">
        <v>20</v>
      </c>
    </row>
    <row r="15657" ht="15.75" customHeight="1">
      <c r="A15657" s="7"/>
      <c r="B15657" s="7"/>
      <c r="M15657" s="9" t="s">
        <v>20</v>
      </c>
    </row>
    <row r="15658" ht="15.75" customHeight="1">
      <c r="A15658" s="7"/>
      <c r="B15658" s="7"/>
      <c r="M15658" s="9" t="s">
        <v>22</v>
      </c>
    </row>
    <row r="15659" ht="15.75" customHeight="1">
      <c r="A15659" s="7"/>
      <c r="B15659" s="7"/>
      <c r="M15659" s="9" t="s">
        <v>25</v>
      </c>
    </row>
    <row r="15660" ht="15.75" customHeight="1">
      <c r="A15660" s="7"/>
      <c r="B15660" s="7"/>
      <c r="M15660" s="9" t="s">
        <v>23</v>
      </c>
    </row>
    <row r="15661" ht="15.75" customHeight="1">
      <c r="A15661" s="7"/>
      <c r="B15661" s="7"/>
      <c r="M15661" s="9" t="s">
        <v>24</v>
      </c>
    </row>
    <row r="15662" ht="15.75" customHeight="1">
      <c r="A15662" s="7"/>
      <c r="B15662" s="7"/>
      <c r="M15662" s="9" t="s">
        <v>21</v>
      </c>
    </row>
    <row r="15663" ht="15.75" customHeight="1">
      <c r="A15663" s="7"/>
      <c r="B15663" s="7"/>
      <c r="M15663" s="9" t="s">
        <v>27</v>
      </c>
    </row>
    <row r="15664" ht="15.75" customHeight="1">
      <c r="A15664" s="7"/>
      <c r="B15664" s="7"/>
      <c r="M15664" s="9" t="s">
        <v>25</v>
      </c>
    </row>
    <row r="15665" ht="15.75" customHeight="1">
      <c r="A15665" s="7"/>
      <c r="B15665" s="7"/>
      <c r="M15665" s="9" t="s">
        <v>24</v>
      </c>
    </row>
    <row r="15666" ht="15.75" customHeight="1">
      <c r="A15666" s="7"/>
      <c r="B15666" s="7"/>
      <c r="M15666" s="9" t="s">
        <v>21</v>
      </c>
    </row>
    <row r="15667" ht="15.75" customHeight="1">
      <c r="A15667" s="7"/>
      <c r="B15667" s="7"/>
      <c r="M15667" s="9" t="s">
        <v>37</v>
      </c>
    </row>
    <row r="15668" ht="15.75" customHeight="1">
      <c r="A15668" s="7"/>
      <c r="B15668" s="7"/>
      <c r="M15668" s="9" t="s">
        <v>22</v>
      </c>
    </row>
    <row r="15669" ht="15.75" customHeight="1">
      <c r="A15669" s="7"/>
      <c r="B15669" s="7"/>
      <c r="M15669" s="9" t="s">
        <v>27</v>
      </c>
    </row>
    <row r="15670" ht="15.75" customHeight="1">
      <c r="A15670" s="7"/>
      <c r="B15670" s="7"/>
      <c r="M15670" s="9" t="s">
        <v>20</v>
      </c>
    </row>
    <row r="15671" ht="15.75" customHeight="1">
      <c r="A15671" s="7"/>
      <c r="B15671" s="7"/>
      <c r="M15671" s="9" t="s">
        <v>25</v>
      </c>
    </row>
    <row r="15672" ht="15.75" customHeight="1">
      <c r="A15672" s="7"/>
      <c r="B15672" s="7"/>
      <c r="M15672" s="9" t="s">
        <v>23</v>
      </c>
    </row>
    <row r="15673" ht="15.75" customHeight="1">
      <c r="A15673" s="7"/>
      <c r="B15673" s="7"/>
      <c r="M15673" s="9" t="s">
        <v>24</v>
      </c>
    </row>
    <row r="15674" ht="15.75" customHeight="1">
      <c r="A15674" s="7"/>
      <c r="B15674" s="7"/>
      <c r="M15674" s="9" t="s">
        <v>21</v>
      </c>
    </row>
    <row r="15675" ht="15.75" customHeight="1">
      <c r="A15675" s="7"/>
      <c r="B15675" s="7"/>
      <c r="M15675" s="9" t="s">
        <v>30</v>
      </c>
    </row>
    <row r="15676" ht="15.75" customHeight="1">
      <c r="A15676" s="7"/>
      <c r="B15676" s="7"/>
      <c r="M15676" s="9" t="s">
        <v>35</v>
      </c>
    </row>
    <row r="15677" ht="15.75" customHeight="1">
      <c r="A15677" s="7"/>
      <c r="B15677" s="7"/>
      <c r="M15677" s="9" t="s">
        <v>21</v>
      </c>
    </row>
    <row r="15678" ht="15.75" customHeight="1">
      <c r="A15678" s="7"/>
      <c r="B15678" s="7"/>
      <c r="M15678" s="9" t="s">
        <v>37</v>
      </c>
    </row>
    <row r="15679" ht="15.75" customHeight="1">
      <c r="A15679" s="7"/>
      <c r="B15679" s="7"/>
      <c r="M15679" s="9" t="s">
        <v>27</v>
      </c>
    </row>
    <row r="15680" ht="15.75" customHeight="1">
      <c r="A15680" s="7"/>
      <c r="B15680" s="7"/>
      <c r="M15680" s="9" t="s">
        <v>24</v>
      </c>
    </row>
    <row r="15681" ht="15.75" customHeight="1">
      <c r="A15681" s="7"/>
      <c r="B15681" s="7"/>
      <c r="M15681" s="9" t="s">
        <v>20</v>
      </c>
    </row>
    <row r="15682" ht="15.75" customHeight="1">
      <c r="A15682" s="7"/>
      <c r="B15682" s="7"/>
      <c r="M15682" s="9" t="s">
        <v>21</v>
      </c>
    </row>
    <row r="15683" ht="15.75" customHeight="1">
      <c r="A15683" s="7"/>
      <c r="B15683" s="7"/>
      <c r="M15683" s="9" t="s">
        <v>27</v>
      </c>
    </row>
    <row r="15684" ht="15.75" customHeight="1">
      <c r="A15684" s="7"/>
      <c r="B15684" s="7"/>
      <c r="M15684" s="9" t="s">
        <v>24</v>
      </c>
    </row>
    <row r="15685" ht="15.75" customHeight="1">
      <c r="A15685" s="7"/>
      <c r="B15685" s="7"/>
      <c r="M15685" s="9" t="s">
        <v>21</v>
      </c>
    </row>
    <row r="15686" ht="15.75" customHeight="1">
      <c r="A15686" s="7"/>
      <c r="B15686" s="7"/>
      <c r="M15686" s="9" t="s">
        <v>33</v>
      </c>
    </row>
    <row r="15687" ht="15.75" customHeight="1">
      <c r="A15687" s="7"/>
      <c r="B15687" s="7"/>
      <c r="M15687" s="9" t="s">
        <v>30</v>
      </c>
    </row>
    <row r="15688" ht="15.75" customHeight="1">
      <c r="A15688" s="7"/>
      <c r="B15688" s="7"/>
      <c r="M15688" s="9" t="s">
        <v>25</v>
      </c>
    </row>
    <row r="15689" ht="15.75" customHeight="1">
      <c r="A15689" s="7"/>
      <c r="B15689" s="7"/>
      <c r="M15689" s="9" t="s">
        <v>23</v>
      </c>
    </row>
    <row r="15690" ht="15.75" customHeight="1">
      <c r="A15690" s="7"/>
      <c r="B15690" s="7"/>
      <c r="M15690" s="9" t="s">
        <v>24</v>
      </c>
    </row>
    <row r="15691" ht="15.75" customHeight="1">
      <c r="A15691" s="7"/>
      <c r="B15691" s="7"/>
      <c r="M15691" s="9" t="s">
        <v>21</v>
      </c>
    </row>
    <row r="15692" ht="15.75" customHeight="1">
      <c r="A15692" s="7"/>
      <c r="B15692" s="7"/>
      <c r="M15692" s="9" t="s">
        <v>37</v>
      </c>
    </row>
    <row r="15693" ht="15.75" customHeight="1">
      <c r="A15693" s="7"/>
      <c r="B15693" s="7"/>
      <c r="M15693" s="9" t="s">
        <v>22</v>
      </c>
    </row>
    <row r="15694" ht="15.75" customHeight="1">
      <c r="A15694" s="7"/>
      <c r="B15694" s="7"/>
      <c r="M15694" s="9" t="s">
        <v>27</v>
      </c>
    </row>
    <row r="15695" ht="15.75" customHeight="1">
      <c r="A15695" s="7"/>
      <c r="B15695" s="7"/>
      <c r="M15695" s="9" t="s">
        <v>35</v>
      </c>
    </row>
    <row r="15696" ht="15.75" customHeight="1">
      <c r="A15696" s="7"/>
      <c r="B15696" s="7"/>
      <c r="M15696" s="9" t="s">
        <v>26</v>
      </c>
    </row>
    <row r="15697" ht="15.75" customHeight="1">
      <c r="A15697" s="7"/>
      <c r="B15697" s="7"/>
      <c r="M15697" s="9" t="s">
        <v>24</v>
      </c>
    </row>
    <row r="15698" ht="15.75" customHeight="1">
      <c r="A15698" s="7"/>
      <c r="B15698" s="7"/>
      <c r="M15698" s="9" t="s">
        <v>21</v>
      </c>
    </row>
    <row r="15699" ht="15.75" customHeight="1">
      <c r="A15699" s="7"/>
      <c r="B15699" s="7"/>
      <c r="M15699" s="9" t="s">
        <v>33</v>
      </c>
    </row>
    <row r="15700" ht="15.75" customHeight="1">
      <c r="A15700" s="7"/>
      <c r="B15700" s="7"/>
      <c r="M15700" s="9" t="s">
        <v>30</v>
      </c>
    </row>
    <row r="15701" ht="15.75" customHeight="1">
      <c r="A15701" s="7"/>
      <c r="B15701" s="7"/>
      <c r="M15701" s="9" t="s">
        <v>26</v>
      </c>
    </row>
    <row r="15702" ht="15.75" customHeight="1">
      <c r="A15702" s="7"/>
      <c r="B15702" s="7"/>
      <c r="M15702" s="9" t="s">
        <v>24</v>
      </c>
    </row>
    <row r="15703" ht="15.75" customHeight="1">
      <c r="A15703" s="7"/>
      <c r="B15703" s="7"/>
      <c r="M15703" s="9" t="s">
        <v>21</v>
      </c>
    </row>
    <row r="15704" ht="15.75" customHeight="1">
      <c r="A15704" s="7"/>
      <c r="B15704" s="7"/>
      <c r="M15704" s="9" t="s">
        <v>27</v>
      </c>
    </row>
    <row r="15705" ht="15.75" customHeight="1">
      <c r="A15705" s="7"/>
      <c r="B15705" s="7"/>
      <c r="M15705" s="9" t="s">
        <v>25</v>
      </c>
    </row>
    <row r="15706" ht="15.75" customHeight="1">
      <c r="A15706" s="7"/>
      <c r="B15706" s="7"/>
      <c r="M15706" s="9" t="s">
        <v>26</v>
      </c>
    </row>
    <row r="15707" ht="15.75" customHeight="1">
      <c r="A15707" s="7"/>
      <c r="B15707" s="7"/>
      <c r="M15707" s="9" t="s">
        <v>24</v>
      </c>
    </row>
    <row r="15708" ht="15.75" customHeight="1">
      <c r="A15708" s="7"/>
      <c r="B15708" s="7"/>
      <c r="M15708" s="9" t="s">
        <v>20</v>
      </c>
    </row>
    <row r="15709" ht="15.75" customHeight="1">
      <c r="A15709" s="7"/>
      <c r="B15709" s="7"/>
      <c r="M15709" s="9" t="s">
        <v>21</v>
      </c>
    </row>
    <row r="15710" ht="15.75" customHeight="1">
      <c r="A15710" s="7"/>
      <c r="B15710" s="7"/>
      <c r="M15710" s="9" t="s">
        <v>37</v>
      </c>
    </row>
    <row r="15711" ht="15.75" customHeight="1">
      <c r="A15711" s="7"/>
      <c r="B15711" s="7"/>
      <c r="M15711" s="9" t="s">
        <v>28</v>
      </c>
    </row>
    <row r="15712" ht="15.75" customHeight="1">
      <c r="A15712" s="7"/>
      <c r="B15712" s="7"/>
      <c r="M15712" s="9" t="s">
        <v>30</v>
      </c>
    </row>
    <row r="15713" ht="15.75" customHeight="1">
      <c r="A15713" s="7"/>
      <c r="B15713" s="7"/>
      <c r="M15713" s="9" t="s">
        <v>26</v>
      </c>
    </row>
    <row r="15714" ht="15.75" customHeight="1">
      <c r="A15714" s="7"/>
      <c r="B15714" s="7"/>
      <c r="M15714" s="9" t="s">
        <v>36</v>
      </c>
    </row>
    <row r="15715" ht="15.75" customHeight="1">
      <c r="A15715" s="7"/>
      <c r="B15715" s="7"/>
      <c r="M15715" s="9" t="s">
        <v>24</v>
      </c>
    </row>
    <row r="15716" ht="15.75" customHeight="1">
      <c r="A15716" s="7"/>
      <c r="B15716" s="7"/>
      <c r="M15716" s="9" t="s">
        <v>20</v>
      </c>
    </row>
    <row r="15717" ht="15.75" customHeight="1">
      <c r="A15717" s="7"/>
      <c r="B15717" s="7"/>
      <c r="M15717" s="9" t="s">
        <v>21</v>
      </c>
    </row>
    <row r="15718" ht="15.75" customHeight="1">
      <c r="A15718" s="7"/>
      <c r="B15718" s="7"/>
      <c r="M15718" s="9" t="s">
        <v>22</v>
      </c>
    </row>
    <row r="15719" ht="15.75" customHeight="1">
      <c r="A15719" s="7"/>
      <c r="B15719" s="7"/>
      <c r="M15719" s="9" t="s">
        <v>27</v>
      </c>
    </row>
    <row r="15720" ht="15.75" customHeight="1">
      <c r="A15720" s="7"/>
      <c r="B15720" s="7"/>
      <c r="M15720" s="9" t="s">
        <v>33</v>
      </c>
    </row>
    <row r="15721" ht="15.75" customHeight="1">
      <c r="A15721" s="7"/>
      <c r="B15721" s="7"/>
      <c r="M15721" s="9" t="s">
        <v>30</v>
      </c>
    </row>
    <row r="15722" ht="15.75" customHeight="1">
      <c r="A15722" s="7"/>
      <c r="B15722" s="7"/>
      <c r="M15722" s="9" t="s">
        <v>24</v>
      </c>
    </row>
    <row r="15723" ht="15.75" customHeight="1">
      <c r="A15723" s="7"/>
      <c r="B15723" s="7"/>
      <c r="M15723" s="9" t="s">
        <v>46</v>
      </c>
    </row>
    <row r="15724" ht="15.75" customHeight="1">
      <c r="A15724" s="7"/>
      <c r="B15724" s="7"/>
      <c r="M15724" s="9" t="s">
        <v>27</v>
      </c>
    </row>
    <row r="15725" ht="15.75" customHeight="1">
      <c r="A15725" s="7"/>
      <c r="B15725" s="7"/>
      <c r="M15725" s="9" t="s">
        <v>24</v>
      </c>
    </row>
    <row r="15726" ht="15.75" customHeight="1">
      <c r="A15726" s="7"/>
      <c r="B15726" s="7"/>
      <c r="M15726" s="9" t="s">
        <v>20</v>
      </c>
    </row>
    <row r="15727" ht="15.75" customHeight="1">
      <c r="A15727" s="7"/>
      <c r="B15727" s="7"/>
      <c r="M15727" s="9" t="s">
        <v>21</v>
      </c>
    </row>
    <row r="15728" ht="15.75" customHeight="1">
      <c r="A15728" s="7"/>
      <c r="B15728" s="7"/>
      <c r="M15728" s="9" t="s">
        <v>33</v>
      </c>
    </row>
    <row r="15729" ht="15.75" customHeight="1">
      <c r="A15729" s="7"/>
      <c r="B15729" s="7"/>
      <c r="M15729" s="9" t="s">
        <v>24</v>
      </c>
    </row>
    <row r="15730" ht="15.75" customHeight="1">
      <c r="A15730" s="7"/>
      <c r="B15730" s="7"/>
      <c r="M15730" s="9" t="s">
        <v>21</v>
      </c>
    </row>
    <row r="15731" ht="15.75" customHeight="1">
      <c r="A15731" s="7"/>
      <c r="B15731" s="7"/>
      <c r="M15731" s="9" t="s">
        <v>22</v>
      </c>
    </row>
    <row r="15732" ht="15.75" customHeight="1">
      <c r="A15732" s="7"/>
      <c r="B15732" s="7"/>
      <c r="M15732" s="9" t="s">
        <v>33</v>
      </c>
    </row>
    <row r="15733" ht="15.75" customHeight="1">
      <c r="A15733" s="7"/>
      <c r="B15733" s="7"/>
      <c r="M15733" s="9" t="s">
        <v>30</v>
      </c>
    </row>
    <row r="15734" ht="15.75" customHeight="1">
      <c r="A15734" s="7"/>
      <c r="B15734" s="7"/>
      <c r="M15734" s="9" t="s">
        <v>25</v>
      </c>
    </row>
    <row r="15735" ht="15.75" customHeight="1">
      <c r="A15735" s="7"/>
      <c r="B15735" s="7"/>
      <c r="M15735" s="9" t="s">
        <v>23</v>
      </c>
    </row>
    <row r="15736" ht="15.75" customHeight="1">
      <c r="A15736" s="7"/>
      <c r="B15736" s="7"/>
      <c r="M15736" s="9" t="s">
        <v>24</v>
      </c>
    </row>
    <row r="15737" ht="15.75" customHeight="1">
      <c r="A15737" s="7"/>
      <c r="B15737" s="7"/>
      <c r="M15737" s="9" t="s">
        <v>20</v>
      </c>
    </row>
    <row r="15738" ht="15.75" customHeight="1">
      <c r="A15738" s="7"/>
      <c r="B15738" s="7"/>
      <c r="M15738" s="9" t="s">
        <v>21</v>
      </c>
    </row>
    <row r="15739" ht="15.75" customHeight="1">
      <c r="A15739" s="7"/>
      <c r="B15739" s="7"/>
      <c r="M15739" s="9" t="s">
        <v>22</v>
      </c>
    </row>
    <row r="15740" ht="15.75" customHeight="1">
      <c r="A15740" s="7"/>
      <c r="B15740" s="7"/>
      <c r="M15740" s="9" t="s">
        <v>27</v>
      </c>
    </row>
    <row r="15741" ht="15.75" customHeight="1">
      <c r="A15741" s="7"/>
      <c r="B15741" s="7"/>
      <c r="M15741" s="9" t="s">
        <v>35</v>
      </c>
    </row>
    <row r="15742" ht="15.75" customHeight="1">
      <c r="A15742" s="7"/>
      <c r="B15742" s="7"/>
      <c r="M15742" s="9" t="s">
        <v>30</v>
      </c>
    </row>
    <row r="15743" ht="15.75" customHeight="1">
      <c r="A15743" s="7"/>
      <c r="B15743" s="7"/>
      <c r="M15743" s="9" t="s">
        <v>22</v>
      </c>
    </row>
    <row r="15744" ht="15.75" customHeight="1">
      <c r="A15744" s="7"/>
      <c r="B15744" s="7"/>
      <c r="M15744" s="9" t="s">
        <v>46</v>
      </c>
    </row>
    <row r="15745" ht="15.75" customHeight="1">
      <c r="A15745" s="7"/>
      <c r="B15745" s="7"/>
      <c r="M15745" s="9" t="s">
        <v>27</v>
      </c>
    </row>
    <row r="15746" ht="15.75" customHeight="1">
      <c r="A15746" s="7"/>
      <c r="B15746" s="7"/>
      <c r="M15746" s="9" t="s">
        <v>30</v>
      </c>
    </row>
    <row r="15747" ht="15.75" customHeight="1">
      <c r="A15747" s="7"/>
      <c r="B15747" s="7"/>
      <c r="M15747" s="9" t="s">
        <v>25</v>
      </c>
    </row>
    <row r="15748" ht="15.75" customHeight="1">
      <c r="A15748" s="7"/>
      <c r="B15748" s="7"/>
      <c r="M15748" s="9" t="s">
        <v>23</v>
      </c>
    </row>
    <row r="15749" ht="15.75" customHeight="1">
      <c r="A15749" s="7"/>
      <c r="B15749" s="7"/>
      <c r="M15749" s="9" t="s">
        <v>26</v>
      </c>
    </row>
    <row r="15750" ht="15.75" customHeight="1">
      <c r="A15750" s="7"/>
      <c r="B15750" s="7"/>
      <c r="M15750" s="9" t="s">
        <v>36</v>
      </c>
    </row>
    <row r="15751" ht="15.75" customHeight="1">
      <c r="A15751" s="7"/>
      <c r="B15751" s="7"/>
      <c r="M15751" s="9" t="s">
        <v>24</v>
      </c>
    </row>
    <row r="15752" ht="15.75" customHeight="1">
      <c r="A15752" s="7"/>
      <c r="B15752" s="7"/>
      <c r="M15752" s="9" t="s">
        <v>21</v>
      </c>
    </row>
    <row r="15753" ht="15.75" customHeight="1">
      <c r="A15753" s="7"/>
      <c r="B15753" s="7"/>
      <c r="M15753" s="9" t="s">
        <v>22</v>
      </c>
    </row>
    <row r="15754" ht="15.75" customHeight="1">
      <c r="A15754" s="7"/>
      <c r="B15754" s="7"/>
      <c r="M15754" s="9" t="s">
        <v>27</v>
      </c>
    </row>
    <row r="15755" ht="15.75" customHeight="1">
      <c r="A15755" s="7"/>
      <c r="B15755" s="7"/>
      <c r="M15755" s="9" t="s">
        <v>30</v>
      </c>
    </row>
    <row r="15756" ht="15.75" customHeight="1">
      <c r="A15756" s="7"/>
      <c r="B15756" s="7"/>
      <c r="M15756" s="9" t="s">
        <v>24</v>
      </c>
    </row>
    <row r="15757" ht="15.75" customHeight="1">
      <c r="A15757" s="7"/>
      <c r="B15757" s="7"/>
      <c r="M15757" s="9" t="s">
        <v>21</v>
      </c>
    </row>
    <row r="15758" ht="15.75" customHeight="1">
      <c r="A15758" s="7"/>
      <c r="B15758" s="7"/>
      <c r="M15758" s="9" t="s">
        <v>37</v>
      </c>
    </row>
    <row r="15759" ht="15.75" customHeight="1">
      <c r="A15759" s="7"/>
      <c r="B15759" s="7"/>
      <c r="M15759" s="9" t="s">
        <v>27</v>
      </c>
    </row>
    <row r="15760" ht="15.75" customHeight="1">
      <c r="A15760" s="7"/>
      <c r="B15760" s="7"/>
      <c r="M15760" s="9" t="s">
        <v>33</v>
      </c>
    </row>
    <row r="15761" ht="15.75" customHeight="1">
      <c r="A15761" s="7"/>
      <c r="B15761" s="7"/>
      <c r="M15761" s="9" t="s">
        <v>25</v>
      </c>
    </row>
    <row r="15762" ht="15.75" customHeight="1">
      <c r="A15762" s="7"/>
      <c r="B15762" s="7"/>
      <c r="M15762" s="9" t="s">
        <v>23</v>
      </c>
    </row>
    <row r="15763" ht="15.75" customHeight="1">
      <c r="A15763" s="7"/>
      <c r="B15763" s="7"/>
      <c r="M15763" s="9" t="s">
        <v>36</v>
      </c>
    </row>
    <row r="15764" ht="15.75" customHeight="1">
      <c r="A15764" s="7"/>
      <c r="B15764" s="7"/>
      <c r="M15764" s="9" t="s">
        <v>20</v>
      </c>
    </row>
    <row r="15765" ht="15.75" customHeight="1">
      <c r="A15765" s="7"/>
      <c r="B15765" s="7"/>
      <c r="M15765" s="9" t="s">
        <v>21</v>
      </c>
    </row>
    <row r="15766" ht="15.75" customHeight="1">
      <c r="A15766" s="7"/>
      <c r="B15766" s="7"/>
      <c r="M15766" s="9" t="s">
        <v>22</v>
      </c>
    </row>
    <row r="15767" ht="15.75" customHeight="1">
      <c r="A15767" s="7"/>
      <c r="B15767" s="7"/>
      <c r="M15767" s="9" t="s">
        <v>29</v>
      </c>
    </row>
    <row r="15768" ht="15.75" customHeight="1">
      <c r="A15768" s="7"/>
      <c r="B15768" s="7"/>
      <c r="M15768" s="9" t="s">
        <v>27</v>
      </c>
    </row>
    <row r="15769" ht="15.75" customHeight="1">
      <c r="A15769" s="7"/>
      <c r="B15769" s="7"/>
      <c r="M15769" s="9" t="s">
        <v>35</v>
      </c>
    </row>
    <row r="15770" ht="15.75" customHeight="1">
      <c r="A15770" s="7"/>
      <c r="B15770" s="7"/>
      <c r="M15770" s="9" t="s">
        <v>30</v>
      </c>
    </row>
    <row r="15771" ht="15.75" customHeight="1">
      <c r="A15771" s="7"/>
      <c r="B15771" s="7"/>
      <c r="M15771" s="9" t="s">
        <v>25</v>
      </c>
    </row>
    <row r="15772" ht="15.75" customHeight="1">
      <c r="A15772" s="7"/>
      <c r="B15772" s="7"/>
      <c r="M15772" s="9" t="s">
        <v>23</v>
      </c>
    </row>
    <row r="15773" ht="15.75" customHeight="1">
      <c r="A15773" s="7"/>
      <c r="B15773" s="7"/>
      <c r="M15773" s="9" t="s">
        <v>24</v>
      </c>
    </row>
    <row r="15774" ht="15.75" customHeight="1">
      <c r="A15774" s="7"/>
      <c r="B15774" s="7"/>
      <c r="M15774" s="9" t="s">
        <v>20</v>
      </c>
    </row>
    <row r="15775" ht="15.75" customHeight="1">
      <c r="A15775" s="7"/>
      <c r="B15775" s="7"/>
      <c r="M15775" s="9" t="s">
        <v>21</v>
      </c>
    </row>
    <row r="15776" ht="15.75" customHeight="1">
      <c r="A15776" s="7"/>
      <c r="B15776" s="7"/>
      <c r="M15776" s="9" t="s">
        <v>22</v>
      </c>
    </row>
    <row r="15777" ht="15.75" customHeight="1">
      <c r="A15777" s="7"/>
      <c r="B15777" s="7"/>
      <c r="M15777" s="9" t="s">
        <v>32</v>
      </c>
    </row>
    <row r="15778" ht="15.75" customHeight="1">
      <c r="A15778" s="7"/>
      <c r="B15778" s="7"/>
      <c r="M15778" s="9" t="s">
        <v>24</v>
      </c>
    </row>
    <row r="15779" ht="15.75" customHeight="1">
      <c r="A15779" s="7"/>
      <c r="B15779" s="7"/>
      <c r="M15779" s="9" t="s">
        <v>20</v>
      </c>
    </row>
    <row r="15780" ht="15.75" customHeight="1">
      <c r="A15780" s="7"/>
      <c r="B15780" s="7"/>
      <c r="M15780" s="9" t="s">
        <v>21</v>
      </c>
    </row>
    <row r="15781" ht="15.75" customHeight="1">
      <c r="A15781" s="7"/>
      <c r="B15781" s="7"/>
      <c r="M15781" s="9" t="s">
        <v>33</v>
      </c>
    </row>
    <row r="15782" ht="15.75" customHeight="1">
      <c r="A15782" s="7"/>
      <c r="B15782" s="7"/>
      <c r="M15782" s="9" t="s">
        <v>30</v>
      </c>
    </row>
    <row r="15783" ht="15.75" customHeight="1">
      <c r="A15783" s="7"/>
      <c r="B15783" s="7"/>
      <c r="M15783" s="9" t="s">
        <v>24</v>
      </c>
    </row>
    <row r="15784" ht="15.75" customHeight="1">
      <c r="A15784" s="7"/>
      <c r="B15784" s="7"/>
      <c r="M15784" s="9" t="s">
        <v>21</v>
      </c>
    </row>
    <row r="15785" ht="15.75" customHeight="1">
      <c r="A15785" s="7"/>
      <c r="B15785" s="7"/>
      <c r="M15785" s="9" t="s">
        <v>37</v>
      </c>
    </row>
    <row r="15786" ht="15.75" customHeight="1">
      <c r="A15786" s="7"/>
      <c r="B15786" s="7"/>
      <c r="M15786" s="9" t="s">
        <v>30</v>
      </c>
    </row>
    <row r="15787" ht="15.75" customHeight="1">
      <c r="A15787" s="7"/>
      <c r="B15787" s="7"/>
      <c r="M15787" s="9" t="s">
        <v>23</v>
      </c>
    </row>
    <row r="15788" ht="15.75" customHeight="1">
      <c r="A15788" s="7"/>
      <c r="B15788" s="7"/>
      <c r="M15788" s="9" t="s">
        <v>24</v>
      </c>
    </row>
    <row r="15789" ht="15.75" customHeight="1">
      <c r="A15789" s="7"/>
      <c r="B15789" s="7"/>
      <c r="M15789" s="9" t="s">
        <v>21</v>
      </c>
    </row>
    <row r="15790" ht="15.75" customHeight="1">
      <c r="A15790" s="7"/>
      <c r="B15790" s="7"/>
      <c r="M15790" s="9" t="s">
        <v>37</v>
      </c>
    </row>
    <row r="15791" ht="15.75" customHeight="1">
      <c r="A15791" s="7"/>
      <c r="B15791" s="7"/>
      <c r="M15791" s="9" t="s">
        <v>22</v>
      </c>
    </row>
    <row r="15792" ht="15.75" customHeight="1">
      <c r="A15792" s="7"/>
      <c r="B15792" s="7"/>
      <c r="M15792" s="9" t="s">
        <v>40</v>
      </c>
    </row>
    <row r="15793" ht="15.75" customHeight="1">
      <c r="A15793" s="7"/>
      <c r="B15793" s="7"/>
      <c r="M15793" s="9" t="s">
        <v>23</v>
      </c>
    </row>
    <row r="15794" ht="15.75" customHeight="1">
      <c r="A15794" s="7"/>
      <c r="B15794" s="7"/>
      <c r="M15794" s="9" t="s">
        <v>22</v>
      </c>
    </row>
    <row r="15795" ht="15.75" customHeight="1">
      <c r="A15795" s="7"/>
      <c r="B15795" s="7"/>
      <c r="M15795" s="9" t="s">
        <v>35</v>
      </c>
    </row>
    <row r="15796" ht="15.75" customHeight="1">
      <c r="A15796" s="7"/>
      <c r="B15796" s="7"/>
      <c r="M15796" s="9" t="s">
        <v>38</v>
      </c>
    </row>
    <row r="15797" ht="15.75" customHeight="1">
      <c r="A15797" s="7"/>
      <c r="B15797" s="7"/>
      <c r="M15797" s="9" t="s">
        <v>30</v>
      </c>
    </row>
    <row r="15798" ht="15.75" customHeight="1">
      <c r="A15798" s="7"/>
      <c r="B15798" s="7"/>
      <c r="M15798" s="9" t="s">
        <v>25</v>
      </c>
    </row>
    <row r="15799" ht="15.75" customHeight="1">
      <c r="A15799" s="7"/>
      <c r="B15799" s="7"/>
      <c r="M15799" s="9" t="s">
        <v>37</v>
      </c>
    </row>
    <row r="15800" ht="15.75" customHeight="1">
      <c r="A15800" s="7"/>
      <c r="B15800" s="7"/>
      <c r="M15800" s="9" t="s">
        <v>22</v>
      </c>
    </row>
    <row r="15801" ht="15.75" customHeight="1">
      <c r="A15801" s="7"/>
      <c r="B15801" s="7"/>
      <c r="M15801" s="9" t="s">
        <v>27</v>
      </c>
    </row>
    <row r="15802" ht="15.75" customHeight="1">
      <c r="A15802" s="7"/>
      <c r="B15802" s="7"/>
      <c r="M15802" s="9" t="s">
        <v>26</v>
      </c>
    </row>
    <row r="15803" ht="15.75" customHeight="1">
      <c r="A15803" s="7"/>
      <c r="B15803" s="7"/>
      <c r="M15803" s="9" t="s">
        <v>22</v>
      </c>
    </row>
    <row r="15804" ht="15.75" customHeight="1">
      <c r="A15804" s="7"/>
      <c r="B15804" s="7"/>
      <c r="M15804" s="9" t="s">
        <v>30</v>
      </c>
    </row>
    <row r="15805" ht="15.75" customHeight="1">
      <c r="A15805" s="7"/>
      <c r="B15805" s="7"/>
      <c r="M15805" s="9" t="s">
        <v>20</v>
      </c>
    </row>
    <row r="15806" ht="15.75" customHeight="1">
      <c r="A15806" s="7"/>
      <c r="B15806" s="7"/>
      <c r="M15806" s="9" t="s">
        <v>22</v>
      </c>
    </row>
    <row r="15807" ht="15.75" customHeight="1">
      <c r="A15807" s="7"/>
      <c r="B15807" s="7"/>
      <c r="M15807" s="9" t="s">
        <v>22</v>
      </c>
    </row>
    <row r="15808" ht="15.75" customHeight="1">
      <c r="A15808" s="7"/>
      <c r="B15808" s="7"/>
      <c r="M15808" s="9" t="s">
        <v>30</v>
      </c>
    </row>
    <row r="15809" ht="15.75" customHeight="1">
      <c r="A15809" s="7"/>
      <c r="B15809" s="7"/>
      <c r="M15809" s="9" t="s">
        <v>23</v>
      </c>
    </row>
    <row r="15810" ht="15.75" customHeight="1">
      <c r="A15810" s="7"/>
      <c r="B15810" s="7"/>
      <c r="M15810" s="9" t="s">
        <v>24</v>
      </c>
    </row>
    <row r="15811" ht="15.75" customHeight="1">
      <c r="A15811" s="7"/>
      <c r="B15811" s="7"/>
      <c r="M15811" s="9" t="s">
        <v>20</v>
      </c>
    </row>
    <row r="15812" ht="15.75" customHeight="1">
      <c r="A15812" s="7"/>
      <c r="B15812" s="7"/>
      <c r="M15812" s="9" t="s">
        <v>21</v>
      </c>
    </row>
    <row r="15813" ht="15.75" customHeight="1">
      <c r="A15813" s="7"/>
      <c r="B15813" s="7"/>
      <c r="M15813" s="9" t="s">
        <v>37</v>
      </c>
    </row>
    <row r="15814" ht="15.75" customHeight="1">
      <c r="A15814" s="7"/>
      <c r="B15814" s="7"/>
      <c r="M15814" s="9" t="s">
        <v>22</v>
      </c>
    </row>
    <row r="15815" ht="15.75" customHeight="1">
      <c r="A15815" s="7"/>
      <c r="B15815" s="7"/>
      <c r="M15815" s="9" t="s">
        <v>29</v>
      </c>
    </row>
    <row r="15816" ht="15.75" customHeight="1">
      <c r="A15816" s="7"/>
      <c r="B15816" s="7"/>
      <c r="M15816" s="9" t="s">
        <v>27</v>
      </c>
    </row>
    <row r="15817" ht="15.75" customHeight="1">
      <c r="A15817" s="7"/>
      <c r="B15817" s="7"/>
      <c r="M15817" s="9" t="s">
        <v>30</v>
      </c>
    </row>
    <row r="15818" ht="15.75" customHeight="1">
      <c r="A15818" s="7"/>
      <c r="B15818" s="7"/>
      <c r="M15818" s="9" t="s">
        <v>23</v>
      </c>
    </row>
    <row r="15819" ht="15.75" customHeight="1">
      <c r="A15819" s="7"/>
      <c r="B15819" s="7"/>
      <c r="M15819" s="9" t="s">
        <v>22</v>
      </c>
    </row>
    <row r="15820" ht="15.75" customHeight="1">
      <c r="A15820" s="7"/>
      <c r="B15820" s="7"/>
      <c r="M15820" s="9" t="s">
        <v>35</v>
      </c>
    </row>
    <row r="15821" ht="15.75" customHeight="1">
      <c r="A15821" s="7"/>
      <c r="B15821" s="7"/>
      <c r="M15821" s="9" t="s">
        <v>26</v>
      </c>
    </row>
    <row r="15822" ht="15.75" customHeight="1">
      <c r="A15822" s="7"/>
      <c r="B15822" s="7"/>
      <c r="M15822" s="9" t="s">
        <v>24</v>
      </c>
    </row>
    <row r="15823" ht="15.75" customHeight="1">
      <c r="A15823" s="7"/>
      <c r="B15823" s="7"/>
      <c r="M15823" s="9" t="s">
        <v>20</v>
      </c>
    </row>
    <row r="15824" ht="15.75" customHeight="1">
      <c r="A15824" s="7"/>
      <c r="B15824" s="7"/>
      <c r="M15824" s="9" t="s">
        <v>21</v>
      </c>
    </row>
    <row r="15825" ht="15.75" customHeight="1">
      <c r="A15825" s="7"/>
      <c r="B15825" s="7"/>
      <c r="M15825" s="9" t="s">
        <v>37</v>
      </c>
    </row>
    <row r="15826" ht="15.75" customHeight="1">
      <c r="A15826" s="7"/>
      <c r="B15826" s="7"/>
      <c r="M15826" s="9" t="s">
        <v>27</v>
      </c>
    </row>
    <row r="15827" ht="15.75" customHeight="1">
      <c r="A15827" s="7"/>
      <c r="B15827" s="7"/>
      <c r="M15827" s="9" t="s">
        <v>26</v>
      </c>
    </row>
    <row r="15828" ht="15.75" customHeight="1">
      <c r="A15828" s="7"/>
      <c r="B15828" s="7"/>
      <c r="M15828" s="9" t="s">
        <v>24</v>
      </c>
    </row>
    <row r="15829" ht="15.75" customHeight="1">
      <c r="A15829" s="7"/>
      <c r="B15829" s="7"/>
      <c r="M15829" s="9" t="s">
        <v>27</v>
      </c>
    </row>
    <row r="15830" ht="15.75" customHeight="1">
      <c r="A15830" s="7"/>
      <c r="B15830" s="7"/>
      <c r="M15830" s="9" t="s">
        <v>30</v>
      </c>
    </row>
    <row r="15831" ht="15.75" customHeight="1">
      <c r="A15831" s="7"/>
      <c r="B15831" s="7"/>
      <c r="M15831" s="9" t="s">
        <v>25</v>
      </c>
    </row>
    <row r="15832" ht="15.75" customHeight="1">
      <c r="A15832" s="7"/>
      <c r="B15832" s="7"/>
      <c r="M15832" s="9" t="s">
        <v>36</v>
      </c>
    </row>
    <row r="15833" ht="15.75" customHeight="1">
      <c r="A15833" s="7"/>
      <c r="B15833" s="7"/>
      <c r="M15833" s="9" t="s">
        <v>20</v>
      </c>
    </row>
    <row r="15834" ht="15.75" customHeight="1">
      <c r="A15834" s="7"/>
      <c r="B15834" s="7"/>
      <c r="M15834" s="9" t="s">
        <v>22</v>
      </c>
    </row>
    <row r="15835" ht="15.75" customHeight="1">
      <c r="A15835" s="7"/>
      <c r="B15835" s="7"/>
      <c r="M15835" s="9" t="s">
        <v>24</v>
      </c>
    </row>
    <row r="15836" ht="15.75" customHeight="1">
      <c r="A15836" s="7"/>
      <c r="B15836" s="7"/>
      <c r="M15836" s="9" t="s">
        <v>20</v>
      </c>
    </row>
    <row r="15837" ht="15.75" customHeight="1">
      <c r="A15837" s="7"/>
      <c r="B15837" s="7"/>
      <c r="M15837" s="9" t="s">
        <v>21</v>
      </c>
    </row>
    <row r="15838" ht="15.75" customHeight="1">
      <c r="A15838" s="7"/>
      <c r="B15838" s="7"/>
      <c r="M15838" s="9" t="s">
        <v>22</v>
      </c>
    </row>
    <row r="15839" ht="15.75" customHeight="1">
      <c r="A15839" s="7"/>
      <c r="B15839" s="7"/>
      <c r="M15839" s="9" t="s">
        <v>29</v>
      </c>
    </row>
    <row r="15840" ht="15.75" customHeight="1">
      <c r="A15840" s="7"/>
      <c r="B15840" s="7"/>
      <c r="M15840" s="9" t="s">
        <v>46</v>
      </c>
    </row>
    <row r="15841" ht="15.75" customHeight="1">
      <c r="A15841" s="7"/>
      <c r="B15841" s="7"/>
      <c r="M15841" s="9" t="s">
        <v>27</v>
      </c>
    </row>
    <row r="15842" ht="15.75" customHeight="1">
      <c r="A15842" s="7"/>
      <c r="B15842" s="7"/>
      <c r="M15842" s="9" t="s">
        <v>20</v>
      </c>
    </row>
    <row r="15843" ht="15.75" customHeight="1">
      <c r="A15843" s="7"/>
      <c r="B15843" s="7"/>
      <c r="M15843" s="9" t="s">
        <v>21</v>
      </c>
    </row>
    <row r="15844" ht="15.75" customHeight="1">
      <c r="A15844" s="7"/>
      <c r="B15844" s="7"/>
      <c r="M15844" s="9" t="s">
        <v>37</v>
      </c>
    </row>
    <row r="15845" ht="15.75" customHeight="1">
      <c r="A15845" s="7"/>
      <c r="B15845" s="7"/>
      <c r="M15845" s="9" t="s">
        <v>22</v>
      </c>
    </row>
    <row r="15846" ht="15.75" customHeight="1">
      <c r="A15846" s="7"/>
      <c r="B15846" s="7"/>
      <c r="M15846" s="9" t="s">
        <v>27</v>
      </c>
    </row>
    <row r="15847" ht="15.75" customHeight="1">
      <c r="A15847" s="7"/>
      <c r="B15847" s="7"/>
      <c r="M15847" s="9" t="s">
        <v>30</v>
      </c>
    </row>
    <row r="15848" ht="15.75" customHeight="1">
      <c r="A15848" s="7"/>
      <c r="B15848" s="7"/>
      <c r="M15848" s="9" t="s">
        <v>24</v>
      </c>
    </row>
    <row r="15849" ht="15.75" customHeight="1">
      <c r="A15849" s="7"/>
      <c r="B15849" s="7"/>
      <c r="M15849" s="9" t="s">
        <v>20</v>
      </c>
    </row>
    <row r="15850" ht="15.75" customHeight="1">
      <c r="A15850" s="7"/>
      <c r="B15850" s="7"/>
      <c r="M15850" s="9" t="s">
        <v>21</v>
      </c>
    </row>
    <row r="15851" ht="15.75" customHeight="1">
      <c r="A15851" s="7"/>
      <c r="B15851" s="7"/>
      <c r="M15851" s="9" t="s">
        <v>37</v>
      </c>
    </row>
    <row r="15852" ht="15.75" customHeight="1">
      <c r="A15852" s="7"/>
      <c r="B15852" s="7"/>
      <c r="M15852" s="9" t="s">
        <v>27</v>
      </c>
    </row>
    <row r="15853" ht="15.75" customHeight="1">
      <c r="A15853" s="7"/>
      <c r="B15853" s="7"/>
      <c r="M15853" s="9" t="s">
        <v>23</v>
      </c>
    </row>
    <row r="15854" ht="15.75" customHeight="1">
      <c r="A15854" s="7"/>
      <c r="B15854" s="7"/>
      <c r="M15854" s="9" t="s">
        <v>20</v>
      </c>
    </row>
    <row r="15855" ht="15.75" customHeight="1">
      <c r="A15855" s="7"/>
      <c r="B15855" s="7"/>
      <c r="M15855" s="9" t="s">
        <v>21</v>
      </c>
    </row>
    <row r="15856" ht="15.75" customHeight="1">
      <c r="A15856" s="7"/>
      <c r="B15856" s="7"/>
      <c r="M15856" s="9" t="s">
        <v>35</v>
      </c>
    </row>
    <row r="15857" ht="15.75" customHeight="1">
      <c r="A15857" s="7"/>
      <c r="B15857" s="7"/>
      <c r="M15857" s="9" t="s">
        <v>30</v>
      </c>
    </row>
    <row r="15858" ht="15.75" customHeight="1">
      <c r="A15858" s="7"/>
      <c r="B15858" s="7"/>
      <c r="M15858" s="9" t="s">
        <v>25</v>
      </c>
    </row>
    <row r="15859" ht="15.75" customHeight="1">
      <c r="A15859" s="7"/>
      <c r="B15859" s="7"/>
      <c r="M15859" s="9" t="s">
        <v>36</v>
      </c>
    </row>
    <row r="15860" ht="15.75" customHeight="1">
      <c r="A15860" s="7"/>
      <c r="B15860" s="7"/>
      <c r="M15860" s="9" t="s">
        <v>24</v>
      </c>
    </row>
    <row r="15861" ht="15.75" customHeight="1">
      <c r="A15861" s="7"/>
      <c r="B15861" s="7"/>
      <c r="M15861" s="9" t="s">
        <v>37</v>
      </c>
    </row>
    <row r="15862" ht="15.75" customHeight="1">
      <c r="A15862" s="7"/>
      <c r="B15862" s="7"/>
      <c r="M15862" s="9" t="s">
        <v>22</v>
      </c>
    </row>
    <row r="15863" ht="15.75" customHeight="1">
      <c r="A15863" s="7"/>
      <c r="B15863" s="7"/>
      <c r="M15863" s="9" t="s">
        <v>31</v>
      </c>
    </row>
    <row r="15864" ht="15.75" customHeight="1">
      <c r="A15864" s="7"/>
      <c r="B15864" s="7"/>
      <c r="M15864" s="9" t="s">
        <v>27</v>
      </c>
    </row>
    <row r="15865" ht="15.75" customHeight="1">
      <c r="A15865" s="7"/>
      <c r="B15865" s="7"/>
      <c r="M15865" s="9" t="s">
        <v>20</v>
      </c>
    </row>
    <row r="15866" ht="15.75" customHeight="1">
      <c r="A15866" s="7"/>
      <c r="B15866" s="7"/>
      <c r="M15866" s="9" t="s">
        <v>39</v>
      </c>
    </row>
    <row r="15867" ht="15.75" customHeight="1">
      <c r="A15867" s="7"/>
      <c r="B15867" s="7"/>
      <c r="M15867" s="9" t="s">
        <v>27</v>
      </c>
    </row>
    <row r="15868" ht="15.75" customHeight="1">
      <c r="A15868" s="7"/>
      <c r="B15868" s="7"/>
      <c r="M15868" s="9" t="s">
        <v>20</v>
      </c>
    </row>
    <row r="15869" ht="15.75" customHeight="1">
      <c r="A15869" s="7"/>
      <c r="B15869" s="7"/>
      <c r="M15869" s="9" t="s">
        <v>39</v>
      </c>
    </row>
    <row r="15870" ht="15.75" customHeight="1">
      <c r="A15870" s="7"/>
      <c r="B15870" s="7"/>
      <c r="M15870" s="9" t="s">
        <v>22</v>
      </c>
    </row>
    <row r="15871" ht="15.75" customHeight="1">
      <c r="A15871" s="7"/>
      <c r="B15871" s="7"/>
      <c r="M15871" s="9" t="s">
        <v>27</v>
      </c>
    </row>
    <row r="15872" ht="15.75" customHeight="1">
      <c r="A15872" s="7"/>
      <c r="B15872" s="7"/>
      <c r="M15872" s="9" t="s">
        <v>26</v>
      </c>
    </row>
    <row r="15873" ht="15.75" customHeight="1">
      <c r="A15873" s="7"/>
      <c r="B15873" s="7"/>
      <c r="M15873" s="9" t="s">
        <v>24</v>
      </c>
    </row>
    <row r="15874" ht="15.75" customHeight="1">
      <c r="A15874" s="7"/>
      <c r="B15874" s="7"/>
      <c r="M15874" s="9" t="s">
        <v>20</v>
      </c>
    </row>
    <row r="15875" ht="15.75" customHeight="1">
      <c r="A15875" s="7"/>
      <c r="B15875" s="7"/>
      <c r="M15875" s="9" t="s">
        <v>21</v>
      </c>
    </row>
    <row r="15876" ht="15.75" customHeight="1">
      <c r="A15876" s="7"/>
      <c r="B15876" s="7"/>
      <c r="M15876" s="9" t="s">
        <v>27</v>
      </c>
    </row>
    <row r="15877" ht="15.75" customHeight="1">
      <c r="A15877" s="7"/>
      <c r="B15877" s="7"/>
      <c r="M15877" s="9" t="s">
        <v>33</v>
      </c>
    </row>
    <row r="15878" ht="15.75" customHeight="1">
      <c r="A15878" s="7"/>
      <c r="B15878" s="7"/>
      <c r="M15878" s="9" t="s">
        <v>30</v>
      </c>
    </row>
    <row r="15879" ht="15.75" customHeight="1">
      <c r="A15879" s="7"/>
      <c r="B15879" s="7"/>
      <c r="M15879" s="9" t="s">
        <v>26</v>
      </c>
    </row>
    <row r="15880" ht="15.75" customHeight="1">
      <c r="A15880" s="7"/>
      <c r="B15880" s="7"/>
      <c r="M15880" s="9" t="s">
        <v>24</v>
      </c>
    </row>
    <row r="15881" ht="15.75" customHeight="1">
      <c r="A15881" s="7"/>
      <c r="B15881" s="7"/>
      <c r="M15881" s="9" t="s">
        <v>21</v>
      </c>
    </row>
    <row r="15882" ht="15.75" customHeight="1">
      <c r="A15882" s="7"/>
      <c r="B15882" s="7"/>
      <c r="M15882" s="9" t="s">
        <v>27</v>
      </c>
    </row>
    <row r="15883" ht="15.75" customHeight="1">
      <c r="A15883" s="7"/>
      <c r="B15883" s="7"/>
      <c r="M15883" s="9" t="s">
        <v>30</v>
      </c>
    </row>
    <row r="15884" ht="15.75" customHeight="1">
      <c r="A15884" s="7"/>
      <c r="B15884" s="7"/>
      <c r="M15884" s="9" t="s">
        <v>23</v>
      </c>
    </row>
    <row r="15885" ht="15.75" customHeight="1">
      <c r="A15885" s="7"/>
      <c r="B15885" s="7"/>
      <c r="M15885" s="9" t="s">
        <v>26</v>
      </c>
    </row>
    <row r="15886" ht="15.75" customHeight="1">
      <c r="A15886" s="7"/>
      <c r="B15886" s="7"/>
      <c r="M15886" s="9" t="s">
        <v>24</v>
      </c>
    </row>
    <row r="15887" ht="15.75" customHeight="1">
      <c r="A15887" s="7"/>
      <c r="B15887" s="7"/>
      <c r="M15887" s="9" t="s">
        <v>20</v>
      </c>
    </row>
    <row r="15888" ht="15.75" customHeight="1">
      <c r="A15888" s="7"/>
      <c r="B15888" s="7"/>
      <c r="M15888" s="9" t="s">
        <v>21</v>
      </c>
    </row>
    <row r="15889" ht="15.75" customHeight="1">
      <c r="A15889" s="7"/>
      <c r="B15889" s="7"/>
      <c r="M15889" s="9" t="s">
        <v>40</v>
      </c>
    </row>
    <row r="15890" ht="15.75" customHeight="1">
      <c r="A15890" s="7"/>
      <c r="B15890" s="7"/>
      <c r="M15890" s="9" t="s">
        <v>30</v>
      </c>
    </row>
    <row r="15891" ht="15.75" customHeight="1">
      <c r="A15891" s="7"/>
      <c r="B15891" s="7"/>
      <c r="M15891" s="9" t="s">
        <v>26</v>
      </c>
    </row>
    <row r="15892" ht="15.75" customHeight="1">
      <c r="A15892" s="7"/>
      <c r="B15892" s="7"/>
      <c r="M15892" s="9" t="s">
        <v>24</v>
      </c>
    </row>
    <row r="15893" ht="15.75" customHeight="1">
      <c r="A15893" s="7"/>
      <c r="B15893" s="7"/>
      <c r="M15893" s="9" t="s">
        <v>21</v>
      </c>
    </row>
    <row r="15894" ht="15.75" customHeight="1">
      <c r="A15894" s="7"/>
      <c r="B15894" s="7"/>
      <c r="M15894" s="9" t="s">
        <v>27</v>
      </c>
    </row>
    <row r="15895" ht="15.75" customHeight="1">
      <c r="A15895" s="7"/>
      <c r="B15895" s="7"/>
      <c r="M15895" s="9" t="s">
        <v>33</v>
      </c>
    </row>
    <row r="15896" ht="15.75" customHeight="1">
      <c r="A15896" s="7"/>
      <c r="B15896" s="7"/>
      <c r="M15896" s="9" t="s">
        <v>25</v>
      </c>
    </row>
    <row r="15897" ht="15.75" customHeight="1">
      <c r="A15897" s="7"/>
      <c r="B15897" s="7"/>
      <c r="M15897" s="9" t="s">
        <v>27</v>
      </c>
    </row>
    <row r="15898" ht="15.75" customHeight="1">
      <c r="A15898" s="7"/>
      <c r="B15898" s="7"/>
      <c r="M15898" s="9" t="s">
        <v>30</v>
      </c>
    </row>
    <row r="15899" ht="15.75" customHeight="1">
      <c r="A15899" s="7"/>
      <c r="B15899" s="7"/>
      <c r="M15899" s="9" t="s">
        <v>20</v>
      </c>
    </row>
    <row r="15900" ht="15.75" customHeight="1">
      <c r="A15900" s="7"/>
      <c r="B15900" s="7"/>
      <c r="M15900" s="9" t="s">
        <v>24</v>
      </c>
    </row>
    <row r="15901" ht="15.75" customHeight="1">
      <c r="A15901" s="7"/>
      <c r="B15901" s="7"/>
      <c r="M15901" s="9" t="s">
        <v>21</v>
      </c>
    </row>
    <row r="15902" ht="15.75" customHeight="1">
      <c r="A15902" s="7"/>
      <c r="B15902" s="7"/>
      <c r="M15902" s="9" t="s">
        <v>30</v>
      </c>
    </row>
    <row r="15903" ht="15.75" customHeight="1">
      <c r="A15903" s="7"/>
      <c r="B15903" s="7"/>
      <c r="M15903" s="9" t="s">
        <v>24</v>
      </c>
    </row>
    <row r="15904" ht="15.75" customHeight="1">
      <c r="A15904" s="7"/>
      <c r="B15904" s="7"/>
      <c r="M15904" s="9" t="s">
        <v>21</v>
      </c>
    </row>
    <row r="15905" ht="15.75" customHeight="1">
      <c r="A15905" s="7"/>
      <c r="B15905" s="7"/>
      <c r="M15905" s="9" t="s">
        <v>37</v>
      </c>
    </row>
    <row r="15906" ht="15.75" customHeight="1">
      <c r="A15906" s="7"/>
      <c r="B15906" s="7"/>
      <c r="M15906" s="9" t="s">
        <v>27</v>
      </c>
    </row>
    <row r="15907" ht="15.75" customHeight="1">
      <c r="A15907" s="7"/>
      <c r="B15907" s="7"/>
      <c r="M15907" s="9" t="s">
        <v>30</v>
      </c>
    </row>
    <row r="15908" ht="15.75" customHeight="1">
      <c r="A15908" s="7"/>
      <c r="B15908" s="7"/>
      <c r="M15908" s="9" t="s">
        <v>21</v>
      </c>
    </row>
    <row r="15909" ht="15.75" customHeight="1">
      <c r="A15909" s="7"/>
      <c r="B15909" s="7"/>
      <c r="M15909" s="9" t="s">
        <v>35</v>
      </c>
    </row>
    <row r="15910" ht="15.75" customHeight="1">
      <c r="A15910" s="7"/>
      <c r="B15910" s="7"/>
      <c r="M15910" s="9" t="s">
        <v>25</v>
      </c>
    </row>
    <row r="15911" ht="15.75" customHeight="1">
      <c r="A15911" s="7"/>
      <c r="B15911" s="7"/>
      <c r="M15911" s="9" t="s">
        <v>23</v>
      </c>
    </row>
    <row r="15912" ht="15.75" customHeight="1">
      <c r="A15912" s="7"/>
      <c r="B15912" s="7"/>
      <c r="M15912" s="9" t="s">
        <v>26</v>
      </c>
    </row>
    <row r="15913" ht="15.75" customHeight="1">
      <c r="A15913" s="7"/>
      <c r="B15913" s="7"/>
      <c r="M15913" s="9" t="s">
        <v>22</v>
      </c>
    </row>
    <row r="15914" ht="15.75" customHeight="1">
      <c r="A15914" s="7"/>
      <c r="B15914" s="7"/>
      <c r="M15914" s="9" t="s">
        <v>30</v>
      </c>
    </row>
    <row r="15915" ht="15.75" customHeight="1">
      <c r="A15915" s="7"/>
      <c r="B15915" s="7"/>
      <c r="M15915" s="9" t="s">
        <v>25</v>
      </c>
    </row>
    <row r="15916" ht="15.75" customHeight="1">
      <c r="A15916" s="7"/>
      <c r="B15916" s="7"/>
      <c r="M15916" s="9" t="s">
        <v>23</v>
      </c>
    </row>
    <row r="15917" ht="15.75" customHeight="1">
      <c r="A15917" s="7"/>
      <c r="B15917" s="7"/>
      <c r="M15917" s="9" t="s">
        <v>26</v>
      </c>
    </row>
    <row r="15918" ht="15.75" customHeight="1">
      <c r="A15918" s="7"/>
      <c r="B15918" s="7"/>
      <c r="M15918" s="9" t="s">
        <v>45</v>
      </c>
    </row>
    <row r="15919" ht="15.75" customHeight="1">
      <c r="A15919" s="7"/>
      <c r="B15919" s="7"/>
      <c r="M15919" s="9" t="s">
        <v>24</v>
      </c>
    </row>
    <row r="15920" ht="15.75" customHeight="1">
      <c r="A15920" s="7"/>
      <c r="B15920" s="7"/>
      <c r="M15920" s="9" t="s">
        <v>21</v>
      </c>
    </row>
    <row r="15921" ht="15.75" customHeight="1">
      <c r="A15921" s="7"/>
      <c r="B15921" s="7"/>
      <c r="M15921" s="9" t="s">
        <v>27</v>
      </c>
    </row>
    <row r="15922" ht="15.75" customHeight="1">
      <c r="A15922" s="7"/>
      <c r="B15922" s="7"/>
      <c r="M15922" s="9" t="s">
        <v>33</v>
      </c>
    </row>
    <row r="15923" ht="15.75" customHeight="1">
      <c r="A15923" s="7"/>
      <c r="B15923" s="7"/>
      <c r="M15923" s="9" t="s">
        <v>26</v>
      </c>
    </row>
    <row r="15924" ht="15.75" customHeight="1">
      <c r="A15924" s="7"/>
      <c r="B15924" s="7"/>
      <c r="M15924" s="9" t="s">
        <v>24</v>
      </c>
    </row>
    <row r="15925" ht="15.75" customHeight="1">
      <c r="A15925" s="7"/>
      <c r="B15925" s="7"/>
      <c r="M15925" s="9" t="s">
        <v>21</v>
      </c>
    </row>
    <row r="15926" ht="15.75" customHeight="1">
      <c r="A15926" s="7"/>
      <c r="B15926" s="7"/>
      <c r="M15926" s="9" t="s">
        <v>27</v>
      </c>
    </row>
    <row r="15927" ht="15.75" customHeight="1">
      <c r="A15927" s="7"/>
      <c r="B15927" s="7"/>
      <c r="M15927" s="9" t="s">
        <v>33</v>
      </c>
    </row>
    <row r="15928" ht="15.75" customHeight="1">
      <c r="A15928" s="7"/>
      <c r="B15928" s="7"/>
      <c r="M15928" s="9" t="s">
        <v>24</v>
      </c>
    </row>
    <row r="15929" ht="15.75" customHeight="1">
      <c r="A15929" s="7"/>
      <c r="B15929" s="7"/>
      <c r="M15929" s="9" t="s">
        <v>20</v>
      </c>
    </row>
    <row r="15930" ht="15.75" customHeight="1">
      <c r="A15930" s="7"/>
      <c r="B15930" s="7"/>
      <c r="M15930" s="9" t="s">
        <v>21</v>
      </c>
    </row>
    <row r="15931" ht="15.75" customHeight="1">
      <c r="A15931" s="7"/>
      <c r="B15931" s="7"/>
      <c r="M15931" s="9" t="s">
        <v>33</v>
      </c>
    </row>
    <row r="15932" ht="15.75" customHeight="1">
      <c r="A15932" s="7"/>
      <c r="B15932" s="7"/>
      <c r="M15932" s="9" t="s">
        <v>24</v>
      </c>
    </row>
    <row r="15933" ht="15.75" customHeight="1">
      <c r="A15933" s="7"/>
      <c r="B15933" s="7"/>
      <c r="M15933" s="9" t="s">
        <v>20</v>
      </c>
    </row>
    <row r="15934" ht="15.75" customHeight="1">
      <c r="A15934" s="7"/>
      <c r="B15934" s="7"/>
      <c r="M15934" s="9" t="s">
        <v>21</v>
      </c>
    </row>
    <row r="15935" ht="15.75" customHeight="1">
      <c r="A15935" s="7"/>
      <c r="B15935" s="7"/>
      <c r="M15935" s="9" t="s">
        <v>27</v>
      </c>
    </row>
    <row r="15936" ht="15.75" customHeight="1">
      <c r="A15936" s="7"/>
      <c r="B15936" s="7"/>
      <c r="M15936" s="9" t="s">
        <v>26</v>
      </c>
    </row>
    <row r="15937" ht="15.75" customHeight="1">
      <c r="A15937" s="7"/>
      <c r="B15937" s="7"/>
      <c r="M15937" s="9" t="s">
        <v>24</v>
      </c>
    </row>
    <row r="15938" ht="15.75" customHeight="1">
      <c r="A15938" s="7"/>
      <c r="B15938" s="7"/>
      <c r="M15938" s="9" t="s">
        <v>21</v>
      </c>
    </row>
    <row r="15939" ht="15.75" customHeight="1">
      <c r="A15939" s="7"/>
      <c r="B15939" s="7"/>
      <c r="M15939" s="9" t="s">
        <v>33</v>
      </c>
    </row>
    <row r="15940" ht="15.75" customHeight="1">
      <c r="A15940" s="7"/>
      <c r="B15940" s="7"/>
      <c r="M15940" s="9" t="s">
        <v>24</v>
      </c>
    </row>
    <row r="15941" ht="15.75" customHeight="1">
      <c r="A15941" s="7"/>
      <c r="B15941" s="7"/>
      <c r="M15941" s="9" t="s">
        <v>20</v>
      </c>
    </row>
    <row r="15942" ht="15.75" customHeight="1">
      <c r="A15942" s="7"/>
      <c r="B15942" s="7"/>
      <c r="M15942" s="9" t="s">
        <v>27</v>
      </c>
    </row>
    <row r="15943" ht="15.75" customHeight="1">
      <c r="A15943" s="7"/>
      <c r="B15943" s="7"/>
      <c r="M15943" s="9" t="s">
        <v>24</v>
      </c>
    </row>
    <row r="15944" ht="15.75" customHeight="1">
      <c r="A15944" s="7"/>
      <c r="B15944" s="7"/>
      <c r="M15944" s="9" t="s">
        <v>21</v>
      </c>
    </row>
    <row r="15945" ht="15.75" customHeight="1">
      <c r="A15945" s="7"/>
      <c r="B15945" s="7"/>
      <c r="M15945" s="9" t="s">
        <v>37</v>
      </c>
    </row>
    <row r="15946" ht="15.75" customHeight="1">
      <c r="A15946" s="7"/>
      <c r="B15946" s="7"/>
      <c r="M15946" s="9" t="s">
        <v>22</v>
      </c>
    </row>
    <row r="15947" ht="15.75" customHeight="1">
      <c r="A15947" s="7"/>
      <c r="B15947" s="7"/>
      <c r="M15947" s="9" t="s">
        <v>27</v>
      </c>
    </row>
    <row r="15948" ht="15.75" customHeight="1">
      <c r="A15948" s="7"/>
      <c r="B15948" s="7"/>
      <c r="M15948" s="9" t="s">
        <v>28</v>
      </c>
    </row>
    <row r="15949" ht="15.75" customHeight="1">
      <c r="A15949" s="7"/>
      <c r="B15949" s="7"/>
      <c r="M15949" s="9" t="s">
        <v>24</v>
      </c>
    </row>
    <row r="15950" ht="15.75" customHeight="1">
      <c r="A15950" s="7"/>
      <c r="B15950" s="7"/>
      <c r="M15950" s="9" t="s">
        <v>21</v>
      </c>
    </row>
    <row r="15951" ht="15.75" customHeight="1">
      <c r="A15951" s="7"/>
      <c r="B15951" s="7"/>
      <c r="M15951" s="9" t="s">
        <v>37</v>
      </c>
    </row>
    <row r="15952" ht="15.75" customHeight="1">
      <c r="A15952" s="7"/>
      <c r="B15952" s="7"/>
      <c r="M15952" s="9" t="s">
        <v>27</v>
      </c>
    </row>
    <row r="15953" ht="15.75" customHeight="1">
      <c r="A15953" s="7"/>
      <c r="B15953" s="7"/>
      <c r="M15953" s="9" t="s">
        <v>33</v>
      </c>
    </row>
    <row r="15954" ht="15.75" customHeight="1">
      <c r="A15954" s="7"/>
      <c r="B15954" s="7"/>
      <c r="M15954" s="9" t="s">
        <v>30</v>
      </c>
    </row>
    <row r="15955" ht="15.75" customHeight="1">
      <c r="A15955" s="7"/>
      <c r="B15955" s="7"/>
      <c r="M15955" s="9" t="s">
        <v>25</v>
      </c>
    </row>
    <row r="15956" ht="15.75" customHeight="1">
      <c r="A15956" s="7"/>
      <c r="B15956" s="7"/>
      <c r="M15956" s="9" t="s">
        <v>23</v>
      </c>
    </row>
    <row r="15957" ht="15.75" customHeight="1">
      <c r="A15957" s="7"/>
      <c r="B15957" s="7"/>
      <c r="M15957" s="9" t="s">
        <v>47</v>
      </c>
    </row>
    <row r="15958" ht="15.75" customHeight="1">
      <c r="A15958" s="7"/>
      <c r="B15958" s="7"/>
      <c r="M15958" s="9" t="s">
        <v>24</v>
      </c>
    </row>
    <row r="15959" ht="15.75" customHeight="1">
      <c r="A15959" s="7"/>
      <c r="B15959" s="7"/>
      <c r="M15959" s="9" t="s">
        <v>21</v>
      </c>
    </row>
    <row r="15960" ht="15.75" customHeight="1">
      <c r="A15960" s="7"/>
      <c r="B15960" s="7"/>
      <c r="M15960" s="9" t="s">
        <v>41</v>
      </c>
    </row>
    <row r="15961" ht="15.75" customHeight="1">
      <c r="A15961" s="7"/>
      <c r="B15961" s="7"/>
      <c r="M15961" s="9" t="s">
        <v>37</v>
      </c>
    </row>
    <row r="15962" ht="15.75" customHeight="1">
      <c r="A15962" s="7"/>
      <c r="B15962" s="7"/>
      <c r="M15962" s="9" t="s">
        <v>22</v>
      </c>
    </row>
    <row r="15963" ht="15.75" customHeight="1">
      <c r="A15963" s="7"/>
      <c r="B15963" s="7"/>
      <c r="M15963" s="9" t="s">
        <v>29</v>
      </c>
    </row>
    <row r="15964" ht="15.75" customHeight="1">
      <c r="A15964" s="7"/>
      <c r="B15964" s="7"/>
      <c r="M15964" s="9" t="s">
        <v>27</v>
      </c>
    </row>
    <row r="15965" ht="15.75" customHeight="1">
      <c r="A15965" s="7"/>
      <c r="B15965" s="7"/>
      <c r="M15965" s="9" t="s">
        <v>42</v>
      </c>
    </row>
    <row r="15966" ht="15.75" customHeight="1">
      <c r="A15966" s="7"/>
      <c r="B15966" s="7"/>
      <c r="M15966" s="9" t="s">
        <v>24</v>
      </c>
    </row>
    <row r="15967" ht="15.75" customHeight="1">
      <c r="A15967" s="7"/>
      <c r="B15967" s="7"/>
      <c r="M15967" s="9" t="s">
        <v>21</v>
      </c>
    </row>
    <row r="15968" ht="15.75" customHeight="1">
      <c r="A15968" s="7"/>
      <c r="B15968" s="7"/>
      <c r="M15968" s="9" t="s">
        <v>31</v>
      </c>
    </row>
    <row r="15969" ht="15.75" customHeight="1">
      <c r="A15969" s="7"/>
      <c r="B15969" s="7"/>
      <c r="M15969" s="9" t="s">
        <v>35</v>
      </c>
    </row>
    <row r="15970" ht="15.75" customHeight="1">
      <c r="A15970" s="7"/>
      <c r="B15970" s="7"/>
      <c r="M15970" s="9" t="s">
        <v>30</v>
      </c>
    </row>
    <row r="15971" ht="15.75" customHeight="1">
      <c r="A15971" s="7"/>
      <c r="B15971" s="7"/>
      <c r="M15971" s="9" t="s">
        <v>26</v>
      </c>
    </row>
    <row r="15972" ht="15.75" customHeight="1">
      <c r="A15972" s="7"/>
      <c r="B15972" s="7"/>
      <c r="M15972" s="9" t="s">
        <v>24</v>
      </c>
    </row>
    <row r="15973" ht="15.75" customHeight="1">
      <c r="A15973" s="7"/>
      <c r="B15973" s="7"/>
      <c r="M15973" s="9" t="s">
        <v>20</v>
      </c>
    </row>
    <row r="15974" ht="15.75" customHeight="1">
      <c r="A15974" s="7"/>
      <c r="B15974" s="7"/>
      <c r="M15974" s="9" t="s">
        <v>21</v>
      </c>
    </row>
    <row r="15975" ht="15.75" customHeight="1">
      <c r="A15975" s="7"/>
      <c r="B15975" s="7"/>
      <c r="M15975" s="9" t="s">
        <v>37</v>
      </c>
    </row>
    <row r="15976" ht="15.75" customHeight="1">
      <c r="A15976" s="7"/>
      <c r="B15976" s="7"/>
      <c r="M15976" s="9" t="s">
        <v>22</v>
      </c>
    </row>
    <row r="15977" ht="15.75" customHeight="1">
      <c r="A15977" s="7"/>
      <c r="B15977" s="7"/>
      <c r="M15977" s="9" t="s">
        <v>27</v>
      </c>
    </row>
    <row r="15978" ht="15.75" customHeight="1">
      <c r="A15978" s="7"/>
      <c r="B15978" s="7"/>
      <c r="M15978" s="9" t="s">
        <v>30</v>
      </c>
    </row>
    <row r="15979" ht="15.75" customHeight="1">
      <c r="A15979" s="7"/>
      <c r="B15979" s="7"/>
      <c r="M15979" s="9" t="s">
        <v>26</v>
      </c>
    </row>
    <row r="15980" ht="15.75" customHeight="1">
      <c r="A15980" s="7"/>
      <c r="B15980" s="7"/>
      <c r="M15980" s="9" t="s">
        <v>20</v>
      </c>
    </row>
    <row r="15981" ht="15.75" customHeight="1">
      <c r="A15981" s="7"/>
      <c r="B15981" s="7"/>
      <c r="M15981" s="9" t="s">
        <v>22</v>
      </c>
    </row>
    <row r="15982" ht="15.75" customHeight="1">
      <c r="A15982" s="7"/>
      <c r="B15982" s="7"/>
      <c r="M15982" s="9" t="s">
        <v>29</v>
      </c>
    </row>
    <row r="15983" ht="15.75" customHeight="1">
      <c r="A15983" s="7"/>
      <c r="B15983" s="7"/>
      <c r="M15983" s="9" t="s">
        <v>46</v>
      </c>
    </row>
    <row r="15984" ht="15.75" customHeight="1">
      <c r="A15984" s="7"/>
      <c r="B15984" s="7"/>
      <c r="M15984" s="9" t="s">
        <v>27</v>
      </c>
    </row>
    <row r="15985" ht="15.75" customHeight="1">
      <c r="A15985" s="7"/>
      <c r="B15985" s="7"/>
      <c r="M15985" s="9" t="s">
        <v>25</v>
      </c>
    </row>
    <row r="15986" ht="15.75" customHeight="1">
      <c r="A15986" s="7"/>
      <c r="B15986" s="7"/>
      <c r="M15986" s="9" t="s">
        <v>23</v>
      </c>
    </row>
    <row r="15987" ht="15.75" customHeight="1">
      <c r="A15987" s="7"/>
      <c r="B15987" s="7"/>
      <c r="M15987" s="9" t="s">
        <v>24</v>
      </c>
    </row>
    <row r="15988" ht="15.75" customHeight="1">
      <c r="A15988" s="7"/>
      <c r="B15988" s="7"/>
      <c r="M15988" s="9" t="s">
        <v>41</v>
      </c>
    </row>
    <row r="15989" ht="15.75" customHeight="1">
      <c r="A15989" s="7"/>
      <c r="B15989" s="7"/>
      <c r="M15989" s="9" t="s">
        <v>35</v>
      </c>
    </row>
    <row r="15990" ht="15.75" customHeight="1">
      <c r="A15990" s="7"/>
      <c r="B15990" s="7"/>
      <c r="M15990" s="9" t="s">
        <v>24</v>
      </c>
    </row>
    <row r="15991" ht="15.75" customHeight="1">
      <c r="A15991" s="7"/>
      <c r="B15991" s="7"/>
      <c r="M15991" s="9" t="s">
        <v>21</v>
      </c>
    </row>
    <row r="15992" ht="15.75" customHeight="1">
      <c r="A15992" s="7"/>
      <c r="B15992" s="7"/>
      <c r="M15992" s="9" t="s">
        <v>37</v>
      </c>
    </row>
    <row r="15993" ht="15.75" customHeight="1">
      <c r="A15993" s="7"/>
      <c r="B15993" s="7"/>
      <c r="M15993" s="9" t="s">
        <v>27</v>
      </c>
    </row>
    <row r="15994" ht="15.75" customHeight="1">
      <c r="A15994" s="7"/>
      <c r="B15994" s="7"/>
      <c r="M15994" s="9" t="s">
        <v>33</v>
      </c>
    </row>
    <row r="15995" ht="15.75" customHeight="1">
      <c r="A15995" s="7"/>
      <c r="B15995" s="7"/>
      <c r="M15995" s="9" t="s">
        <v>20</v>
      </c>
    </row>
    <row r="15996" ht="15.75" customHeight="1">
      <c r="A15996" s="7"/>
      <c r="B15996" s="7"/>
      <c r="M15996" s="9" t="s">
        <v>21</v>
      </c>
    </row>
    <row r="15997" ht="15.75" customHeight="1">
      <c r="A15997" s="7"/>
      <c r="B15997" s="7"/>
      <c r="M15997" s="9" t="s">
        <v>27</v>
      </c>
    </row>
    <row r="15998" ht="15.75" customHeight="1">
      <c r="A15998" s="7"/>
      <c r="B15998" s="7"/>
      <c r="M15998" s="9" t="s">
        <v>25</v>
      </c>
    </row>
    <row r="15999" ht="15.75" customHeight="1">
      <c r="A15999" s="7"/>
      <c r="B15999" s="7"/>
      <c r="M15999" s="9" t="s">
        <v>20</v>
      </c>
    </row>
    <row r="16000" ht="15.75" customHeight="1">
      <c r="A16000" s="7"/>
      <c r="B16000" s="7"/>
      <c r="M16000" s="9" t="s">
        <v>41</v>
      </c>
    </row>
    <row r="16001" ht="15.75" customHeight="1">
      <c r="A16001" s="7"/>
      <c r="B16001" s="7"/>
      <c r="M16001" s="9" t="s">
        <v>40</v>
      </c>
    </row>
    <row r="16002" ht="15.75" customHeight="1">
      <c r="A16002" s="7"/>
      <c r="B16002" s="7"/>
      <c r="M16002" s="9" t="s">
        <v>24</v>
      </c>
    </row>
    <row r="16003" ht="15.75" customHeight="1">
      <c r="A16003" s="7"/>
      <c r="B16003" s="7"/>
      <c r="M16003" s="9" t="s">
        <v>21</v>
      </c>
    </row>
    <row r="16004" ht="15.75" customHeight="1">
      <c r="A16004" s="7"/>
      <c r="B16004" s="7"/>
      <c r="M16004" s="9" t="s">
        <v>22</v>
      </c>
    </row>
    <row r="16005" ht="15.75" customHeight="1">
      <c r="A16005" s="7"/>
      <c r="B16005" s="7"/>
      <c r="M16005" s="9" t="s">
        <v>29</v>
      </c>
    </row>
    <row r="16006" ht="15.75" customHeight="1">
      <c r="A16006" s="7"/>
      <c r="B16006" s="7"/>
      <c r="M16006" s="9" t="s">
        <v>24</v>
      </c>
    </row>
    <row r="16007" ht="15.75" customHeight="1">
      <c r="A16007" s="7"/>
      <c r="B16007" s="7"/>
      <c r="M16007" s="9" t="s">
        <v>21</v>
      </c>
    </row>
    <row r="16008" ht="15.75" customHeight="1">
      <c r="A16008" s="7"/>
      <c r="B16008" s="7"/>
      <c r="M16008" s="9" t="s">
        <v>20</v>
      </c>
    </row>
    <row r="16009" ht="15.75" customHeight="1">
      <c r="A16009" s="7"/>
      <c r="B16009" s="7"/>
      <c r="M16009" s="9" t="s">
        <v>22</v>
      </c>
    </row>
    <row r="16010" ht="15.75" customHeight="1">
      <c r="A16010" s="7"/>
      <c r="B16010" s="7"/>
      <c r="M16010" s="9" t="s">
        <v>30</v>
      </c>
    </row>
    <row r="16011" ht="15.75" customHeight="1">
      <c r="A16011" s="7"/>
      <c r="B16011" s="7"/>
      <c r="M16011" s="9" t="s">
        <v>23</v>
      </c>
    </row>
    <row r="16012" ht="15.75" customHeight="1">
      <c r="A16012" s="7"/>
      <c r="B16012" s="7"/>
      <c r="M16012" s="9" t="s">
        <v>24</v>
      </c>
    </row>
    <row r="16013" ht="15.75" customHeight="1">
      <c r="A16013" s="7"/>
      <c r="B16013" s="7"/>
      <c r="M16013" s="9" t="s">
        <v>20</v>
      </c>
    </row>
    <row r="16014" ht="15.75" customHeight="1">
      <c r="A16014" s="7"/>
      <c r="B16014" s="7"/>
      <c r="M16014" s="9" t="s">
        <v>21</v>
      </c>
    </row>
    <row r="16015" ht="15.75" customHeight="1">
      <c r="A16015" s="7"/>
      <c r="B16015" s="7"/>
      <c r="M16015" s="9" t="s">
        <v>37</v>
      </c>
    </row>
    <row r="16016" ht="15.75" customHeight="1">
      <c r="A16016" s="7"/>
      <c r="B16016" s="7"/>
      <c r="M16016" s="9" t="s">
        <v>27</v>
      </c>
    </row>
    <row r="16017" ht="15.75" customHeight="1">
      <c r="A16017" s="7"/>
      <c r="B16017" s="7"/>
      <c r="M16017" s="9" t="s">
        <v>28</v>
      </c>
    </row>
    <row r="16018" ht="15.75" customHeight="1">
      <c r="A16018" s="7"/>
      <c r="B16018" s="7"/>
      <c r="M16018" s="9" t="s">
        <v>30</v>
      </c>
    </row>
    <row r="16019" ht="15.75" customHeight="1">
      <c r="A16019" s="7"/>
      <c r="B16019" s="7"/>
      <c r="M16019" s="9" t="s">
        <v>20</v>
      </c>
    </row>
    <row r="16020" ht="15.75" customHeight="1">
      <c r="A16020" s="7"/>
      <c r="B16020" s="7"/>
      <c r="M16020" s="9" t="s">
        <v>21</v>
      </c>
    </row>
    <row r="16021" ht="15.75" customHeight="1">
      <c r="A16021" s="7"/>
      <c r="B16021" s="7"/>
      <c r="M16021" s="9" t="s">
        <v>37</v>
      </c>
    </row>
    <row r="16022" ht="15.75" customHeight="1">
      <c r="A16022" s="7"/>
      <c r="B16022" s="7"/>
      <c r="M16022" s="9" t="s">
        <v>27</v>
      </c>
    </row>
    <row r="16023" ht="15.75" customHeight="1">
      <c r="A16023" s="7"/>
      <c r="B16023" s="7"/>
      <c r="M16023" s="9" t="s">
        <v>30</v>
      </c>
    </row>
    <row r="16024" ht="15.75" customHeight="1">
      <c r="A16024" s="7"/>
      <c r="B16024" s="7"/>
      <c r="M16024" s="9" t="s">
        <v>23</v>
      </c>
    </row>
    <row r="16025" ht="15.75" customHeight="1">
      <c r="A16025" s="7"/>
      <c r="B16025" s="7"/>
      <c r="M16025" s="9" t="s">
        <v>26</v>
      </c>
    </row>
    <row r="16026" ht="15.75" customHeight="1">
      <c r="A16026" s="7"/>
      <c r="B16026" s="7"/>
      <c r="M16026" s="9" t="s">
        <v>24</v>
      </c>
    </row>
    <row r="16027" ht="15.75" customHeight="1">
      <c r="A16027" s="7"/>
      <c r="B16027" s="7"/>
      <c r="M16027" s="9" t="s">
        <v>20</v>
      </c>
    </row>
    <row r="16028" ht="15.75" customHeight="1">
      <c r="A16028" s="7"/>
      <c r="B16028" s="7"/>
      <c r="M16028" s="9" t="s">
        <v>21</v>
      </c>
    </row>
    <row r="16029" ht="15.75" customHeight="1">
      <c r="A16029" s="7"/>
      <c r="B16029" s="7"/>
      <c r="M16029" s="9" t="s">
        <v>41</v>
      </c>
    </row>
    <row r="16030" ht="15.75" customHeight="1">
      <c r="A16030" s="7"/>
      <c r="B16030" s="7"/>
      <c r="M16030" s="9" t="s">
        <v>22</v>
      </c>
    </row>
    <row r="16031" ht="15.75" customHeight="1">
      <c r="A16031" s="7"/>
      <c r="B16031" s="7"/>
      <c r="M16031" s="9" t="s">
        <v>27</v>
      </c>
    </row>
    <row r="16032" ht="15.75" customHeight="1">
      <c r="A16032" s="7"/>
      <c r="B16032" s="7"/>
      <c r="M16032" s="9" t="s">
        <v>40</v>
      </c>
    </row>
    <row r="16033" ht="15.75" customHeight="1">
      <c r="A16033" s="7"/>
      <c r="B16033" s="7"/>
      <c r="M16033" s="9" t="s">
        <v>22</v>
      </c>
    </row>
    <row r="16034" ht="15.75" customHeight="1">
      <c r="A16034" s="7"/>
      <c r="B16034" s="7"/>
      <c r="M16034" s="9" t="s">
        <v>27</v>
      </c>
    </row>
    <row r="16035" ht="15.75" customHeight="1">
      <c r="A16035" s="7"/>
      <c r="B16035" s="7"/>
      <c r="M16035" s="9" t="s">
        <v>35</v>
      </c>
    </row>
    <row r="16036" ht="15.75" customHeight="1">
      <c r="A16036" s="7"/>
      <c r="B16036" s="7"/>
      <c r="M16036" s="9" t="s">
        <v>38</v>
      </c>
    </row>
    <row r="16037" ht="15.75" customHeight="1">
      <c r="A16037" s="7"/>
      <c r="B16037" s="7"/>
      <c r="M16037" s="9" t="s">
        <v>30</v>
      </c>
    </row>
    <row r="16038" ht="15.75" customHeight="1">
      <c r="A16038" s="7"/>
      <c r="B16038" s="7"/>
      <c r="M16038" s="9" t="s">
        <v>25</v>
      </c>
    </row>
    <row r="16039" ht="15.75" customHeight="1">
      <c r="A16039" s="7"/>
      <c r="B16039" s="7"/>
      <c r="M16039" s="9" t="s">
        <v>23</v>
      </c>
    </row>
    <row r="16040" ht="15.75" customHeight="1">
      <c r="A16040" s="7"/>
      <c r="B16040" s="7"/>
      <c r="M16040" s="9" t="s">
        <v>24</v>
      </c>
    </row>
    <row r="16041" ht="15.75" customHeight="1">
      <c r="A16041" s="7"/>
      <c r="B16041" s="7"/>
      <c r="M16041" s="9" t="s">
        <v>20</v>
      </c>
    </row>
    <row r="16042" ht="15.75" customHeight="1">
      <c r="A16042" s="7"/>
      <c r="B16042" s="7"/>
      <c r="M16042" s="9" t="s">
        <v>21</v>
      </c>
    </row>
    <row r="16043" ht="15.75" customHeight="1">
      <c r="A16043" s="7"/>
      <c r="B16043" s="7"/>
      <c r="M16043" s="9" t="s">
        <v>37</v>
      </c>
    </row>
    <row r="16044" ht="15.75" customHeight="1">
      <c r="A16044" s="7"/>
      <c r="B16044" s="7"/>
      <c r="M16044" s="9" t="s">
        <v>22</v>
      </c>
    </row>
    <row r="16045" ht="15.75" customHeight="1">
      <c r="A16045" s="7"/>
      <c r="B16045" s="7"/>
      <c r="M16045" s="9" t="s">
        <v>27</v>
      </c>
    </row>
    <row r="16046" ht="15.75" customHeight="1">
      <c r="A16046" s="7"/>
      <c r="B16046" s="7"/>
      <c r="M16046" s="9" t="s">
        <v>24</v>
      </c>
    </row>
    <row r="16047" ht="15.75" customHeight="1">
      <c r="A16047" s="7"/>
      <c r="B16047" s="7"/>
      <c r="M16047" s="9" t="s">
        <v>20</v>
      </c>
    </row>
    <row r="16048" ht="15.75" customHeight="1">
      <c r="A16048" s="7"/>
      <c r="B16048" s="7"/>
      <c r="M16048" s="9" t="s">
        <v>21</v>
      </c>
    </row>
    <row r="16049" ht="15.75" customHeight="1">
      <c r="A16049" s="7"/>
      <c r="B16049" s="7"/>
      <c r="M16049" s="9" t="s">
        <v>30</v>
      </c>
    </row>
    <row r="16050" ht="15.75" customHeight="1">
      <c r="A16050" s="7"/>
      <c r="B16050" s="7"/>
      <c r="M16050" s="9" t="s">
        <v>26</v>
      </c>
    </row>
    <row r="16051" ht="15.75" customHeight="1">
      <c r="A16051" s="7"/>
      <c r="B16051" s="7"/>
      <c r="M16051" s="9" t="s">
        <v>36</v>
      </c>
    </row>
    <row r="16052" ht="15.75" customHeight="1">
      <c r="A16052" s="7"/>
      <c r="B16052" s="7"/>
      <c r="M16052" s="9" t="s">
        <v>24</v>
      </c>
    </row>
    <row r="16053" ht="15.75" customHeight="1">
      <c r="A16053" s="7"/>
      <c r="B16053" s="7"/>
      <c r="M16053" s="9" t="s">
        <v>21</v>
      </c>
    </row>
    <row r="16054" ht="15.75" customHeight="1">
      <c r="A16054" s="7"/>
      <c r="B16054" s="7"/>
      <c r="M16054" s="9" t="s">
        <v>27</v>
      </c>
    </row>
    <row r="16055" ht="15.75" customHeight="1">
      <c r="A16055" s="7"/>
      <c r="B16055" s="7"/>
      <c r="M16055" s="9" t="s">
        <v>33</v>
      </c>
    </row>
    <row r="16056" ht="15.75" customHeight="1">
      <c r="A16056" s="7"/>
      <c r="B16056" s="7"/>
      <c r="M16056" s="9" t="s">
        <v>30</v>
      </c>
    </row>
    <row r="16057" ht="15.75" customHeight="1">
      <c r="A16057" s="7"/>
      <c r="B16057" s="7"/>
      <c r="M16057" s="9" t="s">
        <v>25</v>
      </c>
    </row>
    <row r="16058" ht="15.75" customHeight="1">
      <c r="A16058" s="7"/>
      <c r="B16058" s="7"/>
      <c r="M16058" s="9" t="s">
        <v>22</v>
      </c>
    </row>
    <row r="16059" ht="15.75" customHeight="1">
      <c r="A16059" s="7"/>
      <c r="B16059" s="7"/>
      <c r="M16059" s="9" t="s">
        <v>26</v>
      </c>
    </row>
    <row r="16060" ht="15.75" customHeight="1">
      <c r="A16060" s="7"/>
      <c r="B16060" s="7"/>
      <c r="M16060" s="9" t="s">
        <v>24</v>
      </c>
    </row>
    <row r="16061" ht="15.75" customHeight="1">
      <c r="A16061" s="7"/>
      <c r="B16061" s="7"/>
      <c r="M16061" s="9" t="s">
        <v>20</v>
      </c>
    </row>
    <row r="16062" ht="15.75" customHeight="1">
      <c r="A16062" s="7"/>
      <c r="B16062" s="7"/>
      <c r="M16062" s="9" t="s">
        <v>21</v>
      </c>
    </row>
    <row r="16063" ht="15.75" customHeight="1">
      <c r="A16063" s="7"/>
      <c r="B16063" s="7"/>
      <c r="M16063" s="9" t="s">
        <v>27</v>
      </c>
    </row>
    <row r="16064" ht="15.75" customHeight="1">
      <c r="A16064" s="7"/>
      <c r="B16064" s="7"/>
      <c r="M16064" s="9" t="s">
        <v>24</v>
      </c>
    </row>
    <row r="16065" ht="15.75" customHeight="1">
      <c r="A16065" s="7"/>
      <c r="B16065" s="7"/>
      <c r="M16065" s="9" t="s">
        <v>20</v>
      </c>
    </row>
    <row r="16066" ht="15.75" customHeight="1">
      <c r="A16066" s="7"/>
      <c r="B16066" s="7"/>
      <c r="M16066" s="9" t="s">
        <v>21</v>
      </c>
    </row>
    <row r="16067" ht="15.75" customHeight="1">
      <c r="A16067" s="7"/>
      <c r="B16067" s="7"/>
      <c r="M16067" s="9" t="s">
        <v>39</v>
      </c>
    </row>
    <row r="16068" ht="15.75" customHeight="1">
      <c r="A16068" s="7"/>
      <c r="B16068" s="7"/>
      <c r="M16068" s="9" t="s">
        <v>41</v>
      </c>
    </row>
    <row r="16069" ht="15.75" customHeight="1">
      <c r="A16069" s="7"/>
      <c r="B16069" s="7"/>
      <c r="M16069" s="9" t="s">
        <v>37</v>
      </c>
    </row>
    <row r="16070" ht="15.75" customHeight="1">
      <c r="A16070" s="7"/>
      <c r="B16070" s="7"/>
      <c r="M16070" s="9" t="s">
        <v>22</v>
      </c>
    </row>
    <row r="16071" ht="15.75" customHeight="1">
      <c r="A16071" s="7"/>
      <c r="B16071" s="7"/>
      <c r="M16071" s="9" t="s">
        <v>27</v>
      </c>
    </row>
    <row r="16072" ht="15.75" customHeight="1">
      <c r="A16072" s="7"/>
      <c r="B16072" s="7"/>
      <c r="M16072" s="9" t="s">
        <v>40</v>
      </c>
    </row>
    <row r="16073" ht="15.75" customHeight="1">
      <c r="A16073" s="7"/>
      <c r="B16073" s="7"/>
      <c r="M16073" s="9" t="s">
        <v>33</v>
      </c>
    </row>
    <row r="16074" ht="15.75" customHeight="1">
      <c r="A16074" s="7"/>
      <c r="B16074" s="7"/>
      <c r="M16074" s="9" t="s">
        <v>30</v>
      </c>
    </row>
    <row r="16075" ht="15.75" customHeight="1">
      <c r="A16075" s="7"/>
      <c r="B16075" s="7"/>
      <c r="M16075" s="9" t="s">
        <v>36</v>
      </c>
    </row>
    <row r="16076" ht="15.75" customHeight="1">
      <c r="A16076" s="7"/>
      <c r="B16076" s="7"/>
      <c r="M16076" s="9" t="s">
        <v>20</v>
      </c>
    </row>
    <row r="16077" ht="15.75" customHeight="1">
      <c r="A16077" s="7"/>
      <c r="B16077" s="7"/>
      <c r="M16077" s="9" t="s">
        <v>22</v>
      </c>
    </row>
    <row r="16078" ht="15.75" customHeight="1">
      <c r="A16078" s="7"/>
      <c r="B16078" s="7"/>
      <c r="M16078" s="9" t="s">
        <v>31</v>
      </c>
    </row>
    <row r="16079" ht="15.75" customHeight="1">
      <c r="A16079" s="7"/>
      <c r="B16079" s="7"/>
      <c r="M16079" s="9" t="s">
        <v>27</v>
      </c>
    </row>
    <row r="16080" ht="15.75" customHeight="1">
      <c r="A16080" s="7"/>
      <c r="B16080" s="7"/>
      <c r="M16080" s="9" t="s">
        <v>30</v>
      </c>
    </row>
    <row r="16081" ht="15.75" customHeight="1">
      <c r="A16081" s="7"/>
      <c r="B16081" s="7"/>
      <c r="M16081" s="9" t="s">
        <v>24</v>
      </c>
    </row>
    <row r="16082" ht="15.75" customHeight="1">
      <c r="A16082" s="7"/>
      <c r="B16082" s="7"/>
      <c r="M16082" s="9" t="s">
        <v>20</v>
      </c>
    </row>
    <row r="16083" ht="15.75" customHeight="1">
      <c r="A16083" s="7"/>
      <c r="B16083" s="7"/>
      <c r="M16083" s="9" t="s">
        <v>21</v>
      </c>
    </row>
    <row r="16084" ht="15.75" customHeight="1">
      <c r="A16084" s="7"/>
      <c r="B16084" s="7"/>
      <c r="M16084" s="9" t="s">
        <v>37</v>
      </c>
    </row>
    <row r="16085" ht="15.75" customHeight="1">
      <c r="A16085" s="7"/>
      <c r="B16085" s="7"/>
      <c r="M16085" s="9" t="s">
        <v>27</v>
      </c>
    </row>
    <row r="16086" ht="15.75" customHeight="1">
      <c r="A16086" s="7"/>
      <c r="B16086" s="7"/>
      <c r="M16086" s="9" t="s">
        <v>35</v>
      </c>
    </row>
    <row r="16087" ht="15.75" customHeight="1">
      <c r="A16087" s="7"/>
      <c r="B16087" s="7"/>
      <c r="M16087" s="9" t="s">
        <v>24</v>
      </c>
    </row>
    <row r="16088" ht="15.75" customHeight="1">
      <c r="A16088" s="7"/>
      <c r="B16088" s="7"/>
      <c r="M16088" s="9" t="s">
        <v>20</v>
      </c>
    </row>
    <row r="16089" ht="15.75" customHeight="1">
      <c r="A16089" s="7"/>
      <c r="B16089" s="7"/>
      <c r="M16089" s="9" t="s">
        <v>21</v>
      </c>
    </row>
    <row r="16090" ht="15.75" customHeight="1">
      <c r="A16090" s="7"/>
      <c r="B16090" s="7"/>
      <c r="M16090" s="9" t="s">
        <v>26</v>
      </c>
    </row>
    <row r="16091" ht="15.75" customHeight="1">
      <c r="A16091" s="7"/>
      <c r="B16091" s="7"/>
      <c r="M16091" s="9" t="s">
        <v>47</v>
      </c>
    </row>
    <row r="16092" ht="15.75" customHeight="1">
      <c r="A16092" s="7"/>
      <c r="B16092" s="7"/>
      <c r="M16092" s="9" t="s">
        <v>27</v>
      </c>
    </row>
    <row r="16093" ht="15.75" customHeight="1">
      <c r="A16093" s="7"/>
      <c r="B16093" s="7"/>
      <c r="M16093" s="9" t="s">
        <v>35</v>
      </c>
    </row>
    <row r="16094" ht="15.75" customHeight="1">
      <c r="A16094" s="7"/>
      <c r="B16094" s="7"/>
      <c r="M16094" s="9" t="s">
        <v>30</v>
      </c>
    </row>
    <row r="16095" ht="15.75" customHeight="1">
      <c r="A16095" s="7"/>
      <c r="B16095" s="7"/>
      <c r="M16095" s="9" t="s">
        <v>24</v>
      </c>
    </row>
    <row r="16096" ht="15.75" customHeight="1">
      <c r="A16096" s="7"/>
      <c r="B16096" s="7"/>
      <c r="M16096" s="9" t="s">
        <v>20</v>
      </c>
    </row>
    <row r="16097" ht="15.75" customHeight="1">
      <c r="A16097" s="7"/>
      <c r="B16097" s="7"/>
      <c r="M16097" s="9" t="s">
        <v>21</v>
      </c>
    </row>
    <row r="16098" ht="15.75" customHeight="1">
      <c r="A16098" s="7"/>
      <c r="B16098" s="7"/>
      <c r="M16098" s="9" t="s">
        <v>22</v>
      </c>
    </row>
    <row r="16099" ht="15.75" customHeight="1">
      <c r="A16099" s="7"/>
      <c r="B16099" s="7"/>
      <c r="M16099" s="9" t="s">
        <v>27</v>
      </c>
    </row>
    <row r="16100" ht="15.75" customHeight="1">
      <c r="A16100" s="7"/>
      <c r="B16100" s="7"/>
      <c r="M16100" s="9" t="s">
        <v>25</v>
      </c>
    </row>
    <row r="16101" ht="15.75" customHeight="1">
      <c r="A16101" s="7"/>
      <c r="B16101" s="7"/>
      <c r="M16101" s="9" t="s">
        <v>20</v>
      </c>
    </row>
    <row r="16102" ht="15.75" customHeight="1">
      <c r="A16102" s="7"/>
      <c r="B16102" s="7"/>
      <c r="M16102" s="9" t="s">
        <v>21</v>
      </c>
    </row>
    <row r="16103" ht="15.75" customHeight="1">
      <c r="A16103" s="7"/>
      <c r="B16103" s="7"/>
      <c r="M16103" s="9" t="s">
        <v>22</v>
      </c>
    </row>
    <row r="16104" ht="15.75" customHeight="1">
      <c r="A16104" s="7"/>
      <c r="B16104" s="7"/>
      <c r="M16104" s="9" t="s">
        <v>33</v>
      </c>
    </row>
    <row r="16105" ht="15.75" customHeight="1">
      <c r="A16105" s="7"/>
      <c r="B16105" s="7"/>
      <c r="M16105" s="9" t="s">
        <v>35</v>
      </c>
    </row>
    <row r="16106" ht="15.75" customHeight="1">
      <c r="A16106" s="7"/>
      <c r="B16106" s="7"/>
      <c r="M16106" s="9" t="s">
        <v>26</v>
      </c>
    </row>
    <row r="16107" ht="15.75" customHeight="1">
      <c r="A16107" s="7"/>
      <c r="B16107" s="7"/>
      <c r="M16107" s="9" t="s">
        <v>24</v>
      </c>
    </row>
    <row r="16108" ht="15.75" customHeight="1">
      <c r="A16108" s="7"/>
      <c r="B16108" s="7"/>
      <c r="M16108" s="9" t="s">
        <v>21</v>
      </c>
    </row>
    <row r="16109" ht="15.75" customHeight="1">
      <c r="A16109" s="7"/>
      <c r="B16109" s="7"/>
      <c r="M16109" s="9" t="s">
        <v>22</v>
      </c>
    </row>
    <row r="16110" ht="15.75" customHeight="1">
      <c r="A16110" s="7"/>
      <c r="B16110" s="7"/>
      <c r="M16110" s="9" t="s">
        <v>27</v>
      </c>
    </row>
    <row r="16111" ht="15.75" customHeight="1">
      <c r="A16111" s="7"/>
      <c r="B16111" s="7"/>
      <c r="M16111" s="9" t="s">
        <v>35</v>
      </c>
    </row>
    <row r="16112" ht="15.75" customHeight="1">
      <c r="A16112" s="7"/>
      <c r="B16112" s="7"/>
      <c r="M16112" s="9" t="s">
        <v>25</v>
      </c>
    </row>
    <row r="16113" ht="15.75" customHeight="1">
      <c r="A16113" s="7"/>
      <c r="B16113" s="7"/>
      <c r="M16113" s="9" t="s">
        <v>36</v>
      </c>
    </row>
    <row r="16114" ht="15.75" customHeight="1">
      <c r="A16114" s="7"/>
      <c r="B16114" s="7"/>
      <c r="M16114" s="9" t="s">
        <v>24</v>
      </c>
    </row>
    <row r="16115" ht="15.75" customHeight="1">
      <c r="A16115" s="7"/>
      <c r="B16115" s="7"/>
      <c r="M16115" s="9" t="s">
        <v>21</v>
      </c>
    </row>
    <row r="16116" ht="15.75" customHeight="1">
      <c r="A16116" s="7"/>
      <c r="B16116" s="7"/>
      <c r="M16116" s="9" t="s">
        <v>31</v>
      </c>
    </row>
    <row r="16117" ht="15.75" customHeight="1">
      <c r="A16117" s="7"/>
      <c r="B16117" s="7"/>
      <c r="M16117" s="9" t="s">
        <v>27</v>
      </c>
    </row>
    <row r="16118" ht="15.75" customHeight="1">
      <c r="A16118" s="7"/>
      <c r="B16118" s="7"/>
      <c r="M16118" s="9" t="s">
        <v>22</v>
      </c>
    </row>
    <row r="16119" ht="15.75" customHeight="1">
      <c r="A16119" s="7"/>
      <c r="B16119" s="7"/>
      <c r="M16119" s="9" t="s">
        <v>29</v>
      </c>
    </row>
    <row r="16120" ht="15.75" customHeight="1">
      <c r="A16120" s="7"/>
      <c r="B16120" s="7"/>
      <c r="M16120" s="9" t="s">
        <v>30</v>
      </c>
    </row>
    <row r="16121" ht="15.75" customHeight="1">
      <c r="A16121" s="7"/>
      <c r="B16121" s="7"/>
      <c r="M16121" s="9" t="s">
        <v>24</v>
      </c>
    </row>
    <row r="16122" ht="15.75" customHeight="1">
      <c r="A16122" s="7"/>
      <c r="B16122" s="7"/>
      <c r="M16122" s="9" t="s">
        <v>21</v>
      </c>
    </row>
    <row r="16123" ht="15.75" customHeight="1">
      <c r="A16123" s="7"/>
      <c r="B16123" s="7"/>
      <c r="M16123" s="9" t="s">
        <v>37</v>
      </c>
    </row>
    <row r="16124" ht="15.75" customHeight="1">
      <c r="A16124" s="7"/>
      <c r="B16124" s="7"/>
      <c r="M16124" s="9" t="s">
        <v>27</v>
      </c>
    </row>
    <row r="16125" ht="15.75" customHeight="1">
      <c r="A16125" s="7"/>
      <c r="B16125" s="7"/>
      <c r="M16125" s="9" t="s">
        <v>26</v>
      </c>
    </row>
    <row r="16126" ht="15.75" customHeight="1">
      <c r="A16126" s="7"/>
      <c r="B16126" s="7"/>
      <c r="M16126" s="9" t="s">
        <v>24</v>
      </c>
    </row>
    <row r="16127" ht="15.75" customHeight="1">
      <c r="A16127" s="7"/>
      <c r="B16127" s="7"/>
      <c r="M16127" s="9" t="s">
        <v>21</v>
      </c>
    </row>
    <row r="16128" ht="15.75" customHeight="1">
      <c r="A16128" s="7"/>
      <c r="B16128" s="7"/>
      <c r="M16128" s="9" t="s">
        <v>27</v>
      </c>
    </row>
    <row r="16129" ht="15.75" customHeight="1">
      <c r="A16129" s="7"/>
      <c r="B16129" s="7"/>
      <c r="M16129" s="9" t="s">
        <v>35</v>
      </c>
    </row>
    <row r="16130" ht="15.75" customHeight="1">
      <c r="A16130" s="7"/>
      <c r="B16130" s="7"/>
      <c r="M16130" s="9" t="s">
        <v>24</v>
      </c>
    </row>
    <row r="16131" ht="15.75" customHeight="1">
      <c r="A16131" s="7"/>
      <c r="B16131" s="7"/>
      <c r="M16131" s="9" t="s">
        <v>20</v>
      </c>
    </row>
    <row r="16132" ht="15.75" customHeight="1">
      <c r="A16132" s="7"/>
      <c r="B16132" s="7"/>
      <c r="M16132" s="9" t="s">
        <v>21</v>
      </c>
    </row>
    <row r="16133" ht="15.75" customHeight="1">
      <c r="A16133" s="7"/>
      <c r="B16133" s="7"/>
      <c r="M16133" s="9" t="s">
        <v>37</v>
      </c>
    </row>
    <row r="16134" ht="15.75" customHeight="1">
      <c r="A16134" s="7"/>
      <c r="B16134" s="7"/>
      <c r="M16134" s="9" t="s">
        <v>27</v>
      </c>
    </row>
    <row r="16135" ht="15.75" customHeight="1">
      <c r="A16135" s="7"/>
      <c r="B16135" s="7"/>
      <c r="M16135" s="9" t="s">
        <v>33</v>
      </c>
    </row>
    <row r="16136" ht="15.75" customHeight="1">
      <c r="A16136" s="7"/>
      <c r="B16136" s="7"/>
      <c r="M16136" s="9" t="s">
        <v>21</v>
      </c>
    </row>
    <row r="16137" ht="15.75" customHeight="1">
      <c r="A16137" s="7"/>
      <c r="B16137" s="7"/>
      <c r="M16137" s="9" t="s">
        <v>37</v>
      </c>
    </row>
    <row r="16138" ht="15.75" customHeight="1">
      <c r="A16138" s="7"/>
      <c r="B16138" s="7"/>
      <c r="M16138" s="9" t="s">
        <v>38</v>
      </c>
    </row>
    <row r="16139" ht="15.75" customHeight="1">
      <c r="A16139" s="7"/>
      <c r="B16139" s="7"/>
      <c r="M16139" s="9" t="s">
        <v>30</v>
      </c>
    </row>
    <row r="16140" ht="15.75" customHeight="1">
      <c r="A16140" s="7"/>
      <c r="B16140" s="7"/>
      <c r="M16140" s="9" t="s">
        <v>25</v>
      </c>
    </row>
    <row r="16141" ht="15.75" customHeight="1">
      <c r="A16141" s="7"/>
      <c r="B16141" s="7"/>
      <c r="M16141" s="9" t="s">
        <v>23</v>
      </c>
    </row>
    <row r="16142" ht="15.75" customHeight="1">
      <c r="A16142" s="7"/>
      <c r="B16142" s="7"/>
      <c r="M16142" s="9" t="s">
        <v>26</v>
      </c>
    </row>
    <row r="16143" ht="15.75" customHeight="1">
      <c r="A16143" s="7"/>
      <c r="B16143" s="7"/>
      <c r="M16143" s="9" t="s">
        <v>36</v>
      </c>
    </row>
    <row r="16144" ht="15.75" customHeight="1">
      <c r="A16144" s="7"/>
      <c r="B16144" s="7"/>
      <c r="M16144" s="9" t="s">
        <v>22</v>
      </c>
    </row>
    <row r="16145" ht="15.75" customHeight="1">
      <c r="A16145" s="7"/>
      <c r="B16145" s="7"/>
      <c r="M16145" s="9" t="s">
        <v>27</v>
      </c>
    </row>
    <row r="16146" ht="15.75" customHeight="1">
      <c r="A16146" s="7"/>
      <c r="B16146" s="7"/>
      <c r="M16146" s="9" t="s">
        <v>33</v>
      </c>
    </row>
    <row r="16147" ht="15.75" customHeight="1">
      <c r="A16147" s="7"/>
      <c r="B16147" s="7"/>
      <c r="M16147" s="9" t="s">
        <v>38</v>
      </c>
    </row>
    <row r="16148" ht="15.75" customHeight="1">
      <c r="A16148" s="7"/>
      <c r="B16148" s="7"/>
      <c r="M16148" s="9" t="s">
        <v>26</v>
      </c>
    </row>
    <row r="16149" ht="15.75" customHeight="1">
      <c r="A16149" s="7"/>
      <c r="B16149" s="7"/>
      <c r="M16149" s="9" t="s">
        <v>24</v>
      </c>
    </row>
    <row r="16150" ht="15.75" customHeight="1">
      <c r="A16150" s="7"/>
      <c r="B16150" s="7"/>
      <c r="M16150" s="9" t="s">
        <v>21</v>
      </c>
    </row>
    <row r="16151" ht="15.75" customHeight="1">
      <c r="A16151" s="7"/>
      <c r="B16151" s="7"/>
      <c r="M16151" s="9" t="s">
        <v>27</v>
      </c>
    </row>
    <row r="16152" ht="15.75" customHeight="1">
      <c r="A16152" s="7"/>
      <c r="B16152" s="7"/>
      <c r="M16152" s="9" t="s">
        <v>33</v>
      </c>
    </row>
    <row r="16153" ht="15.75" customHeight="1">
      <c r="A16153" s="7"/>
      <c r="B16153" s="7"/>
      <c r="M16153" s="9" t="s">
        <v>30</v>
      </c>
    </row>
    <row r="16154" ht="15.75" customHeight="1">
      <c r="A16154" s="7"/>
      <c r="B16154" s="7"/>
      <c r="M16154" s="9" t="s">
        <v>24</v>
      </c>
    </row>
    <row r="16155" ht="15.75" customHeight="1">
      <c r="A16155" s="7"/>
      <c r="B16155" s="7"/>
      <c r="M16155" s="9" t="s">
        <v>20</v>
      </c>
    </row>
    <row r="16156" ht="15.75" customHeight="1">
      <c r="A16156" s="7"/>
      <c r="B16156" s="7"/>
      <c r="M16156" s="9" t="s">
        <v>22</v>
      </c>
    </row>
    <row r="16157" ht="15.75" customHeight="1">
      <c r="A16157" s="7"/>
      <c r="B16157" s="7"/>
      <c r="M16157" s="9" t="s">
        <v>27</v>
      </c>
    </row>
    <row r="16158" ht="15.75" customHeight="1">
      <c r="A16158" s="7"/>
      <c r="B16158" s="7"/>
      <c r="M16158" s="9" t="s">
        <v>30</v>
      </c>
    </row>
    <row r="16159" ht="15.75" customHeight="1">
      <c r="A16159" s="7"/>
      <c r="B16159" s="7"/>
      <c r="M16159" s="9" t="s">
        <v>25</v>
      </c>
    </row>
    <row r="16160" ht="15.75" customHeight="1">
      <c r="A16160" s="7"/>
      <c r="B16160" s="7"/>
      <c r="M16160" s="9" t="s">
        <v>24</v>
      </c>
    </row>
    <row r="16161" ht="15.75" customHeight="1">
      <c r="A16161" s="7"/>
      <c r="B16161" s="7"/>
      <c r="M16161" s="9" t="s">
        <v>21</v>
      </c>
    </row>
    <row r="16162" ht="15.75" customHeight="1">
      <c r="A16162" s="7"/>
      <c r="B16162" s="7"/>
      <c r="M16162" s="9" t="s">
        <v>22</v>
      </c>
    </row>
    <row r="16163" ht="15.75" customHeight="1">
      <c r="A16163" s="7"/>
      <c r="B16163" s="7"/>
      <c r="M16163" s="9" t="s">
        <v>38</v>
      </c>
    </row>
    <row r="16164" ht="15.75" customHeight="1">
      <c r="A16164" s="7"/>
      <c r="B16164" s="7"/>
      <c r="M16164" s="9" t="s">
        <v>23</v>
      </c>
    </row>
    <row r="16165" ht="15.75" customHeight="1">
      <c r="A16165" s="7"/>
      <c r="B16165" s="7"/>
      <c r="M16165" s="9" t="s">
        <v>24</v>
      </c>
    </row>
    <row r="16166" ht="15.75" customHeight="1">
      <c r="A16166" s="7"/>
      <c r="B16166" s="7"/>
      <c r="M16166" s="9" t="s">
        <v>20</v>
      </c>
    </row>
    <row r="16167" ht="15.75" customHeight="1">
      <c r="A16167" s="7"/>
      <c r="B16167" s="7"/>
      <c r="M16167" s="9" t="s">
        <v>21</v>
      </c>
    </row>
    <row r="16168" ht="15.75" customHeight="1">
      <c r="A16168" s="7"/>
      <c r="B16168" s="7"/>
      <c r="M16168" s="9" t="s">
        <v>22</v>
      </c>
    </row>
    <row r="16169" ht="15.75" customHeight="1">
      <c r="A16169" s="7"/>
      <c r="B16169" s="7"/>
      <c r="M16169" s="9" t="s">
        <v>25</v>
      </c>
    </row>
    <row r="16170" ht="15.75" customHeight="1">
      <c r="A16170" s="7"/>
      <c r="B16170" s="7"/>
      <c r="M16170" s="9" t="s">
        <v>30</v>
      </c>
    </row>
    <row r="16171" ht="15.75" customHeight="1">
      <c r="A16171" s="7"/>
      <c r="B16171" s="7"/>
      <c r="M16171" s="9" t="s">
        <v>23</v>
      </c>
    </row>
    <row r="16172" ht="15.75" customHeight="1">
      <c r="A16172" s="7"/>
      <c r="B16172" s="7"/>
      <c r="M16172" s="9" t="s">
        <v>24</v>
      </c>
    </row>
    <row r="16173" ht="15.75" customHeight="1">
      <c r="A16173" s="7"/>
      <c r="B16173" s="7"/>
      <c r="M16173" s="9" t="s">
        <v>21</v>
      </c>
    </row>
    <row r="16174" ht="15.75" customHeight="1">
      <c r="A16174" s="7"/>
      <c r="B16174" s="7"/>
      <c r="M16174" s="9" t="s">
        <v>37</v>
      </c>
    </row>
    <row r="16175" ht="15.75" customHeight="1">
      <c r="A16175" s="7"/>
      <c r="B16175" s="7"/>
      <c r="M16175" s="9" t="s">
        <v>22</v>
      </c>
    </row>
    <row r="16176" ht="15.75" customHeight="1">
      <c r="A16176" s="7"/>
      <c r="B16176" s="7"/>
      <c r="M16176" s="9" t="s">
        <v>27</v>
      </c>
    </row>
    <row r="16177" ht="15.75" customHeight="1">
      <c r="A16177" s="7"/>
      <c r="B16177" s="7"/>
      <c r="M16177" s="9" t="s">
        <v>20</v>
      </c>
    </row>
    <row r="16178" ht="15.75" customHeight="1">
      <c r="A16178" s="7"/>
      <c r="B16178" s="7"/>
      <c r="M16178" s="9" t="s">
        <v>21</v>
      </c>
    </row>
    <row r="16179" ht="15.75" customHeight="1">
      <c r="A16179" s="7"/>
      <c r="B16179" s="7"/>
      <c r="M16179" s="9" t="s">
        <v>37</v>
      </c>
    </row>
    <row r="16180" ht="15.75" customHeight="1">
      <c r="A16180" s="7"/>
      <c r="B16180" s="7"/>
      <c r="M16180" s="9" t="s">
        <v>30</v>
      </c>
    </row>
    <row r="16181" ht="15.75" customHeight="1">
      <c r="A16181" s="7"/>
      <c r="B16181" s="7"/>
      <c r="M16181" s="9" t="s">
        <v>24</v>
      </c>
    </row>
    <row r="16182" ht="15.75" customHeight="1">
      <c r="A16182" s="7"/>
      <c r="B16182" s="7"/>
      <c r="M16182" s="9" t="s">
        <v>21</v>
      </c>
    </row>
    <row r="16183" ht="15.75" customHeight="1">
      <c r="A16183" s="7"/>
      <c r="B16183" s="7"/>
      <c r="M16183" s="9" t="s">
        <v>37</v>
      </c>
    </row>
    <row r="16184" ht="15.75" customHeight="1">
      <c r="A16184" s="7"/>
      <c r="B16184" s="7"/>
      <c r="M16184" s="9" t="s">
        <v>27</v>
      </c>
    </row>
    <row r="16185" ht="15.75" customHeight="1">
      <c r="A16185" s="7"/>
      <c r="B16185" s="7"/>
      <c r="M16185" s="9" t="s">
        <v>47</v>
      </c>
    </row>
    <row r="16186" ht="15.75" customHeight="1">
      <c r="A16186" s="7"/>
      <c r="B16186" s="7"/>
      <c r="M16186" s="9" t="s">
        <v>20</v>
      </c>
    </row>
    <row r="16187" ht="15.75" customHeight="1">
      <c r="A16187" s="7"/>
      <c r="B16187" s="7"/>
      <c r="M16187" s="9" t="s">
        <v>39</v>
      </c>
    </row>
    <row r="16188" ht="15.75" customHeight="1">
      <c r="A16188" s="7"/>
      <c r="B16188" s="7"/>
      <c r="M16188" s="9" t="s">
        <v>37</v>
      </c>
    </row>
    <row r="16189" ht="15.75" customHeight="1">
      <c r="A16189" s="7"/>
      <c r="B16189" s="7"/>
      <c r="M16189" s="9" t="s">
        <v>22</v>
      </c>
    </row>
    <row r="16190" ht="15.75" customHeight="1">
      <c r="A16190" s="7"/>
      <c r="B16190" s="7"/>
      <c r="M16190" s="9" t="s">
        <v>26</v>
      </c>
    </row>
    <row r="16191" ht="15.75" customHeight="1">
      <c r="A16191" s="7"/>
      <c r="B16191" s="7"/>
      <c r="M16191" s="9" t="s">
        <v>27</v>
      </c>
    </row>
    <row r="16192" ht="15.75" customHeight="1">
      <c r="A16192" s="7"/>
      <c r="B16192" s="7"/>
      <c r="M16192" s="9" t="s">
        <v>23</v>
      </c>
    </row>
    <row r="16193" ht="15.75" customHeight="1">
      <c r="A16193" s="7"/>
      <c r="B16193" s="7"/>
      <c r="M16193" s="9" t="s">
        <v>26</v>
      </c>
    </row>
    <row r="16194" ht="15.75" customHeight="1">
      <c r="A16194" s="7"/>
      <c r="B16194" s="7"/>
      <c r="M16194" s="9" t="s">
        <v>24</v>
      </c>
    </row>
    <row r="16195" ht="15.75" customHeight="1">
      <c r="A16195" s="7"/>
      <c r="B16195" s="7"/>
      <c r="M16195" s="9" t="s">
        <v>20</v>
      </c>
    </row>
    <row r="16196" ht="15.75" customHeight="1">
      <c r="A16196" s="7"/>
      <c r="B16196" s="7"/>
      <c r="M16196" s="9" t="s">
        <v>21</v>
      </c>
    </row>
    <row r="16197" ht="15.75" customHeight="1">
      <c r="A16197" s="7"/>
      <c r="B16197" s="7"/>
      <c r="M16197" s="9" t="s">
        <v>22</v>
      </c>
    </row>
    <row r="16198" ht="15.75" customHeight="1">
      <c r="A16198" s="7"/>
      <c r="B16198" s="7"/>
      <c r="M16198" s="9" t="s">
        <v>24</v>
      </c>
    </row>
    <row r="16199" ht="15.75" customHeight="1">
      <c r="A16199" s="7"/>
      <c r="B16199" s="7"/>
      <c r="M16199" s="9" t="s">
        <v>21</v>
      </c>
    </row>
    <row r="16200" ht="15.75" customHeight="1">
      <c r="A16200" s="7"/>
      <c r="B16200" s="7"/>
      <c r="M16200" s="9" t="s">
        <v>22</v>
      </c>
    </row>
    <row r="16201" ht="15.75" customHeight="1">
      <c r="A16201" s="7"/>
      <c r="B16201" s="7"/>
      <c r="M16201" s="9" t="s">
        <v>31</v>
      </c>
    </row>
    <row r="16202" ht="15.75" customHeight="1">
      <c r="A16202" s="7"/>
      <c r="B16202" s="7"/>
      <c r="M16202" s="9" t="s">
        <v>27</v>
      </c>
    </row>
    <row r="16203" ht="15.75" customHeight="1">
      <c r="A16203" s="7"/>
      <c r="B16203" s="7"/>
      <c r="M16203" s="9" t="s">
        <v>33</v>
      </c>
    </row>
    <row r="16204" ht="15.75" customHeight="1">
      <c r="A16204" s="7"/>
      <c r="B16204" s="7"/>
      <c r="M16204" s="9" t="s">
        <v>30</v>
      </c>
    </row>
    <row r="16205" ht="15.75" customHeight="1">
      <c r="A16205" s="7"/>
      <c r="B16205" s="7"/>
      <c r="M16205" s="9" t="s">
        <v>24</v>
      </c>
    </row>
    <row r="16206" ht="15.75" customHeight="1">
      <c r="A16206" s="7"/>
      <c r="B16206" s="7"/>
      <c r="M16206" s="9" t="s">
        <v>22</v>
      </c>
    </row>
    <row r="16207" ht="15.75" customHeight="1">
      <c r="A16207" s="7"/>
      <c r="B16207" s="7"/>
      <c r="M16207" s="9" t="s">
        <v>29</v>
      </c>
    </row>
    <row r="16208" ht="15.75" customHeight="1">
      <c r="A16208" s="7"/>
      <c r="B16208" s="7"/>
      <c r="M16208" s="9" t="s">
        <v>27</v>
      </c>
    </row>
    <row r="16209" ht="15.75" customHeight="1">
      <c r="A16209" s="7"/>
      <c r="B16209" s="7"/>
      <c r="M16209" s="9" t="s">
        <v>24</v>
      </c>
    </row>
    <row r="16210" ht="15.75" customHeight="1">
      <c r="A16210" s="7"/>
      <c r="B16210" s="7"/>
      <c r="M16210" s="9" t="s">
        <v>20</v>
      </c>
    </row>
    <row r="16211" ht="15.75" customHeight="1">
      <c r="A16211" s="7"/>
      <c r="B16211" s="7"/>
      <c r="M16211" s="9" t="s">
        <v>21</v>
      </c>
    </row>
    <row r="16212" ht="15.75" customHeight="1">
      <c r="A16212" s="7"/>
      <c r="B16212" s="7"/>
      <c r="M16212" s="9" t="s">
        <v>37</v>
      </c>
    </row>
    <row r="16213" ht="15.75" customHeight="1">
      <c r="A16213" s="7"/>
      <c r="B16213" s="7"/>
      <c r="M16213" s="9" t="s">
        <v>22</v>
      </c>
    </row>
    <row r="16214" ht="15.75" customHeight="1">
      <c r="A16214" s="7"/>
      <c r="B16214" s="7"/>
      <c r="M16214" s="9" t="s">
        <v>38</v>
      </c>
    </row>
    <row r="16215" ht="15.75" customHeight="1">
      <c r="A16215" s="7"/>
      <c r="B16215" s="7"/>
      <c r="M16215" s="9" t="s">
        <v>25</v>
      </c>
    </row>
    <row r="16216" ht="15.75" customHeight="1">
      <c r="A16216" s="7"/>
      <c r="B16216" s="7"/>
      <c r="M16216" s="9" t="s">
        <v>23</v>
      </c>
    </row>
    <row r="16217" ht="15.75" customHeight="1">
      <c r="A16217" s="7"/>
      <c r="B16217" s="7"/>
      <c r="M16217" s="9" t="s">
        <v>21</v>
      </c>
    </row>
    <row r="16218" ht="15.75" customHeight="1">
      <c r="A16218" s="7"/>
      <c r="B16218" s="7"/>
      <c r="M16218" s="9" t="s">
        <v>22</v>
      </c>
    </row>
    <row r="16219" ht="15.75" customHeight="1">
      <c r="A16219" s="7"/>
      <c r="B16219" s="7"/>
      <c r="M16219" s="9" t="s">
        <v>30</v>
      </c>
    </row>
    <row r="16220" ht="15.75" customHeight="1">
      <c r="A16220" s="7"/>
      <c r="B16220" s="7"/>
      <c r="M16220" s="9" t="s">
        <v>25</v>
      </c>
    </row>
    <row r="16221" ht="15.75" customHeight="1">
      <c r="A16221" s="7"/>
      <c r="B16221" s="7"/>
      <c r="M16221" s="9" t="s">
        <v>23</v>
      </c>
    </row>
    <row r="16222" ht="15.75" customHeight="1">
      <c r="A16222" s="7"/>
      <c r="B16222" s="7"/>
      <c r="M16222" s="9" t="s">
        <v>26</v>
      </c>
    </row>
    <row r="16223" ht="15.75" customHeight="1">
      <c r="A16223" s="7"/>
      <c r="B16223" s="7"/>
      <c r="M16223" s="9" t="s">
        <v>24</v>
      </c>
    </row>
    <row r="16224" ht="15.75" customHeight="1">
      <c r="A16224" s="7"/>
      <c r="B16224" s="7"/>
      <c r="M16224" s="9" t="s">
        <v>20</v>
      </c>
    </row>
    <row r="16225" ht="15.75" customHeight="1">
      <c r="A16225" s="7"/>
      <c r="B16225" s="7"/>
      <c r="M16225" s="9" t="s">
        <v>21</v>
      </c>
    </row>
    <row r="16226" ht="15.75" customHeight="1">
      <c r="A16226" s="7"/>
      <c r="B16226" s="7"/>
      <c r="M16226" s="9" t="s">
        <v>37</v>
      </c>
    </row>
    <row r="16227" ht="15.75" customHeight="1">
      <c r="A16227" s="7"/>
      <c r="B16227" s="7"/>
      <c r="M16227" s="9" t="s">
        <v>27</v>
      </c>
    </row>
    <row r="16228" ht="15.75" customHeight="1">
      <c r="A16228" s="7"/>
      <c r="B16228" s="7"/>
      <c r="M16228" s="9" t="s">
        <v>33</v>
      </c>
    </row>
    <row r="16229" ht="15.75" customHeight="1">
      <c r="A16229" s="7"/>
      <c r="B16229" s="7"/>
      <c r="M16229" s="9" t="s">
        <v>23</v>
      </c>
    </row>
    <row r="16230" ht="15.75" customHeight="1">
      <c r="A16230" s="7"/>
      <c r="B16230" s="7"/>
      <c r="M16230" s="9" t="s">
        <v>24</v>
      </c>
    </row>
    <row r="16231" ht="15.75" customHeight="1">
      <c r="A16231" s="7"/>
      <c r="B16231" s="7"/>
      <c r="M16231" s="9" t="s">
        <v>22</v>
      </c>
    </row>
    <row r="16232" ht="15.75" customHeight="1">
      <c r="A16232" s="7"/>
      <c r="B16232" s="7"/>
      <c r="M16232" s="9" t="s">
        <v>30</v>
      </c>
    </row>
    <row r="16233" ht="15.75" customHeight="1">
      <c r="A16233" s="7"/>
      <c r="B16233" s="7"/>
      <c r="M16233" s="9" t="s">
        <v>23</v>
      </c>
    </row>
    <row r="16234" ht="15.75" customHeight="1">
      <c r="A16234" s="7"/>
      <c r="B16234" s="7"/>
      <c r="M16234" s="9" t="s">
        <v>26</v>
      </c>
    </row>
    <row r="16235" ht="15.75" customHeight="1">
      <c r="A16235" s="7"/>
      <c r="B16235" s="7"/>
      <c r="M16235" s="9" t="s">
        <v>45</v>
      </c>
    </row>
    <row r="16236" ht="15.75" customHeight="1">
      <c r="A16236" s="7"/>
      <c r="B16236" s="7"/>
      <c r="M16236" s="9" t="s">
        <v>24</v>
      </c>
    </row>
    <row r="16237" ht="15.75" customHeight="1">
      <c r="A16237" s="7"/>
      <c r="B16237" s="7"/>
      <c r="M16237" s="9" t="s">
        <v>22</v>
      </c>
    </row>
    <row r="16238" ht="15.75" customHeight="1">
      <c r="A16238" s="7"/>
      <c r="B16238" s="7"/>
      <c r="M16238" s="9" t="s">
        <v>27</v>
      </c>
    </row>
    <row r="16239" ht="15.75" customHeight="1">
      <c r="A16239" s="7"/>
      <c r="B16239" s="7"/>
      <c r="M16239" s="9" t="s">
        <v>33</v>
      </c>
    </row>
    <row r="16240" ht="15.75" customHeight="1">
      <c r="A16240" s="7"/>
      <c r="B16240" s="7"/>
      <c r="M16240" s="9" t="s">
        <v>35</v>
      </c>
    </row>
    <row r="16241" ht="15.75" customHeight="1">
      <c r="A16241" s="7"/>
      <c r="B16241" s="7"/>
      <c r="M16241" s="9" t="s">
        <v>44</v>
      </c>
    </row>
    <row r="16242" ht="15.75" customHeight="1">
      <c r="A16242" s="7"/>
      <c r="B16242" s="7"/>
      <c r="M16242" s="9" t="s">
        <v>24</v>
      </c>
    </row>
    <row r="16243" ht="15.75" customHeight="1">
      <c r="A16243" s="7"/>
      <c r="B16243" s="7"/>
      <c r="M16243" s="9" t="s">
        <v>23</v>
      </c>
    </row>
    <row r="16244" ht="15.75" customHeight="1">
      <c r="A16244" s="7"/>
      <c r="B16244" s="7"/>
      <c r="M16244" s="9" t="s">
        <v>38</v>
      </c>
    </row>
    <row r="16245" ht="15.75" customHeight="1">
      <c r="A16245" s="7"/>
      <c r="B16245" s="7"/>
      <c r="M16245" s="9" t="s">
        <v>25</v>
      </c>
    </row>
    <row r="16246" ht="15.75" customHeight="1">
      <c r="A16246" s="7"/>
      <c r="B16246" s="7"/>
      <c r="M16246" s="9" t="s">
        <v>23</v>
      </c>
    </row>
    <row r="16247" ht="15.75" customHeight="1">
      <c r="A16247" s="7"/>
      <c r="B16247" s="7"/>
      <c r="M16247" s="9" t="s">
        <v>24</v>
      </c>
    </row>
    <row r="16248" ht="15.75" customHeight="1">
      <c r="A16248" s="7"/>
      <c r="B16248" s="7"/>
      <c r="M16248" s="9" t="s">
        <v>20</v>
      </c>
    </row>
    <row r="16249" ht="15.75" customHeight="1">
      <c r="A16249" s="7"/>
      <c r="B16249" s="7"/>
      <c r="M16249" s="9" t="s">
        <v>21</v>
      </c>
    </row>
    <row r="16250" ht="15.75" customHeight="1">
      <c r="A16250" s="7"/>
      <c r="B16250" s="7"/>
      <c r="M16250" s="9" t="s">
        <v>37</v>
      </c>
    </row>
    <row r="16251" ht="15.75" customHeight="1">
      <c r="A16251" s="7"/>
      <c r="B16251" s="7"/>
      <c r="M16251" s="9" t="s">
        <v>22</v>
      </c>
    </row>
    <row r="16252" ht="15.75" customHeight="1">
      <c r="A16252" s="7"/>
      <c r="B16252" s="7"/>
      <c r="M16252" s="9" t="s">
        <v>29</v>
      </c>
    </row>
    <row r="16253" ht="15.75" customHeight="1">
      <c r="A16253" s="7"/>
      <c r="B16253" s="7"/>
      <c r="M16253" s="9" t="s">
        <v>27</v>
      </c>
    </row>
    <row r="16254" ht="15.75" customHeight="1">
      <c r="A16254" s="7"/>
      <c r="B16254" s="7"/>
      <c r="M16254" s="9" t="s">
        <v>24</v>
      </c>
    </row>
    <row r="16255" ht="15.75" customHeight="1">
      <c r="A16255" s="7"/>
      <c r="B16255" s="7"/>
      <c r="M16255" s="9" t="s">
        <v>21</v>
      </c>
    </row>
    <row r="16256" ht="15.75" customHeight="1">
      <c r="A16256" s="7"/>
      <c r="B16256" s="7"/>
      <c r="M16256" s="9" t="s">
        <v>33</v>
      </c>
    </row>
    <row r="16257" ht="15.75" customHeight="1">
      <c r="A16257" s="7"/>
      <c r="B16257" s="7"/>
      <c r="M16257" s="9" t="s">
        <v>30</v>
      </c>
    </row>
    <row r="16258" ht="15.75" customHeight="1">
      <c r="A16258" s="7"/>
      <c r="B16258" s="7"/>
      <c r="M16258" s="9" t="s">
        <v>26</v>
      </c>
    </row>
    <row r="16259" ht="15.75" customHeight="1">
      <c r="A16259" s="7"/>
      <c r="B16259" s="7"/>
      <c r="M16259" s="9" t="s">
        <v>24</v>
      </c>
    </row>
    <row r="16260" ht="15.75" customHeight="1">
      <c r="A16260" s="7"/>
      <c r="B16260" s="7"/>
      <c r="M16260" s="9" t="s">
        <v>21</v>
      </c>
    </row>
    <row r="16261" ht="15.75" customHeight="1">
      <c r="A16261" s="7"/>
      <c r="B16261" s="7"/>
      <c r="M16261" s="9" t="s">
        <v>22</v>
      </c>
    </row>
    <row r="16262" ht="15.75" customHeight="1">
      <c r="A16262" s="7"/>
      <c r="B16262" s="7"/>
      <c r="M16262" s="9" t="s">
        <v>24</v>
      </c>
    </row>
    <row r="16263" ht="15.75" customHeight="1">
      <c r="A16263" s="7"/>
      <c r="B16263" s="7"/>
      <c r="M16263" s="9" t="s">
        <v>21</v>
      </c>
    </row>
    <row r="16264" ht="15.75" customHeight="1">
      <c r="A16264" s="7"/>
      <c r="B16264" s="7"/>
      <c r="M16264" s="9" t="s">
        <v>33</v>
      </c>
    </row>
    <row r="16265" ht="15.75" customHeight="1">
      <c r="A16265" s="7"/>
      <c r="B16265" s="7"/>
      <c r="M16265" s="9" t="s">
        <v>20</v>
      </c>
    </row>
    <row r="16266" ht="15.75" customHeight="1">
      <c r="A16266" s="7"/>
      <c r="B16266" s="7"/>
      <c r="M16266" s="9" t="s">
        <v>21</v>
      </c>
    </row>
    <row r="16267" ht="15.75" customHeight="1">
      <c r="A16267" s="7"/>
      <c r="B16267" s="7"/>
      <c r="M16267" s="9" t="s">
        <v>33</v>
      </c>
    </row>
    <row r="16268" ht="15.75" customHeight="1">
      <c r="A16268" s="7"/>
      <c r="B16268" s="7"/>
      <c r="M16268" s="9" t="s">
        <v>20</v>
      </c>
    </row>
    <row r="16269" ht="15.75" customHeight="1">
      <c r="A16269" s="7"/>
      <c r="B16269" s="7"/>
      <c r="M16269" s="9" t="s">
        <v>21</v>
      </c>
    </row>
    <row r="16270" ht="15.75" customHeight="1">
      <c r="A16270" s="7"/>
      <c r="B16270" s="7"/>
      <c r="M16270" s="9" t="s">
        <v>33</v>
      </c>
    </row>
    <row r="16271" ht="15.75" customHeight="1">
      <c r="A16271" s="7"/>
      <c r="B16271" s="7"/>
      <c r="M16271" s="9" t="s">
        <v>22</v>
      </c>
    </row>
    <row r="16272" ht="15.75" customHeight="1">
      <c r="A16272" s="7"/>
      <c r="B16272" s="7"/>
      <c r="M16272" s="9" t="s">
        <v>30</v>
      </c>
    </row>
    <row r="16273" ht="15.75" customHeight="1">
      <c r="A16273" s="7"/>
      <c r="B16273" s="7"/>
      <c r="M16273" s="9" t="s">
        <v>22</v>
      </c>
    </row>
    <row r="16274" ht="15.75" customHeight="1">
      <c r="A16274" s="7"/>
      <c r="B16274" s="7"/>
      <c r="M16274" s="9" t="s">
        <v>38</v>
      </c>
    </row>
    <row r="16275" ht="15.75" customHeight="1">
      <c r="A16275" s="7"/>
      <c r="B16275" s="7"/>
      <c r="M16275" s="9" t="s">
        <v>30</v>
      </c>
    </row>
    <row r="16276" ht="15.75" customHeight="1">
      <c r="A16276" s="7"/>
      <c r="B16276" s="7"/>
      <c r="M16276" s="9" t="s">
        <v>25</v>
      </c>
    </row>
    <row r="16277" ht="15.75" customHeight="1">
      <c r="A16277" s="7"/>
      <c r="B16277" s="7"/>
      <c r="M16277" s="9" t="s">
        <v>23</v>
      </c>
    </row>
    <row r="16278" ht="15.75" customHeight="1">
      <c r="A16278" s="7"/>
      <c r="B16278" s="7"/>
      <c r="M16278" s="9" t="s">
        <v>24</v>
      </c>
    </row>
    <row r="16279" ht="15.75" customHeight="1">
      <c r="A16279" s="7"/>
      <c r="B16279" s="7"/>
      <c r="M16279" s="9" t="s">
        <v>21</v>
      </c>
    </row>
    <row r="16280" ht="15.75" customHeight="1">
      <c r="A16280" s="7"/>
      <c r="B16280" s="7"/>
      <c r="M16280" s="9" t="s">
        <v>31</v>
      </c>
    </row>
    <row r="16281" ht="15.75" customHeight="1">
      <c r="A16281" s="7"/>
      <c r="B16281" s="7"/>
      <c r="M16281" s="9" t="s">
        <v>32</v>
      </c>
    </row>
    <row r="16282" ht="15.75" customHeight="1">
      <c r="A16282" s="7"/>
      <c r="B16282" s="7"/>
      <c r="M16282" s="9" t="s">
        <v>36</v>
      </c>
    </row>
    <row r="16283" ht="15.75" customHeight="1">
      <c r="A16283" s="7"/>
      <c r="B16283" s="7"/>
      <c r="M16283" s="9" t="s">
        <v>24</v>
      </c>
    </row>
    <row r="16284" ht="15.75" customHeight="1">
      <c r="A16284" s="7"/>
      <c r="B16284" s="7"/>
      <c r="M16284" s="9" t="s">
        <v>21</v>
      </c>
    </row>
    <row r="16285" ht="15.75" customHeight="1">
      <c r="A16285" s="7"/>
      <c r="B16285" s="7"/>
      <c r="M16285" s="9" t="s">
        <v>27</v>
      </c>
    </row>
    <row r="16286" ht="15.75" customHeight="1">
      <c r="A16286" s="7"/>
      <c r="B16286" s="7"/>
      <c r="M16286" s="9" t="s">
        <v>27</v>
      </c>
    </row>
    <row r="16287" ht="15.75" customHeight="1">
      <c r="A16287" s="7"/>
      <c r="B16287" s="7"/>
      <c r="M16287" s="9" t="s">
        <v>35</v>
      </c>
    </row>
    <row r="16288" ht="15.75" customHeight="1">
      <c r="A16288" s="7"/>
      <c r="B16288" s="7"/>
      <c r="M16288" s="9" t="s">
        <v>30</v>
      </c>
    </row>
    <row r="16289" ht="15.75" customHeight="1">
      <c r="A16289" s="7"/>
      <c r="B16289" s="7"/>
      <c r="M16289" s="9" t="s">
        <v>26</v>
      </c>
    </row>
    <row r="16290" ht="15.75" customHeight="1">
      <c r="A16290" s="7"/>
      <c r="B16290" s="7"/>
      <c r="M16290" s="9" t="s">
        <v>24</v>
      </c>
    </row>
    <row r="16291" ht="15.75" customHeight="1">
      <c r="A16291" s="7"/>
      <c r="B16291" s="7"/>
      <c r="M16291" s="9" t="s">
        <v>21</v>
      </c>
    </row>
    <row r="16292" ht="15.75" customHeight="1">
      <c r="A16292" s="7"/>
      <c r="B16292" s="7"/>
      <c r="M16292" s="9" t="s">
        <v>27</v>
      </c>
    </row>
    <row r="16293" ht="15.75" customHeight="1">
      <c r="A16293" s="7"/>
      <c r="B16293" s="7"/>
      <c r="M16293" s="9" t="s">
        <v>33</v>
      </c>
    </row>
    <row r="16294" ht="15.75" customHeight="1">
      <c r="A16294" s="7"/>
      <c r="B16294" s="7"/>
      <c r="M16294" s="9" t="s">
        <v>30</v>
      </c>
    </row>
    <row r="16295" ht="15.75" customHeight="1">
      <c r="A16295" s="7"/>
      <c r="B16295" s="7"/>
      <c r="M16295" s="9" t="s">
        <v>25</v>
      </c>
    </row>
    <row r="16296" ht="15.75" customHeight="1">
      <c r="A16296" s="7"/>
      <c r="B16296" s="7"/>
      <c r="M16296" s="9" t="s">
        <v>23</v>
      </c>
    </row>
    <row r="16297" ht="15.75" customHeight="1">
      <c r="A16297" s="7"/>
      <c r="B16297" s="7"/>
      <c r="M16297" s="9" t="s">
        <v>36</v>
      </c>
    </row>
    <row r="16298" ht="15.75" customHeight="1">
      <c r="A16298" s="7"/>
      <c r="B16298" s="7"/>
      <c r="M16298" s="9" t="s">
        <v>24</v>
      </c>
    </row>
    <row r="16299" ht="15.75" customHeight="1">
      <c r="A16299" s="7"/>
      <c r="B16299" s="7"/>
      <c r="M16299" s="9" t="s">
        <v>20</v>
      </c>
    </row>
    <row r="16300" ht="15.75" customHeight="1">
      <c r="A16300" s="7"/>
      <c r="B16300" s="7"/>
      <c r="M16300" s="9" t="s">
        <v>21</v>
      </c>
    </row>
    <row r="16301" ht="15.75" customHeight="1">
      <c r="A16301" s="7"/>
      <c r="B16301" s="7"/>
      <c r="M16301" s="9" t="s">
        <v>39</v>
      </c>
    </row>
    <row r="16302" ht="15.75" customHeight="1">
      <c r="A16302" s="7"/>
      <c r="B16302" s="7"/>
      <c r="M16302" s="9" t="s">
        <v>22</v>
      </c>
    </row>
    <row r="16303" ht="15.75" customHeight="1">
      <c r="A16303" s="7"/>
      <c r="B16303" s="7"/>
      <c r="M16303" s="9" t="s">
        <v>27</v>
      </c>
    </row>
    <row r="16304" ht="15.75" customHeight="1">
      <c r="A16304" s="7"/>
      <c r="B16304" s="7"/>
      <c r="M16304" s="9" t="s">
        <v>40</v>
      </c>
    </row>
    <row r="16305" ht="15.75" customHeight="1">
      <c r="A16305" s="7"/>
      <c r="B16305" s="7"/>
      <c r="M16305" s="9" t="s">
        <v>33</v>
      </c>
    </row>
    <row r="16306" ht="15.75" customHeight="1">
      <c r="A16306" s="7"/>
      <c r="B16306" s="7"/>
      <c r="M16306" s="9" t="s">
        <v>34</v>
      </c>
    </row>
    <row r="16307" ht="15.75" customHeight="1">
      <c r="A16307" s="7"/>
      <c r="B16307" s="7"/>
      <c r="M16307" s="9" t="s">
        <v>35</v>
      </c>
    </row>
    <row r="16308" ht="15.75" customHeight="1">
      <c r="A16308" s="7"/>
      <c r="B16308" s="7"/>
      <c r="M16308" s="9" t="s">
        <v>26</v>
      </c>
    </row>
    <row r="16309" ht="15.75" customHeight="1">
      <c r="A16309" s="7"/>
      <c r="B16309" s="7"/>
      <c r="M16309" s="9" t="s">
        <v>27</v>
      </c>
    </row>
    <row r="16310" ht="15.75" customHeight="1">
      <c r="A16310" s="7"/>
      <c r="B16310" s="7"/>
      <c r="M16310" s="9" t="s">
        <v>28</v>
      </c>
    </row>
    <row r="16311" ht="15.75" customHeight="1">
      <c r="A16311" s="7"/>
      <c r="B16311" s="7"/>
      <c r="M16311" s="9" t="s">
        <v>38</v>
      </c>
    </row>
    <row r="16312" ht="15.75" customHeight="1">
      <c r="A16312" s="7"/>
      <c r="B16312" s="7"/>
      <c r="M16312" s="9" t="s">
        <v>25</v>
      </c>
    </row>
    <row r="16313" ht="15.75" customHeight="1">
      <c r="A16313" s="7"/>
      <c r="B16313" s="7"/>
      <c r="M16313" s="9" t="s">
        <v>23</v>
      </c>
    </row>
    <row r="16314" ht="15.75" customHeight="1">
      <c r="A16314" s="7"/>
      <c r="B16314" s="7"/>
      <c r="M16314" s="9" t="s">
        <v>24</v>
      </c>
    </row>
    <row r="16315" ht="15.75" customHeight="1">
      <c r="A16315" s="7"/>
      <c r="B16315" s="7"/>
      <c r="M16315" s="9" t="s">
        <v>20</v>
      </c>
    </row>
    <row r="16316" ht="15.75" customHeight="1">
      <c r="A16316" s="7"/>
      <c r="B16316" s="7"/>
      <c r="M16316" s="9" t="s">
        <v>21</v>
      </c>
    </row>
    <row r="16317" ht="15.75" customHeight="1">
      <c r="A16317" s="7"/>
      <c r="B16317" s="7"/>
      <c r="M16317" s="9" t="s">
        <v>37</v>
      </c>
    </row>
    <row r="16318" ht="15.75" customHeight="1">
      <c r="A16318" s="7"/>
      <c r="B16318" s="7"/>
      <c r="M16318" s="9" t="s">
        <v>27</v>
      </c>
    </row>
    <row r="16319" ht="15.75" customHeight="1">
      <c r="A16319" s="7"/>
      <c r="B16319" s="7"/>
      <c r="M16319" s="9" t="s">
        <v>26</v>
      </c>
    </row>
    <row r="16320" ht="15.75" customHeight="1">
      <c r="A16320" s="7"/>
      <c r="B16320" s="7"/>
      <c r="M16320" s="9" t="s">
        <v>33</v>
      </c>
    </row>
    <row r="16321" ht="15.75" customHeight="1">
      <c r="A16321" s="7"/>
      <c r="B16321" s="7"/>
      <c r="M16321" s="9" t="s">
        <v>26</v>
      </c>
    </row>
    <row r="16322" ht="15.75" customHeight="1">
      <c r="A16322" s="7"/>
      <c r="B16322" s="7"/>
      <c r="M16322" s="9" t="s">
        <v>24</v>
      </c>
    </row>
    <row r="16323" ht="15.75" customHeight="1">
      <c r="A16323" s="7"/>
      <c r="B16323" s="7"/>
      <c r="M16323" s="9" t="s">
        <v>21</v>
      </c>
    </row>
    <row r="16324" ht="15.75" customHeight="1">
      <c r="A16324" s="7"/>
      <c r="B16324" s="7"/>
      <c r="M16324" s="9" t="s">
        <v>27</v>
      </c>
    </row>
    <row r="16325" ht="15.75" customHeight="1">
      <c r="A16325" s="7"/>
      <c r="B16325" s="7"/>
      <c r="M16325" s="9" t="s">
        <v>28</v>
      </c>
    </row>
    <row r="16326" ht="15.75" customHeight="1">
      <c r="A16326" s="7"/>
      <c r="B16326" s="7"/>
      <c r="M16326" s="9" t="s">
        <v>30</v>
      </c>
    </row>
    <row r="16327" ht="15.75" customHeight="1">
      <c r="A16327" s="7"/>
      <c r="B16327" s="7"/>
      <c r="M16327" s="9" t="s">
        <v>24</v>
      </c>
    </row>
    <row r="16328" ht="15.75" customHeight="1">
      <c r="A16328" s="7"/>
      <c r="B16328" s="7"/>
      <c r="M16328" s="9" t="s">
        <v>20</v>
      </c>
    </row>
    <row r="16329" ht="15.75" customHeight="1">
      <c r="A16329" s="7"/>
      <c r="B16329" s="7"/>
      <c r="M16329" s="9" t="s">
        <v>21</v>
      </c>
    </row>
    <row r="16330" ht="15.75" customHeight="1">
      <c r="A16330" s="7"/>
      <c r="B16330" s="7"/>
      <c r="M16330" s="9" t="s">
        <v>27</v>
      </c>
    </row>
    <row r="16331" ht="15.75" customHeight="1">
      <c r="A16331" s="7"/>
      <c r="B16331" s="7"/>
      <c r="M16331" s="9" t="s">
        <v>38</v>
      </c>
    </row>
    <row r="16332" ht="15.75" customHeight="1">
      <c r="A16332" s="7"/>
      <c r="B16332" s="7"/>
      <c r="M16332" s="9" t="s">
        <v>30</v>
      </c>
    </row>
    <row r="16333" ht="15.75" customHeight="1">
      <c r="A16333" s="7"/>
      <c r="B16333" s="7"/>
      <c r="M16333" s="9" t="s">
        <v>25</v>
      </c>
    </row>
    <row r="16334" ht="15.75" customHeight="1">
      <c r="A16334" s="7"/>
      <c r="B16334" s="7"/>
      <c r="M16334" s="9" t="s">
        <v>23</v>
      </c>
    </row>
    <row r="16335" ht="15.75" customHeight="1">
      <c r="A16335" s="7"/>
      <c r="B16335" s="7"/>
      <c r="M16335" s="9" t="s">
        <v>26</v>
      </c>
    </row>
    <row r="16336" ht="15.75" customHeight="1">
      <c r="A16336" s="7"/>
      <c r="B16336" s="7"/>
      <c r="M16336" s="9" t="s">
        <v>24</v>
      </c>
    </row>
    <row r="16337" ht="15.75" customHeight="1">
      <c r="A16337" s="7"/>
      <c r="B16337" s="7"/>
      <c r="M16337" s="9" t="s">
        <v>20</v>
      </c>
    </row>
    <row r="16338" ht="15.75" customHeight="1">
      <c r="A16338" s="7"/>
      <c r="B16338" s="7"/>
      <c r="M16338" s="9" t="s">
        <v>21</v>
      </c>
    </row>
    <row r="16339" ht="15.75" customHeight="1">
      <c r="A16339" s="7"/>
      <c r="B16339" s="7"/>
      <c r="M16339" s="9" t="s">
        <v>22</v>
      </c>
    </row>
    <row r="16340" ht="15.75" customHeight="1">
      <c r="A16340" s="7"/>
      <c r="B16340" s="7"/>
      <c r="M16340" s="9" t="s">
        <v>32</v>
      </c>
    </row>
    <row r="16341" ht="15.75" customHeight="1">
      <c r="A16341" s="7"/>
      <c r="B16341" s="7"/>
      <c r="M16341" s="9" t="s">
        <v>46</v>
      </c>
    </row>
    <row r="16342" ht="15.75" customHeight="1">
      <c r="A16342" s="7"/>
      <c r="B16342" s="7"/>
      <c r="M16342" s="9" t="s">
        <v>27</v>
      </c>
    </row>
    <row r="16343" ht="15.75" customHeight="1">
      <c r="A16343" s="7"/>
      <c r="B16343" s="7"/>
      <c r="M16343" s="9" t="s">
        <v>33</v>
      </c>
    </row>
    <row r="16344" ht="15.75" customHeight="1">
      <c r="A16344" s="7"/>
      <c r="B16344" s="7"/>
      <c r="M16344" s="9" t="s">
        <v>30</v>
      </c>
    </row>
    <row r="16345" ht="15.75" customHeight="1">
      <c r="A16345" s="7"/>
      <c r="B16345" s="7"/>
      <c r="M16345" s="9" t="s">
        <v>24</v>
      </c>
    </row>
    <row r="16346" ht="15.75" customHeight="1">
      <c r="A16346" s="7"/>
      <c r="B16346" s="7"/>
      <c r="M16346" s="9" t="s">
        <v>21</v>
      </c>
    </row>
    <row r="16347" ht="15.75" customHeight="1">
      <c r="A16347" s="7"/>
      <c r="B16347" s="7"/>
      <c r="M16347" s="9" t="s">
        <v>22</v>
      </c>
    </row>
    <row r="16348" ht="15.75" customHeight="1">
      <c r="A16348" s="7"/>
      <c r="B16348" s="7"/>
      <c r="M16348" s="9" t="s">
        <v>38</v>
      </c>
    </row>
    <row r="16349" ht="15.75" customHeight="1">
      <c r="A16349" s="7"/>
      <c r="B16349" s="7"/>
      <c r="M16349" s="9" t="s">
        <v>25</v>
      </c>
    </row>
    <row r="16350" ht="15.75" customHeight="1">
      <c r="A16350" s="7"/>
      <c r="B16350" s="7"/>
      <c r="M16350" s="9" t="s">
        <v>24</v>
      </c>
    </row>
    <row r="16351" ht="15.75" customHeight="1">
      <c r="A16351" s="7"/>
      <c r="B16351" s="7"/>
      <c r="M16351" s="9" t="s">
        <v>20</v>
      </c>
    </row>
    <row r="16352" ht="15.75" customHeight="1">
      <c r="A16352" s="7"/>
      <c r="B16352" s="7"/>
      <c r="M16352" s="9" t="s">
        <v>21</v>
      </c>
    </row>
    <row r="16353" ht="15.75" customHeight="1">
      <c r="A16353" s="7"/>
      <c r="B16353" s="7"/>
      <c r="M16353" s="9" t="s">
        <v>37</v>
      </c>
    </row>
    <row r="16354" ht="15.75" customHeight="1">
      <c r="A16354" s="7"/>
      <c r="B16354" s="7"/>
      <c r="M16354" s="9" t="s">
        <v>27</v>
      </c>
    </row>
    <row r="16355" ht="15.75" customHeight="1">
      <c r="A16355" s="7"/>
      <c r="B16355" s="7"/>
      <c r="M16355" s="9" t="s">
        <v>30</v>
      </c>
    </row>
    <row r="16356" ht="15.75" customHeight="1">
      <c r="A16356" s="7"/>
      <c r="B16356" s="7"/>
      <c r="M16356" s="9" t="s">
        <v>36</v>
      </c>
    </row>
    <row r="16357" ht="15.75" customHeight="1">
      <c r="A16357" s="7"/>
      <c r="B16357" s="7"/>
      <c r="M16357" s="9" t="s">
        <v>21</v>
      </c>
    </row>
    <row r="16358" ht="15.75" customHeight="1">
      <c r="A16358" s="7"/>
      <c r="B16358" s="7"/>
      <c r="M16358" s="9" t="s">
        <v>27</v>
      </c>
    </row>
    <row r="16359" ht="15.75" customHeight="1">
      <c r="A16359" s="7"/>
      <c r="B16359" s="7"/>
      <c r="M16359" s="9" t="s">
        <v>25</v>
      </c>
    </row>
    <row r="16360" ht="15.75" customHeight="1">
      <c r="A16360" s="7"/>
      <c r="B16360" s="7"/>
      <c r="M16360" s="9" t="s">
        <v>24</v>
      </c>
    </row>
    <row r="16361" ht="15.75" customHeight="1">
      <c r="A16361" s="7"/>
      <c r="B16361" s="7"/>
      <c r="M16361" s="9" t="s">
        <v>21</v>
      </c>
    </row>
    <row r="16362" ht="15.75" customHeight="1">
      <c r="A16362" s="7"/>
      <c r="B16362" s="7"/>
      <c r="M16362" s="9" t="s">
        <v>22</v>
      </c>
    </row>
    <row r="16363" ht="15.75" customHeight="1">
      <c r="A16363" s="7"/>
      <c r="B16363" s="7"/>
      <c r="M16363" s="9" t="s">
        <v>32</v>
      </c>
    </row>
    <row r="16364" ht="15.75" customHeight="1">
      <c r="A16364" s="7"/>
      <c r="B16364" s="7"/>
      <c r="M16364" s="9" t="s">
        <v>23</v>
      </c>
    </row>
    <row r="16365" ht="15.75" customHeight="1">
      <c r="A16365" s="7"/>
      <c r="B16365" s="7"/>
      <c r="M16365" s="9" t="s">
        <v>24</v>
      </c>
    </row>
    <row r="16366" ht="15.75" customHeight="1">
      <c r="A16366" s="7"/>
      <c r="B16366" s="7"/>
      <c r="M16366" s="9" t="s">
        <v>20</v>
      </c>
    </row>
    <row r="16367" ht="15.75" customHeight="1">
      <c r="A16367" s="7"/>
      <c r="B16367" s="7"/>
      <c r="M16367" s="9" t="s">
        <v>27</v>
      </c>
    </row>
    <row r="16368" ht="15.75" customHeight="1">
      <c r="A16368" s="7"/>
      <c r="B16368" s="7"/>
      <c r="M16368" s="9" t="s">
        <v>23</v>
      </c>
    </row>
    <row r="16369" ht="15.75" customHeight="1">
      <c r="A16369" s="7"/>
      <c r="B16369" s="7"/>
      <c r="M16369" s="9" t="s">
        <v>26</v>
      </c>
    </row>
    <row r="16370" ht="15.75" customHeight="1">
      <c r="A16370" s="7"/>
      <c r="B16370" s="7"/>
      <c r="M16370" s="9" t="s">
        <v>24</v>
      </c>
    </row>
    <row r="16371" ht="15.75" customHeight="1">
      <c r="A16371" s="7"/>
      <c r="B16371" s="7"/>
      <c r="M16371" s="9" t="s">
        <v>20</v>
      </c>
    </row>
    <row r="16372" ht="15.75" customHeight="1">
      <c r="A16372" s="7"/>
      <c r="B16372" s="7"/>
      <c r="M16372" s="9" t="s">
        <v>21</v>
      </c>
    </row>
    <row r="16373" ht="15.75" customHeight="1">
      <c r="A16373" s="7"/>
      <c r="B16373" s="7"/>
      <c r="M16373" s="9" t="s">
        <v>22</v>
      </c>
    </row>
    <row r="16374" ht="15.75" customHeight="1">
      <c r="A16374" s="7"/>
      <c r="B16374" s="7"/>
      <c r="M16374" s="9" t="s">
        <v>33</v>
      </c>
    </row>
    <row r="16375" ht="15.75" customHeight="1">
      <c r="A16375" s="7"/>
      <c r="B16375" s="7"/>
      <c r="M16375" s="9" t="s">
        <v>24</v>
      </c>
    </row>
    <row r="16376" ht="15.75" customHeight="1">
      <c r="A16376" s="7"/>
      <c r="B16376" s="7"/>
      <c r="M16376" s="9" t="s">
        <v>21</v>
      </c>
    </row>
    <row r="16377" ht="15.75" customHeight="1">
      <c r="A16377" s="7"/>
      <c r="B16377" s="7"/>
      <c r="M16377" s="9" t="s">
        <v>27</v>
      </c>
    </row>
    <row r="16378" ht="15.75" customHeight="1">
      <c r="A16378" s="7"/>
      <c r="B16378" s="7"/>
      <c r="M16378" s="9" t="s">
        <v>30</v>
      </c>
    </row>
    <row r="16379" ht="15.75" customHeight="1">
      <c r="A16379" s="7"/>
      <c r="B16379" s="7"/>
      <c r="M16379" s="9" t="s">
        <v>20</v>
      </c>
    </row>
    <row r="16380" ht="15.75" customHeight="1">
      <c r="A16380" s="7"/>
      <c r="B16380" s="7"/>
      <c r="M16380" s="9" t="s">
        <v>27</v>
      </c>
    </row>
    <row r="16381" ht="15.75" customHeight="1">
      <c r="A16381" s="7"/>
      <c r="B16381" s="7"/>
      <c r="M16381" s="9" t="s">
        <v>35</v>
      </c>
    </row>
    <row r="16382" ht="15.75" customHeight="1">
      <c r="A16382" s="7"/>
      <c r="B16382" s="7"/>
      <c r="M16382" s="9" t="s">
        <v>24</v>
      </c>
    </row>
    <row r="16383" ht="15.75" customHeight="1">
      <c r="A16383" s="7"/>
      <c r="B16383" s="7"/>
      <c r="M16383" s="9" t="s">
        <v>21</v>
      </c>
    </row>
    <row r="16384" ht="15.75" customHeight="1">
      <c r="A16384" s="7"/>
      <c r="B16384" s="7"/>
      <c r="M16384" s="9" t="s">
        <v>37</v>
      </c>
    </row>
    <row r="16385" ht="15.75" customHeight="1">
      <c r="A16385" s="7"/>
      <c r="B16385" s="7"/>
      <c r="M16385" s="9" t="s">
        <v>29</v>
      </c>
    </row>
    <row r="16386" ht="15.75" customHeight="1">
      <c r="A16386" s="7"/>
      <c r="B16386" s="7"/>
      <c r="M16386" s="9" t="s">
        <v>27</v>
      </c>
    </row>
    <row r="16387" ht="15.75" customHeight="1">
      <c r="A16387" s="7"/>
      <c r="B16387" s="7"/>
      <c r="M16387" s="9" t="s">
        <v>33</v>
      </c>
    </row>
    <row r="16388" ht="15.75" customHeight="1">
      <c r="A16388" s="7"/>
      <c r="B16388" s="7"/>
      <c r="M16388" s="9" t="s">
        <v>28</v>
      </c>
    </row>
    <row r="16389" ht="15.75" customHeight="1">
      <c r="A16389" s="7"/>
      <c r="B16389" s="7"/>
      <c r="M16389" s="9" t="s">
        <v>20</v>
      </c>
    </row>
    <row r="16390" ht="15.75" customHeight="1">
      <c r="A16390" s="7"/>
      <c r="B16390" s="7"/>
      <c r="M16390" s="9" t="s">
        <v>21</v>
      </c>
    </row>
    <row r="16391" ht="15.75" customHeight="1">
      <c r="A16391" s="7"/>
      <c r="B16391" s="7"/>
      <c r="M16391" s="9" t="s">
        <v>37</v>
      </c>
    </row>
    <row r="16392" ht="15.75" customHeight="1">
      <c r="A16392" s="7"/>
      <c r="B16392" s="7"/>
      <c r="M16392" s="9" t="s">
        <v>30</v>
      </c>
    </row>
    <row r="16393" ht="15.75" customHeight="1">
      <c r="A16393" s="7"/>
      <c r="B16393" s="7"/>
      <c r="M16393" s="9" t="s">
        <v>24</v>
      </c>
    </row>
    <row r="16394" ht="15.75" customHeight="1">
      <c r="A16394" s="7"/>
      <c r="B16394" s="7"/>
      <c r="M16394" s="9" t="s">
        <v>20</v>
      </c>
    </row>
    <row r="16395" ht="15.75" customHeight="1">
      <c r="A16395" s="7"/>
      <c r="B16395" s="7"/>
      <c r="M16395" s="9" t="s">
        <v>21</v>
      </c>
    </row>
    <row r="16396" ht="15.75" customHeight="1">
      <c r="A16396" s="7"/>
      <c r="B16396" s="7"/>
      <c r="M16396" s="9" t="s">
        <v>22</v>
      </c>
    </row>
    <row r="16397" ht="15.75" customHeight="1">
      <c r="A16397" s="7"/>
      <c r="B16397" s="7"/>
      <c r="M16397" s="9" t="s">
        <v>38</v>
      </c>
    </row>
    <row r="16398" ht="15.75" customHeight="1">
      <c r="A16398" s="7"/>
      <c r="B16398" s="7"/>
      <c r="M16398" s="9" t="s">
        <v>30</v>
      </c>
    </row>
    <row r="16399" ht="15.75" customHeight="1">
      <c r="A16399" s="7"/>
      <c r="B16399" s="7"/>
      <c r="M16399" s="9" t="s">
        <v>25</v>
      </c>
    </row>
    <row r="16400" ht="15.75" customHeight="1">
      <c r="A16400" s="7"/>
      <c r="B16400" s="7"/>
      <c r="M16400" s="9" t="s">
        <v>23</v>
      </c>
    </row>
    <row r="16401" ht="15.75" customHeight="1">
      <c r="A16401" s="7"/>
      <c r="B16401" s="7"/>
      <c r="M16401" s="9" t="s">
        <v>36</v>
      </c>
    </row>
    <row r="16402" ht="15.75" customHeight="1">
      <c r="A16402" s="7"/>
      <c r="B16402" s="7"/>
      <c r="M16402" s="9" t="s">
        <v>22</v>
      </c>
    </row>
    <row r="16403" ht="15.75" customHeight="1">
      <c r="A16403" s="7"/>
      <c r="B16403" s="7"/>
      <c r="M16403" s="9" t="s">
        <v>24</v>
      </c>
    </row>
    <row r="16404" ht="15.75" customHeight="1">
      <c r="A16404" s="7"/>
      <c r="B16404" s="7"/>
      <c r="M16404" s="9" t="s">
        <v>21</v>
      </c>
    </row>
    <row r="16405" ht="15.75" customHeight="1">
      <c r="A16405" s="7"/>
      <c r="B16405" s="7"/>
      <c r="M16405" s="9" t="s">
        <v>37</v>
      </c>
    </row>
    <row r="16406" ht="15.75" customHeight="1">
      <c r="A16406" s="7"/>
      <c r="B16406" s="7"/>
      <c r="M16406" s="9" t="s">
        <v>40</v>
      </c>
    </row>
    <row r="16407" ht="15.75" customHeight="1">
      <c r="A16407" s="7"/>
      <c r="B16407" s="7"/>
      <c r="M16407" s="9" t="s">
        <v>26</v>
      </c>
    </row>
    <row r="16408" ht="15.75" customHeight="1">
      <c r="A16408" s="7"/>
      <c r="B16408" s="7"/>
      <c r="M16408" s="9" t="s">
        <v>24</v>
      </c>
    </row>
    <row r="16409" ht="15.75" customHeight="1">
      <c r="A16409" s="7"/>
      <c r="B16409" s="7"/>
      <c r="M16409" s="9" t="s">
        <v>21</v>
      </c>
    </row>
    <row r="16410" ht="15.75" customHeight="1">
      <c r="A16410" s="7"/>
      <c r="B16410" s="7"/>
      <c r="M16410" s="9" t="s">
        <v>30</v>
      </c>
    </row>
    <row r="16411" ht="15.75" customHeight="1">
      <c r="A16411" s="7"/>
      <c r="B16411" s="7"/>
      <c r="M16411" s="9" t="s">
        <v>25</v>
      </c>
    </row>
    <row r="16412" ht="15.75" customHeight="1">
      <c r="A16412" s="7"/>
      <c r="B16412" s="7"/>
      <c r="M16412" s="9" t="s">
        <v>24</v>
      </c>
    </row>
    <row r="16413" ht="15.75" customHeight="1">
      <c r="A16413" s="7"/>
      <c r="B16413" s="7"/>
      <c r="M16413" s="9" t="s">
        <v>20</v>
      </c>
    </row>
    <row r="16414" ht="15.75" customHeight="1">
      <c r="A16414" s="7"/>
      <c r="B16414" s="7"/>
      <c r="M16414" s="9" t="s">
        <v>21</v>
      </c>
    </row>
    <row r="16415" ht="15.75" customHeight="1">
      <c r="A16415" s="7"/>
      <c r="B16415" s="7"/>
      <c r="M16415" s="9" t="s">
        <v>37</v>
      </c>
    </row>
    <row r="16416" ht="15.75" customHeight="1">
      <c r="A16416" s="7"/>
      <c r="B16416" s="7"/>
      <c r="M16416" s="9" t="s">
        <v>22</v>
      </c>
    </row>
    <row r="16417" ht="15.75" customHeight="1">
      <c r="A16417" s="7"/>
      <c r="B16417" s="7"/>
      <c r="M16417" s="9" t="s">
        <v>29</v>
      </c>
    </row>
    <row r="16418" ht="15.75" customHeight="1">
      <c r="A16418" s="7"/>
      <c r="B16418" s="7"/>
      <c r="M16418" s="9" t="s">
        <v>27</v>
      </c>
    </row>
    <row r="16419" ht="15.75" customHeight="1">
      <c r="A16419" s="7"/>
      <c r="B16419" s="7"/>
      <c r="M16419" s="9" t="s">
        <v>33</v>
      </c>
    </row>
    <row r="16420" ht="15.75" customHeight="1">
      <c r="A16420" s="7"/>
      <c r="B16420" s="7"/>
      <c r="M16420" s="9" t="s">
        <v>42</v>
      </c>
    </row>
    <row r="16421" ht="15.75" customHeight="1">
      <c r="A16421" s="7"/>
      <c r="B16421" s="7"/>
      <c r="M16421" s="9" t="s">
        <v>21</v>
      </c>
    </row>
    <row r="16422" ht="15.75" customHeight="1">
      <c r="A16422" s="7"/>
      <c r="B16422" s="7"/>
      <c r="M16422" s="9" t="s">
        <v>31</v>
      </c>
    </row>
    <row r="16423" ht="15.75" customHeight="1">
      <c r="A16423" s="7"/>
      <c r="B16423" s="7"/>
      <c r="M16423" s="9" t="s">
        <v>27</v>
      </c>
    </row>
    <row r="16424" ht="15.75" customHeight="1">
      <c r="A16424" s="7"/>
      <c r="B16424" s="7"/>
      <c r="M16424" s="9" t="s">
        <v>26</v>
      </c>
    </row>
    <row r="16425" ht="15.75" customHeight="1">
      <c r="A16425" s="7"/>
      <c r="B16425" s="7"/>
      <c r="M16425" s="9" t="s">
        <v>20</v>
      </c>
    </row>
    <row r="16426" ht="15.75" customHeight="1">
      <c r="A16426" s="7"/>
      <c r="B16426" s="7"/>
      <c r="M16426" s="9" t="s">
        <v>27</v>
      </c>
    </row>
    <row r="16427" ht="15.75" customHeight="1">
      <c r="A16427" s="7"/>
      <c r="B16427" s="7"/>
      <c r="M16427" s="9" t="s">
        <v>30</v>
      </c>
    </row>
    <row r="16428" ht="15.75" customHeight="1">
      <c r="A16428" s="7"/>
      <c r="B16428" s="7"/>
      <c r="M16428" s="9" t="s">
        <v>36</v>
      </c>
    </row>
    <row r="16429" ht="15.75" customHeight="1">
      <c r="A16429" s="7"/>
      <c r="B16429" s="7"/>
      <c r="M16429" s="9" t="s">
        <v>21</v>
      </c>
    </row>
    <row r="16430" ht="15.75" customHeight="1">
      <c r="A16430" s="7"/>
      <c r="B16430" s="7"/>
      <c r="M16430" s="9" t="s">
        <v>22</v>
      </c>
    </row>
    <row r="16431" ht="15.75" customHeight="1">
      <c r="A16431" s="7"/>
      <c r="B16431" s="7"/>
      <c r="M16431" s="9" t="s">
        <v>33</v>
      </c>
    </row>
    <row r="16432" ht="15.75" customHeight="1">
      <c r="A16432" s="7"/>
      <c r="B16432" s="7"/>
      <c r="M16432" s="9" t="s">
        <v>20</v>
      </c>
    </row>
    <row r="16433" ht="15.75" customHeight="1">
      <c r="A16433" s="7"/>
      <c r="B16433" s="7"/>
      <c r="M16433" s="9" t="s">
        <v>39</v>
      </c>
    </row>
    <row r="16434" ht="15.75" customHeight="1">
      <c r="A16434" s="7"/>
      <c r="B16434" s="7"/>
      <c r="M16434" s="9" t="s">
        <v>27</v>
      </c>
    </row>
    <row r="16435" ht="15.75" customHeight="1">
      <c r="A16435" s="7"/>
      <c r="B16435" s="7"/>
      <c r="M16435" s="9" t="s">
        <v>30</v>
      </c>
    </row>
    <row r="16436" ht="15.75" customHeight="1">
      <c r="A16436" s="7"/>
      <c r="B16436" s="7"/>
      <c r="M16436" s="9" t="s">
        <v>24</v>
      </c>
    </row>
    <row r="16437" ht="15.75" customHeight="1">
      <c r="A16437" s="7"/>
      <c r="B16437" s="7"/>
      <c r="M16437" s="9" t="s">
        <v>22</v>
      </c>
    </row>
    <row r="16438" ht="15.75" customHeight="1">
      <c r="A16438" s="7"/>
      <c r="B16438" s="7"/>
      <c r="M16438" s="9" t="s">
        <v>27</v>
      </c>
    </row>
    <row r="16439" ht="15.75" customHeight="1">
      <c r="A16439" s="7"/>
      <c r="B16439" s="7"/>
      <c r="M16439" s="9" t="s">
        <v>35</v>
      </c>
    </row>
    <row r="16440" ht="15.75" customHeight="1">
      <c r="A16440" s="7"/>
      <c r="B16440" s="7"/>
      <c r="M16440" s="9" t="s">
        <v>30</v>
      </c>
    </row>
    <row r="16441" ht="15.75" customHeight="1">
      <c r="A16441" s="7"/>
      <c r="B16441" s="7"/>
      <c r="M16441" s="9" t="s">
        <v>23</v>
      </c>
    </row>
    <row r="16442" ht="15.75" customHeight="1">
      <c r="A16442" s="7"/>
      <c r="B16442" s="7"/>
      <c r="M16442" s="9" t="s">
        <v>24</v>
      </c>
    </row>
    <row r="16443" ht="15.75" customHeight="1">
      <c r="A16443" s="7"/>
      <c r="B16443" s="7"/>
      <c r="M16443" s="9" t="s">
        <v>21</v>
      </c>
    </row>
    <row r="16444" ht="15.75" customHeight="1">
      <c r="A16444" s="7"/>
      <c r="B16444" s="7"/>
      <c r="M16444" s="9" t="s">
        <v>22</v>
      </c>
    </row>
    <row r="16445" ht="15.75" customHeight="1">
      <c r="A16445" s="7"/>
      <c r="B16445" s="7"/>
      <c r="M16445" s="9" t="s">
        <v>29</v>
      </c>
    </row>
    <row r="16446" ht="15.75" customHeight="1">
      <c r="A16446" s="7"/>
      <c r="B16446" s="7"/>
      <c r="M16446" s="9" t="s">
        <v>28</v>
      </c>
    </row>
    <row r="16447" ht="15.75" customHeight="1">
      <c r="A16447" s="7"/>
      <c r="B16447" s="7"/>
      <c r="M16447" s="9" t="s">
        <v>35</v>
      </c>
    </row>
    <row r="16448" ht="15.75" customHeight="1">
      <c r="A16448" s="7"/>
      <c r="B16448" s="7"/>
      <c r="M16448" s="9" t="s">
        <v>30</v>
      </c>
    </row>
    <row r="16449" ht="15.75" customHeight="1">
      <c r="A16449" s="7"/>
      <c r="B16449" s="7"/>
      <c r="M16449" s="9" t="s">
        <v>24</v>
      </c>
    </row>
    <row r="16450" ht="15.75" customHeight="1">
      <c r="A16450" s="7"/>
      <c r="B16450" s="7"/>
      <c r="M16450" s="9" t="s">
        <v>20</v>
      </c>
    </row>
    <row r="16451" ht="15.75" customHeight="1">
      <c r="A16451" s="7"/>
      <c r="B16451" s="7"/>
      <c r="M16451" s="9" t="s">
        <v>21</v>
      </c>
    </row>
    <row r="16452" ht="15.75" customHeight="1">
      <c r="A16452" s="7"/>
      <c r="B16452" s="7"/>
      <c r="M16452" s="9" t="s">
        <v>37</v>
      </c>
    </row>
    <row r="16453" ht="15.75" customHeight="1">
      <c r="A16453" s="7"/>
      <c r="B16453" s="7"/>
      <c r="M16453" s="9" t="s">
        <v>22</v>
      </c>
    </row>
    <row r="16454" ht="15.75" customHeight="1">
      <c r="A16454" s="7"/>
      <c r="B16454" s="7"/>
      <c r="M16454" s="9" t="s">
        <v>27</v>
      </c>
    </row>
    <row r="16455" ht="15.75" customHeight="1">
      <c r="A16455" s="7"/>
      <c r="B16455" s="7"/>
      <c r="M16455" s="9" t="s">
        <v>20</v>
      </c>
    </row>
    <row r="16456" ht="15.75" customHeight="1">
      <c r="A16456" s="7"/>
      <c r="B16456" s="7"/>
      <c r="M16456" s="9" t="s">
        <v>30</v>
      </c>
    </row>
    <row r="16457" ht="15.75" customHeight="1">
      <c r="A16457" s="7"/>
      <c r="B16457" s="7"/>
      <c r="M16457" s="9" t="s">
        <v>24</v>
      </c>
    </row>
    <row r="16458" ht="15.75" customHeight="1">
      <c r="A16458" s="7"/>
      <c r="B16458" s="7"/>
      <c r="M16458" s="9" t="s">
        <v>21</v>
      </c>
    </row>
    <row r="16459" ht="15.75" customHeight="1">
      <c r="A16459" s="7"/>
      <c r="B16459" s="7"/>
      <c r="M16459" s="9" t="s">
        <v>22</v>
      </c>
    </row>
    <row r="16460" ht="15.75" customHeight="1">
      <c r="A16460" s="7"/>
      <c r="B16460" s="7"/>
      <c r="M16460" s="9" t="s">
        <v>27</v>
      </c>
    </row>
    <row r="16461" ht="15.75" customHeight="1">
      <c r="A16461" s="7"/>
      <c r="B16461" s="7"/>
      <c r="M16461" s="9" t="s">
        <v>26</v>
      </c>
    </row>
    <row r="16462" ht="15.75" customHeight="1">
      <c r="A16462" s="7"/>
      <c r="B16462" s="7"/>
      <c r="M16462" s="9" t="s">
        <v>24</v>
      </c>
    </row>
    <row r="16463" ht="15.75" customHeight="1">
      <c r="A16463" s="7"/>
      <c r="B16463" s="7"/>
      <c r="M16463" s="9" t="s">
        <v>21</v>
      </c>
    </row>
    <row r="16464" ht="15.75" customHeight="1">
      <c r="A16464" s="7"/>
      <c r="B16464" s="7"/>
      <c r="M16464" s="9" t="s">
        <v>23</v>
      </c>
    </row>
    <row r="16465" ht="15.75" customHeight="1">
      <c r="A16465" s="7"/>
      <c r="B16465" s="7"/>
      <c r="M16465" s="9" t="s">
        <v>26</v>
      </c>
    </row>
    <row r="16466" ht="15.75" customHeight="1">
      <c r="A16466" s="7"/>
      <c r="B16466" s="7"/>
      <c r="M16466" s="9" t="s">
        <v>22</v>
      </c>
    </row>
    <row r="16467" ht="15.75" customHeight="1">
      <c r="A16467" s="7"/>
      <c r="B16467" s="7"/>
      <c r="M16467" s="9" t="s">
        <v>30</v>
      </c>
    </row>
    <row r="16468" ht="15.75" customHeight="1">
      <c r="A16468" s="7"/>
      <c r="B16468" s="7"/>
      <c r="M16468" s="9" t="s">
        <v>20</v>
      </c>
    </row>
    <row r="16469" ht="15.75" customHeight="1">
      <c r="A16469" s="7"/>
      <c r="B16469" s="7"/>
      <c r="M16469" s="9" t="s">
        <v>21</v>
      </c>
    </row>
    <row r="16470" ht="15.75" customHeight="1">
      <c r="A16470" s="7"/>
      <c r="B16470" s="7"/>
      <c r="M16470" s="9" t="s">
        <v>22</v>
      </c>
    </row>
    <row r="16471" ht="15.75" customHeight="1">
      <c r="A16471" s="7"/>
      <c r="B16471" s="7"/>
      <c r="M16471" s="9" t="s">
        <v>32</v>
      </c>
    </row>
    <row r="16472" ht="15.75" customHeight="1">
      <c r="A16472" s="7"/>
      <c r="B16472" s="7"/>
      <c r="M16472" s="9" t="s">
        <v>27</v>
      </c>
    </row>
    <row r="16473" ht="15.75" customHeight="1">
      <c r="A16473" s="7"/>
      <c r="B16473" s="7"/>
      <c r="M16473" s="9" t="s">
        <v>26</v>
      </c>
    </row>
    <row r="16474" ht="15.75" customHeight="1">
      <c r="A16474" s="7"/>
      <c r="B16474" s="7"/>
      <c r="M16474" s="9" t="s">
        <v>24</v>
      </c>
    </row>
    <row r="16475" ht="15.75" customHeight="1">
      <c r="A16475" s="7"/>
      <c r="B16475" s="7"/>
      <c r="M16475" s="9" t="s">
        <v>27</v>
      </c>
    </row>
    <row r="16476" ht="15.75" customHeight="1">
      <c r="A16476" s="7"/>
      <c r="B16476" s="7"/>
      <c r="M16476" s="9" t="s">
        <v>30</v>
      </c>
    </row>
    <row r="16477" ht="15.75" customHeight="1">
      <c r="A16477" s="7"/>
      <c r="B16477" s="7"/>
      <c r="M16477" s="9" t="s">
        <v>23</v>
      </c>
    </row>
    <row r="16478" ht="15.75" customHeight="1">
      <c r="A16478" s="7"/>
      <c r="B16478" s="7"/>
      <c r="M16478" s="9" t="s">
        <v>26</v>
      </c>
    </row>
    <row r="16479" ht="15.75" customHeight="1">
      <c r="A16479" s="7"/>
      <c r="B16479" s="7"/>
      <c r="M16479" s="9" t="s">
        <v>36</v>
      </c>
    </row>
    <row r="16480" ht="15.75" customHeight="1">
      <c r="A16480" s="7"/>
      <c r="B16480" s="7"/>
      <c r="M16480" s="9" t="s">
        <v>24</v>
      </c>
    </row>
    <row r="16481" ht="15.75" customHeight="1">
      <c r="A16481" s="7"/>
      <c r="B16481" s="7"/>
      <c r="M16481" s="9" t="s">
        <v>20</v>
      </c>
    </row>
    <row r="16482" ht="15.75" customHeight="1">
      <c r="A16482" s="7"/>
      <c r="B16482" s="7"/>
      <c r="M16482" s="9" t="s">
        <v>21</v>
      </c>
    </row>
    <row r="16483" ht="15.75" customHeight="1">
      <c r="A16483" s="7"/>
      <c r="B16483" s="7"/>
      <c r="M16483" s="9" t="s">
        <v>37</v>
      </c>
    </row>
    <row r="16484" ht="15.75" customHeight="1">
      <c r="A16484" s="7"/>
      <c r="B16484" s="7"/>
      <c r="M16484" s="9" t="s">
        <v>27</v>
      </c>
    </row>
    <row r="16485" ht="15.75" customHeight="1">
      <c r="A16485" s="7"/>
      <c r="B16485" s="7"/>
      <c r="M16485" s="9" t="s">
        <v>28</v>
      </c>
    </row>
    <row r="16486" ht="15.75" customHeight="1">
      <c r="A16486" s="7"/>
      <c r="B16486" s="7"/>
      <c r="M16486" s="9" t="s">
        <v>47</v>
      </c>
    </row>
    <row r="16487" ht="15.75" customHeight="1">
      <c r="A16487" s="7"/>
      <c r="B16487" s="7"/>
      <c r="M16487" s="9" t="s">
        <v>24</v>
      </c>
    </row>
    <row r="16488" ht="15.75" customHeight="1">
      <c r="A16488" s="7"/>
      <c r="B16488" s="7"/>
      <c r="M16488" s="9" t="s">
        <v>21</v>
      </c>
    </row>
    <row r="16489" ht="15.75" customHeight="1">
      <c r="A16489" s="7"/>
      <c r="B16489" s="7"/>
      <c r="M16489" s="9" t="s">
        <v>37</v>
      </c>
    </row>
    <row r="16490" ht="15.75" customHeight="1">
      <c r="A16490" s="7"/>
      <c r="B16490" s="7"/>
      <c r="M16490" s="9" t="s">
        <v>27</v>
      </c>
    </row>
    <row r="16491" ht="15.75" customHeight="1">
      <c r="A16491" s="7"/>
      <c r="B16491" s="7"/>
      <c r="M16491" s="9" t="s">
        <v>35</v>
      </c>
    </row>
    <row r="16492" ht="15.75" customHeight="1">
      <c r="A16492" s="7"/>
      <c r="B16492" s="7"/>
      <c r="M16492" s="9" t="s">
        <v>24</v>
      </c>
    </row>
    <row r="16493" ht="15.75" customHeight="1">
      <c r="A16493" s="7"/>
      <c r="B16493" s="7"/>
      <c r="M16493" s="9" t="s">
        <v>20</v>
      </c>
    </row>
    <row r="16494" ht="15.75" customHeight="1">
      <c r="A16494" s="7"/>
      <c r="B16494" s="7"/>
      <c r="M16494" s="9" t="s">
        <v>21</v>
      </c>
    </row>
    <row r="16495" ht="15.75" customHeight="1">
      <c r="A16495" s="7"/>
      <c r="B16495" s="7"/>
      <c r="M16495" s="9" t="s">
        <v>37</v>
      </c>
    </row>
    <row r="16496" ht="15.75" customHeight="1">
      <c r="A16496" s="7"/>
      <c r="B16496" s="7"/>
      <c r="M16496" s="9" t="s">
        <v>27</v>
      </c>
    </row>
    <row r="16497" ht="15.75" customHeight="1">
      <c r="A16497" s="7"/>
      <c r="B16497" s="7"/>
      <c r="M16497" s="9" t="s">
        <v>33</v>
      </c>
    </row>
    <row r="16498" ht="15.75" customHeight="1">
      <c r="A16498" s="7"/>
      <c r="B16498" s="7"/>
      <c r="M16498" s="9" t="s">
        <v>24</v>
      </c>
    </row>
    <row r="16499" ht="15.75" customHeight="1">
      <c r="A16499" s="7"/>
      <c r="B16499" s="7"/>
      <c r="M16499" s="9" t="s">
        <v>21</v>
      </c>
    </row>
    <row r="16500" ht="15.75" customHeight="1">
      <c r="A16500" s="7"/>
      <c r="B16500" s="7"/>
      <c r="M16500" s="9" t="s">
        <v>37</v>
      </c>
    </row>
    <row r="16501" ht="15.75" customHeight="1">
      <c r="A16501" s="7"/>
      <c r="B16501" s="7"/>
      <c r="M16501" s="9" t="s">
        <v>33</v>
      </c>
    </row>
    <row r="16502" ht="15.75" customHeight="1">
      <c r="A16502" s="7"/>
      <c r="B16502" s="7"/>
      <c r="M16502" s="9" t="s">
        <v>30</v>
      </c>
    </row>
    <row r="16503" ht="15.75" customHeight="1">
      <c r="A16503" s="7"/>
      <c r="B16503" s="7"/>
      <c r="M16503" s="9" t="s">
        <v>25</v>
      </c>
    </row>
    <row r="16504" ht="15.75" customHeight="1">
      <c r="A16504" s="7"/>
      <c r="B16504" s="7"/>
      <c r="M16504" s="9" t="s">
        <v>23</v>
      </c>
    </row>
    <row r="16505" ht="15.75" customHeight="1">
      <c r="A16505" s="7"/>
      <c r="B16505" s="7"/>
      <c r="M16505" s="9" t="s">
        <v>20</v>
      </c>
    </row>
    <row r="16506" ht="15.75" customHeight="1">
      <c r="A16506" s="7"/>
      <c r="B16506" s="7"/>
      <c r="M16506" s="9" t="s">
        <v>22</v>
      </c>
    </row>
    <row r="16507" ht="15.75" customHeight="1">
      <c r="A16507" s="7"/>
      <c r="B16507" s="7"/>
      <c r="M16507" s="9" t="s">
        <v>30</v>
      </c>
    </row>
    <row r="16508" ht="15.75" customHeight="1">
      <c r="A16508" s="7"/>
      <c r="B16508" s="7"/>
      <c r="M16508" s="9" t="s">
        <v>20</v>
      </c>
    </row>
    <row r="16509" ht="15.75" customHeight="1">
      <c r="A16509" s="7"/>
      <c r="B16509" s="7"/>
      <c r="M16509" s="9" t="s">
        <v>22</v>
      </c>
    </row>
    <row r="16510" ht="15.75" customHeight="1">
      <c r="A16510" s="7"/>
      <c r="B16510" s="7"/>
      <c r="M16510" s="9" t="s">
        <v>26</v>
      </c>
    </row>
    <row r="16511" ht="15.75" customHeight="1">
      <c r="A16511" s="7"/>
      <c r="B16511" s="7"/>
      <c r="M16511" s="9" t="s">
        <v>24</v>
      </c>
    </row>
    <row r="16512" ht="15.75" customHeight="1">
      <c r="A16512" s="7"/>
      <c r="B16512" s="7"/>
      <c r="M16512" s="9" t="s">
        <v>21</v>
      </c>
    </row>
    <row r="16513" ht="15.75" customHeight="1">
      <c r="A16513" s="7"/>
      <c r="B16513" s="7"/>
      <c r="M16513" s="9" t="s">
        <v>37</v>
      </c>
    </row>
    <row r="16514" ht="15.75" customHeight="1">
      <c r="A16514" s="7"/>
      <c r="B16514" s="7"/>
      <c r="M16514" s="9" t="s">
        <v>22</v>
      </c>
    </row>
    <row r="16515" ht="15.75" customHeight="1">
      <c r="A16515" s="7"/>
      <c r="B16515" s="7"/>
      <c r="M16515" s="9" t="s">
        <v>27</v>
      </c>
    </row>
    <row r="16516" ht="15.75" customHeight="1">
      <c r="A16516" s="7"/>
      <c r="B16516" s="7"/>
      <c r="M16516" s="9" t="s">
        <v>33</v>
      </c>
    </row>
    <row r="16517" ht="15.75" customHeight="1">
      <c r="A16517" s="7"/>
      <c r="B16517" s="7"/>
      <c r="M16517" s="9" t="s">
        <v>28</v>
      </c>
    </row>
    <row r="16518" ht="15.75" customHeight="1">
      <c r="A16518" s="7"/>
      <c r="B16518" s="7"/>
      <c r="M16518" s="9" t="s">
        <v>24</v>
      </c>
    </row>
    <row r="16519" ht="15.75" customHeight="1">
      <c r="A16519" s="7"/>
      <c r="B16519" s="7"/>
      <c r="M16519" s="9" t="s">
        <v>21</v>
      </c>
    </row>
    <row r="16520" ht="15.75" customHeight="1">
      <c r="A16520" s="7"/>
      <c r="B16520" s="7"/>
      <c r="M16520" s="9" t="s">
        <v>35</v>
      </c>
    </row>
    <row r="16521" ht="15.75" customHeight="1">
      <c r="A16521" s="7"/>
      <c r="B16521" s="7"/>
      <c r="M16521" s="9" t="s">
        <v>26</v>
      </c>
    </row>
    <row r="16522" ht="15.75" customHeight="1">
      <c r="A16522" s="7"/>
      <c r="B16522" s="7"/>
      <c r="M16522" s="9" t="s">
        <v>24</v>
      </c>
    </row>
    <row r="16523" ht="15.75" customHeight="1">
      <c r="A16523" s="7"/>
      <c r="B16523" s="7"/>
      <c r="M16523" s="9" t="s">
        <v>21</v>
      </c>
    </row>
    <row r="16524" ht="15.75" customHeight="1">
      <c r="A16524" s="7"/>
      <c r="B16524" s="7"/>
      <c r="M16524" s="9" t="s">
        <v>33</v>
      </c>
    </row>
    <row r="16525" ht="15.75" customHeight="1">
      <c r="A16525" s="7"/>
      <c r="B16525" s="7"/>
      <c r="M16525" s="9" t="s">
        <v>28</v>
      </c>
    </row>
    <row r="16526" ht="15.75" customHeight="1">
      <c r="A16526" s="7"/>
      <c r="B16526" s="7"/>
      <c r="M16526" s="9" t="s">
        <v>35</v>
      </c>
    </row>
    <row r="16527" ht="15.75" customHeight="1">
      <c r="A16527" s="7"/>
      <c r="B16527" s="7"/>
      <c r="M16527" s="9" t="s">
        <v>24</v>
      </c>
    </row>
    <row r="16528" ht="15.75" customHeight="1">
      <c r="A16528" s="7"/>
      <c r="B16528" s="7"/>
      <c r="M16528" s="9" t="s">
        <v>20</v>
      </c>
    </row>
    <row r="16529" ht="15.75" customHeight="1">
      <c r="A16529" s="7"/>
      <c r="B16529" s="7"/>
      <c r="M16529" s="9" t="s">
        <v>31</v>
      </c>
    </row>
    <row r="16530" ht="15.75" customHeight="1">
      <c r="A16530" s="7"/>
      <c r="B16530" s="7"/>
      <c r="M16530" s="9" t="s">
        <v>24</v>
      </c>
    </row>
    <row r="16531" ht="15.75" customHeight="1">
      <c r="A16531" s="7"/>
      <c r="B16531" s="7"/>
      <c r="M16531" s="9" t="s">
        <v>21</v>
      </c>
    </row>
    <row r="16532" ht="15.75" customHeight="1">
      <c r="A16532" s="7"/>
      <c r="B16532" s="7"/>
      <c r="M16532" s="9" t="s">
        <v>46</v>
      </c>
    </row>
    <row r="16533" ht="15.75" customHeight="1">
      <c r="A16533" s="7"/>
      <c r="B16533" s="7"/>
      <c r="M16533" s="9" t="s">
        <v>23</v>
      </c>
    </row>
    <row r="16534" ht="15.75" customHeight="1">
      <c r="A16534" s="7"/>
      <c r="B16534" s="7"/>
      <c r="M16534" s="9" t="s">
        <v>24</v>
      </c>
    </row>
    <row r="16535" ht="15.75" customHeight="1">
      <c r="A16535" s="7"/>
      <c r="B16535" s="7"/>
      <c r="M16535" s="9" t="s">
        <v>20</v>
      </c>
    </row>
    <row r="16536" ht="15.75" customHeight="1">
      <c r="A16536" s="7"/>
      <c r="B16536" s="7"/>
      <c r="M16536" s="9" t="s">
        <v>21</v>
      </c>
    </row>
    <row r="16537" ht="15.75" customHeight="1">
      <c r="A16537" s="7"/>
      <c r="B16537" s="7"/>
      <c r="M16537" s="9" t="s">
        <v>22</v>
      </c>
    </row>
    <row r="16538" ht="15.75" customHeight="1">
      <c r="A16538" s="7"/>
      <c r="B16538" s="7"/>
      <c r="M16538" s="9" t="s">
        <v>27</v>
      </c>
    </row>
    <row r="16539" ht="15.75" customHeight="1">
      <c r="A16539" s="7"/>
      <c r="B16539" s="7"/>
      <c r="M16539" s="9" t="s">
        <v>23</v>
      </c>
    </row>
    <row r="16540" ht="15.75" customHeight="1">
      <c r="A16540" s="7"/>
      <c r="B16540" s="7"/>
      <c r="M16540" s="9" t="s">
        <v>26</v>
      </c>
    </row>
    <row r="16541" ht="15.75" customHeight="1">
      <c r="A16541" s="7"/>
      <c r="B16541" s="7"/>
      <c r="M16541" s="9" t="s">
        <v>22</v>
      </c>
    </row>
    <row r="16542" ht="15.75" customHeight="1">
      <c r="A16542" s="7"/>
      <c r="B16542" s="7"/>
      <c r="M16542" s="9" t="s">
        <v>25</v>
      </c>
    </row>
    <row r="16543" ht="15.75" customHeight="1">
      <c r="A16543" s="7"/>
      <c r="B16543" s="7"/>
      <c r="M16543" s="9" t="s">
        <v>30</v>
      </c>
    </row>
    <row r="16544" ht="15.75" customHeight="1">
      <c r="A16544" s="7"/>
      <c r="B16544" s="7"/>
      <c r="M16544" s="9" t="s">
        <v>24</v>
      </c>
    </row>
    <row r="16545" ht="15.75" customHeight="1">
      <c r="A16545" s="7"/>
      <c r="B16545" s="7"/>
      <c r="M16545" s="9" t="s">
        <v>20</v>
      </c>
    </row>
    <row r="16546" ht="15.75" customHeight="1">
      <c r="A16546" s="7"/>
      <c r="B16546" s="7"/>
      <c r="M16546" s="9" t="s">
        <v>21</v>
      </c>
    </row>
    <row r="16547" ht="15.75" customHeight="1">
      <c r="A16547" s="7"/>
      <c r="B16547" s="7"/>
      <c r="M16547" s="9" t="s">
        <v>37</v>
      </c>
    </row>
    <row r="16548" ht="15.75" customHeight="1">
      <c r="A16548" s="7"/>
      <c r="B16548" s="7"/>
      <c r="M16548" s="9" t="s">
        <v>22</v>
      </c>
    </row>
    <row r="16549" ht="15.75" customHeight="1">
      <c r="A16549" s="7"/>
      <c r="B16549" s="7"/>
      <c r="M16549" s="9" t="s">
        <v>27</v>
      </c>
    </row>
    <row r="16550" ht="15.75" customHeight="1">
      <c r="A16550" s="7"/>
      <c r="B16550" s="7"/>
      <c r="M16550" s="9" t="s">
        <v>33</v>
      </c>
    </row>
    <row r="16551" ht="15.75" customHeight="1">
      <c r="A16551" s="7"/>
      <c r="B16551" s="7"/>
      <c r="M16551" s="9" t="s">
        <v>30</v>
      </c>
    </row>
    <row r="16552" ht="15.75" customHeight="1">
      <c r="A16552" s="7"/>
      <c r="B16552" s="7"/>
      <c r="M16552" s="9" t="s">
        <v>25</v>
      </c>
    </row>
    <row r="16553" ht="15.75" customHeight="1">
      <c r="A16553" s="7"/>
      <c r="B16553" s="7"/>
      <c r="M16553" s="9" t="s">
        <v>23</v>
      </c>
    </row>
    <row r="16554" ht="15.75" customHeight="1">
      <c r="A16554" s="7"/>
      <c r="B16554" s="7"/>
      <c r="M16554" s="9" t="s">
        <v>36</v>
      </c>
    </row>
    <row r="16555" ht="15.75" customHeight="1">
      <c r="A16555" s="7"/>
      <c r="B16555" s="7"/>
      <c r="M16555" s="9" t="s">
        <v>24</v>
      </c>
    </row>
    <row r="16556" ht="15.75" customHeight="1">
      <c r="A16556" s="7"/>
      <c r="B16556" s="7"/>
      <c r="M16556" s="9" t="s">
        <v>22</v>
      </c>
    </row>
    <row r="16557" ht="15.75" customHeight="1">
      <c r="A16557" s="7"/>
      <c r="B16557" s="7"/>
      <c r="M16557" s="9" t="s">
        <v>27</v>
      </c>
    </row>
    <row r="16558" ht="15.75" customHeight="1">
      <c r="A16558" s="7"/>
      <c r="B16558" s="7"/>
      <c r="M16558" s="9" t="s">
        <v>34</v>
      </c>
    </row>
    <row r="16559" ht="15.75" customHeight="1">
      <c r="A16559" s="7"/>
      <c r="B16559" s="7"/>
      <c r="M16559" s="9" t="s">
        <v>23</v>
      </c>
    </row>
    <row r="16560" ht="15.75" customHeight="1">
      <c r="A16560" s="7"/>
      <c r="B16560" s="7"/>
      <c r="M16560" s="9" t="s">
        <v>24</v>
      </c>
    </row>
    <row r="16561" ht="15.75" customHeight="1">
      <c r="A16561" s="7"/>
      <c r="B16561" s="7"/>
      <c r="M16561" s="9" t="s">
        <v>20</v>
      </c>
    </row>
    <row r="16562" ht="15.75" customHeight="1">
      <c r="A16562" s="7"/>
      <c r="B16562" s="7"/>
      <c r="M16562" s="9" t="s">
        <v>21</v>
      </c>
    </row>
    <row r="16563" ht="15.75" customHeight="1">
      <c r="A16563" s="7"/>
      <c r="B16563" s="7"/>
      <c r="M16563" s="9" t="s">
        <v>39</v>
      </c>
    </row>
    <row r="16564" ht="15.75" customHeight="1">
      <c r="A16564" s="7"/>
      <c r="B16564" s="7"/>
      <c r="M16564" s="9" t="s">
        <v>40</v>
      </c>
    </row>
    <row r="16565" ht="15.75" customHeight="1">
      <c r="A16565" s="7"/>
      <c r="B16565" s="7"/>
      <c r="M16565" s="9" t="s">
        <v>33</v>
      </c>
    </row>
    <row r="16566" ht="15.75" customHeight="1">
      <c r="A16566" s="7"/>
      <c r="B16566" s="7"/>
      <c r="M16566" s="9" t="s">
        <v>20</v>
      </c>
    </row>
    <row r="16567" ht="15.75" customHeight="1">
      <c r="A16567" s="7"/>
      <c r="B16567" s="7"/>
      <c r="M16567" s="9" t="s">
        <v>21</v>
      </c>
    </row>
    <row r="16568" ht="15.75" customHeight="1">
      <c r="A16568" s="7"/>
      <c r="B16568" s="7"/>
      <c r="M16568" s="9" t="s">
        <v>22</v>
      </c>
    </row>
    <row r="16569" ht="15.75" customHeight="1">
      <c r="A16569" s="7"/>
      <c r="B16569" s="7"/>
      <c r="M16569" s="9" t="s">
        <v>31</v>
      </c>
    </row>
    <row r="16570" ht="15.75" customHeight="1">
      <c r="A16570" s="7"/>
      <c r="B16570" s="7"/>
      <c r="M16570" s="9" t="s">
        <v>38</v>
      </c>
    </row>
    <row r="16571" ht="15.75" customHeight="1">
      <c r="A16571" s="7"/>
      <c r="B16571" s="7"/>
      <c r="M16571" s="9" t="s">
        <v>30</v>
      </c>
    </row>
    <row r="16572" ht="15.75" customHeight="1">
      <c r="A16572" s="7"/>
      <c r="B16572" s="7"/>
      <c r="M16572" s="9" t="s">
        <v>25</v>
      </c>
    </row>
    <row r="16573" ht="15.75" customHeight="1">
      <c r="A16573" s="7"/>
      <c r="B16573" s="7"/>
      <c r="M16573" s="9" t="s">
        <v>23</v>
      </c>
    </row>
    <row r="16574" ht="15.75" customHeight="1">
      <c r="A16574" s="7"/>
      <c r="B16574" s="7"/>
      <c r="M16574" s="9" t="s">
        <v>26</v>
      </c>
    </row>
    <row r="16575" ht="15.75" customHeight="1">
      <c r="A16575" s="7"/>
      <c r="B16575" s="7"/>
      <c r="M16575" s="9" t="s">
        <v>36</v>
      </c>
    </row>
    <row r="16576" ht="15.75" customHeight="1">
      <c r="A16576" s="7"/>
      <c r="B16576" s="7"/>
      <c r="M16576" s="9" t="s">
        <v>24</v>
      </c>
    </row>
    <row r="16577" ht="15.75" customHeight="1">
      <c r="A16577" s="7"/>
      <c r="B16577" s="7"/>
      <c r="M16577" s="9" t="s">
        <v>20</v>
      </c>
    </row>
    <row r="16578" ht="15.75" customHeight="1">
      <c r="A16578" s="7"/>
      <c r="B16578" s="7"/>
      <c r="M16578" s="9" t="s">
        <v>21</v>
      </c>
    </row>
    <row r="16579" ht="15.75" customHeight="1">
      <c r="A16579" s="7"/>
      <c r="B16579" s="7"/>
      <c r="M16579" s="9" t="s">
        <v>41</v>
      </c>
    </row>
    <row r="16580" ht="15.75" customHeight="1">
      <c r="A16580" s="7"/>
      <c r="B16580" s="7"/>
      <c r="M16580" s="9" t="s">
        <v>37</v>
      </c>
    </row>
    <row r="16581" ht="15.75" customHeight="1">
      <c r="A16581" s="7"/>
      <c r="B16581" s="7"/>
      <c r="M16581" s="9" t="s">
        <v>22</v>
      </c>
    </row>
    <row r="16582" ht="15.75" customHeight="1">
      <c r="A16582" s="7"/>
      <c r="B16582" s="7"/>
      <c r="M16582" s="9" t="s">
        <v>46</v>
      </c>
    </row>
    <row r="16583" ht="15.75" customHeight="1">
      <c r="A16583" s="7"/>
      <c r="B16583" s="7"/>
      <c r="M16583" s="9" t="s">
        <v>27</v>
      </c>
    </row>
    <row r="16584" ht="15.75" customHeight="1">
      <c r="A16584" s="7"/>
      <c r="B16584" s="7"/>
      <c r="M16584" s="9" t="s">
        <v>40</v>
      </c>
    </row>
    <row r="16585" ht="15.75" customHeight="1">
      <c r="A16585" s="7"/>
      <c r="B16585" s="7"/>
      <c r="M16585" s="9" t="s">
        <v>33</v>
      </c>
    </row>
    <row r="16586" ht="15.75" customHeight="1">
      <c r="A16586" s="7"/>
      <c r="B16586" s="7"/>
      <c r="M16586" s="9" t="s">
        <v>28</v>
      </c>
    </row>
    <row r="16587" ht="15.75" customHeight="1">
      <c r="A16587" s="7"/>
      <c r="B16587" s="7"/>
      <c r="M16587" s="9" t="s">
        <v>26</v>
      </c>
    </row>
    <row r="16588" ht="15.75" customHeight="1">
      <c r="A16588" s="7"/>
      <c r="B16588" s="7"/>
      <c r="M16588" s="9" t="s">
        <v>24</v>
      </c>
    </row>
    <row r="16589" ht="15.75" customHeight="1">
      <c r="A16589" s="7"/>
      <c r="B16589" s="7"/>
      <c r="M16589" s="9" t="s">
        <v>21</v>
      </c>
    </row>
    <row r="16590" ht="15.75" customHeight="1">
      <c r="A16590" s="7"/>
      <c r="B16590" s="7"/>
      <c r="M16590" s="9" t="s">
        <v>27</v>
      </c>
    </row>
    <row r="16591" ht="15.75" customHeight="1">
      <c r="A16591" s="7"/>
      <c r="B16591" s="7"/>
      <c r="M16591" s="9" t="s">
        <v>38</v>
      </c>
    </row>
    <row r="16592" ht="15.75" customHeight="1">
      <c r="A16592" s="7"/>
      <c r="B16592" s="7"/>
      <c r="M16592" s="9" t="s">
        <v>25</v>
      </c>
    </row>
    <row r="16593" ht="15.75" customHeight="1">
      <c r="A16593" s="7"/>
      <c r="B16593" s="7"/>
      <c r="M16593" s="9" t="s">
        <v>30</v>
      </c>
    </row>
    <row r="16594" ht="15.75" customHeight="1">
      <c r="A16594" s="7"/>
      <c r="B16594" s="7"/>
      <c r="M16594" s="9" t="s">
        <v>36</v>
      </c>
    </row>
    <row r="16595" ht="15.75" customHeight="1">
      <c r="A16595" s="7"/>
      <c r="B16595" s="7"/>
      <c r="M16595" s="9" t="s">
        <v>31</v>
      </c>
    </row>
    <row r="16596" ht="15.75" customHeight="1">
      <c r="A16596" s="7"/>
      <c r="B16596" s="7"/>
      <c r="M16596" s="9" t="s">
        <v>32</v>
      </c>
    </row>
    <row r="16597" ht="15.75" customHeight="1">
      <c r="A16597" s="7"/>
      <c r="B16597" s="7"/>
      <c r="M16597" s="9" t="s">
        <v>27</v>
      </c>
    </row>
    <row r="16598" ht="15.75" customHeight="1">
      <c r="A16598" s="7"/>
      <c r="B16598" s="7"/>
      <c r="M16598" s="9" t="s">
        <v>35</v>
      </c>
    </row>
    <row r="16599" ht="15.75" customHeight="1">
      <c r="A16599" s="7"/>
      <c r="B16599" s="7"/>
      <c r="M16599" s="9" t="s">
        <v>25</v>
      </c>
    </row>
    <row r="16600" ht="15.75" customHeight="1">
      <c r="A16600" s="7"/>
      <c r="B16600" s="7"/>
      <c r="M16600" s="9" t="s">
        <v>23</v>
      </c>
    </row>
    <row r="16601" ht="15.75" customHeight="1">
      <c r="A16601" s="7"/>
      <c r="B16601" s="7"/>
      <c r="M16601" s="9" t="s">
        <v>24</v>
      </c>
    </row>
    <row r="16602" ht="15.75" customHeight="1">
      <c r="A16602" s="7"/>
      <c r="B16602" s="7"/>
      <c r="M16602" s="9" t="s">
        <v>20</v>
      </c>
    </row>
    <row r="16603" ht="15.75" customHeight="1">
      <c r="A16603" s="7"/>
      <c r="B16603" s="7"/>
      <c r="M16603" s="9" t="s">
        <v>21</v>
      </c>
    </row>
    <row r="16604" ht="15.75" customHeight="1">
      <c r="A16604" s="7"/>
      <c r="B16604" s="7"/>
      <c r="M16604" s="9" t="s">
        <v>37</v>
      </c>
    </row>
    <row r="16605" ht="15.75" customHeight="1">
      <c r="A16605" s="7"/>
      <c r="B16605" s="7"/>
      <c r="M16605" s="9" t="s">
        <v>22</v>
      </c>
    </row>
    <row r="16606" ht="15.75" customHeight="1">
      <c r="A16606" s="7"/>
      <c r="B16606" s="7"/>
      <c r="M16606" s="9" t="s">
        <v>27</v>
      </c>
    </row>
    <row r="16607" ht="15.75" customHeight="1">
      <c r="A16607" s="7"/>
      <c r="B16607" s="7"/>
      <c r="M16607" s="9" t="s">
        <v>30</v>
      </c>
    </row>
    <row r="16608" ht="15.75" customHeight="1">
      <c r="A16608" s="7"/>
      <c r="B16608" s="7"/>
      <c r="M16608" s="9" t="s">
        <v>24</v>
      </c>
    </row>
    <row r="16609" ht="15.75" customHeight="1">
      <c r="A16609" s="7"/>
      <c r="B16609" s="7"/>
      <c r="M16609" s="9" t="s">
        <v>20</v>
      </c>
    </row>
    <row r="16610" ht="15.75" customHeight="1">
      <c r="A16610" s="7"/>
      <c r="B16610" s="7"/>
      <c r="M16610" s="9" t="s">
        <v>21</v>
      </c>
    </row>
    <row r="16611" ht="15.75" customHeight="1">
      <c r="A16611" s="7"/>
      <c r="B16611" s="7"/>
      <c r="M16611" s="9" t="s">
        <v>39</v>
      </c>
    </row>
    <row r="16612" ht="15.75" customHeight="1">
      <c r="A16612" s="7"/>
      <c r="B16612" s="7"/>
      <c r="M16612" s="9" t="s">
        <v>33</v>
      </c>
    </row>
    <row r="16613" ht="15.75" customHeight="1">
      <c r="A16613" s="7"/>
      <c r="B16613" s="7"/>
      <c r="M16613" s="9" t="s">
        <v>30</v>
      </c>
    </row>
    <row r="16614" ht="15.75" customHeight="1">
      <c r="A16614" s="7"/>
      <c r="B16614" s="7"/>
      <c r="M16614" s="9" t="s">
        <v>25</v>
      </c>
    </row>
    <row r="16615" ht="15.75" customHeight="1">
      <c r="A16615" s="7"/>
      <c r="B16615" s="7"/>
      <c r="M16615" s="9" t="s">
        <v>26</v>
      </c>
    </row>
    <row r="16616" ht="15.75" customHeight="1">
      <c r="A16616" s="7"/>
      <c r="B16616" s="7"/>
      <c r="M16616" s="9" t="s">
        <v>47</v>
      </c>
    </row>
    <row r="16617" ht="15.75" customHeight="1">
      <c r="A16617" s="7"/>
      <c r="B16617" s="7"/>
      <c r="M16617" s="9" t="s">
        <v>36</v>
      </c>
    </row>
    <row r="16618" ht="15.75" customHeight="1">
      <c r="A16618" s="7"/>
      <c r="B16618" s="7"/>
      <c r="M16618" s="9" t="s">
        <v>24</v>
      </c>
    </row>
    <row r="16619" ht="15.75" customHeight="1">
      <c r="A16619" s="7"/>
      <c r="B16619" s="7"/>
      <c r="M16619" s="9" t="s">
        <v>21</v>
      </c>
    </row>
    <row r="16620" ht="15.75" customHeight="1">
      <c r="A16620" s="7"/>
      <c r="B16620" s="7"/>
      <c r="M16620" s="9" t="s">
        <v>37</v>
      </c>
    </row>
    <row r="16621" ht="15.75" customHeight="1">
      <c r="A16621" s="7"/>
      <c r="B16621" s="7"/>
      <c r="M16621" s="9" t="s">
        <v>22</v>
      </c>
    </row>
    <row r="16622" ht="15.75" customHeight="1">
      <c r="A16622" s="7"/>
      <c r="B16622" s="7"/>
      <c r="M16622" s="9" t="s">
        <v>31</v>
      </c>
    </row>
    <row r="16623" ht="15.75" customHeight="1">
      <c r="A16623" s="7"/>
      <c r="B16623" s="7"/>
      <c r="M16623" s="9" t="s">
        <v>27</v>
      </c>
    </row>
    <row r="16624" ht="15.75" customHeight="1">
      <c r="A16624" s="7"/>
      <c r="B16624" s="7"/>
      <c r="M16624" s="9" t="s">
        <v>33</v>
      </c>
    </row>
    <row r="16625" ht="15.75" customHeight="1">
      <c r="A16625" s="7"/>
      <c r="B16625" s="7"/>
      <c r="M16625" s="9" t="s">
        <v>28</v>
      </c>
    </row>
    <row r="16626" ht="15.75" customHeight="1">
      <c r="A16626" s="7"/>
      <c r="B16626" s="7"/>
      <c r="M16626" s="9" t="s">
        <v>34</v>
      </c>
    </row>
    <row r="16627" ht="15.75" customHeight="1">
      <c r="A16627" s="7"/>
      <c r="B16627" s="7"/>
      <c r="M16627" s="9" t="s">
        <v>25</v>
      </c>
    </row>
    <row r="16628" ht="15.75" customHeight="1">
      <c r="A16628" s="7"/>
      <c r="B16628" s="7"/>
      <c r="M16628" s="9" t="s">
        <v>36</v>
      </c>
    </row>
    <row r="16629" ht="15.75" customHeight="1">
      <c r="A16629" s="7"/>
      <c r="B16629" s="7"/>
      <c r="M16629" s="9" t="s">
        <v>21</v>
      </c>
    </row>
    <row r="16630" ht="15.75" customHeight="1">
      <c r="A16630" s="7"/>
      <c r="B16630" s="7"/>
      <c r="M16630" s="9" t="s">
        <v>39</v>
      </c>
    </row>
    <row r="16631" ht="15.75" customHeight="1">
      <c r="A16631" s="7"/>
      <c r="B16631" s="7"/>
      <c r="M16631" s="9" t="s">
        <v>22</v>
      </c>
    </row>
    <row r="16632" ht="15.75" customHeight="1">
      <c r="A16632" s="7"/>
      <c r="B16632" s="7"/>
      <c r="M16632" s="9" t="s">
        <v>32</v>
      </c>
    </row>
    <row r="16633" ht="15.75" customHeight="1">
      <c r="A16633" s="7"/>
      <c r="B16633" s="7"/>
      <c r="M16633" s="9" t="s">
        <v>27</v>
      </c>
    </row>
    <row r="16634" ht="15.75" customHeight="1">
      <c r="A16634" s="7"/>
      <c r="B16634" s="7"/>
      <c r="M16634" s="9" t="s">
        <v>40</v>
      </c>
    </row>
    <row r="16635" ht="15.75" customHeight="1">
      <c r="A16635" s="7"/>
      <c r="B16635" s="7"/>
      <c r="M16635" s="9" t="s">
        <v>33</v>
      </c>
    </row>
    <row r="16636" ht="15.75" customHeight="1">
      <c r="A16636" s="7"/>
      <c r="B16636" s="7"/>
      <c r="M16636" s="9" t="s">
        <v>34</v>
      </c>
    </row>
    <row r="16637" ht="15.75" customHeight="1">
      <c r="A16637" s="7"/>
      <c r="B16637" s="7"/>
      <c r="M16637" s="9" t="s">
        <v>44</v>
      </c>
    </row>
    <row r="16638" ht="15.75" customHeight="1">
      <c r="A16638" s="7"/>
      <c r="B16638" s="7"/>
      <c r="M16638" s="9" t="s">
        <v>36</v>
      </c>
    </row>
    <row r="16639" ht="15.75" customHeight="1">
      <c r="A16639" s="7"/>
      <c r="B16639" s="7"/>
      <c r="M16639" s="9" t="s">
        <v>24</v>
      </c>
    </row>
    <row r="16640" ht="15.75" customHeight="1">
      <c r="A16640" s="7"/>
      <c r="B16640" s="7"/>
      <c r="M16640" s="9" t="s">
        <v>20</v>
      </c>
    </row>
    <row r="16641" ht="15.75" customHeight="1">
      <c r="A16641" s="7"/>
      <c r="B16641" s="7"/>
      <c r="M16641" s="9" t="s">
        <v>21</v>
      </c>
    </row>
    <row r="16642" ht="15.75" customHeight="1">
      <c r="A16642" s="7"/>
      <c r="B16642" s="7"/>
      <c r="M16642" s="9" t="s">
        <v>39</v>
      </c>
    </row>
    <row r="16643" ht="15.75" customHeight="1">
      <c r="A16643" s="7"/>
      <c r="B16643" s="7"/>
      <c r="M16643" s="9" t="s">
        <v>37</v>
      </c>
    </row>
    <row r="16644" ht="15.75" customHeight="1">
      <c r="A16644" s="7"/>
      <c r="B16644" s="7"/>
      <c r="M16644" s="9" t="s">
        <v>33</v>
      </c>
    </row>
    <row r="16645" ht="15.75" customHeight="1">
      <c r="A16645" s="7"/>
      <c r="B16645" s="7"/>
      <c r="M16645" s="9" t="s">
        <v>38</v>
      </c>
    </row>
    <row r="16646" ht="15.75" customHeight="1">
      <c r="A16646" s="7"/>
      <c r="B16646" s="7"/>
      <c r="M16646" s="9" t="s">
        <v>30</v>
      </c>
    </row>
    <row r="16647" ht="15.75" customHeight="1">
      <c r="A16647" s="7"/>
      <c r="B16647" s="7"/>
      <c r="M16647" s="9" t="s">
        <v>25</v>
      </c>
    </row>
    <row r="16648" ht="15.75" customHeight="1">
      <c r="A16648" s="7"/>
      <c r="B16648" s="7"/>
      <c r="M16648" s="9" t="s">
        <v>23</v>
      </c>
    </row>
    <row r="16649" ht="15.75" customHeight="1">
      <c r="A16649" s="7"/>
      <c r="B16649" s="7"/>
      <c r="M16649" s="9" t="s">
        <v>24</v>
      </c>
    </row>
    <row r="16650" ht="15.75" customHeight="1">
      <c r="A16650" s="7"/>
      <c r="B16650" s="7"/>
      <c r="M16650" s="9" t="s">
        <v>22</v>
      </c>
    </row>
    <row r="16651" ht="15.75" customHeight="1">
      <c r="A16651" s="7"/>
      <c r="B16651" s="7"/>
      <c r="M16651" s="9" t="s">
        <v>25</v>
      </c>
    </row>
    <row r="16652" ht="15.75" customHeight="1">
      <c r="A16652" s="7"/>
      <c r="B16652" s="7"/>
      <c r="M16652" s="9" t="s">
        <v>23</v>
      </c>
    </row>
    <row r="16653" ht="15.75" customHeight="1">
      <c r="A16653" s="7"/>
      <c r="B16653" s="7"/>
      <c r="M16653" s="9" t="s">
        <v>26</v>
      </c>
    </row>
    <row r="16654" ht="15.75" customHeight="1">
      <c r="A16654" s="7"/>
      <c r="B16654" s="7"/>
      <c r="M16654" s="9" t="s">
        <v>24</v>
      </c>
    </row>
    <row r="16655" ht="15.75" customHeight="1">
      <c r="A16655" s="7"/>
      <c r="B16655" s="7"/>
      <c r="M16655" s="9" t="s">
        <v>20</v>
      </c>
    </row>
    <row r="16656" ht="15.75" customHeight="1">
      <c r="A16656" s="7"/>
      <c r="B16656" s="7"/>
      <c r="M16656" s="9" t="s">
        <v>21</v>
      </c>
    </row>
    <row r="16657" ht="15.75" customHeight="1">
      <c r="A16657" s="7"/>
      <c r="B16657" s="7"/>
      <c r="M16657" s="9" t="s">
        <v>27</v>
      </c>
    </row>
    <row r="16658" ht="15.75" customHeight="1">
      <c r="A16658" s="7"/>
      <c r="B16658" s="7"/>
      <c r="M16658" s="9" t="s">
        <v>33</v>
      </c>
    </row>
    <row r="16659" ht="15.75" customHeight="1">
      <c r="A16659" s="7"/>
      <c r="B16659" s="7"/>
      <c r="M16659" s="9" t="s">
        <v>30</v>
      </c>
    </row>
    <row r="16660" ht="15.75" customHeight="1">
      <c r="A16660" s="7"/>
      <c r="B16660" s="7"/>
      <c r="M16660" s="9" t="s">
        <v>24</v>
      </c>
    </row>
    <row r="16661" ht="15.75" customHeight="1">
      <c r="A16661" s="7"/>
      <c r="B16661" s="7"/>
      <c r="M16661" s="9" t="s">
        <v>21</v>
      </c>
    </row>
    <row r="16662" ht="15.75" customHeight="1">
      <c r="A16662" s="7"/>
      <c r="B16662" s="7"/>
      <c r="M16662" s="9" t="s">
        <v>37</v>
      </c>
    </row>
    <row r="16663" ht="15.75" customHeight="1">
      <c r="A16663" s="7"/>
      <c r="B16663" s="7"/>
      <c r="M16663" s="9" t="s">
        <v>22</v>
      </c>
    </row>
    <row r="16664" ht="15.75" customHeight="1">
      <c r="A16664" s="7"/>
      <c r="B16664" s="7"/>
      <c r="M16664" s="9" t="s">
        <v>27</v>
      </c>
    </row>
    <row r="16665" ht="15.75" customHeight="1">
      <c r="A16665" s="7"/>
      <c r="B16665" s="7"/>
      <c r="M16665" s="9" t="s">
        <v>30</v>
      </c>
    </row>
    <row r="16666" ht="15.75" customHeight="1">
      <c r="A16666" s="7"/>
      <c r="B16666" s="7"/>
      <c r="M16666" s="9" t="s">
        <v>36</v>
      </c>
    </row>
    <row r="16667" ht="15.75" customHeight="1">
      <c r="A16667" s="7"/>
      <c r="B16667" s="7"/>
      <c r="M16667" s="9" t="s">
        <v>24</v>
      </c>
    </row>
    <row r="16668" ht="15.75" customHeight="1">
      <c r="A16668" s="7"/>
      <c r="B16668" s="7"/>
      <c r="M16668" s="9" t="s">
        <v>21</v>
      </c>
    </row>
    <row r="16669" ht="15.75" customHeight="1">
      <c r="A16669" s="7"/>
      <c r="B16669" s="7"/>
      <c r="M16669" s="9" t="s">
        <v>22</v>
      </c>
    </row>
    <row r="16670" ht="15.75" customHeight="1">
      <c r="A16670" s="7"/>
      <c r="B16670" s="7"/>
      <c r="M16670" s="9" t="s">
        <v>46</v>
      </c>
    </row>
    <row r="16671" ht="15.75" customHeight="1">
      <c r="A16671" s="7"/>
      <c r="B16671" s="7"/>
      <c r="M16671" s="9" t="s">
        <v>27</v>
      </c>
    </row>
    <row r="16672" ht="15.75" customHeight="1">
      <c r="A16672" s="7"/>
      <c r="B16672" s="7"/>
      <c r="M16672" s="9" t="s">
        <v>30</v>
      </c>
    </row>
    <row r="16673" ht="15.75" customHeight="1">
      <c r="A16673" s="7"/>
      <c r="B16673" s="7"/>
      <c r="M16673" s="9" t="s">
        <v>25</v>
      </c>
    </row>
    <row r="16674" ht="15.75" customHeight="1">
      <c r="A16674" s="7"/>
      <c r="B16674" s="7"/>
      <c r="M16674" s="9" t="s">
        <v>23</v>
      </c>
    </row>
    <row r="16675" ht="15.75" customHeight="1">
      <c r="A16675" s="7"/>
      <c r="B16675" s="7"/>
      <c r="M16675" s="9" t="s">
        <v>24</v>
      </c>
    </row>
    <row r="16676" ht="15.75" customHeight="1">
      <c r="A16676" s="7"/>
      <c r="B16676" s="7"/>
      <c r="M16676" s="9" t="s">
        <v>20</v>
      </c>
    </row>
    <row r="16677" ht="15.75" customHeight="1">
      <c r="A16677" s="7"/>
      <c r="B16677" s="7"/>
      <c r="M16677" s="9" t="s">
        <v>21</v>
      </c>
    </row>
    <row r="16678" ht="15.75" customHeight="1">
      <c r="A16678" s="7"/>
      <c r="B16678" s="7"/>
      <c r="M16678" s="9" t="s">
        <v>37</v>
      </c>
    </row>
    <row r="16679" ht="15.75" customHeight="1">
      <c r="A16679" s="7"/>
      <c r="B16679" s="7"/>
      <c r="M16679" s="9" t="s">
        <v>27</v>
      </c>
    </row>
    <row r="16680" ht="15.75" customHeight="1">
      <c r="A16680" s="7"/>
      <c r="B16680" s="7"/>
      <c r="M16680" s="9" t="s">
        <v>24</v>
      </c>
    </row>
    <row r="16681" ht="15.75" customHeight="1">
      <c r="A16681" s="7"/>
      <c r="B16681" s="7"/>
      <c r="M16681" s="9" t="s">
        <v>20</v>
      </c>
    </row>
    <row r="16682" ht="15.75" customHeight="1">
      <c r="A16682" s="7"/>
      <c r="B16682" s="7"/>
      <c r="M16682" s="9" t="s">
        <v>21</v>
      </c>
    </row>
    <row r="16683" ht="15.75" customHeight="1">
      <c r="A16683" s="7"/>
      <c r="B16683" s="7"/>
      <c r="M16683" s="9" t="s">
        <v>22</v>
      </c>
    </row>
    <row r="16684" ht="15.75" customHeight="1">
      <c r="A16684" s="7"/>
      <c r="B16684" s="7"/>
      <c r="M16684" s="9" t="s">
        <v>29</v>
      </c>
    </row>
    <row r="16685" ht="15.75" customHeight="1">
      <c r="A16685" s="7"/>
      <c r="B16685" s="7"/>
      <c r="M16685" s="9" t="s">
        <v>46</v>
      </c>
    </row>
    <row r="16686" ht="15.75" customHeight="1">
      <c r="A16686" s="7"/>
      <c r="B16686" s="7"/>
      <c r="M16686" s="9" t="s">
        <v>27</v>
      </c>
    </row>
    <row r="16687" ht="15.75" customHeight="1">
      <c r="A16687" s="7"/>
      <c r="B16687" s="7"/>
      <c r="M16687" s="9" t="s">
        <v>26</v>
      </c>
    </row>
    <row r="16688" ht="15.75" customHeight="1">
      <c r="A16688" s="7"/>
      <c r="B16688" s="7"/>
      <c r="M16688" s="9" t="s">
        <v>20</v>
      </c>
    </row>
    <row r="16689" ht="15.75" customHeight="1">
      <c r="A16689" s="7"/>
      <c r="B16689" s="7"/>
      <c r="M16689" s="9" t="s">
        <v>30</v>
      </c>
    </row>
    <row r="16690" ht="15.75" customHeight="1">
      <c r="A16690" s="7"/>
      <c r="B16690" s="7"/>
      <c r="M16690" s="9" t="s">
        <v>36</v>
      </c>
    </row>
    <row r="16691" ht="15.75" customHeight="1">
      <c r="A16691" s="7"/>
      <c r="B16691" s="7"/>
      <c r="M16691" s="9" t="s">
        <v>24</v>
      </c>
    </row>
    <row r="16692" ht="15.75" customHeight="1">
      <c r="A16692" s="7"/>
      <c r="B16692" s="7"/>
      <c r="M16692" s="9" t="s">
        <v>20</v>
      </c>
    </row>
    <row r="16693" ht="15.75" customHeight="1">
      <c r="A16693" s="7"/>
      <c r="B16693" s="7"/>
      <c r="M16693" s="9" t="s">
        <v>21</v>
      </c>
    </row>
    <row r="16694" ht="15.75" customHeight="1">
      <c r="A16694" s="7"/>
      <c r="B16694" s="7"/>
      <c r="M16694" s="9" t="s">
        <v>41</v>
      </c>
    </row>
    <row r="16695" ht="15.75" customHeight="1">
      <c r="A16695" s="7"/>
      <c r="B16695" s="7"/>
      <c r="M16695" s="9" t="s">
        <v>37</v>
      </c>
    </row>
    <row r="16696" ht="15.75" customHeight="1">
      <c r="A16696" s="7"/>
      <c r="B16696" s="7"/>
      <c r="M16696" s="9" t="s">
        <v>22</v>
      </c>
    </row>
    <row r="16697" ht="15.75" customHeight="1">
      <c r="A16697" s="7"/>
      <c r="B16697" s="7"/>
      <c r="M16697" s="9" t="s">
        <v>29</v>
      </c>
    </row>
    <row r="16698" ht="15.75" customHeight="1">
      <c r="A16698" s="7"/>
      <c r="B16698" s="7"/>
      <c r="M16698" s="9" t="s">
        <v>27</v>
      </c>
    </row>
    <row r="16699" ht="15.75" customHeight="1">
      <c r="A16699" s="7"/>
      <c r="B16699" s="7"/>
      <c r="M16699" s="9" t="s">
        <v>33</v>
      </c>
    </row>
    <row r="16700" ht="15.75" customHeight="1">
      <c r="A16700" s="7"/>
      <c r="B16700" s="7"/>
      <c r="M16700" s="9" t="s">
        <v>20</v>
      </c>
    </row>
    <row r="16701" ht="15.75" customHeight="1">
      <c r="A16701" s="7"/>
      <c r="B16701" s="7"/>
      <c r="M16701" s="9" t="s">
        <v>30</v>
      </c>
    </row>
    <row r="16702" ht="15.75" customHeight="1">
      <c r="A16702" s="7"/>
      <c r="B16702" s="7"/>
      <c r="M16702" s="9" t="s">
        <v>24</v>
      </c>
    </row>
    <row r="16703" ht="15.75" customHeight="1">
      <c r="A16703" s="7"/>
      <c r="B16703" s="7"/>
      <c r="M16703" s="9" t="s">
        <v>21</v>
      </c>
    </row>
    <row r="16704" ht="15.75" customHeight="1">
      <c r="A16704" s="7"/>
      <c r="B16704" s="7"/>
      <c r="M16704" s="9" t="s">
        <v>33</v>
      </c>
    </row>
    <row r="16705" ht="15.75" customHeight="1">
      <c r="A16705" s="7"/>
      <c r="B16705" s="7"/>
      <c r="M16705" s="9" t="s">
        <v>21</v>
      </c>
    </row>
    <row r="16706" ht="15.75" customHeight="1">
      <c r="A16706" s="7"/>
      <c r="B16706" s="7"/>
      <c r="M16706" s="9" t="s">
        <v>40</v>
      </c>
    </row>
    <row r="16707" ht="15.75" customHeight="1">
      <c r="A16707" s="7"/>
      <c r="B16707" s="7"/>
      <c r="M16707" s="9" t="s">
        <v>20</v>
      </c>
    </row>
    <row r="16708" ht="15.75" customHeight="1">
      <c r="A16708" s="7"/>
      <c r="B16708" s="7"/>
      <c r="M16708" s="9" t="s">
        <v>27</v>
      </c>
    </row>
    <row r="16709" ht="15.75" customHeight="1">
      <c r="A16709" s="7"/>
      <c r="B16709" s="7"/>
      <c r="M16709" s="9" t="s">
        <v>30</v>
      </c>
    </row>
    <row r="16710" ht="15.75" customHeight="1">
      <c r="A16710" s="7"/>
      <c r="B16710" s="7"/>
      <c r="M16710" s="9" t="s">
        <v>24</v>
      </c>
    </row>
    <row r="16711" ht="15.75" customHeight="1">
      <c r="A16711" s="7"/>
      <c r="B16711" s="7"/>
      <c r="M16711" s="9" t="s">
        <v>20</v>
      </c>
    </row>
    <row r="16712" ht="15.75" customHeight="1">
      <c r="A16712" s="7"/>
      <c r="B16712" s="7"/>
      <c r="M16712" s="9" t="s">
        <v>21</v>
      </c>
    </row>
    <row r="16713" ht="15.75" customHeight="1">
      <c r="A16713" s="7"/>
      <c r="B16713" s="7"/>
      <c r="M16713" s="9" t="s">
        <v>22</v>
      </c>
    </row>
    <row r="16714" ht="15.75" customHeight="1">
      <c r="A16714" s="7"/>
      <c r="B16714" s="7"/>
      <c r="M16714" s="9" t="s">
        <v>27</v>
      </c>
    </row>
    <row r="16715" ht="15.75" customHeight="1">
      <c r="A16715" s="7"/>
      <c r="B16715" s="7"/>
      <c r="M16715" s="9" t="s">
        <v>30</v>
      </c>
    </row>
    <row r="16716" ht="15.75" customHeight="1">
      <c r="A16716" s="7"/>
      <c r="B16716" s="7"/>
      <c r="M16716" s="9" t="s">
        <v>36</v>
      </c>
    </row>
    <row r="16717" ht="15.75" customHeight="1">
      <c r="A16717" s="7"/>
      <c r="B16717" s="7"/>
      <c r="M16717" s="9" t="s">
        <v>21</v>
      </c>
    </row>
    <row r="16718" ht="15.75" customHeight="1">
      <c r="A16718" s="7"/>
      <c r="B16718" s="7"/>
      <c r="M16718" s="9" t="s">
        <v>22</v>
      </c>
    </row>
    <row r="16719" ht="15.75" customHeight="1">
      <c r="A16719" s="7"/>
      <c r="B16719" s="7"/>
      <c r="M16719" s="9" t="s">
        <v>31</v>
      </c>
    </row>
    <row r="16720" ht="15.75" customHeight="1">
      <c r="A16720" s="7"/>
      <c r="B16720" s="7"/>
      <c r="M16720" s="9" t="s">
        <v>46</v>
      </c>
    </row>
    <row r="16721" ht="15.75" customHeight="1">
      <c r="A16721" s="7"/>
      <c r="B16721" s="7"/>
      <c r="M16721" s="9" t="s">
        <v>27</v>
      </c>
    </row>
    <row r="16722" ht="15.75" customHeight="1">
      <c r="A16722" s="7"/>
      <c r="B16722" s="7"/>
      <c r="M16722" s="9" t="s">
        <v>33</v>
      </c>
    </row>
    <row r="16723" ht="15.75" customHeight="1">
      <c r="A16723" s="7"/>
      <c r="B16723" s="7"/>
      <c r="M16723" s="9" t="s">
        <v>23</v>
      </c>
    </row>
    <row r="16724" ht="15.75" customHeight="1">
      <c r="A16724" s="7"/>
      <c r="B16724" s="7"/>
      <c r="M16724" s="9" t="s">
        <v>26</v>
      </c>
    </row>
    <row r="16725" ht="15.75" customHeight="1">
      <c r="A16725" s="7"/>
      <c r="B16725" s="7"/>
      <c r="M16725" s="9" t="s">
        <v>28</v>
      </c>
    </row>
    <row r="16726" ht="15.75" customHeight="1">
      <c r="A16726" s="7"/>
      <c r="B16726" s="7"/>
      <c r="M16726" s="9" t="s">
        <v>30</v>
      </c>
    </row>
    <row r="16727" ht="15.75" customHeight="1">
      <c r="A16727" s="7"/>
      <c r="B16727" s="7"/>
      <c r="M16727" s="9" t="s">
        <v>26</v>
      </c>
    </row>
    <row r="16728" ht="15.75" customHeight="1">
      <c r="A16728" s="7"/>
      <c r="B16728" s="7"/>
      <c r="M16728" s="9" t="s">
        <v>24</v>
      </c>
    </row>
    <row r="16729" ht="15.75" customHeight="1">
      <c r="A16729" s="7"/>
      <c r="B16729" s="7"/>
      <c r="M16729" s="9" t="s">
        <v>21</v>
      </c>
    </row>
    <row r="16730" ht="15.75" customHeight="1">
      <c r="A16730" s="7"/>
      <c r="B16730" s="7"/>
      <c r="M16730" s="9" t="s">
        <v>24</v>
      </c>
    </row>
    <row r="16731" ht="15.75" customHeight="1">
      <c r="A16731" s="7"/>
      <c r="B16731" s="7"/>
      <c r="M16731" s="9" t="s">
        <v>20</v>
      </c>
    </row>
    <row r="16732" ht="15.75" customHeight="1">
      <c r="A16732" s="7"/>
      <c r="B16732" s="7"/>
      <c r="M16732" s="9" t="s">
        <v>21</v>
      </c>
    </row>
    <row r="16733" ht="15.75" customHeight="1">
      <c r="A16733" s="7"/>
      <c r="B16733" s="7"/>
      <c r="M16733" s="9" t="s">
        <v>37</v>
      </c>
    </row>
    <row r="16734" ht="15.75" customHeight="1">
      <c r="A16734" s="7"/>
      <c r="B16734" s="7"/>
      <c r="M16734" s="9" t="s">
        <v>22</v>
      </c>
    </row>
    <row r="16735" ht="15.75" customHeight="1">
      <c r="A16735" s="7"/>
      <c r="B16735" s="7"/>
      <c r="M16735" s="9" t="s">
        <v>27</v>
      </c>
    </row>
    <row r="16736" ht="15.75" customHeight="1">
      <c r="A16736" s="7"/>
      <c r="B16736" s="7"/>
      <c r="M16736" s="9" t="s">
        <v>33</v>
      </c>
    </row>
    <row r="16737" ht="15.75" customHeight="1">
      <c r="A16737" s="7"/>
      <c r="B16737" s="7"/>
      <c r="M16737" s="9" t="s">
        <v>23</v>
      </c>
    </row>
    <row r="16738" ht="15.75" customHeight="1">
      <c r="A16738" s="7"/>
      <c r="B16738" s="7"/>
      <c r="M16738" s="9" t="s">
        <v>24</v>
      </c>
    </row>
    <row r="16739" ht="15.75" customHeight="1">
      <c r="A16739" s="7"/>
      <c r="B16739" s="7"/>
      <c r="M16739" s="9" t="s">
        <v>22</v>
      </c>
    </row>
    <row r="16740" ht="15.75" customHeight="1">
      <c r="A16740" s="7"/>
      <c r="B16740" s="7"/>
      <c r="M16740" s="9" t="s">
        <v>44</v>
      </c>
    </row>
    <row r="16741" ht="15.75" customHeight="1">
      <c r="A16741" s="7"/>
      <c r="B16741" s="7"/>
      <c r="M16741" s="9" t="s">
        <v>24</v>
      </c>
    </row>
    <row r="16742" ht="15.75" customHeight="1">
      <c r="A16742" s="7"/>
      <c r="B16742" s="7"/>
      <c r="M16742" s="9" t="s">
        <v>20</v>
      </c>
    </row>
    <row r="16743" ht="15.75" customHeight="1">
      <c r="A16743" s="7"/>
      <c r="B16743" s="7"/>
      <c r="M16743" s="9" t="s">
        <v>21</v>
      </c>
    </row>
    <row r="16744" ht="15.75" customHeight="1">
      <c r="A16744" s="7"/>
      <c r="B16744" s="7"/>
      <c r="M16744" s="9" t="s">
        <v>22</v>
      </c>
    </row>
    <row r="16745" ht="15.75" customHeight="1">
      <c r="A16745" s="7"/>
      <c r="B16745" s="7"/>
      <c r="M16745" s="9" t="s">
        <v>30</v>
      </c>
    </row>
    <row r="16746" ht="15.75" customHeight="1">
      <c r="A16746" s="7"/>
      <c r="B16746" s="7"/>
      <c r="M16746" s="9" t="s">
        <v>23</v>
      </c>
    </row>
    <row r="16747" ht="15.75" customHeight="1">
      <c r="A16747" s="7"/>
      <c r="B16747" s="7"/>
      <c r="M16747" s="9" t="s">
        <v>21</v>
      </c>
    </row>
    <row r="16748" ht="15.75" customHeight="1">
      <c r="A16748" s="7"/>
      <c r="B16748" s="7"/>
      <c r="M16748" s="9" t="s">
        <v>37</v>
      </c>
    </row>
    <row r="16749" ht="15.75" customHeight="1">
      <c r="A16749" s="7"/>
      <c r="B16749" s="7"/>
      <c r="M16749" s="9" t="s">
        <v>22</v>
      </c>
    </row>
    <row r="16750" ht="15.75" customHeight="1">
      <c r="A16750" s="7"/>
      <c r="B16750" s="7"/>
      <c r="M16750" s="9" t="s">
        <v>30</v>
      </c>
    </row>
    <row r="16751" ht="15.75" customHeight="1">
      <c r="A16751" s="7"/>
      <c r="B16751" s="7"/>
      <c r="M16751" s="9" t="s">
        <v>24</v>
      </c>
    </row>
    <row r="16752" ht="15.75" customHeight="1">
      <c r="A16752" s="7"/>
      <c r="B16752" s="7"/>
      <c r="M16752" s="9" t="s">
        <v>20</v>
      </c>
    </row>
    <row r="16753" ht="15.75" customHeight="1">
      <c r="A16753" s="7"/>
      <c r="B16753" s="7"/>
      <c r="M16753" s="9" t="s">
        <v>21</v>
      </c>
    </row>
    <row r="16754" ht="15.75" customHeight="1">
      <c r="A16754" s="7"/>
      <c r="B16754" s="7"/>
      <c r="M16754" s="9" t="s">
        <v>39</v>
      </c>
    </row>
    <row r="16755" ht="15.75" customHeight="1">
      <c r="A16755" s="7"/>
      <c r="B16755" s="7"/>
      <c r="M16755" s="9" t="s">
        <v>41</v>
      </c>
    </row>
    <row r="16756" ht="15.75" customHeight="1">
      <c r="A16756" s="7"/>
      <c r="B16756" s="7"/>
      <c r="M16756" s="9" t="s">
        <v>27</v>
      </c>
    </row>
    <row r="16757" ht="15.75" customHeight="1">
      <c r="A16757" s="7"/>
      <c r="B16757" s="7"/>
      <c r="M16757" s="9" t="s">
        <v>40</v>
      </c>
    </row>
    <row r="16758" ht="15.75" customHeight="1">
      <c r="A16758" s="7"/>
      <c r="B16758" s="7"/>
      <c r="M16758" s="9" t="s">
        <v>25</v>
      </c>
    </row>
    <row r="16759" ht="15.75" customHeight="1">
      <c r="A16759" s="7"/>
      <c r="B16759" s="7"/>
      <c r="M16759" s="9" t="s">
        <v>23</v>
      </c>
    </row>
    <row r="16760" ht="15.75" customHeight="1">
      <c r="A16760" s="7"/>
      <c r="B16760" s="7"/>
      <c r="M16760" s="9" t="s">
        <v>24</v>
      </c>
    </row>
    <row r="16761" ht="15.75" customHeight="1">
      <c r="A16761" s="7"/>
      <c r="B16761" s="7"/>
      <c r="M16761" s="9" t="s">
        <v>21</v>
      </c>
    </row>
    <row r="16762" ht="15.75" customHeight="1">
      <c r="A16762" s="7"/>
      <c r="B16762" s="7"/>
      <c r="M16762" s="9" t="s">
        <v>22</v>
      </c>
    </row>
    <row r="16763" ht="15.75" customHeight="1">
      <c r="A16763" s="7"/>
      <c r="B16763" s="7"/>
      <c r="M16763" s="9" t="s">
        <v>29</v>
      </c>
    </row>
    <row r="16764" ht="15.75" customHeight="1">
      <c r="A16764" s="7"/>
      <c r="B16764" s="7"/>
      <c r="M16764" s="9" t="s">
        <v>31</v>
      </c>
    </row>
    <row r="16765" ht="15.75" customHeight="1">
      <c r="A16765" s="7"/>
      <c r="B16765" s="7"/>
      <c r="M16765" s="9" t="s">
        <v>27</v>
      </c>
    </row>
    <row r="16766" ht="15.75" customHeight="1">
      <c r="A16766" s="7"/>
      <c r="B16766" s="7"/>
      <c r="M16766" s="9" t="s">
        <v>40</v>
      </c>
    </row>
    <row r="16767" ht="15.75" customHeight="1">
      <c r="A16767" s="7"/>
      <c r="B16767" s="7"/>
      <c r="M16767" s="9" t="s">
        <v>38</v>
      </c>
    </row>
    <row r="16768" ht="15.75" customHeight="1">
      <c r="A16768" s="7"/>
      <c r="B16768" s="7"/>
      <c r="M16768" s="9" t="s">
        <v>30</v>
      </c>
    </row>
    <row r="16769" ht="15.75" customHeight="1">
      <c r="A16769" s="7"/>
      <c r="B16769" s="7"/>
      <c r="M16769" s="9" t="s">
        <v>25</v>
      </c>
    </row>
    <row r="16770" ht="15.75" customHeight="1">
      <c r="A16770" s="7"/>
      <c r="B16770" s="7"/>
      <c r="M16770" s="9" t="s">
        <v>23</v>
      </c>
    </row>
    <row r="16771" ht="15.75" customHeight="1">
      <c r="A16771" s="7"/>
      <c r="B16771" s="7"/>
      <c r="M16771" s="9" t="s">
        <v>22</v>
      </c>
    </row>
    <row r="16772" ht="15.75" customHeight="1">
      <c r="A16772" s="7"/>
      <c r="B16772" s="7"/>
      <c r="M16772" s="9" t="s">
        <v>35</v>
      </c>
    </row>
    <row r="16773" ht="15.75" customHeight="1">
      <c r="A16773" s="7"/>
      <c r="B16773" s="7"/>
      <c r="M16773" s="9" t="s">
        <v>20</v>
      </c>
    </row>
    <row r="16774" ht="15.75" customHeight="1">
      <c r="A16774" s="7"/>
      <c r="B16774" s="7"/>
      <c r="M16774" s="9" t="s">
        <v>21</v>
      </c>
    </row>
    <row r="16775" ht="15.75" customHeight="1">
      <c r="A16775" s="7"/>
      <c r="B16775" s="7"/>
      <c r="M16775" s="9" t="s">
        <v>33</v>
      </c>
    </row>
    <row r="16776" ht="15.75" customHeight="1">
      <c r="A16776" s="7"/>
      <c r="B16776" s="7"/>
      <c r="M16776" s="9" t="s">
        <v>20</v>
      </c>
    </row>
    <row r="16777" ht="15.75" customHeight="1">
      <c r="A16777" s="7"/>
      <c r="B16777" s="7"/>
      <c r="M16777" s="9" t="s">
        <v>37</v>
      </c>
    </row>
    <row r="16778" ht="15.75" customHeight="1">
      <c r="A16778" s="7"/>
      <c r="B16778" s="7"/>
      <c r="M16778" s="9" t="s">
        <v>30</v>
      </c>
    </row>
    <row r="16779" ht="15.75" customHeight="1">
      <c r="A16779" s="7"/>
      <c r="B16779" s="7"/>
      <c r="M16779" s="9" t="s">
        <v>26</v>
      </c>
    </row>
    <row r="16780" ht="15.75" customHeight="1">
      <c r="A16780" s="7"/>
      <c r="B16780" s="7"/>
      <c r="M16780" s="9" t="s">
        <v>24</v>
      </c>
    </row>
    <row r="16781" ht="15.75" customHeight="1">
      <c r="A16781" s="7"/>
      <c r="B16781" s="7"/>
      <c r="M16781" s="9" t="s">
        <v>21</v>
      </c>
    </row>
    <row r="16782" ht="15.75" customHeight="1">
      <c r="A16782" s="7"/>
      <c r="B16782" s="7"/>
      <c r="M16782" s="9" t="s">
        <v>22</v>
      </c>
    </row>
    <row r="16783" ht="15.75" customHeight="1">
      <c r="A16783" s="7"/>
      <c r="B16783" s="7"/>
      <c r="M16783" s="9" t="s">
        <v>29</v>
      </c>
    </row>
    <row r="16784" ht="15.75" customHeight="1">
      <c r="A16784" s="7"/>
      <c r="B16784" s="7"/>
      <c r="M16784" s="9" t="s">
        <v>27</v>
      </c>
    </row>
    <row r="16785" ht="15.75" customHeight="1">
      <c r="A16785" s="7"/>
      <c r="B16785" s="7"/>
      <c r="M16785" s="9" t="s">
        <v>25</v>
      </c>
    </row>
    <row r="16786" ht="15.75" customHeight="1">
      <c r="A16786" s="7"/>
      <c r="B16786" s="7"/>
      <c r="M16786" s="9" t="s">
        <v>36</v>
      </c>
    </row>
    <row r="16787" ht="15.75" customHeight="1">
      <c r="A16787" s="7"/>
      <c r="B16787" s="7"/>
      <c r="M16787" s="9" t="s">
        <v>22</v>
      </c>
    </row>
    <row r="16788" ht="15.75" customHeight="1">
      <c r="A16788" s="7"/>
      <c r="B16788" s="7"/>
      <c r="M16788" s="9" t="s">
        <v>27</v>
      </c>
    </row>
    <row r="16789" ht="15.75" customHeight="1">
      <c r="A16789" s="7"/>
      <c r="B16789" s="7"/>
      <c r="M16789" s="9" t="s">
        <v>38</v>
      </c>
    </row>
    <row r="16790" ht="15.75" customHeight="1">
      <c r="A16790" s="7"/>
      <c r="B16790" s="7"/>
      <c r="M16790" s="9" t="s">
        <v>24</v>
      </c>
    </row>
    <row r="16791" ht="15.75" customHeight="1">
      <c r="A16791" s="7"/>
      <c r="B16791" s="7"/>
      <c r="M16791" s="9" t="s">
        <v>21</v>
      </c>
    </row>
    <row r="16792" ht="15.75" customHeight="1">
      <c r="A16792" s="7"/>
      <c r="B16792" s="7"/>
      <c r="M16792" s="9" t="s">
        <v>37</v>
      </c>
    </row>
    <row r="16793" ht="15.75" customHeight="1">
      <c r="A16793" s="7"/>
      <c r="B16793" s="7"/>
      <c r="M16793" s="9" t="s">
        <v>27</v>
      </c>
    </row>
    <row r="16794" ht="15.75" customHeight="1">
      <c r="A16794" s="7"/>
      <c r="B16794" s="7"/>
      <c r="M16794" s="9" t="s">
        <v>40</v>
      </c>
    </row>
    <row r="16795" ht="15.75" customHeight="1">
      <c r="A16795" s="7"/>
      <c r="B16795" s="7"/>
      <c r="M16795" s="9" t="s">
        <v>26</v>
      </c>
    </row>
    <row r="16796" ht="15.75" customHeight="1">
      <c r="A16796" s="7"/>
      <c r="B16796" s="7"/>
      <c r="M16796" s="9" t="s">
        <v>20</v>
      </c>
    </row>
    <row r="16797" ht="15.75" customHeight="1">
      <c r="A16797" s="7"/>
      <c r="B16797" s="7"/>
      <c r="M16797" s="9" t="s">
        <v>35</v>
      </c>
    </row>
    <row r="16798" ht="15.75" customHeight="1">
      <c r="A16798" s="7"/>
      <c r="B16798" s="7"/>
      <c r="M16798" s="9" t="s">
        <v>30</v>
      </c>
    </row>
    <row r="16799" ht="15.75" customHeight="1">
      <c r="A16799" s="7"/>
      <c r="B16799" s="7"/>
      <c r="M16799" s="9" t="s">
        <v>41</v>
      </c>
    </row>
    <row r="16800" ht="15.75" customHeight="1">
      <c r="A16800" s="7"/>
      <c r="B16800" s="7"/>
      <c r="M16800" s="9" t="s">
        <v>40</v>
      </c>
    </row>
    <row r="16801" ht="15.75" customHeight="1">
      <c r="A16801" s="7"/>
      <c r="B16801" s="7"/>
      <c r="M16801" s="9" t="s">
        <v>20</v>
      </c>
    </row>
    <row r="16802" ht="15.75" customHeight="1">
      <c r="A16802" s="7"/>
      <c r="B16802" s="7"/>
      <c r="M16802" s="9" t="s">
        <v>21</v>
      </c>
    </row>
    <row r="16803" ht="15.75" customHeight="1">
      <c r="A16803" s="7"/>
      <c r="B16803" s="7"/>
      <c r="M16803" s="9" t="s">
        <v>22</v>
      </c>
    </row>
    <row r="16804" ht="15.75" customHeight="1">
      <c r="A16804" s="7"/>
      <c r="B16804" s="7"/>
      <c r="M16804" s="9" t="s">
        <v>30</v>
      </c>
    </row>
    <row r="16805" ht="15.75" customHeight="1">
      <c r="A16805" s="7"/>
      <c r="B16805" s="7"/>
      <c r="M16805" s="9" t="s">
        <v>25</v>
      </c>
    </row>
    <row r="16806" ht="15.75" customHeight="1">
      <c r="A16806" s="7"/>
      <c r="B16806" s="7"/>
      <c r="M16806" s="9" t="s">
        <v>23</v>
      </c>
    </row>
    <row r="16807" ht="15.75" customHeight="1">
      <c r="A16807" s="7"/>
      <c r="B16807" s="7"/>
      <c r="M16807" s="9" t="s">
        <v>26</v>
      </c>
    </row>
    <row r="16808" ht="15.75" customHeight="1">
      <c r="A16808" s="7"/>
      <c r="B16808" s="7"/>
      <c r="M16808" s="9" t="s">
        <v>24</v>
      </c>
    </row>
    <row r="16809" ht="15.75" customHeight="1">
      <c r="A16809" s="7"/>
      <c r="B16809" s="7"/>
      <c r="M16809" s="9" t="s">
        <v>20</v>
      </c>
    </row>
    <row r="16810" ht="15.75" customHeight="1">
      <c r="A16810" s="7"/>
      <c r="B16810" s="7"/>
      <c r="M16810" s="9" t="s">
        <v>21</v>
      </c>
    </row>
    <row r="16811" ht="15.75" customHeight="1">
      <c r="A16811" s="7"/>
      <c r="B16811" s="7"/>
      <c r="M16811" s="9" t="s">
        <v>37</v>
      </c>
    </row>
    <row r="16812" ht="15.75" customHeight="1">
      <c r="A16812" s="7"/>
      <c r="B16812" s="7"/>
      <c r="M16812" s="9" t="s">
        <v>22</v>
      </c>
    </row>
    <row r="16813" ht="15.75" customHeight="1">
      <c r="A16813" s="7"/>
      <c r="B16813" s="7"/>
      <c r="M16813" s="9" t="s">
        <v>27</v>
      </c>
    </row>
    <row r="16814" ht="15.75" customHeight="1">
      <c r="A16814" s="7"/>
      <c r="B16814" s="7"/>
      <c r="M16814" s="9" t="s">
        <v>23</v>
      </c>
    </row>
    <row r="16815" ht="15.75" customHeight="1">
      <c r="A16815" s="7"/>
      <c r="B16815" s="7"/>
      <c r="M16815" s="9" t="s">
        <v>36</v>
      </c>
    </row>
    <row r="16816" ht="15.75" customHeight="1">
      <c r="A16816" s="7"/>
      <c r="B16816" s="7"/>
      <c r="M16816" s="9" t="s">
        <v>21</v>
      </c>
    </row>
    <row r="16817" ht="15.75" customHeight="1">
      <c r="A16817" s="7"/>
      <c r="B16817" s="7"/>
      <c r="M16817" s="9" t="s">
        <v>27</v>
      </c>
    </row>
    <row r="16818" ht="15.75" customHeight="1">
      <c r="A16818" s="7"/>
      <c r="B16818" s="7"/>
      <c r="M16818" s="9" t="s">
        <v>25</v>
      </c>
    </row>
    <row r="16819" ht="15.75" customHeight="1">
      <c r="A16819" s="7"/>
      <c r="B16819" s="7"/>
      <c r="M16819" s="9" t="s">
        <v>24</v>
      </c>
    </row>
    <row r="16820" ht="15.75" customHeight="1">
      <c r="A16820" s="7"/>
      <c r="B16820" s="7"/>
      <c r="M16820" s="9" t="s">
        <v>20</v>
      </c>
    </row>
    <row r="16821" ht="15.75" customHeight="1">
      <c r="A16821" s="7"/>
      <c r="B16821" s="7"/>
      <c r="M16821" s="9" t="s">
        <v>37</v>
      </c>
    </row>
    <row r="16822" ht="15.75" customHeight="1">
      <c r="A16822" s="7"/>
      <c r="B16822" s="7"/>
      <c r="M16822" s="9" t="s">
        <v>25</v>
      </c>
    </row>
    <row r="16823" ht="15.75" customHeight="1">
      <c r="A16823" s="7"/>
      <c r="B16823" s="7"/>
      <c r="M16823" s="9" t="s">
        <v>23</v>
      </c>
    </row>
    <row r="16824" ht="15.75" customHeight="1">
      <c r="A16824" s="7"/>
      <c r="B16824" s="7"/>
      <c r="M16824" s="9" t="s">
        <v>26</v>
      </c>
    </row>
    <row r="16825" ht="15.75" customHeight="1">
      <c r="A16825" s="7"/>
      <c r="B16825" s="7"/>
      <c r="M16825" s="9" t="s">
        <v>36</v>
      </c>
    </row>
    <row r="16826" ht="15.75" customHeight="1">
      <c r="A16826" s="7"/>
      <c r="B16826" s="7"/>
      <c r="M16826" s="9" t="s">
        <v>24</v>
      </c>
    </row>
    <row r="16827" ht="15.75" customHeight="1">
      <c r="A16827" s="7"/>
      <c r="B16827" s="7"/>
      <c r="M16827" s="9" t="s">
        <v>20</v>
      </c>
    </row>
    <row r="16828" ht="15.75" customHeight="1">
      <c r="A16828" s="7"/>
      <c r="B16828" s="7"/>
      <c r="M16828" s="9" t="s">
        <v>21</v>
      </c>
    </row>
    <row r="16829" ht="15.75" customHeight="1">
      <c r="A16829" s="7"/>
      <c r="B16829" s="7"/>
      <c r="M16829" s="9" t="s">
        <v>37</v>
      </c>
    </row>
    <row r="16830" ht="15.75" customHeight="1">
      <c r="A16830" s="7"/>
      <c r="B16830" s="7"/>
      <c r="M16830" s="9" t="s">
        <v>22</v>
      </c>
    </row>
    <row r="16831" ht="15.75" customHeight="1">
      <c r="A16831" s="7"/>
      <c r="B16831" s="7"/>
      <c r="M16831" s="9" t="s">
        <v>31</v>
      </c>
    </row>
    <row r="16832" ht="15.75" customHeight="1">
      <c r="A16832" s="7"/>
      <c r="B16832" s="7"/>
      <c r="M16832" s="9" t="s">
        <v>27</v>
      </c>
    </row>
    <row r="16833" ht="15.75" customHeight="1">
      <c r="A16833" s="7"/>
      <c r="B16833" s="7"/>
      <c r="M16833" s="9" t="s">
        <v>33</v>
      </c>
    </row>
    <row r="16834" ht="15.75" customHeight="1">
      <c r="A16834" s="7"/>
      <c r="B16834" s="7"/>
      <c r="M16834" s="9" t="s">
        <v>23</v>
      </c>
    </row>
    <row r="16835" ht="15.75" customHeight="1">
      <c r="A16835" s="7"/>
      <c r="B16835" s="7"/>
      <c r="M16835" s="9" t="s">
        <v>24</v>
      </c>
    </row>
    <row r="16836" ht="15.75" customHeight="1">
      <c r="A16836" s="7"/>
      <c r="B16836" s="7"/>
      <c r="M16836" s="9" t="s">
        <v>21</v>
      </c>
    </row>
    <row r="16837" ht="15.75" customHeight="1">
      <c r="A16837" s="7"/>
      <c r="B16837" s="7"/>
      <c r="M16837" s="9" t="s">
        <v>30</v>
      </c>
    </row>
    <row r="16838" ht="15.75" customHeight="1">
      <c r="A16838" s="7"/>
      <c r="B16838" s="7"/>
      <c r="M16838" s="9" t="s">
        <v>24</v>
      </c>
    </row>
    <row r="16839" ht="15.75" customHeight="1">
      <c r="A16839" s="7"/>
      <c r="B16839" s="7"/>
      <c r="M16839" s="9" t="s">
        <v>21</v>
      </c>
    </row>
    <row r="16840" ht="15.75" customHeight="1">
      <c r="A16840" s="7"/>
      <c r="B16840" s="7"/>
      <c r="M16840" s="9" t="s">
        <v>27</v>
      </c>
    </row>
    <row r="16841" ht="15.75" customHeight="1">
      <c r="A16841" s="7"/>
      <c r="B16841" s="7"/>
      <c r="M16841" s="9" t="s">
        <v>30</v>
      </c>
    </row>
    <row r="16842" ht="15.75" customHeight="1">
      <c r="A16842" s="7"/>
      <c r="B16842" s="7"/>
      <c r="M16842" s="9" t="s">
        <v>25</v>
      </c>
    </row>
    <row r="16843" ht="15.75" customHeight="1">
      <c r="A16843" s="7"/>
      <c r="B16843" s="7"/>
      <c r="M16843" s="9" t="s">
        <v>22</v>
      </c>
    </row>
    <row r="16844" ht="15.75" customHeight="1">
      <c r="A16844" s="7"/>
      <c r="B16844" s="7"/>
      <c r="M16844" s="9" t="s">
        <v>23</v>
      </c>
    </row>
    <row r="16845" ht="15.75" customHeight="1">
      <c r="A16845" s="7"/>
      <c r="B16845" s="7"/>
      <c r="M16845" s="9" t="s">
        <v>24</v>
      </c>
    </row>
    <row r="16846" ht="15.75" customHeight="1">
      <c r="A16846" s="7"/>
      <c r="B16846" s="7"/>
      <c r="M16846" s="9" t="s">
        <v>20</v>
      </c>
    </row>
    <row r="16847" ht="15.75" customHeight="1">
      <c r="A16847" s="7"/>
      <c r="B16847" s="7"/>
      <c r="M16847" s="9" t="s">
        <v>21</v>
      </c>
    </row>
    <row r="16848" ht="15.75" customHeight="1">
      <c r="A16848" s="7"/>
      <c r="B16848" s="7"/>
      <c r="M16848" s="9" t="s">
        <v>31</v>
      </c>
    </row>
    <row r="16849" ht="15.75" customHeight="1">
      <c r="A16849" s="7"/>
      <c r="B16849" s="7"/>
      <c r="M16849" s="9" t="s">
        <v>27</v>
      </c>
    </row>
    <row r="16850" ht="15.75" customHeight="1">
      <c r="A16850" s="7"/>
      <c r="B16850" s="7"/>
      <c r="M16850" s="9" t="s">
        <v>36</v>
      </c>
    </row>
    <row r="16851" ht="15.75" customHeight="1">
      <c r="A16851" s="7"/>
      <c r="B16851" s="7"/>
      <c r="M16851" s="9" t="s">
        <v>21</v>
      </c>
    </row>
    <row r="16852" ht="15.75" customHeight="1">
      <c r="A16852" s="7"/>
      <c r="B16852" s="7"/>
      <c r="M16852" s="9" t="s">
        <v>37</v>
      </c>
    </row>
    <row r="16853" ht="15.75" customHeight="1">
      <c r="A16853" s="7"/>
      <c r="B16853" s="7"/>
      <c r="M16853" s="9" t="s">
        <v>22</v>
      </c>
    </row>
    <row r="16854" ht="15.75" customHeight="1">
      <c r="A16854" s="7"/>
      <c r="B16854" s="7"/>
      <c r="M16854" s="9" t="s">
        <v>27</v>
      </c>
    </row>
    <row r="16855" ht="15.75" customHeight="1">
      <c r="A16855" s="7"/>
      <c r="B16855" s="7"/>
      <c r="M16855" s="9" t="s">
        <v>24</v>
      </c>
    </row>
    <row r="16856" ht="15.75" customHeight="1">
      <c r="A16856" s="7"/>
      <c r="B16856" s="7"/>
      <c r="M16856" s="9" t="s">
        <v>21</v>
      </c>
    </row>
    <row r="16857" ht="15.75" customHeight="1">
      <c r="A16857" s="7"/>
      <c r="B16857" s="7"/>
      <c r="M16857" s="9" t="s">
        <v>37</v>
      </c>
    </row>
    <row r="16858" ht="15.75" customHeight="1">
      <c r="A16858" s="7"/>
      <c r="B16858" s="7"/>
      <c r="M16858" s="9" t="s">
        <v>22</v>
      </c>
    </row>
    <row r="16859" ht="15.75" customHeight="1">
      <c r="A16859" s="7"/>
      <c r="B16859" s="7"/>
      <c r="M16859" s="9" t="s">
        <v>27</v>
      </c>
    </row>
    <row r="16860" ht="15.75" customHeight="1">
      <c r="A16860" s="7"/>
      <c r="B16860" s="7"/>
      <c r="M16860" s="9" t="s">
        <v>25</v>
      </c>
    </row>
    <row r="16861" ht="15.75" customHeight="1">
      <c r="A16861" s="7"/>
      <c r="B16861" s="7"/>
      <c r="M16861" s="9" t="s">
        <v>23</v>
      </c>
    </row>
    <row r="16862" ht="15.75" customHeight="1">
      <c r="A16862" s="7"/>
      <c r="B16862" s="7"/>
      <c r="M16862" s="9" t="s">
        <v>26</v>
      </c>
    </row>
    <row r="16863" ht="15.75" customHeight="1">
      <c r="A16863" s="7"/>
      <c r="B16863" s="7"/>
      <c r="M16863" s="9" t="s">
        <v>24</v>
      </c>
    </row>
    <row r="16864" ht="15.75" customHeight="1">
      <c r="A16864" s="7"/>
      <c r="B16864" s="7"/>
      <c r="M16864" s="9" t="s">
        <v>20</v>
      </c>
    </row>
    <row r="16865" ht="15.75" customHeight="1">
      <c r="A16865" s="7"/>
      <c r="B16865" s="7"/>
      <c r="M16865" s="9" t="s">
        <v>21</v>
      </c>
    </row>
    <row r="16866" ht="15.75" customHeight="1">
      <c r="A16866" s="7"/>
      <c r="B16866" s="7"/>
      <c r="M16866" s="9" t="s">
        <v>41</v>
      </c>
    </row>
    <row r="16867" ht="15.75" customHeight="1">
      <c r="A16867" s="7"/>
      <c r="B16867" s="7"/>
      <c r="M16867" s="9" t="s">
        <v>37</v>
      </c>
    </row>
    <row r="16868" ht="15.75" customHeight="1">
      <c r="A16868" s="7"/>
      <c r="B16868" s="7"/>
      <c r="M16868" s="9" t="s">
        <v>22</v>
      </c>
    </row>
    <row r="16869" ht="15.75" customHeight="1">
      <c r="A16869" s="7"/>
      <c r="B16869" s="7"/>
      <c r="M16869" s="9" t="s">
        <v>27</v>
      </c>
    </row>
    <row r="16870" ht="15.75" customHeight="1">
      <c r="A16870" s="7"/>
      <c r="B16870" s="7"/>
      <c r="M16870" s="9" t="s">
        <v>26</v>
      </c>
    </row>
    <row r="16871" ht="15.75" customHeight="1">
      <c r="A16871" s="7"/>
      <c r="B16871" s="7"/>
      <c r="M16871" s="9" t="s">
        <v>21</v>
      </c>
    </row>
    <row r="16872" ht="15.75" customHeight="1">
      <c r="A16872" s="7"/>
      <c r="B16872" s="7"/>
      <c r="M16872" s="9" t="s">
        <v>25</v>
      </c>
    </row>
    <row r="16873" ht="15.75" customHeight="1">
      <c r="A16873" s="7"/>
      <c r="B16873" s="7"/>
      <c r="M16873" s="9" t="s">
        <v>26</v>
      </c>
    </row>
    <row r="16874" ht="15.75" customHeight="1">
      <c r="A16874" s="7"/>
      <c r="B16874" s="7"/>
      <c r="M16874" s="9" t="s">
        <v>26</v>
      </c>
    </row>
    <row r="16875" ht="15.75" customHeight="1">
      <c r="A16875" s="7"/>
      <c r="B16875" s="7"/>
      <c r="M16875" s="9" t="s">
        <v>24</v>
      </c>
    </row>
    <row r="16876" ht="15.75" customHeight="1">
      <c r="A16876" s="7"/>
      <c r="B16876" s="7"/>
      <c r="M16876" s="9" t="s">
        <v>21</v>
      </c>
    </row>
    <row r="16877" ht="15.75" customHeight="1">
      <c r="A16877" s="7"/>
      <c r="B16877" s="7"/>
      <c r="M16877" s="9" t="s">
        <v>33</v>
      </c>
    </row>
    <row r="16878" ht="15.75" customHeight="1">
      <c r="A16878" s="7"/>
      <c r="B16878" s="7"/>
      <c r="M16878" s="9" t="s">
        <v>26</v>
      </c>
    </row>
    <row r="16879" ht="15.75" customHeight="1">
      <c r="A16879" s="7"/>
      <c r="B16879" s="7"/>
      <c r="M16879" s="9" t="s">
        <v>45</v>
      </c>
    </row>
    <row r="16880" ht="15.75" customHeight="1">
      <c r="A16880" s="7"/>
      <c r="B16880" s="7"/>
      <c r="M16880" s="9" t="s">
        <v>24</v>
      </c>
    </row>
    <row r="16881" ht="15.75" customHeight="1">
      <c r="A16881" s="7"/>
      <c r="B16881" s="7"/>
      <c r="M16881" s="9" t="s">
        <v>21</v>
      </c>
    </row>
    <row r="16882" ht="15.75" customHeight="1">
      <c r="A16882" s="7"/>
      <c r="B16882" s="7"/>
      <c r="M16882" s="9" t="s">
        <v>22</v>
      </c>
    </row>
    <row r="16883" ht="15.75" customHeight="1">
      <c r="A16883" s="7"/>
      <c r="B16883" s="7"/>
      <c r="M16883" s="9" t="s">
        <v>27</v>
      </c>
    </row>
    <row r="16884" ht="15.75" customHeight="1">
      <c r="A16884" s="7"/>
      <c r="B16884" s="7"/>
      <c r="M16884" s="9" t="s">
        <v>33</v>
      </c>
    </row>
    <row r="16885" ht="15.75" customHeight="1">
      <c r="A16885" s="7"/>
      <c r="B16885" s="7"/>
      <c r="M16885" s="9" t="s">
        <v>35</v>
      </c>
    </row>
    <row r="16886" ht="15.75" customHeight="1">
      <c r="A16886" s="7"/>
      <c r="B16886" s="7"/>
      <c r="M16886" s="9" t="s">
        <v>38</v>
      </c>
    </row>
    <row r="16887" ht="15.75" customHeight="1">
      <c r="A16887" s="7"/>
      <c r="B16887" s="7"/>
      <c r="M16887" s="9" t="s">
        <v>30</v>
      </c>
    </row>
    <row r="16888" ht="15.75" customHeight="1">
      <c r="A16888" s="7"/>
      <c r="B16888" s="7"/>
      <c r="M16888" s="9" t="s">
        <v>25</v>
      </c>
    </row>
    <row r="16889" ht="15.75" customHeight="1">
      <c r="A16889" s="7"/>
      <c r="B16889" s="7"/>
      <c r="M16889" s="9" t="s">
        <v>23</v>
      </c>
    </row>
    <row r="16890" ht="15.75" customHeight="1">
      <c r="A16890" s="7"/>
      <c r="B16890" s="7"/>
      <c r="M16890" s="9" t="s">
        <v>42</v>
      </c>
    </row>
    <row r="16891" ht="15.75" customHeight="1">
      <c r="A16891" s="7"/>
      <c r="B16891" s="7"/>
      <c r="M16891" s="9" t="s">
        <v>43</v>
      </c>
    </row>
    <row r="16892" ht="15.75" customHeight="1">
      <c r="A16892" s="7"/>
      <c r="B16892" s="7"/>
      <c r="M16892" s="9" t="s">
        <v>24</v>
      </c>
    </row>
    <row r="16893" ht="15.75" customHeight="1">
      <c r="A16893" s="7"/>
      <c r="B16893" s="7"/>
      <c r="M16893" s="9" t="s">
        <v>22</v>
      </c>
    </row>
    <row r="16894" ht="15.75" customHeight="1">
      <c r="A16894" s="7"/>
      <c r="B16894" s="7"/>
      <c r="M16894" s="9" t="s">
        <v>27</v>
      </c>
    </row>
    <row r="16895" ht="15.75" customHeight="1">
      <c r="A16895" s="7"/>
      <c r="B16895" s="7"/>
      <c r="M16895" s="9" t="s">
        <v>35</v>
      </c>
    </row>
    <row r="16896" ht="15.75" customHeight="1">
      <c r="A16896" s="7"/>
      <c r="B16896" s="7"/>
      <c r="M16896" s="9" t="s">
        <v>30</v>
      </c>
    </row>
    <row r="16897" ht="15.75" customHeight="1">
      <c r="A16897" s="7"/>
      <c r="B16897" s="7"/>
      <c r="M16897" s="9" t="s">
        <v>24</v>
      </c>
    </row>
    <row r="16898" ht="15.75" customHeight="1">
      <c r="A16898" s="7"/>
      <c r="B16898" s="7"/>
      <c r="M16898" s="9" t="s">
        <v>21</v>
      </c>
    </row>
    <row r="16899" ht="15.75" customHeight="1">
      <c r="A16899" s="7"/>
      <c r="B16899" s="7"/>
      <c r="M16899" s="9" t="s">
        <v>25</v>
      </c>
    </row>
    <row r="16900" ht="15.75" customHeight="1">
      <c r="A16900" s="7"/>
      <c r="B16900" s="7"/>
      <c r="M16900" s="9" t="s">
        <v>23</v>
      </c>
    </row>
    <row r="16901" ht="15.75" customHeight="1">
      <c r="A16901" s="7"/>
      <c r="B16901" s="7"/>
      <c r="M16901" s="9" t="s">
        <v>24</v>
      </c>
    </row>
    <row r="16902" ht="15.75" customHeight="1">
      <c r="A16902" s="7"/>
      <c r="B16902" s="7"/>
      <c r="M16902" s="9" t="s">
        <v>21</v>
      </c>
    </row>
    <row r="16903" ht="15.75" customHeight="1">
      <c r="A16903" s="7"/>
      <c r="B16903" s="7"/>
      <c r="M16903" s="9" t="s">
        <v>37</v>
      </c>
    </row>
    <row r="16904" ht="15.75" customHeight="1">
      <c r="A16904" s="7"/>
      <c r="B16904" s="7"/>
      <c r="M16904" s="9" t="s">
        <v>27</v>
      </c>
    </row>
    <row r="16905" ht="15.75" customHeight="1">
      <c r="A16905" s="7"/>
      <c r="B16905" s="7"/>
      <c r="M16905" s="9" t="s">
        <v>30</v>
      </c>
    </row>
    <row r="16906" ht="15.75" customHeight="1">
      <c r="A16906" s="7"/>
      <c r="B16906" s="7"/>
      <c r="M16906" s="9" t="s">
        <v>24</v>
      </c>
    </row>
    <row r="16907" ht="15.75" customHeight="1">
      <c r="A16907" s="7"/>
      <c r="B16907" s="7"/>
      <c r="M16907" s="9" t="s">
        <v>21</v>
      </c>
    </row>
    <row r="16908" ht="15.75" customHeight="1">
      <c r="A16908" s="7"/>
      <c r="B16908" s="7"/>
      <c r="M16908" s="9" t="s">
        <v>22</v>
      </c>
    </row>
    <row r="16909" ht="15.75" customHeight="1">
      <c r="A16909" s="7"/>
      <c r="B16909" s="7"/>
      <c r="M16909" s="9" t="s">
        <v>27</v>
      </c>
    </row>
    <row r="16910" ht="15.75" customHeight="1">
      <c r="A16910" s="7"/>
      <c r="B16910" s="7"/>
      <c r="M16910" s="9" t="s">
        <v>30</v>
      </c>
    </row>
    <row r="16911" ht="15.75" customHeight="1">
      <c r="A16911" s="7"/>
      <c r="B16911" s="7"/>
      <c r="M16911" s="9" t="s">
        <v>25</v>
      </c>
    </row>
    <row r="16912" ht="15.75" customHeight="1">
      <c r="A16912" s="7"/>
      <c r="B16912" s="7"/>
      <c r="M16912" s="9" t="s">
        <v>23</v>
      </c>
    </row>
    <row r="16913" ht="15.75" customHeight="1">
      <c r="A16913" s="7"/>
      <c r="B16913" s="7"/>
      <c r="M16913" s="9" t="s">
        <v>35</v>
      </c>
    </row>
    <row r="16914" ht="15.75" customHeight="1">
      <c r="A16914" s="7"/>
      <c r="B16914" s="7"/>
      <c r="M16914" s="9" t="s">
        <v>30</v>
      </c>
    </row>
    <row r="16915" ht="15.75" customHeight="1">
      <c r="A16915" s="7"/>
      <c r="B16915" s="7"/>
      <c r="M16915" s="9" t="s">
        <v>26</v>
      </c>
    </row>
    <row r="16916" ht="15.75" customHeight="1">
      <c r="A16916" s="7"/>
      <c r="B16916" s="7"/>
      <c r="M16916" s="9" t="s">
        <v>20</v>
      </c>
    </row>
    <row r="16917" ht="15.75" customHeight="1">
      <c r="A16917" s="7"/>
      <c r="B16917" s="7"/>
      <c r="M16917" s="9" t="s">
        <v>21</v>
      </c>
    </row>
    <row r="16918" ht="15.75" customHeight="1">
      <c r="A16918" s="7"/>
      <c r="B16918" s="7"/>
      <c r="M16918" s="9" t="s">
        <v>27</v>
      </c>
    </row>
    <row r="16919" ht="15.75" customHeight="1">
      <c r="A16919" s="7"/>
      <c r="B16919" s="7"/>
      <c r="M16919" s="9" t="s">
        <v>30</v>
      </c>
    </row>
    <row r="16920" ht="15.75" customHeight="1">
      <c r="A16920" s="7"/>
      <c r="B16920" s="7"/>
      <c r="M16920" s="9" t="s">
        <v>26</v>
      </c>
    </row>
    <row r="16921" ht="15.75" customHeight="1">
      <c r="A16921" s="7"/>
      <c r="B16921" s="7"/>
      <c r="M16921" s="9" t="s">
        <v>24</v>
      </c>
    </row>
    <row r="16922" ht="15.75" customHeight="1">
      <c r="A16922" s="7"/>
      <c r="B16922" s="7"/>
      <c r="M16922" s="9" t="s">
        <v>21</v>
      </c>
    </row>
    <row r="16923" ht="15.75" customHeight="1">
      <c r="A16923" s="7"/>
      <c r="B16923" s="7"/>
      <c r="M16923" s="9" t="s">
        <v>22</v>
      </c>
    </row>
    <row r="16924" ht="15.75" customHeight="1">
      <c r="A16924" s="7"/>
      <c r="B16924" s="7"/>
      <c r="M16924" s="9" t="s">
        <v>46</v>
      </c>
    </row>
    <row r="16925" ht="15.75" customHeight="1">
      <c r="A16925" s="7"/>
      <c r="B16925" s="7"/>
      <c r="M16925" s="9" t="s">
        <v>27</v>
      </c>
    </row>
    <row r="16926" ht="15.75" customHeight="1">
      <c r="A16926" s="7"/>
      <c r="B16926" s="7"/>
      <c r="M16926" s="9" t="s">
        <v>28</v>
      </c>
    </row>
    <row r="16927" ht="15.75" customHeight="1">
      <c r="A16927" s="7"/>
      <c r="B16927" s="7"/>
      <c r="M16927" s="9" t="s">
        <v>30</v>
      </c>
    </row>
    <row r="16928" ht="15.75" customHeight="1">
      <c r="A16928" s="7"/>
      <c r="B16928" s="7"/>
      <c r="M16928" s="9" t="s">
        <v>36</v>
      </c>
    </row>
    <row r="16929" ht="15.75" customHeight="1">
      <c r="A16929" s="7"/>
      <c r="B16929" s="7"/>
      <c r="M16929" s="9" t="s">
        <v>24</v>
      </c>
    </row>
    <row r="16930" ht="15.75" customHeight="1">
      <c r="A16930" s="7"/>
      <c r="B16930" s="7"/>
      <c r="M16930" s="9" t="s">
        <v>21</v>
      </c>
    </row>
    <row r="16931" ht="15.75" customHeight="1">
      <c r="A16931" s="7"/>
      <c r="B16931" s="7"/>
      <c r="M16931" s="9" t="s">
        <v>37</v>
      </c>
    </row>
    <row r="16932" ht="15.75" customHeight="1">
      <c r="A16932" s="7"/>
      <c r="B16932" s="7"/>
      <c r="M16932" s="9" t="s">
        <v>22</v>
      </c>
    </row>
    <row r="16933" ht="15.75" customHeight="1">
      <c r="A16933" s="7"/>
      <c r="B16933" s="7"/>
      <c r="M16933" s="9" t="s">
        <v>27</v>
      </c>
    </row>
    <row r="16934" ht="15.75" customHeight="1">
      <c r="A16934" s="7"/>
      <c r="B16934" s="7"/>
      <c r="M16934" s="9" t="s">
        <v>33</v>
      </c>
    </row>
    <row r="16935" ht="15.75" customHeight="1">
      <c r="A16935" s="7"/>
      <c r="B16935" s="7"/>
      <c r="M16935" s="9" t="s">
        <v>42</v>
      </c>
    </row>
    <row r="16936" ht="15.75" customHeight="1">
      <c r="A16936" s="7"/>
      <c r="B16936" s="7"/>
      <c r="M16936" s="9" t="s">
        <v>31</v>
      </c>
    </row>
    <row r="16937" ht="15.75" customHeight="1">
      <c r="A16937" s="7"/>
      <c r="B16937" s="7"/>
      <c r="M16937" s="9" t="s">
        <v>38</v>
      </c>
    </row>
    <row r="16938" ht="15.75" customHeight="1">
      <c r="A16938" s="7"/>
      <c r="B16938" s="7"/>
      <c r="M16938" s="9" t="s">
        <v>30</v>
      </c>
    </row>
    <row r="16939" ht="15.75" customHeight="1">
      <c r="A16939" s="7"/>
      <c r="B16939" s="7"/>
      <c r="M16939" s="9" t="s">
        <v>25</v>
      </c>
    </row>
    <row r="16940" ht="15.75" customHeight="1">
      <c r="A16940" s="7"/>
      <c r="B16940" s="7"/>
      <c r="M16940" s="9" t="s">
        <v>23</v>
      </c>
    </row>
    <row r="16941" ht="15.75" customHeight="1">
      <c r="A16941" s="7"/>
      <c r="B16941" s="7"/>
      <c r="M16941" s="9" t="s">
        <v>22</v>
      </c>
    </row>
    <row r="16942" ht="15.75" customHeight="1">
      <c r="A16942" s="7"/>
      <c r="B16942" s="7"/>
      <c r="M16942" s="9" t="s">
        <v>23</v>
      </c>
    </row>
    <row r="16943" ht="15.75" customHeight="1">
      <c r="A16943" s="7"/>
      <c r="B16943" s="7"/>
      <c r="M16943" s="9" t="s">
        <v>24</v>
      </c>
    </row>
    <row r="16944" ht="15.75" customHeight="1">
      <c r="A16944" s="7"/>
      <c r="B16944" s="7"/>
      <c r="M16944" s="9" t="s">
        <v>21</v>
      </c>
    </row>
    <row r="16945" ht="15.75" customHeight="1">
      <c r="A16945" s="7"/>
      <c r="B16945" s="7"/>
      <c r="M16945" s="9" t="s">
        <v>22</v>
      </c>
    </row>
    <row r="16946" ht="15.75" customHeight="1">
      <c r="A16946" s="7"/>
      <c r="B16946" s="7"/>
      <c r="M16946" s="9" t="s">
        <v>34</v>
      </c>
    </row>
    <row r="16947" ht="15.75" customHeight="1">
      <c r="A16947" s="7"/>
      <c r="B16947" s="7"/>
      <c r="M16947" s="9" t="s">
        <v>25</v>
      </c>
    </row>
    <row r="16948" ht="15.75" customHeight="1">
      <c r="A16948" s="7"/>
      <c r="B16948" s="7"/>
      <c r="M16948" s="9" t="s">
        <v>26</v>
      </c>
    </row>
    <row r="16949" ht="15.75" customHeight="1">
      <c r="A16949" s="7"/>
      <c r="B16949" s="7"/>
      <c r="M16949" s="9" t="s">
        <v>22</v>
      </c>
    </row>
    <row r="16950" ht="15.75" customHeight="1">
      <c r="A16950" s="7"/>
      <c r="B16950" s="7"/>
      <c r="M16950" s="9" t="s">
        <v>30</v>
      </c>
    </row>
    <row r="16951" ht="15.75" customHeight="1">
      <c r="A16951" s="7"/>
      <c r="B16951" s="7"/>
      <c r="M16951" s="9" t="s">
        <v>24</v>
      </c>
    </row>
    <row r="16952" ht="15.75" customHeight="1">
      <c r="A16952" s="7"/>
      <c r="B16952" s="7"/>
      <c r="M16952" s="9" t="s">
        <v>21</v>
      </c>
    </row>
    <row r="16953" ht="15.75" customHeight="1">
      <c r="A16953" s="7"/>
      <c r="B16953" s="7"/>
      <c r="M16953" s="9" t="s">
        <v>32</v>
      </c>
    </row>
    <row r="16954" ht="15.75" customHeight="1">
      <c r="A16954" s="7"/>
      <c r="B16954" s="7"/>
      <c r="M16954" s="9" t="s">
        <v>20</v>
      </c>
    </row>
    <row r="16955" ht="15.75" customHeight="1">
      <c r="A16955" s="7"/>
      <c r="B16955" s="7"/>
      <c r="M16955" s="9" t="s">
        <v>27</v>
      </c>
    </row>
    <row r="16956" ht="15.75" customHeight="1">
      <c r="A16956" s="7"/>
      <c r="B16956" s="7"/>
      <c r="M16956" s="9" t="s">
        <v>26</v>
      </c>
    </row>
    <row r="16957" ht="15.75" customHeight="1">
      <c r="A16957" s="7"/>
      <c r="B16957" s="7"/>
      <c r="M16957" s="9" t="s">
        <v>24</v>
      </c>
    </row>
    <row r="16958" ht="15.75" customHeight="1">
      <c r="A16958" s="7"/>
      <c r="B16958" s="7"/>
      <c r="M16958" s="9" t="s">
        <v>22</v>
      </c>
    </row>
    <row r="16959" ht="15.75" customHeight="1">
      <c r="A16959" s="7"/>
      <c r="B16959" s="7"/>
      <c r="M16959" s="9" t="s">
        <v>35</v>
      </c>
    </row>
    <row r="16960" ht="15.75" customHeight="1">
      <c r="A16960" s="7"/>
      <c r="B16960" s="7"/>
      <c r="M16960" s="9" t="s">
        <v>26</v>
      </c>
    </row>
    <row r="16961" ht="15.75" customHeight="1">
      <c r="A16961" s="7"/>
      <c r="B16961" s="7"/>
      <c r="M16961" s="9" t="s">
        <v>27</v>
      </c>
    </row>
    <row r="16962" ht="15.75" customHeight="1">
      <c r="A16962" s="7"/>
      <c r="B16962" s="7"/>
      <c r="M16962" s="9" t="s">
        <v>33</v>
      </c>
    </row>
    <row r="16963" ht="15.75" customHeight="1">
      <c r="A16963" s="7"/>
      <c r="B16963" s="7"/>
      <c r="M16963" s="9" t="s">
        <v>22</v>
      </c>
    </row>
    <row r="16964" ht="15.75" customHeight="1">
      <c r="A16964" s="7"/>
      <c r="B16964" s="7"/>
      <c r="M16964" s="9" t="s">
        <v>30</v>
      </c>
    </row>
    <row r="16965" ht="15.75" customHeight="1">
      <c r="A16965" s="7"/>
      <c r="B16965" s="7"/>
      <c r="M16965" s="9" t="s">
        <v>26</v>
      </c>
    </row>
    <row r="16966" ht="15.75" customHeight="1">
      <c r="A16966" s="7"/>
      <c r="B16966" s="7"/>
      <c r="M16966" s="9" t="s">
        <v>24</v>
      </c>
    </row>
    <row r="16967" ht="15.75" customHeight="1">
      <c r="A16967" s="7"/>
      <c r="B16967" s="7"/>
      <c r="M16967" s="9" t="s">
        <v>20</v>
      </c>
    </row>
    <row r="16968" ht="15.75" customHeight="1">
      <c r="A16968" s="7"/>
      <c r="B16968" s="7"/>
      <c r="M16968" s="9" t="s">
        <v>21</v>
      </c>
    </row>
    <row r="16969" ht="15.75" customHeight="1">
      <c r="A16969" s="7"/>
      <c r="B16969" s="7"/>
      <c r="M16969" s="9" t="s">
        <v>37</v>
      </c>
    </row>
    <row r="16970" ht="15.75" customHeight="1">
      <c r="A16970" s="7"/>
      <c r="B16970" s="7"/>
      <c r="M16970" s="9" t="s">
        <v>22</v>
      </c>
    </row>
    <row r="16971" ht="15.75" customHeight="1">
      <c r="A16971" s="7"/>
      <c r="B16971" s="7"/>
      <c r="M16971" s="9" t="s">
        <v>31</v>
      </c>
    </row>
    <row r="16972" ht="15.75" customHeight="1">
      <c r="A16972" s="7"/>
      <c r="B16972" s="7"/>
      <c r="M16972" s="9" t="s">
        <v>27</v>
      </c>
    </row>
    <row r="16973" ht="15.75" customHeight="1">
      <c r="A16973" s="7"/>
      <c r="B16973" s="7"/>
      <c r="M16973" s="9" t="s">
        <v>33</v>
      </c>
    </row>
    <row r="16974" ht="15.75" customHeight="1">
      <c r="A16974" s="7"/>
      <c r="B16974" s="7"/>
      <c r="M16974" s="9" t="s">
        <v>24</v>
      </c>
    </row>
    <row r="16975" ht="15.75" customHeight="1">
      <c r="A16975" s="7"/>
      <c r="B16975" s="7"/>
      <c r="M16975" s="9" t="s">
        <v>20</v>
      </c>
    </row>
    <row r="16976" ht="15.75" customHeight="1">
      <c r="A16976" s="7"/>
      <c r="B16976" s="7"/>
      <c r="M16976" s="9" t="s">
        <v>37</v>
      </c>
    </row>
    <row r="16977" ht="15.75" customHeight="1">
      <c r="A16977" s="7"/>
      <c r="B16977" s="7"/>
      <c r="M16977" s="9" t="s">
        <v>30</v>
      </c>
    </row>
    <row r="16978" ht="15.75" customHeight="1">
      <c r="A16978" s="7"/>
      <c r="B16978" s="7"/>
      <c r="M16978" s="9" t="s">
        <v>25</v>
      </c>
    </row>
    <row r="16979" ht="15.75" customHeight="1">
      <c r="A16979" s="7"/>
      <c r="B16979" s="7"/>
      <c r="M16979" s="9" t="s">
        <v>26</v>
      </c>
    </row>
    <row r="16980" ht="15.75" customHeight="1">
      <c r="A16980" s="7"/>
      <c r="B16980" s="7"/>
      <c r="M16980" s="9" t="s">
        <v>24</v>
      </c>
    </row>
    <row r="16981" ht="15.75" customHeight="1">
      <c r="A16981" s="7"/>
      <c r="B16981" s="7"/>
      <c r="M16981" s="9" t="s">
        <v>22</v>
      </c>
    </row>
    <row r="16982" ht="15.75" customHeight="1">
      <c r="A16982" s="7"/>
      <c r="B16982" s="7"/>
      <c r="M16982" s="9" t="s">
        <v>28</v>
      </c>
    </row>
    <row r="16983" ht="15.75" customHeight="1">
      <c r="A16983" s="7"/>
      <c r="B16983" s="7"/>
      <c r="M16983" s="9" t="s">
        <v>24</v>
      </c>
    </row>
    <row r="16984" ht="15.75" customHeight="1">
      <c r="A16984" s="7"/>
      <c r="B16984" s="7"/>
      <c r="M16984" s="9" t="s">
        <v>21</v>
      </c>
    </row>
    <row r="16985" ht="15.75" customHeight="1">
      <c r="A16985" s="7"/>
      <c r="B16985" s="7"/>
      <c r="M16985" s="9" t="s">
        <v>22</v>
      </c>
    </row>
    <row r="16986" ht="15.75" customHeight="1">
      <c r="A16986" s="7"/>
      <c r="B16986" s="7"/>
      <c r="M16986" s="9" t="s">
        <v>27</v>
      </c>
    </row>
    <row r="16987" ht="15.75" customHeight="1">
      <c r="A16987" s="7"/>
      <c r="B16987" s="7"/>
      <c r="M16987" s="9" t="s">
        <v>25</v>
      </c>
    </row>
    <row r="16988" ht="15.75" customHeight="1">
      <c r="A16988" s="7"/>
      <c r="B16988" s="7"/>
      <c r="M16988" s="9" t="s">
        <v>24</v>
      </c>
    </row>
    <row r="16989" ht="15.75" customHeight="1">
      <c r="A16989" s="7"/>
      <c r="B16989" s="7"/>
      <c r="M16989" s="9" t="s">
        <v>22</v>
      </c>
    </row>
    <row r="16990" ht="15.75" customHeight="1">
      <c r="A16990" s="7"/>
      <c r="B16990" s="7"/>
      <c r="M16990" s="9" t="s">
        <v>35</v>
      </c>
    </row>
    <row r="16991" ht="15.75" customHeight="1">
      <c r="A16991" s="7"/>
      <c r="B16991" s="7"/>
      <c r="M16991" s="9" t="s">
        <v>30</v>
      </c>
    </row>
    <row r="16992" ht="15.75" customHeight="1">
      <c r="A16992" s="7"/>
      <c r="B16992" s="7"/>
      <c r="M16992" s="9" t="s">
        <v>24</v>
      </c>
    </row>
    <row r="16993" ht="15.75" customHeight="1">
      <c r="A16993" s="7"/>
      <c r="B16993" s="7"/>
      <c r="M16993" s="9" t="s">
        <v>21</v>
      </c>
    </row>
    <row r="16994" ht="15.75" customHeight="1">
      <c r="A16994" s="7"/>
      <c r="B16994" s="7"/>
      <c r="M16994" s="9" t="s">
        <v>22</v>
      </c>
    </row>
    <row r="16995" ht="15.75" customHeight="1">
      <c r="A16995" s="7"/>
      <c r="B16995" s="7"/>
      <c r="M16995" s="9" t="s">
        <v>29</v>
      </c>
    </row>
    <row r="16996" ht="15.75" customHeight="1">
      <c r="A16996" s="7"/>
      <c r="B16996" s="7"/>
      <c r="M16996" s="9" t="s">
        <v>27</v>
      </c>
    </row>
    <row r="16997" ht="15.75" customHeight="1">
      <c r="A16997" s="7"/>
      <c r="B16997" s="7"/>
      <c r="M16997" s="9" t="s">
        <v>33</v>
      </c>
    </row>
    <row r="16998" ht="15.75" customHeight="1">
      <c r="A16998" s="7"/>
      <c r="B16998" s="7"/>
      <c r="M16998" s="9" t="s">
        <v>24</v>
      </c>
    </row>
    <row r="16999" ht="15.75" customHeight="1">
      <c r="A16999" s="7"/>
      <c r="B16999" s="7"/>
      <c r="M16999" s="9" t="s">
        <v>37</v>
      </c>
    </row>
    <row r="17000" ht="15.75" customHeight="1">
      <c r="A17000" s="7"/>
      <c r="B17000" s="7"/>
      <c r="M17000" s="9" t="s">
        <v>22</v>
      </c>
    </row>
    <row r="17001" ht="15.75" customHeight="1">
      <c r="A17001" s="7"/>
      <c r="B17001" s="7"/>
      <c r="M17001" s="9" t="s">
        <v>30</v>
      </c>
    </row>
    <row r="17002" ht="15.75" customHeight="1">
      <c r="A17002" s="7"/>
      <c r="B17002" s="7"/>
      <c r="M17002" s="9" t="s">
        <v>24</v>
      </c>
    </row>
    <row r="17003" ht="15.75" customHeight="1">
      <c r="A17003" s="7"/>
      <c r="B17003" s="7"/>
      <c r="M17003" s="9" t="s">
        <v>20</v>
      </c>
    </row>
    <row r="17004" ht="15.75" customHeight="1">
      <c r="A17004" s="7"/>
      <c r="B17004" s="7"/>
      <c r="M17004" s="9" t="s">
        <v>21</v>
      </c>
    </row>
    <row r="17005" ht="15.75" customHeight="1">
      <c r="A17005" s="7"/>
      <c r="B17005" s="7"/>
      <c r="M17005" s="9" t="s">
        <v>27</v>
      </c>
    </row>
    <row r="17006" ht="15.75" customHeight="1">
      <c r="A17006" s="7"/>
      <c r="B17006" s="7"/>
      <c r="M17006" s="9" t="s">
        <v>33</v>
      </c>
    </row>
    <row r="17007" ht="15.75" customHeight="1">
      <c r="A17007" s="7"/>
      <c r="B17007" s="7"/>
      <c r="M17007" s="9" t="s">
        <v>20</v>
      </c>
    </row>
    <row r="17008" ht="15.75" customHeight="1">
      <c r="A17008" s="7"/>
      <c r="B17008" s="7"/>
      <c r="M17008" s="9" t="s">
        <v>21</v>
      </c>
    </row>
    <row r="17009" ht="15.75" customHeight="1">
      <c r="A17009" s="7"/>
      <c r="B17009" s="7"/>
      <c r="M17009" s="9" t="s">
        <v>27</v>
      </c>
    </row>
    <row r="17010" ht="15.75" customHeight="1">
      <c r="A17010" s="7"/>
      <c r="B17010" s="7"/>
      <c r="M17010" s="9" t="s">
        <v>30</v>
      </c>
    </row>
    <row r="17011" ht="15.75" customHeight="1">
      <c r="A17011" s="7"/>
      <c r="B17011" s="7"/>
      <c r="M17011" s="9" t="s">
        <v>21</v>
      </c>
    </row>
    <row r="17012" ht="15.75" customHeight="1">
      <c r="A17012" s="7"/>
      <c r="B17012" s="7"/>
      <c r="M17012" s="9" t="s">
        <v>29</v>
      </c>
    </row>
    <row r="17013" ht="15.75" customHeight="1">
      <c r="A17013" s="7"/>
      <c r="B17013" s="7"/>
      <c r="M17013" s="9" t="s">
        <v>26</v>
      </c>
    </row>
    <row r="17014" ht="15.75" customHeight="1">
      <c r="A17014" s="7"/>
      <c r="B17014" s="7"/>
      <c r="M17014" s="9" t="s">
        <v>24</v>
      </c>
    </row>
    <row r="17015" ht="15.75" customHeight="1">
      <c r="A17015" s="7"/>
      <c r="B17015" s="7"/>
      <c r="M17015" s="9" t="s">
        <v>20</v>
      </c>
    </row>
    <row r="17016" ht="15.75" customHeight="1">
      <c r="A17016" s="7"/>
      <c r="B17016" s="7"/>
      <c r="M17016" s="9" t="s">
        <v>21</v>
      </c>
    </row>
    <row r="17017" ht="15.75" customHeight="1">
      <c r="A17017" s="7"/>
      <c r="B17017" s="7"/>
      <c r="M17017" s="9" t="s">
        <v>31</v>
      </c>
    </row>
    <row r="17018" ht="15.75" customHeight="1">
      <c r="A17018" s="7"/>
      <c r="B17018" s="7"/>
      <c r="M17018" s="9" t="s">
        <v>27</v>
      </c>
    </row>
    <row r="17019" ht="15.75" customHeight="1">
      <c r="A17019" s="7"/>
      <c r="B17019" s="7"/>
      <c r="M17019" s="9" t="s">
        <v>30</v>
      </c>
    </row>
    <row r="17020" ht="15.75" customHeight="1">
      <c r="A17020" s="7"/>
      <c r="B17020" s="7"/>
      <c r="M17020" s="9" t="s">
        <v>24</v>
      </c>
    </row>
    <row r="17021" ht="15.75" customHeight="1">
      <c r="A17021" s="7"/>
      <c r="B17021" s="7"/>
      <c r="M17021" s="9" t="s">
        <v>22</v>
      </c>
    </row>
    <row r="17022" ht="15.75" customHeight="1">
      <c r="A17022" s="7"/>
      <c r="B17022" s="7"/>
      <c r="M17022" s="9" t="s">
        <v>29</v>
      </c>
    </row>
    <row r="17023" ht="15.75" customHeight="1">
      <c r="A17023" s="7"/>
      <c r="B17023" s="7"/>
      <c r="M17023" s="9" t="s">
        <v>27</v>
      </c>
    </row>
    <row r="17024" ht="15.75" customHeight="1">
      <c r="A17024" s="7"/>
      <c r="B17024" s="7"/>
      <c r="M17024" s="9" t="s">
        <v>30</v>
      </c>
    </row>
    <row r="17025" ht="15.75" customHeight="1">
      <c r="A17025" s="7"/>
      <c r="B17025" s="7"/>
      <c r="M17025" s="9" t="s">
        <v>24</v>
      </c>
    </row>
    <row r="17026" ht="15.75" customHeight="1">
      <c r="A17026" s="7"/>
      <c r="B17026" s="7"/>
      <c r="M17026" s="9" t="s">
        <v>20</v>
      </c>
    </row>
    <row r="17027" ht="15.75" customHeight="1">
      <c r="A17027" s="7"/>
      <c r="B17027" s="7"/>
      <c r="M17027" s="9" t="s">
        <v>21</v>
      </c>
    </row>
    <row r="17028" ht="15.75" customHeight="1">
      <c r="A17028" s="7"/>
      <c r="B17028" s="7"/>
      <c r="M17028" s="9" t="s">
        <v>22</v>
      </c>
    </row>
    <row r="17029" ht="15.75" customHeight="1">
      <c r="A17029" s="7"/>
      <c r="B17029" s="7"/>
      <c r="M17029" s="9" t="s">
        <v>26</v>
      </c>
    </row>
    <row r="17030" ht="15.75" customHeight="1">
      <c r="A17030" s="7"/>
      <c r="B17030" s="7"/>
      <c r="M17030" s="9" t="s">
        <v>24</v>
      </c>
    </row>
    <row r="17031" ht="15.75" customHeight="1">
      <c r="A17031" s="7"/>
      <c r="B17031" s="7"/>
      <c r="M17031" s="9" t="s">
        <v>21</v>
      </c>
    </row>
    <row r="17032" ht="15.75" customHeight="1">
      <c r="A17032" s="7"/>
      <c r="B17032" s="7"/>
      <c r="M17032" s="9" t="s">
        <v>27</v>
      </c>
    </row>
    <row r="17033" ht="15.75" customHeight="1">
      <c r="A17033" s="7"/>
      <c r="B17033" s="7"/>
      <c r="M17033" s="9" t="s">
        <v>23</v>
      </c>
    </row>
    <row r="17034" ht="15.75" customHeight="1">
      <c r="A17034" s="7"/>
      <c r="B17034" s="7"/>
      <c r="M17034" s="9" t="s">
        <v>21</v>
      </c>
    </row>
    <row r="17035" ht="15.75" customHeight="1">
      <c r="A17035" s="7"/>
      <c r="B17035" s="7"/>
      <c r="M17035" s="9" t="s">
        <v>22</v>
      </c>
    </row>
    <row r="17036" ht="15.75" customHeight="1">
      <c r="A17036" s="7"/>
      <c r="B17036" s="7"/>
      <c r="M17036" s="9" t="s">
        <v>27</v>
      </c>
    </row>
    <row r="17037" ht="15.75" customHeight="1">
      <c r="A17037" s="7"/>
      <c r="B17037" s="7"/>
      <c r="M17037" s="9" t="s">
        <v>35</v>
      </c>
    </row>
    <row r="17038" ht="15.75" customHeight="1">
      <c r="A17038" s="7"/>
      <c r="B17038" s="7"/>
      <c r="M17038" s="9" t="s">
        <v>35</v>
      </c>
    </row>
    <row r="17039" ht="15.75" customHeight="1">
      <c r="A17039" s="7"/>
      <c r="B17039" s="7"/>
      <c r="M17039" s="9" t="s">
        <v>36</v>
      </c>
    </row>
    <row r="17040" ht="15.75" customHeight="1">
      <c r="A17040" s="7"/>
      <c r="B17040" s="7"/>
      <c r="M17040" s="9" t="s">
        <v>24</v>
      </c>
    </row>
    <row r="17041" ht="15.75" customHeight="1">
      <c r="A17041" s="7"/>
      <c r="B17041" s="7"/>
      <c r="M17041" s="9" t="s">
        <v>20</v>
      </c>
    </row>
    <row r="17042" ht="15.75" customHeight="1">
      <c r="A17042" s="7"/>
      <c r="B17042" s="7"/>
      <c r="M17042" s="9" t="s">
        <v>21</v>
      </c>
    </row>
    <row r="17043" ht="15.75" customHeight="1">
      <c r="A17043" s="7"/>
      <c r="B17043" s="7"/>
      <c r="M17043" s="9" t="s">
        <v>27</v>
      </c>
    </row>
    <row r="17044" ht="15.75" customHeight="1">
      <c r="A17044" s="7"/>
      <c r="B17044" s="7"/>
      <c r="M17044" s="9" t="s">
        <v>30</v>
      </c>
    </row>
    <row r="17045" ht="15.75" customHeight="1">
      <c r="A17045" s="7"/>
      <c r="B17045" s="7"/>
      <c r="M17045" s="9" t="s">
        <v>36</v>
      </c>
    </row>
    <row r="17046" ht="15.75" customHeight="1">
      <c r="A17046" s="7"/>
      <c r="B17046" s="7"/>
      <c r="M17046" s="9" t="s">
        <v>24</v>
      </c>
    </row>
    <row r="17047" ht="15.75" customHeight="1">
      <c r="A17047" s="7"/>
      <c r="B17047" s="7"/>
      <c r="M17047" s="9" t="s">
        <v>20</v>
      </c>
    </row>
    <row r="17048" ht="15.75" customHeight="1">
      <c r="A17048" s="7"/>
      <c r="B17048" s="7"/>
      <c r="M17048" s="9" t="s">
        <v>21</v>
      </c>
    </row>
    <row r="17049" ht="15.75" customHeight="1">
      <c r="A17049" s="7"/>
      <c r="B17049" s="7"/>
      <c r="M17049" s="9" t="s">
        <v>32</v>
      </c>
    </row>
    <row r="17050" ht="15.75" customHeight="1">
      <c r="A17050" s="7"/>
      <c r="B17050" s="7"/>
      <c r="M17050" s="9" t="s">
        <v>28</v>
      </c>
    </row>
    <row r="17051" ht="15.75" customHeight="1">
      <c r="A17051" s="7"/>
      <c r="B17051" s="7"/>
      <c r="M17051" s="9" t="s">
        <v>24</v>
      </c>
    </row>
    <row r="17052" ht="15.75" customHeight="1">
      <c r="A17052" s="7"/>
      <c r="B17052" s="7"/>
      <c r="M17052" s="9" t="s">
        <v>21</v>
      </c>
    </row>
    <row r="17053" ht="15.75" customHeight="1">
      <c r="A17053" s="7"/>
      <c r="B17053" s="7"/>
      <c r="M17053" s="9" t="s">
        <v>41</v>
      </c>
    </row>
    <row r="17054" ht="15.75" customHeight="1">
      <c r="A17054" s="7"/>
      <c r="B17054" s="7"/>
      <c r="M17054" s="9" t="s">
        <v>27</v>
      </c>
    </row>
    <row r="17055" ht="15.75" customHeight="1">
      <c r="A17055" s="7"/>
      <c r="B17055" s="7"/>
      <c r="M17055" s="9" t="s">
        <v>33</v>
      </c>
    </row>
    <row r="17056" ht="15.75" customHeight="1">
      <c r="A17056" s="7"/>
      <c r="B17056" s="7"/>
      <c r="M17056" s="9" t="s">
        <v>25</v>
      </c>
    </row>
    <row r="17057" ht="15.75" customHeight="1">
      <c r="A17057" s="7"/>
      <c r="B17057" s="7"/>
      <c r="M17057" s="9" t="s">
        <v>24</v>
      </c>
    </row>
    <row r="17058" ht="15.75" customHeight="1">
      <c r="A17058" s="7"/>
      <c r="B17058" s="7"/>
      <c r="M17058" s="9" t="s">
        <v>20</v>
      </c>
    </row>
    <row r="17059" ht="15.75" customHeight="1">
      <c r="A17059" s="7"/>
      <c r="B17059" s="7"/>
      <c r="M17059" s="9" t="s">
        <v>21</v>
      </c>
    </row>
    <row r="17060" ht="15.75" customHeight="1">
      <c r="A17060" s="7"/>
      <c r="B17060" s="7"/>
      <c r="M17060" s="9" t="s">
        <v>30</v>
      </c>
    </row>
    <row r="17061" ht="15.75" customHeight="1">
      <c r="A17061" s="7"/>
      <c r="B17061" s="7"/>
      <c r="M17061" s="9" t="s">
        <v>26</v>
      </c>
    </row>
    <row r="17062" ht="15.75" customHeight="1">
      <c r="A17062" s="7"/>
      <c r="B17062" s="7"/>
      <c r="M17062" s="9" t="s">
        <v>24</v>
      </c>
    </row>
    <row r="17063" ht="15.75" customHeight="1">
      <c r="A17063" s="7"/>
      <c r="B17063" s="7"/>
      <c r="M17063" s="9" t="s">
        <v>20</v>
      </c>
    </row>
    <row r="17064" ht="15.75" customHeight="1">
      <c r="A17064" s="7"/>
      <c r="B17064" s="7"/>
      <c r="M17064" s="9" t="s">
        <v>21</v>
      </c>
    </row>
    <row r="17065" ht="15.75" customHeight="1">
      <c r="A17065" s="7"/>
      <c r="B17065" s="7"/>
      <c r="M17065" s="9" t="s">
        <v>37</v>
      </c>
    </row>
    <row r="17066" ht="15.75" customHeight="1">
      <c r="A17066" s="7"/>
      <c r="B17066" s="7"/>
      <c r="M17066" s="9" t="s">
        <v>31</v>
      </c>
    </row>
    <row r="17067" ht="15.75" customHeight="1">
      <c r="A17067" s="7"/>
      <c r="B17067" s="7"/>
      <c r="M17067" s="9" t="s">
        <v>30</v>
      </c>
    </row>
    <row r="17068" ht="15.75" customHeight="1">
      <c r="A17068" s="7"/>
      <c r="B17068" s="7"/>
      <c r="M17068" s="9" t="s">
        <v>25</v>
      </c>
    </row>
    <row r="17069" ht="15.75" customHeight="1">
      <c r="A17069" s="7"/>
      <c r="B17069" s="7"/>
      <c r="M17069" s="9" t="s">
        <v>31</v>
      </c>
    </row>
    <row r="17070" ht="15.75" customHeight="1">
      <c r="A17070" s="7"/>
      <c r="B17070" s="7"/>
      <c r="M17070" s="9" t="s">
        <v>27</v>
      </c>
    </row>
    <row r="17071" ht="15.75" customHeight="1">
      <c r="A17071" s="7"/>
      <c r="B17071" s="7"/>
      <c r="M17071" s="9" t="s">
        <v>23</v>
      </c>
    </row>
    <row r="17072" ht="15.75" customHeight="1">
      <c r="A17072" s="7"/>
      <c r="B17072" s="7"/>
      <c r="M17072" s="9" t="s">
        <v>24</v>
      </c>
    </row>
    <row r="17073" ht="15.75" customHeight="1">
      <c r="A17073" s="7"/>
      <c r="B17073" s="7"/>
      <c r="M17073" s="9" t="s">
        <v>21</v>
      </c>
    </row>
    <row r="17074" ht="15.75" customHeight="1">
      <c r="A17074" s="7"/>
      <c r="B17074" s="7"/>
      <c r="M17074" s="9" t="s">
        <v>30</v>
      </c>
    </row>
    <row r="17075" ht="15.75" customHeight="1">
      <c r="A17075" s="7"/>
      <c r="B17075" s="7"/>
      <c r="M17075" s="9" t="s">
        <v>24</v>
      </c>
    </row>
    <row r="17076" ht="15.75" customHeight="1">
      <c r="A17076" s="7"/>
      <c r="B17076" s="7"/>
      <c r="M17076" s="9" t="s">
        <v>20</v>
      </c>
    </row>
    <row r="17077" ht="15.75" customHeight="1">
      <c r="A17077" s="7"/>
      <c r="B17077" s="7"/>
      <c r="M17077" s="9" t="s">
        <v>21</v>
      </c>
    </row>
    <row r="17078" ht="15.75" customHeight="1">
      <c r="A17078" s="7"/>
      <c r="B17078" s="7"/>
      <c r="M17078" s="9" t="s">
        <v>22</v>
      </c>
    </row>
    <row r="17079" ht="15.75" customHeight="1">
      <c r="A17079" s="7"/>
      <c r="B17079" s="7"/>
      <c r="M17079" s="9" t="s">
        <v>32</v>
      </c>
    </row>
    <row r="17080" ht="15.75" customHeight="1">
      <c r="A17080" s="7"/>
      <c r="B17080" s="7"/>
      <c r="M17080" s="9" t="s">
        <v>27</v>
      </c>
    </row>
    <row r="17081" ht="15.75" customHeight="1">
      <c r="A17081" s="7"/>
      <c r="B17081" s="7"/>
      <c r="M17081" s="9" t="s">
        <v>33</v>
      </c>
    </row>
    <row r="17082" ht="15.75" customHeight="1">
      <c r="A17082" s="7"/>
      <c r="B17082" s="7"/>
      <c r="M17082" s="9" t="s">
        <v>35</v>
      </c>
    </row>
    <row r="17083" ht="15.75" customHeight="1">
      <c r="A17083" s="7"/>
      <c r="B17083" s="7"/>
      <c r="M17083" s="9" t="s">
        <v>25</v>
      </c>
    </row>
    <row r="17084" ht="15.75" customHeight="1">
      <c r="A17084" s="7"/>
      <c r="B17084" s="7"/>
      <c r="M17084" s="9" t="s">
        <v>23</v>
      </c>
    </row>
    <row r="17085" ht="15.75" customHeight="1">
      <c r="A17085" s="7"/>
      <c r="B17085" s="7"/>
      <c r="M17085" s="9" t="s">
        <v>32</v>
      </c>
    </row>
    <row r="17086" ht="15.75" customHeight="1">
      <c r="A17086" s="7"/>
      <c r="B17086" s="7"/>
      <c r="M17086" s="9" t="s">
        <v>35</v>
      </c>
    </row>
    <row r="17087" ht="15.75" customHeight="1">
      <c r="A17087" s="7"/>
      <c r="B17087" s="7"/>
      <c r="M17087" s="9" t="s">
        <v>30</v>
      </c>
    </row>
    <row r="17088" ht="15.75" customHeight="1">
      <c r="A17088" s="7"/>
      <c r="B17088" s="7"/>
      <c r="M17088" s="9" t="s">
        <v>26</v>
      </c>
    </row>
    <row r="17089" ht="15.75" customHeight="1">
      <c r="A17089" s="7"/>
      <c r="B17089" s="7"/>
      <c r="M17089" s="9" t="s">
        <v>24</v>
      </c>
    </row>
    <row r="17090" ht="15.75" customHeight="1">
      <c r="A17090" s="7"/>
      <c r="B17090" s="7"/>
      <c r="M17090" s="9" t="s">
        <v>20</v>
      </c>
    </row>
    <row r="17091" ht="15.75" customHeight="1">
      <c r="A17091" s="7"/>
      <c r="B17091" s="7"/>
      <c r="M17091" s="9" t="s">
        <v>21</v>
      </c>
    </row>
    <row r="17092" ht="15.75" customHeight="1">
      <c r="A17092" s="7"/>
      <c r="B17092" s="7"/>
      <c r="M17092" s="9" t="s">
        <v>37</v>
      </c>
    </row>
    <row r="17093" ht="15.75" customHeight="1">
      <c r="A17093" s="7"/>
      <c r="B17093" s="7"/>
      <c r="M17093" s="9" t="s">
        <v>27</v>
      </c>
    </row>
    <row r="17094" ht="15.75" customHeight="1">
      <c r="A17094" s="7"/>
      <c r="B17094" s="7"/>
      <c r="M17094" s="9" t="s">
        <v>30</v>
      </c>
    </row>
    <row r="17095" ht="15.75" customHeight="1">
      <c r="A17095" s="7"/>
      <c r="B17095" s="7"/>
      <c r="M17095" s="9" t="s">
        <v>24</v>
      </c>
    </row>
    <row r="17096" ht="15.75" customHeight="1">
      <c r="A17096" s="7"/>
      <c r="B17096" s="7"/>
      <c r="M17096" s="9" t="s">
        <v>21</v>
      </c>
    </row>
    <row r="17097" ht="15.75" customHeight="1">
      <c r="A17097" s="7"/>
      <c r="B17097" s="7"/>
      <c r="M17097" s="9" t="s">
        <v>27</v>
      </c>
    </row>
    <row r="17098" ht="15.75" customHeight="1">
      <c r="A17098" s="7"/>
      <c r="B17098" s="7"/>
      <c r="M17098" s="9" t="s">
        <v>26</v>
      </c>
    </row>
    <row r="17099" ht="15.75" customHeight="1">
      <c r="A17099" s="7"/>
      <c r="B17099" s="7"/>
      <c r="M17099" s="9" t="s">
        <v>25</v>
      </c>
    </row>
    <row r="17100" ht="15.75" customHeight="1">
      <c r="A17100" s="7"/>
      <c r="B17100" s="7"/>
      <c r="M17100" s="9" t="s">
        <v>23</v>
      </c>
    </row>
    <row r="17101" ht="15.75" customHeight="1">
      <c r="A17101" s="7"/>
      <c r="B17101" s="7"/>
      <c r="M17101" s="9" t="s">
        <v>24</v>
      </c>
    </row>
    <row r="17102" ht="15.75" customHeight="1">
      <c r="A17102" s="7"/>
      <c r="B17102" s="7"/>
      <c r="M17102" s="9" t="s">
        <v>20</v>
      </c>
    </row>
    <row r="17103" ht="15.75" customHeight="1">
      <c r="A17103" s="7"/>
      <c r="B17103" s="7"/>
      <c r="M17103" s="9" t="s">
        <v>21</v>
      </c>
    </row>
    <row r="17104" ht="15.75" customHeight="1">
      <c r="A17104" s="7"/>
      <c r="B17104" s="7"/>
      <c r="M17104" s="9" t="s">
        <v>37</v>
      </c>
    </row>
    <row r="17105" ht="15.75" customHeight="1">
      <c r="A17105" s="7"/>
      <c r="B17105" s="7"/>
      <c r="M17105" s="9" t="s">
        <v>27</v>
      </c>
    </row>
    <row r="17106" ht="15.75" customHeight="1">
      <c r="A17106" s="7"/>
      <c r="B17106" s="7"/>
      <c r="M17106" s="9" t="s">
        <v>20</v>
      </c>
    </row>
    <row r="17107" ht="15.75" customHeight="1">
      <c r="A17107" s="7"/>
      <c r="B17107" s="7"/>
      <c r="M17107" s="9" t="s">
        <v>21</v>
      </c>
    </row>
    <row r="17108" ht="15.75" customHeight="1">
      <c r="A17108" s="7"/>
      <c r="B17108" s="7"/>
      <c r="M17108" s="9" t="s">
        <v>27</v>
      </c>
    </row>
    <row r="17109" ht="15.75" customHeight="1">
      <c r="A17109" s="7"/>
      <c r="B17109" s="7"/>
      <c r="M17109" s="9" t="s">
        <v>40</v>
      </c>
    </row>
    <row r="17110" ht="15.75" customHeight="1">
      <c r="A17110" s="7"/>
      <c r="B17110" s="7"/>
      <c r="M17110" s="9" t="s">
        <v>30</v>
      </c>
    </row>
    <row r="17111" ht="15.75" customHeight="1">
      <c r="A17111" s="7"/>
      <c r="B17111" s="7"/>
      <c r="M17111" s="9" t="s">
        <v>20</v>
      </c>
    </row>
    <row r="17112" ht="15.75" customHeight="1">
      <c r="A17112" s="7"/>
      <c r="B17112" s="7"/>
      <c r="M17112" s="9" t="s">
        <v>22</v>
      </c>
    </row>
    <row r="17113" ht="15.75" customHeight="1">
      <c r="A17113" s="7"/>
      <c r="B17113" s="7"/>
      <c r="M17113" s="9" t="s">
        <v>35</v>
      </c>
    </row>
    <row r="17114" ht="15.75" customHeight="1">
      <c r="A17114" s="7"/>
      <c r="B17114" s="7"/>
      <c r="M17114" s="9" t="s">
        <v>23</v>
      </c>
    </row>
    <row r="17115" ht="15.75" customHeight="1">
      <c r="A17115" s="7"/>
      <c r="B17115" s="7"/>
      <c r="M17115" s="9" t="s">
        <v>35</v>
      </c>
    </row>
    <row r="17116" ht="15.75" customHeight="1">
      <c r="A17116" s="7"/>
      <c r="B17116" s="7"/>
      <c r="M17116" s="9" t="s">
        <v>30</v>
      </c>
    </row>
    <row r="17117" ht="15.75" customHeight="1">
      <c r="A17117" s="7"/>
      <c r="B17117" s="7"/>
      <c r="M17117" s="9" t="s">
        <v>26</v>
      </c>
    </row>
    <row r="17118" ht="15.75" customHeight="1">
      <c r="A17118" s="7"/>
      <c r="B17118" s="7"/>
      <c r="M17118" s="9" t="s">
        <v>24</v>
      </c>
    </row>
    <row r="17119" ht="15.75" customHeight="1">
      <c r="A17119" s="7"/>
      <c r="B17119" s="7"/>
      <c r="M17119" s="9" t="s">
        <v>20</v>
      </c>
    </row>
    <row r="17120" ht="15.75" customHeight="1">
      <c r="A17120" s="7"/>
      <c r="B17120" s="7"/>
      <c r="M17120" s="9" t="s">
        <v>21</v>
      </c>
    </row>
    <row r="17121" ht="15.75" customHeight="1">
      <c r="A17121" s="7"/>
      <c r="B17121" s="7"/>
      <c r="M17121" s="9" t="s">
        <v>27</v>
      </c>
    </row>
    <row r="17122" ht="15.75" customHeight="1">
      <c r="A17122" s="7"/>
      <c r="B17122" s="7"/>
      <c r="M17122" s="9" t="s">
        <v>28</v>
      </c>
    </row>
    <row r="17123" ht="15.75" customHeight="1">
      <c r="A17123" s="7"/>
      <c r="B17123" s="7"/>
      <c r="M17123" s="9" t="s">
        <v>30</v>
      </c>
    </row>
    <row r="17124" ht="15.75" customHeight="1">
      <c r="A17124" s="7"/>
      <c r="B17124" s="7"/>
      <c r="M17124" s="9" t="s">
        <v>23</v>
      </c>
    </row>
    <row r="17125" ht="15.75" customHeight="1">
      <c r="A17125" s="7"/>
      <c r="B17125" s="7"/>
      <c r="M17125" s="9" t="s">
        <v>24</v>
      </c>
    </row>
    <row r="17126" ht="15.75" customHeight="1">
      <c r="A17126" s="7"/>
      <c r="B17126" s="7"/>
      <c r="M17126" s="9" t="s">
        <v>21</v>
      </c>
    </row>
    <row r="17127" ht="15.75" customHeight="1">
      <c r="A17127" s="7"/>
      <c r="B17127" s="7"/>
      <c r="M17127" s="9" t="s">
        <v>41</v>
      </c>
    </row>
    <row r="17128" ht="15.75" customHeight="1">
      <c r="A17128" s="7"/>
      <c r="B17128" s="7"/>
      <c r="M17128" s="9" t="s">
        <v>37</v>
      </c>
    </row>
    <row r="17129" ht="15.75" customHeight="1">
      <c r="A17129" s="7"/>
      <c r="B17129" s="7"/>
      <c r="M17129" s="9" t="s">
        <v>22</v>
      </c>
    </row>
    <row r="17130" ht="15.75" customHeight="1">
      <c r="A17130" s="7"/>
      <c r="B17130" s="7"/>
      <c r="M17130" s="9" t="s">
        <v>27</v>
      </c>
    </row>
    <row r="17131" ht="15.75" customHeight="1">
      <c r="A17131" s="7"/>
      <c r="B17131" s="7"/>
      <c r="M17131" s="9" t="s">
        <v>23</v>
      </c>
    </row>
    <row r="17132" ht="15.75" customHeight="1">
      <c r="A17132" s="7"/>
      <c r="B17132" s="7"/>
      <c r="M17132" s="9" t="s">
        <v>24</v>
      </c>
    </row>
    <row r="17133" ht="15.75" customHeight="1">
      <c r="A17133" s="7"/>
      <c r="B17133" s="7"/>
      <c r="M17133" s="9" t="s">
        <v>21</v>
      </c>
    </row>
    <row r="17134" ht="15.75" customHeight="1">
      <c r="A17134" s="7"/>
      <c r="B17134" s="7"/>
      <c r="M17134" s="9" t="s">
        <v>37</v>
      </c>
    </row>
    <row r="17135" ht="15.75" customHeight="1">
      <c r="A17135" s="7"/>
      <c r="B17135" s="7"/>
      <c r="M17135" s="9" t="s">
        <v>27</v>
      </c>
    </row>
    <row r="17136" ht="15.75" customHeight="1">
      <c r="A17136" s="7"/>
      <c r="B17136" s="7"/>
      <c r="M17136" s="9" t="s">
        <v>30</v>
      </c>
    </row>
    <row r="17137" ht="15.75" customHeight="1">
      <c r="A17137" s="7"/>
      <c r="B17137" s="7"/>
      <c r="M17137" s="9" t="s">
        <v>26</v>
      </c>
    </row>
    <row r="17138" ht="15.75" customHeight="1">
      <c r="A17138" s="7"/>
      <c r="B17138" s="7"/>
      <c r="M17138" s="9" t="s">
        <v>35</v>
      </c>
    </row>
    <row r="17139" ht="15.75" customHeight="1">
      <c r="A17139" s="7"/>
      <c r="B17139" s="7"/>
      <c r="M17139" s="9" t="s">
        <v>24</v>
      </c>
    </row>
    <row r="17140" ht="15.75" customHeight="1">
      <c r="A17140" s="7"/>
      <c r="B17140" s="7"/>
      <c r="M17140" s="9" t="s">
        <v>21</v>
      </c>
    </row>
    <row r="17141" ht="15.75" customHeight="1">
      <c r="A17141" s="7"/>
      <c r="B17141" s="7"/>
      <c r="M17141" s="9" t="s">
        <v>37</v>
      </c>
    </row>
    <row r="17142" ht="15.75" customHeight="1">
      <c r="A17142" s="7"/>
      <c r="B17142" s="7"/>
      <c r="M17142" s="9" t="s">
        <v>27</v>
      </c>
    </row>
    <row r="17143" ht="15.75" customHeight="1">
      <c r="A17143" s="7"/>
      <c r="B17143" s="7"/>
      <c r="M17143" s="9" t="s">
        <v>20</v>
      </c>
    </row>
    <row r="17144" ht="15.75" customHeight="1">
      <c r="A17144" s="7"/>
      <c r="B17144" s="7"/>
      <c r="M17144" s="9" t="s">
        <v>21</v>
      </c>
    </row>
    <row r="17145" ht="15.75" customHeight="1">
      <c r="A17145" s="7"/>
      <c r="B17145" s="7"/>
      <c r="M17145" s="9" t="s">
        <v>22</v>
      </c>
    </row>
    <row r="17146" ht="15.75" customHeight="1">
      <c r="A17146" s="7"/>
      <c r="B17146" s="7"/>
      <c r="M17146" s="9" t="s">
        <v>26</v>
      </c>
    </row>
    <row r="17147" ht="15.75" customHeight="1">
      <c r="A17147" s="7"/>
      <c r="B17147" s="7"/>
      <c r="M17147" s="9" t="s">
        <v>24</v>
      </c>
    </row>
    <row r="17148" ht="15.75" customHeight="1">
      <c r="A17148" s="7"/>
      <c r="B17148" s="7"/>
      <c r="M17148" s="9" t="s">
        <v>21</v>
      </c>
    </row>
    <row r="17149" ht="15.75" customHeight="1">
      <c r="A17149" s="7"/>
      <c r="B17149" s="7"/>
      <c r="M17149" s="9" t="s">
        <v>27</v>
      </c>
    </row>
    <row r="17150" ht="15.75" customHeight="1">
      <c r="A17150" s="7"/>
      <c r="B17150" s="7"/>
      <c r="M17150" s="9" t="s">
        <v>23</v>
      </c>
    </row>
    <row r="17151" ht="15.75" customHeight="1">
      <c r="A17151" s="7"/>
      <c r="B17151" s="7"/>
      <c r="M17151" s="9" t="s">
        <v>26</v>
      </c>
    </row>
    <row r="17152" ht="15.75" customHeight="1">
      <c r="A17152" s="7"/>
      <c r="B17152" s="7"/>
      <c r="M17152" s="9" t="s">
        <v>20</v>
      </c>
    </row>
    <row r="17153" ht="15.75" customHeight="1">
      <c r="A17153" s="7"/>
      <c r="B17153" s="7"/>
      <c r="M17153" s="9" t="s">
        <v>27</v>
      </c>
    </row>
    <row r="17154" ht="15.75" customHeight="1">
      <c r="A17154" s="7"/>
      <c r="B17154" s="7"/>
      <c r="M17154" s="9" t="s">
        <v>28</v>
      </c>
    </row>
    <row r="17155" ht="15.75" customHeight="1">
      <c r="A17155" s="7"/>
      <c r="B17155" s="7"/>
      <c r="M17155" s="9" t="s">
        <v>26</v>
      </c>
    </row>
    <row r="17156" ht="15.75" customHeight="1">
      <c r="A17156" s="7"/>
      <c r="B17156" s="7"/>
      <c r="M17156" s="9" t="s">
        <v>24</v>
      </c>
    </row>
    <row r="17157" ht="15.75" customHeight="1">
      <c r="A17157" s="7"/>
      <c r="B17157" s="7"/>
      <c r="M17157" s="9" t="s">
        <v>21</v>
      </c>
    </row>
    <row r="17158" ht="15.75" customHeight="1">
      <c r="A17158" s="7"/>
      <c r="B17158" s="7"/>
      <c r="M17158" s="9" t="s">
        <v>27</v>
      </c>
    </row>
    <row r="17159" ht="15.75" customHeight="1">
      <c r="A17159" s="7"/>
      <c r="B17159" s="7"/>
      <c r="M17159" s="9" t="s">
        <v>33</v>
      </c>
    </row>
    <row r="17160" ht="15.75" customHeight="1">
      <c r="A17160" s="7"/>
      <c r="B17160" s="7"/>
      <c r="M17160" s="9" t="s">
        <v>30</v>
      </c>
    </row>
    <row r="17161" ht="15.75" customHeight="1">
      <c r="A17161" s="7"/>
      <c r="B17161" s="7"/>
      <c r="M17161" s="9" t="s">
        <v>26</v>
      </c>
    </row>
    <row r="17162" ht="15.75" customHeight="1">
      <c r="A17162" s="7"/>
      <c r="B17162" s="7"/>
      <c r="M17162" s="9" t="s">
        <v>24</v>
      </c>
    </row>
    <row r="17163" ht="15.75" customHeight="1">
      <c r="A17163" s="7"/>
      <c r="B17163" s="7"/>
      <c r="M17163" s="9" t="s">
        <v>21</v>
      </c>
    </row>
    <row r="17164" ht="15.75" customHeight="1">
      <c r="A17164" s="7"/>
      <c r="B17164" s="7"/>
      <c r="M17164" s="9" t="s">
        <v>30</v>
      </c>
    </row>
    <row r="17165" ht="15.75" customHeight="1">
      <c r="A17165" s="7"/>
      <c r="B17165" s="7"/>
      <c r="M17165" s="9" t="s">
        <v>25</v>
      </c>
    </row>
    <row r="17166" ht="15.75" customHeight="1">
      <c r="A17166" s="7"/>
      <c r="B17166" s="7"/>
      <c r="M17166" s="9" t="s">
        <v>23</v>
      </c>
    </row>
    <row r="17167" ht="15.75" customHeight="1">
      <c r="A17167" s="7"/>
      <c r="B17167" s="7"/>
      <c r="M17167" s="9" t="s">
        <v>20</v>
      </c>
    </row>
    <row r="17168" ht="15.75" customHeight="1">
      <c r="A17168" s="7"/>
      <c r="B17168" s="7"/>
      <c r="M17168" s="9" t="s">
        <v>21</v>
      </c>
    </row>
    <row r="17169" ht="15.75" customHeight="1">
      <c r="A17169" s="7"/>
      <c r="B17169" s="7"/>
      <c r="M17169" s="9" t="s">
        <v>37</v>
      </c>
    </row>
    <row r="17170" ht="15.75" customHeight="1">
      <c r="A17170" s="7"/>
      <c r="B17170" s="7"/>
      <c r="M17170" s="9" t="s">
        <v>22</v>
      </c>
    </row>
    <row r="17171" ht="15.75" customHeight="1">
      <c r="A17171" s="7"/>
      <c r="B17171" s="7"/>
      <c r="M17171" s="9" t="s">
        <v>27</v>
      </c>
    </row>
    <row r="17172" ht="15.75" customHeight="1">
      <c r="A17172" s="7"/>
      <c r="B17172" s="7"/>
      <c r="M17172" s="9" t="s">
        <v>41</v>
      </c>
    </row>
    <row r="17173" ht="15.75" customHeight="1">
      <c r="A17173" s="7"/>
      <c r="B17173" s="7"/>
      <c r="M17173" s="9" t="s">
        <v>27</v>
      </c>
    </row>
    <row r="17174" ht="15.75" customHeight="1">
      <c r="A17174" s="7"/>
      <c r="B17174" s="7"/>
      <c r="M17174" s="9" t="s">
        <v>40</v>
      </c>
    </row>
    <row r="17175" ht="15.75" customHeight="1">
      <c r="A17175" s="7"/>
      <c r="B17175" s="7"/>
      <c r="M17175" s="9" t="s">
        <v>26</v>
      </c>
    </row>
    <row r="17176" ht="15.75" customHeight="1">
      <c r="A17176" s="7"/>
      <c r="B17176" s="7"/>
      <c r="M17176" s="9" t="s">
        <v>24</v>
      </c>
    </row>
    <row r="17177" ht="15.75" customHeight="1">
      <c r="A17177" s="7"/>
      <c r="B17177" s="7"/>
      <c r="M17177" s="9" t="s">
        <v>20</v>
      </c>
    </row>
    <row r="17178" ht="15.75" customHeight="1">
      <c r="A17178" s="7"/>
      <c r="B17178" s="7"/>
      <c r="M17178" s="9" t="s">
        <v>21</v>
      </c>
    </row>
    <row r="17179" ht="15.75" customHeight="1">
      <c r="A17179" s="7"/>
      <c r="B17179" s="7"/>
      <c r="M17179" s="9" t="s">
        <v>37</v>
      </c>
    </row>
    <row r="17180" ht="15.75" customHeight="1">
      <c r="A17180" s="7"/>
      <c r="B17180" s="7"/>
      <c r="M17180" s="9" t="s">
        <v>27</v>
      </c>
    </row>
    <row r="17181" ht="15.75" customHeight="1">
      <c r="A17181" s="7"/>
      <c r="B17181" s="7"/>
      <c r="M17181" s="9" t="s">
        <v>35</v>
      </c>
    </row>
    <row r="17182" ht="15.75" customHeight="1">
      <c r="A17182" s="7"/>
      <c r="B17182" s="7"/>
      <c r="M17182" s="9" t="s">
        <v>38</v>
      </c>
    </row>
    <row r="17183" ht="15.75" customHeight="1">
      <c r="A17183" s="7"/>
      <c r="B17183" s="7"/>
      <c r="M17183" s="9" t="s">
        <v>25</v>
      </c>
    </row>
    <row r="17184" ht="15.75" customHeight="1">
      <c r="A17184" s="7"/>
      <c r="B17184" s="7"/>
      <c r="M17184" s="9" t="s">
        <v>23</v>
      </c>
    </row>
    <row r="17185" ht="15.75" customHeight="1">
      <c r="A17185" s="7"/>
      <c r="B17185" s="7"/>
      <c r="M17185" s="9" t="s">
        <v>26</v>
      </c>
    </row>
    <row r="17186" ht="15.75" customHeight="1">
      <c r="A17186" s="7"/>
      <c r="B17186" s="7"/>
      <c r="M17186" s="9" t="s">
        <v>20</v>
      </c>
    </row>
    <row r="17187" ht="15.75" customHeight="1">
      <c r="A17187" s="7"/>
      <c r="B17187" s="7"/>
      <c r="M17187" s="9" t="s">
        <v>37</v>
      </c>
    </row>
    <row r="17188" ht="15.75" customHeight="1">
      <c r="A17188" s="7"/>
      <c r="B17188" s="7"/>
      <c r="M17188" s="9" t="s">
        <v>31</v>
      </c>
    </row>
    <row r="17189" ht="15.75" customHeight="1">
      <c r="A17189" s="7"/>
      <c r="B17189" s="7"/>
      <c r="M17189" s="9" t="s">
        <v>27</v>
      </c>
    </row>
    <row r="17190" ht="15.75" customHeight="1">
      <c r="A17190" s="7"/>
      <c r="B17190" s="7"/>
      <c r="M17190" s="9" t="s">
        <v>24</v>
      </c>
    </row>
    <row r="17191" ht="15.75" customHeight="1">
      <c r="A17191" s="7"/>
      <c r="B17191" s="7"/>
      <c r="M17191" s="9" t="s">
        <v>21</v>
      </c>
    </row>
    <row r="17192" ht="15.75" customHeight="1">
      <c r="A17192" s="7"/>
      <c r="B17192" s="7"/>
      <c r="M17192" s="9" t="s">
        <v>37</v>
      </c>
    </row>
    <row r="17193" ht="15.75" customHeight="1">
      <c r="A17193" s="7"/>
      <c r="B17193" s="7"/>
      <c r="M17193" s="9" t="s">
        <v>27</v>
      </c>
    </row>
    <row r="17194" ht="15.75" customHeight="1">
      <c r="A17194" s="7"/>
      <c r="B17194" s="7"/>
      <c r="M17194" s="9" t="s">
        <v>24</v>
      </c>
    </row>
    <row r="17195" ht="15.75" customHeight="1">
      <c r="A17195" s="7"/>
      <c r="B17195" s="7"/>
      <c r="M17195" s="9" t="s">
        <v>21</v>
      </c>
    </row>
    <row r="17196" ht="15.75" customHeight="1">
      <c r="A17196" s="7"/>
      <c r="B17196" s="7"/>
      <c r="M17196" s="9" t="s">
        <v>22</v>
      </c>
    </row>
    <row r="17197" ht="15.75" customHeight="1">
      <c r="A17197" s="7"/>
      <c r="B17197" s="7"/>
      <c r="M17197" s="9" t="s">
        <v>27</v>
      </c>
    </row>
    <row r="17198" ht="15.75" customHeight="1">
      <c r="A17198" s="7"/>
      <c r="B17198" s="7"/>
      <c r="M17198" s="9" t="s">
        <v>30</v>
      </c>
    </row>
    <row r="17199" ht="15.75" customHeight="1">
      <c r="A17199" s="7"/>
      <c r="B17199" s="7"/>
      <c r="M17199" s="9" t="s">
        <v>26</v>
      </c>
    </row>
    <row r="17200" ht="15.75" customHeight="1">
      <c r="A17200" s="7"/>
      <c r="B17200" s="7"/>
      <c r="M17200" s="9" t="s">
        <v>27</v>
      </c>
    </row>
    <row r="17201" ht="15.75" customHeight="1">
      <c r="A17201" s="7"/>
      <c r="B17201" s="7"/>
      <c r="M17201" s="9" t="s">
        <v>28</v>
      </c>
    </row>
    <row r="17202" ht="15.75" customHeight="1">
      <c r="A17202" s="7"/>
      <c r="B17202" s="7"/>
      <c r="M17202" s="9" t="s">
        <v>26</v>
      </c>
    </row>
    <row r="17203" ht="15.75" customHeight="1">
      <c r="A17203" s="7"/>
      <c r="B17203" s="7"/>
      <c r="M17203" s="9" t="s">
        <v>22</v>
      </c>
    </row>
    <row r="17204" ht="15.75" customHeight="1">
      <c r="A17204" s="7"/>
      <c r="B17204" s="7"/>
      <c r="M17204" s="9" t="s">
        <v>30</v>
      </c>
    </row>
    <row r="17205" ht="15.75" customHeight="1">
      <c r="A17205" s="7"/>
      <c r="B17205" s="7"/>
      <c r="M17205" s="9" t="s">
        <v>26</v>
      </c>
    </row>
    <row r="17206" ht="15.75" customHeight="1">
      <c r="A17206" s="7"/>
      <c r="B17206" s="7"/>
      <c r="M17206" s="9" t="s">
        <v>24</v>
      </c>
    </row>
    <row r="17207" ht="15.75" customHeight="1">
      <c r="A17207" s="7"/>
      <c r="B17207" s="7"/>
      <c r="M17207" s="9" t="s">
        <v>21</v>
      </c>
    </row>
    <row r="17208" ht="15.75" customHeight="1">
      <c r="A17208" s="7"/>
      <c r="B17208" s="7"/>
      <c r="M17208" s="9" t="s">
        <v>27</v>
      </c>
    </row>
    <row r="17209" ht="15.75" customHeight="1">
      <c r="A17209" s="7"/>
      <c r="B17209" s="7"/>
      <c r="M17209" s="9" t="s">
        <v>33</v>
      </c>
    </row>
    <row r="17210" ht="15.75" customHeight="1">
      <c r="A17210" s="7"/>
      <c r="B17210" s="7"/>
      <c r="M17210" s="9" t="s">
        <v>25</v>
      </c>
    </row>
    <row r="17211" ht="15.75" customHeight="1">
      <c r="A17211" s="7"/>
      <c r="B17211" s="7"/>
      <c r="M17211" s="9" t="s">
        <v>23</v>
      </c>
    </row>
    <row r="17212" ht="15.75" customHeight="1">
      <c r="A17212" s="7"/>
      <c r="B17212" s="7"/>
      <c r="M17212" s="9" t="s">
        <v>24</v>
      </c>
    </row>
    <row r="17213" ht="15.75" customHeight="1">
      <c r="A17213" s="7"/>
      <c r="B17213" s="7"/>
      <c r="M17213" s="9" t="s">
        <v>20</v>
      </c>
    </row>
    <row r="17214" ht="15.75" customHeight="1">
      <c r="A17214" s="7"/>
      <c r="B17214" s="7"/>
      <c r="M17214" s="9" t="s">
        <v>21</v>
      </c>
    </row>
    <row r="17215" ht="15.75" customHeight="1">
      <c r="A17215" s="7"/>
      <c r="B17215" s="7"/>
      <c r="M17215" s="9" t="s">
        <v>37</v>
      </c>
    </row>
    <row r="17216" ht="15.75" customHeight="1">
      <c r="A17216" s="7"/>
      <c r="B17216" s="7"/>
      <c r="M17216" s="9" t="s">
        <v>27</v>
      </c>
    </row>
    <row r="17217" ht="15.75" customHeight="1">
      <c r="A17217" s="7"/>
      <c r="B17217" s="7"/>
      <c r="M17217" s="9" t="s">
        <v>26</v>
      </c>
    </row>
    <row r="17218" ht="15.75" customHeight="1">
      <c r="A17218" s="7"/>
      <c r="B17218" s="7"/>
      <c r="M17218" s="9" t="s">
        <v>24</v>
      </c>
    </row>
    <row r="17219" ht="15.75" customHeight="1">
      <c r="A17219" s="7"/>
      <c r="B17219" s="7"/>
      <c r="M17219" s="9" t="s">
        <v>20</v>
      </c>
    </row>
    <row r="17220" ht="15.75" customHeight="1">
      <c r="A17220" s="7"/>
      <c r="B17220" s="7"/>
      <c r="M17220" s="9" t="s">
        <v>21</v>
      </c>
    </row>
    <row r="17221" ht="15.75" customHeight="1">
      <c r="A17221" s="7"/>
      <c r="B17221" s="7"/>
      <c r="M17221" s="9" t="s">
        <v>39</v>
      </c>
    </row>
    <row r="17222" ht="15.75" customHeight="1">
      <c r="A17222" s="7"/>
      <c r="B17222" s="7"/>
      <c r="M17222" s="9" t="s">
        <v>27</v>
      </c>
    </row>
    <row r="17223" ht="15.75" customHeight="1">
      <c r="A17223" s="7"/>
      <c r="B17223" s="7"/>
      <c r="M17223" s="9" t="s">
        <v>30</v>
      </c>
    </row>
    <row r="17224" ht="15.75" customHeight="1">
      <c r="A17224" s="7"/>
      <c r="B17224" s="7"/>
      <c r="M17224" s="9" t="s">
        <v>24</v>
      </c>
    </row>
    <row r="17225" ht="15.75" customHeight="1">
      <c r="A17225" s="7"/>
      <c r="B17225" s="7"/>
      <c r="M17225" s="9" t="s">
        <v>21</v>
      </c>
    </row>
    <row r="17226" ht="15.75" customHeight="1">
      <c r="A17226" s="7"/>
      <c r="B17226" s="7"/>
      <c r="M17226" s="9" t="s">
        <v>37</v>
      </c>
    </row>
    <row r="17227" ht="15.75" customHeight="1">
      <c r="A17227" s="7"/>
      <c r="B17227" s="7"/>
      <c r="M17227" s="9" t="s">
        <v>22</v>
      </c>
    </row>
    <row r="17228" ht="15.75" customHeight="1">
      <c r="A17228" s="7"/>
      <c r="B17228" s="7"/>
      <c r="M17228" s="9" t="s">
        <v>27</v>
      </c>
    </row>
    <row r="17229" ht="15.75" customHeight="1">
      <c r="A17229" s="7"/>
      <c r="B17229" s="7"/>
      <c r="M17229" s="9" t="s">
        <v>35</v>
      </c>
    </row>
    <row r="17230" ht="15.75" customHeight="1">
      <c r="A17230" s="7"/>
      <c r="B17230" s="7"/>
      <c r="M17230" s="9" t="s">
        <v>24</v>
      </c>
    </row>
    <row r="17231" ht="15.75" customHeight="1">
      <c r="A17231" s="7"/>
      <c r="B17231" s="7"/>
      <c r="M17231" s="9" t="s">
        <v>21</v>
      </c>
    </row>
    <row r="17232" ht="15.75" customHeight="1">
      <c r="A17232" s="7"/>
      <c r="B17232" s="7"/>
      <c r="M17232" s="9" t="s">
        <v>33</v>
      </c>
    </row>
    <row r="17233" ht="15.75" customHeight="1">
      <c r="A17233" s="7"/>
      <c r="B17233" s="7"/>
      <c r="M17233" s="9" t="s">
        <v>23</v>
      </c>
    </row>
    <row r="17234" ht="15.75" customHeight="1">
      <c r="A17234" s="7"/>
      <c r="B17234" s="7"/>
      <c r="M17234" s="9" t="s">
        <v>20</v>
      </c>
    </row>
    <row r="17235" ht="15.75" customHeight="1">
      <c r="A17235" s="7"/>
      <c r="B17235" s="7"/>
      <c r="M17235" s="9" t="s">
        <v>21</v>
      </c>
    </row>
    <row r="17236" ht="15.75" customHeight="1">
      <c r="A17236" s="7"/>
      <c r="B17236" s="7"/>
      <c r="M17236" s="9" t="s">
        <v>27</v>
      </c>
    </row>
    <row r="17237" ht="15.75" customHeight="1">
      <c r="A17237" s="7"/>
      <c r="B17237" s="7"/>
      <c r="M17237" s="9" t="s">
        <v>26</v>
      </c>
    </row>
    <row r="17238" ht="15.75" customHeight="1">
      <c r="A17238" s="7"/>
      <c r="B17238" s="7"/>
      <c r="M17238" s="9" t="s">
        <v>24</v>
      </c>
    </row>
    <row r="17239" ht="15.75" customHeight="1">
      <c r="A17239" s="7"/>
      <c r="B17239" s="7"/>
      <c r="M17239" s="9" t="s">
        <v>21</v>
      </c>
    </row>
    <row r="17240" ht="15.75" customHeight="1">
      <c r="A17240" s="7"/>
      <c r="B17240" s="7"/>
      <c r="M17240" s="9" t="s">
        <v>27</v>
      </c>
    </row>
    <row r="17241" ht="15.75" customHeight="1">
      <c r="A17241" s="7"/>
      <c r="B17241" s="7"/>
      <c r="M17241" s="9" t="s">
        <v>30</v>
      </c>
    </row>
    <row r="17242" ht="15.75" customHeight="1">
      <c r="A17242" s="7"/>
      <c r="B17242" s="7"/>
      <c r="M17242" s="9" t="s">
        <v>24</v>
      </c>
    </row>
    <row r="17243" ht="15.75" customHeight="1">
      <c r="A17243" s="7"/>
      <c r="B17243" s="7"/>
      <c r="M17243" s="9" t="s">
        <v>20</v>
      </c>
    </row>
    <row r="17244" ht="15.75" customHeight="1">
      <c r="A17244" s="7"/>
      <c r="B17244" s="7"/>
      <c r="M17244" s="9" t="s">
        <v>22</v>
      </c>
    </row>
    <row r="17245" ht="15.75" customHeight="1">
      <c r="A17245" s="7"/>
      <c r="B17245" s="7"/>
      <c r="M17245" s="9" t="s">
        <v>24</v>
      </c>
    </row>
    <row r="17246" ht="15.75" customHeight="1">
      <c r="A17246" s="7"/>
      <c r="B17246" s="7"/>
      <c r="M17246" s="9" t="s">
        <v>21</v>
      </c>
    </row>
    <row r="17247" ht="15.75" customHeight="1">
      <c r="A17247" s="7"/>
      <c r="B17247" s="7"/>
      <c r="M17247" s="9" t="s">
        <v>37</v>
      </c>
    </row>
    <row r="17248" ht="15.75" customHeight="1">
      <c r="A17248" s="7"/>
      <c r="B17248" s="7"/>
      <c r="M17248" s="9" t="s">
        <v>27</v>
      </c>
    </row>
    <row r="17249" ht="15.75" customHeight="1">
      <c r="A17249" s="7"/>
      <c r="B17249" s="7"/>
      <c r="M17249" s="9" t="s">
        <v>24</v>
      </c>
    </row>
    <row r="17250" ht="15.75" customHeight="1">
      <c r="A17250" s="7"/>
      <c r="B17250" s="7"/>
      <c r="M17250" s="9" t="s">
        <v>21</v>
      </c>
    </row>
    <row r="17251" ht="15.75" customHeight="1">
      <c r="A17251" s="7"/>
      <c r="B17251" s="7"/>
      <c r="M17251" s="9" t="s">
        <v>31</v>
      </c>
    </row>
    <row r="17252" ht="15.75" customHeight="1">
      <c r="A17252" s="7"/>
      <c r="B17252" s="7"/>
      <c r="M17252" s="9" t="s">
        <v>27</v>
      </c>
    </row>
    <row r="17253" ht="15.75" customHeight="1">
      <c r="A17253" s="7"/>
      <c r="B17253" s="7"/>
      <c r="M17253" s="9" t="s">
        <v>30</v>
      </c>
    </row>
    <row r="17254" ht="15.75" customHeight="1">
      <c r="A17254" s="7"/>
      <c r="B17254" s="7"/>
      <c r="M17254" s="9" t="s">
        <v>23</v>
      </c>
    </row>
    <row r="17255" ht="15.75" customHeight="1">
      <c r="A17255" s="7"/>
      <c r="B17255" s="7"/>
      <c r="M17255" s="9" t="s">
        <v>26</v>
      </c>
    </row>
    <row r="17256" ht="15.75" customHeight="1">
      <c r="A17256" s="7"/>
      <c r="B17256" s="7"/>
      <c r="M17256" s="9" t="s">
        <v>36</v>
      </c>
    </row>
    <row r="17257" ht="15.75" customHeight="1">
      <c r="A17257" s="7"/>
      <c r="B17257" s="7"/>
      <c r="M17257" s="9" t="s">
        <v>24</v>
      </c>
    </row>
    <row r="17258" ht="15.75" customHeight="1">
      <c r="A17258" s="7"/>
      <c r="B17258" s="7"/>
      <c r="M17258" s="9" t="s">
        <v>21</v>
      </c>
    </row>
    <row r="17259" ht="15.75" customHeight="1">
      <c r="A17259" s="7"/>
      <c r="B17259" s="7"/>
      <c r="M17259" s="9" t="s">
        <v>37</v>
      </c>
    </row>
    <row r="17260" ht="15.75" customHeight="1">
      <c r="A17260" s="7"/>
      <c r="B17260" s="7"/>
      <c r="M17260" s="9" t="s">
        <v>22</v>
      </c>
    </row>
    <row r="17261" ht="15.75" customHeight="1">
      <c r="A17261" s="7"/>
      <c r="B17261" s="7"/>
      <c r="M17261" s="9" t="s">
        <v>33</v>
      </c>
    </row>
    <row r="17262" ht="15.75" customHeight="1">
      <c r="A17262" s="7"/>
      <c r="B17262" s="7"/>
      <c r="M17262" s="9" t="s">
        <v>30</v>
      </c>
    </row>
    <row r="17263" ht="15.75" customHeight="1">
      <c r="A17263" s="7"/>
      <c r="B17263" s="7"/>
      <c r="M17263" s="9" t="s">
        <v>25</v>
      </c>
    </row>
    <row r="17264" ht="15.75" customHeight="1">
      <c r="A17264" s="7"/>
      <c r="B17264" s="7"/>
      <c r="M17264" s="9" t="s">
        <v>23</v>
      </c>
    </row>
    <row r="17265" ht="15.75" customHeight="1">
      <c r="A17265" s="7"/>
      <c r="B17265" s="7"/>
      <c r="M17265" s="9" t="s">
        <v>26</v>
      </c>
    </row>
    <row r="17266" ht="15.75" customHeight="1">
      <c r="A17266" s="7"/>
      <c r="B17266" s="7"/>
      <c r="M17266" s="9" t="s">
        <v>24</v>
      </c>
    </row>
    <row r="17267" ht="15.75" customHeight="1">
      <c r="A17267" s="7"/>
      <c r="B17267" s="7"/>
      <c r="M17267" s="9" t="s">
        <v>20</v>
      </c>
    </row>
    <row r="17268" ht="15.75" customHeight="1">
      <c r="A17268" s="7"/>
      <c r="B17268" s="7"/>
      <c r="M17268" s="9" t="s">
        <v>21</v>
      </c>
    </row>
    <row r="17269" ht="15.75" customHeight="1">
      <c r="A17269" s="7"/>
      <c r="B17269" s="7"/>
      <c r="M17269" s="9" t="s">
        <v>22</v>
      </c>
    </row>
    <row r="17270" ht="15.75" customHeight="1">
      <c r="A17270" s="7"/>
      <c r="B17270" s="7"/>
      <c r="M17270" s="9" t="s">
        <v>33</v>
      </c>
    </row>
    <row r="17271" ht="15.75" customHeight="1">
      <c r="A17271" s="7"/>
      <c r="B17271" s="7"/>
      <c r="M17271" s="9" t="s">
        <v>38</v>
      </c>
    </row>
    <row r="17272" ht="15.75" customHeight="1">
      <c r="A17272" s="7"/>
      <c r="B17272" s="7"/>
      <c r="M17272" s="9" t="s">
        <v>30</v>
      </c>
    </row>
    <row r="17273" ht="15.75" customHeight="1">
      <c r="A17273" s="7"/>
      <c r="B17273" s="7"/>
      <c r="M17273" s="9" t="s">
        <v>25</v>
      </c>
    </row>
    <row r="17274" ht="15.75" customHeight="1">
      <c r="A17274" s="7"/>
      <c r="B17274" s="7"/>
      <c r="M17274" s="9" t="s">
        <v>23</v>
      </c>
    </row>
    <row r="17275" ht="15.75" customHeight="1">
      <c r="A17275" s="7"/>
      <c r="B17275" s="7"/>
      <c r="M17275" s="9" t="s">
        <v>24</v>
      </c>
    </row>
    <row r="17276" ht="15.75" customHeight="1">
      <c r="A17276" s="7"/>
      <c r="B17276" s="7"/>
      <c r="M17276" s="9" t="s">
        <v>21</v>
      </c>
    </row>
    <row r="17277" ht="15.75" customHeight="1">
      <c r="A17277" s="7"/>
      <c r="B17277" s="7"/>
      <c r="M17277" s="9" t="s">
        <v>22</v>
      </c>
    </row>
    <row r="17278" ht="15.75" customHeight="1">
      <c r="A17278" s="7"/>
      <c r="B17278" s="7"/>
      <c r="M17278" s="9" t="s">
        <v>30</v>
      </c>
    </row>
    <row r="17279" ht="15.75" customHeight="1">
      <c r="A17279" s="7"/>
      <c r="B17279" s="7"/>
      <c r="M17279" s="9" t="s">
        <v>22</v>
      </c>
    </row>
    <row r="17280" ht="15.75" customHeight="1">
      <c r="A17280" s="7"/>
      <c r="B17280" s="7"/>
      <c r="M17280" s="9" t="s">
        <v>23</v>
      </c>
    </row>
    <row r="17281" ht="15.75" customHeight="1">
      <c r="A17281" s="7"/>
      <c r="B17281" s="7"/>
      <c r="M17281" s="9" t="s">
        <v>26</v>
      </c>
    </row>
    <row r="17282" ht="15.75" customHeight="1">
      <c r="A17282" s="7"/>
      <c r="B17282" s="7"/>
      <c r="M17282" s="9" t="s">
        <v>20</v>
      </c>
    </row>
    <row r="17283" ht="15.75" customHeight="1">
      <c r="A17283" s="7"/>
      <c r="B17283" s="7"/>
      <c r="M17283" s="9" t="s">
        <v>41</v>
      </c>
    </row>
    <row r="17284" ht="15.75" customHeight="1">
      <c r="A17284" s="7"/>
      <c r="B17284" s="7"/>
      <c r="M17284" s="9" t="s">
        <v>30</v>
      </c>
    </row>
    <row r="17285" ht="15.75" customHeight="1">
      <c r="A17285" s="7"/>
      <c r="B17285" s="7"/>
      <c r="M17285" s="9" t="s">
        <v>20</v>
      </c>
    </row>
    <row r="17286" ht="15.75" customHeight="1">
      <c r="A17286" s="7"/>
      <c r="B17286" s="7"/>
      <c r="M17286" s="9" t="s">
        <v>21</v>
      </c>
    </row>
    <row r="17287" ht="15.75" customHeight="1">
      <c r="A17287" s="7"/>
      <c r="B17287" s="7"/>
      <c r="M17287" s="9" t="s">
        <v>22</v>
      </c>
    </row>
    <row r="17288" ht="15.75" customHeight="1">
      <c r="A17288" s="7"/>
      <c r="B17288" s="7"/>
      <c r="M17288" s="9" t="s">
        <v>27</v>
      </c>
    </row>
    <row r="17289" ht="15.75" customHeight="1">
      <c r="A17289" s="7"/>
      <c r="B17289" s="7"/>
      <c r="M17289" s="9" t="s">
        <v>38</v>
      </c>
    </row>
    <row r="17290" ht="15.75" customHeight="1">
      <c r="A17290" s="7"/>
      <c r="B17290" s="7"/>
      <c r="M17290" s="9" t="s">
        <v>30</v>
      </c>
    </row>
    <row r="17291" ht="15.75" customHeight="1">
      <c r="A17291" s="7"/>
      <c r="B17291" s="7"/>
      <c r="M17291" s="9" t="s">
        <v>23</v>
      </c>
    </row>
    <row r="17292" ht="15.75" customHeight="1">
      <c r="A17292" s="7"/>
      <c r="B17292" s="7"/>
      <c r="M17292" s="9" t="s">
        <v>24</v>
      </c>
    </row>
    <row r="17293" ht="15.75" customHeight="1">
      <c r="A17293" s="7"/>
      <c r="B17293" s="7"/>
      <c r="M17293" s="9" t="s">
        <v>31</v>
      </c>
    </row>
    <row r="17294" ht="15.75" customHeight="1">
      <c r="A17294" s="7"/>
      <c r="B17294" s="7"/>
      <c r="M17294" s="9" t="s">
        <v>32</v>
      </c>
    </row>
    <row r="17295" ht="15.75" customHeight="1">
      <c r="A17295" s="7"/>
      <c r="B17295" s="7"/>
      <c r="M17295" s="9" t="s">
        <v>24</v>
      </c>
    </row>
    <row r="17296" ht="15.75" customHeight="1">
      <c r="A17296" s="7"/>
      <c r="B17296" s="7"/>
      <c r="M17296" s="9" t="s">
        <v>21</v>
      </c>
    </row>
    <row r="17297" ht="15.75" customHeight="1">
      <c r="A17297" s="7"/>
      <c r="B17297" s="7"/>
      <c r="M17297" s="9" t="s">
        <v>37</v>
      </c>
    </row>
    <row r="17298" ht="15.75" customHeight="1">
      <c r="A17298" s="7"/>
      <c r="B17298" s="7"/>
      <c r="M17298" s="9" t="s">
        <v>20</v>
      </c>
    </row>
    <row r="17299" ht="15.75" customHeight="1">
      <c r="A17299" s="7"/>
      <c r="B17299" s="7"/>
      <c r="M17299" s="9" t="s">
        <v>27</v>
      </c>
    </row>
    <row r="17300" ht="15.75" customHeight="1">
      <c r="A17300" s="7"/>
      <c r="B17300" s="7"/>
      <c r="M17300" s="9" t="s">
        <v>24</v>
      </c>
    </row>
    <row r="17301" ht="15.75" customHeight="1">
      <c r="A17301" s="7"/>
      <c r="B17301" s="7"/>
      <c r="M17301" s="9" t="s">
        <v>20</v>
      </c>
    </row>
    <row r="17302" ht="15.75" customHeight="1">
      <c r="A17302" s="7"/>
      <c r="B17302" s="7"/>
      <c r="M17302" s="9" t="s">
        <v>21</v>
      </c>
    </row>
    <row r="17303" ht="15.75" customHeight="1">
      <c r="A17303" s="7"/>
      <c r="B17303" s="7"/>
      <c r="M17303" s="9" t="s">
        <v>28</v>
      </c>
    </row>
    <row r="17304" ht="15.75" customHeight="1">
      <c r="A17304" s="7"/>
      <c r="B17304" s="7"/>
      <c r="M17304" s="9" t="s">
        <v>30</v>
      </c>
    </row>
    <row r="17305" ht="15.75" customHeight="1">
      <c r="A17305" s="7"/>
      <c r="B17305" s="7"/>
      <c r="M17305" s="9" t="s">
        <v>24</v>
      </c>
    </row>
    <row r="17306" ht="15.75" customHeight="1">
      <c r="A17306" s="7"/>
      <c r="B17306" s="7"/>
      <c r="M17306" s="9" t="s">
        <v>20</v>
      </c>
    </row>
    <row r="17307" ht="15.75" customHeight="1">
      <c r="A17307" s="7"/>
      <c r="B17307" s="7"/>
      <c r="M17307" s="9" t="s">
        <v>21</v>
      </c>
    </row>
    <row r="17308" ht="15.75" customHeight="1">
      <c r="A17308" s="7"/>
      <c r="B17308" s="7"/>
      <c r="M17308" s="9" t="s">
        <v>37</v>
      </c>
    </row>
    <row r="17309" ht="15.75" customHeight="1">
      <c r="A17309" s="7"/>
      <c r="B17309" s="7"/>
      <c r="M17309" s="9" t="s">
        <v>22</v>
      </c>
    </row>
    <row r="17310" ht="15.75" customHeight="1">
      <c r="A17310" s="7"/>
      <c r="B17310" s="7"/>
      <c r="M17310" s="9" t="s">
        <v>27</v>
      </c>
    </row>
    <row r="17311" ht="15.75" customHeight="1">
      <c r="A17311" s="7"/>
      <c r="B17311" s="7"/>
      <c r="M17311" s="9" t="s">
        <v>38</v>
      </c>
    </row>
    <row r="17312" ht="15.75" customHeight="1">
      <c r="A17312" s="7"/>
      <c r="B17312" s="7"/>
      <c r="M17312" s="9" t="s">
        <v>23</v>
      </c>
    </row>
    <row r="17313" ht="15.75" customHeight="1">
      <c r="A17313" s="7"/>
      <c r="B17313" s="7"/>
      <c r="M17313" s="9" t="s">
        <v>22</v>
      </c>
    </row>
    <row r="17314" ht="15.75" customHeight="1">
      <c r="A17314" s="7"/>
      <c r="B17314" s="7"/>
      <c r="M17314" s="9" t="s">
        <v>24</v>
      </c>
    </row>
    <row r="17315" ht="15.75" customHeight="1">
      <c r="A17315" s="7"/>
      <c r="B17315" s="7"/>
      <c r="M17315" s="9" t="s">
        <v>21</v>
      </c>
    </row>
    <row r="17316" ht="15.75" customHeight="1">
      <c r="A17316" s="7"/>
      <c r="B17316" s="7"/>
      <c r="M17316" s="9" t="s">
        <v>22</v>
      </c>
    </row>
    <row r="17317" ht="15.75" customHeight="1">
      <c r="A17317" s="7"/>
      <c r="B17317" s="7"/>
      <c r="M17317" s="9" t="s">
        <v>30</v>
      </c>
    </row>
    <row r="17318" ht="15.75" customHeight="1">
      <c r="A17318" s="7"/>
      <c r="B17318" s="7"/>
      <c r="M17318" s="9" t="s">
        <v>25</v>
      </c>
    </row>
    <row r="17319" ht="15.75" customHeight="1">
      <c r="A17319" s="7"/>
      <c r="B17319" s="7"/>
      <c r="M17319" s="9" t="s">
        <v>24</v>
      </c>
    </row>
    <row r="17320" ht="15.75" customHeight="1">
      <c r="A17320" s="7"/>
      <c r="B17320" s="7"/>
      <c r="M17320" s="9" t="s">
        <v>21</v>
      </c>
    </row>
    <row r="17321" ht="15.75" customHeight="1">
      <c r="A17321" s="7"/>
      <c r="B17321" s="7"/>
      <c r="M17321" s="9" t="s">
        <v>37</v>
      </c>
    </row>
    <row r="17322" ht="15.75" customHeight="1">
      <c r="A17322" s="7"/>
      <c r="B17322" s="7"/>
      <c r="M17322" s="9" t="s">
        <v>24</v>
      </c>
    </row>
    <row r="17323" ht="15.75" customHeight="1">
      <c r="A17323" s="7"/>
      <c r="B17323" s="7"/>
      <c r="M17323" s="9" t="s">
        <v>21</v>
      </c>
    </row>
    <row r="17324" ht="15.75" customHeight="1">
      <c r="A17324" s="7"/>
      <c r="B17324" s="7"/>
      <c r="M17324" s="9" t="s">
        <v>37</v>
      </c>
    </row>
    <row r="17325" ht="15.75" customHeight="1">
      <c r="A17325" s="7"/>
      <c r="B17325" s="7"/>
      <c r="M17325" s="9" t="s">
        <v>22</v>
      </c>
    </row>
    <row r="17326" ht="15.75" customHeight="1">
      <c r="A17326" s="7"/>
      <c r="B17326" s="7"/>
      <c r="M17326" s="9" t="s">
        <v>36</v>
      </c>
    </row>
    <row r="17327" ht="15.75" customHeight="1">
      <c r="A17327" s="7"/>
      <c r="B17327" s="7"/>
      <c r="M17327" s="9" t="s">
        <v>24</v>
      </c>
    </row>
    <row r="17328" ht="15.75" customHeight="1">
      <c r="A17328" s="7"/>
      <c r="B17328" s="7"/>
      <c r="M17328" s="9" t="s">
        <v>21</v>
      </c>
    </row>
    <row r="17329" ht="15.75" customHeight="1">
      <c r="A17329" s="7"/>
      <c r="B17329" s="7"/>
      <c r="M17329" s="9" t="s">
        <v>22</v>
      </c>
    </row>
    <row r="17330" ht="15.75" customHeight="1">
      <c r="A17330" s="7"/>
      <c r="B17330" s="7"/>
      <c r="M17330" s="9" t="s">
        <v>29</v>
      </c>
    </row>
    <row r="17331" ht="15.75" customHeight="1">
      <c r="A17331" s="7"/>
      <c r="B17331" s="7"/>
      <c r="M17331" s="9" t="s">
        <v>27</v>
      </c>
    </row>
    <row r="17332" ht="15.75" customHeight="1">
      <c r="A17332" s="7"/>
      <c r="B17332" s="7"/>
      <c r="M17332" s="9" t="s">
        <v>33</v>
      </c>
    </row>
    <row r="17333" ht="15.75" customHeight="1">
      <c r="A17333" s="7"/>
      <c r="B17333" s="7"/>
      <c r="M17333" s="9" t="s">
        <v>28</v>
      </c>
    </row>
    <row r="17334" ht="15.75" customHeight="1">
      <c r="A17334" s="7"/>
      <c r="B17334" s="7"/>
      <c r="M17334" s="9" t="s">
        <v>30</v>
      </c>
    </row>
    <row r="17335" ht="15.75" customHeight="1">
      <c r="A17335" s="7"/>
      <c r="B17335" s="7"/>
      <c r="M17335" s="9" t="s">
        <v>20</v>
      </c>
    </row>
    <row r="17336" ht="15.75" customHeight="1">
      <c r="A17336" s="7"/>
      <c r="B17336" s="7"/>
      <c r="M17336" s="9" t="s">
        <v>21</v>
      </c>
    </row>
    <row r="17337" ht="15.75" customHeight="1">
      <c r="A17337" s="7"/>
      <c r="B17337" s="7"/>
      <c r="M17337" s="9" t="s">
        <v>22</v>
      </c>
    </row>
    <row r="17338" ht="15.75" customHeight="1">
      <c r="A17338" s="7"/>
      <c r="B17338" s="7"/>
      <c r="M17338" s="9" t="s">
        <v>27</v>
      </c>
    </row>
    <row r="17339" ht="15.75" customHeight="1">
      <c r="A17339" s="7"/>
      <c r="B17339" s="7"/>
      <c r="M17339" s="9" t="s">
        <v>26</v>
      </c>
    </row>
    <row r="17340" ht="15.75" customHeight="1">
      <c r="A17340" s="7"/>
      <c r="B17340" s="7"/>
      <c r="M17340" s="9" t="s">
        <v>24</v>
      </c>
    </row>
    <row r="17341" ht="15.75" customHeight="1">
      <c r="A17341" s="7"/>
      <c r="B17341" s="7"/>
      <c r="M17341" s="9" t="s">
        <v>21</v>
      </c>
    </row>
    <row r="17342" ht="15.75" customHeight="1">
      <c r="A17342" s="7"/>
      <c r="B17342" s="7"/>
      <c r="M17342" s="9" t="s">
        <v>33</v>
      </c>
    </row>
    <row r="17343" ht="15.75" customHeight="1">
      <c r="A17343" s="7"/>
      <c r="B17343" s="7"/>
      <c r="M17343" s="9" t="s">
        <v>30</v>
      </c>
    </row>
    <row r="17344" ht="15.75" customHeight="1">
      <c r="A17344" s="7"/>
      <c r="B17344" s="7"/>
      <c r="M17344" s="9" t="s">
        <v>21</v>
      </c>
    </row>
    <row r="17345" ht="15.75" customHeight="1">
      <c r="A17345" s="7"/>
      <c r="B17345" s="7"/>
      <c r="M17345" s="9" t="s">
        <v>33</v>
      </c>
    </row>
    <row r="17346" ht="15.75" customHeight="1">
      <c r="A17346" s="7"/>
      <c r="B17346" s="7"/>
      <c r="M17346" s="9" t="s">
        <v>30</v>
      </c>
    </row>
    <row r="17347" ht="15.75" customHeight="1">
      <c r="A17347" s="7"/>
      <c r="B17347" s="7"/>
      <c r="M17347" s="9" t="s">
        <v>20</v>
      </c>
    </row>
    <row r="17348" ht="15.75" customHeight="1">
      <c r="A17348" s="7"/>
      <c r="B17348" s="7"/>
      <c r="M17348" s="9" t="s">
        <v>21</v>
      </c>
    </row>
    <row r="17349" ht="15.75" customHeight="1">
      <c r="A17349" s="7"/>
      <c r="B17349" s="7"/>
      <c r="M17349" s="9" t="s">
        <v>29</v>
      </c>
    </row>
    <row r="17350" ht="15.75" customHeight="1">
      <c r="A17350" s="7"/>
      <c r="B17350" s="7"/>
      <c r="M17350" s="9" t="s">
        <v>27</v>
      </c>
    </row>
    <row r="17351" ht="15.75" customHeight="1">
      <c r="A17351" s="7"/>
      <c r="B17351" s="7"/>
      <c r="M17351" s="9" t="s">
        <v>29</v>
      </c>
    </row>
    <row r="17352" ht="15.75" customHeight="1">
      <c r="A17352" s="7"/>
      <c r="B17352" s="7"/>
      <c r="M17352" s="9" t="s">
        <v>24</v>
      </c>
    </row>
    <row r="17353" ht="15.75" customHeight="1">
      <c r="A17353" s="7"/>
      <c r="B17353" s="7"/>
      <c r="M17353" s="9" t="s">
        <v>21</v>
      </c>
    </row>
    <row r="17354" ht="15.75" customHeight="1">
      <c r="A17354" s="7"/>
      <c r="B17354" s="7"/>
      <c r="M17354" s="9" t="s">
        <v>37</v>
      </c>
    </row>
    <row r="17355" ht="15.75" customHeight="1">
      <c r="A17355" s="7"/>
      <c r="B17355" s="7"/>
      <c r="M17355" s="9" t="s">
        <v>20</v>
      </c>
    </row>
    <row r="17356" ht="15.75" customHeight="1">
      <c r="A17356" s="7"/>
      <c r="B17356" s="7"/>
      <c r="M17356" s="9" t="s">
        <v>21</v>
      </c>
    </row>
    <row r="17357" ht="15.75" customHeight="1">
      <c r="A17357" s="7"/>
      <c r="B17357" s="7"/>
      <c r="M17357" s="9" t="s">
        <v>27</v>
      </c>
    </row>
    <row r="17358" ht="15.75" customHeight="1">
      <c r="A17358" s="7"/>
      <c r="B17358" s="7"/>
      <c r="M17358" s="9" t="s">
        <v>24</v>
      </c>
    </row>
    <row r="17359" ht="15.75" customHeight="1">
      <c r="A17359" s="7"/>
      <c r="B17359" s="7"/>
      <c r="M17359" s="9" t="s">
        <v>21</v>
      </c>
    </row>
    <row r="17360" ht="15.75" customHeight="1">
      <c r="A17360" s="7"/>
      <c r="B17360" s="7"/>
      <c r="M17360" s="9" t="s">
        <v>37</v>
      </c>
    </row>
    <row r="17361" ht="15.75" customHeight="1">
      <c r="A17361" s="7"/>
      <c r="B17361" s="7"/>
      <c r="M17361" s="9" t="s">
        <v>30</v>
      </c>
    </row>
    <row r="17362" ht="15.75" customHeight="1">
      <c r="A17362" s="7"/>
      <c r="B17362" s="7"/>
      <c r="M17362" s="9" t="s">
        <v>24</v>
      </c>
    </row>
    <row r="17363" ht="15.75" customHeight="1">
      <c r="A17363" s="7"/>
      <c r="B17363" s="7"/>
      <c r="M17363" s="9" t="s">
        <v>21</v>
      </c>
    </row>
    <row r="17364" ht="15.75" customHeight="1">
      <c r="A17364" s="7"/>
      <c r="B17364" s="7"/>
      <c r="M17364" s="9" t="s">
        <v>22</v>
      </c>
    </row>
    <row r="17365" ht="15.75" customHeight="1">
      <c r="A17365" s="7"/>
      <c r="B17365" s="7"/>
      <c r="M17365" s="9" t="s">
        <v>25</v>
      </c>
    </row>
    <row r="17366" ht="15.75" customHeight="1">
      <c r="A17366" s="7"/>
      <c r="B17366" s="7"/>
      <c r="M17366" s="9" t="s">
        <v>23</v>
      </c>
    </row>
    <row r="17367" ht="15.75" customHeight="1">
      <c r="A17367" s="7"/>
      <c r="B17367" s="7"/>
      <c r="M17367" s="9" t="s">
        <v>24</v>
      </c>
    </row>
    <row r="17368" ht="15.75" customHeight="1">
      <c r="A17368" s="7"/>
      <c r="B17368" s="7"/>
      <c r="M17368" s="9" t="s">
        <v>20</v>
      </c>
    </row>
    <row r="17369" ht="15.75" customHeight="1">
      <c r="A17369" s="7"/>
      <c r="B17369" s="7"/>
      <c r="M17369" s="9" t="s">
        <v>21</v>
      </c>
    </row>
    <row r="17370" ht="15.75" customHeight="1">
      <c r="A17370" s="7"/>
      <c r="B17370" s="7"/>
      <c r="M17370" s="9" t="s">
        <v>37</v>
      </c>
    </row>
    <row r="17371" ht="15.75" customHeight="1">
      <c r="A17371" s="7"/>
      <c r="B17371" s="7"/>
      <c r="M17371" s="9" t="s">
        <v>22</v>
      </c>
    </row>
    <row r="17372" ht="15.75" customHeight="1">
      <c r="A17372" s="7"/>
      <c r="B17372" s="7"/>
      <c r="M17372" s="9" t="s">
        <v>29</v>
      </c>
    </row>
    <row r="17373" ht="15.75" customHeight="1">
      <c r="A17373" s="7"/>
      <c r="B17373" s="7"/>
      <c r="M17373" s="9" t="s">
        <v>27</v>
      </c>
    </row>
    <row r="17374" ht="15.75" customHeight="1">
      <c r="A17374" s="7"/>
      <c r="B17374" s="7"/>
      <c r="M17374" s="9" t="s">
        <v>30</v>
      </c>
    </row>
    <row r="17375" ht="15.75" customHeight="1">
      <c r="A17375" s="7"/>
      <c r="B17375" s="7"/>
      <c r="M17375" s="9" t="s">
        <v>24</v>
      </c>
    </row>
    <row r="17376" ht="15.75" customHeight="1">
      <c r="A17376" s="7"/>
      <c r="B17376" s="7"/>
      <c r="M17376" s="9" t="s">
        <v>20</v>
      </c>
    </row>
    <row r="17377" ht="15.75" customHeight="1">
      <c r="A17377" s="7"/>
      <c r="B17377" s="7"/>
      <c r="M17377" s="9" t="s">
        <v>21</v>
      </c>
    </row>
    <row r="17378" ht="15.75" customHeight="1">
      <c r="A17378" s="7"/>
      <c r="B17378" s="7"/>
      <c r="M17378" s="9" t="s">
        <v>28</v>
      </c>
    </row>
    <row r="17379" ht="15.75" customHeight="1">
      <c r="A17379" s="7"/>
      <c r="B17379" s="7"/>
      <c r="M17379" s="9" t="s">
        <v>30</v>
      </c>
    </row>
    <row r="17380" ht="15.75" customHeight="1">
      <c r="A17380" s="7"/>
      <c r="B17380" s="7"/>
      <c r="M17380" s="9" t="s">
        <v>24</v>
      </c>
    </row>
    <row r="17381" ht="15.75" customHeight="1">
      <c r="A17381" s="7"/>
      <c r="B17381" s="7"/>
      <c r="M17381" s="9" t="s">
        <v>21</v>
      </c>
    </row>
    <row r="17382" ht="15.75" customHeight="1">
      <c r="A17382" s="7"/>
      <c r="B17382" s="7"/>
      <c r="M17382" s="9" t="s">
        <v>22</v>
      </c>
    </row>
    <row r="17383" ht="15.75" customHeight="1">
      <c r="A17383" s="7"/>
      <c r="B17383" s="7"/>
      <c r="M17383" s="9" t="s">
        <v>27</v>
      </c>
    </row>
    <row r="17384" ht="15.75" customHeight="1">
      <c r="A17384" s="7"/>
      <c r="B17384" s="7"/>
      <c r="M17384" s="9" t="s">
        <v>30</v>
      </c>
    </row>
    <row r="17385" ht="15.75" customHeight="1">
      <c r="A17385" s="7"/>
      <c r="B17385" s="7"/>
      <c r="M17385" s="9" t="s">
        <v>24</v>
      </c>
    </row>
    <row r="17386" ht="15.75" customHeight="1">
      <c r="A17386" s="7"/>
      <c r="B17386" s="7"/>
      <c r="M17386" s="9" t="s">
        <v>21</v>
      </c>
    </row>
    <row r="17387" ht="15.75" customHeight="1">
      <c r="A17387" s="7"/>
      <c r="B17387" s="7"/>
      <c r="M17387" s="9" t="s">
        <v>37</v>
      </c>
    </row>
    <row r="17388" ht="15.75" customHeight="1">
      <c r="A17388" s="7"/>
      <c r="B17388" s="7"/>
      <c r="M17388" s="9" t="s">
        <v>22</v>
      </c>
    </row>
    <row r="17389" ht="15.75" customHeight="1">
      <c r="A17389" s="7"/>
      <c r="B17389" s="7"/>
      <c r="M17389" s="9" t="s">
        <v>42</v>
      </c>
    </row>
    <row r="17390" ht="15.75" customHeight="1">
      <c r="A17390" s="7"/>
      <c r="B17390" s="7"/>
      <c r="M17390" s="9" t="s">
        <v>24</v>
      </c>
    </row>
    <row r="17391" ht="15.75" customHeight="1">
      <c r="A17391" s="7"/>
      <c r="B17391" s="7"/>
      <c r="M17391" s="9" t="s">
        <v>21</v>
      </c>
    </row>
    <row r="17392" ht="15.75" customHeight="1">
      <c r="A17392" s="7"/>
      <c r="B17392" s="7"/>
      <c r="M17392" s="9" t="s">
        <v>27</v>
      </c>
    </row>
    <row r="17393" ht="15.75" customHeight="1">
      <c r="A17393" s="7"/>
      <c r="B17393" s="7"/>
      <c r="M17393" s="9" t="s">
        <v>33</v>
      </c>
    </row>
    <row r="17394" ht="15.75" customHeight="1">
      <c r="A17394" s="7"/>
      <c r="B17394" s="7"/>
      <c r="M17394" s="9" t="s">
        <v>30</v>
      </c>
    </row>
    <row r="17395" ht="15.75" customHeight="1">
      <c r="A17395" s="7"/>
      <c r="B17395" s="7"/>
      <c r="M17395" s="9" t="s">
        <v>36</v>
      </c>
    </row>
    <row r="17396" ht="15.75" customHeight="1">
      <c r="A17396" s="7"/>
      <c r="B17396" s="7"/>
      <c r="M17396" s="9" t="s">
        <v>24</v>
      </c>
    </row>
    <row r="17397" ht="15.75" customHeight="1">
      <c r="A17397" s="7"/>
      <c r="B17397" s="7"/>
      <c r="M17397" s="9" t="s">
        <v>20</v>
      </c>
    </row>
    <row r="17398" ht="15.75" customHeight="1">
      <c r="A17398" s="7"/>
      <c r="B17398" s="7"/>
      <c r="M17398" s="9" t="s">
        <v>21</v>
      </c>
    </row>
    <row r="17399" ht="15.75" customHeight="1">
      <c r="A17399" s="7"/>
      <c r="B17399" s="7"/>
      <c r="M17399" s="9" t="s">
        <v>39</v>
      </c>
    </row>
    <row r="17400" ht="15.75" customHeight="1">
      <c r="A17400" s="7"/>
      <c r="B17400" s="7"/>
      <c r="M17400" s="9" t="s">
        <v>22</v>
      </c>
    </row>
    <row r="17401" ht="15.75" customHeight="1">
      <c r="A17401" s="7"/>
      <c r="B17401" s="7"/>
      <c r="M17401" s="9" t="s">
        <v>27</v>
      </c>
    </row>
    <row r="17402" ht="15.75" customHeight="1">
      <c r="A17402" s="7"/>
      <c r="B17402" s="7"/>
      <c r="M17402" s="9" t="s">
        <v>24</v>
      </c>
    </row>
    <row r="17403" ht="15.75" customHeight="1">
      <c r="A17403" s="7"/>
      <c r="B17403" s="7"/>
      <c r="M17403" s="9" t="s">
        <v>21</v>
      </c>
    </row>
    <row r="17404" ht="15.75" customHeight="1">
      <c r="A17404" s="7"/>
      <c r="B17404" s="7"/>
      <c r="M17404" s="9" t="s">
        <v>37</v>
      </c>
    </row>
    <row r="17405" ht="15.75" customHeight="1">
      <c r="A17405" s="7"/>
      <c r="B17405" s="7"/>
      <c r="M17405" s="9" t="s">
        <v>24</v>
      </c>
    </row>
    <row r="17406" ht="15.75" customHeight="1">
      <c r="A17406" s="7"/>
      <c r="B17406" s="7"/>
      <c r="M17406" s="9" t="s">
        <v>21</v>
      </c>
    </row>
    <row r="17407" ht="15.75" customHeight="1">
      <c r="A17407" s="7"/>
      <c r="B17407" s="7"/>
      <c r="M17407" s="9" t="s">
        <v>20</v>
      </c>
    </row>
    <row r="17408" ht="15.75" customHeight="1">
      <c r="A17408" s="7"/>
      <c r="B17408" s="7"/>
      <c r="M17408" s="9" t="s">
        <v>39</v>
      </c>
    </row>
    <row r="17409" ht="15.75" customHeight="1">
      <c r="A17409" s="7"/>
      <c r="B17409" s="7"/>
      <c r="M17409" s="9" t="s">
        <v>30</v>
      </c>
    </row>
    <row r="17410" ht="15.75" customHeight="1">
      <c r="A17410" s="7"/>
      <c r="B17410" s="7"/>
      <c r="M17410" s="9" t="s">
        <v>24</v>
      </c>
    </row>
    <row r="17411" ht="15.75" customHeight="1">
      <c r="A17411" s="7"/>
      <c r="B17411" s="7"/>
      <c r="M17411" s="9" t="s">
        <v>20</v>
      </c>
    </row>
    <row r="17412" ht="15.75" customHeight="1">
      <c r="A17412" s="7"/>
      <c r="B17412" s="7"/>
      <c r="M17412" s="9" t="s">
        <v>21</v>
      </c>
    </row>
    <row r="17413" ht="15.75" customHeight="1">
      <c r="A17413" s="7"/>
      <c r="B17413" s="7"/>
      <c r="M17413" s="9" t="s">
        <v>39</v>
      </c>
    </row>
    <row r="17414" ht="15.75" customHeight="1">
      <c r="A17414" s="7"/>
      <c r="B17414" s="7"/>
      <c r="M17414" s="9" t="s">
        <v>41</v>
      </c>
    </row>
    <row r="17415" ht="15.75" customHeight="1">
      <c r="A17415" s="7"/>
      <c r="B17415" s="7"/>
      <c r="M17415" s="9" t="s">
        <v>22</v>
      </c>
    </row>
    <row r="17416" ht="15.75" customHeight="1">
      <c r="A17416" s="7"/>
      <c r="B17416" s="7"/>
      <c r="M17416" s="9" t="s">
        <v>40</v>
      </c>
    </row>
    <row r="17417" ht="15.75" customHeight="1">
      <c r="A17417" s="7"/>
      <c r="B17417" s="7"/>
      <c r="M17417" s="9" t="s">
        <v>30</v>
      </c>
    </row>
    <row r="17418" ht="15.75" customHeight="1">
      <c r="A17418" s="7"/>
      <c r="B17418" s="7"/>
      <c r="M17418" s="9" t="s">
        <v>24</v>
      </c>
    </row>
    <row r="17419" ht="15.75" customHeight="1">
      <c r="A17419" s="7"/>
      <c r="B17419" s="7"/>
      <c r="M17419" s="9" t="s">
        <v>20</v>
      </c>
    </row>
    <row r="17420" ht="15.75" customHeight="1">
      <c r="A17420" s="7"/>
      <c r="B17420" s="7"/>
      <c r="M17420" s="9" t="s">
        <v>21</v>
      </c>
    </row>
    <row r="17421" ht="15.75" customHeight="1">
      <c r="A17421" s="7"/>
      <c r="B17421" s="7"/>
      <c r="M17421" s="9" t="s">
        <v>37</v>
      </c>
    </row>
    <row r="17422" ht="15.75" customHeight="1">
      <c r="A17422" s="7"/>
      <c r="B17422" s="7"/>
      <c r="M17422" s="9" t="s">
        <v>20</v>
      </c>
    </row>
    <row r="17423" ht="15.75" customHeight="1">
      <c r="A17423" s="7"/>
      <c r="B17423" s="7"/>
      <c r="M17423" s="9" t="s">
        <v>21</v>
      </c>
    </row>
    <row r="17424" ht="15.75" customHeight="1">
      <c r="A17424" s="7"/>
      <c r="B17424" s="7"/>
      <c r="M17424" s="9" t="s">
        <v>24</v>
      </c>
    </row>
    <row r="17425" ht="15.75" customHeight="1">
      <c r="A17425" s="7"/>
      <c r="B17425" s="7"/>
      <c r="M17425" s="9" t="s">
        <v>20</v>
      </c>
    </row>
    <row r="17426" ht="15.75" customHeight="1">
      <c r="A17426" s="7"/>
      <c r="B17426" s="7"/>
      <c r="M17426" s="9" t="s">
        <v>21</v>
      </c>
    </row>
    <row r="17427" ht="15.75" customHeight="1">
      <c r="A17427" s="7"/>
      <c r="B17427" s="7"/>
      <c r="M17427" s="9" t="s">
        <v>27</v>
      </c>
    </row>
    <row r="17428" ht="15.75" customHeight="1">
      <c r="A17428" s="7"/>
      <c r="B17428" s="7"/>
      <c r="M17428" s="9" t="s">
        <v>47</v>
      </c>
    </row>
    <row r="17429" ht="15.75" customHeight="1">
      <c r="A17429" s="7"/>
      <c r="B17429" s="7"/>
      <c r="M17429" s="9" t="s">
        <v>20</v>
      </c>
    </row>
    <row r="17430" ht="15.75" customHeight="1">
      <c r="A17430" s="7"/>
      <c r="B17430" s="7"/>
      <c r="M17430" s="9" t="s">
        <v>39</v>
      </c>
    </row>
    <row r="17431" ht="15.75" customHeight="1">
      <c r="A17431" s="7"/>
      <c r="B17431" s="7"/>
      <c r="M17431" s="9" t="s">
        <v>30</v>
      </c>
    </row>
    <row r="17432" ht="15.75" customHeight="1">
      <c r="A17432" s="7"/>
      <c r="B17432" s="7"/>
      <c r="M17432" s="9" t="s">
        <v>23</v>
      </c>
    </row>
    <row r="17433" ht="15.75" customHeight="1">
      <c r="A17433" s="7"/>
      <c r="B17433" s="7"/>
      <c r="M17433" s="9" t="s">
        <v>24</v>
      </c>
    </row>
    <row r="17434" ht="15.75" customHeight="1">
      <c r="A17434" s="7"/>
      <c r="B17434" s="7"/>
      <c r="M17434" s="9" t="s">
        <v>20</v>
      </c>
    </row>
    <row r="17435" ht="15.75" customHeight="1">
      <c r="A17435" s="7"/>
      <c r="B17435" s="7"/>
      <c r="M17435" s="9" t="s">
        <v>21</v>
      </c>
    </row>
    <row r="17436" ht="15.75" customHeight="1">
      <c r="A17436" s="7"/>
      <c r="B17436" s="7"/>
      <c r="M17436" s="9" t="s">
        <v>41</v>
      </c>
    </row>
    <row r="17437" ht="15.75" customHeight="1">
      <c r="A17437" s="7"/>
      <c r="B17437" s="7"/>
      <c r="M17437" s="9" t="s">
        <v>37</v>
      </c>
    </row>
    <row r="17438" ht="15.75" customHeight="1">
      <c r="A17438" s="7"/>
      <c r="B17438" s="7"/>
      <c r="M17438" s="9" t="s">
        <v>27</v>
      </c>
    </row>
    <row r="17439" ht="15.75" customHeight="1">
      <c r="A17439" s="7"/>
      <c r="B17439" s="7"/>
      <c r="M17439" s="9" t="s">
        <v>40</v>
      </c>
    </row>
    <row r="17440" ht="15.75" customHeight="1">
      <c r="A17440" s="7"/>
      <c r="B17440" s="7"/>
      <c r="M17440" s="9" t="s">
        <v>33</v>
      </c>
    </row>
    <row r="17441" ht="15.75" customHeight="1">
      <c r="A17441" s="7"/>
      <c r="B17441" s="7"/>
      <c r="M17441" s="9" t="s">
        <v>38</v>
      </c>
    </row>
    <row r="17442" ht="15.75" customHeight="1">
      <c r="A17442" s="7"/>
      <c r="B17442" s="7"/>
      <c r="M17442" s="9" t="s">
        <v>30</v>
      </c>
    </row>
    <row r="17443" ht="15.75" customHeight="1">
      <c r="A17443" s="7"/>
      <c r="B17443" s="7"/>
      <c r="M17443" s="9" t="s">
        <v>25</v>
      </c>
    </row>
    <row r="17444" ht="15.75" customHeight="1">
      <c r="A17444" s="7"/>
      <c r="B17444" s="7"/>
      <c r="M17444" s="9" t="s">
        <v>23</v>
      </c>
    </row>
    <row r="17445" ht="15.75" customHeight="1">
      <c r="A17445" s="7"/>
      <c r="B17445" s="7"/>
      <c r="M17445" s="9" t="s">
        <v>26</v>
      </c>
    </row>
    <row r="17446" ht="15.75" customHeight="1">
      <c r="A17446" s="7"/>
      <c r="B17446" s="7"/>
      <c r="M17446" s="9" t="s">
        <v>20</v>
      </c>
    </row>
    <row r="17447" ht="15.75" customHeight="1">
      <c r="A17447" s="7"/>
      <c r="B17447" s="7"/>
      <c r="M17447" s="9" t="s">
        <v>22</v>
      </c>
    </row>
    <row r="17448" ht="15.75" customHeight="1">
      <c r="A17448" s="7"/>
      <c r="B17448" s="7"/>
      <c r="M17448" s="9" t="s">
        <v>27</v>
      </c>
    </row>
    <row r="17449" ht="15.75" customHeight="1">
      <c r="A17449" s="7"/>
      <c r="B17449" s="7"/>
      <c r="M17449" s="9" t="s">
        <v>23</v>
      </c>
    </row>
    <row r="17450" ht="15.75" customHeight="1">
      <c r="A17450" s="7"/>
      <c r="B17450" s="7"/>
      <c r="M17450" s="9" t="s">
        <v>35</v>
      </c>
    </row>
    <row r="17451" ht="15.75" customHeight="1">
      <c r="A17451" s="7"/>
      <c r="B17451" s="7"/>
      <c r="M17451" s="9" t="s">
        <v>30</v>
      </c>
    </row>
    <row r="17452" ht="15.75" customHeight="1">
      <c r="A17452" s="7"/>
      <c r="B17452" s="7"/>
      <c r="M17452" s="9" t="s">
        <v>25</v>
      </c>
    </row>
    <row r="17453" ht="15.75" customHeight="1">
      <c r="A17453" s="7"/>
      <c r="B17453" s="7"/>
      <c r="M17453" s="9" t="s">
        <v>23</v>
      </c>
    </row>
    <row r="17454" ht="15.75" customHeight="1">
      <c r="A17454" s="7"/>
      <c r="B17454" s="7"/>
      <c r="M17454" s="9" t="s">
        <v>22</v>
      </c>
    </row>
    <row r="17455" ht="15.75" customHeight="1">
      <c r="A17455" s="7"/>
      <c r="B17455" s="7"/>
      <c r="M17455" s="9" t="s">
        <v>24</v>
      </c>
    </row>
    <row r="17456" ht="15.75" customHeight="1">
      <c r="A17456" s="7"/>
      <c r="B17456" s="7"/>
      <c r="M17456" s="9" t="s">
        <v>21</v>
      </c>
    </row>
    <row r="17457" ht="15.75" customHeight="1">
      <c r="A17457" s="7"/>
      <c r="B17457" s="7"/>
      <c r="M17457" s="9" t="s">
        <v>38</v>
      </c>
    </row>
    <row r="17458" ht="15.75" customHeight="1">
      <c r="A17458" s="7"/>
      <c r="B17458" s="7"/>
      <c r="M17458" s="9" t="s">
        <v>23</v>
      </c>
    </row>
    <row r="17459" ht="15.75" customHeight="1">
      <c r="A17459" s="7"/>
      <c r="B17459" s="7"/>
      <c r="M17459" s="9" t="s">
        <v>26</v>
      </c>
    </row>
    <row r="17460" ht="15.75" customHeight="1">
      <c r="A17460" s="7"/>
      <c r="B17460" s="7"/>
      <c r="M17460" s="9" t="s">
        <v>24</v>
      </c>
    </row>
    <row r="17461" ht="15.75" customHeight="1">
      <c r="A17461" s="7"/>
      <c r="B17461" s="7"/>
      <c r="M17461" s="9" t="s">
        <v>37</v>
      </c>
    </row>
    <row r="17462" ht="15.75" customHeight="1">
      <c r="A17462" s="7"/>
      <c r="B17462" s="7"/>
      <c r="M17462" s="9" t="s">
        <v>27</v>
      </c>
    </row>
    <row r="17463" ht="15.75" customHeight="1">
      <c r="A17463" s="7"/>
      <c r="B17463" s="7"/>
      <c r="M17463" s="9" t="s">
        <v>44</v>
      </c>
    </row>
    <row r="17464" ht="15.75" customHeight="1">
      <c r="A17464" s="7"/>
      <c r="B17464" s="7"/>
      <c r="M17464" s="9" t="s">
        <v>21</v>
      </c>
    </row>
    <row r="17465" ht="15.75" customHeight="1">
      <c r="A17465" s="7"/>
      <c r="B17465" s="7"/>
      <c r="M17465" s="9" t="s">
        <v>39</v>
      </c>
    </row>
    <row r="17466" ht="15.75" customHeight="1">
      <c r="A17466" s="7"/>
      <c r="B17466" s="7"/>
      <c r="M17466" s="9" t="s">
        <v>33</v>
      </c>
    </row>
    <row r="17467" ht="15.75" customHeight="1">
      <c r="A17467" s="7"/>
      <c r="B17467" s="7"/>
      <c r="M17467" s="9" t="s">
        <v>30</v>
      </c>
    </row>
    <row r="17468" ht="15.75" customHeight="1">
      <c r="A17468" s="7"/>
      <c r="B17468" s="7"/>
      <c r="M17468" s="9" t="s">
        <v>25</v>
      </c>
    </row>
    <row r="17469" ht="15.75" customHeight="1">
      <c r="A17469" s="7"/>
      <c r="B17469" s="7"/>
      <c r="M17469" s="9" t="s">
        <v>23</v>
      </c>
    </row>
    <row r="17470" ht="15.75" customHeight="1">
      <c r="A17470" s="7"/>
      <c r="B17470" s="7"/>
      <c r="M17470" s="9" t="s">
        <v>26</v>
      </c>
    </row>
    <row r="17471" ht="15.75" customHeight="1">
      <c r="A17471" s="7"/>
      <c r="B17471" s="7"/>
      <c r="M17471" s="9" t="s">
        <v>36</v>
      </c>
    </row>
    <row r="17472" ht="15.75" customHeight="1">
      <c r="A17472" s="7"/>
      <c r="B17472" s="7"/>
      <c r="M17472" s="9" t="s">
        <v>24</v>
      </c>
    </row>
    <row r="17473" ht="15.75" customHeight="1">
      <c r="A17473" s="7"/>
      <c r="B17473" s="7"/>
      <c r="M17473" s="9" t="s">
        <v>21</v>
      </c>
    </row>
    <row r="17474" ht="15.75" customHeight="1">
      <c r="A17474" s="7"/>
      <c r="B17474" s="7"/>
      <c r="M17474" s="9" t="s">
        <v>39</v>
      </c>
    </row>
    <row r="17475" ht="15.75" customHeight="1">
      <c r="A17475" s="7"/>
      <c r="B17475" s="7"/>
      <c r="M17475" s="9" t="s">
        <v>37</v>
      </c>
    </row>
    <row r="17476" ht="15.75" customHeight="1">
      <c r="A17476" s="7"/>
      <c r="B17476" s="7"/>
      <c r="M17476" s="9" t="s">
        <v>22</v>
      </c>
    </row>
    <row r="17477" ht="15.75" customHeight="1">
      <c r="A17477" s="7"/>
      <c r="B17477" s="7"/>
      <c r="M17477" s="9" t="s">
        <v>31</v>
      </c>
    </row>
    <row r="17478" ht="15.75" customHeight="1">
      <c r="A17478" s="7"/>
      <c r="B17478" s="7"/>
      <c r="M17478" s="9" t="s">
        <v>27</v>
      </c>
    </row>
    <row r="17479" ht="15.75" customHeight="1">
      <c r="A17479" s="7"/>
      <c r="B17479" s="7"/>
      <c r="M17479" s="9" t="s">
        <v>30</v>
      </c>
    </row>
    <row r="17480" ht="15.75" customHeight="1">
      <c r="A17480" s="7"/>
      <c r="B17480" s="7"/>
      <c r="M17480" s="9" t="s">
        <v>25</v>
      </c>
    </row>
    <row r="17481" ht="15.75" customHeight="1">
      <c r="A17481" s="7"/>
      <c r="B17481" s="7"/>
      <c r="M17481" s="9" t="s">
        <v>23</v>
      </c>
    </row>
    <row r="17482" ht="15.75" customHeight="1">
      <c r="A17482" s="7"/>
      <c r="B17482" s="7"/>
      <c r="M17482" s="9" t="s">
        <v>24</v>
      </c>
    </row>
    <row r="17483" ht="15.75" customHeight="1">
      <c r="A17483" s="7"/>
      <c r="B17483" s="7"/>
      <c r="M17483" s="9" t="s">
        <v>20</v>
      </c>
    </row>
    <row r="17484" ht="15.75" customHeight="1">
      <c r="A17484" s="7"/>
      <c r="B17484" s="7"/>
      <c r="M17484" s="9" t="s">
        <v>21</v>
      </c>
    </row>
    <row r="17485" ht="15.75" customHeight="1">
      <c r="A17485" s="7"/>
      <c r="B17485" s="7"/>
      <c r="M17485" s="9" t="s">
        <v>39</v>
      </c>
    </row>
    <row r="17486" ht="15.75" customHeight="1">
      <c r="A17486" s="7"/>
      <c r="B17486" s="7"/>
      <c r="M17486" s="9" t="s">
        <v>31</v>
      </c>
    </row>
    <row r="17487" ht="15.75" customHeight="1">
      <c r="A17487" s="7"/>
      <c r="B17487" s="7"/>
      <c r="M17487" s="9" t="s">
        <v>30</v>
      </c>
    </row>
    <row r="17488" ht="15.75" customHeight="1">
      <c r="A17488" s="7"/>
      <c r="B17488" s="7"/>
      <c r="M17488" s="9" t="s">
        <v>24</v>
      </c>
    </row>
    <row r="17489" ht="15.75" customHeight="1">
      <c r="A17489" s="7"/>
      <c r="B17489" s="7"/>
      <c r="M17489" s="9" t="s">
        <v>20</v>
      </c>
    </row>
    <row r="17490" ht="15.75" customHeight="1">
      <c r="A17490" s="7"/>
      <c r="B17490" s="7"/>
      <c r="M17490" s="9" t="s">
        <v>21</v>
      </c>
    </row>
    <row r="17491" ht="15.75" customHeight="1">
      <c r="A17491" s="7"/>
      <c r="B17491" s="7"/>
      <c r="M17491" s="9" t="s">
        <v>22</v>
      </c>
    </row>
    <row r="17492" ht="15.75" customHeight="1">
      <c r="A17492" s="7"/>
      <c r="B17492" s="7"/>
      <c r="M17492" s="9" t="s">
        <v>27</v>
      </c>
    </row>
    <row r="17493" ht="15.75" customHeight="1">
      <c r="A17493" s="7"/>
      <c r="B17493" s="7"/>
      <c r="M17493" s="9" t="s">
        <v>35</v>
      </c>
    </row>
    <row r="17494" ht="15.75" customHeight="1">
      <c r="A17494" s="7"/>
      <c r="B17494" s="7"/>
      <c r="M17494" s="9" t="s">
        <v>22</v>
      </c>
    </row>
    <row r="17495" ht="15.75" customHeight="1">
      <c r="A17495" s="7"/>
      <c r="B17495" s="7"/>
      <c r="M17495" s="9" t="s">
        <v>24</v>
      </c>
    </row>
    <row r="17496" ht="15.75" customHeight="1">
      <c r="A17496" s="7"/>
      <c r="B17496" s="7"/>
      <c r="M17496" s="9" t="s">
        <v>21</v>
      </c>
    </row>
    <row r="17497" ht="15.75" customHeight="1">
      <c r="A17497" s="7"/>
      <c r="B17497" s="7"/>
      <c r="M17497" s="9" t="s">
        <v>22</v>
      </c>
    </row>
    <row r="17498" ht="15.75" customHeight="1">
      <c r="A17498" s="7"/>
      <c r="B17498" s="7"/>
      <c r="M17498" s="9" t="s">
        <v>27</v>
      </c>
    </row>
    <row r="17499" ht="15.75" customHeight="1">
      <c r="A17499" s="7"/>
      <c r="B17499" s="7"/>
      <c r="M17499" s="9" t="s">
        <v>25</v>
      </c>
    </row>
    <row r="17500" ht="15.75" customHeight="1">
      <c r="A17500" s="7"/>
      <c r="B17500" s="7"/>
      <c r="M17500" s="9" t="s">
        <v>23</v>
      </c>
    </row>
    <row r="17501" ht="15.75" customHeight="1">
      <c r="A17501" s="7"/>
      <c r="B17501" s="7"/>
      <c r="M17501" s="9" t="s">
        <v>24</v>
      </c>
    </row>
    <row r="17502" ht="15.75" customHeight="1">
      <c r="A17502" s="7"/>
      <c r="B17502" s="7"/>
      <c r="M17502" s="9" t="s">
        <v>21</v>
      </c>
    </row>
    <row r="17503" ht="15.75" customHeight="1">
      <c r="A17503" s="7"/>
      <c r="B17503" s="7"/>
      <c r="M17503" s="9" t="s">
        <v>41</v>
      </c>
    </row>
    <row r="17504" ht="15.75" customHeight="1">
      <c r="A17504" s="7"/>
      <c r="B17504" s="7"/>
      <c r="M17504" s="9" t="s">
        <v>22</v>
      </c>
    </row>
    <row r="17505" ht="15.75" customHeight="1">
      <c r="A17505" s="7"/>
      <c r="B17505" s="7"/>
      <c r="M17505" s="9" t="s">
        <v>40</v>
      </c>
    </row>
    <row r="17506" ht="15.75" customHeight="1">
      <c r="A17506" s="7"/>
      <c r="B17506" s="7"/>
      <c r="M17506" s="9" t="s">
        <v>25</v>
      </c>
    </row>
    <row r="17507" ht="15.75" customHeight="1">
      <c r="A17507" s="7"/>
      <c r="B17507" s="7"/>
      <c r="M17507" s="9" t="s">
        <v>26</v>
      </c>
    </row>
    <row r="17508" ht="15.75" customHeight="1">
      <c r="A17508" s="7"/>
      <c r="B17508" s="7"/>
      <c r="M17508" s="9" t="s">
        <v>20</v>
      </c>
    </row>
    <row r="17509" ht="15.75" customHeight="1">
      <c r="A17509" s="7"/>
      <c r="B17509" s="7"/>
      <c r="M17509" s="9" t="s">
        <v>21</v>
      </c>
    </row>
    <row r="17510" ht="15.75" customHeight="1">
      <c r="A17510" s="7"/>
      <c r="B17510" s="7"/>
      <c r="M17510" s="9" t="s">
        <v>22</v>
      </c>
    </row>
    <row r="17511" ht="15.75" customHeight="1">
      <c r="A17511" s="7"/>
      <c r="B17511" s="7"/>
      <c r="M17511" s="9" t="s">
        <v>27</v>
      </c>
    </row>
    <row r="17512" ht="15.75" customHeight="1">
      <c r="A17512" s="7"/>
      <c r="B17512" s="7"/>
      <c r="M17512" s="9" t="s">
        <v>24</v>
      </c>
    </row>
    <row r="17513" ht="15.75" customHeight="1">
      <c r="A17513" s="7"/>
      <c r="B17513" s="7"/>
      <c r="M17513" s="9" t="s">
        <v>20</v>
      </c>
    </row>
    <row r="17514" ht="15.75" customHeight="1">
      <c r="A17514" s="7"/>
      <c r="B17514" s="7"/>
      <c r="M17514" s="9" t="s">
        <v>21</v>
      </c>
    </row>
    <row r="17515" ht="15.75" customHeight="1">
      <c r="A17515" s="7"/>
      <c r="B17515" s="7"/>
      <c r="M17515" s="9" t="s">
        <v>22</v>
      </c>
    </row>
    <row r="17516" ht="15.75" customHeight="1">
      <c r="A17516" s="7"/>
      <c r="B17516" s="7"/>
      <c r="M17516" s="9" t="s">
        <v>38</v>
      </c>
    </row>
    <row r="17517" ht="15.75" customHeight="1">
      <c r="A17517" s="7"/>
      <c r="B17517" s="7"/>
      <c r="M17517" s="9" t="s">
        <v>30</v>
      </c>
    </row>
    <row r="17518" ht="15.75" customHeight="1">
      <c r="A17518" s="7"/>
      <c r="B17518" s="7"/>
      <c r="M17518" s="9" t="s">
        <v>23</v>
      </c>
    </row>
    <row r="17519" ht="15.75" customHeight="1">
      <c r="A17519" s="7"/>
      <c r="B17519" s="7"/>
      <c r="M17519" s="9" t="s">
        <v>47</v>
      </c>
    </row>
    <row r="17520" ht="15.75" customHeight="1">
      <c r="A17520" s="7"/>
      <c r="B17520" s="7"/>
      <c r="M17520" s="9" t="s">
        <v>24</v>
      </c>
    </row>
    <row r="17521" ht="15.75" customHeight="1">
      <c r="A17521" s="7"/>
      <c r="B17521" s="7"/>
      <c r="M17521" s="9" t="s">
        <v>20</v>
      </c>
    </row>
    <row r="17522" ht="15.75" customHeight="1">
      <c r="A17522" s="7"/>
      <c r="B17522" s="7"/>
      <c r="M17522" s="9" t="s">
        <v>21</v>
      </c>
    </row>
    <row r="17523" ht="15.75" customHeight="1">
      <c r="A17523" s="7"/>
      <c r="B17523" s="7"/>
      <c r="M17523" s="9" t="s">
        <v>22</v>
      </c>
    </row>
    <row r="17524" ht="15.75" customHeight="1">
      <c r="A17524" s="7"/>
      <c r="B17524" s="7"/>
      <c r="M17524" s="9" t="s">
        <v>31</v>
      </c>
    </row>
    <row r="17525" ht="15.75" customHeight="1">
      <c r="A17525" s="7"/>
      <c r="B17525" s="7"/>
      <c r="M17525" s="9" t="s">
        <v>27</v>
      </c>
    </row>
    <row r="17526" ht="15.75" customHeight="1">
      <c r="A17526" s="7"/>
      <c r="B17526" s="7"/>
      <c r="M17526" s="9" t="s">
        <v>24</v>
      </c>
    </row>
    <row r="17527" ht="15.75" customHeight="1">
      <c r="A17527" s="7"/>
      <c r="B17527" s="7"/>
      <c r="M17527" s="9" t="s">
        <v>21</v>
      </c>
    </row>
    <row r="17528" ht="15.75" customHeight="1">
      <c r="A17528" s="7"/>
      <c r="B17528" s="7"/>
      <c r="M17528" s="9" t="s">
        <v>27</v>
      </c>
    </row>
    <row r="17529" ht="15.75" customHeight="1">
      <c r="A17529" s="7"/>
      <c r="B17529" s="7"/>
      <c r="M17529" s="9" t="s">
        <v>38</v>
      </c>
    </row>
    <row r="17530" ht="15.75" customHeight="1">
      <c r="A17530" s="7"/>
      <c r="B17530" s="7"/>
      <c r="M17530" s="9" t="s">
        <v>25</v>
      </c>
    </row>
    <row r="17531" ht="15.75" customHeight="1">
      <c r="A17531" s="7"/>
      <c r="B17531" s="7"/>
      <c r="M17531" s="9" t="s">
        <v>23</v>
      </c>
    </row>
    <row r="17532" ht="15.75" customHeight="1">
      <c r="A17532" s="7"/>
      <c r="B17532" s="7"/>
      <c r="M17532" s="9" t="s">
        <v>26</v>
      </c>
    </row>
    <row r="17533" ht="15.75" customHeight="1">
      <c r="A17533" s="7"/>
      <c r="B17533" s="7"/>
      <c r="M17533" s="9" t="s">
        <v>24</v>
      </c>
    </row>
    <row r="17534" ht="15.75" customHeight="1">
      <c r="A17534" s="7"/>
      <c r="B17534" s="7"/>
      <c r="M17534" s="9" t="s">
        <v>20</v>
      </c>
    </row>
    <row r="17535" ht="15.75" customHeight="1">
      <c r="A17535" s="7"/>
      <c r="B17535" s="7"/>
      <c r="M17535" s="9" t="s">
        <v>21</v>
      </c>
    </row>
    <row r="17536" ht="15.75" customHeight="1">
      <c r="A17536" s="7"/>
      <c r="B17536" s="7"/>
      <c r="M17536" s="9" t="s">
        <v>22</v>
      </c>
    </row>
    <row r="17537" ht="15.75" customHeight="1">
      <c r="A17537" s="7"/>
      <c r="B17537" s="7"/>
      <c r="M17537" s="9" t="s">
        <v>27</v>
      </c>
    </row>
    <row r="17538" ht="15.75" customHeight="1">
      <c r="A17538" s="7"/>
      <c r="B17538" s="7"/>
      <c r="M17538" s="9" t="s">
        <v>24</v>
      </c>
    </row>
    <row r="17539" ht="15.75" customHeight="1">
      <c r="A17539" s="7"/>
      <c r="B17539" s="7"/>
      <c r="M17539" s="9" t="s">
        <v>20</v>
      </c>
    </row>
    <row r="17540" ht="15.75" customHeight="1">
      <c r="A17540" s="7"/>
      <c r="B17540" s="7"/>
      <c r="M17540" s="9" t="s">
        <v>21</v>
      </c>
    </row>
    <row r="17541" ht="15.75" customHeight="1">
      <c r="A17541" s="7"/>
      <c r="B17541" s="7"/>
      <c r="M17541" s="9" t="s">
        <v>22</v>
      </c>
    </row>
    <row r="17542" ht="15.75" customHeight="1">
      <c r="A17542" s="7"/>
      <c r="B17542" s="7"/>
      <c r="M17542" s="9" t="s">
        <v>27</v>
      </c>
    </row>
    <row r="17543" ht="15.75" customHeight="1">
      <c r="A17543" s="7"/>
      <c r="B17543" s="7"/>
      <c r="M17543" s="9" t="s">
        <v>33</v>
      </c>
    </row>
    <row r="17544" ht="15.75" customHeight="1">
      <c r="A17544" s="7"/>
      <c r="B17544" s="7"/>
      <c r="M17544" s="9" t="s">
        <v>41</v>
      </c>
    </row>
    <row r="17545" ht="15.75" customHeight="1">
      <c r="A17545" s="7"/>
      <c r="B17545" s="7"/>
      <c r="M17545" s="9" t="s">
        <v>40</v>
      </c>
    </row>
    <row r="17546" ht="15.75" customHeight="1">
      <c r="A17546" s="7"/>
      <c r="B17546" s="7"/>
      <c r="M17546" s="9" t="s">
        <v>25</v>
      </c>
    </row>
    <row r="17547" ht="15.75" customHeight="1">
      <c r="A17547" s="7"/>
      <c r="B17547" s="7"/>
      <c r="M17547" s="9" t="s">
        <v>23</v>
      </c>
    </row>
    <row r="17548" ht="15.75" customHeight="1">
      <c r="A17548" s="7"/>
      <c r="B17548" s="7"/>
      <c r="M17548" s="9" t="s">
        <v>24</v>
      </c>
    </row>
    <row r="17549" ht="15.75" customHeight="1">
      <c r="A17549" s="7"/>
      <c r="B17549" s="7"/>
      <c r="M17549" s="9" t="s">
        <v>21</v>
      </c>
    </row>
    <row r="17550" ht="15.75" customHeight="1">
      <c r="A17550" s="7"/>
      <c r="B17550" s="7"/>
      <c r="M17550" s="9" t="s">
        <v>22</v>
      </c>
    </row>
    <row r="17551" ht="15.75" customHeight="1">
      <c r="A17551" s="7"/>
      <c r="B17551" s="7"/>
      <c r="M17551" s="9" t="s">
        <v>27</v>
      </c>
    </row>
    <row r="17552" ht="15.75" customHeight="1">
      <c r="A17552" s="7"/>
      <c r="B17552" s="7"/>
      <c r="M17552" s="9" t="s">
        <v>24</v>
      </c>
    </row>
    <row r="17553" ht="15.75" customHeight="1">
      <c r="A17553" s="7"/>
      <c r="B17553" s="7"/>
      <c r="M17553" s="9" t="s">
        <v>21</v>
      </c>
    </row>
    <row r="17554" ht="15.75" customHeight="1">
      <c r="A17554" s="7"/>
      <c r="B17554" s="7"/>
      <c r="M17554" s="9" t="s">
        <v>37</v>
      </c>
    </row>
    <row r="17555" ht="15.75" customHeight="1">
      <c r="A17555" s="7"/>
      <c r="B17555" s="7"/>
      <c r="M17555" s="9" t="s">
        <v>27</v>
      </c>
    </row>
    <row r="17556" ht="15.75" customHeight="1">
      <c r="A17556" s="7"/>
      <c r="B17556" s="7"/>
      <c r="M17556" s="9" t="s">
        <v>37</v>
      </c>
    </row>
    <row r="17557" ht="15.75" customHeight="1">
      <c r="A17557" s="7"/>
      <c r="B17557" s="7"/>
      <c r="M17557" s="9" t="s">
        <v>27</v>
      </c>
    </row>
    <row r="17558" ht="15.75" customHeight="1">
      <c r="A17558" s="7"/>
      <c r="B17558" s="7"/>
      <c r="M17558" s="9" t="s">
        <v>24</v>
      </c>
    </row>
    <row r="17559" ht="15.75" customHeight="1">
      <c r="A17559" s="7"/>
      <c r="B17559" s="7"/>
      <c r="M17559" s="9" t="s">
        <v>21</v>
      </c>
    </row>
    <row r="17560" ht="15.75" customHeight="1">
      <c r="A17560" s="7"/>
      <c r="B17560" s="7"/>
      <c r="M17560" s="9" t="s">
        <v>33</v>
      </c>
    </row>
    <row r="17561" ht="15.75" customHeight="1">
      <c r="A17561" s="7"/>
      <c r="B17561" s="7"/>
      <c r="M17561" s="9" t="s">
        <v>22</v>
      </c>
    </row>
    <row r="17562" ht="15.75" customHeight="1">
      <c r="A17562" s="7"/>
      <c r="B17562" s="7"/>
      <c r="M17562" s="9" t="s">
        <v>28</v>
      </c>
    </row>
    <row r="17563" ht="15.75" customHeight="1">
      <c r="A17563" s="7"/>
      <c r="B17563" s="7"/>
      <c r="M17563" s="9" t="s">
        <v>25</v>
      </c>
    </row>
    <row r="17564" ht="15.75" customHeight="1">
      <c r="A17564" s="7"/>
      <c r="B17564" s="7"/>
      <c r="M17564" s="9" t="s">
        <v>24</v>
      </c>
    </row>
    <row r="17565" ht="15.75" customHeight="1">
      <c r="A17565" s="7"/>
      <c r="B17565" s="7"/>
      <c r="M17565" s="9" t="s">
        <v>21</v>
      </c>
    </row>
    <row r="17566" ht="15.75" customHeight="1">
      <c r="A17566" s="7"/>
      <c r="B17566" s="7"/>
      <c r="M17566" s="9" t="s">
        <v>37</v>
      </c>
    </row>
    <row r="17567" ht="15.75" customHeight="1">
      <c r="A17567" s="7"/>
      <c r="B17567" s="7"/>
      <c r="M17567" s="9" t="s">
        <v>22</v>
      </c>
    </row>
    <row r="17568" ht="15.75" customHeight="1">
      <c r="A17568" s="7"/>
      <c r="B17568" s="7"/>
      <c r="M17568" s="9" t="s">
        <v>27</v>
      </c>
    </row>
    <row r="17569" ht="15.75" customHeight="1">
      <c r="A17569" s="7"/>
      <c r="B17569" s="7"/>
      <c r="M17569" s="9" t="s">
        <v>26</v>
      </c>
    </row>
    <row r="17570" ht="15.75" customHeight="1">
      <c r="A17570" s="7"/>
      <c r="B17570" s="7"/>
      <c r="M17570" s="9" t="s">
        <v>45</v>
      </c>
    </row>
    <row r="17571" ht="15.75" customHeight="1">
      <c r="A17571" s="7"/>
      <c r="B17571" s="7"/>
      <c r="M17571" s="9" t="s">
        <v>24</v>
      </c>
    </row>
    <row r="17572" ht="15.75" customHeight="1">
      <c r="A17572" s="7"/>
      <c r="B17572" s="7"/>
      <c r="M17572" s="9" t="s">
        <v>20</v>
      </c>
    </row>
    <row r="17573" ht="15.75" customHeight="1">
      <c r="A17573" s="7"/>
      <c r="B17573" s="7"/>
      <c r="M17573" s="9" t="s">
        <v>21</v>
      </c>
    </row>
    <row r="17574" ht="15.75" customHeight="1">
      <c r="A17574" s="7"/>
      <c r="B17574" s="7"/>
      <c r="M17574" s="9" t="s">
        <v>27</v>
      </c>
    </row>
    <row r="17575" ht="15.75" customHeight="1">
      <c r="A17575" s="7"/>
      <c r="B17575" s="7"/>
      <c r="M17575" s="9" t="s">
        <v>24</v>
      </c>
    </row>
    <row r="17576" ht="15.75" customHeight="1">
      <c r="A17576" s="7"/>
      <c r="B17576" s="7"/>
      <c r="M17576" s="9" t="s">
        <v>31</v>
      </c>
    </row>
    <row r="17577" ht="15.75" customHeight="1">
      <c r="A17577" s="7"/>
      <c r="B17577" s="7"/>
      <c r="M17577" s="9" t="s">
        <v>27</v>
      </c>
    </row>
    <row r="17578" ht="15.75" customHeight="1">
      <c r="A17578" s="7"/>
      <c r="B17578" s="7"/>
      <c r="M17578" s="9" t="s">
        <v>35</v>
      </c>
    </row>
    <row r="17579" ht="15.75" customHeight="1">
      <c r="A17579" s="7"/>
      <c r="B17579" s="7"/>
      <c r="M17579" s="9" t="s">
        <v>30</v>
      </c>
    </row>
    <row r="17580" ht="15.75" customHeight="1">
      <c r="A17580" s="7"/>
      <c r="B17580" s="7"/>
      <c r="M17580" s="9" t="s">
        <v>23</v>
      </c>
    </row>
    <row r="17581" ht="15.75" customHeight="1">
      <c r="A17581" s="7"/>
      <c r="B17581" s="7"/>
      <c r="M17581" s="9" t="s">
        <v>24</v>
      </c>
    </row>
    <row r="17582" ht="15.75" customHeight="1">
      <c r="A17582" s="7"/>
      <c r="B17582" s="7"/>
      <c r="M17582" s="9" t="s">
        <v>21</v>
      </c>
    </row>
    <row r="17583" ht="15.75" customHeight="1">
      <c r="A17583" s="7"/>
      <c r="B17583" s="7"/>
      <c r="M17583" s="9" t="s">
        <v>22</v>
      </c>
    </row>
    <row r="17584" ht="15.75" customHeight="1">
      <c r="A17584" s="7"/>
      <c r="B17584" s="7"/>
      <c r="M17584" s="9" t="s">
        <v>27</v>
      </c>
    </row>
    <row r="17585" ht="15.75" customHeight="1">
      <c r="A17585" s="7"/>
      <c r="B17585" s="7"/>
      <c r="M17585" s="9" t="s">
        <v>20</v>
      </c>
    </row>
    <row r="17586" ht="15.75" customHeight="1">
      <c r="A17586" s="7"/>
      <c r="B17586" s="7"/>
      <c r="M17586" s="9" t="s">
        <v>21</v>
      </c>
    </row>
    <row r="17587" ht="15.75" customHeight="1">
      <c r="A17587" s="7"/>
      <c r="B17587" s="7"/>
      <c r="M17587" s="9" t="s">
        <v>37</v>
      </c>
    </row>
    <row r="17588" ht="15.75" customHeight="1">
      <c r="A17588" s="7"/>
      <c r="B17588" s="7"/>
      <c r="M17588" s="9" t="s">
        <v>22</v>
      </c>
    </row>
    <row r="17589" ht="15.75" customHeight="1">
      <c r="A17589" s="7"/>
      <c r="B17589" s="7"/>
      <c r="M17589" s="9" t="s">
        <v>40</v>
      </c>
    </row>
    <row r="17590" ht="15.75" customHeight="1">
      <c r="A17590" s="7"/>
      <c r="B17590" s="7"/>
      <c r="M17590" s="9" t="s">
        <v>26</v>
      </c>
    </row>
    <row r="17591" ht="15.75" customHeight="1">
      <c r="A17591" s="7"/>
      <c r="B17591" s="7"/>
      <c r="M17591" s="9" t="s">
        <v>29</v>
      </c>
    </row>
    <row r="17592" ht="15.75" customHeight="1">
      <c r="A17592" s="7"/>
      <c r="B17592" s="7"/>
      <c r="M17592" s="9" t="s">
        <v>27</v>
      </c>
    </row>
    <row r="17593" ht="15.75" customHeight="1">
      <c r="A17593" s="7"/>
      <c r="B17593" s="7"/>
      <c r="M17593" s="9" t="s">
        <v>25</v>
      </c>
    </row>
    <row r="17594" ht="15.75" customHeight="1">
      <c r="A17594" s="7"/>
      <c r="B17594" s="7"/>
      <c r="M17594" s="9" t="s">
        <v>20</v>
      </c>
    </row>
    <row r="17595" ht="15.75" customHeight="1">
      <c r="A17595" s="7"/>
      <c r="B17595" s="7"/>
      <c r="M17595" s="9" t="s">
        <v>22</v>
      </c>
    </row>
    <row r="17596" ht="15.75" customHeight="1">
      <c r="A17596" s="7"/>
      <c r="B17596" s="7"/>
      <c r="M17596" s="9" t="s">
        <v>24</v>
      </c>
    </row>
    <row r="17597" ht="15.75" customHeight="1">
      <c r="A17597" s="7"/>
      <c r="B17597" s="7"/>
      <c r="M17597" s="9" t="s">
        <v>21</v>
      </c>
    </row>
    <row r="17598" ht="15.75" customHeight="1">
      <c r="A17598" s="7"/>
      <c r="B17598" s="7"/>
      <c r="M17598" s="9" t="s">
        <v>33</v>
      </c>
    </row>
    <row r="17599" ht="15.75" customHeight="1">
      <c r="A17599" s="7"/>
      <c r="B17599" s="7"/>
      <c r="M17599" s="9" t="s">
        <v>36</v>
      </c>
    </row>
    <row r="17600" ht="15.75" customHeight="1">
      <c r="A17600" s="7"/>
      <c r="B17600" s="7"/>
      <c r="M17600" s="9" t="s">
        <v>24</v>
      </c>
    </row>
    <row r="17601" ht="15.75" customHeight="1">
      <c r="A17601" s="7"/>
      <c r="B17601" s="7"/>
      <c r="M17601" s="9" t="s">
        <v>20</v>
      </c>
    </row>
    <row r="17602" ht="15.75" customHeight="1">
      <c r="A17602" s="7"/>
      <c r="B17602" s="7"/>
      <c r="M17602" s="9" t="s">
        <v>21</v>
      </c>
    </row>
    <row r="17603" ht="15.75" customHeight="1">
      <c r="A17603" s="7"/>
      <c r="B17603" s="7"/>
      <c r="M17603" s="9" t="s">
        <v>22</v>
      </c>
    </row>
    <row r="17604" ht="15.75" customHeight="1">
      <c r="A17604" s="7"/>
      <c r="B17604" s="7"/>
      <c r="M17604" s="9" t="s">
        <v>31</v>
      </c>
    </row>
    <row r="17605" ht="15.75" customHeight="1">
      <c r="A17605" s="7"/>
      <c r="B17605" s="7"/>
      <c r="M17605" s="9" t="s">
        <v>27</v>
      </c>
    </row>
    <row r="17606" ht="15.75" customHeight="1">
      <c r="A17606" s="7"/>
      <c r="B17606" s="7"/>
      <c r="M17606" s="9" t="s">
        <v>26</v>
      </c>
    </row>
    <row r="17607" ht="15.75" customHeight="1">
      <c r="A17607" s="7"/>
      <c r="B17607" s="7"/>
      <c r="M17607" s="9" t="s">
        <v>24</v>
      </c>
    </row>
    <row r="17608" ht="15.75" customHeight="1">
      <c r="A17608" s="7"/>
      <c r="B17608" s="7"/>
      <c r="M17608" s="9" t="s">
        <v>21</v>
      </c>
    </row>
    <row r="17609" ht="15.75" customHeight="1">
      <c r="A17609" s="7"/>
      <c r="B17609" s="7"/>
      <c r="M17609" s="9" t="s">
        <v>21</v>
      </c>
    </row>
    <row r="17610" ht="15.75" customHeight="1">
      <c r="A17610" s="7"/>
      <c r="B17610" s="7"/>
      <c r="M17610" s="9" t="s">
        <v>32</v>
      </c>
    </row>
    <row r="17611" ht="15.75" customHeight="1">
      <c r="A17611" s="7"/>
      <c r="B17611" s="7"/>
      <c r="M17611" s="9" t="s">
        <v>24</v>
      </c>
    </row>
    <row r="17612" ht="15.75" customHeight="1">
      <c r="A17612" s="7"/>
      <c r="B17612" s="7"/>
      <c r="M17612" s="9" t="s">
        <v>21</v>
      </c>
    </row>
    <row r="17613" ht="15.75" customHeight="1">
      <c r="A17613" s="7"/>
      <c r="B17613" s="7"/>
      <c r="M17613" s="9" t="s">
        <v>27</v>
      </c>
    </row>
    <row r="17614" ht="15.75" customHeight="1">
      <c r="A17614" s="7"/>
      <c r="B17614" s="7"/>
      <c r="M17614" s="9" t="s">
        <v>38</v>
      </c>
    </row>
    <row r="17615" ht="15.75" customHeight="1">
      <c r="A17615" s="7"/>
      <c r="B17615" s="7"/>
      <c r="M17615" s="9" t="s">
        <v>26</v>
      </c>
    </row>
    <row r="17616" ht="15.75" customHeight="1">
      <c r="A17616" s="7"/>
      <c r="B17616" s="7"/>
      <c r="M17616" s="9" t="s">
        <v>24</v>
      </c>
    </row>
    <row r="17617" ht="15.75" customHeight="1">
      <c r="A17617" s="7"/>
      <c r="B17617" s="7"/>
      <c r="M17617" s="9" t="s">
        <v>21</v>
      </c>
    </row>
    <row r="17618" ht="15.75" customHeight="1">
      <c r="A17618" s="7"/>
      <c r="B17618" s="7"/>
      <c r="M17618" s="9" t="s">
        <v>22</v>
      </c>
    </row>
    <row r="17619" ht="15.75" customHeight="1">
      <c r="A17619" s="7"/>
      <c r="B17619" s="7"/>
      <c r="M17619" s="9" t="s">
        <v>36</v>
      </c>
    </row>
    <row r="17620" ht="15.75" customHeight="1">
      <c r="A17620" s="7"/>
      <c r="B17620" s="7"/>
      <c r="M17620" s="9" t="s">
        <v>24</v>
      </c>
    </row>
    <row r="17621" ht="15.75" customHeight="1">
      <c r="A17621" s="7"/>
      <c r="B17621" s="7"/>
      <c r="M17621" s="9" t="s">
        <v>20</v>
      </c>
    </row>
    <row r="17622" ht="15.75" customHeight="1">
      <c r="A17622" s="7"/>
      <c r="B17622" s="7"/>
      <c r="M17622" s="9" t="s">
        <v>21</v>
      </c>
    </row>
    <row r="17623" ht="15.75" customHeight="1">
      <c r="A17623" s="7"/>
      <c r="B17623" s="7"/>
      <c r="M17623" s="9" t="s">
        <v>37</v>
      </c>
    </row>
    <row r="17624" ht="15.75" customHeight="1">
      <c r="A17624" s="7"/>
      <c r="B17624" s="7"/>
      <c r="M17624" s="9" t="s">
        <v>29</v>
      </c>
    </row>
    <row r="17625" ht="15.75" customHeight="1">
      <c r="A17625" s="7"/>
      <c r="B17625" s="7"/>
      <c r="M17625" s="9" t="s">
        <v>27</v>
      </c>
    </row>
    <row r="17626" ht="15.75" customHeight="1">
      <c r="A17626" s="7"/>
      <c r="B17626" s="7"/>
      <c r="M17626" s="9" t="s">
        <v>24</v>
      </c>
    </row>
    <row r="17627" ht="15.75" customHeight="1">
      <c r="A17627" s="7"/>
      <c r="B17627" s="7"/>
      <c r="M17627" s="9" t="s">
        <v>20</v>
      </c>
    </row>
    <row r="17628" ht="15.75" customHeight="1">
      <c r="A17628" s="7"/>
      <c r="B17628" s="7"/>
      <c r="M17628" s="9" t="s">
        <v>21</v>
      </c>
    </row>
    <row r="17629" ht="15.75" customHeight="1">
      <c r="A17629" s="7"/>
      <c r="B17629" s="7"/>
      <c r="M17629" s="9" t="s">
        <v>37</v>
      </c>
    </row>
    <row r="17630" ht="15.75" customHeight="1">
      <c r="A17630" s="7"/>
      <c r="B17630" s="7"/>
      <c r="M17630" s="9" t="s">
        <v>35</v>
      </c>
    </row>
    <row r="17631" ht="15.75" customHeight="1">
      <c r="A17631" s="7"/>
      <c r="B17631" s="7"/>
      <c r="M17631" s="9" t="s">
        <v>24</v>
      </c>
    </row>
    <row r="17632" ht="15.75" customHeight="1">
      <c r="A17632" s="7"/>
      <c r="B17632" s="7"/>
      <c r="M17632" s="9" t="s">
        <v>20</v>
      </c>
    </row>
    <row r="17633" ht="15.75" customHeight="1">
      <c r="A17633" s="7"/>
      <c r="B17633" s="7"/>
      <c r="M17633" s="9" t="s">
        <v>21</v>
      </c>
    </row>
    <row r="17634" ht="15.75" customHeight="1">
      <c r="A17634" s="7"/>
      <c r="B17634" s="7"/>
      <c r="M17634" s="9" t="s">
        <v>24</v>
      </c>
    </row>
    <row r="17635" ht="15.75" customHeight="1">
      <c r="A17635" s="7"/>
      <c r="B17635" s="7"/>
      <c r="M17635" s="9" t="s">
        <v>20</v>
      </c>
    </row>
    <row r="17636" ht="15.75" customHeight="1">
      <c r="A17636" s="7"/>
      <c r="B17636" s="7"/>
      <c r="M17636" s="9" t="s">
        <v>22</v>
      </c>
    </row>
    <row r="17637" ht="15.75" customHeight="1">
      <c r="A17637" s="7"/>
      <c r="B17637" s="7"/>
      <c r="M17637" s="9" t="s">
        <v>27</v>
      </c>
    </row>
    <row r="17638" ht="15.75" customHeight="1">
      <c r="A17638" s="7"/>
      <c r="B17638" s="7"/>
      <c r="M17638" s="9" t="s">
        <v>23</v>
      </c>
    </row>
    <row r="17639" ht="15.75" customHeight="1">
      <c r="A17639" s="7"/>
      <c r="B17639" s="7"/>
      <c r="M17639" s="9" t="s">
        <v>26</v>
      </c>
    </row>
    <row r="17640" ht="15.75" customHeight="1">
      <c r="A17640" s="7"/>
      <c r="B17640" s="7"/>
      <c r="M17640" s="9" t="s">
        <v>24</v>
      </c>
    </row>
    <row r="17641" ht="15.75" customHeight="1">
      <c r="A17641" s="7"/>
      <c r="B17641" s="7"/>
      <c r="M17641" s="9" t="s">
        <v>20</v>
      </c>
    </row>
    <row r="17642" ht="15.75" customHeight="1">
      <c r="A17642" s="7"/>
      <c r="B17642" s="7"/>
      <c r="M17642" s="9" t="s">
        <v>21</v>
      </c>
    </row>
    <row r="17643" ht="15.75" customHeight="1">
      <c r="A17643" s="7"/>
      <c r="B17643" s="7"/>
      <c r="M17643" s="9" t="s">
        <v>22</v>
      </c>
    </row>
    <row r="17644" ht="15.75" customHeight="1">
      <c r="A17644" s="7"/>
      <c r="B17644" s="7"/>
      <c r="M17644" s="9" t="s">
        <v>33</v>
      </c>
    </row>
    <row r="17645" ht="15.75" customHeight="1">
      <c r="A17645" s="7"/>
      <c r="B17645" s="7"/>
      <c r="M17645" s="9" t="s">
        <v>24</v>
      </c>
    </row>
    <row r="17646" ht="15.75" customHeight="1">
      <c r="A17646" s="7"/>
      <c r="B17646" s="7"/>
      <c r="M17646" s="9" t="s">
        <v>21</v>
      </c>
    </row>
    <row r="17647" ht="15.75" customHeight="1">
      <c r="A17647" s="7"/>
      <c r="B17647" s="7"/>
      <c r="M17647" s="9" t="s">
        <v>22</v>
      </c>
    </row>
    <row r="17648" ht="15.75" customHeight="1">
      <c r="A17648" s="7"/>
      <c r="B17648" s="7"/>
      <c r="M17648" s="9" t="s">
        <v>31</v>
      </c>
    </row>
    <row r="17649" ht="15.75" customHeight="1">
      <c r="A17649" s="7"/>
      <c r="B17649" s="7"/>
      <c r="M17649" s="9" t="s">
        <v>27</v>
      </c>
    </row>
    <row r="17650" ht="15.75" customHeight="1">
      <c r="A17650" s="7"/>
      <c r="B17650" s="7"/>
      <c r="M17650" s="9" t="s">
        <v>26</v>
      </c>
    </row>
    <row r="17651" ht="15.75" customHeight="1">
      <c r="A17651" s="7"/>
      <c r="B17651" s="7"/>
      <c r="M17651" s="9" t="s">
        <v>24</v>
      </c>
    </row>
    <row r="17652" ht="15.75" customHeight="1">
      <c r="A17652" s="7"/>
      <c r="B17652" s="7"/>
      <c r="M17652" s="9" t="s">
        <v>21</v>
      </c>
    </row>
    <row r="17653" ht="15.75" customHeight="1">
      <c r="A17653" s="7"/>
      <c r="B17653" s="7"/>
      <c r="M17653" s="9" t="s">
        <v>27</v>
      </c>
    </row>
    <row r="17654" ht="15.75" customHeight="1">
      <c r="A17654" s="7"/>
      <c r="B17654" s="7"/>
      <c r="M17654" s="9" t="s">
        <v>28</v>
      </c>
    </row>
    <row r="17655" ht="15.75" customHeight="1">
      <c r="A17655" s="7"/>
      <c r="B17655" s="7"/>
      <c r="M17655" s="9" t="s">
        <v>20</v>
      </c>
    </row>
    <row r="17656" ht="15.75" customHeight="1">
      <c r="A17656" s="7"/>
      <c r="B17656" s="7"/>
      <c r="M17656" s="9" t="s">
        <v>24</v>
      </c>
    </row>
    <row r="17657" ht="15.75" customHeight="1">
      <c r="A17657" s="7"/>
      <c r="B17657" s="7"/>
      <c r="M17657" s="9" t="s">
        <v>21</v>
      </c>
    </row>
    <row r="17658" ht="15.75" customHeight="1">
      <c r="A17658" s="7"/>
      <c r="B17658" s="7"/>
      <c r="M17658" s="9" t="s">
        <v>37</v>
      </c>
    </row>
    <row r="17659" ht="15.75" customHeight="1">
      <c r="A17659" s="7"/>
      <c r="B17659" s="7"/>
      <c r="M17659" s="9" t="s">
        <v>27</v>
      </c>
    </row>
    <row r="17660" ht="15.75" customHeight="1">
      <c r="A17660" s="7"/>
      <c r="B17660" s="7"/>
      <c r="M17660" s="9" t="s">
        <v>26</v>
      </c>
    </row>
    <row r="17661" ht="15.75" customHeight="1">
      <c r="A17661" s="7"/>
      <c r="B17661" s="7"/>
      <c r="M17661" s="9" t="s">
        <v>24</v>
      </c>
    </row>
    <row r="17662" ht="15.75" customHeight="1">
      <c r="A17662" s="7"/>
      <c r="B17662" s="7"/>
      <c r="M17662" s="9" t="s">
        <v>20</v>
      </c>
    </row>
    <row r="17663" ht="15.75" customHeight="1">
      <c r="A17663" s="7"/>
      <c r="B17663" s="7"/>
      <c r="M17663" s="9" t="s">
        <v>37</v>
      </c>
    </row>
    <row r="17664" ht="15.75" customHeight="1">
      <c r="A17664" s="7"/>
      <c r="B17664" s="7"/>
      <c r="M17664" s="9" t="s">
        <v>27</v>
      </c>
    </row>
    <row r="17665" ht="15.75" customHeight="1">
      <c r="A17665" s="7"/>
      <c r="B17665" s="7"/>
      <c r="M17665" s="9" t="s">
        <v>28</v>
      </c>
    </row>
    <row r="17666" ht="15.75" customHeight="1">
      <c r="A17666" s="7"/>
      <c r="B17666" s="7"/>
      <c r="M17666" s="9" t="s">
        <v>38</v>
      </c>
    </row>
    <row r="17667" ht="15.75" customHeight="1">
      <c r="A17667" s="7"/>
      <c r="B17667" s="7"/>
      <c r="M17667" s="9" t="s">
        <v>30</v>
      </c>
    </row>
    <row r="17668" ht="15.75" customHeight="1">
      <c r="A17668" s="7"/>
      <c r="B17668" s="7"/>
      <c r="M17668" s="9" t="s">
        <v>25</v>
      </c>
    </row>
    <row r="17669" ht="15.75" customHeight="1">
      <c r="A17669" s="7"/>
      <c r="B17669" s="7"/>
      <c r="M17669" s="9" t="s">
        <v>23</v>
      </c>
    </row>
    <row r="17670" ht="15.75" customHeight="1">
      <c r="A17670" s="7"/>
      <c r="B17670" s="7"/>
      <c r="M17670" s="9" t="s">
        <v>26</v>
      </c>
    </row>
    <row r="17671" ht="15.75" customHeight="1">
      <c r="A17671" s="7"/>
      <c r="B17671" s="7"/>
      <c r="M17671" s="9" t="s">
        <v>24</v>
      </c>
    </row>
    <row r="17672" ht="15.75" customHeight="1">
      <c r="A17672" s="7"/>
      <c r="B17672" s="7"/>
      <c r="M17672" s="9" t="s">
        <v>20</v>
      </c>
    </row>
    <row r="17673" ht="15.75" customHeight="1">
      <c r="A17673" s="7"/>
      <c r="B17673" s="7"/>
      <c r="M17673" s="9" t="s">
        <v>21</v>
      </c>
    </row>
    <row r="17674" ht="15.75" customHeight="1">
      <c r="A17674" s="7"/>
      <c r="B17674" s="7"/>
      <c r="M17674" s="9" t="s">
        <v>37</v>
      </c>
    </row>
    <row r="17675" ht="15.75" customHeight="1">
      <c r="A17675" s="7"/>
      <c r="B17675" s="7"/>
      <c r="M17675" s="9" t="s">
        <v>22</v>
      </c>
    </row>
    <row r="17676" ht="15.75" customHeight="1">
      <c r="A17676" s="7"/>
      <c r="B17676" s="7"/>
      <c r="M17676" s="9" t="s">
        <v>27</v>
      </c>
    </row>
    <row r="17677" ht="15.75" customHeight="1">
      <c r="A17677" s="7"/>
      <c r="B17677" s="7"/>
      <c r="M17677" s="9" t="s">
        <v>28</v>
      </c>
    </row>
    <row r="17678" ht="15.75" customHeight="1">
      <c r="A17678" s="7"/>
      <c r="B17678" s="7"/>
      <c r="M17678" s="9" t="s">
        <v>35</v>
      </c>
    </row>
    <row r="17679" ht="15.75" customHeight="1">
      <c r="A17679" s="7"/>
      <c r="B17679" s="7"/>
      <c r="M17679" s="9" t="s">
        <v>24</v>
      </c>
    </row>
    <row r="17680" ht="15.75" customHeight="1">
      <c r="A17680" s="7"/>
      <c r="B17680" s="7"/>
      <c r="M17680" s="9" t="s">
        <v>21</v>
      </c>
    </row>
    <row r="17681" ht="15.75" customHeight="1">
      <c r="A17681" s="7"/>
      <c r="B17681" s="7"/>
      <c r="M17681" s="9" t="s">
        <v>22</v>
      </c>
    </row>
    <row r="17682" ht="15.75" customHeight="1">
      <c r="A17682" s="7"/>
      <c r="B17682" s="7"/>
      <c r="M17682" s="9" t="s">
        <v>27</v>
      </c>
    </row>
    <row r="17683" ht="15.75" customHeight="1">
      <c r="A17683" s="7"/>
      <c r="B17683" s="7"/>
      <c r="M17683" s="9" t="s">
        <v>30</v>
      </c>
    </row>
    <row r="17684" ht="15.75" customHeight="1">
      <c r="A17684" s="7"/>
      <c r="B17684" s="7"/>
      <c r="M17684" s="9" t="s">
        <v>25</v>
      </c>
    </row>
    <row r="17685" ht="15.75" customHeight="1">
      <c r="A17685" s="7"/>
      <c r="B17685" s="7"/>
      <c r="M17685" s="9" t="s">
        <v>23</v>
      </c>
    </row>
    <row r="17686" ht="15.75" customHeight="1">
      <c r="A17686" s="7"/>
      <c r="B17686" s="7"/>
      <c r="M17686" s="9" t="s">
        <v>20</v>
      </c>
    </row>
    <row r="17687" ht="15.75" customHeight="1">
      <c r="A17687" s="7"/>
      <c r="B17687" s="7"/>
      <c r="M17687" s="9" t="s">
        <v>22</v>
      </c>
    </row>
    <row r="17688" ht="15.75" customHeight="1">
      <c r="A17688" s="7"/>
      <c r="B17688" s="7"/>
      <c r="M17688" s="9" t="s">
        <v>27</v>
      </c>
    </row>
    <row r="17689" ht="15.75" customHeight="1">
      <c r="A17689" s="7"/>
      <c r="B17689" s="7"/>
      <c r="M17689" s="9" t="s">
        <v>30</v>
      </c>
    </row>
    <row r="17690" ht="15.75" customHeight="1">
      <c r="A17690" s="7"/>
      <c r="B17690" s="7"/>
      <c r="M17690" s="9" t="s">
        <v>24</v>
      </c>
    </row>
    <row r="17691" ht="15.75" customHeight="1">
      <c r="A17691" s="7"/>
      <c r="B17691" s="7"/>
      <c r="M17691" s="9" t="s">
        <v>21</v>
      </c>
    </row>
    <row r="17692" ht="15.75" customHeight="1">
      <c r="A17692" s="7"/>
      <c r="B17692" s="7"/>
      <c r="M17692" s="9" t="s">
        <v>22</v>
      </c>
    </row>
    <row r="17693" ht="15.75" customHeight="1">
      <c r="A17693" s="7"/>
      <c r="B17693" s="7"/>
      <c r="M17693" s="9" t="s">
        <v>30</v>
      </c>
    </row>
    <row r="17694" ht="15.75" customHeight="1">
      <c r="A17694" s="7"/>
      <c r="B17694" s="7"/>
      <c r="M17694" s="9" t="s">
        <v>25</v>
      </c>
    </row>
    <row r="17695" ht="15.75" customHeight="1">
      <c r="A17695" s="7"/>
      <c r="B17695" s="7"/>
      <c r="M17695" s="9" t="s">
        <v>23</v>
      </c>
    </row>
    <row r="17696" ht="15.75" customHeight="1">
      <c r="A17696" s="7"/>
      <c r="B17696" s="7"/>
      <c r="M17696" s="9" t="s">
        <v>26</v>
      </c>
    </row>
    <row r="17697" ht="15.75" customHeight="1">
      <c r="A17697" s="7"/>
      <c r="B17697" s="7"/>
      <c r="M17697" s="9" t="s">
        <v>24</v>
      </c>
    </row>
    <row r="17698" ht="15.75" customHeight="1">
      <c r="A17698" s="7"/>
      <c r="B17698" s="7"/>
      <c r="M17698" s="9" t="s">
        <v>20</v>
      </c>
    </row>
    <row r="17699" ht="15.75" customHeight="1">
      <c r="A17699" s="7"/>
      <c r="B17699" s="7"/>
      <c r="M17699" s="9" t="s">
        <v>21</v>
      </c>
    </row>
    <row r="17700" ht="15.75" customHeight="1">
      <c r="A17700" s="7"/>
      <c r="B17700" s="7"/>
      <c r="M17700" s="9" t="s">
        <v>37</v>
      </c>
    </row>
    <row r="17701" ht="15.75" customHeight="1">
      <c r="A17701" s="7"/>
      <c r="B17701" s="7"/>
      <c r="M17701" s="9" t="s">
        <v>22</v>
      </c>
    </row>
    <row r="17702" ht="15.75" customHeight="1">
      <c r="A17702" s="7"/>
      <c r="B17702" s="7"/>
      <c r="M17702" s="9" t="s">
        <v>30</v>
      </c>
    </row>
    <row r="17703" ht="15.75" customHeight="1">
      <c r="A17703" s="7"/>
      <c r="B17703" s="7"/>
      <c r="M17703" s="9" t="s">
        <v>24</v>
      </c>
    </row>
    <row r="17704" ht="15.75" customHeight="1">
      <c r="A17704" s="7"/>
      <c r="B17704" s="7"/>
      <c r="M17704" s="9" t="s">
        <v>21</v>
      </c>
    </row>
    <row r="17705" ht="15.75" customHeight="1">
      <c r="A17705" s="7"/>
      <c r="B17705" s="7"/>
      <c r="M17705" s="9" t="s">
        <v>37</v>
      </c>
    </row>
    <row r="17706" ht="15.75" customHeight="1">
      <c r="A17706" s="7"/>
      <c r="B17706" s="7"/>
      <c r="M17706" s="9" t="s">
        <v>22</v>
      </c>
    </row>
    <row r="17707" ht="15.75" customHeight="1">
      <c r="A17707" s="7"/>
      <c r="B17707" s="7"/>
      <c r="M17707" s="9" t="s">
        <v>33</v>
      </c>
    </row>
    <row r="17708" ht="15.75" customHeight="1">
      <c r="A17708" s="7"/>
      <c r="B17708" s="7"/>
      <c r="M17708" s="9" t="s">
        <v>38</v>
      </c>
    </row>
    <row r="17709" ht="15.75" customHeight="1">
      <c r="A17709" s="7"/>
      <c r="B17709" s="7"/>
      <c r="M17709" s="9" t="s">
        <v>30</v>
      </c>
    </row>
    <row r="17710" ht="15.75" customHeight="1">
      <c r="A17710" s="7"/>
      <c r="B17710" s="7"/>
      <c r="M17710" s="9" t="s">
        <v>25</v>
      </c>
    </row>
    <row r="17711" ht="15.75" customHeight="1">
      <c r="A17711" s="7"/>
      <c r="B17711" s="7"/>
      <c r="M17711" s="9" t="s">
        <v>23</v>
      </c>
    </row>
    <row r="17712" ht="15.75" customHeight="1">
      <c r="A17712" s="7"/>
      <c r="B17712" s="7"/>
      <c r="M17712" s="9" t="s">
        <v>26</v>
      </c>
    </row>
    <row r="17713" ht="15.75" customHeight="1">
      <c r="A17713" s="7"/>
      <c r="B17713" s="7"/>
      <c r="M17713" s="9" t="s">
        <v>24</v>
      </c>
    </row>
    <row r="17714" ht="15.75" customHeight="1">
      <c r="A17714" s="7"/>
      <c r="B17714" s="7"/>
      <c r="M17714" s="9" t="s">
        <v>20</v>
      </c>
    </row>
    <row r="17715" ht="15.75" customHeight="1">
      <c r="A17715" s="7"/>
      <c r="B17715" s="7"/>
      <c r="M17715" s="9" t="s">
        <v>21</v>
      </c>
    </row>
    <row r="17716" ht="15.75" customHeight="1">
      <c r="A17716" s="7"/>
      <c r="B17716" s="7"/>
      <c r="M17716" s="9" t="s">
        <v>37</v>
      </c>
    </row>
    <row r="17717" ht="15.75" customHeight="1">
      <c r="A17717" s="7"/>
      <c r="B17717" s="7"/>
      <c r="M17717" s="9" t="s">
        <v>22</v>
      </c>
    </row>
    <row r="17718" ht="15.75" customHeight="1">
      <c r="A17718" s="7"/>
      <c r="B17718" s="7"/>
      <c r="M17718" s="9" t="s">
        <v>27</v>
      </c>
    </row>
    <row r="17719" ht="15.75" customHeight="1">
      <c r="A17719" s="7"/>
      <c r="B17719" s="7"/>
      <c r="M17719" s="9" t="s">
        <v>28</v>
      </c>
    </row>
    <row r="17720" ht="15.75" customHeight="1">
      <c r="A17720" s="7"/>
      <c r="B17720" s="7"/>
      <c r="M17720" s="9" t="s">
        <v>25</v>
      </c>
    </row>
    <row r="17721" ht="15.75" customHeight="1">
      <c r="A17721" s="7"/>
      <c r="B17721" s="7"/>
      <c r="M17721" s="9" t="s">
        <v>24</v>
      </c>
    </row>
    <row r="17722" ht="15.75" customHeight="1">
      <c r="A17722" s="7"/>
      <c r="B17722" s="7"/>
      <c r="M17722" s="9" t="s">
        <v>21</v>
      </c>
    </row>
    <row r="17723" ht="15.75" customHeight="1">
      <c r="A17723" s="7"/>
      <c r="B17723" s="7"/>
      <c r="M17723" s="9" t="s">
        <v>22</v>
      </c>
    </row>
    <row r="17724" ht="15.75" customHeight="1">
      <c r="A17724" s="7"/>
      <c r="B17724" s="7"/>
      <c r="M17724" s="9" t="s">
        <v>40</v>
      </c>
    </row>
    <row r="17725" ht="15.75" customHeight="1">
      <c r="A17725" s="7"/>
      <c r="B17725" s="7"/>
      <c r="M17725" s="9" t="s">
        <v>20</v>
      </c>
    </row>
    <row r="17726" ht="15.75" customHeight="1">
      <c r="A17726" s="7"/>
      <c r="B17726" s="7"/>
      <c r="M17726" s="9" t="s">
        <v>30</v>
      </c>
    </row>
    <row r="17727" ht="15.75" customHeight="1">
      <c r="A17727" s="7"/>
      <c r="B17727" s="7"/>
      <c r="M17727" s="9" t="s">
        <v>26</v>
      </c>
    </row>
    <row r="17728" ht="15.75" customHeight="1">
      <c r="A17728" s="7"/>
      <c r="B17728" s="7"/>
      <c r="M17728" s="9" t="s">
        <v>24</v>
      </c>
    </row>
    <row r="17729" ht="15.75" customHeight="1">
      <c r="A17729" s="7"/>
      <c r="B17729" s="7"/>
      <c r="M17729" s="9" t="s">
        <v>20</v>
      </c>
    </row>
    <row r="17730" ht="15.75" customHeight="1">
      <c r="A17730" s="7"/>
      <c r="B17730" s="7"/>
      <c r="M17730" s="9" t="s">
        <v>21</v>
      </c>
    </row>
    <row r="17731" ht="15.75" customHeight="1">
      <c r="A17731" s="7"/>
      <c r="B17731" s="7"/>
      <c r="M17731" s="9" t="s">
        <v>37</v>
      </c>
    </row>
    <row r="17732" ht="15.75" customHeight="1">
      <c r="A17732" s="7"/>
      <c r="B17732" s="7"/>
      <c r="M17732" s="9" t="s">
        <v>22</v>
      </c>
    </row>
    <row r="17733" ht="15.75" customHeight="1">
      <c r="A17733" s="7"/>
      <c r="B17733" s="7"/>
      <c r="M17733" s="9" t="s">
        <v>29</v>
      </c>
    </row>
    <row r="17734" ht="15.75" customHeight="1">
      <c r="A17734" s="7"/>
      <c r="B17734" s="7"/>
      <c r="M17734" s="9" t="s">
        <v>27</v>
      </c>
    </row>
    <row r="17735" ht="15.75" customHeight="1">
      <c r="A17735" s="7"/>
      <c r="B17735" s="7"/>
      <c r="M17735" s="9" t="s">
        <v>28</v>
      </c>
    </row>
    <row r="17736" ht="15.75" customHeight="1">
      <c r="A17736" s="7"/>
      <c r="B17736" s="7"/>
      <c r="M17736" s="9" t="s">
        <v>35</v>
      </c>
    </row>
    <row r="17737" ht="15.75" customHeight="1">
      <c r="A17737" s="7"/>
      <c r="B17737" s="7"/>
      <c r="M17737" s="9" t="s">
        <v>26</v>
      </c>
    </row>
    <row r="17738" ht="15.75" customHeight="1">
      <c r="A17738" s="7"/>
      <c r="B17738" s="7"/>
      <c r="M17738" s="9" t="s">
        <v>21</v>
      </c>
    </row>
    <row r="17739" ht="15.75" customHeight="1">
      <c r="A17739" s="7"/>
      <c r="B17739" s="7"/>
      <c r="M17739" s="9" t="s">
        <v>41</v>
      </c>
    </row>
    <row r="17740" ht="15.75" customHeight="1">
      <c r="A17740" s="7"/>
      <c r="B17740" s="7"/>
      <c r="M17740" s="9" t="s">
        <v>40</v>
      </c>
    </row>
    <row r="17741" ht="15.75" customHeight="1">
      <c r="A17741" s="7"/>
      <c r="B17741" s="7"/>
      <c r="M17741" s="9" t="s">
        <v>24</v>
      </c>
    </row>
    <row r="17742" ht="15.75" customHeight="1">
      <c r="A17742" s="7"/>
      <c r="B17742" s="7"/>
      <c r="M17742" s="9" t="s">
        <v>20</v>
      </c>
    </row>
    <row r="17743" ht="15.75" customHeight="1">
      <c r="A17743" s="7"/>
      <c r="B17743" s="7"/>
      <c r="M17743" s="9" t="s">
        <v>21</v>
      </c>
    </row>
    <row r="17744" ht="15.75" customHeight="1">
      <c r="A17744" s="7"/>
      <c r="B17744" s="7"/>
      <c r="M17744" s="9" t="s">
        <v>22</v>
      </c>
    </row>
    <row r="17745" ht="15.75" customHeight="1">
      <c r="A17745" s="7"/>
      <c r="B17745" s="7"/>
      <c r="M17745" s="9" t="s">
        <v>27</v>
      </c>
    </row>
    <row r="17746" ht="15.75" customHeight="1">
      <c r="A17746" s="7"/>
      <c r="B17746" s="7"/>
      <c r="M17746" s="9" t="s">
        <v>33</v>
      </c>
    </row>
    <row r="17747" ht="15.75" customHeight="1">
      <c r="A17747" s="7"/>
      <c r="B17747" s="7"/>
      <c r="M17747" s="9" t="s">
        <v>30</v>
      </c>
    </row>
    <row r="17748" ht="15.75" customHeight="1">
      <c r="A17748" s="7"/>
      <c r="B17748" s="7"/>
      <c r="M17748" s="9" t="s">
        <v>23</v>
      </c>
    </row>
    <row r="17749" ht="15.75" customHeight="1">
      <c r="A17749" s="7"/>
      <c r="B17749" s="7"/>
      <c r="M17749" s="9" t="s">
        <v>22</v>
      </c>
    </row>
    <row r="17750" ht="15.75" customHeight="1">
      <c r="A17750" s="7"/>
      <c r="B17750" s="7"/>
      <c r="M17750" s="9" t="s">
        <v>27</v>
      </c>
    </row>
    <row r="17751" ht="15.75" customHeight="1">
      <c r="A17751" s="7"/>
      <c r="B17751" s="7"/>
      <c r="M17751" s="9" t="s">
        <v>26</v>
      </c>
    </row>
    <row r="17752" ht="15.75" customHeight="1">
      <c r="A17752" s="7"/>
      <c r="B17752" s="7"/>
      <c r="M17752" s="9" t="s">
        <v>24</v>
      </c>
    </row>
    <row r="17753" ht="15.75" customHeight="1">
      <c r="A17753" s="7"/>
      <c r="B17753" s="7"/>
      <c r="M17753" s="9" t="s">
        <v>21</v>
      </c>
    </row>
    <row r="17754" ht="15.75" customHeight="1">
      <c r="A17754" s="7"/>
      <c r="B17754" s="7"/>
      <c r="M17754" s="9" t="s">
        <v>27</v>
      </c>
    </row>
    <row r="17755" ht="15.75" customHeight="1">
      <c r="A17755" s="7"/>
      <c r="B17755" s="7"/>
      <c r="M17755" s="9" t="s">
        <v>20</v>
      </c>
    </row>
    <row r="17756" ht="15.75" customHeight="1">
      <c r="A17756" s="7"/>
      <c r="B17756" s="7"/>
      <c r="M17756" s="9" t="s">
        <v>21</v>
      </c>
    </row>
    <row r="17757" ht="15.75" customHeight="1">
      <c r="A17757" s="7"/>
      <c r="B17757" s="7"/>
      <c r="M17757" s="9" t="s">
        <v>27</v>
      </c>
    </row>
    <row r="17758" ht="15.75" customHeight="1">
      <c r="A17758" s="7"/>
      <c r="B17758" s="7"/>
      <c r="M17758" s="9" t="s">
        <v>26</v>
      </c>
    </row>
    <row r="17759" ht="15.75" customHeight="1">
      <c r="A17759" s="7"/>
      <c r="B17759" s="7"/>
      <c r="M17759" s="9" t="s">
        <v>37</v>
      </c>
    </row>
    <row r="17760" ht="15.75" customHeight="1">
      <c r="A17760" s="7"/>
      <c r="B17760" s="7"/>
      <c r="M17760" s="9" t="s">
        <v>27</v>
      </c>
    </row>
    <row r="17761" ht="15.75" customHeight="1">
      <c r="A17761" s="7"/>
      <c r="B17761" s="7"/>
      <c r="M17761" s="9" t="s">
        <v>24</v>
      </c>
    </row>
    <row r="17762" ht="15.75" customHeight="1">
      <c r="A17762" s="7"/>
      <c r="B17762" s="7"/>
      <c r="M17762" s="9" t="s">
        <v>21</v>
      </c>
    </row>
    <row r="17763" ht="15.75" customHeight="1">
      <c r="A17763" s="7"/>
      <c r="B17763" s="7"/>
      <c r="M17763" s="9" t="s">
        <v>33</v>
      </c>
    </row>
    <row r="17764" ht="15.75" customHeight="1">
      <c r="A17764" s="7"/>
      <c r="B17764" s="7"/>
      <c r="M17764" s="9" t="s">
        <v>26</v>
      </c>
    </row>
    <row r="17765" ht="15.75" customHeight="1">
      <c r="A17765" s="7"/>
      <c r="B17765" s="7"/>
      <c r="M17765" s="9" t="s">
        <v>24</v>
      </c>
    </row>
    <row r="17766" ht="15.75" customHeight="1">
      <c r="A17766" s="7"/>
      <c r="B17766" s="7"/>
      <c r="M17766" s="9" t="s">
        <v>20</v>
      </c>
    </row>
    <row r="17767" ht="15.75" customHeight="1">
      <c r="A17767" s="7"/>
      <c r="B17767" s="7"/>
      <c r="M17767" s="9" t="s">
        <v>21</v>
      </c>
    </row>
    <row r="17768" ht="15.75" customHeight="1">
      <c r="A17768" s="7"/>
      <c r="B17768" s="7"/>
      <c r="M17768" s="9" t="s">
        <v>37</v>
      </c>
    </row>
    <row r="17769" ht="15.75" customHeight="1">
      <c r="A17769" s="7"/>
      <c r="B17769" s="7"/>
      <c r="M17769" s="9" t="s">
        <v>27</v>
      </c>
    </row>
    <row r="17770" ht="15.75" customHeight="1">
      <c r="A17770" s="7"/>
      <c r="B17770" s="7"/>
      <c r="M17770" s="9" t="s">
        <v>30</v>
      </c>
    </row>
    <row r="17771" ht="15.75" customHeight="1">
      <c r="A17771" s="7"/>
      <c r="B17771" s="7"/>
      <c r="M17771" s="9" t="s">
        <v>20</v>
      </c>
    </row>
    <row r="17772" ht="15.75" customHeight="1">
      <c r="A17772" s="7"/>
      <c r="B17772" s="7"/>
      <c r="M17772" s="9" t="s">
        <v>22</v>
      </c>
    </row>
    <row r="17773" ht="15.75" customHeight="1">
      <c r="A17773" s="7"/>
      <c r="B17773" s="7"/>
      <c r="M17773" s="9" t="s">
        <v>31</v>
      </c>
    </row>
    <row r="17774" ht="15.75" customHeight="1">
      <c r="A17774" s="7"/>
      <c r="B17774" s="7"/>
      <c r="M17774" s="9" t="s">
        <v>36</v>
      </c>
    </row>
    <row r="17775" ht="15.75" customHeight="1">
      <c r="A17775" s="7"/>
      <c r="B17775" s="7"/>
      <c r="M17775" s="9" t="s">
        <v>24</v>
      </c>
    </row>
    <row r="17776" ht="15.75" customHeight="1">
      <c r="A17776" s="7"/>
      <c r="B17776" s="7"/>
      <c r="M17776" s="9" t="s">
        <v>21</v>
      </c>
    </row>
    <row r="17777" ht="15.75" customHeight="1">
      <c r="A17777" s="7"/>
      <c r="B17777" s="7"/>
      <c r="M17777" s="9" t="s">
        <v>39</v>
      </c>
    </row>
    <row r="17778" ht="15.75" customHeight="1">
      <c r="A17778" s="7"/>
      <c r="B17778" s="7"/>
      <c r="M17778" s="9" t="s">
        <v>22</v>
      </c>
    </row>
    <row r="17779" ht="15.75" customHeight="1">
      <c r="A17779" s="7"/>
      <c r="B17779" s="7"/>
      <c r="M17779" s="9" t="s">
        <v>46</v>
      </c>
    </row>
    <row r="17780" ht="15.75" customHeight="1">
      <c r="A17780" s="7"/>
      <c r="B17780" s="7"/>
      <c r="M17780" s="9" t="s">
        <v>33</v>
      </c>
    </row>
    <row r="17781" ht="15.75" customHeight="1">
      <c r="A17781" s="7"/>
      <c r="B17781" s="7"/>
      <c r="M17781" s="9" t="s">
        <v>38</v>
      </c>
    </row>
    <row r="17782" ht="15.75" customHeight="1">
      <c r="A17782" s="7"/>
      <c r="B17782" s="7"/>
      <c r="M17782" s="9" t="s">
        <v>30</v>
      </c>
    </row>
    <row r="17783" ht="15.75" customHeight="1">
      <c r="A17783" s="7"/>
      <c r="B17783" s="7"/>
      <c r="M17783" s="9" t="s">
        <v>25</v>
      </c>
    </row>
    <row r="17784" ht="15.75" customHeight="1">
      <c r="A17784" s="7"/>
      <c r="B17784" s="7"/>
      <c r="M17784" s="9" t="s">
        <v>23</v>
      </c>
    </row>
    <row r="17785" ht="15.75" customHeight="1">
      <c r="A17785" s="7"/>
      <c r="B17785" s="7"/>
      <c r="M17785" s="9" t="s">
        <v>26</v>
      </c>
    </row>
    <row r="17786" ht="15.75" customHeight="1">
      <c r="A17786" s="7"/>
      <c r="B17786" s="7"/>
      <c r="M17786" s="9" t="s">
        <v>24</v>
      </c>
    </row>
    <row r="17787" ht="15.75" customHeight="1">
      <c r="A17787" s="7"/>
      <c r="B17787" s="7"/>
      <c r="M17787" s="9" t="s">
        <v>20</v>
      </c>
    </row>
    <row r="17788" ht="15.75" customHeight="1">
      <c r="A17788" s="7"/>
      <c r="B17788" s="7"/>
      <c r="M17788" s="9" t="s">
        <v>21</v>
      </c>
    </row>
    <row r="17789" ht="15.75" customHeight="1">
      <c r="A17789" s="7"/>
      <c r="B17789" s="7"/>
      <c r="M17789" s="9" t="s">
        <v>37</v>
      </c>
    </row>
    <row r="17790" ht="15.75" customHeight="1">
      <c r="A17790" s="7"/>
      <c r="B17790" s="7"/>
      <c r="M17790" s="9" t="s">
        <v>27</v>
      </c>
    </row>
    <row r="17791" ht="15.75" customHeight="1">
      <c r="A17791" s="7"/>
      <c r="B17791" s="7"/>
      <c r="M17791" s="9" t="s">
        <v>40</v>
      </c>
    </row>
    <row r="17792" ht="15.75" customHeight="1">
      <c r="A17792" s="7"/>
      <c r="B17792" s="7"/>
      <c r="M17792" s="9" t="s">
        <v>33</v>
      </c>
    </row>
    <row r="17793" ht="15.75" customHeight="1">
      <c r="A17793" s="7"/>
      <c r="B17793" s="7"/>
      <c r="M17793" s="9" t="s">
        <v>30</v>
      </c>
    </row>
    <row r="17794" ht="15.75" customHeight="1">
      <c r="A17794" s="7"/>
      <c r="B17794" s="7"/>
      <c r="M17794" s="9" t="s">
        <v>25</v>
      </c>
    </row>
    <row r="17795" ht="15.75" customHeight="1">
      <c r="A17795" s="7"/>
      <c r="B17795" s="7"/>
      <c r="M17795" s="9" t="s">
        <v>24</v>
      </c>
    </row>
    <row r="17796" ht="15.75" customHeight="1">
      <c r="A17796" s="7"/>
      <c r="B17796" s="7"/>
      <c r="M17796" s="9" t="s">
        <v>20</v>
      </c>
    </row>
    <row r="17797" ht="15.75" customHeight="1">
      <c r="A17797" s="7"/>
      <c r="B17797" s="7"/>
      <c r="M17797" s="9" t="s">
        <v>22</v>
      </c>
    </row>
    <row r="17798" ht="15.75" customHeight="1">
      <c r="A17798" s="7"/>
      <c r="B17798" s="7"/>
      <c r="M17798" s="9" t="s">
        <v>26</v>
      </c>
    </row>
    <row r="17799" ht="15.75" customHeight="1">
      <c r="A17799" s="7"/>
      <c r="B17799" s="7"/>
      <c r="M17799" s="9" t="s">
        <v>45</v>
      </c>
    </row>
    <row r="17800" ht="15.75" customHeight="1">
      <c r="A17800" s="7"/>
      <c r="B17800" s="7"/>
      <c r="M17800" s="9" t="s">
        <v>24</v>
      </c>
    </row>
    <row r="17801" ht="15.75" customHeight="1">
      <c r="A17801" s="7"/>
      <c r="B17801" s="7"/>
      <c r="M17801" s="9" t="s">
        <v>21</v>
      </c>
    </row>
    <row r="17802" ht="15.75" customHeight="1">
      <c r="A17802" s="7"/>
      <c r="B17802" s="7"/>
      <c r="M17802" s="9" t="s">
        <v>37</v>
      </c>
    </row>
    <row r="17803" ht="15.75" customHeight="1">
      <c r="A17803" s="7"/>
      <c r="B17803" s="7"/>
      <c r="M17803" s="9" t="s">
        <v>27</v>
      </c>
    </row>
    <row r="17804" ht="15.75" customHeight="1">
      <c r="A17804" s="7"/>
      <c r="B17804" s="7"/>
      <c r="M17804" s="9" t="s">
        <v>33</v>
      </c>
    </row>
    <row r="17805" ht="15.75" customHeight="1">
      <c r="A17805" s="7"/>
      <c r="B17805" s="7"/>
      <c r="M17805" s="9" t="s">
        <v>24</v>
      </c>
    </row>
    <row r="17806" ht="15.75" customHeight="1">
      <c r="A17806" s="7"/>
      <c r="B17806" s="7"/>
      <c r="M17806" s="9" t="s">
        <v>21</v>
      </c>
    </row>
    <row r="17807" ht="15.75" customHeight="1">
      <c r="A17807" s="7"/>
      <c r="B17807" s="7"/>
      <c r="M17807" s="9" t="s">
        <v>33</v>
      </c>
    </row>
    <row r="17808" ht="15.75" customHeight="1">
      <c r="A17808" s="7"/>
      <c r="B17808" s="7"/>
      <c r="M17808" s="9" t="s">
        <v>30</v>
      </c>
    </row>
    <row r="17809" ht="15.75" customHeight="1">
      <c r="A17809" s="7"/>
      <c r="B17809" s="7"/>
      <c r="M17809" s="9" t="s">
        <v>36</v>
      </c>
    </row>
    <row r="17810" ht="15.75" customHeight="1">
      <c r="A17810" s="7"/>
      <c r="B17810" s="7"/>
      <c r="M17810" s="9" t="s">
        <v>24</v>
      </c>
    </row>
    <row r="17811" ht="15.75" customHeight="1">
      <c r="A17811" s="7"/>
      <c r="B17811" s="7"/>
      <c r="M17811" s="9" t="s">
        <v>20</v>
      </c>
    </row>
    <row r="17812" ht="15.75" customHeight="1">
      <c r="A17812" s="7"/>
      <c r="B17812" s="7"/>
      <c r="M17812" s="9" t="s">
        <v>21</v>
      </c>
    </row>
    <row r="17813" ht="15.75" customHeight="1">
      <c r="A17813" s="7"/>
      <c r="B17813" s="7"/>
      <c r="M17813" s="9" t="s">
        <v>22</v>
      </c>
    </row>
    <row r="17814" ht="15.75" customHeight="1">
      <c r="A17814" s="7"/>
      <c r="B17814" s="7"/>
      <c r="M17814" s="9" t="s">
        <v>46</v>
      </c>
    </row>
    <row r="17815" ht="15.75" customHeight="1">
      <c r="A17815" s="7"/>
      <c r="B17815" s="7"/>
      <c r="M17815" s="9" t="s">
        <v>27</v>
      </c>
    </row>
    <row r="17816" ht="15.75" customHeight="1">
      <c r="A17816" s="7"/>
      <c r="B17816" s="7"/>
      <c r="M17816" s="9" t="s">
        <v>33</v>
      </c>
    </row>
    <row r="17817" ht="15.75" customHeight="1">
      <c r="A17817" s="7"/>
      <c r="B17817" s="7"/>
      <c r="M17817" s="9" t="s">
        <v>30</v>
      </c>
    </row>
    <row r="17818" ht="15.75" customHeight="1">
      <c r="A17818" s="7"/>
      <c r="B17818" s="7"/>
      <c r="M17818" s="9" t="s">
        <v>23</v>
      </c>
    </row>
    <row r="17819" ht="15.75" customHeight="1">
      <c r="A17819" s="7"/>
      <c r="B17819" s="7"/>
      <c r="M17819" s="9" t="s">
        <v>26</v>
      </c>
    </row>
    <row r="17820" ht="15.75" customHeight="1">
      <c r="A17820" s="7"/>
      <c r="B17820" s="7"/>
      <c r="M17820" s="9" t="s">
        <v>24</v>
      </c>
    </row>
    <row r="17821" ht="15.75" customHeight="1">
      <c r="A17821" s="7"/>
      <c r="B17821" s="7"/>
      <c r="M17821" s="9" t="s">
        <v>20</v>
      </c>
    </row>
    <row r="17822" ht="15.75" customHeight="1">
      <c r="A17822" s="7"/>
      <c r="B17822" s="7"/>
      <c r="M17822" s="9" t="s">
        <v>21</v>
      </c>
    </row>
    <row r="17823" ht="15.75" customHeight="1">
      <c r="A17823" s="7"/>
      <c r="B17823" s="7"/>
      <c r="M17823" s="9" t="s">
        <v>39</v>
      </c>
    </row>
    <row r="17824" ht="15.75" customHeight="1">
      <c r="A17824" s="7"/>
      <c r="B17824" s="7"/>
      <c r="M17824" s="9" t="s">
        <v>37</v>
      </c>
    </row>
    <row r="17825" ht="15.75" customHeight="1">
      <c r="A17825" s="7"/>
      <c r="B17825" s="7"/>
      <c r="M17825" s="9" t="s">
        <v>22</v>
      </c>
    </row>
    <row r="17826" ht="15.75" customHeight="1">
      <c r="A17826" s="7"/>
      <c r="B17826" s="7"/>
      <c r="M17826" s="9" t="s">
        <v>31</v>
      </c>
    </row>
    <row r="17827" ht="15.75" customHeight="1">
      <c r="A17827" s="7"/>
      <c r="B17827" s="7"/>
      <c r="M17827" s="9" t="s">
        <v>27</v>
      </c>
    </row>
    <row r="17828" ht="15.75" customHeight="1">
      <c r="A17828" s="7"/>
      <c r="B17828" s="7"/>
      <c r="M17828" s="9" t="s">
        <v>40</v>
      </c>
    </row>
    <row r="17829" ht="15.75" customHeight="1">
      <c r="A17829" s="7"/>
      <c r="B17829" s="7"/>
      <c r="M17829" s="9" t="s">
        <v>28</v>
      </c>
    </row>
    <row r="17830" ht="15.75" customHeight="1">
      <c r="A17830" s="7"/>
      <c r="B17830" s="7"/>
      <c r="M17830" s="9" t="s">
        <v>30</v>
      </c>
    </row>
    <row r="17831" ht="15.75" customHeight="1">
      <c r="A17831" s="7"/>
      <c r="B17831" s="7"/>
      <c r="M17831" s="9" t="s">
        <v>26</v>
      </c>
    </row>
    <row r="17832" ht="15.75" customHeight="1">
      <c r="A17832" s="7"/>
      <c r="B17832" s="7"/>
      <c r="M17832" s="9" t="s">
        <v>24</v>
      </c>
    </row>
    <row r="17833" ht="15.75" customHeight="1">
      <c r="A17833" s="7"/>
      <c r="B17833" s="7"/>
      <c r="M17833" s="9" t="s">
        <v>21</v>
      </c>
    </row>
    <row r="17834" ht="15.75" customHeight="1">
      <c r="A17834" s="7"/>
      <c r="B17834" s="7"/>
      <c r="M17834" s="9" t="s">
        <v>39</v>
      </c>
    </row>
    <row r="17835" ht="15.75" customHeight="1">
      <c r="A17835" s="7"/>
      <c r="B17835" s="7"/>
      <c r="M17835" s="9" t="s">
        <v>41</v>
      </c>
    </row>
    <row r="17836" ht="15.75" customHeight="1">
      <c r="A17836" s="7"/>
      <c r="B17836" s="7"/>
      <c r="M17836" s="9" t="s">
        <v>37</v>
      </c>
    </row>
    <row r="17837" ht="15.75" customHeight="1">
      <c r="A17837" s="7"/>
      <c r="B17837" s="7"/>
      <c r="M17837" s="9" t="s">
        <v>22</v>
      </c>
    </row>
    <row r="17838" ht="15.75" customHeight="1">
      <c r="A17838" s="7"/>
      <c r="B17838" s="7"/>
      <c r="M17838" s="9" t="s">
        <v>27</v>
      </c>
    </row>
    <row r="17839" ht="15.75" customHeight="1">
      <c r="A17839" s="7"/>
      <c r="B17839" s="7"/>
      <c r="M17839" s="9" t="s">
        <v>40</v>
      </c>
    </row>
    <row r="17840" ht="15.75" customHeight="1">
      <c r="A17840" s="7"/>
      <c r="B17840" s="7"/>
      <c r="M17840" s="9" t="s">
        <v>24</v>
      </c>
    </row>
    <row r="17841" ht="15.75" customHeight="1">
      <c r="A17841" s="7"/>
      <c r="B17841" s="7"/>
      <c r="M17841" s="9" t="s">
        <v>20</v>
      </c>
    </row>
    <row r="17842" ht="15.75" customHeight="1">
      <c r="A17842" s="7"/>
      <c r="B17842" s="7"/>
      <c r="M17842" s="9" t="s">
        <v>21</v>
      </c>
    </row>
    <row r="17843" ht="15.75" customHeight="1">
      <c r="A17843" s="7"/>
      <c r="B17843" s="7"/>
      <c r="M17843" s="9" t="s">
        <v>27</v>
      </c>
    </row>
    <row r="17844" ht="15.75" customHeight="1">
      <c r="A17844" s="7"/>
      <c r="B17844" s="7"/>
      <c r="M17844" s="9" t="s">
        <v>40</v>
      </c>
    </row>
    <row r="17845" ht="15.75" customHeight="1">
      <c r="A17845" s="7"/>
      <c r="B17845" s="7"/>
      <c r="M17845" s="9" t="s">
        <v>33</v>
      </c>
    </row>
    <row r="17846" ht="15.75" customHeight="1">
      <c r="A17846" s="7"/>
      <c r="B17846" s="7"/>
      <c r="M17846" s="9" t="s">
        <v>24</v>
      </c>
    </row>
    <row r="17847" ht="15.75" customHeight="1">
      <c r="A17847" s="7"/>
      <c r="B17847" s="7"/>
      <c r="M17847" s="9" t="s">
        <v>20</v>
      </c>
    </row>
    <row r="17848" ht="15.75" customHeight="1">
      <c r="A17848" s="7"/>
      <c r="B17848" s="7"/>
      <c r="M17848" s="9" t="s">
        <v>24</v>
      </c>
    </row>
    <row r="17849" ht="15.75" customHeight="1">
      <c r="A17849" s="7"/>
      <c r="B17849" s="7"/>
      <c r="M17849" s="9" t="s">
        <v>38</v>
      </c>
    </row>
    <row r="17850" ht="15.75" customHeight="1">
      <c r="A17850" s="7"/>
      <c r="B17850" s="7"/>
      <c r="M17850" s="9" t="s">
        <v>25</v>
      </c>
    </row>
    <row r="17851" ht="15.75" customHeight="1">
      <c r="A17851" s="7"/>
      <c r="B17851" s="7"/>
      <c r="M17851" s="9" t="s">
        <v>24</v>
      </c>
    </row>
    <row r="17852" ht="15.75" customHeight="1">
      <c r="A17852" s="7"/>
      <c r="B17852" s="7"/>
      <c r="M17852" s="9" t="s">
        <v>20</v>
      </c>
    </row>
    <row r="17853" ht="15.75" customHeight="1">
      <c r="A17853" s="7"/>
      <c r="B17853" s="7"/>
      <c r="M17853" s="9" t="s">
        <v>25</v>
      </c>
    </row>
    <row r="17854" ht="15.75" customHeight="1">
      <c r="A17854" s="7"/>
      <c r="B17854" s="7"/>
      <c r="M17854" s="9" t="s">
        <v>23</v>
      </c>
    </row>
    <row r="17855" ht="15.75" customHeight="1">
      <c r="A17855" s="7"/>
      <c r="B17855" s="7"/>
      <c r="M17855" s="9" t="s">
        <v>24</v>
      </c>
    </row>
    <row r="17856" ht="15.75" customHeight="1">
      <c r="A17856" s="7"/>
      <c r="B17856" s="7"/>
      <c r="M17856" s="9" t="s">
        <v>20</v>
      </c>
    </row>
    <row r="17857" ht="15.75" customHeight="1">
      <c r="A17857" s="7"/>
      <c r="B17857" s="7"/>
      <c r="M17857" s="9" t="s">
        <v>21</v>
      </c>
    </row>
    <row r="17858" ht="15.75" customHeight="1">
      <c r="A17858" s="7"/>
      <c r="B17858" s="7"/>
      <c r="M17858" s="9" t="s">
        <v>27</v>
      </c>
    </row>
    <row r="17859" ht="15.75" customHeight="1">
      <c r="A17859" s="7"/>
      <c r="B17859" s="7"/>
      <c r="M17859" s="9" t="s">
        <v>24</v>
      </c>
    </row>
    <row r="17860" ht="15.75" customHeight="1">
      <c r="A17860" s="7"/>
      <c r="B17860" s="7"/>
      <c r="M17860" s="9" t="s">
        <v>22</v>
      </c>
    </row>
    <row r="17861" ht="15.75" customHeight="1">
      <c r="A17861" s="7"/>
      <c r="B17861" s="7"/>
      <c r="M17861" s="9" t="s">
        <v>20</v>
      </c>
    </row>
    <row r="17862" ht="15.75" customHeight="1">
      <c r="A17862" s="7"/>
      <c r="B17862" s="7"/>
      <c r="M17862" s="9" t="s">
        <v>23</v>
      </c>
    </row>
    <row r="17863" ht="15.75" customHeight="1">
      <c r="A17863" s="7"/>
      <c r="B17863" s="7"/>
      <c r="M17863" s="9" t="s">
        <v>20</v>
      </c>
    </row>
    <row r="17864" ht="15.75" customHeight="1">
      <c r="A17864" s="7"/>
      <c r="B17864" s="7"/>
      <c r="M17864" s="9" t="s">
        <v>22</v>
      </c>
    </row>
    <row r="17865" ht="15.75" customHeight="1">
      <c r="A17865" s="7"/>
      <c r="B17865" s="7"/>
      <c r="M17865" s="9" t="s">
        <v>27</v>
      </c>
    </row>
    <row r="17866" ht="15.75" customHeight="1">
      <c r="A17866" s="7"/>
      <c r="B17866" s="7"/>
      <c r="M17866" s="9" t="s">
        <v>26</v>
      </c>
    </row>
    <row r="17867" ht="15.75" customHeight="1">
      <c r="A17867" s="7"/>
      <c r="B17867" s="7"/>
      <c r="M17867" s="9" t="s">
        <v>20</v>
      </c>
    </row>
    <row r="17868" ht="15.75" customHeight="1">
      <c r="A17868" s="7"/>
      <c r="B17868" s="7"/>
      <c r="M17868" s="9" t="s">
        <v>21</v>
      </c>
    </row>
    <row r="17869" ht="15.75" customHeight="1">
      <c r="A17869" s="7"/>
      <c r="B17869" s="7"/>
      <c r="M17869" s="9" t="s">
        <v>39</v>
      </c>
    </row>
    <row r="17870" ht="15.75" customHeight="1">
      <c r="A17870" s="7"/>
      <c r="B17870" s="7"/>
      <c r="M17870" s="9" t="s">
        <v>37</v>
      </c>
    </row>
    <row r="17871" ht="15.75" customHeight="1">
      <c r="A17871" s="7"/>
      <c r="B17871" s="7"/>
      <c r="M17871" s="9" t="s">
        <v>27</v>
      </c>
    </row>
    <row r="17872" ht="15.75" customHeight="1">
      <c r="A17872" s="7"/>
      <c r="B17872" s="7"/>
      <c r="M17872" s="9" t="s">
        <v>33</v>
      </c>
    </row>
    <row r="17873" ht="15.75" customHeight="1">
      <c r="A17873" s="7"/>
      <c r="B17873" s="7"/>
      <c r="M17873" s="9" t="s">
        <v>24</v>
      </c>
    </row>
    <row r="17874" ht="15.75" customHeight="1">
      <c r="A17874" s="7"/>
      <c r="B17874" s="7"/>
      <c r="M17874" s="9" t="s">
        <v>21</v>
      </c>
    </row>
    <row r="17875" ht="15.75" customHeight="1">
      <c r="A17875" s="7"/>
      <c r="B17875" s="7"/>
      <c r="M17875" s="9" t="s">
        <v>37</v>
      </c>
    </row>
    <row r="17876" ht="15.75" customHeight="1">
      <c r="A17876" s="7"/>
      <c r="B17876" s="7"/>
      <c r="M17876" s="9" t="s">
        <v>25</v>
      </c>
    </row>
    <row r="17877" ht="15.75" customHeight="1">
      <c r="A17877" s="7"/>
      <c r="B17877" s="7"/>
      <c r="M17877" s="9" t="s">
        <v>23</v>
      </c>
    </row>
    <row r="17878" ht="15.75" customHeight="1">
      <c r="A17878" s="7"/>
      <c r="B17878" s="7"/>
      <c r="M17878" s="9" t="s">
        <v>24</v>
      </c>
    </row>
    <row r="17879" ht="15.75" customHeight="1">
      <c r="A17879" s="7"/>
      <c r="B17879" s="7"/>
      <c r="M17879" s="9" t="s">
        <v>20</v>
      </c>
    </row>
    <row r="17880" ht="15.75" customHeight="1">
      <c r="A17880" s="7"/>
      <c r="B17880" s="7"/>
      <c r="M17880" s="9" t="s">
        <v>37</v>
      </c>
    </row>
    <row r="17881" ht="15.75" customHeight="1">
      <c r="A17881" s="7"/>
      <c r="B17881" s="7"/>
      <c r="M17881" s="9" t="s">
        <v>27</v>
      </c>
    </row>
    <row r="17882" ht="15.75" customHeight="1">
      <c r="A17882" s="7"/>
      <c r="B17882" s="7"/>
      <c r="M17882" s="9" t="s">
        <v>26</v>
      </c>
    </row>
    <row r="17883" ht="15.75" customHeight="1">
      <c r="A17883" s="7"/>
      <c r="B17883" s="7"/>
      <c r="M17883" s="9" t="s">
        <v>24</v>
      </c>
    </row>
    <row r="17884" ht="15.75" customHeight="1">
      <c r="A17884" s="7"/>
      <c r="B17884" s="7"/>
      <c r="M17884" s="9" t="s">
        <v>21</v>
      </c>
    </row>
    <row r="17885" ht="15.75" customHeight="1">
      <c r="A17885" s="7"/>
      <c r="B17885" s="7"/>
      <c r="M17885" s="9" t="s">
        <v>30</v>
      </c>
    </row>
    <row r="17886" ht="15.75" customHeight="1">
      <c r="A17886" s="7"/>
      <c r="B17886" s="7"/>
      <c r="M17886" s="9" t="s">
        <v>25</v>
      </c>
    </row>
    <row r="17887" ht="15.75" customHeight="1">
      <c r="A17887" s="7"/>
      <c r="B17887" s="7"/>
      <c r="M17887" s="9" t="s">
        <v>23</v>
      </c>
    </row>
    <row r="17888" ht="15.75" customHeight="1">
      <c r="A17888" s="7"/>
      <c r="B17888" s="7"/>
      <c r="M17888" s="9" t="s">
        <v>20</v>
      </c>
    </row>
    <row r="17889" ht="15.75" customHeight="1">
      <c r="A17889" s="7"/>
      <c r="B17889" s="7"/>
      <c r="M17889" s="9" t="s">
        <v>22</v>
      </c>
    </row>
    <row r="17890" ht="15.75" customHeight="1">
      <c r="A17890" s="7"/>
      <c r="B17890" s="7"/>
      <c r="M17890" s="9" t="s">
        <v>27</v>
      </c>
    </row>
    <row r="17891" ht="15.75" customHeight="1">
      <c r="A17891" s="7"/>
      <c r="B17891" s="7"/>
      <c r="M17891" s="9" t="s">
        <v>22</v>
      </c>
    </row>
    <row r="17892" ht="15.75" customHeight="1">
      <c r="A17892" s="7"/>
      <c r="B17892" s="7"/>
      <c r="M17892" s="9" t="s">
        <v>27</v>
      </c>
    </row>
    <row r="17893" ht="15.75" customHeight="1">
      <c r="A17893" s="7"/>
      <c r="B17893" s="7"/>
      <c r="M17893" s="9" t="s">
        <v>33</v>
      </c>
    </row>
    <row r="17894" ht="15.75" customHeight="1">
      <c r="A17894" s="7"/>
      <c r="B17894" s="7"/>
      <c r="M17894" s="9" t="s">
        <v>25</v>
      </c>
    </row>
    <row r="17895" ht="15.75" customHeight="1">
      <c r="A17895" s="7"/>
      <c r="B17895" s="7"/>
      <c r="M17895" s="9" t="s">
        <v>47</v>
      </c>
    </row>
    <row r="17896" ht="15.75" customHeight="1">
      <c r="A17896" s="7"/>
      <c r="B17896" s="7"/>
      <c r="M17896" s="9" t="s">
        <v>24</v>
      </c>
    </row>
    <row r="17897" ht="15.75" customHeight="1">
      <c r="A17897" s="7"/>
      <c r="B17897" s="7"/>
      <c r="M17897" s="9" t="s">
        <v>20</v>
      </c>
    </row>
    <row r="17898" ht="15.75" customHeight="1">
      <c r="A17898" s="7"/>
      <c r="B17898" s="7"/>
      <c r="M17898" s="9" t="s">
        <v>21</v>
      </c>
    </row>
    <row r="17899" ht="15.75" customHeight="1">
      <c r="A17899" s="7"/>
      <c r="B17899" s="7"/>
      <c r="M17899" s="9" t="s">
        <v>37</v>
      </c>
    </row>
    <row r="17900" ht="15.75" customHeight="1">
      <c r="A17900" s="7"/>
      <c r="B17900" s="7"/>
      <c r="M17900" s="9" t="s">
        <v>22</v>
      </c>
    </row>
    <row r="17901" ht="15.75" customHeight="1">
      <c r="A17901" s="7"/>
      <c r="B17901" s="7"/>
      <c r="M17901" s="9" t="s">
        <v>27</v>
      </c>
    </row>
    <row r="17902" ht="15.75" customHeight="1">
      <c r="A17902" s="7"/>
      <c r="B17902" s="7"/>
      <c r="M17902" s="9" t="s">
        <v>33</v>
      </c>
    </row>
    <row r="17903" ht="15.75" customHeight="1">
      <c r="A17903" s="7"/>
      <c r="B17903" s="7"/>
      <c r="M17903" s="9" t="s">
        <v>24</v>
      </c>
    </row>
    <row r="17904" ht="15.75" customHeight="1">
      <c r="A17904" s="7"/>
      <c r="B17904" s="7"/>
      <c r="M17904" s="9" t="s">
        <v>20</v>
      </c>
    </row>
    <row r="17905" ht="15.75" customHeight="1">
      <c r="A17905" s="7"/>
      <c r="B17905" s="7"/>
      <c r="M17905" s="9" t="s">
        <v>21</v>
      </c>
    </row>
    <row r="17906" ht="15.75" customHeight="1">
      <c r="A17906" s="7"/>
      <c r="B17906" s="7"/>
      <c r="M17906" s="9" t="s">
        <v>22</v>
      </c>
    </row>
    <row r="17907" ht="15.75" customHeight="1">
      <c r="A17907" s="7"/>
      <c r="B17907" s="7"/>
      <c r="M17907" s="9" t="s">
        <v>27</v>
      </c>
    </row>
    <row r="17908" ht="15.75" customHeight="1">
      <c r="A17908" s="7"/>
      <c r="B17908" s="7"/>
      <c r="M17908" s="9" t="s">
        <v>38</v>
      </c>
    </row>
    <row r="17909" ht="15.75" customHeight="1">
      <c r="A17909" s="7"/>
      <c r="B17909" s="7"/>
      <c r="M17909" s="9" t="s">
        <v>23</v>
      </c>
    </row>
    <row r="17910" ht="15.75" customHeight="1">
      <c r="A17910" s="7"/>
      <c r="B17910" s="7"/>
      <c r="M17910" s="9" t="s">
        <v>24</v>
      </c>
    </row>
    <row r="17911" ht="15.75" customHeight="1">
      <c r="A17911" s="7"/>
      <c r="B17911" s="7"/>
      <c r="M17911" s="9" t="s">
        <v>20</v>
      </c>
    </row>
    <row r="17912" ht="15.75" customHeight="1">
      <c r="A17912" s="7"/>
      <c r="B17912" s="7"/>
      <c r="M17912" s="9" t="s">
        <v>21</v>
      </c>
    </row>
    <row r="17913" ht="15.75" customHeight="1">
      <c r="A17913" s="7"/>
      <c r="B17913" s="7"/>
      <c r="M17913" s="9" t="s">
        <v>22</v>
      </c>
    </row>
    <row r="17914" ht="15.75" customHeight="1">
      <c r="A17914" s="7"/>
      <c r="B17914" s="7"/>
      <c r="M17914" s="9" t="s">
        <v>27</v>
      </c>
    </row>
    <row r="17915" ht="15.75" customHeight="1">
      <c r="A17915" s="7"/>
      <c r="B17915" s="7"/>
      <c r="M17915" s="9" t="s">
        <v>24</v>
      </c>
    </row>
    <row r="17916" ht="15.75" customHeight="1">
      <c r="A17916" s="7"/>
      <c r="B17916" s="7"/>
      <c r="M17916" s="9" t="s">
        <v>21</v>
      </c>
    </row>
    <row r="17917" ht="15.75" customHeight="1">
      <c r="A17917" s="7"/>
      <c r="B17917" s="7"/>
      <c r="M17917" s="9" t="s">
        <v>33</v>
      </c>
    </row>
    <row r="17918" ht="15.75" customHeight="1">
      <c r="A17918" s="7"/>
      <c r="B17918" s="7"/>
      <c r="M17918" s="9" t="s">
        <v>30</v>
      </c>
    </row>
    <row r="17919" ht="15.75" customHeight="1">
      <c r="A17919" s="7"/>
      <c r="B17919" s="7"/>
      <c r="M17919" s="9" t="s">
        <v>23</v>
      </c>
    </row>
    <row r="17920" ht="15.75" customHeight="1">
      <c r="A17920" s="7"/>
      <c r="B17920" s="7"/>
      <c r="M17920" s="9" t="s">
        <v>24</v>
      </c>
    </row>
    <row r="17921" ht="15.75" customHeight="1">
      <c r="A17921" s="7"/>
      <c r="B17921" s="7"/>
      <c r="M17921" s="9" t="s">
        <v>20</v>
      </c>
    </row>
    <row r="17922" ht="15.75" customHeight="1">
      <c r="A17922" s="7"/>
      <c r="B17922" s="7"/>
      <c r="M17922" s="9" t="s">
        <v>21</v>
      </c>
    </row>
    <row r="17923" ht="15.75" customHeight="1">
      <c r="A17923" s="7"/>
      <c r="B17923" s="7"/>
      <c r="M17923" s="9" t="s">
        <v>37</v>
      </c>
    </row>
    <row r="17924" ht="15.75" customHeight="1">
      <c r="A17924" s="7"/>
      <c r="B17924" s="7"/>
      <c r="M17924" s="9" t="s">
        <v>22</v>
      </c>
    </row>
    <row r="17925" ht="15.75" customHeight="1">
      <c r="A17925" s="7"/>
      <c r="B17925" s="7"/>
      <c r="M17925" s="9" t="s">
        <v>27</v>
      </c>
    </row>
    <row r="17926" ht="15.75" customHeight="1">
      <c r="A17926" s="7"/>
      <c r="B17926" s="7"/>
      <c r="M17926" s="9" t="s">
        <v>24</v>
      </c>
    </row>
    <row r="17927" ht="15.75" customHeight="1">
      <c r="A17927" s="7"/>
      <c r="B17927" s="7"/>
      <c r="M17927" s="9" t="s">
        <v>22</v>
      </c>
    </row>
    <row r="17928" ht="15.75" customHeight="1">
      <c r="A17928" s="7"/>
      <c r="B17928" s="7"/>
      <c r="M17928" s="9" t="s">
        <v>26</v>
      </c>
    </row>
    <row r="17929" ht="15.75" customHeight="1">
      <c r="A17929" s="7"/>
      <c r="B17929" s="7"/>
      <c r="M17929" s="9" t="s">
        <v>24</v>
      </c>
    </row>
    <row r="17930" ht="15.75" customHeight="1">
      <c r="A17930" s="7"/>
      <c r="B17930" s="7"/>
      <c r="M17930" s="9" t="s">
        <v>21</v>
      </c>
    </row>
    <row r="17931" ht="15.75" customHeight="1">
      <c r="A17931" s="7"/>
      <c r="B17931" s="7"/>
      <c r="M17931" s="9" t="s">
        <v>27</v>
      </c>
    </row>
    <row r="17932" ht="15.75" customHeight="1">
      <c r="A17932" s="7"/>
      <c r="B17932" s="7"/>
      <c r="M17932" s="9" t="s">
        <v>33</v>
      </c>
    </row>
    <row r="17933" ht="15.75" customHeight="1">
      <c r="A17933" s="7"/>
      <c r="B17933" s="7"/>
      <c r="M17933" s="9" t="s">
        <v>30</v>
      </c>
    </row>
    <row r="17934" ht="15.75" customHeight="1">
      <c r="A17934" s="7"/>
      <c r="B17934" s="7"/>
      <c r="M17934" s="9" t="s">
        <v>24</v>
      </c>
    </row>
    <row r="17935" ht="15.75" customHeight="1">
      <c r="A17935" s="7"/>
      <c r="B17935" s="7"/>
      <c r="M17935" s="9" t="s">
        <v>20</v>
      </c>
    </row>
    <row r="17936" ht="15.75" customHeight="1">
      <c r="A17936" s="7"/>
      <c r="B17936" s="7"/>
      <c r="M17936" s="9" t="s">
        <v>21</v>
      </c>
    </row>
    <row r="17937" ht="15.75" customHeight="1">
      <c r="A17937" s="7"/>
      <c r="B17937" s="7"/>
      <c r="M17937" s="9" t="s">
        <v>37</v>
      </c>
    </row>
    <row r="17938" ht="15.75" customHeight="1">
      <c r="A17938" s="7"/>
      <c r="B17938" s="7"/>
      <c r="M17938" s="9" t="s">
        <v>27</v>
      </c>
    </row>
    <row r="17939" ht="15.75" customHeight="1">
      <c r="A17939" s="7"/>
      <c r="B17939" s="7"/>
      <c r="M17939" s="9" t="s">
        <v>33</v>
      </c>
    </row>
    <row r="17940" ht="15.75" customHeight="1">
      <c r="A17940" s="7"/>
      <c r="B17940" s="7"/>
      <c r="M17940" s="9" t="s">
        <v>24</v>
      </c>
    </row>
    <row r="17941" ht="15.75" customHeight="1">
      <c r="A17941" s="7"/>
      <c r="B17941" s="7"/>
      <c r="M17941" s="9" t="s">
        <v>21</v>
      </c>
    </row>
    <row r="17942" ht="15.75" customHeight="1">
      <c r="A17942" s="7"/>
      <c r="B17942" s="7"/>
      <c r="M17942" s="9" t="s">
        <v>37</v>
      </c>
    </row>
    <row r="17943" ht="15.75" customHeight="1">
      <c r="A17943" s="7"/>
      <c r="B17943" s="7"/>
      <c r="M17943" s="9" t="s">
        <v>26</v>
      </c>
    </row>
    <row r="17944" ht="15.75" customHeight="1">
      <c r="A17944" s="7"/>
      <c r="B17944" s="7"/>
      <c r="M17944" s="9" t="s">
        <v>20</v>
      </c>
    </row>
    <row r="17945" ht="15.75" customHeight="1">
      <c r="A17945" s="7"/>
      <c r="B17945" s="7"/>
      <c r="M17945" s="9" t="s">
        <v>21</v>
      </c>
    </row>
    <row r="17946" ht="15.75" customHeight="1">
      <c r="A17946" s="7"/>
      <c r="B17946" s="7"/>
      <c r="M17946" s="9" t="s">
        <v>22</v>
      </c>
    </row>
    <row r="17947" ht="15.75" customHeight="1">
      <c r="A17947" s="7"/>
      <c r="B17947" s="7"/>
      <c r="M17947" s="9" t="s">
        <v>38</v>
      </c>
    </row>
    <row r="17948" ht="15.75" customHeight="1">
      <c r="A17948" s="7"/>
      <c r="B17948" s="7"/>
      <c r="M17948" s="9" t="s">
        <v>25</v>
      </c>
    </row>
    <row r="17949" ht="15.75" customHeight="1">
      <c r="A17949" s="7"/>
      <c r="B17949" s="7"/>
      <c r="M17949" s="9" t="s">
        <v>23</v>
      </c>
    </row>
    <row r="17950" ht="15.75" customHeight="1">
      <c r="A17950" s="7"/>
      <c r="B17950" s="7"/>
      <c r="M17950" s="9" t="s">
        <v>20</v>
      </c>
    </row>
    <row r="17951" ht="15.75" customHeight="1">
      <c r="A17951" s="7"/>
      <c r="B17951" s="7"/>
      <c r="M17951" s="9" t="s">
        <v>21</v>
      </c>
    </row>
    <row r="17952" ht="15.75" customHeight="1">
      <c r="A17952" s="7"/>
      <c r="B17952" s="7"/>
      <c r="M17952" s="9" t="s">
        <v>22</v>
      </c>
    </row>
    <row r="17953" ht="15.75" customHeight="1">
      <c r="A17953" s="7"/>
      <c r="B17953" s="7"/>
      <c r="M17953" s="9" t="s">
        <v>33</v>
      </c>
    </row>
    <row r="17954" ht="15.75" customHeight="1">
      <c r="A17954" s="7"/>
      <c r="B17954" s="7"/>
      <c r="M17954" s="9" t="s">
        <v>30</v>
      </c>
    </row>
    <row r="17955" ht="15.75" customHeight="1">
      <c r="A17955" s="7"/>
      <c r="B17955" s="7"/>
      <c r="M17955" s="9" t="s">
        <v>26</v>
      </c>
    </row>
    <row r="17956" ht="15.75" customHeight="1">
      <c r="A17956" s="7"/>
      <c r="B17956" s="7"/>
      <c r="M17956" s="9" t="s">
        <v>24</v>
      </c>
    </row>
    <row r="17957" ht="15.75" customHeight="1">
      <c r="A17957" s="7"/>
      <c r="B17957" s="7"/>
      <c r="M17957" s="9" t="s">
        <v>21</v>
      </c>
    </row>
    <row r="17958" ht="15.75" customHeight="1">
      <c r="A17958" s="7"/>
      <c r="B17958" s="7"/>
      <c r="M17958" s="9" t="s">
        <v>37</v>
      </c>
    </row>
    <row r="17959" ht="15.75" customHeight="1">
      <c r="A17959" s="7"/>
      <c r="B17959" s="7"/>
      <c r="M17959" s="9" t="s">
        <v>22</v>
      </c>
    </row>
    <row r="17960" ht="15.75" customHeight="1">
      <c r="A17960" s="7"/>
      <c r="B17960" s="7"/>
      <c r="M17960" s="9" t="s">
        <v>27</v>
      </c>
    </row>
    <row r="17961" ht="15.75" customHeight="1">
      <c r="A17961" s="7"/>
      <c r="B17961" s="7"/>
      <c r="M17961" s="9" t="s">
        <v>36</v>
      </c>
    </row>
    <row r="17962" ht="15.75" customHeight="1">
      <c r="A17962" s="7"/>
      <c r="B17962" s="7"/>
      <c r="M17962" s="9" t="s">
        <v>20</v>
      </c>
    </row>
    <row r="17963" ht="15.75" customHeight="1">
      <c r="A17963" s="7"/>
      <c r="B17963" s="7"/>
      <c r="M17963" s="9" t="s">
        <v>22</v>
      </c>
    </row>
    <row r="17964" ht="15.75" customHeight="1">
      <c r="A17964" s="7"/>
      <c r="B17964" s="7"/>
      <c r="M17964" s="9" t="s">
        <v>27</v>
      </c>
    </row>
    <row r="17965" ht="15.75" customHeight="1">
      <c r="A17965" s="7"/>
      <c r="B17965" s="7"/>
      <c r="M17965" s="9" t="s">
        <v>20</v>
      </c>
    </row>
    <row r="17966" ht="15.75" customHeight="1">
      <c r="A17966" s="7"/>
      <c r="B17966" s="7"/>
      <c r="M17966" s="9" t="s">
        <v>21</v>
      </c>
    </row>
    <row r="17967" ht="15.75" customHeight="1">
      <c r="A17967" s="7"/>
      <c r="B17967" s="7"/>
      <c r="M17967" s="9" t="s">
        <v>37</v>
      </c>
    </row>
    <row r="17968" ht="15.75" customHeight="1">
      <c r="A17968" s="7"/>
      <c r="B17968" s="7"/>
      <c r="M17968" s="9" t="s">
        <v>30</v>
      </c>
    </row>
    <row r="17969" ht="15.75" customHeight="1">
      <c r="A17969" s="7"/>
      <c r="B17969" s="7"/>
      <c r="M17969" s="9" t="s">
        <v>23</v>
      </c>
    </row>
    <row r="17970" ht="15.75" customHeight="1">
      <c r="A17970" s="7"/>
      <c r="B17970" s="7"/>
      <c r="M17970" s="9" t="s">
        <v>26</v>
      </c>
    </row>
    <row r="17971" ht="15.75" customHeight="1">
      <c r="A17971" s="7"/>
      <c r="B17971" s="7"/>
      <c r="M17971" s="9" t="s">
        <v>45</v>
      </c>
    </row>
    <row r="17972" ht="15.75" customHeight="1">
      <c r="A17972" s="7"/>
      <c r="B17972" s="7"/>
      <c r="M17972" s="9" t="s">
        <v>24</v>
      </c>
    </row>
    <row r="17973" ht="15.75" customHeight="1">
      <c r="A17973" s="7"/>
      <c r="B17973" s="7"/>
      <c r="M17973" s="9" t="s">
        <v>22</v>
      </c>
    </row>
    <row r="17974" ht="15.75" customHeight="1">
      <c r="A17974" s="7"/>
      <c r="B17974" s="7"/>
      <c r="M17974" s="9" t="s">
        <v>27</v>
      </c>
    </row>
    <row r="17975" ht="15.75" customHeight="1">
      <c r="A17975" s="7"/>
      <c r="B17975" s="7"/>
      <c r="M17975" s="9" t="s">
        <v>40</v>
      </c>
    </row>
    <row r="17976" ht="15.75" customHeight="1">
      <c r="A17976" s="7"/>
      <c r="B17976" s="7"/>
      <c r="M17976" s="9" t="s">
        <v>33</v>
      </c>
    </row>
    <row r="17977" ht="15.75" customHeight="1">
      <c r="A17977" s="7"/>
      <c r="B17977" s="7"/>
      <c r="M17977" s="9" t="s">
        <v>30</v>
      </c>
    </row>
    <row r="17978" ht="15.75" customHeight="1">
      <c r="A17978" s="7"/>
      <c r="B17978" s="7"/>
      <c r="M17978" s="9" t="s">
        <v>24</v>
      </c>
    </row>
    <row r="17979" ht="15.75" customHeight="1">
      <c r="A17979" s="7"/>
      <c r="B17979" s="7"/>
      <c r="M17979" s="9" t="s">
        <v>20</v>
      </c>
    </row>
    <row r="17980" ht="15.75" customHeight="1">
      <c r="A17980" s="7"/>
      <c r="B17980" s="7"/>
      <c r="M17980" s="9" t="s">
        <v>21</v>
      </c>
    </row>
    <row r="17981" ht="15.75" customHeight="1">
      <c r="A17981" s="7"/>
      <c r="B17981" s="7"/>
      <c r="M17981" s="9" t="s">
        <v>37</v>
      </c>
    </row>
    <row r="17982" ht="15.75" customHeight="1">
      <c r="A17982" s="7"/>
      <c r="B17982" s="7"/>
      <c r="M17982" s="9" t="s">
        <v>27</v>
      </c>
    </row>
    <row r="17983" ht="15.75" customHeight="1">
      <c r="A17983" s="7"/>
      <c r="B17983" s="7"/>
      <c r="M17983" s="9" t="s">
        <v>47</v>
      </c>
    </row>
    <row r="17984" ht="15.75" customHeight="1">
      <c r="A17984" s="7"/>
      <c r="B17984" s="7"/>
      <c r="M17984" s="9" t="s">
        <v>24</v>
      </c>
    </row>
    <row r="17985" ht="15.75" customHeight="1">
      <c r="A17985" s="7"/>
      <c r="B17985" s="7"/>
      <c r="M17985" s="9" t="s">
        <v>37</v>
      </c>
    </row>
    <row r="17986" ht="15.75" customHeight="1">
      <c r="A17986" s="7"/>
      <c r="B17986" s="7"/>
      <c r="M17986" s="9" t="s">
        <v>22</v>
      </c>
    </row>
    <row r="17987" ht="15.75" customHeight="1">
      <c r="A17987" s="7"/>
      <c r="B17987" s="7"/>
      <c r="M17987" s="9" t="s">
        <v>24</v>
      </c>
    </row>
    <row r="17988" ht="15.75" customHeight="1">
      <c r="A17988" s="7"/>
      <c r="B17988" s="7"/>
      <c r="M17988" s="9" t="s">
        <v>21</v>
      </c>
    </row>
    <row r="17989" ht="15.75" customHeight="1">
      <c r="A17989" s="7"/>
      <c r="B17989" s="7"/>
      <c r="M17989" s="9" t="s">
        <v>37</v>
      </c>
    </row>
    <row r="17990" ht="15.75" customHeight="1">
      <c r="A17990" s="7"/>
      <c r="B17990" s="7"/>
      <c r="M17990" s="9" t="s">
        <v>27</v>
      </c>
    </row>
    <row r="17991" ht="15.75" customHeight="1">
      <c r="A17991" s="7"/>
      <c r="B17991" s="7"/>
      <c r="M17991" s="9" t="s">
        <v>24</v>
      </c>
    </row>
    <row r="17992" ht="15.75" customHeight="1">
      <c r="A17992" s="7"/>
      <c r="B17992" s="7"/>
      <c r="M17992" s="9" t="s">
        <v>21</v>
      </c>
    </row>
    <row r="17993" ht="15.75" customHeight="1">
      <c r="A17993" s="7"/>
      <c r="B17993" s="7"/>
      <c r="M17993" s="9" t="s">
        <v>30</v>
      </c>
    </row>
    <row r="17994" ht="15.75" customHeight="1">
      <c r="A17994" s="7"/>
      <c r="B17994" s="7"/>
      <c r="M17994" s="9" t="s">
        <v>25</v>
      </c>
    </row>
    <row r="17995" ht="15.75" customHeight="1">
      <c r="A17995" s="7"/>
      <c r="B17995" s="7"/>
      <c r="M17995" s="9" t="s">
        <v>23</v>
      </c>
    </row>
    <row r="17996" ht="15.75" customHeight="1">
      <c r="A17996" s="7"/>
      <c r="B17996" s="7"/>
      <c r="M17996" s="9" t="s">
        <v>26</v>
      </c>
    </row>
    <row r="17997" ht="15.75" customHeight="1">
      <c r="A17997" s="7"/>
      <c r="B17997" s="7"/>
      <c r="M17997" s="9" t="s">
        <v>45</v>
      </c>
    </row>
    <row r="17998" ht="15.75" customHeight="1">
      <c r="A17998" s="7"/>
      <c r="B17998" s="7"/>
      <c r="M17998" s="9" t="s">
        <v>24</v>
      </c>
    </row>
    <row r="17999" ht="15.75" customHeight="1">
      <c r="A17999" s="7"/>
      <c r="B17999" s="7"/>
      <c r="M17999" s="9" t="s">
        <v>21</v>
      </c>
    </row>
    <row r="18000" ht="15.75" customHeight="1">
      <c r="A18000" s="7"/>
      <c r="B18000" s="7"/>
      <c r="M18000" s="9" t="s">
        <v>22</v>
      </c>
    </row>
    <row r="18001" ht="15.75" customHeight="1">
      <c r="A18001" s="7"/>
      <c r="B18001" s="7"/>
      <c r="M18001" s="9" t="s">
        <v>29</v>
      </c>
    </row>
    <row r="18002" ht="15.75" customHeight="1">
      <c r="A18002" s="7"/>
      <c r="B18002" s="7"/>
      <c r="M18002" s="9" t="s">
        <v>27</v>
      </c>
    </row>
    <row r="18003" ht="15.75" customHeight="1">
      <c r="A18003" s="7"/>
      <c r="B18003" s="7"/>
      <c r="M18003" s="9" t="s">
        <v>33</v>
      </c>
    </row>
    <row r="18004" ht="15.75" customHeight="1">
      <c r="A18004" s="7"/>
      <c r="B18004" s="7"/>
      <c r="M18004" s="9" t="s">
        <v>21</v>
      </c>
    </row>
    <row r="18005" ht="15.75" customHeight="1">
      <c r="A18005" s="7"/>
      <c r="B18005" s="7"/>
      <c r="M18005" s="9" t="s">
        <v>37</v>
      </c>
    </row>
    <row r="18006" ht="15.75" customHeight="1">
      <c r="A18006" s="7"/>
      <c r="B18006" s="7"/>
      <c r="M18006" s="9" t="s">
        <v>27</v>
      </c>
    </row>
    <row r="18007" ht="15.75" customHeight="1">
      <c r="A18007" s="7"/>
      <c r="B18007" s="7"/>
      <c r="M18007" s="9" t="s">
        <v>30</v>
      </c>
    </row>
    <row r="18008" ht="15.75" customHeight="1">
      <c r="A18008" s="7"/>
      <c r="B18008" s="7"/>
      <c r="M18008" s="9" t="s">
        <v>26</v>
      </c>
    </row>
    <row r="18009" ht="15.75" customHeight="1">
      <c r="A18009" s="7"/>
      <c r="B18009" s="7"/>
      <c r="M18009" s="9" t="s">
        <v>24</v>
      </c>
    </row>
    <row r="18010" ht="15.75" customHeight="1">
      <c r="A18010" s="7"/>
      <c r="B18010" s="7"/>
      <c r="M18010" s="9" t="s">
        <v>20</v>
      </c>
    </row>
    <row r="18011" ht="15.75" customHeight="1">
      <c r="A18011" s="7"/>
      <c r="B18011" s="7"/>
      <c r="M18011" s="9" t="s">
        <v>21</v>
      </c>
    </row>
    <row r="18012" ht="15.75" customHeight="1">
      <c r="A18012" s="7"/>
      <c r="B18012" s="7"/>
      <c r="M18012" s="9" t="s">
        <v>27</v>
      </c>
    </row>
    <row r="18013" ht="15.75" customHeight="1">
      <c r="A18013" s="7"/>
      <c r="B18013" s="7"/>
      <c r="M18013" s="9" t="s">
        <v>24</v>
      </c>
    </row>
    <row r="18014" ht="15.75" customHeight="1">
      <c r="A18014" s="7"/>
      <c r="B18014" s="7"/>
      <c r="M18014" s="9" t="s">
        <v>21</v>
      </c>
    </row>
    <row r="18015" ht="15.75" customHeight="1">
      <c r="A18015" s="7"/>
      <c r="B18015" s="7"/>
      <c r="M18015" s="9" t="s">
        <v>33</v>
      </c>
    </row>
    <row r="18016" ht="15.75" customHeight="1">
      <c r="A18016" s="7"/>
      <c r="B18016" s="7"/>
      <c r="M18016" s="9" t="s">
        <v>26</v>
      </c>
    </row>
    <row r="18017" ht="15.75" customHeight="1">
      <c r="A18017" s="7"/>
      <c r="B18017" s="7"/>
      <c r="M18017" s="9" t="s">
        <v>24</v>
      </c>
    </row>
    <row r="18018" ht="15.75" customHeight="1">
      <c r="A18018" s="7"/>
      <c r="B18018" s="7"/>
      <c r="M18018" s="9" t="s">
        <v>21</v>
      </c>
    </row>
    <row r="18019" ht="15.75" customHeight="1">
      <c r="A18019" s="7"/>
      <c r="B18019" s="7"/>
      <c r="M18019" s="9" t="s">
        <v>33</v>
      </c>
    </row>
    <row r="18020" ht="15.75" customHeight="1">
      <c r="A18020" s="7"/>
      <c r="B18020" s="7"/>
      <c r="M18020" s="9" t="s">
        <v>24</v>
      </c>
    </row>
    <row r="18021" ht="15.75" customHeight="1">
      <c r="A18021" s="7"/>
      <c r="B18021" s="7"/>
      <c r="M18021" s="9" t="s">
        <v>21</v>
      </c>
    </row>
    <row r="18022" ht="15.75" customHeight="1">
      <c r="A18022" s="7"/>
      <c r="B18022" s="7"/>
      <c r="M18022" s="9" t="s">
        <v>22</v>
      </c>
    </row>
    <row r="18023" ht="15.75" customHeight="1">
      <c r="A18023" s="7"/>
      <c r="B18023" s="7"/>
      <c r="M18023" s="9" t="s">
        <v>46</v>
      </c>
    </row>
    <row r="18024" ht="15.75" customHeight="1">
      <c r="A18024" s="7"/>
      <c r="B18024" s="7"/>
      <c r="M18024" s="9" t="s">
        <v>33</v>
      </c>
    </row>
    <row r="18025" ht="15.75" customHeight="1">
      <c r="A18025" s="7"/>
      <c r="B18025" s="7"/>
      <c r="M18025" s="9" t="s">
        <v>26</v>
      </c>
    </row>
    <row r="18026" ht="15.75" customHeight="1">
      <c r="A18026" s="7"/>
      <c r="B18026" s="7"/>
      <c r="M18026" s="9" t="s">
        <v>24</v>
      </c>
    </row>
    <row r="18027" ht="15.75" customHeight="1">
      <c r="A18027" s="7"/>
      <c r="B18027" s="7"/>
      <c r="M18027" s="9" t="s">
        <v>21</v>
      </c>
    </row>
    <row r="18028" ht="15.75" customHeight="1">
      <c r="A18028" s="7"/>
      <c r="B18028" s="7"/>
      <c r="M18028" s="9" t="s">
        <v>27</v>
      </c>
    </row>
    <row r="18029" ht="15.75" customHeight="1">
      <c r="A18029" s="7"/>
      <c r="B18029" s="7"/>
      <c r="M18029" s="9" t="s">
        <v>30</v>
      </c>
    </row>
    <row r="18030" ht="15.75" customHeight="1">
      <c r="A18030" s="7"/>
      <c r="B18030" s="7"/>
      <c r="M18030" s="9" t="s">
        <v>24</v>
      </c>
    </row>
    <row r="18031" ht="15.75" customHeight="1">
      <c r="A18031" s="7"/>
      <c r="B18031" s="7"/>
      <c r="M18031" s="9" t="s">
        <v>20</v>
      </c>
    </row>
    <row r="18032" ht="15.75" customHeight="1">
      <c r="A18032" s="7"/>
      <c r="B18032" s="7"/>
      <c r="M18032" s="9" t="s">
        <v>21</v>
      </c>
    </row>
    <row r="18033" ht="15.75" customHeight="1">
      <c r="A18033" s="7"/>
      <c r="B18033" s="7"/>
      <c r="M18033" s="9" t="s">
        <v>27</v>
      </c>
    </row>
    <row r="18034" ht="15.75" customHeight="1">
      <c r="A18034" s="7"/>
      <c r="B18034" s="7"/>
      <c r="M18034" s="9" t="s">
        <v>33</v>
      </c>
    </row>
    <row r="18035" ht="15.75" customHeight="1">
      <c r="A18035" s="7"/>
      <c r="B18035" s="7"/>
      <c r="M18035" s="9" t="s">
        <v>30</v>
      </c>
    </row>
    <row r="18036" ht="15.75" customHeight="1">
      <c r="A18036" s="7"/>
      <c r="B18036" s="7"/>
      <c r="M18036" s="9" t="s">
        <v>46</v>
      </c>
    </row>
    <row r="18037" ht="15.75" customHeight="1">
      <c r="A18037" s="7"/>
      <c r="B18037" s="7"/>
      <c r="M18037" s="9" t="s">
        <v>27</v>
      </c>
    </row>
    <row r="18038" ht="15.75" customHeight="1">
      <c r="A18038" s="7"/>
      <c r="B18038" s="7"/>
      <c r="M18038" s="9" t="s">
        <v>33</v>
      </c>
    </row>
    <row r="18039" ht="15.75" customHeight="1">
      <c r="A18039" s="7"/>
      <c r="B18039" s="7"/>
      <c r="M18039" s="9" t="s">
        <v>25</v>
      </c>
    </row>
    <row r="18040" ht="15.75" customHeight="1">
      <c r="A18040" s="7"/>
      <c r="B18040" s="7"/>
      <c r="M18040" s="9" t="s">
        <v>23</v>
      </c>
    </row>
    <row r="18041" ht="15.75" customHeight="1">
      <c r="A18041" s="7"/>
      <c r="B18041" s="7"/>
      <c r="M18041" s="9" t="s">
        <v>26</v>
      </c>
    </row>
    <row r="18042" ht="15.75" customHeight="1">
      <c r="A18042" s="7"/>
      <c r="B18042" s="7"/>
      <c r="M18042" s="9" t="s">
        <v>30</v>
      </c>
    </row>
    <row r="18043" ht="15.75" customHeight="1">
      <c r="A18043" s="7"/>
      <c r="B18043" s="7"/>
      <c r="M18043" s="9" t="s">
        <v>25</v>
      </c>
    </row>
    <row r="18044" ht="15.75" customHeight="1">
      <c r="A18044" s="7"/>
      <c r="B18044" s="7"/>
      <c r="M18044" s="9" t="s">
        <v>23</v>
      </c>
    </row>
    <row r="18045" ht="15.75" customHeight="1">
      <c r="A18045" s="7"/>
      <c r="B18045" s="7"/>
      <c r="M18045" s="9" t="s">
        <v>24</v>
      </c>
    </row>
    <row r="18046" ht="15.75" customHeight="1">
      <c r="A18046" s="7"/>
      <c r="B18046" s="7"/>
      <c r="M18046" s="9" t="s">
        <v>20</v>
      </c>
    </row>
    <row r="18047" ht="15.75" customHeight="1">
      <c r="A18047" s="7"/>
      <c r="B18047" s="7"/>
      <c r="M18047" s="9" t="s">
        <v>37</v>
      </c>
    </row>
    <row r="18048" ht="15.75" customHeight="1">
      <c r="A18048" s="7"/>
      <c r="B18048" s="7"/>
      <c r="M18048" s="9" t="s">
        <v>22</v>
      </c>
    </row>
    <row r="18049" ht="15.75" customHeight="1">
      <c r="A18049" s="7"/>
      <c r="B18049" s="7"/>
      <c r="M18049" s="9" t="s">
        <v>27</v>
      </c>
    </row>
    <row r="18050" ht="15.75" customHeight="1">
      <c r="A18050" s="7"/>
      <c r="B18050" s="7"/>
      <c r="M18050" s="9" t="s">
        <v>28</v>
      </c>
    </row>
    <row r="18051" ht="15.75" customHeight="1">
      <c r="A18051" s="7"/>
      <c r="B18051" s="7"/>
      <c r="M18051" s="9" t="s">
        <v>30</v>
      </c>
    </row>
    <row r="18052" ht="15.75" customHeight="1">
      <c r="A18052" s="7"/>
      <c r="B18052" s="7"/>
      <c r="M18052" s="9" t="s">
        <v>23</v>
      </c>
    </row>
    <row r="18053" ht="15.75" customHeight="1">
      <c r="A18053" s="7"/>
      <c r="B18053" s="7"/>
      <c r="M18053" s="9" t="s">
        <v>22</v>
      </c>
    </row>
    <row r="18054" ht="15.75" customHeight="1">
      <c r="A18054" s="7"/>
      <c r="B18054" s="7"/>
      <c r="M18054" s="9" t="s">
        <v>32</v>
      </c>
    </row>
    <row r="18055" ht="15.75" customHeight="1">
      <c r="A18055" s="7"/>
      <c r="B18055" s="7"/>
      <c r="M18055" s="9" t="s">
        <v>24</v>
      </c>
    </row>
    <row r="18056" ht="15.75" customHeight="1">
      <c r="A18056" s="7"/>
      <c r="B18056" s="7"/>
      <c r="M18056" s="9" t="s">
        <v>21</v>
      </c>
    </row>
    <row r="18057" ht="15.75" customHeight="1">
      <c r="A18057" s="7"/>
      <c r="B18057" s="7"/>
      <c r="M18057" s="9" t="s">
        <v>22</v>
      </c>
    </row>
    <row r="18058" ht="15.75" customHeight="1">
      <c r="A18058" s="7"/>
      <c r="B18058" s="7"/>
      <c r="M18058" s="9" t="s">
        <v>21</v>
      </c>
    </row>
    <row r="18059" ht="15.75" customHeight="1">
      <c r="A18059" s="7"/>
      <c r="B18059" s="7"/>
      <c r="M18059" s="9" t="s">
        <v>25</v>
      </c>
    </row>
    <row r="18060" ht="15.75" customHeight="1">
      <c r="A18060" s="7"/>
      <c r="B18060" s="7"/>
      <c r="M18060" s="9" t="s">
        <v>36</v>
      </c>
    </row>
    <row r="18061" ht="15.75" customHeight="1">
      <c r="A18061" s="7"/>
      <c r="B18061" s="7"/>
      <c r="M18061" s="9" t="s">
        <v>20</v>
      </c>
    </row>
    <row r="18062" ht="15.75" customHeight="1">
      <c r="A18062" s="7"/>
      <c r="B18062" s="7"/>
      <c r="M18062" s="9" t="s">
        <v>21</v>
      </c>
    </row>
    <row r="18063" ht="15.75" customHeight="1">
      <c r="A18063" s="7"/>
      <c r="B18063" s="7"/>
      <c r="M18063" s="9" t="s">
        <v>22</v>
      </c>
    </row>
    <row r="18064" ht="15.75" customHeight="1">
      <c r="A18064" s="7"/>
      <c r="B18064" s="7"/>
      <c r="M18064" s="9" t="s">
        <v>33</v>
      </c>
    </row>
    <row r="18065" ht="15.75" customHeight="1">
      <c r="A18065" s="7"/>
      <c r="B18065" s="7"/>
      <c r="M18065" s="9" t="s">
        <v>30</v>
      </c>
    </row>
    <row r="18066" ht="15.75" customHeight="1">
      <c r="A18066" s="7"/>
      <c r="B18066" s="7"/>
      <c r="M18066" s="9" t="s">
        <v>25</v>
      </c>
    </row>
    <row r="18067" ht="15.75" customHeight="1">
      <c r="A18067" s="7"/>
      <c r="B18067" s="7"/>
      <c r="M18067" s="9" t="s">
        <v>23</v>
      </c>
    </row>
    <row r="18068" ht="15.75" customHeight="1">
      <c r="A18068" s="7"/>
      <c r="B18068" s="7"/>
      <c r="M18068" s="9" t="s">
        <v>22</v>
      </c>
    </row>
    <row r="18069" ht="15.75" customHeight="1">
      <c r="A18069" s="7"/>
      <c r="B18069" s="7"/>
      <c r="M18069" s="9" t="s">
        <v>28</v>
      </c>
    </row>
    <row r="18070" ht="15.75" customHeight="1">
      <c r="A18070" s="7"/>
      <c r="B18070" s="7"/>
      <c r="M18070" s="9" t="s">
        <v>35</v>
      </c>
    </row>
    <row r="18071" ht="15.75" customHeight="1">
      <c r="A18071" s="7"/>
      <c r="B18071" s="7"/>
      <c r="M18071" s="9" t="s">
        <v>30</v>
      </c>
    </row>
    <row r="18072" ht="15.75" customHeight="1">
      <c r="A18072" s="7"/>
      <c r="B18072" s="7"/>
      <c r="M18072" s="9" t="s">
        <v>26</v>
      </c>
    </row>
    <row r="18073" ht="15.75" customHeight="1">
      <c r="A18073" s="7"/>
      <c r="B18073" s="7"/>
      <c r="M18073" s="9" t="s">
        <v>24</v>
      </c>
    </row>
    <row r="18074" ht="15.75" customHeight="1">
      <c r="A18074" s="7"/>
      <c r="B18074" s="7"/>
      <c r="M18074" s="9" t="s">
        <v>20</v>
      </c>
    </row>
    <row r="18075" ht="15.75" customHeight="1">
      <c r="A18075" s="7"/>
      <c r="B18075" s="7"/>
      <c r="M18075" s="9" t="s">
        <v>21</v>
      </c>
    </row>
    <row r="18076" ht="15.75" customHeight="1">
      <c r="A18076" s="7"/>
      <c r="B18076" s="7"/>
      <c r="M18076" s="9" t="s">
        <v>27</v>
      </c>
    </row>
    <row r="18077" ht="15.75" customHeight="1">
      <c r="A18077" s="7"/>
      <c r="B18077" s="7"/>
      <c r="M18077" s="9" t="s">
        <v>36</v>
      </c>
    </row>
    <row r="18078" ht="15.75" customHeight="1">
      <c r="A18078" s="7"/>
      <c r="B18078" s="7"/>
      <c r="M18078" s="9" t="s">
        <v>20</v>
      </c>
    </row>
    <row r="18079" ht="15.75" customHeight="1">
      <c r="A18079" s="7"/>
      <c r="B18079" s="7"/>
      <c r="M18079" s="9" t="s">
        <v>21</v>
      </c>
    </row>
    <row r="18080" ht="15.75" customHeight="1">
      <c r="A18080" s="7"/>
      <c r="B18080" s="7"/>
      <c r="M18080" s="9" t="s">
        <v>22</v>
      </c>
    </row>
    <row r="18081" ht="15.75" customHeight="1">
      <c r="A18081" s="7"/>
      <c r="B18081" s="7"/>
      <c r="M18081" s="9" t="s">
        <v>46</v>
      </c>
    </row>
    <row r="18082" ht="15.75" customHeight="1">
      <c r="A18082" s="7"/>
      <c r="B18082" s="7"/>
      <c r="M18082" s="9" t="s">
        <v>27</v>
      </c>
    </row>
    <row r="18083" ht="15.75" customHeight="1">
      <c r="A18083" s="7"/>
      <c r="B18083" s="7"/>
      <c r="M18083" s="9" t="s">
        <v>33</v>
      </c>
    </row>
    <row r="18084" ht="15.75" customHeight="1">
      <c r="A18084" s="7"/>
      <c r="B18084" s="7"/>
      <c r="M18084" s="9" t="s">
        <v>30</v>
      </c>
    </row>
    <row r="18085" ht="15.75" customHeight="1">
      <c r="A18085" s="7"/>
      <c r="B18085" s="7"/>
      <c r="M18085" s="9" t="s">
        <v>24</v>
      </c>
    </row>
    <row r="18086" ht="15.75" customHeight="1">
      <c r="A18086" s="7"/>
      <c r="B18086" s="7"/>
      <c r="M18086" s="9" t="s">
        <v>20</v>
      </c>
    </row>
    <row r="18087" ht="15.75" customHeight="1">
      <c r="A18087" s="7"/>
      <c r="B18087" s="7"/>
      <c r="M18087" s="9" t="s">
        <v>21</v>
      </c>
    </row>
    <row r="18088" ht="15.75" customHeight="1">
      <c r="A18088" s="7"/>
      <c r="B18088" s="7"/>
      <c r="M18088" s="9" t="s">
        <v>39</v>
      </c>
    </row>
    <row r="18089" ht="15.75" customHeight="1">
      <c r="A18089" s="7"/>
      <c r="B18089" s="7"/>
      <c r="M18089" s="9" t="s">
        <v>46</v>
      </c>
    </row>
    <row r="18090" ht="15.75" customHeight="1">
      <c r="A18090" s="7"/>
      <c r="B18090" s="7"/>
      <c r="M18090" s="9" t="s">
        <v>27</v>
      </c>
    </row>
    <row r="18091" ht="15.75" customHeight="1">
      <c r="A18091" s="7"/>
      <c r="B18091" s="7"/>
      <c r="M18091" s="9" t="s">
        <v>33</v>
      </c>
    </row>
    <row r="18092" ht="15.75" customHeight="1">
      <c r="A18092" s="7"/>
      <c r="B18092" s="7"/>
      <c r="M18092" s="9" t="s">
        <v>35</v>
      </c>
    </row>
    <row r="18093" ht="15.75" customHeight="1">
      <c r="A18093" s="7"/>
      <c r="B18093" s="7"/>
      <c r="M18093" s="9" t="s">
        <v>30</v>
      </c>
    </row>
    <row r="18094" ht="15.75" customHeight="1">
      <c r="A18094" s="7"/>
      <c r="B18094" s="7"/>
      <c r="M18094" s="9" t="s">
        <v>25</v>
      </c>
    </row>
    <row r="18095" ht="15.75" customHeight="1">
      <c r="A18095" s="7"/>
      <c r="B18095" s="7"/>
      <c r="M18095" s="9" t="s">
        <v>22</v>
      </c>
    </row>
    <row r="18096" ht="15.75" customHeight="1">
      <c r="A18096" s="7"/>
      <c r="B18096" s="7"/>
      <c r="M18096" s="9" t="s">
        <v>27</v>
      </c>
    </row>
    <row r="18097" ht="15.75" customHeight="1">
      <c r="A18097" s="7"/>
      <c r="B18097" s="7"/>
      <c r="M18097" s="9" t="s">
        <v>20</v>
      </c>
    </row>
    <row r="18098" ht="15.75" customHeight="1">
      <c r="A18098" s="7"/>
      <c r="B18098" s="7"/>
      <c r="M18098" s="9" t="s">
        <v>39</v>
      </c>
    </row>
    <row r="18099" ht="15.75" customHeight="1">
      <c r="A18099" s="7"/>
      <c r="B18099" s="7"/>
      <c r="M18099" s="9" t="s">
        <v>22</v>
      </c>
    </row>
    <row r="18100" ht="15.75" customHeight="1">
      <c r="A18100" s="7"/>
      <c r="B18100" s="7"/>
      <c r="M18100" s="9" t="s">
        <v>30</v>
      </c>
    </row>
    <row r="18101" ht="15.75" customHeight="1">
      <c r="A18101" s="7"/>
      <c r="B18101" s="7"/>
      <c r="M18101" s="9" t="s">
        <v>36</v>
      </c>
    </row>
    <row r="18102" ht="15.75" customHeight="1">
      <c r="A18102" s="7"/>
      <c r="B18102" s="7"/>
      <c r="M18102" s="9" t="s">
        <v>22</v>
      </c>
    </row>
    <row r="18103" ht="15.75" customHeight="1">
      <c r="A18103" s="7"/>
      <c r="B18103" s="7"/>
      <c r="M18103" s="9" t="s">
        <v>30</v>
      </c>
    </row>
    <row r="18104" ht="15.75" customHeight="1">
      <c r="A18104" s="7"/>
      <c r="B18104" s="7"/>
      <c r="M18104" s="9" t="s">
        <v>26</v>
      </c>
    </row>
    <row r="18105" ht="15.75" customHeight="1">
      <c r="A18105" s="7"/>
      <c r="B18105" s="7"/>
      <c r="M18105" s="9" t="s">
        <v>21</v>
      </c>
    </row>
    <row r="18106" ht="15.75" customHeight="1">
      <c r="A18106" s="7"/>
      <c r="B18106" s="7"/>
      <c r="M18106" s="9" t="s">
        <v>23</v>
      </c>
    </row>
    <row r="18107" ht="15.75" customHeight="1">
      <c r="A18107" s="7"/>
      <c r="B18107" s="7"/>
      <c r="M18107" s="9" t="s">
        <v>26</v>
      </c>
    </row>
    <row r="18108" ht="15.75" customHeight="1">
      <c r="A18108" s="7"/>
      <c r="B18108" s="7"/>
      <c r="M18108" s="9" t="s">
        <v>24</v>
      </c>
    </row>
    <row r="18109" ht="15.75" customHeight="1">
      <c r="A18109" s="7"/>
      <c r="B18109" s="7"/>
      <c r="M18109" s="9" t="s">
        <v>21</v>
      </c>
    </row>
    <row r="18110" ht="15.75" customHeight="1">
      <c r="A18110" s="7"/>
      <c r="B18110" s="7"/>
      <c r="M18110" s="9" t="s">
        <v>26</v>
      </c>
    </row>
    <row r="18111" ht="15.75" customHeight="1">
      <c r="A18111" s="7"/>
      <c r="B18111" s="7"/>
      <c r="M18111" s="9" t="s">
        <v>24</v>
      </c>
    </row>
    <row r="18112" ht="15.75" customHeight="1">
      <c r="A18112" s="7"/>
      <c r="B18112" s="7"/>
      <c r="M18112" s="9" t="s">
        <v>20</v>
      </c>
    </row>
    <row r="18113" ht="15.75" customHeight="1">
      <c r="A18113" s="7"/>
      <c r="B18113" s="7"/>
      <c r="M18113" s="9" t="s">
        <v>21</v>
      </c>
    </row>
    <row r="18114" ht="15.75" customHeight="1">
      <c r="A18114" s="7"/>
      <c r="B18114" s="7"/>
      <c r="M18114" s="9" t="s">
        <v>37</v>
      </c>
    </row>
    <row r="18115" ht="15.75" customHeight="1">
      <c r="A18115" s="7"/>
      <c r="B18115" s="7"/>
      <c r="M18115" s="9" t="s">
        <v>27</v>
      </c>
    </row>
    <row r="18116" ht="15.75" customHeight="1">
      <c r="A18116" s="7"/>
      <c r="B18116" s="7"/>
      <c r="M18116" s="9" t="s">
        <v>33</v>
      </c>
    </row>
    <row r="18117" ht="15.75" customHeight="1">
      <c r="A18117" s="7"/>
      <c r="B18117" s="7"/>
      <c r="M18117" s="9" t="s">
        <v>24</v>
      </c>
    </row>
    <row r="18118" ht="15.75" customHeight="1">
      <c r="A18118" s="7"/>
      <c r="B18118" s="7"/>
      <c r="M18118" s="9" t="s">
        <v>20</v>
      </c>
    </row>
    <row r="18119" ht="15.75" customHeight="1">
      <c r="A18119" s="7"/>
      <c r="B18119" s="7"/>
      <c r="M18119" s="9" t="s">
        <v>21</v>
      </c>
    </row>
    <row r="18120" ht="15.75" customHeight="1">
      <c r="A18120" s="7"/>
      <c r="B18120" s="7"/>
      <c r="M18120" s="9" t="s">
        <v>39</v>
      </c>
    </row>
    <row r="18121" ht="15.75" customHeight="1">
      <c r="A18121" s="7"/>
      <c r="B18121" s="7"/>
      <c r="M18121" s="9" t="s">
        <v>41</v>
      </c>
    </row>
    <row r="18122" ht="15.75" customHeight="1">
      <c r="A18122" s="7"/>
      <c r="B18122" s="7"/>
      <c r="M18122" s="9" t="s">
        <v>37</v>
      </c>
    </row>
    <row r="18123" ht="15.75" customHeight="1">
      <c r="A18123" s="7"/>
      <c r="B18123" s="7"/>
      <c r="M18123" s="9" t="s">
        <v>22</v>
      </c>
    </row>
    <row r="18124" ht="15.75" customHeight="1">
      <c r="A18124" s="7"/>
      <c r="B18124" s="7"/>
      <c r="M18124" s="9" t="s">
        <v>31</v>
      </c>
    </row>
    <row r="18125" ht="15.75" customHeight="1">
      <c r="A18125" s="7"/>
      <c r="B18125" s="7"/>
      <c r="M18125" s="9" t="s">
        <v>27</v>
      </c>
    </row>
    <row r="18126" ht="15.75" customHeight="1">
      <c r="A18126" s="7"/>
      <c r="B18126" s="7"/>
      <c r="M18126" s="9" t="s">
        <v>40</v>
      </c>
    </row>
    <row r="18127" ht="15.75" customHeight="1">
      <c r="A18127" s="7"/>
      <c r="B18127" s="7"/>
      <c r="M18127" s="9" t="s">
        <v>26</v>
      </c>
    </row>
    <row r="18128" ht="15.75" customHeight="1">
      <c r="A18128" s="7"/>
      <c r="B18128" s="7"/>
      <c r="M18128" s="9" t="s">
        <v>21</v>
      </c>
    </row>
    <row r="18129" ht="15.75" customHeight="1">
      <c r="A18129" s="7"/>
      <c r="B18129" s="7"/>
      <c r="M18129" s="9" t="s">
        <v>33</v>
      </c>
    </row>
    <row r="18130" ht="15.75" customHeight="1">
      <c r="A18130" s="7"/>
      <c r="B18130" s="7"/>
      <c r="M18130" s="9" t="s">
        <v>38</v>
      </c>
    </row>
    <row r="18131" ht="15.75" customHeight="1">
      <c r="A18131" s="7"/>
      <c r="B18131" s="7"/>
      <c r="M18131" s="9" t="s">
        <v>30</v>
      </c>
    </row>
    <row r="18132" ht="15.75" customHeight="1">
      <c r="A18132" s="7"/>
      <c r="B18132" s="7"/>
      <c r="M18132" s="9" t="s">
        <v>23</v>
      </c>
    </row>
    <row r="18133" ht="15.75" customHeight="1">
      <c r="A18133" s="7"/>
      <c r="B18133" s="7"/>
      <c r="M18133" s="9" t="s">
        <v>26</v>
      </c>
    </row>
    <row r="18134" ht="15.75" customHeight="1">
      <c r="A18134" s="7"/>
      <c r="B18134" s="7"/>
      <c r="M18134" s="9" t="s">
        <v>24</v>
      </c>
    </row>
    <row r="18135" ht="15.75" customHeight="1">
      <c r="A18135" s="7"/>
      <c r="B18135" s="7"/>
      <c r="M18135" s="9" t="s">
        <v>22</v>
      </c>
    </row>
    <row r="18136" ht="15.75" customHeight="1">
      <c r="A18136" s="7"/>
      <c r="B18136" s="7"/>
      <c r="M18136" s="9" t="s">
        <v>27</v>
      </c>
    </row>
    <row r="18137" ht="15.75" customHeight="1">
      <c r="A18137" s="7"/>
      <c r="B18137" s="7"/>
      <c r="M18137" s="9" t="s">
        <v>33</v>
      </c>
    </row>
    <row r="18138" ht="15.75" customHeight="1">
      <c r="A18138" s="7"/>
      <c r="B18138" s="7"/>
      <c r="M18138" s="9" t="s">
        <v>24</v>
      </c>
    </row>
    <row r="18139" ht="15.75" customHeight="1">
      <c r="A18139" s="7"/>
      <c r="B18139" s="7"/>
      <c r="M18139" s="9" t="s">
        <v>21</v>
      </c>
    </row>
    <row r="18140" ht="15.75" customHeight="1">
      <c r="A18140" s="7"/>
      <c r="B18140" s="7"/>
      <c r="M18140" s="9" t="s">
        <v>31</v>
      </c>
    </row>
    <row r="18141" ht="15.75" customHeight="1">
      <c r="A18141" s="7"/>
      <c r="B18141" s="7"/>
      <c r="M18141" s="9" t="s">
        <v>38</v>
      </c>
    </row>
    <row r="18142" ht="15.75" customHeight="1">
      <c r="A18142" s="7"/>
      <c r="B18142" s="7"/>
      <c r="M18142" s="9" t="s">
        <v>30</v>
      </c>
    </row>
    <row r="18143" ht="15.75" customHeight="1">
      <c r="A18143" s="7"/>
      <c r="B18143" s="7"/>
      <c r="M18143" s="9" t="s">
        <v>26</v>
      </c>
    </row>
    <row r="18144" ht="15.75" customHeight="1">
      <c r="A18144" s="7"/>
      <c r="B18144" s="7"/>
      <c r="M18144" s="9" t="s">
        <v>24</v>
      </c>
    </row>
    <row r="18145" ht="15.75" customHeight="1">
      <c r="A18145" s="7"/>
      <c r="B18145" s="7"/>
      <c r="M18145" s="9" t="s">
        <v>20</v>
      </c>
    </row>
    <row r="18146" ht="15.75" customHeight="1">
      <c r="A18146" s="7"/>
      <c r="B18146" s="7"/>
      <c r="M18146" s="9" t="s">
        <v>21</v>
      </c>
    </row>
    <row r="18147" ht="15.75" customHeight="1">
      <c r="A18147" s="7"/>
      <c r="B18147" s="7"/>
      <c r="M18147" s="9" t="s">
        <v>27</v>
      </c>
    </row>
    <row r="18148" ht="15.75" customHeight="1">
      <c r="A18148" s="7"/>
      <c r="B18148" s="7"/>
      <c r="M18148" s="9" t="s">
        <v>24</v>
      </c>
    </row>
    <row r="18149" ht="15.75" customHeight="1">
      <c r="A18149" s="7"/>
      <c r="B18149" s="7"/>
      <c r="M18149" s="9" t="s">
        <v>20</v>
      </c>
    </row>
    <row r="18150" ht="15.75" customHeight="1">
      <c r="A18150" s="7"/>
      <c r="B18150" s="7"/>
      <c r="M18150" s="9" t="s">
        <v>21</v>
      </c>
    </row>
    <row r="18151" ht="15.75" customHeight="1">
      <c r="A18151" s="7"/>
      <c r="B18151" s="7"/>
      <c r="M18151" s="9" t="s">
        <v>37</v>
      </c>
    </row>
    <row r="18152" ht="15.75" customHeight="1">
      <c r="A18152" s="7"/>
      <c r="B18152" s="7"/>
      <c r="M18152" s="9" t="s">
        <v>27</v>
      </c>
    </row>
    <row r="18153" ht="15.75" customHeight="1">
      <c r="A18153" s="7"/>
      <c r="B18153" s="7"/>
      <c r="M18153" s="9" t="s">
        <v>24</v>
      </c>
    </row>
    <row r="18154" ht="15.75" customHeight="1">
      <c r="A18154" s="7"/>
      <c r="B18154" s="7"/>
      <c r="M18154" s="9" t="s">
        <v>21</v>
      </c>
    </row>
    <row r="18155" ht="15.75" customHeight="1">
      <c r="A18155" s="7"/>
      <c r="B18155" s="7"/>
      <c r="M18155" s="9" t="s">
        <v>22</v>
      </c>
    </row>
    <row r="18156" ht="15.75" customHeight="1">
      <c r="A18156" s="7"/>
      <c r="B18156" s="7"/>
      <c r="M18156" s="9" t="s">
        <v>27</v>
      </c>
    </row>
    <row r="18157" ht="15.75" customHeight="1">
      <c r="A18157" s="7"/>
      <c r="B18157" s="7"/>
      <c r="M18157" s="9" t="s">
        <v>33</v>
      </c>
    </row>
    <row r="18158" ht="15.75" customHeight="1">
      <c r="A18158" s="7"/>
      <c r="B18158" s="7"/>
      <c r="M18158" s="9" t="s">
        <v>30</v>
      </c>
    </row>
    <row r="18159" ht="15.75" customHeight="1">
      <c r="A18159" s="7"/>
      <c r="B18159" s="7"/>
      <c r="M18159" s="9" t="s">
        <v>26</v>
      </c>
    </row>
    <row r="18160" ht="15.75" customHeight="1">
      <c r="A18160" s="7"/>
      <c r="B18160" s="7"/>
      <c r="M18160" s="9" t="s">
        <v>24</v>
      </c>
    </row>
    <row r="18161" ht="15.75" customHeight="1">
      <c r="A18161" s="7"/>
      <c r="B18161" s="7"/>
      <c r="M18161" s="9" t="s">
        <v>21</v>
      </c>
    </row>
    <row r="18162" ht="15.75" customHeight="1">
      <c r="A18162" s="7"/>
      <c r="B18162" s="7"/>
      <c r="M18162" s="9" t="s">
        <v>27</v>
      </c>
    </row>
    <row r="18163" ht="15.75" customHeight="1">
      <c r="A18163" s="7"/>
      <c r="B18163" s="7"/>
      <c r="M18163" s="9" t="s">
        <v>20</v>
      </c>
    </row>
    <row r="18164" ht="15.75" customHeight="1">
      <c r="A18164" s="7"/>
      <c r="B18164" s="7"/>
      <c r="M18164" s="9" t="s">
        <v>39</v>
      </c>
    </row>
    <row r="18165" ht="15.75" customHeight="1">
      <c r="A18165" s="7"/>
      <c r="B18165" s="7"/>
      <c r="M18165" s="9" t="s">
        <v>22</v>
      </c>
    </row>
    <row r="18166" ht="15.75" customHeight="1">
      <c r="A18166" s="7"/>
      <c r="B18166" s="7"/>
      <c r="M18166" s="9" t="s">
        <v>31</v>
      </c>
    </row>
    <row r="18167" ht="15.75" customHeight="1">
      <c r="A18167" s="7"/>
      <c r="B18167" s="7"/>
      <c r="M18167" s="9" t="s">
        <v>38</v>
      </c>
    </row>
    <row r="18168" ht="15.75" customHeight="1">
      <c r="A18168" s="7"/>
      <c r="B18168" s="7"/>
      <c r="M18168" s="9" t="s">
        <v>30</v>
      </c>
    </row>
    <row r="18169" ht="15.75" customHeight="1">
      <c r="A18169" s="7"/>
      <c r="B18169" s="7"/>
      <c r="M18169" s="9" t="s">
        <v>26</v>
      </c>
    </row>
    <row r="18170" ht="15.75" customHeight="1">
      <c r="A18170" s="7"/>
      <c r="B18170" s="7"/>
      <c r="M18170" s="9" t="s">
        <v>24</v>
      </c>
    </row>
    <row r="18171" ht="15.75" customHeight="1">
      <c r="A18171" s="7"/>
      <c r="B18171" s="7"/>
      <c r="M18171" s="9" t="s">
        <v>21</v>
      </c>
    </row>
    <row r="18172" ht="15.75" customHeight="1">
      <c r="A18172" s="7"/>
      <c r="B18172" s="7"/>
      <c r="M18172" s="9" t="s">
        <v>37</v>
      </c>
    </row>
    <row r="18173" ht="15.75" customHeight="1">
      <c r="A18173" s="7"/>
      <c r="B18173" s="7"/>
      <c r="M18173" s="9" t="s">
        <v>22</v>
      </c>
    </row>
    <row r="18174" ht="15.75" customHeight="1">
      <c r="A18174" s="7"/>
      <c r="B18174" s="7"/>
      <c r="M18174" s="9" t="s">
        <v>27</v>
      </c>
    </row>
    <row r="18175" ht="15.75" customHeight="1">
      <c r="A18175" s="7"/>
      <c r="B18175" s="7"/>
      <c r="M18175" s="9" t="s">
        <v>30</v>
      </c>
    </row>
    <row r="18176" ht="15.75" customHeight="1">
      <c r="A18176" s="7"/>
      <c r="B18176" s="7"/>
      <c r="M18176" s="9" t="s">
        <v>25</v>
      </c>
    </row>
    <row r="18177" ht="15.75" customHeight="1">
      <c r="A18177" s="7"/>
      <c r="B18177" s="7"/>
      <c r="M18177" s="9" t="s">
        <v>23</v>
      </c>
    </row>
    <row r="18178" ht="15.75" customHeight="1">
      <c r="A18178" s="7"/>
      <c r="B18178" s="7"/>
      <c r="M18178" s="9" t="s">
        <v>26</v>
      </c>
    </row>
    <row r="18179" ht="15.75" customHeight="1">
      <c r="A18179" s="7"/>
      <c r="B18179" s="7"/>
      <c r="M18179" s="9" t="s">
        <v>36</v>
      </c>
    </row>
    <row r="18180" ht="15.75" customHeight="1">
      <c r="A18180" s="7"/>
      <c r="B18180" s="7"/>
      <c r="M18180" s="9" t="s">
        <v>24</v>
      </c>
    </row>
    <row r="18181" ht="15.75" customHeight="1">
      <c r="A18181" s="7"/>
      <c r="B18181" s="7"/>
      <c r="M18181" s="9" t="s">
        <v>21</v>
      </c>
    </row>
    <row r="18182" ht="15.75" customHeight="1">
      <c r="A18182" s="7"/>
      <c r="B18182" s="7"/>
      <c r="M18182" s="9" t="s">
        <v>27</v>
      </c>
    </row>
    <row r="18183" ht="15.75" customHeight="1">
      <c r="A18183" s="7"/>
      <c r="B18183" s="7"/>
      <c r="M18183" s="9" t="s">
        <v>35</v>
      </c>
    </row>
    <row r="18184" ht="15.75" customHeight="1">
      <c r="A18184" s="7"/>
      <c r="B18184" s="7"/>
      <c r="M18184" s="9" t="s">
        <v>26</v>
      </c>
    </row>
    <row r="18185" ht="15.75" customHeight="1">
      <c r="A18185" s="7"/>
      <c r="B18185" s="7"/>
      <c r="M18185" s="9" t="s">
        <v>20</v>
      </c>
    </row>
    <row r="18186" ht="15.75" customHeight="1">
      <c r="A18186" s="7"/>
      <c r="B18186" s="7"/>
      <c r="M18186" s="9" t="s">
        <v>22</v>
      </c>
    </row>
    <row r="18187" ht="15.75" customHeight="1">
      <c r="A18187" s="7"/>
      <c r="B18187" s="7"/>
      <c r="M18187" s="9" t="s">
        <v>35</v>
      </c>
    </row>
    <row r="18188" ht="15.75" customHeight="1">
      <c r="A18188" s="7"/>
      <c r="B18188" s="7"/>
      <c r="M18188" s="9" t="s">
        <v>26</v>
      </c>
    </row>
    <row r="18189" ht="15.75" customHeight="1">
      <c r="A18189" s="7"/>
      <c r="B18189" s="7"/>
      <c r="M18189" s="9" t="s">
        <v>20</v>
      </c>
    </row>
    <row r="18190" ht="15.75" customHeight="1">
      <c r="A18190" s="7"/>
      <c r="B18190" s="7"/>
      <c r="M18190" s="9" t="s">
        <v>46</v>
      </c>
    </row>
    <row r="18191" ht="15.75" customHeight="1">
      <c r="A18191" s="7"/>
      <c r="B18191" s="7"/>
      <c r="M18191" s="9" t="s">
        <v>33</v>
      </c>
    </row>
    <row r="18192" ht="15.75" customHeight="1">
      <c r="A18192" s="7"/>
      <c r="B18192" s="7"/>
      <c r="M18192" s="9" t="s">
        <v>24</v>
      </c>
    </row>
    <row r="18193" ht="15.75" customHeight="1">
      <c r="A18193" s="7"/>
      <c r="B18193" s="7"/>
      <c r="M18193" s="9" t="s">
        <v>20</v>
      </c>
    </row>
    <row r="18194" ht="15.75" customHeight="1">
      <c r="A18194" s="7"/>
      <c r="B18194" s="7"/>
      <c r="M18194" s="9" t="s">
        <v>21</v>
      </c>
    </row>
    <row r="18195" ht="15.75" customHeight="1">
      <c r="A18195" s="7"/>
      <c r="B18195" s="7"/>
      <c r="M18195" s="9" t="s">
        <v>33</v>
      </c>
    </row>
    <row r="18196" ht="15.75" customHeight="1">
      <c r="A18196" s="7"/>
      <c r="B18196" s="7"/>
      <c r="M18196" s="9" t="s">
        <v>26</v>
      </c>
    </row>
    <row r="18197" ht="15.75" customHeight="1">
      <c r="A18197" s="7"/>
      <c r="B18197" s="7"/>
      <c r="M18197" s="9" t="s">
        <v>20</v>
      </c>
    </row>
    <row r="18198" ht="15.75" customHeight="1">
      <c r="A18198" s="7"/>
      <c r="B18198" s="7"/>
      <c r="M18198" s="9" t="s">
        <v>21</v>
      </c>
    </row>
    <row r="18199" ht="15.75" customHeight="1">
      <c r="A18199" s="7"/>
      <c r="B18199" s="7"/>
      <c r="M18199" s="9" t="s">
        <v>39</v>
      </c>
    </row>
    <row r="18200" ht="15.75" customHeight="1">
      <c r="A18200" s="7"/>
      <c r="B18200" s="7"/>
      <c r="M18200" s="9" t="s">
        <v>37</v>
      </c>
    </row>
    <row r="18201" ht="15.75" customHeight="1">
      <c r="A18201" s="7"/>
      <c r="B18201" s="7"/>
      <c r="M18201" s="9" t="s">
        <v>22</v>
      </c>
    </row>
    <row r="18202" ht="15.75" customHeight="1">
      <c r="A18202" s="7"/>
      <c r="B18202" s="7"/>
      <c r="M18202" s="9" t="s">
        <v>27</v>
      </c>
    </row>
    <row r="18203" ht="15.75" customHeight="1">
      <c r="A18203" s="7"/>
      <c r="B18203" s="7"/>
      <c r="M18203" s="9" t="s">
        <v>25</v>
      </c>
    </row>
    <row r="18204" ht="15.75" customHeight="1">
      <c r="A18204" s="7"/>
      <c r="B18204" s="7"/>
      <c r="M18204" s="9" t="s">
        <v>26</v>
      </c>
    </row>
    <row r="18205" ht="15.75" customHeight="1">
      <c r="A18205" s="7"/>
      <c r="B18205" s="7"/>
      <c r="M18205" s="9" t="s">
        <v>21</v>
      </c>
    </row>
    <row r="18206" ht="15.75" customHeight="1">
      <c r="A18206" s="7"/>
      <c r="B18206" s="7"/>
      <c r="M18206" s="9" t="s">
        <v>38</v>
      </c>
    </row>
    <row r="18207" ht="15.75" customHeight="1">
      <c r="A18207" s="7"/>
      <c r="B18207" s="7"/>
      <c r="M18207" s="9" t="s">
        <v>25</v>
      </c>
    </row>
    <row r="18208" ht="15.75" customHeight="1">
      <c r="A18208" s="7"/>
      <c r="B18208" s="7"/>
      <c r="M18208" s="9" t="s">
        <v>22</v>
      </c>
    </row>
    <row r="18209" ht="15.75" customHeight="1">
      <c r="A18209" s="7"/>
      <c r="B18209" s="7"/>
      <c r="M18209" s="9" t="s">
        <v>26</v>
      </c>
    </row>
    <row r="18210" ht="15.75" customHeight="1">
      <c r="A18210" s="7"/>
      <c r="B18210" s="7"/>
      <c r="M18210" s="9" t="s">
        <v>24</v>
      </c>
    </row>
    <row r="18211" ht="15.75" customHeight="1">
      <c r="A18211" s="7"/>
      <c r="B18211" s="7"/>
      <c r="M18211" s="9" t="s">
        <v>21</v>
      </c>
    </row>
    <row r="18212" ht="15.75" customHeight="1">
      <c r="A18212" s="7"/>
      <c r="B18212" s="7"/>
      <c r="M18212" s="9" t="s">
        <v>37</v>
      </c>
    </row>
    <row r="18213" ht="15.75" customHeight="1">
      <c r="A18213" s="7"/>
      <c r="B18213" s="7"/>
      <c r="M18213" s="9" t="s">
        <v>27</v>
      </c>
    </row>
    <row r="18214" ht="15.75" customHeight="1">
      <c r="A18214" s="7"/>
      <c r="B18214" s="7"/>
      <c r="M18214" s="9" t="s">
        <v>33</v>
      </c>
    </row>
    <row r="18215" ht="15.75" customHeight="1">
      <c r="A18215" s="7"/>
      <c r="B18215" s="7"/>
      <c r="M18215" s="9" t="s">
        <v>35</v>
      </c>
    </row>
    <row r="18216" ht="15.75" customHeight="1">
      <c r="A18216" s="7"/>
      <c r="B18216" s="7"/>
      <c r="M18216" s="9" t="s">
        <v>26</v>
      </c>
    </row>
    <row r="18217" ht="15.75" customHeight="1">
      <c r="A18217" s="7"/>
      <c r="B18217" s="7"/>
      <c r="M18217" s="9" t="s">
        <v>24</v>
      </c>
    </row>
    <row r="18218" ht="15.75" customHeight="1">
      <c r="A18218" s="7"/>
      <c r="B18218" s="7"/>
      <c r="M18218" s="9" t="s">
        <v>21</v>
      </c>
    </row>
    <row r="18219" ht="15.75" customHeight="1">
      <c r="A18219" s="7"/>
      <c r="B18219" s="7"/>
      <c r="M18219" s="9" t="s">
        <v>37</v>
      </c>
    </row>
    <row r="18220" ht="15.75" customHeight="1">
      <c r="A18220" s="7"/>
      <c r="B18220" s="7"/>
      <c r="M18220" s="9" t="s">
        <v>27</v>
      </c>
    </row>
    <row r="18221" ht="15.75" customHeight="1">
      <c r="A18221" s="7"/>
      <c r="B18221" s="7"/>
      <c r="M18221" s="9" t="s">
        <v>30</v>
      </c>
    </row>
    <row r="18222" ht="15.75" customHeight="1">
      <c r="A18222" s="7"/>
      <c r="B18222" s="7"/>
      <c r="M18222" s="9" t="s">
        <v>24</v>
      </c>
    </row>
    <row r="18223" ht="15.75" customHeight="1">
      <c r="A18223" s="7"/>
      <c r="B18223" s="7"/>
      <c r="M18223" s="9" t="s">
        <v>20</v>
      </c>
    </row>
    <row r="18224" ht="15.75" customHeight="1">
      <c r="A18224" s="7"/>
      <c r="B18224" s="7"/>
      <c r="M18224" s="9" t="s">
        <v>21</v>
      </c>
    </row>
    <row r="18225" ht="15.75" customHeight="1">
      <c r="A18225" s="7"/>
      <c r="B18225" s="7"/>
      <c r="M18225" s="9" t="s">
        <v>22</v>
      </c>
    </row>
    <row r="18226" ht="15.75" customHeight="1">
      <c r="A18226" s="7"/>
      <c r="B18226" s="7"/>
      <c r="M18226" s="9" t="s">
        <v>27</v>
      </c>
    </row>
    <row r="18227" ht="15.75" customHeight="1">
      <c r="A18227" s="7"/>
      <c r="B18227" s="7"/>
      <c r="M18227" s="9" t="s">
        <v>30</v>
      </c>
    </row>
    <row r="18228" ht="15.75" customHeight="1">
      <c r="A18228" s="7"/>
      <c r="B18228" s="7"/>
      <c r="M18228" s="9" t="s">
        <v>24</v>
      </c>
    </row>
    <row r="18229" ht="15.75" customHeight="1">
      <c r="A18229" s="7"/>
      <c r="B18229" s="7"/>
      <c r="M18229" s="9" t="s">
        <v>20</v>
      </c>
    </row>
    <row r="18230" ht="15.75" customHeight="1">
      <c r="A18230" s="7"/>
      <c r="B18230" s="7"/>
      <c r="M18230" s="9" t="s">
        <v>21</v>
      </c>
    </row>
    <row r="18231" ht="15.75" customHeight="1">
      <c r="A18231" s="7"/>
      <c r="B18231" s="7"/>
      <c r="M18231" s="9" t="s">
        <v>37</v>
      </c>
    </row>
    <row r="18232" ht="15.75" customHeight="1">
      <c r="A18232" s="7"/>
      <c r="B18232" s="7"/>
      <c r="M18232" s="9" t="s">
        <v>27</v>
      </c>
    </row>
    <row r="18233" ht="15.75" customHeight="1">
      <c r="A18233" s="7"/>
      <c r="B18233" s="7"/>
      <c r="M18233" s="9" t="s">
        <v>30</v>
      </c>
    </row>
    <row r="18234" ht="15.75" customHeight="1">
      <c r="A18234" s="7"/>
      <c r="B18234" s="7"/>
      <c r="M18234" s="9" t="s">
        <v>26</v>
      </c>
    </row>
    <row r="18235" ht="15.75" customHeight="1">
      <c r="A18235" s="7"/>
      <c r="B18235" s="7"/>
      <c r="M18235" s="9" t="s">
        <v>24</v>
      </c>
    </row>
    <row r="18236" ht="15.75" customHeight="1">
      <c r="A18236" s="7"/>
      <c r="B18236" s="7"/>
      <c r="M18236" s="9" t="s">
        <v>21</v>
      </c>
    </row>
    <row r="18237" ht="15.75" customHeight="1">
      <c r="A18237" s="7"/>
      <c r="B18237" s="7"/>
      <c r="M18237" s="9" t="s">
        <v>27</v>
      </c>
    </row>
    <row r="18238" ht="15.75" customHeight="1">
      <c r="A18238" s="7"/>
      <c r="B18238" s="7"/>
      <c r="M18238" s="9" t="s">
        <v>28</v>
      </c>
    </row>
    <row r="18239" ht="15.75" customHeight="1">
      <c r="A18239" s="7"/>
      <c r="B18239" s="7"/>
      <c r="M18239" s="9" t="s">
        <v>26</v>
      </c>
    </row>
    <row r="18240" ht="15.75" customHeight="1">
      <c r="A18240" s="7"/>
      <c r="B18240" s="7"/>
      <c r="M18240" s="9" t="s">
        <v>27</v>
      </c>
    </row>
    <row r="18241" ht="15.75" customHeight="1">
      <c r="A18241" s="7"/>
      <c r="B18241" s="7"/>
      <c r="M18241" s="9" t="s">
        <v>33</v>
      </c>
    </row>
    <row r="18242" ht="15.75" customHeight="1">
      <c r="A18242" s="7"/>
      <c r="B18242" s="7"/>
      <c r="M18242" s="9" t="s">
        <v>38</v>
      </c>
    </row>
    <row r="18243" ht="15.75" customHeight="1">
      <c r="A18243" s="7"/>
      <c r="B18243" s="7"/>
      <c r="M18243" s="9" t="s">
        <v>30</v>
      </c>
    </row>
    <row r="18244" ht="15.75" customHeight="1">
      <c r="A18244" s="7"/>
      <c r="B18244" s="7"/>
      <c r="M18244" s="9" t="s">
        <v>25</v>
      </c>
    </row>
    <row r="18245" ht="15.75" customHeight="1">
      <c r="A18245" s="7"/>
      <c r="B18245" s="7"/>
      <c r="M18245" s="9" t="s">
        <v>23</v>
      </c>
    </row>
    <row r="18246" ht="15.75" customHeight="1">
      <c r="A18246" s="7"/>
      <c r="B18246" s="7"/>
      <c r="M18246" s="9" t="s">
        <v>21</v>
      </c>
    </row>
    <row r="18247" ht="15.75" customHeight="1">
      <c r="A18247" s="7"/>
      <c r="B18247" s="7"/>
      <c r="M18247" s="9" t="s">
        <v>22</v>
      </c>
    </row>
    <row r="18248" ht="15.75" customHeight="1">
      <c r="A18248" s="7"/>
      <c r="B18248" s="7"/>
      <c r="M18248" s="9" t="s">
        <v>30</v>
      </c>
    </row>
    <row r="18249" ht="15.75" customHeight="1">
      <c r="A18249" s="7"/>
      <c r="B18249" s="7"/>
      <c r="M18249" s="9" t="s">
        <v>24</v>
      </c>
    </row>
    <row r="18250" ht="15.75" customHeight="1">
      <c r="A18250" s="7"/>
      <c r="B18250" s="7"/>
      <c r="M18250" s="9" t="s">
        <v>21</v>
      </c>
    </row>
    <row r="18251" ht="15.75" customHeight="1">
      <c r="A18251" s="7"/>
      <c r="B18251" s="7"/>
      <c r="M18251" s="9" t="s">
        <v>37</v>
      </c>
    </row>
    <row r="18252" ht="15.75" customHeight="1">
      <c r="A18252" s="7"/>
      <c r="B18252" s="7"/>
      <c r="M18252" s="9" t="s">
        <v>27</v>
      </c>
    </row>
    <row r="18253" ht="15.75" customHeight="1">
      <c r="A18253" s="7"/>
      <c r="B18253" s="7"/>
      <c r="M18253" s="9" t="s">
        <v>22</v>
      </c>
    </row>
    <row r="18254" ht="15.75" customHeight="1">
      <c r="A18254" s="7"/>
      <c r="B18254" s="7"/>
      <c r="M18254" s="9" t="s">
        <v>32</v>
      </c>
    </row>
    <row r="18255" ht="15.75" customHeight="1">
      <c r="A18255" s="7"/>
      <c r="B18255" s="7"/>
      <c r="M18255" s="9" t="s">
        <v>27</v>
      </c>
    </row>
    <row r="18256" ht="15.75" customHeight="1">
      <c r="A18256" s="7"/>
      <c r="B18256" s="7"/>
      <c r="M18256" s="9" t="s">
        <v>30</v>
      </c>
    </row>
    <row r="18257" ht="15.75" customHeight="1">
      <c r="A18257" s="7"/>
      <c r="B18257" s="7"/>
      <c r="M18257" s="9" t="s">
        <v>20</v>
      </c>
    </row>
    <row r="18258" ht="15.75" customHeight="1">
      <c r="A18258" s="7"/>
      <c r="B18258" s="7"/>
      <c r="M18258" s="9" t="s">
        <v>22</v>
      </c>
    </row>
    <row r="18259" ht="15.75" customHeight="1">
      <c r="A18259" s="7"/>
      <c r="B18259" s="7"/>
      <c r="M18259" s="9" t="s">
        <v>46</v>
      </c>
    </row>
    <row r="18260" ht="15.75" customHeight="1">
      <c r="A18260" s="7"/>
      <c r="B18260" s="7"/>
      <c r="M18260" s="9" t="s">
        <v>27</v>
      </c>
    </row>
    <row r="18261" ht="15.75" customHeight="1">
      <c r="A18261" s="7"/>
      <c r="B18261" s="7"/>
      <c r="M18261" s="9" t="s">
        <v>30</v>
      </c>
    </row>
    <row r="18262" ht="15.75" customHeight="1">
      <c r="A18262" s="7"/>
      <c r="B18262" s="7"/>
      <c r="M18262" s="9" t="s">
        <v>47</v>
      </c>
    </row>
    <row r="18263" ht="15.75" customHeight="1">
      <c r="A18263" s="7"/>
      <c r="B18263" s="7"/>
      <c r="M18263" s="9" t="s">
        <v>36</v>
      </c>
    </row>
    <row r="18264" ht="15.75" customHeight="1">
      <c r="A18264" s="7"/>
      <c r="B18264" s="7"/>
      <c r="M18264" s="9" t="s">
        <v>39</v>
      </c>
    </row>
    <row r="18265" ht="15.75" customHeight="1">
      <c r="A18265" s="7"/>
      <c r="B18265" s="7"/>
      <c r="M18265" s="9" t="s">
        <v>37</v>
      </c>
    </row>
    <row r="18266" ht="15.75" customHeight="1">
      <c r="A18266" s="7"/>
      <c r="B18266" s="7"/>
      <c r="M18266" s="9" t="s">
        <v>22</v>
      </c>
    </row>
    <row r="18267" ht="15.75" customHeight="1">
      <c r="A18267" s="7"/>
      <c r="B18267" s="7"/>
      <c r="M18267" s="9" t="s">
        <v>27</v>
      </c>
    </row>
    <row r="18268" ht="15.75" customHeight="1">
      <c r="A18268" s="7"/>
      <c r="B18268" s="7"/>
      <c r="M18268" s="9" t="s">
        <v>26</v>
      </c>
    </row>
    <row r="18269" ht="15.75" customHeight="1">
      <c r="A18269" s="7"/>
      <c r="B18269" s="7"/>
      <c r="M18269" s="9" t="s">
        <v>24</v>
      </c>
    </row>
    <row r="18270" ht="15.75" customHeight="1">
      <c r="A18270" s="7"/>
      <c r="B18270" s="7"/>
      <c r="M18270" s="9" t="s">
        <v>21</v>
      </c>
    </row>
    <row r="18271" ht="15.75" customHeight="1">
      <c r="A18271" s="7"/>
      <c r="B18271" s="7"/>
      <c r="M18271" s="9" t="s">
        <v>33</v>
      </c>
    </row>
    <row r="18272" ht="15.75" customHeight="1">
      <c r="A18272" s="7"/>
      <c r="B18272" s="7"/>
      <c r="M18272" s="9" t="s">
        <v>30</v>
      </c>
    </row>
    <row r="18273" ht="15.75" customHeight="1">
      <c r="A18273" s="7"/>
      <c r="B18273" s="7"/>
      <c r="M18273" s="9" t="s">
        <v>23</v>
      </c>
    </row>
    <row r="18274" ht="15.75" customHeight="1">
      <c r="A18274" s="7"/>
      <c r="B18274" s="7"/>
      <c r="M18274" s="9" t="s">
        <v>24</v>
      </c>
    </row>
    <row r="18275" ht="15.75" customHeight="1">
      <c r="A18275" s="7"/>
      <c r="B18275" s="7"/>
      <c r="M18275" s="9" t="s">
        <v>20</v>
      </c>
    </row>
    <row r="18276" ht="15.75" customHeight="1">
      <c r="A18276" s="7"/>
      <c r="B18276" s="7"/>
      <c r="M18276" s="9" t="s">
        <v>21</v>
      </c>
    </row>
    <row r="18277" ht="15.75" customHeight="1">
      <c r="A18277" s="7"/>
      <c r="B18277" s="7"/>
      <c r="M18277" s="9" t="s">
        <v>37</v>
      </c>
    </row>
    <row r="18278" ht="15.75" customHeight="1">
      <c r="A18278" s="7"/>
      <c r="B18278" s="7"/>
      <c r="M18278" s="9" t="s">
        <v>22</v>
      </c>
    </row>
    <row r="18279" ht="15.75" customHeight="1">
      <c r="A18279" s="7"/>
      <c r="B18279" s="7"/>
      <c r="M18279" s="9" t="s">
        <v>27</v>
      </c>
    </row>
    <row r="18280" ht="15.75" customHeight="1">
      <c r="A18280" s="7"/>
      <c r="B18280" s="7"/>
      <c r="M18280" s="9" t="s">
        <v>35</v>
      </c>
    </row>
    <row r="18281" ht="15.75" customHeight="1">
      <c r="A18281" s="7"/>
      <c r="B18281" s="7"/>
      <c r="M18281" s="9" t="s">
        <v>30</v>
      </c>
    </row>
    <row r="18282" ht="15.75" customHeight="1">
      <c r="A18282" s="7"/>
      <c r="B18282" s="7"/>
      <c r="M18282" s="9" t="s">
        <v>24</v>
      </c>
    </row>
    <row r="18283" ht="15.75" customHeight="1">
      <c r="A18283" s="7"/>
      <c r="B18283" s="7"/>
      <c r="M18283" s="9" t="s">
        <v>20</v>
      </c>
    </row>
    <row r="18284" ht="15.75" customHeight="1">
      <c r="A18284" s="7"/>
      <c r="B18284" s="7"/>
      <c r="M18284" s="9" t="s">
        <v>21</v>
      </c>
    </row>
    <row r="18285" ht="15.75" customHeight="1">
      <c r="A18285" s="7"/>
      <c r="B18285" s="7"/>
      <c r="M18285" s="9" t="s">
        <v>22</v>
      </c>
    </row>
    <row r="18286" ht="15.75" customHeight="1">
      <c r="A18286" s="7"/>
      <c r="B18286" s="7"/>
      <c r="M18286" s="9" t="s">
        <v>25</v>
      </c>
    </row>
    <row r="18287" ht="15.75" customHeight="1">
      <c r="A18287" s="7"/>
      <c r="B18287" s="7"/>
      <c r="M18287" s="9" t="s">
        <v>29</v>
      </c>
    </row>
    <row r="18288" ht="15.75" customHeight="1">
      <c r="A18288" s="7"/>
      <c r="B18288" s="7"/>
      <c r="M18288" s="9" t="s">
        <v>30</v>
      </c>
    </row>
    <row r="18289" ht="15.75" customHeight="1">
      <c r="A18289" s="7"/>
      <c r="B18289" s="7"/>
      <c r="M18289" s="9" t="s">
        <v>24</v>
      </c>
    </row>
    <row r="18290" ht="15.75" customHeight="1">
      <c r="A18290" s="7"/>
      <c r="B18290" s="7"/>
      <c r="M18290" s="9" t="s">
        <v>20</v>
      </c>
    </row>
    <row r="18291" ht="15.75" customHeight="1">
      <c r="A18291" s="7"/>
      <c r="B18291" s="7"/>
      <c r="M18291" s="9" t="s">
        <v>39</v>
      </c>
    </row>
    <row r="18292" ht="15.75" customHeight="1">
      <c r="A18292" s="7"/>
      <c r="B18292" s="7"/>
      <c r="M18292" s="9" t="s">
        <v>22</v>
      </c>
    </row>
    <row r="18293" ht="15.75" customHeight="1">
      <c r="A18293" s="7"/>
      <c r="B18293" s="7"/>
      <c r="M18293" s="9" t="s">
        <v>28</v>
      </c>
    </row>
    <row r="18294" ht="15.75" customHeight="1">
      <c r="A18294" s="7"/>
      <c r="B18294" s="7"/>
      <c r="M18294" s="9" t="s">
        <v>20</v>
      </c>
    </row>
    <row r="18295" ht="15.75" customHeight="1">
      <c r="A18295" s="7"/>
      <c r="B18295" s="7"/>
      <c r="M18295" s="9" t="s">
        <v>22</v>
      </c>
    </row>
    <row r="18296" ht="15.75" customHeight="1">
      <c r="A18296" s="7"/>
      <c r="B18296" s="7"/>
      <c r="M18296" s="9" t="s">
        <v>27</v>
      </c>
    </row>
    <row r="18297" ht="15.75" customHeight="1">
      <c r="A18297" s="7"/>
      <c r="B18297" s="7"/>
      <c r="M18297" s="9" t="s">
        <v>26</v>
      </c>
    </row>
    <row r="18298" ht="15.75" customHeight="1">
      <c r="A18298" s="7"/>
      <c r="B18298" s="7"/>
      <c r="M18298" s="9" t="s">
        <v>47</v>
      </c>
    </row>
    <row r="18299" ht="15.75" customHeight="1">
      <c r="A18299" s="7"/>
      <c r="B18299" s="7"/>
      <c r="M18299" s="9" t="s">
        <v>45</v>
      </c>
    </row>
    <row r="18300" ht="15.75" customHeight="1">
      <c r="A18300" s="7"/>
      <c r="B18300" s="7"/>
      <c r="M18300" s="9" t="s">
        <v>24</v>
      </c>
    </row>
    <row r="18301" ht="15.75" customHeight="1">
      <c r="A18301" s="7"/>
      <c r="B18301" s="7"/>
      <c r="M18301" s="9" t="s">
        <v>20</v>
      </c>
    </row>
    <row r="18302" ht="15.75" customHeight="1">
      <c r="A18302" s="7"/>
      <c r="B18302" s="7"/>
      <c r="M18302" s="9" t="s">
        <v>21</v>
      </c>
    </row>
    <row r="18303" ht="15.75" customHeight="1">
      <c r="A18303" s="7"/>
      <c r="B18303" s="7"/>
      <c r="M18303" s="9" t="s">
        <v>22</v>
      </c>
    </row>
    <row r="18304" ht="15.75" customHeight="1">
      <c r="A18304" s="7"/>
      <c r="B18304" s="7"/>
      <c r="M18304" s="9" t="s">
        <v>27</v>
      </c>
    </row>
    <row r="18305" ht="15.75" customHeight="1">
      <c r="A18305" s="7"/>
      <c r="B18305" s="7"/>
      <c r="M18305" s="9" t="s">
        <v>30</v>
      </c>
    </row>
    <row r="18306" ht="15.75" customHeight="1">
      <c r="A18306" s="7"/>
      <c r="B18306" s="7"/>
      <c r="M18306" s="9" t="s">
        <v>25</v>
      </c>
    </row>
    <row r="18307" ht="15.75" customHeight="1">
      <c r="A18307" s="7"/>
      <c r="B18307" s="7"/>
      <c r="M18307" s="9" t="s">
        <v>23</v>
      </c>
    </row>
    <row r="18308" ht="15.75" customHeight="1">
      <c r="A18308" s="7"/>
      <c r="B18308" s="7"/>
      <c r="M18308" s="9" t="s">
        <v>24</v>
      </c>
    </row>
    <row r="18309" ht="15.75" customHeight="1">
      <c r="A18309" s="7"/>
      <c r="B18309" s="7"/>
      <c r="M18309" s="9" t="s">
        <v>20</v>
      </c>
    </row>
    <row r="18310" ht="15.75" customHeight="1">
      <c r="A18310" s="7"/>
      <c r="B18310" s="7"/>
      <c r="M18310" s="9" t="s">
        <v>21</v>
      </c>
    </row>
    <row r="18311" ht="15.75" customHeight="1">
      <c r="A18311" s="7"/>
      <c r="B18311" s="7"/>
      <c r="M18311" s="9" t="s">
        <v>37</v>
      </c>
    </row>
    <row r="18312" ht="15.75" customHeight="1">
      <c r="A18312" s="7"/>
      <c r="B18312" s="7"/>
      <c r="M18312" s="9" t="s">
        <v>22</v>
      </c>
    </row>
    <row r="18313" ht="15.75" customHeight="1">
      <c r="A18313" s="7"/>
      <c r="B18313" s="7"/>
      <c r="M18313" s="9" t="s">
        <v>29</v>
      </c>
    </row>
    <row r="18314" ht="15.75" customHeight="1">
      <c r="A18314" s="7"/>
      <c r="B18314" s="7"/>
      <c r="M18314" s="9" t="s">
        <v>27</v>
      </c>
    </row>
    <row r="18315" ht="15.75" customHeight="1">
      <c r="A18315" s="7"/>
      <c r="B18315" s="7"/>
      <c r="M18315" s="9" t="s">
        <v>28</v>
      </c>
    </row>
    <row r="18316" ht="15.75" customHeight="1">
      <c r="A18316" s="7"/>
      <c r="B18316" s="7"/>
      <c r="M18316" s="9" t="s">
        <v>30</v>
      </c>
    </row>
    <row r="18317" ht="15.75" customHeight="1">
      <c r="A18317" s="7"/>
      <c r="B18317" s="7"/>
      <c r="M18317" s="9" t="s">
        <v>25</v>
      </c>
    </row>
    <row r="18318" ht="15.75" customHeight="1">
      <c r="A18318" s="7"/>
      <c r="B18318" s="7"/>
      <c r="M18318" s="9" t="s">
        <v>24</v>
      </c>
    </row>
    <row r="18319" ht="15.75" customHeight="1">
      <c r="A18319" s="7"/>
      <c r="B18319" s="7"/>
      <c r="M18319" s="9" t="s">
        <v>21</v>
      </c>
    </row>
    <row r="18320" ht="15.75" customHeight="1">
      <c r="A18320" s="7"/>
      <c r="B18320" s="7"/>
      <c r="M18320" s="9" t="s">
        <v>22</v>
      </c>
    </row>
    <row r="18321" ht="15.75" customHeight="1">
      <c r="A18321" s="7"/>
      <c r="B18321" s="7"/>
      <c r="M18321" s="9" t="s">
        <v>32</v>
      </c>
    </row>
    <row r="18322" ht="15.75" customHeight="1">
      <c r="A18322" s="7"/>
      <c r="B18322" s="7"/>
      <c r="M18322" s="9" t="s">
        <v>40</v>
      </c>
    </row>
    <row r="18323" ht="15.75" customHeight="1">
      <c r="A18323" s="7"/>
      <c r="B18323" s="7"/>
      <c r="M18323" s="9" t="s">
        <v>33</v>
      </c>
    </row>
    <row r="18324" ht="15.75" customHeight="1">
      <c r="A18324" s="7"/>
      <c r="B18324" s="7"/>
      <c r="M18324" s="9" t="s">
        <v>25</v>
      </c>
    </row>
    <row r="18325" ht="15.75" customHeight="1">
      <c r="A18325" s="7"/>
      <c r="B18325" s="7"/>
      <c r="M18325" s="9" t="s">
        <v>23</v>
      </c>
    </row>
    <row r="18326" ht="15.75" customHeight="1">
      <c r="A18326" s="7"/>
      <c r="B18326" s="7"/>
      <c r="M18326" s="9" t="s">
        <v>26</v>
      </c>
    </row>
    <row r="18327" ht="15.75" customHeight="1">
      <c r="A18327" s="7"/>
      <c r="B18327" s="7"/>
      <c r="M18327" s="9" t="s">
        <v>27</v>
      </c>
    </row>
    <row r="18328" ht="15.75" customHeight="1">
      <c r="A18328" s="7"/>
      <c r="B18328" s="7"/>
      <c r="M18328" s="9" t="s">
        <v>28</v>
      </c>
    </row>
    <row r="18329" ht="15.75" customHeight="1">
      <c r="A18329" s="7"/>
      <c r="B18329" s="7"/>
      <c r="M18329" s="9" t="s">
        <v>30</v>
      </c>
    </row>
    <row r="18330" ht="15.75" customHeight="1">
      <c r="A18330" s="7"/>
      <c r="B18330" s="7"/>
      <c r="M18330" s="9" t="s">
        <v>36</v>
      </c>
    </row>
    <row r="18331" ht="15.75" customHeight="1">
      <c r="A18331" s="7"/>
      <c r="B18331" s="7"/>
      <c r="M18331" s="9" t="s">
        <v>24</v>
      </c>
    </row>
    <row r="18332" ht="15.75" customHeight="1">
      <c r="A18332" s="7"/>
      <c r="B18332" s="7"/>
      <c r="M18332" s="9" t="s">
        <v>20</v>
      </c>
    </row>
    <row r="18333" ht="15.75" customHeight="1">
      <c r="A18333" s="7"/>
      <c r="B18333" s="7"/>
      <c r="M18333" s="9" t="s">
        <v>21</v>
      </c>
    </row>
    <row r="18334" ht="15.75" customHeight="1">
      <c r="A18334" s="7"/>
      <c r="B18334" s="7"/>
      <c r="M18334" s="9" t="s">
        <v>22</v>
      </c>
    </row>
    <row r="18335" ht="15.75" customHeight="1">
      <c r="A18335" s="7"/>
      <c r="B18335" s="7"/>
      <c r="M18335" s="9" t="s">
        <v>31</v>
      </c>
    </row>
    <row r="18336" ht="15.75" customHeight="1">
      <c r="A18336" s="7"/>
      <c r="B18336" s="7"/>
      <c r="M18336" s="9" t="s">
        <v>30</v>
      </c>
    </row>
    <row r="18337" ht="15.75" customHeight="1">
      <c r="A18337" s="7"/>
      <c r="B18337" s="7"/>
      <c r="M18337" s="9" t="s">
        <v>23</v>
      </c>
    </row>
    <row r="18338" ht="15.75" customHeight="1">
      <c r="A18338" s="7"/>
      <c r="B18338" s="7"/>
      <c r="M18338" s="9" t="s">
        <v>26</v>
      </c>
    </row>
    <row r="18339" ht="15.75" customHeight="1">
      <c r="A18339" s="7"/>
      <c r="B18339" s="7"/>
      <c r="M18339" s="9" t="s">
        <v>36</v>
      </c>
    </row>
    <row r="18340" ht="15.75" customHeight="1">
      <c r="A18340" s="7"/>
      <c r="B18340" s="7"/>
      <c r="M18340" s="9" t="s">
        <v>21</v>
      </c>
    </row>
    <row r="18341" ht="15.75" customHeight="1">
      <c r="A18341" s="7"/>
      <c r="B18341" s="7"/>
      <c r="M18341" s="9" t="s">
        <v>37</v>
      </c>
    </row>
    <row r="18342" ht="15.75" customHeight="1">
      <c r="A18342" s="7"/>
      <c r="B18342" s="7"/>
      <c r="M18342" s="9" t="s">
        <v>27</v>
      </c>
    </row>
    <row r="18343" ht="15.75" customHeight="1">
      <c r="A18343" s="7"/>
      <c r="B18343" s="7"/>
      <c r="M18343" s="9" t="s">
        <v>33</v>
      </c>
    </row>
    <row r="18344" ht="15.75" customHeight="1">
      <c r="A18344" s="7"/>
      <c r="B18344" s="7"/>
      <c r="M18344" s="9" t="s">
        <v>24</v>
      </c>
    </row>
    <row r="18345" ht="15.75" customHeight="1">
      <c r="A18345" s="7"/>
      <c r="B18345" s="7"/>
      <c r="M18345" s="9" t="s">
        <v>21</v>
      </c>
    </row>
    <row r="18346" ht="15.75" customHeight="1">
      <c r="A18346" s="7"/>
      <c r="B18346" s="7"/>
      <c r="M18346" s="9" t="s">
        <v>27</v>
      </c>
    </row>
    <row r="18347" ht="15.75" customHeight="1">
      <c r="A18347" s="7"/>
      <c r="B18347" s="7"/>
      <c r="M18347" s="9" t="s">
        <v>23</v>
      </c>
    </row>
    <row r="18348" ht="15.75" customHeight="1">
      <c r="A18348" s="7"/>
      <c r="B18348" s="7"/>
      <c r="M18348" s="9" t="s">
        <v>36</v>
      </c>
    </row>
    <row r="18349" ht="15.75" customHeight="1">
      <c r="A18349" s="7"/>
      <c r="B18349" s="7"/>
      <c r="M18349" s="9" t="s">
        <v>20</v>
      </c>
    </row>
    <row r="18350" ht="15.75" customHeight="1">
      <c r="A18350" s="7"/>
      <c r="B18350" s="7"/>
      <c r="M18350" s="9" t="s">
        <v>22</v>
      </c>
    </row>
    <row r="18351" ht="15.75" customHeight="1">
      <c r="A18351" s="7"/>
      <c r="B18351" s="7"/>
      <c r="M18351" s="9" t="s">
        <v>46</v>
      </c>
    </row>
    <row r="18352" ht="15.75" customHeight="1">
      <c r="A18352" s="7"/>
      <c r="B18352" s="7"/>
      <c r="M18352" s="9" t="s">
        <v>27</v>
      </c>
    </row>
    <row r="18353" ht="15.75" customHeight="1">
      <c r="A18353" s="7"/>
      <c r="B18353" s="7"/>
      <c r="M18353" s="9" t="s">
        <v>40</v>
      </c>
    </row>
    <row r="18354" ht="15.75" customHeight="1">
      <c r="A18354" s="7"/>
      <c r="B18354" s="7"/>
      <c r="M18354" s="9" t="s">
        <v>35</v>
      </c>
    </row>
    <row r="18355" ht="15.75" customHeight="1">
      <c r="A18355" s="7"/>
      <c r="B18355" s="7"/>
      <c r="M18355" s="9" t="s">
        <v>38</v>
      </c>
    </row>
    <row r="18356" ht="15.75" customHeight="1">
      <c r="A18356" s="7"/>
      <c r="B18356" s="7"/>
      <c r="M18356" s="9" t="s">
        <v>30</v>
      </c>
    </row>
    <row r="18357" ht="15.75" customHeight="1">
      <c r="A18357" s="7"/>
      <c r="B18357" s="7"/>
      <c r="M18357" s="9" t="s">
        <v>25</v>
      </c>
    </row>
    <row r="18358" ht="15.75" customHeight="1">
      <c r="A18358" s="7"/>
      <c r="B18358" s="7"/>
      <c r="M18358" s="9" t="s">
        <v>23</v>
      </c>
    </row>
    <row r="18359" ht="15.75" customHeight="1">
      <c r="A18359" s="7"/>
      <c r="B18359" s="7"/>
      <c r="M18359" s="9" t="s">
        <v>24</v>
      </c>
    </row>
    <row r="18360" ht="15.75" customHeight="1">
      <c r="A18360" s="7"/>
      <c r="B18360" s="7"/>
      <c r="M18360" s="9" t="s">
        <v>20</v>
      </c>
    </row>
    <row r="18361" ht="15.75" customHeight="1">
      <c r="A18361" s="7"/>
      <c r="B18361" s="7"/>
      <c r="M18361" s="9" t="s">
        <v>21</v>
      </c>
    </row>
    <row r="18362" ht="15.75" customHeight="1">
      <c r="A18362" s="7"/>
      <c r="B18362" s="7"/>
      <c r="M18362" s="9" t="s">
        <v>37</v>
      </c>
    </row>
    <row r="18363" ht="15.75" customHeight="1">
      <c r="A18363" s="7"/>
      <c r="B18363" s="7"/>
      <c r="M18363" s="9" t="s">
        <v>22</v>
      </c>
    </row>
    <row r="18364" ht="15.75" customHeight="1">
      <c r="A18364" s="7"/>
      <c r="B18364" s="7"/>
      <c r="M18364" s="9" t="s">
        <v>27</v>
      </c>
    </row>
    <row r="18365" ht="15.75" customHeight="1">
      <c r="A18365" s="7"/>
      <c r="B18365" s="7"/>
      <c r="M18365" s="9" t="s">
        <v>40</v>
      </c>
    </row>
    <row r="18366" ht="15.75" customHeight="1">
      <c r="A18366" s="7"/>
      <c r="B18366" s="7"/>
      <c r="M18366" s="9" t="s">
        <v>30</v>
      </c>
    </row>
    <row r="18367" ht="15.75" customHeight="1">
      <c r="A18367" s="7"/>
      <c r="B18367" s="7"/>
      <c r="M18367" s="9" t="s">
        <v>26</v>
      </c>
    </row>
    <row r="18368" ht="15.75" customHeight="1">
      <c r="A18368" s="7"/>
      <c r="B18368" s="7"/>
      <c r="M18368" s="9" t="s">
        <v>24</v>
      </c>
    </row>
    <row r="18369" ht="15.75" customHeight="1">
      <c r="A18369" s="7"/>
      <c r="B18369" s="7"/>
      <c r="M18369" s="9" t="s">
        <v>20</v>
      </c>
    </row>
    <row r="18370" ht="15.75" customHeight="1">
      <c r="A18370" s="7"/>
      <c r="B18370" s="7"/>
      <c r="M18370" s="9" t="s">
        <v>21</v>
      </c>
    </row>
    <row r="18371" ht="15.75" customHeight="1">
      <c r="A18371" s="7"/>
      <c r="B18371" s="7"/>
      <c r="M18371" s="9" t="s">
        <v>37</v>
      </c>
    </row>
    <row r="18372" ht="15.75" customHeight="1">
      <c r="A18372" s="7"/>
      <c r="B18372" s="7"/>
      <c r="M18372" s="9" t="s">
        <v>22</v>
      </c>
    </row>
    <row r="18373" ht="15.75" customHeight="1">
      <c r="A18373" s="7"/>
      <c r="B18373" s="7"/>
      <c r="M18373" s="9" t="s">
        <v>27</v>
      </c>
    </row>
    <row r="18374" ht="15.75" customHeight="1">
      <c r="A18374" s="7"/>
      <c r="B18374" s="7"/>
      <c r="M18374" s="9" t="s">
        <v>20</v>
      </c>
    </row>
    <row r="18375" ht="15.75" customHeight="1">
      <c r="A18375" s="7"/>
      <c r="B18375" s="7"/>
      <c r="M18375" s="9" t="s">
        <v>25</v>
      </c>
    </row>
    <row r="18376" ht="15.75" customHeight="1">
      <c r="A18376" s="7"/>
      <c r="B18376" s="7"/>
      <c r="M18376" s="9" t="s">
        <v>36</v>
      </c>
    </row>
    <row r="18377" ht="15.75" customHeight="1">
      <c r="A18377" s="7"/>
      <c r="B18377" s="7"/>
      <c r="M18377" s="9" t="s">
        <v>21</v>
      </c>
    </row>
    <row r="18378" ht="15.75" customHeight="1">
      <c r="A18378" s="7"/>
      <c r="B18378" s="7"/>
      <c r="M18378" s="9" t="s">
        <v>22</v>
      </c>
    </row>
    <row r="18379" ht="15.75" customHeight="1">
      <c r="A18379" s="7"/>
      <c r="B18379" s="7"/>
      <c r="M18379" s="9" t="s">
        <v>46</v>
      </c>
    </row>
    <row r="18380" ht="15.75" customHeight="1">
      <c r="A18380" s="7"/>
      <c r="B18380" s="7"/>
      <c r="M18380" s="9" t="s">
        <v>35</v>
      </c>
    </row>
    <row r="18381" ht="15.75" customHeight="1">
      <c r="A18381" s="7"/>
      <c r="B18381" s="7"/>
      <c r="M18381" s="9" t="s">
        <v>24</v>
      </c>
    </row>
    <row r="18382" ht="15.75" customHeight="1">
      <c r="A18382" s="7"/>
      <c r="B18382" s="7"/>
      <c r="M18382" s="9" t="s">
        <v>21</v>
      </c>
    </row>
    <row r="18383" ht="15.75" customHeight="1">
      <c r="A18383" s="7"/>
      <c r="B18383" s="7"/>
      <c r="M18383" s="9" t="s">
        <v>37</v>
      </c>
    </row>
    <row r="18384" ht="15.75" customHeight="1">
      <c r="A18384" s="7"/>
      <c r="B18384" s="7"/>
      <c r="M18384" s="9" t="s">
        <v>27</v>
      </c>
    </row>
    <row r="18385" ht="15.75" customHeight="1">
      <c r="A18385" s="7"/>
      <c r="B18385" s="7"/>
      <c r="M18385" s="9" t="s">
        <v>30</v>
      </c>
    </row>
    <row r="18386" ht="15.75" customHeight="1">
      <c r="A18386" s="7"/>
      <c r="B18386" s="7"/>
      <c r="M18386" s="9" t="s">
        <v>25</v>
      </c>
    </row>
    <row r="18387" ht="15.75" customHeight="1">
      <c r="A18387" s="7"/>
      <c r="B18387" s="7"/>
      <c r="M18387" s="9" t="s">
        <v>23</v>
      </c>
    </row>
    <row r="18388" ht="15.75" customHeight="1">
      <c r="A18388" s="7"/>
      <c r="B18388" s="7"/>
      <c r="M18388" s="9" t="s">
        <v>24</v>
      </c>
    </row>
    <row r="18389" ht="15.75" customHeight="1">
      <c r="A18389" s="7"/>
      <c r="B18389" s="7"/>
      <c r="M18389" s="9" t="s">
        <v>20</v>
      </c>
    </row>
    <row r="18390" ht="15.75" customHeight="1">
      <c r="A18390" s="7"/>
      <c r="B18390" s="7"/>
      <c r="M18390" s="9" t="s">
        <v>21</v>
      </c>
    </row>
    <row r="18391" ht="15.75" customHeight="1">
      <c r="A18391" s="7"/>
      <c r="B18391" s="7"/>
      <c r="M18391" s="9" t="s">
        <v>22</v>
      </c>
    </row>
    <row r="18392" ht="15.75" customHeight="1">
      <c r="A18392" s="7"/>
      <c r="B18392" s="7"/>
      <c r="M18392" s="9" t="s">
        <v>24</v>
      </c>
    </row>
    <row r="18393" ht="15.75" customHeight="1">
      <c r="A18393" s="7"/>
      <c r="B18393" s="7"/>
      <c r="M18393" s="9" t="s">
        <v>21</v>
      </c>
    </row>
    <row r="18394" ht="15.75" customHeight="1">
      <c r="A18394" s="7"/>
      <c r="B18394" s="7"/>
      <c r="M18394" s="9" t="s">
        <v>22</v>
      </c>
    </row>
    <row r="18395" ht="15.75" customHeight="1">
      <c r="A18395" s="7"/>
      <c r="B18395" s="7"/>
      <c r="M18395" s="9" t="s">
        <v>27</v>
      </c>
    </row>
    <row r="18396" ht="15.75" customHeight="1">
      <c r="A18396" s="7"/>
      <c r="B18396" s="7"/>
      <c r="M18396" s="9" t="s">
        <v>38</v>
      </c>
    </row>
    <row r="18397" ht="15.75" customHeight="1">
      <c r="A18397" s="7"/>
      <c r="B18397" s="7"/>
      <c r="M18397" s="9" t="s">
        <v>25</v>
      </c>
    </row>
    <row r="18398" ht="15.75" customHeight="1">
      <c r="A18398" s="7"/>
      <c r="B18398" s="7"/>
      <c r="M18398" s="9" t="s">
        <v>23</v>
      </c>
    </row>
    <row r="18399" ht="15.75" customHeight="1">
      <c r="A18399" s="7"/>
      <c r="B18399" s="7"/>
      <c r="M18399" s="9" t="s">
        <v>20</v>
      </c>
    </row>
    <row r="18400" ht="15.75" customHeight="1">
      <c r="A18400" s="7"/>
      <c r="B18400" s="7"/>
      <c r="M18400" s="9" t="s">
        <v>27</v>
      </c>
    </row>
    <row r="18401" ht="15.75" customHeight="1">
      <c r="A18401" s="7"/>
      <c r="B18401" s="7"/>
      <c r="M18401" s="9" t="s">
        <v>28</v>
      </c>
    </row>
    <row r="18402" ht="15.75" customHeight="1">
      <c r="A18402" s="7"/>
      <c r="B18402" s="7"/>
      <c r="M18402" s="9" t="s">
        <v>24</v>
      </c>
    </row>
    <row r="18403" ht="15.75" customHeight="1">
      <c r="A18403" s="7"/>
      <c r="B18403" s="7"/>
      <c r="M18403" s="9" t="s">
        <v>20</v>
      </c>
    </row>
    <row r="18404" ht="15.75" customHeight="1">
      <c r="A18404" s="7"/>
      <c r="B18404" s="7"/>
      <c r="M18404" s="9" t="s">
        <v>21</v>
      </c>
    </row>
    <row r="18405" ht="15.75" customHeight="1">
      <c r="A18405" s="7"/>
      <c r="B18405" s="7"/>
      <c r="M18405" s="9" t="s">
        <v>41</v>
      </c>
    </row>
    <row r="18406" ht="15.75" customHeight="1">
      <c r="A18406" s="7"/>
      <c r="B18406" s="7"/>
      <c r="M18406" s="9" t="s">
        <v>27</v>
      </c>
    </row>
    <row r="18407" ht="15.75" customHeight="1">
      <c r="A18407" s="7"/>
      <c r="B18407" s="7"/>
      <c r="M18407" s="9" t="s">
        <v>40</v>
      </c>
    </row>
    <row r="18408" ht="15.75" customHeight="1">
      <c r="A18408" s="7"/>
      <c r="B18408" s="7"/>
      <c r="M18408" s="9" t="s">
        <v>33</v>
      </c>
    </row>
    <row r="18409" ht="15.75" customHeight="1">
      <c r="A18409" s="7"/>
      <c r="B18409" s="7"/>
      <c r="M18409" s="9" t="s">
        <v>23</v>
      </c>
    </row>
    <row r="18410" ht="15.75" customHeight="1">
      <c r="A18410" s="7"/>
      <c r="B18410" s="7"/>
      <c r="M18410" s="9" t="s">
        <v>26</v>
      </c>
    </row>
    <row r="18411" ht="15.75" customHeight="1">
      <c r="A18411" s="7"/>
      <c r="B18411" s="7"/>
      <c r="M18411" s="9" t="s">
        <v>47</v>
      </c>
    </row>
    <row r="18412" ht="15.75" customHeight="1">
      <c r="A18412" s="7"/>
      <c r="B18412" s="7"/>
      <c r="M18412" s="9" t="s">
        <v>36</v>
      </c>
    </row>
    <row r="18413" ht="15.75" customHeight="1">
      <c r="A18413" s="7"/>
      <c r="B18413" s="7"/>
      <c r="M18413" s="9" t="s">
        <v>24</v>
      </c>
    </row>
    <row r="18414" ht="15.75" customHeight="1">
      <c r="A18414" s="7"/>
      <c r="B18414" s="7"/>
      <c r="M18414" s="9" t="s">
        <v>20</v>
      </c>
    </row>
    <row r="18415" ht="15.75" customHeight="1">
      <c r="A18415" s="7"/>
      <c r="B18415" s="7"/>
      <c r="M18415" s="9" t="s">
        <v>21</v>
      </c>
    </row>
    <row r="18416" ht="15.75" customHeight="1">
      <c r="A18416" s="7"/>
      <c r="B18416" s="7"/>
      <c r="M18416" s="9" t="s">
        <v>37</v>
      </c>
    </row>
    <row r="18417" ht="15.75" customHeight="1">
      <c r="A18417" s="7"/>
      <c r="B18417" s="7"/>
      <c r="M18417" s="9" t="s">
        <v>22</v>
      </c>
    </row>
    <row r="18418" ht="15.75" customHeight="1">
      <c r="A18418" s="7"/>
      <c r="B18418" s="7"/>
      <c r="M18418" s="9" t="s">
        <v>31</v>
      </c>
    </row>
    <row r="18419" ht="15.75" customHeight="1">
      <c r="A18419" s="7"/>
      <c r="B18419" s="7"/>
      <c r="M18419" s="9" t="s">
        <v>27</v>
      </c>
    </row>
    <row r="18420" ht="15.75" customHeight="1">
      <c r="A18420" s="7"/>
      <c r="B18420" s="7"/>
      <c r="M18420" s="9" t="s">
        <v>28</v>
      </c>
    </row>
    <row r="18421" ht="15.75" customHeight="1">
      <c r="A18421" s="7"/>
      <c r="B18421" s="7"/>
      <c r="M18421" s="9" t="s">
        <v>24</v>
      </c>
    </row>
    <row r="18422" ht="15.75" customHeight="1">
      <c r="A18422" s="7"/>
      <c r="B18422" s="7"/>
      <c r="M18422" s="9" t="s">
        <v>20</v>
      </c>
    </row>
    <row r="18423" ht="15.75" customHeight="1">
      <c r="A18423" s="7"/>
      <c r="B18423" s="7"/>
      <c r="M18423" s="9" t="s">
        <v>21</v>
      </c>
    </row>
    <row r="18424" ht="15.75" customHeight="1">
      <c r="A18424" s="7"/>
      <c r="B18424" s="7"/>
      <c r="M18424" s="9" t="s">
        <v>37</v>
      </c>
    </row>
    <row r="18425" ht="15.75" customHeight="1">
      <c r="A18425" s="7"/>
      <c r="B18425" s="7"/>
      <c r="M18425" s="9" t="s">
        <v>27</v>
      </c>
    </row>
    <row r="18426" ht="15.75" customHeight="1">
      <c r="A18426" s="7"/>
      <c r="B18426" s="7"/>
      <c r="M18426" s="9" t="s">
        <v>38</v>
      </c>
    </row>
    <row r="18427" ht="15.75" customHeight="1">
      <c r="A18427" s="7"/>
      <c r="B18427" s="7"/>
      <c r="M18427" s="9" t="s">
        <v>25</v>
      </c>
    </row>
    <row r="18428" ht="15.75" customHeight="1">
      <c r="A18428" s="7"/>
      <c r="B18428" s="7"/>
      <c r="M18428" s="9" t="s">
        <v>23</v>
      </c>
    </row>
    <row r="18429" ht="15.75" customHeight="1">
      <c r="A18429" s="7"/>
      <c r="B18429" s="7"/>
      <c r="M18429" s="9" t="s">
        <v>26</v>
      </c>
    </row>
    <row r="18430" ht="15.75" customHeight="1">
      <c r="A18430" s="7"/>
      <c r="B18430" s="7"/>
      <c r="M18430" s="9" t="s">
        <v>24</v>
      </c>
    </row>
    <row r="18431" ht="15.75" customHeight="1">
      <c r="A18431" s="7"/>
      <c r="B18431" s="7"/>
      <c r="M18431" s="9" t="s">
        <v>20</v>
      </c>
    </row>
    <row r="18432" ht="15.75" customHeight="1">
      <c r="A18432" s="7"/>
      <c r="B18432" s="7"/>
      <c r="M18432" s="9" t="s">
        <v>21</v>
      </c>
    </row>
    <row r="18433" ht="15.75" customHeight="1">
      <c r="A18433" s="7"/>
      <c r="B18433" s="7"/>
      <c r="M18433" s="9" t="s">
        <v>27</v>
      </c>
    </row>
    <row r="18434" ht="15.75" customHeight="1">
      <c r="A18434" s="7"/>
      <c r="B18434" s="7"/>
      <c r="M18434" s="9" t="s">
        <v>30</v>
      </c>
    </row>
    <row r="18435" ht="15.75" customHeight="1">
      <c r="A18435" s="7"/>
      <c r="B18435" s="7"/>
      <c r="M18435" s="9" t="s">
        <v>20</v>
      </c>
    </row>
    <row r="18436" ht="15.75" customHeight="1">
      <c r="A18436" s="7"/>
      <c r="B18436" s="7"/>
      <c r="M18436" s="9" t="s">
        <v>21</v>
      </c>
    </row>
    <row r="18437" ht="15.75" customHeight="1">
      <c r="A18437" s="7"/>
      <c r="B18437" s="7"/>
      <c r="M18437" s="9" t="s">
        <v>27</v>
      </c>
    </row>
    <row r="18438" ht="15.75" customHeight="1">
      <c r="A18438" s="7"/>
      <c r="B18438" s="7"/>
      <c r="M18438" s="9" t="s">
        <v>23</v>
      </c>
    </row>
    <row r="18439" ht="15.75" customHeight="1">
      <c r="A18439" s="7"/>
      <c r="B18439" s="7"/>
      <c r="M18439" s="9" t="s">
        <v>26</v>
      </c>
    </row>
    <row r="18440" ht="15.75" customHeight="1">
      <c r="A18440" s="7"/>
      <c r="B18440" s="7"/>
      <c r="M18440" s="9" t="s">
        <v>24</v>
      </c>
    </row>
    <row r="18441" ht="15.75" customHeight="1">
      <c r="A18441" s="7"/>
      <c r="B18441" s="7"/>
      <c r="M18441" s="9" t="s">
        <v>21</v>
      </c>
    </row>
    <row r="18442" ht="15.75" customHeight="1">
      <c r="A18442" s="7"/>
      <c r="B18442" s="7"/>
      <c r="M18442" s="9" t="s">
        <v>22</v>
      </c>
    </row>
    <row r="18443" ht="15.75" customHeight="1">
      <c r="A18443" s="7"/>
      <c r="B18443" s="7"/>
      <c r="M18443" s="9" t="s">
        <v>33</v>
      </c>
    </row>
    <row r="18444" ht="15.75" customHeight="1">
      <c r="A18444" s="7"/>
      <c r="B18444" s="7"/>
      <c r="M18444" s="9" t="s">
        <v>24</v>
      </c>
    </row>
    <row r="18445" ht="15.75" customHeight="1">
      <c r="A18445" s="7"/>
      <c r="B18445" s="7"/>
      <c r="M18445" s="9" t="s">
        <v>21</v>
      </c>
    </row>
    <row r="18446" ht="15.75" customHeight="1">
      <c r="A18446" s="7"/>
      <c r="B18446" s="7"/>
      <c r="M18446" s="9" t="s">
        <v>22</v>
      </c>
    </row>
    <row r="18447" ht="15.75" customHeight="1">
      <c r="A18447" s="7"/>
      <c r="B18447" s="7"/>
      <c r="M18447" s="9" t="s">
        <v>27</v>
      </c>
    </row>
    <row r="18448" ht="15.75" customHeight="1">
      <c r="A18448" s="7"/>
      <c r="B18448" s="7"/>
      <c r="M18448" s="9" t="s">
        <v>28</v>
      </c>
    </row>
    <row r="18449" ht="15.75" customHeight="1">
      <c r="A18449" s="7"/>
      <c r="B18449" s="7"/>
      <c r="M18449" s="9" t="s">
        <v>36</v>
      </c>
    </row>
    <row r="18450" ht="15.75" customHeight="1">
      <c r="A18450" s="7"/>
      <c r="B18450" s="7"/>
      <c r="M18450" s="9" t="s">
        <v>20</v>
      </c>
    </row>
    <row r="18451" ht="15.75" customHeight="1">
      <c r="A18451" s="7"/>
      <c r="B18451" s="7"/>
      <c r="M18451" s="9" t="s">
        <v>30</v>
      </c>
    </row>
    <row r="18452" ht="15.75" customHeight="1">
      <c r="A18452" s="7"/>
      <c r="B18452" s="7"/>
      <c r="M18452" s="9" t="s">
        <v>26</v>
      </c>
    </row>
    <row r="18453" ht="15.75" customHeight="1">
      <c r="A18453" s="7"/>
      <c r="B18453" s="7"/>
      <c r="M18453" s="9" t="s">
        <v>20</v>
      </c>
    </row>
    <row r="18454" ht="15.75" customHeight="1">
      <c r="A18454" s="7"/>
      <c r="B18454" s="7"/>
      <c r="M18454" s="9" t="s">
        <v>31</v>
      </c>
    </row>
    <row r="18455" ht="15.75" customHeight="1">
      <c r="A18455" s="7"/>
      <c r="B18455" s="7"/>
      <c r="M18455" s="9" t="s">
        <v>35</v>
      </c>
    </row>
    <row r="18456" ht="15.75" customHeight="1">
      <c r="A18456" s="7"/>
      <c r="B18456" s="7"/>
      <c r="M18456" s="9" t="s">
        <v>30</v>
      </c>
    </row>
    <row r="18457" ht="15.75" customHeight="1">
      <c r="A18457" s="7"/>
      <c r="B18457" s="7"/>
      <c r="M18457" s="9" t="s">
        <v>25</v>
      </c>
    </row>
    <row r="18458" ht="15.75" customHeight="1">
      <c r="A18458" s="7"/>
      <c r="B18458" s="7"/>
      <c r="M18458" s="9" t="s">
        <v>23</v>
      </c>
    </row>
    <row r="18459" ht="15.75" customHeight="1">
      <c r="A18459" s="7"/>
      <c r="B18459" s="7"/>
      <c r="M18459" s="9" t="s">
        <v>20</v>
      </c>
    </row>
    <row r="18460" ht="15.75" customHeight="1">
      <c r="A18460" s="7"/>
      <c r="B18460" s="7"/>
      <c r="M18460" s="9" t="s">
        <v>29</v>
      </c>
    </row>
    <row r="18461" ht="15.75" customHeight="1">
      <c r="A18461" s="7"/>
      <c r="B18461" s="7"/>
      <c r="M18461" s="9" t="s">
        <v>24</v>
      </c>
    </row>
    <row r="18462" ht="15.75" customHeight="1">
      <c r="A18462" s="7"/>
      <c r="B18462" s="7"/>
      <c r="M18462" s="9" t="s">
        <v>20</v>
      </c>
    </row>
    <row r="18463" ht="15.75" customHeight="1">
      <c r="A18463" s="7"/>
      <c r="B18463" s="7"/>
      <c r="M18463" s="9" t="s">
        <v>21</v>
      </c>
    </row>
    <row r="18464" ht="15.75" customHeight="1">
      <c r="A18464" s="7"/>
      <c r="B18464" s="7"/>
      <c r="M18464" s="9" t="s">
        <v>37</v>
      </c>
    </row>
    <row r="18465" ht="15.75" customHeight="1">
      <c r="A18465" s="7"/>
      <c r="B18465" s="7"/>
      <c r="M18465" s="9" t="s">
        <v>31</v>
      </c>
    </row>
    <row r="18466" ht="15.75" customHeight="1">
      <c r="A18466" s="7"/>
      <c r="B18466" s="7"/>
      <c r="M18466" s="9" t="s">
        <v>30</v>
      </c>
    </row>
    <row r="18467" ht="15.75" customHeight="1">
      <c r="A18467" s="7"/>
      <c r="B18467" s="7"/>
      <c r="M18467" s="9" t="s">
        <v>26</v>
      </c>
    </row>
    <row r="18468" ht="15.75" customHeight="1">
      <c r="A18468" s="7"/>
      <c r="B18468" s="7"/>
      <c r="M18468" s="9" t="s">
        <v>44</v>
      </c>
    </row>
    <row r="18469" ht="15.75" customHeight="1">
      <c r="A18469" s="7"/>
      <c r="B18469" s="7"/>
      <c r="M18469" s="9" t="s">
        <v>24</v>
      </c>
    </row>
    <row r="18470" ht="15.75" customHeight="1">
      <c r="A18470" s="7"/>
      <c r="B18470" s="7"/>
      <c r="M18470" s="9" t="s">
        <v>37</v>
      </c>
    </row>
    <row r="18471" ht="15.75" customHeight="1">
      <c r="A18471" s="7"/>
      <c r="B18471" s="7"/>
      <c r="M18471" s="9" t="s">
        <v>22</v>
      </c>
    </row>
    <row r="18472" ht="15.75" customHeight="1">
      <c r="A18472" s="7"/>
      <c r="B18472" s="7"/>
      <c r="M18472" s="9" t="s">
        <v>27</v>
      </c>
    </row>
    <row r="18473" ht="15.75" customHeight="1">
      <c r="A18473" s="7"/>
      <c r="B18473" s="7"/>
      <c r="M18473" s="9" t="s">
        <v>33</v>
      </c>
    </row>
    <row r="18474" ht="15.75" customHeight="1">
      <c r="A18474" s="7"/>
      <c r="B18474" s="7"/>
      <c r="M18474" s="9" t="s">
        <v>28</v>
      </c>
    </row>
    <row r="18475" ht="15.75" customHeight="1">
      <c r="A18475" s="7"/>
      <c r="B18475" s="7"/>
      <c r="M18475" s="9" t="s">
        <v>30</v>
      </c>
    </row>
    <row r="18476" ht="15.75" customHeight="1">
      <c r="A18476" s="7"/>
      <c r="B18476" s="7"/>
      <c r="M18476" s="9" t="s">
        <v>23</v>
      </c>
    </row>
    <row r="18477" ht="15.75" customHeight="1">
      <c r="A18477" s="7"/>
      <c r="B18477" s="7"/>
      <c r="M18477" s="9" t="s">
        <v>36</v>
      </c>
    </row>
    <row r="18478" ht="15.75" customHeight="1">
      <c r="A18478" s="7"/>
      <c r="B18478" s="7"/>
      <c r="M18478" s="9" t="s">
        <v>24</v>
      </c>
    </row>
    <row r="18479" ht="15.75" customHeight="1">
      <c r="A18479" s="7"/>
      <c r="B18479" s="7"/>
      <c r="M18479" s="9" t="s">
        <v>21</v>
      </c>
    </row>
    <row r="18480" ht="15.75" customHeight="1">
      <c r="A18480" s="7"/>
      <c r="B18480" s="7"/>
      <c r="M18480" s="9" t="s">
        <v>22</v>
      </c>
    </row>
    <row r="18481" ht="15.75" customHeight="1">
      <c r="A18481" s="7"/>
      <c r="B18481" s="7"/>
      <c r="M18481" s="9" t="s">
        <v>27</v>
      </c>
    </row>
    <row r="18482" ht="15.75" customHeight="1">
      <c r="A18482" s="7"/>
      <c r="B18482" s="7"/>
      <c r="M18482" s="9" t="s">
        <v>20</v>
      </c>
    </row>
    <row r="18483" ht="15.75" customHeight="1">
      <c r="A18483" s="7"/>
      <c r="B18483" s="7"/>
      <c r="M18483" s="9" t="s">
        <v>46</v>
      </c>
    </row>
    <row r="18484" ht="15.75" customHeight="1">
      <c r="A18484" s="7"/>
      <c r="B18484" s="7"/>
      <c r="M18484" s="9" t="s">
        <v>24</v>
      </c>
    </row>
    <row r="18485" ht="15.75" customHeight="1">
      <c r="A18485" s="7"/>
      <c r="B18485" s="7"/>
      <c r="M18485" s="9" t="s">
        <v>21</v>
      </c>
    </row>
    <row r="18486" ht="15.75" customHeight="1">
      <c r="A18486" s="7"/>
      <c r="B18486" s="7"/>
      <c r="M18486" s="9" t="s">
        <v>37</v>
      </c>
    </row>
    <row r="18487" ht="15.75" customHeight="1">
      <c r="A18487" s="7"/>
      <c r="B18487" s="7"/>
      <c r="M18487" s="9" t="s">
        <v>27</v>
      </c>
    </row>
    <row r="18488" ht="15.75" customHeight="1">
      <c r="A18488" s="7"/>
      <c r="B18488" s="7"/>
      <c r="M18488" s="9" t="s">
        <v>30</v>
      </c>
    </row>
    <row r="18489" ht="15.75" customHeight="1">
      <c r="A18489" s="7"/>
      <c r="B18489" s="7"/>
      <c r="M18489" s="9" t="s">
        <v>26</v>
      </c>
    </row>
    <row r="18490" ht="15.75" customHeight="1">
      <c r="A18490" s="7"/>
      <c r="B18490" s="7"/>
      <c r="M18490" s="9" t="s">
        <v>24</v>
      </c>
    </row>
    <row r="18491" ht="15.75" customHeight="1">
      <c r="A18491" s="7"/>
      <c r="B18491" s="7"/>
      <c r="M18491" s="9" t="s">
        <v>21</v>
      </c>
    </row>
    <row r="18492" ht="15.75" customHeight="1">
      <c r="A18492" s="7"/>
      <c r="B18492" s="7"/>
      <c r="M18492" s="9" t="s">
        <v>27</v>
      </c>
    </row>
    <row r="18493" ht="15.75" customHeight="1">
      <c r="A18493" s="7"/>
      <c r="B18493" s="7"/>
      <c r="M18493" s="9" t="s">
        <v>24</v>
      </c>
    </row>
    <row r="18494" ht="15.75" customHeight="1">
      <c r="A18494" s="7"/>
      <c r="B18494" s="7"/>
      <c r="M18494" s="9" t="s">
        <v>21</v>
      </c>
    </row>
    <row r="18495" ht="15.75" customHeight="1">
      <c r="A18495" s="7"/>
      <c r="B18495" s="7"/>
      <c r="M18495" s="9" t="s">
        <v>22</v>
      </c>
    </row>
    <row r="18496" ht="15.75" customHeight="1">
      <c r="A18496" s="7"/>
      <c r="B18496" s="7"/>
      <c r="M18496" s="9" t="s">
        <v>31</v>
      </c>
    </row>
    <row r="18497" ht="15.75" customHeight="1">
      <c r="A18497" s="7"/>
      <c r="B18497" s="7"/>
      <c r="M18497" s="9" t="s">
        <v>27</v>
      </c>
    </row>
    <row r="18498" ht="15.75" customHeight="1">
      <c r="A18498" s="7"/>
      <c r="B18498" s="7"/>
      <c r="M18498" s="9" t="s">
        <v>24</v>
      </c>
    </row>
    <row r="18499" ht="15.75" customHeight="1">
      <c r="A18499" s="7"/>
      <c r="B18499" s="7"/>
      <c r="M18499" s="9" t="s">
        <v>21</v>
      </c>
    </row>
    <row r="18500" ht="15.75" customHeight="1">
      <c r="A18500" s="7"/>
      <c r="B18500" s="7"/>
      <c r="M18500" s="9" t="s">
        <v>22</v>
      </c>
    </row>
    <row r="18501" ht="15.75" customHeight="1">
      <c r="A18501" s="7"/>
      <c r="B18501" s="7"/>
      <c r="M18501" s="9" t="s">
        <v>24</v>
      </c>
    </row>
    <row r="18502" ht="15.75" customHeight="1">
      <c r="A18502" s="7"/>
      <c r="B18502" s="7"/>
      <c r="M18502" s="9" t="s">
        <v>20</v>
      </c>
    </row>
    <row r="18503" ht="15.75" customHeight="1">
      <c r="A18503" s="7"/>
      <c r="B18503" s="7"/>
      <c r="M18503" s="9" t="s">
        <v>21</v>
      </c>
    </row>
    <row r="18504" ht="15.75" customHeight="1">
      <c r="A18504" s="7"/>
      <c r="B18504" s="7"/>
      <c r="M18504" s="9" t="s">
        <v>37</v>
      </c>
    </row>
    <row r="18505" ht="15.75" customHeight="1">
      <c r="A18505" s="7"/>
      <c r="B18505" s="7"/>
      <c r="M18505" s="9" t="s">
        <v>22</v>
      </c>
    </row>
    <row r="18506" ht="15.75" customHeight="1">
      <c r="A18506" s="7"/>
      <c r="B18506" s="7"/>
      <c r="M18506" s="9" t="s">
        <v>27</v>
      </c>
    </row>
    <row r="18507" ht="15.75" customHeight="1">
      <c r="A18507" s="7"/>
      <c r="B18507" s="7"/>
      <c r="M18507" s="9" t="s">
        <v>23</v>
      </c>
    </row>
    <row r="18508" ht="15.75" customHeight="1">
      <c r="A18508" s="7"/>
      <c r="B18508" s="7"/>
      <c r="M18508" s="9" t="s">
        <v>26</v>
      </c>
    </row>
    <row r="18509" ht="15.75" customHeight="1">
      <c r="A18509" s="7"/>
      <c r="B18509" s="7"/>
      <c r="M18509" s="9" t="s">
        <v>36</v>
      </c>
    </row>
    <row r="18510" ht="15.75" customHeight="1">
      <c r="A18510" s="7"/>
      <c r="B18510" s="7"/>
      <c r="M18510" s="9" t="s">
        <v>39</v>
      </c>
    </row>
    <row r="18511" ht="15.75" customHeight="1">
      <c r="A18511" s="7"/>
      <c r="B18511" s="7"/>
      <c r="M18511" s="9" t="s">
        <v>22</v>
      </c>
    </row>
    <row r="18512" ht="15.75" customHeight="1">
      <c r="A18512" s="7"/>
      <c r="B18512" s="7"/>
      <c r="M18512" s="9" t="s">
        <v>31</v>
      </c>
    </row>
    <row r="18513" ht="15.75" customHeight="1">
      <c r="A18513" s="7"/>
      <c r="B18513" s="7"/>
      <c r="M18513" s="9" t="s">
        <v>27</v>
      </c>
    </row>
    <row r="18514" ht="15.75" customHeight="1">
      <c r="A18514" s="7"/>
      <c r="B18514" s="7"/>
      <c r="M18514" s="9" t="s">
        <v>30</v>
      </c>
    </row>
    <row r="18515" ht="15.75" customHeight="1">
      <c r="A18515" s="7"/>
      <c r="B18515" s="7"/>
      <c r="M18515" s="9" t="s">
        <v>24</v>
      </c>
    </row>
    <row r="18516" ht="15.75" customHeight="1">
      <c r="A18516" s="7"/>
      <c r="B18516" s="7"/>
      <c r="M18516" s="9" t="s">
        <v>21</v>
      </c>
    </row>
    <row r="18517" ht="15.75" customHeight="1">
      <c r="A18517" s="7"/>
      <c r="B18517" s="7"/>
      <c r="M18517" s="9" t="s">
        <v>37</v>
      </c>
    </row>
    <row r="18518" ht="15.75" customHeight="1">
      <c r="A18518" s="7"/>
      <c r="B18518" s="7"/>
      <c r="M18518" s="9" t="s">
        <v>27</v>
      </c>
    </row>
    <row r="18519" ht="15.75" customHeight="1">
      <c r="A18519" s="7"/>
      <c r="B18519" s="7"/>
      <c r="M18519" s="9" t="s">
        <v>33</v>
      </c>
    </row>
    <row r="18520" ht="15.75" customHeight="1">
      <c r="A18520" s="7"/>
      <c r="B18520" s="7"/>
      <c r="M18520" s="9" t="s">
        <v>38</v>
      </c>
    </row>
    <row r="18521" ht="15.75" customHeight="1">
      <c r="A18521" s="7"/>
      <c r="B18521" s="7"/>
      <c r="M18521" s="9" t="s">
        <v>30</v>
      </c>
    </row>
    <row r="18522" ht="15.75" customHeight="1">
      <c r="A18522" s="7"/>
      <c r="B18522" s="7"/>
      <c r="M18522" s="9" t="s">
        <v>25</v>
      </c>
    </row>
    <row r="18523" ht="15.75" customHeight="1">
      <c r="A18523" s="7"/>
      <c r="B18523" s="7"/>
      <c r="M18523" s="9" t="s">
        <v>23</v>
      </c>
    </row>
    <row r="18524" ht="15.75" customHeight="1">
      <c r="A18524" s="7"/>
      <c r="B18524" s="7"/>
      <c r="M18524" s="9" t="s">
        <v>26</v>
      </c>
    </row>
    <row r="18525" ht="15.75" customHeight="1">
      <c r="A18525" s="7"/>
      <c r="B18525" s="7"/>
      <c r="M18525" s="9" t="s">
        <v>24</v>
      </c>
    </row>
    <row r="18526" ht="15.75" customHeight="1">
      <c r="A18526" s="7"/>
      <c r="B18526" s="7"/>
      <c r="M18526" s="9" t="s">
        <v>20</v>
      </c>
    </row>
    <row r="18527" ht="15.75" customHeight="1">
      <c r="A18527" s="7"/>
      <c r="B18527" s="7"/>
      <c r="M18527" s="9" t="s">
        <v>21</v>
      </c>
    </row>
    <row r="18528" ht="15.75" customHeight="1">
      <c r="A18528" s="7"/>
      <c r="B18528" s="7"/>
      <c r="M18528" s="9" t="s">
        <v>22</v>
      </c>
    </row>
    <row r="18529" ht="15.75" customHeight="1">
      <c r="A18529" s="7"/>
      <c r="B18529" s="7"/>
      <c r="M18529" s="9" t="s">
        <v>38</v>
      </c>
    </row>
    <row r="18530" ht="15.75" customHeight="1">
      <c r="A18530" s="7"/>
      <c r="B18530" s="7"/>
      <c r="M18530" s="9" t="s">
        <v>30</v>
      </c>
    </row>
    <row r="18531" ht="15.75" customHeight="1">
      <c r="A18531" s="7"/>
      <c r="B18531" s="7"/>
      <c r="M18531" s="9" t="s">
        <v>25</v>
      </c>
    </row>
    <row r="18532" ht="15.75" customHeight="1">
      <c r="A18532" s="7"/>
      <c r="B18532" s="7"/>
      <c r="M18532" s="9" t="s">
        <v>23</v>
      </c>
    </row>
    <row r="18533" ht="15.75" customHeight="1">
      <c r="A18533" s="7"/>
      <c r="B18533" s="7"/>
      <c r="M18533" s="9" t="s">
        <v>26</v>
      </c>
    </row>
    <row r="18534" ht="15.75" customHeight="1">
      <c r="A18534" s="7"/>
      <c r="B18534" s="7"/>
      <c r="M18534" s="9" t="s">
        <v>22</v>
      </c>
    </row>
    <row r="18535" ht="15.75" customHeight="1">
      <c r="A18535" s="7"/>
      <c r="B18535" s="7"/>
      <c r="M18535" s="9" t="s">
        <v>35</v>
      </c>
    </row>
    <row r="18536" ht="15.75" customHeight="1">
      <c r="A18536" s="7"/>
      <c r="B18536" s="7"/>
      <c r="M18536" s="9" t="s">
        <v>21</v>
      </c>
    </row>
    <row r="18537" ht="15.75" customHeight="1">
      <c r="A18537" s="7"/>
      <c r="B18537" s="7"/>
      <c r="M18537" s="9" t="s">
        <v>22</v>
      </c>
    </row>
    <row r="18538" ht="15.75" customHeight="1">
      <c r="A18538" s="7"/>
      <c r="B18538" s="7"/>
      <c r="M18538" s="9" t="s">
        <v>29</v>
      </c>
    </row>
    <row r="18539" ht="15.75" customHeight="1">
      <c r="A18539" s="7"/>
      <c r="B18539" s="7"/>
      <c r="M18539" s="9" t="s">
        <v>31</v>
      </c>
    </row>
    <row r="18540" ht="15.75" customHeight="1">
      <c r="A18540" s="7"/>
      <c r="B18540" s="7"/>
      <c r="M18540" s="9" t="s">
        <v>30</v>
      </c>
    </row>
    <row r="18541" ht="15.75" customHeight="1">
      <c r="A18541" s="7"/>
      <c r="B18541" s="7"/>
      <c r="M18541" s="9" t="s">
        <v>36</v>
      </c>
    </row>
    <row r="18542" ht="15.75" customHeight="1">
      <c r="A18542" s="7"/>
      <c r="B18542" s="7"/>
      <c r="M18542" s="9" t="s">
        <v>24</v>
      </c>
    </row>
    <row r="18543" ht="15.75" customHeight="1">
      <c r="A18543" s="7"/>
      <c r="B18543" s="7"/>
      <c r="M18543" s="9" t="s">
        <v>21</v>
      </c>
    </row>
    <row r="18544" ht="15.75" customHeight="1">
      <c r="A18544" s="7"/>
      <c r="B18544" s="7"/>
      <c r="M18544" s="9" t="s">
        <v>22</v>
      </c>
    </row>
    <row r="18545" ht="15.75" customHeight="1">
      <c r="A18545" s="7"/>
      <c r="B18545" s="7"/>
      <c r="M18545" s="9" t="s">
        <v>33</v>
      </c>
    </row>
    <row r="18546" ht="15.75" customHeight="1">
      <c r="A18546" s="7"/>
      <c r="B18546" s="7"/>
      <c r="M18546" s="9" t="s">
        <v>30</v>
      </c>
    </row>
    <row r="18547" ht="15.75" customHeight="1">
      <c r="A18547" s="7"/>
      <c r="B18547" s="7"/>
      <c r="M18547" s="9" t="s">
        <v>26</v>
      </c>
    </row>
    <row r="18548" ht="15.75" customHeight="1">
      <c r="A18548" s="7"/>
      <c r="B18548" s="7"/>
      <c r="M18548" s="9" t="s">
        <v>24</v>
      </c>
    </row>
    <row r="18549" ht="15.75" customHeight="1">
      <c r="A18549" s="7"/>
      <c r="B18549" s="7"/>
      <c r="M18549" s="9" t="s">
        <v>20</v>
      </c>
    </row>
    <row r="18550" ht="15.75" customHeight="1">
      <c r="A18550" s="7"/>
      <c r="B18550" s="7"/>
      <c r="M18550" s="9" t="s">
        <v>21</v>
      </c>
    </row>
    <row r="18551" ht="15.75" customHeight="1">
      <c r="A18551" s="7"/>
      <c r="B18551" s="7"/>
      <c r="M18551" s="9" t="s">
        <v>22</v>
      </c>
    </row>
    <row r="18552" ht="15.75" customHeight="1">
      <c r="A18552" s="7"/>
      <c r="B18552" s="7"/>
      <c r="M18552" s="9" t="s">
        <v>27</v>
      </c>
    </row>
    <row r="18553" ht="15.75" customHeight="1">
      <c r="A18553" s="7"/>
      <c r="B18553" s="7"/>
      <c r="M18553" s="9" t="s">
        <v>30</v>
      </c>
    </row>
    <row r="18554" ht="15.75" customHeight="1">
      <c r="A18554" s="7"/>
      <c r="B18554" s="7"/>
      <c r="M18554" s="9" t="s">
        <v>26</v>
      </c>
    </row>
    <row r="18555" ht="15.75" customHeight="1">
      <c r="A18555" s="7"/>
      <c r="B18555" s="7"/>
      <c r="M18555" s="9" t="s">
        <v>36</v>
      </c>
    </row>
    <row r="18556" ht="15.75" customHeight="1">
      <c r="A18556" s="7"/>
      <c r="B18556" s="7"/>
      <c r="M18556" s="9" t="s">
        <v>22</v>
      </c>
    </row>
    <row r="18557" ht="15.75" customHeight="1">
      <c r="A18557" s="7"/>
      <c r="B18557" s="7"/>
      <c r="M18557" s="9" t="s">
        <v>27</v>
      </c>
    </row>
    <row r="18558" ht="15.75" customHeight="1">
      <c r="A18558" s="7"/>
      <c r="B18558" s="7"/>
      <c r="M18558" s="9" t="s">
        <v>25</v>
      </c>
    </row>
    <row r="18559" ht="15.75" customHeight="1">
      <c r="A18559" s="7"/>
      <c r="B18559" s="7"/>
      <c r="M18559" s="9" t="s">
        <v>23</v>
      </c>
    </row>
    <row r="18560" ht="15.75" customHeight="1">
      <c r="A18560" s="7"/>
      <c r="B18560" s="7"/>
      <c r="M18560" s="9" t="s">
        <v>36</v>
      </c>
    </row>
    <row r="18561" ht="15.75" customHeight="1">
      <c r="A18561" s="7"/>
      <c r="B18561" s="7"/>
      <c r="M18561" s="9" t="s">
        <v>24</v>
      </c>
    </row>
    <row r="18562" ht="15.75" customHeight="1">
      <c r="A18562" s="7"/>
      <c r="B18562" s="7"/>
      <c r="M18562" s="9" t="s">
        <v>21</v>
      </c>
    </row>
    <row r="18563" ht="15.75" customHeight="1">
      <c r="A18563" s="7"/>
      <c r="B18563" s="7"/>
      <c r="M18563" s="9" t="s">
        <v>26</v>
      </c>
    </row>
    <row r="18564" ht="15.75" customHeight="1">
      <c r="A18564" s="7"/>
      <c r="B18564" s="7"/>
      <c r="M18564" s="9" t="s">
        <v>24</v>
      </c>
    </row>
    <row r="18565" ht="15.75" customHeight="1">
      <c r="A18565" s="7"/>
      <c r="B18565" s="7"/>
      <c r="M18565" s="9" t="s">
        <v>21</v>
      </c>
    </row>
    <row r="18566" ht="15.75" customHeight="1">
      <c r="A18566" s="7"/>
      <c r="B18566" s="7"/>
      <c r="M18566" s="9" t="s">
        <v>33</v>
      </c>
    </row>
    <row r="18567" ht="15.75" customHeight="1">
      <c r="A18567" s="7"/>
      <c r="B18567" s="7"/>
      <c r="M18567" s="9" t="s">
        <v>26</v>
      </c>
    </row>
    <row r="18568" ht="15.75" customHeight="1">
      <c r="A18568" s="7"/>
      <c r="B18568" s="7"/>
      <c r="M18568" s="9" t="s">
        <v>24</v>
      </c>
    </row>
    <row r="18569" ht="15.75" customHeight="1">
      <c r="A18569" s="7"/>
      <c r="B18569" s="7"/>
      <c r="M18569" s="9" t="s">
        <v>21</v>
      </c>
    </row>
    <row r="18570" ht="15.75" customHeight="1">
      <c r="A18570" s="7"/>
      <c r="B18570" s="7"/>
      <c r="M18570" s="9" t="s">
        <v>30</v>
      </c>
    </row>
    <row r="18571" ht="15.75" customHeight="1">
      <c r="A18571" s="7"/>
      <c r="B18571" s="7"/>
      <c r="M18571" s="9" t="s">
        <v>25</v>
      </c>
    </row>
    <row r="18572" ht="15.75" customHeight="1">
      <c r="A18572" s="7"/>
      <c r="B18572" s="7"/>
      <c r="M18572" s="9" t="s">
        <v>23</v>
      </c>
    </row>
    <row r="18573" ht="15.75" customHeight="1">
      <c r="A18573" s="7"/>
      <c r="B18573" s="7"/>
      <c r="M18573" s="9" t="s">
        <v>21</v>
      </c>
    </row>
    <row r="18574" ht="15.75" customHeight="1">
      <c r="A18574" s="7"/>
      <c r="B18574" s="7"/>
      <c r="M18574" s="9" t="s">
        <v>22</v>
      </c>
    </row>
    <row r="18575" ht="15.75" customHeight="1">
      <c r="A18575" s="7"/>
      <c r="B18575" s="7"/>
      <c r="M18575" s="9" t="s">
        <v>30</v>
      </c>
    </row>
    <row r="18576" ht="15.75" customHeight="1">
      <c r="A18576" s="7"/>
      <c r="B18576" s="7"/>
      <c r="M18576" s="9" t="s">
        <v>24</v>
      </c>
    </row>
    <row r="18577" ht="15.75" customHeight="1">
      <c r="A18577" s="7"/>
      <c r="B18577" s="7"/>
      <c r="M18577" s="9" t="s">
        <v>37</v>
      </c>
    </row>
    <row r="18578" ht="15.75" customHeight="1">
      <c r="A18578" s="7"/>
      <c r="B18578" s="7"/>
      <c r="M18578" s="9" t="s">
        <v>27</v>
      </c>
    </row>
    <row r="18579" ht="15.75" customHeight="1">
      <c r="A18579" s="7"/>
      <c r="B18579" s="7"/>
      <c r="M18579" s="9" t="s">
        <v>30</v>
      </c>
    </row>
    <row r="18580" ht="15.75" customHeight="1">
      <c r="A18580" s="7"/>
      <c r="B18580" s="7"/>
      <c r="M18580" s="9" t="s">
        <v>25</v>
      </c>
    </row>
    <row r="18581" ht="15.75" customHeight="1">
      <c r="A18581" s="7"/>
      <c r="B18581" s="7"/>
      <c r="M18581" s="9" t="s">
        <v>20</v>
      </c>
    </row>
    <row r="18582" ht="15.75" customHeight="1">
      <c r="A18582" s="7"/>
      <c r="B18582" s="7"/>
      <c r="M18582" s="9" t="s">
        <v>22</v>
      </c>
    </row>
    <row r="18583" ht="15.75" customHeight="1">
      <c r="A18583" s="7"/>
      <c r="B18583" s="7"/>
      <c r="M18583" s="9" t="s">
        <v>29</v>
      </c>
    </row>
    <row r="18584" ht="15.75" customHeight="1">
      <c r="A18584" s="7"/>
      <c r="B18584" s="7"/>
      <c r="M18584" s="9" t="s">
        <v>40</v>
      </c>
    </row>
    <row r="18585" ht="15.75" customHeight="1">
      <c r="A18585" s="7"/>
      <c r="B18585" s="7"/>
      <c r="M18585" s="9" t="s">
        <v>28</v>
      </c>
    </row>
    <row r="18586" ht="15.75" customHeight="1">
      <c r="A18586" s="7"/>
      <c r="B18586" s="7"/>
      <c r="M18586" s="9" t="s">
        <v>30</v>
      </c>
    </row>
    <row r="18587" ht="15.75" customHeight="1">
      <c r="A18587" s="7"/>
      <c r="B18587" s="7"/>
      <c r="M18587" s="9" t="s">
        <v>24</v>
      </c>
    </row>
    <row r="18588" ht="15.75" customHeight="1">
      <c r="A18588" s="7"/>
      <c r="B18588" s="7"/>
      <c r="M18588" s="9" t="s">
        <v>20</v>
      </c>
    </row>
    <row r="18589" ht="15.75" customHeight="1">
      <c r="A18589" s="7"/>
      <c r="B18589" s="7"/>
      <c r="M18589" s="9" t="s">
        <v>21</v>
      </c>
    </row>
    <row r="18590" ht="15.75" customHeight="1">
      <c r="A18590" s="7"/>
      <c r="B18590" s="7"/>
      <c r="M18590" s="9" t="s">
        <v>37</v>
      </c>
    </row>
    <row r="18591" ht="15.75" customHeight="1">
      <c r="A18591" s="7"/>
      <c r="B18591" s="7"/>
      <c r="M18591" s="9" t="s">
        <v>27</v>
      </c>
    </row>
    <row r="18592" ht="15.75" customHeight="1">
      <c r="A18592" s="7"/>
      <c r="B18592" s="7"/>
      <c r="M18592" s="9" t="s">
        <v>24</v>
      </c>
    </row>
    <row r="18593" ht="15.75" customHeight="1">
      <c r="A18593" s="7"/>
      <c r="B18593" s="7"/>
      <c r="M18593" s="9" t="s">
        <v>20</v>
      </c>
    </row>
    <row r="18594" ht="15.75" customHeight="1">
      <c r="A18594" s="7"/>
      <c r="B18594" s="7"/>
      <c r="M18594" s="9" t="s">
        <v>21</v>
      </c>
    </row>
    <row r="18595" ht="15.75" customHeight="1">
      <c r="A18595" s="7"/>
      <c r="B18595" s="7"/>
      <c r="M18595" s="9" t="s">
        <v>37</v>
      </c>
    </row>
    <row r="18596" ht="15.75" customHeight="1">
      <c r="A18596" s="7"/>
      <c r="B18596" s="7"/>
      <c r="M18596" s="9" t="s">
        <v>22</v>
      </c>
    </row>
    <row r="18597" ht="15.75" customHeight="1">
      <c r="A18597" s="7"/>
      <c r="B18597" s="7"/>
      <c r="M18597" s="9" t="s">
        <v>27</v>
      </c>
    </row>
    <row r="18598" ht="15.75" customHeight="1">
      <c r="A18598" s="7"/>
      <c r="B18598" s="7"/>
      <c r="M18598" s="9" t="s">
        <v>33</v>
      </c>
    </row>
    <row r="18599" ht="15.75" customHeight="1">
      <c r="A18599" s="7"/>
      <c r="B18599" s="7"/>
      <c r="M18599" s="9" t="s">
        <v>26</v>
      </c>
    </row>
    <row r="18600" ht="15.75" customHeight="1">
      <c r="A18600" s="7"/>
      <c r="B18600" s="7"/>
      <c r="M18600" s="9" t="s">
        <v>24</v>
      </c>
    </row>
    <row r="18601" ht="15.75" customHeight="1">
      <c r="A18601" s="7"/>
      <c r="B18601" s="7"/>
      <c r="M18601" s="9" t="s">
        <v>20</v>
      </c>
    </row>
    <row r="18602" ht="15.75" customHeight="1">
      <c r="A18602" s="7"/>
      <c r="B18602" s="7"/>
      <c r="M18602" s="9" t="s">
        <v>21</v>
      </c>
    </row>
    <row r="18603" ht="15.75" customHeight="1">
      <c r="A18603" s="7"/>
      <c r="B18603" s="7"/>
      <c r="M18603" s="9" t="s">
        <v>39</v>
      </c>
    </row>
    <row r="18604" ht="15.75" customHeight="1">
      <c r="A18604" s="7"/>
      <c r="B18604" s="7"/>
      <c r="M18604" s="9" t="s">
        <v>41</v>
      </c>
    </row>
    <row r="18605" ht="15.75" customHeight="1">
      <c r="A18605" s="7"/>
      <c r="B18605" s="7"/>
      <c r="M18605" s="9" t="s">
        <v>22</v>
      </c>
    </row>
    <row r="18606" ht="15.75" customHeight="1">
      <c r="A18606" s="7"/>
      <c r="B18606" s="7"/>
      <c r="M18606" s="9" t="s">
        <v>31</v>
      </c>
    </row>
    <row r="18607" ht="15.75" customHeight="1">
      <c r="A18607" s="7"/>
      <c r="B18607" s="7"/>
      <c r="M18607" s="9" t="s">
        <v>40</v>
      </c>
    </row>
    <row r="18608" ht="15.75" customHeight="1">
      <c r="A18608" s="7"/>
      <c r="B18608" s="7"/>
      <c r="M18608" s="9" t="s">
        <v>26</v>
      </c>
    </row>
    <row r="18609" ht="15.75" customHeight="1">
      <c r="A18609" s="7"/>
      <c r="B18609" s="7"/>
      <c r="M18609" s="9" t="s">
        <v>24</v>
      </c>
    </row>
    <row r="18610" ht="15.75" customHeight="1">
      <c r="A18610" s="7"/>
      <c r="B18610" s="7"/>
      <c r="M18610" s="9" t="s">
        <v>21</v>
      </c>
    </row>
    <row r="18611" ht="15.75" customHeight="1">
      <c r="A18611" s="7"/>
      <c r="B18611" s="7"/>
      <c r="M18611" s="9" t="s">
        <v>23</v>
      </c>
    </row>
    <row r="18612" ht="15.75" customHeight="1">
      <c r="A18612" s="7"/>
      <c r="B18612" s="7"/>
      <c r="M18612" s="9" t="s">
        <v>26</v>
      </c>
    </row>
    <row r="18613" ht="15.75" customHeight="1">
      <c r="A18613" s="7"/>
      <c r="B18613" s="7"/>
      <c r="M18613" s="9" t="s">
        <v>37</v>
      </c>
    </row>
    <row r="18614" ht="15.75" customHeight="1">
      <c r="A18614" s="7"/>
      <c r="B18614" s="7"/>
      <c r="M18614" s="9" t="s">
        <v>22</v>
      </c>
    </row>
    <row r="18615" ht="15.75" customHeight="1">
      <c r="A18615" s="7"/>
      <c r="B18615" s="7"/>
      <c r="M18615" s="9" t="s">
        <v>27</v>
      </c>
    </row>
    <row r="18616" ht="15.75" customHeight="1">
      <c r="A18616" s="7"/>
      <c r="B18616" s="7"/>
      <c r="M18616" s="9" t="s">
        <v>26</v>
      </c>
    </row>
    <row r="18617" ht="15.75" customHeight="1">
      <c r="A18617" s="7"/>
      <c r="B18617" s="7"/>
      <c r="M18617" s="9" t="s">
        <v>24</v>
      </c>
    </row>
    <row r="18618" ht="15.75" customHeight="1">
      <c r="A18618" s="7"/>
      <c r="B18618" s="7"/>
      <c r="M18618" s="9" t="s">
        <v>20</v>
      </c>
    </row>
    <row r="18619" ht="15.75" customHeight="1">
      <c r="A18619" s="7"/>
      <c r="B18619" s="7"/>
      <c r="M18619" s="9" t="s">
        <v>21</v>
      </c>
    </row>
    <row r="18620" ht="15.75" customHeight="1">
      <c r="A18620" s="7"/>
      <c r="B18620" s="7"/>
      <c r="M18620" s="9" t="s">
        <v>27</v>
      </c>
    </row>
    <row r="18621" ht="15.75" customHeight="1">
      <c r="A18621" s="7"/>
      <c r="B18621" s="7"/>
      <c r="M18621" s="9" t="s">
        <v>24</v>
      </c>
    </row>
    <row r="18622" ht="15.75" customHeight="1">
      <c r="A18622" s="7"/>
      <c r="B18622" s="7"/>
      <c r="M18622" s="9" t="s">
        <v>20</v>
      </c>
    </row>
    <row r="18623" ht="15.75" customHeight="1">
      <c r="A18623" s="7"/>
      <c r="B18623" s="7"/>
      <c r="M18623" s="9" t="s">
        <v>21</v>
      </c>
    </row>
    <row r="18624" ht="15.75" customHeight="1">
      <c r="A18624" s="7"/>
      <c r="B18624" s="7"/>
      <c r="M18624" s="9" t="s">
        <v>27</v>
      </c>
    </row>
    <row r="18625" ht="15.75" customHeight="1">
      <c r="A18625" s="7"/>
      <c r="B18625" s="7"/>
      <c r="M18625" s="9" t="s">
        <v>30</v>
      </c>
    </row>
    <row r="18626" ht="15.75" customHeight="1">
      <c r="A18626" s="7"/>
      <c r="B18626" s="7"/>
      <c r="M18626" s="9" t="s">
        <v>26</v>
      </c>
    </row>
    <row r="18627" ht="15.75" customHeight="1">
      <c r="A18627" s="7"/>
      <c r="B18627" s="7"/>
      <c r="M18627" s="9" t="s">
        <v>24</v>
      </c>
    </row>
    <row r="18628" ht="15.75" customHeight="1">
      <c r="A18628" s="7"/>
      <c r="B18628" s="7"/>
      <c r="M18628" s="9" t="s">
        <v>27</v>
      </c>
    </row>
    <row r="18629" ht="15.75" customHeight="1">
      <c r="A18629" s="7"/>
      <c r="B18629" s="7"/>
      <c r="M18629" s="9" t="s">
        <v>30</v>
      </c>
    </row>
    <row r="18630" ht="15.75" customHeight="1">
      <c r="A18630" s="7"/>
      <c r="B18630" s="7"/>
      <c r="M18630" s="9" t="s">
        <v>26</v>
      </c>
    </row>
    <row r="18631" ht="15.75" customHeight="1">
      <c r="A18631" s="7"/>
      <c r="B18631" s="7"/>
      <c r="M18631" s="9" t="s">
        <v>24</v>
      </c>
    </row>
    <row r="18632" ht="15.75" customHeight="1">
      <c r="A18632" s="7"/>
      <c r="B18632" s="7"/>
      <c r="M18632" s="9" t="s">
        <v>21</v>
      </c>
    </row>
    <row r="18633" ht="15.75" customHeight="1">
      <c r="A18633" s="7"/>
      <c r="B18633" s="7"/>
      <c r="M18633" s="9" t="s">
        <v>27</v>
      </c>
    </row>
    <row r="18634" ht="15.75" customHeight="1">
      <c r="A18634" s="7"/>
      <c r="B18634" s="7"/>
      <c r="M18634" s="9" t="s">
        <v>33</v>
      </c>
    </row>
    <row r="18635" ht="15.75" customHeight="1">
      <c r="A18635" s="7"/>
      <c r="B18635" s="7"/>
      <c r="M18635" s="9" t="s">
        <v>30</v>
      </c>
    </row>
    <row r="18636" ht="15.75" customHeight="1">
      <c r="A18636" s="7"/>
      <c r="B18636" s="7"/>
      <c r="M18636" s="9" t="s">
        <v>26</v>
      </c>
    </row>
    <row r="18637" ht="15.75" customHeight="1">
      <c r="A18637" s="7"/>
      <c r="B18637" s="7"/>
      <c r="M18637" s="9" t="s">
        <v>24</v>
      </c>
    </row>
    <row r="18638" ht="15.75" customHeight="1">
      <c r="A18638" s="7"/>
      <c r="B18638" s="7"/>
      <c r="M18638" s="9" t="s">
        <v>21</v>
      </c>
    </row>
    <row r="18639" ht="15.75" customHeight="1">
      <c r="A18639" s="7"/>
      <c r="B18639" s="7"/>
      <c r="M18639" s="9" t="s">
        <v>27</v>
      </c>
    </row>
    <row r="18640" ht="15.75" customHeight="1">
      <c r="A18640" s="7"/>
      <c r="B18640" s="7"/>
      <c r="M18640" s="9" t="s">
        <v>30</v>
      </c>
    </row>
    <row r="18641" ht="15.75" customHeight="1">
      <c r="A18641" s="7"/>
      <c r="B18641" s="7"/>
      <c r="M18641" s="9" t="s">
        <v>24</v>
      </c>
    </row>
    <row r="18642" ht="15.75" customHeight="1">
      <c r="A18642" s="7"/>
      <c r="B18642" s="7"/>
      <c r="M18642" s="9" t="s">
        <v>20</v>
      </c>
    </row>
    <row r="18643" ht="15.75" customHeight="1">
      <c r="A18643" s="7"/>
      <c r="B18643" s="7"/>
      <c r="M18643" s="9" t="s">
        <v>24</v>
      </c>
    </row>
    <row r="18644" ht="15.75" customHeight="1">
      <c r="A18644" s="7"/>
      <c r="B18644" s="7"/>
      <c r="M18644" s="9" t="s">
        <v>21</v>
      </c>
    </row>
    <row r="18645" ht="15.75" customHeight="1">
      <c r="A18645" s="7"/>
      <c r="B18645" s="7"/>
      <c r="M18645" s="9" t="s">
        <v>22</v>
      </c>
    </row>
    <row r="18646" ht="15.75" customHeight="1">
      <c r="A18646" s="7"/>
      <c r="B18646" s="7"/>
      <c r="M18646" s="9" t="s">
        <v>24</v>
      </c>
    </row>
    <row r="18647" ht="15.75" customHeight="1">
      <c r="A18647" s="7"/>
      <c r="B18647" s="7"/>
      <c r="M18647" s="9" t="s">
        <v>20</v>
      </c>
    </row>
    <row r="18648" ht="15.75" customHeight="1">
      <c r="A18648" s="7"/>
      <c r="B18648" s="7"/>
      <c r="M18648" s="9" t="s">
        <v>21</v>
      </c>
    </row>
    <row r="18649" ht="15.75" customHeight="1">
      <c r="A18649" s="7"/>
      <c r="B18649" s="7"/>
      <c r="M18649" s="9" t="s">
        <v>37</v>
      </c>
    </row>
    <row r="18650" ht="15.75" customHeight="1">
      <c r="A18650" s="7"/>
      <c r="B18650" s="7"/>
      <c r="M18650" s="9" t="s">
        <v>30</v>
      </c>
    </row>
    <row r="18651" ht="15.75" customHeight="1">
      <c r="A18651" s="7"/>
      <c r="B18651" s="7"/>
      <c r="M18651" s="9" t="s">
        <v>24</v>
      </c>
    </row>
    <row r="18652" ht="15.75" customHeight="1">
      <c r="A18652" s="7"/>
      <c r="B18652" s="7"/>
      <c r="M18652" s="9" t="s">
        <v>20</v>
      </c>
    </row>
    <row r="18653" ht="15.75" customHeight="1">
      <c r="A18653" s="7"/>
      <c r="B18653" s="7"/>
      <c r="M18653" s="9" t="s">
        <v>21</v>
      </c>
    </row>
    <row r="18654" ht="15.75" customHeight="1">
      <c r="A18654" s="7"/>
      <c r="B18654" s="7"/>
      <c r="M18654" s="9" t="s">
        <v>22</v>
      </c>
    </row>
    <row r="18655" ht="15.75" customHeight="1">
      <c r="A18655" s="7"/>
      <c r="B18655" s="7"/>
      <c r="M18655" s="9" t="s">
        <v>27</v>
      </c>
    </row>
    <row r="18656" ht="15.75" customHeight="1">
      <c r="A18656" s="7"/>
      <c r="B18656" s="7"/>
      <c r="M18656" s="9" t="s">
        <v>24</v>
      </c>
    </row>
    <row r="18657" ht="15.75" customHeight="1">
      <c r="A18657" s="7"/>
      <c r="B18657" s="7"/>
      <c r="M18657" s="9" t="s">
        <v>20</v>
      </c>
    </row>
    <row r="18658" ht="15.75" customHeight="1">
      <c r="A18658" s="7"/>
      <c r="B18658" s="7"/>
      <c r="M18658" s="9" t="s">
        <v>21</v>
      </c>
    </row>
    <row r="18659" ht="15.75" customHeight="1">
      <c r="A18659" s="7"/>
      <c r="B18659" s="7"/>
      <c r="M18659" s="9" t="s">
        <v>27</v>
      </c>
    </row>
    <row r="18660" ht="15.75" customHeight="1">
      <c r="A18660" s="7"/>
      <c r="B18660" s="7"/>
      <c r="M18660" s="9" t="s">
        <v>25</v>
      </c>
    </row>
    <row r="18661" ht="15.75" customHeight="1">
      <c r="A18661" s="7"/>
      <c r="B18661" s="7"/>
      <c r="M18661" s="9" t="s">
        <v>23</v>
      </c>
    </row>
    <row r="18662" ht="15.75" customHeight="1">
      <c r="A18662" s="7"/>
      <c r="B18662" s="7"/>
      <c r="M18662" s="9" t="s">
        <v>24</v>
      </c>
    </row>
    <row r="18663" ht="15.75" customHeight="1">
      <c r="A18663" s="7"/>
      <c r="B18663" s="7"/>
      <c r="M18663" s="9" t="s">
        <v>20</v>
      </c>
    </row>
    <row r="18664" ht="15.75" customHeight="1">
      <c r="A18664" s="7"/>
      <c r="B18664" s="7"/>
      <c r="M18664" s="9" t="s">
        <v>21</v>
      </c>
    </row>
    <row r="18665" ht="15.75" customHeight="1">
      <c r="A18665" s="7"/>
      <c r="B18665" s="7"/>
      <c r="M18665" s="9" t="s">
        <v>41</v>
      </c>
    </row>
    <row r="18666" ht="15.75" customHeight="1">
      <c r="A18666" s="7"/>
      <c r="B18666" s="7"/>
      <c r="M18666" s="9" t="s">
        <v>26</v>
      </c>
    </row>
    <row r="18667" ht="15.75" customHeight="1">
      <c r="A18667" s="7"/>
      <c r="B18667" s="7"/>
      <c r="M18667" s="9" t="s">
        <v>33</v>
      </c>
    </row>
    <row r="18668" ht="15.75" customHeight="1">
      <c r="A18668" s="7"/>
      <c r="B18668" s="7"/>
      <c r="M18668" s="9" t="s">
        <v>30</v>
      </c>
    </row>
    <row r="18669" ht="15.75" customHeight="1">
      <c r="A18669" s="7"/>
      <c r="B18669" s="7"/>
      <c r="M18669" s="9" t="s">
        <v>36</v>
      </c>
    </row>
    <row r="18670" ht="15.75" customHeight="1">
      <c r="A18670" s="7"/>
      <c r="B18670" s="7"/>
      <c r="M18670" s="9" t="s">
        <v>21</v>
      </c>
    </row>
    <row r="18671" ht="15.75" customHeight="1">
      <c r="A18671" s="7"/>
      <c r="B18671" s="7"/>
      <c r="M18671" s="9" t="s">
        <v>37</v>
      </c>
    </row>
    <row r="18672" ht="15.75" customHeight="1">
      <c r="A18672" s="7"/>
      <c r="B18672" s="7"/>
      <c r="M18672" s="9" t="s">
        <v>26</v>
      </c>
    </row>
    <row r="18673" ht="15.75" customHeight="1">
      <c r="A18673" s="7"/>
      <c r="B18673" s="7"/>
      <c r="M18673" s="9" t="s">
        <v>24</v>
      </c>
    </row>
    <row r="18674" ht="15.75" customHeight="1">
      <c r="A18674" s="7"/>
      <c r="B18674" s="7"/>
      <c r="M18674" s="9" t="s">
        <v>21</v>
      </c>
    </row>
    <row r="18675" ht="15.75" customHeight="1">
      <c r="A18675" s="7"/>
      <c r="B18675" s="7"/>
      <c r="M18675" s="9" t="s">
        <v>25</v>
      </c>
    </row>
    <row r="18676" ht="15.75" customHeight="1">
      <c r="A18676" s="7"/>
      <c r="B18676" s="7"/>
      <c r="M18676" s="9" t="s">
        <v>23</v>
      </c>
    </row>
    <row r="18677" ht="15.75" customHeight="1">
      <c r="A18677" s="7"/>
      <c r="B18677" s="7"/>
      <c r="M18677" s="9" t="s">
        <v>26</v>
      </c>
    </row>
    <row r="18678" ht="15.75" customHeight="1">
      <c r="A18678" s="7"/>
      <c r="B18678" s="7"/>
      <c r="M18678" s="9" t="s">
        <v>24</v>
      </c>
    </row>
    <row r="18679" ht="15.75" customHeight="1">
      <c r="A18679" s="7"/>
      <c r="B18679" s="7"/>
      <c r="M18679" s="9" t="s">
        <v>20</v>
      </c>
    </row>
    <row r="18680" ht="15.75" customHeight="1">
      <c r="A18680" s="7"/>
      <c r="B18680" s="7"/>
      <c r="M18680" s="9" t="s">
        <v>41</v>
      </c>
    </row>
    <row r="18681" ht="15.75" customHeight="1">
      <c r="A18681" s="7"/>
      <c r="B18681" s="7"/>
      <c r="M18681" s="9" t="s">
        <v>37</v>
      </c>
    </row>
    <row r="18682" ht="15.75" customHeight="1">
      <c r="A18682" s="7"/>
      <c r="B18682" s="7"/>
      <c r="M18682" s="9" t="s">
        <v>27</v>
      </c>
    </row>
    <row r="18683" ht="15.75" customHeight="1">
      <c r="A18683" s="7"/>
      <c r="B18683" s="7"/>
      <c r="M18683" s="9" t="s">
        <v>28</v>
      </c>
    </row>
    <row r="18684" ht="15.75" customHeight="1">
      <c r="A18684" s="7"/>
      <c r="B18684" s="7"/>
      <c r="M18684" s="9" t="s">
        <v>30</v>
      </c>
    </row>
    <row r="18685" ht="15.75" customHeight="1">
      <c r="A18685" s="7"/>
      <c r="B18685" s="7"/>
      <c r="M18685" s="9" t="s">
        <v>24</v>
      </c>
    </row>
    <row r="18686" ht="15.75" customHeight="1">
      <c r="A18686" s="7"/>
      <c r="B18686" s="7"/>
      <c r="M18686" s="9" t="s">
        <v>20</v>
      </c>
    </row>
    <row r="18687" ht="15.75" customHeight="1">
      <c r="A18687" s="7"/>
      <c r="B18687" s="7"/>
      <c r="M18687" s="9" t="s">
        <v>22</v>
      </c>
    </row>
    <row r="18688" ht="15.75" customHeight="1">
      <c r="A18688" s="7"/>
      <c r="B18688" s="7"/>
      <c r="M18688" s="9" t="s">
        <v>31</v>
      </c>
    </row>
    <row r="18689" ht="15.75" customHeight="1">
      <c r="A18689" s="7"/>
      <c r="B18689" s="7"/>
      <c r="M18689" s="9" t="s">
        <v>27</v>
      </c>
    </row>
    <row r="18690" ht="15.75" customHeight="1">
      <c r="A18690" s="7"/>
      <c r="B18690" s="7"/>
      <c r="M18690" s="9" t="s">
        <v>38</v>
      </c>
    </row>
    <row r="18691" ht="15.75" customHeight="1">
      <c r="A18691" s="7"/>
      <c r="B18691" s="7"/>
      <c r="M18691" s="9" t="s">
        <v>30</v>
      </c>
    </row>
    <row r="18692" ht="15.75" customHeight="1">
      <c r="A18692" s="7"/>
      <c r="B18692" s="7"/>
      <c r="M18692" s="9" t="s">
        <v>25</v>
      </c>
    </row>
    <row r="18693" ht="15.75" customHeight="1">
      <c r="A18693" s="7"/>
      <c r="B18693" s="7"/>
      <c r="M18693" s="9" t="s">
        <v>20</v>
      </c>
    </row>
    <row r="18694" ht="15.75" customHeight="1">
      <c r="A18694" s="7"/>
      <c r="B18694" s="7"/>
      <c r="M18694" s="9" t="s">
        <v>41</v>
      </c>
    </row>
    <row r="18695" ht="15.75" customHeight="1">
      <c r="A18695" s="7"/>
      <c r="B18695" s="7"/>
      <c r="M18695" s="9" t="s">
        <v>22</v>
      </c>
    </row>
    <row r="18696" ht="15.75" customHeight="1">
      <c r="A18696" s="7"/>
      <c r="B18696" s="7"/>
      <c r="M18696" s="9" t="s">
        <v>27</v>
      </c>
    </row>
    <row r="18697" ht="15.75" customHeight="1">
      <c r="A18697" s="7"/>
      <c r="B18697" s="7"/>
      <c r="M18697" s="9" t="s">
        <v>24</v>
      </c>
    </row>
    <row r="18698" ht="15.75" customHeight="1">
      <c r="A18698" s="7"/>
      <c r="B18698" s="7"/>
      <c r="M18698" s="9" t="s">
        <v>21</v>
      </c>
    </row>
    <row r="18699" ht="15.75" customHeight="1">
      <c r="A18699" s="7"/>
      <c r="B18699" s="7"/>
      <c r="M18699" s="9" t="s">
        <v>37</v>
      </c>
    </row>
    <row r="18700" ht="15.75" customHeight="1">
      <c r="A18700" s="7"/>
      <c r="B18700" s="7"/>
      <c r="M18700" s="9" t="s">
        <v>31</v>
      </c>
    </row>
    <row r="18701" ht="15.75" customHeight="1">
      <c r="A18701" s="7"/>
      <c r="B18701" s="7"/>
      <c r="M18701" s="9" t="s">
        <v>27</v>
      </c>
    </row>
    <row r="18702" ht="15.75" customHeight="1">
      <c r="A18702" s="7"/>
      <c r="B18702" s="7"/>
      <c r="M18702" s="9" t="s">
        <v>24</v>
      </c>
    </row>
    <row r="18703" ht="15.75" customHeight="1">
      <c r="A18703" s="7"/>
      <c r="B18703" s="7"/>
      <c r="M18703" s="9" t="s">
        <v>21</v>
      </c>
    </row>
    <row r="18704" ht="15.75" customHeight="1">
      <c r="A18704" s="7"/>
      <c r="B18704" s="7"/>
      <c r="M18704" s="9" t="s">
        <v>25</v>
      </c>
    </row>
    <row r="18705" ht="15.75" customHeight="1">
      <c r="A18705" s="7"/>
      <c r="B18705" s="7"/>
      <c r="M18705" s="9" t="s">
        <v>42</v>
      </c>
    </row>
    <row r="18706" ht="15.75" customHeight="1">
      <c r="A18706" s="7"/>
      <c r="B18706" s="7"/>
      <c r="M18706" s="9" t="s">
        <v>20</v>
      </c>
    </row>
    <row r="18707" ht="15.75" customHeight="1">
      <c r="A18707" s="7"/>
      <c r="B18707" s="7"/>
      <c r="M18707" s="9" t="s">
        <v>21</v>
      </c>
    </row>
    <row r="18708" ht="15.75" customHeight="1">
      <c r="A18708" s="7"/>
      <c r="B18708" s="7"/>
      <c r="M18708" s="9" t="s">
        <v>22</v>
      </c>
    </row>
    <row r="18709" ht="15.75" customHeight="1">
      <c r="A18709" s="7"/>
      <c r="B18709" s="7"/>
      <c r="M18709" s="9" t="s">
        <v>31</v>
      </c>
    </row>
    <row r="18710" ht="15.75" customHeight="1">
      <c r="A18710" s="7"/>
      <c r="B18710" s="7"/>
      <c r="M18710" s="9" t="s">
        <v>27</v>
      </c>
    </row>
    <row r="18711" ht="15.75" customHeight="1">
      <c r="A18711" s="7"/>
      <c r="B18711" s="7"/>
      <c r="M18711" s="9" t="s">
        <v>33</v>
      </c>
    </row>
    <row r="18712" ht="15.75" customHeight="1">
      <c r="A18712" s="7"/>
      <c r="B18712" s="7"/>
      <c r="M18712" s="9" t="s">
        <v>26</v>
      </c>
    </row>
    <row r="18713" ht="15.75" customHeight="1">
      <c r="A18713" s="7"/>
      <c r="B18713" s="7"/>
      <c r="M18713" s="9" t="s">
        <v>20</v>
      </c>
    </row>
    <row r="18714" ht="15.75" customHeight="1">
      <c r="A18714" s="7"/>
      <c r="B18714" s="7"/>
      <c r="M18714" s="9" t="s">
        <v>30</v>
      </c>
    </row>
    <row r="18715" ht="15.75" customHeight="1">
      <c r="A18715" s="7"/>
      <c r="B18715" s="7"/>
      <c r="M18715" s="9" t="s">
        <v>36</v>
      </c>
    </row>
    <row r="18716" ht="15.75" customHeight="1">
      <c r="A18716" s="7"/>
      <c r="B18716" s="7"/>
      <c r="M18716" s="9" t="s">
        <v>26</v>
      </c>
    </row>
    <row r="18717" ht="15.75" customHeight="1">
      <c r="A18717" s="7"/>
      <c r="B18717" s="7"/>
      <c r="M18717" s="9" t="s">
        <v>24</v>
      </c>
    </row>
    <row r="18718" ht="15.75" customHeight="1">
      <c r="A18718" s="7"/>
      <c r="B18718" s="7"/>
      <c r="M18718" s="9" t="s">
        <v>20</v>
      </c>
    </row>
    <row r="18719" ht="15.75" customHeight="1">
      <c r="A18719" s="7"/>
      <c r="B18719" s="7"/>
      <c r="M18719" s="9" t="s">
        <v>21</v>
      </c>
    </row>
    <row r="18720" ht="15.75" customHeight="1">
      <c r="A18720" s="7"/>
      <c r="B18720" s="7"/>
      <c r="M18720" s="9" t="s">
        <v>37</v>
      </c>
    </row>
    <row r="18721" ht="15.75" customHeight="1">
      <c r="A18721" s="7"/>
      <c r="B18721" s="7"/>
      <c r="M18721" s="9" t="s">
        <v>27</v>
      </c>
    </row>
    <row r="18722" ht="15.75" customHeight="1">
      <c r="A18722" s="7"/>
      <c r="B18722" s="7"/>
      <c r="M18722" s="9" t="s">
        <v>30</v>
      </c>
    </row>
    <row r="18723" ht="15.75" customHeight="1">
      <c r="A18723" s="7"/>
      <c r="B18723" s="7"/>
      <c r="M18723" s="9" t="s">
        <v>26</v>
      </c>
    </row>
    <row r="18724" ht="15.75" customHeight="1">
      <c r="A18724" s="7"/>
      <c r="B18724" s="7"/>
      <c r="M18724" s="9" t="s">
        <v>24</v>
      </c>
    </row>
    <row r="18725" ht="15.75" customHeight="1">
      <c r="A18725" s="7"/>
      <c r="B18725" s="7"/>
      <c r="M18725" s="9" t="s">
        <v>21</v>
      </c>
    </row>
    <row r="18726" ht="15.75" customHeight="1">
      <c r="A18726" s="7"/>
      <c r="B18726" s="7"/>
      <c r="M18726" s="9" t="s">
        <v>27</v>
      </c>
    </row>
    <row r="18727" ht="15.75" customHeight="1">
      <c r="A18727" s="7"/>
      <c r="B18727" s="7"/>
      <c r="M18727" s="9" t="s">
        <v>26</v>
      </c>
    </row>
    <row r="18728" ht="15.75" customHeight="1">
      <c r="A18728" s="7"/>
      <c r="B18728" s="7"/>
      <c r="M18728" s="9" t="s">
        <v>24</v>
      </c>
    </row>
    <row r="18729" ht="15.75" customHeight="1">
      <c r="A18729" s="7"/>
      <c r="B18729" s="7"/>
      <c r="M18729" s="9" t="s">
        <v>20</v>
      </c>
    </row>
    <row r="18730" ht="15.75" customHeight="1">
      <c r="A18730" s="7"/>
      <c r="B18730" s="7"/>
      <c r="M18730" s="9" t="s">
        <v>21</v>
      </c>
    </row>
    <row r="18731" ht="15.75" customHeight="1">
      <c r="A18731" s="7"/>
      <c r="B18731" s="7"/>
      <c r="M18731" s="9" t="s">
        <v>37</v>
      </c>
    </row>
    <row r="18732" ht="15.75" customHeight="1">
      <c r="A18732" s="7"/>
      <c r="B18732" s="7"/>
      <c r="M18732" s="9" t="s">
        <v>22</v>
      </c>
    </row>
    <row r="18733" ht="15.75" customHeight="1">
      <c r="A18733" s="7"/>
      <c r="B18733" s="7"/>
      <c r="M18733" s="9" t="s">
        <v>27</v>
      </c>
    </row>
    <row r="18734" ht="15.75" customHeight="1">
      <c r="A18734" s="7"/>
      <c r="B18734" s="7"/>
      <c r="M18734" s="9" t="s">
        <v>31</v>
      </c>
    </row>
    <row r="18735" ht="15.75" customHeight="1">
      <c r="A18735" s="7"/>
      <c r="B18735" s="7"/>
      <c r="M18735" s="9" t="s">
        <v>38</v>
      </c>
    </row>
    <row r="18736" ht="15.75" customHeight="1">
      <c r="A18736" s="7"/>
      <c r="B18736" s="7"/>
      <c r="M18736" s="9" t="s">
        <v>30</v>
      </c>
    </row>
    <row r="18737" ht="15.75" customHeight="1">
      <c r="A18737" s="7"/>
      <c r="B18737" s="7"/>
      <c r="M18737" s="9" t="s">
        <v>25</v>
      </c>
    </row>
    <row r="18738" ht="15.75" customHeight="1">
      <c r="A18738" s="7"/>
      <c r="B18738" s="7"/>
      <c r="M18738" s="9" t="s">
        <v>23</v>
      </c>
    </row>
    <row r="18739" ht="15.75" customHeight="1">
      <c r="A18739" s="7"/>
      <c r="B18739" s="7"/>
      <c r="M18739" s="9" t="s">
        <v>26</v>
      </c>
    </row>
    <row r="18740" ht="15.75" customHeight="1">
      <c r="A18740" s="7"/>
      <c r="B18740" s="7"/>
      <c r="M18740" s="9" t="s">
        <v>24</v>
      </c>
    </row>
    <row r="18741" ht="15.75" customHeight="1">
      <c r="A18741" s="7"/>
      <c r="B18741" s="7"/>
      <c r="M18741" s="9" t="s">
        <v>20</v>
      </c>
    </row>
    <row r="18742" ht="15.75" customHeight="1">
      <c r="A18742" s="7"/>
      <c r="B18742" s="7"/>
      <c r="M18742" s="9" t="s">
        <v>21</v>
      </c>
    </row>
    <row r="18743" ht="15.75" customHeight="1">
      <c r="A18743" s="7"/>
      <c r="B18743" s="7"/>
      <c r="M18743" s="9" t="s">
        <v>37</v>
      </c>
    </row>
    <row r="18744" ht="15.75" customHeight="1">
      <c r="A18744" s="7"/>
      <c r="B18744" s="7"/>
      <c r="M18744" s="9" t="s">
        <v>33</v>
      </c>
    </row>
    <row r="18745" ht="15.75" customHeight="1">
      <c r="A18745" s="7"/>
      <c r="B18745" s="7"/>
      <c r="M18745" s="9" t="s">
        <v>34</v>
      </c>
    </row>
    <row r="18746" ht="15.75" customHeight="1">
      <c r="A18746" s="7"/>
      <c r="B18746" s="7"/>
      <c r="M18746" s="9" t="s">
        <v>24</v>
      </c>
    </row>
    <row r="18747" ht="15.75" customHeight="1">
      <c r="A18747" s="7"/>
      <c r="B18747" s="7"/>
      <c r="M18747" s="9" t="s">
        <v>21</v>
      </c>
    </row>
    <row r="18748" ht="15.75" customHeight="1">
      <c r="A18748" s="7"/>
      <c r="B18748" s="7"/>
      <c r="M18748" s="9" t="s">
        <v>24</v>
      </c>
    </row>
    <row r="18749" ht="15.75" customHeight="1">
      <c r="A18749" s="7"/>
      <c r="B18749" s="7"/>
      <c r="M18749" s="9" t="s">
        <v>21</v>
      </c>
    </row>
    <row r="18750" ht="15.75" customHeight="1">
      <c r="A18750" s="7"/>
      <c r="B18750" s="7"/>
      <c r="M18750" s="9" t="s">
        <v>30</v>
      </c>
    </row>
    <row r="18751" ht="15.75" customHeight="1">
      <c r="A18751" s="7"/>
      <c r="B18751" s="7"/>
      <c r="M18751" s="9" t="s">
        <v>26</v>
      </c>
    </row>
    <row r="18752" ht="15.75" customHeight="1">
      <c r="A18752" s="7"/>
      <c r="B18752" s="7"/>
      <c r="M18752" s="9" t="s">
        <v>24</v>
      </c>
    </row>
    <row r="18753" ht="15.75" customHeight="1">
      <c r="A18753" s="7"/>
      <c r="B18753" s="7"/>
      <c r="M18753" s="9" t="s">
        <v>21</v>
      </c>
    </row>
    <row r="18754" ht="15.75" customHeight="1">
      <c r="A18754" s="7"/>
      <c r="B18754" s="7"/>
      <c r="M18754" s="9" t="s">
        <v>37</v>
      </c>
    </row>
    <row r="18755" ht="15.75" customHeight="1">
      <c r="A18755" s="7"/>
      <c r="B18755" s="7"/>
      <c r="M18755" s="9" t="s">
        <v>22</v>
      </c>
    </row>
    <row r="18756" ht="15.75" customHeight="1">
      <c r="A18756" s="7"/>
      <c r="B18756" s="7"/>
      <c r="M18756" s="9" t="s">
        <v>27</v>
      </c>
    </row>
    <row r="18757" ht="15.75" customHeight="1">
      <c r="A18757" s="7"/>
      <c r="B18757" s="7"/>
      <c r="M18757" s="9" t="s">
        <v>38</v>
      </c>
    </row>
    <row r="18758" ht="15.75" customHeight="1">
      <c r="A18758" s="7"/>
      <c r="B18758" s="7"/>
      <c r="M18758" s="9" t="s">
        <v>30</v>
      </c>
    </row>
    <row r="18759" ht="15.75" customHeight="1">
      <c r="A18759" s="7"/>
      <c r="B18759" s="7"/>
      <c r="M18759" s="9" t="s">
        <v>25</v>
      </c>
    </row>
    <row r="18760" ht="15.75" customHeight="1">
      <c r="A18760" s="7"/>
      <c r="B18760" s="7"/>
      <c r="M18760" s="9" t="s">
        <v>23</v>
      </c>
    </row>
    <row r="18761" ht="15.75" customHeight="1">
      <c r="A18761" s="7"/>
      <c r="B18761" s="7"/>
      <c r="M18761" s="9" t="s">
        <v>26</v>
      </c>
    </row>
    <row r="18762" ht="15.75" customHeight="1">
      <c r="A18762" s="7"/>
      <c r="B18762" s="7"/>
      <c r="M18762" s="9" t="s">
        <v>24</v>
      </c>
    </row>
    <row r="18763" ht="15.75" customHeight="1">
      <c r="A18763" s="7"/>
      <c r="B18763" s="7"/>
      <c r="M18763" s="9" t="s">
        <v>20</v>
      </c>
    </row>
    <row r="18764" ht="15.75" customHeight="1">
      <c r="A18764" s="7"/>
      <c r="B18764" s="7"/>
      <c r="M18764" s="9" t="s">
        <v>21</v>
      </c>
    </row>
    <row r="18765" ht="15.75" customHeight="1">
      <c r="A18765" s="7"/>
      <c r="B18765" s="7"/>
      <c r="M18765" s="9" t="s">
        <v>41</v>
      </c>
    </row>
    <row r="18766" ht="15.75" customHeight="1">
      <c r="A18766" s="7"/>
      <c r="B18766" s="7"/>
      <c r="M18766" s="9" t="s">
        <v>37</v>
      </c>
    </row>
    <row r="18767" ht="15.75" customHeight="1">
      <c r="A18767" s="7"/>
      <c r="B18767" s="7"/>
      <c r="M18767" s="9" t="s">
        <v>22</v>
      </c>
    </row>
    <row r="18768" ht="15.75" customHeight="1">
      <c r="A18768" s="7"/>
      <c r="B18768" s="7"/>
      <c r="M18768" s="9" t="s">
        <v>31</v>
      </c>
    </row>
    <row r="18769" ht="15.75" customHeight="1">
      <c r="A18769" s="7"/>
      <c r="B18769" s="7"/>
      <c r="M18769" s="9" t="s">
        <v>27</v>
      </c>
    </row>
    <row r="18770" ht="15.75" customHeight="1">
      <c r="A18770" s="7"/>
      <c r="B18770" s="7"/>
      <c r="M18770" s="9" t="s">
        <v>40</v>
      </c>
    </row>
    <row r="18771" ht="15.75" customHeight="1">
      <c r="A18771" s="7"/>
      <c r="B18771" s="7"/>
      <c r="M18771" s="9" t="s">
        <v>33</v>
      </c>
    </row>
    <row r="18772" ht="15.75" customHeight="1">
      <c r="A18772" s="7"/>
      <c r="B18772" s="7"/>
      <c r="M18772" s="9" t="s">
        <v>28</v>
      </c>
    </row>
    <row r="18773" ht="15.75" customHeight="1">
      <c r="A18773" s="7"/>
      <c r="B18773" s="7"/>
      <c r="M18773" s="9" t="s">
        <v>30</v>
      </c>
    </row>
    <row r="18774" ht="15.75" customHeight="1">
      <c r="A18774" s="7"/>
      <c r="B18774" s="7"/>
      <c r="M18774" s="9" t="s">
        <v>25</v>
      </c>
    </row>
    <row r="18775" ht="15.75" customHeight="1">
      <c r="A18775" s="7"/>
      <c r="B18775" s="7"/>
      <c r="M18775" s="9" t="s">
        <v>23</v>
      </c>
    </row>
    <row r="18776" ht="15.75" customHeight="1">
      <c r="A18776" s="7"/>
      <c r="B18776" s="7"/>
      <c r="M18776" s="9" t="s">
        <v>43</v>
      </c>
    </row>
    <row r="18777" ht="15.75" customHeight="1">
      <c r="A18777" s="7"/>
      <c r="B18777" s="7"/>
      <c r="M18777" s="9" t="s">
        <v>36</v>
      </c>
    </row>
    <row r="18778" ht="15.75" customHeight="1">
      <c r="A18778" s="7"/>
      <c r="B18778" s="7"/>
      <c r="M18778" s="9" t="s">
        <v>24</v>
      </c>
    </row>
    <row r="18779" ht="15.75" customHeight="1">
      <c r="A18779" s="7"/>
      <c r="B18779" s="7"/>
      <c r="M18779" s="9" t="s">
        <v>20</v>
      </c>
    </row>
    <row r="18780" ht="15.75" customHeight="1">
      <c r="A18780" s="7"/>
      <c r="B18780" s="7"/>
      <c r="M18780" s="9" t="s">
        <v>21</v>
      </c>
    </row>
    <row r="18781" ht="15.75" customHeight="1">
      <c r="A18781" s="7"/>
      <c r="B18781" s="7"/>
      <c r="M18781" s="9" t="s">
        <v>22</v>
      </c>
    </row>
    <row r="18782" ht="15.75" customHeight="1">
      <c r="A18782" s="7"/>
      <c r="B18782" s="7"/>
      <c r="M18782" s="9" t="s">
        <v>31</v>
      </c>
    </row>
    <row r="18783" ht="15.75" customHeight="1">
      <c r="A18783" s="7"/>
      <c r="B18783" s="7"/>
      <c r="M18783" s="9" t="s">
        <v>27</v>
      </c>
    </row>
    <row r="18784" ht="15.75" customHeight="1">
      <c r="A18784" s="7"/>
      <c r="B18784" s="7"/>
      <c r="M18784" s="9" t="s">
        <v>38</v>
      </c>
    </row>
    <row r="18785" ht="15.75" customHeight="1">
      <c r="A18785" s="7"/>
      <c r="B18785" s="7"/>
      <c r="M18785" s="9" t="s">
        <v>30</v>
      </c>
    </row>
    <row r="18786" ht="15.75" customHeight="1">
      <c r="A18786" s="7"/>
      <c r="B18786" s="7"/>
      <c r="M18786" s="9" t="s">
        <v>25</v>
      </c>
    </row>
    <row r="18787" ht="15.75" customHeight="1">
      <c r="A18787" s="7"/>
      <c r="B18787" s="7"/>
      <c r="M18787" s="9" t="s">
        <v>23</v>
      </c>
    </row>
    <row r="18788" ht="15.75" customHeight="1">
      <c r="A18788" s="7"/>
      <c r="B18788" s="7"/>
      <c r="M18788" s="9" t="s">
        <v>26</v>
      </c>
    </row>
    <row r="18789" ht="15.75" customHeight="1">
      <c r="A18789" s="7"/>
      <c r="B18789" s="7"/>
      <c r="M18789" s="9" t="s">
        <v>24</v>
      </c>
    </row>
    <row r="18790" ht="15.75" customHeight="1">
      <c r="A18790" s="7"/>
      <c r="B18790" s="7"/>
      <c r="M18790" s="9" t="s">
        <v>20</v>
      </c>
    </row>
    <row r="18791" ht="15.75" customHeight="1">
      <c r="A18791" s="7"/>
      <c r="B18791" s="7"/>
      <c r="M18791" s="9" t="s">
        <v>21</v>
      </c>
    </row>
    <row r="18792" ht="15.75" customHeight="1">
      <c r="A18792" s="7"/>
      <c r="B18792" s="7"/>
      <c r="M18792" s="9" t="s">
        <v>22</v>
      </c>
    </row>
    <row r="18793" ht="15.75" customHeight="1">
      <c r="A18793" s="7"/>
      <c r="B18793" s="7"/>
      <c r="M18793" s="9" t="s">
        <v>46</v>
      </c>
    </row>
    <row r="18794" ht="15.75" customHeight="1">
      <c r="A18794" s="7"/>
      <c r="B18794" s="7"/>
      <c r="M18794" s="9" t="s">
        <v>27</v>
      </c>
    </row>
    <row r="18795" ht="15.75" customHeight="1">
      <c r="A18795" s="7"/>
      <c r="B18795" s="7"/>
      <c r="M18795" s="9" t="s">
        <v>24</v>
      </c>
    </row>
    <row r="18796" ht="15.75" customHeight="1">
      <c r="A18796" s="7"/>
      <c r="B18796" s="7"/>
      <c r="M18796" s="9" t="s">
        <v>20</v>
      </c>
    </row>
    <row r="18797" ht="15.75" customHeight="1">
      <c r="A18797" s="7"/>
      <c r="B18797" s="7"/>
      <c r="M18797" s="9" t="s">
        <v>21</v>
      </c>
    </row>
    <row r="18798" ht="15.75" customHeight="1">
      <c r="A18798" s="7"/>
      <c r="B18798" s="7"/>
      <c r="M18798" s="9" t="s">
        <v>24</v>
      </c>
    </row>
    <row r="18799" ht="15.75" customHeight="1">
      <c r="A18799" s="7"/>
      <c r="B18799" s="7"/>
      <c r="M18799" s="9" t="s">
        <v>21</v>
      </c>
    </row>
    <row r="18800" ht="15.75" customHeight="1">
      <c r="A18800" s="7"/>
      <c r="B18800" s="7"/>
      <c r="M18800" s="9" t="s">
        <v>37</v>
      </c>
    </row>
    <row r="18801" ht="15.75" customHeight="1">
      <c r="A18801" s="7"/>
      <c r="B18801" s="7"/>
      <c r="M18801" s="9" t="s">
        <v>22</v>
      </c>
    </row>
    <row r="18802" ht="15.75" customHeight="1">
      <c r="A18802" s="7"/>
      <c r="B18802" s="7"/>
      <c r="M18802" s="9" t="s">
        <v>31</v>
      </c>
    </row>
    <row r="18803" ht="15.75" customHeight="1">
      <c r="A18803" s="7"/>
      <c r="B18803" s="7"/>
      <c r="M18803" s="9" t="s">
        <v>27</v>
      </c>
    </row>
    <row r="18804" ht="15.75" customHeight="1">
      <c r="A18804" s="7"/>
      <c r="B18804" s="7"/>
      <c r="M18804" s="9" t="s">
        <v>24</v>
      </c>
    </row>
    <row r="18805" ht="15.75" customHeight="1">
      <c r="A18805" s="7"/>
      <c r="B18805" s="7"/>
      <c r="M18805" s="9" t="s">
        <v>21</v>
      </c>
    </row>
    <row r="18806" ht="15.75" customHeight="1">
      <c r="A18806" s="7"/>
      <c r="B18806" s="7"/>
      <c r="M18806" s="9" t="s">
        <v>37</v>
      </c>
    </row>
    <row r="18807" ht="15.75" customHeight="1">
      <c r="A18807" s="7"/>
      <c r="B18807" s="7"/>
      <c r="M18807" s="9" t="s">
        <v>22</v>
      </c>
    </row>
    <row r="18808" ht="15.75" customHeight="1">
      <c r="A18808" s="7"/>
      <c r="B18808" s="7"/>
      <c r="M18808" s="9" t="s">
        <v>27</v>
      </c>
    </row>
    <row r="18809" ht="15.75" customHeight="1">
      <c r="A18809" s="7"/>
      <c r="B18809" s="7"/>
      <c r="M18809" s="9" t="s">
        <v>28</v>
      </c>
    </row>
    <row r="18810" ht="15.75" customHeight="1">
      <c r="A18810" s="7"/>
      <c r="B18810" s="7"/>
      <c r="M18810" s="9" t="s">
        <v>25</v>
      </c>
    </row>
    <row r="18811" ht="15.75" customHeight="1">
      <c r="A18811" s="7"/>
      <c r="B18811" s="7"/>
      <c r="M18811" s="9" t="s">
        <v>26</v>
      </c>
    </row>
    <row r="18812" ht="15.75" customHeight="1">
      <c r="A18812" s="7"/>
      <c r="B18812" s="7"/>
      <c r="M18812" s="9" t="s">
        <v>24</v>
      </c>
    </row>
    <row r="18813" ht="15.75" customHeight="1">
      <c r="A18813" s="7"/>
      <c r="B18813" s="7"/>
      <c r="M18813" s="9" t="s">
        <v>27</v>
      </c>
    </row>
    <row r="18814" ht="15.75" customHeight="1">
      <c r="A18814" s="7"/>
      <c r="B18814" s="7"/>
      <c r="M18814" s="9" t="s">
        <v>38</v>
      </c>
    </row>
    <row r="18815" ht="15.75" customHeight="1">
      <c r="A18815" s="7"/>
      <c r="B18815" s="7"/>
      <c r="M18815" s="9" t="s">
        <v>30</v>
      </c>
    </row>
    <row r="18816" ht="15.75" customHeight="1">
      <c r="A18816" s="7"/>
      <c r="B18816" s="7"/>
      <c r="M18816" s="9" t="s">
        <v>25</v>
      </c>
    </row>
    <row r="18817" ht="15.75" customHeight="1">
      <c r="A18817" s="7"/>
      <c r="B18817" s="7"/>
      <c r="M18817" s="9" t="s">
        <v>22</v>
      </c>
    </row>
    <row r="18818" ht="15.75" customHeight="1">
      <c r="A18818" s="7"/>
      <c r="B18818" s="7"/>
      <c r="M18818" s="9" t="s">
        <v>27</v>
      </c>
    </row>
    <row r="18819" ht="15.75" customHeight="1">
      <c r="A18819" s="7"/>
      <c r="B18819" s="7"/>
      <c r="M18819" s="9" t="s">
        <v>35</v>
      </c>
    </row>
    <row r="18820" ht="15.75" customHeight="1">
      <c r="A18820" s="7"/>
      <c r="B18820" s="7"/>
      <c r="M18820" s="9" t="s">
        <v>24</v>
      </c>
    </row>
    <row r="18821" ht="15.75" customHeight="1">
      <c r="A18821" s="7"/>
      <c r="B18821" s="7"/>
      <c r="M18821" s="9" t="s">
        <v>21</v>
      </c>
    </row>
    <row r="18822" ht="15.75" customHeight="1">
      <c r="A18822" s="7"/>
      <c r="B18822" s="7"/>
      <c r="M18822" s="9" t="s">
        <v>37</v>
      </c>
    </row>
    <row r="18823" ht="15.75" customHeight="1">
      <c r="A18823" s="7"/>
      <c r="B18823" s="7"/>
      <c r="M18823" s="9" t="s">
        <v>27</v>
      </c>
    </row>
    <row r="18824" ht="15.75" customHeight="1">
      <c r="A18824" s="7"/>
      <c r="B18824" s="7"/>
      <c r="M18824" s="9" t="s">
        <v>24</v>
      </c>
    </row>
    <row r="18825" ht="15.75" customHeight="1">
      <c r="A18825" s="7"/>
      <c r="B18825" s="7"/>
      <c r="M18825" s="9" t="s">
        <v>21</v>
      </c>
    </row>
    <row r="18826" ht="15.75" customHeight="1">
      <c r="A18826" s="7"/>
      <c r="B18826" s="7"/>
      <c r="M18826" s="9" t="s">
        <v>37</v>
      </c>
    </row>
    <row r="18827" ht="15.75" customHeight="1">
      <c r="A18827" s="7"/>
      <c r="B18827" s="7"/>
      <c r="M18827" s="9" t="s">
        <v>29</v>
      </c>
    </row>
    <row r="18828" ht="15.75" customHeight="1">
      <c r="A18828" s="7"/>
      <c r="B18828" s="7"/>
      <c r="M18828" s="9" t="s">
        <v>27</v>
      </c>
    </row>
    <row r="18829" ht="15.75" customHeight="1">
      <c r="A18829" s="7"/>
      <c r="B18829" s="7"/>
      <c r="M18829" s="9" t="s">
        <v>26</v>
      </c>
    </row>
    <row r="18830" ht="15.75" customHeight="1">
      <c r="A18830" s="7"/>
      <c r="B18830" s="7"/>
      <c r="M18830" s="9" t="s">
        <v>30</v>
      </c>
    </row>
    <row r="18831" ht="15.75" customHeight="1">
      <c r="A18831" s="7"/>
      <c r="B18831" s="7"/>
      <c r="M18831" s="9" t="s">
        <v>25</v>
      </c>
    </row>
    <row r="18832" ht="15.75" customHeight="1">
      <c r="A18832" s="7"/>
      <c r="B18832" s="7"/>
      <c r="M18832" s="9" t="s">
        <v>23</v>
      </c>
    </row>
    <row r="18833" ht="15.75" customHeight="1">
      <c r="A18833" s="7"/>
      <c r="B18833" s="7"/>
      <c r="M18833" s="9" t="s">
        <v>26</v>
      </c>
    </row>
    <row r="18834" ht="15.75" customHeight="1">
      <c r="A18834" s="7"/>
      <c r="B18834" s="7"/>
      <c r="M18834" s="9" t="s">
        <v>42</v>
      </c>
    </row>
    <row r="18835" ht="15.75" customHeight="1">
      <c r="A18835" s="7"/>
      <c r="B18835" s="7"/>
      <c r="M18835" s="9" t="s">
        <v>43</v>
      </c>
    </row>
    <row r="18836" ht="15.75" customHeight="1">
      <c r="A18836" s="7"/>
      <c r="B18836" s="7"/>
      <c r="M18836" s="9" t="s">
        <v>36</v>
      </c>
    </row>
    <row r="18837" ht="15.75" customHeight="1">
      <c r="A18837" s="7"/>
      <c r="B18837" s="7"/>
      <c r="M18837" s="9" t="s">
        <v>24</v>
      </c>
    </row>
    <row r="18838" ht="15.75" customHeight="1">
      <c r="A18838" s="7"/>
      <c r="B18838" s="7"/>
      <c r="M18838" s="9" t="s">
        <v>21</v>
      </c>
    </row>
    <row r="18839" ht="15.75" customHeight="1">
      <c r="A18839" s="7"/>
      <c r="B18839" s="7"/>
      <c r="M18839" s="9" t="s">
        <v>37</v>
      </c>
    </row>
    <row r="18840" ht="15.75" customHeight="1">
      <c r="A18840" s="7"/>
      <c r="B18840" s="7"/>
      <c r="M18840" s="9" t="s">
        <v>32</v>
      </c>
    </row>
    <row r="18841" ht="15.75" customHeight="1">
      <c r="A18841" s="7"/>
      <c r="B18841" s="7"/>
      <c r="M18841" s="9" t="s">
        <v>27</v>
      </c>
    </row>
    <row r="18842" ht="15.75" customHeight="1">
      <c r="A18842" s="7"/>
      <c r="B18842" s="7"/>
      <c r="M18842" s="9" t="s">
        <v>34</v>
      </c>
    </row>
    <row r="18843" ht="15.75" customHeight="1">
      <c r="A18843" s="7"/>
      <c r="B18843" s="7"/>
      <c r="M18843" s="9" t="s">
        <v>26</v>
      </c>
    </row>
    <row r="18844" ht="15.75" customHeight="1">
      <c r="A18844" s="7"/>
      <c r="B18844" s="7"/>
      <c r="M18844" s="9" t="s">
        <v>22</v>
      </c>
    </row>
    <row r="18845" ht="15.75" customHeight="1">
      <c r="A18845" s="7"/>
      <c r="B18845" s="7"/>
      <c r="M18845" s="9" t="s">
        <v>31</v>
      </c>
    </row>
    <row r="18846" ht="15.75" customHeight="1">
      <c r="A18846" s="7"/>
      <c r="B18846" s="7"/>
      <c r="M18846" s="9" t="s">
        <v>33</v>
      </c>
    </row>
    <row r="18847" ht="15.75" customHeight="1">
      <c r="A18847" s="7"/>
      <c r="B18847" s="7"/>
      <c r="M18847" s="9" t="s">
        <v>30</v>
      </c>
    </row>
    <row r="18848" ht="15.75" customHeight="1">
      <c r="A18848" s="7"/>
      <c r="B18848" s="7"/>
      <c r="M18848" s="9" t="s">
        <v>24</v>
      </c>
    </row>
    <row r="18849" ht="15.75" customHeight="1">
      <c r="A18849" s="7"/>
      <c r="B18849" s="7"/>
      <c r="M18849" s="9" t="s">
        <v>20</v>
      </c>
    </row>
    <row r="18850" ht="15.75" customHeight="1">
      <c r="A18850" s="7"/>
      <c r="B18850" s="7"/>
      <c r="M18850" s="9" t="s">
        <v>21</v>
      </c>
    </row>
    <row r="18851" ht="15.75" customHeight="1">
      <c r="A18851" s="7"/>
      <c r="B18851" s="7"/>
      <c r="M18851" s="9" t="s">
        <v>27</v>
      </c>
    </row>
    <row r="18852" ht="15.75" customHeight="1">
      <c r="A18852" s="7"/>
      <c r="B18852" s="7"/>
      <c r="M18852" s="9" t="s">
        <v>30</v>
      </c>
    </row>
    <row r="18853" ht="15.75" customHeight="1">
      <c r="A18853" s="7"/>
      <c r="B18853" s="7"/>
      <c r="M18853" s="9" t="s">
        <v>24</v>
      </c>
    </row>
    <row r="18854" ht="15.75" customHeight="1">
      <c r="A18854" s="7"/>
      <c r="B18854" s="7"/>
      <c r="M18854" s="9" t="s">
        <v>21</v>
      </c>
    </row>
    <row r="18855" ht="15.75" customHeight="1">
      <c r="A18855" s="7"/>
      <c r="B18855" s="7"/>
      <c r="M18855" s="9" t="s">
        <v>33</v>
      </c>
    </row>
    <row r="18856" ht="15.75" customHeight="1">
      <c r="A18856" s="7"/>
      <c r="B18856" s="7"/>
      <c r="M18856" s="9" t="s">
        <v>30</v>
      </c>
    </row>
    <row r="18857" ht="15.75" customHeight="1">
      <c r="A18857" s="7"/>
      <c r="B18857" s="7"/>
      <c r="M18857" s="9" t="s">
        <v>26</v>
      </c>
    </row>
    <row r="18858" ht="15.75" customHeight="1">
      <c r="A18858" s="7"/>
      <c r="B18858" s="7"/>
      <c r="M18858" s="9" t="s">
        <v>36</v>
      </c>
    </row>
    <row r="18859" ht="15.75" customHeight="1">
      <c r="A18859" s="7"/>
      <c r="B18859" s="7"/>
      <c r="M18859" s="9" t="s">
        <v>24</v>
      </c>
    </row>
    <row r="18860" ht="15.75" customHeight="1">
      <c r="A18860" s="7"/>
      <c r="B18860" s="7"/>
      <c r="M18860" s="9" t="s">
        <v>21</v>
      </c>
    </row>
    <row r="18861" ht="15.75" customHeight="1">
      <c r="A18861" s="7"/>
      <c r="B18861" s="7"/>
      <c r="M18861" s="9" t="s">
        <v>37</v>
      </c>
    </row>
    <row r="18862" ht="15.75" customHeight="1">
      <c r="A18862" s="7"/>
      <c r="B18862" s="7"/>
      <c r="M18862" s="9" t="s">
        <v>22</v>
      </c>
    </row>
    <row r="18863" ht="15.75" customHeight="1">
      <c r="A18863" s="7"/>
      <c r="B18863" s="7"/>
      <c r="M18863" s="9" t="s">
        <v>33</v>
      </c>
    </row>
    <row r="18864" ht="15.75" customHeight="1">
      <c r="A18864" s="7"/>
      <c r="B18864" s="7"/>
      <c r="M18864" s="9" t="s">
        <v>24</v>
      </c>
    </row>
    <row r="18865" ht="15.75" customHeight="1">
      <c r="A18865" s="7"/>
      <c r="B18865" s="7"/>
      <c r="M18865" s="9" t="s">
        <v>21</v>
      </c>
    </row>
    <row r="18866" ht="15.75" customHeight="1">
      <c r="A18866" s="7"/>
      <c r="B18866" s="7"/>
      <c r="M18866" s="9" t="s">
        <v>39</v>
      </c>
    </row>
    <row r="18867" ht="15.75" customHeight="1">
      <c r="A18867" s="7"/>
      <c r="B18867" s="7"/>
      <c r="M18867" s="9" t="s">
        <v>22</v>
      </c>
    </row>
    <row r="18868" ht="15.75" customHeight="1">
      <c r="A18868" s="7"/>
      <c r="B18868" s="7"/>
      <c r="M18868" s="9" t="s">
        <v>23</v>
      </c>
    </row>
    <row r="18869" ht="15.75" customHeight="1">
      <c r="A18869" s="7"/>
      <c r="B18869" s="7"/>
      <c r="M18869" s="9" t="s">
        <v>26</v>
      </c>
    </row>
    <row r="18870" ht="15.75" customHeight="1">
      <c r="A18870" s="7"/>
      <c r="B18870" s="7"/>
      <c r="M18870" s="9" t="s">
        <v>24</v>
      </c>
    </row>
    <row r="18871" ht="15.75" customHeight="1">
      <c r="A18871" s="7"/>
      <c r="B18871" s="7"/>
      <c r="M18871" s="9" t="s">
        <v>21</v>
      </c>
    </row>
    <row r="18872" ht="15.75" customHeight="1">
      <c r="A18872" s="7"/>
      <c r="B18872" s="7"/>
      <c r="M18872" s="9" t="s">
        <v>22</v>
      </c>
    </row>
    <row r="18873" ht="15.75" customHeight="1">
      <c r="A18873" s="7"/>
      <c r="B18873" s="7"/>
      <c r="M18873" s="9" t="s">
        <v>27</v>
      </c>
    </row>
    <row r="18874" ht="15.75" customHeight="1">
      <c r="A18874" s="7"/>
      <c r="B18874" s="7"/>
      <c r="M18874" s="9" t="s">
        <v>30</v>
      </c>
    </row>
    <row r="18875" ht="15.75" customHeight="1">
      <c r="A18875" s="7"/>
      <c r="B18875" s="7"/>
      <c r="M18875" s="9" t="s">
        <v>26</v>
      </c>
    </row>
    <row r="18876" ht="15.75" customHeight="1">
      <c r="A18876" s="7"/>
      <c r="B18876" s="7"/>
      <c r="M18876" s="9" t="s">
        <v>47</v>
      </c>
    </row>
    <row r="18877" ht="15.75" customHeight="1">
      <c r="A18877" s="7"/>
      <c r="B18877" s="7"/>
      <c r="M18877" s="9" t="s">
        <v>35</v>
      </c>
    </row>
    <row r="18878" ht="15.75" customHeight="1">
      <c r="A18878" s="7"/>
      <c r="B18878" s="7"/>
      <c r="M18878" s="9" t="s">
        <v>30</v>
      </c>
    </row>
    <row r="18879" ht="15.75" customHeight="1">
      <c r="A18879" s="7"/>
      <c r="B18879" s="7"/>
      <c r="M18879" s="9" t="s">
        <v>25</v>
      </c>
    </row>
    <row r="18880" ht="15.75" customHeight="1">
      <c r="A18880" s="7"/>
      <c r="B18880" s="7"/>
      <c r="M18880" s="9" t="s">
        <v>23</v>
      </c>
    </row>
    <row r="18881" ht="15.75" customHeight="1">
      <c r="A18881" s="7"/>
      <c r="B18881" s="7"/>
      <c r="M18881" s="9" t="s">
        <v>26</v>
      </c>
    </row>
    <row r="18882" ht="15.75" customHeight="1">
      <c r="A18882" s="7"/>
      <c r="B18882" s="7"/>
      <c r="M18882" s="9" t="s">
        <v>45</v>
      </c>
    </row>
    <row r="18883" ht="15.75" customHeight="1">
      <c r="A18883" s="7"/>
      <c r="B18883" s="7"/>
      <c r="M18883" s="9" t="s">
        <v>24</v>
      </c>
    </row>
    <row r="18884" ht="15.75" customHeight="1">
      <c r="A18884" s="7"/>
      <c r="B18884" s="7"/>
      <c r="M18884" s="9" t="s">
        <v>21</v>
      </c>
    </row>
    <row r="18885" ht="15.75" customHeight="1">
      <c r="A18885" s="7"/>
      <c r="B18885" s="7"/>
      <c r="M18885" s="9" t="s">
        <v>22</v>
      </c>
    </row>
    <row r="18886" ht="15.75" customHeight="1">
      <c r="A18886" s="7"/>
      <c r="B18886" s="7"/>
      <c r="M18886" s="9" t="s">
        <v>27</v>
      </c>
    </row>
    <row r="18887" ht="15.75" customHeight="1">
      <c r="A18887" s="7"/>
      <c r="B18887" s="7"/>
      <c r="M18887" s="9" t="s">
        <v>35</v>
      </c>
    </row>
    <row r="18888" ht="15.75" customHeight="1">
      <c r="A18888" s="7"/>
      <c r="B18888" s="7"/>
      <c r="M18888" s="9" t="s">
        <v>30</v>
      </c>
    </row>
    <row r="18889" ht="15.75" customHeight="1">
      <c r="A18889" s="7"/>
      <c r="B18889" s="7"/>
      <c r="M18889" s="9" t="s">
        <v>20</v>
      </c>
    </row>
    <row r="18890" ht="15.75" customHeight="1">
      <c r="A18890" s="7"/>
      <c r="B18890" s="7"/>
      <c r="M18890" s="9" t="s">
        <v>25</v>
      </c>
    </row>
    <row r="18891" ht="15.75" customHeight="1">
      <c r="A18891" s="7"/>
      <c r="B18891" s="7"/>
      <c r="M18891" s="9" t="s">
        <v>23</v>
      </c>
    </row>
    <row r="18892" ht="15.75" customHeight="1">
      <c r="A18892" s="7"/>
      <c r="B18892" s="7"/>
      <c r="M18892" s="9" t="s">
        <v>20</v>
      </c>
    </row>
    <row r="18893" ht="15.75" customHeight="1">
      <c r="A18893" s="7"/>
      <c r="B18893" s="7"/>
      <c r="M18893" s="9" t="s">
        <v>41</v>
      </c>
    </row>
    <row r="18894" ht="15.75" customHeight="1">
      <c r="A18894" s="7"/>
      <c r="B18894" s="7"/>
      <c r="M18894" s="9" t="s">
        <v>22</v>
      </c>
    </row>
    <row r="18895" ht="15.75" customHeight="1">
      <c r="A18895" s="7"/>
      <c r="B18895" s="7"/>
      <c r="M18895" s="9" t="s">
        <v>27</v>
      </c>
    </row>
    <row r="18896" ht="15.75" customHeight="1">
      <c r="A18896" s="7"/>
      <c r="B18896" s="7"/>
      <c r="M18896" s="9" t="s">
        <v>40</v>
      </c>
    </row>
    <row r="18897" ht="15.75" customHeight="1">
      <c r="A18897" s="7"/>
      <c r="B18897" s="7"/>
      <c r="M18897" s="9" t="s">
        <v>30</v>
      </c>
    </row>
    <row r="18898" ht="15.75" customHeight="1">
      <c r="A18898" s="7"/>
      <c r="B18898" s="7"/>
      <c r="M18898" s="9" t="s">
        <v>23</v>
      </c>
    </row>
    <row r="18899" ht="15.75" customHeight="1">
      <c r="A18899" s="7"/>
      <c r="B18899" s="7"/>
      <c r="M18899" s="9" t="s">
        <v>20</v>
      </c>
    </row>
    <row r="18900" ht="15.75" customHeight="1">
      <c r="A18900" s="7"/>
      <c r="B18900" s="7"/>
      <c r="M18900" s="9" t="s">
        <v>21</v>
      </c>
    </row>
    <row r="18901" ht="15.75" customHeight="1">
      <c r="A18901" s="7"/>
      <c r="B18901" s="7"/>
      <c r="M18901" s="9" t="s">
        <v>39</v>
      </c>
    </row>
    <row r="18902" ht="15.75" customHeight="1">
      <c r="A18902" s="7"/>
      <c r="B18902" s="7"/>
      <c r="M18902" s="9" t="s">
        <v>22</v>
      </c>
    </row>
    <row r="18903" ht="15.75" customHeight="1">
      <c r="A18903" s="7"/>
      <c r="B18903" s="7"/>
      <c r="M18903" s="9" t="s">
        <v>26</v>
      </c>
    </row>
    <row r="18904" ht="15.75" customHeight="1">
      <c r="A18904" s="7"/>
      <c r="B18904" s="7"/>
      <c r="M18904" s="9" t="s">
        <v>22</v>
      </c>
    </row>
    <row r="18905" ht="15.75" customHeight="1">
      <c r="A18905" s="7"/>
      <c r="B18905" s="7"/>
      <c r="M18905" s="9" t="s">
        <v>20</v>
      </c>
    </row>
    <row r="18906" ht="15.75" customHeight="1">
      <c r="A18906" s="7"/>
      <c r="B18906" s="7"/>
      <c r="M18906" s="9" t="s">
        <v>22</v>
      </c>
    </row>
    <row r="18907" ht="15.75" customHeight="1">
      <c r="A18907" s="7"/>
      <c r="B18907" s="7"/>
      <c r="M18907" s="9" t="s">
        <v>29</v>
      </c>
    </row>
    <row r="18908" ht="15.75" customHeight="1">
      <c r="A18908" s="7"/>
      <c r="B18908" s="7"/>
      <c r="M18908" s="9" t="s">
        <v>27</v>
      </c>
    </row>
    <row r="18909" ht="15.75" customHeight="1">
      <c r="A18909" s="7"/>
      <c r="B18909" s="7"/>
      <c r="M18909" s="9" t="s">
        <v>23</v>
      </c>
    </row>
    <row r="18910" ht="15.75" customHeight="1">
      <c r="A18910" s="7"/>
      <c r="B18910" s="7"/>
      <c r="M18910" s="9" t="s">
        <v>24</v>
      </c>
    </row>
    <row r="18911" ht="15.75" customHeight="1">
      <c r="A18911" s="7"/>
      <c r="B18911" s="7"/>
      <c r="M18911" s="9" t="s">
        <v>21</v>
      </c>
    </row>
    <row r="18912" ht="15.75" customHeight="1">
      <c r="A18912" s="7"/>
      <c r="B18912" s="7"/>
      <c r="M18912" s="9" t="s">
        <v>22</v>
      </c>
    </row>
    <row r="18913" ht="15.75" customHeight="1">
      <c r="A18913" s="7"/>
      <c r="B18913" s="7"/>
      <c r="M18913" s="9" t="s">
        <v>24</v>
      </c>
    </row>
    <row r="18914" ht="15.75" customHeight="1">
      <c r="A18914" s="7"/>
      <c r="B18914" s="7"/>
      <c r="M18914" s="9" t="s">
        <v>21</v>
      </c>
    </row>
    <row r="18915" ht="15.75" customHeight="1">
      <c r="A18915" s="7"/>
      <c r="B18915" s="7"/>
      <c r="M18915" s="9" t="s">
        <v>37</v>
      </c>
    </row>
    <row r="18916" ht="15.75" customHeight="1">
      <c r="A18916" s="7"/>
      <c r="B18916" s="7"/>
      <c r="M18916" s="9" t="s">
        <v>27</v>
      </c>
    </row>
    <row r="18917" ht="15.75" customHeight="1">
      <c r="A18917" s="7"/>
      <c r="B18917" s="7"/>
      <c r="M18917" s="9" t="s">
        <v>20</v>
      </c>
    </row>
    <row r="18918" ht="15.75" customHeight="1">
      <c r="A18918" s="7"/>
      <c r="B18918" s="7"/>
      <c r="M18918" s="9" t="s">
        <v>27</v>
      </c>
    </row>
    <row r="18919" ht="15.75" customHeight="1">
      <c r="A18919" s="7"/>
      <c r="B18919" s="7"/>
      <c r="M18919" s="9" t="s">
        <v>24</v>
      </c>
    </row>
    <row r="18920" ht="15.75" customHeight="1">
      <c r="A18920" s="7"/>
      <c r="B18920" s="7"/>
      <c r="M18920" s="9" t="s">
        <v>21</v>
      </c>
    </row>
    <row r="18921" ht="15.75" customHeight="1">
      <c r="A18921" s="7"/>
      <c r="B18921" s="7"/>
      <c r="M18921" s="9" t="s">
        <v>29</v>
      </c>
    </row>
    <row r="18922" ht="15.75" customHeight="1">
      <c r="A18922" s="7"/>
      <c r="B18922" s="7"/>
      <c r="M18922" s="9" t="s">
        <v>27</v>
      </c>
    </row>
    <row r="18923" ht="15.75" customHeight="1">
      <c r="A18923" s="7"/>
      <c r="B18923" s="7"/>
      <c r="M18923" s="9" t="s">
        <v>26</v>
      </c>
    </row>
    <row r="18924" ht="15.75" customHeight="1">
      <c r="A18924" s="7"/>
      <c r="B18924" s="7"/>
      <c r="M18924" s="9" t="s">
        <v>24</v>
      </c>
    </row>
    <row r="18925" ht="15.75" customHeight="1">
      <c r="A18925" s="7"/>
      <c r="B18925" s="7"/>
      <c r="M18925" s="9" t="s">
        <v>25</v>
      </c>
    </row>
    <row r="18926" ht="15.75" customHeight="1">
      <c r="A18926" s="7"/>
      <c r="B18926" s="7"/>
      <c r="M18926" s="9" t="s">
        <v>23</v>
      </c>
    </row>
    <row r="18927" ht="15.75" customHeight="1">
      <c r="A18927" s="7"/>
      <c r="B18927" s="7"/>
      <c r="M18927" s="9" t="s">
        <v>26</v>
      </c>
    </row>
    <row r="18928" ht="15.75" customHeight="1">
      <c r="A18928" s="7"/>
      <c r="B18928" s="7"/>
      <c r="M18928" s="9" t="s">
        <v>24</v>
      </c>
    </row>
    <row r="18929" ht="15.75" customHeight="1">
      <c r="A18929" s="7"/>
      <c r="B18929" s="7"/>
      <c r="M18929" s="9" t="s">
        <v>20</v>
      </c>
    </row>
    <row r="18930" ht="15.75" customHeight="1">
      <c r="A18930" s="7"/>
      <c r="B18930" s="7"/>
      <c r="M18930" s="9" t="s">
        <v>21</v>
      </c>
    </row>
    <row r="18931" ht="15.75" customHeight="1">
      <c r="A18931" s="7"/>
      <c r="B18931" s="7"/>
      <c r="M18931" s="9" t="s">
        <v>37</v>
      </c>
    </row>
    <row r="18932" ht="15.75" customHeight="1">
      <c r="A18932" s="7"/>
      <c r="B18932" s="7"/>
      <c r="M18932" s="9" t="s">
        <v>22</v>
      </c>
    </row>
    <row r="18933" ht="15.75" customHeight="1">
      <c r="A18933" s="7"/>
      <c r="B18933" s="7"/>
      <c r="M18933" s="9" t="s">
        <v>29</v>
      </c>
    </row>
    <row r="18934" ht="15.75" customHeight="1">
      <c r="A18934" s="7"/>
      <c r="B18934" s="7"/>
      <c r="M18934" s="9" t="s">
        <v>31</v>
      </c>
    </row>
    <row r="18935" ht="15.75" customHeight="1">
      <c r="A18935" s="7"/>
      <c r="B18935" s="7"/>
      <c r="M18935" s="9" t="s">
        <v>27</v>
      </c>
    </row>
    <row r="18936" ht="15.75" customHeight="1">
      <c r="A18936" s="7"/>
      <c r="B18936" s="7"/>
      <c r="M18936" s="9" t="s">
        <v>30</v>
      </c>
    </row>
    <row r="18937" ht="15.75" customHeight="1">
      <c r="A18937" s="7"/>
      <c r="B18937" s="7"/>
      <c r="M18937" s="9" t="s">
        <v>24</v>
      </c>
    </row>
    <row r="18938" ht="15.75" customHeight="1">
      <c r="A18938" s="7"/>
      <c r="B18938" s="7"/>
      <c r="M18938" s="9" t="s">
        <v>20</v>
      </c>
    </row>
    <row r="18939" ht="15.75" customHeight="1">
      <c r="A18939" s="7"/>
      <c r="B18939" s="7"/>
      <c r="M18939" s="9" t="s">
        <v>21</v>
      </c>
    </row>
    <row r="18940" ht="15.75" customHeight="1">
      <c r="A18940" s="7"/>
      <c r="B18940" s="7"/>
      <c r="M18940" s="9" t="s">
        <v>39</v>
      </c>
    </row>
    <row r="18941" ht="15.75" customHeight="1">
      <c r="A18941" s="7"/>
      <c r="B18941" s="7"/>
      <c r="M18941" s="9" t="s">
        <v>22</v>
      </c>
    </row>
    <row r="18942" ht="15.75" customHeight="1">
      <c r="A18942" s="7"/>
      <c r="B18942" s="7"/>
      <c r="M18942" s="9" t="s">
        <v>32</v>
      </c>
    </row>
    <row r="18943" ht="15.75" customHeight="1">
      <c r="A18943" s="7"/>
      <c r="B18943" s="7"/>
      <c r="M18943" s="9" t="s">
        <v>33</v>
      </c>
    </row>
    <row r="18944" ht="15.75" customHeight="1">
      <c r="A18944" s="7"/>
      <c r="B18944" s="7"/>
      <c r="M18944" s="9" t="s">
        <v>35</v>
      </c>
    </row>
    <row r="18945" ht="15.75" customHeight="1">
      <c r="A18945" s="7"/>
      <c r="B18945" s="7"/>
      <c r="M18945" s="9" t="s">
        <v>26</v>
      </c>
    </row>
    <row r="18946" ht="15.75" customHeight="1">
      <c r="A18946" s="7"/>
      <c r="B18946" s="7"/>
      <c r="M18946" s="9" t="s">
        <v>24</v>
      </c>
    </row>
    <row r="18947" ht="15.75" customHeight="1">
      <c r="A18947" s="7"/>
      <c r="B18947" s="7"/>
      <c r="M18947" s="9" t="s">
        <v>27</v>
      </c>
    </row>
    <row r="18948" ht="15.75" customHeight="1">
      <c r="A18948" s="7"/>
      <c r="B18948" s="7"/>
      <c r="M18948" s="9" t="s">
        <v>24</v>
      </c>
    </row>
    <row r="18949" ht="15.75" customHeight="1">
      <c r="A18949" s="7"/>
      <c r="B18949" s="7"/>
      <c r="M18949" s="9" t="s">
        <v>21</v>
      </c>
    </row>
    <row r="18950" ht="15.75" customHeight="1">
      <c r="A18950" s="7"/>
      <c r="B18950" s="7"/>
      <c r="M18950" s="9" t="s">
        <v>22</v>
      </c>
    </row>
    <row r="18951" ht="15.75" customHeight="1">
      <c r="A18951" s="7"/>
      <c r="B18951" s="7"/>
      <c r="M18951" s="9" t="s">
        <v>38</v>
      </c>
    </row>
    <row r="18952" ht="15.75" customHeight="1">
      <c r="A18952" s="7"/>
      <c r="B18952" s="7"/>
      <c r="M18952" s="9" t="s">
        <v>30</v>
      </c>
    </row>
    <row r="18953" ht="15.75" customHeight="1">
      <c r="A18953" s="7"/>
      <c r="B18953" s="7"/>
      <c r="M18953" s="9" t="s">
        <v>36</v>
      </c>
    </row>
    <row r="18954" ht="15.75" customHeight="1">
      <c r="A18954" s="7"/>
      <c r="B18954" s="7"/>
      <c r="M18954" s="9" t="s">
        <v>21</v>
      </c>
    </row>
    <row r="18955" ht="15.75" customHeight="1">
      <c r="A18955" s="7"/>
      <c r="B18955" s="7"/>
      <c r="M18955" s="9" t="s">
        <v>22</v>
      </c>
    </row>
    <row r="18956" ht="15.75" customHeight="1">
      <c r="A18956" s="7"/>
      <c r="B18956" s="7"/>
      <c r="M18956" s="9" t="s">
        <v>46</v>
      </c>
    </row>
    <row r="18957" ht="15.75" customHeight="1">
      <c r="A18957" s="7"/>
      <c r="B18957" s="7"/>
      <c r="M18957" s="9" t="s">
        <v>24</v>
      </c>
    </row>
    <row r="18958" ht="15.75" customHeight="1">
      <c r="A18958" s="7"/>
      <c r="B18958" s="7"/>
      <c r="M18958" s="9" t="s">
        <v>21</v>
      </c>
    </row>
    <row r="18959" ht="15.75" customHeight="1">
      <c r="A18959" s="7"/>
      <c r="B18959" s="7"/>
      <c r="M18959" s="9" t="s">
        <v>37</v>
      </c>
    </row>
    <row r="18960" ht="15.75" customHeight="1">
      <c r="A18960" s="7"/>
      <c r="B18960" s="7"/>
      <c r="M18960" s="9" t="s">
        <v>22</v>
      </c>
    </row>
    <row r="18961" ht="15.75" customHeight="1">
      <c r="A18961" s="7"/>
      <c r="B18961" s="7"/>
      <c r="M18961" s="9" t="s">
        <v>27</v>
      </c>
    </row>
    <row r="18962" ht="15.75" customHeight="1">
      <c r="A18962" s="7"/>
      <c r="B18962" s="7"/>
      <c r="M18962" s="9" t="s">
        <v>35</v>
      </c>
    </row>
    <row r="18963" ht="15.75" customHeight="1">
      <c r="A18963" s="7"/>
      <c r="B18963" s="7"/>
      <c r="M18963" s="9" t="s">
        <v>26</v>
      </c>
    </row>
    <row r="18964" ht="15.75" customHeight="1">
      <c r="A18964" s="7"/>
      <c r="B18964" s="7"/>
      <c r="M18964" s="9" t="s">
        <v>24</v>
      </c>
    </row>
    <row r="18965" ht="15.75" customHeight="1">
      <c r="A18965" s="7"/>
      <c r="B18965" s="7"/>
      <c r="M18965" s="9" t="s">
        <v>21</v>
      </c>
    </row>
    <row r="18966" ht="15.75" customHeight="1">
      <c r="A18966" s="7"/>
      <c r="B18966" s="7"/>
      <c r="M18966" s="9" t="s">
        <v>37</v>
      </c>
    </row>
    <row r="18967" ht="15.75" customHeight="1">
      <c r="A18967" s="7"/>
      <c r="B18967" s="7"/>
      <c r="M18967" s="9" t="s">
        <v>27</v>
      </c>
    </row>
    <row r="18968" ht="15.75" customHeight="1">
      <c r="A18968" s="7"/>
      <c r="B18968" s="7"/>
      <c r="M18968" s="9" t="s">
        <v>28</v>
      </c>
    </row>
    <row r="18969" ht="15.75" customHeight="1">
      <c r="A18969" s="7"/>
      <c r="B18969" s="7"/>
      <c r="M18969" s="9" t="s">
        <v>26</v>
      </c>
    </row>
    <row r="18970" ht="15.75" customHeight="1">
      <c r="A18970" s="7"/>
      <c r="B18970" s="7"/>
      <c r="M18970" s="9" t="s">
        <v>24</v>
      </c>
    </row>
    <row r="18971" ht="15.75" customHeight="1">
      <c r="A18971" s="7"/>
      <c r="B18971" s="7"/>
      <c r="M18971" s="9" t="s">
        <v>21</v>
      </c>
    </row>
    <row r="18972" ht="15.75" customHeight="1">
      <c r="A18972" s="7"/>
      <c r="B18972" s="7"/>
      <c r="M18972" s="9" t="s">
        <v>37</v>
      </c>
    </row>
    <row r="18973" ht="15.75" customHeight="1">
      <c r="A18973" s="7"/>
      <c r="B18973" s="7"/>
      <c r="M18973" s="9" t="s">
        <v>22</v>
      </c>
    </row>
    <row r="18974" ht="15.75" customHeight="1">
      <c r="A18974" s="7"/>
      <c r="B18974" s="7"/>
      <c r="M18974" s="9" t="s">
        <v>27</v>
      </c>
    </row>
    <row r="18975" ht="15.75" customHeight="1">
      <c r="A18975" s="7"/>
      <c r="B18975" s="7"/>
      <c r="M18975" s="9" t="s">
        <v>26</v>
      </c>
    </row>
    <row r="18976" ht="15.75" customHeight="1">
      <c r="A18976" s="7"/>
      <c r="B18976" s="7"/>
      <c r="M18976" s="9" t="s">
        <v>24</v>
      </c>
    </row>
    <row r="18977" ht="15.75" customHeight="1">
      <c r="A18977" s="7"/>
      <c r="B18977" s="7"/>
      <c r="M18977" s="9" t="s">
        <v>20</v>
      </c>
    </row>
    <row r="18978" ht="15.75" customHeight="1">
      <c r="A18978" s="7"/>
      <c r="B18978" s="7"/>
      <c r="M18978" s="9" t="s">
        <v>21</v>
      </c>
    </row>
    <row r="18979" ht="15.75" customHeight="1">
      <c r="A18979" s="7"/>
      <c r="B18979" s="7"/>
      <c r="M18979" s="9" t="s">
        <v>39</v>
      </c>
    </row>
    <row r="18980" ht="15.75" customHeight="1">
      <c r="A18980" s="7"/>
      <c r="B18980" s="7"/>
      <c r="M18980" s="9" t="s">
        <v>41</v>
      </c>
    </row>
    <row r="18981" ht="15.75" customHeight="1">
      <c r="A18981" s="7"/>
      <c r="B18981" s="7"/>
      <c r="M18981" s="9" t="s">
        <v>40</v>
      </c>
    </row>
    <row r="18982" ht="15.75" customHeight="1">
      <c r="A18982" s="7"/>
      <c r="B18982" s="7"/>
      <c r="M18982" s="9" t="s">
        <v>24</v>
      </c>
    </row>
    <row r="18983" ht="15.75" customHeight="1">
      <c r="A18983" s="7"/>
      <c r="B18983" s="7"/>
      <c r="M18983" s="9" t="s">
        <v>21</v>
      </c>
    </row>
    <row r="18984" ht="15.75" customHeight="1">
      <c r="A18984" s="7"/>
      <c r="B18984" s="7"/>
      <c r="M18984" s="9" t="s">
        <v>33</v>
      </c>
    </row>
    <row r="18985" ht="15.75" customHeight="1">
      <c r="A18985" s="7"/>
      <c r="B18985" s="7"/>
      <c r="M18985" s="9" t="s">
        <v>38</v>
      </c>
    </row>
    <row r="18986" ht="15.75" customHeight="1">
      <c r="A18986" s="7"/>
      <c r="B18986" s="7"/>
      <c r="M18986" s="9" t="s">
        <v>30</v>
      </c>
    </row>
    <row r="18987" ht="15.75" customHeight="1">
      <c r="A18987" s="7"/>
      <c r="B18987" s="7"/>
      <c r="M18987" s="9" t="s">
        <v>25</v>
      </c>
    </row>
    <row r="18988" ht="15.75" customHeight="1">
      <c r="A18988" s="7"/>
      <c r="B18988" s="7"/>
      <c r="M18988" s="9" t="s">
        <v>23</v>
      </c>
    </row>
    <row r="18989" ht="15.75" customHeight="1">
      <c r="A18989" s="7"/>
      <c r="B18989" s="7"/>
      <c r="M18989" s="9" t="s">
        <v>20</v>
      </c>
    </row>
    <row r="18990" ht="15.75" customHeight="1">
      <c r="A18990" s="7"/>
      <c r="B18990" s="7"/>
      <c r="M18990" s="9" t="s">
        <v>27</v>
      </c>
    </row>
    <row r="18991" ht="15.75" customHeight="1">
      <c r="A18991" s="7"/>
      <c r="B18991" s="7"/>
      <c r="M18991" s="9" t="s">
        <v>34</v>
      </c>
    </row>
    <row r="18992" ht="15.75" customHeight="1">
      <c r="A18992" s="7"/>
      <c r="B18992" s="7"/>
      <c r="M18992" s="9" t="s">
        <v>20</v>
      </c>
    </row>
    <row r="18993" ht="15.75" customHeight="1">
      <c r="A18993" s="7"/>
      <c r="B18993" s="7"/>
      <c r="M18993" s="9" t="s">
        <v>30</v>
      </c>
    </row>
    <row r="18994" ht="15.75" customHeight="1">
      <c r="A18994" s="7"/>
      <c r="B18994" s="7"/>
      <c r="M18994" s="9" t="s">
        <v>25</v>
      </c>
    </row>
    <row r="18995" ht="15.75" customHeight="1">
      <c r="A18995" s="7"/>
      <c r="B18995" s="7"/>
      <c r="M18995" s="9" t="s">
        <v>24</v>
      </c>
    </row>
    <row r="18996" ht="15.75" customHeight="1">
      <c r="A18996" s="7"/>
      <c r="B18996" s="7"/>
      <c r="M18996" s="9" t="s">
        <v>41</v>
      </c>
    </row>
    <row r="18997" ht="15.75" customHeight="1">
      <c r="A18997" s="7"/>
      <c r="B18997" s="7"/>
      <c r="M18997" s="9" t="s">
        <v>40</v>
      </c>
    </row>
    <row r="18998" ht="15.75" customHeight="1">
      <c r="A18998" s="7"/>
      <c r="B18998" s="7"/>
      <c r="M18998" s="9" t="s">
        <v>25</v>
      </c>
    </row>
    <row r="18999" ht="15.75" customHeight="1">
      <c r="A18999" s="7"/>
      <c r="B18999" s="7"/>
      <c r="M18999" s="9" t="s">
        <v>23</v>
      </c>
    </row>
    <row r="19000" ht="15.75" customHeight="1">
      <c r="A19000" s="7"/>
      <c r="B19000" s="7"/>
      <c r="M19000" s="9" t="s">
        <v>26</v>
      </c>
    </row>
    <row r="19001" ht="15.75" customHeight="1">
      <c r="A19001" s="7"/>
      <c r="B19001" s="7"/>
      <c r="M19001" s="9" t="s">
        <v>47</v>
      </c>
    </row>
    <row r="19002" ht="15.75" customHeight="1">
      <c r="A19002" s="7"/>
      <c r="B19002" s="7"/>
      <c r="M19002" s="9" t="s">
        <v>24</v>
      </c>
    </row>
    <row r="19003" ht="15.75" customHeight="1">
      <c r="A19003" s="7"/>
      <c r="B19003" s="7"/>
      <c r="M19003" s="9" t="s">
        <v>20</v>
      </c>
    </row>
    <row r="19004" ht="15.75" customHeight="1">
      <c r="A19004" s="7"/>
      <c r="B19004" s="7"/>
      <c r="M19004" s="9" t="s">
        <v>21</v>
      </c>
    </row>
    <row r="19005" ht="15.75" customHeight="1">
      <c r="A19005" s="7"/>
      <c r="B19005" s="7"/>
      <c r="M19005" s="9" t="s">
        <v>39</v>
      </c>
    </row>
    <row r="19006" ht="15.75" customHeight="1">
      <c r="A19006" s="7"/>
      <c r="B19006" s="7"/>
      <c r="M19006" s="9" t="s">
        <v>22</v>
      </c>
    </row>
    <row r="19007" ht="15.75" customHeight="1">
      <c r="A19007" s="7"/>
      <c r="B19007" s="7"/>
      <c r="M19007" s="9" t="s">
        <v>33</v>
      </c>
    </row>
    <row r="19008" ht="15.75" customHeight="1">
      <c r="A19008" s="7"/>
      <c r="B19008" s="7"/>
      <c r="M19008" s="9" t="s">
        <v>24</v>
      </c>
    </row>
    <row r="19009" ht="15.75" customHeight="1">
      <c r="A19009" s="7"/>
      <c r="B19009" s="7"/>
      <c r="M19009" s="9" t="s">
        <v>21</v>
      </c>
    </row>
    <row r="19010" ht="15.75" customHeight="1">
      <c r="A19010" s="7"/>
      <c r="B19010" s="7"/>
      <c r="M19010" s="9" t="s">
        <v>37</v>
      </c>
    </row>
    <row r="19011" ht="15.75" customHeight="1">
      <c r="A19011" s="7"/>
      <c r="B19011" s="7"/>
      <c r="M19011" s="9" t="s">
        <v>23</v>
      </c>
    </row>
    <row r="19012" ht="15.75" customHeight="1">
      <c r="A19012" s="7"/>
      <c r="B19012" s="7"/>
      <c r="M19012" s="9" t="s">
        <v>26</v>
      </c>
    </row>
    <row r="19013" ht="15.75" customHeight="1">
      <c r="A19013" s="7"/>
      <c r="B19013" s="7"/>
      <c r="M19013" s="9" t="s">
        <v>24</v>
      </c>
    </row>
    <row r="19014" ht="15.75" customHeight="1">
      <c r="A19014" s="7"/>
      <c r="B19014" s="7"/>
      <c r="M19014" s="9" t="s">
        <v>21</v>
      </c>
    </row>
    <row r="19015" ht="15.75" customHeight="1">
      <c r="A19015" s="7"/>
      <c r="B19015" s="7"/>
      <c r="M19015" s="9" t="s">
        <v>22</v>
      </c>
    </row>
    <row r="19016" ht="15.75" customHeight="1">
      <c r="A19016" s="7"/>
      <c r="B19016" s="7"/>
      <c r="M19016" s="9" t="s">
        <v>30</v>
      </c>
    </row>
    <row r="19017" ht="15.75" customHeight="1">
      <c r="A19017" s="7"/>
      <c r="B19017" s="7"/>
      <c r="M19017" s="9" t="s">
        <v>24</v>
      </c>
    </row>
    <row r="19018" ht="15.75" customHeight="1">
      <c r="A19018" s="7"/>
      <c r="B19018" s="7"/>
      <c r="M19018" s="9" t="s">
        <v>21</v>
      </c>
    </row>
    <row r="19019" ht="15.75" customHeight="1">
      <c r="A19019" s="7"/>
      <c r="B19019" s="7"/>
      <c r="M19019" s="9" t="s">
        <v>31</v>
      </c>
    </row>
    <row r="19020" ht="15.75" customHeight="1">
      <c r="A19020" s="7"/>
      <c r="B19020" s="7"/>
      <c r="M19020" s="9" t="s">
        <v>27</v>
      </c>
    </row>
    <row r="19021" ht="15.75" customHeight="1">
      <c r="A19021" s="7"/>
      <c r="B19021" s="7"/>
      <c r="M19021" s="9" t="s">
        <v>23</v>
      </c>
    </row>
    <row r="19022" ht="15.75" customHeight="1">
      <c r="A19022" s="7"/>
      <c r="B19022" s="7"/>
      <c r="M19022" s="9" t="s">
        <v>24</v>
      </c>
    </row>
    <row r="19023" ht="15.75" customHeight="1">
      <c r="A19023" s="7"/>
      <c r="B19023" s="7"/>
      <c r="M19023" s="9" t="s">
        <v>20</v>
      </c>
    </row>
    <row r="19024" ht="15.75" customHeight="1">
      <c r="A19024" s="7"/>
      <c r="B19024" s="7"/>
      <c r="M19024" s="9" t="s">
        <v>21</v>
      </c>
    </row>
    <row r="19025" ht="15.75" customHeight="1">
      <c r="A19025" s="7"/>
      <c r="B19025" s="7"/>
      <c r="M19025" s="9" t="s">
        <v>37</v>
      </c>
    </row>
    <row r="19026" ht="15.75" customHeight="1">
      <c r="A19026" s="7"/>
      <c r="B19026" s="7"/>
      <c r="M19026" s="9" t="s">
        <v>31</v>
      </c>
    </row>
    <row r="19027" ht="15.75" customHeight="1">
      <c r="A19027" s="7"/>
      <c r="B19027" s="7"/>
      <c r="M19027" s="9" t="s">
        <v>27</v>
      </c>
    </row>
    <row r="19028" ht="15.75" customHeight="1">
      <c r="A19028" s="7"/>
      <c r="B19028" s="7"/>
      <c r="M19028" s="9" t="s">
        <v>26</v>
      </c>
    </row>
    <row r="19029" ht="15.75" customHeight="1">
      <c r="A19029" s="7"/>
      <c r="B19029" s="7"/>
      <c r="M19029" s="9" t="s">
        <v>24</v>
      </c>
    </row>
    <row r="19030" ht="15.75" customHeight="1">
      <c r="A19030" s="7"/>
      <c r="B19030" s="7"/>
      <c r="M19030" s="9" t="s">
        <v>20</v>
      </c>
    </row>
    <row r="19031" ht="15.75" customHeight="1">
      <c r="A19031" s="7"/>
      <c r="B19031" s="7"/>
      <c r="M19031" s="9" t="s">
        <v>21</v>
      </c>
    </row>
    <row r="19032" ht="15.75" customHeight="1">
      <c r="A19032" s="7"/>
      <c r="B19032" s="7"/>
      <c r="M19032" s="9" t="s">
        <v>37</v>
      </c>
    </row>
    <row r="19033" ht="15.75" customHeight="1">
      <c r="A19033" s="7"/>
      <c r="B19033" s="7"/>
      <c r="M19033" s="9" t="s">
        <v>27</v>
      </c>
    </row>
    <row r="19034" ht="15.75" customHeight="1">
      <c r="A19034" s="7"/>
      <c r="B19034" s="7"/>
      <c r="M19034" s="9" t="s">
        <v>24</v>
      </c>
    </row>
    <row r="19035" ht="15.75" customHeight="1">
      <c r="A19035" s="7"/>
      <c r="B19035" s="7"/>
      <c r="M19035" s="9" t="s">
        <v>21</v>
      </c>
    </row>
    <row r="19036" ht="15.75" customHeight="1">
      <c r="A19036" s="7"/>
      <c r="B19036" s="7"/>
      <c r="M19036" s="9" t="s">
        <v>22</v>
      </c>
    </row>
    <row r="19037" ht="15.75" customHeight="1">
      <c r="A19037" s="7"/>
      <c r="B19037" s="7"/>
      <c r="M19037" s="9" t="s">
        <v>26</v>
      </c>
    </row>
    <row r="19038" ht="15.75" customHeight="1">
      <c r="A19038" s="7"/>
      <c r="B19038" s="7"/>
      <c r="M19038" s="9" t="s">
        <v>20</v>
      </c>
    </row>
    <row r="19039" ht="15.75" customHeight="1">
      <c r="A19039" s="7"/>
      <c r="B19039" s="7"/>
      <c r="M19039" s="9" t="s">
        <v>22</v>
      </c>
    </row>
    <row r="19040" ht="15.75" customHeight="1">
      <c r="A19040" s="7"/>
      <c r="B19040" s="7"/>
      <c r="M19040" s="9" t="s">
        <v>38</v>
      </c>
    </row>
    <row r="19041" ht="15.75" customHeight="1">
      <c r="A19041" s="7"/>
      <c r="B19041" s="7"/>
      <c r="M19041" s="9" t="s">
        <v>24</v>
      </c>
    </row>
    <row r="19042" ht="15.75" customHeight="1">
      <c r="A19042" s="7"/>
      <c r="B19042" s="7"/>
      <c r="M19042" s="9" t="s">
        <v>21</v>
      </c>
    </row>
    <row r="19043" ht="15.75" customHeight="1">
      <c r="A19043" s="7"/>
      <c r="B19043" s="7"/>
      <c r="M19043" s="9" t="s">
        <v>33</v>
      </c>
    </row>
    <row r="19044" ht="15.75" customHeight="1">
      <c r="A19044" s="7"/>
      <c r="B19044" s="7"/>
      <c r="M19044" s="9" t="s">
        <v>21</v>
      </c>
    </row>
    <row r="19045" ht="15.75" customHeight="1">
      <c r="A19045" s="7"/>
      <c r="B19045" s="7"/>
      <c r="M19045" s="9" t="s">
        <v>37</v>
      </c>
    </row>
    <row r="19046" ht="15.75" customHeight="1">
      <c r="A19046" s="7"/>
      <c r="B19046" s="7"/>
      <c r="M19046" s="9" t="s">
        <v>22</v>
      </c>
    </row>
    <row r="19047" ht="15.75" customHeight="1">
      <c r="A19047" s="7"/>
      <c r="B19047" s="7"/>
      <c r="M19047" s="9" t="s">
        <v>27</v>
      </c>
    </row>
    <row r="19048" ht="15.75" customHeight="1">
      <c r="A19048" s="7"/>
      <c r="B19048" s="7"/>
      <c r="M19048" s="9" t="s">
        <v>24</v>
      </c>
    </row>
    <row r="19049" ht="15.75" customHeight="1">
      <c r="A19049" s="7"/>
      <c r="B19049" s="7"/>
      <c r="M19049" s="9" t="s">
        <v>21</v>
      </c>
    </row>
    <row r="19050" ht="15.75" customHeight="1">
      <c r="A19050" s="7"/>
      <c r="B19050" s="7"/>
      <c r="M19050" s="9" t="s">
        <v>27</v>
      </c>
    </row>
    <row r="19051" ht="15.75" customHeight="1">
      <c r="A19051" s="7"/>
      <c r="B19051" s="7"/>
      <c r="M19051" s="9" t="s">
        <v>33</v>
      </c>
    </row>
    <row r="19052" ht="15.75" customHeight="1">
      <c r="A19052" s="7"/>
      <c r="B19052" s="7"/>
      <c r="M19052" s="9" t="s">
        <v>26</v>
      </c>
    </row>
    <row r="19053" ht="15.75" customHeight="1">
      <c r="A19053" s="7"/>
      <c r="B19053" s="7"/>
      <c r="M19053" s="9" t="s">
        <v>24</v>
      </c>
    </row>
    <row r="19054" ht="15.75" customHeight="1">
      <c r="A19054" s="7"/>
      <c r="B19054" s="7"/>
      <c r="M19054" s="9" t="s">
        <v>20</v>
      </c>
    </row>
    <row r="19055" ht="15.75" customHeight="1">
      <c r="A19055" s="7"/>
      <c r="B19055" s="7"/>
      <c r="M19055" s="9" t="s">
        <v>21</v>
      </c>
    </row>
    <row r="19056" ht="15.75" customHeight="1">
      <c r="A19056" s="7"/>
      <c r="B19056" s="7"/>
      <c r="M19056" s="9" t="s">
        <v>39</v>
      </c>
    </row>
    <row r="19057" ht="15.75" customHeight="1">
      <c r="A19057" s="7"/>
      <c r="B19057" s="7"/>
      <c r="M19057" s="9" t="s">
        <v>22</v>
      </c>
    </row>
    <row r="19058" ht="15.75" customHeight="1">
      <c r="A19058" s="7"/>
      <c r="B19058" s="7"/>
      <c r="M19058" s="9" t="s">
        <v>27</v>
      </c>
    </row>
    <row r="19059" ht="15.75" customHeight="1">
      <c r="A19059" s="7"/>
      <c r="B19059" s="7"/>
      <c r="M19059" s="9" t="s">
        <v>30</v>
      </c>
    </row>
    <row r="19060" ht="15.75" customHeight="1">
      <c r="A19060" s="7"/>
      <c r="B19060" s="7"/>
      <c r="M19060" s="9" t="s">
        <v>25</v>
      </c>
    </row>
    <row r="19061" ht="15.75" customHeight="1">
      <c r="A19061" s="7"/>
      <c r="B19061" s="7"/>
      <c r="M19061" s="9" t="s">
        <v>23</v>
      </c>
    </row>
    <row r="19062" ht="15.75" customHeight="1">
      <c r="A19062" s="7"/>
      <c r="B19062" s="7"/>
      <c r="M19062" s="9" t="s">
        <v>47</v>
      </c>
    </row>
    <row r="19063" ht="15.75" customHeight="1">
      <c r="A19063" s="7"/>
      <c r="B19063" s="7"/>
      <c r="M19063" s="9" t="s">
        <v>24</v>
      </c>
    </row>
    <row r="19064" ht="15.75" customHeight="1">
      <c r="A19064" s="7"/>
      <c r="B19064" s="7"/>
      <c r="M19064" s="9" t="s">
        <v>20</v>
      </c>
    </row>
    <row r="19065" ht="15.75" customHeight="1">
      <c r="A19065" s="7"/>
      <c r="B19065" s="7"/>
      <c r="M19065" s="9" t="s">
        <v>21</v>
      </c>
    </row>
    <row r="19066" ht="15.75" customHeight="1">
      <c r="A19066" s="7"/>
      <c r="B19066" s="7"/>
      <c r="M19066" s="9" t="s">
        <v>22</v>
      </c>
    </row>
    <row r="19067" ht="15.75" customHeight="1">
      <c r="A19067" s="7"/>
      <c r="B19067" s="7"/>
      <c r="M19067" s="9" t="s">
        <v>27</v>
      </c>
    </row>
    <row r="19068" ht="15.75" customHeight="1">
      <c r="A19068" s="7"/>
      <c r="B19068" s="7"/>
      <c r="M19068" s="9" t="s">
        <v>26</v>
      </c>
    </row>
    <row r="19069" ht="15.75" customHeight="1">
      <c r="A19069" s="7"/>
      <c r="B19069" s="7"/>
      <c r="M19069" s="9" t="s">
        <v>42</v>
      </c>
    </row>
    <row r="19070" ht="15.75" customHeight="1">
      <c r="A19070" s="7"/>
      <c r="B19070" s="7"/>
      <c r="M19070" s="9" t="s">
        <v>43</v>
      </c>
    </row>
    <row r="19071" ht="15.75" customHeight="1">
      <c r="A19071" s="7"/>
      <c r="B19071" s="7"/>
      <c r="M19071" s="9" t="s">
        <v>20</v>
      </c>
    </row>
    <row r="19072" ht="15.75" customHeight="1">
      <c r="A19072" s="7"/>
      <c r="B19072" s="7"/>
      <c r="M19072" s="9" t="s">
        <v>21</v>
      </c>
    </row>
    <row r="19073" ht="15.75" customHeight="1">
      <c r="A19073" s="7"/>
      <c r="B19073" s="7"/>
      <c r="M19073" s="9" t="s">
        <v>33</v>
      </c>
    </row>
    <row r="19074" ht="15.75" customHeight="1">
      <c r="A19074" s="7"/>
      <c r="B19074" s="7"/>
      <c r="M19074" s="9" t="s">
        <v>30</v>
      </c>
    </row>
    <row r="19075" ht="15.75" customHeight="1">
      <c r="A19075" s="7"/>
      <c r="B19075" s="7"/>
      <c r="M19075" s="9" t="s">
        <v>25</v>
      </c>
    </row>
    <row r="19076" ht="15.75" customHeight="1">
      <c r="A19076" s="7"/>
      <c r="B19076" s="7"/>
      <c r="M19076" s="9" t="s">
        <v>22</v>
      </c>
    </row>
    <row r="19077" ht="15.75" customHeight="1">
      <c r="A19077" s="7"/>
      <c r="B19077" s="7"/>
      <c r="M19077" s="9" t="s">
        <v>35</v>
      </c>
    </row>
    <row r="19078" ht="15.75" customHeight="1">
      <c r="A19078" s="7"/>
      <c r="B19078" s="7"/>
      <c r="M19078" s="9" t="s">
        <v>26</v>
      </c>
    </row>
    <row r="19079" ht="15.75" customHeight="1">
      <c r="A19079" s="7"/>
      <c r="B19079" s="7"/>
      <c r="M19079" s="9" t="s">
        <v>24</v>
      </c>
    </row>
    <row r="19080" ht="15.75" customHeight="1">
      <c r="A19080" s="7"/>
      <c r="B19080" s="7"/>
      <c r="M19080" s="9" t="s">
        <v>21</v>
      </c>
    </row>
    <row r="19081" ht="15.75" customHeight="1">
      <c r="A19081" s="7"/>
      <c r="B19081" s="7"/>
      <c r="M19081" s="9" t="s">
        <v>37</v>
      </c>
    </row>
    <row r="19082" ht="15.75" customHeight="1">
      <c r="A19082" s="7"/>
      <c r="B19082" s="7"/>
      <c r="M19082" s="9" t="s">
        <v>22</v>
      </c>
    </row>
    <row r="19083" ht="15.75" customHeight="1">
      <c r="A19083" s="7"/>
      <c r="B19083" s="7"/>
      <c r="M19083" s="9" t="s">
        <v>31</v>
      </c>
    </row>
    <row r="19084" ht="15.75" customHeight="1">
      <c r="A19084" s="7"/>
      <c r="B19084" s="7"/>
      <c r="M19084" s="9" t="s">
        <v>27</v>
      </c>
    </row>
    <row r="19085" ht="15.75" customHeight="1">
      <c r="A19085" s="7"/>
      <c r="B19085" s="7"/>
      <c r="M19085" s="9" t="s">
        <v>33</v>
      </c>
    </row>
    <row r="19086" ht="15.75" customHeight="1">
      <c r="A19086" s="7"/>
      <c r="B19086" s="7"/>
      <c r="M19086" s="9" t="s">
        <v>24</v>
      </c>
    </row>
    <row r="19087" ht="15.75" customHeight="1">
      <c r="A19087" s="7"/>
      <c r="B19087" s="7"/>
      <c r="M19087" s="9" t="s">
        <v>20</v>
      </c>
    </row>
    <row r="19088" ht="15.75" customHeight="1">
      <c r="A19088" s="7"/>
      <c r="B19088" s="7"/>
      <c r="M19088" s="9" t="s">
        <v>21</v>
      </c>
    </row>
    <row r="19089" ht="15.75" customHeight="1">
      <c r="A19089" s="7"/>
      <c r="B19089" s="7"/>
      <c r="M19089" s="9" t="s">
        <v>37</v>
      </c>
    </row>
    <row r="19090" ht="15.75" customHeight="1">
      <c r="A19090" s="7"/>
      <c r="B19090" s="7"/>
      <c r="M19090" s="9" t="s">
        <v>22</v>
      </c>
    </row>
    <row r="19091" ht="15.75" customHeight="1">
      <c r="A19091" s="7"/>
      <c r="B19091" s="7"/>
      <c r="M19091" s="9" t="s">
        <v>27</v>
      </c>
    </row>
    <row r="19092" ht="15.75" customHeight="1">
      <c r="A19092" s="7"/>
      <c r="B19092" s="7"/>
      <c r="M19092" s="9" t="s">
        <v>33</v>
      </c>
    </row>
    <row r="19093" ht="15.75" customHeight="1">
      <c r="A19093" s="7"/>
      <c r="B19093" s="7"/>
      <c r="M19093" s="9" t="s">
        <v>26</v>
      </c>
    </row>
    <row r="19094" ht="15.75" customHeight="1">
      <c r="A19094" s="7"/>
      <c r="B19094" s="7"/>
      <c r="M19094" s="9" t="s">
        <v>24</v>
      </c>
    </row>
    <row r="19095" ht="15.75" customHeight="1">
      <c r="A19095" s="7"/>
      <c r="B19095" s="7"/>
      <c r="M19095" s="9" t="s">
        <v>20</v>
      </c>
    </row>
    <row r="19096" ht="15.75" customHeight="1">
      <c r="A19096" s="7"/>
      <c r="B19096" s="7"/>
      <c r="M19096" s="9" t="s">
        <v>21</v>
      </c>
    </row>
    <row r="19097" ht="15.75" customHeight="1">
      <c r="A19097" s="7"/>
      <c r="B19097" s="7"/>
      <c r="M19097" s="9" t="s">
        <v>22</v>
      </c>
    </row>
    <row r="19098" ht="15.75" customHeight="1">
      <c r="A19098" s="7"/>
      <c r="B19098" s="7"/>
      <c r="M19098" s="9" t="s">
        <v>27</v>
      </c>
    </row>
    <row r="19099" ht="15.75" customHeight="1">
      <c r="A19099" s="7"/>
      <c r="B19099" s="7"/>
      <c r="M19099" s="9" t="s">
        <v>30</v>
      </c>
    </row>
    <row r="19100" ht="15.75" customHeight="1">
      <c r="A19100" s="7"/>
      <c r="B19100" s="7"/>
      <c r="M19100" s="9" t="s">
        <v>25</v>
      </c>
    </row>
    <row r="19101" ht="15.75" customHeight="1">
      <c r="A19101" s="7"/>
      <c r="B19101" s="7"/>
      <c r="M19101" s="9" t="s">
        <v>23</v>
      </c>
    </row>
    <row r="19102" ht="15.75" customHeight="1">
      <c r="A19102" s="7"/>
      <c r="B19102" s="7"/>
      <c r="M19102" s="9" t="s">
        <v>41</v>
      </c>
    </row>
    <row r="19103" ht="15.75" customHeight="1">
      <c r="A19103" s="7"/>
      <c r="B19103" s="7"/>
      <c r="M19103" s="9" t="s">
        <v>40</v>
      </c>
    </row>
    <row r="19104" ht="15.75" customHeight="1">
      <c r="A19104" s="7"/>
      <c r="B19104" s="7"/>
      <c r="M19104" s="9" t="s">
        <v>30</v>
      </c>
    </row>
    <row r="19105" ht="15.75" customHeight="1">
      <c r="A19105" s="7"/>
      <c r="B19105" s="7"/>
      <c r="M19105" s="9" t="s">
        <v>24</v>
      </c>
    </row>
    <row r="19106" ht="15.75" customHeight="1">
      <c r="A19106" s="7"/>
      <c r="B19106" s="7"/>
      <c r="M19106" s="9" t="s">
        <v>21</v>
      </c>
    </row>
    <row r="19107" ht="15.75" customHeight="1">
      <c r="A19107" s="7"/>
      <c r="B19107" s="7"/>
      <c r="M19107" s="9" t="s">
        <v>37</v>
      </c>
    </row>
    <row r="19108" ht="15.75" customHeight="1">
      <c r="A19108" s="7"/>
      <c r="B19108" s="7"/>
      <c r="M19108" s="9" t="s">
        <v>27</v>
      </c>
    </row>
    <row r="19109" ht="15.75" customHeight="1">
      <c r="A19109" s="7"/>
      <c r="B19109" s="7"/>
      <c r="M19109" s="9" t="s">
        <v>24</v>
      </c>
    </row>
    <row r="19110" ht="15.75" customHeight="1">
      <c r="A19110" s="7"/>
      <c r="B19110" s="7"/>
      <c r="M19110" s="9" t="s">
        <v>21</v>
      </c>
    </row>
    <row r="19111" ht="15.75" customHeight="1">
      <c r="A19111" s="7"/>
      <c r="B19111" s="7"/>
      <c r="M19111" s="9" t="s">
        <v>22</v>
      </c>
    </row>
    <row r="19112" ht="15.75" customHeight="1">
      <c r="A19112" s="7"/>
      <c r="B19112" s="7"/>
      <c r="M19112" s="9" t="s">
        <v>21</v>
      </c>
    </row>
    <row r="19113" ht="15.75" customHeight="1">
      <c r="A19113" s="7"/>
      <c r="B19113" s="7"/>
      <c r="M19113" s="9" t="s">
        <v>41</v>
      </c>
    </row>
    <row r="19114" ht="15.75" customHeight="1">
      <c r="A19114" s="7"/>
      <c r="B19114" s="7"/>
      <c r="M19114" s="9" t="s">
        <v>40</v>
      </c>
    </row>
    <row r="19115" ht="15.75" customHeight="1">
      <c r="A19115" s="7"/>
      <c r="B19115" s="7"/>
      <c r="M19115" s="9" t="s">
        <v>24</v>
      </c>
    </row>
    <row r="19116" ht="15.75" customHeight="1">
      <c r="A19116" s="7"/>
      <c r="B19116" s="7"/>
      <c r="M19116" s="9" t="s">
        <v>21</v>
      </c>
    </row>
    <row r="19117" ht="15.75" customHeight="1">
      <c r="A19117" s="7"/>
      <c r="B19117" s="7"/>
      <c r="M19117" s="9" t="s">
        <v>27</v>
      </c>
    </row>
    <row r="19118" ht="15.75" customHeight="1">
      <c r="A19118" s="7"/>
      <c r="B19118" s="7"/>
      <c r="M19118" s="9" t="s">
        <v>24</v>
      </c>
    </row>
    <row r="19119" ht="15.75" customHeight="1">
      <c r="A19119" s="7"/>
      <c r="B19119" s="7"/>
      <c r="M19119" s="9" t="s">
        <v>21</v>
      </c>
    </row>
    <row r="19120" ht="15.75" customHeight="1">
      <c r="A19120" s="7"/>
      <c r="B19120" s="7"/>
      <c r="M19120" s="9" t="s">
        <v>22</v>
      </c>
    </row>
    <row r="19121" ht="15.75" customHeight="1">
      <c r="A19121" s="7"/>
      <c r="B19121" s="7"/>
      <c r="M19121" s="9" t="s">
        <v>29</v>
      </c>
    </row>
    <row r="19122" ht="15.75" customHeight="1">
      <c r="A19122" s="7"/>
      <c r="B19122" s="7"/>
      <c r="M19122" s="9" t="s">
        <v>27</v>
      </c>
    </row>
    <row r="19123" ht="15.75" customHeight="1">
      <c r="A19123" s="7"/>
      <c r="B19123" s="7"/>
      <c r="M19123" s="9" t="s">
        <v>24</v>
      </c>
    </row>
    <row r="19124" ht="15.75" customHeight="1">
      <c r="A19124" s="7"/>
      <c r="B19124" s="7"/>
      <c r="M19124" s="9" t="s">
        <v>21</v>
      </c>
    </row>
    <row r="19125" ht="15.75" customHeight="1">
      <c r="A19125" s="7"/>
      <c r="B19125" s="7"/>
      <c r="M19125" s="9" t="s">
        <v>33</v>
      </c>
    </row>
    <row r="19126" ht="15.75" customHeight="1">
      <c r="A19126" s="7"/>
      <c r="B19126" s="7"/>
      <c r="M19126" s="9" t="s">
        <v>26</v>
      </c>
    </row>
    <row r="19127" ht="15.75" customHeight="1">
      <c r="A19127" s="7"/>
      <c r="B19127" s="7"/>
      <c r="M19127" s="9" t="s">
        <v>24</v>
      </c>
    </row>
    <row r="19128" ht="15.75" customHeight="1">
      <c r="A19128" s="7"/>
      <c r="B19128" s="7"/>
      <c r="M19128" s="9" t="s">
        <v>21</v>
      </c>
    </row>
    <row r="19129" ht="15.75" customHeight="1">
      <c r="A19129" s="7"/>
      <c r="B19129" s="7"/>
      <c r="M19129" s="9" t="s">
        <v>27</v>
      </c>
    </row>
    <row r="19130" ht="15.75" customHeight="1">
      <c r="A19130" s="7"/>
      <c r="B19130" s="7"/>
      <c r="M19130" s="9" t="s">
        <v>33</v>
      </c>
    </row>
    <row r="19131" ht="15.75" customHeight="1">
      <c r="A19131" s="7"/>
      <c r="B19131" s="7"/>
      <c r="M19131" s="9" t="s">
        <v>26</v>
      </c>
    </row>
    <row r="19132" ht="15.75" customHeight="1">
      <c r="A19132" s="7"/>
      <c r="B19132" s="7"/>
      <c r="M19132" s="9" t="s">
        <v>24</v>
      </c>
    </row>
    <row r="19133" ht="15.75" customHeight="1">
      <c r="A19133" s="7"/>
      <c r="B19133" s="7"/>
      <c r="M19133" s="9" t="s">
        <v>21</v>
      </c>
    </row>
    <row r="19134" ht="15.75" customHeight="1">
      <c r="A19134" s="7"/>
      <c r="B19134" s="7"/>
      <c r="M19134" s="9" t="s">
        <v>22</v>
      </c>
    </row>
    <row r="19135" ht="15.75" customHeight="1">
      <c r="A19135" s="7"/>
      <c r="B19135" s="7"/>
      <c r="M19135" s="9" t="s">
        <v>33</v>
      </c>
    </row>
    <row r="19136" ht="15.75" customHeight="1">
      <c r="A19136" s="7"/>
      <c r="B19136" s="7"/>
      <c r="M19136" s="9" t="s">
        <v>30</v>
      </c>
    </row>
    <row r="19137" ht="15.75" customHeight="1">
      <c r="A19137" s="7"/>
      <c r="B19137" s="7"/>
      <c r="M19137" s="9" t="s">
        <v>42</v>
      </c>
    </row>
    <row r="19138" ht="15.75" customHeight="1">
      <c r="A19138" s="7"/>
      <c r="B19138" s="7"/>
      <c r="M19138" s="9" t="s">
        <v>24</v>
      </c>
    </row>
    <row r="19139" ht="15.75" customHeight="1">
      <c r="A19139" s="7"/>
      <c r="B19139" s="7"/>
      <c r="M19139" s="9" t="s">
        <v>21</v>
      </c>
    </row>
    <row r="19140" ht="15.75" customHeight="1">
      <c r="A19140" s="7"/>
      <c r="B19140" s="7"/>
      <c r="M19140" s="9" t="s">
        <v>31</v>
      </c>
    </row>
    <row r="19141" ht="15.75" customHeight="1">
      <c r="A19141" s="7"/>
      <c r="B19141" s="7"/>
      <c r="M19141" s="9" t="s">
        <v>27</v>
      </c>
    </row>
    <row r="19142" ht="15.75" customHeight="1">
      <c r="A19142" s="7"/>
      <c r="B19142" s="7"/>
      <c r="M19142" s="9" t="s">
        <v>25</v>
      </c>
    </row>
    <row r="19143" ht="15.75" customHeight="1">
      <c r="A19143" s="7"/>
      <c r="B19143" s="7"/>
      <c r="M19143" s="9" t="s">
        <v>23</v>
      </c>
    </row>
    <row r="19144" ht="15.75" customHeight="1">
      <c r="A19144" s="7"/>
      <c r="B19144" s="7"/>
      <c r="M19144" s="9" t="s">
        <v>20</v>
      </c>
    </row>
    <row r="19145" ht="15.75" customHeight="1">
      <c r="A19145" s="7"/>
      <c r="B19145" s="7"/>
      <c r="M19145" s="9" t="s">
        <v>30</v>
      </c>
    </row>
    <row r="19146" ht="15.75" customHeight="1">
      <c r="A19146" s="7"/>
      <c r="B19146" s="7"/>
      <c r="M19146" s="9" t="s">
        <v>24</v>
      </c>
    </row>
    <row r="19147" ht="15.75" customHeight="1">
      <c r="A19147" s="7"/>
      <c r="B19147" s="7"/>
      <c r="M19147" s="9" t="s">
        <v>20</v>
      </c>
    </row>
    <row r="19148" ht="15.75" customHeight="1">
      <c r="A19148" s="7"/>
      <c r="B19148" s="7"/>
      <c r="M19148" s="9" t="s">
        <v>21</v>
      </c>
    </row>
    <row r="19149" ht="15.75" customHeight="1">
      <c r="A19149" s="7"/>
      <c r="B19149" s="7"/>
      <c r="M19149" s="9" t="s">
        <v>31</v>
      </c>
    </row>
    <row r="19150" ht="15.75" customHeight="1">
      <c r="A19150" s="7"/>
      <c r="B19150" s="7"/>
      <c r="M19150" s="9" t="s">
        <v>27</v>
      </c>
    </row>
    <row r="19151" ht="15.75" customHeight="1">
      <c r="A19151" s="7"/>
      <c r="B19151" s="7"/>
      <c r="M19151" s="9" t="s">
        <v>40</v>
      </c>
    </row>
    <row r="19152" ht="15.75" customHeight="1">
      <c r="A19152" s="7"/>
      <c r="B19152" s="7"/>
      <c r="M19152" s="9" t="s">
        <v>25</v>
      </c>
    </row>
    <row r="19153" ht="15.75" customHeight="1">
      <c r="A19153" s="7"/>
      <c r="B19153" s="7"/>
      <c r="M19153" s="9" t="s">
        <v>23</v>
      </c>
    </row>
    <row r="19154" ht="15.75" customHeight="1">
      <c r="A19154" s="7"/>
      <c r="B19154" s="7"/>
      <c r="M19154" s="9" t="s">
        <v>24</v>
      </c>
    </row>
    <row r="19155" ht="15.75" customHeight="1">
      <c r="A19155" s="7"/>
      <c r="B19155" s="7"/>
      <c r="M19155" s="9" t="s">
        <v>20</v>
      </c>
    </row>
    <row r="19156" ht="15.75" customHeight="1">
      <c r="A19156" s="7"/>
      <c r="B19156" s="7"/>
      <c r="M19156" s="9" t="s">
        <v>21</v>
      </c>
    </row>
    <row r="19157" ht="15.75" customHeight="1">
      <c r="A19157" s="7"/>
      <c r="B19157" s="7"/>
      <c r="M19157" s="9" t="s">
        <v>22</v>
      </c>
    </row>
    <row r="19158" ht="15.75" customHeight="1">
      <c r="A19158" s="7"/>
      <c r="B19158" s="7"/>
      <c r="M19158" s="9" t="s">
        <v>27</v>
      </c>
    </row>
    <row r="19159" ht="15.75" customHeight="1">
      <c r="A19159" s="7"/>
      <c r="B19159" s="7"/>
      <c r="M19159" s="9" t="s">
        <v>25</v>
      </c>
    </row>
    <row r="19160" ht="15.75" customHeight="1">
      <c r="A19160" s="7"/>
      <c r="B19160" s="7"/>
      <c r="M19160" s="9" t="s">
        <v>23</v>
      </c>
    </row>
    <row r="19161" ht="15.75" customHeight="1">
      <c r="A19161" s="7"/>
      <c r="B19161" s="7"/>
      <c r="M19161" s="9" t="s">
        <v>22</v>
      </c>
    </row>
    <row r="19162" ht="15.75" customHeight="1">
      <c r="A19162" s="7"/>
      <c r="B19162" s="7"/>
      <c r="M19162" s="9" t="s">
        <v>38</v>
      </c>
    </row>
    <row r="19163" ht="15.75" customHeight="1">
      <c r="A19163" s="7"/>
      <c r="B19163" s="7"/>
      <c r="M19163" s="9" t="s">
        <v>30</v>
      </c>
    </row>
    <row r="19164" ht="15.75" customHeight="1">
      <c r="A19164" s="7"/>
      <c r="B19164" s="7"/>
      <c r="M19164" s="9" t="s">
        <v>25</v>
      </c>
    </row>
    <row r="19165" ht="15.75" customHeight="1">
      <c r="A19165" s="7"/>
      <c r="B19165" s="7"/>
      <c r="M19165" s="9" t="s">
        <v>23</v>
      </c>
    </row>
    <row r="19166" ht="15.75" customHeight="1">
      <c r="A19166" s="7"/>
      <c r="B19166" s="7"/>
      <c r="M19166" s="9" t="s">
        <v>26</v>
      </c>
    </row>
    <row r="19167" ht="15.75" customHeight="1">
      <c r="A19167" s="7"/>
      <c r="B19167" s="7"/>
      <c r="M19167" s="9" t="s">
        <v>45</v>
      </c>
    </row>
    <row r="19168" ht="15.75" customHeight="1">
      <c r="A19168" s="7"/>
      <c r="B19168" s="7"/>
      <c r="M19168" s="9" t="s">
        <v>36</v>
      </c>
    </row>
    <row r="19169" ht="15.75" customHeight="1">
      <c r="A19169" s="7"/>
      <c r="B19169" s="7"/>
      <c r="M19169" s="9" t="s">
        <v>24</v>
      </c>
    </row>
    <row r="19170" ht="15.75" customHeight="1">
      <c r="A19170" s="7"/>
      <c r="B19170" s="7"/>
      <c r="M19170" s="9" t="s">
        <v>20</v>
      </c>
    </row>
    <row r="19171" ht="15.75" customHeight="1">
      <c r="A19171" s="7"/>
      <c r="B19171" s="7"/>
      <c r="M19171" s="9" t="s">
        <v>21</v>
      </c>
    </row>
    <row r="19172" ht="15.75" customHeight="1">
      <c r="A19172" s="7"/>
      <c r="B19172" s="7"/>
      <c r="M19172" s="9" t="s">
        <v>37</v>
      </c>
    </row>
    <row r="19173" ht="15.75" customHeight="1">
      <c r="A19173" s="7"/>
      <c r="B19173" s="7"/>
      <c r="M19173" s="9" t="s">
        <v>22</v>
      </c>
    </row>
    <row r="19174" ht="15.75" customHeight="1">
      <c r="A19174" s="7"/>
      <c r="B19174" s="7"/>
      <c r="M19174" s="9" t="s">
        <v>29</v>
      </c>
    </row>
    <row r="19175" ht="15.75" customHeight="1">
      <c r="A19175" s="7"/>
      <c r="B19175" s="7"/>
      <c r="M19175" s="9" t="s">
        <v>31</v>
      </c>
    </row>
    <row r="19176" ht="15.75" customHeight="1">
      <c r="A19176" s="7"/>
      <c r="B19176" s="7"/>
      <c r="M19176" s="9" t="s">
        <v>46</v>
      </c>
    </row>
    <row r="19177" ht="15.75" customHeight="1">
      <c r="A19177" s="7"/>
      <c r="B19177" s="7"/>
      <c r="M19177" s="9" t="s">
        <v>27</v>
      </c>
    </row>
    <row r="19178" ht="15.75" customHeight="1">
      <c r="A19178" s="7"/>
      <c r="B19178" s="7"/>
      <c r="M19178" s="9" t="s">
        <v>28</v>
      </c>
    </row>
    <row r="19179" ht="15.75" customHeight="1">
      <c r="A19179" s="7"/>
      <c r="B19179" s="7"/>
      <c r="M19179" s="9" t="s">
        <v>25</v>
      </c>
    </row>
    <row r="19180" ht="15.75" customHeight="1">
      <c r="A19180" s="7"/>
      <c r="B19180" s="7"/>
      <c r="M19180" s="9" t="s">
        <v>23</v>
      </c>
    </row>
    <row r="19181" ht="15.75" customHeight="1">
      <c r="A19181" s="7"/>
      <c r="B19181" s="7"/>
      <c r="M19181" s="9" t="s">
        <v>26</v>
      </c>
    </row>
    <row r="19182" ht="15.75" customHeight="1">
      <c r="A19182" s="7"/>
      <c r="B19182" s="7"/>
      <c r="M19182" s="9" t="s">
        <v>24</v>
      </c>
    </row>
    <row r="19183" ht="15.75" customHeight="1">
      <c r="A19183" s="7"/>
      <c r="B19183" s="7"/>
      <c r="M19183" s="9" t="s">
        <v>20</v>
      </c>
    </row>
    <row r="19184" ht="15.75" customHeight="1">
      <c r="A19184" s="7"/>
      <c r="B19184" s="7"/>
      <c r="M19184" s="9" t="s">
        <v>21</v>
      </c>
    </row>
    <row r="19185" ht="15.75" customHeight="1">
      <c r="A19185" s="7"/>
      <c r="B19185" s="7"/>
      <c r="M19185" s="9" t="s">
        <v>41</v>
      </c>
    </row>
    <row r="19186" ht="15.75" customHeight="1">
      <c r="A19186" s="7"/>
      <c r="B19186" s="7"/>
      <c r="M19186" s="9" t="s">
        <v>37</v>
      </c>
    </row>
    <row r="19187" ht="15.75" customHeight="1">
      <c r="A19187" s="7"/>
      <c r="B19187" s="7"/>
      <c r="M19187" s="9" t="s">
        <v>22</v>
      </c>
    </row>
    <row r="19188" ht="15.75" customHeight="1">
      <c r="A19188" s="7"/>
      <c r="B19188" s="7"/>
      <c r="M19188" s="9" t="s">
        <v>27</v>
      </c>
    </row>
    <row r="19189" ht="15.75" customHeight="1">
      <c r="A19189" s="7"/>
      <c r="B19189" s="7"/>
      <c r="M19189" s="9" t="s">
        <v>26</v>
      </c>
    </row>
    <row r="19190" ht="15.75" customHeight="1">
      <c r="A19190" s="7"/>
      <c r="B19190" s="7"/>
      <c r="M19190" s="9" t="s">
        <v>24</v>
      </c>
    </row>
    <row r="19191" ht="15.75" customHeight="1">
      <c r="A19191" s="7"/>
      <c r="B19191" s="7"/>
      <c r="M19191" s="9" t="s">
        <v>21</v>
      </c>
    </row>
    <row r="19192" ht="15.75" customHeight="1">
      <c r="A19192" s="7"/>
      <c r="B19192" s="7"/>
      <c r="M19192" s="9" t="s">
        <v>22</v>
      </c>
    </row>
    <row r="19193" ht="15.75" customHeight="1">
      <c r="A19193" s="7"/>
      <c r="B19193" s="7"/>
      <c r="M19193" s="9" t="s">
        <v>27</v>
      </c>
    </row>
    <row r="19194" ht="15.75" customHeight="1">
      <c r="A19194" s="7"/>
      <c r="B19194" s="7"/>
      <c r="M19194" s="9" t="s">
        <v>30</v>
      </c>
    </row>
    <row r="19195" ht="15.75" customHeight="1">
      <c r="A19195" s="7"/>
      <c r="B19195" s="7"/>
      <c r="M19195" s="9" t="s">
        <v>24</v>
      </c>
    </row>
    <row r="19196" ht="15.75" customHeight="1">
      <c r="A19196" s="7"/>
      <c r="B19196" s="7"/>
      <c r="M19196" s="9" t="s">
        <v>21</v>
      </c>
    </row>
    <row r="19197" ht="15.75" customHeight="1">
      <c r="A19197" s="7"/>
      <c r="B19197" s="7"/>
      <c r="M19197" s="9" t="s">
        <v>22</v>
      </c>
    </row>
    <row r="19198" ht="15.75" customHeight="1">
      <c r="A19198" s="7"/>
      <c r="B19198" s="7"/>
      <c r="M19198" s="9" t="s">
        <v>22</v>
      </c>
    </row>
    <row r="19199" ht="15.75" customHeight="1">
      <c r="A19199" s="7"/>
      <c r="B19199" s="7"/>
      <c r="M19199" s="9" t="s">
        <v>29</v>
      </c>
    </row>
    <row r="19200" ht="15.75" customHeight="1">
      <c r="A19200" s="7"/>
      <c r="B19200" s="7"/>
      <c r="M19200" s="9" t="s">
        <v>27</v>
      </c>
    </row>
    <row r="19201" ht="15.75" customHeight="1">
      <c r="A19201" s="7"/>
      <c r="B19201" s="7"/>
      <c r="M19201" s="9" t="s">
        <v>23</v>
      </c>
    </row>
    <row r="19202" ht="15.75" customHeight="1">
      <c r="A19202" s="7"/>
      <c r="B19202" s="7"/>
      <c r="M19202" s="9" t="s">
        <v>22</v>
      </c>
    </row>
    <row r="19203" ht="15.75" customHeight="1">
      <c r="A19203" s="7"/>
      <c r="B19203" s="7"/>
      <c r="M19203" s="9" t="s">
        <v>20</v>
      </c>
    </row>
    <row r="19204" ht="15.75" customHeight="1">
      <c r="A19204" s="7"/>
      <c r="B19204" s="7"/>
      <c r="M19204" s="9" t="s">
        <v>24</v>
      </c>
    </row>
    <row r="19205" ht="15.75" customHeight="1">
      <c r="A19205" s="7"/>
      <c r="B19205" s="7"/>
      <c r="M19205" s="9" t="s">
        <v>20</v>
      </c>
    </row>
    <row r="19206" ht="15.75" customHeight="1">
      <c r="A19206" s="7"/>
      <c r="B19206" s="7"/>
      <c r="M19206" s="9" t="s">
        <v>21</v>
      </c>
    </row>
    <row r="19207" ht="15.75" customHeight="1">
      <c r="A19207" s="7"/>
      <c r="B19207" s="7"/>
      <c r="M19207" s="9" t="s">
        <v>27</v>
      </c>
    </row>
    <row r="19208" ht="15.75" customHeight="1">
      <c r="A19208" s="7"/>
      <c r="B19208" s="7"/>
      <c r="M19208" s="9" t="s">
        <v>33</v>
      </c>
    </row>
    <row r="19209" ht="15.75" customHeight="1">
      <c r="A19209" s="7"/>
      <c r="B19209" s="7"/>
      <c r="M19209" s="9" t="s">
        <v>26</v>
      </c>
    </row>
    <row r="19210" ht="15.75" customHeight="1">
      <c r="A19210" s="7"/>
      <c r="B19210" s="7"/>
      <c r="M19210" s="9" t="s">
        <v>24</v>
      </c>
    </row>
    <row r="19211" ht="15.75" customHeight="1">
      <c r="A19211" s="7"/>
      <c r="B19211" s="7"/>
      <c r="M19211" s="9" t="s">
        <v>21</v>
      </c>
    </row>
    <row r="19212" ht="15.75" customHeight="1">
      <c r="A19212" s="7"/>
      <c r="B19212" s="7"/>
      <c r="M19212" s="9" t="s">
        <v>27</v>
      </c>
    </row>
    <row r="19213" ht="15.75" customHeight="1">
      <c r="A19213" s="7"/>
      <c r="B19213" s="7"/>
      <c r="M19213" s="9" t="s">
        <v>30</v>
      </c>
    </row>
    <row r="19214" ht="15.75" customHeight="1">
      <c r="A19214" s="7"/>
      <c r="B19214" s="7"/>
      <c r="M19214" s="9" t="s">
        <v>23</v>
      </c>
    </row>
    <row r="19215" ht="15.75" customHeight="1">
      <c r="A19215" s="7"/>
      <c r="B19215" s="7"/>
      <c r="M19215" s="9" t="s">
        <v>26</v>
      </c>
    </row>
    <row r="19216" ht="15.75" customHeight="1">
      <c r="A19216" s="7"/>
      <c r="B19216" s="7"/>
      <c r="M19216" s="9" t="s">
        <v>24</v>
      </c>
    </row>
    <row r="19217" ht="15.75" customHeight="1">
      <c r="A19217" s="7"/>
      <c r="B19217" s="7"/>
      <c r="M19217" s="9" t="s">
        <v>21</v>
      </c>
    </row>
    <row r="19218" ht="15.75" customHeight="1">
      <c r="A19218" s="7"/>
      <c r="B19218" s="7"/>
      <c r="M19218" s="9" t="s">
        <v>32</v>
      </c>
    </row>
    <row r="19219" ht="15.75" customHeight="1">
      <c r="A19219" s="7"/>
      <c r="B19219" s="7"/>
      <c r="M19219" s="9" t="s">
        <v>33</v>
      </c>
    </row>
    <row r="19220" ht="15.75" customHeight="1">
      <c r="A19220" s="7"/>
      <c r="B19220" s="7"/>
      <c r="M19220" s="9" t="s">
        <v>38</v>
      </c>
    </row>
    <row r="19221" ht="15.75" customHeight="1">
      <c r="A19221" s="7"/>
      <c r="B19221" s="7"/>
      <c r="M19221" s="9" t="s">
        <v>25</v>
      </c>
    </row>
    <row r="19222" ht="15.75" customHeight="1">
      <c r="A19222" s="7"/>
      <c r="B19222" s="7"/>
      <c r="M19222" s="9" t="s">
        <v>23</v>
      </c>
    </row>
    <row r="19223" ht="15.75" customHeight="1">
      <c r="A19223" s="7"/>
      <c r="B19223" s="7"/>
      <c r="M19223" s="9" t="s">
        <v>26</v>
      </c>
    </row>
    <row r="19224" ht="15.75" customHeight="1">
      <c r="A19224" s="7"/>
      <c r="B19224" s="7"/>
      <c r="M19224" s="9" t="s">
        <v>20</v>
      </c>
    </row>
    <row r="19225" ht="15.75" customHeight="1">
      <c r="A19225" s="7"/>
      <c r="B19225" s="7"/>
      <c r="M19225" s="9" t="s">
        <v>21</v>
      </c>
    </row>
    <row r="19226" ht="15.75" customHeight="1">
      <c r="A19226" s="7"/>
      <c r="B19226" s="7"/>
      <c r="M19226" s="9" t="s">
        <v>37</v>
      </c>
    </row>
    <row r="19227" ht="15.75" customHeight="1">
      <c r="A19227" s="7"/>
      <c r="B19227" s="7"/>
      <c r="M19227" s="9" t="s">
        <v>22</v>
      </c>
    </row>
    <row r="19228" ht="15.75" customHeight="1">
      <c r="A19228" s="7"/>
      <c r="B19228" s="7"/>
      <c r="M19228" s="9" t="s">
        <v>32</v>
      </c>
    </row>
    <row r="19229" ht="15.75" customHeight="1">
      <c r="A19229" s="7"/>
      <c r="B19229" s="7"/>
      <c r="M19229" s="9" t="s">
        <v>27</v>
      </c>
    </row>
    <row r="19230" ht="15.75" customHeight="1">
      <c r="A19230" s="7"/>
      <c r="B19230" s="7"/>
      <c r="M19230" s="9" t="s">
        <v>29</v>
      </c>
    </row>
    <row r="19231" ht="15.75" customHeight="1">
      <c r="A19231" s="7"/>
      <c r="B19231" s="7"/>
      <c r="M19231" s="9" t="s">
        <v>26</v>
      </c>
    </row>
    <row r="19232" ht="15.75" customHeight="1">
      <c r="A19232" s="7"/>
      <c r="B19232" s="7"/>
      <c r="M19232" s="9" t="s">
        <v>24</v>
      </c>
    </row>
    <row r="19233" ht="15.75" customHeight="1">
      <c r="A19233" s="7"/>
      <c r="B19233" s="7"/>
      <c r="M19233" s="9" t="s">
        <v>20</v>
      </c>
    </row>
    <row r="19234" ht="15.75" customHeight="1">
      <c r="A19234" s="7"/>
      <c r="B19234" s="7"/>
      <c r="M19234" s="9" t="s">
        <v>21</v>
      </c>
    </row>
    <row r="19235" ht="15.75" customHeight="1">
      <c r="A19235" s="7"/>
      <c r="B19235" s="7"/>
      <c r="M19235" s="9" t="s">
        <v>27</v>
      </c>
    </row>
    <row r="19236" ht="15.75" customHeight="1">
      <c r="A19236" s="7"/>
      <c r="B19236" s="7"/>
      <c r="M19236" s="9" t="s">
        <v>28</v>
      </c>
    </row>
    <row r="19237" ht="15.75" customHeight="1">
      <c r="A19237" s="7"/>
      <c r="B19237" s="7"/>
      <c r="M19237" s="9" t="s">
        <v>30</v>
      </c>
    </row>
    <row r="19238" ht="15.75" customHeight="1">
      <c r="A19238" s="7"/>
      <c r="B19238" s="7"/>
      <c r="M19238" s="9" t="s">
        <v>24</v>
      </c>
    </row>
    <row r="19239" ht="15.75" customHeight="1">
      <c r="A19239" s="7"/>
      <c r="B19239" s="7"/>
      <c r="M19239" s="9" t="s">
        <v>20</v>
      </c>
    </row>
    <row r="19240" ht="15.75" customHeight="1">
      <c r="A19240" s="7"/>
      <c r="B19240" s="7"/>
      <c r="M19240" s="9" t="s">
        <v>21</v>
      </c>
    </row>
    <row r="19241" ht="15.75" customHeight="1">
      <c r="A19241" s="7"/>
      <c r="B19241" s="7"/>
      <c r="M19241" s="9" t="s">
        <v>37</v>
      </c>
    </row>
    <row r="19242" ht="15.75" customHeight="1">
      <c r="A19242" s="7"/>
      <c r="B19242" s="7"/>
      <c r="M19242" s="9" t="s">
        <v>30</v>
      </c>
    </row>
    <row r="19243" ht="15.75" customHeight="1">
      <c r="A19243" s="7"/>
      <c r="B19243" s="7"/>
      <c r="M19243" s="9" t="s">
        <v>25</v>
      </c>
    </row>
    <row r="19244" ht="15.75" customHeight="1">
      <c r="A19244" s="7"/>
      <c r="B19244" s="7"/>
      <c r="M19244" s="9" t="s">
        <v>23</v>
      </c>
    </row>
    <row r="19245" ht="15.75" customHeight="1">
      <c r="A19245" s="7"/>
      <c r="B19245" s="7"/>
      <c r="M19245" s="9" t="s">
        <v>24</v>
      </c>
    </row>
    <row r="19246" ht="15.75" customHeight="1">
      <c r="A19246" s="7"/>
      <c r="B19246" s="7"/>
      <c r="M19246" s="9" t="s">
        <v>21</v>
      </c>
    </row>
    <row r="19247" ht="15.75" customHeight="1">
      <c r="A19247" s="7"/>
      <c r="B19247" s="7"/>
      <c r="M19247" s="9" t="s">
        <v>22</v>
      </c>
    </row>
    <row r="19248" ht="15.75" customHeight="1">
      <c r="A19248" s="7"/>
      <c r="B19248" s="7"/>
      <c r="M19248" s="9" t="s">
        <v>27</v>
      </c>
    </row>
    <row r="19249" ht="15.75" customHeight="1">
      <c r="A19249" s="7"/>
      <c r="B19249" s="7"/>
      <c r="M19249" s="9" t="s">
        <v>47</v>
      </c>
    </row>
    <row r="19250" ht="15.75" customHeight="1">
      <c r="A19250" s="7"/>
      <c r="B19250" s="7"/>
      <c r="M19250" s="9" t="s">
        <v>36</v>
      </c>
    </row>
    <row r="19251" ht="15.75" customHeight="1">
      <c r="A19251" s="7"/>
      <c r="B19251" s="7"/>
      <c r="M19251" s="9" t="s">
        <v>21</v>
      </c>
    </row>
    <row r="19252" ht="15.75" customHeight="1">
      <c r="A19252" s="7"/>
      <c r="B19252" s="7"/>
      <c r="M19252" s="9" t="s">
        <v>22</v>
      </c>
    </row>
    <row r="19253" ht="15.75" customHeight="1">
      <c r="A19253" s="7"/>
      <c r="B19253" s="7"/>
      <c r="M19253" s="9" t="s">
        <v>30</v>
      </c>
    </row>
    <row r="19254" ht="15.75" customHeight="1">
      <c r="A19254" s="7"/>
      <c r="B19254" s="7"/>
      <c r="M19254" s="9" t="s">
        <v>26</v>
      </c>
    </row>
    <row r="19255" ht="15.75" customHeight="1">
      <c r="A19255" s="7"/>
      <c r="B19255" s="7"/>
      <c r="M19255" s="9" t="s">
        <v>24</v>
      </c>
    </row>
    <row r="19256" ht="15.75" customHeight="1">
      <c r="A19256" s="7"/>
      <c r="B19256" s="7"/>
      <c r="M19256" s="9" t="s">
        <v>21</v>
      </c>
    </row>
    <row r="19257" ht="15.75" customHeight="1">
      <c r="A19257" s="7"/>
      <c r="B19257" s="7"/>
      <c r="M19257" s="9" t="s">
        <v>37</v>
      </c>
    </row>
    <row r="19258" ht="15.75" customHeight="1">
      <c r="A19258" s="7"/>
      <c r="B19258" s="7"/>
      <c r="M19258" s="9" t="s">
        <v>27</v>
      </c>
    </row>
    <row r="19259" ht="15.75" customHeight="1">
      <c r="A19259" s="7"/>
      <c r="B19259" s="7"/>
      <c r="M19259" s="9" t="s">
        <v>33</v>
      </c>
    </row>
    <row r="19260" ht="15.75" customHeight="1">
      <c r="A19260" s="7"/>
      <c r="B19260" s="7"/>
      <c r="M19260" s="9" t="s">
        <v>25</v>
      </c>
    </row>
    <row r="19261" ht="15.75" customHeight="1">
      <c r="A19261" s="7"/>
      <c r="B19261" s="7"/>
      <c r="M19261" s="9" t="s">
        <v>22</v>
      </c>
    </row>
    <row r="19262" ht="15.75" customHeight="1">
      <c r="A19262" s="7"/>
      <c r="B19262" s="7"/>
      <c r="M19262" s="9" t="s">
        <v>32</v>
      </c>
    </row>
    <row r="19263" ht="15.75" customHeight="1">
      <c r="A19263" s="7"/>
      <c r="B19263" s="7"/>
      <c r="M19263" s="9" t="s">
        <v>46</v>
      </c>
    </row>
    <row r="19264" ht="15.75" customHeight="1">
      <c r="A19264" s="7"/>
      <c r="B19264" s="7"/>
      <c r="M19264" s="9" t="s">
        <v>30</v>
      </c>
    </row>
    <row r="19265" ht="15.75" customHeight="1">
      <c r="A19265" s="7"/>
      <c r="B19265" s="7"/>
      <c r="M19265" s="9" t="s">
        <v>23</v>
      </c>
    </row>
    <row r="19266" ht="15.75" customHeight="1">
      <c r="A19266" s="7"/>
      <c r="B19266" s="7"/>
      <c r="M19266" s="9" t="s">
        <v>26</v>
      </c>
    </row>
    <row r="19267" ht="15.75" customHeight="1">
      <c r="A19267" s="7"/>
      <c r="B19267" s="7"/>
      <c r="M19267" s="9" t="s">
        <v>24</v>
      </c>
    </row>
    <row r="19268" ht="15.75" customHeight="1">
      <c r="A19268" s="7"/>
      <c r="B19268" s="7"/>
      <c r="M19268" s="9" t="s">
        <v>21</v>
      </c>
    </row>
    <row r="19269" ht="15.75" customHeight="1">
      <c r="A19269" s="7"/>
      <c r="B19269" s="7"/>
      <c r="M19269" s="9" t="s">
        <v>22</v>
      </c>
    </row>
    <row r="19270" ht="15.75" customHeight="1">
      <c r="A19270" s="7"/>
      <c r="B19270" s="7"/>
      <c r="M19270" s="9" t="s">
        <v>29</v>
      </c>
    </row>
    <row r="19271" ht="15.75" customHeight="1">
      <c r="A19271" s="7"/>
      <c r="B19271" s="7"/>
      <c r="M19271" s="9" t="s">
        <v>34</v>
      </c>
    </row>
    <row r="19272" ht="15.75" customHeight="1">
      <c r="A19272" s="7"/>
      <c r="B19272" s="7"/>
      <c r="M19272" s="9" t="s">
        <v>24</v>
      </c>
    </row>
    <row r="19273" ht="15.75" customHeight="1">
      <c r="A19273" s="7"/>
      <c r="B19273" s="7"/>
      <c r="M19273" s="9" t="s">
        <v>20</v>
      </c>
    </row>
    <row r="19274" ht="15.75" customHeight="1">
      <c r="A19274" s="7"/>
      <c r="B19274" s="7"/>
      <c r="M19274" s="9" t="s">
        <v>21</v>
      </c>
    </row>
    <row r="19275" ht="15.75" customHeight="1">
      <c r="A19275" s="7"/>
      <c r="B19275" s="7"/>
      <c r="M19275" s="9" t="s">
        <v>22</v>
      </c>
    </row>
    <row r="19276" ht="15.75" customHeight="1">
      <c r="A19276" s="7"/>
      <c r="B19276" s="7"/>
      <c r="M19276" s="9" t="s">
        <v>29</v>
      </c>
    </row>
    <row r="19277" ht="15.75" customHeight="1">
      <c r="A19277" s="7"/>
      <c r="B19277" s="7"/>
      <c r="M19277" s="9" t="s">
        <v>27</v>
      </c>
    </row>
    <row r="19278" ht="15.75" customHeight="1">
      <c r="A19278" s="7"/>
      <c r="B19278" s="7"/>
      <c r="M19278" s="9" t="s">
        <v>24</v>
      </c>
    </row>
    <row r="19279" ht="15.75" customHeight="1">
      <c r="A19279" s="7"/>
      <c r="B19279" s="7"/>
      <c r="M19279" s="9" t="s">
        <v>20</v>
      </c>
    </row>
    <row r="19280" ht="15.75" customHeight="1">
      <c r="A19280" s="7"/>
      <c r="B19280" s="7"/>
      <c r="M19280" s="9" t="s">
        <v>21</v>
      </c>
    </row>
    <row r="19281" ht="15.75" customHeight="1">
      <c r="A19281" s="7"/>
      <c r="B19281" s="7"/>
      <c r="M19281" s="9" t="s">
        <v>37</v>
      </c>
    </row>
    <row r="19282" ht="15.75" customHeight="1">
      <c r="A19282" s="7"/>
      <c r="B19282" s="7"/>
      <c r="M19282" s="9" t="s">
        <v>27</v>
      </c>
    </row>
    <row r="19283" ht="15.75" customHeight="1">
      <c r="A19283" s="7"/>
      <c r="B19283" s="7"/>
      <c r="M19283" s="9" t="s">
        <v>20</v>
      </c>
    </row>
    <row r="19284" ht="15.75" customHeight="1">
      <c r="A19284" s="7"/>
      <c r="B19284" s="7"/>
      <c r="M19284" s="9" t="s">
        <v>39</v>
      </c>
    </row>
    <row r="19285" ht="15.75" customHeight="1">
      <c r="A19285" s="7"/>
      <c r="B19285" s="7"/>
      <c r="M19285" s="9" t="s">
        <v>25</v>
      </c>
    </row>
    <row r="19286" ht="15.75" customHeight="1">
      <c r="A19286" s="7"/>
      <c r="B19286" s="7"/>
      <c r="M19286" s="9" t="s">
        <v>23</v>
      </c>
    </row>
    <row r="19287" ht="15.75" customHeight="1">
      <c r="A19287" s="7"/>
      <c r="B19287" s="7"/>
      <c r="M19287" s="9" t="s">
        <v>26</v>
      </c>
    </row>
    <row r="19288" ht="15.75" customHeight="1">
      <c r="A19288" s="7"/>
      <c r="B19288" s="7"/>
      <c r="M19288" s="9" t="s">
        <v>24</v>
      </c>
    </row>
    <row r="19289" ht="15.75" customHeight="1">
      <c r="A19289" s="7"/>
      <c r="B19289" s="7"/>
      <c r="M19289" s="9" t="s">
        <v>21</v>
      </c>
    </row>
    <row r="19290" ht="15.75" customHeight="1">
      <c r="A19290" s="7"/>
      <c r="B19290" s="7"/>
      <c r="M19290" s="9" t="s">
        <v>37</v>
      </c>
    </row>
    <row r="19291" ht="15.75" customHeight="1">
      <c r="A19291" s="7"/>
      <c r="B19291" s="7"/>
      <c r="M19291" s="9" t="s">
        <v>22</v>
      </c>
    </row>
    <row r="19292" ht="15.75" customHeight="1">
      <c r="A19292" s="7"/>
      <c r="B19292" s="7"/>
      <c r="M19292" s="9" t="s">
        <v>27</v>
      </c>
    </row>
    <row r="19293" ht="15.75" customHeight="1">
      <c r="A19293" s="7"/>
      <c r="B19293" s="7"/>
      <c r="M19293" s="9" t="s">
        <v>24</v>
      </c>
    </row>
    <row r="19294" ht="15.75" customHeight="1">
      <c r="A19294" s="7"/>
      <c r="B19294" s="7"/>
      <c r="M19294" s="9" t="s">
        <v>20</v>
      </c>
    </row>
    <row r="19295" ht="15.75" customHeight="1">
      <c r="A19295" s="7"/>
      <c r="B19295" s="7"/>
      <c r="M19295" s="9" t="s">
        <v>21</v>
      </c>
    </row>
    <row r="19296" ht="15.75" customHeight="1">
      <c r="A19296" s="7"/>
      <c r="B19296" s="7"/>
      <c r="M19296" s="9" t="s">
        <v>30</v>
      </c>
    </row>
    <row r="19297" ht="15.75" customHeight="1">
      <c r="A19297" s="7"/>
      <c r="B19297" s="7"/>
      <c r="M19297" s="9" t="s">
        <v>24</v>
      </c>
    </row>
    <row r="19298" ht="15.75" customHeight="1">
      <c r="A19298" s="7"/>
      <c r="B19298" s="7"/>
      <c r="M19298" s="9" t="s">
        <v>20</v>
      </c>
    </row>
    <row r="19299" ht="15.75" customHeight="1">
      <c r="A19299" s="7"/>
      <c r="B19299" s="7"/>
      <c r="M19299" s="9" t="s">
        <v>21</v>
      </c>
    </row>
    <row r="19300" ht="15.75" customHeight="1">
      <c r="A19300" s="7"/>
      <c r="B19300" s="7"/>
      <c r="M19300" s="9" t="s">
        <v>22</v>
      </c>
    </row>
    <row r="19301" ht="15.75" customHeight="1">
      <c r="A19301" s="7"/>
      <c r="B19301" s="7"/>
      <c r="M19301" s="9" t="s">
        <v>27</v>
      </c>
    </row>
    <row r="19302" ht="15.75" customHeight="1">
      <c r="A19302" s="7"/>
      <c r="B19302" s="7"/>
      <c r="M19302" s="9" t="s">
        <v>35</v>
      </c>
    </row>
    <row r="19303" ht="15.75" customHeight="1">
      <c r="A19303" s="7"/>
      <c r="B19303" s="7"/>
      <c r="M19303" s="9" t="s">
        <v>46</v>
      </c>
    </row>
    <row r="19304" ht="15.75" customHeight="1">
      <c r="A19304" s="7"/>
      <c r="B19304" s="7"/>
      <c r="M19304" s="9" t="s">
        <v>30</v>
      </c>
    </row>
    <row r="19305" ht="15.75" customHeight="1">
      <c r="A19305" s="7"/>
      <c r="B19305" s="7"/>
      <c r="M19305" s="9" t="s">
        <v>41</v>
      </c>
    </row>
    <row r="19306" ht="15.75" customHeight="1">
      <c r="A19306" s="7"/>
      <c r="B19306" s="7"/>
      <c r="M19306" s="9" t="s">
        <v>22</v>
      </c>
    </row>
    <row r="19307" ht="15.75" customHeight="1">
      <c r="A19307" s="7"/>
      <c r="B19307" s="7"/>
      <c r="M19307" s="9" t="s">
        <v>29</v>
      </c>
    </row>
    <row r="19308" ht="15.75" customHeight="1">
      <c r="A19308" s="7"/>
      <c r="B19308" s="7"/>
      <c r="M19308" s="9" t="s">
        <v>40</v>
      </c>
    </row>
    <row r="19309" ht="15.75" customHeight="1">
      <c r="A19309" s="7"/>
      <c r="B19309" s="7"/>
      <c r="M19309" s="9" t="s">
        <v>37</v>
      </c>
    </row>
    <row r="19310" ht="15.75" customHeight="1">
      <c r="A19310" s="7"/>
      <c r="B19310" s="7"/>
      <c r="M19310" s="9" t="s">
        <v>22</v>
      </c>
    </row>
    <row r="19311" ht="15.75" customHeight="1">
      <c r="A19311" s="7"/>
      <c r="B19311" s="7"/>
      <c r="M19311" s="9" t="s">
        <v>26</v>
      </c>
    </row>
    <row r="19312" ht="15.75" customHeight="1">
      <c r="A19312" s="7"/>
      <c r="B19312" s="7"/>
      <c r="M19312" s="9" t="s">
        <v>24</v>
      </c>
    </row>
    <row r="19313" ht="15.75" customHeight="1">
      <c r="A19313" s="7"/>
      <c r="B19313" s="7"/>
      <c r="M19313" s="9" t="s">
        <v>20</v>
      </c>
    </row>
    <row r="19314" ht="15.75" customHeight="1">
      <c r="A19314" s="7"/>
      <c r="B19314" s="7"/>
      <c r="M19314" s="9" t="s">
        <v>21</v>
      </c>
    </row>
    <row r="19315" ht="15.75" customHeight="1">
      <c r="A19315" s="7"/>
      <c r="B19315" s="7"/>
      <c r="M19315" s="9" t="s">
        <v>22</v>
      </c>
    </row>
    <row r="19316" ht="15.75" customHeight="1">
      <c r="A19316" s="7"/>
      <c r="B19316" s="7"/>
      <c r="M19316" s="9" t="s">
        <v>30</v>
      </c>
    </row>
    <row r="19317" ht="15.75" customHeight="1">
      <c r="A19317" s="7"/>
      <c r="B19317" s="7"/>
      <c r="M19317" s="9" t="s">
        <v>24</v>
      </c>
    </row>
    <row r="19318" ht="15.75" customHeight="1">
      <c r="A19318" s="7"/>
      <c r="B19318" s="7"/>
      <c r="M19318" s="9" t="s">
        <v>37</v>
      </c>
    </row>
    <row r="19319" ht="15.75" customHeight="1">
      <c r="A19319" s="7"/>
      <c r="B19319" s="7"/>
      <c r="M19319" s="9" t="s">
        <v>38</v>
      </c>
    </row>
    <row r="19320" ht="15.75" customHeight="1">
      <c r="A19320" s="7"/>
      <c r="B19320" s="7"/>
      <c r="M19320" s="9" t="s">
        <v>25</v>
      </c>
    </row>
    <row r="19321" ht="15.75" customHeight="1">
      <c r="A19321" s="7"/>
      <c r="B19321" s="7"/>
      <c r="M19321" s="9" t="s">
        <v>23</v>
      </c>
    </row>
    <row r="19322" ht="15.75" customHeight="1">
      <c r="A19322" s="7"/>
      <c r="B19322" s="7"/>
      <c r="M19322" s="9" t="s">
        <v>20</v>
      </c>
    </row>
    <row r="19323" ht="15.75" customHeight="1">
      <c r="A19323" s="7"/>
      <c r="B19323" s="7"/>
      <c r="M19323" s="9" t="s">
        <v>35</v>
      </c>
    </row>
    <row r="19324" ht="15.75" customHeight="1">
      <c r="A19324" s="7"/>
      <c r="B19324" s="7"/>
      <c r="M19324" s="9" t="s">
        <v>38</v>
      </c>
    </row>
    <row r="19325" ht="15.75" customHeight="1">
      <c r="A19325" s="7"/>
      <c r="B19325" s="7"/>
      <c r="M19325" s="9" t="s">
        <v>30</v>
      </c>
    </row>
    <row r="19326" ht="15.75" customHeight="1">
      <c r="A19326" s="7"/>
      <c r="B19326" s="7"/>
      <c r="M19326" s="9" t="s">
        <v>25</v>
      </c>
    </row>
    <row r="19327" ht="15.75" customHeight="1">
      <c r="A19327" s="7"/>
      <c r="B19327" s="7"/>
      <c r="M19327" s="9" t="s">
        <v>23</v>
      </c>
    </row>
    <row r="19328" ht="15.75" customHeight="1">
      <c r="A19328" s="7"/>
      <c r="B19328" s="7"/>
      <c r="M19328" s="9" t="s">
        <v>26</v>
      </c>
    </row>
    <row r="19329" ht="15.75" customHeight="1">
      <c r="A19329" s="7"/>
      <c r="B19329" s="7"/>
      <c r="M19329" s="9" t="s">
        <v>42</v>
      </c>
    </row>
    <row r="19330" ht="15.75" customHeight="1">
      <c r="A19330" s="7"/>
      <c r="B19330" s="7"/>
      <c r="M19330" s="9" t="s">
        <v>43</v>
      </c>
    </row>
    <row r="19331" ht="15.75" customHeight="1">
      <c r="A19331" s="7"/>
      <c r="B19331" s="7"/>
      <c r="M19331" s="9" t="s">
        <v>36</v>
      </c>
    </row>
    <row r="19332" ht="15.75" customHeight="1">
      <c r="A19332" s="7"/>
      <c r="B19332" s="7"/>
      <c r="M19332" s="9" t="s">
        <v>24</v>
      </c>
    </row>
    <row r="19333" ht="15.75" customHeight="1">
      <c r="A19333" s="7"/>
      <c r="B19333" s="7"/>
      <c r="M19333" s="9" t="s">
        <v>20</v>
      </c>
    </row>
    <row r="19334" ht="15.75" customHeight="1">
      <c r="A19334" s="7"/>
      <c r="B19334" s="7"/>
      <c r="M19334" s="9" t="s">
        <v>21</v>
      </c>
    </row>
    <row r="19335" ht="15.75" customHeight="1">
      <c r="A19335" s="7"/>
      <c r="B19335" s="7"/>
      <c r="M19335" s="9" t="s">
        <v>22</v>
      </c>
    </row>
    <row r="19336" ht="15.75" customHeight="1">
      <c r="A19336" s="7"/>
      <c r="B19336" s="7"/>
      <c r="M19336" s="9" t="s">
        <v>27</v>
      </c>
    </row>
    <row r="19337" ht="15.75" customHeight="1">
      <c r="A19337" s="7"/>
      <c r="B19337" s="7"/>
      <c r="M19337" s="9" t="s">
        <v>30</v>
      </c>
    </row>
    <row r="19338" ht="15.75" customHeight="1">
      <c r="A19338" s="7"/>
      <c r="B19338" s="7"/>
      <c r="M19338" s="9" t="s">
        <v>25</v>
      </c>
    </row>
    <row r="19339" ht="15.75" customHeight="1">
      <c r="A19339" s="7"/>
      <c r="B19339" s="7"/>
      <c r="M19339" s="9" t="s">
        <v>23</v>
      </c>
    </row>
    <row r="19340" ht="15.75" customHeight="1">
      <c r="A19340" s="7"/>
      <c r="B19340" s="7"/>
      <c r="M19340" s="9" t="s">
        <v>26</v>
      </c>
    </row>
    <row r="19341" ht="15.75" customHeight="1">
      <c r="A19341" s="7"/>
      <c r="B19341" s="7"/>
      <c r="M19341" s="9" t="s">
        <v>24</v>
      </c>
    </row>
    <row r="19342" ht="15.75" customHeight="1">
      <c r="A19342" s="7"/>
      <c r="B19342" s="7"/>
      <c r="M19342" s="9" t="s">
        <v>20</v>
      </c>
    </row>
    <row r="19343" ht="15.75" customHeight="1">
      <c r="A19343" s="7"/>
      <c r="B19343" s="7"/>
      <c r="M19343" s="9" t="s">
        <v>21</v>
      </c>
    </row>
    <row r="19344" ht="15.75" customHeight="1">
      <c r="A19344" s="7"/>
      <c r="B19344" s="7"/>
      <c r="M19344" s="9" t="s">
        <v>37</v>
      </c>
    </row>
    <row r="19345" ht="15.75" customHeight="1">
      <c r="A19345" s="7"/>
      <c r="B19345" s="7"/>
      <c r="M19345" s="9" t="s">
        <v>22</v>
      </c>
    </row>
    <row r="19346" ht="15.75" customHeight="1">
      <c r="A19346" s="7"/>
      <c r="B19346" s="7"/>
      <c r="M19346" s="9" t="s">
        <v>27</v>
      </c>
    </row>
    <row r="19347" ht="15.75" customHeight="1">
      <c r="A19347" s="7"/>
      <c r="B19347" s="7"/>
      <c r="M19347" s="9" t="s">
        <v>23</v>
      </c>
    </row>
    <row r="19348" ht="15.75" customHeight="1">
      <c r="A19348" s="7"/>
      <c r="B19348" s="7"/>
      <c r="M19348" s="9" t="s">
        <v>24</v>
      </c>
    </row>
    <row r="19349" ht="15.75" customHeight="1">
      <c r="A19349" s="7"/>
      <c r="B19349" s="7"/>
      <c r="M19349" s="9" t="s">
        <v>21</v>
      </c>
    </row>
    <row r="19350" ht="15.75" customHeight="1">
      <c r="A19350" s="7"/>
      <c r="B19350" s="7"/>
      <c r="M19350" s="9" t="s">
        <v>27</v>
      </c>
    </row>
    <row r="19351" ht="15.75" customHeight="1">
      <c r="A19351" s="7"/>
      <c r="B19351" s="7"/>
      <c r="M19351" s="9" t="s">
        <v>33</v>
      </c>
    </row>
    <row r="19352" ht="15.75" customHeight="1">
      <c r="A19352" s="7"/>
      <c r="B19352" s="7"/>
      <c r="M19352" s="9" t="s">
        <v>28</v>
      </c>
    </row>
    <row r="19353" ht="15.75" customHeight="1">
      <c r="A19353" s="7"/>
      <c r="B19353" s="7"/>
      <c r="M19353" s="9" t="s">
        <v>26</v>
      </c>
    </row>
    <row r="19354" ht="15.75" customHeight="1">
      <c r="A19354" s="7"/>
      <c r="B19354" s="7"/>
      <c r="M19354" s="9" t="s">
        <v>21</v>
      </c>
    </row>
    <row r="19355" ht="15.75" customHeight="1">
      <c r="A19355" s="7"/>
      <c r="B19355" s="7"/>
      <c r="M19355" s="9" t="s">
        <v>24</v>
      </c>
    </row>
    <row r="19356" ht="15.75" customHeight="1">
      <c r="A19356" s="7"/>
      <c r="B19356" s="7"/>
      <c r="M19356" s="9" t="s">
        <v>37</v>
      </c>
    </row>
    <row r="19357" ht="15.75" customHeight="1">
      <c r="A19357" s="7"/>
      <c r="B19357" s="7"/>
      <c r="M19357" s="9" t="s">
        <v>27</v>
      </c>
    </row>
    <row r="19358" ht="15.75" customHeight="1">
      <c r="A19358" s="7"/>
      <c r="B19358" s="7"/>
      <c r="M19358" s="9" t="s">
        <v>22</v>
      </c>
    </row>
    <row r="19359" ht="15.75" customHeight="1">
      <c r="A19359" s="7"/>
      <c r="B19359" s="7"/>
      <c r="M19359" s="9" t="s">
        <v>26</v>
      </c>
    </row>
    <row r="19360" ht="15.75" customHeight="1">
      <c r="A19360" s="7"/>
      <c r="B19360" s="7"/>
      <c r="M19360" s="9" t="s">
        <v>24</v>
      </c>
    </row>
    <row r="19361" ht="15.75" customHeight="1">
      <c r="A19361" s="7"/>
      <c r="B19361" s="7"/>
      <c r="M19361" s="9" t="s">
        <v>27</v>
      </c>
    </row>
    <row r="19362" ht="15.75" customHeight="1">
      <c r="A19362" s="7"/>
      <c r="B19362" s="7"/>
      <c r="M19362" s="9" t="s">
        <v>30</v>
      </c>
    </row>
    <row r="19363" ht="15.75" customHeight="1">
      <c r="A19363" s="7"/>
      <c r="B19363" s="7"/>
      <c r="M19363" s="9" t="s">
        <v>26</v>
      </c>
    </row>
    <row r="19364" ht="15.75" customHeight="1">
      <c r="A19364" s="7"/>
      <c r="B19364" s="7"/>
      <c r="M19364" s="9" t="s">
        <v>20</v>
      </c>
    </row>
    <row r="19365" ht="15.75" customHeight="1">
      <c r="A19365" s="7"/>
      <c r="B19365" s="7"/>
      <c r="M19365" s="9" t="s">
        <v>21</v>
      </c>
    </row>
    <row r="19366" ht="15.75" customHeight="1">
      <c r="A19366" s="7"/>
      <c r="B19366" s="7"/>
      <c r="M19366" s="9" t="s">
        <v>27</v>
      </c>
    </row>
    <row r="19367" ht="15.75" customHeight="1">
      <c r="A19367" s="7"/>
      <c r="B19367" s="7"/>
      <c r="M19367" s="9" t="s">
        <v>33</v>
      </c>
    </row>
    <row r="19368" ht="15.75" customHeight="1">
      <c r="A19368" s="7"/>
      <c r="B19368" s="7"/>
      <c r="M19368" s="9" t="s">
        <v>24</v>
      </c>
    </row>
    <row r="19369" ht="15.75" customHeight="1">
      <c r="A19369" s="7"/>
      <c r="B19369" s="7"/>
      <c r="M19369" s="9" t="s">
        <v>20</v>
      </c>
    </row>
    <row r="19370" ht="15.75" customHeight="1">
      <c r="A19370" s="7"/>
      <c r="B19370" s="7"/>
      <c r="M19370" s="9" t="s">
        <v>21</v>
      </c>
    </row>
    <row r="19371" ht="15.75" customHeight="1">
      <c r="A19371" s="7"/>
      <c r="B19371" s="7"/>
      <c r="M19371" s="9" t="s">
        <v>37</v>
      </c>
    </row>
    <row r="19372" ht="15.75" customHeight="1">
      <c r="A19372" s="7"/>
      <c r="B19372" s="7"/>
      <c r="M19372" s="9" t="s">
        <v>33</v>
      </c>
    </row>
    <row r="19373" ht="15.75" customHeight="1">
      <c r="A19373" s="7"/>
      <c r="B19373" s="7"/>
      <c r="M19373" s="9" t="s">
        <v>26</v>
      </c>
    </row>
    <row r="19374" ht="15.75" customHeight="1">
      <c r="A19374" s="7"/>
      <c r="B19374" s="7"/>
      <c r="M19374" s="9" t="s">
        <v>24</v>
      </c>
    </row>
    <row r="19375" ht="15.75" customHeight="1">
      <c r="A19375" s="7"/>
      <c r="B19375" s="7"/>
      <c r="M19375" s="9" t="s">
        <v>20</v>
      </c>
    </row>
    <row r="19376" ht="15.75" customHeight="1">
      <c r="A19376" s="7"/>
      <c r="B19376" s="7"/>
      <c r="M19376" s="9" t="s">
        <v>21</v>
      </c>
    </row>
    <row r="19377" ht="15.75" customHeight="1">
      <c r="A19377" s="7"/>
      <c r="B19377" s="7"/>
      <c r="M19377" s="9" t="s">
        <v>37</v>
      </c>
    </row>
    <row r="19378" ht="15.75" customHeight="1">
      <c r="A19378" s="7"/>
      <c r="B19378" s="7"/>
      <c r="M19378" s="9" t="s">
        <v>29</v>
      </c>
    </row>
    <row r="19379" ht="15.75" customHeight="1">
      <c r="A19379" s="7"/>
      <c r="B19379" s="7"/>
      <c r="M19379" s="9" t="s">
        <v>27</v>
      </c>
    </row>
    <row r="19380" ht="15.75" customHeight="1">
      <c r="A19380" s="7"/>
      <c r="B19380" s="7"/>
      <c r="M19380" s="9" t="s">
        <v>28</v>
      </c>
    </row>
    <row r="19381" ht="15.75" customHeight="1">
      <c r="A19381" s="7"/>
      <c r="B19381" s="7"/>
      <c r="M19381" s="9" t="s">
        <v>24</v>
      </c>
    </row>
    <row r="19382" ht="15.75" customHeight="1">
      <c r="A19382" s="7"/>
      <c r="B19382" s="7"/>
      <c r="M19382" s="9" t="s">
        <v>20</v>
      </c>
    </row>
    <row r="19383" ht="15.75" customHeight="1">
      <c r="A19383" s="7"/>
      <c r="B19383" s="7"/>
      <c r="M19383" s="9" t="s">
        <v>21</v>
      </c>
    </row>
    <row r="19384" ht="15.75" customHeight="1">
      <c r="A19384" s="7"/>
      <c r="B19384" s="7"/>
      <c r="M19384" s="9" t="s">
        <v>37</v>
      </c>
    </row>
    <row r="19385" ht="15.75" customHeight="1">
      <c r="A19385" s="7"/>
      <c r="B19385" s="7"/>
      <c r="M19385" s="9" t="s">
        <v>27</v>
      </c>
    </row>
    <row r="19386" ht="15.75" customHeight="1">
      <c r="A19386" s="7"/>
      <c r="B19386" s="7"/>
      <c r="M19386" s="9" t="s">
        <v>33</v>
      </c>
    </row>
    <row r="19387" ht="15.75" customHeight="1">
      <c r="A19387" s="7"/>
      <c r="B19387" s="7"/>
      <c r="M19387" s="9" t="s">
        <v>24</v>
      </c>
    </row>
    <row r="19388" ht="15.75" customHeight="1">
      <c r="A19388" s="7"/>
      <c r="B19388" s="7"/>
      <c r="M19388" s="9" t="s">
        <v>20</v>
      </c>
    </row>
    <row r="19389" ht="15.75" customHeight="1">
      <c r="A19389" s="7"/>
      <c r="B19389" s="7"/>
      <c r="M19389" s="9" t="s">
        <v>21</v>
      </c>
    </row>
    <row r="19390" ht="15.75" customHeight="1">
      <c r="A19390" s="7"/>
      <c r="B19390" s="7"/>
      <c r="M19390" s="9" t="s">
        <v>37</v>
      </c>
    </row>
    <row r="19391" ht="15.75" customHeight="1">
      <c r="A19391" s="7"/>
      <c r="B19391" s="7"/>
      <c r="M19391" s="9" t="s">
        <v>33</v>
      </c>
    </row>
    <row r="19392" ht="15.75" customHeight="1">
      <c r="A19392" s="7"/>
      <c r="B19392" s="7"/>
      <c r="M19392" s="9" t="s">
        <v>30</v>
      </c>
    </row>
    <row r="19393" ht="15.75" customHeight="1">
      <c r="A19393" s="7"/>
      <c r="B19393" s="7"/>
      <c r="M19393" s="9" t="s">
        <v>36</v>
      </c>
    </row>
    <row r="19394" ht="15.75" customHeight="1">
      <c r="A19394" s="7"/>
      <c r="B19394" s="7"/>
      <c r="M19394" s="9" t="s">
        <v>24</v>
      </c>
    </row>
    <row r="19395" ht="15.75" customHeight="1">
      <c r="A19395" s="7"/>
      <c r="B19395" s="7"/>
      <c r="M19395" s="9" t="s">
        <v>21</v>
      </c>
    </row>
    <row r="19396" ht="15.75" customHeight="1">
      <c r="A19396" s="7"/>
      <c r="B19396" s="7"/>
      <c r="M19396" s="9" t="s">
        <v>37</v>
      </c>
    </row>
    <row r="19397" ht="15.75" customHeight="1">
      <c r="A19397" s="7"/>
      <c r="B19397" s="7"/>
      <c r="M19397" s="9" t="s">
        <v>27</v>
      </c>
    </row>
    <row r="19398" ht="15.75" customHeight="1">
      <c r="A19398" s="7"/>
      <c r="B19398" s="7"/>
      <c r="M19398" s="9" t="s">
        <v>26</v>
      </c>
    </row>
    <row r="19399" ht="15.75" customHeight="1">
      <c r="A19399" s="7"/>
      <c r="B19399" s="7"/>
      <c r="M19399" s="9" t="s">
        <v>22</v>
      </c>
    </row>
    <row r="19400" ht="15.75" customHeight="1">
      <c r="A19400" s="7"/>
      <c r="B19400" s="7"/>
      <c r="M19400" s="9" t="s">
        <v>27</v>
      </c>
    </row>
    <row r="19401" ht="15.75" customHeight="1">
      <c r="A19401" s="7"/>
      <c r="B19401" s="7"/>
      <c r="M19401" s="9" t="s">
        <v>24</v>
      </c>
    </row>
    <row r="19402" ht="15.75" customHeight="1">
      <c r="A19402" s="7"/>
      <c r="B19402" s="7"/>
      <c r="M19402" s="9" t="s">
        <v>21</v>
      </c>
    </row>
    <row r="19403" ht="15.75" customHeight="1">
      <c r="A19403" s="7"/>
      <c r="B19403" s="7"/>
      <c r="M19403" s="9" t="s">
        <v>35</v>
      </c>
    </row>
    <row r="19404" ht="15.75" customHeight="1">
      <c r="A19404" s="7"/>
      <c r="B19404" s="7"/>
      <c r="M19404" s="9" t="s">
        <v>26</v>
      </c>
    </row>
    <row r="19405" ht="15.75" customHeight="1">
      <c r="A19405" s="7"/>
      <c r="B19405" s="7"/>
      <c r="M19405" s="9" t="s">
        <v>24</v>
      </c>
    </row>
    <row r="19406" ht="15.75" customHeight="1">
      <c r="A19406" s="7"/>
      <c r="B19406" s="7"/>
      <c r="M19406" s="9" t="s">
        <v>20</v>
      </c>
    </row>
    <row r="19407" ht="15.75" customHeight="1">
      <c r="A19407" s="7"/>
      <c r="B19407" s="7"/>
      <c r="M19407" s="9" t="s">
        <v>21</v>
      </c>
    </row>
    <row r="19408" ht="15.75" customHeight="1">
      <c r="A19408" s="7"/>
      <c r="B19408" s="7"/>
      <c r="M19408" s="9" t="s">
        <v>27</v>
      </c>
    </row>
    <row r="19409" ht="15.75" customHeight="1">
      <c r="A19409" s="7"/>
      <c r="B19409" s="7"/>
      <c r="M19409" s="9" t="s">
        <v>20</v>
      </c>
    </row>
    <row r="19410" ht="15.75" customHeight="1">
      <c r="A19410" s="7"/>
      <c r="B19410" s="7"/>
      <c r="M19410" s="9" t="s">
        <v>38</v>
      </c>
    </row>
    <row r="19411" ht="15.75" customHeight="1">
      <c r="A19411" s="7"/>
      <c r="B19411" s="7"/>
      <c r="M19411" s="9" t="s">
        <v>30</v>
      </c>
    </row>
    <row r="19412" ht="15.75" customHeight="1">
      <c r="A19412" s="7"/>
      <c r="B19412" s="7"/>
      <c r="M19412" s="9" t="s">
        <v>23</v>
      </c>
    </row>
    <row r="19413" ht="15.75" customHeight="1">
      <c r="A19413" s="7"/>
      <c r="B19413" s="7"/>
      <c r="M19413" s="9" t="s">
        <v>44</v>
      </c>
    </row>
    <row r="19414" ht="15.75" customHeight="1">
      <c r="A19414" s="7"/>
      <c r="B19414" s="7"/>
      <c r="M19414" s="9" t="s">
        <v>36</v>
      </c>
    </row>
    <row r="19415" ht="15.75" customHeight="1">
      <c r="A19415" s="7"/>
      <c r="B19415" s="7"/>
      <c r="M19415" s="9" t="s">
        <v>22</v>
      </c>
    </row>
    <row r="19416" ht="15.75" customHeight="1">
      <c r="A19416" s="7"/>
      <c r="B19416" s="7"/>
      <c r="M19416" s="9" t="s">
        <v>30</v>
      </c>
    </row>
    <row r="19417" ht="15.75" customHeight="1">
      <c r="A19417" s="7"/>
      <c r="B19417" s="7"/>
      <c r="M19417" s="9" t="s">
        <v>20</v>
      </c>
    </row>
    <row r="19418" ht="15.75" customHeight="1">
      <c r="A19418" s="7"/>
      <c r="B19418" s="7"/>
      <c r="M19418" s="9" t="s">
        <v>21</v>
      </c>
    </row>
    <row r="19419" ht="15.75" customHeight="1">
      <c r="A19419" s="7"/>
      <c r="B19419" s="7"/>
      <c r="M19419" s="9" t="s">
        <v>27</v>
      </c>
    </row>
    <row r="19420" ht="15.75" customHeight="1">
      <c r="A19420" s="7"/>
      <c r="B19420" s="7"/>
      <c r="M19420" s="9" t="s">
        <v>30</v>
      </c>
    </row>
    <row r="19421" ht="15.75" customHeight="1">
      <c r="A19421" s="7"/>
      <c r="B19421" s="7"/>
      <c r="M19421" s="9" t="s">
        <v>26</v>
      </c>
    </row>
    <row r="19422" ht="15.75" customHeight="1">
      <c r="A19422" s="7"/>
      <c r="B19422" s="7"/>
      <c r="M19422" s="9" t="s">
        <v>20</v>
      </c>
    </row>
    <row r="19423" ht="15.75" customHeight="1">
      <c r="A19423" s="7"/>
      <c r="B19423" s="7"/>
      <c r="M19423" s="9" t="s">
        <v>21</v>
      </c>
    </row>
    <row r="19424" ht="15.75" customHeight="1">
      <c r="A19424" s="7"/>
      <c r="B19424" s="7"/>
      <c r="M19424" s="9" t="s">
        <v>29</v>
      </c>
    </row>
    <row r="19425" ht="15.75" customHeight="1">
      <c r="A19425" s="7"/>
      <c r="B19425" s="7"/>
      <c r="M19425" s="9" t="s">
        <v>27</v>
      </c>
    </row>
    <row r="19426" ht="15.75" customHeight="1">
      <c r="A19426" s="7"/>
      <c r="B19426" s="7"/>
      <c r="M19426" s="9" t="s">
        <v>36</v>
      </c>
    </row>
    <row r="19427" ht="15.75" customHeight="1">
      <c r="A19427" s="7"/>
      <c r="B19427" s="7"/>
      <c r="M19427" s="9" t="s">
        <v>21</v>
      </c>
    </row>
    <row r="19428" ht="15.75" customHeight="1">
      <c r="A19428" s="7"/>
      <c r="B19428" s="7"/>
      <c r="M19428" s="9" t="s">
        <v>22</v>
      </c>
    </row>
    <row r="19429" ht="15.75" customHeight="1">
      <c r="A19429" s="7"/>
      <c r="B19429" s="7"/>
      <c r="M19429" s="9" t="s">
        <v>27</v>
      </c>
    </row>
    <row r="19430" ht="15.75" customHeight="1">
      <c r="A19430" s="7"/>
      <c r="B19430" s="7"/>
      <c r="M19430" s="9" t="s">
        <v>33</v>
      </c>
    </row>
    <row r="19431" ht="15.75" customHeight="1">
      <c r="A19431" s="7"/>
      <c r="B19431" s="7"/>
      <c r="M19431" s="9" t="s">
        <v>24</v>
      </c>
    </row>
    <row r="19432" ht="15.75" customHeight="1">
      <c r="A19432" s="7"/>
      <c r="B19432" s="7"/>
      <c r="M19432" s="9" t="s">
        <v>20</v>
      </c>
    </row>
    <row r="19433" ht="15.75" customHeight="1">
      <c r="A19433" s="7"/>
      <c r="B19433" s="7"/>
      <c r="M19433" s="9" t="s">
        <v>21</v>
      </c>
    </row>
    <row r="19434" ht="15.75" customHeight="1">
      <c r="A19434" s="7"/>
      <c r="B19434" s="7"/>
      <c r="M19434" s="9" t="s">
        <v>37</v>
      </c>
    </row>
    <row r="19435" ht="15.75" customHeight="1">
      <c r="A19435" s="7"/>
      <c r="B19435" s="7"/>
      <c r="M19435" s="9" t="s">
        <v>22</v>
      </c>
    </row>
    <row r="19436" ht="15.75" customHeight="1">
      <c r="A19436" s="7"/>
      <c r="B19436" s="7"/>
      <c r="M19436" s="9" t="s">
        <v>27</v>
      </c>
    </row>
    <row r="19437" ht="15.75" customHeight="1">
      <c r="A19437" s="7"/>
      <c r="B19437" s="7"/>
      <c r="M19437" s="9" t="s">
        <v>38</v>
      </c>
    </row>
    <row r="19438" ht="15.75" customHeight="1">
      <c r="A19438" s="7"/>
      <c r="B19438" s="7"/>
      <c r="M19438" s="9" t="s">
        <v>30</v>
      </c>
    </row>
    <row r="19439" ht="15.75" customHeight="1">
      <c r="A19439" s="7"/>
      <c r="B19439" s="7"/>
      <c r="M19439" s="9" t="s">
        <v>25</v>
      </c>
    </row>
    <row r="19440" ht="15.75" customHeight="1">
      <c r="A19440" s="7"/>
      <c r="B19440" s="7"/>
      <c r="M19440" s="9" t="s">
        <v>47</v>
      </c>
    </row>
    <row r="19441" ht="15.75" customHeight="1">
      <c r="A19441" s="7"/>
      <c r="B19441" s="7"/>
      <c r="M19441" s="9" t="s">
        <v>24</v>
      </c>
    </row>
    <row r="19442" ht="15.75" customHeight="1">
      <c r="A19442" s="7"/>
      <c r="B19442" s="7"/>
      <c r="M19442" s="9" t="s">
        <v>21</v>
      </c>
    </row>
    <row r="19443" ht="15.75" customHeight="1">
      <c r="A19443" s="7"/>
      <c r="B19443" s="7"/>
      <c r="M19443" s="9" t="s">
        <v>41</v>
      </c>
    </row>
    <row r="19444" ht="15.75" customHeight="1">
      <c r="A19444" s="7"/>
      <c r="B19444" s="7"/>
      <c r="M19444" s="9" t="s">
        <v>22</v>
      </c>
    </row>
    <row r="19445" ht="15.75" customHeight="1">
      <c r="A19445" s="7"/>
      <c r="B19445" s="7"/>
      <c r="M19445" s="9" t="s">
        <v>31</v>
      </c>
    </row>
    <row r="19446" ht="15.75" customHeight="1">
      <c r="A19446" s="7"/>
      <c r="B19446" s="7"/>
      <c r="M19446" s="9" t="s">
        <v>27</v>
      </c>
    </row>
    <row r="19447" ht="15.75" customHeight="1">
      <c r="A19447" s="7"/>
      <c r="B19447" s="7"/>
      <c r="M19447" s="9" t="s">
        <v>40</v>
      </c>
    </row>
    <row r="19448" ht="15.75" customHeight="1">
      <c r="A19448" s="7"/>
      <c r="B19448" s="7"/>
      <c r="M19448" s="9" t="s">
        <v>33</v>
      </c>
    </row>
    <row r="19449" ht="15.75" customHeight="1">
      <c r="A19449" s="7"/>
      <c r="B19449" s="7"/>
      <c r="M19449" s="9" t="s">
        <v>30</v>
      </c>
    </row>
    <row r="19450" ht="15.75" customHeight="1">
      <c r="A19450" s="7"/>
      <c r="B19450" s="7"/>
      <c r="M19450" s="9" t="s">
        <v>20</v>
      </c>
    </row>
    <row r="19451" ht="15.75" customHeight="1">
      <c r="A19451" s="7"/>
      <c r="B19451" s="7"/>
      <c r="M19451" s="9" t="s">
        <v>22</v>
      </c>
    </row>
    <row r="19452" ht="15.75" customHeight="1">
      <c r="A19452" s="7"/>
      <c r="B19452" s="7"/>
      <c r="M19452" s="9" t="s">
        <v>31</v>
      </c>
    </row>
    <row r="19453" ht="15.75" customHeight="1">
      <c r="A19453" s="7"/>
      <c r="B19453" s="7"/>
      <c r="M19453" s="9" t="s">
        <v>42</v>
      </c>
    </row>
    <row r="19454" ht="15.75" customHeight="1">
      <c r="A19454" s="7"/>
      <c r="B19454" s="7"/>
      <c r="M19454" s="9" t="s">
        <v>20</v>
      </c>
    </row>
    <row r="19455" ht="15.75" customHeight="1">
      <c r="A19455" s="7"/>
      <c r="B19455" s="7"/>
      <c r="M19455" s="9" t="s">
        <v>39</v>
      </c>
    </row>
    <row r="19456" ht="15.75" customHeight="1">
      <c r="A19456" s="7"/>
      <c r="B19456" s="7"/>
      <c r="M19456" s="9" t="s">
        <v>22</v>
      </c>
    </row>
    <row r="19457" ht="15.75" customHeight="1">
      <c r="A19457" s="7"/>
      <c r="B19457" s="7"/>
      <c r="M19457" s="9" t="s">
        <v>32</v>
      </c>
    </row>
    <row r="19458" ht="15.75" customHeight="1">
      <c r="A19458" s="7"/>
      <c r="B19458" s="7"/>
      <c r="M19458" s="9" t="s">
        <v>27</v>
      </c>
    </row>
    <row r="19459" ht="15.75" customHeight="1">
      <c r="A19459" s="7"/>
      <c r="B19459" s="7"/>
      <c r="M19459" s="9" t="s">
        <v>35</v>
      </c>
    </row>
    <row r="19460" ht="15.75" customHeight="1">
      <c r="A19460" s="7"/>
      <c r="B19460" s="7"/>
      <c r="M19460" s="9" t="s">
        <v>30</v>
      </c>
    </row>
    <row r="19461" ht="15.75" customHeight="1">
      <c r="A19461" s="7"/>
      <c r="B19461" s="7"/>
      <c r="M19461" s="9" t="s">
        <v>20</v>
      </c>
    </row>
    <row r="19462" ht="15.75" customHeight="1">
      <c r="A19462" s="7"/>
      <c r="B19462" s="7"/>
      <c r="M19462" s="9" t="s">
        <v>21</v>
      </c>
    </row>
    <row r="19463" ht="15.75" customHeight="1">
      <c r="A19463" s="7"/>
      <c r="B19463" s="7"/>
      <c r="M19463" s="9" t="s">
        <v>27</v>
      </c>
    </row>
    <row r="19464" ht="15.75" customHeight="1">
      <c r="A19464" s="7"/>
      <c r="B19464" s="7"/>
      <c r="M19464" s="9" t="s">
        <v>40</v>
      </c>
    </row>
    <row r="19465" ht="15.75" customHeight="1">
      <c r="A19465" s="7"/>
      <c r="B19465" s="7"/>
      <c r="M19465" s="9" t="s">
        <v>31</v>
      </c>
    </row>
    <row r="19466" ht="15.75" customHeight="1">
      <c r="A19466" s="7"/>
      <c r="B19466" s="7"/>
      <c r="M19466" s="9" t="s">
        <v>23</v>
      </c>
    </row>
    <row r="19467" ht="15.75" customHeight="1">
      <c r="A19467" s="7"/>
      <c r="B19467" s="7"/>
      <c r="M19467" s="9" t="s">
        <v>24</v>
      </c>
    </row>
    <row r="19468" ht="15.75" customHeight="1">
      <c r="A19468" s="7"/>
      <c r="B19468" s="7"/>
      <c r="M19468" s="9" t="s">
        <v>20</v>
      </c>
    </row>
    <row r="19469" ht="15.75" customHeight="1">
      <c r="A19469" s="7"/>
      <c r="B19469" s="7"/>
      <c r="M19469" s="9" t="s">
        <v>21</v>
      </c>
    </row>
    <row r="19470" ht="15.75" customHeight="1">
      <c r="A19470" s="7"/>
      <c r="B19470" s="7"/>
      <c r="M19470" s="9" t="s">
        <v>37</v>
      </c>
    </row>
    <row r="19471" ht="15.75" customHeight="1">
      <c r="A19471" s="7"/>
      <c r="B19471" s="7"/>
      <c r="M19471" s="9" t="s">
        <v>22</v>
      </c>
    </row>
    <row r="19472" ht="15.75" customHeight="1">
      <c r="A19472" s="7"/>
      <c r="B19472" s="7"/>
      <c r="M19472" s="9" t="s">
        <v>27</v>
      </c>
    </row>
    <row r="19473" ht="15.75" customHeight="1">
      <c r="A19473" s="7"/>
      <c r="B19473" s="7"/>
      <c r="M19473" s="9" t="s">
        <v>26</v>
      </c>
    </row>
    <row r="19474" ht="15.75" customHeight="1">
      <c r="A19474" s="7"/>
      <c r="B19474" s="7"/>
      <c r="M19474" s="9" t="s">
        <v>24</v>
      </c>
    </row>
    <row r="19475" ht="15.75" customHeight="1">
      <c r="A19475" s="7"/>
      <c r="B19475" s="7"/>
      <c r="M19475" s="9" t="s">
        <v>21</v>
      </c>
    </row>
    <row r="19476" ht="15.75" customHeight="1">
      <c r="A19476" s="7"/>
      <c r="B19476" s="7"/>
      <c r="M19476" s="9" t="s">
        <v>27</v>
      </c>
    </row>
    <row r="19477" ht="15.75" customHeight="1">
      <c r="A19477" s="7"/>
      <c r="B19477" s="7"/>
      <c r="M19477" s="9" t="s">
        <v>33</v>
      </c>
    </row>
    <row r="19478" ht="15.75" customHeight="1">
      <c r="A19478" s="7"/>
      <c r="B19478" s="7"/>
      <c r="M19478" s="9" t="s">
        <v>24</v>
      </c>
    </row>
    <row r="19479" ht="15.75" customHeight="1">
      <c r="A19479" s="7"/>
      <c r="B19479" s="7"/>
      <c r="M19479" s="9" t="s">
        <v>20</v>
      </c>
    </row>
    <row r="19480" ht="15.75" customHeight="1">
      <c r="A19480" s="7"/>
      <c r="B19480" s="7"/>
      <c r="M19480" s="9" t="s">
        <v>21</v>
      </c>
    </row>
    <row r="19481" ht="15.75" customHeight="1">
      <c r="A19481" s="7"/>
      <c r="B19481" s="7"/>
      <c r="M19481" s="9" t="s">
        <v>37</v>
      </c>
    </row>
    <row r="19482" ht="15.75" customHeight="1">
      <c r="A19482" s="7"/>
      <c r="B19482" s="7"/>
      <c r="M19482" s="9" t="s">
        <v>40</v>
      </c>
    </row>
    <row r="19483" ht="15.75" customHeight="1">
      <c r="A19483" s="7"/>
      <c r="B19483" s="7"/>
      <c r="M19483" s="9" t="s">
        <v>45</v>
      </c>
    </row>
    <row r="19484" ht="15.75" customHeight="1">
      <c r="A19484" s="7"/>
      <c r="B19484" s="7"/>
      <c r="M19484" s="9" t="s">
        <v>24</v>
      </c>
    </row>
    <row r="19485" ht="15.75" customHeight="1">
      <c r="A19485" s="7"/>
      <c r="B19485" s="7"/>
      <c r="M19485" s="9" t="s">
        <v>38</v>
      </c>
    </row>
    <row r="19486" ht="15.75" customHeight="1">
      <c r="A19486" s="7"/>
      <c r="B19486" s="7"/>
      <c r="M19486" s="9" t="s">
        <v>30</v>
      </c>
    </row>
    <row r="19487" ht="15.75" customHeight="1">
      <c r="A19487" s="7"/>
      <c r="B19487" s="7"/>
      <c r="M19487" s="9" t="s">
        <v>25</v>
      </c>
    </row>
    <row r="19488" ht="15.75" customHeight="1">
      <c r="A19488" s="7"/>
      <c r="B19488" s="7"/>
      <c r="M19488" s="9" t="s">
        <v>23</v>
      </c>
    </row>
    <row r="19489" ht="15.75" customHeight="1">
      <c r="A19489" s="7"/>
      <c r="B19489" s="7"/>
      <c r="M19489" s="9" t="s">
        <v>24</v>
      </c>
    </row>
    <row r="19490" ht="15.75" customHeight="1">
      <c r="A19490" s="7"/>
      <c r="B19490" s="7"/>
      <c r="M19490" s="9" t="s">
        <v>22</v>
      </c>
    </row>
    <row r="19491" ht="15.75" customHeight="1">
      <c r="A19491" s="7"/>
      <c r="B19491" s="7"/>
      <c r="M19491" s="9" t="s">
        <v>22</v>
      </c>
    </row>
    <row r="19492" ht="15.75" customHeight="1">
      <c r="A19492" s="7"/>
      <c r="B19492" s="7"/>
      <c r="M19492" s="9" t="s">
        <v>29</v>
      </c>
    </row>
    <row r="19493" ht="15.75" customHeight="1">
      <c r="A19493" s="7"/>
      <c r="B19493" s="7"/>
      <c r="M19493" s="9" t="s">
        <v>38</v>
      </c>
    </row>
    <row r="19494" ht="15.75" customHeight="1">
      <c r="A19494" s="7"/>
      <c r="B19494" s="7"/>
      <c r="M19494" s="9" t="s">
        <v>25</v>
      </c>
    </row>
    <row r="19495" ht="15.75" customHeight="1">
      <c r="A19495" s="7"/>
      <c r="B19495" s="7"/>
      <c r="M19495" s="9" t="s">
        <v>23</v>
      </c>
    </row>
    <row r="19496" ht="15.75" customHeight="1">
      <c r="A19496" s="7"/>
      <c r="B19496" s="7"/>
      <c r="M19496" s="9" t="s">
        <v>24</v>
      </c>
    </row>
    <row r="19497" ht="15.75" customHeight="1">
      <c r="A19497" s="7"/>
      <c r="B19497" s="7"/>
      <c r="M19497" s="9" t="s">
        <v>20</v>
      </c>
    </row>
    <row r="19498" ht="15.75" customHeight="1">
      <c r="A19498" s="7"/>
      <c r="B19498" s="7"/>
      <c r="M19498" s="9" t="s">
        <v>21</v>
      </c>
    </row>
    <row r="19499" ht="15.75" customHeight="1">
      <c r="A19499" s="7"/>
      <c r="B19499" s="7"/>
      <c r="M19499" s="9" t="s">
        <v>37</v>
      </c>
    </row>
    <row r="19500" ht="15.75" customHeight="1">
      <c r="A19500" s="7"/>
      <c r="B19500" s="7"/>
      <c r="M19500" s="9" t="s">
        <v>22</v>
      </c>
    </row>
    <row r="19501" ht="15.75" customHeight="1">
      <c r="A19501" s="7"/>
      <c r="B19501" s="7"/>
      <c r="M19501" s="9" t="s">
        <v>29</v>
      </c>
    </row>
    <row r="19502" ht="15.75" customHeight="1">
      <c r="A19502" s="7"/>
      <c r="B19502" s="7"/>
      <c r="M19502" s="9" t="s">
        <v>27</v>
      </c>
    </row>
    <row r="19503" ht="15.75" customHeight="1">
      <c r="A19503" s="7"/>
      <c r="B19503" s="7"/>
      <c r="M19503" s="9" t="s">
        <v>40</v>
      </c>
    </row>
    <row r="19504" ht="15.75" customHeight="1">
      <c r="A19504" s="7"/>
      <c r="B19504" s="7"/>
      <c r="M19504" s="9" t="s">
        <v>35</v>
      </c>
    </row>
    <row r="19505" ht="15.75" customHeight="1">
      <c r="A19505" s="7"/>
      <c r="B19505" s="7"/>
      <c r="M19505" s="9" t="s">
        <v>30</v>
      </c>
    </row>
    <row r="19506" ht="15.75" customHeight="1">
      <c r="A19506" s="7"/>
      <c r="B19506" s="7"/>
      <c r="M19506" s="9" t="s">
        <v>23</v>
      </c>
    </row>
    <row r="19507" ht="15.75" customHeight="1">
      <c r="A19507" s="7"/>
      <c r="B19507" s="7"/>
      <c r="M19507" s="9" t="s">
        <v>26</v>
      </c>
    </row>
    <row r="19508" ht="15.75" customHeight="1">
      <c r="A19508" s="7"/>
      <c r="B19508" s="7"/>
      <c r="M19508" s="9" t="s">
        <v>21</v>
      </c>
    </row>
    <row r="19509" ht="15.75" customHeight="1">
      <c r="A19509" s="7"/>
      <c r="B19509" s="7"/>
      <c r="M19509" s="9" t="s">
        <v>33</v>
      </c>
    </row>
    <row r="19510" ht="15.75" customHeight="1">
      <c r="A19510" s="7"/>
      <c r="B19510" s="7"/>
      <c r="M19510" s="9" t="s">
        <v>26</v>
      </c>
    </row>
    <row r="19511" ht="15.75" customHeight="1">
      <c r="A19511" s="7"/>
      <c r="B19511" s="7"/>
      <c r="M19511" s="9" t="s">
        <v>24</v>
      </c>
    </row>
    <row r="19512" ht="15.75" customHeight="1">
      <c r="A19512" s="7"/>
      <c r="B19512" s="7"/>
      <c r="M19512" s="9" t="s">
        <v>21</v>
      </c>
    </row>
    <row r="19513" ht="15.75" customHeight="1">
      <c r="A19513" s="7"/>
      <c r="B19513" s="7"/>
      <c r="M19513" s="9" t="s">
        <v>22</v>
      </c>
    </row>
    <row r="19514" ht="15.75" customHeight="1">
      <c r="A19514" s="7"/>
      <c r="B19514" s="7"/>
      <c r="M19514" s="9" t="s">
        <v>27</v>
      </c>
    </row>
    <row r="19515" ht="15.75" customHeight="1">
      <c r="A19515" s="7"/>
      <c r="B19515" s="7"/>
      <c r="M19515" s="9" t="s">
        <v>30</v>
      </c>
    </row>
    <row r="19516" ht="15.75" customHeight="1">
      <c r="A19516" s="7"/>
      <c r="B19516" s="7"/>
      <c r="M19516" s="9" t="s">
        <v>26</v>
      </c>
    </row>
    <row r="19517" ht="15.75" customHeight="1">
      <c r="A19517" s="7"/>
      <c r="B19517" s="7"/>
      <c r="M19517" s="9" t="s">
        <v>24</v>
      </c>
    </row>
    <row r="19518" ht="15.75" customHeight="1">
      <c r="A19518" s="7"/>
      <c r="B19518" s="7"/>
      <c r="M19518" s="9" t="s">
        <v>21</v>
      </c>
    </row>
    <row r="19519" ht="15.75" customHeight="1">
      <c r="A19519" s="7"/>
      <c r="B19519" s="7"/>
      <c r="M19519" s="9" t="s">
        <v>37</v>
      </c>
    </row>
    <row r="19520" ht="15.75" customHeight="1">
      <c r="A19520" s="7"/>
      <c r="B19520" s="7"/>
      <c r="M19520" s="9" t="s">
        <v>27</v>
      </c>
    </row>
    <row r="19521" ht="15.75" customHeight="1">
      <c r="A19521" s="7"/>
      <c r="B19521" s="7"/>
      <c r="M19521" s="9" t="s">
        <v>30</v>
      </c>
    </row>
    <row r="19522" ht="15.75" customHeight="1">
      <c r="A19522" s="7"/>
      <c r="B19522" s="7"/>
      <c r="M19522" s="9" t="s">
        <v>22</v>
      </c>
    </row>
    <row r="19523" ht="15.75" customHeight="1">
      <c r="A19523" s="7"/>
      <c r="B19523" s="7"/>
      <c r="M19523" s="9" t="s">
        <v>31</v>
      </c>
    </row>
    <row r="19524" ht="15.75" customHeight="1">
      <c r="A19524" s="7"/>
      <c r="B19524" s="7"/>
      <c r="M19524" s="9" t="s">
        <v>30</v>
      </c>
    </row>
    <row r="19525" ht="15.75" customHeight="1">
      <c r="A19525" s="7"/>
      <c r="B19525" s="7"/>
      <c r="M19525" s="9" t="s">
        <v>36</v>
      </c>
    </row>
    <row r="19526" ht="15.75" customHeight="1">
      <c r="A19526" s="7"/>
      <c r="B19526" s="7"/>
      <c r="M19526" s="9" t="s">
        <v>20</v>
      </c>
    </row>
    <row r="19527" ht="15.75" customHeight="1">
      <c r="A19527" s="7"/>
      <c r="B19527" s="7"/>
      <c r="M19527" s="9" t="s">
        <v>22</v>
      </c>
    </row>
    <row r="19528" ht="15.75" customHeight="1">
      <c r="A19528" s="7"/>
      <c r="B19528" s="7"/>
      <c r="M19528" s="9" t="s">
        <v>35</v>
      </c>
    </row>
    <row r="19529" ht="15.75" customHeight="1">
      <c r="A19529" s="7"/>
      <c r="B19529" s="7"/>
      <c r="M19529" s="9" t="s">
        <v>24</v>
      </c>
    </row>
    <row r="19530" ht="15.75" customHeight="1">
      <c r="A19530" s="7"/>
      <c r="B19530" s="7"/>
      <c r="M19530" s="9" t="s">
        <v>22</v>
      </c>
    </row>
    <row r="19531" ht="15.75" customHeight="1">
      <c r="A19531" s="7"/>
      <c r="B19531" s="7"/>
      <c r="M19531" s="9" t="s">
        <v>27</v>
      </c>
    </row>
    <row r="19532" ht="15.75" customHeight="1">
      <c r="A19532" s="7"/>
      <c r="B19532" s="7"/>
      <c r="M19532" s="9" t="s">
        <v>38</v>
      </c>
    </row>
    <row r="19533" ht="15.75" customHeight="1">
      <c r="A19533" s="7"/>
      <c r="B19533" s="7"/>
      <c r="M19533" s="9" t="s">
        <v>24</v>
      </c>
    </row>
    <row r="19534" ht="15.75" customHeight="1">
      <c r="A19534" s="7"/>
      <c r="B19534" s="7"/>
      <c r="M19534" s="9" t="s">
        <v>21</v>
      </c>
    </row>
    <row r="19535" ht="15.75" customHeight="1">
      <c r="A19535" s="7"/>
      <c r="B19535" s="7"/>
      <c r="M19535" s="9" t="s">
        <v>31</v>
      </c>
    </row>
    <row r="19536" ht="15.75" customHeight="1">
      <c r="A19536" s="7"/>
      <c r="B19536" s="7"/>
      <c r="M19536" s="9" t="s">
        <v>33</v>
      </c>
    </row>
    <row r="19537" ht="15.75" customHeight="1">
      <c r="A19537" s="7"/>
      <c r="B19537" s="7"/>
      <c r="M19537" s="9" t="s">
        <v>30</v>
      </c>
    </row>
    <row r="19538" ht="15.75" customHeight="1">
      <c r="A19538" s="7"/>
      <c r="B19538" s="7"/>
      <c r="M19538" s="9" t="s">
        <v>22</v>
      </c>
    </row>
    <row r="19539" ht="15.75" customHeight="1">
      <c r="A19539" s="7"/>
      <c r="B19539" s="7"/>
      <c r="M19539" s="9" t="s">
        <v>27</v>
      </c>
    </row>
    <row r="19540" ht="15.75" customHeight="1">
      <c r="A19540" s="7"/>
      <c r="B19540" s="7"/>
      <c r="M19540" s="9" t="s">
        <v>30</v>
      </c>
    </row>
    <row r="19541" ht="15.75" customHeight="1">
      <c r="A19541" s="7"/>
      <c r="B19541" s="7"/>
      <c r="M19541" s="9" t="s">
        <v>26</v>
      </c>
    </row>
    <row r="19542" ht="15.75" customHeight="1">
      <c r="A19542" s="7"/>
      <c r="B19542" s="7"/>
      <c r="M19542" s="9" t="s">
        <v>24</v>
      </c>
    </row>
    <row r="19543" ht="15.75" customHeight="1">
      <c r="A19543" s="7"/>
      <c r="B19543" s="7"/>
      <c r="M19543" s="9" t="s">
        <v>20</v>
      </c>
    </row>
    <row r="19544" ht="15.75" customHeight="1">
      <c r="A19544" s="7"/>
      <c r="B19544" s="7"/>
      <c r="M19544" s="9" t="s">
        <v>21</v>
      </c>
    </row>
    <row r="19545" ht="15.75" customHeight="1">
      <c r="A19545" s="7"/>
      <c r="B19545" s="7"/>
      <c r="M19545" s="9" t="s">
        <v>22</v>
      </c>
    </row>
    <row r="19546" ht="15.75" customHeight="1">
      <c r="A19546" s="7"/>
      <c r="B19546" s="7"/>
      <c r="M19546" s="9" t="s">
        <v>29</v>
      </c>
    </row>
    <row r="19547" ht="15.75" customHeight="1">
      <c r="A19547" s="7"/>
      <c r="B19547" s="7"/>
      <c r="M19547" s="9" t="s">
        <v>27</v>
      </c>
    </row>
    <row r="19548" ht="15.75" customHeight="1">
      <c r="A19548" s="7"/>
      <c r="B19548" s="7"/>
      <c r="M19548" s="9" t="s">
        <v>40</v>
      </c>
    </row>
    <row r="19549" ht="15.75" customHeight="1">
      <c r="A19549" s="7"/>
      <c r="B19549" s="7"/>
      <c r="M19549" s="9" t="s">
        <v>33</v>
      </c>
    </row>
    <row r="19550" ht="15.75" customHeight="1">
      <c r="A19550" s="7"/>
      <c r="B19550" s="7"/>
      <c r="M19550" s="9" t="s">
        <v>35</v>
      </c>
    </row>
    <row r="19551" ht="15.75" customHeight="1">
      <c r="A19551" s="7"/>
      <c r="B19551" s="7"/>
      <c r="M19551" s="9" t="s">
        <v>30</v>
      </c>
    </row>
    <row r="19552" ht="15.75" customHeight="1">
      <c r="A19552" s="7"/>
      <c r="B19552" s="7"/>
      <c r="M19552" s="9" t="s">
        <v>25</v>
      </c>
    </row>
    <row r="19553" ht="15.75" customHeight="1">
      <c r="A19553" s="7"/>
      <c r="B19553" s="7"/>
      <c r="M19553" s="9" t="s">
        <v>23</v>
      </c>
    </row>
    <row r="19554" ht="15.75" customHeight="1">
      <c r="A19554" s="7"/>
      <c r="B19554" s="7"/>
      <c r="M19554" s="9" t="s">
        <v>20</v>
      </c>
    </row>
    <row r="19555" ht="15.75" customHeight="1">
      <c r="A19555" s="7"/>
      <c r="B19555" s="7"/>
      <c r="M19555" s="9" t="s">
        <v>22</v>
      </c>
    </row>
    <row r="19556" ht="15.75" customHeight="1">
      <c r="A19556" s="7"/>
      <c r="B19556" s="7"/>
      <c r="M19556" s="9" t="s">
        <v>38</v>
      </c>
    </row>
    <row r="19557" ht="15.75" customHeight="1">
      <c r="A19557" s="7"/>
      <c r="B19557" s="7"/>
      <c r="M19557" s="9" t="s">
        <v>30</v>
      </c>
    </row>
    <row r="19558" ht="15.75" customHeight="1">
      <c r="A19558" s="7"/>
      <c r="B19558" s="7"/>
      <c r="M19558" s="9" t="s">
        <v>25</v>
      </c>
    </row>
    <row r="19559" ht="15.75" customHeight="1">
      <c r="A19559" s="7"/>
      <c r="B19559" s="7"/>
      <c r="M19559" s="9" t="s">
        <v>22</v>
      </c>
    </row>
    <row r="19560" ht="15.75" customHeight="1">
      <c r="A19560" s="7"/>
      <c r="B19560" s="7"/>
      <c r="M19560" s="9" t="s">
        <v>24</v>
      </c>
    </row>
    <row r="19561" ht="15.75" customHeight="1">
      <c r="A19561" s="7"/>
      <c r="B19561" s="7"/>
      <c r="M19561" s="9" t="s">
        <v>21</v>
      </c>
    </row>
    <row r="19562" ht="15.75" customHeight="1">
      <c r="A19562" s="7"/>
      <c r="B19562" s="7"/>
      <c r="M19562" s="9" t="s">
        <v>37</v>
      </c>
    </row>
    <row r="19563" ht="15.75" customHeight="1">
      <c r="A19563" s="7"/>
      <c r="B19563" s="7"/>
      <c r="M19563" s="9" t="s">
        <v>23</v>
      </c>
    </row>
    <row r="19564" ht="15.75" customHeight="1">
      <c r="A19564" s="7"/>
      <c r="B19564" s="7"/>
      <c r="M19564" s="9" t="s">
        <v>26</v>
      </c>
    </row>
    <row r="19565" ht="15.75" customHeight="1">
      <c r="A19565" s="7"/>
      <c r="B19565" s="7"/>
      <c r="M19565" s="9" t="s">
        <v>47</v>
      </c>
    </row>
    <row r="19566" ht="15.75" customHeight="1">
      <c r="A19566" s="7"/>
      <c r="B19566" s="7"/>
      <c r="M19566" s="9" t="s">
        <v>20</v>
      </c>
    </row>
    <row r="19567" ht="15.75" customHeight="1">
      <c r="A19567" s="7"/>
      <c r="B19567" s="7"/>
      <c r="M19567" s="9" t="s">
        <v>39</v>
      </c>
    </row>
    <row r="19568" ht="15.75" customHeight="1">
      <c r="A19568" s="7"/>
      <c r="B19568" s="7"/>
      <c r="M19568" s="9" t="s">
        <v>26</v>
      </c>
    </row>
    <row r="19569" ht="15.75" customHeight="1">
      <c r="A19569" s="7"/>
      <c r="B19569" s="7"/>
      <c r="M19569" s="9" t="s">
        <v>24</v>
      </c>
    </row>
    <row r="19570" ht="15.75" customHeight="1">
      <c r="A19570" s="7"/>
      <c r="B19570" s="7"/>
      <c r="M19570" s="9" t="s">
        <v>20</v>
      </c>
    </row>
    <row r="19571" ht="15.75" customHeight="1">
      <c r="A19571" s="7"/>
      <c r="B19571" s="7"/>
      <c r="M19571" s="9" t="s">
        <v>21</v>
      </c>
    </row>
    <row r="19572" ht="15.75" customHeight="1">
      <c r="A19572" s="7"/>
      <c r="B19572" s="7"/>
      <c r="M19572" s="9" t="s">
        <v>24</v>
      </c>
    </row>
    <row r="19573" ht="15.75" customHeight="1">
      <c r="A19573" s="7"/>
      <c r="B19573" s="7"/>
      <c r="M19573" s="9" t="s">
        <v>21</v>
      </c>
    </row>
    <row r="19574" ht="15.75" customHeight="1">
      <c r="A19574" s="7"/>
      <c r="B19574" s="7"/>
      <c r="M19574" s="9" t="s">
        <v>33</v>
      </c>
    </row>
    <row r="19575" ht="15.75" customHeight="1">
      <c r="A19575" s="7"/>
      <c r="B19575" s="7"/>
      <c r="M19575" s="9" t="s">
        <v>24</v>
      </c>
    </row>
    <row r="19576" ht="15.75" customHeight="1">
      <c r="A19576" s="7"/>
      <c r="B19576" s="7"/>
      <c r="M19576" s="9" t="s">
        <v>21</v>
      </c>
    </row>
    <row r="19577" ht="15.75" customHeight="1">
      <c r="A19577" s="7"/>
      <c r="B19577" s="7"/>
      <c r="M19577" s="9" t="s">
        <v>27</v>
      </c>
    </row>
    <row r="19578" ht="15.75" customHeight="1">
      <c r="A19578" s="7"/>
      <c r="B19578" s="7"/>
      <c r="M19578" s="9" t="s">
        <v>38</v>
      </c>
    </row>
    <row r="19579" ht="15.75" customHeight="1">
      <c r="A19579" s="7"/>
      <c r="B19579" s="7"/>
      <c r="M19579" s="9" t="s">
        <v>25</v>
      </c>
    </row>
    <row r="19580" ht="15.75" customHeight="1">
      <c r="A19580" s="7"/>
      <c r="B19580" s="7"/>
      <c r="M19580" s="9" t="s">
        <v>23</v>
      </c>
    </row>
    <row r="19581" ht="15.75" customHeight="1">
      <c r="A19581" s="7"/>
      <c r="B19581" s="7"/>
      <c r="M19581" s="9" t="s">
        <v>44</v>
      </c>
    </row>
    <row r="19582" ht="15.75" customHeight="1">
      <c r="A19582" s="7"/>
      <c r="B19582" s="7"/>
      <c r="M19582" s="9" t="s">
        <v>24</v>
      </c>
    </row>
    <row r="19583" ht="15.75" customHeight="1">
      <c r="A19583" s="7"/>
      <c r="B19583" s="7"/>
      <c r="M19583" s="9" t="s">
        <v>20</v>
      </c>
    </row>
    <row r="19584" ht="15.75" customHeight="1">
      <c r="A19584" s="7"/>
      <c r="B19584" s="7"/>
      <c r="M19584" s="9" t="s">
        <v>21</v>
      </c>
    </row>
    <row r="19585" ht="15.75" customHeight="1">
      <c r="A19585" s="7"/>
      <c r="B19585" s="7"/>
      <c r="M19585" s="9" t="s">
        <v>31</v>
      </c>
    </row>
    <row r="19586" ht="15.75" customHeight="1">
      <c r="A19586" s="7"/>
      <c r="B19586" s="7"/>
      <c r="M19586" s="9" t="s">
        <v>33</v>
      </c>
    </row>
    <row r="19587" ht="15.75" customHeight="1">
      <c r="A19587" s="7"/>
      <c r="B19587" s="7"/>
      <c r="M19587" s="9" t="s">
        <v>35</v>
      </c>
    </row>
    <row r="19588" ht="15.75" customHeight="1">
      <c r="A19588" s="7"/>
      <c r="B19588" s="7"/>
      <c r="M19588" s="9" t="s">
        <v>24</v>
      </c>
    </row>
    <row r="19589" ht="15.75" customHeight="1">
      <c r="A19589" s="7"/>
      <c r="B19589" s="7"/>
      <c r="M19589" s="9" t="s">
        <v>21</v>
      </c>
    </row>
    <row r="19590" ht="15.75" customHeight="1">
      <c r="A19590" s="7"/>
      <c r="B19590" s="7"/>
      <c r="M19590" s="9" t="s">
        <v>37</v>
      </c>
    </row>
    <row r="19591" ht="15.75" customHeight="1">
      <c r="A19591" s="7"/>
      <c r="B19591" s="7"/>
      <c r="M19591" s="9" t="s">
        <v>24</v>
      </c>
    </row>
    <row r="19592" ht="15.75" customHeight="1">
      <c r="A19592" s="7"/>
      <c r="B19592" s="7"/>
      <c r="M19592" s="9" t="s">
        <v>20</v>
      </c>
    </row>
    <row r="19593" ht="15.75" customHeight="1">
      <c r="A19593" s="7"/>
      <c r="B19593" s="7"/>
      <c r="M19593" s="9" t="s">
        <v>21</v>
      </c>
    </row>
    <row r="19594" ht="15.75" customHeight="1">
      <c r="A19594" s="7"/>
      <c r="B19594" s="7"/>
      <c r="M19594" s="9" t="s">
        <v>37</v>
      </c>
    </row>
    <row r="19595" ht="15.75" customHeight="1">
      <c r="A19595" s="7"/>
      <c r="B19595" s="7"/>
      <c r="M19595" s="9" t="s">
        <v>31</v>
      </c>
    </row>
    <row r="19596" ht="15.75" customHeight="1">
      <c r="A19596" s="7"/>
      <c r="B19596" s="7"/>
      <c r="M19596" s="9" t="s">
        <v>27</v>
      </c>
    </row>
    <row r="19597" ht="15.75" customHeight="1">
      <c r="A19597" s="7"/>
      <c r="B19597" s="7"/>
      <c r="M19597" s="9" t="s">
        <v>26</v>
      </c>
    </row>
    <row r="19598" ht="15.75" customHeight="1">
      <c r="A19598" s="7"/>
      <c r="B19598" s="7"/>
      <c r="M19598" s="9" t="s">
        <v>24</v>
      </c>
    </row>
    <row r="19599" ht="15.75" customHeight="1">
      <c r="A19599" s="7"/>
      <c r="B19599" s="7"/>
      <c r="M19599" s="9" t="s">
        <v>21</v>
      </c>
    </row>
    <row r="19600" ht="15.75" customHeight="1">
      <c r="A19600" s="7"/>
      <c r="B19600" s="7"/>
      <c r="M19600" s="9" t="s">
        <v>41</v>
      </c>
    </row>
    <row r="19601" ht="15.75" customHeight="1">
      <c r="A19601" s="7"/>
      <c r="B19601" s="7"/>
      <c r="M19601" s="9" t="s">
        <v>37</v>
      </c>
    </row>
    <row r="19602" ht="15.75" customHeight="1">
      <c r="A19602" s="7"/>
      <c r="B19602" s="7"/>
      <c r="M19602" s="9" t="s">
        <v>27</v>
      </c>
    </row>
    <row r="19603" ht="15.75" customHeight="1">
      <c r="A19603" s="7"/>
      <c r="B19603" s="7"/>
      <c r="M19603" s="9" t="s">
        <v>33</v>
      </c>
    </row>
    <row r="19604" ht="15.75" customHeight="1">
      <c r="A19604" s="7"/>
      <c r="B19604" s="7"/>
      <c r="M19604" s="9" t="s">
        <v>30</v>
      </c>
    </row>
    <row r="19605" ht="15.75" customHeight="1">
      <c r="A19605" s="7"/>
      <c r="B19605" s="7"/>
      <c r="M19605" s="9" t="s">
        <v>24</v>
      </c>
    </row>
    <row r="19606" ht="15.75" customHeight="1">
      <c r="A19606" s="7"/>
      <c r="B19606" s="7"/>
      <c r="M19606" s="9" t="s">
        <v>21</v>
      </c>
    </row>
    <row r="19607" ht="15.75" customHeight="1">
      <c r="A19607" s="7"/>
      <c r="B19607" s="7"/>
      <c r="M19607" s="9" t="s">
        <v>22</v>
      </c>
    </row>
    <row r="19608" ht="15.75" customHeight="1">
      <c r="A19608" s="7"/>
      <c r="B19608" s="7"/>
      <c r="M19608" s="9" t="s">
        <v>27</v>
      </c>
    </row>
    <row r="19609" ht="15.75" customHeight="1">
      <c r="A19609" s="7"/>
      <c r="B19609" s="7"/>
      <c r="M19609" s="9" t="s">
        <v>33</v>
      </c>
    </row>
    <row r="19610" ht="15.75" customHeight="1">
      <c r="A19610" s="7"/>
      <c r="B19610" s="7"/>
      <c r="M19610" s="9" t="s">
        <v>21</v>
      </c>
    </row>
    <row r="19611" ht="15.75" customHeight="1">
      <c r="A19611" s="7"/>
      <c r="B19611" s="7"/>
      <c r="M19611" s="9" t="s">
        <v>37</v>
      </c>
    </row>
    <row r="19612" ht="15.75" customHeight="1">
      <c r="A19612" s="7"/>
      <c r="B19612" s="7"/>
      <c r="M19612" s="9" t="s">
        <v>21</v>
      </c>
    </row>
    <row r="19613" ht="15.75" customHeight="1">
      <c r="A19613" s="7"/>
      <c r="B19613" s="7"/>
      <c r="M19613" s="9" t="s">
        <v>22</v>
      </c>
    </row>
    <row r="19614" ht="15.75" customHeight="1">
      <c r="A19614" s="7"/>
      <c r="B19614" s="7"/>
      <c r="M19614" s="9" t="s">
        <v>35</v>
      </c>
    </row>
    <row r="19615" ht="15.75" customHeight="1">
      <c r="A19615" s="7"/>
      <c r="B19615" s="7"/>
      <c r="M19615" s="9" t="s">
        <v>30</v>
      </c>
    </row>
    <row r="19616" ht="15.75" customHeight="1">
      <c r="A19616" s="7"/>
      <c r="B19616" s="7"/>
      <c r="M19616" s="9" t="s">
        <v>22</v>
      </c>
    </row>
    <row r="19617" ht="15.75" customHeight="1">
      <c r="A19617" s="7"/>
      <c r="B19617" s="7"/>
      <c r="M19617" s="9" t="s">
        <v>23</v>
      </c>
    </row>
    <row r="19618" ht="15.75" customHeight="1">
      <c r="A19618" s="7"/>
      <c r="B19618" s="7"/>
      <c r="M19618" s="9" t="s">
        <v>26</v>
      </c>
    </row>
    <row r="19619" ht="15.75" customHeight="1">
      <c r="A19619" s="7"/>
      <c r="B19619" s="7"/>
      <c r="M19619" s="9" t="s">
        <v>24</v>
      </c>
    </row>
    <row r="19620" ht="15.75" customHeight="1">
      <c r="A19620" s="7"/>
      <c r="B19620" s="7"/>
      <c r="M19620" s="9" t="s">
        <v>20</v>
      </c>
    </row>
    <row r="19621" ht="15.75" customHeight="1">
      <c r="A19621" s="7"/>
      <c r="B19621" s="7"/>
      <c r="M19621" s="9" t="s">
        <v>21</v>
      </c>
    </row>
    <row r="19622" ht="15.75" customHeight="1">
      <c r="A19622" s="7"/>
      <c r="B19622" s="7"/>
      <c r="M19622" s="9" t="s">
        <v>37</v>
      </c>
    </row>
    <row r="19623" ht="15.75" customHeight="1">
      <c r="A19623" s="7"/>
      <c r="B19623" s="7"/>
      <c r="M19623" s="9" t="s">
        <v>22</v>
      </c>
    </row>
    <row r="19624" ht="15.75" customHeight="1">
      <c r="A19624" s="7"/>
      <c r="B19624" s="7"/>
      <c r="M19624" s="9" t="s">
        <v>30</v>
      </c>
    </row>
    <row r="19625" ht="15.75" customHeight="1">
      <c r="A19625" s="7"/>
      <c r="B19625" s="7"/>
      <c r="M19625" s="9" t="s">
        <v>20</v>
      </c>
    </row>
    <row r="19626" ht="15.75" customHeight="1">
      <c r="A19626" s="7"/>
      <c r="B19626" s="7"/>
      <c r="M19626" s="9" t="s">
        <v>27</v>
      </c>
    </row>
    <row r="19627" ht="15.75" customHeight="1">
      <c r="A19627" s="7"/>
      <c r="B19627" s="7"/>
      <c r="M19627" s="9" t="s">
        <v>38</v>
      </c>
    </row>
    <row r="19628" ht="15.75" customHeight="1">
      <c r="A19628" s="7"/>
      <c r="B19628" s="7"/>
      <c r="M19628" s="9" t="s">
        <v>25</v>
      </c>
    </row>
    <row r="19629" ht="15.75" customHeight="1">
      <c r="A19629" s="7"/>
      <c r="B19629" s="7"/>
      <c r="M19629" s="9" t="s">
        <v>23</v>
      </c>
    </row>
    <row r="19630" ht="15.75" customHeight="1">
      <c r="A19630" s="7"/>
      <c r="B19630" s="7"/>
      <c r="M19630" s="9" t="s">
        <v>24</v>
      </c>
    </row>
    <row r="19631" ht="15.75" customHeight="1">
      <c r="A19631" s="7"/>
      <c r="B19631" s="7"/>
      <c r="M19631" s="9" t="s">
        <v>20</v>
      </c>
    </row>
    <row r="19632" ht="15.75" customHeight="1">
      <c r="A19632" s="7"/>
      <c r="B19632" s="7"/>
      <c r="M19632" s="9" t="s">
        <v>22</v>
      </c>
    </row>
    <row r="19633" ht="15.75" customHeight="1">
      <c r="A19633" s="7"/>
      <c r="B19633" s="7"/>
      <c r="M19633" s="9" t="s">
        <v>27</v>
      </c>
    </row>
    <row r="19634" ht="15.75" customHeight="1">
      <c r="A19634" s="7"/>
      <c r="B19634" s="7"/>
      <c r="M19634" s="9" t="s">
        <v>23</v>
      </c>
    </row>
    <row r="19635" ht="15.75" customHeight="1">
      <c r="A19635" s="7"/>
      <c r="B19635" s="7"/>
      <c r="M19635" s="9" t="s">
        <v>24</v>
      </c>
    </row>
    <row r="19636" ht="15.75" customHeight="1">
      <c r="A19636" s="7"/>
      <c r="B19636" s="7"/>
      <c r="M19636" s="9" t="s">
        <v>20</v>
      </c>
    </row>
    <row r="19637" ht="15.75" customHeight="1">
      <c r="A19637" s="7"/>
      <c r="B19637" s="7"/>
      <c r="M19637" s="9" t="s">
        <v>21</v>
      </c>
    </row>
    <row r="19638" ht="15.75" customHeight="1">
      <c r="A19638" s="7"/>
      <c r="B19638" s="7"/>
      <c r="M19638" s="9" t="s">
        <v>37</v>
      </c>
    </row>
    <row r="19639" ht="15.75" customHeight="1">
      <c r="A19639" s="7"/>
      <c r="B19639" s="7"/>
      <c r="M19639" s="9" t="s">
        <v>27</v>
      </c>
    </row>
    <row r="19640" ht="15.75" customHeight="1">
      <c r="A19640" s="7"/>
      <c r="B19640" s="7"/>
      <c r="M19640" s="9" t="s">
        <v>25</v>
      </c>
    </row>
    <row r="19641" ht="15.75" customHeight="1">
      <c r="A19641" s="7"/>
      <c r="B19641" s="7"/>
      <c r="M19641" s="9" t="s">
        <v>23</v>
      </c>
    </row>
    <row r="19642" ht="15.75" customHeight="1">
      <c r="A19642" s="7"/>
      <c r="B19642" s="7"/>
      <c r="M19642" s="9" t="s">
        <v>22</v>
      </c>
    </row>
    <row r="19643" ht="15.75" customHeight="1">
      <c r="A19643" s="7"/>
      <c r="B19643" s="7"/>
      <c r="M19643" s="9" t="s">
        <v>25</v>
      </c>
    </row>
    <row r="19644" ht="15.75" customHeight="1">
      <c r="A19644" s="7"/>
      <c r="B19644" s="7"/>
      <c r="M19644" s="9" t="s">
        <v>23</v>
      </c>
    </row>
    <row r="19645" ht="15.75" customHeight="1">
      <c r="A19645" s="7"/>
      <c r="B19645" s="7"/>
      <c r="M19645" s="9" t="s">
        <v>26</v>
      </c>
    </row>
    <row r="19646" ht="15.75" customHeight="1">
      <c r="A19646" s="7"/>
      <c r="B19646" s="7"/>
      <c r="M19646" s="9" t="s">
        <v>22</v>
      </c>
    </row>
    <row r="19647" ht="15.75" customHeight="1">
      <c r="A19647" s="7"/>
      <c r="B19647" s="7"/>
      <c r="M19647" s="9" t="s">
        <v>29</v>
      </c>
    </row>
    <row r="19648" ht="15.75" customHeight="1">
      <c r="A19648" s="7"/>
      <c r="B19648" s="7"/>
      <c r="M19648" s="9" t="s">
        <v>23</v>
      </c>
    </row>
    <row r="19649" ht="15.75" customHeight="1">
      <c r="A19649" s="7"/>
      <c r="B19649" s="7"/>
      <c r="M19649" s="9" t="s">
        <v>26</v>
      </c>
    </row>
    <row r="19650" ht="15.75" customHeight="1">
      <c r="A19650" s="7"/>
      <c r="B19650" s="7"/>
      <c r="M19650" s="9" t="s">
        <v>22</v>
      </c>
    </row>
    <row r="19651" ht="15.75" customHeight="1">
      <c r="A19651" s="7"/>
      <c r="B19651" s="7"/>
      <c r="M19651" s="9" t="s">
        <v>26</v>
      </c>
    </row>
    <row r="19652" ht="15.75" customHeight="1">
      <c r="A19652" s="7"/>
      <c r="B19652" s="7"/>
      <c r="M19652" s="9" t="s">
        <v>27</v>
      </c>
    </row>
    <row r="19653" ht="15.75" customHeight="1">
      <c r="A19653" s="7"/>
      <c r="B19653" s="7"/>
      <c r="M19653" s="9" t="s">
        <v>22</v>
      </c>
    </row>
    <row r="19654" ht="15.75" customHeight="1">
      <c r="A19654" s="7"/>
      <c r="B19654" s="7"/>
      <c r="M19654" s="9" t="s">
        <v>29</v>
      </c>
    </row>
    <row r="19655" ht="15.75" customHeight="1">
      <c r="A19655" s="7"/>
      <c r="B19655" s="7"/>
      <c r="M19655" s="9" t="s">
        <v>27</v>
      </c>
    </row>
    <row r="19656" ht="15.75" customHeight="1">
      <c r="A19656" s="7"/>
      <c r="B19656" s="7"/>
      <c r="M19656" s="9" t="s">
        <v>38</v>
      </c>
    </row>
    <row r="19657" ht="15.75" customHeight="1">
      <c r="A19657" s="7"/>
      <c r="B19657" s="7"/>
      <c r="M19657" s="9" t="s">
        <v>30</v>
      </c>
    </row>
    <row r="19658" ht="15.75" customHeight="1">
      <c r="A19658" s="7"/>
      <c r="B19658" s="7"/>
      <c r="M19658" s="9" t="s">
        <v>25</v>
      </c>
    </row>
    <row r="19659" ht="15.75" customHeight="1">
      <c r="A19659" s="7"/>
      <c r="B19659" s="7"/>
      <c r="M19659" s="9" t="s">
        <v>24</v>
      </c>
    </row>
    <row r="19660" ht="15.75" customHeight="1">
      <c r="A19660" s="7"/>
      <c r="B19660" s="7"/>
      <c r="M19660" s="9" t="s">
        <v>20</v>
      </c>
    </row>
    <row r="19661" ht="15.75" customHeight="1">
      <c r="A19661" s="7"/>
      <c r="B19661" s="7"/>
      <c r="M19661" s="9" t="s">
        <v>21</v>
      </c>
    </row>
    <row r="19662" ht="15.75" customHeight="1">
      <c r="A19662" s="7"/>
      <c r="B19662" s="7"/>
      <c r="M19662" s="9" t="s">
        <v>37</v>
      </c>
    </row>
    <row r="19663" ht="15.75" customHeight="1">
      <c r="A19663" s="7"/>
      <c r="B19663" s="7"/>
      <c r="M19663" s="9" t="s">
        <v>22</v>
      </c>
    </row>
    <row r="19664" ht="15.75" customHeight="1">
      <c r="A19664" s="7"/>
      <c r="B19664" s="7"/>
      <c r="M19664" s="9" t="s">
        <v>27</v>
      </c>
    </row>
    <row r="19665" ht="15.75" customHeight="1">
      <c r="A19665" s="7"/>
      <c r="B19665" s="7"/>
      <c r="M19665" s="9" t="s">
        <v>30</v>
      </c>
    </row>
    <row r="19666" ht="15.75" customHeight="1">
      <c r="A19666" s="7"/>
      <c r="B19666" s="7"/>
      <c r="M19666" s="9" t="s">
        <v>23</v>
      </c>
    </row>
    <row r="19667" ht="15.75" customHeight="1">
      <c r="A19667" s="7"/>
      <c r="B19667" s="7"/>
      <c r="M19667" s="9" t="s">
        <v>24</v>
      </c>
    </row>
    <row r="19668" ht="15.75" customHeight="1">
      <c r="A19668" s="7"/>
      <c r="B19668" s="7"/>
      <c r="M19668" s="9" t="s">
        <v>21</v>
      </c>
    </row>
    <row r="19669" ht="15.75" customHeight="1">
      <c r="A19669" s="7"/>
      <c r="B19669" s="7"/>
      <c r="M19669" s="9" t="s">
        <v>22</v>
      </c>
    </row>
    <row r="19670" ht="15.75" customHeight="1">
      <c r="A19670" s="7"/>
      <c r="B19670" s="7"/>
      <c r="M19670" s="9" t="s">
        <v>29</v>
      </c>
    </row>
    <row r="19671" ht="15.75" customHeight="1">
      <c r="A19671" s="7"/>
      <c r="B19671" s="7"/>
      <c r="M19671" s="9" t="s">
        <v>32</v>
      </c>
    </row>
    <row r="19672" ht="15.75" customHeight="1">
      <c r="A19672" s="7"/>
      <c r="B19672" s="7"/>
      <c r="M19672" s="9" t="s">
        <v>27</v>
      </c>
    </row>
    <row r="19673" ht="15.75" customHeight="1">
      <c r="A19673" s="7"/>
      <c r="B19673" s="7"/>
      <c r="M19673" s="9" t="s">
        <v>30</v>
      </c>
    </row>
    <row r="19674" ht="15.75" customHeight="1">
      <c r="A19674" s="7"/>
      <c r="B19674" s="7"/>
      <c r="M19674" s="9" t="s">
        <v>24</v>
      </c>
    </row>
    <row r="19675" ht="15.75" customHeight="1">
      <c r="A19675" s="7"/>
      <c r="B19675" s="7"/>
      <c r="M19675" s="9" t="s">
        <v>20</v>
      </c>
    </row>
    <row r="19676" ht="15.75" customHeight="1">
      <c r="A19676" s="7"/>
      <c r="B19676" s="7"/>
      <c r="M19676" s="9" t="s">
        <v>21</v>
      </c>
    </row>
    <row r="19677" ht="15.75" customHeight="1">
      <c r="A19677" s="7"/>
      <c r="B19677" s="7"/>
      <c r="M19677" s="9" t="s">
        <v>39</v>
      </c>
    </row>
    <row r="19678" ht="15.75" customHeight="1">
      <c r="A19678" s="7"/>
      <c r="B19678" s="7"/>
      <c r="M19678" s="9" t="s">
        <v>37</v>
      </c>
    </row>
    <row r="19679" ht="15.75" customHeight="1">
      <c r="A19679" s="7"/>
      <c r="B19679" s="7"/>
      <c r="M19679" s="9" t="s">
        <v>31</v>
      </c>
    </row>
    <row r="19680" ht="15.75" customHeight="1">
      <c r="A19680" s="7"/>
      <c r="B19680" s="7"/>
      <c r="M19680" s="9" t="s">
        <v>27</v>
      </c>
    </row>
    <row r="19681" ht="15.75" customHeight="1">
      <c r="A19681" s="7"/>
      <c r="B19681" s="7"/>
      <c r="M19681" s="9" t="s">
        <v>33</v>
      </c>
    </row>
    <row r="19682" ht="15.75" customHeight="1">
      <c r="A19682" s="7"/>
      <c r="B19682" s="7"/>
      <c r="M19682" s="9" t="s">
        <v>24</v>
      </c>
    </row>
    <row r="19683" ht="15.75" customHeight="1">
      <c r="A19683" s="7"/>
      <c r="B19683" s="7"/>
      <c r="M19683" s="9" t="s">
        <v>20</v>
      </c>
    </row>
    <row r="19684" ht="15.75" customHeight="1">
      <c r="A19684" s="7"/>
      <c r="B19684" s="7"/>
      <c r="M19684" s="9" t="s">
        <v>22</v>
      </c>
    </row>
    <row r="19685" ht="15.75" customHeight="1">
      <c r="A19685" s="7"/>
      <c r="B19685" s="7"/>
      <c r="M19685" s="9" t="s">
        <v>29</v>
      </c>
    </row>
    <row r="19686" ht="15.75" customHeight="1">
      <c r="A19686" s="7"/>
      <c r="B19686" s="7"/>
      <c r="M19686" s="9" t="s">
        <v>23</v>
      </c>
    </row>
    <row r="19687" ht="15.75" customHeight="1">
      <c r="A19687" s="7"/>
      <c r="B19687" s="7"/>
      <c r="M19687" s="9" t="s">
        <v>22</v>
      </c>
    </row>
    <row r="19688" ht="15.75" customHeight="1">
      <c r="A19688" s="7"/>
      <c r="B19688" s="7"/>
      <c r="M19688" s="9" t="s">
        <v>32</v>
      </c>
    </row>
    <row r="19689" ht="15.75" customHeight="1">
      <c r="A19689" s="7"/>
      <c r="B19689" s="7"/>
      <c r="M19689" s="9" t="s">
        <v>26</v>
      </c>
    </row>
    <row r="19690" ht="15.75" customHeight="1">
      <c r="A19690" s="7"/>
      <c r="B19690" s="7"/>
      <c r="M19690" s="9" t="s">
        <v>45</v>
      </c>
    </row>
    <row r="19691" ht="15.75" customHeight="1">
      <c r="A19691" s="7"/>
      <c r="B19691" s="7"/>
      <c r="M19691" s="9" t="s">
        <v>31</v>
      </c>
    </row>
    <row r="19692" ht="15.75" customHeight="1">
      <c r="A19692" s="7"/>
      <c r="B19692" s="7"/>
      <c r="M19692" s="9" t="s">
        <v>27</v>
      </c>
    </row>
    <row r="19693" ht="15.75" customHeight="1">
      <c r="A19693" s="7"/>
      <c r="B19693" s="7"/>
      <c r="M19693" s="9" t="s">
        <v>24</v>
      </c>
    </row>
    <row r="19694" ht="15.75" customHeight="1">
      <c r="A19694" s="7"/>
      <c r="B19694" s="7"/>
      <c r="M19694" s="9" t="s">
        <v>20</v>
      </c>
    </row>
    <row r="19695" ht="15.75" customHeight="1">
      <c r="A19695" s="7"/>
      <c r="B19695" s="7"/>
      <c r="M19695" s="9" t="s">
        <v>21</v>
      </c>
    </row>
    <row r="19696" ht="15.75" customHeight="1">
      <c r="A19696" s="7"/>
      <c r="B19696" s="7"/>
      <c r="M19696" s="9" t="s">
        <v>37</v>
      </c>
    </row>
    <row r="19697" ht="15.75" customHeight="1">
      <c r="A19697" s="7"/>
      <c r="B19697" s="7"/>
      <c r="M19697" s="9" t="s">
        <v>33</v>
      </c>
    </row>
    <row r="19698" ht="15.75" customHeight="1">
      <c r="A19698" s="7"/>
      <c r="B19698" s="7"/>
      <c r="M19698" s="9" t="s">
        <v>30</v>
      </c>
    </row>
    <row r="19699" ht="15.75" customHeight="1">
      <c r="A19699" s="7"/>
      <c r="B19699" s="7"/>
      <c r="M19699" s="9" t="s">
        <v>25</v>
      </c>
    </row>
    <row r="19700" ht="15.75" customHeight="1">
      <c r="A19700" s="7"/>
      <c r="B19700" s="7"/>
      <c r="M19700" s="9" t="s">
        <v>23</v>
      </c>
    </row>
    <row r="19701" ht="15.75" customHeight="1">
      <c r="A19701" s="7"/>
      <c r="B19701" s="7"/>
      <c r="M19701" s="9" t="s">
        <v>24</v>
      </c>
    </row>
    <row r="19702" ht="15.75" customHeight="1">
      <c r="A19702" s="7"/>
      <c r="B19702" s="7"/>
      <c r="M19702" s="9" t="s">
        <v>20</v>
      </c>
    </row>
    <row r="19703" ht="15.75" customHeight="1">
      <c r="A19703" s="7"/>
      <c r="B19703" s="7"/>
      <c r="M19703" s="9" t="s">
        <v>21</v>
      </c>
    </row>
    <row r="19704" ht="15.75" customHeight="1">
      <c r="A19704" s="7"/>
      <c r="B19704" s="7"/>
      <c r="M19704" s="9" t="s">
        <v>37</v>
      </c>
    </row>
    <row r="19705" ht="15.75" customHeight="1">
      <c r="A19705" s="7"/>
      <c r="B19705" s="7"/>
      <c r="M19705" s="9" t="s">
        <v>22</v>
      </c>
    </row>
    <row r="19706" ht="15.75" customHeight="1">
      <c r="A19706" s="7"/>
      <c r="B19706" s="7"/>
      <c r="M19706" s="9" t="s">
        <v>30</v>
      </c>
    </row>
    <row r="19707" ht="15.75" customHeight="1">
      <c r="A19707" s="7"/>
      <c r="B19707" s="7"/>
      <c r="M19707" s="9" t="s">
        <v>25</v>
      </c>
    </row>
    <row r="19708" ht="15.75" customHeight="1">
      <c r="A19708" s="7"/>
      <c r="B19708" s="7"/>
      <c r="M19708" s="9" t="s">
        <v>23</v>
      </c>
    </row>
    <row r="19709" ht="15.75" customHeight="1">
      <c r="A19709" s="7"/>
      <c r="B19709" s="7"/>
      <c r="M19709" s="9" t="s">
        <v>26</v>
      </c>
    </row>
    <row r="19710" ht="15.75" customHeight="1">
      <c r="A19710" s="7"/>
      <c r="B19710" s="7"/>
      <c r="M19710" s="9" t="s">
        <v>24</v>
      </c>
    </row>
    <row r="19711" ht="15.75" customHeight="1">
      <c r="A19711" s="7"/>
      <c r="B19711" s="7"/>
      <c r="M19711" s="9" t="s">
        <v>20</v>
      </c>
    </row>
    <row r="19712" ht="15.75" customHeight="1">
      <c r="A19712" s="7"/>
      <c r="B19712" s="7"/>
      <c r="M19712" s="9" t="s">
        <v>21</v>
      </c>
    </row>
    <row r="19713" ht="15.75" customHeight="1">
      <c r="A19713" s="7"/>
      <c r="B19713" s="7"/>
      <c r="M19713" s="9" t="s">
        <v>37</v>
      </c>
    </row>
    <row r="19714" ht="15.75" customHeight="1">
      <c r="A19714" s="7"/>
      <c r="B19714" s="7"/>
      <c r="M19714" s="9" t="s">
        <v>27</v>
      </c>
    </row>
    <row r="19715" ht="15.75" customHeight="1">
      <c r="A19715" s="7"/>
      <c r="B19715" s="7"/>
      <c r="M19715" s="9" t="s">
        <v>33</v>
      </c>
    </row>
    <row r="19716" ht="15.75" customHeight="1">
      <c r="A19716" s="7"/>
      <c r="B19716" s="7"/>
      <c r="M19716" s="9" t="s">
        <v>24</v>
      </c>
    </row>
    <row r="19717" ht="15.75" customHeight="1">
      <c r="A19717" s="7"/>
      <c r="B19717" s="7"/>
      <c r="M19717" s="9" t="s">
        <v>21</v>
      </c>
    </row>
    <row r="19718" ht="15.75" customHeight="1">
      <c r="A19718" s="7"/>
      <c r="B19718" s="7"/>
      <c r="M19718" s="9" t="s">
        <v>37</v>
      </c>
    </row>
    <row r="19719" ht="15.75" customHeight="1">
      <c r="A19719" s="7"/>
      <c r="B19719" s="7"/>
      <c r="M19719" s="9" t="s">
        <v>27</v>
      </c>
    </row>
    <row r="19720" ht="15.75" customHeight="1">
      <c r="A19720" s="7"/>
      <c r="B19720" s="7"/>
      <c r="M19720" s="9" t="s">
        <v>33</v>
      </c>
    </row>
    <row r="19721" ht="15.75" customHeight="1">
      <c r="A19721" s="7"/>
      <c r="B19721" s="7"/>
      <c r="M19721" s="9" t="s">
        <v>34</v>
      </c>
    </row>
    <row r="19722" ht="15.75" customHeight="1">
      <c r="A19722" s="7"/>
      <c r="B19722" s="7"/>
      <c r="M19722" s="9" t="s">
        <v>38</v>
      </c>
    </row>
    <row r="19723" ht="15.75" customHeight="1">
      <c r="A19723" s="7"/>
      <c r="B19723" s="7"/>
      <c r="M19723" s="9" t="s">
        <v>30</v>
      </c>
    </row>
    <row r="19724" ht="15.75" customHeight="1">
      <c r="A19724" s="7"/>
      <c r="B19724" s="7"/>
      <c r="M19724" s="9" t="s">
        <v>25</v>
      </c>
    </row>
    <row r="19725" ht="15.75" customHeight="1">
      <c r="A19725" s="7"/>
      <c r="B19725" s="7"/>
      <c r="M19725" s="9" t="s">
        <v>23</v>
      </c>
    </row>
    <row r="19726" ht="15.75" customHeight="1">
      <c r="A19726" s="7"/>
      <c r="B19726" s="7"/>
      <c r="M19726" s="9" t="s">
        <v>24</v>
      </c>
    </row>
    <row r="19727" ht="15.75" customHeight="1">
      <c r="A19727" s="7"/>
      <c r="B19727" s="7"/>
      <c r="M19727" s="9" t="s">
        <v>20</v>
      </c>
    </row>
    <row r="19728" ht="15.75" customHeight="1">
      <c r="A19728" s="7"/>
      <c r="B19728" s="7"/>
      <c r="M19728" s="9" t="s">
        <v>21</v>
      </c>
    </row>
    <row r="19729" ht="15.75" customHeight="1">
      <c r="A19729" s="7"/>
      <c r="B19729" s="7"/>
      <c r="M19729" s="9" t="s">
        <v>41</v>
      </c>
    </row>
    <row r="19730" ht="15.75" customHeight="1">
      <c r="A19730" s="7"/>
      <c r="B19730" s="7"/>
      <c r="M19730" s="9" t="s">
        <v>37</v>
      </c>
    </row>
    <row r="19731" ht="15.75" customHeight="1">
      <c r="A19731" s="7"/>
      <c r="B19731" s="7"/>
      <c r="M19731" s="9" t="s">
        <v>22</v>
      </c>
    </row>
    <row r="19732" ht="15.75" customHeight="1">
      <c r="A19732" s="7"/>
      <c r="B19732" s="7"/>
      <c r="M19732" s="9" t="s">
        <v>27</v>
      </c>
    </row>
    <row r="19733" ht="15.75" customHeight="1">
      <c r="A19733" s="7"/>
      <c r="B19733" s="7"/>
      <c r="M19733" s="9" t="s">
        <v>25</v>
      </c>
    </row>
    <row r="19734" ht="15.75" customHeight="1">
      <c r="A19734" s="7"/>
      <c r="B19734" s="7"/>
      <c r="M19734" s="9" t="s">
        <v>23</v>
      </c>
    </row>
    <row r="19735" ht="15.75" customHeight="1">
      <c r="A19735" s="7"/>
      <c r="B19735" s="7"/>
      <c r="M19735" s="9" t="s">
        <v>26</v>
      </c>
    </row>
    <row r="19736" ht="15.75" customHeight="1">
      <c r="A19736" s="7"/>
      <c r="B19736" s="7"/>
      <c r="M19736" s="9" t="s">
        <v>24</v>
      </c>
    </row>
    <row r="19737" ht="15.75" customHeight="1">
      <c r="A19737" s="7"/>
      <c r="B19737" s="7"/>
      <c r="M19737" s="9" t="s">
        <v>21</v>
      </c>
    </row>
    <row r="19738" ht="15.75" customHeight="1">
      <c r="A19738" s="7"/>
      <c r="B19738" s="7"/>
      <c r="M19738" s="9" t="s">
        <v>27</v>
      </c>
    </row>
    <row r="19739" ht="15.75" customHeight="1">
      <c r="A19739" s="7"/>
      <c r="B19739" s="7"/>
      <c r="M19739" s="9" t="s">
        <v>33</v>
      </c>
    </row>
    <row r="19740" ht="15.75" customHeight="1">
      <c r="A19740" s="7"/>
      <c r="B19740" s="7"/>
      <c r="M19740" s="9" t="s">
        <v>28</v>
      </c>
    </row>
    <row r="19741" ht="15.75" customHeight="1">
      <c r="A19741" s="7"/>
      <c r="B19741" s="7"/>
      <c r="M19741" s="9" t="s">
        <v>30</v>
      </c>
    </row>
    <row r="19742" ht="15.75" customHeight="1">
      <c r="A19742" s="7"/>
      <c r="B19742" s="7"/>
      <c r="M19742" s="9" t="s">
        <v>26</v>
      </c>
    </row>
    <row r="19743" ht="15.75" customHeight="1">
      <c r="A19743" s="7"/>
      <c r="B19743" s="7"/>
      <c r="M19743" s="9" t="s">
        <v>47</v>
      </c>
    </row>
    <row r="19744" ht="15.75" customHeight="1">
      <c r="A19744" s="7"/>
      <c r="B19744" s="7"/>
      <c r="M19744" s="9" t="s">
        <v>42</v>
      </c>
    </row>
    <row r="19745" ht="15.75" customHeight="1">
      <c r="A19745" s="7"/>
      <c r="B19745" s="7"/>
      <c r="M19745" s="9" t="s">
        <v>43</v>
      </c>
    </row>
    <row r="19746" ht="15.75" customHeight="1">
      <c r="A19746" s="7"/>
      <c r="B19746" s="7"/>
      <c r="M19746" s="9" t="s">
        <v>36</v>
      </c>
    </row>
    <row r="19747" ht="15.75" customHeight="1">
      <c r="A19747" s="7"/>
      <c r="B19747" s="7"/>
      <c r="M19747" s="9" t="s">
        <v>24</v>
      </c>
    </row>
    <row r="19748" ht="15.75" customHeight="1">
      <c r="A19748" s="7"/>
      <c r="B19748" s="7"/>
      <c r="M19748" s="9" t="s">
        <v>21</v>
      </c>
    </row>
    <row r="19749" ht="15.75" customHeight="1">
      <c r="A19749" s="7"/>
      <c r="B19749" s="7"/>
      <c r="M19749" s="9" t="s">
        <v>22</v>
      </c>
    </row>
    <row r="19750" ht="15.75" customHeight="1">
      <c r="A19750" s="7"/>
      <c r="B19750" s="7"/>
      <c r="M19750" s="9" t="s">
        <v>32</v>
      </c>
    </row>
    <row r="19751" ht="15.75" customHeight="1">
      <c r="A19751" s="7"/>
      <c r="B19751" s="7"/>
      <c r="M19751" s="9" t="s">
        <v>33</v>
      </c>
    </row>
    <row r="19752" ht="15.75" customHeight="1">
      <c r="A19752" s="7"/>
      <c r="B19752" s="7"/>
      <c r="M19752" s="9" t="s">
        <v>24</v>
      </c>
    </row>
    <row r="19753" ht="15.75" customHeight="1">
      <c r="A19753" s="7"/>
      <c r="B19753" s="7"/>
      <c r="M19753" s="9" t="s">
        <v>21</v>
      </c>
    </row>
    <row r="19754" ht="15.75" customHeight="1">
      <c r="A19754" s="7"/>
      <c r="B19754" s="7"/>
      <c r="M19754" s="9" t="s">
        <v>37</v>
      </c>
    </row>
    <row r="19755" ht="15.75" customHeight="1">
      <c r="A19755" s="7"/>
      <c r="B19755" s="7"/>
      <c r="M19755" s="9" t="s">
        <v>33</v>
      </c>
    </row>
    <row r="19756" ht="15.75" customHeight="1">
      <c r="A19756" s="7"/>
      <c r="B19756" s="7"/>
      <c r="M19756" s="9" t="s">
        <v>35</v>
      </c>
    </row>
    <row r="19757" ht="15.75" customHeight="1">
      <c r="A19757" s="7"/>
      <c r="B19757" s="7"/>
      <c r="M19757" s="9" t="s">
        <v>24</v>
      </c>
    </row>
    <row r="19758" ht="15.75" customHeight="1">
      <c r="A19758" s="7"/>
      <c r="B19758" s="7"/>
      <c r="M19758" s="9" t="s">
        <v>20</v>
      </c>
    </row>
    <row r="19759" ht="15.75" customHeight="1">
      <c r="A19759" s="7"/>
      <c r="B19759" s="7"/>
      <c r="M19759" s="9" t="s">
        <v>21</v>
      </c>
    </row>
    <row r="19760" ht="15.75" customHeight="1">
      <c r="A19760" s="7"/>
      <c r="B19760" s="7"/>
      <c r="M19760" s="9" t="s">
        <v>37</v>
      </c>
    </row>
    <row r="19761" ht="15.75" customHeight="1">
      <c r="A19761" s="7"/>
      <c r="B19761" s="7"/>
      <c r="M19761" s="9" t="s">
        <v>27</v>
      </c>
    </row>
    <row r="19762" ht="15.75" customHeight="1">
      <c r="A19762" s="7"/>
      <c r="B19762" s="7"/>
      <c r="M19762" s="9" t="s">
        <v>26</v>
      </c>
    </row>
    <row r="19763" ht="15.75" customHeight="1">
      <c r="A19763" s="7"/>
      <c r="B19763" s="7"/>
      <c r="M19763" s="9" t="s">
        <v>24</v>
      </c>
    </row>
    <row r="19764" ht="15.75" customHeight="1">
      <c r="A19764" s="7"/>
      <c r="B19764" s="7"/>
      <c r="M19764" s="9" t="s">
        <v>21</v>
      </c>
    </row>
    <row r="19765" ht="15.75" customHeight="1">
      <c r="A19765" s="7"/>
      <c r="B19765" s="7"/>
      <c r="M19765" s="9" t="s">
        <v>33</v>
      </c>
    </row>
    <row r="19766" ht="15.75" customHeight="1">
      <c r="A19766" s="7"/>
      <c r="B19766" s="7"/>
      <c r="M19766" s="9" t="s">
        <v>25</v>
      </c>
    </row>
    <row r="19767" ht="15.75" customHeight="1">
      <c r="A19767" s="7"/>
      <c r="B19767" s="7"/>
      <c r="M19767" s="9" t="s">
        <v>23</v>
      </c>
    </row>
    <row r="19768" ht="15.75" customHeight="1">
      <c r="A19768" s="7"/>
      <c r="B19768" s="7"/>
      <c r="M19768" s="9" t="s">
        <v>24</v>
      </c>
    </row>
    <row r="19769" ht="15.75" customHeight="1">
      <c r="A19769" s="7"/>
      <c r="B19769" s="7"/>
      <c r="M19769" s="9" t="s">
        <v>20</v>
      </c>
    </row>
    <row r="19770" ht="15.75" customHeight="1">
      <c r="A19770" s="7"/>
      <c r="B19770" s="7"/>
      <c r="M19770" s="9" t="s">
        <v>41</v>
      </c>
    </row>
    <row r="19771" ht="15.75" customHeight="1">
      <c r="A19771" s="7"/>
      <c r="B19771" s="7"/>
      <c r="M19771" s="9" t="s">
        <v>40</v>
      </c>
    </row>
    <row r="19772" ht="15.75" customHeight="1">
      <c r="A19772" s="7"/>
      <c r="B19772" s="7"/>
      <c r="M19772" s="9" t="s">
        <v>25</v>
      </c>
    </row>
    <row r="19773" ht="15.75" customHeight="1">
      <c r="A19773" s="7"/>
      <c r="B19773" s="7"/>
      <c r="M19773" s="9" t="s">
        <v>23</v>
      </c>
    </row>
    <row r="19774" ht="15.75" customHeight="1">
      <c r="A19774" s="7"/>
      <c r="B19774" s="7"/>
      <c r="M19774" s="9" t="s">
        <v>24</v>
      </c>
    </row>
    <row r="19775" ht="15.75" customHeight="1">
      <c r="A19775" s="7"/>
      <c r="B19775" s="7"/>
      <c r="M19775" s="9" t="s">
        <v>24</v>
      </c>
    </row>
    <row r="19776" ht="15.75" customHeight="1">
      <c r="A19776" s="7"/>
      <c r="B19776" s="7"/>
      <c r="M19776" s="9" t="s">
        <v>21</v>
      </c>
    </row>
    <row r="19777" ht="15.75" customHeight="1">
      <c r="A19777" s="7"/>
      <c r="B19777" s="7"/>
      <c r="M19777" s="9" t="s">
        <v>37</v>
      </c>
    </row>
    <row r="19778" ht="15.75" customHeight="1">
      <c r="A19778" s="7"/>
      <c r="B19778" s="7"/>
      <c r="M19778" s="9" t="s">
        <v>27</v>
      </c>
    </row>
    <row r="19779" ht="15.75" customHeight="1">
      <c r="A19779" s="7"/>
      <c r="B19779" s="7"/>
      <c r="M19779" s="9" t="s">
        <v>33</v>
      </c>
    </row>
    <row r="19780" ht="15.75" customHeight="1">
      <c r="A19780" s="7"/>
      <c r="B19780" s="7"/>
      <c r="M19780" s="9" t="s">
        <v>24</v>
      </c>
    </row>
    <row r="19781" ht="15.75" customHeight="1">
      <c r="A19781" s="7"/>
      <c r="B19781" s="7"/>
      <c r="M19781" s="9" t="s">
        <v>20</v>
      </c>
    </row>
    <row r="19782" ht="15.75" customHeight="1">
      <c r="A19782" s="7"/>
      <c r="B19782" s="7"/>
      <c r="M19782" s="9" t="s">
        <v>21</v>
      </c>
    </row>
    <row r="19783" ht="15.75" customHeight="1">
      <c r="A19783" s="7"/>
      <c r="B19783" s="7"/>
      <c r="M19783" s="9" t="s">
        <v>27</v>
      </c>
    </row>
    <row r="19784" ht="15.75" customHeight="1">
      <c r="A19784" s="7"/>
      <c r="B19784" s="7"/>
      <c r="M19784" s="9" t="s">
        <v>25</v>
      </c>
    </row>
    <row r="19785" ht="15.75" customHeight="1">
      <c r="A19785" s="7"/>
      <c r="B19785" s="7"/>
      <c r="M19785" s="9" t="s">
        <v>23</v>
      </c>
    </row>
    <row r="19786" ht="15.75" customHeight="1">
      <c r="A19786" s="7"/>
      <c r="B19786" s="7"/>
      <c r="M19786" s="9" t="s">
        <v>24</v>
      </c>
    </row>
    <row r="19787" ht="15.75" customHeight="1">
      <c r="A19787" s="7"/>
      <c r="B19787" s="7"/>
      <c r="M19787" s="9" t="s">
        <v>22</v>
      </c>
    </row>
    <row r="19788" ht="15.75" customHeight="1">
      <c r="A19788" s="7"/>
      <c r="B19788" s="7"/>
      <c r="M19788" s="9" t="s">
        <v>24</v>
      </c>
    </row>
    <row r="19789" ht="15.75" customHeight="1">
      <c r="A19789" s="7"/>
      <c r="B19789" s="7"/>
      <c r="M19789" s="9" t="s">
        <v>20</v>
      </c>
    </row>
    <row r="19790" ht="15.75" customHeight="1">
      <c r="A19790" s="7"/>
      <c r="B19790" s="7"/>
      <c r="M19790" s="9" t="s">
        <v>21</v>
      </c>
    </row>
    <row r="19791" ht="15.75" customHeight="1">
      <c r="A19791" s="7"/>
      <c r="B19791" s="7"/>
      <c r="M19791" s="9" t="s">
        <v>27</v>
      </c>
    </row>
    <row r="19792" ht="15.75" customHeight="1">
      <c r="A19792" s="7"/>
      <c r="B19792" s="7"/>
      <c r="M19792" s="9" t="s">
        <v>33</v>
      </c>
    </row>
    <row r="19793" ht="15.75" customHeight="1">
      <c r="A19793" s="7"/>
      <c r="B19793" s="7"/>
      <c r="M19793" s="9" t="s">
        <v>30</v>
      </c>
    </row>
    <row r="19794" ht="15.75" customHeight="1">
      <c r="A19794" s="7"/>
      <c r="B19794" s="7"/>
      <c r="M19794" s="9" t="s">
        <v>26</v>
      </c>
    </row>
    <row r="19795" ht="15.75" customHeight="1">
      <c r="A19795" s="7"/>
      <c r="B19795" s="7"/>
      <c r="M19795" s="9" t="s">
        <v>36</v>
      </c>
    </row>
    <row r="19796" ht="15.75" customHeight="1">
      <c r="A19796" s="7"/>
      <c r="B19796" s="7"/>
      <c r="M19796" s="9" t="s">
        <v>24</v>
      </c>
    </row>
    <row r="19797" ht="15.75" customHeight="1">
      <c r="A19797" s="7"/>
      <c r="B19797" s="7"/>
      <c r="M19797" s="9" t="s">
        <v>21</v>
      </c>
    </row>
    <row r="19798" ht="15.75" customHeight="1">
      <c r="A19798" s="7"/>
      <c r="B19798" s="7"/>
      <c r="M19798" s="9" t="s">
        <v>22</v>
      </c>
    </row>
    <row r="19799" ht="15.75" customHeight="1">
      <c r="A19799" s="7"/>
      <c r="B19799" s="7"/>
      <c r="M19799" s="9" t="s">
        <v>27</v>
      </c>
    </row>
    <row r="19800" ht="15.75" customHeight="1">
      <c r="A19800" s="7"/>
      <c r="B19800" s="7"/>
      <c r="M19800" s="9" t="s">
        <v>33</v>
      </c>
    </row>
    <row r="19801" ht="15.75" customHeight="1">
      <c r="A19801" s="7"/>
      <c r="B19801" s="7"/>
      <c r="M19801" s="9" t="s">
        <v>24</v>
      </c>
    </row>
    <row r="19802" ht="15.75" customHeight="1">
      <c r="A19802" s="7"/>
      <c r="B19802" s="7"/>
      <c r="M19802" s="9" t="s">
        <v>20</v>
      </c>
    </row>
    <row r="19803" ht="15.75" customHeight="1">
      <c r="A19803" s="7"/>
      <c r="B19803" s="7"/>
      <c r="M19803" s="9" t="s">
        <v>21</v>
      </c>
    </row>
    <row r="19804" ht="15.75" customHeight="1">
      <c r="A19804" s="7"/>
      <c r="B19804" s="7"/>
      <c r="M19804" s="9" t="s">
        <v>26</v>
      </c>
    </row>
    <row r="19805" ht="15.75" customHeight="1">
      <c r="A19805" s="7"/>
      <c r="B19805" s="7"/>
      <c r="M19805" s="9" t="s">
        <v>24</v>
      </c>
    </row>
    <row r="19806" ht="15.75" customHeight="1">
      <c r="A19806" s="7"/>
      <c r="B19806" s="7"/>
      <c r="M19806" s="9" t="s">
        <v>21</v>
      </c>
    </row>
    <row r="19807" ht="15.75" customHeight="1">
      <c r="A19807" s="7"/>
      <c r="B19807" s="7"/>
      <c r="M19807" s="9" t="s">
        <v>27</v>
      </c>
    </row>
    <row r="19808" ht="15.75" customHeight="1">
      <c r="A19808" s="7"/>
      <c r="B19808" s="7"/>
      <c r="M19808" s="9" t="s">
        <v>33</v>
      </c>
    </row>
    <row r="19809" ht="15.75" customHeight="1">
      <c r="A19809" s="7"/>
      <c r="B19809" s="7"/>
      <c r="M19809" s="9" t="s">
        <v>30</v>
      </c>
    </row>
    <row r="19810" ht="15.75" customHeight="1">
      <c r="A19810" s="7"/>
      <c r="B19810" s="7"/>
      <c r="M19810" s="9" t="s">
        <v>25</v>
      </c>
    </row>
    <row r="19811" ht="15.75" customHeight="1">
      <c r="A19811" s="7"/>
      <c r="B19811" s="7"/>
      <c r="M19811" s="9" t="s">
        <v>23</v>
      </c>
    </row>
    <row r="19812" ht="15.75" customHeight="1">
      <c r="A19812" s="7"/>
      <c r="B19812" s="7"/>
      <c r="M19812" s="9" t="s">
        <v>21</v>
      </c>
    </row>
    <row r="19813" ht="15.75" customHeight="1">
      <c r="A19813" s="7"/>
      <c r="B19813" s="7"/>
      <c r="M19813" s="9" t="s">
        <v>41</v>
      </c>
    </row>
    <row r="19814" ht="15.75" customHeight="1">
      <c r="A19814" s="7"/>
      <c r="B19814" s="7"/>
      <c r="M19814" s="9" t="s">
        <v>29</v>
      </c>
    </row>
    <row r="19815" ht="15.75" customHeight="1">
      <c r="A19815" s="7"/>
      <c r="B19815" s="7"/>
      <c r="M19815" s="9" t="s">
        <v>31</v>
      </c>
    </row>
    <row r="19816" ht="15.75" customHeight="1">
      <c r="A19816" s="7"/>
      <c r="B19816" s="7"/>
      <c r="M19816" s="9" t="s">
        <v>40</v>
      </c>
    </row>
    <row r="19817" ht="15.75" customHeight="1">
      <c r="A19817" s="7"/>
      <c r="B19817" s="7"/>
      <c r="M19817" s="9" t="s">
        <v>30</v>
      </c>
    </row>
    <row r="19818" ht="15.75" customHeight="1">
      <c r="A19818" s="7"/>
      <c r="B19818" s="7"/>
      <c r="M19818" s="9" t="s">
        <v>36</v>
      </c>
    </row>
    <row r="19819" ht="15.75" customHeight="1">
      <c r="A19819" s="7"/>
      <c r="B19819" s="7"/>
      <c r="M19819" s="9" t="s">
        <v>24</v>
      </c>
    </row>
    <row r="19820" ht="15.75" customHeight="1">
      <c r="A19820" s="7"/>
      <c r="B19820" s="7"/>
      <c r="M19820" s="9" t="s">
        <v>21</v>
      </c>
    </row>
    <row r="19821" ht="15.75" customHeight="1">
      <c r="A19821" s="7"/>
      <c r="B19821" s="7"/>
      <c r="M19821" s="9" t="s">
        <v>37</v>
      </c>
    </row>
    <row r="19822" ht="15.75" customHeight="1">
      <c r="A19822" s="7"/>
      <c r="B19822" s="7"/>
      <c r="M19822" s="9" t="s">
        <v>22</v>
      </c>
    </row>
    <row r="19823" ht="15.75" customHeight="1">
      <c r="A19823" s="7"/>
      <c r="B19823" s="7"/>
      <c r="M19823" s="9" t="s">
        <v>31</v>
      </c>
    </row>
    <row r="19824" ht="15.75" customHeight="1">
      <c r="A19824" s="7"/>
      <c r="B19824" s="7"/>
      <c r="M19824" s="9" t="s">
        <v>32</v>
      </c>
    </row>
    <row r="19825" ht="15.75" customHeight="1">
      <c r="A19825" s="7"/>
      <c r="B19825" s="7"/>
      <c r="M19825" s="9" t="s">
        <v>27</v>
      </c>
    </row>
    <row r="19826" ht="15.75" customHeight="1">
      <c r="A19826" s="7"/>
      <c r="B19826" s="7"/>
      <c r="M19826" s="9" t="s">
        <v>33</v>
      </c>
    </row>
    <row r="19827" ht="15.75" customHeight="1">
      <c r="A19827" s="7"/>
      <c r="B19827" s="7"/>
      <c r="M19827" s="9" t="s">
        <v>30</v>
      </c>
    </row>
    <row r="19828" ht="15.75" customHeight="1">
      <c r="A19828" s="7"/>
      <c r="B19828" s="7"/>
      <c r="M19828" s="9" t="s">
        <v>22</v>
      </c>
    </row>
    <row r="19829" ht="15.75" customHeight="1">
      <c r="A19829" s="7"/>
      <c r="B19829" s="7"/>
      <c r="M19829" s="9" t="s">
        <v>20</v>
      </c>
    </row>
    <row r="19830" ht="15.75" customHeight="1">
      <c r="A19830" s="7"/>
      <c r="B19830" s="7"/>
      <c r="M19830" s="9" t="s">
        <v>39</v>
      </c>
    </row>
    <row r="19831" ht="15.75" customHeight="1">
      <c r="A19831" s="7"/>
      <c r="B19831" s="7"/>
      <c r="M19831" s="9" t="s">
        <v>38</v>
      </c>
    </row>
    <row r="19832" ht="15.75" customHeight="1">
      <c r="A19832" s="7"/>
      <c r="B19832" s="7"/>
      <c r="M19832" s="9" t="s">
        <v>30</v>
      </c>
    </row>
    <row r="19833" ht="15.75" customHeight="1">
      <c r="A19833" s="7"/>
      <c r="B19833" s="7"/>
      <c r="M19833" s="9" t="s">
        <v>25</v>
      </c>
    </row>
    <row r="19834" ht="15.75" customHeight="1">
      <c r="A19834" s="7"/>
      <c r="B19834" s="7"/>
      <c r="M19834" s="9" t="s">
        <v>23</v>
      </c>
    </row>
    <row r="19835" ht="15.75" customHeight="1">
      <c r="A19835" s="7"/>
      <c r="B19835" s="7"/>
      <c r="M19835" s="9" t="s">
        <v>42</v>
      </c>
    </row>
    <row r="19836" ht="15.75" customHeight="1">
      <c r="A19836" s="7"/>
      <c r="B19836" s="7"/>
      <c r="M19836" s="9" t="s">
        <v>43</v>
      </c>
    </row>
    <row r="19837" ht="15.75" customHeight="1">
      <c r="A19837" s="7"/>
      <c r="B19837" s="7"/>
      <c r="M19837" s="9" t="s">
        <v>36</v>
      </c>
    </row>
    <row r="19838" ht="15.75" customHeight="1">
      <c r="A19838" s="7"/>
      <c r="B19838" s="7"/>
      <c r="M19838" s="9" t="s">
        <v>24</v>
      </c>
    </row>
    <row r="19839" ht="15.75" customHeight="1">
      <c r="A19839" s="7"/>
      <c r="B19839" s="7"/>
      <c r="M19839" s="9" t="s">
        <v>21</v>
      </c>
    </row>
    <row r="19840" ht="15.75" customHeight="1">
      <c r="A19840" s="7"/>
      <c r="B19840" s="7"/>
      <c r="M19840" s="9" t="s">
        <v>22</v>
      </c>
    </row>
    <row r="19841" ht="15.75" customHeight="1">
      <c r="A19841" s="7"/>
      <c r="B19841" s="7"/>
      <c r="M19841" s="9" t="s">
        <v>29</v>
      </c>
    </row>
    <row r="19842" ht="15.75" customHeight="1">
      <c r="A19842" s="7"/>
      <c r="B19842" s="7"/>
      <c r="M19842" s="9" t="s">
        <v>32</v>
      </c>
    </row>
    <row r="19843" ht="15.75" customHeight="1">
      <c r="A19843" s="7"/>
      <c r="B19843" s="7"/>
      <c r="M19843" s="9" t="s">
        <v>27</v>
      </c>
    </row>
    <row r="19844" ht="15.75" customHeight="1">
      <c r="A19844" s="7"/>
      <c r="B19844" s="7"/>
      <c r="M19844" s="9" t="s">
        <v>30</v>
      </c>
    </row>
    <row r="19845" ht="15.75" customHeight="1">
      <c r="A19845" s="7"/>
      <c r="B19845" s="7"/>
      <c r="M19845" s="9" t="s">
        <v>23</v>
      </c>
    </row>
    <row r="19846" ht="15.75" customHeight="1">
      <c r="A19846" s="7"/>
      <c r="B19846" s="7"/>
      <c r="M19846" s="9" t="s">
        <v>24</v>
      </c>
    </row>
    <row r="19847" ht="15.75" customHeight="1">
      <c r="A19847" s="7"/>
      <c r="B19847" s="7"/>
      <c r="M19847" s="9" t="s">
        <v>21</v>
      </c>
    </row>
    <row r="19848" ht="15.75" customHeight="1">
      <c r="A19848" s="7"/>
      <c r="B19848" s="7"/>
      <c r="M19848" s="9" t="s">
        <v>22</v>
      </c>
    </row>
    <row r="19849" ht="15.75" customHeight="1">
      <c r="A19849" s="7"/>
      <c r="B19849" s="7"/>
      <c r="M19849" s="9" t="s">
        <v>27</v>
      </c>
    </row>
    <row r="19850" ht="15.75" customHeight="1">
      <c r="A19850" s="7"/>
      <c r="B19850" s="7"/>
      <c r="M19850" s="9" t="s">
        <v>30</v>
      </c>
    </row>
    <row r="19851" ht="15.75" customHeight="1">
      <c r="A19851" s="7"/>
      <c r="B19851" s="7"/>
      <c r="M19851" s="9" t="s">
        <v>24</v>
      </c>
    </row>
    <row r="19852" ht="15.75" customHeight="1">
      <c r="A19852" s="7"/>
      <c r="B19852" s="7"/>
      <c r="M19852" s="9" t="s">
        <v>20</v>
      </c>
    </row>
    <row r="19853" ht="15.75" customHeight="1">
      <c r="A19853" s="7"/>
      <c r="B19853" s="7"/>
      <c r="M19853" s="9" t="s">
        <v>21</v>
      </c>
    </row>
    <row r="19854" ht="15.75" customHeight="1">
      <c r="A19854" s="7"/>
      <c r="B19854" s="7"/>
      <c r="M19854" s="9" t="s">
        <v>39</v>
      </c>
    </row>
    <row r="19855" ht="15.75" customHeight="1">
      <c r="A19855" s="7"/>
      <c r="B19855" s="7"/>
      <c r="M19855" s="9" t="s">
        <v>33</v>
      </c>
    </row>
    <row r="19856" ht="15.75" customHeight="1">
      <c r="A19856" s="7"/>
      <c r="B19856" s="7"/>
      <c r="M19856" s="9" t="s">
        <v>24</v>
      </c>
    </row>
    <row r="19857" ht="15.75" customHeight="1">
      <c r="A19857" s="7"/>
      <c r="B19857" s="7"/>
      <c r="M19857" s="9" t="s">
        <v>20</v>
      </c>
    </row>
    <row r="19858" ht="15.75" customHeight="1">
      <c r="A19858" s="7"/>
      <c r="B19858" s="7"/>
      <c r="M19858" s="9" t="s">
        <v>21</v>
      </c>
    </row>
    <row r="19859" ht="15.75" customHeight="1">
      <c r="A19859" s="7"/>
      <c r="B19859" s="7"/>
      <c r="M19859" s="9" t="s">
        <v>37</v>
      </c>
    </row>
    <row r="19860" ht="15.75" customHeight="1">
      <c r="A19860" s="7"/>
      <c r="B19860" s="7"/>
      <c r="M19860" s="9" t="s">
        <v>22</v>
      </c>
    </row>
    <row r="19861" ht="15.75" customHeight="1">
      <c r="A19861" s="7"/>
      <c r="B19861" s="7"/>
      <c r="M19861" s="9" t="s">
        <v>27</v>
      </c>
    </row>
    <row r="19862" ht="15.75" customHeight="1">
      <c r="A19862" s="7"/>
      <c r="B19862" s="7"/>
      <c r="M19862" s="9" t="s">
        <v>30</v>
      </c>
    </row>
    <row r="19863" ht="15.75" customHeight="1">
      <c r="A19863" s="7"/>
      <c r="B19863" s="7"/>
      <c r="M19863" s="9" t="s">
        <v>24</v>
      </c>
    </row>
    <row r="19864" ht="15.75" customHeight="1">
      <c r="A19864" s="7"/>
      <c r="B19864" s="7"/>
      <c r="M19864" s="9" t="s">
        <v>20</v>
      </c>
    </row>
    <row r="19865" ht="15.75" customHeight="1">
      <c r="A19865" s="7"/>
      <c r="B19865" s="7"/>
      <c r="M19865" s="9" t="s">
        <v>21</v>
      </c>
    </row>
    <row r="19866" ht="15.75" customHeight="1">
      <c r="A19866" s="7"/>
      <c r="B19866" s="7"/>
      <c r="M19866" s="9" t="s">
        <v>37</v>
      </c>
    </row>
    <row r="19867" ht="15.75" customHeight="1">
      <c r="A19867" s="7"/>
      <c r="B19867" s="7"/>
      <c r="M19867" s="9" t="s">
        <v>31</v>
      </c>
    </row>
    <row r="19868" ht="15.75" customHeight="1">
      <c r="A19868" s="7"/>
      <c r="B19868" s="7"/>
      <c r="M19868" s="9" t="s">
        <v>27</v>
      </c>
    </row>
    <row r="19869" ht="15.75" customHeight="1">
      <c r="A19869" s="7"/>
      <c r="B19869" s="7"/>
      <c r="M19869" s="9" t="s">
        <v>24</v>
      </c>
    </row>
    <row r="19870" ht="15.75" customHeight="1">
      <c r="A19870" s="7"/>
      <c r="B19870" s="7"/>
      <c r="M19870" s="9" t="s">
        <v>20</v>
      </c>
    </row>
    <row r="19871" ht="15.75" customHeight="1">
      <c r="A19871" s="7"/>
      <c r="B19871" s="7"/>
      <c r="M19871" s="9" t="s">
        <v>27</v>
      </c>
    </row>
    <row r="19872" ht="15.75" customHeight="1">
      <c r="A19872" s="7"/>
      <c r="B19872" s="7"/>
      <c r="M19872" s="9" t="s">
        <v>30</v>
      </c>
    </row>
    <row r="19873" ht="15.75" customHeight="1">
      <c r="A19873" s="7"/>
      <c r="B19873" s="7"/>
      <c r="M19873" s="9" t="s">
        <v>20</v>
      </c>
    </row>
    <row r="19874" ht="15.75" customHeight="1">
      <c r="A19874" s="7"/>
      <c r="B19874" s="7"/>
      <c r="M19874" s="9" t="s">
        <v>39</v>
      </c>
    </row>
    <row r="19875" ht="15.75" customHeight="1">
      <c r="A19875" s="7"/>
      <c r="B19875" s="7"/>
      <c r="M19875" s="9" t="s">
        <v>27</v>
      </c>
    </row>
    <row r="19876" ht="15.75" customHeight="1">
      <c r="A19876" s="7"/>
      <c r="B19876" s="7"/>
      <c r="M19876" s="9" t="s">
        <v>38</v>
      </c>
    </row>
    <row r="19877" ht="15.75" customHeight="1">
      <c r="A19877" s="7"/>
      <c r="B19877" s="7"/>
      <c r="M19877" s="9" t="s">
        <v>30</v>
      </c>
    </row>
    <row r="19878" ht="15.75" customHeight="1">
      <c r="A19878" s="7"/>
      <c r="B19878" s="7"/>
      <c r="M19878" s="9" t="s">
        <v>25</v>
      </c>
    </row>
    <row r="19879" ht="15.75" customHeight="1">
      <c r="A19879" s="7"/>
      <c r="B19879" s="7"/>
      <c r="M19879" s="9" t="s">
        <v>21</v>
      </c>
    </row>
    <row r="19880" ht="15.75" customHeight="1">
      <c r="A19880" s="7"/>
      <c r="B19880" s="7"/>
      <c r="M19880" s="9" t="s">
        <v>22</v>
      </c>
    </row>
    <row r="19881" ht="15.75" customHeight="1">
      <c r="A19881" s="7"/>
      <c r="B19881" s="7"/>
      <c r="M19881" s="9" t="s">
        <v>26</v>
      </c>
    </row>
    <row r="19882" ht="15.75" customHeight="1">
      <c r="A19882" s="7"/>
      <c r="B19882" s="7"/>
      <c r="M19882" s="9" t="s">
        <v>24</v>
      </c>
    </row>
    <row r="19883" ht="15.75" customHeight="1">
      <c r="A19883" s="7"/>
      <c r="B19883" s="7"/>
      <c r="M19883" s="9" t="s">
        <v>21</v>
      </c>
    </row>
    <row r="19884" ht="15.75" customHeight="1">
      <c r="A19884" s="7"/>
      <c r="B19884" s="7"/>
      <c r="M19884" s="9" t="s">
        <v>27</v>
      </c>
    </row>
    <row r="19885" ht="15.75" customHeight="1">
      <c r="A19885" s="7"/>
      <c r="B19885" s="7"/>
      <c r="M19885" s="9" t="s">
        <v>35</v>
      </c>
    </row>
    <row r="19886" ht="15.75" customHeight="1">
      <c r="A19886" s="7"/>
      <c r="B19886" s="7"/>
      <c r="M19886" s="9" t="s">
        <v>30</v>
      </c>
    </row>
    <row r="19887" ht="15.75" customHeight="1">
      <c r="A19887" s="7"/>
      <c r="B19887" s="7"/>
      <c r="M19887" s="9" t="s">
        <v>23</v>
      </c>
    </row>
    <row r="19888" ht="15.75" customHeight="1">
      <c r="A19888" s="7"/>
      <c r="B19888" s="7"/>
      <c r="M19888" s="9" t="s">
        <v>24</v>
      </c>
    </row>
    <row r="19889" ht="15.75" customHeight="1">
      <c r="A19889" s="7"/>
      <c r="B19889" s="7"/>
      <c r="M19889" s="9" t="s">
        <v>21</v>
      </c>
    </row>
    <row r="19890" ht="15.75" customHeight="1">
      <c r="A19890" s="7"/>
      <c r="B19890" s="7"/>
      <c r="M19890" s="9" t="s">
        <v>37</v>
      </c>
    </row>
    <row r="19891" ht="15.75" customHeight="1">
      <c r="A19891" s="7"/>
      <c r="B19891" s="7"/>
      <c r="M19891" s="9" t="s">
        <v>22</v>
      </c>
    </row>
    <row r="19892" ht="15.75" customHeight="1">
      <c r="A19892" s="7"/>
      <c r="B19892" s="7"/>
      <c r="M19892" s="9" t="s">
        <v>27</v>
      </c>
    </row>
    <row r="19893" ht="15.75" customHeight="1">
      <c r="A19893" s="7"/>
      <c r="B19893" s="7"/>
      <c r="M19893" s="9" t="s">
        <v>30</v>
      </c>
    </row>
    <row r="19894" ht="15.75" customHeight="1">
      <c r="A19894" s="7"/>
      <c r="B19894" s="7"/>
      <c r="M19894" s="9" t="s">
        <v>20</v>
      </c>
    </row>
    <row r="19895" ht="15.75" customHeight="1">
      <c r="A19895" s="7"/>
      <c r="B19895" s="7"/>
      <c r="M19895" s="9" t="s">
        <v>21</v>
      </c>
    </row>
    <row r="19896" ht="15.75" customHeight="1">
      <c r="A19896" s="7"/>
      <c r="B19896" s="7"/>
      <c r="M19896" s="9" t="s">
        <v>22</v>
      </c>
    </row>
    <row r="19897" ht="15.75" customHeight="1">
      <c r="A19897" s="7"/>
      <c r="B19897" s="7"/>
      <c r="M19897" s="9" t="s">
        <v>27</v>
      </c>
    </row>
    <row r="19898" ht="15.75" customHeight="1">
      <c r="A19898" s="7"/>
      <c r="B19898" s="7"/>
      <c r="M19898" s="9" t="s">
        <v>20</v>
      </c>
    </row>
    <row r="19899" ht="15.75" customHeight="1">
      <c r="A19899" s="7"/>
      <c r="B19899" s="7"/>
      <c r="M19899" s="9" t="s">
        <v>21</v>
      </c>
    </row>
    <row r="19900" ht="15.75" customHeight="1">
      <c r="A19900" s="7"/>
      <c r="B19900" s="7"/>
      <c r="M19900" s="9" t="s">
        <v>22</v>
      </c>
    </row>
    <row r="19901" ht="15.75" customHeight="1">
      <c r="A19901" s="7"/>
      <c r="B19901" s="7"/>
      <c r="M19901" s="9" t="s">
        <v>27</v>
      </c>
    </row>
    <row r="19902" ht="15.75" customHeight="1">
      <c r="A19902" s="7"/>
      <c r="B19902" s="7"/>
      <c r="M19902" s="9" t="s">
        <v>30</v>
      </c>
    </row>
    <row r="19903" ht="15.75" customHeight="1">
      <c r="A19903" s="7"/>
      <c r="B19903" s="7"/>
      <c r="M19903" s="9" t="s">
        <v>26</v>
      </c>
    </row>
    <row r="19904" ht="15.75" customHeight="1">
      <c r="A19904" s="7"/>
      <c r="B19904" s="7"/>
      <c r="M19904" s="9" t="s">
        <v>24</v>
      </c>
    </row>
    <row r="19905" ht="15.75" customHeight="1">
      <c r="A19905" s="7"/>
      <c r="B19905" s="7"/>
      <c r="M19905" s="9" t="s">
        <v>21</v>
      </c>
    </row>
    <row r="19906" ht="15.75" customHeight="1">
      <c r="A19906" s="7"/>
      <c r="B19906" s="7"/>
      <c r="M19906" s="9" t="s">
        <v>31</v>
      </c>
    </row>
    <row r="19907" ht="15.75" customHeight="1">
      <c r="A19907" s="7"/>
      <c r="B19907" s="7"/>
      <c r="M19907" s="9" t="s">
        <v>33</v>
      </c>
    </row>
    <row r="19908" ht="15.75" customHeight="1">
      <c r="A19908" s="7"/>
      <c r="B19908" s="7"/>
      <c r="M19908" s="9" t="s">
        <v>30</v>
      </c>
    </row>
    <row r="19909" ht="15.75" customHeight="1">
      <c r="A19909" s="7"/>
      <c r="B19909" s="7"/>
      <c r="M19909" s="9" t="s">
        <v>20</v>
      </c>
    </row>
    <row r="19910" ht="15.75" customHeight="1">
      <c r="A19910" s="7"/>
      <c r="B19910" s="7"/>
      <c r="M19910" s="9" t="s">
        <v>39</v>
      </c>
    </row>
    <row r="19911" ht="15.75" customHeight="1">
      <c r="A19911" s="7"/>
      <c r="B19911" s="7"/>
      <c r="M19911" s="9" t="s">
        <v>27</v>
      </c>
    </row>
    <row r="19912" ht="15.75" customHeight="1">
      <c r="A19912" s="7"/>
      <c r="B19912" s="7"/>
      <c r="M19912" s="9" t="s">
        <v>20</v>
      </c>
    </row>
    <row r="19913" ht="15.75" customHeight="1">
      <c r="A19913" s="7"/>
      <c r="B19913" s="7"/>
      <c r="M19913" s="9" t="s">
        <v>27</v>
      </c>
    </row>
    <row r="19914" ht="15.75" customHeight="1">
      <c r="A19914" s="7"/>
      <c r="B19914" s="7"/>
      <c r="M19914" s="9" t="s">
        <v>30</v>
      </c>
    </row>
    <row r="19915" ht="15.75" customHeight="1">
      <c r="A19915" s="7"/>
      <c r="B19915" s="7"/>
      <c r="M19915" s="9" t="s">
        <v>24</v>
      </c>
    </row>
    <row r="19916" ht="15.75" customHeight="1">
      <c r="A19916" s="7"/>
      <c r="B19916" s="7"/>
      <c r="M19916" s="9" t="s">
        <v>20</v>
      </c>
    </row>
    <row r="19917" ht="15.75" customHeight="1">
      <c r="A19917" s="7"/>
      <c r="B19917" s="7"/>
      <c r="M19917" s="9" t="s">
        <v>21</v>
      </c>
    </row>
    <row r="19918" ht="15.75" customHeight="1">
      <c r="A19918" s="7"/>
      <c r="B19918" s="7"/>
      <c r="M19918" s="9" t="s">
        <v>27</v>
      </c>
    </row>
    <row r="19919" ht="15.75" customHeight="1">
      <c r="A19919" s="7"/>
      <c r="B19919" s="7"/>
      <c r="M19919" s="9" t="s">
        <v>24</v>
      </c>
    </row>
    <row r="19920" ht="15.75" customHeight="1">
      <c r="A19920" s="7"/>
      <c r="B19920" s="7"/>
      <c r="M19920" s="9" t="s">
        <v>21</v>
      </c>
    </row>
    <row r="19921" ht="15.75" customHeight="1">
      <c r="A19921" s="7"/>
      <c r="B19921" s="7"/>
      <c r="M19921" s="9" t="s">
        <v>37</v>
      </c>
    </row>
    <row r="19922" ht="15.75" customHeight="1">
      <c r="A19922" s="7"/>
      <c r="B19922" s="7"/>
      <c r="M19922" s="9" t="s">
        <v>33</v>
      </c>
    </row>
    <row r="19923" ht="15.75" customHeight="1">
      <c r="A19923" s="7"/>
      <c r="B19923" s="7"/>
      <c r="M19923" s="9" t="s">
        <v>25</v>
      </c>
    </row>
    <row r="19924" ht="15.75" customHeight="1">
      <c r="A19924" s="7"/>
      <c r="B19924" s="7"/>
      <c r="M19924" s="9" t="s">
        <v>23</v>
      </c>
    </row>
    <row r="19925" ht="15.75" customHeight="1">
      <c r="A19925" s="7"/>
      <c r="B19925" s="7"/>
      <c r="M19925" s="9" t="s">
        <v>26</v>
      </c>
    </row>
    <row r="19926" ht="15.75" customHeight="1">
      <c r="A19926" s="7"/>
      <c r="B19926" s="7"/>
      <c r="M19926" s="9" t="s">
        <v>24</v>
      </c>
    </row>
    <row r="19927" ht="15.75" customHeight="1">
      <c r="A19927" s="7"/>
      <c r="B19927" s="7"/>
      <c r="M19927" s="9" t="s">
        <v>28</v>
      </c>
    </row>
    <row r="19928" ht="15.75" customHeight="1">
      <c r="A19928" s="7"/>
      <c r="B19928" s="7"/>
      <c r="M19928" s="9" t="s">
        <v>30</v>
      </c>
    </row>
    <row r="19929" ht="15.75" customHeight="1">
      <c r="A19929" s="7"/>
      <c r="B19929" s="7"/>
      <c r="M19929" s="9" t="s">
        <v>24</v>
      </c>
    </row>
    <row r="19930" ht="15.75" customHeight="1">
      <c r="A19930" s="7"/>
      <c r="B19930" s="7"/>
      <c r="M19930" s="9" t="s">
        <v>20</v>
      </c>
    </row>
    <row r="19931" ht="15.75" customHeight="1">
      <c r="A19931" s="7"/>
      <c r="B19931" s="7"/>
      <c r="M19931" s="9" t="s">
        <v>21</v>
      </c>
    </row>
    <row r="19932" ht="15.75" customHeight="1">
      <c r="A19932" s="7"/>
      <c r="B19932" s="7"/>
      <c r="M19932" s="9" t="s">
        <v>41</v>
      </c>
    </row>
    <row r="19933" ht="15.75" customHeight="1">
      <c r="A19933" s="7"/>
      <c r="B19933" s="7"/>
      <c r="M19933" s="9" t="s">
        <v>31</v>
      </c>
    </row>
    <row r="19934" ht="15.75" customHeight="1">
      <c r="A19934" s="7"/>
      <c r="B19934" s="7"/>
      <c r="M19934" s="9" t="s">
        <v>40</v>
      </c>
    </row>
    <row r="19935" ht="15.75" customHeight="1">
      <c r="A19935" s="7"/>
      <c r="B19935" s="7"/>
      <c r="M19935" s="9" t="s">
        <v>20</v>
      </c>
    </row>
    <row r="19936" ht="15.75" customHeight="1">
      <c r="A19936" s="7"/>
      <c r="B19936" s="7"/>
      <c r="M19936" s="9" t="s">
        <v>39</v>
      </c>
    </row>
    <row r="19937" ht="15.75" customHeight="1">
      <c r="A19937" s="7"/>
      <c r="B19937" s="7"/>
      <c r="M19937" s="9" t="s">
        <v>23</v>
      </c>
    </row>
    <row r="19938" ht="15.75" customHeight="1">
      <c r="A19938" s="7"/>
      <c r="B19938" s="7"/>
      <c r="M19938" s="9" t="s">
        <v>26</v>
      </c>
    </row>
    <row r="19939" ht="15.75" customHeight="1">
      <c r="A19939" s="7"/>
      <c r="B19939" s="7"/>
      <c r="M19939" s="9" t="s">
        <v>24</v>
      </c>
    </row>
    <row r="19940" ht="15.75" customHeight="1">
      <c r="A19940" s="7"/>
      <c r="B19940" s="7"/>
      <c r="M19940" s="9" t="s">
        <v>20</v>
      </c>
    </row>
    <row r="19941" ht="15.75" customHeight="1">
      <c r="A19941" s="7"/>
      <c r="B19941" s="7"/>
      <c r="M19941" s="9" t="s">
        <v>21</v>
      </c>
    </row>
    <row r="19942" ht="15.75" customHeight="1">
      <c r="A19942" s="7"/>
      <c r="B19942" s="7"/>
      <c r="M19942" s="9" t="s">
        <v>22</v>
      </c>
    </row>
    <row r="19943" ht="15.75" customHeight="1">
      <c r="A19943" s="7"/>
      <c r="B19943" s="7"/>
      <c r="M19943" s="9" t="s">
        <v>27</v>
      </c>
    </row>
    <row r="19944" ht="15.75" customHeight="1">
      <c r="A19944" s="7"/>
      <c r="B19944" s="7"/>
      <c r="M19944" s="9" t="s">
        <v>30</v>
      </c>
    </row>
    <row r="19945" ht="15.75" customHeight="1">
      <c r="A19945" s="7"/>
      <c r="B19945" s="7"/>
      <c r="M19945" s="9" t="s">
        <v>23</v>
      </c>
    </row>
    <row r="19946" ht="15.75" customHeight="1">
      <c r="A19946" s="7"/>
      <c r="B19946" s="7"/>
      <c r="M19946" s="9" t="s">
        <v>26</v>
      </c>
    </row>
    <row r="19947" ht="15.75" customHeight="1">
      <c r="A19947" s="7"/>
      <c r="B19947" s="7"/>
      <c r="M19947" s="9" t="s">
        <v>24</v>
      </c>
    </row>
    <row r="19948" ht="15.75" customHeight="1">
      <c r="A19948" s="7"/>
      <c r="B19948" s="7"/>
      <c r="M19948" s="9" t="s">
        <v>20</v>
      </c>
    </row>
    <row r="19949" ht="15.75" customHeight="1">
      <c r="A19949" s="7"/>
      <c r="B19949" s="7"/>
      <c r="M19949" s="9" t="s">
        <v>21</v>
      </c>
    </row>
    <row r="19950" ht="15.75" customHeight="1">
      <c r="A19950" s="7"/>
      <c r="B19950" s="7"/>
      <c r="M19950" s="9" t="s">
        <v>37</v>
      </c>
    </row>
    <row r="19951" ht="15.75" customHeight="1">
      <c r="A19951" s="7"/>
      <c r="B19951" s="7"/>
      <c r="M19951" s="9" t="s">
        <v>22</v>
      </c>
    </row>
    <row r="19952" ht="15.75" customHeight="1">
      <c r="A19952" s="7"/>
      <c r="B19952" s="7"/>
      <c r="M19952" s="9" t="s">
        <v>29</v>
      </c>
    </row>
    <row r="19953" ht="15.75" customHeight="1">
      <c r="A19953" s="7"/>
      <c r="B19953" s="7"/>
      <c r="M19953" s="9" t="s">
        <v>27</v>
      </c>
    </row>
    <row r="19954" ht="15.75" customHeight="1">
      <c r="A19954" s="7"/>
      <c r="B19954" s="7"/>
      <c r="M19954" s="9" t="s">
        <v>21</v>
      </c>
    </row>
    <row r="19955" ht="15.75" customHeight="1">
      <c r="A19955" s="7"/>
      <c r="B19955" s="7"/>
      <c r="M19955" s="9" t="s">
        <v>37</v>
      </c>
    </row>
    <row r="19956" ht="15.75" customHeight="1">
      <c r="A19956" s="7"/>
      <c r="B19956" s="7"/>
      <c r="M19956" s="9" t="s">
        <v>30</v>
      </c>
    </row>
    <row r="19957" ht="15.75" customHeight="1">
      <c r="A19957" s="7"/>
      <c r="B19957" s="7"/>
      <c r="M19957" s="9" t="s">
        <v>25</v>
      </c>
    </row>
    <row r="19958" ht="15.75" customHeight="1">
      <c r="A19958" s="7"/>
      <c r="B19958" s="7"/>
      <c r="M19958" s="9" t="s">
        <v>23</v>
      </c>
    </row>
    <row r="19959" ht="15.75" customHeight="1">
      <c r="A19959" s="7"/>
      <c r="B19959" s="7"/>
      <c r="M19959" s="9" t="s">
        <v>36</v>
      </c>
    </row>
    <row r="19960" ht="15.75" customHeight="1">
      <c r="A19960" s="7"/>
      <c r="B19960" s="7"/>
      <c r="M19960" s="9" t="s">
        <v>24</v>
      </c>
    </row>
    <row r="19961" ht="15.75" customHeight="1">
      <c r="A19961" s="7"/>
      <c r="B19961" s="7"/>
      <c r="M19961" s="9" t="s">
        <v>21</v>
      </c>
    </row>
    <row r="19962" ht="15.75" customHeight="1">
      <c r="A19962" s="7"/>
      <c r="B19962" s="7"/>
      <c r="M19962" s="9" t="s">
        <v>37</v>
      </c>
    </row>
    <row r="19963" ht="15.75" customHeight="1">
      <c r="A19963" s="7"/>
      <c r="B19963" s="7"/>
      <c r="M19963" s="9" t="s">
        <v>22</v>
      </c>
    </row>
    <row r="19964" ht="15.75" customHeight="1">
      <c r="A19964" s="7"/>
      <c r="B19964" s="7"/>
      <c r="M19964" s="9" t="s">
        <v>27</v>
      </c>
    </row>
    <row r="19965" ht="15.75" customHeight="1">
      <c r="A19965" s="7"/>
      <c r="B19965" s="7"/>
      <c r="M19965" s="9" t="s">
        <v>40</v>
      </c>
    </row>
    <row r="19966" ht="15.75" customHeight="1">
      <c r="A19966" s="7"/>
      <c r="B19966" s="7"/>
      <c r="M19966" s="9" t="s">
        <v>30</v>
      </c>
    </row>
    <row r="19967" ht="15.75" customHeight="1">
      <c r="A19967" s="7"/>
      <c r="B19967" s="7"/>
      <c r="M19967" s="9" t="s">
        <v>25</v>
      </c>
    </row>
    <row r="19968" ht="15.75" customHeight="1">
      <c r="A19968" s="7"/>
      <c r="B19968" s="7"/>
      <c r="M19968" s="9" t="s">
        <v>42</v>
      </c>
    </row>
    <row r="19969" ht="15.75" customHeight="1">
      <c r="A19969" s="7"/>
      <c r="B19969" s="7"/>
      <c r="M19969" s="9" t="s">
        <v>36</v>
      </c>
    </row>
    <row r="19970" ht="15.75" customHeight="1">
      <c r="A19970" s="7"/>
      <c r="B19970" s="7"/>
      <c r="M19970" s="9" t="s">
        <v>24</v>
      </c>
    </row>
    <row r="19971" ht="15.75" customHeight="1">
      <c r="A19971" s="7"/>
      <c r="B19971" s="7"/>
      <c r="M19971" s="9" t="s">
        <v>37</v>
      </c>
    </row>
    <row r="19972" ht="15.75" customHeight="1">
      <c r="A19972" s="7"/>
      <c r="B19972" s="7"/>
      <c r="M19972" s="9" t="s">
        <v>22</v>
      </c>
    </row>
    <row r="19973" ht="15.75" customHeight="1">
      <c r="A19973" s="7"/>
      <c r="B19973" s="7"/>
      <c r="M19973" s="9" t="s">
        <v>29</v>
      </c>
    </row>
    <row r="19974" ht="15.75" customHeight="1">
      <c r="A19974" s="7"/>
      <c r="B19974" s="7"/>
      <c r="M19974" s="9" t="s">
        <v>31</v>
      </c>
    </row>
    <row r="19975" ht="15.75" customHeight="1">
      <c r="A19975" s="7"/>
      <c r="B19975" s="7"/>
      <c r="M19975" s="9" t="s">
        <v>32</v>
      </c>
    </row>
    <row r="19976" ht="15.75" customHeight="1">
      <c r="A19976" s="7"/>
      <c r="B19976" s="7"/>
      <c r="M19976" s="9" t="s">
        <v>27</v>
      </c>
    </row>
    <row r="19977" ht="15.75" customHeight="1">
      <c r="A19977" s="7"/>
      <c r="B19977" s="7"/>
      <c r="M19977" s="9" t="s">
        <v>33</v>
      </c>
    </row>
    <row r="19978" ht="15.75" customHeight="1">
      <c r="A19978" s="7"/>
      <c r="B19978" s="7"/>
      <c r="M19978" s="9" t="s">
        <v>47</v>
      </c>
    </row>
    <row r="19979" ht="15.75" customHeight="1">
      <c r="A19979" s="7"/>
      <c r="B19979" s="7"/>
      <c r="M19979" s="9" t="s">
        <v>36</v>
      </c>
    </row>
    <row r="19980" ht="15.75" customHeight="1">
      <c r="A19980" s="7"/>
      <c r="B19980" s="7"/>
      <c r="M19980" s="9" t="s">
        <v>24</v>
      </c>
    </row>
    <row r="19981" ht="15.75" customHeight="1">
      <c r="A19981" s="7"/>
      <c r="B19981" s="7"/>
      <c r="M19981" s="9" t="s">
        <v>20</v>
      </c>
    </row>
    <row r="19982" ht="15.75" customHeight="1">
      <c r="A19982" s="7"/>
      <c r="B19982" s="7"/>
      <c r="M19982" s="9" t="s">
        <v>21</v>
      </c>
    </row>
    <row r="19983" ht="15.75" customHeight="1">
      <c r="A19983" s="7"/>
      <c r="B19983" s="7"/>
      <c r="M19983" s="9" t="s">
        <v>39</v>
      </c>
    </row>
    <row r="19984" ht="15.75" customHeight="1">
      <c r="A19984" s="7"/>
      <c r="B19984" s="7"/>
      <c r="M19984" s="9" t="s">
        <v>22</v>
      </c>
    </row>
    <row r="19985" ht="15.75" customHeight="1">
      <c r="A19985" s="7"/>
      <c r="B19985" s="7"/>
      <c r="M19985" s="9" t="s">
        <v>30</v>
      </c>
    </row>
    <row r="19986" ht="15.75" customHeight="1">
      <c r="A19986" s="7"/>
      <c r="B19986" s="7"/>
      <c r="M19986" s="9" t="s">
        <v>25</v>
      </c>
    </row>
    <row r="19987" ht="15.75" customHeight="1">
      <c r="A19987" s="7"/>
      <c r="B19987" s="7"/>
      <c r="M19987" s="9" t="s">
        <v>26</v>
      </c>
    </row>
    <row r="19988" ht="15.75" customHeight="1">
      <c r="A19988" s="7"/>
      <c r="B19988" s="7"/>
      <c r="M19988" s="9" t="s">
        <v>24</v>
      </c>
    </row>
    <row r="19989" ht="15.75" customHeight="1">
      <c r="A19989" s="7"/>
      <c r="B19989" s="7"/>
      <c r="M19989" s="9" t="s">
        <v>20</v>
      </c>
    </row>
    <row r="19990" ht="15.75" customHeight="1">
      <c r="A19990" s="7"/>
      <c r="B19990" s="7"/>
      <c r="M19990" s="9" t="s">
        <v>21</v>
      </c>
    </row>
    <row r="19991" ht="15.75" customHeight="1">
      <c r="A19991" s="7"/>
      <c r="B19991" s="7"/>
      <c r="M19991" s="9" t="s">
        <v>22</v>
      </c>
    </row>
    <row r="19992" ht="15.75" customHeight="1">
      <c r="A19992" s="7"/>
      <c r="B19992" s="7"/>
      <c r="M19992" s="9" t="s">
        <v>29</v>
      </c>
    </row>
    <row r="19993" ht="15.75" customHeight="1">
      <c r="A19993" s="7"/>
      <c r="B19993" s="7"/>
      <c r="M19993" s="9" t="s">
        <v>27</v>
      </c>
    </row>
    <row r="19994" ht="15.75" customHeight="1">
      <c r="A19994" s="7"/>
      <c r="B19994" s="7"/>
      <c r="M19994" s="9" t="s">
        <v>28</v>
      </c>
    </row>
    <row r="19995" ht="15.75" customHeight="1">
      <c r="A19995" s="7"/>
      <c r="B19995" s="7"/>
      <c r="M19995" s="9" t="s">
        <v>26</v>
      </c>
    </row>
    <row r="19996" ht="15.75" customHeight="1">
      <c r="A19996" s="7"/>
      <c r="B19996" s="7"/>
      <c r="M19996" s="9" t="s">
        <v>24</v>
      </c>
    </row>
    <row r="19997" ht="15.75" customHeight="1">
      <c r="A19997" s="7"/>
      <c r="B19997" s="7"/>
      <c r="M19997" s="9" t="s">
        <v>21</v>
      </c>
    </row>
    <row r="19998" ht="15.75" customHeight="1">
      <c r="A19998" s="7"/>
      <c r="B19998" s="7"/>
      <c r="M19998" s="9" t="s">
        <v>41</v>
      </c>
    </row>
    <row r="19999" ht="15.75" customHeight="1">
      <c r="A19999" s="7"/>
      <c r="B19999" s="7"/>
      <c r="M19999" s="9" t="s">
        <v>27</v>
      </c>
    </row>
    <row r="20000" ht="15.75" customHeight="1">
      <c r="A20000" s="7"/>
      <c r="B20000" s="7"/>
      <c r="M20000" s="9" t="s">
        <v>35</v>
      </c>
    </row>
    <row r="20001" ht="15.75" customHeight="1">
      <c r="A20001" s="7"/>
      <c r="B20001" s="7"/>
      <c r="M20001" s="9" t="s">
        <v>30</v>
      </c>
    </row>
    <row r="20002" ht="15.75" customHeight="1">
      <c r="A20002" s="7"/>
      <c r="B20002" s="7"/>
      <c r="M20002" s="9" t="s">
        <v>24</v>
      </c>
    </row>
    <row r="20003" ht="15.75" customHeight="1">
      <c r="A20003" s="7"/>
      <c r="B20003" s="7"/>
      <c r="M20003" s="9" t="s">
        <v>21</v>
      </c>
    </row>
    <row r="20004" ht="15.75" customHeight="1">
      <c r="A20004" s="7"/>
      <c r="B20004" s="7"/>
      <c r="M20004" s="9" t="s">
        <v>22</v>
      </c>
    </row>
    <row r="20005" ht="15.75" customHeight="1">
      <c r="A20005" s="7"/>
      <c r="B20005" s="7"/>
      <c r="M20005" s="9" t="s">
        <v>27</v>
      </c>
    </row>
    <row r="20006" ht="15.75" customHeight="1">
      <c r="A20006" s="7"/>
      <c r="B20006" s="7"/>
      <c r="M20006" s="9" t="s">
        <v>30</v>
      </c>
    </row>
    <row r="20007" ht="15.75" customHeight="1">
      <c r="A20007" s="7"/>
      <c r="B20007" s="7"/>
      <c r="M20007" s="9" t="s">
        <v>24</v>
      </c>
    </row>
    <row r="20008" ht="15.75" customHeight="1">
      <c r="A20008" s="7"/>
      <c r="B20008" s="7"/>
      <c r="M20008" s="9" t="s">
        <v>21</v>
      </c>
    </row>
    <row r="20009" ht="15.75" customHeight="1">
      <c r="A20009" s="7"/>
      <c r="B20009" s="7"/>
      <c r="M20009" s="9" t="s">
        <v>22</v>
      </c>
    </row>
    <row r="20010" ht="15.75" customHeight="1">
      <c r="A20010" s="7"/>
      <c r="B20010" s="7"/>
      <c r="M20010" s="9" t="s">
        <v>27</v>
      </c>
    </row>
    <row r="20011" ht="15.75" customHeight="1">
      <c r="A20011" s="7"/>
      <c r="B20011" s="7"/>
      <c r="M20011" s="9" t="s">
        <v>30</v>
      </c>
    </row>
    <row r="20012" ht="15.75" customHeight="1">
      <c r="A20012" s="7"/>
      <c r="B20012" s="7"/>
      <c r="M20012" s="9" t="s">
        <v>24</v>
      </c>
    </row>
    <row r="20013" ht="15.75" customHeight="1">
      <c r="A20013" s="7"/>
      <c r="B20013" s="7"/>
      <c r="M20013" s="9" t="s">
        <v>20</v>
      </c>
    </row>
    <row r="20014" ht="15.75" customHeight="1">
      <c r="A20014" s="7"/>
      <c r="B20014" s="7"/>
      <c r="M20014" s="9" t="s">
        <v>21</v>
      </c>
    </row>
    <row r="20015" ht="15.75" customHeight="1">
      <c r="A20015" s="7"/>
      <c r="B20015" s="7"/>
      <c r="M20015" s="9" t="s">
        <v>22</v>
      </c>
    </row>
    <row r="20016" ht="15.75" customHeight="1">
      <c r="A20016" s="7"/>
      <c r="B20016" s="7"/>
      <c r="M20016" s="9" t="s">
        <v>27</v>
      </c>
    </row>
    <row r="20017" ht="15.75" customHeight="1">
      <c r="A20017" s="7"/>
      <c r="B20017" s="7"/>
      <c r="M20017" s="9" t="s">
        <v>30</v>
      </c>
    </row>
    <row r="20018" ht="15.75" customHeight="1">
      <c r="A20018" s="7"/>
      <c r="B20018" s="7"/>
      <c r="M20018" s="9" t="s">
        <v>26</v>
      </c>
    </row>
    <row r="20019" ht="15.75" customHeight="1">
      <c r="A20019" s="7"/>
      <c r="B20019" s="7"/>
      <c r="M20019" s="9" t="s">
        <v>24</v>
      </c>
    </row>
    <row r="20020" ht="15.75" customHeight="1">
      <c r="A20020" s="7"/>
      <c r="B20020" s="7"/>
      <c r="M20020" s="9" t="s">
        <v>21</v>
      </c>
    </row>
    <row r="20021" ht="15.75" customHeight="1">
      <c r="A20021" s="7"/>
      <c r="B20021" s="7"/>
      <c r="M20021" s="9" t="s">
        <v>27</v>
      </c>
    </row>
    <row r="20022" ht="15.75" customHeight="1">
      <c r="A20022" s="7"/>
      <c r="B20022" s="7"/>
      <c r="M20022" s="9" t="s">
        <v>28</v>
      </c>
    </row>
    <row r="20023" ht="15.75" customHeight="1">
      <c r="A20023" s="7"/>
      <c r="B20023" s="7"/>
      <c r="M20023" s="9" t="s">
        <v>25</v>
      </c>
    </row>
    <row r="20024" ht="15.75" customHeight="1">
      <c r="A20024" s="7"/>
      <c r="B20024" s="7"/>
      <c r="M20024" s="9" t="s">
        <v>24</v>
      </c>
    </row>
    <row r="20025" ht="15.75" customHeight="1">
      <c r="A20025" s="7"/>
      <c r="B20025" s="7"/>
      <c r="M20025" s="9" t="s">
        <v>21</v>
      </c>
    </row>
    <row r="20026" ht="15.75" customHeight="1">
      <c r="A20026" s="7"/>
      <c r="B20026" s="7"/>
      <c r="M20026" s="9" t="s">
        <v>22</v>
      </c>
    </row>
    <row r="20027" ht="15.75" customHeight="1">
      <c r="A20027" s="7"/>
      <c r="B20027" s="7"/>
      <c r="M20027" s="9" t="s">
        <v>31</v>
      </c>
    </row>
    <row r="20028" ht="15.75" customHeight="1">
      <c r="A20028" s="7"/>
      <c r="B20028" s="7"/>
      <c r="M20028" s="9" t="s">
        <v>27</v>
      </c>
    </row>
    <row r="20029" ht="15.75" customHeight="1">
      <c r="A20029" s="7"/>
      <c r="B20029" s="7"/>
      <c r="M20029" s="9" t="s">
        <v>26</v>
      </c>
    </row>
    <row r="20030" ht="15.75" customHeight="1">
      <c r="A20030" s="7"/>
      <c r="B20030" s="7"/>
      <c r="M20030" s="9" t="s">
        <v>47</v>
      </c>
    </row>
    <row r="20031" ht="15.75" customHeight="1">
      <c r="A20031" s="7"/>
      <c r="B20031" s="7"/>
      <c r="M20031" s="9" t="s">
        <v>36</v>
      </c>
    </row>
    <row r="20032" ht="15.75" customHeight="1">
      <c r="A20032" s="7"/>
      <c r="B20032" s="7"/>
      <c r="M20032" s="9" t="s">
        <v>24</v>
      </c>
    </row>
    <row r="20033" ht="15.75" customHeight="1">
      <c r="A20033" s="7"/>
      <c r="B20033" s="7"/>
      <c r="M20033" s="9" t="s">
        <v>21</v>
      </c>
    </row>
    <row r="20034" ht="15.75" customHeight="1">
      <c r="A20034" s="7"/>
      <c r="B20034" s="7"/>
      <c r="M20034" s="9" t="s">
        <v>22</v>
      </c>
    </row>
    <row r="20035" ht="15.75" customHeight="1">
      <c r="A20035" s="7"/>
      <c r="B20035" s="7"/>
      <c r="M20035" s="9" t="s">
        <v>30</v>
      </c>
    </row>
    <row r="20036" ht="15.75" customHeight="1">
      <c r="A20036" s="7"/>
      <c r="B20036" s="7"/>
      <c r="M20036" s="9" t="s">
        <v>25</v>
      </c>
    </row>
    <row r="20037" ht="15.75" customHeight="1">
      <c r="A20037" s="7"/>
      <c r="B20037" s="7"/>
      <c r="M20037" s="9" t="s">
        <v>24</v>
      </c>
    </row>
    <row r="20038" ht="15.75" customHeight="1">
      <c r="A20038" s="7"/>
      <c r="B20038" s="7"/>
      <c r="M20038" s="9" t="s">
        <v>20</v>
      </c>
    </row>
    <row r="20039" ht="15.75" customHeight="1">
      <c r="A20039" s="7"/>
      <c r="B20039" s="7"/>
      <c r="M20039" s="9" t="s">
        <v>21</v>
      </c>
    </row>
    <row r="20040" ht="15.75" customHeight="1">
      <c r="A20040" s="7"/>
      <c r="B20040" s="7"/>
      <c r="M20040" s="9" t="s">
        <v>37</v>
      </c>
    </row>
    <row r="20041" ht="15.75" customHeight="1">
      <c r="A20041" s="7"/>
      <c r="B20041" s="7"/>
      <c r="M20041" s="9" t="s">
        <v>22</v>
      </c>
    </row>
    <row r="20042" ht="15.75" customHeight="1">
      <c r="A20042" s="7"/>
      <c r="B20042" s="7"/>
      <c r="M20042" s="9" t="s">
        <v>46</v>
      </c>
    </row>
    <row r="20043" ht="15.75" customHeight="1">
      <c r="A20043" s="7"/>
      <c r="B20043" s="7"/>
      <c r="M20043" s="9" t="s">
        <v>27</v>
      </c>
    </row>
    <row r="20044" ht="15.75" customHeight="1">
      <c r="A20044" s="7"/>
      <c r="B20044" s="7"/>
      <c r="M20044" s="9" t="s">
        <v>33</v>
      </c>
    </row>
    <row r="20045" ht="15.75" customHeight="1">
      <c r="A20045" s="7"/>
      <c r="B20045" s="7"/>
      <c r="M20045" s="9" t="s">
        <v>24</v>
      </c>
    </row>
    <row r="20046" ht="15.75" customHeight="1">
      <c r="A20046" s="7"/>
      <c r="B20046" s="7"/>
      <c r="M20046" s="9" t="s">
        <v>21</v>
      </c>
    </row>
    <row r="20047" ht="15.75" customHeight="1">
      <c r="A20047" s="7"/>
      <c r="B20047" s="7"/>
      <c r="M20047" s="9" t="s">
        <v>22</v>
      </c>
    </row>
    <row r="20048" ht="15.75" customHeight="1">
      <c r="A20048" s="7"/>
      <c r="B20048" s="7"/>
      <c r="M20048" s="9" t="s">
        <v>26</v>
      </c>
    </row>
    <row r="20049" ht="15.75" customHeight="1">
      <c r="A20049" s="7"/>
      <c r="B20049" s="7"/>
      <c r="M20049" s="9" t="s">
        <v>24</v>
      </c>
    </row>
    <row r="20050" ht="15.75" customHeight="1">
      <c r="A20050" s="7"/>
      <c r="B20050" s="7"/>
      <c r="M20050" s="9" t="s">
        <v>20</v>
      </c>
    </row>
    <row r="20051" ht="15.75" customHeight="1">
      <c r="A20051" s="7"/>
      <c r="B20051" s="7"/>
      <c r="M20051" s="9" t="s">
        <v>21</v>
      </c>
    </row>
    <row r="20052" ht="15.75" customHeight="1">
      <c r="A20052" s="7"/>
      <c r="B20052" s="7"/>
      <c r="M20052" s="9" t="s">
        <v>27</v>
      </c>
    </row>
    <row r="20053" ht="15.75" customHeight="1">
      <c r="A20053" s="7"/>
      <c r="B20053" s="7"/>
      <c r="M20053" s="9" t="s">
        <v>33</v>
      </c>
    </row>
    <row r="20054" ht="15.75" customHeight="1">
      <c r="A20054" s="7"/>
      <c r="B20054" s="7"/>
      <c r="M20054" s="9" t="s">
        <v>30</v>
      </c>
    </row>
    <row r="20055" ht="15.75" customHeight="1">
      <c r="A20055" s="7"/>
      <c r="B20055" s="7"/>
      <c r="M20055" s="9" t="s">
        <v>26</v>
      </c>
    </row>
    <row r="20056" ht="15.75" customHeight="1">
      <c r="A20056" s="7"/>
      <c r="B20056" s="7"/>
      <c r="M20056" s="9" t="s">
        <v>24</v>
      </c>
    </row>
    <row r="20057" ht="15.75" customHeight="1">
      <c r="A20057" s="7"/>
      <c r="B20057" s="7"/>
      <c r="M20057" s="9" t="s">
        <v>20</v>
      </c>
    </row>
    <row r="20058" ht="15.75" customHeight="1">
      <c r="A20058" s="7"/>
      <c r="B20058" s="7"/>
      <c r="M20058" s="9" t="s">
        <v>21</v>
      </c>
    </row>
    <row r="20059" ht="15.75" customHeight="1">
      <c r="A20059" s="7"/>
      <c r="B20059" s="7"/>
      <c r="M20059" s="9" t="s">
        <v>37</v>
      </c>
    </row>
    <row r="20060" ht="15.75" customHeight="1">
      <c r="A20060" s="7"/>
      <c r="B20060" s="7"/>
      <c r="M20060" s="9" t="s">
        <v>22</v>
      </c>
    </row>
    <row r="20061" ht="15.75" customHeight="1">
      <c r="A20061" s="7"/>
      <c r="B20061" s="7"/>
      <c r="M20061" s="9" t="s">
        <v>27</v>
      </c>
    </row>
    <row r="20062" ht="15.75" customHeight="1">
      <c r="A20062" s="7"/>
      <c r="B20062" s="7"/>
      <c r="M20062" s="9" t="s">
        <v>25</v>
      </c>
    </row>
    <row r="20063" ht="15.75" customHeight="1">
      <c r="A20063" s="7"/>
      <c r="B20063" s="7"/>
      <c r="M20063" s="9" t="s">
        <v>23</v>
      </c>
    </row>
    <row r="20064" ht="15.75" customHeight="1">
      <c r="A20064" s="7"/>
      <c r="B20064" s="7"/>
      <c r="M20064" s="9" t="s">
        <v>24</v>
      </c>
    </row>
    <row r="20065" ht="15.75" customHeight="1">
      <c r="A20065" s="7"/>
      <c r="B20065" s="7"/>
      <c r="M20065" s="9" t="s">
        <v>22</v>
      </c>
    </row>
    <row r="20066" ht="15.75" customHeight="1">
      <c r="A20066" s="7"/>
      <c r="B20066" s="7"/>
      <c r="M20066" s="9" t="s">
        <v>27</v>
      </c>
    </row>
    <row r="20067" ht="15.75" customHeight="1">
      <c r="A20067" s="7"/>
      <c r="B20067" s="7"/>
      <c r="M20067" s="9" t="s">
        <v>30</v>
      </c>
    </row>
    <row r="20068" ht="15.75" customHeight="1">
      <c r="A20068" s="7"/>
      <c r="B20068" s="7"/>
      <c r="M20068" s="9" t="s">
        <v>36</v>
      </c>
    </row>
    <row r="20069" ht="15.75" customHeight="1">
      <c r="A20069" s="7"/>
      <c r="B20069" s="7"/>
      <c r="M20069" s="9" t="s">
        <v>24</v>
      </c>
    </row>
    <row r="20070" ht="15.75" customHeight="1">
      <c r="A20070" s="7"/>
      <c r="B20070" s="7"/>
      <c r="M20070" s="9" t="s">
        <v>20</v>
      </c>
    </row>
    <row r="20071" ht="15.75" customHeight="1">
      <c r="A20071" s="7"/>
      <c r="B20071" s="7"/>
      <c r="M20071" s="9" t="s">
        <v>21</v>
      </c>
    </row>
    <row r="20072" ht="15.75" customHeight="1">
      <c r="A20072" s="7"/>
      <c r="B20072" s="7"/>
      <c r="M20072" s="9" t="s">
        <v>33</v>
      </c>
    </row>
    <row r="20073" ht="15.75" customHeight="1">
      <c r="A20073" s="7"/>
      <c r="B20073" s="7"/>
      <c r="M20073" s="9" t="s">
        <v>30</v>
      </c>
    </row>
    <row r="20074" ht="15.75" customHeight="1">
      <c r="A20074" s="7"/>
      <c r="B20074" s="7"/>
      <c r="M20074" s="9" t="s">
        <v>24</v>
      </c>
    </row>
    <row r="20075" ht="15.75" customHeight="1">
      <c r="A20075" s="7"/>
      <c r="B20075" s="7"/>
      <c r="M20075" s="9" t="s">
        <v>20</v>
      </c>
    </row>
    <row r="20076" ht="15.75" customHeight="1">
      <c r="A20076" s="7"/>
      <c r="B20076" s="7"/>
      <c r="M20076" s="9" t="s">
        <v>21</v>
      </c>
    </row>
    <row r="20077" ht="15.75" customHeight="1">
      <c r="A20077" s="7"/>
      <c r="B20077" s="7"/>
      <c r="M20077" s="9" t="s">
        <v>39</v>
      </c>
    </row>
    <row r="20078" ht="15.75" customHeight="1">
      <c r="A20078" s="7"/>
      <c r="B20078" s="7"/>
      <c r="M20078" s="9" t="s">
        <v>41</v>
      </c>
    </row>
    <row r="20079" ht="15.75" customHeight="1">
      <c r="A20079" s="7"/>
      <c r="B20079" s="7"/>
      <c r="M20079" s="9" t="s">
        <v>27</v>
      </c>
    </row>
    <row r="20080" ht="15.75" customHeight="1">
      <c r="A20080" s="7"/>
      <c r="B20080" s="7"/>
      <c r="M20080" s="9" t="s">
        <v>40</v>
      </c>
    </row>
    <row r="20081" ht="15.75" customHeight="1">
      <c r="A20081" s="7"/>
      <c r="B20081" s="7"/>
      <c r="M20081" s="9" t="s">
        <v>21</v>
      </c>
    </row>
    <row r="20082" ht="15.75" customHeight="1">
      <c r="A20082" s="7"/>
      <c r="B20082" s="7"/>
      <c r="M20082" s="9" t="s">
        <v>37</v>
      </c>
    </row>
    <row r="20083" ht="15.75" customHeight="1">
      <c r="A20083" s="7"/>
      <c r="B20083" s="7"/>
      <c r="M20083" s="9" t="s">
        <v>27</v>
      </c>
    </row>
    <row r="20084" ht="15.75" customHeight="1">
      <c r="A20084" s="7"/>
      <c r="B20084" s="7"/>
      <c r="M20084" s="9" t="s">
        <v>38</v>
      </c>
    </row>
    <row r="20085" ht="15.75" customHeight="1">
      <c r="A20085" s="7"/>
      <c r="B20085" s="7"/>
      <c r="M20085" s="9" t="s">
        <v>30</v>
      </c>
    </row>
    <row r="20086" ht="15.75" customHeight="1">
      <c r="A20086" s="7"/>
      <c r="B20086" s="7"/>
      <c r="M20086" s="9" t="s">
        <v>25</v>
      </c>
    </row>
    <row r="20087" ht="15.75" customHeight="1">
      <c r="A20087" s="7"/>
      <c r="B20087" s="7"/>
      <c r="M20087" s="9" t="s">
        <v>23</v>
      </c>
    </row>
    <row r="20088" ht="15.75" customHeight="1">
      <c r="A20088" s="7"/>
      <c r="B20088" s="7"/>
      <c r="M20088" s="9" t="s">
        <v>24</v>
      </c>
    </row>
    <row r="20089" ht="15.75" customHeight="1">
      <c r="A20089" s="7"/>
      <c r="B20089" s="7"/>
      <c r="M20089" s="9" t="s">
        <v>20</v>
      </c>
    </row>
    <row r="20090" ht="15.75" customHeight="1">
      <c r="A20090" s="7"/>
      <c r="B20090" s="7"/>
      <c r="M20090" s="9" t="s">
        <v>22</v>
      </c>
    </row>
    <row r="20091" ht="15.75" customHeight="1">
      <c r="A20091" s="7"/>
      <c r="B20091" s="7"/>
      <c r="M20091" s="9" t="s">
        <v>27</v>
      </c>
    </row>
    <row r="20092" ht="15.75" customHeight="1">
      <c r="A20092" s="7"/>
      <c r="B20092" s="7"/>
      <c r="M20092" s="9" t="s">
        <v>35</v>
      </c>
    </row>
    <row r="20093" ht="15.75" customHeight="1">
      <c r="A20093" s="7"/>
      <c r="B20093" s="7"/>
      <c r="M20093" s="9" t="s">
        <v>30</v>
      </c>
    </row>
    <row r="20094" ht="15.75" customHeight="1">
      <c r="A20094" s="7"/>
      <c r="B20094" s="7"/>
      <c r="M20094" s="9" t="s">
        <v>26</v>
      </c>
    </row>
    <row r="20095" ht="15.75" customHeight="1">
      <c r="A20095" s="7"/>
      <c r="B20095" s="7"/>
      <c r="M20095" s="9" t="s">
        <v>24</v>
      </c>
    </row>
    <row r="20096" ht="15.75" customHeight="1">
      <c r="A20096" s="7"/>
      <c r="B20096" s="7"/>
      <c r="M20096" s="9" t="s">
        <v>21</v>
      </c>
    </row>
    <row r="20097" ht="15.75" customHeight="1">
      <c r="A20097" s="7"/>
      <c r="B20097" s="7"/>
      <c r="M20097" s="9" t="s">
        <v>37</v>
      </c>
    </row>
    <row r="20098" ht="15.75" customHeight="1">
      <c r="A20098" s="7"/>
      <c r="B20098" s="7"/>
      <c r="M20098" s="9" t="s">
        <v>22</v>
      </c>
    </row>
    <row r="20099" ht="15.75" customHeight="1">
      <c r="A20099" s="7"/>
      <c r="B20099" s="7"/>
      <c r="M20099" s="9" t="s">
        <v>27</v>
      </c>
    </row>
    <row r="20100" ht="15.75" customHeight="1">
      <c r="A20100" s="7"/>
      <c r="B20100" s="7"/>
      <c r="M20100" s="9" t="s">
        <v>33</v>
      </c>
    </row>
    <row r="20101" ht="15.75" customHeight="1">
      <c r="A20101" s="7"/>
      <c r="B20101" s="7"/>
      <c r="M20101" s="9" t="s">
        <v>21</v>
      </c>
    </row>
    <row r="20102" ht="15.75" customHeight="1">
      <c r="A20102" s="7"/>
      <c r="B20102" s="7"/>
      <c r="M20102" s="9" t="s">
        <v>37</v>
      </c>
    </row>
    <row r="20103" ht="15.75" customHeight="1">
      <c r="A20103" s="7"/>
      <c r="B20103" s="7"/>
      <c r="M20103" s="9" t="s">
        <v>22</v>
      </c>
    </row>
    <row r="20104" ht="15.75" customHeight="1">
      <c r="A20104" s="7"/>
      <c r="B20104" s="7"/>
      <c r="M20104" s="9" t="s">
        <v>46</v>
      </c>
    </row>
    <row r="20105" ht="15.75" customHeight="1">
      <c r="A20105" s="7"/>
      <c r="B20105" s="7"/>
      <c r="M20105" s="9" t="s">
        <v>30</v>
      </c>
    </row>
    <row r="20106" ht="15.75" customHeight="1">
      <c r="A20106" s="7"/>
      <c r="B20106" s="7"/>
      <c r="M20106" s="9" t="s">
        <v>44</v>
      </c>
    </row>
    <row r="20107" ht="15.75" customHeight="1">
      <c r="A20107" s="7"/>
      <c r="B20107" s="7"/>
      <c r="M20107" s="9" t="s">
        <v>24</v>
      </c>
    </row>
    <row r="20108" ht="15.75" customHeight="1">
      <c r="A20108" s="7"/>
      <c r="B20108" s="7"/>
      <c r="M20108" s="9" t="s">
        <v>20</v>
      </c>
    </row>
    <row r="20109" ht="15.75" customHeight="1">
      <c r="A20109" s="7"/>
      <c r="B20109" s="7"/>
      <c r="M20109" s="9" t="s">
        <v>21</v>
      </c>
    </row>
    <row r="20110" ht="15.75" customHeight="1">
      <c r="A20110" s="7"/>
      <c r="B20110" s="7"/>
      <c r="M20110" s="9" t="s">
        <v>22</v>
      </c>
    </row>
    <row r="20111" ht="15.75" customHeight="1">
      <c r="A20111" s="7"/>
      <c r="B20111" s="7"/>
      <c r="M20111" s="9" t="s">
        <v>46</v>
      </c>
    </row>
    <row r="20112" ht="15.75" customHeight="1">
      <c r="A20112" s="7"/>
      <c r="B20112" s="7"/>
      <c r="M20112" s="9" t="s">
        <v>27</v>
      </c>
    </row>
    <row r="20113" ht="15.75" customHeight="1">
      <c r="A20113" s="7"/>
      <c r="B20113" s="7"/>
      <c r="M20113" s="9" t="s">
        <v>26</v>
      </c>
    </row>
    <row r="20114" ht="15.75" customHeight="1">
      <c r="A20114" s="7"/>
      <c r="B20114" s="7"/>
      <c r="M20114" s="9" t="s">
        <v>24</v>
      </c>
    </row>
    <row r="20115" ht="15.75" customHeight="1">
      <c r="A20115" s="7"/>
      <c r="B20115" s="7"/>
      <c r="M20115" s="9" t="s">
        <v>21</v>
      </c>
    </row>
    <row r="20116" ht="15.75" customHeight="1">
      <c r="A20116" s="7"/>
      <c r="B20116" s="7"/>
      <c r="M20116" s="9" t="s">
        <v>27</v>
      </c>
    </row>
    <row r="20117" ht="15.75" customHeight="1">
      <c r="A20117" s="7"/>
      <c r="B20117" s="7"/>
      <c r="M20117" s="9" t="s">
        <v>30</v>
      </c>
    </row>
    <row r="20118" ht="15.75" customHeight="1">
      <c r="A20118" s="7"/>
      <c r="B20118" s="7"/>
      <c r="M20118" s="9" t="s">
        <v>24</v>
      </c>
    </row>
    <row r="20119" ht="15.75" customHeight="1">
      <c r="A20119" s="7"/>
      <c r="B20119" s="7"/>
      <c r="M20119" s="9" t="s">
        <v>21</v>
      </c>
    </row>
    <row r="20120" ht="15.75" customHeight="1">
      <c r="A20120" s="7"/>
      <c r="B20120" s="7"/>
      <c r="M20120" s="9" t="s">
        <v>37</v>
      </c>
    </row>
    <row r="20121" ht="15.75" customHeight="1">
      <c r="A20121" s="7"/>
      <c r="B20121" s="7"/>
      <c r="M20121" s="9" t="s">
        <v>31</v>
      </c>
    </row>
    <row r="20122" ht="15.75" customHeight="1">
      <c r="A20122" s="7"/>
      <c r="B20122" s="7"/>
      <c r="M20122" s="9" t="s">
        <v>46</v>
      </c>
    </row>
    <row r="20123" ht="15.75" customHeight="1">
      <c r="A20123" s="7"/>
      <c r="B20123" s="7"/>
      <c r="M20123" s="9" t="s">
        <v>20</v>
      </c>
    </row>
    <row r="20124" ht="15.75" customHeight="1">
      <c r="A20124" s="7"/>
      <c r="B20124" s="7"/>
      <c r="M20124" s="9" t="s">
        <v>22</v>
      </c>
    </row>
    <row r="20125" ht="15.75" customHeight="1">
      <c r="A20125" s="7"/>
      <c r="B20125" s="7"/>
      <c r="M20125" s="9" t="s">
        <v>38</v>
      </c>
    </row>
    <row r="20126" ht="15.75" customHeight="1">
      <c r="A20126" s="7"/>
      <c r="B20126" s="7"/>
      <c r="M20126" s="9" t="s">
        <v>30</v>
      </c>
    </row>
    <row r="20127" ht="15.75" customHeight="1">
      <c r="A20127" s="7"/>
      <c r="B20127" s="7"/>
      <c r="M20127" s="9" t="s">
        <v>23</v>
      </c>
    </row>
    <row r="20128" ht="15.75" customHeight="1">
      <c r="A20128" s="7"/>
      <c r="B20128" s="7"/>
      <c r="M20128" s="9" t="s">
        <v>24</v>
      </c>
    </row>
    <row r="20129" ht="15.75" customHeight="1">
      <c r="A20129" s="7"/>
      <c r="B20129" s="7"/>
      <c r="M20129" s="9" t="s">
        <v>20</v>
      </c>
    </row>
    <row r="20130" ht="15.75" customHeight="1">
      <c r="A20130" s="7"/>
      <c r="B20130" s="7"/>
      <c r="M20130" s="9" t="s">
        <v>21</v>
      </c>
    </row>
    <row r="20131" ht="15.75" customHeight="1">
      <c r="A20131" s="7"/>
      <c r="B20131" s="7"/>
      <c r="M20131" s="9" t="s">
        <v>37</v>
      </c>
    </row>
    <row r="20132" ht="15.75" customHeight="1">
      <c r="A20132" s="7"/>
      <c r="B20132" s="7"/>
      <c r="M20132" s="9" t="s">
        <v>27</v>
      </c>
    </row>
    <row r="20133" ht="15.75" customHeight="1">
      <c r="A20133" s="7"/>
      <c r="B20133" s="7"/>
      <c r="M20133" s="9" t="s">
        <v>23</v>
      </c>
    </row>
    <row r="20134" ht="15.75" customHeight="1">
      <c r="A20134" s="7"/>
      <c r="B20134" s="7"/>
      <c r="M20134" s="9" t="s">
        <v>26</v>
      </c>
    </row>
    <row r="20135" ht="15.75" customHeight="1">
      <c r="A20135" s="7"/>
      <c r="B20135" s="7"/>
      <c r="M20135" s="9" t="s">
        <v>24</v>
      </c>
    </row>
    <row r="20136" ht="15.75" customHeight="1">
      <c r="A20136" s="7"/>
      <c r="B20136" s="7"/>
      <c r="M20136" s="9" t="s">
        <v>20</v>
      </c>
    </row>
    <row r="20137" ht="15.75" customHeight="1">
      <c r="A20137" s="7"/>
      <c r="B20137" s="7"/>
      <c r="M20137" s="9" t="s">
        <v>33</v>
      </c>
    </row>
    <row r="20138" ht="15.75" customHeight="1">
      <c r="A20138" s="7"/>
      <c r="B20138" s="7"/>
      <c r="M20138" s="9" t="s">
        <v>30</v>
      </c>
    </row>
    <row r="20139" ht="15.75" customHeight="1">
      <c r="A20139" s="7"/>
      <c r="B20139" s="7"/>
      <c r="M20139" s="9" t="s">
        <v>25</v>
      </c>
    </row>
    <row r="20140" ht="15.75" customHeight="1">
      <c r="A20140" s="7"/>
      <c r="B20140" s="7"/>
      <c r="M20140" s="9" t="s">
        <v>24</v>
      </c>
    </row>
    <row r="20141" ht="15.75" customHeight="1">
      <c r="A20141" s="7"/>
      <c r="B20141" s="7"/>
      <c r="M20141" s="9" t="s">
        <v>21</v>
      </c>
    </row>
    <row r="20142" ht="15.75" customHeight="1">
      <c r="A20142" s="7"/>
      <c r="B20142" s="7"/>
      <c r="M20142" s="9" t="s">
        <v>24</v>
      </c>
    </row>
    <row r="20143" ht="15.75" customHeight="1">
      <c r="A20143" s="7"/>
      <c r="B20143" s="7"/>
      <c r="M20143" s="9" t="s">
        <v>21</v>
      </c>
    </row>
    <row r="20144" ht="15.75" customHeight="1">
      <c r="A20144" s="7"/>
      <c r="B20144" s="7"/>
      <c r="M20144" s="9" t="s">
        <v>37</v>
      </c>
    </row>
    <row r="20145" ht="15.75" customHeight="1">
      <c r="A20145" s="7"/>
      <c r="B20145" s="7"/>
      <c r="M20145" s="9" t="s">
        <v>22</v>
      </c>
    </row>
    <row r="20146" ht="15.75" customHeight="1">
      <c r="A20146" s="7"/>
      <c r="B20146" s="7"/>
      <c r="M20146" s="9" t="s">
        <v>27</v>
      </c>
    </row>
    <row r="20147" ht="15.75" customHeight="1">
      <c r="A20147" s="7"/>
      <c r="B20147" s="7"/>
      <c r="M20147" s="9" t="s">
        <v>30</v>
      </c>
    </row>
    <row r="20148" ht="15.75" customHeight="1">
      <c r="A20148" s="7"/>
      <c r="B20148" s="7"/>
      <c r="M20148" s="9" t="s">
        <v>26</v>
      </c>
    </row>
    <row r="20149" ht="15.75" customHeight="1">
      <c r="A20149" s="7"/>
      <c r="B20149" s="7"/>
      <c r="M20149" s="9" t="s">
        <v>43</v>
      </c>
    </row>
    <row r="20150" ht="15.75" customHeight="1">
      <c r="A20150" s="7"/>
      <c r="B20150" s="7"/>
      <c r="M20150" s="9" t="s">
        <v>24</v>
      </c>
    </row>
    <row r="20151" ht="15.75" customHeight="1">
      <c r="A20151" s="7"/>
      <c r="B20151" s="7"/>
      <c r="M20151" s="9" t="s">
        <v>21</v>
      </c>
    </row>
    <row r="20152" ht="15.75" customHeight="1">
      <c r="A20152" s="7"/>
      <c r="B20152" s="7"/>
      <c r="M20152" s="9" t="s">
        <v>27</v>
      </c>
    </row>
    <row r="20153" ht="15.75" customHeight="1">
      <c r="A20153" s="7"/>
      <c r="B20153" s="7"/>
      <c r="M20153" s="9" t="s">
        <v>33</v>
      </c>
    </row>
    <row r="20154" ht="15.75" customHeight="1">
      <c r="A20154" s="7"/>
      <c r="B20154" s="7"/>
      <c r="M20154" s="9" t="s">
        <v>38</v>
      </c>
    </row>
    <row r="20155" ht="15.75" customHeight="1">
      <c r="A20155" s="7"/>
      <c r="B20155" s="7"/>
      <c r="M20155" s="9" t="s">
        <v>30</v>
      </c>
    </row>
    <row r="20156" ht="15.75" customHeight="1">
      <c r="A20156" s="7"/>
      <c r="B20156" s="7"/>
      <c r="M20156" s="9" t="s">
        <v>25</v>
      </c>
    </row>
    <row r="20157" ht="15.75" customHeight="1">
      <c r="A20157" s="7"/>
      <c r="B20157" s="7"/>
      <c r="M20157" s="9" t="s">
        <v>23</v>
      </c>
    </row>
    <row r="20158" ht="15.75" customHeight="1">
      <c r="A20158" s="7"/>
      <c r="B20158" s="7"/>
      <c r="M20158" s="9" t="s">
        <v>37</v>
      </c>
    </row>
    <row r="20159" ht="15.75" customHeight="1">
      <c r="A20159" s="7"/>
      <c r="B20159" s="7"/>
      <c r="M20159" s="9" t="s">
        <v>22</v>
      </c>
    </row>
    <row r="20160" ht="15.75" customHeight="1">
      <c r="A20160" s="7"/>
      <c r="B20160" s="7"/>
      <c r="M20160" s="9" t="s">
        <v>27</v>
      </c>
    </row>
    <row r="20161" ht="15.75" customHeight="1">
      <c r="A20161" s="7"/>
      <c r="B20161" s="7"/>
      <c r="M20161" s="9" t="s">
        <v>35</v>
      </c>
    </row>
    <row r="20162" ht="15.75" customHeight="1">
      <c r="A20162" s="7"/>
      <c r="B20162" s="7"/>
      <c r="M20162" s="9" t="s">
        <v>30</v>
      </c>
    </row>
    <row r="20163" ht="15.75" customHeight="1">
      <c r="A20163" s="7"/>
      <c r="B20163" s="7"/>
      <c r="M20163" s="9" t="s">
        <v>25</v>
      </c>
    </row>
    <row r="20164" ht="15.75" customHeight="1">
      <c r="A20164" s="7"/>
      <c r="B20164" s="7"/>
      <c r="M20164" s="9" t="s">
        <v>24</v>
      </c>
    </row>
    <row r="20165" ht="15.75" customHeight="1">
      <c r="A20165" s="7"/>
      <c r="B20165" s="7"/>
      <c r="M20165" s="9" t="s">
        <v>20</v>
      </c>
    </row>
    <row r="20166" ht="15.75" customHeight="1">
      <c r="A20166" s="7"/>
      <c r="B20166" s="7"/>
      <c r="M20166" s="9" t="s">
        <v>21</v>
      </c>
    </row>
    <row r="20167" ht="15.75" customHeight="1">
      <c r="A20167" s="7"/>
      <c r="B20167" s="7"/>
      <c r="M20167" s="9" t="s">
        <v>41</v>
      </c>
    </row>
    <row r="20168" ht="15.75" customHeight="1">
      <c r="A20168" s="7"/>
      <c r="B20168" s="7"/>
      <c r="M20168" s="9" t="s">
        <v>37</v>
      </c>
    </row>
    <row r="20169" ht="15.75" customHeight="1">
      <c r="A20169" s="7"/>
      <c r="B20169" s="7"/>
      <c r="M20169" s="9" t="s">
        <v>27</v>
      </c>
    </row>
    <row r="20170" ht="15.75" customHeight="1">
      <c r="A20170" s="7"/>
      <c r="B20170" s="7"/>
      <c r="M20170" s="9" t="s">
        <v>33</v>
      </c>
    </row>
    <row r="20171" ht="15.75" customHeight="1">
      <c r="A20171" s="7"/>
      <c r="B20171" s="7"/>
      <c r="M20171" s="9" t="s">
        <v>24</v>
      </c>
    </row>
    <row r="20172" ht="15.75" customHeight="1">
      <c r="A20172" s="7"/>
      <c r="B20172" s="7"/>
      <c r="M20172" s="9" t="s">
        <v>21</v>
      </c>
    </row>
    <row r="20173" ht="15.75" customHeight="1">
      <c r="A20173" s="7"/>
      <c r="B20173" s="7"/>
      <c r="M20173" s="9" t="s">
        <v>37</v>
      </c>
    </row>
    <row r="20174" ht="15.75" customHeight="1">
      <c r="A20174" s="7"/>
      <c r="B20174" s="7"/>
      <c r="M20174" s="9" t="s">
        <v>22</v>
      </c>
    </row>
    <row r="20175" ht="15.75" customHeight="1">
      <c r="A20175" s="7"/>
      <c r="B20175" s="7"/>
      <c r="M20175" s="9" t="s">
        <v>27</v>
      </c>
    </row>
    <row r="20176" ht="15.75" customHeight="1">
      <c r="A20176" s="7"/>
      <c r="B20176" s="7"/>
      <c r="M20176" s="9" t="s">
        <v>33</v>
      </c>
    </row>
    <row r="20177" ht="15.75" customHeight="1">
      <c r="A20177" s="7"/>
      <c r="B20177" s="7"/>
      <c r="M20177" s="9" t="s">
        <v>38</v>
      </c>
    </row>
    <row r="20178" ht="15.75" customHeight="1">
      <c r="A20178" s="7"/>
      <c r="B20178" s="7"/>
      <c r="M20178" s="9" t="s">
        <v>30</v>
      </c>
    </row>
    <row r="20179" ht="15.75" customHeight="1">
      <c r="A20179" s="7"/>
      <c r="B20179" s="7"/>
      <c r="M20179" s="9" t="s">
        <v>25</v>
      </c>
    </row>
    <row r="20180" ht="15.75" customHeight="1">
      <c r="A20180" s="7"/>
      <c r="B20180" s="7"/>
      <c r="M20180" s="9" t="s">
        <v>36</v>
      </c>
    </row>
    <row r="20181" ht="15.75" customHeight="1">
      <c r="A20181" s="7"/>
      <c r="B20181" s="7"/>
      <c r="M20181" s="9" t="s">
        <v>22</v>
      </c>
    </row>
    <row r="20182" ht="15.75" customHeight="1">
      <c r="A20182" s="7"/>
      <c r="B20182" s="7"/>
      <c r="M20182" s="9" t="s">
        <v>31</v>
      </c>
    </row>
    <row r="20183" ht="15.75" customHeight="1">
      <c r="A20183" s="7"/>
      <c r="B20183" s="7"/>
      <c r="M20183" s="9" t="s">
        <v>34</v>
      </c>
    </row>
    <row r="20184" ht="15.75" customHeight="1">
      <c r="A20184" s="7"/>
      <c r="B20184" s="7"/>
      <c r="M20184" s="9" t="s">
        <v>30</v>
      </c>
    </row>
    <row r="20185" ht="15.75" customHeight="1">
      <c r="A20185" s="7"/>
      <c r="B20185" s="7"/>
      <c r="M20185" s="9" t="s">
        <v>20</v>
      </c>
    </row>
    <row r="20186" ht="15.75" customHeight="1">
      <c r="A20186" s="7"/>
      <c r="B20186" s="7"/>
      <c r="M20186" s="9" t="s">
        <v>22</v>
      </c>
    </row>
    <row r="20187" ht="15.75" customHeight="1">
      <c r="A20187" s="7"/>
      <c r="B20187" s="7"/>
      <c r="M20187" s="9" t="s">
        <v>30</v>
      </c>
    </row>
    <row r="20188" ht="15.75" customHeight="1">
      <c r="A20188" s="7"/>
      <c r="B20188" s="7"/>
      <c r="M20188" s="9" t="s">
        <v>26</v>
      </c>
    </row>
    <row r="20189" ht="15.75" customHeight="1">
      <c r="A20189" s="7"/>
      <c r="B20189" s="7"/>
      <c r="M20189" s="9" t="s">
        <v>24</v>
      </c>
    </row>
    <row r="20190" ht="15.75" customHeight="1">
      <c r="A20190" s="7"/>
      <c r="B20190" s="7"/>
      <c r="M20190" s="9" t="s">
        <v>21</v>
      </c>
    </row>
    <row r="20191" ht="15.75" customHeight="1">
      <c r="A20191" s="7"/>
      <c r="B20191" s="7"/>
      <c r="M20191" s="9" t="s">
        <v>27</v>
      </c>
    </row>
    <row r="20192" ht="15.75" customHeight="1">
      <c r="A20192" s="7"/>
      <c r="B20192" s="7"/>
      <c r="M20192" s="9" t="s">
        <v>33</v>
      </c>
    </row>
    <row r="20193" ht="15.75" customHeight="1">
      <c r="A20193" s="7"/>
      <c r="B20193" s="7"/>
      <c r="M20193" s="9" t="s">
        <v>26</v>
      </c>
    </row>
    <row r="20194" ht="15.75" customHeight="1">
      <c r="A20194" s="7"/>
      <c r="B20194" s="7"/>
      <c r="M20194" s="9" t="s">
        <v>24</v>
      </c>
    </row>
    <row r="20195" ht="15.75" customHeight="1">
      <c r="A20195" s="7"/>
      <c r="B20195" s="7"/>
      <c r="M20195" s="9" t="s">
        <v>21</v>
      </c>
    </row>
    <row r="20196" ht="15.75" customHeight="1">
      <c r="A20196" s="7"/>
      <c r="B20196" s="7"/>
      <c r="M20196" s="9" t="s">
        <v>27</v>
      </c>
    </row>
    <row r="20197" ht="15.75" customHeight="1">
      <c r="A20197" s="7"/>
      <c r="B20197" s="7"/>
      <c r="M20197" s="9" t="s">
        <v>30</v>
      </c>
    </row>
    <row r="20198" ht="15.75" customHeight="1">
      <c r="A20198" s="7"/>
      <c r="B20198" s="7"/>
      <c r="M20198" s="9" t="s">
        <v>23</v>
      </c>
    </row>
    <row r="20199" ht="15.75" customHeight="1">
      <c r="A20199" s="7"/>
      <c r="B20199" s="7"/>
      <c r="M20199" s="9" t="s">
        <v>26</v>
      </c>
    </row>
    <row r="20200" ht="15.75" customHeight="1">
      <c r="A20200" s="7"/>
      <c r="B20200" s="7"/>
      <c r="M20200" s="9" t="s">
        <v>24</v>
      </c>
    </row>
    <row r="20201" ht="15.75" customHeight="1">
      <c r="A20201" s="7"/>
      <c r="B20201" s="7"/>
      <c r="M20201" s="9" t="s">
        <v>20</v>
      </c>
    </row>
    <row r="20202" ht="15.75" customHeight="1">
      <c r="A20202" s="7"/>
      <c r="B20202" s="7"/>
      <c r="M20202" s="9" t="s">
        <v>21</v>
      </c>
    </row>
    <row r="20203" ht="15.75" customHeight="1">
      <c r="A20203" s="7"/>
      <c r="B20203" s="7"/>
      <c r="M20203" s="9" t="s">
        <v>22</v>
      </c>
    </row>
    <row r="20204" ht="15.75" customHeight="1">
      <c r="A20204" s="7"/>
      <c r="B20204" s="7"/>
      <c r="M20204" s="9" t="s">
        <v>27</v>
      </c>
    </row>
    <row r="20205" ht="15.75" customHeight="1">
      <c r="A20205" s="7"/>
      <c r="B20205" s="7"/>
      <c r="M20205" s="9" t="s">
        <v>26</v>
      </c>
    </row>
    <row r="20206" ht="15.75" customHeight="1">
      <c r="A20206" s="7"/>
      <c r="B20206" s="7"/>
      <c r="M20206" s="9" t="s">
        <v>22</v>
      </c>
    </row>
    <row r="20207" ht="15.75" customHeight="1">
      <c r="A20207" s="7"/>
      <c r="B20207" s="7"/>
      <c r="M20207" s="9" t="s">
        <v>29</v>
      </c>
    </row>
    <row r="20208" ht="15.75" customHeight="1">
      <c r="A20208" s="7"/>
      <c r="B20208" s="7"/>
      <c r="M20208" s="9" t="s">
        <v>27</v>
      </c>
    </row>
    <row r="20209" ht="15.75" customHeight="1">
      <c r="A20209" s="7"/>
      <c r="B20209" s="7"/>
      <c r="M20209" s="9" t="s">
        <v>30</v>
      </c>
    </row>
    <row r="20210" ht="15.75" customHeight="1">
      <c r="A20210" s="7"/>
      <c r="B20210" s="7"/>
      <c r="M20210" s="9" t="s">
        <v>24</v>
      </c>
    </row>
    <row r="20211" ht="15.75" customHeight="1">
      <c r="A20211" s="7"/>
      <c r="B20211" s="7"/>
      <c r="M20211" s="9" t="s">
        <v>21</v>
      </c>
    </row>
    <row r="20212" ht="15.75" customHeight="1">
      <c r="A20212" s="7"/>
      <c r="B20212" s="7"/>
      <c r="M20212" s="9" t="s">
        <v>37</v>
      </c>
    </row>
    <row r="20213" ht="15.75" customHeight="1">
      <c r="A20213" s="7"/>
      <c r="B20213" s="7"/>
      <c r="M20213" s="9" t="s">
        <v>27</v>
      </c>
    </row>
    <row r="20214" ht="15.75" customHeight="1">
      <c r="A20214" s="7"/>
      <c r="B20214" s="7"/>
      <c r="M20214" s="9" t="s">
        <v>30</v>
      </c>
    </row>
    <row r="20215" ht="15.75" customHeight="1">
      <c r="A20215" s="7"/>
      <c r="B20215" s="7"/>
      <c r="M20215" s="9" t="s">
        <v>22</v>
      </c>
    </row>
    <row r="20216" ht="15.75" customHeight="1">
      <c r="A20216" s="7"/>
      <c r="B20216" s="7"/>
      <c r="M20216" s="9" t="s">
        <v>31</v>
      </c>
    </row>
    <row r="20217" ht="15.75" customHeight="1">
      <c r="A20217" s="7"/>
      <c r="B20217" s="7"/>
      <c r="M20217" s="9" t="s">
        <v>38</v>
      </c>
    </row>
    <row r="20218" ht="15.75" customHeight="1">
      <c r="A20218" s="7"/>
      <c r="B20218" s="7"/>
      <c r="M20218" s="9" t="s">
        <v>30</v>
      </c>
    </row>
    <row r="20219" ht="15.75" customHeight="1">
      <c r="A20219" s="7"/>
      <c r="B20219" s="7"/>
      <c r="M20219" s="9" t="s">
        <v>21</v>
      </c>
    </row>
    <row r="20220" ht="15.75" customHeight="1">
      <c r="A20220" s="7"/>
      <c r="B20220" s="7"/>
      <c r="M20220" s="9" t="s">
        <v>37</v>
      </c>
    </row>
    <row r="20221" ht="15.75" customHeight="1">
      <c r="A20221" s="7"/>
      <c r="B20221" s="7"/>
      <c r="M20221" s="9" t="s">
        <v>27</v>
      </c>
    </row>
    <row r="20222" ht="15.75" customHeight="1">
      <c r="A20222" s="7"/>
      <c r="B20222" s="7"/>
      <c r="M20222" s="9" t="s">
        <v>28</v>
      </c>
    </row>
    <row r="20223" ht="15.75" customHeight="1">
      <c r="A20223" s="7"/>
      <c r="B20223" s="7"/>
      <c r="M20223" s="9" t="s">
        <v>26</v>
      </c>
    </row>
    <row r="20224" ht="15.75" customHeight="1">
      <c r="A20224" s="7"/>
      <c r="B20224" s="7"/>
      <c r="M20224" s="9" t="s">
        <v>21</v>
      </c>
    </row>
    <row r="20225" ht="15.75" customHeight="1">
      <c r="A20225" s="7"/>
      <c r="B20225" s="7"/>
      <c r="M20225" s="9" t="s">
        <v>30</v>
      </c>
    </row>
    <row r="20226" ht="15.75" customHeight="1">
      <c r="A20226" s="7"/>
      <c r="B20226" s="7"/>
      <c r="M20226" s="9" t="s">
        <v>24</v>
      </c>
    </row>
    <row r="20227" ht="15.75" customHeight="1">
      <c r="A20227" s="7"/>
      <c r="B20227" s="7"/>
      <c r="M20227" s="9" t="s">
        <v>20</v>
      </c>
    </row>
    <row r="20228" ht="15.75" customHeight="1">
      <c r="A20228" s="7"/>
      <c r="B20228" s="7"/>
      <c r="M20228" s="9" t="s">
        <v>21</v>
      </c>
    </row>
    <row r="20229" ht="15.75" customHeight="1">
      <c r="A20229" s="7"/>
      <c r="B20229" s="7"/>
      <c r="M20229" s="9" t="s">
        <v>37</v>
      </c>
    </row>
    <row r="20230" ht="15.75" customHeight="1">
      <c r="A20230" s="7"/>
      <c r="B20230" s="7"/>
      <c r="M20230" s="9" t="s">
        <v>27</v>
      </c>
    </row>
    <row r="20231" ht="15.75" customHeight="1">
      <c r="A20231" s="7"/>
      <c r="B20231" s="7"/>
      <c r="M20231" s="9" t="s">
        <v>38</v>
      </c>
    </row>
    <row r="20232" ht="15.75" customHeight="1">
      <c r="A20232" s="7"/>
      <c r="B20232" s="7"/>
      <c r="M20232" s="9" t="s">
        <v>30</v>
      </c>
    </row>
    <row r="20233" ht="15.75" customHeight="1">
      <c r="A20233" s="7"/>
      <c r="B20233" s="7"/>
      <c r="M20233" s="9" t="s">
        <v>25</v>
      </c>
    </row>
    <row r="20234" ht="15.75" customHeight="1">
      <c r="A20234" s="7"/>
      <c r="B20234" s="7"/>
      <c r="M20234" s="9" t="s">
        <v>23</v>
      </c>
    </row>
    <row r="20235" ht="15.75" customHeight="1">
      <c r="A20235" s="7"/>
      <c r="B20235" s="7"/>
      <c r="M20235" s="9" t="s">
        <v>24</v>
      </c>
    </row>
    <row r="20236" ht="15.75" customHeight="1">
      <c r="A20236" s="7"/>
      <c r="B20236" s="7"/>
      <c r="M20236" s="9" t="s">
        <v>20</v>
      </c>
    </row>
    <row r="20237" ht="15.75" customHeight="1">
      <c r="A20237" s="7"/>
      <c r="B20237" s="7"/>
      <c r="M20237" s="9" t="s">
        <v>22</v>
      </c>
    </row>
    <row r="20238" ht="15.75" customHeight="1">
      <c r="A20238" s="7"/>
      <c r="B20238" s="7"/>
      <c r="M20238" s="9" t="s">
        <v>27</v>
      </c>
    </row>
    <row r="20239" ht="15.75" customHeight="1">
      <c r="A20239" s="7"/>
      <c r="B20239" s="7"/>
      <c r="M20239" s="9" t="s">
        <v>35</v>
      </c>
    </row>
    <row r="20240" ht="15.75" customHeight="1">
      <c r="A20240" s="7"/>
      <c r="B20240" s="7"/>
      <c r="M20240" s="9" t="s">
        <v>24</v>
      </c>
    </row>
    <row r="20241" ht="15.75" customHeight="1">
      <c r="A20241" s="7"/>
      <c r="B20241" s="7"/>
      <c r="M20241" s="9" t="s">
        <v>20</v>
      </c>
    </row>
    <row r="20242" ht="15.75" customHeight="1">
      <c r="A20242" s="7"/>
      <c r="B20242" s="7"/>
      <c r="M20242" s="9" t="s">
        <v>21</v>
      </c>
    </row>
    <row r="20243" ht="15.75" customHeight="1">
      <c r="A20243" s="7"/>
      <c r="B20243" s="7"/>
      <c r="M20243" s="9" t="s">
        <v>37</v>
      </c>
    </row>
    <row r="20244" ht="15.75" customHeight="1">
      <c r="A20244" s="7"/>
      <c r="B20244" s="7"/>
      <c r="M20244" s="9" t="s">
        <v>31</v>
      </c>
    </row>
    <row r="20245" ht="15.75" customHeight="1">
      <c r="A20245" s="7"/>
      <c r="B20245" s="7"/>
      <c r="M20245" s="9" t="s">
        <v>38</v>
      </c>
    </row>
    <row r="20246" ht="15.75" customHeight="1">
      <c r="A20246" s="7"/>
      <c r="B20246" s="7"/>
      <c r="M20246" s="9" t="s">
        <v>30</v>
      </c>
    </row>
    <row r="20247" ht="15.75" customHeight="1">
      <c r="A20247" s="7"/>
      <c r="B20247" s="7"/>
      <c r="M20247" s="9" t="s">
        <v>25</v>
      </c>
    </row>
    <row r="20248" ht="15.75" customHeight="1">
      <c r="A20248" s="7"/>
      <c r="B20248" s="7"/>
      <c r="M20248" s="9" t="s">
        <v>24</v>
      </c>
    </row>
    <row r="20249" ht="15.75" customHeight="1">
      <c r="A20249" s="7"/>
      <c r="B20249" s="7"/>
      <c r="M20249" s="9" t="s">
        <v>20</v>
      </c>
    </row>
    <row r="20250" ht="15.75" customHeight="1">
      <c r="A20250" s="7"/>
      <c r="B20250" s="7"/>
      <c r="M20250" s="9" t="s">
        <v>21</v>
      </c>
    </row>
    <row r="20251" ht="15.75" customHeight="1">
      <c r="A20251" s="7"/>
      <c r="B20251" s="7"/>
      <c r="M20251" s="9" t="s">
        <v>39</v>
      </c>
    </row>
    <row r="20252" ht="15.75" customHeight="1">
      <c r="A20252" s="7"/>
      <c r="B20252" s="7"/>
      <c r="M20252" s="9" t="s">
        <v>37</v>
      </c>
    </row>
    <row r="20253" ht="15.75" customHeight="1">
      <c r="A20253" s="7"/>
      <c r="B20253" s="7"/>
      <c r="M20253" s="9" t="s">
        <v>22</v>
      </c>
    </row>
    <row r="20254" ht="15.75" customHeight="1">
      <c r="A20254" s="7"/>
      <c r="B20254" s="7"/>
      <c r="M20254" s="9" t="s">
        <v>27</v>
      </c>
    </row>
    <row r="20255" ht="15.75" customHeight="1">
      <c r="A20255" s="7"/>
      <c r="B20255" s="7"/>
      <c r="M20255" s="9" t="s">
        <v>30</v>
      </c>
    </row>
    <row r="20256" ht="15.75" customHeight="1">
      <c r="A20256" s="7"/>
      <c r="B20256" s="7"/>
      <c r="M20256" s="9" t="s">
        <v>24</v>
      </c>
    </row>
    <row r="20257" ht="15.75" customHeight="1">
      <c r="A20257" s="7"/>
      <c r="B20257" s="7"/>
      <c r="M20257" s="9" t="s">
        <v>21</v>
      </c>
    </row>
    <row r="20258" ht="15.75" customHeight="1">
      <c r="A20258" s="7"/>
      <c r="B20258" s="7"/>
      <c r="M20258" s="9" t="s">
        <v>37</v>
      </c>
    </row>
    <row r="20259" ht="15.75" customHeight="1">
      <c r="A20259" s="7"/>
      <c r="B20259" s="7"/>
      <c r="M20259" s="9" t="s">
        <v>27</v>
      </c>
    </row>
    <row r="20260" ht="15.75" customHeight="1">
      <c r="A20260" s="7"/>
      <c r="B20260" s="7"/>
      <c r="M20260" s="9" t="s">
        <v>33</v>
      </c>
    </row>
    <row r="20261" ht="15.75" customHeight="1">
      <c r="A20261" s="7"/>
      <c r="B20261" s="7"/>
      <c r="M20261" s="9" t="s">
        <v>30</v>
      </c>
    </row>
    <row r="20262" ht="15.75" customHeight="1">
      <c r="A20262" s="7"/>
      <c r="B20262" s="7"/>
      <c r="M20262" s="9" t="s">
        <v>24</v>
      </c>
    </row>
    <row r="20263" ht="15.75" customHeight="1">
      <c r="A20263" s="7"/>
      <c r="B20263" s="7"/>
      <c r="M20263" s="9" t="s">
        <v>21</v>
      </c>
    </row>
    <row r="20264" ht="15.75" customHeight="1">
      <c r="A20264" s="7"/>
      <c r="B20264" s="7"/>
      <c r="M20264" s="9" t="s">
        <v>37</v>
      </c>
    </row>
    <row r="20265" ht="15.75" customHeight="1">
      <c r="A20265" s="7"/>
      <c r="B20265" s="7"/>
      <c r="M20265" s="9" t="s">
        <v>27</v>
      </c>
    </row>
    <row r="20266" ht="15.75" customHeight="1">
      <c r="A20266" s="7"/>
      <c r="B20266" s="7"/>
      <c r="M20266" s="9" t="s">
        <v>30</v>
      </c>
    </row>
    <row r="20267" ht="15.75" customHeight="1">
      <c r="A20267" s="7"/>
      <c r="B20267" s="7"/>
      <c r="M20267" s="9" t="s">
        <v>43</v>
      </c>
    </row>
    <row r="20268" ht="15.75" customHeight="1">
      <c r="A20268" s="7"/>
      <c r="B20268" s="7"/>
      <c r="M20268" s="9" t="s">
        <v>36</v>
      </c>
    </row>
    <row r="20269" ht="15.75" customHeight="1">
      <c r="A20269" s="7"/>
      <c r="B20269" s="7"/>
      <c r="M20269" s="9" t="s">
        <v>20</v>
      </c>
    </row>
    <row r="20270" ht="15.75" customHeight="1">
      <c r="A20270" s="7"/>
      <c r="B20270" s="7"/>
      <c r="M20270" s="9" t="s">
        <v>21</v>
      </c>
    </row>
    <row r="20271" ht="15.75" customHeight="1">
      <c r="A20271" s="7"/>
      <c r="B20271" s="7"/>
      <c r="M20271" s="9" t="s">
        <v>22</v>
      </c>
    </row>
    <row r="20272" ht="15.75" customHeight="1">
      <c r="A20272" s="7"/>
      <c r="B20272" s="7"/>
      <c r="M20272" s="9" t="s">
        <v>32</v>
      </c>
    </row>
    <row r="20273" ht="15.75" customHeight="1">
      <c r="A20273" s="7"/>
      <c r="B20273" s="7"/>
      <c r="M20273" s="9" t="s">
        <v>27</v>
      </c>
    </row>
    <row r="20274" ht="15.75" customHeight="1">
      <c r="A20274" s="7"/>
      <c r="B20274" s="7"/>
      <c r="M20274" s="9" t="s">
        <v>26</v>
      </c>
    </row>
    <row r="20275" ht="15.75" customHeight="1">
      <c r="A20275" s="7"/>
      <c r="B20275" s="7"/>
      <c r="M20275" s="9" t="s">
        <v>20</v>
      </c>
    </row>
    <row r="20276" ht="15.75" customHeight="1">
      <c r="A20276" s="7"/>
      <c r="B20276" s="7"/>
      <c r="M20276" s="9" t="s">
        <v>22</v>
      </c>
    </row>
    <row r="20277" ht="15.75" customHeight="1">
      <c r="A20277" s="7"/>
      <c r="B20277" s="7"/>
      <c r="M20277" s="9" t="s">
        <v>26</v>
      </c>
    </row>
    <row r="20278" ht="15.75" customHeight="1">
      <c r="A20278" s="7"/>
      <c r="B20278" s="7"/>
      <c r="M20278" s="9" t="s">
        <v>24</v>
      </c>
    </row>
    <row r="20279" ht="15.75" customHeight="1">
      <c r="A20279" s="7"/>
      <c r="B20279" s="7"/>
      <c r="M20279" s="9" t="s">
        <v>20</v>
      </c>
    </row>
    <row r="20280" ht="15.75" customHeight="1">
      <c r="A20280" s="7"/>
      <c r="B20280" s="7"/>
      <c r="M20280" s="9" t="s">
        <v>21</v>
      </c>
    </row>
    <row r="20281" ht="15.75" customHeight="1">
      <c r="A20281" s="7"/>
      <c r="B20281" s="7"/>
      <c r="M20281" s="9" t="s">
        <v>37</v>
      </c>
    </row>
    <row r="20282" ht="15.75" customHeight="1">
      <c r="A20282" s="7"/>
      <c r="B20282" s="7"/>
      <c r="M20282" s="9" t="s">
        <v>33</v>
      </c>
    </row>
    <row r="20283" ht="15.75" customHeight="1">
      <c r="A20283" s="7"/>
      <c r="B20283" s="7"/>
      <c r="M20283" s="9" t="s">
        <v>20</v>
      </c>
    </row>
    <row r="20284" ht="15.75" customHeight="1">
      <c r="A20284" s="7"/>
      <c r="B20284" s="7"/>
      <c r="M20284" s="9" t="s">
        <v>21</v>
      </c>
    </row>
    <row r="20285" ht="15.75" customHeight="1">
      <c r="A20285" s="7"/>
      <c r="B20285" s="7"/>
      <c r="M20285" s="9" t="s">
        <v>33</v>
      </c>
    </row>
    <row r="20286" ht="15.75" customHeight="1">
      <c r="A20286" s="7"/>
      <c r="B20286" s="7"/>
      <c r="M20286" s="9" t="s">
        <v>30</v>
      </c>
    </row>
    <row r="20287" ht="15.75" customHeight="1">
      <c r="A20287" s="7"/>
      <c r="B20287" s="7"/>
      <c r="M20287" s="9" t="s">
        <v>26</v>
      </c>
    </row>
    <row r="20288" ht="15.75" customHeight="1">
      <c r="A20288" s="7"/>
      <c r="B20288" s="7"/>
      <c r="M20288" s="9" t="s">
        <v>36</v>
      </c>
    </row>
    <row r="20289" ht="15.75" customHeight="1">
      <c r="A20289" s="7"/>
      <c r="B20289" s="7"/>
      <c r="M20289" s="9" t="s">
        <v>24</v>
      </c>
    </row>
    <row r="20290" ht="15.75" customHeight="1">
      <c r="A20290" s="7"/>
      <c r="B20290" s="7"/>
      <c r="M20290" s="9" t="s">
        <v>21</v>
      </c>
    </row>
    <row r="20291" ht="15.75" customHeight="1">
      <c r="A20291" s="7"/>
      <c r="B20291" s="7"/>
      <c r="M20291" s="9" t="s">
        <v>27</v>
      </c>
    </row>
    <row r="20292" ht="15.75" customHeight="1">
      <c r="A20292" s="7"/>
      <c r="B20292" s="7"/>
      <c r="M20292" s="9" t="s">
        <v>33</v>
      </c>
    </row>
    <row r="20293" ht="15.75" customHeight="1">
      <c r="A20293" s="7"/>
      <c r="B20293" s="7"/>
      <c r="M20293" s="9" t="s">
        <v>24</v>
      </c>
    </row>
    <row r="20294" ht="15.75" customHeight="1">
      <c r="A20294" s="7"/>
      <c r="B20294" s="7"/>
      <c r="M20294" s="9" t="s">
        <v>20</v>
      </c>
    </row>
    <row r="20295" ht="15.75" customHeight="1">
      <c r="A20295" s="7"/>
      <c r="B20295" s="7"/>
      <c r="M20295" s="9" t="s">
        <v>21</v>
      </c>
    </row>
    <row r="20296" ht="15.75" customHeight="1">
      <c r="A20296" s="7"/>
      <c r="B20296" s="7"/>
      <c r="M20296" s="9" t="s">
        <v>27</v>
      </c>
    </row>
    <row r="20297" ht="15.75" customHeight="1">
      <c r="A20297" s="7"/>
      <c r="B20297" s="7"/>
      <c r="M20297" s="9" t="s">
        <v>26</v>
      </c>
    </row>
    <row r="20298" ht="15.75" customHeight="1">
      <c r="A20298" s="7"/>
      <c r="B20298" s="7"/>
      <c r="M20298" s="9" t="s">
        <v>36</v>
      </c>
    </row>
    <row r="20299" ht="15.75" customHeight="1">
      <c r="A20299" s="7"/>
      <c r="B20299" s="7"/>
      <c r="M20299" s="9" t="s">
        <v>20</v>
      </c>
    </row>
    <row r="20300" ht="15.75" customHeight="1">
      <c r="A20300" s="7"/>
      <c r="B20300" s="7"/>
      <c r="M20300" s="9" t="s">
        <v>21</v>
      </c>
    </row>
    <row r="20301" ht="15.75" customHeight="1">
      <c r="A20301" s="7"/>
      <c r="B20301" s="7"/>
      <c r="M20301" s="9" t="s">
        <v>31</v>
      </c>
    </row>
    <row r="20302" ht="15.75" customHeight="1">
      <c r="A20302" s="7"/>
      <c r="B20302" s="7"/>
      <c r="M20302" s="9" t="s">
        <v>27</v>
      </c>
    </row>
    <row r="20303" ht="15.75" customHeight="1">
      <c r="A20303" s="7"/>
      <c r="B20303" s="7"/>
      <c r="M20303" s="9" t="s">
        <v>33</v>
      </c>
    </row>
    <row r="20304" ht="15.75" customHeight="1">
      <c r="A20304" s="7"/>
      <c r="B20304" s="7"/>
      <c r="M20304" s="9" t="s">
        <v>20</v>
      </c>
    </row>
    <row r="20305" ht="15.75" customHeight="1">
      <c r="A20305" s="7"/>
      <c r="B20305" s="7"/>
      <c r="M20305" s="9" t="s">
        <v>21</v>
      </c>
    </row>
    <row r="20306" ht="15.75" customHeight="1">
      <c r="A20306" s="7"/>
      <c r="B20306" s="7"/>
      <c r="M20306" s="9" t="s">
        <v>26</v>
      </c>
    </row>
    <row r="20307" ht="15.75" customHeight="1">
      <c r="A20307" s="7"/>
      <c r="B20307" s="7"/>
      <c r="M20307" s="9" t="s">
        <v>36</v>
      </c>
    </row>
    <row r="20308" ht="15.75" customHeight="1">
      <c r="A20308" s="7"/>
      <c r="B20308" s="7"/>
      <c r="M20308" s="9" t="s">
        <v>20</v>
      </c>
    </row>
    <row r="20309" ht="15.75" customHeight="1">
      <c r="A20309" s="7"/>
      <c r="B20309" s="7"/>
      <c r="M20309" s="9" t="s">
        <v>22</v>
      </c>
    </row>
    <row r="20310" ht="15.75" customHeight="1">
      <c r="A20310" s="7"/>
      <c r="B20310" s="7"/>
      <c r="M20310" s="9" t="s">
        <v>33</v>
      </c>
    </row>
    <row r="20311" ht="15.75" customHeight="1">
      <c r="A20311" s="7"/>
      <c r="B20311" s="7"/>
      <c r="M20311" s="9" t="s">
        <v>21</v>
      </c>
    </row>
    <row r="20312" ht="15.75" customHeight="1">
      <c r="A20312" s="7"/>
      <c r="B20312" s="7"/>
      <c r="M20312" s="9" t="s">
        <v>22</v>
      </c>
    </row>
    <row r="20313" ht="15.75" customHeight="1">
      <c r="A20313" s="7"/>
      <c r="B20313" s="7"/>
      <c r="M20313" s="9" t="s">
        <v>31</v>
      </c>
    </row>
    <row r="20314" ht="15.75" customHeight="1">
      <c r="A20314" s="7"/>
      <c r="B20314" s="7"/>
      <c r="M20314" s="9" t="s">
        <v>27</v>
      </c>
    </row>
    <row r="20315" ht="15.75" customHeight="1">
      <c r="A20315" s="7"/>
      <c r="B20315" s="7"/>
      <c r="M20315" s="9" t="s">
        <v>30</v>
      </c>
    </row>
    <row r="20316" ht="15.75" customHeight="1">
      <c r="A20316" s="7"/>
      <c r="B20316" s="7"/>
      <c r="M20316" s="9" t="s">
        <v>24</v>
      </c>
    </row>
    <row r="20317" ht="15.75" customHeight="1">
      <c r="A20317" s="7"/>
      <c r="B20317" s="7"/>
      <c r="M20317" s="9" t="s">
        <v>21</v>
      </c>
    </row>
    <row r="20318" ht="15.75" customHeight="1">
      <c r="A20318" s="7"/>
      <c r="B20318" s="7"/>
      <c r="M20318" s="9" t="s">
        <v>22</v>
      </c>
    </row>
    <row r="20319" ht="15.75" customHeight="1">
      <c r="A20319" s="7"/>
      <c r="B20319" s="7"/>
      <c r="M20319" s="9" t="s">
        <v>27</v>
      </c>
    </row>
    <row r="20320" ht="15.75" customHeight="1">
      <c r="A20320" s="7"/>
      <c r="B20320" s="7"/>
      <c r="M20320" s="9" t="s">
        <v>25</v>
      </c>
    </row>
    <row r="20321" ht="15.75" customHeight="1">
      <c r="A20321" s="7"/>
      <c r="B20321" s="7"/>
      <c r="M20321" s="9" t="s">
        <v>23</v>
      </c>
    </row>
    <row r="20322" ht="15.75" customHeight="1">
      <c r="A20322" s="7"/>
      <c r="B20322" s="7"/>
      <c r="M20322" s="9" t="s">
        <v>26</v>
      </c>
    </row>
    <row r="20323" ht="15.75" customHeight="1">
      <c r="A20323" s="7"/>
      <c r="B20323" s="7"/>
      <c r="M20323" s="9" t="s">
        <v>24</v>
      </c>
    </row>
    <row r="20324" ht="15.75" customHeight="1">
      <c r="A20324" s="7"/>
      <c r="B20324" s="7"/>
      <c r="M20324" s="9" t="s">
        <v>21</v>
      </c>
    </row>
    <row r="20325" ht="15.75" customHeight="1">
      <c r="A20325" s="7"/>
      <c r="B20325" s="7"/>
      <c r="M20325" s="9" t="s">
        <v>37</v>
      </c>
    </row>
    <row r="20326" ht="15.75" customHeight="1">
      <c r="A20326" s="7"/>
      <c r="B20326" s="7"/>
      <c r="M20326" s="9" t="s">
        <v>27</v>
      </c>
    </row>
    <row r="20327" ht="15.75" customHeight="1">
      <c r="A20327" s="7"/>
      <c r="B20327" s="7"/>
      <c r="M20327" s="9" t="s">
        <v>35</v>
      </c>
    </row>
    <row r="20328" ht="15.75" customHeight="1">
      <c r="A20328" s="7"/>
      <c r="B20328" s="7"/>
      <c r="M20328" s="9" t="s">
        <v>38</v>
      </c>
    </row>
    <row r="20329" ht="15.75" customHeight="1">
      <c r="A20329" s="7"/>
      <c r="B20329" s="7"/>
      <c r="M20329" s="9" t="s">
        <v>30</v>
      </c>
    </row>
    <row r="20330" ht="15.75" customHeight="1">
      <c r="A20330" s="7"/>
      <c r="B20330" s="7"/>
      <c r="M20330" s="9" t="s">
        <v>25</v>
      </c>
    </row>
    <row r="20331" ht="15.75" customHeight="1">
      <c r="A20331" s="7"/>
      <c r="B20331" s="7"/>
      <c r="M20331" s="9" t="s">
        <v>23</v>
      </c>
    </row>
    <row r="20332" ht="15.75" customHeight="1">
      <c r="A20332" s="7"/>
      <c r="B20332" s="7"/>
      <c r="M20332" s="9" t="s">
        <v>24</v>
      </c>
    </row>
    <row r="20333" ht="15.75" customHeight="1">
      <c r="A20333" s="7"/>
      <c r="B20333" s="7"/>
      <c r="M20333" s="9" t="s">
        <v>20</v>
      </c>
    </row>
    <row r="20334" ht="15.75" customHeight="1">
      <c r="A20334" s="7"/>
      <c r="B20334" s="7"/>
      <c r="M20334" s="9" t="s">
        <v>21</v>
      </c>
    </row>
    <row r="20335" ht="15.75" customHeight="1">
      <c r="A20335" s="7"/>
      <c r="B20335" s="7"/>
      <c r="M20335" s="9" t="s">
        <v>39</v>
      </c>
    </row>
    <row r="20336" ht="15.75" customHeight="1">
      <c r="A20336" s="7"/>
      <c r="B20336" s="7"/>
      <c r="M20336" s="9" t="s">
        <v>37</v>
      </c>
    </row>
    <row r="20337" ht="15.75" customHeight="1">
      <c r="A20337" s="7"/>
      <c r="B20337" s="7"/>
      <c r="M20337" s="9" t="s">
        <v>22</v>
      </c>
    </row>
    <row r="20338" ht="15.75" customHeight="1">
      <c r="A20338" s="7"/>
      <c r="B20338" s="7"/>
      <c r="M20338" s="9" t="s">
        <v>27</v>
      </c>
    </row>
    <row r="20339" ht="15.75" customHeight="1">
      <c r="A20339" s="7"/>
      <c r="B20339" s="7"/>
      <c r="M20339" s="9" t="s">
        <v>33</v>
      </c>
    </row>
    <row r="20340" ht="15.75" customHeight="1">
      <c r="A20340" s="7"/>
      <c r="B20340" s="7"/>
      <c r="M20340" s="9" t="s">
        <v>20</v>
      </c>
    </row>
    <row r="20341" ht="15.75" customHeight="1">
      <c r="A20341" s="7"/>
      <c r="B20341" s="7"/>
      <c r="M20341" s="9" t="s">
        <v>21</v>
      </c>
    </row>
    <row r="20342" ht="15.75" customHeight="1">
      <c r="A20342" s="7"/>
      <c r="B20342" s="7"/>
      <c r="M20342" s="9" t="s">
        <v>29</v>
      </c>
    </row>
    <row r="20343" ht="15.75" customHeight="1">
      <c r="A20343" s="7"/>
      <c r="B20343" s="7"/>
      <c r="M20343" s="9" t="s">
        <v>38</v>
      </c>
    </row>
    <row r="20344" ht="15.75" customHeight="1">
      <c r="A20344" s="7"/>
      <c r="B20344" s="7"/>
      <c r="M20344" s="9" t="s">
        <v>23</v>
      </c>
    </row>
    <row r="20345" ht="15.75" customHeight="1">
      <c r="A20345" s="7"/>
      <c r="B20345" s="7"/>
      <c r="M20345" s="9" t="s">
        <v>20</v>
      </c>
    </row>
    <row r="20346" ht="15.75" customHeight="1">
      <c r="A20346" s="7"/>
      <c r="B20346" s="7"/>
      <c r="M20346" s="9" t="s">
        <v>21</v>
      </c>
    </row>
    <row r="20347" ht="15.75" customHeight="1">
      <c r="A20347" s="7"/>
      <c r="B20347" s="7"/>
      <c r="M20347" s="9" t="s">
        <v>28</v>
      </c>
    </row>
    <row r="20348" ht="15.75" customHeight="1">
      <c r="A20348" s="7"/>
      <c r="B20348" s="7"/>
      <c r="M20348" s="9" t="s">
        <v>35</v>
      </c>
    </row>
    <row r="20349" ht="15.75" customHeight="1">
      <c r="A20349" s="7"/>
      <c r="B20349" s="7"/>
      <c r="M20349" s="9" t="s">
        <v>24</v>
      </c>
    </row>
    <row r="20350" ht="15.75" customHeight="1">
      <c r="A20350" s="7"/>
      <c r="B20350" s="7"/>
      <c r="M20350" s="9" t="s">
        <v>21</v>
      </c>
    </row>
    <row r="20351" ht="15.75" customHeight="1">
      <c r="A20351" s="7"/>
      <c r="B20351" s="7"/>
      <c r="M20351" s="9" t="s">
        <v>37</v>
      </c>
    </row>
    <row r="20352" ht="15.75" customHeight="1">
      <c r="A20352" s="7"/>
      <c r="B20352" s="7"/>
      <c r="M20352" s="9" t="s">
        <v>22</v>
      </c>
    </row>
    <row r="20353" ht="15.75" customHeight="1">
      <c r="A20353" s="7"/>
      <c r="B20353" s="7"/>
      <c r="M20353" s="9" t="s">
        <v>27</v>
      </c>
    </row>
    <row r="20354" ht="15.75" customHeight="1">
      <c r="A20354" s="7"/>
      <c r="B20354" s="7"/>
      <c r="M20354" s="9" t="s">
        <v>29</v>
      </c>
    </row>
    <row r="20355" ht="15.75" customHeight="1">
      <c r="A20355" s="7"/>
      <c r="B20355" s="7"/>
      <c r="M20355" s="9" t="s">
        <v>27</v>
      </c>
    </row>
    <row r="20356" ht="15.75" customHeight="1">
      <c r="A20356" s="7"/>
      <c r="B20356" s="7"/>
      <c r="M20356" s="9" t="s">
        <v>26</v>
      </c>
    </row>
    <row r="20357" ht="15.75" customHeight="1">
      <c r="A20357" s="7"/>
      <c r="B20357" s="7"/>
      <c r="M20357" s="9" t="s">
        <v>20</v>
      </c>
    </row>
    <row r="20358" ht="15.75" customHeight="1">
      <c r="A20358" s="7"/>
      <c r="B20358" s="7"/>
      <c r="M20358" s="9" t="s">
        <v>21</v>
      </c>
    </row>
    <row r="20359" ht="15.75" customHeight="1">
      <c r="A20359" s="7"/>
      <c r="B20359" s="7"/>
      <c r="M20359" s="9" t="s">
        <v>27</v>
      </c>
    </row>
    <row r="20360" ht="15.75" customHeight="1">
      <c r="A20360" s="7"/>
      <c r="B20360" s="7"/>
      <c r="M20360" s="9" t="s">
        <v>33</v>
      </c>
    </row>
    <row r="20361" ht="15.75" customHeight="1">
      <c r="A20361" s="7"/>
      <c r="B20361" s="7"/>
      <c r="M20361" s="9" t="s">
        <v>30</v>
      </c>
    </row>
    <row r="20362" ht="15.75" customHeight="1">
      <c r="A20362" s="7"/>
      <c r="B20362" s="7"/>
      <c r="M20362" s="9" t="s">
        <v>24</v>
      </c>
    </row>
    <row r="20363" ht="15.75" customHeight="1">
      <c r="A20363" s="7"/>
      <c r="B20363" s="7"/>
      <c r="M20363" s="9" t="s">
        <v>21</v>
      </c>
    </row>
    <row r="20364" ht="15.75" customHeight="1">
      <c r="A20364" s="7"/>
      <c r="B20364" s="7"/>
      <c r="M20364" s="9" t="s">
        <v>22</v>
      </c>
    </row>
    <row r="20365" ht="15.75" customHeight="1">
      <c r="A20365" s="7"/>
      <c r="B20365" s="7"/>
      <c r="M20365" s="9" t="s">
        <v>27</v>
      </c>
    </row>
    <row r="20366" ht="15.75" customHeight="1">
      <c r="A20366" s="7"/>
      <c r="B20366" s="7"/>
      <c r="M20366" s="9" t="s">
        <v>26</v>
      </c>
    </row>
    <row r="20367" ht="15.75" customHeight="1">
      <c r="A20367" s="7"/>
      <c r="B20367" s="7"/>
      <c r="M20367" s="9" t="s">
        <v>20</v>
      </c>
    </row>
    <row r="20368" ht="15.75" customHeight="1">
      <c r="A20368" s="7"/>
      <c r="B20368" s="7"/>
      <c r="M20368" s="9" t="s">
        <v>27</v>
      </c>
    </row>
    <row r="20369" ht="15.75" customHeight="1">
      <c r="A20369" s="7"/>
      <c r="B20369" s="7"/>
      <c r="M20369" s="9" t="s">
        <v>38</v>
      </c>
    </row>
    <row r="20370" ht="15.75" customHeight="1">
      <c r="A20370" s="7"/>
      <c r="B20370" s="7"/>
      <c r="M20370" s="9" t="s">
        <v>30</v>
      </c>
    </row>
    <row r="20371" ht="15.75" customHeight="1">
      <c r="A20371" s="7"/>
      <c r="B20371" s="7"/>
      <c r="M20371" s="9" t="s">
        <v>25</v>
      </c>
    </row>
    <row r="20372" ht="15.75" customHeight="1">
      <c r="A20372" s="7"/>
      <c r="B20372" s="7"/>
      <c r="M20372" s="9" t="s">
        <v>24</v>
      </c>
    </row>
    <row r="20373" ht="15.75" customHeight="1">
      <c r="A20373" s="7"/>
      <c r="B20373" s="7"/>
      <c r="M20373" s="9" t="s">
        <v>20</v>
      </c>
    </row>
    <row r="20374" ht="15.75" customHeight="1">
      <c r="A20374" s="7"/>
      <c r="B20374" s="7"/>
      <c r="M20374" s="9" t="s">
        <v>21</v>
      </c>
    </row>
    <row r="20375" ht="15.75" customHeight="1">
      <c r="A20375" s="7"/>
      <c r="B20375" s="7"/>
      <c r="M20375" s="9" t="s">
        <v>39</v>
      </c>
    </row>
    <row r="20376" ht="15.75" customHeight="1">
      <c r="A20376" s="7"/>
      <c r="B20376" s="7"/>
      <c r="M20376" s="9" t="s">
        <v>22</v>
      </c>
    </row>
    <row r="20377" ht="15.75" customHeight="1">
      <c r="A20377" s="7"/>
      <c r="B20377" s="7"/>
      <c r="M20377" s="9" t="s">
        <v>31</v>
      </c>
    </row>
    <row r="20378" ht="15.75" customHeight="1">
      <c r="A20378" s="7"/>
      <c r="B20378" s="7"/>
      <c r="M20378" s="9" t="s">
        <v>32</v>
      </c>
    </row>
    <row r="20379" ht="15.75" customHeight="1">
      <c r="A20379" s="7"/>
      <c r="B20379" s="7"/>
      <c r="M20379" s="9" t="s">
        <v>26</v>
      </c>
    </row>
    <row r="20380" ht="15.75" customHeight="1">
      <c r="A20380" s="7"/>
      <c r="B20380" s="7"/>
      <c r="M20380" s="9" t="s">
        <v>24</v>
      </c>
    </row>
    <row r="20381" ht="15.75" customHeight="1">
      <c r="A20381" s="7"/>
      <c r="B20381" s="7"/>
      <c r="M20381" s="9" t="s">
        <v>20</v>
      </c>
    </row>
    <row r="20382" ht="15.75" customHeight="1">
      <c r="A20382" s="7"/>
      <c r="B20382" s="7"/>
      <c r="M20382" s="9" t="s">
        <v>21</v>
      </c>
    </row>
    <row r="20383" ht="15.75" customHeight="1">
      <c r="A20383" s="7"/>
      <c r="B20383" s="7"/>
      <c r="M20383" s="9" t="s">
        <v>27</v>
      </c>
    </row>
    <row r="20384" ht="15.75" customHeight="1">
      <c r="A20384" s="7"/>
      <c r="B20384" s="7"/>
      <c r="M20384" s="9" t="s">
        <v>40</v>
      </c>
    </row>
    <row r="20385" ht="15.75" customHeight="1">
      <c r="A20385" s="7"/>
      <c r="B20385" s="7"/>
      <c r="M20385" s="9" t="s">
        <v>23</v>
      </c>
    </row>
    <row r="20386" ht="15.75" customHeight="1">
      <c r="A20386" s="7"/>
      <c r="B20386" s="7"/>
      <c r="M20386" s="9" t="s">
        <v>26</v>
      </c>
    </row>
    <row r="20387" ht="15.75" customHeight="1">
      <c r="A20387" s="7"/>
      <c r="B20387" s="7"/>
      <c r="M20387" s="9" t="s">
        <v>36</v>
      </c>
    </row>
    <row r="20388" ht="15.75" customHeight="1">
      <c r="A20388" s="7"/>
      <c r="B20388" s="7"/>
      <c r="M20388" s="9" t="s">
        <v>24</v>
      </c>
    </row>
    <row r="20389" ht="15.75" customHeight="1">
      <c r="A20389" s="7"/>
      <c r="B20389" s="7"/>
      <c r="M20389" s="9" t="s">
        <v>21</v>
      </c>
    </row>
    <row r="20390" ht="15.75" customHeight="1">
      <c r="A20390" s="7"/>
      <c r="B20390" s="7"/>
      <c r="M20390" s="9" t="s">
        <v>22</v>
      </c>
    </row>
    <row r="20391" ht="15.75" customHeight="1">
      <c r="A20391" s="7"/>
      <c r="B20391" s="7"/>
      <c r="M20391" s="9" t="s">
        <v>31</v>
      </c>
    </row>
    <row r="20392" ht="15.75" customHeight="1">
      <c r="A20392" s="7"/>
      <c r="B20392" s="7"/>
      <c r="M20392" s="9" t="s">
        <v>32</v>
      </c>
    </row>
    <row r="20393" ht="15.75" customHeight="1">
      <c r="A20393" s="7"/>
      <c r="B20393" s="7"/>
      <c r="M20393" s="9" t="s">
        <v>33</v>
      </c>
    </row>
    <row r="20394" ht="15.75" customHeight="1">
      <c r="A20394" s="7"/>
      <c r="B20394" s="7"/>
      <c r="M20394" s="9" t="s">
        <v>20</v>
      </c>
    </row>
    <row r="20395" ht="15.75" customHeight="1">
      <c r="A20395" s="7"/>
      <c r="B20395" s="7"/>
      <c r="M20395" s="9" t="s">
        <v>21</v>
      </c>
    </row>
    <row r="20396" ht="15.75" customHeight="1">
      <c r="A20396" s="7"/>
      <c r="B20396" s="7"/>
      <c r="M20396" s="9" t="s">
        <v>39</v>
      </c>
    </row>
    <row r="20397" ht="15.75" customHeight="1">
      <c r="A20397" s="7"/>
      <c r="B20397" s="7"/>
      <c r="M20397" s="9" t="s">
        <v>30</v>
      </c>
    </row>
    <row r="20398" ht="15.75" customHeight="1">
      <c r="A20398" s="7"/>
      <c r="B20398" s="7"/>
      <c r="M20398" s="9" t="s">
        <v>25</v>
      </c>
    </row>
    <row r="20399" ht="15.75" customHeight="1">
      <c r="A20399" s="7"/>
      <c r="B20399" s="7"/>
      <c r="M20399" s="9" t="s">
        <v>23</v>
      </c>
    </row>
    <row r="20400" ht="15.75" customHeight="1">
      <c r="A20400" s="7"/>
      <c r="B20400" s="7"/>
      <c r="M20400" s="9" t="s">
        <v>26</v>
      </c>
    </row>
    <row r="20401" ht="15.75" customHeight="1">
      <c r="A20401" s="7"/>
      <c r="B20401" s="7"/>
      <c r="M20401" s="9" t="s">
        <v>24</v>
      </c>
    </row>
    <row r="20402" ht="15.75" customHeight="1">
      <c r="A20402" s="7"/>
      <c r="B20402" s="7"/>
      <c r="M20402" s="9" t="s">
        <v>21</v>
      </c>
    </row>
    <row r="20403" ht="15.75" customHeight="1">
      <c r="A20403" s="7"/>
      <c r="B20403" s="7"/>
      <c r="M20403" s="9" t="s">
        <v>27</v>
      </c>
    </row>
    <row r="20404" ht="15.75" customHeight="1">
      <c r="A20404" s="7"/>
      <c r="B20404" s="7"/>
      <c r="M20404" s="9" t="s">
        <v>33</v>
      </c>
    </row>
    <row r="20405" ht="15.75" customHeight="1">
      <c r="A20405" s="7"/>
      <c r="B20405" s="7"/>
      <c r="M20405" s="9" t="s">
        <v>26</v>
      </c>
    </row>
    <row r="20406" ht="15.75" customHeight="1">
      <c r="A20406" s="7"/>
      <c r="B20406" s="7"/>
      <c r="M20406" s="9" t="s">
        <v>24</v>
      </c>
    </row>
    <row r="20407" ht="15.75" customHeight="1">
      <c r="A20407" s="7"/>
      <c r="B20407" s="7"/>
      <c r="M20407" s="9" t="s">
        <v>21</v>
      </c>
    </row>
    <row r="20408" ht="15.75" customHeight="1">
      <c r="A20408" s="7"/>
      <c r="B20408" s="7"/>
      <c r="M20408" s="9" t="s">
        <v>37</v>
      </c>
    </row>
    <row r="20409" ht="15.75" customHeight="1">
      <c r="A20409" s="7"/>
      <c r="B20409" s="7"/>
      <c r="M20409" s="9" t="s">
        <v>27</v>
      </c>
    </row>
    <row r="20410" ht="15.75" customHeight="1">
      <c r="A20410" s="7"/>
      <c r="B20410" s="7"/>
      <c r="M20410" s="9" t="s">
        <v>35</v>
      </c>
    </row>
    <row r="20411" ht="15.75" customHeight="1">
      <c r="A20411" s="7"/>
      <c r="B20411" s="7"/>
      <c r="M20411" s="9" t="s">
        <v>30</v>
      </c>
    </row>
    <row r="20412" ht="15.75" customHeight="1">
      <c r="A20412" s="7"/>
      <c r="B20412" s="7"/>
      <c r="M20412" s="9" t="s">
        <v>42</v>
      </c>
    </row>
    <row r="20413" ht="15.75" customHeight="1">
      <c r="A20413" s="7"/>
      <c r="B20413" s="7"/>
      <c r="M20413" s="9" t="s">
        <v>43</v>
      </c>
    </row>
    <row r="20414" ht="15.75" customHeight="1">
      <c r="A20414" s="7"/>
      <c r="B20414" s="7"/>
      <c r="M20414" s="9" t="s">
        <v>24</v>
      </c>
    </row>
    <row r="20415" ht="15.75" customHeight="1">
      <c r="A20415" s="7"/>
      <c r="B20415" s="7"/>
      <c r="M20415" s="9" t="s">
        <v>21</v>
      </c>
    </row>
    <row r="20416" ht="15.75" customHeight="1">
      <c r="A20416" s="7"/>
      <c r="B20416" s="7"/>
      <c r="M20416" s="9" t="s">
        <v>22</v>
      </c>
    </row>
    <row r="20417" ht="15.75" customHeight="1">
      <c r="A20417" s="7"/>
      <c r="B20417" s="7"/>
      <c r="M20417" s="9" t="s">
        <v>27</v>
      </c>
    </row>
    <row r="20418" ht="15.75" customHeight="1">
      <c r="A20418" s="7"/>
      <c r="B20418" s="7"/>
      <c r="M20418" s="9" t="s">
        <v>30</v>
      </c>
    </row>
    <row r="20419" ht="15.75" customHeight="1">
      <c r="A20419" s="7"/>
      <c r="B20419" s="7"/>
      <c r="M20419" s="9" t="s">
        <v>23</v>
      </c>
    </row>
    <row r="20420" ht="15.75" customHeight="1">
      <c r="A20420" s="7"/>
      <c r="B20420" s="7"/>
      <c r="M20420" s="9" t="s">
        <v>21</v>
      </c>
    </row>
    <row r="20421" ht="15.75" customHeight="1">
      <c r="A20421" s="7"/>
      <c r="B20421" s="7"/>
      <c r="M20421" s="9" t="s">
        <v>22</v>
      </c>
    </row>
    <row r="20422" ht="15.75" customHeight="1">
      <c r="A20422" s="7"/>
      <c r="B20422" s="7"/>
      <c r="M20422" s="9" t="s">
        <v>29</v>
      </c>
    </row>
    <row r="20423" ht="15.75" customHeight="1">
      <c r="A20423" s="7"/>
      <c r="B20423" s="7"/>
      <c r="M20423" s="9" t="s">
        <v>27</v>
      </c>
    </row>
    <row r="20424" ht="15.75" customHeight="1">
      <c r="A20424" s="7"/>
      <c r="B20424" s="7"/>
      <c r="M20424" s="9" t="s">
        <v>30</v>
      </c>
    </row>
    <row r="20425" ht="15.75" customHeight="1">
      <c r="A20425" s="7"/>
      <c r="B20425" s="7"/>
      <c r="M20425" s="9" t="s">
        <v>26</v>
      </c>
    </row>
    <row r="20426" ht="15.75" customHeight="1">
      <c r="A20426" s="7"/>
      <c r="B20426" s="7"/>
      <c r="M20426" s="9" t="s">
        <v>24</v>
      </c>
    </row>
    <row r="20427" ht="15.75" customHeight="1">
      <c r="A20427" s="7"/>
      <c r="B20427" s="7"/>
      <c r="M20427" s="9" t="s">
        <v>21</v>
      </c>
    </row>
    <row r="20428" ht="15.75" customHeight="1">
      <c r="A20428" s="7"/>
      <c r="B20428" s="7"/>
      <c r="M20428" s="9" t="s">
        <v>40</v>
      </c>
    </row>
    <row r="20429" ht="15.75" customHeight="1">
      <c r="A20429" s="7"/>
      <c r="B20429" s="7"/>
      <c r="M20429" s="9" t="s">
        <v>33</v>
      </c>
    </row>
    <row r="20430" ht="15.75" customHeight="1">
      <c r="A20430" s="7"/>
      <c r="B20430" s="7"/>
      <c r="M20430" s="9" t="s">
        <v>26</v>
      </c>
    </row>
    <row r="20431" ht="15.75" customHeight="1">
      <c r="A20431" s="7"/>
      <c r="B20431" s="7"/>
      <c r="M20431" s="9" t="s">
        <v>24</v>
      </c>
    </row>
    <row r="20432" ht="15.75" customHeight="1">
      <c r="A20432" s="7"/>
      <c r="B20432" s="7"/>
      <c r="M20432" s="9" t="s">
        <v>21</v>
      </c>
    </row>
    <row r="20433" ht="15.75" customHeight="1">
      <c r="A20433" s="7"/>
      <c r="B20433" s="7"/>
      <c r="M20433" s="9" t="s">
        <v>27</v>
      </c>
    </row>
    <row r="20434" ht="15.75" customHeight="1">
      <c r="A20434" s="7"/>
      <c r="B20434" s="7"/>
      <c r="M20434" s="9" t="s">
        <v>33</v>
      </c>
    </row>
    <row r="20435" ht="15.75" customHeight="1">
      <c r="A20435" s="7"/>
      <c r="B20435" s="7"/>
      <c r="M20435" s="9" t="s">
        <v>25</v>
      </c>
    </row>
    <row r="20436" ht="15.75" customHeight="1">
      <c r="A20436" s="7"/>
      <c r="B20436" s="7"/>
      <c r="M20436" s="9" t="s">
        <v>23</v>
      </c>
    </row>
    <row r="20437" ht="15.75" customHeight="1">
      <c r="A20437" s="7"/>
      <c r="B20437" s="7"/>
      <c r="M20437" s="9" t="s">
        <v>24</v>
      </c>
    </row>
    <row r="20438" ht="15.75" customHeight="1">
      <c r="A20438" s="7"/>
      <c r="B20438" s="7"/>
      <c r="M20438" s="9" t="s">
        <v>21</v>
      </c>
    </row>
    <row r="20439" ht="15.75" customHeight="1">
      <c r="A20439" s="7"/>
      <c r="B20439" s="7"/>
      <c r="M20439" s="9" t="s">
        <v>31</v>
      </c>
    </row>
    <row r="20440" ht="15.75" customHeight="1">
      <c r="A20440" s="7"/>
      <c r="B20440" s="7"/>
      <c r="M20440" s="9" t="s">
        <v>33</v>
      </c>
    </row>
    <row r="20441" ht="15.75" customHeight="1">
      <c r="A20441" s="7"/>
      <c r="B20441" s="7"/>
      <c r="M20441" s="9" t="s">
        <v>25</v>
      </c>
    </row>
    <row r="20442" ht="15.75" customHeight="1">
      <c r="A20442" s="7"/>
      <c r="B20442" s="7"/>
      <c r="M20442" s="9" t="s">
        <v>24</v>
      </c>
    </row>
    <row r="20443" ht="15.75" customHeight="1">
      <c r="A20443" s="7"/>
      <c r="B20443" s="7"/>
      <c r="M20443" s="9" t="s">
        <v>20</v>
      </c>
    </row>
    <row r="20444" ht="15.75" customHeight="1">
      <c r="A20444" s="7"/>
      <c r="B20444" s="7"/>
      <c r="M20444" s="9" t="s">
        <v>21</v>
      </c>
    </row>
    <row r="20445" ht="15.75" customHeight="1">
      <c r="A20445" s="7"/>
      <c r="B20445" s="7"/>
      <c r="M20445" s="9" t="s">
        <v>22</v>
      </c>
    </row>
    <row r="20446" ht="15.75" customHeight="1">
      <c r="A20446" s="7"/>
      <c r="B20446" s="7"/>
      <c r="M20446" s="9" t="s">
        <v>40</v>
      </c>
    </row>
    <row r="20447" ht="15.75" customHeight="1">
      <c r="A20447" s="7"/>
      <c r="B20447" s="7"/>
      <c r="M20447" s="9" t="s">
        <v>26</v>
      </c>
    </row>
    <row r="20448" ht="15.75" customHeight="1">
      <c r="A20448" s="7"/>
      <c r="B20448" s="7"/>
      <c r="M20448" s="9" t="s">
        <v>24</v>
      </c>
    </row>
    <row r="20449" ht="15.75" customHeight="1">
      <c r="A20449" s="7"/>
      <c r="B20449" s="7"/>
      <c r="M20449" s="9" t="s">
        <v>21</v>
      </c>
    </row>
    <row r="20450" ht="15.75" customHeight="1">
      <c r="A20450" s="7"/>
      <c r="B20450" s="7"/>
      <c r="M20450" s="9" t="s">
        <v>33</v>
      </c>
    </row>
    <row r="20451" ht="15.75" customHeight="1">
      <c r="A20451" s="7"/>
      <c r="B20451" s="7"/>
      <c r="M20451" s="9" t="s">
        <v>26</v>
      </c>
    </row>
    <row r="20452" ht="15.75" customHeight="1">
      <c r="A20452" s="7"/>
      <c r="B20452" s="7"/>
      <c r="M20452" s="9" t="s">
        <v>24</v>
      </c>
    </row>
    <row r="20453" ht="15.75" customHeight="1">
      <c r="A20453" s="7"/>
      <c r="B20453" s="7"/>
      <c r="M20453" s="9" t="s">
        <v>21</v>
      </c>
    </row>
    <row r="20454" ht="15.75" customHeight="1">
      <c r="A20454" s="7"/>
      <c r="B20454" s="7"/>
      <c r="M20454" s="9" t="s">
        <v>22</v>
      </c>
    </row>
    <row r="20455" ht="15.75" customHeight="1">
      <c r="A20455" s="7"/>
      <c r="B20455" s="7"/>
      <c r="M20455" s="9" t="s">
        <v>27</v>
      </c>
    </row>
    <row r="20456" ht="15.75" customHeight="1">
      <c r="A20456" s="7"/>
      <c r="B20456" s="7"/>
      <c r="M20456" s="9" t="s">
        <v>28</v>
      </c>
    </row>
    <row r="20457" ht="15.75" customHeight="1">
      <c r="A20457" s="7"/>
      <c r="B20457" s="7"/>
      <c r="M20457" s="9" t="s">
        <v>30</v>
      </c>
    </row>
    <row r="20458" ht="15.75" customHeight="1">
      <c r="A20458" s="7"/>
      <c r="B20458" s="7"/>
      <c r="M20458" s="9" t="s">
        <v>26</v>
      </c>
    </row>
    <row r="20459" ht="15.75" customHeight="1">
      <c r="A20459" s="7"/>
      <c r="B20459" s="7"/>
      <c r="M20459" s="9" t="s">
        <v>20</v>
      </c>
    </row>
    <row r="20460" ht="15.75" customHeight="1">
      <c r="A20460" s="7"/>
      <c r="B20460" s="7"/>
      <c r="M20460" s="9" t="s">
        <v>21</v>
      </c>
    </row>
    <row r="20461" ht="15.75" customHeight="1">
      <c r="A20461" s="7"/>
      <c r="B20461" s="7"/>
      <c r="M20461" s="9" t="s">
        <v>27</v>
      </c>
    </row>
    <row r="20462" ht="15.75" customHeight="1">
      <c r="A20462" s="7"/>
      <c r="B20462" s="7"/>
      <c r="M20462" s="9" t="s">
        <v>33</v>
      </c>
    </row>
    <row r="20463" ht="15.75" customHeight="1">
      <c r="A20463" s="7"/>
      <c r="B20463" s="7"/>
      <c r="M20463" s="9" t="s">
        <v>35</v>
      </c>
    </row>
    <row r="20464" ht="15.75" customHeight="1">
      <c r="A20464" s="7"/>
      <c r="B20464" s="7"/>
      <c r="M20464" s="9" t="s">
        <v>24</v>
      </c>
    </row>
    <row r="20465" ht="15.75" customHeight="1">
      <c r="A20465" s="7"/>
      <c r="B20465" s="7"/>
      <c r="M20465" s="9" t="s">
        <v>21</v>
      </c>
    </row>
    <row r="20466" ht="15.75" customHeight="1">
      <c r="A20466" s="7"/>
      <c r="B20466" s="7"/>
      <c r="M20466" s="9" t="s">
        <v>37</v>
      </c>
    </row>
    <row r="20467" ht="15.75" customHeight="1">
      <c r="A20467" s="7"/>
      <c r="B20467" s="7"/>
      <c r="M20467" s="9" t="s">
        <v>27</v>
      </c>
    </row>
    <row r="20468" ht="15.75" customHeight="1">
      <c r="A20468" s="7"/>
      <c r="B20468" s="7"/>
      <c r="M20468" s="9" t="s">
        <v>24</v>
      </c>
    </row>
    <row r="20469" ht="15.75" customHeight="1">
      <c r="A20469" s="7"/>
      <c r="B20469" s="7"/>
      <c r="M20469" s="9" t="s">
        <v>21</v>
      </c>
    </row>
    <row r="20470" ht="15.75" customHeight="1">
      <c r="A20470" s="7"/>
      <c r="B20470" s="7"/>
      <c r="M20470" s="9" t="s">
        <v>31</v>
      </c>
    </row>
    <row r="20471" ht="15.75" customHeight="1">
      <c r="A20471" s="7"/>
      <c r="B20471" s="7"/>
      <c r="M20471" s="9" t="s">
        <v>24</v>
      </c>
    </row>
    <row r="20472" ht="15.75" customHeight="1">
      <c r="A20472" s="7"/>
      <c r="B20472" s="7"/>
      <c r="M20472" s="9" t="s">
        <v>21</v>
      </c>
    </row>
    <row r="20473" ht="15.75" customHeight="1">
      <c r="A20473" s="7"/>
      <c r="B20473" s="7"/>
      <c r="M20473" s="9" t="s">
        <v>37</v>
      </c>
    </row>
    <row r="20474" ht="15.75" customHeight="1">
      <c r="A20474" s="7"/>
      <c r="B20474" s="7"/>
      <c r="M20474" s="9" t="s">
        <v>27</v>
      </c>
    </row>
    <row r="20475" ht="15.75" customHeight="1">
      <c r="A20475" s="7"/>
      <c r="B20475" s="7"/>
      <c r="M20475" s="9" t="s">
        <v>33</v>
      </c>
    </row>
    <row r="20476" ht="15.75" customHeight="1">
      <c r="A20476" s="7"/>
      <c r="B20476" s="7"/>
      <c r="M20476" s="9" t="s">
        <v>35</v>
      </c>
    </row>
    <row r="20477" ht="15.75" customHeight="1">
      <c r="A20477" s="7"/>
      <c r="B20477" s="7"/>
      <c r="M20477" s="9" t="s">
        <v>30</v>
      </c>
    </row>
    <row r="20478" ht="15.75" customHeight="1">
      <c r="A20478" s="7"/>
      <c r="B20478" s="7"/>
      <c r="M20478" s="9" t="s">
        <v>26</v>
      </c>
    </row>
    <row r="20479" ht="15.75" customHeight="1">
      <c r="A20479" s="7"/>
      <c r="B20479" s="7"/>
      <c r="M20479" s="9" t="s">
        <v>24</v>
      </c>
    </row>
    <row r="20480" ht="15.75" customHeight="1">
      <c r="A20480" s="7"/>
      <c r="B20480" s="7"/>
      <c r="M20480" s="9" t="s">
        <v>21</v>
      </c>
    </row>
    <row r="20481" ht="15.75" customHeight="1">
      <c r="A20481" s="7"/>
      <c r="B20481" s="7"/>
      <c r="M20481" s="9" t="s">
        <v>27</v>
      </c>
    </row>
    <row r="20482" ht="15.75" customHeight="1">
      <c r="A20482" s="7"/>
      <c r="B20482" s="7"/>
      <c r="M20482" s="9" t="s">
        <v>33</v>
      </c>
    </row>
    <row r="20483" ht="15.75" customHeight="1">
      <c r="A20483" s="7"/>
      <c r="B20483" s="7"/>
      <c r="M20483" s="9" t="s">
        <v>22</v>
      </c>
    </row>
    <row r="20484" ht="15.75" customHeight="1">
      <c r="A20484" s="7"/>
      <c r="B20484" s="7"/>
      <c r="M20484" s="9" t="s">
        <v>30</v>
      </c>
    </row>
    <row r="20485" ht="15.75" customHeight="1">
      <c r="A20485" s="7"/>
      <c r="B20485" s="7"/>
      <c r="M20485" s="9" t="s">
        <v>26</v>
      </c>
    </row>
    <row r="20486" ht="15.75" customHeight="1">
      <c r="A20486" s="7"/>
      <c r="B20486" s="7"/>
      <c r="M20486" s="9" t="s">
        <v>36</v>
      </c>
    </row>
    <row r="20487" ht="15.75" customHeight="1">
      <c r="A20487" s="7"/>
      <c r="B20487" s="7"/>
      <c r="M20487" s="9" t="s">
        <v>24</v>
      </c>
    </row>
    <row r="20488" ht="15.75" customHeight="1">
      <c r="A20488" s="7"/>
      <c r="B20488" s="7"/>
      <c r="M20488" s="9" t="s">
        <v>21</v>
      </c>
    </row>
    <row r="20489" ht="15.75" customHeight="1">
      <c r="A20489" s="7"/>
      <c r="B20489" s="7"/>
      <c r="M20489" s="9" t="s">
        <v>27</v>
      </c>
    </row>
    <row r="20490" ht="15.75" customHeight="1">
      <c r="A20490" s="7"/>
      <c r="B20490" s="7"/>
      <c r="M20490" s="9" t="s">
        <v>33</v>
      </c>
    </row>
    <row r="20491" ht="15.75" customHeight="1">
      <c r="A20491" s="7"/>
      <c r="B20491" s="7"/>
      <c r="M20491" s="9" t="s">
        <v>26</v>
      </c>
    </row>
    <row r="20492" ht="15.75" customHeight="1">
      <c r="A20492" s="7"/>
      <c r="B20492" s="7"/>
      <c r="M20492" s="9" t="s">
        <v>43</v>
      </c>
    </row>
    <row r="20493" ht="15.75" customHeight="1">
      <c r="A20493" s="7"/>
      <c r="B20493" s="7"/>
      <c r="M20493" s="9" t="s">
        <v>24</v>
      </c>
    </row>
    <row r="20494" ht="15.75" customHeight="1">
      <c r="A20494" s="7"/>
      <c r="B20494" s="7"/>
      <c r="M20494" s="9" t="s">
        <v>21</v>
      </c>
    </row>
    <row r="20495" ht="15.75" customHeight="1">
      <c r="A20495" s="7"/>
      <c r="B20495" s="7"/>
      <c r="M20495" s="9" t="s">
        <v>31</v>
      </c>
    </row>
    <row r="20496" ht="15.75" customHeight="1">
      <c r="A20496" s="7"/>
      <c r="B20496" s="7"/>
      <c r="M20496" s="9" t="s">
        <v>27</v>
      </c>
    </row>
    <row r="20497" ht="15.75" customHeight="1">
      <c r="A20497" s="7"/>
      <c r="B20497" s="7"/>
      <c r="M20497" s="9" t="s">
        <v>33</v>
      </c>
    </row>
    <row r="20498" ht="15.75" customHeight="1">
      <c r="A20498" s="7"/>
      <c r="B20498" s="7"/>
      <c r="M20498" s="9" t="s">
        <v>38</v>
      </c>
    </row>
    <row r="20499" ht="15.75" customHeight="1">
      <c r="A20499" s="7"/>
      <c r="B20499" s="7"/>
      <c r="M20499" s="9" t="s">
        <v>30</v>
      </c>
    </row>
    <row r="20500" ht="15.75" customHeight="1">
      <c r="A20500" s="7"/>
      <c r="B20500" s="7"/>
      <c r="M20500" s="9" t="s">
        <v>25</v>
      </c>
    </row>
    <row r="20501" ht="15.75" customHeight="1">
      <c r="A20501" s="7"/>
      <c r="B20501" s="7"/>
      <c r="M20501" s="9" t="s">
        <v>23</v>
      </c>
    </row>
    <row r="20502" ht="15.75" customHeight="1">
      <c r="A20502" s="7"/>
      <c r="B20502" s="7"/>
      <c r="M20502" s="9" t="s">
        <v>36</v>
      </c>
    </row>
    <row r="20503" ht="15.75" customHeight="1">
      <c r="A20503" s="7"/>
      <c r="B20503" s="7"/>
      <c r="M20503" s="9" t="s">
        <v>20</v>
      </c>
    </row>
    <row r="20504" ht="15.75" customHeight="1">
      <c r="A20504" s="7"/>
      <c r="B20504" s="7"/>
      <c r="M20504" s="9" t="s">
        <v>21</v>
      </c>
    </row>
    <row r="20505" ht="15.75" customHeight="1">
      <c r="A20505" s="7"/>
      <c r="B20505" s="7"/>
      <c r="M20505" s="9" t="s">
        <v>41</v>
      </c>
    </row>
    <row r="20506" ht="15.75" customHeight="1">
      <c r="A20506" s="7"/>
      <c r="B20506" s="7"/>
      <c r="M20506" s="9" t="s">
        <v>22</v>
      </c>
    </row>
    <row r="20507" ht="15.75" customHeight="1">
      <c r="A20507" s="7"/>
      <c r="B20507" s="7"/>
      <c r="M20507" s="9" t="s">
        <v>27</v>
      </c>
    </row>
    <row r="20508" ht="15.75" customHeight="1">
      <c r="A20508" s="7"/>
      <c r="B20508" s="7"/>
      <c r="M20508" s="9" t="s">
        <v>30</v>
      </c>
    </row>
    <row r="20509" ht="15.75" customHeight="1">
      <c r="A20509" s="7"/>
      <c r="B20509" s="7"/>
      <c r="M20509" s="9" t="s">
        <v>25</v>
      </c>
    </row>
    <row r="20510" ht="15.75" customHeight="1">
      <c r="A20510" s="7"/>
      <c r="B20510" s="7"/>
      <c r="M20510" s="9" t="s">
        <v>23</v>
      </c>
    </row>
    <row r="20511" ht="15.75" customHeight="1">
      <c r="A20511" s="7"/>
      <c r="B20511" s="7"/>
      <c r="M20511" s="9" t="s">
        <v>24</v>
      </c>
    </row>
    <row r="20512" ht="15.75" customHeight="1">
      <c r="A20512" s="7"/>
      <c r="B20512" s="7"/>
      <c r="M20512" s="9" t="s">
        <v>20</v>
      </c>
    </row>
    <row r="20513" ht="15.75" customHeight="1">
      <c r="A20513" s="7"/>
      <c r="B20513" s="7"/>
      <c r="M20513" s="9" t="s">
        <v>21</v>
      </c>
    </row>
    <row r="20514" ht="15.75" customHeight="1">
      <c r="A20514" s="7"/>
      <c r="B20514" s="7"/>
      <c r="M20514" s="9" t="s">
        <v>39</v>
      </c>
    </row>
    <row r="20515" ht="15.75" customHeight="1">
      <c r="A20515" s="7"/>
      <c r="B20515" s="7"/>
      <c r="M20515" s="9" t="s">
        <v>37</v>
      </c>
    </row>
    <row r="20516" ht="15.75" customHeight="1">
      <c r="A20516" s="7"/>
      <c r="B20516" s="7"/>
      <c r="M20516" s="9" t="s">
        <v>22</v>
      </c>
    </row>
    <row r="20517" ht="15.75" customHeight="1">
      <c r="A20517" s="7"/>
      <c r="B20517" s="7"/>
      <c r="M20517" s="9" t="s">
        <v>27</v>
      </c>
    </row>
    <row r="20518" ht="15.75" customHeight="1">
      <c r="A20518" s="7"/>
      <c r="B20518" s="7"/>
      <c r="M20518" s="9" t="s">
        <v>26</v>
      </c>
    </row>
    <row r="20519" ht="15.75" customHeight="1">
      <c r="A20519" s="7"/>
      <c r="B20519" s="7"/>
      <c r="M20519" s="9" t="s">
        <v>24</v>
      </c>
    </row>
    <row r="20520" ht="15.75" customHeight="1">
      <c r="A20520" s="7"/>
      <c r="B20520" s="7"/>
      <c r="M20520" s="9" t="s">
        <v>20</v>
      </c>
    </row>
    <row r="20521" ht="15.75" customHeight="1">
      <c r="A20521" s="7"/>
      <c r="B20521" s="7"/>
      <c r="M20521" s="9" t="s">
        <v>21</v>
      </c>
    </row>
    <row r="20522" ht="15.75" customHeight="1">
      <c r="A20522" s="7"/>
      <c r="B20522" s="7"/>
      <c r="M20522" s="9" t="s">
        <v>22</v>
      </c>
    </row>
    <row r="20523" ht="15.75" customHeight="1">
      <c r="A20523" s="7"/>
      <c r="B20523" s="7"/>
      <c r="M20523" s="9" t="s">
        <v>27</v>
      </c>
    </row>
    <row r="20524" ht="15.75" customHeight="1">
      <c r="A20524" s="7"/>
      <c r="B20524" s="7"/>
      <c r="M20524" s="9" t="s">
        <v>33</v>
      </c>
    </row>
    <row r="20525" ht="15.75" customHeight="1">
      <c r="A20525" s="7"/>
      <c r="B20525" s="7"/>
      <c r="M20525" s="9" t="s">
        <v>20</v>
      </c>
    </row>
    <row r="20526" ht="15.75" customHeight="1">
      <c r="A20526" s="7"/>
      <c r="B20526" s="7"/>
      <c r="M20526" s="9" t="s">
        <v>21</v>
      </c>
    </row>
    <row r="20527" ht="15.75" customHeight="1">
      <c r="A20527" s="7"/>
      <c r="B20527" s="7"/>
      <c r="M20527" s="9" t="s">
        <v>22</v>
      </c>
    </row>
    <row r="20528" ht="15.75" customHeight="1">
      <c r="A20528" s="7"/>
      <c r="B20528" s="7"/>
      <c r="M20528" s="9" t="s">
        <v>27</v>
      </c>
    </row>
    <row r="20529" ht="15.75" customHeight="1">
      <c r="A20529" s="7"/>
      <c r="B20529" s="7"/>
      <c r="M20529" s="9" t="s">
        <v>20</v>
      </c>
    </row>
    <row r="20530" ht="15.75" customHeight="1">
      <c r="A20530" s="7"/>
      <c r="B20530" s="7"/>
      <c r="M20530" s="9" t="s">
        <v>21</v>
      </c>
    </row>
    <row r="20531" ht="15.75" customHeight="1">
      <c r="A20531" s="7"/>
      <c r="B20531" s="7"/>
      <c r="M20531" s="9" t="s">
        <v>37</v>
      </c>
    </row>
    <row r="20532" ht="15.75" customHeight="1">
      <c r="A20532" s="7"/>
      <c r="B20532" s="7"/>
      <c r="M20532" s="9" t="s">
        <v>27</v>
      </c>
    </row>
    <row r="20533" ht="15.75" customHeight="1">
      <c r="A20533" s="7"/>
      <c r="B20533" s="7"/>
      <c r="M20533" s="9" t="s">
        <v>26</v>
      </c>
    </row>
    <row r="20534" ht="15.75" customHeight="1">
      <c r="A20534" s="7"/>
      <c r="B20534" s="7"/>
      <c r="M20534" s="9" t="s">
        <v>24</v>
      </c>
    </row>
    <row r="20535" ht="15.75" customHeight="1">
      <c r="A20535" s="7"/>
      <c r="B20535" s="7"/>
      <c r="M20535" s="9" t="s">
        <v>22</v>
      </c>
    </row>
    <row r="20536" ht="15.75" customHeight="1">
      <c r="A20536" s="7"/>
      <c r="B20536" s="7"/>
      <c r="M20536" s="9" t="s">
        <v>27</v>
      </c>
    </row>
    <row r="20537" ht="15.75" customHeight="1">
      <c r="A20537" s="7"/>
      <c r="B20537" s="7"/>
      <c r="M20537" s="9" t="s">
        <v>33</v>
      </c>
    </row>
    <row r="20538" ht="15.75" customHeight="1">
      <c r="A20538" s="7"/>
      <c r="B20538" s="7"/>
      <c r="M20538" s="9" t="s">
        <v>20</v>
      </c>
    </row>
    <row r="20539" ht="15.75" customHeight="1">
      <c r="A20539" s="7"/>
      <c r="B20539" s="7"/>
      <c r="M20539" s="9" t="s">
        <v>21</v>
      </c>
    </row>
    <row r="20540" ht="15.75" customHeight="1">
      <c r="A20540" s="7"/>
      <c r="B20540" s="7"/>
      <c r="M20540" s="9" t="s">
        <v>22</v>
      </c>
    </row>
    <row r="20541" ht="15.75" customHeight="1">
      <c r="A20541" s="7"/>
      <c r="B20541" s="7"/>
      <c r="M20541" s="9" t="s">
        <v>27</v>
      </c>
    </row>
    <row r="20542" ht="15.75" customHeight="1">
      <c r="A20542" s="7"/>
      <c r="B20542" s="7"/>
      <c r="M20542" s="9" t="s">
        <v>38</v>
      </c>
    </row>
    <row r="20543" ht="15.75" customHeight="1">
      <c r="A20543" s="7"/>
      <c r="B20543" s="7"/>
      <c r="M20543" s="9" t="s">
        <v>30</v>
      </c>
    </row>
    <row r="20544" ht="15.75" customHeight="1">
      <c r="A20544" s="7"/>
      <c r="B20544" s="7"/>
      <c r="M20544" s="9" t="s">
        <v>25</v>
      </c>
    </row>
    <row r="20545" ht="15.75" customHeight="1">
      <c r="A20545" s="7"/>
      <c r="B20545" s="7"/>
      <c r="M20545" s="9" t="s">
        <v>23</v>
      </c>
    </row>
    <row r="20546" ht="15.75" customHeight="1">
      <c r="A20546" s="7"/>
      <c r="B20546" s="7"/>
      <c r="M20546" s="9" t="s">
        <v>22</v>
      </c>
    </row>
    <row r="20547" ht="15.75" customHeight="1">
      <c r="A20547" s="7"/>
      <c r="B20547" s="7"/>
      <c r="M20547" s="9" t="s">
        <v>26</v>
      </c>
    </row>
    <row r="20548" ht="15.75" customHeight="1">
      <c r="A20548" s="7"/>
      <c r="B20548" s="7"/>
      <c r="M20548" s="9" t="s">
        <v>24</v>
      </c>
    </row>
    <row r="20549" ht="15.75" customHeight="1">
      <c r="A20549" s="7"/>
      <c r="B20549" s="7"/>
      <c r="M20549" s="9" t="s">
        <v>20</v>
      </c>
    </row>
    <row r="20550" ht="15.75" customHeight="1">
      <c r="A20550" s="7"/>
      <c r="B20550" s="7"/>
      <c r="M20550" s="9" t="s">
        <v>21</v>
      </c>
    </row>
    <row r="20551" ht="15.75" customHeight="1">
      <c r="A20551" s="7"/>
      <c r="B20551" s="7"/>
      <c r="M20551" s="9" t="s">
        <v>37</v>
      </c>
    </row>
    <row r="20552" ht="15.75" customHeight="1">
      <c r="A20552" s="7"/>
      <c r="B20552" s="7"/>
      <c r="M20552" s="9" t="s">
        <v>31</v>
      </c>
    </row>
    <row r="20553" ht="15.75" customHeight="1">
      <c r="A20553" s="7"/>
      <c r="B20553" s="7"/>
      <c r="M20553" s="9" t="s">
        <v>27</v>
      </c>
    </row>
    <row r="20554" ht="15.75" customHeight="1">
      <c r="A20554" s="7"/>
      <c r="B20554" s="7"/>
      <c r="M20554" s="9" t="s">
        <v>33</v>
      </c>
    </row>
    <row r="20555" ht="15.75" customHeight="1">
      <c r="A20555" s="7"/>
      <c r="B20555" s="7"/>
      <c r="M20555" s="9" t="s">
        <v>23</v>
      </c>
    </row>
    <row r="20556" ht="15.75" customHeight="1">
      <c r="A20556" s="7"/>
      <c r="B20556" s="7"/>
      <c r="M20556" s="9" t="s">
        <v>21</v>
      </c>
    </row>
    <row r="20557" ht="15.75" customHeight="1">
      <c r="A20557" s="7"/>
      <c r="B20557" s="7"/>
      <c r="M20557" s="9" t="s">
        <v>27</v>
      </c>
    </row>
    <row r="20558" ht="15.75" customHeight="1">
      <c r="A20558" s="7"/>
      <c r="B20558" s="7"/>
      <c r="M20558" s="9" t="s">
        <v>30</v>
      </c>
    </row>
    <row r="20559" ht="15.75" customHeight="1">
      <c r="A20559" s="7"/>
      <c r="B20559" s="7"/>
      <c r="M20559" s="9" t="s">
        <v>26</v>
      </c>
    </row>
    <row r="20560" ht="15.75" customHeight="1">
      <c r="A20560" s="7"/>
      <c r="B20560" s="7"/>
      <c r="M20560" s="9" t="s">
        <v>24</v>
      </c>
    </row>
    <row r="20561" ht="15.75" customHeight="1">
      <c r="A20561" s="7"/>
      <c r="B20561" s="7"/>
      <c r="M20561" s="9" t="s">
        <v>21</v>
      </c>
    </row>
    <row r="20562" ht="15.75" customHeight="1">
      <c r="A20562" s="7"/>
      <c r="B20562" s="7"/>
      <c r="M20562" s="9" t="s">
        <v>31</v>
      </c>
    </row>
    <row r="20563" ht="15.75" customHeight="1">
      <c r="A20563" s="7"/>
      <c r="B20563" s="7"/>
      <c r="M20563" s="9" t="s">
        <v>27</v>
      </c>
    </row>
    <row r="20564" ht="15.75" customHeight="1">
      <c r="A20564" s="7"/>
      <c r="B20564" s="7"/>
      <c r="M20564" s="9" t="s">
        <v>30</v>
      </c>
    </row>
    <row r="20565" ht="15.75" customHeight="1">
      <c r="A20565" s="7"/>
      <c r="B20565" s="7"/>
      <c r="M20565" s="9" t="s">
        <v>22</v>
      </c>
    </row>
    <row r="20566" ht="15.75" customHeight="1">
      <c r="A20566" s="7"/>
      <c r="B20566" s="7"/>
      <c r="M20566" s="9" t="s">
        <v>35</v>
      </c>
    </row>
    <row r="20567" ht="15.75" customHeight="1">
      <c r="A20567" s="7"/>
      <c r="B20567" s="7"/>
      <c r="M20567" s="9" t="s">
        <v>26</v>
      </c>
    </row>
    <row r="20568" ht="15.75" customHeight="1">
      <c r="A20568" s="7"/>
      <c r="B20568" s="7"/>
      <c r="M20568" s="9" t="s">
        <v>24</v>
      </c>
    </row>
    <row r="20569" ht="15.75" customHeight="1">
      <c r="A20569" s="7"/>
      <c r="B20569" s="7"/>
      <c r="M20569" s="9" t="s">
        <v>21</v>
      </c>
    </row>
    <row r="20570" ht="15.75" customHeight="1">
      <c r="A20570" s="7"/>
      <c r="B20570" s="7"/>
      <c r="M20570" s="9" t="s">
        <v>27</v>
      </c>
    </row>
    <row r="20571" ht="15.75" customHeight="1">
      <c r="A20571" s="7"/>
      <c r="B20571" s="7"/>
      <c r="M20571" s="9" t="s">
        <v>33</v>
      </c>
    </row>
    <row r="20572" ht="15.75" customHeight="1">
      <c r="A20572" s="7"/>
      <c r="B20572" s="7"/>
      <c r="M20572" s="9" t="s">
        <v>30</v>
      </c>
    </row>
    <row r="20573" ht="15.75" customHeight="1">
      <c r="A20573" s="7"/>
      <c r="B20573" s="7"/>
      <c r="M20573" s="9" t="s">
        <v>24</v>
      </c>
    </row>
    <row r="20574" ht="15.75" customHeight="1">
      <c r="A20574" s="7"/>
      <c r="B20574" s="7"/>
      <c r="M20574" s="9" t="s">
        <v>20</v>
      </c>
    </row>
    <row r="20575" ht="15.75" customHeight="1">
      <c r="A20575" s="7"/>
      <c r="B20575" s="7"/>
      <c r="M20575" s="9" t="s">
        <v>21</v>
      </c>
    </row>
    <row r="20576" ht="15.75" customHeight="1">
      <c r="A20576" s="7"/>
      <c r="B20576" s="7"/>
      <c r="M20576" s="9" t="s">
        <v>37</v>
      </c>
    </row>
    <row r="20577" ht="15.75" customHeight="1">
      <c r="A20577" s="7"/>
      <c r="B20577" s="7"/>
      <c r="M20577" s="9" t="s">
        <v>31</v>
      </c>
    </row>
    <row r="20578" ht="15.75" customHeight="1">
      <c r="A20578" s="7"/>
      <c r="B20578" s="7"/>
      <c r="M20578" s="9" t="s">
        <v>46</v>
      </c>
    </row>
    <row r="20579" ht="15.75" customHeight="1">
      <c r="A20579" s="7"/>
      <c r="B20579" s="7"/>
      <c r="M20579" s="9" t="s">
        <v>33</v>
      </c>
    </row>
    <row r="20580" ht="15.75" customHeight="1">
      <c r="A20580" s="7"/>
      <c r="B20580" s="7"/>
      <c r="M20580" s="9" t="s">
        <v>23</v>
      </c>
    </row>
    <row r="20581" ht="15.75" customHeight="1">
      <c r="A20581" s="7"/>
      <c r="B20581" s="7"/>
      <c r="M20581" s="9" t="s">
        <v>24</v>
      </c>
    </row>
    <row r="20582" ht="15.75" customHeight="1">
      <c r="A20582" s="7"/>
      <c r="B20582" s="7"/>
      <c r="M20582" s="9" t="s">
        <v>21</v>
      </c>
    </row>
    <row r="20583" ht="15.75" customHeight="1">
      <c r="A20583" s="7"/>
      <c r="B20583" s="7"/>
      <c r="M20583" s="9" t="s">
        <v>38</v>
      </c>
    </row>
    <row r="20584" ht="15.75" customHeight="1">
      <c r="A20584" s="7"/>
      <c r="B20584" s="7"/>
      <c r="M20584" s="9" t="s">
        <v>30</v>
      </c>
    </row>
    <row r="20585" ht="15.75" customHeight="1">
      <c r="A20585" s="7"/>
      <c r="B20585" s="7"/>
      <c r="M20585" s="9" t="s">
        <v>23</v>
      </c>
    </row>
    <row r="20586" ht="15.75" customHeight="1">
      <c r="A20586" s="7"/>
      <c r="B20586" s="7"/>
      <c r="M20586" s="9" t="s">
        <v>24</v>
      </c>
    </row>
    <row r="20587" ht="15.75" customHeight="1">
      <c r="A20587" s="7"/>
      <c r="B20587" s="7"/>
      <c r="M20587" s="9" t="s">
        <v>20</v>
      </c>
    </row>
    <row r="20588" ht="15.75" customHeight="1">
      <c r="A20588" s="7"/>
      <c r="B20588" s="7"/>
      <c r="M20588" s="9" t="s">
        <v>21</v>
      </c>
    </row>
    <row r="20589" ht="15.75" customHeight="1">
      <c r="A20589" s="7"/>
      <c r="B20589" s="7"/>
      <c r="M20589" s="9" t="s">
        <v>39</v>
      </c>
    </row>
    <row r="20590" ht="15.75" customHeight="1">
      <c r="A20590" s="7"/>
      <c r="B20590" s="7"/>
      <c r="M20590" s="9" t="s">
        <v>27</v>
      </c>
    </row>
    <row r="20591" ht="15.75" customHeight="1">
      <c r="A20591" s="7"/>
      <c r="B20591" s="7"/>
      <c r="M20591" s="9" t="s">
        <v>33</v>
      </c>
    </row>
    <row r="20592" ht="15.75" customHeight="1">
      <c r="A20592" s="7"/>
      <c r="B20592" s="7"/>
      <c r="M20592" s="9" t="s">
        <v>20</v>
      </c>
    </row>
    <row r="20593" ht="15.75" customHeight="1">
      <c r="A20593" s="7"/>
      <c r="B20593" s="7"/>
      <c r="M20593" s="9" t="s">
        <v>33</v>
      </c>
    </row>
    <row r="20594" ht="15.75" customHeight="1">
      <c r="A20594" s="7"/>
      <c r="B20594" s="7"/>
      <c r="M20594" s="9" t="s">
        <v>25</v>
      </c>
    </row>
    <row r="20595" ht="15.75" customHeight="1">
      <c r="A20595" s="7"/>
      <c r="B20595" s="7"/>
      <c r="M20595" s="9" t="s">
        <v>23</v>
      </c>
    </row>
    <row r="20596" ht="15.75" customHeight="1">
      <c r="A20596" s="7"/>
      <c r="B20596" s="7"/>
      <c r="M20596" s="9" t="s">
        <v>24</v>
      </c>
    </row>
    <row r="20597" ht="15.75" customHeight="1">
      <c r="A20597" s="7"/>
      <c r="B20597" s="7"/>
      <c r="M20597" s="9" t="s">
        <v>20</v>
      </c>
    </row>
    <row r="20598" ht="15.75" customHeight="1">
      <c r="A20598" s="7"/>
      <c r="B20598" s="7"/>
      <c r="M20598" s="9" t="s">
        <v>21</v>
      </c>
    </row>
    <row r="20599" ht="15.75" customHeight="1">
      <c r="A20599" s="7"/>
      <c r="B20599" s="7"/>
      <c r="M20599" s="9" t="s">
        <v>22</v>
      </c>
    </row>
    <row r="20600" ht="15.75" customHeight="1">
      <c r="A20600" s="7"/>
      <c r="B20600" s="7"/>
      <c r="M20600" s="9" t="s">
        <v>24</v>
      </c>
    </row>
    <row r="20601" ht="15.75" customHeight="1">
      <c r="A20601" s="7"/>
      <c r="B20601" s="7"/>
      <c r="M20601" s="9" t="s">
        <v>20</v>
      </c>
    </row>
    <row r="20602" ht="15.75" customHeight="1">
      <c r="A20602" s="7"/>
      <c r="B20602" s="7"/>
      <c r="M20602" s="9" t="s">
        <v>21</v>
      </c>
    </row>
    <row r="20603" ht="15.75" customHeight="1">
      <c r="A20603" s="7"/>
      <c r="B20603" s="7"/>
      <c r="M20603" s="9" t="s">
        <v>27</v>
      </c>
    </row>
    <row r="20604" ht="15.75" customHeight="1">
      <c r="A20604" s="7"/>
      <c r="B20604" s="7"/>
      <c r="M20604" s="9" t="s">
        <v>38</v>
      </c>
    </row>
    <row r="20605" ht="15.75" customHeight="1">
      <c r="A20605" s="7"/>
      <c r="B20605" s="7"/>
      <c r="M20605" s="9" t="s">
        <v>25</v>
      </c>
    </row>
    <row r="20606" ht="15.75" customHeight="1">
      <c r="A20606" s="7"/>
      <c r="B20606" s="7"/>
      <c r="M20606" s="9" t="s">
        <v>26</v>
      </c>
    </row>
    <row r="20607" ht="15.75" customHeight="1">
      <c r="A20607" s="7"/>
      <c r="B20607" s="7"/>
      <c r="M20607" s="9" t="s">
        <v>45</v>
      </c>
    </row>
    <row r="20608" ht="15.75" customHeight="1">
      <c r="A20608" s="7"/>
      <c r="B20608" s="7"/>
      <c r="M20608" s="9" t="s">
        <v>41</v>
      </c>
    </row>
    <row r="20609" ht="15.75" customHeight="1">
      <c r="A20609" s="7"/>
      <c r="B20609" s="7"/>
      <c r="M20609" s="9" t="s">
        <v>25</v>
      </c>
    </row>
    <row r="20610" ht="15.75" customHeight="1">
      <c r="A20610" s="7"/>
      <c r="B20610" s="7"/>
      <c r="M20610" s="9" t="s">
        <v>23</v>
      </c>
    </row>
    <row r="20611" ht="15.75" customHeight="1">
      <c r="A20611" s="7"/>
      <c r="B20611" s="7"/>
      <c r="M20611" s="9" t="s">
        <v>24</v>
      </c>
    </row>
    <row r="20612" ht="15.75" customHeight="1">
      <c r="A20612" s="7"/>
      <c r="B20612" s="7"/>
      <c r="M20612" s="9" t="s">
        <v>20</v>
      </c>
    </row>
    <row r="20613" ht="15.75" customHeight="1">
      <c r="A20613" s="7"/>
      <c r="B20613" s="7"/>
      <c r="M20613" s="9" t="s">
        <v>21</v>
      </c>
    </row>
    <row r="20614" ht="15.75" customHeight="1">
      <c r="A20614" s="7"/>
      <c r="B20614" s="7"/>
      <c r="M20614" s="9" t="s">
        <v>37</v>
      </c>
    </row>
    <row r="20615" ht="15.75" customHeight="1">
      <c r="A20615" s="7"/>
      <c r="B20615" s="7"/>
      <c r="M20615" s="9" t="s">
        <v>22</v>
      </c>
    </row>
    <row r="20616" ht="15.75" customHeight="1">
      <c r="A20616" s="7"/>
      <c r="B20616" s="7"/>
      <c r="M20616" s="9" t="s">
        <v>27</v>
      </c>
    </row>
    <row r="20617" ht="15.75" customHeight="1">
      <c r="A20617" s="7"/>
      <c r="B20617" s="7"/>
      <c r="M20617" s="9" t="s">
        <v>23</v>
      </c>
    </row>
    <row r="20618" ht="15.75" customHeight="1">
      <c r="A20618" s="7"/>
      <c r="B20618" s="7"/>
      <c r="M20618" s="9" t="s">
        <v>22</v>
      </c>
    </row>
    <row r="20619" ht="15.75" customHeight="1">
      <c r="A20619" s="7"/>
      <c r="B20619" s="7"/>
      <c r="M20619" s="9" t="s">
        <v>24</v>
      </c>
    </row>
    <row r="20620" ht="15.75" customHeight="1">
      <c r="A20620" s="7"/>
      <c r="B20620" s="7"/>
      <c r="M20620" s="9" t="s">
        <v>20</v>
      </c>
    </row>
    <row r="20621" ht="15.75" customHeight="1">
      <c r="A20621" s="7"/>
      <c r="B20621" s="7"/>
      <c r="M20621" s="9" t="s">
        <v>21</v>
      </c>
    </row>
    <row r="20622" ht="15.75" customHeight="1">
      <c r="A20622" s="7"/>
      <c r="B20622" s="7"/>
      <c r="M20622" s="9" t="s">
        <v>27</v>
      </c>
    </row>
    <row r="20623" ht="15.75" customHeight="1">
      <c r="A20623" s="7"/>
      <c r="B20623" s="7"/>
      <c r="M20623" s="9" t="s">
        <v>26</v>
      </c>
    </row>
    <row r="20624" ht="15.75" customHeight="1">
      <c r="A20624" s="7"/>
      <c r="B20624" s="7"/>
      <c r="M20624" s="9" t="s">
        <v>24</v>
      </c>
    </row>
    <row r="20625" ht="15.75" customHeight="1">
      <c r="A20625" s="7"/>
      <c r="B20625" s="7"/>
      <c r="M20625" s="9" t="s">
        <v>21</v>
      </c>
    </row>
    <row r="20626" ht="15.75" customHeight="1">
      <c r="A20626" s="7"/>
      <c r="B20626" s="7"/>
      <c r="M20626" s="9" t="s">
        <v>27</v>
      </c>
    </row>
    <row r="20627" ht="15.75" customHeight="1">
      <c r="A20627" s="7"/>
      <c r="B20627" s="7"/>
      <c r="M20627" s="9" t="s">
        <v>30</v>
      </c>
    </row>
    <row r="20628" ht="15.75" customHeight="1">
      <c r="A20628" s="7"/>
      <c r="B20628" s="7"/>
      <c r="M20628" s="9" t="s">
        <v>25</v>
      </c>
    </row>
    <row r="20629" ht="15.75" customHeight="1">
      <c r="A20629" s="7"/>
      <c r="B20629" s="7"/>
      <c r="M20629" s="9" t="s">
        <v>23</v>
      </c>
    </row>
    <row r="20630" ht="15.75" customHeight="1">
      <c r="A20630" s="7"/>
      <c r="B20630" s="7"/>
      <c r="M20630" s="9" t="s">
        <v>20</v>
      </c>
    </row>
    <row r="20631" ht="15.75" customHeight="1">
      <c r="A20631" s="7"/>
      <c r="B20631" s="7"/>
      <c r="M20631" s="9" t="s">
        <v>41</v>
      </c>
    </row>
    <row r="20632" ht="15.75" customHeight="1">
      <c r="A20632" s="7"/>
      <c r="B20632" s="7"/>
      <c r="M20632" s="9" t="s">
        <v>37</v>
      </c>
    </row>
    <row r="20633" ht="15.75" customHeight="1">
      <c r="A20633" s="7"/>
      <c r="B20633" s="7"/>
      <c r="M20633" s="9" t="s">
        <v>22</v>
      </c>
    </row>
    <row r="20634" ht="15.75" customHeight="1">
      <c r="A20634" s="7"/>
      <c r="B20634" s="7"/>
      <c r="M20634" s="9" t="s">
        <v>38</v>
      </c>
    </row>
    <row r="20635" ht="15.75" customHeight="1">
      <c r="A20635" s="7"/>
      <c r="B20635" s="7"/>
      <c r="M20635" s="9" t="s">
        <v>25</v>
      </c>
    </row>
    <row r="20636" ht="15.75" customHeight="1">
      <c r="A20636" s="7"/>
      <c r="B20636" s="7"/>
      <c r="M20636" s="9" t="s">
        <v>26</v>
      </c>
    </row>
    <row r="20637" ht="15.75" customHeight="1">
      <c r="A20637" s="7"/>
      <c r="B20637" s="7"/>
      <c r="M20637" s="9" t="s">
        <v>47</v>
      </c>
    </row>
    <row r="20638" ht="15.75" customHeight="1">
      <c r="A20638" s="7"/>
      <c r="B20638" s="7"/>
      <c r="M20638" s="9" t="s">
        <v>43</v>
      </c>
    </row>
    <row r="20639" ht="15.75" customHeight="1">
      <c r="A20639" s="7"/>
      <c r="B20639" s="7"/>
      <c r="M20639" s="9" t="s">
        <v>24</v>
      </c>
    </row>
    <row r="20640" ht="15.75" customHeight="1">
      <c r="A20640" s="7"/>
      <c r="B20640" s="7"/>
      <c r="M20640" s="9" t="s">
        <v>20</v>
      </c>
    </row>
    <row r="20641" ht="15.75" customHeight="1">
      <c r="A20641" s="7"/>
      <c r="B20641" s="7"/>
      <c r="M20641" s="9" t="s">
        <v>39</v>
      </c>
    </row>
    <row r="20642" ht="15.75" customHeight="1">
      <c r="A20642" s="7"/>
      <c r="B20642" s="7"/>
      <c r="M20642" s="9" t="s">
        <v>37</v>
      </c>
    </row>
    <row r="20643" ht="15.75" customHeight="1">
      <c r="A20643" s="7"/>
      <c r="B20643" s="7"/>
      <c r="M20643" s="9" t="s">
        <v>29</v>
      </c>
    </row>
    <row r="20644" ht="15.75" customHeight="1">
      <c r="A20644" s="7"/>
      <c r="B20644" s="7"/>
      <c r="M20644" s="9" t="s">
        <v>32</v>
      </c>
    </row>
    <row r="20645" ht="15.75" customHeight="1">
      <c r="A20645" s="7"/>
      <c r="B20645" s="7"/>
      <c r="M20645" s="9" t="s">
        <v>27</v>
      </c>
    </row>
    <row r="20646" ht="15.75" customHeight="1">
      <c r="A20646" s="7"/>
      <c r="B20646" s="7"/>
      <c r="M20646" s="9" t="s">
        <v>33</v>
      </c>
    </row>
    <row r="20647" ht="15.75" customHeight="1">
      <c r="A20647" s="7"/>
      <c r="B20647" s="7"/>
      <c r="M20647" s="9" t="s">
        <v>34</v>
      </c>
    </row>
    <row r="20648" ht="15.75" customHeight="1">
      <c r="A20648" s="7"/>
      <c r="B20648" s="7"/>
      <c r="M20648" s="9" t="s">
        <v>20</v>
      </c>
    </row>
    <row r="20649" ht="15.75" customHeight="1">
      <c r="A20649" s="7"/>
      <c r="B20649" s="7"/>
      <c r="M20649" s="9" t="s">
        <v>21</v>
      </c>
    </row>
    <row r="20650" ht="15.75" customHeight="1">
      <c r="A20650" s="7"/>
      <c r="B20650" s="7"/>
      <c r="M20650" s="9" t="s">
        <v>24</v>
      </c>
    </row>
    <row r="20651" ht="15.75" customHeight="1">
      <c r="A20651" s="7"/>
      <c r="B20651" s="7"/>
      <c r="M20651" s="9" t="s">
        <v>21</v>
      </c>
    </row>
    <row r="20652" ht="15.75" customHeight="1">
      <c r="A20652" s="7"/>
      <c r="B20652" s="7"/>
      <c r="M20652" s="9" t="s">
        <v>22</v>
      </c>
    </row>
    <row r="20653" ht="15.75" customHeight="1">
      <c r="A20653" s="7"/>
      <c r="B20653" s="7"/>
      <c r="M20653" s="9" t="s">
        <v>27</v>
      </c>
    </row>
    <row r="20654" ht="15.75" customHeight="1">
      <c r="A20654" s="7"/>
      <c r="B20654" s="7"/>
      <c r="M20654" s="9" t="s">
        <v>36</v>
      </c>
    </row>
    <row r="20655" ht="15.75" customHeight="1">
      <c r="A20655" s="7"/>
      <c r="B20655" s="7"/>
      <c r="M20655" s="9" t="s">
        <v>37</v>
      </c>
    </row>
    <row r="20656" ht="15.75" customHeight="1">
      <c r="A20656" s="7"/>
      <c r="B20656" s="7"/>
      <c r="M20656" s="9" t="s">
        <v>38</v>
      </c>
    </row>
    <row r="20657" ht="15.75" customHeight="1">
      <c r="A20657" s="7"/>
      <c r="B20657" s="7"/>
      <c r="M20657" s="9" t="s">
        <v>30</v>
      </c>
    </row>
    <row r="20658" ht="15.75" customHeight="1">
      <c r="A20658" s="7"/>
      <c r="B20658" s="7"/>
      <c r="M20658" s="9" t="s">
        <v>25</v>
      </c>
    </row>
    <row r="20659" ht="15.75" customHeight="1">
      <c r="A20659" s="7"/>
      <c r="B20659" s="7"/>
      <c r="M20659" s="9" t="s">
        <v>26</v>
      </c>
    </row>
    <row r="20660" ht="15.75" customHeight="1">
      <c r="A20660" s="7"/>
      <c r="B20660" s="7"/>
      <c r="M20660" s="9" t="s">
        <v>24</v>
      </c>
    </row>
    <row r="20661" ht="15.75" customHeight="1">
      <c r="A20661" s="7"/>
      <c r="B20661" s="7"/>
      <c r="M20661" s="9" t="s">
        <v>20</v>
      </c>
    </row>
    <row r="20662" ht="15.75" customHeight="1">
      <c r="A20662" s="7"/>
      <c r="B20662" s="7"/>
      <c r="M20662" s="9" t="s">
        <v>22</v>
      </c>
    </row>
    <row r="20663" ht="15.75" customHeight="1">
      <c r="A20663" s="7"/>
      <c r="B20663" s="7"/>
      <c r="M20663" s="9" t="s">
        <v>26</v>
      </c>
    </row>
    <row r="20664" ht="15.75" customHeight="1">
      <c r="A20664" s="7"/>
      <c r="B20664" s="7"/>
      <c r="M20664" s="9" t="s">
        <v>24</v>
      </c>
    </row>
    <row r="20665" ht="15.75" customHeight="1">
      <c r="A20665" s="7"/>
      <c r="B20665" s="7"/>
      <c r="M20665" s="9" t="s">
        <v>21</v>
      </c>
    </row>
    <row r="20666" ht="15.75" customHeight="1">
      <c r="A20666" s="7"/>
      <c r="B20666" s="7"/>
      <c r="M20666" s="9" t="s">
        <v>33</v>
      </c>
    </row>
    <row r="20667" ht="15.75" customHeight="1">
      <c r="A20667" s="7"/>
      <c r="B20667" s="7"/>
      <c r="M20667" s="9" t="s">
        <v>30</v>
      </c>
    </row>
    <row r="20668" ht="15.75" customHeight="1">
      <c r="A20668" s="7"/>
      <c r="B20668" s="7"/>
      <c r="M20668" s="9" t="s">
        <v>24</v>
      </c>
    </row>
    <row r="20669" ht="15.75" customHeight="1">
      <c r="A20669" s="7"/>
      <c r="B20669" s="7"/>
      <c r="M20669" s="9" t="s">
        <v>20</v>
      </c>
    </row>
    <row r="20670" ht="15.75" customHeight="1">
      <c r="A20670" s="7"/>
      <c r="B20670" s="7"/>
      <c r="M20670" s="9" t="s">
        <v>21</v>
      </c>
    </row>
    <row r="20671" ht="15.75" customHeight="1">
      <c r="A20671" s="7"/>
      <c r="B20671" s="7"/>
      <c r="M20671" s="9" t="s">
        <v>31</v>
      </c>
    </row>
    <row r="20672" ht="15.75" customHeight="1">
      <c r="A20672" s="7"/>
      <c r="B20672" s="7"/>
      <c r="M20672" s="9" t="s">
        <v>27</v>
      </c>
    </row>
    <row r="20673" ht="15.75" customHeight="1">
      <c r="A20673" s="7"/>
      <c r="B20673" s="7"/>
      <c r="M20673" s="9" t="s">
        <v>20</v>
      </c>
    </row>
    <row r="20674" ht="15.75" customHeight="1">
      <c r="A20674" s="7"/>
      <c r="B20674" s="7"/>
      <c r="M20674" s="9" t="s">
        <v>40</v>
      </c>
    </row>
    <row r="20675" ht="15.75" customHeight="1">
      <c r="A20675" s="7"/>
      <c r="B20675" s="7"/>
      <c r="M20675" s="9" t="s">
        <v>26</v>
      </c>
    </row>
    <row r="20676" ht="15.75" customHeight="1">
      <c r="A20676" s="7"/>
      <c r="B20676" s="7"/>
      <c r="M20676" s="9" t="s">
        <v>22</v>
      </c>
    </row>
    <row r="20677" ht="15.75" customHeight="1">
      <c r="A20677" s="7"/>
      <c r="B20677" s="7"/>
      <c r="M20677" s="9" t="s">
        <v>27</v>
      </c>
    </row>
    <row r="20678" ht="15.75" customHeight="1">
      <c r="A20678" s="7"/>
      <c r="B20678" s="7"/>
      <c r="M20678" s="9" t="s">
        <v>28</v>
      </c>
    </row>
    <row r="20679" ht="15.75" customHeight="1">
      <c r="A20679" s="7"/>
      <c r="B20679" s="7"/>
      <c r="M20679" s="9" t="s">
        <v>24</v>
      </c>
    </row>
    <row r="20680" ht="15.75" customHeight="1">
      <c r="A20680" s="7"/>
      <c r="B20680" s="7"/>
      <c r="M20680" s="9" t="s">
        <v>37</v>
      </c>
    </row>
    <row r="20681" ht="15.75" customHeight="1">
      <c r="A20681" s="7"/>
      <c r="B20681" s="7"/>
      <c r="M20681" s="9" t="s">
        <v>27</v>
      </c>
    </row>
    <row r="20682" ht="15.75" customHeight="1">
      <c r="A20682" s="7"/>
      <c r="B20682" s="7"/>
      <c r="M20682" s="9" t="s">
        <v>30</v>
      </c>
    </row>
    <row r="20683" ht="15.75" customHeight="1">
      <c r="A20683" s="7"/>
      <c r="B20683" s="7"/>
      <c r="M20683" s="9" t="s">
        <v>25</v>
      </c>
    </row>
    <row r="20684" ht="15.75" customHeight="1">
      <c r="A20684" s="7"/>
      <c r="B20684" s="7"/>
      <c r="M20684" s="9" t="s">
        <v>24</v>
      </c>
    </row>
    <row r="20685" ht="15.75" customHeight="1">
      <c r="A20685" s="7"/>
      <c r="B20685" s="7"/>
      <c r="M20685" s="9" t="s">
        <v>22</v>
      </c>
    </row>
    <row r="20686" ht="15.75" customHeight="1">
      <c r="A20686" s="7"/>
      <c r="B20686" s="7"/>
      <c r="M20686" s="9" t="s">
        <v>30</v>
      </c>
    </row>
    <row r="20687" ht="15.75" customHeight="1">
      <c r="A20687" s="7"/>
      <c r="B20687" s="7"/>
      <c r="M20687" s="9" t="s">
        <v>25</v>
      </c>
    </row>
    <row r="20688" ht="15.75" customHeight="1">
      <c r="A20688" s="7"/>
      <c r="B20688" s="7"/>
      <c r="M20688" s="9" t="s">
        <v>31</v>
      </c>
    </row>
    <row r="20689" ht="15.75" customHeight="1">
      <c r="A20689" s="7"/>
      <c r="B20689" s="7"/>
      <c r="M20689" s="9" t="s">
        <v>30</v>
      </c>
    </row>
    <row r="20690" ht="15.75" customHeight="1">
      <c r="A20690" s="7"/>
      <c r="B20690" s="7"/>
      <c r="M20690" s="9" t="s">
        <v>36</v>
      </c>
    </row>
    <row r="20691" ht="15.75" customHeight="1">
      <c r="A20691" s="7"/>
      <c r="B20691" s="7"/>
      <c r="M20691" s="9" t="s">
        <v>21</v>
      </c>
    </row>
    <row r="20692" ht="15.75" customHeight="1">
      <c r="A20692" s="7"/>
      <c r="B20692" s="7"/>
      <c r="M20692" s="9" t="s">
        <v>22</v>
      </c>
    </row>
    <row r="20693" ht="15.75" customHeight="1">
      <c r="A20693" s="7"/>
      <c r="B20693" s="7"/>
      <c r="M20693" s="9" t="s">
        <v>27</v>
      </c>
    </row>
    <row r="20694" ht="15.75" customHeight="1">
      <c r="A20694" s="7"/>
      <c r="B20694" s="7"/>
      <c r="M20694" s="9" t="s">
        <v>24</v>
      </c>
    </row>
    <row r="20695" ht="15.75" customHeight="1">
      <c r="A20695" s="7"/>
      <c r="B20695" s="7"/>
      <c r="M20695" s="9" t="s">
        <v>21</v>
      </c>
    </row>
    <row r="20696" ht="15.75" customHeight="1">
      <c r="A20696" s="7"/>
      <c r="B20696" s="7"/>
      <c r="M20696" s="9" t="s">
        <v>22</v>
      </c>
    </row>
    <row r="20697" ht="15.75" customHeight="1">
      <c r="A20697" s="7"/>
      <c r="B20697" s="7"/>
      <c r="M20697" s="9" t="s">
        <v>30</v>
      </c>
    </row>
    <row r="20698" ht="15.75" customHeight="1">
      <c r="A20698" s="7"/>
      <c r="B20698" s="7"/>
      <c r="M20698" s="9" t="s">
        <v>24</v>
      </c>
    </row>
    <row r="20699" ht="15.75" customHeight="1">
      <c r="A20699" s="7"/>
      <c r="B20699" s="7"/>
      <c r="M20699" s="9" t="s">
        <v>20</v>
      </c>
    </row>
    <row r="20700" ht="15.75" customHeight="1">
      <c r="A20700" s="7"/>
      <c r="B20700" s="7"/>
      <c r="M20700" s="9" t="s">
        <v>21</v>
      </c>
    </row>
    <row r="20701" ht="15.75" customHeight="1">
      <c r="A20701" s="7"/>
      <c r="B20701" s="7"/>
      <c r="M20701" s="9" t="s">
        <v>39</v>
      </c>
    </row>
    <row r="20702" ht="15.75" customHeight="1">
      <c r="A20702" s="7"/>
      <c r="B20702" s="7"/>
      <c r="M20702" s="9" t="s">
        <v>27</v>
      </c>
    </row>
    <row r="20703" ht="15.75" customHeight="1">
      <c r="A20703" s="7"/>
      <c r="B20703" s="7"/>
      <c r="M20703" s="9" t="s">
        <v>25</v>
      </c>
    </row>
    <row r="20704" ht="15.75" customHeight="1">
      <c r="A20704" s="7"/>
      <c r="B20704" s="7"/>
      <c r="M20704" s="9" t="s">
        <v>22</v>
      </c>
    </row>
    <row r="20705" ht="15.75" customHeight="1">
      <c r="A20705" s="7"/>
      <c r="B20705" s="7"/>
      <c r="M20705" s="9" t="s">
        <v>30</v>
      </c>
    </row>
    <row r="20706" ht="15.75" customHeight="1">
      <c r="A20706" s="7"/>
      <c r="B20706" s="7"/>
      <c r="M20706" s="9" t="s">
        <v>25</v>
      </c>
    </row>
    <row r="20707" ht="15.75" customHeight="1">
      <c r="A20707" s="7"/>
      <c r="B20707" s="7"/>
      <c r="M20707" s="9" t="s">
        <v>23</v>
      </c>
    </row>
    <row r="20708" ht="15.75" customHeight="1">
      <c r="A20708" s="7"/>
      <c r="B20708" s="7"/>
      <c r="M20708" s="9" t="s">
        <v>26</v>
      </c>
    </row>
    <row r="20709" ht="15.75" customHeight="1">
      <c r="A20709" s="7"/>
      <c r="B20709" s="7"/>
      <c r="M20709" s="9" t="s">
        <v>45</v>
      </c>
    </row>
    <row r="20710" ht="15.75" customHeight="1">
      <c r="A20710" s="7"/>
      <c r="B20710" s="7"/>
      <c r="M20710" s="9" t="s">
        <v>24</v>
      </c>
    </row>
    <row r="20711" ht="15.75" customHeight="1">
      <c r="A20711" s="7"/>
      <c r="B20711" s="7"/>
      <c r="M20711" s="9" t="s">
        <v>20</v>
      </c>
    </row>
    <row r="20712" ht="15.75" customHeight="1">
      <c r="A20712" s="7"/>
      <c r="B20712" s="7"/>
      <c r="M20712" s="9" t="s">
        <v>21</v>
      </c>
    </row>
    <row r="20713" ht="15.75" customHeight="1">
      <c r="A20713" s="7"/>
      <c r="B20713" s="7"/>
      <c r="M20713" s="9" t="s">
        <v>22</v>
      </c>
    </row>
    <row r="20714" ht="15.75" customHeight="1">
      <c r="A20714" s="7"/>
      <c r="B20714" s="7"/>
      <c r="M20714" s="9" t="s">
        <v>27</v>
      </c>
    </row>
    <row r="20715" ht="15.75" customHeight="1">
      <c r="A20715" s="7"/>
      <c r="B20715" s="7"/>
      <c r="M20715" s="9" t="s">
        <v>24</v>
      </c>
    </row>
    <row r="20716" ht="15.75" customHeight="1">
      <c r="A20716" s="7"/>
      <c r="B20716" s="7"/>
      <c r="M20716" s="9" t="s">
        <v>20</v>
      </c>
    </row>
    <row r="20717" ht="15.75" customHeight="1">
      <c r="A20717" s="7"/>
      <c r="B20717" s="7"/>
      <c r="M20717" s="9" t="s">
        <v>21</v>
      </c>
    </row>
    <row r="20718" ht="15.75" customHeight="1">
      <c r="A20718" s="7"/>
      <c r="B20718" s="7"/>
      <c r="M20718" s="9" t="s">
        <v>37</v>
      </c>
    </row>
    <row r="20719" ht="15.75" customHeight="1">
      <c r="A20719" s="7"/>
      <c r="B20719" s="7"/>
      <c r="M20719" s="9" t="s">
        <v>27</v>
      </c>
    </row>
    <row r="20720" ht="15.75" customHeight="1">
      <c r="A20720" s="7"/>
      <c r="B20720" s="7"/>
      <c r="M20720" s="9" t="s">
        <v>33</v>
      </c>
    </row>
    <row r="20721" ht="15.75" customHeight="1">
      <c r="A20721" s="7"/>
      <c r="B20721" s="7"/>
      <c r="M20721" s="9" t="s">
        <v>26</v>
      </c>
    </row>
    <row r="20722" ht="15.75" customHeight="1">
      <c r="A20722" s="7"/>
      <c r="B20722" s="7"/>
      <c r="M20722" s="9" t="s">
        <v>24</v>
      </c>
    </row>
    <row r="20723" ht="15.75" customHeight="1">
      <c r="A20723" s="7"/>
      <c r="B20723" s="7"/>
      <c r="M20723" s="9" t="s">
        <v>21</v>
      </c>
    </row>
    <row r="20724" ht="15.75" customHeight="1">
      <c r="A20724" s="7"/>
      <c r="B20724" s="7"/>
      <c r="M20724" s="9" t="s">
        <v>27</v>
      </c>
    </row>
    <row r="20725" ht="15.75" customHeight="1">
      <c r="A20725" s="7"/>
      <c r="B20725" s="7"/>
      <c r="M20725" s="9" t="s">
        <v>33</v>
      </c>
    </row>
    <row r="20726" ht="15.75" customHeight="1">
      <c r="A20726" s="7"/>
      <c r="B20726" s="7"/>
      <c r="M20726" s="9" t="s">
        <v>30</v>
      </c>
    </row>
    <row r="20727" ht="15.75" customHeight="1">
      <c r="A20727" s="7"/>
      <c r="B20727" s="7"/>
      <c r="M20727" s="9" t="s">
        <v>23</v>
      </c>
    </row>
    <row r="20728" ht="15.75" customHeight="1">
      <c r="A20728" s="7"/>
      <c r="B20728" s="7"/>
      <c r="M20728" s="9" t="s">
        <v>24</v>
      </c>
    </row>
    <row r="20729" ht="15.75" customHeight="1">
      <c r="A20729" s="7"/>
      <c r="B20729" s="7"/>
      <c r="M20729" s="9" t="s">
        <v>21</v>
      </c>
    </row>
    <row r="20730" ht="15.75" customHeight="1">
      <c r="A20730" s="7"/>
      <c r="B20730" s="7"/>
      <c r="M20730" s="9" t="s">
        <v>22</v>
      </c>
    </row>
    <row r="20731" ht="15.75" customHeight="1">
      <c r="A20731" s="7"/>
      <c r="B20731" s="7"/>
      <c r="M20731" s="9" t="s">
        <v>24</v>
      </c>
    </row>
    <row r="20732" ht="15.75" customHeight="1">
      <c r="A20732" s="7"/>
      <c r="B20732" s="7"/>
      <c r="M20732" s="9" t="s">
        <v>20</v>
      </c>
    </row>
    <row r="20733" ht="15.75" customHeight="1">
      <c r="A20733" s="7"/>
      <c r="B20733" s="7"/>
      <c r="M20733" s="9" t="s">
        <v>21</v>
      </c>
    </row>
    <row r="20734" ht="15.75" customHeight="1">
      <c r="A20734" s="7"/>
      <c r="B20734" s="7"/>
      <c r="M20734" s="9" t="s">
        <v>22</v>
      </c>
    </row>
    <row r="20735" ht="15.75" customHeight="1">
      <c r="A20735" s="7"/>
      <c r="B20735" s="7"/>
      <c r="M20735" s="9" t="s">
        <v>30</v>
      </c>
    </row>
    <row r="20736" ht="15.75" customHeight="1">
      <c r="A20736" s="7"/>
      <c r="B20736" s="7"/>
      <c r="M20736" s="9" t="s">
        <v>25</v>
      </c>
    </row>
    <row r="20737" ht="15.75" customHeight="1">
      <c r="A20737" s="7"/>
      <c r="B20737" s="7"/>
      <c r="M20737" s="9" t="s">
        <v>23</v>
      </c>
    </row>
    <row r="20738" ht="15.75" customHeight="1">
      <c r="A20738" s="7"/>
      <c r="B20738" s="7"/>
      <c r="M20738" s="9" t="s">
        <v>26</v>
      </c>
    </row>
    <row r="20739" ht="15.75" customHeight="1">
      <c r="A20739" s="7"/>
      <c r="B20739" s="7"/>
      <c r="M20739" s="9" t="s">
        <v>36</v>
      </c>
    </row>
    <row r="20740" ht="15.75" customHeight="1">
      <c r="A20740" s="7"/>
      <c r="B20740" s="7"/>
      <c r="M20740" s="9" t="s">
        <v>24</v>
      </c>
    </row>
    <row r="20741" ht="15.75" customHeight="1">
      <c r="A20741" s="7"/>
      <c r="B20741" s="7"/>
      <c r="M20741" s="9" t="s">
        <v>21</v>
      </c>
    </row>
    <row r="20742" ht="15.75" customHeight="1">
      <c r="A20742" s="7"/>
      <c r="B20742" s="7"/>
      <c r="M20742" s="9" t="s">
        <v>37</v>
      </c>
    </row>
    <row r="20743" ht="15.75" customHeight="1">
      <c r="A20743" s="7"/>
      <c r="B20743" s="7"/>
      <c r="M20743" s="9" t="s">
        <v>22</v>
      </c>
    </row>
    <row r="20744" ht="15.75" customHeight="1">
      <c r="A20744" s="7"/>
      <c r="B20744" s="7"/>
      <c r="M20744" s="9" t="s">
        <v>27</v>
      </c>
    </row>
    <row r="20745" ht="15.75" customHeight="1">
      <c r="A20745" s="7"/>
      <c r="B20745" s="7"/>
      <c r="M20745" s="9" t="s">
        <v>35</v>
      </c>
    </row>
    <row r="20746" ht="15.75" customHeight="1">
      <c r="A20746" s="7"/>
      <c r="B20746" s="7"/>
      <c r="M20746" s="9" t="s">
        <v>36</v>
      </c>
    </row>
    <row r="20747" ht="15.75" customHeight="1">
      <c r="A20747" s="7"/>
      <c r="B20747" s="7"/>
      <c r="M20747" s="9" t="s">
        <v>24</v>
      </c>
    </row>
    <row r="20748" ht="15.75" customHeight="1">
      <c r="A20748" s="7"/>
      <c r="B20748" s="7"/>
      <c r="M20748" s="9" t="s">
        <v>20</v>
      </c>
    </row>
    <row r="20749" ht="15.75" customHeight="1">
      <c r="A20749" s="7"/>
      <c r="B20749" s="7"/>
      <c r="M20749" s="9" t="s">
        <v>21</v>
      </c>
    </row>
    <row r="20750" ht="15.75" customHeight="1">
      <c r="A20750" s="7"/>
      <c r="B20750" s="7"/>
      <c r="M20750" s="9" t="s">
        <v>37</v>
      </c>
    </row>
    <row r="20751" ht="15.75" customHeight="1">
      <c r="A20751" s="7"/>
      <c r="B20751" s="7"/>
      <c r="M20751" s="9" t="s">
        <v>36</v>
      </c>
    </row>
    <row r="20752" ht="15.75" customHeight="1">
      <c r="A20752" s="7"/>
      <c r="B20752" s="7"/>
      <c r="M20752" s="9" t="s">
        <v>24</v>
      </c>
    </row>
    <row r="20753" ht="15.75" customHeight="1">
      <c r="A20753" s="7"/>
      <c r="B20753" s="7"/>
      <c r="M20753" s="9" t="s">
        <v>21</v>
      </c>
    </row>
    <row r="20754" ht="15.75" customHeight="1">
      <c r="A20754" s="7"/>
      <c r="B20754" s="7"/>
      <c r="M20754" s="9" t="s">
        <v>31</v>
      </c>
    </row>
    <row r="20755" ht="15.75" customHeight="1">
      <c r="A20755" s="7"/>
      <c r="B20755" s="7"/>
      <c r="M20755" s="9" t="s">
        <v>27</v>
      </c>
    </row>
    <row r="20756" ht="15.75" customHeight="1">
      <c r="A20756" s="7"/>
      <c r="B20756" s="7"/>
      <c r="M20756" s="9" t="s">
        <v>20</v>
      </c>
    </row>
    <row r="20757" ht="15.75" customHeight="1">
      <c r="A20757" s="7"/>
      <c r="B20757" s="7"/>
      <c r="M20757" s="9" t="s">
        <v>21</v>
      </c>
    </row>
    <row r="20758" ht="15.75" customHeight="1">
      <c r="A20758" s="7"/>
      <c r="B20758" s="7"/>
      <c r="M20758" s="9" t="s">
        <v>22</v>
      </c>
    </row>
    <row r="20759" ht="15.75" customHeight="1">
      <c r="A20759" s="7"/>
      <c r="B20759" s="7"/>
      <c r="M20759" s="9" t="s">
        <v>25</v>
      </c>
    </row>
    <row r="20760" ht="15.75" customHeight="1">
      <c r="A20760" s="7"/>
      <c r="B20760" s="7"/>
      <c r="M20760" s="9" t="s">
        <v>24</v>
      </c>
    </row>
    <row r="20761" ht="15.75" customHeight="1">
      <c r="A20761" s="7"/>
      <c r="B20761" s="7"/>
      <c r="M20761" s="9" t="s">
        <v>20</v>
      </c>
    </row>
    <row r="20762" ht="15.75" customHeight="1">
      <c r="A20762" s="7"/>
      <c r="B20762" s="7"/>
      <c r="M20762" s="9" t="s">
        <v>21</v>
      </c>
    </row>
    <row r="20763" ht="15.75" customHeight="1">
      <c r="A20763" s="7"/>
      <c r="B20763" s="7"/>
      <c r="M20763" s="9" t="s">
        <v>22</v>
      </c>
    </row>
    <row r="20764" ht="15.75" customHeight="1">
      <c r="A20764" s="7"/>
      <c r="B20764" s="7"/>
      <c r="M20764" s="9" t="s">
        <v>27</v>
      </c>
    </row>
    <row r="20765" ht="15.75" customHeight="1">
      <c r="A20765" s="7"/>
      <c r="B20765" s="7"/>
      <c r="M20765" s="9" t="s">
        <v>26</v>
      </c>
    </row>
    <row r="20766" ht="15.75" customHeight="1">
      <c r="A20766" s="7"/>
      <c r="B20766" s="7"/>
      <c r="M20766" s="9" t="s">
        <v>24</v>
      </c>
    </row>
    <row r="20767" ht="15.75" customHeight="1">
      <c r="A20767" s="7"/>
      <c r="B20767" s="7"/>
      <c r="M20767" s="9" t="s">
        <v>21</v>
      </c>
    </row>
    <row r="20768" ht="15.75" customHeight="1">
      <c r="A20768" s="7"/>
      <c r="B20768" s="7"/>
      <c r="M20768" s="9" t="s">
        <v>35</v>
      </c>
    </row>
    <row r="20769" ht="15.75" customHeight="1">
      <c r="A20769" s="7"/>
      <c r="B20769" s="7"/>
      <c r="M20769" s="9" t="s">
        <v>45</v>
      </c>
    </row>
    <row r="20770" ht="15.75" customHeight="1">
      <c r="A20770" s="7"/>
      <c r="B20770" s="7"/>
      <c r="M20770" s="9" t="s">
        <v>22</v>
      </c>
    </row>
    <row r="20771" ht="15.75" customHeight="1">
      <c r="A20771" s="7"/>
      <c r="B20771" s="7"/>
      <c r="M20771" s="9" t="s">
        <v>29</v>
      </c>
    </row>
    <row r="20772" ht="15.75" customHeight="1">
      <c r="A20772" s="7"/>
      <c r="B20772" s="7"/>
      <c r="M20772" s="9" t="s">
        <v>35</v>
      </c>
    </row>
    <row r="20773" ht="15.75" customHeight="1">
      <c r="A20773" s="7"/>
      <c r="B20773" s="7"/>
      <c r="M20773" s="9" t="s">
        <v>30</v>
      </c>
    </row>
    <row r="20774" ht="15.75" customHeight="1">
      <c r="A20774" s="7"/>
      <c r="B20774" s="7"/>
      <c r="M20774" s="9" t="s">
        <v>25</v>
      </c>
    </row>
    <row r="20775" ht="15.75" customHeight="1">
      <c r="A20775" s="7"/>
      <c r="B20775" s="7"/>
      <c r="M20775" s="9" t="s">
        <v>23</v>
      </c>
    </row>
    <row r="20776" ht="15.75" customHeight="1">
      <c r="A20776" s="7"/>
      <c r="B20776" s="7"/>
      <c r="M20776" s="9" t="s">
        <v>24</v>
      </c>
    </row>
    <row r="20777" ht="15.75" customHeight="1">
      <c r="A20777" s="7"/>
      <c r="B20777" s="7"/>
      <c r="M20777" s="9" t="s">
        <v>21</v>
      </c>
    </row>
    <row r="20778" ht="15.75" customHeight="1">
      <c r="A20778" s="7"/>
      <c r="B20778" s="7"/>
      <c r="M20778" s="9" t="s">
        <v>22</v>
      </c>
    </row>
    <row r="20779" ht="15.75" customHeight="1">
      <c r="A20779" s="7"/>
      <c r="B20779" s="7"/>
      <c r="M20779" s="9" t="s">
        <v>26</v>
      </c>
    </row>
    <row r="20780" ht="15.75" customHeight="1">
      <c r="A20780" s="7"/>
      <c r="B20780" s="7"/>
      <c r="M20780" s="9" t="s">
        <v>24</v>
      </c>
    </row>
    <row r="20781" ht="15.75" customHeight="1">
      <c r="A20781" s="7"/>
      <c r="B20781" s="7"/>
      <c r="M20781" s="9" t="s">
        <v>20</v>
      </c>
    </row>
    <row r="20782" ht="15.75" customHeight="1">
      <c r="A20782" s="7"/>
      <c r="B20782" s="7"/>
      <c r="M20782" s="9" t="s">
        <v>21</v>
      </c>
    </row>
    <row r="20783" ht="15.75" customHeight="1">
      <c r="A20783" s="7"/>
      <c r="B20783" s="7"/>
      <c r="M20783" s="9" t="s">
        <v>37</v>
      </c>
    </row>
    <row r="20784" ht="15.75" customHeight="1">
      <c r="A20784" s="7"/>
      <c r="B20784" s="7"/>
      <c r="M20784" s="9" t="s">
        <v>27</v>
      </c>
    </row>
    <row r="20785" ht="15.75" customHeight="1">
      <c r="A20785" s="7"/>
      <c r="B20785" s="7"/>
      <c r="M20785" s="9" t="s">
        <v>30</v>
      </c>
    </row>
    <row r="20786" ht="15.75" customHeight="1">
      <c r="A20786" s="7"/>
      <c r="B20786" s="7"/>
      <c r="M20786" s="9" t="s">
        <v>25</v>
      </c>
    </row>
    <row r="20787" ht="15.75" customHeight="1">
      <c r="A20787" s="7"/>
      <c r="B20787" s="7"/>
      <c r="M20787" s="9" t="s">
        <v>23</v>
      </c>
    </row>
    <row r="20788" ht="15.75" customHeight="1">
      <c r="A20788" s="7"/>
      <c r="B20788" s="7"/>
      <c r="M20788" s="9" t="s">
        <v>32</v>
      </c>
    </row>
    <row r="20789" ht="15.75" customHeight="1">
      <c r="A20789" s="7"/>
      <c r="B20789" s="7"/>
      <c r="M20789" s="9" t="s">
        <v>30</v>
      </c>
    </row>
    <row r="20790" ht="15.75" customHeight="1">
      <c r="A20790" s="7"/>
      <c r="B20790" s="7"/>
      <c r="M20790" s="9" t="s">
        <v>25</v>
      </c>
    </row>
    <row r="20791" ht="15.75" customHeight="1">
      <c r="A20791" s="7"/>
      <c r="B20791" s="7"/>
      <c r="M20791" s="9" t="s">
        <v>24</v>
      </c>
    </row>
    <row r="20792" ht="15.75" customHeight="1">
      <c r="A20792" s="7"/>
      <c r="B20792" s="7"/>
      <c r="M20792" s="9" t="s">
        <v>20</v>
      </c>
    </row>
    <row r="20793" ht="15.75" customHeight="1">
      <c r="A20793" s="7"/>
      <c r="B20793" s="7"/>
      <c r="M20793" s="9" t="s">
        <v>22</v>
      </c>
    </row>
    <row r="20794" ht="15.75" customHeight="1">
      <c r="A20794" s="7"/>
      <c r="B20794" s="7"/>
      <c r="M20794" s="9" t="s">
        <v>25</v>
      </c>
    </row>
    <row r="20795" ht="15.75" customHeight="1">
      <c r="A20795" s="7"/>
      <c r="B20795" s="7"/>
      <c r="M20795" s="9" t="s">
        <v>22</v>
      </c>
    </row>
    <row r="20796" ht="15.75" customHeight="1">
      <c r="A20796" s="7"/>
      <c r="B20796" s="7"/>
      <c r="M20796" s="9" t="s">
        <v>30</v>
      </c>
    </row>
    <row r="20797" ht="15.75" customHeight="1">
      <c r="A20797" s="7"/>
      <c r="B20797" s="7"/>
      <c r="M20797" s="9" t="s">
        <v>20</v>
      </c>
    </row>
    <row r="20798" ht="15.75" customHeight="1">
      <c r="A20798" s="7"/>
      <c r="B20798" s="7"/>
      <c r="M20798" s="9" t="s">
        <v>21</v>
      </c>
    </row>
    <row r="20799" ht="15.75" customHeight="1">
      <c r="A20799" s="7"/>
      <c r="B20799" s="7"/>
      <c r="M20799" s="9" t="s">
        <v>32</v>
      </c>
    </row>
    <row r="20800" ht="15.75" customHeight="1">
      <c r="A20800" s="7"/>
      <c r="B20800" s="7"/>
      <c r="M20800" s="9" t="s">
        <v>46</v>
      </c>
    </row>
    <row r="20801" ht="15.75" customHeight="1">
      <c r="A20801" s="7"/>
      <c r="B20801" s="7"/>
      <c r="M20801" s="9" t="s">
        <v>33</v>
      </c>
    </row>
    <row r="20802" ht="15.75" customHeight="1">
      <c r="A20802" s="7"/>
      <c r="B20802" s="7"/>
      <c r="M20802" s="9" t="s">
        <v>26</v>
      </c>
    </row>
    <row r="20803" ht="15.75" customHeight="1">
      <c r="A20803" s="7"/>
      <c r="B20803" s="7"/>
      <c r="M20803" s="9" t="s">
        <v>24</v>
      </c>
    </row>
    <row r="20804" ht="15.75" customHeight="1">
      <c r="A20804" s="7"/>
      <c r="B20804" s="7"/>
      <c r="M20804" s="9" t="s">
        <v>21</v>
      </c>
    </row>
    <row r="20805" ht="15.75" customHeight="1">
      <c r="A20805" s="7"/>
      <c r="B20805" s="7"/>
      <c r="M20805" s="9" t="s">
        <v>31</v>
      </c>
    </row>
    <row r="20806" ht="15.75" customHeight="1">
      <c r="A20806" s="7"/>
      <c r="B20806" s="7"/>
      <c r="M20806" s="9" t="s">
        <v>27</v>
      </c>
    </row>
    <row r="20807" ht="15.75" customHeight="1">
      <c r="A20807" s="7"/>
      <c r="B20807" s="7"/>
      <c r="M20807" s="9" t="s">
        <v>33</v>
      </c>
    </row>
    <row r="20808" ht="15.75" customHeight="1">
      <c r="A20808" s="7"/>
      <c r="B20808" s="7"/>
      <c r="M20808" s="9" t="s">
        <v>20</v>
      </c>
    </row>
    <row r="20809" ht="15.75" customHeight="1">
      <c r="A20809" s="7"/>
      <c r="B20809" s="7"/>
      <c r="M20809" s="9" t="s">
        <v>21</v>
      </c>
    </row>
    <row r="20810" ht="15.75" customHeight="1">
      <c r="A20810" s="7"/>
      <c r="B20810" s="7"/>
      <c r="M20810" s="9" t="s">
        <v>35</v>
      </c>
    </row>
    <row r="20811" ht="15.75" customHeight="1">
      <c r="A20811" s="7"/>
      <c r="B20811" s="7"/>
      <c r="M20811" s="9" t="s">
        <v>24</v>
      </c>
    </row>
    <row r="20812" ht="15.75" customHeight="1">
      <c r="A20812" s="7"/>
      <c r="B20812" s="7"/>
      <c r="M20812" s="9" t="s">
        <v>21</v>
      </c>
    </row>
    <row r="20813" ht="15.75" customHeight="1">
      <c r="A20813" s="7"/>
      <c r="B20813" s="7"/>
      <c r="M20813" s="9" t="s">
        <v>37</v>
      </c>
    </row>
    <row r="20814" ht="15.75" customHeight="1">
      <c r="A20814" s="7"/>
      <c r="B20814" s="7"/>
      <c r="M20814" s="9" t="s">
        <v>27</v>
      </c>
    </row>
    <row r="20815" ht="15.75" customHeight="1">
      <c r="A20815" s="7"/>
      <c r="B20815" s="7"/>
      <c r="M20815" s="9" t="s">
        <v>30</v>
      </c>
    </row>
    <row r="20816" ht="15.75" customHeight="1">
      <c r="A20816" s="7"/>
      <c r="B20816" s="7"/>
      <c r="M20816" s="9" t="s">
        <v>36</v>
      </c>
    </row>
    <row r="20817" ht="15.75" customHeight="1">
      <c r="A20817" s="7"/>
      <c r="B20817" s="7"/>
      <c r="M20817" s="9" t="s">
        <v>22</v>
      </c>
    </row>
    <row r="20818" ht="15.75" customHeight="1">
      <c r="A20818" s="7"/>
      <c r="B20818" s="7"/>
      <c r="M20818" s="9" t="s">
        <v>29</v>
      </c>
    </row>
    <row r="20819" ht="15.75" customHeight="1">
      <c r="A20819" s="7"/>
      <c r="B20819" s="7"/>
      <c r="M20819" s="9" t="s">
        <v>27</v>
      </c>
    </row>
    <row r="20820" ht="15.75" customHeight="1">
      <c r="A20820" s="7"/>
      <c r="B20820" s="7"/>
      <c r="M20820" s="9" t="s">
        <v>30</v>
      </c>
    </row>
    <row r="20821" ht="15.75" customHeight="1">
      <c r="A20821" s="7"/>
      <c r="B20821" s="7"/>
      <c r="M20821" s="9" t="s">
        <v>26</v>
      </c>
    </row>
    <row r="20822" ht="15.75" customHeight="1">
      <c r="A20822" s="7"/>
      <c r="B20822" s="7"/>
      <c r="M20822" s="9" t="s">
        <v>24</v>
      </c>
    </row>
    <row r="20823" ht="15.75" customHeight="1">
      <c r="A20823" s="7"/>
      <c r="B20823" s="7"/>
      <c r="M20823" s="9" t="s">
        <v>21</v>
      </c>
    </row>
    <row r="20824" ht="15.75" customHeight="1">
      <c r="A20824" s="7"/>
      <c r="B20824" s="7"/>
      <c r="M20824" s="9" t="s">
        <v>22</v>
      </c>
    </row>
    <row r="20825" ht="15.75" customHeight="1">
      <c r="A20825" s="7"/>
      <c r="B20825" s="7"/>
      <c r="M20825" s="9" t="s">
        <v>27</v>
      </c>
    </row>
    <row r="20826" ht="15.75" customHeight="1">
      <c r="A20826" s="7"/>
      <c r="B20826" s="7"/>
      <c r="M20826" s="9" t="s">
        <v>28</v>
      </c>
    </row>
    <row r="20827" ht="15.75" customHeight="1">
      <c r="A20827" s="7"/>
      <c r="B20827" s="7"/>
      <c r="M20827" s="9" t="s">
        <v>24</v>
      </c>
    </row>
    <row r="20828" ht="15.75" customHeight="1">
      <c r="A20828" s="7"/>
      <c r="B20828" s="7"/>
      <c r="M20828" s="9" t="s">
        <v>20</v>
      </c>
    </row>
    <row r="20829" ht="15.75" customHeight="1">
      <c r="A20829" s="7"/>
      <c r="B20829" s="7"/>
      <c r="M20829" s="9" t="s">
        <v>21</v>
      </c>
    </row>
    <row r="20830" ht="15.75" customHeight="1">
      <c r="A20830" s="7"/>
      <c r="B20830" s="7"/>
      <c r="M20830" s="9" t="s">
        <v>33</v>
      </c>
    </row>
    <row r="20831" ht="15.75" customHeight="1">
      <c r="A20831" s="7"/>
      <c r="B20831" s="7"/>
      <c r="M20831" s="9" t="s">
        <v>25</v>
      </c>
    </row>
    <row r="20832" ht="15.75" customHeight="1">
      <c r="A20832" s="7"/>
      <c r="B20832" s="7"/>
      <c r="M20832" s="9" t="s">
        <v>24</v>
      </c>
    </row>
    <row r="20833" ht="15.75" customHeight="1">
      <c r="A20833" s="7"/>
      <c r="B20833" s="7"/>
      <c r="M20833" s="9" t="s">
        <v>21</v>
      </c>
    </row>
    <row r="20834" ht="15.75" customHeight="1">
      <c r="A20834" s="7"/>
      <c r="B20834" s="7"/>
      <c r="M20834" s="9" t="s">
        <v>37</v>
      </c>
    </row>
    <row r="20835" ht="15.75" customHeight="1">
      <c r="A20835" s="7"/>
      <c r="B20835" s="7"/>
      <c r="M20835" s="9" t="s">
        <v>22</v>
      </c>
    </row>
    <row r="20836" ht="15.75" customHeight="1">
      <c r="A20836" s="7"/>
      <c r="B20836" s="7"/>
      <c r="M20836" s="9" t="s">
        <v>27</v>
      </c>
    </row>
    <row r="20837" ht="15.75" customHeight="1">
      <c r="A20837" s="7"/>
      <c r="B20837" s="7"/>
      <c r="M20837" s="9" t="s">
        <v>22</v>
      </c>
    </row>
    <row r="20838" ht="15.75" customHeight="1">
      <c r="A20838" s="7"/>
      <c r="B20838" s="7"/>
      <c r="M20838" s="9" t="s">
        <v>25</v>
      </c>
    </row>
    <row r="20839" ht="15.75" customHeight="1">
      <c r="A20839" s="7"/>
      <c r="B20839" s="7"/>
      <c r="M20839" s="9" t="s">
        <v>24</v>
      </c>
    </row>
    <row r="20840" ht="15.75" customHeight="1">
      <c r="A20840" s="7"/>
      <c r="B20840" s="7"/>
      <c r="M20840" s="9" t="s">
        <v>21</v>
      </c>
    </row>
    <row r="20841" ht="15.75" customHeight="1">
      <c r="A20841" s="7"/>
      <c r="B20841" s="7"/>
      <c r="M20841" s="9" t="s">
        <v>37</v>
      </c>
    </row>
    <row r="20842" ht="15.75" customHeight="1">
      <c r="A20842" s="7"/>
      <c r="B20842" s="7"/>
      <c r="M20842" s="9" t="s">
        <v>30</v>
      </c>
    </row>
    <row r="20843" ht="15.75" customHeight="1">
      <c r="A20843" s="7"/>
      <c r="B20843" s="7"/>
      <c r="M20843" s="9" t="s">
        <v>26</v>
      </c>
    </row>
    <row r="20844" ht="15.75" customHeight="1">
      <c r="A20844" s="7"/>
      <c r="B20844" s="7"/>
      <c r="M20844" s="9" t="s">
        <v>36</v>
      </c>
    </row>
    <row r="20845" ht="15.75" customHeight="1">
      <c r="A20845" s="7"/>
      <c r="B20845" s="7"/>
      <c r="M20845" s="9" t="s">
        <v>24</v>
      </c>
    </row>
    <row r="20846" ht="15.75" customHeight="1">
      <c r="A20846" s="7"/>
      <c r="B20846" s="7"/>
      <c r="M20846" s="9" t="s">
        <v>20</v>
      </c>
    </row>
    <row r="20847" ht="15.75" customHeight="1">
      <c r="A20847" s="7"/>
      <c r="B20847" s="7"/>
      <c r="M20847" s="9" t="s">
        <v>21</v>
      </c>
    </row>
    <row r="20848" ht="15.75" customHeight="1">
      <c r="A20848" s="7"/>
      <c r="B20848" s="7"/>
      <c r="M20848" s="9" t="s">
        <v>39</v>
      </c>
    </row>
    <row r="20849" ht="15.75" customHeight="1">
      <c r="A20849" s="7"/>
      <c r="B20849" s="7"/>
      <c r="M20849" s="9" t="s">
        <v>37</v>
      </c>
    </row>
    <row r="20850" ht="15.75" customHeight="1">
      <c r="A20850" s="7"/>
      <c r="B20850" s="7"/>
      <c r="M20850" s="9" t="s">
        <v>27</v>
      </c>
    </row>
    <row r="20851" ht="15.75" customHeight="1">
      <c r="A20851" s="7"/>
      <c r="B20851" s="7"/>
      <c r="M20851" s="9" t="s">
        <v>33</v>
      </c>
    </row>
    <row r="20852" ht="15.75" customHeight="1">
      <c r="A20852" s="7"/>
      <c r="B20852" s="7"/>
      <c r="M20852" s="9" t="s">
        <v>35</v>
      </c>
    </row>
    <row r="20853" ht="15.75" customHeight="1">
      <c r="A20853" s="7"/>
      <c r="B20853" s="7"/>
      <c r="M20853" s="9" t="s">
        <v>30</v>
      </c>
    </row>
    <row r="20854" ht="15.75" customHeight="1">
      <c r="A20854" s="7"/>
      <c r="B20854" s="7"/>
      <c r="M20854" s="9" t="s">
        <v>47</v>
      </c>
    </row>
    <row r="20855" ht="15.75" customHeight="1">
      <c r="A20855" s="7"/>
      <c r="B20855" s="7"/>
      <c r="M20855" s="9" t="s">
        <v>45</v>
      </c>
    </row>
    <row r="20856" ht="15.75" customHeight="1">
      <c r="A20856" s="7"/>
      <c r="B20856" s="7"/>
      <c r="M20856" s="9" t="s">
        <v>24</v>
      </c>
    </row>
    <row r="20857" ht="15.75" customHeight="1">
      <c r="A20857" s="7"/>
      <c r="B20857" s="7"/>
      <c r="M20857" s="9" t="s">
        <v>20</v>
      </c>
    </row>
    <row r="20858" ht="15.75" customHeight="1">
      <c r="A20858" s="7"/>
      <c r="B20858" s="7"/>
      <c r="M20858" s="9" t="s">
        <v>21</v>
      </c>
    </row>
    <row r="20859" ht="15.75" customHeight="1">
      <c r="A20859" s="7"/>
      <c r="B20859" s="7"/>
      <c r="M20859" s="9" t="s">
        <v>39</v>
      </c>
    </row>
    <row r="20860" ht="15.75" customHeight="1">
      <c r="A20860" s="7"/>
      <c r="B20860" s="7"/>
      <c r="M20860" s="9" t="s">
        <v>22</v>
      </c>
    </row>
    <row r="20861" ht="15.75" customHeight="1">
      <c r="A20861" s="7"/>
      <c r="B20861" s="7"/>
      <c r="M20861" s="9" t="s">
        <v>31</v>
      </c>
    </row>
    <row r="20862" ht="15.75" customHeight="1">
      <c r="A20862" s="7"/>
      <c r="B20862" s="7"/>
      <c r="M20862" s="9" t="s">
        <v>46</v>
      </c>
    </row>
    <row r="20863" ht="15.75" customHeight="1">
      <c r="A20863" s="7"/>
      <c r="B20863" s="7"/>
      <c r="M20863" s="9" t="s">
        <v>27</v>
      </c>
    </row>
    <row r="20864" ht="15.75" customHeight="1">
      <c r="A20864" s="7"/>
      <c r="B20864" s="7"/>
      <c r="M20864" s="9" t="s">
        <v>35</v>
      </c>
    </row>
    <row r="20865" ht="15.75" customHeight="1">
      <c r="A20865" s="7"/>
      <c r="B20865" s="7"/>
      <c r="M20865" s="9" t="s">
        <v>30</v>
      </c>
    </row>
    <row r="20866" ht="15.75" customHeight="1">
      <c r="A20866" s="7"/>
      <c r="B20866" s="7"/>
      <c r="M20866" s="9" t="s">
        <v>24</v>
      </c>
    </row>
    <row r="20867" ht="15.75" customHeight="1">
      <c r="A20867" s="7"/>
      <c r="B20867" s="7"/>
      <c r="M20867" s="9" t="s">
        <v>20</v>
      </c>
    </row>
    <row r="20868" ht="15.75" customHeight="1">
      <c r="A20868" s="7"/>
      <c r="B20868" s="7"/>
      <c r="M20868" s="9" t="s">
        <v>21</v>
      </c>
    </row>
    <row r="20869" ht="15.75" customHeight="1">
      <c r="A20869" s="7"/>
      <c r="B20869" s="7"/>
      <c r="M20869" s="9" t="s">
        <v>39</v>
      </c>
    </row>
    <row r="20870" ht="15.75" customHeight="1">
      <c r="A20870" s="7"/>
      <c r="B20870" s="7"/>
      <c r="M20870" s="9" t="s">
        <v>22</v>
      </c>
    </row>
    <row r="20871" ht="15.75" customHeight="1">
      <c r="A20871" s="7"/>
      <c r="B20871" s="7"/>
      <c r="M20871" s="9" t="s">
        <v>33</v>
      </c>
    </row>
    <row r="20872" ht="15.75" customHeight="1">
      <c r="A20872" s="7"/>
      <c r="B20872" s="7"/>
      <c r="M20872" s="9" t="s">
        <v>38</v>
      </c>
    </row>
    <row r="20873" ht="15.75" customHeight="1">
      <c r="A20873" s="7"/>
      <c r="B20873" s="7"/>
      <c r="M20873" s="9" t="s">
        <v>30</v>
      </c>
    </row>
    <row r="20874" ht="15.75" customHeight="1">
      <c r="A20874" s="7"/>
      <c r="B20874" s="7"/>
      <c r="M20874" s="9" t="s">
        <v>25</v>
      </c>
    </row>
    <row r="20875" ht="15.75" customHeight="1">
      <c r="A20875" s="7"/>
      <c r="B20875" s="7"/>
      <c r="M20875" s="9" t="s">
        <v>23</v>
      </c>
    </row>
    <row r="20876" ht="15.75" customHeight="1">
      <c r="A20876" s="7"/>
      <c r="B20876" s="7"/>
      <c r="M20876" s="9" t="s">
        <v>22</v>
      </c>
    </row>
    <row r="20877" ht="15.75" customHeight="1">
      <c r="A20877" s="7"/>
      <c r="B20877" s="7"/>
      <c r="M20877" s="9" t="s">
        <v>35</v>
      </c>
    </row>
    <row r="20878" ht="15.75" customHeight="1">
      <c r="A20878" s="7"/>
      <c r="B20878" s="7"/>
      <c r="M20878" s="9" t="s">
        <v>20</v>
      </c>
    </row>
    <row r="20879" ht="15.75" customHeight="1">
      <c r="A20879" s="7"/>
      <c r="B20879" s="7"/>
      <c r="M20879" s="9" t="s">
        <v>24</v>
      </c>
    </row>
    <row r="20880" ht="15.75" customHeight="1">
      <c r="A20880" s="7"/>
      <c r="B20880" s="7"/>
      <c r="M20880" s="9" t="s">
        <v>21</v>
      </c>
    </row>
    <row r="20881" ht="15.75" customHeight="1">
      <c r="A20881" s="7"/>
      <c r="B20881" s="7"/>
      <c r="M20881" s="9" t="s">
        <v>37</v>
      </c>
    </row>
    <row r="20882" ht="15.75" customHeight="1">
      <c r="A20882" s="7"/>
      <c r="B20882" s="7"/>
      <c r="M20882" s="9" t="s">
        <v>33</v>
      </c>
    </row>
    <row r="20883" ht="15.75" customHeight="1">
      <c r="A20883" s="7"/>
      <c r="B20883" s="7"/>
      <c r="M20883" s="9" t="s">
        <v>22</v>
      </c>
    </row>
    <row r="20884" ht="15.75" customHeight="1">
      <c r="A20884" s="7"/>
      <c r="B20884" s="7"/>
      <c r="M20884" s="9" t="s">
        <v>30</v>
      </c>
    </row>
    <row r="20885" ht="15.75" customHeight="1">
      <c r="A20885" s="7"/>
      <c r="B20885" s="7"/>
      <c r="M20885" s="9" t="s">
        <v>25</v>
      </c>
    </row>
    <row r="20886" ht="15.75" customHeight="1">
      <c r="A20886" s="7"/>
      <c r="B20886" s="7"/>
      <c r="M20886" s="9" t="s">
        <v>24</v>
      </c>
    </row>
    <row r="20887" ht="15.75" customHeight="1">
      <c r="A20887" s="7"/>
      <c r="B20887" s="7"/>
      <c r="M20887" s="9" t="s">
        <v>20</v>
      </c>
    </row>
    <row r="20888" ht="15.75" customHeight="1">
      <c r="A20888" s="7"/>
      <c r="B20888" s="7"/>
      <c r="M20888" s="9" t="s">
        <v>21</v>
      </c>
    </row>
    <row r="20889" ht="15.75" customHeight="1">
      <c r="A20889" s="7"/>
      <c r="B20889" s="7"/>
      <c r="M20889" s="9" t="s">
        <v>22</v>
      </c>
    </row>
    <row r="20890" ht="15.75" customHeight="1">
      <c r="A20890" s="7"/>
      <c r="B20890" s="7"/>
      <c r="M20890" s="9" t="s">
        <v>30</v>
      </c>
    </row>
    <row r="20891" ht="15.75" customHeight="1">
      <c r="A20891" s="7"/>
      <c r="B20891" s="7"/>
      <c r="M20891" s="9" t="s">
        <v>24</v>
      </c>
    </row>
    <row r="20892" ht="15.75" customHeight="1">
      <c r="A20892" s="7"/>
      <c r="B20892" s="7"/>
      <c r="M20892" s="9" t="s">
        <v>20</v>
      </c>
    </row>
    <row r="20893" ht="15.75" customHeight="1">
      <c r="A20893" s="7"/>
      <c r="B20893" s="7"/>
      <c r="M20893" s="9" t="s">
        <v>21</v>
      </c>
    </row>
    <row r="20894" ht="15.75" customHeight="1">
      <c r="A20894" s="7"/>
      <c r="B20894" s="7"/>
      <c r="M20894" s="9" t="s">
        <v>37</v>
      </c>
    </row>
    <row r="20895" ht="15.75" customHeight="1">
      <c r="A20895" s="7"/>
      <c r="B20895" s="7"/>
      <c r="M20895" s="9" t="s">
        <v>27</v>
      </c>
    </row>
    <row r="20896" ht="15.75" customHeight="1">
      <c r="A20896" s="7"/>
      <c r="B20896" s="7"/>
      <c r="M20896" s="9" t="s">
        <v>20</v>
      </c>
    </row>
    <row r="20897" ht="15.75" customHeight="1">
      <c r="A20897" s="7"/>
      <c r="B20897" s="7"/>
      <c r="M20897" s="9" t="s">
        <v>21</v>
      </c>
    </row>
    <row r="20898" ht="15.75" customHeight="1">
      <c r="A20898" s="7"/>
      <c r="B20898" s="7"/>
      <c r="M20898" s="9" t="s">
        <v>22</v>
      </c>
    </row>
    <row r="20899" ht="15.75" customHeight="1">
      <c r="A20899" s="7"/>
      <c r="B20899" s="7"/>
      <c r="M20899" s="9" t="s">
        <v>27</v>
      </c>
    </row>
    <row r="20900" ht="15.75" customHeight="1">
      <c r="A20900" s="7"/>
      <c r="B20900" s="7"/>
      <c r="M20900" s="9" t="s">
        <v>25</v>
      </c>
    </row>
    <row r="20901" ht="15.75" customHeight="1">
      <c r="A20901" s="7"/>
      <c r="B20901" s="7"/>
      <c r="M20901" s="9" t="s">
        <v>23</v>
      </c>
    </row>
    <row r="20902" ht="15.75" customHeight="1">
      <c r="A20902" s="7"/>
      <c r="B20902" s="7"/>
      <c r="M20902" s="9" t="s">
        <v>26</v>
      </c>
    </row>
    <row r="20903" ht="15.75" customHeight="1">
      <c r="A20903" s="7"/>
      <c r="B20903" s="7"/>
      <c r="M20903" s="9" t="s">
        <v>24</v>
      </c>
    </row>
    <row r="20904" ht="15.75" customHeight="1">
      <c r="A20904" s="7"/>
      <c r="B20904" s="7"/>
      <c r="M20904" s="9" t="s">
        <v>20</v>
      </c>
    </row>
    <row r="20905" ht="15.75" customHeight="1">
      <c r="A20905" s="7"/>
      <c r="B20905" s="7"/>
      <c r="M20905" s="9" t="s">
        <v>21</v>
      </c>
    </row>
    <row r="20906" ht="15.75" customHeight="1">
      <c r="A20906" s="7"/>
      <c r="B20906" s="7"/>
      <c r="M20906" s="9" t="s">
        <v>33</v>
      </c>
    </row>
    <row r="20907" ht="15.75" customHeight="1">
      <c r="A20907" s="7"/>
      <c r="B20907" s="7"/>
      <c r="M20907" s="9" t="s">
        <v>30</v>
      </c>
    </row>
    <row r="20908" ht="15.75" customHeight="1">
      <c r="A20908" s="7"/>
      <c r="B20908" s="7"/>
      <c r="M20908" s="9" t="s">
        <v>23</v>
      </c>
    </row>
    <row r="20909" ht="15.75" customHeight="1">
      <c r="A20909" s="7"/>
      <c r="B20909" s="7"/>
      <c r="M20909" s="9" t="s">
        <v>26</v>
      </c>
    </row>
    <row r="20910" ht="15.75" customHeight="1">
      <c r="A20910" s="7"/>
      <c r="B20910" s="7"/>
      <c r="M20910" s="9" t="s">
        <v>28</v>
      </c>
    </row>
    <row r="20911" ht="15.75" customHeight="1">
      <c r="A20911" s="7"/>
      <c r="B20911" s="7"/>
      <c r="M20911" s="9" t="s">
        <v>24</v>
      </c>
    </row>
    <row r="20912" ht="15.75" customHeight="1">
      <c r="A20912" s="7"/>
      <c r="B20912" s="7"/>
      <c r="M20912" s="9" t="s">
        <v>21</v>
      </c>
    </row>
    <row r="20913" ht="15.75" customHeight="1">
      <c r="A20913" s="7"/>
      <c r="B20913" s="7"/>
      <c r="M20913" s="9" t="s">
        <v>37</v>
      </c>
    </row>
    <row r="20914" ht="15.75" customHeight="1">
      <c r="A20914" s="7"/>
      <c r="B20914" s="7"/>
      <c r="M20914" s="9" t="s">
        <v>27</v>
      </c>
    </row>
    <row r="20915" ht="15.75" customHeight="1">
      <c r="A20915" s="7"/>
      <c r="B20915" s="7"/>
      <c r="M20915" s="9" t="s">
        <v>36</v>
      </c>
    </row>
    <row r="20916" ht="15.75" customHeight="1">
      <c r="A20916" s="7"/>
      <c r="B20916" s="7"/>
      <c r="M20916" s="9" t="s">
        <v>24</v>
      </c>
    </row>
    <row r="20917" ht="15.75" customHeight="1">
      <c r="A20917" s="7"/>
      <c r="B20917" s="7"/>
      <c r="M20917" s="9" t="s">
        <v>21</v>
      </c>
    </row>
    <row r="20918" ht="15.75" customHeight="1">
      <c r="A20918" s="7"/>
      <c r="B20918" s="7"/>
      <c r="M20918" s="9" t="s">
        <v>39</v>
      </c>
    </row>
    <row r="20919" ht="15.75" customHeight="1">
      <c r="A20919" s="7"/>
      <c r="B20919" s="7"/>
      <c r="M20919" s="9" t="s">
        <v>32</v>
      </c>
    </row>
    <row r="20920" ht="15.75" customHeight="1">
      <c r="A20920" s="7"/>
      <c r="B20920" s="7"/>
      <c r="M20920" s="9" t="s">
        <v>23</v>
      </c>
    </row>
    <row r="20921" ht="15.75" customHeight="1">
      <c r="A20921" s="7"/>
      <c r="B20921" s="7"/>
      <c r="M20921" s="9" t="s">
        <v>20</v>
      </c>
    </row>
    <row r="20922" ht="15.75" customHeight="1">
      <c r="A20922" s="7"/>
      <c r="B20922" s="7"/>
      <c r="M20922" s="9" t="s">
        <v>39</v>
      </c>
    </row>
    <row r="20923" ht="15.75" customHeight="1">
      <c r="A20923" s="7"/>
      <c r="B20923" s="7"/>
      <c r="M20923" s="9" t="s">
        <v>30</v>
      </c>
    </row>
    <row r="20924" ht="15.75" customHeight="1">
      <c r="A20924" s="7"/>
      <c r="B20924" s="7"/>
      <c r="M20924" s="9" t="s">
        <v>25</v>
      </c>
    </row>
    <row r="20925" ht="15.75" customHeight="1">
      <c r="A20925" s="7"/>
      <c r="B20925" s="7"/>
      <c r="M20925" s="9" t="s">
        <v>23</v>
      </c>
    </row>
    <row r="20926" ht="15.75" customHeight="1">
      <c r="A20926" s="7"/>
      <c r="B20926" s="7"/>
      <c r="M20926" s="9" t="s">
        <v>21</v>
      </c>
    </row>
    <row r="20927" ht="15.75" customHeight="1">
      <c r="A20927" s="7"/>
      <c r="B20927" s="7"/>
      <c r="M20927" s="9" t="s">
        <v>37</v>
      </c>
    </row>
    <row r="20928" ht="15.75" customHeight="1">
      <c r="A20928" s="7"/>
      <c r="B20928" s="7"/>
      <c r="M20928" s="9" t="s">
        <v>22</v>
      </c>
    </row>
    <row r="20929" ht="15.75" customHeight="1">
      <c r="A20929" s="7"/>
      <c r="B20929" s="7"/>
      <c r="M20929" s="9" t="s">
        <v>24</v>
      </c>
    </row>
    <row r="20930" ht="15.75" customHeight="1">
      <c r="A20930" s="7"/>
      <c r="B20930" s="7"/>
      <c r="M20930" s="9" t="s">
        <v>20</v>
      </c>
    </row>
    <row r="20931" ht="15.75" customHeight="1">
      <c r="A20931" s="7"/>
      <c r="B20931" s="7"/>
      <c r="M20931" s="9" t="s">
        <v>21</v>
      </c>
    </row>
    <row r="20932" ht="15.75" customHeight="1">
      <c r="A20932" s="7"/>
      <c r="B20932" s="7"/>
      <c r="M20932" s="9" t="s">
        <v>22</v>
      </c>
    </row>
    <row r="20933" ht="15.75" customHeight="1">
      <c r="A20933" s="7"/>
      <c r="B20933" s="7"/>
      <c r="M20933" s="9" t="s">
        <v>38</v>
      </c>
    </row>
    <row r="20934" ht="15.75" customHeight="1">
      <c r="A20934" s="7"/>
      <c r="B20934" s="7"/>
      <c r="M20934" s="9" t="s">
        <v>30</v>
      </c>
    </row>
    <row r="20935" ht="15.75" customHeight="1">
      <c r="A20935" s="7"/>
      <c r="B20935" s="7"/>
      <c r="M20935" s="9" t="s">
        <v>25</v>
      </c>
    </row>
    <row r="20936" ht="15.75" customHeight="1">
      <c r="A20936" s="7"/>
      <c r="B20936" s="7"/>
      <c r="M20936" s="9" t="s">
        <v>23</v>
      </c>
    </row>
    <row r="20937" ht="15.75" customHeight="1">
      <c r="A20937" s="7"/>
      <c r="B20937" s="7"/>
      <c r="M20937" s="9" t="s">
        <v>26</v>
      </c>
    </row>
    <row r="20938" ht="15.75" customHeight="1">
      <c r="A20938" s="7"/>
      <c r="B20938" s="7"/>
      <c r="M20938" s="9" t="s">
        <v>24</v>
      </c>
    </row>
    <row r="20939" ht="15.75" customHeight="1">
      <c r="A20939" s="7"/>
      <c r="B20939" s="7"/>
      <c r="M20939" s="9" t="s">
        <v>21</v>
      </c>
    </row>
    <row r="20940" ht="15.75" customHeight="1">
      <c r="A20940" s="7"/>
      <c r="B20940" s="7"/>
      <c r="M20940" s="9" t="s">
        <v>37</v>
      </c>
    </row>
    <row r="20941" ht="15.75" customHeight="1">
      <c r="A20941" s="7"/>
      <c r="B20941" s="7"/>
      <c r="M20941" s="9" t="s">
        <v>27</v>
      </c>
    </row>
    <row r="20942" ht="15.75" customHeight="1">
      <c r="A20942" s="7"/>
      <c r="B20942" s="7"/>
      <c r="M20942" s="9" t="s">
        <v>24</v>
      </c>
    </row>
    <row r="20943" ht="15.75" customHeight="1">
      <c r="A20943" s="7"/>
      <c r="B20943" s="7"/>
      <c r="M20943" s="9" t="s">
        <v>21</v>
      </c>
    </row>
    <row r="20944" ht="15.75" customHeight="1">
      <c r="A20944" s="7"/>
      <c r="B20944" s="7"/>
      <c r="M20944" s="9" t="s">
        <v>27</v>
      </c>
    </row>
    <row r="20945" ht="15.75" customHeight="1">
      <c r="A20945" s="7"/>
      <c r="B20945" s="7"/>
      <c r="M20945" s="9" t="s">
        <v>30</v>
      </c>
    </row>
    <row r="20946" ht="15.75" customHeight="1">
      <c r="A20946" s="7"/>
      <c r="B20946" s="7"/>
      <c r="M20946" s="9" t="s">
        <v>24</v>
      </c>
    </row>
    <row r="20947" ht="15.75" customHeight="1">
      <c r="A20947" s="7"/>
      <c r="B20947" s="7"/>
      <c r="M20947" s="9" t="s">
        <v>21</v>
      </c>
    </row>
    <row r="20948" ht="15.75" customHeight="1">
      <c r="A20948" s="7"/>
      <c r="B20948" s="7"/>
      <c r="M20948" s="9" t="s">
        <v>22</v>
      </c>
    </row>
    <row r="20949" ht="15.75" customHeight="1">
      <c r="A20949" s="7"/>
      <c r="B20949" s="7"/>
      <c r="M20949" s="9" t="s">
        <v>22</v>
      </c>
    </row>
    <row r="20950" ht="15.75" customHeight="1">
      <c r="A20950" s="7"/>
      <c r="B20950" s="7"/>
      <c r="M20950" s="9" t="s">
        <v>29</v>
      </c>
    </row>
    <row r="20951" ht="15.75" customHeight="1">
      <c r="A20951" s="7"/>
      <c r="B20951" s="7"/>
      <c r="M20951" s="9" t="s">
        <v>26</v>
      </c>
    </row>
    <row r="20952" ht="15.75" customHeight="1">
      <c r="A20952" s="7"/>
      <c r="B20952" s="7"/>
      <c r="M20952" s="9" t="s">
        <v>24</v>
      </c>
    </row>
    <row r="20953" ht="15.75" customHeight="1">
      <c r="A20953" s="7"/>
      <c r="B20953" s="7"/>
      <c r="M20953" s="9" t="s">
        <v>21</v>
      </c>
    </row>
    <row r="20954" ht="15.75" customHeight="1">
      <c r="A20954" s="7"/>
      <c r="B20954" s="7"/>
      <c r="M20954" s="9" t="s">
        <v>37</v>
      </c>
    </row>
    <row r="20955" ht="15.75" customHeight="1">
      <c r="A20955" s="7"/>
      <c r="B20955" s="7"/>
      <c r="M20955" s="9" t="s">
        <v>30</v>
      </c>
    </row>
    <row r="20956" ht="15.75" customHeight="1">
      <c r="A20956" s="7"/>
      <c r="B20956" s="7"/>
      <c r="M20956" s="9" t="s">
        <v>25</v>
      </c>
    </row>
    <row r="20957" ht="15.75" customHeight="1">
      <c r="A20957" s="7"/>
      <c r="B20957" s="7"/>
      <c r="M20957" s="9" t="s">
        <v>23</v>
      </c>
    </row>
    <row r="20958" ht="15.75" customHeight="1">
      <c r="A20958" s="7"/>
      <c r="B20958" s="7"/>
      <c r="M20958" s="9" t="s">
        <v>26</v>
      </c>
    </row>
    <row r="20959" ht="15.75" customHeight="1">
      <c r="A20959" s="7"/>
      <c r="B20959" s="7"/>
      <c r="M20959" s="9" t="s">
        <v>24</v>
      </c>
    </row>
    <row r="20960" ht="15.75" customHeight="1">
      <c r="A20960" s="7"/>
      <c r="B20960" s="7"/>
      <c r="M20960" s="9" t="s">
        <v>20</v>
      </c>
    </row>
    <row r="20961" ht="15.75" customHeight="1">
      <c r="A20961" s="7"/>
      <c r="B20961" s="7"/>
      <c r="M20961" s="9" t="s">
        <v>21</v>
      </c>
    </row>
    <row r="20962" ht="15.75" customHeight="1">
      <c r="A20962" s="7"/>
      <c r="B20962" s="7"/>
      <c r="M20962" s="9" t="s">
        <v>39</v>
      </c>
    </row>
    <row r="20963" ht="15.75" customHeight="1">
      <c r="A20963" s="7"/>
      <c r="B20963" s="7"/>
      <c r="M20963" s="9" t="s">
        <v>41</v>
      </c>
    </row>
    <row r="20964" ht="15.75" customHeight="1">
      <c r="A20964" s="7"/>
      <c r="B20964" s="7"/>
      <c r="M20964" s="9" t="s">
        <v>22</v>
      </c>
    </row>
    <row r="20965" ht="15.75" customHeight="1">
      <c r="A20965" s="7"/>
      <c r="B20965" s="7"/>
      <c r="M20965" s="9" t="s">
        <v>40</v>
      </c>
    </row>
    <row r="20966" ht="15.75" customHeight="1">
      <c r="A20966" s="7"/>
      <c r="B20966" s="7"/>
      <c r="M20966" s="9" t="s">
        <v>33</v>
      </c>
    </row>
    <row r="20967" ht="15.75" customHeight="1">
      <c r="A20967" s="7"/>
      <c r="B20967" s="7"/>
      <c r="M20967" s="9" t="s">
        <v>34</v>
      </c>
    </row>
    <row r="20968" ht="15.75" customHeight="1">
      <c r="A20968" s="7"/>
      <c r="B20968" s="7"/>
      <c r="M20968" s="9" t="s">
        <v>35</v>
      </c>
    </row>
    <row r="20969" ht="15.75" customHeight="1">
      <c r="A20969" s="7"/>
      <c r="B20969" s="7"/>
      <c r="M20969" s="9" t="s">
        <v>26</v>
      </c>
    </row>
    <row r="20970" ht="15.75" customHeight="1">
      <c r="A20970" s="7"/>
      <c r="B20970" s="7"/>
      <c r="M20970" s="9" t="s">
        <v>24</v>
      </c>
    </row>
    <row r="20971" ht="15.75" customHeight="1">
      <c r="A20971" s="7"/>
      <c r="B20971" s="7"/>
      <c r="M20971" s="9" t="s">
        <v>21</v>
      </c>
    </row>
    <row r="20972" ht="15.75" customHeight="1">
      <c r="A20972" s="7"/>
      <c r="B20972" s="7"/>
      <c r="M20972" s="9" t="s">
        <v>27</v>
      </c>
    </row>
    <row r="20973" ht="15.75" customHeight="1">
      <c r="A20973" s="7"/>
      <c r="B20973" s="7"/>
      <c r="M20973" s="9" t="s">
        <v>33</v>
      </c>
    </row>
    <row r="20974" ht="15.75" customHeight="1">
      <c r="A20974" s="7"/>
      <c r="B20974" s="7"/>
      <c r="M20974" s="9" t="s">
        <v>26</v>
      </c>
    </row>
    <row r="20975" ht="15.75" customHeight="1">
      <c r="A20975" s="7"/>
      <c r="B20975" s="7"/>
      <c r="M20975" s="9" t="s">
        <v>21</v>
      </c>
    </row>
    <row r="20976" ht="15.75" customHeight="1">
      <c r="A20976" s="7"/>
      <c r="B20976" s="7"/>
      <c r="M20976" s="9" t="s">
        <v>22</v>
      </c>
    </row>
    <row r="20977" ht="15.75" customHeight="1">
      <c r="A20977" s="7"/>
      <c r="B20977" s="7"/>
      <c r="M20977" s="9" t="s">
        <v>27</v>
      </c>
    </row>
    <row r="20978" ht="15.75" customHeight="1">
      <c r="A20978" s="7"/>
      <c r="B20978" s="7"/>
      <c r="M20978" s="9" t="s">
        <v>33</v>
      </c>
    </row>
    <row r="20979" ht="15.75" customHeight="1">
      <c r="A20979" s="7"/>
      <c r="B20979" s="7"/>
      <c r="M20979" s="9" t="s">
        <v>30</v>
      </c>
    </row>
    <row r="20980" ht="15.75" customHeight="1">
      <c r="A20980" s="7"/>
      <c r="B20980" s="7"/>
      <c r="M20980" s="9" t="s">
        <v>25</v>
      </c>
    </row>
    <row r="20981" ht="15.75" customHeight="1">
      <c r="A20981" s="7"/>
      <c r="B20981" s="7"/>
      <c r="M20981" s="9" t="s">
        <v>26</v>
      </c>
    </row>
    <row r="20982" ht="15.75" customHeight="1">
      <c r="A20982" s="7"/>
      <c r="B20982" s="7"/>
      <c r="M20982" s="9" t="s">
        <v>45</v>
      </c>
    </row>
    <row r="20983" ht="15.75" customHeight="1">
      <c r="A20983" s="7"/>
      <c r="B20983" s="7"/>
      <c r="M20983" s="9" t="s">
        <v>36</v>
      </c>
    </row>
    <row r="20984" ht="15.75" customHeight="1">
      <c r="A20984" s="7"/>
      <c r="B20984" s="7"/>
      <c r="M20984" s="9" t="s">
        <v>21</v>
      </c>
    </row>
    <row r="20985" ht="15.75" customHeight="1">
      <c r="A20985" s="7"/>
      <c r="B20985" s="7"/>
      <c r="M20985" s="9" t="s">
        <v>27</v>
      </c>
    </row>
    <row r="20986" ht="15.75" customHeight="1">
      <c r="A20986" s="7"/>
      <c r="B20986" s="7"/>
      <c r="M20986" s="9" t="s">
        <v>30</v>
      </c>
    </row>
    <row r="20987" ht="15.75" customHeight="1">
      <c r="A20987" s="7"/>
      <c r="B20987" s="7"/>
      <c r="M20987" s="9" t="s">
        <v>26</v>
      </c>
    </row>
    <row r="20988" ht="15.75" customHeight="1">
      <c r="A20988" s="7"/>
      <c r="B20988" s="7"/>
      <c r="M20988" s="9" t="s">
        <v>21</v>
      </c>
    </row>
    <row r="20989" ht="15.75" customHeight="1">
      <c r="A20989" s="7"/>
      <c r="B20989" s="7"/>
      <c r="M20989" s="9" t="s">
        <v>37</v>
      </c>
    </row>
    <row r="20990" ht="15.75" customHeight="1">
      <c r="A20990" s="7"/>
      <c r="B20990" s="7"/>
      <c r="M20990" s="9" t="s">
        <v>27</v>
      </c>
    </row>
    <row r="20991" ht="15.75" customHeight="1">
      <c r="A20991" s="7"/>
      <c r="B20991" s="7"/>
      <c r="M20991" s="9" t="s">
        <v>35</v>
      </c>
    </row>
    <row r="20992" ht="15.75" customHeight="1">
      <c r="A20992" s="7"/>
      <c r="B20992" s="7"/>
      <c r="M20992" s="9" t="s">
        <v>20</v>
      </c>
    </row>
    <row r="20993" ht="15.75" customHeight="1">
      <c r="A20993" s="7"/>
      <c r="B20993" s="7"/>
      <c r="M20993" s="9" t="s">
        <v>21</v>
      </c>
    </row>
    <row r="20994" ht="15.75" customHeight="1">
      <c r="A20994" s="7"/>
      <c r="B20994" s="7"/>
      <c r="M20994" s="9" t="s">
        <v>27</v>
      </c>
    </row>
    <row r="20995" ht="15.75" customHeight="1">
      <c r="A20995" s="7"/>
      <c r="B20995" s="7"/>
      <c r="M20995" s="9" t="s">
        <v>28</v>
      </c>
    </row>
    <row r="20996" ht="15.75" customHeight="1">
      <c r="A20996" s="7"/>
      <c r="B20996" s="7"/>
      <c r="M20996" s="9" t="s">
        <v>35</v>
      </c>
    </row>
    <row r="20997" ht="15.75" customHeight="1">
      <c r="A20997" s="7"/>
      <c r="B20997" s="7"/>
      <c r="M20997" s="9" t="s">
        <v>23</v>
      </c>
    </row>
    <row r="20998" ht="15.75" customHeight="1">
      <c r="A20998" s="7"/>
      <c r="B20998" s="7"/>
      <c r="M20998" s="9" t="s">
        <v>24</v>
      </c>
    </row>
    <row r="20999" ht="15.75" customHeight="1">
      <c r="A20999" s="7"/>
      <c r="B20999" s="7"/>
      <c r="M20999" s="9" t="s">
        <v>21</v>
      </c>
    </row>
    <row r="21000" ht="15.75" customHeight="1">
      <c r="A21000" s="7"/>
      <c r="B21000" s="7"/>
      <c r="M21000" s="9" t="s">
        <v>31</v>
      </c>
    </row>
    <row r="21001" ht="15.75" customHeight="1">
      <c r="A21001" s="7"/>
      <c r="B21001" s="7"/>
      <c r="M21001" s="9" t="s">
        <v>27</v>
      </c>
    </row>
    <row r="21002" ht="15.75" customHeight="1">
      <c r="A21002" s="7"/>
      <c r="B21002" s="7"/>
      <c r="M21002" s="9" t="s">
        <v>30</v>
      </c>
    </row>
    <row r="21003" ht="15.75" customHeight="1">
      <c r="A21003" s="7"/>
      <c r="B21003" s="7"/>
      <c r="M21003" s="9" t="s">
        <v>20</v>
      </c>
    </row>
    <row r="21004" ht="15.75" customHeight="1">
      <c r="A21004" s="7"/>
      <c r="B21004" s="7"/>
      <c r="M21004" s="9" t="s">
        <v>22</v>
      </c>
    </row>
    <row r="21005" ht="15.75" customHeight="1">
      <c r="A21005" s="7"/>
      <c r="B21005" s="7"/>
      <c r="M21005" s="9" t="s">
        <v>27</v>
      </c>
    </row>
    <row r="21006" ht="15.75" customHeight="1">
      <c r="A21006" s="7"/>
      <c r="B21006" s="7"/>
      <c r="M21006" s="9" t="s">
        <v>24</v>
      </c>
    </row>
    <row r="21007" ht="15.75" customHeight="1">
      <c r="A21007" s="7"/>
      <c r="B21007" s="7"/>
      <c r="M21007" s="9" t="s">
        <v>21</v>
      </c>
    </row>
    <row r="21008" ht="15.75" customHeight="1">
      <c r="A21008" s="7"/>
      <c r="B21008" s="7"/>
      <c r="M21008" s="9" t="s">
        <v>37</v>
      </c>
    </row>
    <row r="21009" ht="15.75" customHeight="1">
      <c r="A21009" s="7"/>
      <c r="B21009" s="7"/>
      <c r="M21009" s="9" t="s">
        <v>29</v>
      </c>
    </row>
    <row r="21010" ht="15.75" customHeight="1">
      <c r="A21010" s="7"/>
      <c r="B21010" s="7"/>
      <c r="M21010" s="9" t="s">
        <v>27</v>
      </c>
    </row>
    <row r="21011" ht="15.75" customHeight="1">
      <c r="A21011" s="7"/>
      <c r="B21011" s="7"/>
      <c r="M21011" s="9" t="s">
        <v>38</v>
      </c>
    </row>
    <row r="21012" ht="15.75" customHeight="1">
      <c r="A21012" s="7"/>
      <c r="B21012" s="7"/>
      <c r="M21012" s="9" t="s">
        <v>30</v>
      </c>
    </row>
    <row r="21013" ht="15.75" customHeight="1">
      <c r="A21013" s="7"/>
      <c r="B21013" s="7"/>
      <c r="M21013" s="9" t="s">
        <v>25</v>
      </c>
    </row>
    <row r="21014" ht="15.75" customHeight="1">
      <c r="A21014" s="7"/>
      <c r="B21014" s="7"/>
      <c r="M21014" s="9" t="s">
        <v>24</v>
      </c>
    </row>
    <row r="21015" ht="15.75" customHeight="1">
      <c r="A21015" s="7"/>
      <c r="B21015" s="7"/>
      <c r="M21015" s="9" t="s">
        <v>20</v>
      </c>
    </row>
    <row r="21016" ht="15.75" customHeight="1">
      <c r="A21016" s="7"/>
      <c r="B21016" s="7"/>
      <c r="M21016" s="9" t="s">
        <v>21</v>
      </c>
    </row>
    <row r="21017" ht="15.75" customHeight="1">
      <c r="A21017" s="7"/>
      <c r="B21017" s="7"/>
      <c r="M21017" s="9" t="s">
        <v>27</v>
      </c>
    </row>
    <row r="21018" ht="15.75" customHeight="1">
      <c r="A21018" s="7"/>
      <c r="B21018" s="7"/>
      <c r="M21018" s="9" t="s">
        <v>23</v>
      </c>
    </row>
    <row r="21019" ht="15.75" customHeight="1">
      <c r="A21019" s="7"/>
      <c r="B21019" s="7"/>
      <c r="M21019" s="9" t="s">
        <v>26</v>
      </c>
    </row>
    <row r="21020" ht="15.75" customHeight="1">
      <c r="A21020" s="7"/>
      <c r="B21020" s="7"/>
      <c r="M21020" s="9" t="s">
        <v>24</v>
      </c>
    </row>
    <row r="21021" ht="15.75" customHeight="1">
      <c r="A21021" s="7"/>
      <c r="B21021" s="7"/>
      <c r="M21021" s="9" t="s">
        <v>21</v>
      </c>
    </row>
    <row r="21022" ht="15.75" customHeight="1">
      <c r="A21022" s="7"/>
      <c r="B21022" s="7"/>
      <c r="M21022" s="9" t="s">
        <v>37</v>
      </c>
    </row>
    <row r="21023" ht="15.75" customHeight="1">
      <c r="A21023" s="7"/>
      <c r="B21023" s="7"/>
      <c r="M21023" s="9" t="s">
        <v>22</v>
      </c>
    </row>
    <row r="21024" ht="15.75" customHeight="1">
      <c r="A21024" s="7"/>
      <c r="B21024" s="7"/>
      <c r="M21024" s="9" t="s">
        <v>27</v>
      </c>
    </row>
    <row r="21025" ht="15.75" customHeight="1">
      <c r="A21025" s="7"/>
      <c r="B21025" s="7"/>
      <c r="M21025" s="9" t="s">
        <v>35</v>
      </c>
    </row>
    <row r="21026" ht="15.75" customHeight="1">
      <c r="A21026" s="7"/>
      <c r="B21026" s="7"/>
      <c r="M21026" s="9" t="s">
        <v>30</v>
      </c>
    </row>
    <row r="21027" ht="15.75" customHeight="1">
      <c r="A21027" s="7"/>
      <c r="B21027" s="7"/>
      <c r="M21027" s="9" t="s">
        <v>25</v>
      </c>
    </row>
    <row r="21028" ht="15.75" customHeight="1">
      <c r="A21028" s="7"/>
      <c r="B21028" s="7"/>
      <c r="M21028" s="9" t="s">
        <v>23</v>
      </c>
    </row>
    <row r="21029" ht="15.75" customHeight="1">
      <c r="A21029" s="7"/>
      <c r="B21029" s="7"/>
      <c r="M21029" s="9" t="s">
        <v>26</v>
      </c>
    </row>
    <row r="21030" ht="15.75" customHeight="1">
      <c r="A21030" s="7"/>
      <c r="B21030" s="7"/>
      <c r="M21030" s="9" t="s">
        <v>47</v>
      </c>
    </row>
    <row r="21031" ht="15.75" customHeight="1">
      <c r="A21031" s="7"/>
      <c r="B21031" s="7"/>
      <c r="M21031" s="9" t="s">
        <v>42</v>
      </c>
    </row>
    <row r="21032" ht="15.75" customHeight="1">
      <c r="A21032" s="7"/>
      <c r="B21032" s="7"/>
      <c r="M21032" s="9" t="s">
        <v>24</v>
      </c>
    </row>
    <row r="21033" ht="15.75" customHeight="1">
      <c r="A21033" s="7"/>
      <c r="B21033" s="7"/>
      <c r="M21033" s="9" t="s">
        <v>21</v>
      </c>
    </row>
    <row r="21034" ht="15.75" customHeight="1">
      <c r="A21034" s="7"/>
      <c r="B21034" s="7"/>
      <c r="M21034" s="9" t="s">
        <v>39</v>
      </c>
    </row>
    <row r="21035" ht="15.75" customHeight="1">
      <c r="A21035" s="7"/>
      <c r="B21035" s="7"/>
      <c r="M21035" s="9" t="s">
        <v>22</v>
      </c>
    </row>
    <row r="21036" ht="15.75" customHeight="1">
      <c r="A21036" s="7"/>
      <c r="B21036" s="7"/>
      <c r="M21036" s="9" t="s">
        <v>32</v>
      </c>
    </row>
    <row r="21037" ht="15.75" customHeight="1">
      <c r="A21037" s="7"/>
      <c r="B21037" s="7"/>
      <c r="M21037" s="9" t="s">
        <v>27</v>
      </c>
    </row>
    <row r="21038" ht="15.75" customHeight="1">
      <c r="A21038" s="7"/>
      <c r="B21038" s="7"/>
      <c r="M21038" s="9" t="s">
        <v>40</v>
      </c>
    </row>
    <row r="21039" ht="15.75" customHeight="1">
      <c r="A21039" s="7"/>
      <c r="B21039" s="7"/>
      <c r="M21039" s="9" t="s">
        <v>33</v>
      </c>
    </row>
    <row r="21040" ht="15.75" customHeight="1">
      <c r="A21040" s="7"/>
      <c r="B21040" s="7"/>
      <c r="M21040" s="9" t="s">
        <v>26</v>
      </c>
    </row>
    <row r="21041" ht="15.75" customHeight="1">
      <c r="A21041" s="7"/>
      <c r="B21041" s="7"/>
      <c r="M21041" s="9" t="s">
        <v>24</v>
      </c>
    </row>
    <row r="21042" ht="15.75" customHeight="1">
      <c r="A21042" s="7"/>
      <c r="B21042" s="7"/>
      <c r="M21042" s="9" t="s">
        <v>21</v>
      </c>
    </row>
    <row r="21043" ht="15.75" customHeight="1">
      <c r="A21043" s="7"/>
      <c r="B21043" s="7"/>
      <c r="M21043" s="9" t="s">
        <v>37</v>
      </c>
    </row>
    <row r="21044" ht="15.75" customHeight="1">
      <c r="A21044" s="7"/>
      <c r="B21044" s="7"/>
      <c r="M21044" s="9" t="s">
        <v>27</v>
      </c>
    </row>
    <row r="21045" ht="15.75" customHeight="1">
      <c r="A21045" s="7"/>
      <c r="B21045" s="7"/>
      <c r="M21045" s="9" t="s">
        <v>28</v>
      </c>
    </row>
    <row r="21046" ht="15.75" customHeight="1">
      <c r="A21046" s="7"/>
      <c r="B21046" s="7"/>
      <c r="M21046" s="9" t="s">
        <v>24</v>
      </c>
    </row>
    <row r="21047" ht="15.75" customHeight="1">
      <c r="A21047" s="7"/>
      <c r="B21047" s="7"/>
      <c r="M21047" s="9" t="s">
        <v>21</v>
      </c>
    </row>
    <row r="21048" ht="15.75" customHeight="1">
      <c r="A21048" s="7"/>
      <c r="B21048" s="7"/>
      <c r="M21048" s="9" t="s">
        <v>27</v>
      </c>
    </row>
    <row r="21049" ht="15.75" customHeight="1">
      <c r="A21049" s="7"/>
      <c r="B21049" s="7"/>
      <c r="M21049" s="9" t="s">
        <v>30</v>
      </c>
    </row>
    <row r="21050" ht="15.75" customHeight="1">
      <c r="A21050" s="7"/>
      <c r="B21050" s="7"/>
      <c r="M21050" s="9" t="s">
        <v>24</v>
      </c>
    </row>
    <row r="21051" ht="15.75" customHeight="1">
      <c r="A21051" s="7"/>
      <c r="B21051" s="7"/>
      <c r="M21051" s="9" t="s">
        <v>21</v>
      </c>
    </row>
    <row r="21052" ht="15.75" customHeight="1">
      <c r="A21052" s="7"/>
      <c r="B21052" s="7"/>
      <c r="M21052" s="9" t="s">
        <v>22</v>
      </c>
    </row>
    <row r="21053" ht="15.75" customHeight="1">
      <c r="A21053" s="7"/>
      <c r="B21053" s="7"/>
      <c r="M21053" s="9" t="s">
        <v>24</v>
      </c>
    </row>
    <row r="21054" ht="15.75" customHeight="1">
      <c r="A21054" s="7"/>
      <c r="B21054" s="7"/>
      <c r="M21054" s="9" t="s">
        <v>20</v>
      </c>
    </row>
    <row r="21055" ht="15.75" customHeight="1">
      <c r="A21055" s="7"/>
      <c r="B21055" s="7"/>
      <c r="M21055" s="9" t="s">
        <v>21</v>
      </c>
    </row>
    <row r="21056" ht="15.75" customHeight="1">
      <c r="A21056" s="7"/>
      <c r="B21056" s="7"/>
      <c r="M21056" s="9" t="s">
        <v>37</v>
      </c>
    </row>
    <row r="21057" ht="15.75" customHeight="1">
      <c r="A21057" s="7"/>
      <c r="B21057" s="7"/>
      <c r="M21057" s="9" t="s">
        <v>20</v>
      </c>
    </row>
    <row r="21058" ht="15.75" customHeight="1">
      <c r="A21058" s="7"/>
      <c r="B21058" s="7"/>
      <c r="M21058" s="9" t="s">
        <v>25</v>
      </c>
    </row>
    <row r="21059" ht="15.75" customHeight="1">
      <c r="A21059" s="7"/>
      <c r="B21059" s="7"/>
      <c r="M21059" s="9" t="s">
        <v>23</v>
      </c>
    </row>
    <row r="21060" ht="15.75" customHeight="1">
      <c r="A21060" s="7"/>
      <c r="B21060" s="7"/>
      <c r="M21060" s="9" t="s">
        <v>24</v>
      </c>
    </row>
    <row r="21061" ht="15.75" customHeight="1">
      <c r="A21061" s="7"/>
      <c r="B21061" s="7"/>
      <c r="M21061" s="9" t="s">
        <v>20</v>
      </c>
    </row>
    <row r="21062" ht="15.75" customHeight="1">
      <c r="A21062" s="7"/>
      <c r="B21062" s="7"/>
      <c r="M21062" s="9" t="s">
        <v>21</v>
      </c>
    </row>
    <row r="21063" ht="15.75" customHeight="1">
      <c r="A21063" s="7"/>
      <c r="B21063" s="7"/>
      <c r="M21063" s="9" t="s">
        <v>37</v>
      </c>
    </row>
    <row r="21064" ht="15.75" customHeight="1">
      <c r="A21064" s="7"/>
      <c r="B21064" s="7"/>
      <c r="M21064" s="9" t="s">
        <v>22</v>
      </c>
    </row>
    <row r="21065" ht="15.75" customHeight="1">
      <c r="A21065" s="7"/>
      <c r="B21065" s="7"/>
      <c r="M21065" s="9" t="s">
        <v>27</v>
      </c>
    </row>
    <row r="21066" ht="15.75" customHeight="1">
      <c r="A21066" s="7"/>
      <c r="B21066" s="7"/>
      <c r="M21066" s="9" t="s">
        <v>33</v>
      </c>
    </row>
    <row r="21067" ht="15.75" customHeight="1">
      <c r="A21067" s="7"/>
      <c r="B21067" s="7"/>
      <c r="M21067" s="9" t="s">
        <v>24</v>
      </c>
    </row>
    <row r="21068" ht="15.75" customHeight="1">
      <c r="A21068" s="7"/>
      <c r="B21068" s="7"/>
      <c r="M21068" s="9" t="s">
        <v>37</v>
      </c>
    </row>
    <row r="21069" ht="15.75" customHeight="1">
      <c r="A21069" s="7"/>
      <c r="B21069" s="7"/>
      <c r="M21069" s="9" t="s">
        <v>27</v>
      </c>
    </row>
    <row r="21070" ht="15.75" customHeight="1">
      <c r="A21070" s="7"/>
      <c r="B21070" s="7"/>
      <c r="M21070" s="9" t="s">
        <v>30</v>
      </c>
    </row>
    <row r="21071" ht="15.75" customHeight="1">
      <c r="A21071" s="7"/>
      <c r="B21071" s="7"/>
      <c r="M21071" s="9" t="s">
        <v>24</v>
      </c>
    </row>
    <row r="21072" ht="15.75" customHeight="1">
      <c r="A21072" s="7"/>
      <c r="B21072" s="7"/>
      <c r="M21072" s="9" t="s">
        <v>21</v>
      </c>
    </row>
    <row r="21073" ht="15.75" customHeight="1">
      <c r="A21073" s="7"/>
      <c r="B21073" s="7"/>
      <c r="M21073" s="9" t="s">
        <v>37</v>
      </c>
    </row>
    <row r="21074" ht="15.75" customHeight="1">
      <c r="A21074" s="7"/>
      <c r="B21074" s="7"/>
      <c r="M21074" s="9" t="s">
        <v>27</v>
      </c>
    </row>
    <row r="21075" ht="15.75" customHeight="1">
      <c r="A21075" s="7"/>
      <c r="B21075" s="7"/>
      <c r="M21075" s="9" t="s">
        <v>30</v>
      </c>
    </row>
    <row r="21076" ht="15.75" customHeight="1">
      <c r="A21076" s="7"/>
      <c r="B21076" s="7"/>
      <c r="M21076" s="9" t="s">
        <v>24</v>
      </c>
    </row>
    <row r="21077" ht="15.75" customHeight="1">
      <c r="A21077" s="7"/>
      <c r="B21077" s="7"/>
      <c r="M21077" s="9" t="s">
        <v>21</v>
      </c>
    </row>
    <row r="21078" ht="15.75" customHeight="1">
      <c r="A21078" s="7"/>
      <c r="B21078" s="7"/>
      <c r="M21078" s="9" t="s">
        <v>22</v>
      </c>
    </row>
    <row r="21079" ht="15.75" customHeight="1">
      <c r="A21079" s="7"/>
      <c r="B21079" s="7"/>
      <c r="M21079" s="9" t="s">
        <v>27</v>
      </c>
    </row>
    <row r="21080" ht="15.75" customHeight="1">
      <c r="A21080" s="7"/>
      <c r="B21080" s="7"/>
      <c r="M21080" s="9" t="s">
        <v>23</v>
      </c>
    </row>
    <row r="21081" ht="15.75" customHeight="1">
      <c r="A21081" s="7"/>
      <c r="B21081" s="7"/>
      <c r="M21081" s="9" t="s">
        <v>26</v>
      </c>
    </row>
    <row r="21082" ht="15.75" customHeight="1">
      <c r="A21082" s="7"/>
      <c r="B21082" s="7"/>
      <c r="M21082" s="9" t="s">
        <v>24</v>
      </c>
    </row>
    <row r="21083" ht="15.75" customHeight="1">
      <c r="A21083" s="7"/>
      <c r="B21083" s="7"/>
      <c r="M21083" s="9" t="s">
        <v>20</v>
      </c>
    </row>
    <row r="21084" ht="15.75" customHeight="1">
      <c r="A21084" s="7"/>
      <c r="B21084" s="7"/>
      <c r="M21084" s="9" t="s">
        <v>39</v>
      </c>
    </row>
    <row r="21085" ht="15.75" customHeight="1">
      <c r="A21085" s="7"/>
      <c r="B21085" s="7"/>
      <c r="M21085" s="9" t="s">
        <v>37</v>
      </c>
    </row>
    <row r="21086" ht="15.75" customHeight="1">
      <c r="A21086" s="7"/>
      <c r="B21086" s="7"/>
      <c r="M21086" s="9" t="s">
        <v>40</v>
      </c>
    </row>
    <row r="21087" ht="15.75" customHeight="1">
      <c r="A21087" s="7"/>
      <c r="B21087" s="7"/>
      <c r="M21087" s="9" t="s">
        <v>24</v>
      </c>
    </row>
    <row r="21088" ht="15.75" customHeight="1">
      <c r="A21088" s="7"/>
      <c r="B21088" s="7"/>
      <c r="M21088" s="9" t="s">
        <v>21</v>
      </c>
    </row>
    <row r="21089" ht="15.75" customHeight="1">
      <c r="A21089" s="7"/>
      <c r="B21089" s="7"/>
      <c r="M21089" s="9" t="s">
        <v>33</v>
      </c>
    </row>
    <row r="21090" ht="15.75" customHeight="1">
      <c r="A21090" s="7"/>
      <c r="B21090" s="7"/>
      <c r="M21090" s="9" t="s">
        <v>36</v>
      </c>
    </row>
    <row r="21091" ht="15.75" customHeight="1">
      <c r="A21091" s="7"/>
      <c r="B21091" s="7"/>
      <c r="M21091" s="9" t="s">
        <v>24</v>
      </c>
    </row>
    <row r="21092" ht="15.75" customHeight="1">
      <c r="A21092" s="7"/>
      <c r="B21092" s="7"/>
      <c r="M21092" s="9" t="s">
        <v>21</v>
      </c>
    </row>
    <row r="21093" ht="15.75" customHeight="1">
      <c r="A21093" s="7"/>
      <c r="B21093" s="7"/>
      <c r="M21093" s="9" t="s">
        <v>39</v>
      </c>
    </row>
    <row r="21094" ht="15.75" customHeight="1">
      <c r="A21094" s="7"/>
      <c r="B21094" s="7"/>
      <c r="M21094" s="9" t="s">
        <v>22</v>
      </c>
    </row>
    <row r="21095" ht="15.75" customHeight="1">
      <c r="A21095" s="7"/>
      <c r="B21095" s="7"/>
      <c r="M21095" s="9" t="s">
        <v>31</v>
      </c>
    </row>
    <row r="21096" ht="15.75" customHeight="1">
      <c r="A21096" s="7"/>
      <c r="B21096" s="7"/>
      <c r="M21096" s="9" t="s">
        <v>26</v>
      </c>
    </row>
    <row r="21097" ht="15.75" customHeight="1">
      <c r="A21097" s="7"/>
      <c r="B21097" s="7"/>
      <c r="M21097" s="9" t="s">
        <v>24</v>
      </c>
    </row>
    <row r="21098" ht="15.75" customHeight="1">
      <c r="A21098" s="7"/>
      <c r="B21098" s="7"/>
      <c r="M21098" s="9" t="s">
        <v>20</v>
      </c>
    </row>
    <row r="21099" ht="15.75" customHeight="1">
      <c r="A21099" s="7"/>
      <c r="B21099" s="7"/>
      <c r="M21099" s="9" t="s">
        <v>21</v>
      </c>
    </row>
    <row r="21100" ht="15.75" customHeight="1">
      <c r="A21100" s="7"/>
      <c r="B21100" s="7"/>
      <c r="M21100" s="9" t="s">
        <v>27</v>
      </c>
    </row>
    <row r="21101" ht="15.75" customHeight="1">
      <c r="A21101" s="7"/>
      <c r="B21101" s="7"/>
      <c r="M21101" s="9" t="s">
        <v>33</v>
      </c>
    </row>
    <row r="21102" ht="15.75" customHeight="1">
      <c r="A21102" s="7"/>
      <c r="B21102" s="7"/>
      <c r="M21102" s="9" t="s">
        <v>35</v>
      </c>
    </row>
    <row r="21103" ht="15.75" customHeight="1">
      <c r="A21103" s="7"/>
      <c r="B21103" s="7"/>
      <c r="M21103" s="9" t="s">
        <v>30</v>
      </c>
    </row>
    <row r="21104" ht="15.75" customHeight="1">
      <c r="A21104" s="7"/>
      <c r="B21104" s="7"/>
      <c r="M21104" s="9" t="s">
        <v>25</v>
      </c>
    </row>
    <row r="21105" ht="15.75" customHeight="1">
      <c r="A21105" s="7"/>
      <c r="B21105" s="7"/>
      <c r="M21105" s="9" t="s">
        <v>23</v>
      </c>
    </row>
    <row r="21106" ht="15.75" customHeight="1">
      <c r="A21106" s="7"/>
      <c r="B21106" s="7"/>
      <c r="M21106" s="9" t="s">
        <v>24</v>
      </c>
    </row>
    <row r="21107" ht="15.75" customHeight="1">
      <c r="A21107" s="7"/>
      <c r="B21107" s="7"/>
      <c r="M21107" s="9" t="s">
        <v>20</v>
      </c>
    </row>
    <row r="21108" ht="15.75" customHeight="1">
      <c r="A21108" s="7"/>
      <c r="B21108" s="7"/>
      <c r="M21108" s="9" t="s">
        <v>21</v>
      </c>
    </row>
    <row r="21109" ht="15.75" customHeight="1">
      <c r="A21109" s="7"/>
      <c r="B21109" s="7"/>
      <c r="M21109" s="9" t="s">
        <v>37</v>
      </c>
    </row>
    <row r="21110" ht="15.75" customHeight="1">
      <c r="A21110" s="7"/>
      <c r="B21110" s="7"/>
      <c r="M21110" s="9" t="s">
        <v>22</v>
      </c>
    </row>
    <row r="21111" ht="15.75" customHeight="1">
      <c r="A21111" s="7"/>
      <c r="B21111" s="7"/>
      <c r="M21111" s="9" t="s">
        <v>27</v>
      </c>
    </row>
    <row r="21112" ht="15.75" customHeight="1">
      <c r="A21112" s="7"/>
      <c r="B21112" s="7"/>
      <c r="M21112" s="9" t="s">
        <v>28</v>
      </c>
    </row>
    <row r="21113" ht="15.75" customHeight="1">
      <c r="A21113" s="7"/>
      <c r="B21113" s="7"/>
      <c r="M21113" s="9" t="s">
        <v>24</v>
      </c>
    </row>
    <row r="21114" ht="15.75" customHeight="1">
      <c r="A21114" s="7"/>
      <c r="B21114" s="7"/>
      <c r="M21114" s="9" t="s">
        <v>21</v>
      </c>
    </row>
    <row r="21115" ht="15.75" customHeight="1">
      <c r="A21115" s="7"/>
      <c r="B21115" s="7"/>
      <c r="M21115" s="9" t="s">
        <v>33</v>
      </c>
    </row>
    <row r="21116" ht="15.75" customHeight="1">
      <c r="A21116" s="7"/>
      <c r="B21116" s="7"/>
      <c r="M21116" s="9" t="s">
        <v>23</v>
      </c>
    </row>
    <row r="21117" ht="15.75" customHeight="1">
      <c r="A21117" s="7"/>
      <c r="B21117" s="7"/>
      <c r="M21117" s="9" t="s">
        <v>20</v>
      </c>
    </row>
    <row r="21118" ht="15.75" customHeight="1">
      <c r="A21118" s="7"/>
      <c r="B21118" s="7"/>
      <c r="M21118" s="9" t="s">
        <v>22</v>
      </c>
    </row>
    <row r="21119" ht="15.75" customHeight="1">
      <c r="A21119" s="7"/>
      <c r="B21119" s="7"/>
      <c r="M21119" s="9" t="s">
        <v>27</v>
      </c>
    </row>
    <row r="21120" ht="15.75" customHeight="1">
      <c r="A21120" s="7"/>
      <c r="B21120" s="7"/>
      <c r="M21120" s="9" t="s">
        <v>47</v>
      </c>
    </row>
    <row r="21121" ht="15.75" customHeight="1">
      <c r="A21121" s="7"/>
      <c r="B21121" s="7"/>
      <c r="M21121" s="9" t="s">
        <v>24</v>
      </c>
    </row>
    <row r="21122" ht="15.75" customHeight="1">
      <c r="A21122" s="7"/>
      <c r="B21122" s="7"/>
      <c r="M21122" s="9" t="s">
        <v>22</v>
      </c>
    </row>
    <row r="21123" ht="15.75" customHeight="1">
      <c r="A21123" s="7"/>
      <c r="B21123" s="7"/>
      <c r="M21123" s="9" t="s">
        <v>30</v>
      </c>
    </row>
    <row r="21124" ht="15.75" customHeight="1">
      <c r="A21124" s="7"/>
      <c r="B21124" s="7"/>
      <c r="M21124" s="9" t="s">
        <v>26</v>
      </c>
    </row>
    <row r="21125" ht="15.75" customHeight="1">
      <c r="A21125" s="7"/>
      <c r="B21125" s="7"/>
      <c r="M21125" s="9" t="s">
        <v>24</v>
      </c>
    </row>
    <row r="21126" ht="15.75" customHeight="1">
      <c r="A21126" s="7"/>
      <c r="B21126" s="7"/>
      <c r="M21126" s="9" t="s">
        <v>21</v>
      </c>
    </row>
    <row r="21127" ht="15.75" customHeight="1">
      <c r="A21127" s="7"/>
      <c r="B21127" s="7"/>
      <c r="M21127" s="9" t="s">
        <v>37</v>
      </c>
    </row>
    <row r="21128" ht="15.75" customHeight="1">
      <c r="A21128" s="7"/>
      <c r="B21128" s="7"/>
      <c r="M21128" s="9" t="s">
        <v>35</v>
      </c>
    </row>
    <row r="21129" ht="15.75" customHeight="1">
      <c r="A21129" s="7"/>
      <c r="B21129" s="7"/>
      <c r="M21129" s="9" t="s">
        <v>43</v>
      </c>
    </row>
    <row r="21130" ht="15.75" customHeight="1">
      <c r="A21130" s="7"/>
      <c r="B21130" s="7"/>
      <c r="M21130" s="9" t="s">
        <v>36</v>
      </c>
    </row>
    <row r="21131" ht="15.75" customHeight="1">
      <c r="A21131" s="7"/>
      <c r="B21131" s="7"/>
      <c r="M21131" s="9" t="s">
        <v>22</v>
      </c>
    </row>
    <row r="21132" ht="15.75" customHeight="1">
      <c r="A21132" s="7"/>
      <c r="B21132" s="7"/>
      <c r="M21132" s="9" t="s">
        <v>38</v>
      </c>
    </row>
    <row r="21133" ht="15.75" customHeight="1">
      <c r="A21133" s="7"/>
      <c r="B21133" s="7"/>
      <c r="M21133" s="9" t="s">
        <v>30</v>
      </c>
    </row>
    <row r="21134" ht="15.75" customHeight="1">
      <c r="A21134" s="7"/>
      <c r="B21134" s="7"/>
      <c r="M21134" s="9" t="s">
        <v>43</v>
      </c>
    </row>
    <row r="21135" ht="15.75" customHeight="1">
      <c r="A21135" s="7"/>
      <c r="B21135" s="7"/>
      <c r="M21135" s="9" t="s">
        <v>24</v>
      </c>
    </row>
    <row r="21136" ht="15.75" customHeight="1">
      <c r="A21136" s="7"/>
      <c r="B21136" s="7"/>
      <c r="M21136" s="9" t="s">
        <v>20</v>
      </c>
    </row>
    <row r="21137" ht="15.75" customHeight="1">
      <c r="A21137" s="7"/>
      <c r="B21137" s="7"/>
      <c r="M21137" s="9" t="s">
        <v>21</v>
      </c>
    </row>
    <row r="21138" ht="15.75" customHeight="1">
      <c r="A21138" s="7"/>
      <c r="B21138" s="7"/>
      <c r="M21138" s="9" t="s">
        <v>27</v>
      </c>
    </row>
    <row r="21139" ht="15.75" customHeight="1">
      <c r="A21139" s="7"/>
      <c r="B21139" s="7"/>
      <c r="M21139" s="9" t="s">
        <v>33</v>
      </c>
    </row>
    <row r="21140" ht="15.75" customHeight="1">
      <c r="A21140" s="7"/>
      <c r="B21140" s="7"/>
      <c r="M21140" s="9" t="s">
        <v>26</v>
      </c>
    </row>
    <row r="21141" ht="15.75" customHeight="1">
      <c r="A21141" s="7"/>
      <c r="B21141" s="7"/>
      <c r="M21141" s="9" t="s">
        <v>37</v>
      </c>
    </row>
    <row r="21142" ht="15.75" customHeight="1">
      <c r="A21142" s="7"/>
      <c r="B21142" s="7"/>
      <c r="M21142" s="9" t="s">
        <v>27</v>
      </c>
    </row>
    <row r="21143" ht="15.75" customHeight="1">
      <c r="A21143" s="7"/>
      <c r="B21143" s="7"/>
      <c r="M21143" s="9" t="s">
        <v>30</v>
      </c>
    </row>
    <row r="21144" ht="15.75" customHeight="1">
      <c r="A21144" s="7"/>
      <c r="B21144" s="7"/>
      <c r="M21144" s="9" t="s">
        <v>23</v>
      </c>
    </row>
    <row r="21145" ht="15.75" customHeight="1">
      <c r="A21145" s="7"/>
      <c r="B21145" s="7"/>
      <c r="M21145" s="9" t="s">
        <v>24</v>
      </c>
    </row>
    <row r="21146" ht="15.75" customHeight="1">
      <c r="A21146" s="7"/>
      <c r="B21146" s="7"/>
      <c r="M21146" s="9" t="s">
        <v>20</v>
      </c>
    </row>
    <row r="21147" ht="15.75" customHeight="1">
      <c r="A21147" s="7"/>
      <c r="B21147" s="7"/>
      <c r="M21147" s="9" t="s">
        <v>25</v>
      </c>
    </row>
    <row r="21148" ht="15.75" customHeight="1">
      <c r="A21148" s="7"/>
      <c r="B21148" s="7"/>
      <c r="M21148" s="9" t="s">
        <v>23</v>
      </c>
    </row>
    <row r="21149" ht="15.75" customHeight="1">
      <c r="A21149" s="7"/>
      <c r="B21149" s="7"/>
      <c r="M21149" s="9" t="s">
        <v>24</v>
      </c>
    </row>
    <row r="21150" ht="15.75" customHeight="1">
      <c r="A21150" s="7"/>
      <c r="B21150" s="7"/>
      <c r="M21150" s="9" t="s">
        <v>21</v>
      </c>
    </row>
    <row r="21151" ht="15.75" customHeight="1">
      <c r="A21151" s="7"/>
      <c r="B21151" s="7"/>
      <c r="M21151" s="9" t="s">
        <v>37</v>
      </c>
    </row>
    <row r="21152" ht="15.75" customHeight="1">
      <c r="A21152" s="7"/>
      <c r="B21152" s="7"/>
      <c r="M21152" s="9" t="s">
        <v>33</v>
      </c>
    </row>
    <row r="21153" ht="15.75" customHeight="1">
      <c r="A21153" s="7"/>
      <c r="B21153" s="7"/>
      <c r="M21153" s="9" t="s">
        <v>26</v>
      </c>
    </row>
    <row r="21154" ht="15.75" customHeight="1">
      <c r="A21154" s="7"/>
      <c r="B21154" s="7"/>
      <c r="M21154" s="9" t="s">
        <v>24</v>
      </c>
    </row>
    <row r="21155" ht="15.75" customHeight="1">
      <c r="A21155" s="7"/>
      <c r="B21155" s="7"/>
      <c r="M21155" s="9" t="s">
        <v>21</v>
      </c>
    </row>
    <row r="21156" ht="15.75" customHeight="1">
      <c r="A21156" s="7"/>
      <c r="B21156" s="7"/>
      <c r="M21156" s="9" t="s">
        <v>39</v>
      </c>
    </row>
    <row r="21157" ht="15.75" customHeight="1">
      <c r="A21157" s="7"/>
      <c r="B21157" s="7"/>
      <c r="M21157" s="9" t="s">
        <v>27</v>
      </c>
    </row>
    <row r="21158" ht="15.75" customHeight="1">
      <c r="A21158" s="7"/>
      <c r="B21158" s="7"/>
      <c r="M21158" s="9" t="s">
        <v>33</v>
      </c>
    </row>
    <row r="21159" ht="15.75" customHeight="1">
      <c r="A21159" s="7"/>
      <c r="B21159" s="7"/>
      <c r="M21159" s="9" t="s">
        <v>28</v>
      </c>
    </row>
    <row r="21160" ht="15.75" customHeight="1">
      <c r="A21160" s="7"/>
      <c r="B21160" s="7"/>
      <c r="M21160" s="9" t="s">
        <v>30</v>
      </c>
    </row>
    <row r="21161" ht="15.75" customHeight="1">
      <c r="A21161" s="7"/>
      <c r="B21161" s="7"/>
      <c r="M21161" s="9" t="s">
        <v>20</v>
      </c>
    </row>
    <row r="21162" ht="15.75" customHeight="1">
      <c r="A21162" s="7"/>
      <c r="B21162" s="7"/>
      <c r="M21162" s="9" t="s">
        <v>21</v>
      </c>
    </row>
    <row r="21163" ht="15.75" customHeight="1">
      <c r="A21163" s="7"/>
      <c r="B21163" s="7"/>
      <c r="M21163" s="9" t="s">
        <v>27</v>
      </c>
    </row>
    <row r="21164" ht="15.75" customHeight="1">
      <c r="A21164" s="7"/>
      <c r="B21164" s="7"/>
      <c r="M21164" s="9" t="s">
        <v>24</v>
      </c>
    </row>
    <row r="21165" ht="15.75" customHeight="1">
      <c r="A21165" s="7"/>
      <c r="B21165" s="7"/>
      <c r="M21165" s="9" t="s">
        <v>21</v>
      </c>
    </row>
    <row r="21166" ht="15.75" customHeight="1">
      <c r="A21166" s="7"/>
      <c r="B21166" s="7"/>
      <c r="M21166" s="9" t="s">
        <v>22</v>
      </c>
    </row>
    <row r="21167" ht="15.75" customHeight="1">
      <c r="A21167" s="7"/>
      <c r="B21167" s="7"/>
      <c r="M21167" s="9" t="s">
        <v>26</v>
      </c>
    </row>
    <row r="21168" ht="15.75" customHeight="1">
      <c r="A21168" s="7"/>
      <c r="B21168" s="7"/>
      <c r="M21168" s="9" t="s">
        <v>24</v>
      </c>
    </row>
    <row r="21169" ht="15.75" customHeight="1">
      <c r="A21169" s="7"/>
      <c r="B21169" s="7"/>
      <c r="M21169" s="9" t="s">
        <v>27</v>
      </c>
    </row>
    <row r="21170" ht="15.75" customHeight="1">
      <c r="A21170" s="7"/>
      <c r="B21170" s="7"/>
      <c r="M21170" s="9" t="s">
        <v>28</v>
      </c>
    </row>
    <row r="21171" ht="15.75" customHeight="1">
      <c r="A21171" s="7"/>
      <c r="B21171" s="7"/>
      <c r="M21171" s="9" t="s">
        <v>38</v>
      </c>
    </row>
    <row r="21172" ht="15.75" customHeight="1">
      <c r="A21172" s="7"/>
      <c r="B21172" s="7"/>
      <c r="M21172" s="9" t="s">
        <v>30</v>
      </c>
    </row>
    <row r="21173" ht="15.75" customHeight="1">
      <c r="A21173" s="7"/>
      <c r="B21173" s="7"/>
      <c r="M21173" s="9" t="s">
        <v>23</v>
      </c>
    </row>
    <row r="21174" ht="15.75" customHeight="1">
      <c r="A21174" s="7"/>
      <c r="B21174" s="7"/>
      <c r="M21174" s="9" t="s">
        <v>20</v>
      </c>
    </row>
    <row r="21175" ht="15.75" customHeight="1">
      <c r="A21175" s="7"/>
      <c r="B21175" s="7"/>
      <c r="M21175" s="9" t="s">
        <v>39</v>
      </c>
    </row>
    <row r="21176" ht="15.75" customHeight="1">
      <c r="A21176" s="7"/>
      <c r="B21176" s="7"/>
      <c r="M21176" s="9" t="s">
        <v>22</v>
      </c>
    </row>
    <row r="21177" ht="15.75" customHeight="1">
      <c r="A21177" s="7"/>
      <c r="B21177" s="7"/>
      <c r="M21177" s="9" t="s">
        <v>30</v>
      </c>
    </row>
    <row r="21178" ht="15.75" customHeight="1">
      <c r="A21178" s="7"/>
      <c r="B21178" s="7"/>
      <c r="M21178" s="9" t="s">
        <v>24</v>
      </c>
    </row>
    <row r="21179" ht="15.75" customHeight="1">
      <c r="A21179" s="7"/>
      <c r="B21179" s="7"/>
      <c r="M21179" s="9" t="s">
        <v>21</v>
      </c>
    </row>
    <row r="21180" ht="15.75" customHeight="1">
      <c r="A21180" s="7"/>
      <c r="B21180" s="7"/>
      <c r="M21180" s="9" t="s">
        <v>37</v>
      </c>
    </row>
    <row r="21181" ht="15.75" customHeight="1">
      <c r="A21181" s="7"/>
      <c r="B21181" s="7"/>
      <c r="M21181" s="9" t="s">
        <v>27</v>
      </c>
    </row>
    <row r="21182" ht="15.75" customHeight="1">
      <c r="A21182" s="7"/>
      <c r="B21182" s="7"/>
      <c r="M21182" s="9" t="s">
        <v>23</v>
      </c>
    </row>
    <row r="21183" ht="15.75" customHeight="1">
      <c r="A21183" s="7"/>
      <c r="B21183" s="7"/>
      <c r="M21183" s="9" t="s">
        <v>24</v>
      </c>
    </row>
    <row r="21184" ht="15.75" customHeight="1">
      <c r="A21184" s="7"/>
      <c r="B21184" s="7"/>
      <c r="M21184" s="9" t="s">
        <v>21</v>
      </c>
    </row>
    <row r="21185" ht="15.75" customHeight="1">
      <c r="A21185" s="7"/>
      <c r="B21185" s="7"/>
      <c r="M21185" s="9" t="s">
        <v>22</v>
      </c>
    </row>
    <row r="21186" ht="15.75" customHeight="1">
      <c r="A21186" s="7"/>
      <c r="B21186" s="7"/>
      <c r="M21186" s="9" t="s">
        <v>29</v>
      </c>
    </row>
    <row r="21187" ht="15.75" customHeight="1">
      <c r="A21187" s="7"/>
      <c r="B21187" s="7"/>
      <c r="M21187" s="9" t="s">
        <v>31</v>
      </c>
    </row>
    <row r="21188" ht="15.75" customHeight="1">
      <c r="A21188" s="7"/>
      <c r="B21188" s="7"/>
      <c r="M21188" s="9" t="s">
        <v>27</v>
      </c>
    </row>
    <row r="21189" ht="15.75" customHeight="1">
      <c r="A21189" s="7"/>
      <c r="B21189" s="7"/>
      <c r="M21189" s="9" t="s">
        <v>30</v>
      </c>
    </row>
    <row r="21190" ht="15.75" customHeight="1">
      <c r="A21190" s="7"/>
      <c r="B21190" s="7"/>
      <c r="M21190" s="9" t="s">
        <v>36</v>
      </c>
    </row>
    <row r="21191" ht="15.75" customHeight="1">
      <c r="A21191" s="7"/>
      <c r="B21191" s="7"/>
      <c r="M21191" s="9" t="s">
        <v>24</v>
      </c>
    </row>
    <row r="21192" ht="15.75" customHeight="1">
      <c r="A21192" s="7"/>
      <c r="B21192" s="7"/>
      <c r="M21192" s="9" t="s">
        <v>20</v>
      </c>
    </row>
    <row r="21193" ht="15.75" customHeight="1">
      <c r="A21193" s="7"/>
      <c r="B21193" s="7"/>
      <c r="M21193" s="9" t="s">
        <v>21</v>
      </c>
    </row>
    <row r="21194" ht="15.75" customHeight="1">
      <c r="A21194" s="7"/>
      <c r="B21194" s="7"/>
      <c r="M21194" s="9" t="s">
        <v>37</v>
      </c>
    </row>
    <row r="21195" ht="15.75" customHeight="1">
      <c r="A21195" s="7"/>
      <c r="B21195" s="7"/>
      <c r="M21195" s="9" t="s">
        <v>27</v>
      </c>
    </row>
    <row r="21196" ht="15.75" customHeight="1">
      <c r="A21196" s="7"/>
      <c r="B21196" s="7"/>
      <c r="M21196" s="9" t="s">
        <v>33</v>
      </c>
    </row>
    <row r="21197" ht="15.75" customHeight="1">
      <c r="A21197" s="7"/>
      <c r="B21197" s="7"/>
      <c r="M21197" s="9" t="s">
        <v>24</v>
      </c>
    </row>
    <row r="21198" ht="15.75" customHeight="1">
      <c r="A21198" s="7"/>
      <c r="B21198" s="7"/>
      <c r="M21198" s="9" t="s">
        <v>20</v>
      </c>
    </row>
    <row r="21199" ht="15.75" customHeight="1">
      <c r="A21199" s="7"/>
      <c r="B21199" s="7"/>
      <c r="M21199" s="9" t="s">
        <v>22</v>
      </c>
    </row>
    <row r="21200" ht="15.75" customHeight="1">
      <c r="A21200" s="7"/>
      <c r="B21200" s="7"/>
      <c r="M21200" s="9" t="s">
        <v>27</v>
      </c>
    </row>
    <row r="21201" ht="15.75" customHeight="1">
      <c r="A21201" s="7"/>
      <c r="B21201" s="7"/>
      <c r="M21201" s="9" t="s">
        <v>38</v>
      </c>
    </row>
    <row r="21202" ht="15.75" customHeight="1">
      <c r="A21202" s="7"/>
      <c r="B21202" s="7"/>
      <c r="M21202" s="9" t="s">
        <v>30</v>
      </c>
    </row>
    <row r="21203" ht="15.75" customHeight="1">
      <c r="A21203" s="7"/>
      <c r="B21203" s="7"/>
      <c r="M21203" s="9" t="s">
        <v>25</v>
      </c>
    </row>
    <row r="21204" ht="15.75" customHeight="1">
      <c r="A21204" s="7"/>
      <c r="B21204" s="7"/>
      <c r="M21204" s="9" t="s">
        <v>36</v>
      </c>
    </row>
    <row r="21205" ht="15.75" customHeight="1">
      <c r="A21205" s="7"/>
      <c r="B21205" s="7"/>
      <c r="M21205" s="9" t="s">
        <v>24</v>
      </c>
    </row>
    <row r="21206" ht="15.75" customHeight="1">
      <c r="A21206" s="7"/>
      <c r="B21206" s="7"/>
      <c r="M21206" s="9" t="s">
        <v>20</v>
      </c>
    </row>
    <row r="21207" ht="15.75" customHeight="1">
      <c r="A21207" s="7"/>
      <c r="B21207" s="7"/>
      <c r="M21207" s="9" t="s">
        <v>21</v>
      </c>
    </row>
    <row r="21208" ht="15.75" customHeight="1">
      <c r="A21208" s="7"/>
      <c r="B21208" s="7"/>
      <c r="M21208" s="9" t="s">
        <v>41</v>
      </c>
    </row>
    <row r="21209" ht="15.75" customHeight="1">
      <c r="A21209" s="7"/>
      <c r="B21209" s="7"/>
      <c r="M21209" s="9" t="s">
        <v>22</v>
      </c>
    </row>
    <row r="21210" ht="15.75" customHeight="1">
      <c r="A21210" s="7"/>
      <c r="B21210" s="7"/>
      <c r="M21210" s="9" t="s">
        <v>29</v>
      </c>
    </row>
    <row r="21211" ht="15.75" customHeight="1">
      <c r="A21211" s="7"/>
      <c r="B21211" s="7"/>
      <c r="M21211" s="9" t="s">
        <v>27</v>
      </c>
    </row>
    <row r="21212" ht="15.75" customHeight="1">
      <c r="A21212" s="7"/>
      <c r="B21212" s="7"/>
      <c r="M21212" s="9" t="s">
        <v>47</v>
      </c>
    </row>
    <row r="21213" ht="15.75" customHeight="1">
      <c r="A21213" s="7"/>
      <c r="B21213" s="7"/>
      <c r="M21213" s="9" t="s">
        <v>36</v>
      </c>
    </row>
    <row r="21214" ht="15.75" customHeight="1">
      <c r="A21214" s="7"/>
      <c r="B21214" s="7"/>
      <c r="M21214" s="9" t="s">
        <v>20</v>
      </c>
    </row>
    <row r="21215" ht="15.75" customHeight="1">
      <c r="A21215" s="7"/>
      <c r="B21215" s="7"/>
      <c r="M21215" s="9" t="s">
        <v>21</v>
      </c>
    </row>
    <row r="21216" ht="15.75" customHeight="1">
      <c r="A21216" s="7"/>
      <c r="B21216" s="7"/>
      <c r="M21216" s="9" t="s">
        <v>24</v>
      </c>
    </row>
    <row r="21217" ht="15.75" customHeight="1">
      <c r="A21217" s="7"/>
      <c r="B21217" s="7"/>
      <c r="M21217" s="9" t="s">
        <v>21</v>
      </c>
    </row>
    <row r="21218" ht="15.75" customHeight="1">
      <c r="A21218" s="7"/>
      <c r="B21218" s="7"/>
      <c r="M21218" s="9" t="s">
        <v>37</v>
      </c>
    </row>
    <row r="21219" ht="15.75" customHeight="1">
      <c r="A21219" s="7"/>
      <c r="B21219" s="7"/>
      <c r="M21219" s="9" t="s">
        <v>27</v>
      </c>
    </row>
    <row r="21220" ht="15.75" customHeight="1">
      <c r="A21220" s="7"/>
      <c r="B21220" s="7"/>
      <c r="M21220" s="9" t="s">
        <v>30</v>
      </c>
    </row>
    <row r="21221" ht="15.75" customHeight="1">
      <c r="A21221" s="7"/>
      <c r="B21221" s="7"/>
      <c r="M21221" s="9" t="s">
        <v>26</v>
      </c>
    </row>
    <row r="21222" ht="15.75" customHeight="1">
      <c r="A21222" s="7"/>
      <c r="B21222" s="7"/>
      <c r="M21222" s="9" t="s">
        <v>24</v>
      </c>
    </row>
    <row r="21223" ht="15.75" customHeight="1">
      <c r="A21223" s="7"/>
      <c r="B21223" s="7"/>
      <c r="M21223" s="9" t="s">
        <v>20</v>
      </c>
    </row>
    <row r="21224" ht="15.75" customHeight="1">
      <c r="A21224" s="7"/>
      <c r="B21224" s="7"/>
      <c r="M21224" s="9" t="s">
        <v>21</v>
      </c>
    </row>
    <row r="21225" ht="15.75" customHeight="1">
      <c r="A21225" s="7"/>
      <c r="B21225" s="7"/>
      <c r="M21225" s="9" t="s">
        <v>22</v>
      </c>
    </row>
    <row r="21226" ht="15.75" customHeight="1">
      <c r="A21226" s="7"/>
      <c r="B21226" s="7"/>
      <c r="M21226" s="9" t="s">
        <v>29</v>
      </c>
    </row>
    <row r="21227" ht="15.75" customHeight="1">
      <c r="A21227" s="7"/>
      <c r="B21227" s="7"/>
      <c r="M21227" s="9" t="s">
        <v>31</v>
      </c>
    </row>
    <row r="21228" ht="15.75" customHeight="1">
      <c r="A21228" s="7"/>
      <c r="B21228" s="7"/>
      <c r="M21228" s="9" t="s">
        <v>46</v>
      </c>
    </row>
    <row r="21229" ht="15.75" customHeight="1">
      <c r="A21229" s="7"/>
      <c r="B21229" s="7"/>
      <c r="M21229" s="9" t="s">
        <v>27</v>
      </c>
    </row>
    <row r="21230" ht="15.75" customHeight="1">
      <c r="A21230" s="7"/>
      <c r="B21230" s="7"/>
      <c r="M21230" s="9" t="s">
        <v>38</v>
      </c>
    </row>
    <row r="21231" ht="15.75" customHeight="1">
      <c r="A21231" s="7"/>
      <c r="B21231" s="7"/>
      <c r="M21231" s="9" t="s">
        <v>30</v>
      </c>
    </row>
    <row r="21232" ht="15.75" customHeight="1">
      <c r="A21232" s="7"/>
      <c r="B21232" s="7"/>
      <c r="M21232" s="9" t="s">
        <v>25</v>
      </c>
    </row>
    <row r="21233" ht="15.75" customHeight="1">
      <c r="A21233" s="7"/>
      <c r="B21233" s="7"/>
      <c r="M21233" s="9" t="s">
        <v>24</v>
      </c>
    </row>
    <row r="21234" ht="15.75" customHeight="1">
      <c r="A21234" s="7"/>
      <c r="B21234" s="7"/>
      <c r="M21234" s="9" t="s">
        <v>20</v>
      </c>
    </row>
    <row r="21235" ht="15.75" customHeight="1">
      <c r="A21235" s="7"/>
      <c r="B21235" s="7"/>
      <c r="M21235" s="9" t="s">
        <v>21</v>
      </c>
    </row>
    <row r="21236" ht="15.75" customHeight="1">
      <c r="A21236" s="7"/>
      <c r="B21236" s="7"/>
      <c r="M21236" s="9" t="s">
        <v>37</v>
      </c>
    </row>
    <row r="21237" ht="15.75" customHeight="1">
      <c r="A21237" s="7"/>
      <c r="B21237" s="7"/>
      <c r="M21237" s="9" t="s">
        <v>22</v>
      </c>
    </row>
    <row r="21238" ht="15.75" customHeight="1">
      <c r="A21238" s="7"/>
      <c r="B21238" s="7"/>
      <c r="M21238" s="9" t="s">
        <v>20</v>
      </c>
    </row>
    <row r="21239" ht="15.75" customHeight="1">
      <c r="A21239" s="7"/>
      <c r="B21239" s="7"/>
      <c r="M21239" s="9" t="s">
        <v>26</v>
      </c>
    </row>
    <row r="21240" ht="15.75" customHeight="1">
      <c r="A21240" s="7"/>
      <c r="B21240" s="7"/>
      <c r="M21240" s="9" t="s">
        <v>33</v>
      </c>
    </row>
    <row r="21241" ht="15.75" customHeight="1">
      <c r="A21241" s="7"/>
      <c r="B21241" s="7"/>
      <c r="M21241" s="9" t="s">
        <v>30</v>
      </c>
    </row>
    <row r="21242" ht="15.75" customHeight="1">
      <c r="A21242" s="7"/>
      <c r="B21242" s="7"/>
      <c r="M21242" s="9" t="s">
        <v>25</v>
      </c>
    </row>
    <row r="21243" ht="15.75" customHeight="1">
      <c r="A21243" s="7"/>
      <c r="B21243" s="7"/>
      <c r="M21243" s="9" t="s">
        <v>24</v>
      </c>
    </row>
    <row r="21244" ht="15.75" customHeight="1">
      <c r="A21244" s="7"/>
      <c r="B21244" s="7"/>
      <c r="M21244" s="9" t="s">
        <v>20</v>
      </c>
    </row>
    <row r="21245" ht="15.75" customHeight="1">
      <c r="A21245" s="7"/>
      <c r="B21245" s="7"/>
      <c r="M21245" s="9" t="s">
        <v>22</v>
      </c>
    </row>
    <row r="21246" ht="15.75" customHeight="1">
      <c r="A21246" s="7"/>
      <c r="B21246" s="7"/>
      <c r="M21246" s="9" t="s">
        <v>30</v>
      </c>
    </row>
    <row r="21247" ht="15.75" customHeight="1">
      <c r="A21247" s="7"/>
      <c r="B21247" s="7"/>
      <c r="M21247" s="9" t="s">
        <v>24</v>
      </c>
    </row>
    <row r="21248" ht="15.75" customHeight="1">
      <c r="A21248" s="7"/>
      <c r="B21248" s="7"/>
      <c r="M21248" s="9" t="s">
        <v>21</v>
      </c>
    </row>
    <row r="21249" ht="15.75" customHeight="1">
      <c r="A21249" s="7"/>
      <c r="B21249" s="7"/>
      <c r="M21249" s="9" t="s">
        <v>37</v>
      </c>
    </row>
    <row r="21250" ht="15.75" customHeight="1">
      <c r="A21250" s="7"/>
      <c r="B21250" s="7"/>
      <c r="M21250" s="9" t="s">
        <v>22</v>
      </c>
    </row>
    <row r="21251" ht="15.75" customHeight="1">
      <c r="A21251" s="7"/>
      <c r="B21251" s="7"/>
      <c r="M21251" s="9" t="s">
        <v>27</v>
      </c>
    </row>
    <row r="21252" ht="15.75" customHeight="1">
      <c r="A21252" s="7"/>
      <c r="B21252" s="7"/>
      <c r="M21252" s="9" t="s">
        <v>30</v>
      </c>
    </row>
    <row r="21253" ht="15.75" customHeight="1">
      <c r="A21253" s="7"/>
      <c r="B21253" s="7"/>
      <c r="M21253" s="9" t="s">
        <v>36</v>
      </c>
    </row>
    <row r="21254" ht="15.75" customHeight="1">
      <c r="A21254" s="7"/>
      <c r="B21254" s="7"/>
      <c r="M21254" s="9" t="s">
        <v>21</v>
      </c>
    </row>
    <row r="21255" ht="15.75" customHeight="1">
      <c r="A21255" s="7"/>
      <c r="B21255" s="7"/>
      <c r="M21255" s="9" t="s">
        <v>31</v>
      </c>
    </row>
    <row r="21256" ht="15.75" customHeight="1">
      <c r="A21256" s="7"/>
      <c r="B21256" s="7"/>
      <c r="M21256" s="9" t="s">
        <v>27</v>
      </c>
    </row>
    <row r="21257" ht="15.75" customHeight="1">
      <c r="A21257" s="7"/>
      <c r="B21257" s="7"/>
      <c r="M21257" s="9" t="s">
        <v>24</v>
      </c>
    </row>
    <row r="21258" ht="15.75" customHeight="1">
      <c r="A21258" s="7"/>
      <c r="B21258" s="7"/>
      <c r="M21258" s="9" t="s">
        <v>20</v>
      </c>
    </row>
    <row r="21259" ht="15.75" customHeight="1">
      <c r="A21259" s="7"/>
      <c r="B21259" s="7"/>
      <c r="M21259" s="9" t="s">
        <v>21</v>
      </c>
    </row>
    <row r="21260" ht="15.75" customHeight="1">
      <c r="A21260" s="7"/>
      <c r="B21260" s="7"/>
      <c r="M21260" s="9" t="s">
        <v>27</v>
      </c>
    </row>
    <row r="21261" ht="15.75" customHeight="1">
      <c r="A21261" s="7"/>
      <c r="B21261" s="7"/>
      <c r="M21261" s="9" t="s">
        <v>33</v>
      </c>
    </row>
    <row r="21262" ht="15.75" customHeight="1">
      <c r="A21262" s="7"/>
      <c r="B21262" s="7"/>
      <c r="M21262" s="9" t="s">
        <v>30</v>
      </c>
    </row>
    <row r="21263" ht="15.75" customHeight="1">
      <c r="A21263" s="7"/>
      <c r="B21263" s="7"/>
      <c r="M21263" s="9" t="s">
        <v>25</v>
      </c>
    </row>
    <row r="21264" ht="15.75" customHeight="1">
      <c r="A21264" s="7"/>
      <c r="B21264" s="7"/>
      <c r="M21264" s="9" t="s">
        <v>23</v>
      </c>
    </row>
    <row r="21265" ht="15.75" customHeight="1">
      <c r="A21265" s="7"/>
      <c r="B21265" s="7"/>
      <c r="M21265" s="9" t="s">
        <v>26</v>
      </c>
    </row>
    <row r="21266" ht="15.75" customHeight="1">
      <c r="A21266" s="7"/>
      <c r="B21266" s="7"/>
      <c r="M21266" s="9" t="s">
        <v>24</v>
      </c>
    </row>
    <row r="21267" ht="15.75" customHeight="1">
      <c r="A21267" s="7"/>
      <c r="B21267" s="7"/>
      <c r="M21267" s="9" t="s">
        <v>21</v>
      </c>
    </row>
    <row r="21268" ht="15.75" customHeight="1">
      <c r="A21268" s="7"/>
      <c r="B21268" s="7"/>
      <c r="M21268" s="9" t="s">
        <v>37</v>
      </c>
    </row>
    <row r="21269" ht="15.75" customHeight="1">
      <c r="A21269" s="7"/>
      <c r="B21269" s="7"/>
      <c r="M21269" s="9" t="s">
        <v>27</v>
      </c>
    </row>
    <row r="21270" ht="15.75" customHeight="1">
      <c r="A21270" s="7"/>
      <c r="B21270" s="7"/>
      <c r="M21270" s="9" t="s">
        <v>24</v>
      </c>
    </row>
    <row r="21271" ht="15.75" customHeight="1">
      <c r="A21271" s="7"/>
      <c r="B21271" s="7"/>
      <c r="M21271" s="9" t="s">
        <v>20</v>
      </c>
    </row>
    <row r="21272" ht="15.75" customHeight="1">
      <c r="A21272" s="7"/>
      <c r="B21272" s="7"/>
      <c r="M21272" s="9" t="s">
        <v>21</v>
      </c>
    </row>
    <row r="21273" ht="15.75" customHeight="1">
      <c r="A21273" s="7"/>
      <c r="B21273" s="7"/>
      <c r="M21273" s="9" t="s">
        <v>22</v>
      </c>
    </row>
    <row r="21274" ht="15.75" customHeight="1">
      <c r="A21274" s="7"/>
      <c r="B21274" s="7"/>
      <c r="M21274" s="9" t="s">
        <v>40</v>
      </c>
    </row>
    <row r="21275" ht="15.75" customHeight="1">
      <c r="A21275" s="7"/>
      <c r="B21275" s="7"/>
      <c r="M21275" s="9" t="s">
        <v>40</v>
      </c>
    </row>
    <row r="21276" ht="15.75" customHeight="1">
      <c r="A21276" s="7"/>
      <c r="B21276" s="7"/>
      <c r="M21276" s="9" t="s">
        <v>24</v>
      </c>
    </row>
    <row r="21277" ht="15.75" customHeight="1">
      <c r="A21277" s="7"/>
      <c r="B21277" s="7"/>
      <c r="M21277" s="9" t="s">
        <v>20</v>
      </c>
    </row>
    <row r="21278" ht="15.75" customHeight="1">
      <c r="A21278" s="7"/>
      <c r="B21278" s="7"/>
      <c r="M21278" s="9" t="s">
        <v>21</v>
      </c>
    </row>
    <row r="21279" ht="15.75" customHeight="1">
      <c r="A21279" s="7"/>
      <c r="B21279" s="7"/>
      <c r="M21279" s="9" t="s">
        <v>27</v>
      </c>
    </row>
    <row r="21280" ht="15.75" customHeight="1">
      <c r="A21280" s="7"/>
      <c r="B21280" s="7"/>
      <c r="M21280" s="9" t="s">
        <v>36</v>
      </c>
    </row>
    <row r="21281" ht="15.75" customHeight="1">
      <c r="A21281" s="7"/>
      <c r="B21281" s="7"/>
      <c r="M21281" s="9" t="s">
        <v>20</v>
      </c>
    </row>
    <row r="21282" ht="15.75" customHeight="1">
      <c r="A21282" s="7"/>
      <c r="B21282" s="7"/>
      <c r="M21282" s="9" t="s">
        <v>21</v>
      </c>
    </row>
    <row r="21283" ht="15.75" customHeight="1">
      <c r="A21283" s="7"/>
      <c r="B21283" s="7"/>
      <c r="M21283" s="9" t="s">
        <v>33</v>
      </c>
    </row>
    <row r="21284" ht="15.75" customHeight="1">
      <c r="A21284" s="7"/>
      <c r="B21284" s="7"/>
      <c r="M21284" s="9" t="s">
        <v>23</v>
      </c>
    </row>
    <row r="21285" ht="15.75" customHeight="1">
      <c r="A21285" s="7"/>
      <c r="B21285" s="7"/>
      <c r="M21285" s="9" t="s">
        <v>26</v>
      </c>
    </row>
    <row r="21286" ht="15.75" customHeight="1">
      <c r="A21286" s="7"/>
      <c r="B21286" s="7"/>
      <c r="M21286" s="9" t="s">
        <v>24</v>
      </c>
    </row>
    <row r="21287" ht="15.75" customHeight="1">
      <c r="A21287" s="7"/>
      <c r="B21287" s="7"/>
      <c r="M21287" s="9" t="s">
        <v>20</v>
      </c>
    </row>
    <row r="21288" ht="15.75" customHeight="1">
      <c r="A21288" s="7"/>
      <c r="B21288" s="7"/>
      <c r="M21288" s="9" t="s">
        <v>21</v>
      </c>
    </row>
    <row r="21289" ht="15.75" customHeight="1">
      <c r="A21289" s="7"/>
      <c r="B21289" s="7"/>
      <c r="M21289" s="9" t="s">
        <v>37</v>
      </c>
    </row>
    <row r="21290" ht="15.75" customHeight="1">
      <c r="A21290" s="7"/>
      <c r="B21290" s="7"/>
      <c r="M21290" s="9" t="s">
        <v>27</v>
      </c>
    </row>
    <row r="21291" ht="15.75" customHeight="1">
      <c r="A21291" s="7"/>
      <c r="B21291" s="7"/>
      <c r="M21291" s="9" t="s">
        <v>24</v>
      </c>
    </row>
    <row r="21292" ht="15.75" customHeight="1">
      <c r="A21292" s="7"/>
      <c r="B21292" s="7"/>
      <c r="M21292" s="9" t="s">
        <v>20</v>
      </c>
    </row>
    <row r="21293" ht="15.75" customHeight="1">
      <c r="A21293" s="7"/>
      <c r="B21293" s="7"/>
      <c r="M21293" s="9" t="s">
        <v>21</v>
      </c>
    </row>
    <row r="21294" ht="15.75" customHeight="1">
      <c r="A21294" s="7"/>
      <c r="B21294" s="7"/>
      <c r="M21294" s="9" t="s">
        <v>22</v>
      </c>
    </row>
    <row r="21295" ht="15.75" customHeight="1">
      <c r="A21295" s="7"/>
      <c r="B21295" s="7"/>
      <c r="M21295" s="9" t="s">
        <v>27</v>
      </c>
    </row>
    <row r="21296" ht="15.75" customHeight="1">
      <c r="A21296" s="7"/>
      <c r="B21296" s="7"/>
      <c r="M21296" s="9" t="s">
        <v>38</v>
      </c>
    </row>
    <row r="21297" ht="15.75" customHeight="1">
      <c r="A21297" s="7"/>
      <c r="B21297" s="7"/>
      <c r="M21297" s="9" t="s">
        <v>30</v>
      </c>
    </row>
    <row r="21298" ht="15.75" customHeight="1">
      <c r="A21298" s="7"/>
      <c r="B21298" s="7"/>
      <c r="M21298" s="9" t="s">
        <v>25</v>
      </c>
    </row>
    <row r="21299" ht="15.75" customHeight="1">
      <c r="A21299" s="7"/>
      <c r="B21299" s="7"/>
      <c r="M21299" s="9" t="s">
        <v>23</v>
      </c>
    </row>
    <row r="21300" ht="15.75" customHeight="1">
      <c r="A21300" s="7"/>
      <c r="B21300" s="7"/>
      <c r="M21300" s="9" t="s">
        <v>22</v>
      </c>
    </row>
    <row r="21301" ht="15.75" customHeight="1">
      <c r="A21301" s="7"/>
      <c r="B21301" s="7"/>
      <c r="M21301" s="9" t="s">
        <v>26</v>
      </c>
    </row>
    <row r="21302" ht="15.75" customHeight="1">
      <c r="A21302" s="7"/>
      <c r="B21302" s="7"/>
      <c r="M21302" s="9" t="s">
        <v>24</v>
      </c>
    </row>
    <row r="21303" ht="15.75" customHeight="1">
      <c r="A21303" s="7"/>
      <c r="B21303" s="7"/>
      <c r="M21303" s="9" t="s">
        <v>21</v>
      </c>
    </row>
    <row r="21304" ht="15.75" customHeight="1">
      <c r="A21304" s="7"/>
      <c r="B21304" s="7"/>
      <c r="M21304" s="9" t="s">
        <v>37</v>
      </c>
    </row>
    <row r="21305" ht="15.75" customHeight="1">
      <c r="A21305" s="7"/>
      <c r="B21305" s="7"/>
      <c r="M21305" s="9" t="s">
        <v>27</v>
      </c>
    </row>
    <row r="21306" ht="15.75" customHeight="1">
      <c r="A21306" s="7"/>
      <c r="B21306" s="7"/>
      <c r="M21306" s="9" t="s">
        <v>33</v>
      </c>
    </row>
    <row r="21307" ht="15.75" customHeight="1">
      <c r="A21307" s="7"/>
      <c r="B21307" s="7"/>
      <c r="M21307" s="9" t="s">
        <v>26</v>
      </c>
    </row>
    <row r="21308" ht="15.75" customHeight="1">
      <c r="A21308" s="7"/>
      <c r="B21308" s="7"/>
      <c r="M21308" s="9" t="s">
        <v>24</v>
      </c>
    </row>
    <row r="21309" ht="15.75" customHeight="1">
      <c r="A21309" s="7"/>
      <c r="B21309" s="7"/>
      <c r="M21309" s="9" t="s">
        <v>21</v>
      </c>
    </row>
    <row r="21310" ht="15.75" customHeight="1">
      <c r="A21310" s="7"/>
      <c r="B21310" s="7"/>
      <c r="M21310" s="9" t="s">
        <v>27</v>
      </c>
    </row>
    <row r="21311" ht="15.75" customHeight="1">
      <c r="A21311" s="7"/>
      <c r="B21311" s="7"/>
      <c r="M21311" s="9" t="s">
        <v>33</v>
      </c>
    </row>
    <row r="21312" ht="15.75" customHeight="1">
      <c r="A21312" s="7"/>
      <c r="B21312" s="7"/>
      <c r="M21312" s="9" t="s">
        <v>47</v>
      </c>
    </row>
    <row r="21313" ht="15.75" customHeight="1">
      <c r="A21313" s="7"/>
      <c r="B21313" s="7"/>
      <c r="M21313" s="9" t="s">
        <v>21</v>
      </c>
    </row>
    <row r="21314" ht="15.75" customHeight="1">
      <c r="A21314" s="7"/>
      <c r="B21314" s="7"/>
      <c r="M21314" s="9" t="s">
        <v>40</v>
      </c>
    </row>
    <row r="21315" ht="15.75" customHeight="1">
      <c r="A21315" s="7"/>
      <c r="B21315" s="7"/>
      <c r="M21315" s="9" t="s">
        <v>20</v>
      </c>
    </row>
    <row r="21316" ht="15.75" customHeight="1">
      <c r="A21316" s="7"/>
      <c r="B21316" s="7"/>
      <c r="M21316" s="9" t="s">
        <v>21</v>
      </c>
    </row>
    <row r="21317" ht="15.75" customHeight="1">
      <c r="A21317" s="7"/>
      <c r="B21317" s="7"/>
      <c r="M21317" s="9" t="s">
        <v>39</v>
      </c>
    </row>
    <row r="21318" ht="15.75" customHeight="1">
      <c r="A21318" s="7"/>
      <c r="B21318" s="7"/>
      <c r="M21318" s="9" t="s">
        <v>30</v>
      </c>
    </row>
    <row r="21319" ht="15.75" customHeight="1">
      <c r="A21319" s="7"/>
      <c r="B21319" s="7"/>
      <c r="M21319" s="9" t="s">
        <v>25</v>
      </c>
    </row>
    <row r="21320" ht="15.75" customHeight="1">
      <c r="A21320" s="7"/>
      <c r="B21320" s="7"/>
      <c r="M21320" s="9" t="s">
        <v>24</v>
      </c>
    </row>
    <row r="21321" ht="15.75" customHeight="1">
      <c r="A21321" s="7"/>
      <c r="B21321" s="7"/>
      <c r="M21321" s="9" t="s">
        <v>20</v>
      </c>
    </row>
    <row r="21322" ht="15.75" customHeight="1">
      <c r="A21322" s="7"/>
      <c r="B21322" s="7"/>
      <c r="M21322" s="9" t="s">
        <v>21</v>
      </c>
    </row>
    <row r="21323" ht="15.75" customHeight="1">
      <c r="A21323" s="7"/>
      <c r="B21323" s="7"/>
      <c r="M21323" s="9" t="s">
        <v>37</v>
      </c>
    </row>
    <row r="21324" ht="15.75" customHeight="1">
      <c r="A21324" s="7"/>
      <c r="B21324" s="7"/>
      <c r="M21324" s="9" t="s">
        <v>27</v>
      </c>
    </row>
    <row r="21325" ht="15.75" customHeight="1">
      <c r="A21325" s="7"/>
      <c r="B21325" s="7"/>
      <c r="M21325" s="9" t="s">
        <v>47</v>
      </c>
    </row>
    <row r="21326" ht="15.75" customHeight="1">
      <c r="A21326" s="7"/>
      <c r="B21326" s="7"/>
      <c r="M21326" s="9" t="s">
        <v>20</v>
      </c>
    </row>
    <row r="21327" ht="15.75" customHeight="1">
      <c r="A21327" s="7"/>
      <c r="B21327" s="7"/>
      <c r="M21327" s="9" t="s">
        <v>24</v>
      </c>
    </row>
    <row r="21328" ht="15.75" customHeight="1">
      <c r="A21328" s="7"/>
      <c r="B21328" s="7"/>
      <c r="M21328" s="9" t="s">
        <v>20</v>
      </c>
    </row>
    <row r="21329" ht="15.75" customHeight="1">
      <c r="A21329" s="7"/>
      <c r="B21329" s="7"/>
      <c r="M21329" s="9" t="s">
        <v>21</v>
      </c>
    </row>
    <row r="21330" ht="15.75" customHeight="1">
      <c r="A21330" s="7"/>
      <c r="B21330" s="7"/>
      <c r="M21330" s="9" t="s">
        <v>37</v>
      </c>
    </row>
    <row r="21331" ht="15.75" customHeight="1">
      <c r="A21331" s="7"/>
      <c r="B21331" s="7"/>
      <c r="M21331" s="9" t="s">
        <v>27</v>
      </c>
    </row>
    <row r="21332" ht="15.75" customHeight="1">
      <c r="A21332" s="7"/>
      <c r="B21332" s="7"/>
      <c r="M21332" s="9" t="s">
        <v>26</v>
      </c>
    </row>
    <row r="21333" ht="15.75" customHeight="1">
      <c r="A21333" s="7"/>
      <c r="B21333" s="7"/>
      <c r="M21333" s="9" t="s">
        <v>24</v>
      </c>
    </row>
    <row r="21334" ht="15.75" customHeight="1">
      <c r="A21334" s="7"/>
      <c r="B21334" s="7"/>
      <c r="M21334" s="9" t="s">
        <v>21</v>
      </c>
    </row>
    <row r="21335" ht="15.75" customHeight="1">
      <c r="A21335" s="7"/>
      <c r="B21335" s="7"/>
      <c r="M21335" s="9" t="s">
        <v>27</v>
      </c>
    </row>
    <row r="21336" ht="15.75" customHeight="1">
      <c r="A21336" s="7"/>
      <c r="B21336" s="7"/>
      <c r="M21336" s="9" t="s">
        <v>33</v>
      </c>
    </row>
    <row r="21337" ht="15.75" customHeight="1">
      <c r="A21337" s="7"/>
      <c r="B21337" s="7"/>
      <c r="M21337" s="9" t="s">
        <v>25</v>
      </c>
    </row>
    <row r="21338" ht="15.75" customHeight="1">
      <c r="A21338" s="7"/>
      <c r="B21338" s="7"/>
      <c r="M21338" s="9" t="s">
        <v>23</v>
      </c>
    </row>
    <row r="21339" ht="15.75" customHeight="1">
      <c r="A21339" s="7"/>
      <c r="B21339" s="7"/>
      <c r="M21339" s="9" t="s">
        <v>26</v>
      </c>
    </row>
    <row r="21340" ht="15.75" customHeight="1">
      <c r="A21340" s="7"/>
      <c r="B21340" s="7"/>
      <c r="M21340" s="9" t="s">
        <v>24</v>
      </c>
    </row>
    <row r="21341" ht="15.75" customHeight="1">
      <c r="A21341" s="7"/>
      <c r="B21341" s="7"/>
      <c r="M21341" s="9" t="s">
        <v>20</v>
      </c>
    </row>
    <row r="21342" ht="15.75" customHeight="1">
      <c r="A21342" s="7"/>
      <c r="B21342" s="7"/>
      <c r="M21342" s="9" t="s">
        <v>22</v>
      </c>
    </row>
    <row r="21343" ht="15.75" customHeight="1">
      <c r="A21343" s="7"/>
      <c r="B21343" s="7"/>
      <c r="M21343" s="9" t="s">
        <v>27</v>
      </c>
    </row>
    <row r="21344" ht="15.75" customHeight="1">
      <c r="A21344" s="7"/>
      <c r="B21344" s="7"/>
      <c r="M21344" s="9" t="s">
        <v>30</v>
      </c>
    </row>
    <row r="21345" ht="15.75" customHeight="1">
      <c r="A21345" s="7"/>
      <c r="B21345" s="7"/>
      <c r="M21345" s="9" t="s">
        <v>25</v>
      </c>
    </row>
    <row r="21346" ht="15.75" customHeight="1">
      <c r="A21346" s="7"/>
      <c r="B21346" s="7"/>
      <c r="M21346" s="9" t="s">
        <v>22</v>
      </c>
    </row>
    <row r="21347" ht="15.75" customHeight="1">
      <c r="A21347" s="7"/>
      <c r="B21347" s="7"/>
      <c r="M21347" s="9" t="s">
        <v>25</v>
      </c>
    </row>
    <row r="21348" ht="15.75" customHeight="1">
      <c r="A21348" s="7"/>
      <c r="B21348" s="7"/>
      <c r="M21348" s="9" t="s">
        <v>23</v>
      </c>
    </row>
    <row r="21349" ht="15.75" customHeight="1">
      <c r="A21349" s="7"/>
      <c r="B21349" s="7"/>
      <c r="M21349" s="9" t="s">
        <v>24</v>
      </c>
    </row>
    <row r="21350" ht="15.75" customHeight="1">
      <c r="A21350" s="7"/>
      <c r="B21350" s="7"/>
      <c r="M21350" s="9" t="s">
        <v>20</v>
      </c>
    </row>
    <row r="21351" ht="15.75" customHeight="1">
      <c r="A21351" s="7"/>
      <c r="B21351" s="7"/>
      <c r="M21351" s="9" t="s">
        <v>25</v>
      </c>
    </row>
    <row r="21352" ht="15.75" customHeight="1">
      <c r="A21352" s="7"/>
      <c r="B21352" s="7"/>
      <c r="M21352" s="9" t="s">
        <v>21</v>
      </c>
    </row>
    <row r="21353" ht="15.75" customHeight="1">
      <c r="A21353" s="7"/>
      <c r="B21353" s="7"/>
      <c r="M21353" s="9" t="s">
        <v>22</v>
      </c>
    </row>
    <row r="21354" ht="15.75" customHeight="1">
      <c r="A21354" s="7"/>
      <c r="B21354" s="7"/>
      <c r="M21354" s="9" t="s">
        <v>35</v>
      </c>
    </row>
    <row r="21355" ht="15.75" customHeight="1">
      <c r="A21355" s="7"/>
      <c r="B21355" s="7"/>
      <c r="M21355" s="9" t="s">
        <v>36</v>
      </c>
    </row>
    <row r="21356" ht="15.75" customHeight="1">
      <c r="A21356" s="7"/>
      <c r="B21356" s="7"/>
      <c r="M21356" s="9" t="s">
        <v>24</v>
      </c>
    </row>
    <row r="21357" ht="15.75" customHeight="1">
      <c r="A21357" s="7"/>
      <c r="B21357" s="7"/>
      <c r="M21357" s="9" t="s">
        <v>20</v>
      </c>
    </row>
    <row r="21358" ht="15.75" customHeight="1">
      <c r="A21358" s="7"/>
      <c r="B21358" s="7"/>
      <c r="M21358" s="9" t="s">
        <v>21</v>
      </c>
    </row>
    <row r="21359" ht="15.75" customHeight="1">
      <c r="A21359" s="7"/>
      <c r="B21359" s="7"/>
      <c r="M21359" s="9" t="s">
        <v>37</v>
      </c>
    </row>
    <row r="21360" ht="15.75" customHeight="1">
      <c r="A21360" s="7"/>
      <c r="B21360" s="7"/>
      <c r="M21360" s="9" t="s">
        <v>27</v>
      </c>
    </row>
    <row r="21361" ht="15.75" customHeight="1">
      <c r="A21361" s="7"/>
      <c r="B21361" s="7"/>
      <c r="M21361" s="9" t="s">
        <v>33</v>
      </c>
    </row>
    <row r="21362" ht="15.75" customHeight="1">
      <c r="A21362" s="7"/>
      <c r="B21362" s="7"/>
      <c r="M21362" s="9" t="s">
        <v>30</v>
      </c>
    </row>
    <row r="21363" ht="15.75" customHeight="1">
      <c r="A21363" s="7"/>
      <c r="B21363" s="7"/>
      <c r="M21363" s="9" t="s">
        <v>23</v>
      </c>
    </row>
    <row r="21364" ht="15.75" customHeight="1">
      <c r="A21364" s="7"/>
      <c r="B21364" s="7"/>
      <c r="M21364" s="9" t="s">
        <v>26</v>
      </c>
    </row>
    <row r="21365" ht="15.75" customHeight="1">
      <c r="A21365" s="7"/>
      <c r="B21365" s="7"/>
      <c r="M21365" s="9" t="s">
        <v>24</v>
      </c>
    </row>
    <row r="21366" ht="15.75" customHeight="1">
      <c r="A21366" s="7"/>
      <c r="B21366" s="7"/>
      <c r="M21366" s="9" t="s">
        <v>20</v>
      </c>
    </row>
    <row r="21367" ht="15.75" customHeight="1">
      <c r="A21367" s="7"/>
      <c r="B21367" s="7"/>
      <c r="M21367" s="9" t="s">
        <v>21</v>
      </c>
    </row>
    <row r="21368" ht="15.75" customHeight="1">
      <c r="A21368" s="7"/>
      <c r="B21368" s="7"/>
      <c r="M21368" s="9" t="s">
        <v>37</v>
      </c>
    </row>
    <row r="21369" ht="15.75" customHeight="1">
      <c r="A21369" s="7"/>
      <c r="B21369" s="7"/>
      <c r="M21369" s="9" t="s">
        <v>22</v>
      </c>
    </row>
    <row r="21370" ht="15.75" customHeight="1">
      <c r="A21370" s="7"/>
      <c r="B21370" s="7"/>
      <c r="M21370" s="9" t="s">
        <v>27</v>
      </c>
    </row>
    <row r="21371" ht="15.75" customHeight="1">
      <c r="A21371" s="7"/>
      <c r="B21371" s="7"/>
      <c r="M21371" s="9" t="s">
        <v>38</v>
      </c>
    </row>
    <row r="21372" ht="15.75" customHeight="1">
      <c r="A21372" s="7"/>
      <c r="B21372" s="7"/>
      <c r="M21372" s="9" t="s">
        <v>23</v>
      </c>
    </row>
    <row r="21373" ht="15.75" customHeight="1">
      <c r="A21373" s="7"/>
      <c r="B21373" s="7"/>
      <c r="M21373" s="9" t="s">
        <v>24</v>
      </c>
    </row>
    <row r="21374" ht="15.75" customHeight="1">
      <c r="A21374" s="7"/>
      <c r="B21374" s="7"/>
      <c r="M21374" s="9" t="s">
        <v>20</v>
      </c>
    </row>
    <row r="21375" ht="15.75" customHeight="1">
      <c r="A21375" s="7"/>
      <c r="B21375" s="7"/>
      <c r="M21375" s="9" t="s">
        <v>21</v>
      </c>
    </row>
    <row r="21376" ht="15.75" customHeight="1">
      <c r="A21376" s="7"/>
      <c r="B21376" s="7"/>
      <c r="M21376" s="9" t="s">
        <v>40</v>
      </c>
    </row>
    <row r="21377" ht="15.75" customHeight="1">
      <c r="A21377" s="7"/>
      <c r="B21377" s="7"/>
      <c r="M21377" s="9" t="s">
        <v>30</v>
      </c>
    </row>
    <row r="21378" ht="15.75" customHeight="1">
      <c r="A21378" s="7"/>
      <c r="B21378" s="7"/>
      <c r="M21378" s="9" t="s">
        <v>36</v>
      </c>
    </row>
    <row r="21379" ht="15.75" customHeight="1">
      <c r="A21379" s="7"/>
      <c r="B21379" s="7"/>
      <c r="M21379" s="9" t="s">
        <v>24</v>
      </c>
    </row>
    <row r="21380" ht="15.75" customHeight="1">
      <c r="A21380" s="7"/>
      <c r="B21380" s="7"/>
      <c r="M21380" s="9" t="s">
        <v>21</v>
      </c>
    </row>
    <row r="21381" ht="15.75" customHeight="1">
      <c r="A21381" s="7"/>
      <c r="B21381" s="7"/>
      <c r="M21381" s="9" t="s">
        <v>22</v>
      </c>
    </row>
    <row r="21382" ht="15.75" customHeight="1">
      <c r="A21382" s="7"/>
      <c r="B21382" s="7"/>
      <c r="M21382" s="9" t="s">
        <v>31</v>
      </c>
    </row>
    <row r="21383" ht="15.75" customHeight="1">
      <c r="A21383" s="7"/>
      <c r="B21383" s="7"/>
      <c r="M21383" s="9" t="s">
        <v>27</v>
      </c>
    </row>
    <row r="21384" ht="15.75" customHeight="1">
      <c r="A21384" s="7"/>
      <c r="B21384" s="7"/>
      <c r="M21384" s="9" t="s">
        <v>26</v>
      </c>
    </row>
    <row r="21385" ht="15.75" customHeight="1">
      <c r="A21385" s="7"/>
      <c r="B21385" s="7"/>
      <c r="M21385" s="9" t="s">
        <v>38</v>
      </c>
    </row>
    <row r="21386" ht="15.75" customHeight="1">
      <c r="A21386" s="7"/>
      <c r="B21386" s="7"/>
      <c r="M21386" s="9" t="s">
        <v>30</v>
      </c>
    </row>
    <row r="21387" ht="15.75" customHeight="1">
      <c r="A21387" s="7"/>
      <c r="B21387" s="7"/>
      <c r="M21387" s="9" t="s">
        <v>25</v>
      </c>
    </row>
    <row r="21388" ht="15.75" customHeight="1">
      <c r="A21388" s="7"/>
      <c r="B21388" s="7"/>
      <c r="M21388" s="9" t="s">
        <v>23</v>
      </c>
    </row>
    <row r="21389" ht="15.75" customHeight="1">
      <c r="A21389" s="7"/>
      <c r="B21389" s="7"/>
      <c r="M21389" s="9" t="s">
        <v>24</v>
      </c>
    </row>
    <row r="21390" ht="15.75" customHeight="1">
      <c r="A21390" s="7"/>
      <c r="B21390" s="7"/>
      <c r="M21390" s="9" t="s">
        <v>20</v>
      </c>
    </row>
    <row r="21391" ht="15.75" customHeight="1">
      <c r="A21391" s="7"/>
      <c r="B21391" s="7"/>
      <c r="M21391" s="9" t="s">
        <v>37</v>
      </c>
    </row>
    <row r="21392" ht="15.75" customHeight="1">
      <c r="A21392" s="7"/>
      <c r="B21392" s="7"/>
      <c r="M21392" s="9" t="s">
        <v>22</v>
      </c>
    </row>
    <row r="21393" ht="15.75" customHeight="1">
      <c r="A21393" s="7"/>
      <c r="B21393" s="7"/>
      <c r="M21393" s="9" t="s">
        <v>27</v>
      </c>
    </row>
    <row r="21394" ht="15.75" customHeight="1">
      <c r="A21394" s="7"/>
      <c r="B21394" s="7"/>
      <c r="M21394" s="9" t="s">
        <v>40</v>
      </c>
    </row>
    <row r="21395" ht="15.75" customHeight="1">
      <c r="A21395" s="7"/>
      <c r="B21395" s="7"/>
      <c r="M21395" s="9" t="s">
        <v>28</v>
      </c>
    </row>
    <row r="21396" ht="15.75" customHeight="1">
      <c r="A21396" s="7"/>
      <c r="B21396" s="7"/>
      <c r="M21396" s="9" t="s">
        <v>21</v>
      </c>
    </row>
    <row r="21397" ht="15.75" customHeight="1">
      <c r="A21397" s="7"/>
      <c r="B21397" s="7"/>
      <c r="M21397" s="9" t="s">
        <v>33</v>
      </c>
    </row>
    <row r="21398" ht="15.75" customHeight="1">
      <c r="A21398" s="7"/>
      <c r="B21398" s="7"/>
      <c r="M21398" s="9" t="s">
        <v>30</v>
      </c>
    </row>
    <row r="21399" ht="15.75" customHeight="1">
      <c r="A21399" s="7"/>
      <c r="B21399" s="7"/>
      <c r="M21399" s="9" t="s">
        <v>20</v>
      </c>
    </row>
    <row r="21400" ht="15.75" customHeight="1">
      <c r="A21400" s="7"/>
      <c r="B21400" s="7"/>
      <c r="M21400" s="9" t="s">
        <v>21</v>
      </c>
    </row>
    <row r="21401" ht="15.75" customHeight="1">
      <c r="A21401" s="7"/>
      <c r="B21401" s="7"/>
      <c r="M21401" s="9" t="s">
        <v>41</v>
      </c>
    </row>
    <row r="21402" ht="15.75" customHeight="1">
      <c r="A21402" s="7"/>
      <c r="B21402" s="7"/>
      <c r="M21402" s="9" t="s">
        <v>31</v>
      </c>
    </row>
    <row r="21403" ht="15.75" customHeight="1">
      <c r="A21403" s="7"/>
      <c r="B21403" s="7"/>
      <c r="M21403" s="9" t="s">
        <v>27</v>
      </c>
    </row>
    <row r="21404" ht="15.75" customHeight="1">
      <c r="A21404" s="7"/>
      <c r="B21404" s="7"/>
      <c r="M21404" s="9" t="s">
        <v>40</v>
      </c>
    </row>
    <row r="21405" ht="15.75" customHeight="1">
      <c r="A21405" s="7"/>
      <c r="B21405" s="7"/>
      <c r="M21405" s="9" t="s">
        <v>33</v>
      </c>
    </row>
    <row r="21406" ht="15.75" customHeight="1">
      <c r="A21406" s="7"/>
      <c r="B21406" s="7"/>
      <c r="M21406" s="9" t="s">
        <v>20</v>
      </c>
    </row>
    <row r="21407" ht="15.75" customHeight="1">
      <c r="A21407" s="7"/>
      <c r="B21407" s="7"/>
      <c r="M21407" s="9" t="s">
        <v>21</v>
      </c>
    </row>
    <row r="21408" ht="15.75" customHeight="1">
      <c r="A21408" s="7"/>
      <c r="B21408" s="7"/>
      <c r="M21408" s="9" t="s">
        <v>46</v>
      </c>
    </row>
    <row r="21409" ht="15.75" customHeight="1">
      <c r="A21409" s="7"/>
      <c r="B21409" s="7"/>
      <c r="M21409" s="9" t="s">
        <v>27</v>
      </c>
    </row>
    <row r="21410" ht="15.75" customHeight="1">
      <c r="A21410" s="7"/>
      <c r="B21410" s="7"/>
      <c r="M21410" s="9" t="s">
        <v>30</v>
      </c>
    </row>
    <row r="21411" ht="15.75" customHeight="1">
      <c r="A21411" s="7"/>
      <c r="B21411" s="7"/>
      <c r="M21411" s="9" t="s">
        <v>25</v>
      </c>
    </row>
    <row r="21412" ht="15.75" customHeight="1">
      <c r="A21412" s="7"/>
      <c r="B21412" s="7"/>
      <c r="M21412" s="9" t="s">
        <v>23</v>
      </c>
    </row>
    <row r="21413" ht="15.75" customHeight="1">
      <c r="A21413" s="7"/>
      <c r="B21413" s="7"/>
      <c r="M21413" s="9" t="s">
        <v>26</v>
      </c>
    </row>
    <row r="21414" ht="15.75" customHeight="1">
      <c r="A21414" s="7"/>
      <c r="B21414" s="7"/>
      <c r="M21414" s="9" t="s">
        <v>24</v>
      </c>
    </row>
    <row r="21415" ht="15.75" customHeight="1">
      <c r="A21415" s="7"/>
      <c r="B21415" s="7"/>
      <c r="M21415" s="9" t="s">
        <v>27</v>
      </c>
    </row>
    <row r="21416" ht="15.75" customHeight="1">
      <c r="A21416" s="7"/>
      <c r="B21416" s="7"/>
      <c r="M21416" s="9" t="s">
        <v>34</v>
      </c>
    </row>
    <row r="21417" ht="15.75" customHeight="1">
      <c r="A21417" s="7"/>
      <c r="B21417" s="7"/>
      <c r="M21417" s="9" t="s">
        <v>24</v>
      </c>
    </row>
    <row r="21418" ht="15.75" customHeight="1">
      <c r="A21418" s="7"/>
      <c r="B21418" s="7"/>
      <c r="M21418" s="9" t="s">
        <v>21</v>
      </c>
    </row>
    <row r="21419" ht="15.75" customHeight="1">
      <c r="A21419" s="7"/>
      <c r="B21419" s="7"/>
      <c r="M21419" s="9" t="s">
        <v>37</v>
      </c>
    </row>
    <row r="21420" ht="15.75" customHeight="1">
      <c r="A21420" s="7"/>
      <c r="B21420" s="7"/>
      <c r="M21420" s="9" t="s">
        <v>27</v>
      </c>
    </row>
    <row r="21421" ht="15.75" customHeight="1">
      <c r="A21421" s="7"/>
      <c r="B21421" s="7"/>
      <c r="M21421" s="9" t="s">
        <v>22</v>
      </c>
    </row>
    <row r="21422" ht="15.75" customHeight="1">
      <c r="A21422" s="7"/>
      <c r="B21422" s="7"/>
      <c r="M21422" s="9" t="s">
        <v>30</v>
      </c>
    </row>
    <row r="21423" ht="15.75" customHeight="1">
      <c r="A21423" s="7"/>
      <c r="B21423" s="7"/>
      <c r="M21423" s="9" t="s">
        <v>25</v>
      </c>
    </row>
    <row r="21424" ht="15.75" customHeight="1">
      <c r="A21424" s="7"/>
      <c r="B21424" s="7"/>
      <c r="M21424" s="9" t="s">
        <v>23</v>
      </c>
    </row>
    <row r="21425" ht="15.75" customHeight="1">
      <c r="A21425" s="7"/>
      <c r="B21425" s="7"/>
      <c r="M21425" s="9" t="s">
        <v>26</v>
      </c>
    </row>
    <row r="21426" ht="15.75" customHeight="1">
      <c r="A21426" s="7"/>
      <c r="B21426" s="7"/>
      <c r="M21426" s="9" t="s">
        <v>24</v>
      </c>
    </row>
    <row r="21427" ht="15.75" customHeight="1">
      <c r="A21427" s="7"/>
      <c r="B21427" s="7"/>
      <c r="M21427" s="9" t="s">
        <v>21</v>
      </c>
    </row>
    <row r="21428" ht="15.75" customHeight="1">
      <c r="A21428" s="7"/>
      <c r="B21428" s="7"/>
      <c r="M21428" s="9" t="s">
        <v>37</v>
      </c>
    </row>
    <row r="21429" ht="15.75" customHeight="1">
      <c r="A21429" s="7"/>
      <c r="B21429" s="7"/>
      <c r="M21429" s="9" t="s">
        <v>22</v>
      </c>
    </row>
    <row r="21430" ht="15.75" customHeight="1">
      <c r="A21430" s="7"/>
      <c r="B21430" s="7"/>
      <c r="M21430" s="9" t="s">
        <v>32</v>
      </c>
    </row>
    <row r="21431" ht="15.75" customHeight="1">
      <c r="A21431" s="7"/>
      <c r="B21431" s="7"/>
      <c r="M21431" s="9" t="s">
        <v>27</v>
      </c>
    </row>
    <row r="21432" ht="15.75" customHeight="1">
      <c r="A21432" s="7"/>
      <c r="B21432" s="7"/>
      <c r="M21432" s="9" t="s">
        <v>30</v>
      </c>
    </row>
    <row r="21433" ht="15.75" customHeight="1">
      <c r="A21433" s="7"/>
      <c r="B21433" s="7"/>
      <c r="M21433" s="9" t="s">
        <v>23</v>
      </c>
    </row>
    <row r="21434" ht="15.75" customHeight="1">
      <c r="A21434" s="7"/>
      <c r="B21434" s="7"/>
      <c r="M21434" s="9" t="s">
        <v>24</v>
      </c>
    </row>
    <row r="21435" ht="15.75" customHeight="1">
      <c r="A21435" s="7"/>
      <c r="B21435" s="7"/>
      <c r="M21435" s="9" t="s">
        <v>21</v>
      </c>
    </row>
    <row r="21436" ht="15.75" customHeight="1">
      <c r="A21436" s="7"/>
      <c r="B21436" s="7"/>
      <c r="M21436" s="9" t="s">
        <v>37</v>
      </c>
    </row>
    <row r="21437" ht="15.75" customHeight="1">
      <c r="A21437" s="7"/>
      <c r="B21437" s="7"/>
      <c r="M21437" s="9" t="s">
        <v>27</v>
      </c>
    </row>
    <row r="21438" ht="15.75" customHeight="1">
      <c r="A21438" s="7"/>
      <c r="B21438" s="7"/>
      <c r="M21438" s="9" t="s">
        <v>24</v>
      </c>
    </row>
    <row r="21439" ht="15.75" customHeight="1">
      <c r="A21439" s="7"/>
      <c r="B21439" s="7"/>
      <c r="M21439" s="9" t="s">
        <v>20</v>
      </c>
    </row>
    <row r="21440" ht="15.75" customHeight="1">
      <c r="A21440" s="7"/>
      <c r="B21440" s="7"/>
      <c r="M21440" s="9" t="s">
        <v>29</v>
      </c>
    </row>
    <row r="21441" ht="15.75" customHeight="1">
      <c r="A21441" s="7"/>
      <c r="B21441" s="7"/>
      <c r="M21441" s="9" t="s">
        <v>27</v>
      </c>
    </row>
    <row r="21442" ht="15.75" customHeight="1">
      <c r="A21442" s="7"/>
      <c r="B21442" s="7"/>
      <c r="M21442" s="9" t="s">
        <v>26</v>
      </c>
    </row>
    <row r="21443" ht="15.75" customHeight="1">
      <c r="A21443" s="7"/>
      <c r="B21443" s="7"/>
      <c r="M21443" s="9" t="s">
        <v>24</v>
      </c>
    </row>
    <row r="21444" ht="15.75" customHeight="1">
      <c r="A21444" s="7"/>
      <c r="B21444" s="7"/>
      <c r="M21444" s="9" t="s">
        <v>21</v>
      </c>
    </row>
    <row r="21445" ht="15.75" customHeight="1">
      <c r="A21445" s="7"/>
      <c r="B21445" s="7"/>
      <c r="M21445" s="9" t="s">
        <v>27</v>
      </c>
    </row>
    <row r="21446" ht="15.75" customHeight="1">
      <c r="A21446" s="7"/>
      <c r="B21446" s="7"/>
      <c r="M21446" s="9" t="s">
        <v>33</v>
      </c>
    </row>
    <row r="21447" ht="15.75" customHeight="1">
      <c r="A21447" s="7"/>
      <c r="B21447" s="7"/>
      <c r="M21447" s="9" t="s">
        <v>30</v>
      </c>
    </row>
    <row r="21448" ht="15.75" customHeight="1">
      <c r="A21448" s="7"/>
      <c r="B21448" s="7"/>
      <c r="M21448" s="9" t="s">
        <v>21</v>
      </c>
    </row>
    <row r="21449" ht="15.75" customHeight="1">
      <c r="A21449" s="7"/>
      <c r="B21449" s="7"/>
      <c r="M21449" s="9" t="s">
        <v>22</v>
      </c>
    </row>
    <row r="21450" ht="15.75" customHeight="1">
      <c r="A21450" s="7"/>
      <c r="B21450" s="7"/>
      <c r="M21450" s="9" t="s">
        <v>27</v>
      </c>
    </row>
    <row r="21451" ht="15.75" customHeight="1">
      <c r="A21451" s="7"/>
      <c r="B21451" s="7"/>
      <c r="M21451" s="9" t="s">
        <v>33</v>
      </c>
    </row>
    <row r="21452" ht="15.75" customHeight="1">
      <c r="A21452" s="7"/>
      <c r="B21452" s="7"/>
      <c r="M21452" s="9" t="s">
        <v>23</v>
      </c>
    </row>
    <row r="21453" ht="15.75" customHeight="1">
      <c r="A21453" s="7"/>
      <c r="B21453" s="7"/>
      <c r="M21453" s="9" t="s">
        <v>24</v>
      </c>
    </row>
    <row r="21454" ht="15.75" customHeight="1">
      <c r="A21454" s="7"/>
      <c r="B21454" s="7"/>
      <c r="M21454" s="9" t="s">
        <v>20</v>
      </c>
    </row>
    <row r="21455" ht="15.75" customHeight="1">
      <c r="A21455" s="7"/>
      <c r="B21455" s="7"/>
      <c r="M21455" s="9" t="s">
        <v>21</v>
      </c>
    </row>
    <row r="21456" ht="15.75" customHeight="1">
      <c r="A21456" s="7"/>
      <c r="B21456" s="7"/>
      <c r="M21456" s="9" t="s">
        <v>37</v>
      </c>
    </row>
    <row r="21457" ht="15.75" customHeight="1">
      <c r="A21457" s="7"/>
      <c r="B21457" s="7"/>
      <c r="M21457" s="9" t="s">
        <v>22</v>
      </c>
    </row>
    <row r="21458" ht="15.75" customHeight="1">
      <c r="A21458" s="7"/>
      <c r="B21458" s="7"/>
      <c r="M21458" s="9" t="s">
        <v>27</v>
      </c>
    </row>
    <row r="21459" ht="15.75" customHeight="1">
      <c r="A21459" s="7"/>
      <c r="B21459" s="7"/>
      <c r="M21459" s="9" t="s">
        <v>24</v>
      </c>
    </row>
    <row r="21460" ht="15.75" customHeight="1">
      <c r="A21460" s="7"/>
      <c r="B21460" s="7"/>
      <c r="M21460" s="9" t="s">
        <v>21</v>
      </c>
    </row>
    <row r="21461" ht="15.75" customHeight="1">
      <c r="A21461" s="7"/>
      <c r="B21461" s="7"/>
      <c r="M21461" s="9" t="s">
        <v>24</v>
      </c>
    </row>
    <row r="21462" ht="15.75" customHeight="1">
      <c r="A21462" s="7"/>
      <c r="B21462" s="7"/>
      <c r="M21462" s="9" t="s">
        <v>41</v>
      </c>
    </row>
    <row r="21463" ht="15.75" customHeight="1">
      <c r="A21463" s="7"/>
      <c r="B21463" s="7"/>
      <c r="M21463" s="9" t="s">
        <v>40</v>
      </c>
    </row>
    <row r="21464" ht="15.75" customHeight="1">
      <c r="A21464" s="7"/>
      <c r="B21464" s="7"/>
      <c r="M21464" s="9" t="s">
        <v>20</v>
      </c>
    </row>
    <row r="21465" ht="15.75" customHeight="1">
      <c r="A21465" s="7"/>
      <c r="B21465" s="7"/>
      <c r="M21465" s="9" t="s">
        <v>28</v>
      </c>
    </row>
    <row r="21466" ht="15.75" customHeight="1">
      <c r="A21466" s="7"/>
      <c r="B21466" s="7"/>
      <c r="M21466" s="9" t="s">
        <v>30</v>
      </c>
    </row>
    <row r="21467" ht="15.75" customHeight="1">
      <c r="A21467" s="7"/>
      <c r="B21467" s="7"/>
      <c r="M21467" s="9" t="s">
        <v>25</v>
      </c>
    </row>
    <row r="21468" ht="15.75" customHeight="1">
      <c r="A21468" s="7"/>
      <c r="B21468" s="7"/>
      <c r="M21468" s="9" t="s">
        <v>23</v>
      </c>
    </row>
    <row r="21469" ht="15.75" customHeight="1">
      <c r="A21469" s="7"/>
      <c r="B21469" s="7"/>
      <c r="M21469" s="9" t="s">
        <v>26</v>
      </c>
    </row>
    <row r="21470" ht="15.75" customHeight="1">
      <c r="A21470" s="7"/>
      <c r="B21470" s="7"/>
      <c r="M21470" s="9" t="s">
        <v>24</v>
      </c>
    </row>
    <row r="21471" ht="15.75" customHeight="1">
      <c r="A21471" s="7"/>
      <c r="B21471" s="7"/>
      <c r="M21471" s="9" t="s">
        <v>20</v>
      </c>
    </row>
    <row r="21472" ht="15.75" customHeight="1">
      <c r="A21472" s="7"/>
      <c r="B21472" s="7"/>
      <c r="M21472" s="9" t="s">
        <v>21</v>
      </c>
    </row>
    <row r="21473" ht="15.75" customHeight="1">
      <c r="A21473" s="7"/>
      <c r="B21473" s="7"/>
      <c r="M21473" s="9" t="s">
        <v>41</v>
      </c>
    </row>
    <row r="21474" ht="15.75" customHeight="1">
      <c r="A21474" s="7"/>
      <c r="B21474" s="7"/>
      <c r="M21474" s="9" t="s">
        <v>37</v>
      </c>
    </row>
    <row r="21475" ht="15.75" customHeight="1">
      <c r="A21475" s="7"/>
      <c r="B21475" s="7"/>
      <c r="M21475" s="9" t="s">
        <v>27</v>
      </c>
    </row>
    <row r="21476" ht="15.75" customHeight="1">
      <c r="A21476" s="7"/>
      <c r="B21476" s="7"/>
      <c r="M21476" s="9" t="s">
        <v>35</v>
      </c>
    </row>
    <row r="21477" ht="15.75" customHeight="1">
      <c r="A21477" s="7"/>
      <c r="B21477" s="7"/>
      <c r="M21477" s="9" t="s">
        <v>30</v>
      </c>
    </row>
    <row r="21478" ht="15.75" customHeight="1">
      <c r="A21478" s="7"/>
      <c r="B21478" s="7"/>
      <c r="M21478" s="9" t="s">
        <v>23</v>
      </c>
    </row>
    <row r="21479" ht="15.75" customHeight="1">
      <c r="A21479" s="7"/>
      <c r="B21479" s="7"/>
      <c r="M21479" s="9" t="s">
        <v>20</v>
      </c>
    </row>
    <row r="21480" ht="15.75" customHeight="1">
      <c r="A21480" s="7"/>
      <c r="B21480" s="7"/>
      <c r="M21480" s="9" t="s">
        <v>22</v>
      </c>
    </row>
    <row r="21481" ht="15.75" customHeight="1">
      <c r="A21481" s="7"/>
      <c r="B21481" s="7"/>
      <c r="M21481" s="9" t="s">
        <v>27</v>
      </c>
    </row>
    <row r="21482" ht="15.75" customHeight="1">
      <c r="A21482" s="7"/>
      <c r="B21482" s="7"/>
      <c r="M21482" s="9" t="s">
        <v>20</v>
      </c>
    </row>
    <row r="21483" ht="15.75" customHeight="1">
      <c r="A21483" s="7"/>
      <c r="B21483" s="7"/>
      <c r="M21483" s="9" t="s">
        <v>21</v>
      </c>
    </row>
    <row r="21484" ht="15.75" customHeight="1">
      <c r="A21484" s="7"/>
      <c r="B21484" s="7"/>
      <c r="M21484" s="9" t="s">
        <v>27</v>
      </c>
    </row>
    <row r="21485" ht="15.75" customHeight="1">
      <c r="A21485" s="7"/>
      <c r="B21485" s="7"/>
      <c r="M21485" s="9" t="s">
        <v>33</v>
      </c>
    </row>
    <row r="21486" ht="15.75" customHeight="1">
      <c r="A21486" s="7"/>
      <c r="B21486" s="7"/>
      <c r="M21486" s="9" t="s">
        <v>30</v>
      </c>
    </row>
    <row r="21487" ht="15.75" customHeight="1">
      <c r="A21487" s="7"/>
      <c r="B21487" s="7"/>
      <c r="M21487" s="9" t="s">
        <v>23</v>
      </c>
    </row>
    <row r="21488" ht="15.75" customHeight="1">
      <c r="A21488" s="7"/>
      <c r="B21488" s="7"/>
      <c r="M21488" s="9" t="s">
        <v>21</v>
      </c>
    </row>
    <row r="21489" ht="15.75" customHeight="1">
      <c r="A21489" s="7"/>
      <c r="B21489" s="7"/>
      <c r="M21489" s="9" t="s">
        <v>39</v>
      </c>
    </row>
    <row r="21490" ht="15.75" customHeight="1">
      <c r="A21490" s="7"/>
      <c r="B21490" s="7"/>
      <c r="M21490" s="9" t="s">
        <v>30</v>
      </c>
    </row>
    <row r="21491" ht="15.75" customHeight="1">
      <c r="A21491" s="7"/>
      <c r="B21491" s="7"/>
      <c r="M21491" s="9" t="s">
        <v>24</v>
      </c>
    </row>
    <row r="21492" ht="15.75" customHeight="1">
      <c r="A21492" s="7"/>
      <c r="B21492" s="7"/>
      <c r="M21492" s="9" t="s">
        <v>20</v>
      </c>
    </row>
    <row r="21493" ht="15.75" customHeight="1">
      <c r="A21493" s="7"/>
      <c r="B21493" s="7"/>
      <c r="M21493" s="9" t="s">
        <v>21</v>
      </c>
    </row>
    <row r="21494" ht="15.75" customHeight="1">
      <c r="A21494" s="7"/>
      <c r="B21494" s="7"/>
      <c r="M21494" s="9" t="s">
        <v>39</v>
      </c>
    </row>
    <row r="21495" ht="15.75" customHeight="1">
      <c r="A21495" s="7"/>
      <c r="B21495" s="7"/>
      <c r="M21495" s="9" t="s">
        <v>37</v>
      </c>
    </row>
    <row r="21496" ht="15.75" customHeight="1">
      <c r="A21496" s="7"/>
      <c r="B21496" s="7"/>
      <c r="M21496" s="9" t="s">
        <v>22</v>
      </c>
    </row>
    <row r="21497" ht="15.75" customHeight="1">
      <c r="A21497" s="7"/>
      <c r="B21497" s="7"/>
      <c r="M21497" s="9" t="s">
        <v>27</v>
      </c>
    </row>
    <row r="21498" ht="15.75" customHeight="1">
      <c r="A21498" s="7"/>
      <c r="B21498" s="7"/>
      <c r="M21498" s="9" t="s">
        <v>34</v>
      </c>
    </row>
    <row r="21499" ht="15.75" customHeight="1">
      <c r="A21499" s="7"/>
      <c r="B21499" s="7"/>
      <c r="M21499" s="9" t="s">
        <v>30</v>
      </c>
    </row>
    <row r="21500" ht="15.75" customHeight="1">
      <c r="A21500" s="7"/>
      <c r="B21500" s="7"/>
      <c r="M21500" s="9" t="s">
        <v>24</v>
      </c>
    </row>
    <row r="21501" ht="15.75" customHeight="1">
      <c r="A21501" s="7"/>
      <c r="B21501" s="7"/>
      <c r="M21501" s="9" t="s">
        <v>20</v>
      </c>
    </row>
    <row r="21502" ht="15.75" customHeight="1">
      <c r="A21502" s="7"/>
      <c r="B21502" s="7"/>
      <c r="M21502" s="9" t="s">
        <v>21</v>
      </c>
    </row>
    <row r="21503" ht="15.75" customHeight="1">
      <c r="A21503" s="7"/>
      <c r="B21503" s="7"/>
      <c r="M21503" s="9" t="s">
        <v>27</v>
      </c>
    </row>
    <row r="21504" ht="15.75" customHeight="1">
      <c r="A21504" s="7"/>
      <c r="B21504" s="7"/>
      <c r="M21504" s="9" t="s">
        <v>35</v>
      </c>
    </row>
    <row r="21505" ht="15.75" customHeight="1">
      <c r="A21505" s="7"/>
      <c r="B21505" s="7"/>
      <c r="M21505" s="9" t="s">
        <v>25</v>
      </c>
    </row>
    <row r="21506" ht="15.75" customHeight="1">
      <c r="A21506" s="7"/>
      <c r="B21506" s="7"/>
      <c r="M21506" s="9" t="s">
        <v>23</v>
      </c>
    </row>
    <row r="21507" ht="15.75" customHeight="1">
      <c r="A21507" s="7"/>
      <c r="B21507" s="7"/>
      <c r="M21507" s="9" t="s">
        <v>24</v>
      </c>
    </row>
    <row r="21508" ht="15.75" customHeight="1">
      <c r="A21508" s="7"/>
      <c r="B21508" s="7"/>
      <c r="M21508" s="9" t="s">
        <v>21</v>
      </c>
    </row>
    <row r="21509" ht="15.75" customHeight="1">
      <c r="A21509" s="7"/>
      <c r="B21509" s="7"/>
      <c r="M21509" s="9" t="s">
        <v>22</v>
      </c>
    </row>
    <row r="21510" ht="15.75" customHeight="1">
      <c r="A21510" s="7"/>
      <c r="B21510" s="7"/>
      <c r="M21510" s="9" t="s">
        <v>34</v>
      </c>
    </row>
    <row r="21511" ht="15.75" customHeight="1">
      <c r="A21511" s="7"/>
      <c r="B21511" s="7"/>
      <c r="M21511" s="9" t="s">
        <v>24</v>
      </c>
    </row>
    <row r="21512" ht="15.75" customHeight="1">
      <c r="A21512" s="7"/>
      <c r="B21512" s="7"/>
      <c r="M21512" s="9" t="s">
        <v>21</v>
      </c>
    </row>
    <row r="21513" ht="15.75" customHeight="1">
      <c r="A21513" s="7"/>
      <c r="B21513" s="7"/>
      <c r="M21513" s="9" t="s">
        <v>37</v>
      </c>
    </row>
    <row r="21514" ht="15.75" customHeight="1">
      <c r="A21514" s="7"/>
      <c r="B21514" s="7"/>
      <c r="M21514" s="9" t="s">
        <v>27</v>
      </c>
    </row>
    <row r="21515" ht="15.75" customHeight="1">
      <c r="A21515" s="7"/>
      <c r="B21515" s="7"/>
      <c r="M21515" s="9" t="s">
        <v>28</v>
      </c>
    </row>
    <row r="21516" ht="15.75" customHeight="1">
      <c r="A21516" s="7"/>
      <c r="B21516" s="7"/>
      <c r="M21516" s="9" t="s">
        <v>23</v>
      </c>
    </row>
    <row r="21517" ht="15.75" customHeight="1">
      <c r="A21517" s="7"/>
      <c r="B21517" s="7"/>
      <c r="M21517" s="9" t="s">
        <v>26</v>
      </c>
    </row>
    <row r="21518" ht="15.75" customHeight="1">
      <c r="A21518" s="7"/>
      <c r="B21518" s="7"/>
      <c r="M21518" s="9" t="s">
        <v>24</v>
      </c>
    </row>
    <row r="21519" ht="15.75" customHeight="1">
      <c r="A21519" s="7"/>
      <c r="B21519" s="7"/>
      <c r="M21519" s="9" t="s">
        <v>21</v>
      </c>
    </row>
    <row r="21520" ht="15.75" customHeight="1">
      <c r="A21520" s="7"/>
      <c r="B21520" s="7"/>
      <c r="M21520" s="9" t="s">
        <v>33</v>
      </c>
    </row>
    <row r="21521" ht="15.75" customHeight="1">
      <c r="A21521" s="7"/>
      <c r="B21521" s="7"/>
      <c r="M21521" s="9" t="s">
        <v>38</v>
      </c>
    </row>
    <row r="21522" ht="15.75" customHeight="1">
      <c r="A21522" s="7"/>
      <c r="B21522" s="7"/>
      <c r="M21522" s="9" t="s">
        <v>25</v>
      </c>
    </row>
    <row r="21523" ht="15.75" customHeight="1">
      <c r="A21523" s="7"/>
      <c r="B21523" s="7"/>
      <c r="M21523" s="9" t="s">
        <v>23</v>
      </c>
    </row>
    <row r="21524" ht="15.75" customHeight="1">
      <c r="A21524" s="7"/>
      <c r="B21524" s="7"/>
      <c r="M21524" s="9" t="s">
        <v>26</v>
      </c>
    </row>
    <row r="21525" ht="15.75" customHeight="1">
      <c r="A21525" s="7"/>
      <c r="B21525" s="7"/>
      <c r="M21525" s="9" t="s">
        <v>47</v>
      </c>
    </row>
    <row r="21526" ht="15.75" customHeight="1">
      <c r="A21526" s="7"/>
      <c r="B21526" s="7"/>
      <c r="M21526" s="9" t="s">
        <v>24</v>
      </c>
    </row>
    <row r="21527" ht="15.75" customHeight="1">
      <c r="A21527" s="7"/>
      <c r="B21527" s="7"/>
      <c r="M21527" s="9" t="s">
        <v>20</v>
      </c>
    </row>
    <row r="21528" ht="15.75" customHeight="1">
      <c r="A21528" s="7"/>
      <c r="B21528" s="7"/>
      <c r="M21528" s="9" t="s">
        <v>21</v>
      </c>
    </row>
    <row r="21529" ht="15.75" customHeight="1">
      <c r="A21529" s="7"/>
      <c r="B21529" s="7"/>
      <c r="M21529" s="9" t="s">
        <v>41</v>
      </c>
    </row>
    <row r="21530" ht="15.75" customHeight="1">
      <c r="A21530" s="7"/>
      <c r="B21530" s="7"/>
      <c r="M21530" s="9" t="s">
        <v>37</v>
      </c>
    </row>
    <row r="21531" ht="15.75" customHeight="1">
      <c r="A21531" s="7"/>
      <c r="B21531" s="7"/>
      <c r="M21531" s="9" t="s">
        <v>22</v>
      </c>
    </row>
    <row r="21532" ht="15.75" customHeight="1">
      <c r="A21532" s="7"/>
      <c r="B21532" s="7"/>
      <c r="M21532" s="9" t="s">
        <v>29</v>
      </c>
    </row>
    <row r="21533" ht="15.75" customHeight="1">
      <c r="A21533" s="7"/>
      <c r="B21533" s="7"/>
      <c r="M21533" s="9" t="s">
        <v>27</v>
      </c>
    </row>
    <row r="21534" ht="15.75" customHeight="1">
      <c r="A21534" s="7"/>
      <c r="B21534" s="7"/>
      <c r="M21534" s="9" t="s">
        <v>33</v>
      </c>
    </row>
    <row r="21535" ht="15.75" customHeight="1">
      <c r="A21535" s="7"/>
      <c r="B21535" s="7"/>
      <c r="M21535" s="9" t="s">
        <v>30</v>
      </c>
    </row>
    <row r="21536" ht="15.75" customHeight="1">
      <c r="A21536" s="7"/>
      <c r="B21536" s="7"/>
      <c r="M21536" s="9" t="s">
        <v>23</v>
      </c>
    </row>
    <row r="21537" ht="15.75" customHeight="1">
      <c r="A21537" s="7"/>
      <c r="B21537" s="7"/>
      <c r="M21537" s="9" t="s">
        <v>36</v>
      </c>
    </row>
    <row r="21538" ht="15.75" customHeight="1">
      <c r="A21538" s="7"/>
      <c r="B21538" s="7"/>
      <c r="M21538" s="9" t="s">
        <v>24</v>
      </c>
    </row>
    <row r="21539" ht="15.75" customHeight="1">
      <c r="A21539" s="7"/>
      <c r="B21539" s="7"/>
      <c r="M21539" s="9" t="s">
        <v>20</v>
      </c>
    </row>
    <row r="21540" ht="15.75" customHeight="1">
      <c r="A21540" s="7"/>
      <c r="B21540" s="7"/>
      <c r="M21540" s="9" t="s">
        <v>21</v>
      </c>
    </row>
    <row r="21541" ht="15.75" customHeight="1">
      <c r="A21541" s="7"/>
      <c r="B21541" s="7"/>
      <c r="M21541" s="9" t="s">
        <v>41</v>
      </c>
    </row>
    <row r="21542" ht="15.75" customHeight="1">
      <c r="A21542" s="7"/>
      <c r="B21542" s="7"/>
      <c r="M21542" s="9" t="s">
        <v>22</v>
      </c>
    </row>
    <row r="21543" ht="15.75" customHeight="1">
      <c r="A21543" s="7"/>
      <c r="B21543" s="7"/>
      <c r="M21543" s="9" t="s">
        <v>27</v>
      </c>
    </row>
    <row r="21544" ht="15.75" customHeight="1">
      <c r="A21544" s="7"/>
      <c r="B21544" s="7"/>
      <c r="M21544" s="9" t="s">
        <v>20</v>
      </c>
    </row>
    <row r="21545" ht="15.75" customHeight="1">
      <c r="A21545" s="7"/>
      <c r="B21545" s="7"/>
      <c r="M21545" s="9" t="s">
        <v>21</v>
      </c>
    </row>
    <row r="21546" ht="15.75" customHeight="1">
      <c r="A21546" s="7"/>
      <c r="B21546" s="7"/>
      <c r="M21546" s="9" t="s">
        <v>37</v>
      </c>
    </row>
    <row r="21547" ht="15.75" customHeight="1">
      <c r="A21547" s="7"/>
      <c r="B21547" s="7"/>
      <c r="M21547" s="9" t="s">
        <v>30</v>
      </c>
    </row>
    <row r="21548" ht="15.75" customHeight="1">
      <c r="A21548" s="7"/>
      <c r="B21548" s="7"/>
      <c r="M21548" s="9" t="s">
        <v>21</v>
      </c>
    </row>
    <row r="21549" ht="15.75" customHeight="1">
      <c r="A21549" s="7"/>
      <c r="B21549" s="7"/>
      <c r="M21549" s="9" t="s">
        <v>31</v>
      </c>
    </row>
    <row r="21550" ht="15.75" customHeight="1">
      <c r="A21550" s="7"/>
      <c r="B21550" s="7"/>
      <c r="M21550" s="9" t="s">
        <v>27</v>
      </c>
    </row>
    <row r="21551" ht="15.75" customHeight="1">
      <c r="A21551" s="7"/>
      <c r="B21551" s="7"/>
      <c r="M21551" s="9" t="s">
        <v>33</v>
      </c>
    </row>
    <row r="21552" ht="15.75" customHeight="1">
      <c r="A21552" s="7"/>
      <c r="B21552" s="7"/>
      <c r="M21552" s="9" t="s">
        <v>28</v>
      </c>
    </row>
    <row r="21553" ht="15.75" customHeight="1">
      <c r="A21553" s="7"/>
      <c r="B21553" s="7"/>
      <c r="M21553" s="9" t="s">
        <v>30</v>
      </c>
    </row>
    <row r="21554" ht="15.75" customHeight="1">
      <c r="A21554" s="7"/>
      <c r="B21554" s="7"/>
      <c r="M21554" s="9" t="s">
        <v>26</v>
      </c>
    </row>
    <row r="21555" ht="15.75" customHeight="1">
      <c r="A21555" s="7"/>
      <c r="B21555" s="7"/>
      <c r="M21555" s="9" t="s">
        <v>24</v>
      </c>
    </row>
    <row r="21556" ht="15.75" customHeight="1">
      <c r="A21556" s="7"/>
      <c r="B21556" s="7"/>
      <c r="M21556" s="9" t="s">
        <v>21</v>
      </c>
    </row>
    <row r="21557" ht="15.75" customHeight="1">
      <c r="A21557" s="7"/>
      <c r="B21557" s="7"/>
      <c r="M21557" s="9" t="s">
        <v>27</v>
      </c>
    </row>
    <row r="21558" ht="15.75" customHeight="1">
      <c r="A21558" s="7"/>
      <c r="B21558" s="7"/>
      <c r="M21558" s="9" t="s">
        <v>33</v>
      </c>
    </row>
    <row r="21559" ht="15.75" customHeight="1">
      <c r="A21559" s="7"/>
      <c r="B21559" s="7"/>
      <c r="M21559" s="9" t="s">
        <v>30</v>
      </c>
    </row>
    <row r="21560" ht="15.75" customHeight="1">
      <c r="A21560" s="7"/>
      <c r="B21560" s="7"/>
      <c r="M21560" s="9" t="s">
        <v>23</v>
      </c>
    </row>
    <row r="21561" ht="15.75" customHeight="1">
      <c r="A21561" s="7"/>
      <c r="B21561" s="7"/>
      <c r="M21561" s="9" t="s">
        <v>26</v>
      </c>
    </row>
    <row r="21562" ht="15.75" customHeight="1">
      <c r="A21562" s="7"/>
      <c r="B21562" s="7"/>
      <c r="M21562" s="9" t="s">
        <v>24</v>
      </c>
    </row>
    <row r="21563" ht="15.75" customHeight="1">
      <c r="A21563" s="7"/>
      <c r="B21563" s="7"/>
      <c r="M21563" s="9" t="s">
        <v>21</v>
      </c>
    </row>
    <row r="21564" ht="15.75" customHeight="1">
      <c r="A21564" s="7"/>
      <c r="B21564" s="7"/>
      <c r="M21564" s="9" t="s">
        <v>41</v>
      </c>
    </row>
    <row r="21565" ht="15.75" customHeight="1">
      <c r="A21565" s="7"/>
      <c r="B21565" s="7"/>
      <c r="M21565" s="9" t="s">
        <v>37</v>
      </c>
    </row>
    <row r="21566" ht="15.75" customHeight="1">
      <c r="A21566" s="7"/>
      <c r="B21566" s="7"/>
      <c r="M21566" s="9" t="s">
        <v>22</v>
      </c>
    </row>
    <row r="21567" ht="15.75" customHeight="1">
      <c r="A21567" s="7"/>
      <c r="B21567" s="7"/>
      <c r="M21567" s="9" t="s">
        <v>31</v>
      </c>
    </row>
    <row r="21568" ht="15.75" customHeight="1">
      <c r="A21568" s="7"/>
      <c r="B21568" s="7"/>
      <c r="M21568" s="9" t="s">
        <v>27</v>
      </c>
    </row>
    <row r="21569" ht="15.75" customHeight="1">
      <c r="A21569" s="7"/>
      <c r="B21569" s="7"/>
      <c r="M21569" s="9" t="s">
        <v>33</v>
      </c>
    </row>
    <row r="21570" ht="15.75" customHeight="1">
      <c r="A21570" s="7"/>
      <c r="B21570" s="7"/>
      <c r="M21570" s="9" t="s">
        <v>30</v>
      </c>
    </row>
    <row r="21571" ht="15.75" customHeight="1">
      <c r="A21571" s="7"/>
      <c r="B21571" s="7"/>
      <c r="M21571" s="9" t="s">
        <v>20</v>
      </c>
    </row>
    <row r="21572" ht="15.75" customHeight="1">
      <c r="A21572" s="7"/>
      <c r="B21572" s="7"/>
      <c r="M21572" s="9" t="s">
        <v>21</v>
      </c>
    </row>
    <row r="21573" ht="15.75" customHeight="1">
      <c r="A21573" s="7"/>
      <c r="B21573" s="7"/>
      <c r="M21573" s="9" t="s">
        <v>27</v>
      </c>
    </row>
    <row r="21574" ht="15.75" customHeight="1">
      <c r="A21574" s="7"/>
      <c r="B21574" s="7"/>
      <c r="M21574" s="9" t="s">
        <v>40</v>
      </c>
    </row>
    <row r="21575" ht="15.75" customHeight="1">
      <c r="A21575" s="7"/>
      <c r="B21575" s="7"/>
      <c r="M21575" s="9" t="s">
        <v>36</v>
      </c>
    </row>
    <row r="21576" ht="15.75" customHeight="1">
      <c r="A21576" s="7"/>
      <c r="B21576" s="7"/>
      <c r="M21576" s="9" t="s">
        <v>24</v>
      </c>
    </row>
    <row r="21577" ht="15.75" customHeight="1">
      <c r="A21577" s="7"/>
      <c r="B21577" s="7"/>
      <c r="M21577" s="9" t="s">
        <v>21</v>
      </c>
    </row>
    <row r="21578" ht="15.75" customHeight="1">
      <c r="A21578" s="7"/>
      <c r="B21578" s="7"/>
      <c r="M21578" s="9" t="s">
        <v>22</v>
      </c>
    </row>
    <row r="21579" ht="15.75" customHeight="1">
      <c r="A21579" s="7"/>
      <c r="B21579" s="7"/>
      <c r="M21579" s="9" t="s">
        <v>27</v>
      </c>
    </row>
    <row r="21580" ht="15.75" customHeight="1">
      <c r="A21580" s="7"/>
      <c r="B21580" s="7"/>
      <c r="M21580" s="9" t="s">
        <v>30</v>
      </c>
    </row>
    <row r="21581" ht="15.75" customHeight="1">
      <c r="A21581" s="7"/>
      <c r="B21581" s="7"/>
      <c r="M21581" s="9" t="s">
        <v>24</v>
      </c>
    </row>
    <row r="21582" ht="15.75" customHeight="1">
      <c r="A21582" s="7"/>
      <c r="B21582" s="7"/>
      <c r="M21582" s="9" t="s">
        <v>20</v>
      </c>
    </row>
    <row r="21583" ht="15.75" customHeight="1">
      <c r="A21583" s="7"/>
      <c r="B21583" s="7"/>
      <c r="M21583" s="9" t="s">
        <v>21</v>
      </c>
    </row>
    <row r="21584" ht="15.75" customHeight="1">
      <c r="A21584" s="7"/>
      <c r="B21584" s="7"/>
      <c r="M21584" s="9" t="s">
        <v>38</v>
      </c>
    </row>
    <row r="21585" ht="15.75" customHeight="1">
      <c r="A21585" s="7"/>
      <c r="B21585" s="7"/>
      <c r="M21585" s="9" t="s">
        <v>30</v>
      </c>
    </row>
    <row r="21586" ht="15.75" customHeight="1">
      <c r="A21586" s="7"/>
      <c r="B21586" s="7"/>
      <c r="M21586" s="9" t="s">
        <v>25</v>
      </c>
    </row>
    <row r="21587" ht="15.75" customHeight="1">
      <c r="A21587" s="7"/>
      <c r="B21587" s="7"/>
      <c r="M21587" s="9" t="s">
        <v>23</v>
      </c>
    </row>
    <row r="21588" ht="15.75" customHeight="1">
      <c r="A21588" s="7"/>
      <c r="B21588" s="7"/>
      <c r="M21588" s="9" t="s">
        <v>26</v>
      </c>
    </row>
    <row r="21589" ht="15.75" customHeight="1">
      <c r="A21589" s="7"/>
      <c r="B21589" s="7"/>
      <c r="M21589" s="9" t="s">
        <v>20</v>
      </c>
    </row>
    <row r="21590" ht="15.75" customHeight="1">
      <c r="A21590" s="7"/>
      <c r="B21590" s="7"/>
      <c r="M21590" s="9" t="s">
        <v>22</v>
      </c>
    </row>
    <row r="21591" ht="15.75" customHeight="1">
      <c r="A21591" s="7"/>
      <c r="B21591" s="7"/>
      <c r="M21591" s="9" t="s">
        <v>35</v>
      </c>
    </row>
    <row r="21592" ht="15.75" customHeight="1">
      <c r="A21592" s="7"/>
      <c r="B21592" s="7"/>
      <c r="M21592" s="9" t="s">
        <v>23</v>
      </c>
    </row>
    <row r="21593" ht="15.75" customHeight="1">
      <c r="A21593" s="7"/>
      <c r="B21593" s="7"/>
      <c r="M21593" s="9" t="s">
        <v>26</v>
      </c>
    </row>
    <row r="21594" ht="15.75" customHeight="1">
      <c r="A21594" s="7"/>
      <c r="B21594" s="7"/>
      <c r="M21594" s="9" t="s">
        <v>24</v>
      </c>
    </row>
    <row r="21595" ht="15.75" customHeight="1">
      <c r="A21595" s="7"/>
      <c r="B21595" s="7"/>
      <c r="M21595" s="9" t="s">
        <v>20</v>
      </c>
    </row>
    <row r="21596" ht="15.75" customHeight="1">
      <c r="A21596" s="7"/>
      <c r="B21596" s="7"/>
      <c r="M21596" s="9" t="s">
        <v>21</v>
      </c>
    </row>
    <row r="21597" ht="15.75" customHeight="1">
      <c r="A21597" s="7"/>
      <c r="B21597" s="7"/>
      <c r="M21597" s="9" t="s">
        <v>37</v>
      </c>
    </row>
    <row r="21598" ht="15.75" customHeight="1">
      <c r="A21598" s="7"/>
      <c r="B21598" s="7"/>
      <c r="M21598" s="9" t="s">
        <v>27</v>
      </c>
    </row>
    <row r="21599" ht="15.75" customHeight="1">
      <c r="A21599" s="7"/>
      <c r="B21599" s="7"/>
      <c r="M21599" s="9" t="s">
        <v>30</v>
      </c>
    </row>
    <row r="21600" ht="15.75" customHeight="1">
      <c r="A21600" s="7"/>
      <c r="B21600" s="7"/>
      <c r="M21600" s="9" t="s">
        <v>26</v>
      </c>
    </row>
    <row r="21601" ht="15.75" customHeight="1">
      <c r="A21601" s="7"/>
      <c r="B21601" s="7"/>
      <c r="M21601" s="9" t="s">
        <v>45</v>
      </c>
    </row>
    <row r="21602" ht="15.75" customHeight="1">
      <c r="A21602" s="7"/>
      <c r="B21602" s="7"/>
      <c r="M21602" s="9" t="s">
        <v>24</v>
      </c>
    </row>
    <row r="21603" ht="15.75" customHeight="1">
      <c r="A21603" s="7"/>
      <c r="B21603" s="7"/>
      <c r="M21603" s="9" t="s">
        <v>21</v>
      </c>
    </row>
    <row r="21604" ht="15.75" customHeight="1">
      <c r="A21604" s="7"/>
      <c r="B21604" s="7"/>
      <c r="M21604" s="9" t="s">
        <v>27</v>
      </c>
    </row>
    <row r="21605" ht="15.75" customHeight="1">
      <c r="A21605" s="7"/>
      <c r="B21605" s="7"/>
      <c r="M21605" s="9" t="s">
        <v>33</v>
      </c>
    </row>
    <row r="21606" ht="15.75" customHeight="1">
      <c r="A21606" s="7"/>
      <c r="B21606" s="7"/>
      <c r="M21606" s="9" t="s">
        <v>21</v>
      </c>
    </row>
    <row r="21607" ht="15.75" customHeight="1">
      <c r="A21607" s="7"/>
      <c r="B21607" s="7"/>
      <c r="M21607" s="9" t="s">
        <v>31</v>
      </c>
    </row>
    <row r="21608" ht="15.75" customHeight="1">
      <c r="A21608" s="7"/>
      <c r="B21608" s="7"/>
      <c r="M21608" s="9" t="s">
        <v>24</v>
      </c>
    </row>
    <row r="21609" ht="15.75" customHeight="1">
      <c r="A21609" s="7"/>
      <c r="B21609" s="7"/>
      <c r="M21609" s="9" t="s">
        <v>20</v>
      </c>
    </row>
    <row r="21610" ht="15.75" customHeight="1">
      <c r="A21610" s="7"/>
      <c r="B21610" s="7"/>
      <c r="M21610" s="9" t="s">
        <v>21</v>
      </c>
    </row>
    <row r="21611" ht="15.75" customHeight="1">
      <c r="A21611" s="7"/>
      <c r="B21611" s="7"/>
      <c r="M21611" s="9" t="s">
        <v>22</v>
      </c>
    </row>
    <row r="21612" ht="15.75" customHeight="1">
      <c r="A21612" s="7"/>
      <c r="B21612" s="7"/>
      <c r="M21612" s="9" t="s">
        <v>27</v>
      </c>
    </row>
    <row r="21613" ht="15.75" customHeight="1">
      <c r="A21613" s="7"/>
      <c r="B21613" s="7"/>
      <c r="M21613" s="9" t="s">
        <v>33</v>
      </c>
    </row>
    <row r="21614" ht="15.75" customHeight="1">
      <c r="A21614" s="7"/>
      <c r="B21614" s="7"/>
      <c r="M21614" s="9" t="s">
        <v>24</v>
      </c>
    </row>
    <row r="21615" ht="15.75" customHeight="1">
      <c r="A21615" s="7"/>
      <c r="B21615" s="7"/>
      <c r="M21615" s="9" t="s">
        <v>20</v>
      </c>
    </row>
    <row r="21616" ht="15.75" customHeight="1">
      <c r="A21616" s="7"/>
      <c r="B21616" s="7"/>
      <c r="M21616" s="9" t="s">
        <v>21</v>
      </c>
    </row>
    <row r="21617" ht="15.75" customHeight="1">
      <c r="A21617" s="7"/>
      <c r="B21617" s="7"/>
      <c r="M21617" s="9" t="s">
        <v>27</v>
      </c>
    </row>
    <row r="21618" ht="15.75" customHeight="1">
      <c r="A21618" s="7"/>
      <c r="B21618" s="7"/>
      <c r="M21618" s="9" t="s">
        <v>23</v>
      </c>
    </row>
    <row r="21619" ht="15.75" customHeight="1">
      <c r="A21619" s="7"/>
      <c r="B21619" s="7"/>
      <c r="M21619" s="9" t="s">
        <v>24</v>
      </c>
    </row>
    <row r="21620" ht="15.75" customHeight="1">
      <c r="A21620" s="7"/>
      <c r="B21620" s="7"/>
      <c r="M21620" s="9" t="s">
        <v>20</v>
      </c>
    </row>
    <row r="21621" ht="15.75" customHeight="1">
      <c r="A21621" s="7"/>
      <c r="B21621" s="7"/>
      <c r="M21621" s="9" t="s">
        <v>26</v>
      </c>
    </row>
    <row r="21622" ht="15.75" customHeight="1">
      <c r="A21622" s="7"/>
      <c r="B21622" s="7"/>
      <c r="M21622" s="9" t="s">
        <v>24</v>
      </c>
    </row>
    <row r="21623" ht="15.75" customHeight="1">
      <c r="A21623" s="7"/>
      <c r="B21623" s="7"/>
      <c r="M21623" s="9" t="s">
        <v>37</v>
      </c>
    </row>
    <row r="21624" ht="15.75" customHeight="1">
      <c r="A21624" s="7"/>
      <c r="B21624" s="7"/>
      <c r="M21624" s="9" t="s">
        <v>22</v>
      </c>
    </row>
    <row r="21625" ht="15.75" customHeight="1">
      <c r="A21625" s="7"/>
      <c r="B21625" s="7"/>
      <c r="M21625" s="9" t="s">
        <v>30</v>
      </c>
    </row>
    <row r="21626" ht="15.75" customHeight="1">
      <c r="A21626" s="7"/>
      <c r="B21626" s="7"/>
      <c r="M21626" s="9" t="s">
        <v>44</v>
      </c>
    </row>
    <row r="21627" ht="15.75" customHeight="1">
      <c r="A21627" s="7"/>
      <c r="B21627" s="7"/>
      <c r="M21627" s="9" t="s">
        <v>36</v>
      </c>
    </row>
    <row r="21628" ht="15.75" customHeight="1">
      <c r="A21628" s="7"/>
      <c r="B21628" s="7"/>
      <c r="M21628" s="9" t="s">
        <v>24</v>
      </c>
    </row>
    <row r="21629" ht="15.75" customHeight="1">
      <c r="A21629" s="7"/>
      <c r="B21629" s="7"/>
      <c r="M21629" s="9" t="s">
        <v>20</v>
      </c>
    </row>
    <row r="21630" ht="15.75" customHeight="1">
      <c r="A21630" s="7"/>
      <c r="B21630" s="7"/>
      <c r="M21630" s="9" t="s">
        <v>21</v>
      </c>
    </row>
    <row r="21631" ht="15.75" customHeight="1">
      <c r="A21631" s="7"/>
      <c r="B21631" s="7"/>
      <c r="M21631" s="9" t="s">
        <v>39</v>
      </c>
    </row>
    <row r="21632" ht="15.75" customHeight="1">
      <c r="A21632" s="7"/>
      <c r="B21632" s="7"/>
      <c r="M21632" s="9" t="s">
        <v>22</v>
      </c>
    </row>
    <row r="21633" ht="15.75" customHeight="1">
      <c r="A21633" s="7"/>
      <c r="B21633" s="7"/>
      <c r="M21633" s="9" t="s">
        <v>27</v>
      </c>
    </row>
    <row r="21634" ht="15.75" customHeight="1">
      <c r="A21634" s="7"/>
      <c r="B21634" s="7"/>
      <c r="M21634" s="9" t="s">
        <v>26</v>
      </c>
    </row>
    <row r="21635" ht="15.75" customHeight="1">
      <c r="A21635" s="7"/>
      <c r="B21635" s="7"/>
      <c r="M21635" s="9" t="s">
        <v>24</v>
      </c>
    </row>
    <row r="21636" ht="15.75" customHeight="1">
      <c r="A21636" s="7"/>
      <c r="B21636" s="7"/>
      <c r="M21636" s="9" t="s">
        <v>20</v>
      </c>
    </row>
    <row r="21637" ht="15.75" customHeight="1">
      <c r="A21637" s="7"/>
      <c r="B21637" s="7"/>
      <c r="M21637" s="9" t="s">
        <v>21</v>
      </c>
    </row>
    <row r="21638" ht="15.75" customHeight="1">
      <c r="A21638" s="7"/>
      <c r="B21638" s="7"/>
      <c r="M21638" s="9" t="s">
        <v>27</v>
      </c>
    </row>
    <row r="21639" ht="15.75" customHeight="1">
      <c r="A21639" s="7"/>
      <c r="B21639" s="7"/>
      <c r="M21639" s="9" t="s">
        <v>30</v>
      </c>
    </row>
    <row r="21640" ht="15.75" customHeight="1">
      <c r="A21640" s="7"/>
      <c r="B21640" s="7"/>
      <c r="M21640" s="9" t="s">
        <v>24</v>
      </c>
    </row>
    <row r="21641" ht="15.75" customHeight="1">
      <c r="A21641" s="7"/>
      <c r="B21641" s="7"/>
      <c r="M21641" s="9" t="s">
        <v>20</v>
      </c>
    </row>
    <row r="21642" ht="15.75" customHeight="1">
      <c r="A21642" s="7"/>
      <c r="B21642" s="7"/>
      <c r="M21642" s="9" t="s">
        <v>21</v>
      </c>
    </row>
    <row r="21643" ht="15.75" customHeight="1">
      <c r="A21643" s="7"/>
      <c r="B21643" s="7"/>
      <c r="M21643" s="9" t="s">
        <v>37</v>
      </c>
    </row>
    <row r="21644" ht="15.75" customHeight="1">
      <c r="A21644" s="7"/>
      <c r="B21644" s="7"/>
      <c r="M21644" s="9" t="s">
        <v>27</v>
      </c>
    </row>
    <row r="21645" ht="15.75" customHeight="1">
      <c r="A21645" s="7"/>
      <c r="B21645" s="7"/>
      <c r="M21645" s="9" t="s">
        <v>33</v>
      </c>
    </row>
    <row r="21646" ht="15.75" customHeight="1">
      <c r="A21646" s="7"/>
      <c r="B21646" s="7"/>
      <c r="M21646" s="9" t="s">
        <v>42</v>
      </c>
    </row>
    <row r="21647" ht="15.75" customHeight="1">
      <c r="A21647" s="7"/>
      <c r="B21647" s="7"/>
      <c r="M21647" s="9" t="s">
        <v>24</v>
      </c>
    </row>
    <row r="21648" ht="15.75" customHeight="1">
      <c r="A21648" s="7"/>
      <c r="B21648" s="7"/>
      <c r="M21648" s="9" t="s">
        <v>21</v>
      </c>
    </row>
    <row r="21649" ht="15.75" customHeight="1">
      <c r="A21649" s="7"/>
      <c r="B21649" s="7"/>
      <c r="M21649" s="9" t="s">
        <v>37</v>
      </c>
    </row>
    <row r="21650" ht="15.75" customHeight="1">
      <c r="A21650" s="7"/>
      <c r="B21650" s="7"/>
      <c r="M21650" s="9" t="s">
        <v>27</v>
      </c>
    </row>
    <row r="21651" ht="15.75" customHeight="1">
      <c r="A21651" s="7"/>
      <c r="B21651" s="7"/>
      <c r="M21651" s="9" t="s">
        <v>23</v>
      </c>
    </row>
    <row r="21652" ht="15.75" customHeight="1">
      <c r="A21652" s="7"/>
      <c r="B21652" s="7"/>
      <c r="M21652" s="9" t="s">
        <v>26</v>
      </c>
    </row>
    <row r="21653" ht="15.75" customHeight="1">
      <c r="A21653" s="7"/>
      <c r="B21653" s="7"/>
      <c r="M21653" s="9" t="s">
        <v>22</v>
      </c>
    </row>
    <row r="21654" ht="15.75" customHeight="1">
      <c r="A21654" s="7"/>
      <c r="B21654" s="7"/>
      <c r="M21654" s="9" t="s">
        <v>38</v>
      </c>
    </row>
    <row r="21655" ht="15.75" customHeight="1">
      <c r="A21655" s="7"/>
      <c r="B21655" s="7"/>
      <c r="M21655" s="9" t="s">
        <v>22</v>
      </c>
    </row>
    <row r="21656" ht="15.75" customHeight="1">
      <c r="A21656" s="7"/>
      <c r="B21656" s="7"/>
      <c r="M21656" s="9" t="s">
        <v>25</v>
      </c>
    </row>
    <row r="21657" ht="15.75" customHeight="1">
      <c r="A21657" s="7"/>
      <c r="B21657" s="7"/>
      <c r="M21657" s="9" t="s">
        <v>23</v>
      </c>
    </row>
    <row r="21658" ht="15.75" customHeight="1">
      <c r="A21658" s="7"/>
      <c r="B21658" s="7"/>
      <c r="M21658" s="9" t="s">
        <v>20</v>
      </c>
    </row>
    <row r="21659" ht="15.75" customHeight="1">
      <c r="A21659" s="7"/>
      <c r="B21659" s="7"/>
      <c r="M21659" s="9" t="s">
        <v>22</v>
      </c>
    </row>
    <row r="21660" ht="15.75" customHeight="1">
      <c r="A21660" s="7"/>
      <c r="B21660" s="7"/>
      <c r="M21660" s="9" t="s">
        <v>29</v>
      </c>
    </row>
    <row r="21661" ht="15.75" customHeight="1">
      <c r="A21661" s="7"/>
      <c r="B21661" s="7"/>
      <c r="M21661" s="9" t="s">
        <v>28</v>
      </c>
    </row>
    <row r="21662" ht="15.75" customHeight="1">
      <c r="A21662" s="7"/>
      <c r="B21662" s="7"/>
      <c r="M21662" s="9" t="s">
        <v>35</v>
      </c>
    </row>
    <row r="21663" ht="15.75" customHeight="1">
      <c r="A21663" s="7"/>
      <c r="B21663" s="7"/>
      <c r="M21663" s="9" t="s">
        <v>20</v>
      </c>
    </row>
    <row r="21664" ht="15.75" customHeight="1">
      <c r="A21664" s="7"/>
      <c r="B21664" s="7"/>
      <c r="M21664" s="9" t="s">
        <v>27</v>
      </c>
    </row>
    <row r="21665" ht="15.75" customHeight="1">
      <c r="A21665" s="7"/>
      <c r="B21665" s="7"/>
      <c r="M21665" s="9" t="s">
        <v>24</v>
      </c>
    </row>
    <row r="21666" ht="15.75" customHeight="1">
      <c r="A21666" s="7"/>
      <c r="B21666" s="7"/>
      <c r="M21666" s="9" t="s">
        <v>21</v>
      </c>
    </row>
    <row r="21667" ht="15.75" customHeight="1">
      <c r="A21667" s="7"/>
      <c r="B21667" s="7"/>
      <c r="M21667" s="9" t="s">
        <v>31</v>
      </c>
    </row>
    <row r="21668" ht="15.75" customHeight="1">
      <c r="A21668" s="7"/>
      <c r="B21668" s="7"/>
      <c r="M21668" s="9" t="s">
        <v>27</v>
      </c>
    </row>
    <row r="21669" ht="15.75" customHeight="1">
      <c r="A21669" s="7"/>
      <c r="B21669" s="7"/>
      <c r="M21669" s="9" t="s">
        <v>26</v>
      </c>
    </row>
    <row r="21670" ht="15.75" customHeight="1">
      <c r="A21670" s="7"/>
      <c r="B21670" s="7"/>
      <c r="M21670" s="9" t="s">
        <v>24</v>
      </c>
    </row>
    <row r="21671" ht="15.75" customHeight="1">
      <c r="A21671" s="7"/>
      <c r="B21671" s="7"/>
      <c r="M21671" s="9" t="s">
        <v>20</v>
      </c>
    </row>
    <row r="21672" ht="15.75" customHeight="1">
      <c r="A21672" s="7"/>
      <c r="B21672" s="7"/>
      <c r="M21672" s="9" t="s">
        <v>21</v>
      </c>
    </row>
    <row r="21673" ht="15.75" customHeight="1">
      <c r="A21673" s="7"/>
      <c r="B21673" s="7"/>
      <c r="M21673" s="9" t="s">
        <v>39</v>
      </c>
    </row>
    <row r="21674" ht="15.75" customHeight="1">
      <c r="A21674" s="7"/>
      <c r="B21674" s="7"/>
      <c r="M21674" s="9" t="s">
        <v>46</v>
      </c>
    </row>
    <row r="21675" ht="15.75" customHeight="1">
      <c r="A21675" s="7"/>
      <c r="B21675" s="7"/>
      <c r="M21675" s="9" t="s">
        <v>27</v>
      </c>
    </row>
    <row r="21676" ht="15.75" customHeight="1">
      <c r="A21676" s="7"/>
      <c r="B21676" s="7"/>
      <c r="M21676" s="9" t="s">
        <v>26</v>
      </c>
    </row>
    <row r="21677" ht="15.75" customHeight="1">
      <c r="A21677" s="7"/>
      <c r="B21677" s="7"/>
      <c r="M21677" s="9" t="s">
        <v>20</v>
      </c>
    </row>
    <row r="21678" ht="15.75" customHeight="1">
      <c r="A21678" s="7"/>
      <c r="B21678" s="7"/>
      <c r="M21678" s="9" t="s">
        <v>30</v>
      </c>
    </row>
    <row r="21679" ht="15.75" customHeight="1">
      <c r="A21679" s="7"/>
      <c r="B21679" s="7"/>
      <c r="M21679" s="9" t="s">
        <v>23</v>
      </c>
    </row>
    <row r="21680" ht="15.75" customHeight="1">
      <c r="A21680" s="7"/>
      <c r="B21680" s="7"/>
      <c r="M21680" s="9" t="s">
        <v>24</v>
      </c>
    </row>
    <row r="21681" ht="15.75" customHeight="1">
      <c r="A21681" s="7"/>
      <c r="B21681" s="7"/>
      <c r="M21681" s="9" t="s">
        <v>21</v>
      </c>
    </row>
    <row r="21682" ht="15.75" customHeight="1">
      <c r="A21682" s="7"/>
      <c r="B21682" s="7"/>
      <c r="M21682" s="9" t="s">
        <v>37</v>
      </c>
    </row>
    <row r="21683" ht="15.75" customHeight="1">
      <c r="A21683" s="7"/>
      <c r="B21683" s="7"/>
      <c r="M21683" s="9" t="s">
        <v>22</v>
      </c>
    </row>
    <row r="21684" ht="15.75" customHeight="1">
      <c r="A21684" s="7"/>
      <c r="B21684" s="7"/>
      <c r="M21684" s="9" t="s">
        <v>27</v>
      </c>
    </row>
    <row r="21685" ht="15.75" customHeight="1">
      <c r="A21685" s="7"/>
      <c r="B21685" s="7"/>
      <c r="M21685" s="9" t="s">
        <v>30</v>
      </c>
    </row>
    <row r="21686" ht="15.75" customHeight="1">
      <c r="A21686" s="7"/>
      <c r="B21686" s="7"/>
      <c r="M21686" s="9" t="s">
        <v>25</v>
      </c>
    </row>
    <row r="21687" ht="15.75" customHeight="1">
      <c r="A21687" s="7"/>
      <c r="B21687" s="7"/>
      <c r="M21687" s="9" t="s">
        <v>23</v>
      </c>
    </row>
    <row r="21688" ht="15.75" customHeight="1">
      <c r="A21688" s="7"/>
      <c r="B21688" s="7"/>
      <c r="M21688" s="9" t="s">
        <v>24</v>
      </c>
    </row>
    <row r="21689" ht="15.75" customHeight="1">
      <c r="A21689" s="7"/>
      <c r="B21689" s="7"/>
      <c r="M21689" s="9" t="s">
        <v>20</v>
      </c>
    </row>
    <row r="21690" ht="15.75" customHeight="1">
      <c r="A21690" s="7"/>
      <c r="B21690" s="7"/>
      <c r="M21690" s="9" t="s">
        <v>21</v>
      </c>
    </row>
    <row r="21691" ht="15.75" customHeight="1">
      <c r="A21691" s="7"/>
      <c r="B21691" s="7"/>
      <c r="M21691" s="9" t="s">
        <v>39</v>
      </c>
    </row>
    <row r="21692" ht="15.75" customHeight="1">
      <c r="A21692" s="7"/>
      <c r="B21692" s="7"/>
      <c r="M21692" s="9" t="s">
        <v>22</v>
      </c>
    </row>
    <row r="21693" ht="15.75" customHeight="1">
      <c r="A21693" s="7"/>
      <c r="B21693" s="7"/>
      <c r="M21693" s="9" t="s">
        <v>27</v>
      </c>
    </row>
    <row r="21694" ht="15.75" customHeight="1">
      <c r="A21694" s="7"/>
      <c r="B21694" s="7"/>
      <c r="M21694" s="9" t="s">
        <v>25</v>
      </c>
    </row>
    <row r="21695" ht="15.75" customHeight="1">
      <c r="A21695" s="7"/>
      <c r="B21695" s="7"/>
      <c r="M21695" s="9" t="s">
        <v>23</v>
      </c>
    </row>
    <row r="21696" ht="15.75" customHeight="1">
      <c r="A21696" s="7"/>
      <c r="B21696" s="7"/>
      <c r="M21696" s="9" t="s">
        <v>26</v>
      </c>
    </row>
    <row r="21697" ht="15.75" customHeight="1">
      <c r="A21697" s="7"/>
      <c r="B21697" s="7"/>
      <c r="M21697" s="9" t="s">
        <v>20</v>
      </c>
    </row>
    <row r="21698" ht="15.75" customHeight="1">
      <c r="A21698" s="7"/>
      <c r="B21698" s="7"/>
      <c r="M21698" s="9" t="s">
        <v>35</v>
      </c>
    </row>
    <row r="21699" ht="15.75" customHeight="1">
      <c r="A21699" s="7"/>
      <c r="B21699" s="7"/>
      <c r="M21699" s="9" t="s">
        <v>24</v>
      </c>
    </row>
    <row r="21700" ht="15.75" customHeight="1">
      <c r="A21700" s="7"/>
      <c r="B21700" s="7"/>
      <c r="M21700" s="9" t="s">
        <v>21</v>
      </c>
    </row>
    <row r="21701" ht="15.75" customHeight="1">
      <c r="A21701" s="7"/>
      <c r="B21701" s="7"/>
      <c r="M21701" s="9" t="s">
        <v>31</v>
      </c>
    </row>
    <row r="21702" ht="15.75" customHeight="1">
      <c r="A21702" s="7"/>
      <c r="B21702" s="7"/>
      <c r="M21702" s="9" t="s">
        <v>27</v>
      </c>
    </row>
    <row r="21703" ht="15.75" customHeight="1">
      <c r="A21703" s="7"/>
      <c r="B21703" s="7"/>
      <c r="M21703" s="9" t="s">
        <v>30</v>
      </c>
    </row>
    <row r="21704" ht="15.75" customHeight="1">
      <c r="A21704" s="7"/>
      <c r="B21704" s="7"/>
      <c r="M21704" s="9" t="s">
        <v>25</v>
      </c>
    </row>
    <row r="21705" ht="15.75" customHeight="1">
      <c r="A21705" s="7"/>
      <c r="B21705" s="7"/>
      <c r="M21705" s="9" t="s">
        <v>26</v>
      </c>
    </row>
    <row r="21706" ht="15.75" customHeight="1">
      <c r="A21706" s="7"/>
      <c r="B21706" s="7"/>
      <c r="M21706" s="9" t="s">
        <v>36</v>
      </c>
    </row>
    <row r="21707" ht="15.75" customHeight="1">
      <c r="A21707" s="7"/>
      <c r="B21707" s="7"/>
      <c r="M21707" s="9" t="s">
        <v>21</v>
      </c>
    </row>
    <row r="21708" ht="15.75" customHeight="1">
      <c r="A21708" s="7"/>
      <c r="B21708" s="7"/>
      <c r="M21708" s="9" t="s">
        <v>22</v>
      </c>
    </row>
    <row r="21709" ht="15.75" customHeight="1">
      <c r="A21709" s="7"/>
      <c r="B21709" s="7"/>
      <c r="M21709" s="9" t="s">
        <v>27</v>
      </c>
    </row>
    <row r="21710" ht="15.75" customHeight="1">
      <c r="A21710" s="7"/>
      <c r="B21710" s="7"/>
      <c r="M21710" s="9" t="s">
        <v>47</v>
      </c>
    </row>
    <row r="21711" ht="15.75" customHeight="1">
      <c r="A21711" s="7"/>
      <c r="B21711" s="7"/>
      <c r="M21711" s="9" t="s">
        <v>24</v>
      </c>
    </row>
    <row r="21712" ht="15.75" customHeight="1">
      <c r="A21712" s="7"/>
      <c r="B21712" s="7"/>
      <c r="M21712" s="9" t="s">
        <v>20</v>
      </c>
    </row>
    <row r="21713" ht="15.75" customHeight="1">
      <c r="A21713" s="7"/>
      <c r="B21713" s="7"/>
      <c r="M21713" s="9" t="s">
        <v>21</v>
      </c>
    </row>
    <row r="21714" ht="15.75" customHeight="1">
      <c r="A21714" s="7"/>
      <c r="B21714" s="7"/>
      <c r="M21714" s="9" t="s">
        <v>37</v>
      </c>
    </row>
    <row r="21715" ht="15.75" customHeight="1">
      <c r="A21715" s="7"/>
      <c r="B21715" s="7"/>
      <c r="M21715" s="9" t="s">
        <v>22</v>
      </c>
    </row>
    <row r="21716" ht="15.75" customHeight="1">
      <c r="A21716" s="7"/>
      <c r="B21716" s="7"/>
      <c r="M21716" s="9" t="s">
        <v>27</v>
      </c>
    </row>
    <row r="21717" ht="15.75" customHeight="1">
      <c r="A21717" s="7"/>
      <c r="B21717" s="7"/>
      <c r="M21717" s="9" t="s">
        <v>28</v>
      </c>
    </row>
    <row r="21718" ht="15.75" customHeight="1">
      <c r="A21718" s="7"/>
      <c r="B21718" s="7"/>
      <c r="M21718" s="9" t="s">
        <v>25</v>
      </c>
    </row>
    <row r="21719" ht="15.75" customHeight="1">
      <c r="A21719" s="7"/>
      <c r="B21719" s="7"/>
      <c r="M21719" s="9" t="s">
        <v>23</v>
      </c>
    </row>
    <row r="21720" ht="15.75" customHeight="1">
      <c r="A21720" s="7"/>
      <c r="B21720" s="7"/>
      <c r="M21720" s="9" t="s">
        <v>24</v>
      </c>
    </row>
    <row r="21721" ht="15.75" customHeight="1">
      <c r="A21721" s="7"/>
      <c r="B21721" s="7"/>
      <c r="M21721" s="9" t="s">
        <v>20</v>
      </c>
    </row>
    <row r="21722" ht="15.75" customHeight="1">
      <c r="A21722" s="7"/>
      <c r="B21722" s="7"/>
      <c r="M21722" s="9" t="s">
        <v>21</v>
      </c>
    </row>
    <row r="21723" ht="15.75" customHeight="1">
      <c r="A21723" s="7"/>
      <c r="B21723" s="7"/>
      <c r="M21723" s="9" t="s">
        <v>37</v>
      </c>
    </row>
    <row r="21724" ht="15.75" customHeight="1">
      <c r="A21724" s="7"/>
      <c r="B21724" s="7"/>
      <c r="M21724" s="9" t="s">
        <v>22</v>
      </c>
    </row>
    <row r="21725" ht="15.75" customHeight="1">
      <c r="A21725" s="7"/>
      <c r="B21725" s="7"/>
      <c r="M21725" s="9" t="s">
        <v>40</v>
      </c>
    </row>
    <row r="21726" ht="15.75" customHeight="1">
      <c r="A21726" s="7"/>
      <c r="B21726" s="7"/>
      <c r="M21726" s="9" t="s">
        <v>30</v>
      </c>
    </row>
    <row r="21727" ht="15.75" customHeight="1">
      <c r="A21727" s="7"/>
      <c r="B21727" s="7"/>
      <c r="M21727" s="9" t="s">
        <v>24</v>
      </c>
    </row>
    <row r="21728" ht="15.75" customHeight="1">
      <c r="A21728" s="7"/>
      <c r="B21728" s="7"/>
      <c r="M21728" s="9" t="s">
        <v>21</v>
      </c>
    </row>
    <row r="21729" ht="15.75" customHeight="1">
      <c r="A21729" s="7"/>
      <c r="B21729" s="7"/>
      <c r="M21729" s="9" t="s">
        <v>27</v>
      </c>
    </row>
    <row r="21730" ht="15.75" customHeight="1">
      <c r="A21730" s="7"/>
      <c r="B21730" s="7"/>
      <c r="M21730" s="9" t="s">
        <v>33</v>
      </c>
    </row>
    <row r="21731" ht="15.75" customHeight="1">
      <c r="A21731" s="7"/>
      <c r="B21731" s="7"/>
      <c r="M21731" s="9" t="s">
        <v>30</v>
      </c>
    </row>
    <row r="21732" ht="15.75" customHeight="1">
      <c r="A21732" s="7"/>
      <c r="B21732" s="7"/>
      <c r="M21732" s="9" t="s">
        <v>25</v>
      </c>
    </row>
    <row r="21733" ht="15.75" customHeight="1">
      <c r="A21733" s="7"/>
      <c r="B21733" s="7"/>
      <c r="M21733" s="9" t="s">
        <v>25</v>
      </c>
    </row>
    <row r="21734" ht="15.75" customHeight="1">
      <c r="A21734" s="7"/>
      <c r="B21734" s="7"/>
      <c r="M21734" s="9" t="s">
        <v>23</v>
      </c>
    </row>
    <row r="21735" ht="15.75" customHeight="1">
      <c r="A21735" s="7"/>
      <c r="B21735" s="7"/>
      <c r="M21735" s="9" t="s">
        <v>22</v>
      </c>
    </row>
    <row r="21736" ht="15.75" customHeight="1">
      <c r="A21736" s="7"/>
      <c r="B21736" s="7"/>
      <c r="M21736" s="9" t="s">
        <v>24</v>
      </c>
    </row>
    <row r="21737" ht="15.75" customHeight="1">
      <c r="A21737" s="7"/>
      <c r="B21737" s="7"/>
      <c r="M21737" s="9" t="s">
        <v>21</v>
      </c>
    </row>
    <row r="21738" ht="15.75" customHeight="1">
      <c r="A21738" s="7"/>
      <c r="B21738" s="7"/>
      <c r="M21738" s="9" t="s">
        <v>22</v>
      </c>
    </row>
    <row r="21739" ht="15.75" customHeight="1">
      <c r="A21739" s="7"/>
      <c r="B21739" s="7"/>
      <c r="M21739" s="9" t="s">
        <v>24</v>
      </c>
    </row>
    <row r="21740" ht="15.75" customHeight="1">
      <c r="A21740" s="7"/>
      <c r="B21740" s="7"/>
      <c r="M21740" s="9" t="s">
        <v>21</v>
      </c>
    </row>
    <row r="21741" ht="15.75" customHeight="1">
      <c r="A21741" s="7"/>
      <c r="B21741" s="7"/>
      <c r="M21741" s="9" t="s">
        <v>37</v>
      </c>
    </row>
    <row r="21742" ht="15.75" customHeight="1">
      <c r="A21742" s="7"/>
      <c r="B21742" s="7"/>
      <c r="M21742" s="9" t="s">
        <v>27</v>
      </c>
    </row>
    <row r="21743" ht="15.75" customHeight="1">
      <c r="A21743" s="7"/>
      <c r="B21743" s="7"/>
      <c r="M21743" s="9" t="s">
        <v>30</v>
      </c>
    </row>
    <row r="21744" ht="15.75" customHeight="1">
      <c r="A21744" s="7"/>
      <c r="B21744" s="7"/>
      <c r="M21744" s="9" t="s">
        <v>24</v>
      </c>
    </row>
    <row r="21745" ht="15.75" customHeight="1">
      <c r="A21745" s="7"/>
      <c r="B21745" s="7"/>
      <c r="M21745" s="9" t="s">
        <v>20</v>
      </c>
    </row>
    <row r="21746" ht="15.75" customHeight="1">
      <c r="A21746" s="7"/>
      <c r="B21746" s="7"/>
      <c r="M21746" s="9" t="s">
        <v>21</v>
      </c>
    </row>
    <row r="21747" ht="15.75" customHeight="1">
      <c r="A21747" s="7"/>
      <c r="B21747" s="7"/>
      <c r="M21747" s="9" t="s">
        <v>27</v>
      </c>
    </row>
    <row r="21748" ht="15.75" customHeight="1">
      <c r="A21748" s="7"/>
      <c r="B21748" s="7"/>
      <c r="M21748" s="9" t="s">
        <v>30</v>
      </c>
    </row>
    <row r="21749" ht="15.75" customHeight="1">
      <c r="A21749" s="7"/>
      <c r="B21749" s="7"/>
      <c r="M21749" s="9" t="s">
        <v>23</v>
      </c>
    </row>
    <row r="21750" ht="15.75" customHeight="1">
      <c r="A21750" s="7"/>
      <c r="B21750" s="7"/>
      <c r="M21750" s="9" t="s">
        <v>20</v>
      </c>
    </row>
    <row r="21751" ht="15.75" customHeight="1">
      <c r="A21751" s="7"/>
      <c r="B21751" s="7"/>
      <c r="M21751" s="9" t="s">
        <v>21</v>
      </c>
    </row>
    <row r="21752" ht="15.75" customHeight="1">
      <c r="A21752" s="7"/>
      <c r="B21752" s="7"/>
      <c r="M21752" s="9" t="s">
        <v>41</v>
      </c>
    </row>
    <row r="21753" ht="15.75" customHeight="1">
      <c r="A21753" s="7"/>
      <c r="B21753" s="7"/>
      <c r="M21753" s="9" t="s">
        <v>40</v>
      </c>
    </row>
    <row r="21754" ht="15.75" customHeight="1">
      <c r="A21754" s="7"/>
      <c r="B21754" s="7"/>
      <c r="M21754" s="9" t="s">
        <v>36</v>
      </c>
    </row>
    <row r="21755" ht="15.75" customHeight="1">
      <c r="A21755" s="7"/>
      <c r="B21755" s="7"/>
      <c r="M21755" s="9" t="s">
        <v>22</v>
      </c>
    </row>
    <row r="21756" ht="15.75" customHeight="1">
      <c r="A21756" s="7"/>
      <c r="B21756" s="7"/>
      <c r="M21756" s="9" t="s">
        <v>27</v>
      </c>
    </row>
    <row r="21757" ht="15.75" customHeight="1">
      <c r="A21757" s="7"/>
      <c r="B21757" s="7"/>
      <c r="M21757" s="9" t="s">
        <v>35</v>
      </c>
    </row>
    <row r="21758" ht="15.75" customHeight="1">
      <c r="A21758" s="7"/>
      <c r="B21758" s="7"/>
      <c r="M21758" s="9" t="s">
        <v>30</v>
      </c>
    </row>
    <row r="21759" ht="15.75" customHeight="1">
      <c r="A21759" s="7"/>
      <c r="B21759" s="7"/>
      <c r="M21759" s="9" t="s">
        <v>20</v>
      </c>
    </row>
    <row r="21760" ht="15.75" customHeight="1">
      <c r="A21760" s="7"/>
      <c r="B21760" s="7"/>
      <c r="M21760" s="9" t="s">
        <v>22</v>
      </c>
    </row>
    <row r="21761" ht="15.75" customHeight="1">
      <c r="A21761" s="7"/>
      <c r="B21761" s="7"/>
      <c r="M21761" s="9" t="s">
        <v>25</v>
      </c>
    </row>
    <row r="21762" ht="15.75" customHeight="1">
      <c r="A21762" s="7"/>
      <c r="B21762" s="7"/>
      <c r="M21762" s="9" t="s">
        <v>23</v>
      </c>
    </row>
    <row r="21763" ht="15.75" customHeight="1">
      <c r="A21763" s="7"/>
      <c r="B21763" s="7"/>
      <c r="M21763" s="9" t="s">
        <v>30</v>
      </c>
    </row>
    <row r="21764" ht="15.75" customHeight="1">
      <c r="A21764" s="7"/>
      <c r="B21764" s="7"/>
      <c r="M21764" s="9" t="s">
        <v>24</v>
      </c>
    </row>
    <row r="21765" ht="15.75" customHeight="1">
      <c r="A21765" s="7"/>
      <c r="B21765" s="7"/>
      <c r="M21765" s="9" t="s">
        <v>21</v>
      </c>
    </row>
    <row r="21766" ht="15.75" customHeight="1">
      <c r="A21766" s="7"/>
      <c r="B21766" s="7"/>
      <c r="M21766" s="9" t="s">
        <v>31</v>
      </c>
    </row>
    <row r="21767" ht="15.75" customHeight="1">
      <c r="A21767" s="7"/>
      <c r="B21767" s="7"/>
      <c r="M21767" s="9" t="s">
        <v>27</v>
      </c>
    </row>
    <row r="21768" ht="15.75" customHeight="1">
      <c r="A21768" s="7"/>
      <c r="B21768" s="7"/>
      <c r="M21768" s="9" t="s">
        <v>26</v>
      </c>
    </row>
    <row r="21769" ht="15.75" customHeight="1">
      <c r="A21769" s="7"/>
      <c r="B21769" s="7"/>
      <c r="M21769" s="9" t="s">
        <v>24</v>
      </c>
    </row>
    <row r="21770" ht="15.75" customHeight="1">
      <c r="A21770" s="7"/>
      <c r="B21770" s="7"/>
      <c r="M21770" s="9" t="s">
        <v>20</v>
      </c>
    </row>
    <row r="21771" ht="15.75" customHeight="1">
      <c r="A21771" s="7"/>
      <c r="B21771" s="7"/>
      <c r="M21771" s="9" t="s">
        <v>21</v>
      </c>
    </row>
    <row r="21772" ht="15.75" customHeight="1">
      <c r="A21772" s="7"/>
      <c r="B21772" s="7"/>
      <c r="M21772" s="9" t="s">
        <v>41</v>
      </c>
    </row>
    <row r="21773" ht="15.75" customHeight="1">
      <c r="A21773" s="7"/>
      <c r="B21773" s="7"/>
      <c r="M21773" s="9" t="s">
        <v>27</v>
      </c>
    </row>
    <row r="21774" ht="15.75" customHeight="1">
      <c r="A21774" s="7"/>
      <c r="B21774" s="7"/>
      <c r="M21774" s="9" t="s">
        <v>33</v>
      </c>
    </row>
    <row r="21775" ht="15.75" customHeight="1">
      <c r="A21775" s="7"/>
      <c r="B21775" s="7"/>
      <c r="M21775" s="9" t="s">
        <v>28</v>
      </c>
    </row>
    <row r="21776" ht="15.75" customHeight="1">
      <c r="A21776" s="7"/>
      <c r="B21776" s="7"/>
      <c r="M21776" s="9" t="s">
        <v>24</v>
      </c>
    </row>
    <row r="21777" ht="15.75" customHeight="1">
      <c r="A21777" s="7"/>
      <c r="B21777" s="7"/>
      <c r="M21777" s="9" t="s">
        <v>21</v>
      </c>
    </row>
    <row r="21778" ht="15.75" customHeight="1">
      <c r="A21778" s="7"/>
      <c r="B21778" s="7"/>
      <c r="M21778" s="9" t="s">
        <v>22</v>
      </c>
    </row>
    <row r="21779" ht="15.75" customHeight="1">
      <c r="A21779" s="7"/>
      <c r="B21779" s="7"/>
      <c r="M21779" s="9" t="s">
        <v>27</v>
      </c>
    </row>
    <row r="21780" ht="15.75" customHeight="1">
      <c r="A21780" s="7"/>
      <c r="B21780" s="7"/>
      <c r="M21780" s="9" t="s">
        <v>24</v>
      </c>
    </row>
    <row r="21781" ht="15.75" customHeight="1">
      <c r="A21781" s="7"/>
      <c r="B21781" s="7"/>
      <c r="M21781" s="9" t="s">
        <v>21</v>
      </c>
    </row>
    <row r="21782" ht="15.75" customHeight="1">
      <c r="A21782" s="7"/>
      <c r="B21782" s="7"/>
      <c r="M21782" s="9" t="s">
        <v>37</v>
      </c>
    </row>
    <row r="21783" ht="15.75" customHeight="1">
      <c r="A21783" s="7"/>
      <c r="B21783" s="7"/>
      <c r="M21783" s="9" t="s">
        <v>27</v>
      </c>
    </row>
    <row r="21784" ht="15.75" customHeight="1">
      <c r="A21784" s="7"/>
      <c r="B21784" s="7"/>
      <c r="M21784" s="9" t="s">
        <v>33</v>
      </c>
    </row>
    <row r="21785" ht="15.75" customHeight="1">
      <c r="A21785" s="7"/>
      <c r="B21785" s="7"/>
      <c r="M21785" s="9" t="s">
        <v>35</v>
      </c>
    </row>
    <row r="21786" ht="15.75" customHeight="1">
      <c r="A21786" s="7"/>
      <c r="B21786" s="7"/>
      <c r="M21786" s="9" t="s">
        <v>20</v>
      </c>
    </row>
    <row r="21787" ht="15.75" customHeight="1">
      <c r="A21787" s="7"/>
      <c r="B21787" s="7"/>
      <c r="M21787" s="9" t="s">
        <v>30</v>
      </c>
    </row>
    <row r="21788" ht="15.75" customHeight="1">
      <c r="A21788" s="7"/>
      <c r="B21788" s="7"/>
      <c r="M21788" s="9" t="s">
        <v>24</v>
      </c>
    </row>
    <row r="21789" ht="15.75" customHeight="1">
      <c r="A21789" s="7"/>
      <c r="B21789" s="7"/>
      <c r="M21789" s="9" t="s">
        <v>21</v>
      </c>
    </row>
    <row r="21790" ht="15.75" customHeight="1">
      <c r="A21790" s="7"/>
      <c r="B21790" s="7"/>
      <c r="M21790" s="9" t="s">
        <v>22</v>
      </c>
    </row>
    <row r="21791" ht="15.75" customHeight="1">
      <c r="A21791" s="7"/>
      <c r="B21791" s="7"/>
      <c r="M21791" s="9" t="s">
        <v>27</v>
      </c>
    </row>
    <row r="21792" ht="15.75" customHeight="1">
      <c r="A21792" s="7"/>
      <c r="B21792" s="7"/>
      <c r="M21792" s="9" t="s">
        <v>30</v>
      </c>
    </row>
    <row r="21793" ht="15.75" customHeight="1">
      <c r="A21793" s="7"/>
      <c r="B21793" s="7"/>
      <c r="M21793" s="9" t="s">
        <v>36</v>
      </c>
    </row>
    <row r="21794" ht="15.75" customHeight="1">
      <c r="A21794" s="7"/>
      <c r="B21794" s="7"/>
      <c r="M21794" s="9" t="s">
        <v>21</v>
      </c>
    </row>
    <row r="21795" ht="15.75" customHeight="1">
      <c r="A21795" s="7"/>
      <c r="B21795" s="7"/>
      <c r="M21795" s="9" t="s">
        <v>37</v>
      </c>
    </row>
    <row r="21796" ht="15.75" customHeight="1">
      <c r="A21796" s="7"/>
      <c r="B21796" s="7"/>
      <c r="M21796" s="9" t="s">
        <v>46</v>
      </c>
    </row>
    <row r="21797" ht="15.75" customHeight="1">
      <c r="A21797" s="7"/>
      <c r="B21797" s="7"/>
      <c r="M21797" s="9" t="s">
        <v>27</v>
      </c>
    </row>
    <row r="21798" ht="15.75" customHeight="1">
      <c r="A21798" s="7"/>
      <c r="B21798" s="7"/>
      <c r="M21798" s="9" t="s">
        <v>24</v>
      </c>
    </row>
    <row r="21799" ht="15.75" customHeight="1">
      <c r="A21799" s="7"/>
      <c r="B21799" s="7"/>
      <c r="M21799" s="9" t="s">
        <v>21</v>
      </c>
    </row>
    <row r="21800" ht="15.75" customHeight="1">
      <c r="A21800" s="7"/>
      <c r="B21800" s="7"/>
      <c r="M21800" s="9" t="s">
        <v>37</v>
      </c>
    </row>
    <row r="21801" ht="15.75" customHeight="1">
      <c r="A21801" s="7"/>
      <c r="B21801" s="7"/>
      <c r="M21801" s="9" t="s">
        <v>24</v>
      </c>
    </row>
    <row r="21802" ht="15.75" customHeight="1">
      <c r="A21802" s="7"/>
      <c r="B21802" s="7"/>
      <c r="M21802" s="9" t="s">
        <v>21</v>
      </c>
    </row>
    <row r="21803" ht="15.75" customHeight="1">
      <c r="A21803" s="7"/>
      <c r="B21803" s="7"/>
      <c r="M21803" s="9" t="s">
        <v>22</v>
      </c>
    </row>
    <row r="21804" ht="15.75" customHeight="1">
      <c r="A21804" s="7"/>
      <c r="B21804" s="7"/>
      <c r="M21804" s="9" t="s">
        <v>29</v>
      </c>
    </row>
    <row r="21805" ht="15.75" customHeight="1">
      <c r="A21805" s="7"/>
      <c r="B21805" s="7"/>
      <c r="M21805" s="9" t="s">
        <v>27</v>
      </c>
    </row>
    <row r="21806" ht="15.75" customHeight="1">
      <c r="A21806" s="7"/>
      <c r="B21806" s="7"/>
      <c r="M21806" s="9" t="s">
        <v>24</v>
      </c>
    </row>
    <row r="21807" ht="15.75" customHeight="1">
      <c r="A21807" s="7"/>
      <c r="B21807" s="7"/>
      <c r="M21807" s="9" t="s">
        <v>20</v>
      </c>
    </row>
    <row r="21808" ht="15.75" customHeight="1">
      <c r="A21808" s="7"/>
      <c r="B21808" s="7"/>
      <c r="M21808" s="9" t="s">
        <v>21</v>
      </c>
    </row>
    <row r="21809" ht="15.75" customHeight="1">
      <c r="A21809" s="7"/>
      <c r="B21809" s="7"/>
      <c r="M21809" s="9" t="s">
        <v>37</v>
      </c>
    </row>
    <row r="21810" ht="15.75" customHeight="1">
      <c r="A21810" s="7"/>
      <c r="B21810" s="7"/>
      <c r="M21810" s="9" t="s">
        <v>38</v>
      </c>
    </row>
    <row r="21811" ht="15.75" customHeight="1">
      <c r="A21811" s="7"/>
      <c r="B21811" s="7"/>
      <c r="M21811" s="9" t="s">
        <v>30</v>
      </c>
    </row>
    <row r="21812" ht="15.75" customHeight="1">
      <c r="A21812" s="7"/>
      <c r="B21812" s="7"/>
      <c r="M21812" s="9" t="s">
        <v>25</v>
      </c>
    </row>
    <row r="21813" ht="15.75" customHeight="1">
      <c r="A21813" s="7"/>
      <c r="B21813" s="7"/>
      <c r="M21813" s="9" t="s">
        <v>23</v>
      </c>
    </row>
    <row r="21814" ht="15.75" customHeight="1">
      <c r="A21814" s="7"/>
      <c r="B21814" s="7"/>
      <c r="M21814" s="9" t="s">
        <v>26</v>
      </c>
    </row>
    <row r="21815" ht="15.75" customHeight="1">
      <c r="A21815" s="7"/>
      <c r="B21815" s="7"/>
      <c r="M21815" s="9" t="s">
        <v>24</v>
      </c>
    </row>
    <row r="21816" ht="15.75" customHeight="1">
      <c r="A21816" s="7"/>
      <c r="B21816" s="7"/>
      <c r="M21816" s="9" t="s">
        <v>21</v>
      </c>
    </row>
    <row r="21817" ht="15.75" customHeight="1">
      <c r="A21817" s="7"/>
      <c r="B21817" s="7"/>
      <c r="M21817" s="9" t="s">
        <v>37</v>
      </c>
    </row>
    <row r="21818" ht="15.75" customHeight="1">
      <c r="A21818" s="7"/>
      <c r="B21818" s="7"/>
      <c r="M21818" s="9" t="s">
        <v>25</v>
      </c>
    </row>
    <row r="21819" ht="15.75" customHeight="1">
      <c r="A21819" s="7"/>
      <c r="B21819" s="7"/>
      <c r="M21819" s="9" t="s">
        <v>26</v>
      </c>
    </row>
    <row r="21820" ht="15.75" customHeight="1">
      <c r="A21820" s="7"/>
      <c r="B21820" s="7"/>
      <c r="M21820" s="9" t="s">
        <v>24</v>
      </c>
    </row>
    <row r="21821" ht="15.75" customHeight="1">
      <c r="A21821" s="7"/>
      <c r="B21821" s="7"/>
      <c r="M21821" s="9" t="s">
        <v>20</v>
      </c>
    </row>
    <row r="21822" ht="15.75" customHeight="1">
      <c r="A21822" s="7"/>
      <c r="B21822" s="7"/>
      <c r="M21822" s="9" t="s">
        <v>21</v>
      </c>
    </row>
    <row r="21823" ht="15.75" customHeight="1">
      <c r="A21823" s="7"/>
      <c r="B21823" s="7"/>
      <c r="M21823" s="9" t="s">
        <v>22</v>
      </c>
    </row>
    <row r="21824" ht="15.75" customHeight="1">
      <c r="A21824" s="7"/>
      <c r="B21824" s="7"/>
      <c r="M21824" s="9" t="s">
        <v>26</v>
      </c>
    </row>
    <row r="21825" ht="15.75" customHeight="1">
      <c r="A21825" s="7"/>
      <c r="B21825" s="7"/>
      <c r="M21825" s="9" t="s">
        <v>24</v>
      </c>
    </row>
    <row r="21826" ht="15.75" customHeight="1">
      <c r="A21826" s="7"/>
      <c r="B21826" s="7"/>
      <c r="M21826" s="9" t="s">
        <v>20</v>
      </c>
    </row>
    <row r="21827" ht="15.75" customHeight="1">
      <c r="A21827" s="7"/>
      <c r="B21827" s="7"/>
      <c r="M21827" s="9" t="s">
        <v>21</v>
      </c>
    </row>
    <row r="21828" ht="15.75" customHeight="1">
      <c r="A21828" s="7"/>
      <c r="B21828" s="7"/>
      <c r="M21828" s="9" t="s">
        <v>37</v>
      </c>
    </row>
    <row r="21829" ht="15.75" customHeight="1">
      <c r="A21829" s="7"/>
      <c r="B21829" s="7"/>
      <c r="M21829" s="9" t="s">
        <v>27</v>
      </c>
    </row>
    <row r="21830" ht="15.75" customHeight="1">
      <c r="A21830" s="7"/>
      <c r="B21830" s="7"/>
      <c r="M21830" s="9" t="s">
        <v>24</v>
      </c>
    </row>
    <row r="21831" ht="15.75" customHeight="1">
      <c r="A21831" s="7"/>
      <c r="B21831" s="7"/>
      <c r="M21831" s="9" t="s">
        <v>37</v>
      </c>
    </row>
    <row r="21832" ht="15.75" customHeight="1">
      <c r="A21832" s="7"/>
      <c r="B21832" s="7"/>
      <c r="M21832" s="9" t="s">
        <v>33</v>
      </c>
    </row>
    <row r="21833" ht="15.75" customHeight="1">
      <c r="A21833" s="7"/>
      <c r="B21833" s="7"/>
      <c r="M21833" s="9" t="s">
        <v>26</v>
      </c>
    </row>
    <row r="21834" ht="15.75" customHeight="1">
      <c r="A21834" s="7"/>
      <c r="B21834" s="7"/>
      <c r="M21834" s="9" t="s">
        <v>21</v>
      </c>
    </row>
    <row r="21835" ht="15.75" customHeight="1">
      <c r="A21835" s="7"/>
      <c r="B21835" s="7"/>
      <c r="M21835" s="9" t="s">
        <v>27</v>
      </c>
    </row>
    <row r="21836" ht="15.75" customHeight="1">
      <c r="A21836" s="7"/>
      <c r="B21836" s="7"/>
      <c r="M21836" s="9" t="s">
        <v>30</v>
      </c>
    </row>
    <row r="21837" ht="15.75" customHeight="1">
      <c r="A21837" s="7"/>
      <c r="B21837" s="7"/>
      <c r="M21837" s="9" t="s">
        <v>24</v>
      </c>
    </row>
    <row r="21838" ht="15.75" customHeight="1">
      <c r="A21838" s="7"/>
      <c r="B21838" s="7"/>
      <c r="M21838" s="9" t="s">
        <v>21</v>
      </c>
    </row>
    <row r="21839" ht="15.75" customHeight="1">
      <c r="A21839" s="7"/>
      <c r="B21839" s="7"/>
      <c r="M21839" s="9" t="s">
        <v>22</v>
      </c>
    </row>
    <row r="21840" ht="15.75" customHeight="1">
      <c r="A21840" s="7"/>
      <c r="B21840" s="7"/>
      <c r="M21840" s="9" t="s">
        <v>30</v>
      </c>
    </row>
    <row r="21841" ht="15.75" customHeight="1">
      <c r="A21841" s="7"/>
      <c r="B21841" s="7"/>
      <c r="M21841" s="9" t="s">
        <v>26</v>
      </c>
    </row>
    <row r="21842" ht="15.75" customHeight="1">
      <c r="A21842" s="7"/>
      <c r="B21842" s="7"/>
      <c r="M21842" s="9" t="s">
        <v>24</v>
      </c>
    </row>
    <row r="21843" ht="15.75" customHeight="1">
      <c r="A21843" s="7"/>
      <c r="B21843" s="7"/>
      <c r="M21843" s="9" t="s">
        <v>21</v>
      </c>
    </row>
    <row r="21844" ht="15.75" customHeight="1">
      <c r="A21844" s="7"/>
      <c r="B21844" s="7"/>
      <c r="M21844" s="9" t="s">
        <v>27</v>
      </c>
    </row>
    <row r="21845" ht="15.75" customHeight="1">
      <c r="A21845" s="7"/>
      <c r="B21845" s="7"/>
      <c r="M21845" s="9" t="s">
        <v>26</v>
      </c>
    </row>
    <row r="21846" ht="15.75" customHeight="1">
      <c r="A21846" s="7"/>
      <c r="B21846" s="7"/>
      <c r="M21846" s="9" t="s">
        <v>24</v>
      </c>
    </row>
    <row r="21847" ht="15.75" customHeight="1">
      <c r="A21847" s="7"/>
      <c r="B21847" s="7"/>
      <c r="M21847" s="9" t="s">
        <v>21</v>
      </c>
    </row>
    <row r="21848" ht="15.75" customHeight="1">
      <c r="A21848" s="7"/>
      <c r="B21848" s="7"/>
      <c r="M21848" s="9" t="s">
        <v>22</v>
      </c>
    </row>
    <row r="21849" ht="15.75" customHeight="1">
      <c r="A21849" s="7"/>
      <c r="B21849" s="7"/>
      <c r="M21849" s="9" t="s">
        <v>25</v>
      </c>
    </row>
    <row r="21850" ht="15.75" customHeight="1">
      <c r="A21850" s="7"/>
      <c r="B21850" s="7"/>
      <c r="M21850" s="9" t="s">
        <v>23</v>
      </c>
    </row>
    <row r="21851" ht="15.75" customHeight="1">
      <c r="A21851" s="7"/>
      <c r="B21851" s="7"/>
      <c r="M21851" s="9" t="s">
        <v>20</v>
      </c>
    </row>
    <row r="21852" ht="15.75" customHeight="1">
      <c r="A21852" s="7"/>
      <c r="B21852" s="7"/>
      <c r="M21852" s="9" t="s">
        <v>26</v>
      </c>
    </row>
    <row r="21853" ht="15.75" customHeight="1">
      <c r="A21853" s="7"/>
      <c r="B21853" s="7"/>
      <c r="M21853" s="9" t="s">
        <v>27</v>
      </c>
    </row>
    <row r="21854" ht="15.75" customHeight="1">
      <c r="A21854" s="7"/>
      <c r="B21854" s="7"/>
      <c r="M21854" s="9" t="s">
        <v>33</v>
      </c>
    </row>
    <row r="21855" ht="15.75" customHeight="1">
      <c r="A21855" s="7"/>
      <c r="B21855" s="7"/>
      <c r="M21855" s="9" t="s">
        <v>30</v>
      </c>
    </row>
    <row r="21856" ht="15.75" customHeight="1">
      <c r="A21856" s="7"/>
      <c r="B21856" s="7"/>
      <c r="M21856" s="9" t="s">
        <v>26</v>
      </c>
    </row>
    <row r="21857" ht="15.75" customHeight="1">
      <c r="A21857" s="7"/>
      <c r="B21857" s="7"/>
      <c r="M21857" s="9" t="s">
        <v>24</v>
      </c>
    </row>
    <row r="21858" ht="15.75" customHeight="1">
      <c r="A21858" s="7"/>
      <c r="B21858" s="7"/>
      <c r="M21858" s="9" t="s">
        <v>21</v>
      </c>
    </row>
    <row r="21859" ht="15.75" customHeight="1">
      <c r="A21859" s="7"/>
      <c r="B21859" s="7"/>
      <c r="M21859" s="9" t="s">
        <v>27</v>
      </c>
    </row>
    <row r="21860" ht="15.75" customHeight="1">
      <c r="A21860" s="7"/>
      <c r="B21860" s="7"/>
      <c r="M21860" s="9" t="s">
        <v>24</v>
      </c>
    </row>
    <row r="21861" ht="15.75" customHeight="1">
      <c r="A21861" s="7"/>
      <c r="B21861" s="7"/>
      <c r="M21861" s="9" t="s">
        <v>20</v>
      </c>
    </row>
    <row r="21862" ht="15.75" customHeight="1">
      <c r="A21862" s="7"/>
      <c r="B21862" s="7"/>
      <c r="M21862" s="9" t="s">
        <v>21</v>
      </c>
    </row>
    <row r="21863" ht="15.75" customHeight="1">
      <c r="A21863" s="7"/>
      <c r="B21863" s="7"/>
      <c r="M21863" s="9" t="s">
        <v>22</v>
      </c>
    </row>
    <row r="21864" ht="15.75" customHeight="1">
      <c r="A21864" s="7"/>
      <c r="B21864" s="7"/>
      <c r="M21864" s="9" t="s">
        <v>33</v>
      </c>
    </row>
    <row r="21865" ht="15.75" customHeight="1">
      <c r="A21865" s="7"/>
      <c r="B21865" s="7"/>
      <c r="M21865" s="9" t="s">
        <v>30</v>
      </c>
    </row>
    <row r="21866" ht="15.75" customHeight="1">
      <c r="A21866" s="7"/>
      <c r="B21866" s="7"/>
      <c r="M21866" s="9" t="s">
        <v>24</v>
      </c>
    </row>
    <row r="21867" ht="15.75" customHeight="1">
      <c r="A21867" s="7"/>
      <c r="B21867" s="7"/>
      <c r="M21867" s="9" t="s">
        <v>20</v>
      </c>
    </row>
    <row r="21868" ht="15.75" customHeight="1">
      <c r="A21868" s="7"/>
      <c r="B21868" s="7"/>
      <c r="M21868" s="9" t="s">
        <v>21</v>
      </c>
    </row>
    <row r="21869" ht="15.75" customHeight="1">
      <c r="A21869" s="7"/>
      <c r="B21869" s="7"/>
      <c r="M21869" s="9" t="s">
        <v>37</v>
      </c>
    </row>
    <row r="21870" ht="15.75" customHeight="1">
      <c r="A21870" s="7"/>
      <c r="B21870" s="7"/>
      <c r="M21870" s="9" t="s">
        <v>20</v>
      </c>
    </row>
    <row r="21871" ht="15.75" customHeight="1">
      <c r="A21871" s="7"/>
      <c r="B21871" s="7"/>
      <c r="M21871" s="9" t="s">
        <v>21</v>
      </c>
    </row>
    <row r="21872" ht="15.75" customHeight="1">
      <c r="A21872" s="7"/>
      <c r="B21872" s="7"/>
      <c r="M21872" s="9" t="s">
        <v>37</v>
      </c>
    </row>
    <row r="21873" ht="15.75" customHeight="1">
      <c r="A21873" s="7"/>
      <c r="B21873" s="7"/>
      <c r="M21873" s="9" t="s">
        <v>27</v>
      </c>
    </row>
    <row r="21874" ht="15.75" customHeight="1">
      <c r="A21874" s="7"/>
      <c r="B21874" s="7"/>
      <c r="M21874" s="9" t="s">
        <v>33</v>
      </c>
    </row>
    <row r="21875" ht="15.75" customHeight="1">
      <c r="A21875" s="7"/>
      <c r="B21875" s="7"/>
      <c r="M21875" s="9" t="s">
        <v>20</v>
      </c>
    </row>
    <row r="21876" ht="15.75" customHeight="1">
      <c r="A21876" s="7"/>
      <c r="B21876" s="7"/>
      <c r="M21876" s="9" t="s">
        <v>21</v>
      </c>
    </row>
    <row r="21877" ht="15.75" customHeight="1">
      <c r="A21877" s="7"/>
      <c r="B21877" s="7"/>
      <c r="M21877" s="9" t="s">
        <v>27</v>
      </c>
    </row>
    <row r="21878" ht="15.75" customHeight="1">
      <c r="A21878" s="7"/>
      <c r="B21878" s="7"/>
      <c r="M21878" s="9" t="s">
        <v>30</v>
      </c>
    </row>
    <row r="21879" ht="15.75" customHeight="1">
      <c r="A21879" s="7"/>
      <c r="B21879" s="7"/>
      <c r="M21879" s="9" t="s">
        <v>36</v>
      </c>
    </row>
    <row r="21880" ht="15.75" customHeight="1">
      <c r="A21880" s="7"/>
      <c r="B21880" s="7"/>
      <c r="M21880" s="9" t="s">
        <v>24</v>
      </c>
    </row>
    <row r="21881" ht="15.75" customHeight="1">
      <c r="A21881" s="7"/>
      <c r="B21881" s="7"/>
      <c r="M21881" s="9" t="s">
        <v>20</v>
      </c>
    </row>
    <row r="21882" ht="15.75" customHeight="1">
      <c r="A21882" s="7"/>
      <c r="B21882" s="7"/>
      <c r="M21882" s="9" t="s">
        <v>21</v>
      </c>
    </row>
    <row r="21883" ht="15.75" customHeight="1">
      <c r="A21883" s="7"/>
      <c r="B21883" s="7"/>
      <c r="M21883" s="9" t="s">
        <v>32</v>
      </c>
    </row>
    <row r="21884" ht="15.75" customHeight="1">
      <c r="A21884" s="7"/>
      <c r="B21884" s="7"/>
      <c r="M21884" s="9" t="s">
        <v>46</v>
      </c>
    </row>
    <row r="21885" ht="15.75" customHeight="1">
      <c r="A21885" s="7"/>
      <c r="B21885" s="7"/>
      <c r="M21885" s="9" t="s">
        <v>27</v>
      </c>
    </row>
    <row r="21886" ht="15.75" customHeight="1">
      <c r="A21886" s="7"/>
      <c r="B21886" s="7"/>
      <c r="M21886" s="9" t="s">
        <v>30</v>
      </c>
    </row>
    <row r="21887" ht="15.75" customHeight="1">
      <c r="A21887" s="7"/>
      <c r="B21887" s="7"/>
      <c r="M21887" s="9" t="s">
        <v>23</v>
      </c>
    </row>
    <row r="21888" ht="15.75" customHeight="1">
      <c r="A21888" s="7"/>
      <c r="B21888" s="7"/>
      <c r="M21888" s="9" t="s">
        <v>26</v>
      </c>
    </row>
    <row r="21889" ht="15.75" customHeight="1">
      <c r="A21889" s="7"/>
      <c r="B21889" s="7"/>
      <c r="M21889" s="9" t="s">
        <v>24</v>
      </c>
    </row>
    <row r="21890" ht="15.75" customHeight="1">
      <c r="A21890" s="7"/>
      <c r="B21890" s="7"/>
      <c r="M21890" s="9" t="s">
        <v>21</v>
      </c>
    </row>
    <row r="21891" ht="15.75" customHeight="1">
      <c r="A21891" s="7"/>
      <c r="B21891" s="7"/>
      <c r="M21891" s="9" t="s">
        <v>37</v>
      </c>
    </row>
    <row r="21892" ht="15.75" customHeight="1">
      <c r="A21892" s="7"/>
      <c r="B21892" s="7"/>
      <c r="M21892" s="9" t="s">
        <v>27</v>
      </c>
    </row>
    <row r="21893" ht="15.75" customHeight="1">
      <c r="A21893" s="7"/>
      <c r="B21893" s="7"/>
      <c r="M21893" s="9" t="s">
        <v>25</v>
      </c>
    </row>
    <row r="21894" ht="15.75" customHeight="1">
      <c r="A21894" s="7"/>
      <c r="B21894" s="7"/>
      <c r="M21894" s="9" t="s">
        <v>23</v>
      </c>
    </row>
    <row r="21895" ht="15.75" customHeight="1">
      <c r="A21895" s="7"/>
      <c r="B21895" s="7"/>
      <c r="M21895" s="9" t="s">
        <v>26</v>
      </c>
    </row>
    <row r="21896" ht="15.75" customHeight="1">
      <c r="A21896" s="7"/>
      <c r="B21896" s="7"/>
      <c r="M21896" s="9" t="s">
        <v>24</v>
      </c>
    </row>
    <row r="21897" ht="15.75" customHeight="1">
      <c r="A21897" s="7"/>
      <c r="B21897" s="7"/>
      <c r="M21897" s="9" t="s">
        <v>20</v>
      </c>
    </row>
    <row r="21898" ht="15.75" customHeight="1">
      <c r="A21898" s="7"/>
      <c r="B21898" s="7"/>
      <c r="M21898" s="9" t="s">
        <v>21</v>
      </c>
    </row>
    <row r="21899" ht="15.75" customHeight="1">
      <c r="A21899" s="7"/>
      <c r="B21899" s="7"/>
      <c r="M21899" s="9" t="s">
        <v>41</v>
      </c>
    </row>
    <row r="21900" ht="15.75" customHeight="1">
      <c r="A21900" s="7"/>
      <c r="B21900" s="7"/>
      <c r="M21900" s="9" t="s">
        <v>37</v>
      </c>
    </row>
    <row r="21901" ht="15.75" customHeight="1">
      <c r="A21901" s="7"/>
      <c r="B21901" s="7"/>
      <c r="M21901" s="9" t="s">
        <v>22</v>
      </c>
    </row>
    <row r="21902" ht="15.75" customHeight="1">
      <c r="A21902" s="7"/>
      <c r="B21902" s="7"/>
      <c r="M21902" s="9" t="s">
        <v>29</v>
      </c>
    </row>
    <row r="21903" ht="15.75" customHeight="1">
      <c r="A21903" s="7"/>
      <c r="B21903" s="7"/>
      <c r="M21903" s="9" t="s">
        <v>31</v>
      </c>
    </row>
    <row r="21904" ht="15.75" customHeight="1">
      <c r="A21904" s="7"/>
      <c r="B21904" s="7"/>
      <c r="M21904" s="9" t="s">
        <v>27</v>
      </c>
    </row>
    <row r="21905" ht="15.75" customHeight="1">
      <c r="A21905" s="7"/>
      <c r="B21905" s="7"/>
      <c r="M21905" s="9" t="s">
        <v>40</v>
      </c>
    </row>
    <row r="21906" ht="15.75" customHeight="1">
      <c r="A21906" s="7"/>
      <c r="B21906" s="7"/>
      <c r="M21906" s="9" t="s">
        <v>28</v>
      </c>
    </row>
    <row r="21907" ht="15.75" customHeight="1">
      <c r="A21907" s="7"/>
      <c r="B21907" s="7"/>
      <c r="M21907" s="9" t="s">
        <v>35</v>
      </c>
    </row>
    <row r="21908" ht="15.75" customHeight="1">
      <c r="A21908" s="7"/>
      <c r="B21908" s="7"/>
      <c r="M21908" s="9" t="s">
        <v>21</v>
      </c>
    </row>
    <row r="21909" ht="15.75" customHeight="1">
      <c r="A21909" s="7"/>
      <c r="B21909" s="7"/>
      <c r="M21909" s="9" t="s">
        <v>41</v>
      </c>
    </row>
    <row r="21910" ht="15.75" customHeight="1">
      <c r="A21910" s="7"/>
      <c r="B21910" s="7"/>
      <c r="M21910" s="9" t="s">
        <v>33</v>
      </c>
    </row>
    <row r="21911" ht="15.75" customHeight="1">
      <c r="A21911" s="7"/>
      <c r="B21911" s="7"/>
      <c r="M21911" s="9" t="s">
        <v>24</v>
      </c>
    </row>
    <row r="21912" ht="15.75" customHeight="1">
      <c r="A21912" s="7"/>
      <c r="B21912" s="7"/>
      <c r="M21912" s="9" t="s">
        <v>22</v>
      </c>
    </row>
    <row r="21913" ht="15.75" customHeight="1">
      <c r="A21913" s="7"/>
      <c r="B21913" s="7"/>
      <c r="M21913" s="9" t="s">
        <v>31</v>
      </c>
    </row>
    <row r="21914" ht="15.75" customHeight="1">
      <c r="A21914" s="7"/>
      <c r="B21914" s="7"/>
      <c r="M21914" s="9" t="s">
        <v>27</v>
      </c>
    </row>
    <row r="21915" ht="15.75" customHeight="1">
      <c r="A21915" s="7"/>
      <c r="B21915" s="7"/>
      <c r="M21915" s="9" t="s">
        <v>26</v>
      </c>
    </row>
    <row r="21916" ht="15.75" customHeight="1">
      <c r="A21916" s="7"/>
      <c r="B21916" s="7"/>
      <c r="M21916" s="9" t="s">
        <v>24</v>
      </c>
    </row>
    <row r="21917" ht="15.75" customHeight="1">
      <c r="A21917" s="7"/>
      <c r="B21917" s="7"/>
      <c r="M21917" s="9" t="s">
        <v>21</v>
      </c>
    </row>
    <row r="21918" ht="15.75" customHeight="1">
      <c r="A21918" s="7"/>
      <c r="B21918" s="7"/>
      <c r="M21918" s="9" t="s">
        <v>37</v>
      </c>
    </row>
    <row r="21919" ht="15.75" customHeight="1">
      <c r="A21919" s="7"/>
      <c r="B21919" s="7"/>
      <c r="M21919" s="9" t="s">
        <v>22</v>
      </c>
    </row>
    <row r="21920" ht="15.75" customHeight="1">
      <c r="A21920" s="7"/>
      <c r="B21920" s="7"/>
      <c r="M21920" s="9" t="s">
        <v>27</v>
      </c>
    </row>
    <row r="21921" ht="15.75" customHeight="1">
      <c r="A21921" s="7"/>
      <c r="B21921" s="7"/>
      <c r="M21921" s="9" t="s">
        <v>33</v>
      </c>
    </row>
    <row r="21922" ht="15.75" customHeight="1">
      <c r="A21922" s="7"/>
      <c r="B21922" s="7"/>
      <c r="M21922" s="9" t="s">
        <v>34</v>
      </c>
    </row>
    <row r="21923" ht="15.75" customHeight="1">
      <c r="A21923" s="7"/>
      <c r="B21923" s="7"/>
      <c r="M21923" s="9" t="s">
        <v>44</v>
      </c>
    </row>
    <row r="21924" ht="15.75" customHeight="1">
      <c r="A21924" s="7"/>
      <c r="B21924" s="7"/>
      <c r="M21924" s="9" t="s">
        <v>24</v>
      </c>
    </row>
    <row r="21925" ht="15.75" customHeight="1">
      <c r="A21925" s="7"/>
      <c r="B21925" s="7"/>
      <c r="M21925" s="9" t="s">
        <v>20</v>
      </c>
    </row>
    <row r="21926" ht="15.75" customHeight="1">
      <c r="A21926" s="7"/>
      <c r="B21926" s="7"/>
      <c r="M21926" s="9" t="s">
        <v>21</v>
      </c>
    </row>
    <row r="21927" ht="15.75" customHeight="1">
      <c r="A21927" s="7"/>
      <c r="B21927" s="7"/>
      <c r="M21927" s="9" t="s">
        <v>27</v>
      </c>
    </row>
    <row r="21928" ht="15.75" customHeight="1">
      <c r="A21928" s="7"/>
      <c r="B21928" s="7"/>
      <c r="M21928" s="9" t="s">
        <v>35</v>
      </c>
    </row>
    <row r="21929" ht="15.75" customHeight="1">
      <c r="A21929" s="7"/>
      <c r="B21929" s="7"/>
      <c r="M21929" s="9" t="s">
        <v>30</v>
      </c>
    </row>
    <row r="21930" ht="15.75" customHeight="1">
      <c r="A21930" s="7"/>
      <c r="B21930" s="7"/>
      <c r="M21930" s="9" t="s">
        <v>24</v>
      </c>
    </row>
    <row r="21931" ht="15.75" customHeight="1">
      <c r="A21931" s="7"/>
      <c r="B21931" s="7"/>
      <c r="M21931" s="9" t="s">
        <v>20</v>
      </c>
    </row>
    <row r="21932" ht="15.75" customHeight="1">
      <c r="A21932" s="7"/>
      <c r="B21932" s="7"/>
      <c r="M21932" s="9" t="s">
        <v>21</v>
      </c>
    </row>
    <row r="21933" ht="15.75" customHeight="1">
      <c r="A21933" s="7"/>
      <c r="B21933" s="7"/>
      <c r="M21933" s="9" t="s">
        <v>37</v>
      </c>
    </row>
    <row r="21934" ht="15.75" customHeight="1">
      <c r="A21934" s="7"/>
      <c r="B21934" s="7"/>
      <c r="M21934" s="9" t="s">
        <v>22</v>
      </c>
    </row>
    <row r="21935" ht="15.75" customHeight="1">
      <c r="A21935" s="7"/>
      <c r="B21935" s="7"/>
      <c r="M21935" s="9" t="s">
        <v>27</v>
      </c>
    </row>
    <row r="21936" ht="15.75" customHeight="1">
      <c r="A21936" s="7"/>
      <c r="B21936" s="7"/>
      <c r="M21936" s="9" t="s">
        <v>30</v>
      </c>
    </row>
    <row r="21937" ht="15.75" customHeight="1">
      <c r="A21937" s="7"/>
      <c r="B21937" s="7"/>
      <c r="M21937" s="9" t="s">
        <v>26</v>
      </c>
    </row>
    <row r="21938" ht="15.75" customHeight="1">
      <c r="A21938" s="7"/>
      <c r="B21938" s="7"/>
      <c r="M21938" s="9" t="s">
        <v>24</v>
      </c>
    </row>
    <row r="21939" ht="15.75" customHeight="1">
      <c r="A21939" s="7"/>
      <c r="B21939" s="7"/>
      <c r="M21939" s="9" t="s">
        <v>20</v>
      </c>
    </row>
    <row r="21940" ht="15.75" customHeight="1">
      <c r="A21940" s="7"/>
      <c r="B21940" s="7"/>
      <c r="M21940" s="9" t="s">
        <v>21</v>
      </c>
    </row>
    <row r="21941" ht="15.75" customHeight="1">
      <c r="A21941" s="7"/>
      <c r="B21941" s="7"/>
      <c r="M21941" s="9" t="s">
        <v>22</v>
      </c>
    </row>
    <row r="21942" ht="15.75" customHeight="1">
      <c r="A21942" s="7"/>
      <c r="B21942" s="7"/>
      <c r="M21942" s="9" t="s">
        <v>27</v>
      </c>
    </row>
    <row r="21943" ht="15.75" customHeight="1">
      <c r="A21943" s="7"/>
      <c r="B21943" s="7"/>
      <c r="M21943" s="9" t="s">
        <v>34</v>
      </c>
    </row>
    <row r="21944" ht="15.75" customHeight="1">
      <c r="A21944" s="7"/>
      <c r="B21944" s="7"/>
      <c r="M21944" s="9" t="s">
        <v>24</v>
      </c>
    </row>
    <row r="21945" ht="15.75" customHeight="1">
      <c r="A21945" s="7"/>
      <c r="B21945" s="7"/>
      <c r="M21945" s="9" t="s">
        <v>20</v>
      </c>
    </row>
    <row r="21946" ht="15.75" customHeight="1">
      <c r="A21946" s="7"/>
      <c r="B21946" s="7"/>
      <c r="M21946" s="9" t="s">
        <v>21</v>
      </c>
    </row>
    <row r="21947" ht="15.75" customHeight="1">
      <c r="A21947" s="7"/>
      <c r="B21947" s="7"/>
      <c r="M21947" s="9" t="s">
        <v>37</v>
      </c>
    </row>
    <row r="21948" ht="15.75" customHeight="1">
      <c r="A21948" s="7"/>
      <c r="B21948" s="7"/>
      <c r="M21948" s="9" t="s">
        <v>22</v>
      </c>
    </row>
    <row r="21949" ht="15.75" customHeight="1">
      <c r="A21949" s="7"/>
      <c r="B21949" s="7"/>
      <c r="M21949" s="9" t="s">
        <v>27</v>
      </c>
    </row>
    <row r="21950" ht="15.75" customHeight="1">
      <c r="A21950" s="7"/>
      <c r="B21950" s="7"/>
      <c r="M21950" s="9" t="s">
        <v>30</v>
      </c>
    </row>
    <row r="21951" ht="15.75" customHeight="1">
      <c r="A21951" s="7"/>
      <c r="B21951" s="7"/>
      <c r="M21951" s="9" t="s">
        <v>25</v>
      </c>
    </row>
    <row r="21952" ht="15.75" customHeight="1">
      <c r="A21952" s="7"/>
      <c r="B21952" s="7"/>
      <c r="M21952" s="9" t="s">
        <v>20</v>
      </c>
    </row>
    <row r="21953" ht="15.75" customHeight="1">
      <c r="A21953" s="7"/>
      <c r="B21953" s="7"/>
      <c r="M21953" s="9" t="s">
        <v>41</v>
      </c>
    </row>
    <row r="21954" ht="15.75" customHeight="1">
      <c r="A21954" s="7"/>
      <c r="B21954" s="7"/>
      <c r="M21954" s="9" t="s">
        <v>22</v>
      </c>
    </row>
    <row r="21955" ht="15.75" customHeight="1">
      <c r="A21955" s="7"/>
      <c r="B21955" s="7"/>
      <c r="M21955" s="9" t="s">
        <v>40</v>
      </c>
    </row>
    <row r="21956" ht="15.75" customHeight="1">
      <c r="A21956" s="7"/>
      <c r="B21956" s="7"/>
      <c r="M21956" s="9" t="s">
        <v>38</v>
      </c>
    </row>
    <row r="21957" ht="15.75" customHeight="1">
      <c r="A21957" s="7"/>
      <c r="B21957" s="7"/>
      <c r="M21957" s="9" t="s">
        <v>26</v>
      </c>
    </row>
    <row r="21958" ht="15.75" customHeight="1">
      <c r="A21958" s="7"/>
      <c r="B21958" s="7"/>
      <c r="M21958" s="9" t="s">
        <v>24</v>
      </c>
    </row>
    <row r="21959" ht="15.75" customHeight="1">
      <c r="A21959" s="7"/>
      <c r="B21959" s="7"/>
      <c r="M21959" s="9" t="s">
        <v>20</v>
      </c>
    </row>
    <row r="21960" ht="15.75" customHeight="1">
      <c r="A21960" s="7"/>
      <c r="B21960" s="7"/>
      <c r="M21960" s="9" t="s">
        <v>21</v>
      </c>
    </row>
    <row r="21961" ht="15.75" customHeight="1">
      <c r="A21961" s="7"/>
      <c r="B21961" s="7"/>
      <c r="M21961" s="9" t="s">
        <v>41</v>
      </c>
    </row>
    <row r="21962" ht="15.75" customHeight="1">
      <c r="A21962" s="7"/>
      <c r="B21962" s="7"/>
      <c r="M21962" s="9" t="s">
        <v>27</v>
      </c>
    </row>
    <row r="21963" ht="15.75" customHeight="1">
      <c r="A21963" s="7"/>
      <c r="B21963" s="7"/>
      <c r="M21963" s="9" t="s">
        <v>40</v>
      </c>
    </row>
    <row r="21964" ht="15.75" customHeight="1">
      <c r="A21964" s="7"/>
      <c r="B21964" s="7"/>
      <c r="M21964" s="9" t="s">
        <v>28</v>
      </c>
    </row>
    <row r="21965" ht="15.75" customHeight="1">
      <c r="A21965" s="7"/>
      <c r="B21965" s="7"/>
      <c r="M21965" s="9" t="s">
        <v>35</v>
      </c>
    </row>
    <row r="21966" ht="15.75" customHeight="1">
      <c r="A21966" s="7"/>
      <c r="B21966" s="7"/>
      <c r="M21966" s="9" t="s">
        <v>30</v>
      </c>
    </row>
    <row r="21967" ht="15.75" customHeight="1">
      <c r="A21967" s="7"/>
      <c r="B21967" s="7"/>
      <c r="M21967" s="9" t="s">
        <v>25</v>
      </c>
    </row>
    <row r="21968" ht="15.75" customHeight="1">
      <c r="A21968" s="7"/>
      <c r="B21968" s="7"/>
      <c r="M21968" s="9" t="s">
        <v>24</v>
      </c>
    </row>
    <row r="21969" ht="15.75" customHeight="1">
      <c r="A21969" s="7"/>
      <c r="B21969" s="7"/>
      <c r="M21969" s="9" t="s">
        <v>21</v>
      </c>
    </row>
    <row r="21970" ht="15.75" customHeight="1">
      <c r="A21970" s="7"/>
      <c r="B21970" s="7"/>
      <c r="M21970" s="9" t="s">
        <v>22</v>
      </c>
    </row>
    <row r="21971" ht="15.75" customHeight="1">
      <c r="A21971" s="7"/>
      <c r="B21971" s="7"/>
      <c r="M21971" s="9" t="s">
        <v>31</v>
      </c>
    </row>
    <row r="21972" ht="15.75" customHeight="1">
      <c r="A21972" s="7"/>
      <c r="B21972" s="7"/>
      <c r="M21972" s="9" t="s">
        <v>30</v>
      </c>
    </row>
    <row r="21973" ht="15.75" customHeight="1">
      <c r="A21973" s="7"/>
      <c r="B21973" s="7"/>
      <c r="M21973" s="9" t="s">
        <v>24</v>
      </c>
    </row>
    <row r="21974" ht="15.75" customHeight="1">
      <c r="A21974" s="7"/>
      <c r="B21974" s="7"/>
      <c r="M21974" s="9" t="s">
        <v>27</v>
      </c>
    </row>
    <row r="21975" ht="15.75" customHeight="1">
      <c r="A21975" s="7"/>
      <c r="B21975" s="7"/>
      <c r="M21975" s="9" t="s">
        <v>30</v>
      </c>
    </row>
    <row r="21976" ht="15.75" customHeight="1">
      <c r="A21976" s="7"/>
      <c r="B21976" s="7"/>
      <c r="M21976" s="9" t="s">
        <v>24</v>
      </c>
    </row>
    <row r="21977" ht="15.75" customHeight="1">
      <c r="A21977" s="7"/>
      <c r="B21977" s="7"/>
      <c r="M21977" s="9" t="s">
        <v>21</v>
      </c>
    </row>
    <row r="21978" ht="15.75" customHeight="1">
      <c r="A21978" s="7"/>
      <c r="B21978" s="7"/>
      <c r="M21978" s="9" t="s">
        <v>46</v>
      </c>
    </row>
    <row r="21979" ht="15.75" customHeight="1">
      <c r="A21979" s="7"/>
      <c r="B21979" s="7"/>
      <c r="M21979" s="9" t="s">
        <v>27</v>
      </c>
    </row>
    <row r="21980" ht="15.75" customHeight="1">
      <c r="A21980" s="7"/>
      <c r="B21980" s="7"/>
      <c r="M21980" s="9" t="s">
        <v>30</v>
      </c>
    </row>
    <row r="21981" ht="15.75" customHeight="1">
      <c r="A21981" s="7"/>
      <c r="B21981" s="7"/>
      <c r="M21981" s="9" t="s">
        <v>36</v>
      </c>
    </row>
    <row r="21982" ht="15.75" customHeight="1">
      <c r="A21982" s="7"/>
      <c r="B21982" s="7"/>
      <c r="M21982" s="9" t="s">
        <v>24</v>
      </c>
    </row>
    <row r="21983" ht="15.75" customHeight="1">
      <c r="A21983" s="7"/>
      <c r="B21983" s="7"/>
      <c r="M21983" s="9" t="s">
        <v>22</v>
      </c>
    </row>
    <row r="21984" ht="15.75" customHeight="1">
      <c r="A21984" s="7"/>
      <c r="B21984" s="7"/>
      <c r="M21984" s="9" t="s">
        <v>27</v>
      </c>
    </row>
    <row r="21985" ht="15.75" customHeight="1">
      <c r="A21985" s="7"/>
      <c r="B21985" s="7"/>
      <c r="M21985" s="9" t="s">
        <v>28</v>
      </c>
    </row>
    <row r="21986" ht="15.75" customHeight="1">
      <c r="A21986" s="7"/>
      <c r="B21986" s="7"/>
      <c r="M21986" s="9" t="s">
        <v>26</v>
      </c>
    </row>
    <row r="21987" ht="15.75" customHeight="1">
      <c r="A21987" s="7"/>
      <c r="B21987" s="7"/>
      <c r="M21987" s="9" t="s">
        <v>42</v>
      </c>
    </row>
    <row r="21988" ht="15.75" customHeight="1">
      <c r="A21988" s="7"/>
      <c r="B21988" s="7"/>
      <c r="M21988" s="9" t="s">
        <v>43</v>
      </c>
    </row>
    <row r="21989" ht="15.75" customHeight="1">
      <c r="A21989" s="7"/>
      <c r="B21989" s="7"/>
      <c r="M21989" s="9" t="s">
        <v>45</v>
      </c>
    </row>
    <row r="21990" ht="15.75" customHeight="1">
      <c r="A21990" s="7"/>
      <c r="B21990" s="7"/>
      <c r="M21990" s="9" t="s">
        <v>21</v>
      </c>
    </row>
    <row r="21991" ht="15.75" customHeight="1">
      <c r="A21991" s="7"/>
      <c r="B21991" s="7"/>
      <c r="M21991" s="9" t="s">
        <v>33</v>
      </c>
    </row>
    <row r="21992" ht="15.75" customHeight="1">
      <c r="A21992" s="7"/>
      <c r="B21992" s="7"/>
      <c r="M21992" s="9" t="s">
        <v>30</v>
      </c>
    </row>
    <row r="21993" ht="15.75" customHeight="1">
      <c r="A21993" s="7"/>
      <c r="B21993" s="7"/>
      <c r="M21993" s="9" t="s">
        <v>24</v>
      </c>
    </row>
    <row r="21994" ht="15.75" customHeight="1">
      <c r="A21994" s="7"/>
      <c r="B21994" s="7"/>
      <c r="M21994" s="9" t="s">
        <v>20</v>
      </c>
    </row>
    <row r="21995" ht="15.75" customHeight="1">
      <c r="A21995" s="7"/>
      <c r="B21995" s="7"/>
      <c r="M21995" s="9" t="s">
        <v>21</v>
      </c>
    </row>
    <row r="21996" ht="15.75" customHeight="1">
      <c r="A21996" s="7"/>
      <c r="B21996" s="7"/>
      <c r="M21996" s="9" t="s">
        <v>22</v>
      </c>
    </row>
    <row r="21997" ht="15.75" customHeight="1">
      <c r="A21997" s="7"/>
      <c r="B21997" s="7"/>
      <c r="M21997" s="9" t="s">
        <v>27</v>
      </c>
    </row>
    <row r="21998" ht="15.75" customHeight="1">
      <c r="A21998" s="7"/>
      <c r="B21998" s="7"/>
      <c r="M21998" s="9" t="s">
        <v>35</v>
      </c>
    </row>
    <row r="21999" ht="15.75" customHeight="1">
      <c r="A21999" s="7"/>
      <c r="B21999" s="7"/>
      <c r="M21999" s="9" t="s">
        <v>30</v>
      </c>
    </row>
    <row r="22000" ht="15.75" customHeight="1">
      <c r="A22000" s="7"/>
      <c r="B22000" s="7"/>
      <c r="M22000" s="9" t="s">
        <v>24</v>
      </c>
    </row>
    <row r="22001" ht="15.75" customHeight="1">
      <c r="A22001" s="7"/>
      <c r="B22001" s="7"/>
      <c r="M22001" s="9" t="s">
        <v>21</v>
      </c>
    </row>
    <row r="22002" ht="15.75" customHeight="1">
      <c r="A22002" s="7"/>
      <c r="B22002" s="7"/>
      <c r="M22002" s="9" t="s">
        <v>33</v>
      </c>
    </row>
    <row r="22003" ht="15.75" customHeight="1">
      <c r="A22003" s="7"/>
      <c r="B22003" s="7"/>
      <c r="M22003" s="9" t="s">
        <v>30</v>
      </c>
    </row>
    <row r="22004" ht="15.75" customHeight="1">
      <c r="A22004" s="7"/>
      <c r="B22004" s="7"/>
      <c r="M22004" s="9" t="s">
        <v>20</v>
      </c>
    </row>
    <row r="22005" ht="15.75" customHeight="1">
      <c r="A22005" s="7"/>
      <c r="B22005" s="7"/>
      <c r="M22005" s="9" t="s">
        <v>39</v>
      </c>
    </row>
    <row r="22006" ht="15.75" customHeight="1">
      <c r="A22006" s="7"/>
      <c r="B22006" s="7"/>
      <c r="M22006" s="9" t="s">
        <v>22</v>
      </c>
    </row>
    <row r="22007" ht="15.75" customHeight="1">
      <c r="A22007" s="7"/>
      <c r="B22007" s="7"/>
      <c r="M22007" s="9" t="s">
        <v>46</v>
      </c>
    </row>
    <row r="22008" ht="15.75" customHeight="1">
      <c r="A22008" s="7"/>
      <c r="B22008" s="7"/>
      <c r="M22008" s="9" t="s">
        <v>27</v>
      </c>
    </row>
    <row r="22009" ht="15.75" customHeight="1">
      <c r="A22009" s="7"/>
      <c r="B22009" s="7"/>
      <c r="M22009" s="9" t="s">
        <v>24</v>
      </c>
    </row>
    <row r="22010" ht="15.75" customHeight="1">
      <c r="A22010" s="7"/>
      <c r="B22010" s="7"/>
      <c r="M22010" s="9" t="s">
        <v>22</v>
      </c>
    </row>
    <row r="22011" ht="15.75" customHeight="1">
      <c r="A22011" s="7"/>
      <c r="B22011" s="7"/>
      <c r="M22011" s="9" t="s">
        <v>27</v>
      </c>
    </row>
    <row r="22012" ht="15.75" customHeight="1">
      <c r="A22012" s="7"/>
      <c r="B22012" s="7"/>
      <c r="M22012" s="9" t="s">
        <v>30</v>
      </c>
    </row>
    <row r="22013" ht="15.75" customHeight="1">
      <c r="A22013" s="7"/>
      <c r="B22013" s="7"/>
      <c r="M22013" s="9" t="s">
        <v>36</v>
      </c>
    </row>
    <row r="22014" ht="15.75" customHeight="1">
      <c r="A22014" s="7"/>
      <c r="B22014" s="7"/>
      <c r="M22014" s="9" t="s">
        <v>24</v>
      </c>
    </row>
    <row r="22015" ht="15.75" customHeight="1">
      <c r="A22015" s="7"/>
      <c r="B22015" s="7"/>
      <c r="M22015" s="9" t="s">
        <v>20</v>
      </c>
    </row>
    <row r="22016" ht="15.75" customHeight="1">
      <c r="A22016" s="7"/>
      <c r="B22016" s="7"/>
      <c r="M22016" s="9" t="s">
        <v>21</v>
      </c>
    </row>
    <row r="22017" ht="15.75" customHeight="1">
      <c r="A22017" s="7"/>
      <c r="B22017" s="7"/>
      <c r="M22017" s="9" t="s">
        <v>22</v>
      </c>
    </row>
    <row r="22018" ht="15.75" customHeight="1">
      <c r="A22018" s="7"/>
      <c r="B22018" s="7"/>
      <c r="M22018" s="9" t="s">
        <v>31</v>
      </c>
    </row>
    <row r="22019" ht="15.75" customHeight="1">
      <c r="A22019" s="7"/>
      <c r="B22019" s="7"/>
      <c r="M22019" s="9" t="s">
        <v>46</v>
      </c>
    </row>
    <row r="22020" ht="15.75" customHeight="1">
      <c r="A22020" s="7"/>
      <c r="B22020" s="7"/>
      <c r="M22020" s="9" t="s">
        <v>27</v>
      </c>
    </row>
    <row r="22021" ht="15.75" customHeight="1">
      <c r="A22021" s="7"/>
      <c r="B22021" s="7"/>
      <c r="M22021" s="9" t="s">
        <v>23</v>
      </c>
    </row>
    <row r="22022" ht="15.75" customHeight="1">
      <c r="A22022" s="7"/>
      <c r="B22022" s="7"/>
      <c r="M22022" s="9" t="s">
        <v>26</v>
      </c>
    </row>
    <row r="22023" ht="15.75" customHeight="1">
      <c r="A22023" s="7"/>
      <c r="B22023" s="7"/>
      <c r="M22023" s="9" t="s">
        <v>24</v>
      </c>
    </row>
    <row r="22024" ht="15.75" customHeight="1">
      <c r="A22024" s="7"/>
      <c r="B22024" s="7"/>
      <c r="M22024" s="9" t="s">
        <v>21</v>
      </c>
    </row>
    <row r="22025" ht="15.75" customHeight="1">
      <c r="A22025" s="7"/>
      <c r="B22025" s="7"/>
      <c r="M22025" s="9" t="s">
        <v>27</v>
      </c>
    </row>
    <row r="22026" ht="15.75" customHeight="1">
      <c r="A22026" s="7"/>
      <c r="B22026" s="7"/>
      <c r="M22026" s="9" t="s">
        <v>33</v>
      </c>
    </row>
    <row r="22027" ht="15.75" customHeight="1">
      <c r="A22027" s="7"/>
      <c r="B22027" s="7"/>
      <c r="M22027" s="9" t="s">
        <v>24</v>
      </c>
    </row>
    <row r="22028" ht="15.75" customHeight="1">
      <c r="A22028" s="7"/>
      <c r="B22028" s="7"/>
      <c r="M22028" s="9" t="s">
        <v>21</v>
      </c>
    </row>
    <row r="22029" ht="15.75" customHeight="1">
      <c r="A22029" s="7"/>
      <c r="B22029" s="7"/>
      <c r="M22029" s="9" t="s">
        <v>37</v>
      </c>
    </row>
    <row r="22030" ht="15.75" customHeight="1">
      <c r="A22030" s="7"/>
      <c r="B22030" s="7"/>
      <c r="M22030" s="9" t="s">
        <v>33</v>
      </c>
    </row>
    <row r="22031" ht="15.75" customHeight="1">
      <c r="A22031" s="7"/>
      <c r="B22031" s="7"/>
      <c r="M22031" s="9" t="s">
        <v>30</v>
      </c>
    </row>
    <row r="22032" ht="15.75" customHeight="1">
      <c r="A22032" s="7"/>
      <c r="B22032" s="7"/>
      <c r="M22032" s="9" t="s">
        <v>26</v>
      </c>
    </row>
    <row r="22033" ht="15.75" customHeight="1">
      <c r="A22033" s="7"/>
      <c r="B22033" s="7"/>
      <c r="M22033" s="9" t="s">
        <v>24</v>
      </c>
    </row>
    <row r="22034" ht="15.75" customHeight="1">
      <c r="A22034" s="7"/>
      <c r="B22034" s="7"/>
      <c r="M22034" s="9" t="s">
        <v>21</v>
      </c>
    </row>
    <row r="22035" ht="15.75" customHeight="1">
      <c r="A22035" s="7"/>
      <c r="B22035" s="7"/>
      <c r="M22035" s="9" t="s">
        <v>27</v>
      </c>
    </row>
    <row r="22036" ht="15.75" customHeight="1">
      <c r="A22036" s="7"/>
      <c r="B22036" s="7"/>
      <c r="M22036" s="9" t="s">
        <v>33</v>
      </c>
    </row>
    <row r="22037" ht="15.75" customHeight="1">
      <c r="A22037" s="7"/>
      <c r="B22037" s="7"/>
      <c r="M22037" s="9" t="s">
        <v>22</v>
      </c>
    </row>
    <row r="22038" ht="15.75" customHeight="1">
      <c r="A22038" s="7"/>
      <c r="B22038" s="7"/>
      <c r="M22038" s="9" t="s">
        <v>26</v>
      </c>
    </row>
    <row r="22039" ht="15.75" customHeight="1">
      <c r="A22039" s="7"/>
      <c r="B22039" s="7"/>
      <c r="M22039" s="9" t="s">
        <v>24</v>
      </c>
    </row>
    <row r="22040" ht="15.75" customHeight="1">
      <c r="A22040" s="7"/>
      <c r="B22040" s="7"/>
      <c r="M22040" s="9" t="s">
        <v>21</v>
      </c>
    </row>
    <row r="22041" ht="15.75" customHeight="1">
      <c r="A22041" s="7"/>
      <c r="B22041" s="7"/>
      <c r="M22041" s="9" t="s">
        <v>22</v>
      </c>
    </row>
    <row r="22042" ht="15.75" customHeight="1">
      <c r="A22042" s="7"/>
      <c r="B22042" s="7"/>
      <c r="M22042" s="9" t="s">
        <v>27</v>
      </c>
    </row>
    <row r="22043" ht="15.75" customHeight="1">
      <c r="A22043" s="7"/>
      <c r="B22043" s="7"/>
      <c r="M22043" s="9" t="s">
        <v>30</v>
      </c>
    </row>
    <row r="22044" ht="15.75" customHeight="1">
      <c r="A22044" s="7"/>
      <c r="B22044" s="7"/>
      <c r="M22044" s="9" t="s">
        <v>26</v>
      </c>
    </row>
    <row r="22045" ht="15.75" customHeight="1">
      <c r="A22045" s="7"/>
      <c r="B22045" s="7"/>
      <c r="M22045" s="9" t="s">
        <v>24</v>
      </c>
    </row>
    <row r="22046" ht="15.75" customHeight="1">
      <c r="A22046" s="7"/>
      <c r="B22046" s="7"/>
      <c r="M22046" s="9" t="s">
        <v>21</v>
      </c>
    </row>
    <row r="22047" ht="15.75" customHeight="1">
      <c r="A22047" s="7"/>
      <c r="B22047" s="7"/>
      <c r="M22047" s="9" t="s">
        <v>22</v>
      </c>
    </row>
    <row r="22048" ht="15.75" customHeight="1">
      <c r="A22048" s="7"/>
      <c r="B22048" s="7"/>
      <c r="M22048" s="9" t="s">
        <v>27</v>
      </c>
    </row>
    <row r="22049" ht="15.75" customHeight="1">
      <c r="A22049" s="7"/>
      <c r="B22049" s="7"/>
      <c r="M22049" s="9" t="s">
        <v>24</v>
      </c>
    </row>
    <row r="22050" ht="15.75" customHeight="1">
      <c r="A22050" s="7"/>
      <c r="B22050" s="7"/>
      <c r="M22050" s="9" t="s">
        <v>20</v>
      </c>
    </row>
    <row r="22051" ht="15.75" customHeight="1">
      <c r="A22051" s="7"/>
      <c r="B22051" s="7"/>
      <c r="M22051" s="9" t="s">
        <v>21</v>
      </c>
    </row>
    <row r="22052" ht="15.75" customHeight="1">
      <c r="A22052" s="7"/>
      <c r="B22052" s="7"/>
      <c r="M22052" s="9" t="s">
        <v>37</v>
      </c>
    </row>
    <row r="22053" ht="15.75" customHeight="1">
      <c r="A22053" s="7"/>
      <c r="B22053" s="7"/>
      <c r="M22053" s="9" t="s">
        <v>27</v>
      </c>
    </row>
    <row r="22054" ht="15.75" customHeight="1">
      <c r="A22054" s="7"/>
      <c r="B22054" s="7"/>
      <c r="M22054" s="9" t="s">
        <v>33</v>
      </c>
    </row>
    <row r="22055" ht="15.75" customHeight="1">
      <c r="A22055" s="7"/>
      <c r="B22055" s="7"/>
      <c r="M22055" s="9" t="s">
        <v>24</v>
      </c>
    </row>
    <row r="22056" ht="15.75" customHeight="1">
      <c r="A22056" s="7"/>
      <c r="B22056" s="7"/>
      <c r="M22056" s="9" t="s">
        <v>21</v>
      </c>
    </row>
    <row r="22057" ht="15.75" customHeight="1">
      <c r="A22057" s="7"/>
      <c r="B22057" s="7"/>
      <c r="M22057" s="9" t="s">
        <v>37</v>
      </c>
    </row>
    <row r="22058" ht="15.75" customHeight="1">
      <c r="A22058" s="7"/>
      <c r="B22058" s="7"/>
      <c r="M22058" s="9" t="s">
        <v>33</v>
      </c>
    </row>
    <row r="22059" ht="15.75" customHeight="1">
      <c r="A22059" s="7"/>
      <c r="B22059" s="7"/>
      <c r="M22059" s="9" t="s">
        <v>22</v>
      </c>
    </row>
    <row r="22060" ht="15.75" customHeight="1">
      <c r="A22060" s="7"/>
      <c r="B22060" s="7"/>
      <c r="M22060" s="9" t="s">
        <v>30</v>
      </c>
    </row>
    <row r="22061" ht="15.75" customHeight="1">
      <c r="A22061" s="7"/>
      <c r="B22061" s="7"/>
      <c r="M22061" s="9" t="s">
        <v>24</v>
      </c>
    </row>
    <row r="22062" ht="15.75" customHeight="1">
      <c r="A22062" s="7"/>
      <c r="B22062" s="7"/>
      <c r="M22062" s="9" t="s">
        <v>41</v>
      </c>
    </row>
    <row r="22063" ht="15.75" customHeight="1">
      <c r="A22063" s="7"/>
      <c r="B22063" s="7"/>
      <c r="M22063" s="9" t="s">
        <v>37</v>
      </c>
    </row>
    <row r="22064" ht="15.75" customHeight="1">
      <c r="A22064" s="7"/>
      <c r="B22064" s="7"/>
      <c r="M22064" s="9" t="s">
        <v>27</v>
      </c>
    </row>
    <row r="22065" ht="15.75" customHeight="1">
      <c r="A22065" s="7"/>
      <c r="B22065" s="7"/>
      <c r="M22065" s="9" t="s">
        <v>40</v>
      </c>
    </row>
    <row r="22066" ht="15.75" customHeight="1">
      <c r="A22066" s="7"/>
      <c r="B22066" s="7"/>
      <c r="M22066" s="9" t="s">
        <v>25</v>
      </c>
    </row>
    <row r="22067" ht="15.75" customHeight="1">
      <c r="A22067" s="7"/>
      <c r="B22067" s="7"/>
      <c r="M22067" s="9" t="s">
        <v>20</v>
      </c>
    </row>
    <row r="22068" ht="15.75" customHeight="1">
      <c r="A22068" s="7"/>
      <c r="B22068" s="7"/>
      <c r="M22068" s="9" t="s">
        <v>22</v>
      </c>
    </row>
    <row r="22069" ht="15.75" customHeight="1">
      <c r="A22069" s="7"/>
      <c r="B22069" s="7"/>
      <c r="M22069" s="9" t="s">
        <v>30</v>
      </c>
    </row>
    <row r="22070" ht="15.75" customHeight="1">
      <c r="A22070" s="7"/>
      <c r="B22070" s="7"/>
      <c r="M22070" s="9" t="s">
        <v>24</v>
      </c>
    </row>
    <row r="22071" ht="15.75" customHeight="1">
      <c r="A22071" s="7"/>
      <c r="B22071" s="7"/>
      <c r="M22071" s="9" t="s">
        <v>20</v>
      </c>
    </row>
    <row r="22072" ht="15.75" customHeight="1">
      <c r="A22072" s="7"/>
      <c r="B22072" s="7"/>
      <c r="M22072" s="9" t="s">
        <v>21</v>
      </c>
    </row>
    <row r="22073" ht="15.75" customHeight="1">
      <c r="A22073" s="7"/>
      <c r="B22073" s="7"/>
      <c r="M22073" s="9" t="s">
        <v>37</v>
      </c>
    </row>
    <row r="22074" ht="15.75" customHeight="1">
      <c r="A22074" s="7"/>
      <c r="B22074" s="7"/>
      <c r="M22074" s="9" t="s">
        <v>22</v>
      </c>
    </row>
    <row r="22075" ht="15.75" customHeight="1">
      <c r="A22075" s="7"/>
      <c r="B22075" s="7"/>
      <c r="M22075" s="9" t="s">
        <v>30</v>
      </c>
    </row>
    <row r="22076" ht="15.75" customHeight="1">
      <c r="A22076" s="7"/>
      <c r="B22076" s="7"/>
      <c r="M22076" s="9" t="s">
        <v>25</v>
      </c>
    </row>
    <row r="22077" ht="15.75" customHeight="1">
      <c r="A22077" s="7"/>
      <c r="B22077" s="7"/>
      <c r="M22077" s="9" t="s">
        <v>23</v>
      </c>
    </row>
    <row r="22078" ht="15.75" customHeight="1">
      <c r="A22078" s="7"/>
      <c r="B22078" s="7"/>
      <c r="M22078" s="9" t="s">
        <v>26</v>
      </c>
    </row>
    <row r="22079" ht="15.75" customHeight="1">
      <c r="A22079" s="7"/>
      <c r="B22079" s="7"/>
      <c r="M22079" s="9" t="s">
        <v>44</v>
      </c>
    </row>
    <row r="22080" ht="15.75" customHeight="1">
      <c r="A22080" s="7"/>
      <c r="B22080" s="7"/>
      <c r="M22080" s="9" t="s">
        <v>20</v>
      </c>
    </row>
    <row r="22081" ht="15.75" customHeight="1">
      <c r="A22081" s="7"/>
      <c r="B22081" s="7"/>
      <c r="M22081" s="9" t="s">
        <v>21</v>
      </c>
    </row>
    <row r="22082" ht="15.75" customHeight="1">
      <c r="A22082" s="7"/>
      <c r="B22082" s="7"/>
      <c r="M22082" s="9" t="s">
        <v>39</v>
      </c>
    </row>
    <row r="22083" ht="15.75" customHeight="1">
      <c r="A22083" s="7"/>
      <c r="B22083" s="7"/>
      <c r="M22083" s="9" t="s">
        <v>22</v>
      </c>
    </row>
    <row r="22084" ht="15.75" customHeight="1">
      <c r="A22084" s="7"/>
      <c r="B22084" s="7"/>
      <c r="M22084" s="9" t="s">
        <v>33</v>
      </c>
    </row>
    <row r="22085" ht="15.75" customHeight="1">
      <c r="A22085" s="7"/>
      <c r="B22085" s="7"/>
      <c r="M22085" s="9" t="s">
        <v>30</v>
      </c>
    </row>
    <row r="22086" ht="15.75" customHeight="1">
      <c r="A22086" s="7"/>
      <c r="B22086" s="7"/>
      <c r="M22086" s="9" t="s">
        <v>25</v>
      </c>
    </row>
    <row r="22087" ht="15.75" customHeight="1">
      <c r="A22087" s="7"/>
      <c r="B22087" s="7"/>
      <c r="M22087" s="9" t="s">
        <v>23</v>
      </c>
    </row>
    <row r="22088" ht="15.75" customHeight="1">
      <c r="A22088" s="7"/>
      <c r="B22088" s="7"/>
      <c r="M22088" s="9" t="s">
        <v>26</v>
      </c>
    </row>
    <row r="22089" ht="15.75" customHeight="1">
      <c r="A22089" s="7"/>
      <c r="B22089" s="7"/>
      <c r="M22089" s="9" t="s">
        <v>24</v>
      </c>
    </row>
    <row r="22090" ht="15.75" customHeight="1">
      <c r="A22090" s="7"/>
      <c r="B22090" s="7"/>
      <c r="M22090" s="9" t="s">
        <v>20</v>
      </c>
    </row>
    <row r="22091" ht="15.75" customHeight="1">
      <c r="A22091" s="7"/>
      <c r="B22091" s="7"/>
      <c r="M22091" s="9" t="s">
        <v>21</v>
      </c>
    </row>
    <row r="22092" ht="15.75" customHeight="1">
      <c r="A22092" s="7"/>
      <c r="B22092" s="7"/>
      <c r="M22092" s="9" t="s">
        <v>37</v>
      </c>
    </row>
    <row r="22093" ht="15.75" customHeight="1">
      <c r="A22093" s="7"/>
      <c r="B22093" s="7"/>
      <c r="M22093" s="9" t="s">
        <v>22</v>
      </c>
    </row>
    <row r="22094" ht="15.75" customHeight="1">
      <c r="A22094" s="7"/>
      <c r="B22094" s="7"/>
      <c r="M22094" s="9" t="s">
        <v>27</v>
      </c>
    </row>
    <row r="22095" ht="15.75" customHeight="1">
      <c r="A22095" s="7"/>
      <c r="B22095" s="7"/>
      <c r="M22095" s="9" t="s">
        <v>28</v>
      </c>
    </row>
    <row r="22096" ht="15.75" customHeight="1">
      <c r="A22096" s="7"/>
      <c r="B22096" s="7"/>
      <c r="M22096" s="9" t="s">
        <v>35</v>
      </c>
    </row>
    <row r="22097" ht="15.75" customHeight="1">
      <c r="A22097" s="7"/>
      <c r="B22097" s="7"/>
      <c r="M22097" s="9" t="s">
        <v>30</v>
      </c>
    </row>
    <row r="22098" ht="15.75" customHeight="1">
      <c r="A22098" s="7"/>
      <c r="B22098" s="7"/>
      <c r="M22098" s="9" t="s">
        <v>24</v>
      </c>
    </row>
    <row r="22099" ht="15.75" customHeight="1">
      <c r="A22099" s="7"/>
      <c r="B22099" s="7"/>
      <c r="M22099" s="9" t="s">
        <v>21</v>
      </c>
    </row>
    <row r="22100" ht="15.75" customHeight="1">
      <c r="A22100" s="7"/>
      <c r="B22100" s="7"/>
      <c r="M22100" s="9" t="s">
        <v>22</v>
      </c>
    </row>
    <row r="22101" ht="15.75" customHeight="1">
      <c r="A22101" s="7"/>
      <c r="B22101" s="7"/>
      <c r="M22101" s="9" t="s">
        <v>30</v>
      </c>
    </row>
    <row r="22102" ht="15.75" customHeight="1">
      <c r="A22102" s="7"/>
      <c r="B22102" s="7"/>
      <c r="M22102" s="9" t="s">
        <v>26</v>
      </c>
    </row>
    <row r="22103" ht="15.75" customHeight="1">
      <c r="A22103" s="7"/>
      <c r="B22103" s="7"/>
      <c r="M22103" s="9" t="s">
        <v>24</v>
      </c>
    </row>
    <row r="22104" ht="15.75" customHeight="1">
      <c r="A22104" s="7"/>
      <c r="B22104" s="7"/>
      <c r="M22104" s="9" t="s">
        <v>20</v>
      </c>
    </row>
    <row r="22105" ht="15.75" customHeight="1">
      <c r="A22105" s="7"/>
      <c r="B22105" s="7"/>
      <c r="M22105" s="9" t="s">
        <v>21</v>
      </c>
    </row>
    <row r="22106" ht="15.75" customHeight="1">
      <c r="A22106" s="7"/>
      <c r="B22106" s="7"/>
      <c r="M22106" s="9" t="s">
        <v>27</v>
      </c>
    </row>
    <row r="22107" ht="15.75" customHeight="1">
      <c r="A22107" s="7"/>
      <c r="B22107" s="7"/>
      <c r="M22107" s="9" t="s">
        <v>25</v>
      </c>
    </row>
    <row r="22108" ht="15.75" customHeight="1">
      <c r="A22108" s="7"/>
      <c r="B22108" s="7"/>
      <c r="M22108" s="9" t="s">
        <v>23</v>
      </c>
    </row>
    <row r="22109" ht="15.75" customHeight="1">
      <c r="A22109" s="7"/>
      <c r="B22109" s="7"/>
      <c r="M22109" s="9" t="s">
        <v>26</v>
      </c>
    </row>
    <row r="22110" ht="15.75" customHeight="1">
      <c r="A22110" s="7"/>
      <c r="B22110" s="7"/>
      <c r="M22110" s="9" t="s">
        <v>24</v>
      </c>
    </row>
    <row r="22111" ht="15.75" customHeight="1">
      <c r="A22111" s="7"/>
      <c r="B22111" s="7"/>
      <c r="M22111" s="9" t="s">
        <v>20</v>
      </c>
    </row>
    <row r="22112" ht="15.75" customHeight="1">
      <c r="A22112" s="7"/>
      <c r="B22112" s="7"/>
      <c r="M22112" s="9" t="s">
        <v>21</v>
      </c>
    </row>
    <row r="22113" ht="15.75" customHeight="1">
      <c r="A22113" s="7"/>
      <c r="B22113" s="7"/>
      <c r="M22113" s="9" t="s">
        <v>22</v>
      </c>
    </row>
    <row r="22114" ht="15.75" customHeight="1">
      <c r="A22114" s="7"/>
      <c r="B22114" s="7"/>
      <c r="M22114" s="9" t="s">
        <v>31</v>
      </c>
    </row>
    <row r="22115" ht="15.75" customHeight="1">
      <c r="A22115" s="7"/>
      <c r="B22115" s="7"/>
      <c r="M22115" s="9" t="s">
        <v>33</v>
      </c>
    </row>
    <row r="22116" ht="15.75" customHeight="1">
      <c r="A22116" s="7"/>
      <c r="B22116" s="7"/>
      <c r="M22116" s="9" t="s">
        <v>30</v>
      </c>
    </row>
    <row r="22117" ht="15.75" customHeight="1">
      <c r="A22117" s="7"/>
      <c r="B22117" s="7"/>
      <c r="M22117" s="9" t="s">
        <v>25</v>
      </c>
    </row>
    <row r="22118" ht="15.75" customHeight="1">
      <c r="A22118" s="7"/>
      <c r="B22118" s="7"/>
      <c r="M22118" s="9" t="s">
        <v>23</v>
      </c>
    </row>
    <row r="22119" ht="15.75" customHeight="1">
      <c r="A22119" s="7"/>
      <c r="B22119" s="7"/>
      <c r="M22119" s="9" t="s">
        <v>24</v>
      </c>
    </row>
    <row r="22120" ht="15.75" customHeight="1">
      <c r="A22120" s="7"/>
      <c r="B22120" s="7"/>
      <c r="M22120" s="9" t="s">
        <v>21</v>
      </c>
    </row>
    <row r="22121" ht="15.75" customHeight="1">
      <c r="A22121" s="7"/>
      <c r="B22121" s="7"/>
      <c r="M22121" s="9" t="s">
        <v>22</v>
      </c>
    </row>
    <row r="22122" ht="15.75" customHeight="1">
      <c r="A22122" s="7"/>
      <c r="B22122" s="7"/>
      <c r="M22122" s="9" t="s">
        <v>27</v>
      </c>
    </row>
    <row r="22123" ht="15.75" customHeight="1">
      <c r="A22123" s="7"/>
      <c r="B22123" s="7"/>
      <c r="M22123" s="9" t="s">
        <v>33</v>
      </c>
    </row>
    <row r="22124" ht="15.75" customHeight="1">
      <c r="A22124" s="7"/>
      <c r="B22124" s="7"/>
      <c r="M22124" s="9" t="s">
        <v>35</v>
      </c>
    </row>
    <row r="22125" ht="15.75" customHeight="1">
      <c r="A22125" s="7"/>
      <c r="B22125" s="7"/>
      <c r="M22125" s="9" t="s">
        <v>30</v>
      </c>
    </row>
    <row r="22126" ht="15.75" customHeight="1">
      <c r="A22126" s="7"/>
      <c r="B22126" s="7"/>
      <c r="M22126" s="9" t="s">
        <v>25</v>
      </c>
    </row>
    <row r="22127" ht="15.75" customHeight="1">
      <c r="A22127" s="7"/>
      <c r="B22127" s="7"/>
      <c r="M22127" s="9" t="s">
        <v>23</v>
      </c>
    </row>
    <row r="22128" ht="15.75" customHeight="1">
      <c r="A22128" s="7"/>
      <c r="B22128" s="7"/>
      <c r="M22128" s="9" t="s">
        <v>26</v>
      </c>
    </row>
    <row r="22129" ht="15.75" customHeight="1">
      <c r="A22129" s="7"/>
      <c r="B22129" s="7"/>
      <c r="M22129" s="9" t="s">
        <v>20</v>
      </c>
    </row>
    <row r="22130" ht="15.75" customHeight="1">
      <c r="A22130" s="7"/>
      <c r="B22130" s="7"/>
      <c r="M22130" s="9" t="s">
        <v>24</v>
      </c>
    </row>
    <row r="22131" ht="15.75" customHeight="1">
      <c r="A22131" s="7"/>
      <c r="B22131" s="7"/>
      <c r="M22131" s="9" t="s">
        <v>21</v>
      </c>
    </row>
    <row r="22132" ht="15.75" customHeight="1">
      <c r="A22132" s="7"/>
      <c r="B22132" s="7"/>
      <c r="M22132" s="9" t="s">
        <v>37</v>
      </c>
    </row>
    <row r="22133" ht="15.75" customHeight="1">
      <c r="A22133" s="7"/>
      <c r="B22133" s="7"/>
      <c r="M22133" s="9" t="s">
        <v>27</v>
      </c>
    </row>
    <row r="22134" ht="15.75" customHeight="1">
      <c r="A22134" s="7"/>
      <c r="B22134" s="7"/>
      <c r="M22134" s="9" t="s">
        <v>30</v>
      </c>
    </row>
    <row r="22135" ht="15.75" customHeight="1">
      <c r="A22135" s="7"/>
      <c r="B22135" s="7"/>
      <c r="M22135" s="9" t="s">
        <v>26</v>
      </c>
    </row>
    <row r="22136" ht="15.75" customHeight="1">
      <c r="A22136" s="7"/>
      <c r="B22136" s="7"/>
      <c r="M22136" s="9" t="s">
        <v>24</v>
      </c>
    </row>
    <row r="22137" ht="15.75" customHeight="1">
      <c r="A22137" s="7"/>
      <c r="B22137" s="7"/>
      <c r="M22137" s="9" t="s">
        <v>21</v>
      </c>
    </row>
    <row r="22138" ht="15.75" customHeight="1">
      <c r="A22138" s="7"/>
      <c r="B22138" s="7"/>
      <c r="M22138" s="9" t="s">
        <v>27</v>
      </c>
    </row>
    <row r="22139" ht="15.75" customHeight="1">
      <c r="A22139" s="7"/>
      <c r="B22139" s="7"/>
      <c r="M22139" s="9" t="s">
        <v>33</v>
      </c>
    </row>
    <row r="22140" ht="15.75" customHeight="1">
      <c r="A22140" s="7"/>
      <c r="B22140" s="7"/>
      <c r="M22140" s="9" t="s">
        <v>20</v>
      </c>
    </row>
    <row r="22141" ht="15.75" customHeight="1">
      <c r="A22141" s="7"/>
      <c r="B22141" s="7"/>
      <c r="M22141" s="9" t="s">
        <v>39</v>
      </c>
    </row>
    <row r="22142" ht="15.75" customHeight="1">
      <c r="A22142" s="7"/>
      <c r="B22142" s="7"/>
      <c r="M22142" s="9" t="s">
        <v>20</v>
      </c>
    </row>
    <row r="22143" ht="15.75" customHeight="1">
      <c r="A22143" s="7"/>
      <c r="B22143" s="7"/>
      <c r="M22143" s="9" t="s">
        <v>21</v>
      </c>
    </row>
    <row r="22144" ht="15.75" customHeight="1">
      <c r="A22144" s="7"/>
      <c r="B22144" s="7"/>
      <c r="M22144" s="9" t="s">
        <v>27</v>
      </c>
    </row>
    <row r="22145" ht="15.75" customHeight="1">
      <c r="A22145" s="7"/>
      <c r="B22145" s="7"/>
      <c r="M22145" s="9" t="s">
        <v>28</v>
      </c>
    </row>
    <row r="22146" ht="15.75" customHeight="1">
      <c r="A22146" s="7"/>
      <c r="B22146" s="7"/>
      <c r="M22146" s="9" t="s">
        <v>38</v>
      </c>
    </row>
    <row r="22147" ht="15.75" customHeight="1">
      <c r="A22147" s="7"/>
      <c r="B22147" s="7"/>
      <c r="M22147" s="9" t="s">
        <v>25</v>
      </c>
    </row>
    <row r="22148" ht="15.75" customHeight="1">
      <c r="A22148" s="7"/>
      <c r="B22148" s="7"/>
      <c r="M22148" s="9" t="s">
        <v>23</v>
      </c>
    </row>
    <row r="22149" ht="15.75" customHeight="1">
      <c r="A22149" s="7"/>
      <c r="B22149" s="7"/>
      <c r="M22149" s="9" t="s">
        <v>24</v>
      </c>
    </row>
    <row r="22150" ht="15.75" customHeight="1">
      <c r="A22150" s="7"/>
      <c r="B22150" s="7"/>
      <c r="M22150" s="9" t="s">
        <v>41</v>
      </c>
    </row>
    <row r="22151" ht="15.75" customHeight="1">
      <c r="A22151" s="7"/>
      <c r="B22151" s="7"/>
      <c r="M22151" s="9" t="s">
        <v>37</v>
      </c>
    </row>
    <row r="22152" ht="15.75" customHeight="1">
      <c r="A22152" s="7"/>
      <c r="B22152" s="7"/>
      <c r="M22152" s="9" t="s">
        <v>22</v>
      </c>
    </row>
    <row r="22153" ht="15.75" customHeight="1">
      <c r="A22153" s="7"/>
      <c r="B22153" s="7"/>
      <c r="M22153" s="9" t="s">
        <v>27</v>
      </c>
    </row>
    <row r="22154" ht="15.75" customHeight="1">
      <c r="A22154" s="7"/>
      <c r="B22154" s="7"/>
      <c r="M22154" s="9" t="s">
        <v>40</v>
      </c>
    </row>
    <row r="22155" ht="15.75" customHeight="1">
      <c r="A22155" s="7"/>
      <c r="B22155" s="7"/>
      <c r="M22155" s="9" t="s">
        <v>30</v>
      </c>
    </row>
    <row r="22156" ht="15.75" customHeight="1">
      <c r="A22156" s="7"/>
      <c r="B22156" s="7"/>
      <c r="M22156" s="9" t="s">
        <v>25</v>
      </c>
    </row>
    <row r="22157" ht="15.75" customHeight="1">
      <c r="A22157" s="7"/>
      <c r="B22157" s="7"/>
      <c r="M22157" s="9" t="s">
        <v>24</v>
      </c>
    </row>
    <row r="22158" ht="15.75" customHeight="1">
      <c r="A22158" s="7"/>
      <c r="B22158" s="7"/>
      <c r="M22158" s="9" t="s">
        <v>20</v>
      </c>
    </row>
    <row r="22159" ht="15.75" customHeight="1">
      <c r="A22159" s="7"/>
      <c r="B22159" s="7"/>
      <c r="M22159" s="9" t="s">
        <v>21</v>
      </c>
    </row>
    <row r="22160" ht="15.75" customHeight="1">
      <c r="A22160" s="7"/>
      <c r="B22160" s="7"/>
      <c r="M22160" s="9" t="s">
        <v>22</v>
      </c>
    </row>
    <row r="22161" ht="15.75" customHeight="1">
      <c r="A22161" s="7"/>
      <c r="B22161" s="7"/>
      <c r="M22161" s="9" t="s">
        <v>27</v>
      </c>
    </row>
    <row r="22162" ht="15.75" customHeight="1">
      <c r="A22162" s="7"/>
      <c r="B22162" s="7"/>
      <c r="M22162" s="9" t="s">
        <v>40</v>
      </c>
    </row>
    <row r="22163" ht="15.75" customHeight="1">
      <c r="A22163" s="7"/>
      <c r="B22163" s="7"/>
      <c r="M22163" s="9" t="s">
        <v>30</v>
      </c>
    </row>
    <row r="22164" ht="15.75" customHeight="1">
      <c r="A22164" s="7"/>
      <c r="B22164" s="7"/>
      <c r="M22164" s="9" t="s">
        <v>23</v>
      </c>
    </row>
    <row r="22165" ht="15.75" customHeight="1">
      <c r="A22165" s="7"/>
      <c r="B22165" s="7"/>
      <c r="M22165" s="9" t="s">
        <v>24</v>
      </c>
    </row>
    <row r="22166" ht="15.75" customHeight="1">
      <c r="A22166" s="7"/>
      <c r="B22166" s="7"/>
      <c r="M22166" s="9" t="s">
        <v>21</v>
      </c>
    </row>
    <row r="22167" ht="15.75" customHeight="1">
      <c r="A22167" s="7"/>
      <c r="B22167" s="7"/>
      <c r="M22167" s="9" t="s">
        <v>37</v>
      </c>
    </row>
    <row r="22168" ht="15.75" customHeight="1">
      <c r="A22168" s="7"/>
      <c r="B22168" s="7"/>
      <c r="M22168" s="9" t="s">
        <v>22</v>
      </c>
    </row>
    <row r="22169" ht="15.75" customHeight="1">
      <c r="A22169" s="7"/>
      <c r="B22169" s="7"/>
      <c r="M22169" s="9" t="s">
        <v>29</v>
      </c>
    </row>
    <row r="22170" ht="15.75" customHeight="1">
      <c r="A22170" s="7"/>
      <c r="B22170" s="7"/>
      <c r="M22170" s="9" t="s">
        <v>31</v>
      </c>
    </row>
    <row r="22171" ht="15.75" customHeight="1">
      <c r="A22171" s="7"/>
      <c r="B22171" s="7"/>
      <c r="M22171" s="9" t="s">
        <v>27</v>
      </c>
    </row>
    <row r="22172" ht="15.75" customHeight="1">
      <c r="A22172" s="7"/>
      <c r="B22172" s="7"/>
      <c r="M22172" s="9" t="s">
        <v>28</v>
      </c>
    </row>
    <row r="22173" ht="15.75" customHeight="1">
      <c r="A22173" s="7"/>
      <c r="B22173" s="7"/>
      <c r="M22173" s="9" t="s">
        <v>30</v>
      </c>
    </row>
    <row r="22174" ht="15.75" customHeight="1">
      <c r="A22174" s="7"/>
      <c r="B22174" s="7"/>
      <c r="M22174" s="9" t="s">
        <v>23</v>
      </c>
    </row>
    <row r="22175" ht="15.75" customHeight="1">
      <c r="A22175" s="7"/>
      <c r="B22175" s="7"/>
      <c r="M22175" s="9" t="s">
        <v>20</v>
      </c>
    </row>
    <row r="22176" ht="15.75" customHeight="1">
      <c r="A22176" s="7"/>
      <c r="B22176" s="7"/>
      <c r="M22176" s="9" t="s">
        <v>22</v>
      </c>
    </row>
    <row r="22177" ht="15.75" customHeight="1">
      <c r="A22177" s="7"/>
      <c r="B22177" s="7"/>
      <c r="M22177" s="9" t="s">
        <v>35</v>
      </c>
    </row>
    <row r="22178" ht="15.75" customHeight="1">
      <c r="A22178" s="7"/>
      <c r="B22178" s="7"/>
      <c r="M22178" s="9" t="s">
        <v>23</v>
      </c>
    </row>
    <row r="22179" ht="15.75" customHeight="1">
      <c r="A22179" s="7"/>
      <c r="B22179" s="7"/>
      <c r="M22179" s="9" t="s">
        <v>26</v>
      </c>
    </row>
    <row r="22180" ht="15.75" customHeight="1">
      <c r="A22180" s="7"/>
      <c r="B22180" s="7"/>
      <c r="M22180" s="9" t="s">
        <v>24</v>
      </c>
    </row>
    <row r="22181" ht="15.75" customHeight="1">
      <c r="A22181" s="7"/>
      <c r="B22181" s="7"/>
      <c r="M22181" s="9" t="s">
        <v>20</v>
      </c>
    </row>
    <row r="22182" ht="15.75" customHeight="1">
      <c r="A22182" s="7"/>
      <c r="B22182" s="7"/>
      <c r="M22182" s="9" t="s">
        <v>21</v>
      </c>
    </row>
    <row r="22183" ht="15.75" customHeight="1">
      <c r="A22183" s="7"/>
      <c r="B22183" s="7"/>
      <c r="M22183" s="9" t="s">
        <v>22</v>
      </c>
    </row>
    <row r="22184" ht="15.75" customHeight="1">
      <c r="A22184" s="7"/>
      <c r="B22184" s="7"/>
      <c r="M22184" s="9" t="s">
        <v>27</v>
      </c>
    </row>
    <row r="22185" ht="15.75" customHeight="1">
      <c r="A22185" s="7"/>
      <c r="B22185" s="7"/>
      <c r="M22185" s="9" t="s">
        <v>28</v>
      </c>
    </row>
    <row r="22186" ht="15.75" customHeight="1">
      <c r="A22186" s="7"/>
      <c r="B22186" s="7"/>
      <c r="M22186" s="9" t="s">
        <v>30</v>
      </c>
    </row>
    <row r="22187" ht="15.75" customHeight="1">
      <c r="A22187" s="7"/>
      <c r="B22187" s="7"/>
      <c r="M22187" s="9" t="s">
        <v>24</v>
      </c>
    </row>
    <row r="22188" ht="15.75" customHeight="1">
      <c r="A22188" s="7"/>
      <c r="B22188" s="7"/>
      <c r="M22188" s="9" t="s">
        <v>21</v>
      </c>
    </row>
    <row r="22189" ht="15.75" customHeight="1">
      <c r="A22189" s="7"/>
      <c r="B22189" s="7"/>
      <c r="M22189" s="9" t="s">
        <v>37</v>
      </c>
    </row>
    <row r="22190" ht="15.75" customHeight="1">
      <c r="A22190" s="7"/>
      <c r="B22190" s="7"/>
      <c r="M22190" s="9" t="s">
        <v>22</v>
      </c>
    </row>
    <row r="22191" ht="15.75" customHeight="1">
      <c r="A22191" s="7"/>
      <c r="B22191" s="7"/>
      <c r="M22191" s="9" t="s">
        <v>27</v>
      </c>
    </row>
    <row r="22192" ht="15.75" customHeight="1">
      <c r="A22192" s="7"/>
      <c r="B22192" s="7"/>
      <c r="M22192" s="9" t="s">
        <v>24</v>
      </c>
    </row>
    <row r="22193" ht="15.75" customHeight="1">
      <c r="A22193" s="7"/>
      <c r="B22193" s="7"/>
      <c r="M22193" s="9" t="s">
        <v>20</v>
      </c>
    </row>
    <row r="22194" ht="15.75" customHeight="1">
      <c r="A22194" s="7"/>
      <c r="B22194" s="7"/>
      <c r="M22194" s="9" t="s">
        <v>21</v>
      </c>
    </row>
    <row r="22195" ht="15.75" customHeight="1">
      <c r="A22195" s="7"/>
      <c r="B22195" s="7"/>
      <c r="M22195" s="9" t="s">
        <v>37</v>
      </c>
    </row>
    <row r="22196" ht="15.75" customHeight="1">
      <c r="A22196" s="7"/>
      <c r="B22196" s="7"/>
      <c r="M22196" s="9" t="s">
        <v>27</v>
      </c>
    </row>
    <row r="22197" ht="15.75" customHeight="1">
      <c r="A22197" s="7"/>
      <c r="B22197" s="7"/>
      <c r="M22197" s="9" t="s">
        <v>20</v>
      </c>
    </row>
    <row r="22198" ht="15.75" customHeight="1">
      <c r="A22198" s="7"/>
      <c r="B22198" s="7"/>
      <c r="M22198" s="9" t="s">
        <v>37</v>
      </c>
    </row>
    <row r="22199" ht="15.75" customHeight="1">
      <c r="A22199" s="7"/>
      <c r="B22199" s="7"/>
      <c r="M22199" s="9" t="s">
        <v>22</v>
      </c>
    </row>
    <row r="22200" ht="15.75" customHeight="1">
      <c r="A22200" s="7"/>
      <c r="B22200" s="7"/>
      <c r="M22200" s="9" t="s">
        <v>29</v>
      </c>
    </row>
    <row r="22201" ht="15.75" customHeight="1">
      <c r="A22201" s="7"/>
      <c r="B22201" s="7"/>
      <c r="M22201" s="9" t="s">
        <v>27</v>
      </c>
    </row>
    <row r="22202" ht="15.75" customHeight="1">
      <c r="A22202" s="7"/>
      <c r="B22202" s="7"/>
      <c r="M22202" s="9" t="s">
        <v>22</v>
      </c>
    </row>
    <row r="22203" ht="15.75" customHeight="1">
      <c r="A22203" s="7"/>
      <c r="B22203" s="7"/>
      <c r="M22203" s="9" t="s">
        <v>30</v>
      </c>
    </row>
    <row r="22204" ht="15.75" customHeight="1">
      <c r="A22204" s="7"/>
      <c r="B22204" s="7"/>
      <c r="M22204" s="9" t="s">
        <v>23</v>
      </c>
    </row>
    <row r="22205" ht="15.75" customHeight="1">
      <c r="A22205" s="7"/>
      <c r="B22205" s="7"/>
      <c r="M22205" s="9" t="s">
        <v>24</v>
      </c>
    </row>
    <row r="22206" ht="15.75" customHeight="1">
      <c r="A22206" s="7"/>
      <c r="B22206" s="7"/>
      <c r="M22206" s="9" t="s">
        <v>20</v>
      </c>
    </row>
    <row r="22207" ht="15.75" customHeight="1">
      <c r="A22207" s="7"/>
      <c r="B22207" s="7"/>
      <c r="M22207" s="9" t="s">
        <v>21</v>
      </c>
    </row>
    <row r="22208" ht="15.75" customHeight="1">
      <c r="A22208" s="7"/>
      <c r="B22208" s="7"/>
      <c r="M22208" s="9" t="s">
        <v>37</v>
      </c>
    </row>
    <row r="22209" ht="15.75" customHeight="1">
      <c r="A22209" s="7"/>
      <c r="B22209" s="7"/>
      <c r="M22209" s="9" t="s">
        <v>22</v>
      </c>
    </row>
    <row r="22210" ht="15.75" customHeight="1">
      <c r="A22210" s="7"/>
      <c r="B22210" s="7"/>
      <c r="M22210" s="9" t="s">
        <v>31</v>
      </c>
    </row>
    <row r="22211" ht="15.75" customHeight="1">
      <c r="A22211" s="7"/>
      <c r="B22211" s="7"/>
      <c r="M22211" s="9" t="s">
        <v>27</v>
      </c>
    </row>
    <row r="22212" ht="15.75" customHeight="1">
      <c r="A22212" s="7"/>
      <c r="B22212" s="7"/>
      <c r="M22212" s="9" t="s">
        <v>33</v>
      </c>
    </row>
    <row r="22213" ht="15.75" customHeight="1">
      <c r="A22213" s="7"/>
      <c r="B22213" s="7"/>
      <c r="M22213" s="9" t="s">
        <v>23</v>
      </c>
    </row>
    <row r="22214" ht="15.75" customHeight="1">
      <c r="A22214" s="7"/>
      <c r="B22214" s="7"/>
      <c r="M22214" s="9" t="s">
        <v>47</v>
      </c>
    </row>
    <row r="22215" ht="15.75" customHeight="1">
      <c r="A22215" s="7"/>
      <c r="B22215" s="7"/>
      <c r="M22215" s="9" t="s">
        <v>24</v>
      </c>
    </row>
    <row r="22216" ht="15.75" customHeight="1">
      <c r="A22216" s="7"/>
      <c r="B22216" s="7"/>
      <c r="M22216" s="9" t="s">
        <v>20</v>
      </c>
    </row>
    <row r="22217" ht="15.75" customHeight="1">
      <c r="A22217" s="7"/>
      <c r="B22217" s="7"/>
      <c r="M22217" s="9" t="s">
        <v>21</v>
      </c>
    </row>
    <row r="22218" ht="15.75" customHeight="1">
      <c r="A22218" s="7"/>
      <c r="B22218" s="7"/>
      <c r="M22218" s="9" t="s">
        <v>39</v>
      </c>
    </row>
    <row r="22219" ht="15.75" customHeight="1">
      <c r="A22219" s="7"/>
      <c r="B22219" s="7"/>
      <c r="M22219" s="9" t="s">
        <v>27</v>
      </c>
    </row>
    <row r="22220" ht="15.75" customHeight="1">
      <c r="A22220" s="7"/>
      <c r="B22220" s="7"/>
      <c r="M22220" s="9" t="s">
        <v>33</v>
      </c>
    </row>
    <row r="22221" ht="15.75" customHeight="1">
      <c r="A22221" s="7"/>
      <c r="B22221" s="7"/>
      <c r="M22221" s="9" t="s">
        <v>30</v>
      </c>
    </row>
    <row r="22222" ht="15.75" customHeight="1">
      <c r="A22222" s="7"/>
      <c r="B22222" s="7"/>
      <c r="M22222" s="9" t="s">
        <v>24</v>
      </c>
    </row>
    <row r="22223" ht="15.75" customHeight="1">
      <c r="A22223" s="7"/>
      <c r="B22223" s="7"/>
      <c r="M22223" s="9" t="s">
        <v>22</v>
      </c>
    </row>
    <row r="22224" ht="15.75" customHeight="1">
      <c r="A22224" s="7"/>
      <c r="B22224" s="7"/>
      <c r="M22224" s="9" t="s">
        <v>25</v>
      </c>
    </row>
    <row r="22225" ht="15.75" customHeight="1">
      <c r="A22225" s="7"/>
      <c r="B22225" s="7"/>
      <c r="M22225" s="9" t="s">
        <v>26</v>
      </c>
    </row>
    <row r="22226" ht="15.75" customHeight="1">
      <c r="A22226" s="7"/>
      <c r="B22226" s="7"/>
      <c r="M22226" s="9" t="s">
        <v>24</v>
      </c>
    </row>
    <row r="22227" ht="15.75" customHeight="1">
      <c r="A22227" s="7"/>
      <c r="B22227" s="7"/>
      <c r="M22227" s="9" t="s">
        <v>20</v>
      </c>
    </row>
    <row r="22228" ht="15.75" customHeight="1">
      <c r="A22228" s="7"/>
      <c r="B22228" s="7"/>
      <c r="M22228" s="9" t="s">
        <v>21</v>
      </c>
    </row>
    <row r="22229" ht="15.75" customHeight="1">
      <c r="A22229" s="7"/>
      <c r="B22229" s="7"/>
      <c r="M22229" s="9" t="s">
        <v>37</v>
      </c>
    </row>
    <row r="22230" ht="15.75" customHeight="1">
      <c r="A22230" s="7"/>
      <c r="B22230" s="7"/>
      <c r="M22230" s="9" t="s">
        <v>24</v>
      </c>
    </row>
    <row r="22231" ht="15.75" customHeight="1">
      <c r="A22231" s="7"/>
      <c r="B22231" s="7"/>
      <c r="M22231" s="9" t="s">
        <v>21</v>
      </c>
    </row>
    <row r="22232" ht="15.75" customHeight="1">
      <c r="A22232" s="7"/>
      <c r="B22232" s="7"/>
      <c r="M22232" s="9" t="s">
        <v>37</v>
      </c>
    </row>
    <row r="22233" ht="15.75" customHeight="1">
      <c r="A22233" s="7"/>
      <c r="B22233" s="7"/>
      <c r="M22233" s="9" t="s">
        <v>22</v>
      </c>
    </row>
    <row r="22234" ht="15.75" customHeight="1">
      <c r="A22234" s="7"/>
      <c r="B22234" s="7"/>
      <c r="M22234" s="9" t="s">
        <v>29</v>
      </c>
    </row>
    <row r="22235" ht="15.75" customHeight="1">
      <c r="A22235" s="7"/>
      <c r="B22235" s="7"/>
      <c r="M22235" s="9" t="s">
        <v>30</v>
      </c>
    </row>
    <row r="22236" ht="15.75" customHeight="1">
      <c r="A22236" s="7"/>
      <c r="B22236" s="7"/>
      <c r="M22236" s="9" t="s">
        <v>23</v>
      </c>
    </row>
    <row r="22237" ht="15.75" customHeight="1">
      <c r="A22237" s="7"/>
      <c r="B22237" s="7"/>
      <c r="M22237" s="9" t="s">
        <v>36</v>
      </c>
    </row>
    <row r="22238" ht="15.75" customHeight="1">
      <c r="A22238" s="7"/>
      <c r="B22238" s="7"/>
      <c r="M22238" s="9" t="s">
        <v>20</v>
      </c>
    </row>
    <row r="22239" ht="15.75" customHeight="1">
      <c r="A22239" s="7"/>
      <c r="B22239" s="7"/>
      <c r="M22239" s="9" t="s">
        <v>39</v>
      </c>
    </row>
    <row r="22240" ht="15.75" customHeight="1">
      <c r="A22240" s="7"/>
      <c r="B22240" s="7"/>
      <c r="M22240" s="9" t="s">
        <v>22</v>
      </c>
    </row>
    <row r="22241" ht="15.75" customHeight="1">
      <c r="A22241" s="7"/>
      <c r="B22241" s="7"/>
      <c r="M22241" s="9" t="s">
        <v>46</v>
      </c>
    </row>
    <row r="22242" ht="15.75" customHeight="1">
      <c r="A22242" s="7"/>
      <c r="B22242" s="7"/>
      <c r="M22242" s="9" t="s">
        <v>33</v>
      </c>
    </row>
    <row r="22243" ht="15.75" customHeight="1">
      <c r="A22243" s="7"/>
      <c r="B22243" s="7"/>
      <c r="M22243" s="9" t="s">
        <v>30</v>
      </c>
    </row>
    <row r="22244" ht="15.75" customHeight="1">
      <c r="A22244" s="7"/>
      <c r="B22244" s="7"/>
      <c r="M22244" s="9" t="s">
        <v>25</v>
      </c>
    </row>
    <row r="22245" ht="15.75" customHeight="1">
      <c r="A22245" s="7"/>
      <c r="B22245" s="7"/>
      <c r="M22245" s="9" t="s">
        <v>23</v>
      </c>
    </row>
    <row r="22246" ht="15.75" customHeight="1">
      <c r="A22246" s="7"/>
      <c r="B22246" s="7"/>
      <c r="M22246" s="9" t="s">
        <v>36</v>
      </c>
    </row>
    <row r="22247" ht="15.75" customHeight="1">
      <c r="A22247" s="7"/>
      <c r="B22247" s="7"/>
      <c r="M22247" s="9" t="s">
        <v>24</v>
      </c>
    </row>
    <row r="22248" ht="15.75" customHeight="1">
      <c r="A22248" s="7"/>
      <c r="B22248" s="7"/>
      <c r="M22248" s="9" t="s">
        <v>21</v>
      </c>
    </row>
    <row r="22249" ht="15.75" customHeight="1">
      <c r="A22249" s="7"/>
      <c r="B22249" s="7"/>
      <c r="M22249" s="9" t="s">
        <v>30</v>
      </c>
    </row>
    <row r="22250" ht="15.75" customHeight="1">
      <c r="A22250" s="7"/>
      <c r="B22250" s="7"/>
      <c r="M22250" s="9" t="s">
        <v>24</v>
      </c>
    </row>
    <row r="22251" ht="15.75" customHeight="1">
      <c r="A22251" s="7"/>
      <c r="B22251" s="7"/>
      <c r="M22251" s="9" t="s">
        <v>21</v>
      </c>
    </row>
    <row r="22252" ht="15.75" customHeight="1">
      <c r="A22252" s="7"/>
      <c r="B22252" s="7"/>
      <c r="M22252" s="9" t="s">
        <v>26</v>
      </c>
    </row>
    <row r="22253" ht="15.75" customHeight="1">
      <c r="A22253" s="7"/>
      <c r="B22253" s="7"/>
      <c r="M22253" s="9" t="s">
        <v>20</v>
      </c>
    </row>
    <row r="22254" ht="15.75" customHeight="1">
      <c r="A22254" s="7"/>
      <c r="B22254" s="7"/>
      <c r="M22254" s="9" t="s">
        <v>21</v>
      </c>
    </row>
    <row r="22255" ht="15.75" customHeight="1">
      <c r="A22255" s="7"/>
      <c r="B22255" s="7"/>
      <c r="M22255" s="9" t="s">
        <v>23</v>
      </c>
    </row>
    <row r="22256" ht="15.75" customHeight="1">
      <c r="A22256" s="7"/>
      <c r="B22256" s="7"/>
      <c r="M22256" s="9" t="s">
        <v>26</v>
      </c>
    </row>
    <row r="22257" ht="15.75" customHeight="1">
      <c r="A22257" s="7"/>
      <c r="B22257" s="7"/>
      <c r="M22257" s="9" t="s">
        <v>24</v>
      </c>
    </row>
    <row r="22258" ht="15.75" customHeight="1">
      <c r="A22258" s="7"/>
      <c r="B22258" s="7"/>
      <c r="M22258" s="9" t="s">
        <v>33</v>
      </c>
    </row>
    <row r="22259" ht="15.75" customHeight="1">
      <c r="A22259" s="7"/>
      <c r="B22259" s="7"/>
      <c r="M22259" s="9" t="s">
        <v>30</v>
      </c>
    </row>
    <row r="22260" ht="15.75" customHeight="1">
      <c r="A22260" s="7"/>
      <c r="B22260" s="7"/>
      <c r="M22260" s="9" t="s">
        <v>21</v>
      </c>
    </row>
    <row r="22261" ht="15.75" customHeight="1">
      <c r="A22261" s="7"/>
      <c r="B22261" s="7"/>
      <c r="M22261" s="9" t="s">
        <v>22</v>
      </c>
    </row>
    <row r="22262" ht="15.75" customHeight="1">
      <c r="A22262" s="7"/>
      <c r="B22262" s="7"/>
      <c r="M22262" s="9" t="s">
        <v>46</v>
      </c>
    </row>
    <row r="22263" ht="15.75" customHeight="1">
      <c r="A22263" s="7"/>
      <c r="B22263" s="7"/>
      <c r="M22263" s="9" t="s">
        <v>27</v>
      </c>
    </row>
    <row r="22264" ht="15.75" customHeight="1">
      <c r="A22264" s="7"/>
      <c r="B22264" s="7"/>
      <c r="M22264" s="9" t="s">
        <v>27</v>
      </c>
    </row>
    <row r="22265" ht="15.75" customHeight="1">
      <c r="A22265" s="7"/>
      <c r="B22265" s="7"/>
      <c r="M22265" s="9" t="s">
        <v>38</v>
      </c>
    </row>
    <row r="22266" ht="15.75" customHeight="1">
      <c r="A22266" s="7"/>
      <c r="B22266" s="7"/>
      <c r="M22266" s="9" t="s">
        <v>23</v>
      </c>
    </row>
    <row r="22267" ht="15.75" customHeight="1">
      <c r="A22267" s="7"/>
      <c r="B22267" s="7"/>
      <c r="M22267" s="9" t="s">
        <v>26</v>
      </c>
    </row>
    <row r="22268" ht="15.75" customHeight="1">
      <c r="A22268" s="7"/>
      <c r="B22268" s="7"/>
      <c r="M22268" s="9" t="s">
        <v>24</v>
      </c>
    </row>
    <row r="22269" ht="15.75" customHeight="1">
      <c r="A22269" s="7"/>
      <c r="B22269" s="7"/>
      <c r="M22269" s="9" t="s">
        <v>20</v>
      </c>
    </row>
    <row r="22270" ht="15.75" customHeight="1">
      <c r="A22270" s="7"/>
      <c r="B22270" s="7"/>
      <c r="M22270" s="9" t="s">
        <v>21</v>
      </c>
    </row>
    <row r="22271" ht="15.75" customHeight="1">
      <c r="A22271" s="7"/>
      <c r="B22271" s="7"/>
      <c r="M22271" s="9" t="s">
        <v>39</v>
      </c>
    </row>
    <row r="22272" ht="15.75" customHeight="1">
      <c r="A22272" s="7"/>
      <c r="B22272" s="7"/>
      <c r="M22272" s="9" t="s">
        <v>37</v>
      </c>
    </row>
    <row r="22273" ht="15.75" customHeight="1">
      <c r="A22273" s="7"/>
      <c r="B22273" s="7"/>
      <c r="M22273" s="9" t="s">
        <v>22</v>
      </c>
    </row>
    <row r="22274" ht="15.75" customHeight="1">
      <c r="A22274" s="7"/>
      <c r="B22274" s="7"/>
      <c r="M22274" s="9" t="s">
        <v>27</v>
      </c>
    </row>
    <row r="22275" ht="15.75" customHeight="1">
      <c r="A22275" s="7"/>
      <c r="B22275" s="7"/>
      <c r="M22275" s="9" t="s">
        <v>25</v>
      </c>
    </row>
    <row r="22276" ht="15.75" customHeight="1">
      <c r="A22276" s="7"/>
      <c r="B22276" s="7"/>
      <c r="M22276" s="9" t="s">
        <v>23</v>
      </c>
    </row>
    <row r="22277" ht="15.75" customHeight="1">
      <c r="A22277" s="7"/>
      <c r="B22277" s="7"/>
      <c r="M22277" s="9" t="s">
        <v>36</v>
      </c>
    </row>
    <row r="22278" ht="15.75" customHeight="1">
      <c r="A22278" s="7"/>
      <c r="B22278" s="7"/>
      <c r="M22278" s="9" t="s">
        <v>24</v>
      </c>
    </row>
    <row r="22279" ht="15.75" customHeight="1">
      <c r="A22279" s="7"/>
      <c r="B22279" s="7"/>
      <c r="M22279" s="9" t="s">
        <v>21</v>
      </c>
    </row>
    <row r="22280" ht="15.75" customHeight="1">
      <c r="A22280" s="7"/>
      <c r="B22280" s="7"/>
      <c r="M22280" s="9" t="s">
        <v>27</v>
      </c>
    </row>
    <row r="22281" ht="15.75" customHeight="1">
      <c r="A22281" s="7"/>
      <c r="B22281" s="7"/>
      <c r="M22281" s="9" t="s">
        <v>35</v>
      </c>
    </row>
    <row r="22282" ht="15.75" customHeight="1">
      <c r="A22282" s="7"/>
      <c r="B22282" s="7"/>
      <c r="M22282" s="9" t="s">
        <v>25</v>
      </c>
    </row>
    <row r="22283" ht="15.75" customHeight="1">
      <c r="A22283" s="7"/>
      <c r="B22283" s="7"/>
      <c r="M22283" s="9" t="s">
        <v>20</v>
      </c>
    </row>
    <row r="22284" ht="15.75" customHeight="1">
      <c r="A22284" s="7"/>
      <c r="B22284" s="7"/>
      <c r="M22284" s="9" t="s">
        <v>22</v>
      </c>
    </row>
    <row r="22285" ht="15.75" customHeight="1">
      <c r="A22285" s="7"/>
      <c r="B22285" s="7"/>
      <c r="M22285" s="9" t="s">
        <v>38</v>
      </c>
    </row>
    <row r="22286" ht="15.75" customHeight="1">
      <c r="A22286" s="7"/>
      <c r="B22286" s="7"/>
      <c r="M22286" s="9" t="s">
        <v>23</v>
      </c>
    </row>
    <row r="22287" ht="15.75" customHeight="1">
      <c r="A22287" s="7"/>
      <c r="B22287" s="7"/>
      <c r="M22287" s="9" t="s">
        <v>24</v>
      </c>
    </row>
    <row r="22288" ht="15.75" customHeight="1">
      <c r="A22288" s="7"/>
      <c r="B22288" s="7"/>
      <c r="M22288" s="9" t="s">
        <v>20</v>
      </c>
    </row>
    <row r="22289" ht="15.75" customHeight="1">
      <c r="A22289" s="7"/>
      <c r="B22289" s="7"/>
      <c r="M22289" s="9" t="s">
        <v>27</v>
      </c>
    </row>
    <row r="22290" ht="15.75" customHeight="1">
      <c r="A22290" s="7"/>
      <c r="B22290" s="7"/>
      <c r="M22290" s="9" t="s">
        <v>24</v>
      </c>
    </row>
    <row r="22291" ht="15.75" customHeight="1">
      <c r="A22291" s="7"/>
      <c r="B22291" s="7"/>
      <c r="M22291" s="9" t="s">
        <v>21</v>
      </c>
    </row>
    <row r="22292" ht="15.75" customHeight="1">
      <c r="A22292" s="7"/>
      <c r="B22292" s="7"/>
      <c r="M22292" s="9" t="s">
        <v>30</v>
      </c>
    </row>
    <row r="22293" ht="15.75" customHeight="1">
      <c r="A22293" s="7"/>
      <c r="B22293" s="7"/>
      <c r="M22293" s="9" t="s">
        <v>26</v>
      </c>
    </row>
    <row r="22294" ht="15.75" customHeight="1">
      <c r="A22294" s="7"/>
      <c r="B22294" s="7"/>
      <c r="M22294" s="9" t="s">
        <v>24</v>
      </c>
    </row>
    <row r="22295" ht="15.75" customHeight="1">
      <c r="A22295" s="7"/>
      <c r="B22295" s="7"/>
      <c r="M22295" s="9" t="s">
        <v>20</v>
      </c>
    </row>
    <row r="22296" ht="15.75" customHeight="1">
      <c r="A22296" s="7"/>
      <c r="B22296" s="7"/>
      <c r="M22296" s="9" t="s">
        <v>21</v>
      </c>
    </row>
    <row r="22297" ht="15.75" customHeight="1">
      <c r="A22297" s="7"/>
      <c r="B22297" s="7"/>
      <c r="M22297" s="9" t="s">
        <v>37</v>
      </c>
    </row>
    <row r="22298" ht="15.75" customHeight="1">
      <c r="A22298" s="7"/>
      <c r="B22298" s="7"/>
      <c r="M22298" s="9" t="s">
        <v>31</v>
      </c>
    </row>
    <row r="22299" ht="15.75" customHeight="1">
      <c r="A22299" s="7"/>
      <c r="B22299" s="7"/>
      <c r="M22299" s="9" t="s">
        <v>27</v>
      </c>
    </row>
    <row r="22300" ht="15.75" customHeight="1">
      <c r="A22300" s="7"/>
      <c r="B22300" s="7"/>
      <c r="M22300" s="9" t="s">
        <v>28</v>
      </c>
    </row>
    <row r="22301" ht="15.75" customHeight="1">
      <c r="A22301" s="7"/>
      <c r="B22301" s="7"/>
      <c r="M22301" s="9" t="s">
        <v>30</v>
      </c>
    </row>
    <row r="22302" ht="15.75" customHeight="1">
      <c r="A22302" s="7"/>
      <c r="B22302" s="7"/>
      <c r="M22302" s="9" t="s">
        <v>36</v>
      </c>
    </row>
    <row r="22303" ht="15.75" customHeight="1">
      <c r="A22303" s="7"/>
      <c r="B22303" s="7"/>
      <c r="M22303" s="9" t="s">
        <v>22</v>
      </c>
    </row>
    <row r="22304" ht="15.75" customHeight="1">
      <c r="A22304" s="7"/>
      <c r="B22304" s="7"/>
      <c r="M22304" s="9" t="s">
        <v>31</v>
      </c>
    </row>
    <row r="22305" ht="15.75" customHeight="1">
      <c r="A22305" s="7"/>
      <c r="B22305" s="7"/>
      <c r="M22305" s="9" t="s">
        <v>27</v>
      </c>
    </row>
    <row r="22306" ht="15.75" customHeight="1">
      <c r="A22306" s="7"/>
      <c r="B22306" s="7"/>
      <c r="M22306" s="9" t="s">
        <v>23</v>
      </c>
    </row>
    <row r="22307" ht="15.75" customHeight="1">
      <c r="A22307" s="7"/>
      <c r="B22307" s="7"/>
      <c r="M22307" s="9" t="s">
        <v>22</v>
      </c>
    </row>
    <row r="22308" ht="15.75" customHeight="1">
      <c r="A22308" s="7"/>
      <c r="B22308" s="7"/>
      <c r="M22308" s="9" t="s">
        <v>27</v>
      </c>
    </row>
    <row r="22309" ht="15.75" customHeight="1">
      <c r="A22309" s="7"/>
      <c r="B22309" s="7"/>
      <c r="M22309" s="9" t="s">
        <v>30</v>
      </c>
    </row>
    <row r="22310" ht="15.75" customHeight="1">
      <c r="A22310" s="7"/>
      <c r="B22310" s="7"/>
      <c r="M22310" s="9" t="s">
        <v>26</v>
      </c>
    </row>
    <row r="22311" ht="15.75" customHeight="1">
      <c r="A22311" s="7"/>
      <c r="B22311" s="7"/>
      <c r="M22311" s="9" t="s">
        <v>24</v>
      </c>
    </row>
    <row r="22312" ht="15.75" customHeight="1">
      <c r="A22312" s="7"/>
      <c r="B22312" s="7"/>
      <c r="M22312" s="9" t="s">
        <v>21</v>
      </c>
    </row>
    <row r="22313" ht="15.75" customHeight="1">
      <c r="A22313" s="7"/>
      <c r="B22313" s="7"/>
      <c r="M22313" s="9" t="s">
        <v>33</v>
      </c>
    </row>
    <row r="22314" ht="15.75" customHeight="1">
      <c r="A22314" s="7"/>
      <c r="B22314" s="7"/>
      <c r="M22314" s="9" t="s">
        <v>30</v>
      </c>
    </row>
    <row r="22315" ht="15.75" customHeight="1">
      <c r="A22315" s="7"/>
      <c r="B22315" s="7"/>
      <c r="M22315" s="9" t="s">
        <v>25</v>
      </c>
    </row>
    <row r="22316" ht="15.75" customHeight="1">
      <c r="A22316" s="7"/>
      <c r="B22316" s="7"/>
      <c r="M22316" s="9" t="s">
        <v>23</v>
      </c>
    </row>
    <row r="22317" ht="15.75" customHeight="1">
      <c r="A22317" s="7"/>
      <c r="B22317" s="7"/>
      <c r="M22317" s="9" t="s">
        <v>36</v>
      </c>
    </row>
    <row r="22318" ht="15.75" customHeight="1">
      <c r="A22318" s="7"/>
      <c r="B22318" s="7"/>
      <c r="M22318" s="9" t="s">
        <v>24</v>
      </c>
    </row>
    <row r="22319" ht="15.75" customHeight="1">
      <c r="A22319" s="7"/>
      <c r="B22319" s="7"/>
      <c r="M22319" s="9" t="s">
        <v>20</v>
      </c>
    </row>
    <row r="22320" ht="15.75" customHeight="1">
      <c r="A22320" s="7"/>
      <c r="B22320" s="7"/>
      <c r="M22320" s="9" t="s">
        <v>21</v>
      </c>
    </row>
    <row r="22321" ht="15.75" customHeight="1">
      <c r="A22321" s="7"/>
      <c r="B22321" s="7"/>
      <c r="M22321" s="9" t="s">
        <v>37</v>
      </c>
    </row>
    <row r="22322" ht="15.75" customHeight="1">
      <c r="A22322" s="7"/>
      <c r="B22322" s="7"/>
      <c r="M22322" s="9" t="s">
        <v>22</v>
      </c>
    </row>
    <row r="22323" ht="15.75" customHeight="1">
      <c r="A22323" s="7"/>
      <c r="B22323" s="7"/>
      <c r="M22323" s="9" t="s">
        <v>27</v>
      </c>
    </row>
    <row r="22324" ht="15.75" customHeight="1">
      <c r="A22324" s="7"/>
      <c r="B22324" s="7"/>
      <c r="M22324" s="9" t="s">
        <v>30</v>
      </c>
    </row>
    <row r="22325" ht="15.75" customHeight="1">
      <c r="A22325" s="7"/>
      <c r="B22325" s="7"/>
      <c r="M22325" s="9" t="s">
        <v>23</v>
      </c>
    </row>
    <row r="22326" ht="15.75" customHeight="1">
      <c r="A22326" s="7"/>
      <c r="B22326" s="7"/>
      <c r="M22326" s="9" t="s">
        <v>26</v>
      </c>
    </row>
    <row r="22327" ht="15.75" customHeight="1">
      <c r="A22327" s="7"/>
      <c r="B22327" s="7"/>
      <c r="M22327" s="9" t="s">
        <v>24</v>
      </c>
    </row>
    <row r="22328" ht="15.75" customHeight="1">
      <c r="A22328" s="7"/>
      <c r="B22328" s="7"/>
      <c r="M22328" s="9" t="s">
        <v>20</v>
      </c>
    </row>
    <row r="22329" ht="15.75" customHeight="1">
      <c r="A22329" s="7"/>
      <c r="B22329" s="7"/>
      <c r="M22329" s="9" t="s">
        <v>22</v>
      </c>
    </row>
    <row r="22330" ht="15.75" customHeight="1">
      <c r="A22330" s="7"/>
      <c r="B22330" s="7"/>
      <c r="M22330" s="9" t="s">
        <v>27</v>
      </c>
    </row>
    <row r="22331" ht="15.75" customHeight="1">
      <c r="A22331" s="7"/>
      <c r="B22331" s="7"/>
      <c r="M22331" s="9" t="s">
        <v>24</v>
      </c>
    </row>
    <row r="22332" ht="15.75" customHeight="1">
      <c r="A22332" s="7"/>
      <c r="B22332" s="7"/>
      <c r="M22332" s="9" t="s">
        <v>21</v>
      </c>
    </row>
    <row r="22333" ht="15.75" customHeight="1">
      <c r="A22333" s="7"/>
      <c r="B22333" s="7"/>
      <c r="M22333" s="9" t="s">
        <v>22</v>
      </c>
    </row>
    <row r="22334" ht="15.75" customHeight="1">
      <c r="A22334" s="7"/>
      <c r="B22334" s="7"/>
      <c r="M22334" s="9" t="s">
        <v>27</v>
      </c>
    </row>
    <row r="22335" ht="15.75" customHeight="1">
      <c r="A22335" s="7"/>
      <c r="B22335" s="7"/>
      <c r="M22335" s="9" t="s">
        <v>44</v>
      </c>
    </row>
    <row r="22336" ht="15.75" customHeight="1">
      <c r="A22336" s="7"/>
      <c r="B22336" s="7"/>
      <c r="M22336" s="9" t="s">
        <v>36</v>
      </c>
    </row>
    <row r="22337" ht="15.75" customHeight="1">
      <c r="A22337" s="7"/>
      <c r="B22337" s="7"/>
      <c r="M22337" s="9" t="s">
        <v>24</v>
      </c>
    </row>
    <row r="22338" ht="15.75" customHeight="1">
      <c r="A22338" s="7"/>
      <c r="B22338" s="7"/>
      <c r="M22338" s="9" t="s">
        <v>21</v>
      </c>
    </row>
    <row r="22339" ht="15.75" customHeight="1">
      <c r="A22339" s="7"/>
      <c r="B22339" s="7"/>
      <c r="M22339" s="9" t="s">
        <v>22</v>
      </c>
    </row>
    <row r="22340" ht="15.75" customHeight="1">
      <c r="A22340" s="7"/>
      <c r="B22340" s="7"/>
      <c r="M22340" s="9" t="s">
        <v>27</v>
      </c>
    </row>
    <row r="22341" ht="15.75" customHeight="1">
      <c r="A22341" s="7"/>
      <c r="B22341" s="7"/>
      <c r="M22341" s="9" t="s">
        <v>24</v>
      </c>
    </row>
    <row r="22342" ht="15.75" customHeight="1">
      <c r="A22342" s="7"/>
      <c r="B22342" s="7"/>
      <c r="M22342" s="9" t="s">
        <v>20</v>
      </c>
    </row>
    <row r="22343" ht="15.75" customHeight="1">
      <c r="A22343" s="7"/>
      <c r="B22343" s="7"/>
      <c r="M22343" s="9" t="s">
        <v>21</v>
      </c>
    </row>
    <row r="22344" ht="15.75" customHeight="1">
      <c r="A22344" s="7"/>
      <c r="B22344" s="7"/>
      <c r="M22344" s="9" t="s">
        <v>39</v>
      </c>
    </row>
    <row r="22345" ht="15.75" customHeight="1">
      <c r="A22345" s="7"/>
      <c r="B22345" s="7"/>
      <c r="M22345" s="9" t="s">
        <v>41</v>
      </c>
    </row>
    <row r="22346" ht="15.75" customHeight="1">
      <c r="A22346" s="7"/>
      <c r="B22346" s="7"/>
      <c r="M22346" s="9" t="s">
        <v>40</v>
      </c>
    </row>
    <row r="22347" ht="15.75" customHeight="1">
      <c r="A22347" s="7"/>
      <c r="B22347" s="7"/>
      <c r="M22347" s="9" t="s">
        <v>26</v>
      </c>
    </row>
    <row r="22348" ht="15.75" customHeight="1">
      <c r="A22348" s="7"/>
      <c r="B22348" s="7"/>
      <c r="M22348" s="9" t="s">
        <v>21</v>
      </c>
    </row>
    <row r="22349" ht="15.75" customHeight="1">
      <c r="A22349" s="7"/>
      <c r="B22349" s="7"/>
      <c r="M22349" s="9" t="s">
        <v>23</v>
      </c>
    </row>
    <row r="22350" ht="15.75" customHeight="1">
      <c r="A22350" s="7"/>
      <c r="B22350" s="7"/>
      <c r="M22350" s="9" t="s">
        <v>21</v>
      </c>
    </row>
    <row r="22351" ht="15.75" customHeight="1">
      <c r="A22351" s="7"/>
      <c r="B22351" s="7"/>
      <c r="M22351" s="9" t="s">
        <v>29</v>
      </c>
    </row>
    <row r="22352" ht="15.75" customHeight="1">
      <c r="A22352" s="7"/>
      <c r="B22352" s="7"/>
      <c r="M22352" s="9" t="s">
        <v>24</v>
      </c>
    </row>
    <row r="22353" ht="15.75" customHeight="1">
      <c r="A22353" s="7"/>
      <c r="B22353" s="7"/>
      <c r="M22353" s="9" t="s">
        <v>20</v>
      </c>
    </row>
    <row r="22354" ht="15.75" customHeight="1">
      <c r="A22354" s="7"/>
      <c r="B22354" s="7"/>
      <c r="M22354" s="9" t="s">
        <v>21</v>
      </c>
    </row>
    <row r="22355" ht="15.75" customHeight="1">
      <c r="A22355" s="7"/>
      <c r="B22355" s="7"/>
      <c r="M22355" s="9" t="s">
        <v>40</v>
      </c>
    </row>
    <row r="22356" ht="15.75" customHeight="1">
      <c r="A22356" s="7"/>
      <c r="B22356" s="7"/>
      <c r="M22356" s="9" t="s">
        <v>33</v>
      </c>
    </row>
    <row r="22357" ht="15.75" customHeight="1">
      <c r="A22357" s="7"/>
      <c r="B22357" s="7"/>
      <c r="M22357" s="9" t="s">
        <v>26</v>
      </c>
    </row>
    <row r="22358" ht="15.75" customHeight="1">
      <c r="A22358" s="7"/>
      <c r="B22358" s="7"/>
      <c r="M22358" s="9" t="s">
        <v>24</v>
      </c>
    </row>
    <row r="22359" ht="15.75" customHeight="1">
      <c r="A22359" s="7"/>
      <c r="B22359" s="7"/>
      <c r="M22359" s="9" t="s">
        <v>21</v>
      </c>
    </row>
    <row r="22360" ht="15.75" customHeight="1">
      <c r="A22360" s="7"/>
      <c r="B22360" s="7"/>
      <c r="M22360" s="9" t="s">
        <v>39</v>
      </c>
    </row>
    <row r="22361" ht="15.75" customHeight="1">
      <c r="A22361" s="7"/>
      <c r="B22361" s="7"/>
      <c r="M22361" s="9" t="s">
        <v>22</v>
      </c>
    </row>
    <row r="22362" ht="15.75" customHeight="1">
      <c r="A22362" s="7"/>
      <c r="B22362" s="7"/>
      <c r="M22362" s="9" t="s">
        <v>27</v>
      </c>
    </row>
    <row r="22363" ht="15.75" customHeight="1">
      <c r="A22363" s="7"/>
      <c r="B22363" s="7"/>
      <c r="M22363" s="9" t="s">
        <v>26</v>
      </c>
    </row>
    <row r="22364" ht="15.75" customHeight="1">
      <c r="A22364" s="7"/>
      <c r="B22364" s="7"/>
      <c r="M22364" s="9" t="s">
        <v>24</v>
      </c>
    </row>
    <row r="22365" ht="15.75" customHeight="1">
      <c r="A22365" s="7"/>
      <c r="B22365" s="7"/>
      <c r="M22365" s="9" t="s">
        <v>21</v>
      </c>
    </row>
    <row r="22366" ht="15.75" customHeight="1">
      <c r="A22366" s="7"/>
      <c r="B22366" s="7"/>
      <c r="M22366" s="9" t="s">
        <v>37</v>
      </c>
    </row>
    <row r="22367" ht="15.75" customHeight="1">
      <c r="A22367" s="7"/>
      <c r="B22367" s="7"/>
      <c r="M22367" s="9" t="s">
        <v>27</v>
      </c>
    </row>
    <row r="22368" ht="15.75" customHeight="1">
      <c r="A22368" s="7"/>
      <c r="B22368" s="7"/>
      <c r="M22368" s="9" t="s">
        <v>24</v>
      </c>
    </row>
    <row r="22369" ht="15.75" customHeight="1">
      <c r="A22369" s="7"/>
      <c r="B22369" s="7"/>
      <c r="M22369" s="9" t="s">
        <v>37</v>
      </c>
    </row>
    <row r="22370" ht="15.75" customHeight="1">
      <c r="A22370" s="7"/>
      <c r="B22370" s="7"/>
      <c r="M22370" s="9" t="s">
        <v>27</v>
      </c>
    </row>
    <row r="22371" ht="15.75" customHeight="1">
      <c r="A22371" s="7"/>
      <c r="B22371" s="7"/>
      <c r="M22371" s="9" t="s">
        <v>30</v>
      </c>
    </row>
    <row r="22372" ht="15.75" customHeight="1">
      <c r="A22372" s="7"/>
      <c r="B22372" s="7"/>
      <c r="M22372" s="9" t="s">
        <v>29</v>
      </c>
    </row>
    <row r="22373" ht="15.75" customHeight="1">
      <c r="A22373" s="7"/>
      <c r="B22373" s="7"/>
      <c r="M22373" s="9" t="s">
        <v>30</v>
      </c>
    </row>
    <row r="22374" ht="15.75" customHeight="1">
      <c r="A22374" s="7"/>
      <c r="B22374" s="7"/>
      <c r="M22374" s="9" t="s">
        <v>26</v>
      </c>
    </row>
    <row r="22375" ht="15.75" customHeight="1">
      <c r="A22375" s="7"/>
      <c r="B22375" s="7"/>
      <c r="M22375" s="9" t="s">
        <v>24</v>
      </c>
    </row>
    <row r="22376" ht="15.75" customHeight="1">
      <c r="A22376" s="7"/>
      <c r="B22376" s="7"/>
      <c r="M22376" s="9" t="s">
        <v>21</v>
      </c>
    </row>
    <row r="22377" ht="15.75" customHeight="1">
      <c r="A22377" s="7"/>
      <c r="B22377" s="7"/>
      <c r="M22377" s="9" t="s">
        <v>27</v>
      </c>
    </row>
    <row r="22378" ht="15.75" customHeight="1">
      <c r="A22378" s="7"/>
      <c r="B22378" s="7"/>
      <c r="M22378" s="9" t="s">
        <v>38</v>
      </c>
    </row>
    <row r="22379" ht="15.75" customHeight="1">
      <c r="A22379" s="7"/>
      <c r="B22379" s="7"/>
      <c r="M22379" s="9" t="s">
        <v>30</v>
      </c>
    </row>
    <row r="22380" ht="15.75" customHeight="1">
      <c r="A22380" s="7"/>
      <c r="B22380" s="7"/>
      <c r="M22380" s="9" t="s">
        <v>25</v>
      </c>
    </row>
    <row r="22381" ht="15.75" customHeight="1">
      <c r="A22381" s="7"/>
      <c r="B22381" s="7"/>
      <c r="M22381" s="9" t="s">
        <v>23</v>
      </c>
    </row>
    <row r="22382" ht="15.75" customHeight="1">
      <c r="A22382" s="7"/>
      <c r="B22382" s="7"/>
      <c r="M22382" s="9" t="s">
        <v>26</v>
      </c>
    </row>
    <row r="22383" ht="15.75" customHeight="1">
      <c r="A22383" s="7"/>
      <c r="B22383" s="7"/>
      <c r="M22383" s="9" t="s">
        <v>24</v>
      </c>
    </row>
    <row r="22384" ht="15.75" customHeight="1">
      <c r="A22384" s="7"/>
      <c r="B22384" s="7"/>
      <c r="M22384" s="9" t="s">
        <v>41</v>
      </c>
    </row>
    <row r="22385" ht="15.75" customHeight="1">
      <c r="A22385" s="7"/>
      <c r="B22385" s="7"/>
      <c r="M22385" s="9" t="s">
        <v>37</v>
      </c>
    </row>
    <row r="22386" ht="15.75" customHeight="1">
      <c r="A22386" s="7"/>
      <c r="B22386" s="7"/>
      <c r="M22386" s="9" t="s">
        <v>27</v>
      </c>
    </row>
    <row r="22387" ht="15.75" customHeight="1">
      <c r="A22387" s="7"/>
      <c r="B22387" s="7"/>
      <c r="M22387" s="9" t="s">
        <v>26</v>
      </c>
    </row>
    <row r="22388" ht="15.75" customHeight="1">
      <c r="A22388" s="7"/>
      <c r="B22388" s="7"/>
      <c r="M22388" s="9" t="s">
        <v>27</v>
      </c>
    </row>
    <row r="22389" ht="15.75" customHeight="1">
      <c r="A22389" s="7"/>
      <c r="B22389" s="7"/>
      <c r="M22389" s="9" t="s">
        <v>25</v>
      </c>
    </row>
    <row r="22390" ht="15.75" customHeight="1">
      <c r="A22390" s="7"/>
      <c r="B22390" s="7"/>
      <c r="M22390" s="9" t="s">
        <v>47</v>
      </c>
    </row>
    <row r="22391" ht="15.75" customHeight="1">
      <c r="A22391" s="7"/>
      <c r="B22391" s="7"/>
      <c r="M22391" s="9" t="s">
        <v>24</v>
      </c>
    </row>
    <row r="22392" ht="15.75" customHeight="1">
      <c r="A22392" s="7"/>
      <c r="B22392" s="7"/>
      <c r="M22392" s="9" t="s">
        <v>20</v>
      </c>
    </row>
    <row r="22393" ht="15.75" customHeight="1">
      <c r="A22393" s="7"/>
      <c r="B22393" s="7"/>
      <c r="M22393" s="9" t="s">
        <v>21</v>
      </c>
    </row>
    <row r="22394" ht="15.75" customHeight="1">
      <c r="A22394" s="7"/>
      <c r="B22394" s="7"/>
      <c r="M22394" s="9" t="s">
        <v>39</v>
      </c>
    </row>
    <row r="22395" ht="15.75" customHeight="1">
      <c r="A22395" s="7"/>
      <c r="B22395" s="7"/>
      <c r="M22395" s="9" t="s">
        <v>37</v>
      </c>
    </row>
    <row r="22396" ht="15.75" customHeight="1">
      <c r="A22396" s="7"/>
      <c r="B22396" s="7"/>
      <c r="M22396" s="9" t="s">
        <v>22</v>
      </c>
    </row>
    <row r="22397" ht="15.75" customHeight="1">
      <c r="A22397" s="7"/>
      <c r="B22397" s="7"/>
      <c r="M22397" s="9" t="s">
        <v>27</v>
      </c>
    </row>
    <row r="22398" ht="15.75" customHeight="1">
      <c r="A22398" s="7"/>
      <c r="B22398" s="7"/>
      <c r="M22398" s="9" t="s">
        <v>20</v>
      </c>
    </row>
    <row r="22399" ht="15.75" customHeight="1">
      <c r="A22399" s="7"/>
      <c r="B22399" s="7"/>
      <c r="M22399" s="9" t="s">
        <v>30</v>
      </c>
    </row>
    <row r="22400" ht="15.75" customHeight="1">
      <c r="A22400" s="7"/>
      <c r="B22400" s="7"/>
      <c r="M22400" s="9" t="s">
        <v>23</v>
      </c>
    </row>
    <row r="22401" ht="15.75" customHeight="1">
      <c r="A22401" s="7"/>
      <c r="B22401" s="7"/>
      <c r="M22401" s="9" t="s">
        <v>26</v>
      </c>
    </row>
    <row r="22402" ht="15.75" customHeight="1">
      <c r="A22402" s="7"/>
      <c r="B22402" s="7"/>
      <c r="M22402" s="9" t="s">
        <v>45</v>
      </c>
    </row>
    <row r="22403" ht="15.75" customHeight="1">
      <c r="A22403" s="7"/>
      <c r="B22403" s="7"/>
      <c r="M22403" s="9" t="s">
        <v>24</v>
      </c>
    </row>
    <row r="22404" ht="15.75" customHeight="1">
      <c r="A22404" s="7"/>
      <c r="B22404" s="7"/>
      <c r="M22404" s="9" t="s">
        <v>21</v>
      </c>
    </row>
    <row r="22405" ht="15.75" customHeight="1">
      <c r="A22405" s="7"/>
      <c r="B22405" s="7"/>
      <c r="M22405" s="9" t="s">
        <v>41</v>
      </c>
    </row>
    <row r="22406" ht="15.75" customHeight="1">
      <c r="A22406" s="7"/>
      <c r="B22406" s="7"/>
      <c r="M22406" s="9" t="s">
        <v>37</v>
      </c>
    </row>
    <row r="22407" ht="15.75" customHeight="1">
      <c r="A22407" s="7"/>
      <c r="B22407" s="7"/>
      <c r="M22407" s="9" t="s">
        <v>22</v>
      </c>
    </row>
    <row r="22408" ht="15.75" customHeight="1">
      <c r="A22408" s="7"/>
      <c r="B22408" s="7"/>
      <c r="M22408" s="9" t="s">
        <v>27</v>
      </c>
    </row>
    <row r="22409" ht="15.75" customHeight="1">
      <c r="A22409" s="7"/>
      <c r="B22409" s="7"/>
      <c r="M22409" s="9" t="s">
        <v>28</v>
      </c>
    </row>
    <row r="22410" ht="15.75" customHeight="1">
      <c r="A22410" s="7"/>
      <c r="B22410" s="7"/>
      <c r="M22410" s="9" t="s">
        <v>25</v>
      </c>
    </row>
    <row r="22411" ht="15.75" customHeight="1">
      <c r="A22411" s="7"/>
      <c r="B22411" s="7"/>
      <c r="M22411" s="9" t="s">
        <v>24</v>
      </c>
    </row>
    <row r="22412" ht="15.75" customHeight="1">
      <c r="A22412" s="7"/>
      <c r="B22412" s="7"/>
      <c r="M22412" s="9" t="s">
        <v>21</v>
      </c>
    </row>
    <row r="22413" ht="15.75" customHeight="1">
      <c r="A22413" s="7"/>
      <c r="B22413" s="7"/>
      <c r="M22413" s="9" t="s">
        <v>37</v>
      </c>
    </row>
    <row r="22414" ht="15.75" customHeight="1">
      <c r="A22414" s="7"/>
      <c r="B22414" s="7"/>
      <c r="M22414" s="9" t="s">
        <v>27</v>
      </c>
    </row>
    <row r="22415" ht="15.75" customHeight="1">
      <c r="A22415" s="7"/>
      <c r="B22415" s="7"/>
      <c r="M22415" s="9" t="s">
        <v>25</v>
      </c>
    </row>
    <row r="22416" ht="15.75" customHeight="1">
      <c r="A22416" s="7"/>
      <c r="B22416" s="7"/>
      <c r="M22416" s="9" t="s">
        <v>47</v>
      </c>
    </row>
    <row r="22417" ht="15.75" customHeight="1">
      <c r="A22417" s="7"/>
      <c r="B22417" s="7"/>
      <c r="M22417" s="9" t="s">
        <v>45</v>
      </c>
    </row>
    <row r="22418" ht="15.75" customHeight="1">
      <c r="A22418" s="7"/>
      <c r="B22418" s="7"/>
      <c r="M22418" s="9" t="s">
        <v>24</v>
      </c>
    </row>
    <row r="22419" ht="15.75" customHeight="1">
      <c r="A22419" s="7"/>
      <c r="B22419" s="7"/>
      <c r="M22419" s="9" t="s">
        <v>20</v>
      </c>
    </row>
    <row r="22420" ht="15.75" customHeight="1">
      <c r="A22420" s="7"/>
      <c r="B22420" s="7"/>
      <c r="M22420" s="9" t="s">
        <v>37</v>
      </c>
    </row>
    <row r="22421" ht="15.75" customHeight="1">
      <c r="A22421" s="7"/>
      <c r="B22421" s="7"/>
      <c r="M22421" s="9" t="s">
        <v>22</v>
      </c>
    </row>
    <row r="22422" ht="15.75" customHeight="1">
      <c r="A22422" s="7"/>
      <c r="B22422" s="7"/>
      <c r="M22422" s="9" t="s">
        <v>29</v>
      </c>
    </row>
    <row r="22423" ht="15.75" customHeight="1">
      <c r="A22423" s="7"/>
      <c r="B22423" s="7"/>
      <c r="M22423" s="9" t="s">
        <v>46</v>
      </c>
    </row>
    <row r="22424" ht="15.75" customHeight="1">
      <c r="A22424" s="7"/>
      <c r="B22424" s="7"/>
      <c r="M22424" s="9" t="s">
        <v>27</v>
      </c>
    </row>
    <row r="22425" ht="15.75" customHeight="1">
      <c r="A22425" s="7"/>
      <c r="B22425" s="7"/>
      <c r="M22425" s="9" t="s">
        <v>40</v>
      </c>
    </row>
    <row r="22426" ht="15.75" customHeight="1">
      <c r="A22426" s="7"/>
      <c r="B22426" s="7"/>
      <c r="M22426" s="9" t="s">
        <v>30</v>
      </c>
    </row>
    <row r="22427" ht="15.75" customHeight="1">
      <c r="A22427" s="7"/>
      <c r="B22427" s="7"/>
      <c r="M22427" s="9" t="s">
        <v>25</v>
      </c>
    </row>
    <row r="22428" ht="15.75" customHeight="1">
      <c r="A22428" s="7"/>
      <c r="B22428" s="7"/>
      <c r="M22428" s="9" t="s">
        <v>23</v>
      </c>
    </row>
    <row r="22429" ht="15.75" customHeight="1">
      <c r="A22429" s="7"/>
      <c r="B22429" s="7"/>
      <c r="M22429" s="9" t="s">
        <v>42</v>
      </c>
    </row>
    <row r="22430" ht="15.75" customHeight="1">
      <c r="A22430" s="7"/>
      <c r="B22430" s="7"/>
      <c r="M22430" s="9" t="s">
        <v>24</v>
      </c>
    </row>
    <row r="22431" ht="15.75" customHeight="1">
      <c r="A22431" s="7"/>
      <c r="B22431" s="7"/>
      <c r="M22431" s="9" t="s">
        <v>21</v>
      </c>
    </row>
    <row r="22432" ht="15.75" customHeight="1">
      <c r="A22432" s="7"/>
      <c r="B22432" s="7"/>
      <c r="M22432" s="9" t="s">
        <v>32</v>
      </c>
    </row>
    <row r="22433" ht="15.75" customHeight="1">
      <c r="A22433" s="7"/>
      <c r="B22433" s="7"/>
      <c r="M22433" s="9" t="s">
        <v>33</v>
      </c>
    </row>
    <row r="22434" ht="15.75" customHeight="1">
      <c r="A22434" s="7"/>
      <c r="B22434" s="7"/>
      <c r="M22434" s="9" t="s">
        <v>34</v>
      </c>
    </row>
    <row r="22435" ht="15.75" customHeight="1">
      <c r="A22435" s="7"/>
      <c r="B22435" s="7"/>
      <c r="M22435" s="9" t="s">
        <v>24</v>
      </c>
    </row>
    <row r="22436" ht="15.75" customHeight="1">
      <c r="A22436" s="7"/>
      <c r="B22436" s="7"/>
      <c r="M22436" s="9" t="s">
        <v>21</v>
      </c>
    </row>
    <row r="22437" ht="15.75" customHeight="1">
      <c r="A22437" s="7"/>
      <c r="B22437" s="7"/>
      <c r="M22437" s="9" t="s">
        <v>27</v>
      </c>
    </row>
    <row r="22438" ht="15.75" customHeight="1">
      <c r="A22438" s="7"/>
      <c r="B22438" s="7"/>
      <c r="M22438" s="9" t="s">
        <v>24</v>
      </c>
    </row>
    <row r="22439" ht="15.75" customHeight="1">
      <c r="A22439" s="7"/>
      <c r="B22439" s="7"/>
      <c r="M22439" s="9" t="s">
        <v>21</v>
      </c>
    </row>
    <row r="22440" ht="15.75" customHeight="1">
      <c r="A22440" s="7"/>
      <c r="B22440" s="7"/>
      <c r="M22440" s="9" t="s">
        <v>30</v>
      </c>
    </row>
    <row r="22441" ht="15.75" customHeight="1">
      <c r="A22441" s="7"/>
      <c r="B22441" s="7"/>
      <c r="M22441" s="9" t="s">
        <v>23</v>
      </c>
    </row>
    <row r="22442" ht="15.75" customHeight="1">
      <c r="A22442" s="7"/>
      <c r="B22442" s="7"/>
      <c r="M22442" s="9" t="s">
        <v>26</v>
      </c>
    </row>
    <row r="22443" ht="15.75" customHeight="1">
      <c r="A22443" s="7"/>
      <c r="B22443" s="7"/>
      <c r="M22443" s="9" t="s">
        <v>21</v>
      </c>
    </row>
    <row r="22444" ht="15.75" customHeight="1">
      <c r="A22444" s="7"/>
      <c r="B22444" s="7"/>
      <c r="M22444" s="9" t="s">
        <v>22</v>
      </c>
    </row>
    <row r="22445" ht="15.75" customHeight="1">
      <c r="A22445" s="7"/>
      <c r="B22445" s="7"/>
      <c r="M22445" s="9" t="s">
        <v>40</v>
      </c>
    </row>
    <row r="22446" ht="15.75" customHeight="1">
      <c r="A22446" s="7"/>
      <c r="B22446" s="7"/>
      <c r="M22446" s="9" t="s">
        <v>24</v>
      </c>
    </row>
    <row r="22447" ht="15.75" customHeight="1">
      <c r="A22447" s="7"/>
      <c r="B22447" s="7"/>
      <c r="M22447" s="9" t="s">
        <v>21</v>
      </c>
    </row>
    <row r="22448" ht="15.75" customHeight="1">
      <c r="A22448" s="7"/>
      <c r="B22448" s="7"/>
      <c r="M22448" s="9" t="s">
        <v>33</v>
      </c>
    </row>
    <row r="22449" ht="15.75" customHeight="1">
      <c r="A22449" s="7"/>
      <c r="B22449" s="7"/>
      <c r="M22449" s="9" t="s">
        <v>34</v>
      </c>
    </row>
    <row r="22450" ht="15.75" customHeight="1">
      <c r="A22450" s="7"/>
      <c r="B22450" s="7"/>
      <c r="M22450" s="9" t="s">
        <v>38</v>
      </c>
    </row>
    <row r="22451" ht="15.75" customHeight="1">
      <c r="A22451" s="7"/>
      <c r="B22451" s="7"/>
      <c r="M22451" s="9" t="s">
        <v>23</v>
      </c>
    </row>
    <row r="22452" ht="15.75" customHeight="1">
      <c r="A22452" s="7"/>
      <c r="B22452" s="7"/>
      <c r="M22452" s="9" t="s">
        <v>47</v>
      </c>
    </row>
    <row r="22453" ht="15.75" customHeight="1">
      <c r="A22453" s="7"/>
      <c r="B22453" s="7"/>
      <c r="M22453" s="9" t="s">
        <v>24</v>
      </c>
    </row>
    <row r="22454" ht="15.75" customHeight="1">
      <c r="A22454" s="7"/>
      <c r="B22454" s="7"/>
      <c r="M22454" s="9" t="s">
        <v>21</v>
      </c>
    </row>
    <row r="22455" ht="15.75" customHeight="1">
      <c r="A22455" s="7"/>
      <c r="B22455" s="7"/>
      <c r="M22455" s="9" t="s">
        <v>37</v>
      </c>
    </row>
    <row r="22456" ht="15.75" customHeight="1">
      <c r="A22456" s="7"/>
      <c r="B22456" s="7"/>
      <c r="M22456" s="9" t="s">
        <v>22</v>
      </c>
    </row>
    <row r="22457" ht="15.75" customHeight="1">
      <c r="A22457" s="7"/>
      <c r="B22457" s="7"/>
      <c r="M22457" s="9" t="s">
        <v>27</v>
      </c>
    </row>
    <row r="22458" ht="15.75" customHeight="1">
      <c r="A22458" s="7"/>
      <c r="B22458" s="7"/>
      <c r="M22458" s="9" t="s">
        <v>33</v>
      </c>
    </row>
    <row r="22459" ht="15.75" customHeight="1">
      <c r="A22459" s="7"/>
      <c r="B22459" s="7"/>
      <c r="M22459" s="9" t="s">
        <v>42</v>
      </c>
    </row>
    <row r="22460" ht="15.75" customHeight="1">
      <c r="A22460" s="7"/>
      <c r="B22460" s="7"/>
      <c r="M22460" s="9" t="s">
        <v>40</v>
      </c>
    </row>
    <row r="22461" ht="15.75" customHeight="1">
      <c r="A22461" s="7"/>
      <c r="B22461" s="7"/>
      <c r="M22461" s="9" t="s">
        <v>26</v>
      </c>
    </row>
    <row r="22462" ht="15.75" customHeight="1">
      <c r="A22462" s="7"/>
      <c r="B22462" s="7"/>
      <c r="M22462" s="9" t="s">
        <v>24</v>
      </c>
    </row>
    <row r="22463" ht="15.75" customHeight="1">
      <c r="A22463" s="7"/>
      <c r="B22463" s="7"/>
      <c r="M22463" s="9" t="s">
        <v>20</v>
      </c>
    </row>
    <row r="22464" ht="15.75" customHeight="1">
      <c r="A22464" s="7"/>
      <c r="B22464" s="7"/>
      <c r="M22464" s="9" t="s">
        <v>21</v>
      </c>
    </row>
    <row r="22465" ht="15.75" customHeight="1">
      <c r="A22465" s="7"/>
      <c r="B22465" s="7"/>
      <c r="M22465" s="9" t="s">
        <v>27</v>
      </c>
    </row>
    <row r="22466" ht="15.75" customHeight="1">
      <c r="A22466" s="7"/>
      <c r="B22466" s="7"/>
      <c r="M22466" s="9" t="s">
        <v>33</v>
      </c>
    </row>
    <row r="22467" ht="15.75" customHeight="1">
      <c r="A22467" s="7"/>
      <c r="B22467" s="7"/>
      <c r="M22467" s="9" t="s">
        <v>35</v>
      </c>
    </row>
    <row r="22468" ht="15.75" customHeight="1">
      <c r="A22468" s="7"/>
      <c r="B22468" s="7"/>
      <c r="M22468" s="9" t="s">
        <v>20</v>
      </c>
    </row>
    <row r="22469" ht="15.75" customHeight="1">
      <c r="A22469" s="7"/>
      <c r="B22469" s="7"/>
      <c r="M22469" s="9" t="s">
        <v>27</v>
      </c>
    </row>
    <row r="22470" ht="15.75" customHeight="1">
      <c r="A22470" s="7"/>
      <c r="B22470" s="7"/>
      <c r="M22470" s="9" t="s">
        <v>24</v>
      </c>
    </row>
    <row r="22471" ht="15.75" customHeight="1">
      <c r="A22471" s="7"/>
      <c r="B22471" s="7"/>
      <c r="M22471" s="9" t="s">
        <v>21</v>
      </c>
    </row>
    <row r="22472" ht="15.75" customHeight="1">
      <c r="A22472" s="7"/>
      <c r="B22472" s="7"/>
      <c r="M22472" s="9" t="s">
        <v>37</v>
      </c>
    </row>
    <row r="22473" ht="15.75" customHeight="1">
      <c r="A22473" s="7"/>
      <c r="B22473" s="7"/>
      <c r="M22473" s="9" t="s">
        <v>27</v>
      </c>
    </row>
    <row r="22474" ht="15.75" customHeight="1">
      <c r="A22474" s="7"/>
      <c r="B22474" s="7"/>
      <c r="M22474" s="9" t="s">
        <v>30</v>
      </c>
    </row>
    <row r="22475" ht="15.75" customHeight="1">
      <c r="A22475" s="7"/>
      <c r="B22475" s="7"/>
      <c r="M22475" s="9" t="s">
        <v>25</v>
      </c>
    </row>
    <row r="22476" ht="15.75" customHeight="1">
      <c r="A22476" s="7"/>
      <c r="B22476" s="7"/>
      <c r="M22476" s="9" t="s">
        <v>23</v>
      </c>
    </row>
    <row r="22477" ht="15.75" customHeight="1">
      <c r="A22477" s="7"/>
      <c r="B22477" s="7"/>
      <c r="M22477" s="9" t="s">
        <v>44</v>
      </c>
    </row>
    <row r="22478" ht="15.75" customHeight="1">
      <c r="A22478" s="7"/>
      <c r="B22478" s="7"/>
      <c r="M22478" s="9" t="s">
        <v>24</v>
      </c>
    </row>
    <row r="22479" ht="15.75" customHeight="1">
      <c r="A22479" s="7"/>
      <c r="B22479" s="7"/>
      <c r="M22479" s="9" t="s">
        <v>20</v>
      </c>
    </row>
    <row r="22480" ht="15.75" customHeight="1">
      <c r="A22480" s="7"/>
      <c r="B22480" s="7"/>
      <c r="M22480" s="9" t="s">
        <v>21</v>
      </c>
    </row>
    <row r="22481" ht="15.75" customHeight="1">
      <c r="A22481" s="7"/>
      <c r="B22481" s="7"/>
      <c r="M22481" s="9" t="s">
        <v>30</v>
      </c>
    </row>
    <row r="22482" ht="15.75" customHeight="1">
      <c r="A22482" s="7"/>
      <c r="B22482" s="7"/>
      <c r="M22482" s="9" t="s">
        <v>26</v>
      </c>
    </row>
    <row r="22483" ht="15.75" customHeight="1">
      <c r="A22483" s="7"/>
      <c r="B22483" s="7"/>
      <c r="M22483" s="9" t="s">
        <v>24</v>
      </c>
    </row>
    <row r="22484" ht="15.75" customHeight="1">
      <c r="A22484" s="7"/>
      <c r="B22484" s="7"/>
      <c r="M22484" s="9" t="s">
        <v>33</v>
      </c>
    </row>
    <row r="22485" ht="15.75" customHeight="1">
      <c r="A22485" s="7"/>
      <c r="B22485" s="7"/>
      <c r="M22485" s="9" t="s">
        <v>30</v>
      </c>
    </row>
    <row r="22486" ht="15.75" customHeight="1">
      <c r="A22486" s="7"/>
      <c r="B22486" s="7"/>
      <c r="M22486" s="9" t="s">
        <v>23</v>
      </c>
    </row>
    <row r="22487" ht="15.75" customHeight="1">
      <c r="A22487" s="7"/>
      <c r="B22487" s="7"/>
      <c r="M22487" s="9" t="s">
        <v>24</v>
      </c>
    </row>
    <row r="22488" ht="15.75" customHeight="1">
      <c r="A22488" s="7"/>
      <c r="B22488" s="7"/>
      <c r="M22488" s="9" t="s">
        <v>20</v>
      </c>
    </row>
    <row r="22489" ht="15.75" customHeight="1">
      <c r="A22489" s="7"/>
      <c r="B22489" s="7"/>
      <c r="M22489" s="9" t="s">
        <v>21</v>
      </c>
    </row>
    <row r="22490" ht="15.75" customHeight="1">
      <c r="A22490" s="7"/>
      <c r="B22490" s="7"/>
      <c r="M22490" s="9" t="s">
        <v>22</v>
      </c>
    </row>
    <row r="22491" ht="15.75" customHeight="1">
      <c r="A22491" s="7"/>
      <c r="B22491" s="7"/>
      <c r="M22491" s="9" t="s">
        <v>25</v>
      </c>
    </row>
    <row r="22492" ht="15.75" customHeight="1">
      <c r="A22492" s="7"/>
      <c r="B22492" s="7"/>
      <c r="M22492" s="9" t="s">
        <v>23</v>
      </c>
    </row>
    <row r="22493" ht="15.75" customHeight="1">
      <c r="A22493" s="7"/>
      <c r="B22493" s="7"/>
      <c r="M22493" s="9" t="s">
        <v>24</v>
      </c>
    </row>
    <row r="22494" ht="15.75" customHeight="1">
      <c r="A22494" s="7"/>
      <c r="B22494" s="7"/>
      <c r="M22494" s="9" t="s">
        <v>20</v>
      </c>
    </row>
    <row r="22495" ht="15.75" customHeight="1">
      <c r="A22495" s="7"/>
      <c r="B22495" s="7"/>
      <c r="M22495" s="9" t="s">
        <v>21</v>
      </c>
    </row>
    <row r="22496" ht="15.75" customHeight="1">
      <c r="A22496" s="7"/>
      <c r="B22496" s="7"/>
      <c r="M22496" s="9" t="s">
        <v>37</v>
      </c>
    </row>
    <row r="22497" ht="15.75" customHeight="1">
      <c r="A22497" s="7"/>
      <c r="B22497" s="7"/>
      <c r="M22497" s="9" t="s">
        <v>22</v>
      </c>
    </row>
    <row r="22498" ht="15.75" customHeight="1">
      <c r="A22498" s="7"/>
      <c r="B22498" s="7"/>
      <c r="M22498" s="9" t="s">
        <v>24</v>
      </c>
    </row>
    <row r="22499" ht="15.75" customHeight="1">
      <c r="A22499" s="7"/>
      <c r="B22499" s="7"/>
      <c r="M22499" s="9" t="s">
        <v>20</v>
      </c>
    </row>
    <row r="22500" ht="15.75" customHeight="1">
      <c r="A22500" s="7"/>
      <c r="B22500" s="7"/>
      <c r="M22500" s="9" t="s">
        <v>21</v>
      </c>
    </row>
    <row r="22501" ht="15.75" customHeight="1">
      <c r="A22501" s="7"/>
      <c r="B22501" s="7"/>
      <c r="M22501" s="9" t="s">
        <v>37</v>
      </c>
    </row>
    <row r="22502" ht="15.75" customHeight="1">
      <c r="A22502" s="7"/>
      <c r="B22502" s="7"/>
      <c r="M22502" s="9" t="s">
        <v>22</v>
      </c>
    </row>
    <row r="22503" ht="15.75" customHeight="1">
      <c r="A22503" s="7"/>
      <c r="B22503" s="7"/>
      <c r="M22503" s="9" t="s">
        <v>29</v>
      </c>
    </row>
    <row r="22504" ht="15.75" customHeight="1">
      <c r="A22504" s="7"/>
      <c r="B22504" s="7"/>
      <c r="M22504" s="9" t="s">
        <v>27</v>
      </c>
    </row>
    <row r="22505" ht="15.75" customHeight="1">
      <c r="A22505" s="7"/>
      <c r="B22505" s="7"/>
      <c r="M22505" s="9" t="s">
        <v>30</v>
      </c>
    </row>
    <row r="22506" ht="15.75" customHeight="1">
      <c r="A22506" s="7"/>
      <c r="B22506" s="7"/>
      <c r="M22506" s="9" t="s">
        <v>26</v>
      </c>
    </row>
    <row r="22507" ht="15.75" customHeight="1">
      <c r="A22507" s="7"/>
      <c r="B22507" s="7"/>
      <c r="M22507" s="9" t="s">
        <v>24</v>
      </c>
    </row>
    <row r="22508" ht="15.75" customHeight="1">
      <c r="A22508" s="7"/>
      <c r="B22508" s="7"/>
      <c r="M22508" s="9" t="s">
        <v>21</v>
      </c>
    </row>
    <row r="22509" ht="15.75" customHeight="1">
      <c r="A22509" s="7"/>
      <c r="B22509" s="7"/>
      <c r="M22509" s="9" t="s">
        <v>27</v>
      </c>
    </row>
    <row r="22510" ht="15.75" customHeight="1">
      <c r="A22510" s="7"/>
      <c r="B22510" s="7"/>
      <c r="M22510" s="9" t="s">
        <v>33</v>
      </c>
    </row>
    <row r="22511" ht="15.75" customHeight="1">
      <c r="A22511" s="7"/>
      <c r="B22511" s="7"/>
      <c r="M22511" s="9" t="s">
        <v>24</v>
      </c>
    </row>
    <row r="22512" ht="15.75" customHeight="1">
      <c r="A22512" s="7"/>
      <c r="B22512" s="7"/>
      <c r="M22512" s="9" t="s">
        <v>20</v>
      </c>
    </row>
    <row r="22513" ht="15.75" customHeight="1">
      <c r="A22513" s="7"/>
      <c r="B22513" s="7"/>
      <c r="M22513" s="9" t="s">
        <v>21</v>
      </c>
    </row>
    <row r="22514" ht="15.75" customHeight="1">
      <c r="A22514" s="7"/>
      <c r="B22514" s="7"/>
      <c r="M22514" s="9" t="s">
        <v>22</v>
      </c>
    </row>
    <row r="22515" ht="15.75" customHeight="1">
      <c r="A22515" s="7"/>
      <c r="B22515" s="7"/>
      <c r="M22515" s="9" t="s">
        <v>31</v>
      </c>
    </row>
    <row r="22516" ht="15.75" customHeight="1">
      <c r="A22516" s="7"/>
      <c r="B22516" s="7"/>
      <c r="M22516" s="9" t="s">
        <v>40</v>
      </c>
    </row>
    <row r="22517" ht="15.75" customHeight="1">
      <c r="A22517" s="7"/>
      <c r="B22517" s="7"/>
      <c r="M22517" s="9" t="s">
        <v>24</v>
      </c>
    </row>
    <row r="22518" ht="15.75" customHeight="1">
      <c r="A22518" s="7"/>
      <c r="B22518" s="7"/>
      <c r="M22518" s="9" t="s">
        <v>20</v>
      </c>
    </row>
    <row r="22519" ht="15.75" customHeight="1">
      <c r="A22519" s="7"/>
      <c r="B22519" s="7"/>
      <c r="M22519" s="9" t="s">
        <v>21</v>
      </c>
    </row>
    <row r="22520" ht="15.75" customHeight="1">
      <c r="A22520" s="7"/>
      <c r="B22520" s="7"/>
      <c r="M22520" s="9" t="s">
        <v>37</v>
      </c>
    </row>
    <row r="22521" ht="15.75" customHeight="1">
      <c r="A22521" s="7"/>
      <c r="B22521" s="7"/>
      <c r="M22521" s="9" t="s">
        <v>27</v>
      </c>
    </row>
    <row r="22522" ht="15.75" customHeight="1">
      <c r="A22522" s="7"/>
      <c r="B22522" s="7"/>
      <c r="M22522" s="9" t="s">
        <v>35</v>
      </c>
    </row>
    <row r="22523" ht="15.75" customHeight="1">
      <c r="A22523" s="7"/>
      <c r="B22523" s="7"/>
      <c r="M22523" s="9" t="s">
        <v>24</v>
      </c>
    </row>
    <row r="22524" ht="15.75" customHeight="1">
      <c r="A22524" s="7"/>
      <c r="B22524" s="7"/>
      <c r="M22524" s="9" t="s">
        <v>21</v>
      </c>
    </row>
    <row r="22525" ht="15.75" customHeight="1">
      <c r="A22525" s="7"/>
      <c r="B22525" s="7"/>
      <c r="M22525" s="9" t="s">
        <v>31</v>
      </c>
    </row>
    <row r="22526" ht="15.75" customHeight="1">
      <c r="A22526" s="7"/>
      <c r="B22526" s="7"/>
      <c r="M22526" s="9" t="s">
        <v>32</v>
      </c>
    </row>
    <row r="22527" ht="15.75" customHeight="1">
      <c r="A22527" s="7"/>
      <c r="B22527" s="7"/>
      <c r="M22527" s="9" t="s">
        <v>27</v>
      </c>
    </row>
    <row r="22528" ht="15.75" customHeight="1">
      <c r="A22528" s="7"/>
      <c r="B22528" s="7"/>
      <c r="M22528" s="9" t="s">
        <v>24</v>
      </c>
    </row>
    <row r="22529" ht="15.75" customHeight="1">
      <c r="A22529" s="7"/>
      <c r="B22529" s="7"/>
      <c r="M22529" s="9" t="s">
        <v>21</v>
      </c>
    </row>
    <row r="22530" ht="15.75" customHeight="1">
      <c r="A22530" s="7"/>
      <c r="B22530" s="7"/>
      <c r="M22530" s="9" t="s">
        <v>37</v>
      </c>
    </row>
    <row r="22531" ht="15.75" customHeight="1">
      <c r="A22531" s="7"/>
      <c r="B22531" s="7"/>
      <c r="M22531" s="9" t="s">
        <v>31</v>
      </c>
    </row>
    <row r="22532" ht="15.75" customHeight="1">
      <c r="A22532" s="7"/>
      <c r="B22532" s="7"/>
      <c r="M22532" s="9" t="s">
        <v>27</v>
      </c>
    </row>
    <row r="22533" ht="15.75" customHeight="1">
      <c r="A22533" s="7"/>
      <c r="B22533" s="7"/>
      <c r="M22533" s="9" t="s">
        <v>33</v>
      </c>
    </row>
    <row r="22534" ht="15.75" customHeight="1">
      <c r="A22534" s="7"/>
      <c r="B22534" s="7"/>
      <c r="M22534" s="9" t="s">
        <v>24</v>
      </c>
    </row>
    <row r="22535" ht="15.75" customHeight="1">
      <c r="A22535" s="7"/>
      <c r="B22535" s="7"/>
      <c r="M22535" s="9" t="s">
        <v>21</v>
      </c>
    </row>
    <row r="22536" ht="15.75" customHeight="1">
      <c r="A22536" s="7"/>
      <c r="B22536" s="7"/>
      <c r="M22536" s="9" t="s">
        <v>37</v>
      </c>
    </row>
    <row r="22537" ht="15.75" customHeight="1">
      <c r="A22537" s="7"/>
      <c r="B22537" s="7"/>
      <c r="M22537" s="9" t="s">
        <v>30</v>
      </c>
    </row>
    <row r="22538" ht="15.75" customHeight="1">
      <c r="A22538" s="7"/>
      <c r="B22538" s="7"/>
      <c r="M22538" s="9" t="s">
        <v>24</v>
      </c>
    </row>
    <row r="22539" ht="15.75" customHeight="1">
      <c r="A22539" s="7"/>
      <c r="B22539" s="7"/>
      <c r="M22539" s="9" t="s">
        <v>20</v>
      </c>
    </row>
    <row r="22540" ht="15.75" customHeight="1">
      <c r="A22540" s="7"/>
      <c r="B22540" s="7"/>
      <c r="M22540" s="9" t="s">
        <v>24</v>
      </c>
    </row>
    <row r="22541" ht="15.75" customHeight="1">
      <c r="A22541" s="7"/>
      <c r="B22541" s="7"/>
      <c r="M22541" s="9" t="s">
        <v>21</v>
      </c>
    </row>
    <row r="22542" ht="15.75" customHeight="1">
      <c r="A22542" s="7"/>
      <c r="B22542" s="7"/>
      <c r="M22542" s="9" t="s">
        <v>37</v>
      </c>
    </row>
    <row r="22543" ht="15.75" customHeight="1">
      <c r="A22543" s="7"/>
      <c r="B22543" s="7"/>
      <c r="M22543" s="9" t="s">
        <v>25</v>
      </c>
    </row>
    <row r="22544" ht="15.75" customHeight="1">
      <c r="A22544" s="7"/>
      <c r="B22544" s="7"/>
      <c r="M22544" s="9" t="s">
        <v>23</v>
      </c>
    </row>
    <row r="22545" ht="15.75" customHeight="1">
      <c r="A22545" s="7"/>
      <c r="B22545" s="7"/>
      <c r="M22545" s="9" t="s">
        <v>26</v>
      </c>
    </row>
    <row r="22546" ht="15.75" customHeight="1">
      <c r="A22546" s="7"/>
      <c r="B22546" s="7"/>
      <c r="M22546" s="9" t="s">
        <v>44</v>
      </c>
    </row>
    <row r="22547" ht="15.75" customHeight="1">
      <c r="A22547" s="7"/>
      <c r="B22547" s="7"/>
      <c r="M22547" s="9" t="s">
        <v>42</v>
      </c>
    </row>
    <row r="22548" ht="15.75" customHeight="1">
      <c r="A22548" s="7"/>
      <c r="B22548" s="7"/>
      <c r="M22548" s="9" t="s">
        <v>24</v>
      </c>
    </row>
    <row r="22549" ht="15.75" customHeight="1">
      <c r="A22549" s="7"/>
      <c r="B22549" s="7"/>
      <c r="M22549" s="9" t="s">
        <v>21</v>
      </c>
    </row>
    <row r="22550" ht="15.75" customHeight="1">
      <c r="A22550" s="7"/>
      <c r="B22550" s="7"/>
      <c r="M22550" s="9" t="s">
        <v>33</v>
      </c>
    </row>
    <row r="22551" ht="15.75" customHeight="1">
      <c r="A22551" s="7"/>
      <c r="B22551" s="7"/>
      <c r="M22551" s="9" t="s">
        <v>34</v>
      </c>
    </row>
    <row r="22552" ht="15.75" customHeight="1">
      <c r="A22552" s="7"/>
      <c r="B22552" s="7"/>
      <c r="M22552" s="9" t="s">
        <v>30</v>
      </c>
    </row>
    <row r="22553" ht="15.75" customHeight="1">
      <c r="A22553" s="7"/>
      <c r="B22553" s="7"/>
      <c r="M22553" s="9" t="s">
        <v>20</v>
      </c>
    </row>
    <row r="22554" ht="15.75" customHeight="1">
      <c r="A22554" s="7"/>
      <c r="B22554" s="7"/>
      <c r="M22554" s="9" t="s">
        <v>37</v>
      </c>
    </row>
    <row r="22555" ht="15.75" customHeight="1">
      <c r="A22555" s="7"/>
      <c r="B22555" s="7"/>
      <c r="M22555" s="9" t="s">
        <v>24</v>
      </c>
    </row>
    <row r="22556" ht="15.75" customHeight="1">
      <c r="A22556" s="7"/>
      <c r="B22556" s="7"/>
      <c r="M22556" s="9" t="s">
        <v>22</v>
      </c>
    </row>
    <row r="22557" ht="15.75" customHeight="1">
      <c r="A22557" s="7"/>
      <c r="B22557" s="7"/>
      <c r="M22557" s="9" t="s">
        <v>30</v>
      </c>
    </row>
    <row r="22558" ht="15.75" customHeight="1">
      <c r="A22558" s="7"/>
      <c r="B22558" s="7"/>
      <c r="M22558" s="9" t="s">
        <v>36</v>
      </c>
    </row>
    <row r="22559" ht="15.75" customHeight="1">
      <c r="A22559" s="7"/>
      <c r="B22559" s="7"/>
      <c r="M22559" s="9" t="s">
        <v>24</v>
      </c>
    </row>
    <row r="22560" ht="15.75" customHeight="1">
      <c r="A22560" s="7"/>
      <c r="B22560" s="7"/>
      <c r="M22560" s="9" t="s">
        <v>21</v>
      </c>
    </row>
    <row r="22561" ht="15.75" customHeight="1">
      <c r="A22561" s="7"/>
      <c r="B22561" s="7"/>
      <c r="M22561" s="9" t="s">
        <v>22</v>
      </c>
    </row>
    <row r="22562" ht="15.75" customHeight="1">
      <c r="A22562" s="7"/>
      <c r="B22562" s="7"/>
      <c r="M22562" s="9" t="s">
        <v>27</v>
      </c>
    </row>
    <row r="22563" ht="15.75" customHeight="1">
      <c r="A22563" s="7"/>
      <c r="B22563" s="7"/>
      <c r="M22563" s="9" t="s">
        <v>35</v>
      </c>
    </row>
    <row r="22564" ht="15.75" customHeight="1">
      <c r="A22564" s="7"/>
      <c r="B22564" s="7"/>
      <c r="M22564" s="9" t="s">
        <v>24</v>
      </c>
    </row>
    <row r="22565" ht="15.75" customHeight="1">
      <c r="A22565" s="7"/>
      <c r="B22565" s="7"/>
      <c r="M22565" s="9" t="s">
        <v>21</v>
      </c>
    </row>
    <row r="22566" ht="15.75" customHeight="1">
      <c r="A22566" s="7"/>
      <c r="B22566" s="7"/>
      <c r="M22566" s="9" t="s">
        <v>37</v>
      </c>
    </row>
    <row r="22567" ht="15.75" customHeight="1">
      <c r="A22567" s="7"/>
      <c r="B22567" s="7"/>
      <c r="M22567" s="9" t="s">
        <v>27</v>
      </c>
    </row>
    <row r="22568" ht="15.75" customHeight="1">
      <c r="A22568" s="7"/>
      <c r="B22568" s="7"/>
      <c r="M22568" s="9" t="s">
        <v>35</v>
      </c>
    </row>
    <row r="22569" ht="15.75" customHeight="1">
      <c r="A22569" s="7"/>
      <c r="B22569" s="7"/>
      <c r="M22569" s="9" t="s">
        <v>26</v>
      </c>
    </row>
    <row r="22570" ht="15.75" customHeight="1">
      <c r="A22570" s="7"/>
      <c r="B22570" s="7"/>
      <c r="M22570" s="9" t="s">
        <v>24</v>
      </c>
    </row>
    <row r="22571" ht="15.75" customHeight="1">
      <c r="A22571" s="7"/>
      <c r="B22571" s="7"/>
      <c r="M22571" s="9" t="s">
        <v>21</v>
      </c>
    </row>
    <row r="22572" ht="15.75" customHeight="1">
      <c r="A22572" s="7"/>
      <c r="B22572" s="7"/>
      <c r="M22572" s="9" t="s">
        <v>27</v>
      </c>
    </row>
    <row r="22573" ht="15.75" customHeight="1">
      <c r="A22573" s="7"/>
      <c r="B22573" s="7"/>
      <c r="M22573" s="9" t="s">
        <v>33</v>
      </c>
    </row>
    <row r="22574" ht="15.75" customHeight="1">
      <c r="A22574" s="7"/>
      <c r="B22574" s="7"/>
      <c r="M22574" s="9" t="s">
        <v>30</v>
      </c>
    </row>
    <row r="22575" ht="15.75" customHeight="1">
      <c r="A22575" s="7"/>
      <c r="B22575" s="7"/>
      <c r="M22575" s="9" t="s">
        <v>26</v>
      </c>
    </row>
    <row r="22576" ht="15.75" customHeight="1">
      <c r="A22576" s="7"/>
      <c r="B22576" s="7"/>
      <c r="M22576" s="9" t="s">
        <v>21</v>
      </c>
    </row>
    <row r="22577" ht="15.75" customHeight="1">
      <c r="A22577" s="7"/>
      <c r="B22577" s="7"/>
      <c r="M22577" s="9" t="s">
        <v>22</v>
      </c>
    </row>
    <row r="22578" ht="15.75" customHeight="1">
      <c r="A22578" s="7"/>
      <c r="B22578" s="7"/>
      <c r="M22578" s="9" t="s">
        <v>27</v>
      </c>
    </row>
    <row r="22579" ht="15.75" customHeight="1">
      <c r="A22579" s="7"/>
      <c r="B22579" s="7"/>
      <c r="M22579" s="9" t="s">
        <v>34</v>
      </c>
    </row>
    <row r="22580" ht="15.75" customHeight="1">
      <c r="A22580" s="7"/>
      <c r="B22580" s="7"/>
      <c r="M22580" s="9" t="s">
        <v>30</v>
      </c>
    </row>
    <row r="22581" ht="15.75" customHeight="1">
      <c r="A22581" s="7"/>
      <c r="B22581" s="7"/>
      <c r="M22581" s="9" t="s">
        <v>23</v>
      </c>
    </row>
    <row r="22582" ht="15.75" customHeight="1">
      <c r="A22582" s="7"/>
      <c r="B22582" s="7"/>
      <c r="M22582" s="9" t="s">
        <v>24</v>
      </c>
    </row>
    <row r="22583" ht="15.75" customHeight="1">
      <c r="A22583" s="7"/>
      <c r="B22583" s="7"/>
      <c r="M22583" s="9" t="s">
        <v>21</v>
      </c>
    </row>
    <row r="22584" ht="15.75" customHeight="1">
      <c r="A22584" s="7"/>
      <c r="B22584" s="7"/>
      <c r="M22584" s="9" t="s">
        <v>22</v>
      </c>
    </row>
    <row r="22585" ht="15.75" customHeight="1">
      <c r="A22585" s="7"/>
      <c r="B22585" s="7"/>
      <c r="M22585" s="9" t="s">
        <v>33</v>
      </c>
    </row>
    <row r="22586" ht="15.75" customHeight="1">
      <c r="A22586" s="7"/>
      <c r="B22586" s="7"/>
      <c r="M22586" s="9" t="s">
        <v>30</v>
      </c>
    </row>
    <row r="22587" ht="15.75" customHeight="1">
      <c r="A22587" s="7"/>
      <c r="B22587" s="7"/>
      <c r="M22587" s="9" t="s">
        <v>23</v>
      </c>
    </row>
    <row r="22588" ht="15.75" customHeight="1">
      <c r="A22588" s="7"/>
      <c r="B22588" s="7"/>
      <c r="M22588" s="9" t="s">
        <v>22</v>
      </c>
    </row>
    <row r="22589" ht="15.75" customHeight="1">
      <c r="A22589" s="7"/>
      <c r="B22589" s="7"/>
      <c r="M22589" s="9" t="s">
        <v>25</v>
      </c>
    </row>
    <row r="22590" ht="15.75" customHeight="1">
      <c r="A22590" s="7"/>
      <c r="B22590" s="7"/>
      <c r="M22590" s="9" t="s">
        <v>23</v>
      </c>
    </row>
    <row r="22591" ht="15.75" customHeight="1">
      <c r="A22591" s="7"/>
      <c r="B22591" s="7"/>
      <c r="M22591" s="9" t="s">
        <v>43</v>
      </c>
    </row>
    <row r="22592" ht="15.75" customHeight="1">
      <c r="A22592" s="7"/>
      <c r="B22592" s="7"/>
      <c r="M22592" s="9" t="s">
        <v>30</v>
      </c>
    </row>
    <row r="22593" ht="15.75" customHeight="1">
      <c r="A22593" s="7"/>
      <c r="B22593" s="7"/>
      <c r="M22593" s="9" t="s">
        <v>26</v>
      </c>
    </row>
    <row r="22594" ht="15.75" customHeight="1">
      <c r="A22594" s="7"/>
      <c r="B22594" s="7"/>
      <c r="M22594" s="9" t="s">
        <v>24</v>
      </c>
    </row>
    <row r="22595" ht="15.75" customHeight="1">
      <c r="A22595" s="7"/>
      <c r="B22595" s="7"/>
      <c r="M22595" s="9" t="s">
        <v>21</v>
      </c>
    </row>
    <row r="22596" ht="15.75" customHeight="1">
      <c r="A22596" s="7"/>
      <c r="B22596" s="7"/>
      <c r="M22596" s="9" t="s">
        <v>32</v>
      </c>
    </row>
    <row r="22597" ht="15.75" customHeight="1">
      <c r="A22597" s="7"/>
      <c r="B22597" s="7"/>
      <c r="M22597" s="9" t="s">
        <v>27</v>
      </c>
    </row>
    <row r="22598" ht="15.75" customHeight="1">
      <c r="A22598" s="7"/>
      <c r="B22598" s="7"/>
      <c r="M22598" s="9" t="s">
        <v>33</v>
      </c>
    </row>
    <row r="22599" ht="15.75" customHeight="1">
      <c r="A22599" s="7"/>
      <c r="B22599" s="7"/>
      <c r="M22599" s="9" t="s">
        <v>28</v>
      </c>
    </row>
    <row r="22600" ht="15.75" customHeight="1">
      <c r="A22600" s="7"/>
      <c r="B22600" s="7"/>
      <c r="M22600" s="9" t="s">
        <v>26</v>
      </c>
    </row>
    <row r="22601" ht="15.75" customHeight="1">
      <c r="A22601" s="7"/>
      <c r="B22601" s="7"/>
      <c r="M22601" s="9" t="s">
        <v>24</v>
      </c>
    </row>
    <row r="22602" ht="15.75" customHeight="1">
      <c r="A22602" s="7"/>
      <c r="B22602" s="7"/>
      <c r="M22602" s="9" t="s">
        <v>21</v>
      </c>
    </row>
    <row r="22603" ht="15.75" customHeight="1">
      <c r="A22603" s="7"/>
      <c r="B22603" s="7"/>
      <c r="M22603" s="9" t="s">
        <v>37</v>
      </c>
    </row>
    <row r="22604" ht="15.75" customHeight="1">
      <c r="A22604" s="7"/>
      <c r="B22604" s="7"/>
      <c r="M22604" s="9" t="s">
        <v>22</v>
      </c>
    </row>
    <row r="22605" ht="15.75" customHeight="1">
      <c r="A22605" s="7"/>
      <c r="B22605" s="7"/>
      <c r="M22605" s="9" t="s">
        <v>27</v>
      </c>
    </row>
    <row r="22606" ht="15.75" customHeight="1">
      <c r="A22606" s="7"/>
      <c r="B22606" s="7"/>
      <c r="M22606" s="9" t="s">
        <v>30</v>
      </c>
    </row>
    <row r="22607" ht="15.75" customHeight="1">
      <c r="A22607" s="7"/>
      <c r="B22607" s="7"/>
      <c r="M22607" s="9" t="s">
        <v>24</v>
      </c>
    </row>
    <row r="22608" ht="15.75" customHeight="1">
      <c r="A22608" s="7"/>
      <c r="B22608" s="7"/>
      <c r="M22608" s="9" t="s">
        <v>21</v>
      </c>
    </row>
    <row r="22609" ht="15.75" customHeight="1">
      <c r="A22609" s="7"/>
      <c r="B22609" s="7"/>
      <c r="M22609" s="9" t="s">
        <v>37</v>
      </c>
    </row>
    <row r="22610" ht="15.75" customHeight="1">
      <c r="A22610" s="7"/>
      <c r="B22610" s="7"/>
      <c r="M22610" s="9" t="s">
        <v>31</v>
      </c>
    </row>
    <row r="22611" ht="15.75" customHeight="1">
      <c r="A22611" s="7"/>
      <c r="B22611" s="7"/>
      <c r="M22611" s="9" t="s">
        <v>27</v>
      </c>
    </row>
    <row r="22612" ht="15.75" customHeight="1">
      <c r="A22612" s="7"/>
      <c r="B22612" s="7"/>
      <c r="M22612" s="9" t="s">
        <v>24</v>
      </c>
    </row>
    <row r="22613" ht="15.75" customHeight="1">
      <c r="A22613" s="7"/>
      <c r="B22613" s="7"/>
      <c r="M22613" s="9" t="s">
        <v>20</v>
      </c>
    </row>
    <row r="22614" ht="15.75" customHeight="1">
      <c r="A22614" s="7"/>
      <c r="B22614" s="7"/>
      <c r="M22614" s="9" t="s">
        <v>27</v>
      </c>
    </row>
    <row r="22615" ht="15.75" customHeight="1">
      <c r="A22615" s="7"/>
      <c r="B22615" s="7"/>
      <c r="M22615" s="9" t="s">
        <v>25</v>
      </c>
    </row>
    <row r="22616" ht="15.75" customHeight="1">
      <c r="A22616" s="7"/>
      <c r="B22616" s="7"/>
      <c r="M22616" s="9" t="s">
        <v>26</v>
      </c>
    </row>
    <row r="22617" ht="15.75" customHeight="1">
      <c r="A22617" s="7"/>
      <c r="B22617" s="7"/>
      <c r="M22617" s="9" t="s">
        <v>20</v>
      </c>
    </row>
    <row r="22618" ht="15.75" customHeight="1">
      <c r="A22618" s="7"/>
      <c r="B22618" s="7"/>
      <c r="M22618" s="9" t="s">
        <v>21</v>
      </c>
    </row>
    <row r="22619" ht="15.75" customHeight="1">
      <c r="A22619" s="7"/>
      <c r="B22619" s="7"/>
      <c r="M22619" s="9" t="s">
        <v>39</v>
      </c>
    </row>
    <row r="22620" ht="15.75" customHeight="1">
      <c r="A22620" s="7"/>
      <c r="B22620" s="7"/>
      <c r="M22620" s="9" t="s">
        <v>22</v>
      </c>
    </row>
    <row r="22621" ht="15.75" customHeight="1">
      <c r="A22621" s="7"/>
      <c r="B22621" s="7"/>
      <c r="M22621" s="9" t="s">
        <v>32</v>
      </c>
    </row>
    <row r="22622" ht="15.75" customHeight="1">
      <c r="A22622" s="7"/>
      <c r="B22622" s="7"/>
      <c r="M22622" s="9" t="s">
        <v>35</v>
      </c>
    </row>
    <row r="22623" ht="15.75" customHeight="1">
      <c r="A22623" s="7"/>
      <c r="B22623" s="7"/>
      <c r="M22623" s="9" t="s">
        <v>30</v>
      </c>
    </row>
    <row r="22624" ht="15.75" customHeight="1">
      <c r="A22624" s="7"/>
      <c r="B22624" s="7"/>
      <c r="M22624" s="9" t="s">
        <v>23</v>
      </c>
    </row>
    <row r="22625" ht="15.75" customHeight="1">
      <c r="A22625" s="7"/>
      <c r="B22625" s="7"/>
      <c r="M22625" s="9" t="s">
        <v>26</v>
      </c>
    </row>
    <row r="22626" ht="15.75" customHeight="1">
      <c r="A22626" s="7"/>
      <c r="B22626" s="7"/>
      <c r="M22626" s="9" t="s">
        <v>22</v>
      </c>
    </row>
    <row r="22627" ht="15.75" customHeight="1">
      <c r="A22627" s="7"/>
      <c r="B22627" s="7"/>
      <c r="M22627" s="9" t="s">
        <v>30</v>
      </c>
    </row>
    <row r="22628" ht="15.75" customHeight="1">
      <c r="A22628" s="7"/>
      <c r="B22628" s="7"/>
      <c r="M22628" s="9" t="s">
        <v>20</v>
      </c>
    </row>
    <row r="22629" ht="15.75" customHeight="1">
      <c r="A22629" s="7"/>
      <c r="B22629" s="7"/>
      <c r="M22629" s="9" t="s">
        <v>22</v>
      </c>
    </row>
    <row r="22630" ht="15.75" customHeight="1">
      <c r="A22630" s="7"/>
      <c r="B22630" s="7"/>
      <c r="M22630" s="9" t="s">
        <v>24</v>
      </c>
    </row>
    <row r="22631" ht="15.75" customHeight="1">
      <c r="A22631" s="7"/>
      <c r="B22631" s="7"/>
      <c r="M22631" s="9" t="s">
        <v>21</v>
      </c>
    </row>
    <row r="22632" ht="15.75" customHeight="1">
      <c r="A22632" s="7"/>
      <c r="B22632" s="7"/>
      <c r="M22632" s="9" t="s">
        <v>31</v>
      </c>
    </row>
    <row r="22633" ht="15.75" customHeight="1">
      <c r="A22633" s="7"/>
      <c r="B22633" s="7"/>
      <c r="M22633" s="9" t="s">
        <v>27</v>
      </c>
    </row>
    <row r="22634" ht="15.75" customHeight="1">
      <c r="A22634" s="7"/>
      <c r="B22634" s="7"/>
      <c r="M22634" s="9" t="s">
        <v>24</v>
      </c>
    </row>
    <row r="22635" ht="15.75" customHeight="1">
      <c r="A22635" s="7"/>
      <c r="B22635" s="7"/>
      <c r="M22635" s="9" t="s">
        <v>21</v>
      </c>
    </row>
    <row r="22636" ht="15.75" customHeight="1">
      <c r="A22636" s="7"/>
      <c r="B22636" s="7"/>
      <c r="M22636" s="9" t="s">
        <v>37</v>
      </c>
    </row>
    <row r="22637" ht="15.75" customHeight="1">
      <c r="A22637" s="7"/>
      <c r="B22637" s="7"/>
      <c r="M22637" s="9" t="s">
        <v>27</v>
      </c>
    </row>
    <row r="22638" ht="15.75" customHeight="1">
      <c r="A22638" s="7"/>
      <c r="B22638" s="7"/>
      <c r="M22638" s="9" t="s">
        <v>30</v>
      </c>
    </row>
    <row r="22639" ht="15.75" customHeight="1">
      <c r="A22639" s="7"/>
      <c r="B22639" s="7"/>
      <c r="M22639" s="9" t="s">
        <v>24</v>
      </c>
    </row>
    <row r="22640" ht="15.75" customHeight="1">
      <c r="A22640" s="7"/>
      <c r="B22640" s="7"/>
      <c r="M22640" s="9" t="s">
        <v>21</v>
      </c>
    </row>
    <row r="22641" ht="15.75" customHeight="1">
      <c r="A22641" s="7"/>
      <c r="B22641" s="7"/>
      <c r="M22641" s="9" t="s">
        <v>22</v>
      </c>
    </row>
    <row r="22642" ht="15.75" customHeight="1">
      <c r="A22642" s="7"/>
      <c r="B22642" s="7"/>
      <c r="M22642" s="9" t="s">
        <v>27</v>
      </c>
    </row>
    <row r="22643" ht="15.75" customHeight="1">
      <c r="A22643" s="7"/>
      <c r="B22643" s="7"/>
      <c r="M22643" s="9" t="s">
        <v>24</v>
      </c>
    </row>
    <row r="22644" ht="15.75" customHeight="1">
      <c r="A22644" s="7"/>
      <c r="B22644" s="7"/>
      <c r="M22644" s="9" t="s">
        <v>21</v>
      </c>
    </row>
    <row r="22645" ht="15.75" customHeight="1">
      <c r="A22645" s="7"/>
      <c r="B22645" s="7"/>
      <c r="M22645" s="9" t="s">
        <v>30</v>
      </c>
    </row>
    <row r="22646" ht="15.75" customHeight="1">
      <c r="A22646" s="7"/>
      <c r="B22646" s="7"/>
      <c r="M22646" s="9" t="s">
        <v>23</v>
      </c>
    </row>
    <row r="22647" ht="15.75" customHeight="1">
      <c r="A22647" s="7"/>
      <c r="B22647" s="7"/>
      <c r="M22647" s="9" t="s">
        <v>22</v>
      </c>
    </row>
    <row r="22648" ht="15.75" customHeight="1">
      <c r="A22648" s="7"/>
      <c r="B22648" s="7"/>
      <c r="M22648" s="9" t="s">
        <v>29</v>
      </c>
    </row>
    <row r="22649" ht="15.75" customHeight="1">
      <c r="A22649" s="7"/>
      <c r="B22649" s="7"/>
      <c r="M22649" s="9" t="s">
        <v>28</v>
      </c>
    </row>
    <row r="22650" ht="15.75" customHeight="1">
      <c r="A22650" s="7"/>
      <c r="B22650" s="7"/>
      <c r="M22650" s="9" t="s">
        <v>30</v>
      </c>
    </row>
    <row r="22651" ht="15.75" customHeight="1">
      <c r="A22651" s="7"/>
      <c r="B22651" s="7"/>
      <c r="M22651" s="9" t="s">
        <v>20</v>
      </c>
    </row>
    <row r="22652" ht="15.75" customHeight="1">
      <c r="A22652" s="7"/>
      <c r="B22652" s="7"/>
      <c r="M22652" s="9" t="s">
        <v>39</v>
      </c>
    </row>
    <row r="22653" ht="15.75" customHeight="1">
      <c r="A22653" s="7"/>
      <c r="B22653" s="7"/>
      <c r="M22653" s="9" t="s">
        <v>22</v>
      </c>
    </row>
    <row r="22654" ht="15.75" customHeight="1">
      <c r="A22654" s="7"/>
      <c r="B22654" s="7"/>
      <c r="M22654" s="9" t="s">
        <v>31</v>
      </c>
    </row>
    <row r="22655" ht="15.75" customHeight="1">
      <c r="A22655" s="7"/>
      <c r="B22655" s="7"/>
      <c r="M22655" s="9" t="s">
        <v>30</v>
      </c>
    </row>
    <row r="22656" ht="15.75" customHeight="1">
      <c r="A22656" s="7"/>
      <c r="B22656" s="7"/>
      <c r="M22656" s="9" t="s">
        <v>25</v>
      </c>
    </row>
    <row r="22657" ht="15.75" customHeight="1">
      <c r="A22657" s="7"/>
      <c r="B22657" s="7"/>
      <c r="M22657" s="9" t="s">
        <v>23</v>
      </c>
    </row>
    <row r="22658" ht="15.75" customHeight="1">
      <c r="A22658" s="7"/>
      <c r="B22658" s="7"/>
      <c r="M22658" s="9" t="s">
        <v>21</v>
      </c>
    </row>
    <row r="22659" ht="15.75" customHeight="1">
      <c r="A22659" s="7"/>
      <c r="B22659" s="7"/>
      <c r="M22659" s="9" t="s">
        <v>22</v>
      </c>
    </row>
    <row r="22660" ht="15.75" customHeight="1">
      <c r="A22660" s="7"/>
      <c r="B22660" s="7"/>
      <c r="M22660" s="9" t="s">
        <v>30</v>
      </c>
    </row>
    <row r="22661" ht="15.75" customHeight="1">
      <c r="A22661" s="7"/>
      <c r="B22661" s="7"/>
      <c r="M22661" s="9" t="s">
        <v>26</v>
      </c>
    </row>
    <row r="22662" ht="15.75" customHeight="1">
      <c r="A22662" s="7"/>
      <c r="B22662" s="7"/>
      <c r="M22662" s="9" t="s">
        <v>24</v>
      </c>
    </row>
    <row r="22663" ht="15.75" customHeight="1">
      <c r="A22663" s="7"/>
      <c r="B22663" s="7"/>
      <c r="M22663" s="9" t="s">
        <v>21</v>
      </c>
    </row>
    <row r="22664" ht="15.75" customHeight="1">
      <c r="A22664" s="7"/>
      <c r="B22664" s="7"/>
      <c r="M22664" s="9" t="s">
        <v>41</v>
      </c>
    </row>
    <row r="22665" ht="15.75" customHeight="1">
      <c r="A22665" s="7"/>
      <c r="B22665" s="7"/>
      <c r="M22665" s="9" t="s">
        <v>37</v>
      </c>
    </row>
    <row r="22666" ht="15.75" customHeight="1">
      <c r="A22666" s="7"/>
      <c r="B22666" s="7"/>
      <c r="M22666" s="9" t="s">
        <v>22</v>
      </c>
    </row>
    <row r="22667" ht="15.75" customHeight="1">
      <c r="A22667" s="7"/>
      <c r="B22667" s="7"/>
      <c r="M22667" s="9" t="s">
        <v>27</v>
      </c>
    </row>
    <row r="22668" ht="15.75" customHeight="1">
      <c r="A22668" s="7"/>
      <c r="B22668" s="7"/>
      <c r="M22668" s="9" t="s">
        <v>33</v>
      </c>
    </row>
    <row r="22669" ht="15.75" customHeight="1">
      <c r="A22669" s="7"/>
      <c r="B22669" s="7"/>
      <c r="M22669" s="9" t="s">
        <v>38</v>
      </c>
    </row>
    <row r="22670" ht="15.75" customHeight="1">
      <c r="A22670" s="7"/>
      <c r="B22670" s="7"/>
      <c r="M22670" s="9" t="s">
        <v>30</v>
      </c>
    </row>
    <row r="22671" ht="15.75" customHeight="1">
      <c r="A22671" s="7"/>
      <c r="B22671" s="7"/>
      <c r="M22671" s="9" t="s">
        <v>25</v>
      </c>
    </row>
    <row r="22672" ht="15.75" customHeight="1">
      <c r="A22672" s="7"/>
      <c r="B22672" s="7"/>
      <c r="M22672" s="9" t="s">
        <v>23</v>
      </c>
    </row>
    <row r="22673" ht="15.75" customHeight="1">
      <c r="A22673" s="7"/>
      <c r="B22673" s="7"/>
      <c r="M22673" s="9" t="s">
        <v>24</v>
      </c>
    </row>
    <row r="22674" ht="15.75" customHeight="1">
      <c r="A22674" s="7"/>
      <c r="B22674" s="7"/>
      <c r="M22674" s="9" t="s">
        <v>20</v>
      </c>
    </row>
    <row r="22675" ht="15.75" customHeight="1">
      <c r="A22675" s="7"/>
      <c r="B22675" s="7"/>
      <c r="M22675" s="9" t="s">
        <v>21</v>
      </c>
    </row>
    <row r="22676" ht="15.75" customHeight="1">
      <c r="A22676" s="7"/>
      <c r="B22676" s="7"/>
      <c r="M22676" s="9" t="s">
        <v>22</v>
      </c>
    </row>
    <row r="22677" ht="15.75" customHeight="1">
      <c r="A22677" s="7"/>
      <c r="B22677" s="7"/>
      <c r="M22677" s="9" t="s">
        <v>27</v>
      </c>
    </row>
    <row r="22678" ht="15.75" customHeight="1">
      <c r="A22678" s="7"/>
      <c r="B22678" s="7"/>
      <c r="M22678" s="9" t="s">
        <v>34</v>
      </c>
    </row>
    <row r="22679" ht="15.75" customHeight="1">
      <c r="A22679" s="7"/>
      <c r="B22679" s="7"/>
      <c r="M22679" s="9" t="s">
        <v>24</v>
      </c>
    </row>
    <row r="22680" ht="15.75" customHeight="1">
      <c r="A22680" s="7"/>
      <c r="B22680" s="7"/>
      <c r="M22680" s="9" t="s">
        <v>20</v>
      </c>
    </row>
    <row r="22681" ht="15.75" customHeight="1">
      <c r="A22681" s="7"/>
      <c r="B22681" s="7"/>
      <c r="M22681" s="9" t="s">
        <v>21</v>
      </c>
    </row>
    <row r="22682" ht="15.75" customHeight="1">
      <c r="A22682" s="7"/>
      <c r="B22682" s="7"/>
      <c r="M22682" s="9" t="s">
        <v>41</v>
      </c>
    </row>
    <row r="22683" ht="15.75" customHeight="1">
      <c r="A22683" s="7"/>
      <c r="B22683" s="7"/>
      <c r="M22683" s="9" t="s">
        <v>37</v>
      </c>
    </row>
    <row r="22684" ht="15.75" customHeight="1">
      <c r="A22684" s="7"/>
      <c r="B22684" s="7"/>
      <c r="M22684" s="9" t="s">
        <v>22</v>
      </c>
    </row>
    <row r="22685" ht="15.75" customHeight="1">
      <c r="A22685" s="7"/>
      <c r="B22685" s="7"/>
      <c r="M22685" s="9" t="s">
        <v>27</v>
      </c>
    </row>
    <row r="22686" ht="15.75" customHeight="1">
      <c r="A22686" s="7"/>
      <c r="B22686" s="7"/>
      <c r="M22686" s="9" t="s">
        <v>40</v>
      </c>
    </row>
    <row r="22687" ht="15.75" customHeight="1">
      <c r="A22687" s="7"/>
      <c r="B22687" s="7"/>
      <c r="M22687" s="9" t="s">
        <v>21</v>
      </c>
    </row>
    <row r="22688" ht="15.75" customHeight="1">
      <c r="A22688" s="7"/>
      <c r="B22688" s="7"/>
      <c r="M22688" s="9" t="s">
        <v>24</v>
      </c>
    </row>
    <row r="22689" ht="15.75" customHeight="1">
      <c r="A22689" s="7"/>
      <c r="B22689" s="7"/>
      <c r="M22689" s="9" t="s">
        <v>21</v>
      </c>
    </row>
    <row r="22690" ht="15.75" customHeight="1">
      <c r="A22690" s="7"/>
      <c r="B22690" s="7"/>
      <c r="M22690" s="9" t="s">
        <v>37</v>
      </c>
    </row>
    <row r="22691" ht="15.75" customHeight="1">
      <c r="A22691" s="7"/>
      <c r="B22691" s="7"/>
      <c r="M22691" s="9" t="s">
        <v>22</v>
      </c>
    </row>
    <row r="22692" ht="15.75" customHeight="1">
      <c r="A22692" s="7"/>
      <c r="B22692" s="7"/>
      <c r="M22692" s="9" t="s">
        <v>27</v>
      </c>
    </row>
    <row r="22693" ht="15.75" customHeight="1">
      <c r="A22693" s="7"/>
      <c r="B22693" s="7"/>
      <c r="M22693" s="9" t="s">
        <v>33</v>
      </c>
    </row>
    <row r="22694" ht="15.75" customHeight="1">
      <c r="A22694" s="7"/>
      <c r="B22694" s="7"/>
      <c r="M22694" s="9" t="s">
        <v>26</v>
      </c>
    </row>
    <row r="22695" ht="15.75" customHeight="1">
      <c r="A22695" s="7"/>
      <c r="B22695" s="7"/>
      <c r="M22695" s="9" t="s">
        <v>24</v>
      </c>
    </row>
    <row r="22696" ht="15.75" customHeight="1">
      <c r="A22696" s="7"/>
      <c r="B22696" s="7"/>
      <c r="M22696" s="9" t="s">
        <v>21</v>
      </c>
    </row>
    <row r="22697" ht="15.75" customHeight="1">
      <c r="A22697" s="7"/>
      <c r="B22697" s="7"/>
      <c r="M22697" s="9" t="s">
        <v>27</v>
      </c>
    </row>
    <row r="22698" ht="15.75" customHeight="1">
      <c r="A22698" s="7"/>
      <c r="B22698" s="7"/>
      <c r="M22698" s="9" t="s">
        <v>30</v>
      </c>
    </row>
    <row r="22699" ht="15.75" customHeight="1">
      <c r="A22699" s="7"/>
      <c r="B22699" s="7"/>
      <c r="M22699" s="9" t="s">
        <v>24</v>
      </c>
    </row>
    <row r="22700" ht="15.75" customHeight="1">
      <c r="A22700" s="7"/>
      <c r="B22700" s="7"/>
      <c r="M22700" s="9" t="s">
        <v>21</v>
      </c>
    </row>
    <row r="22701" ht="15.75" customHeight="1">
      <c r="A22701" s="7"/>
      <c r="B22701" s="7"/>
      <c r="M22701" s="9" t="s">
        <v>37</v>
      </c>
    </row>
    <row r="22702" ht="15.75" customHeight="1">
      <c r="A22702" s="7"/>
      <c r="B22702" s="7"/>
      <c r="M22702" s="9" t="s">
        <v>24</v>
      </c>
    </row>
    <row r="22703" ht="15.75" customHeight="1">
      <c r="A22703" s="7"/>
      <c r="B22703" s="7"/>
      <c r="M22703" s="9" t="s">
        <v>21</v>
      </c>
    </row>
    <row r="22704" ht="15.75" customHeight="1">
      <c r="A22704" s="7"/>
      <c r="B22704" s="7"/>
      <c r="M22704" s="9" t="s">
        <v>22</v>
      </c>
    </row>
    <row r="22705" ht="15.75" customHeight="1">
      <c r="A22705" s="7"/>
      <c r="B22705" s="7"/>
      <c r="M22705" s="9" t="s">
        <v>38</v>
      </c>
    </row>
    <row r="22706" ht="15.75" customHeight="1">
      <c r="A22706" s="7"/>
      <c r="B22706" s="7"/>
      <c r="M22706" s="9" t="s">
        <v>30</v>
      </c>
    </row>
    <row r="22707" ht="15.75" customHeight="1">
      <c r="A22707" s="7"/>
      <c r="B22707" s="7"/>
      <c r="M22707" s="9" t="s">
        <v>25</v>
      </c>
    </row>
    <row r="22708" ht="15.75" customHeight="1">
      <c r="A22708" s="7"/>
      <c r="B22708" s="7"/>
      <c r="M22708" s="9" t="s">
        <v>23</v>
      </c>
    </row>
    <row r="22709" ht="15.75" customHeight="1">
      <c r="A22709" s="7"/>
      <c r="B22709" s="7"/>
      <c r="M22709" s="9" t="s">
        <v>26</v>
      </c>
    </row>
    <row r="22710" ht="15.75" customHeight="1">
      <c r="A22710" s="7"/>
      <c r="B22710" s="7"/>
      <c r="M22710" s="9" t="s">
        <v>36</v>
      </c>
    </row>
    <row r="22711" ht="15.75" customHeight="1">
      <c r="A22711" s="7"/>
      <c r="B22711" s="7"/>
      <c r="M22711" s="9" t="s">
        <v>24</v>
      </c>
    </row>
    <row r="22712" ht="15.75" customHeight="1">
      <c r="A22712" s="7"/>
      <c r="B22712" s="7"/>
      <c r="M22712" s="9" t="s">
        <v>20</v>
      </c>
    </row>
    <row r="22713" ht="15.75" customHeight="1">
      <c r="A22713" s="7"/>
      <c r="B22713" s="7"/>
      <c r="M22713" s="9" t="s">
        <v>21</v>
      </c>
    </row>
    <row r="22714" ht="15.75" customHeight="1">
      <c r="A22714" s="7"/>
      <c r="B22714" s="7"/>
      <c r="M22714" s="9" t="s">
        <v>37</v>
      </c>
    </row>
    <row r="22715" ht="15.75" customHeight="1">
      <c r="A22715" s="7"/>
      <c r="B22715" s="7"/>
      <c r="M22715" s="9" t="s">
        <v>22</v>
      </c>
    </row>
    <row r="22716" ht="15.75" customHeight="1">
      <c r="A22716" s="7"/>
      <c r="B22716" s="7"/>
      <c r="M22716" s="9" t="s">
        <v>27</v>
      </c>
    </row>
    <row r="22717" ht="15.75" customHeight="1">
      <c r="A22717" s="7"/>
      <c r="B22717" s="7"/>
      <c r="M22717" s="9" t="s">
        <v>30</v>
      </c>
    </row>
    <row r="22718" ht="15.75" customHeight="1">
      <c r="A22718" s="7"/>
      <c r="B22718" s="7"/>
      <c r="M22718" s="9" t="s">
        <v>26</v>
      </c>
    </row>
    <row r="22719" ht="15.75" customHeight="1">
      <c r="A22719" s="7"/>
      <c r="B22719" s="7"/>
      <c r="M22719" s="9" t="s">
        <v>27</v>
      </c>
    </row>
    <row r="22720" ht="15.75" customHeight="1">
      <c r="A22720" s="7"/>
      <c r="B22720" s="7"/>
      <c r="M22720" s="9" t="s">
        <v>26</v>
      </c>
    </row>
    <row r="22721" ht="15.75" customHeight="1">
      <c r="A22721" s="7"/>
      <c r="B22721" s="7"/>
      <c r="M22721" s="9" t="s">
        <v>24</v>
      </c>
    </row>
    <row r="22722" ht="15.75" customHeight="1">
      <c r="A22722" s="7"/>
      <c r="B22722" s="7"/>
      <c r="M22722" s="9" t="s">
        <v>38</v>
      </c>
    </row>
    <row r="22723" ht="15.75" customHeight="1">
      <c r="A22723" s="7"/>
      <c r="B22723" s="7"/>
      <c r="M22723" s="9" t="s">
        <v>30</v>
      </c>
    </row>
    <row r="22724" ht="15.75" customHeight="1">
      <c r="A22724" s="7"/>
      <c r="B22724" s="7"/>
      <c r="M22724" s="9" t="s">
        <v>25</v>
      </c>
    </row>
    <row r="22725" ht="15.75" customHeight="1">
      <c r="A22725" s="7"/>
      <c r="B22725" s="7"/>
      <c r="M22725" s="9" t="s">
        <v>23</v>
      </c>
    </row>
    <row r="22726" ht="15.75" customHeight="1">
      <c r="A22726" s="7"/>
      <c r="B22726" s="7"/>
      <c r="M22726" s="9" t="s">
        <v>26</v>
      </c>
    </row>
    <row r="22727" ht="15.75" customHeight="1">
      <c r="A22727" s="7"/>
      <c r="B22727" s="7"/>
      <c r="M22727" s="9" t="s">
        <v>47</v>
      </c>
    </row>
    <row r="22728" ht="15.75" customHeight="1">
      <c r="A22728" s="7"/>
      <c r="B22728" s="7"/>
      <c r="M22728" s="9" t="s">
        <v>24</v>
      </c>
    </row>
    <row r="22729" ht="15.75" customHeight="1">
      <c r="A22729" s="7"/>
      <c r="B22729" s="7"/>
      <c r="M22729" s="9" t="s">
        <v>20</v>
      </c>
    </row>
    <row r="22730" ht="15.75" customHeight="1">
      <c r="A22730" s="7"/>
      <c r="B22730" s="7"/>
      <c r="M22730" s="9" t="s">
        <v>21</v>
      </c>
    </row>
    <row r="22731" ht="15.75" customHeight="1">
      <c r="A22731" s="7"/>
      <c r="B22731" s="7"/>
      <c r="M22731" s="9" t="s">
        <v>37</v>
      </c>
    </row>
    <row r="22732" ht="15.75" customHeight="1">
      <c r="A22732" s="7"/>
      <c r="B22732" s="7"/>
      <c r="M22732" s="9" t="s">
        <v>22</v>
      </c>
    </row>
    <row r="22733" ht="15.75" customHeight="1">
      <c r="A22733" s="7"/>
      <c r="B22733" s="7"/>
      <c r="M22733" s="9" t="s">
        <v>31</v>
      </c>
    </row>
    <row r="22734" ht="15.75" customHeight="1">
      <c r="A22734" s="7"/>
      <c r="B22734" s="7"/>
      <c r="M22734" s="9" t="s">
        <v>46</v>
      </c>
    </row>
    <row r="22735" ht="15.75" customHeight="1">
      <c r="A22735" s="7"/>
      <c r="B22735" s="7"/>
      <c r="M22735" s="9" t="s">
        <v>27</v>
      </c>
    </row>
    <row r="22736" ht="15.75" customHeight="1">
      <c r="A22736" s="7"/>
      <c r="B22736" s="7"/>
      <c r="M22736" s="9" t="s">
        <v>33</v>
      </c>
    </row>
    <row r="22737" ht="15.75" customHeight="1">
      <c r="A22737" s="7"/>
      <c r="B22737" s="7"/>
      <c r="M22737" s="9" t="s">
        <v>30</v>
      </c>
    </row>
    <row r="22738" ht="15.75" customHeight="1">
      <c r="A22738" s="7"/>
      <c r="B22738" s="7"/>
      <c r="M22738" s="9" t="s">
        <v>25</v>
      </c>
    </row>
    <row r="22739" ht="15.75" customHeight="1">
      <c r="A22739" s="7"/>
      <c r="B22739" s="7"/>
      <c r="M22739" s="9" t="s">
        <v>36</v>
      </c>
    </row>
    <row r="22740" ht="15.75" customHeight="1">
      <c r="A22740" s="7"/>
      <c r="B22740" s="7"/>
      <c r="M22740" s="9" t="s">
        <v>24</v>
      </c>
    </row>
    <row r="22741" ht="15.75" customHeight="1">
      <c r="A22741" s="7"/>
      <c r="B22741" s="7"/>
      <c r="M22741" s="9" t="s">
        <v>20</v>
      </c>
    </row>
    <row r="22742" ht="15.75" customHeight="1">
      <c r="A22742" s="7"/>
      <c r="B22742" s="7"/>
      <c r="M22742" s="9" t="s">
        <v>21</v>
      </c>
    </row>
    <row r="22743" ht="15.75" customHeight="1">
      <c r="A22743" s="7"/>
      <c r="B22743" s="7"/>
      <c r="M22743" s="9" t="s">
        <v>37</v>
      </c>
    </row>
    <row r="22744" ht="15.75" customHeight="1">
      <c r="A22744" s="7"/>
      <c r="B22744" s="7"/>
      <c r="M22744" s="9" t="s">
        <v>31</v>
      </c>
    </row>
    <row r="22745" ht="15.75" customHeight="1">
      <c r="A22745" s="7"/>
      <c r="B22745" s="7"/>
      <c r="M22745" s="9" t="s">
        <v>27</v>
      </c>
    </row>
    <row r="22746" ht="15.75" customHeight="1">
      <c r="A22746" s="7"/>
      <c r="B22746" s="7"/>
      <c r="M22746" s="9" t="s">
        <v>33</v>
      </c>
    </row>
    <row r="22747" ht="15.75" customHeight="1">
      <c r="A22747" s="7"/>
      <c r="B22747" s="7"/>
      <c r="M22747" s="9" t="s">
        <v>30</v>
      </c>
    </row>
    <row r="22748" ht="15.75" customHeight="1">
      <c r="A22748" s="7"/>
      <c r="B22748" s="7"/>
      <c r="M22748" s="9" t="s">
        <v>23</v>
      </c>
    </row>
    <row r="22749" ht="15.75" customHeight="1">
      <c r="A22749" s="7"/>
      <c r="B22749" s="7"/>
      <c r="M22749" s="9" t="s">
        <v>26</v>
      </c>
    </row>
    <row r="22750" ht="15.75" customHeight="1">
      <c r="A22750" s="7"/>
      <c r="B22750" s="7"/>
      <c r="M22750" s="9" t="s">
        <v>44</v>
      </c>
    </row>
    <row r="22751" ht="15.75" customHeight="1">
      <c r="A22751" s="7"/>
      <c r="B22751" s="7"/>
      <c r="M22751" s="9" t="s">
        <v>45</v>
      </c>
    </row>
    <row r="22752" ht="15.75" customHeight="1">
      <c r="A22752" s="7"/>
      <c r="B22752" s="7"/>
      <c r="M22752" s="9" t="s">
        <v>36</v>
      </c>
    </row>
    <row r="22753" ht="15.75" customHeight="1">
      <c r="A22753" s="7"/>
      <c r="B22753" s="7"/>
      <c r="M22753" s="9" t="s">
        <v>24</v>
      </c>
    </row>
    <row r="22754" ht="15.75" customHeight="1">
      <c r="A22754" s="7"/>
      <c r="B22754" s="7"/>
      <c r="M22754" s="9" t="s">
        <v>20</v>
      </c>
    </row>
    <row r="22755" ht="15.75" customHeight="1">
      <c r="A22755" s="7"/>
      <c r="B22755" s="7"/>
      <c r="M22755" s="9" t="s">
        <v>21</v>
      </c>
    </row>
    <row r="22756" ht="15.75" customHeight="1">
      <c r="A22756" s="7"/>
      <c r="B22756" s="7"/>
      <c r="M22756" s="9" t="s">
        <v>39</v>
      </c>
    </row>
    <row r="22757" ht="15.75" customHeight="1">
      <c r="A22757" s="7"/>
      <c r="B22757" s="7"/>
      <c r="M22757" s="9" t="s">
        <v>22</v>
      </c>
    </row>
    <row r="22758" ht="15.75" customHeight="1">
      <c r="A22758" s="7"/>
      <c r="B22758" s="7"/>
      <c r="M22758" s="9" t="s">
        <v>31</v>
      </c>
    </row>
    <row r="22759" ht="15.75" customHeight="1">
      <c r="A22759" s="7"/>
      <c r="B22759" s="7"/>
      <c r="M22759" s="9" t="s">
        <v>32</v>
      </c>
    </row>
    <row r="22760" ht="15.75" customHeight="1">
      <c r="A22760" s="7"/>
      <c r="B22760" s="7"/>
      <c r="M22760" s="9" t="s">
        <v>46</v>
      </c>
    </row>
    <row r="22761" ht="15.75" customHeight="1">
      <c r="A22761" s="7"/>
      <c r="B22761" s="7"/>
      <c r="M22761" s="9" t="s">
        <v>27</v>
      </c>
    </row>
    <row r="22762" ht="15.75" customHeight="1">
      <c r="A22762" s="7"/>
      <c r="B22762" s="7"/>
      <c r="M22762" s="9" t="s">
        <v>24</v>
      </c>
    </row>
    <row r="22763" ht="15.75" customHeight="1">
      <c r="A22763" s="7"/>
      <c r="B22763" s="7"/>
      <c r="M22763" s="9" t="s">
        <v>20</v>
      </c>
    </row>
    <row r="22764" ht="15.75" customHeight="1">
      <c r="A22764" s="7"/>
      <c r="B22764" s="7"/>
      <c r="M22764" s="9" t="s">
        <v>21</v>
      </c>
    </row>
    <row r="22765" ht="15.75" customHeight="1">
      <c r="A22765" s="7"/>
      <c r="B22765" s="7"/>
      <c r="M22765" s="9" t="s">
        <v>37</v>
      </c>
    </row>
    <row r="22766" ht="15.75" customHeight="1">
      <c r="A22766" s="7"/>
      <c r="B22766" s="7"/>
      <c r="M22766" s="9" t="s">
        <v>27</v>
      </c>
    </row>
    <row r="22767" ht="15.75" customHeight="1">
      <c r="A22767" s="7"/>
      <c r="B22767" s="7"/>
      <c r="M22767" s="9" t="s">
        <v>40</v>
      </c>
    </row>
    <row r="22768" ht="15.75" customHeight="1">
      <c r="A22768" s="7"/>
      <c r="B22768" s="7"/>
      <c r="M22768" s="9" t="s">
        <v>26</v>
      </c>
    </row>
    <row r="22769" ht="15.75" customHeight="1">
      <c r="A22769" s="7"/>
      <c r="B22769" s="7"/>
      <c r="M22769" s="9" t="s">
        <v>24</v>
      </c>
    </row>
    <row r="22770" ht="15.75" customHeight="1">
      <c r="A22770" s="7"/>
      <c r="B22770" s="7"/>
      <c r="M22770" s="9" t="s">
        <v>20</v>
      </c>
    </row>
    <row r="22771" ht="15.75" customHeight="1">
      <c r="A22771" s="7"/>
      <c r="B22771" s="7"/>
      <c r="M22771" s="9" t="s">
        <v>27</v>
      </c>
    </row>
    <row r="22772" ht="15.75" customHeight="1">
      <c r="A22772" s="7"/>
      <c r="B22772" s="7"/>
      <c r="M22772" s="9" t="s">
        <v>24</v>
      </c>
    </row>
    <row r="22773" ht="15.75" customHeight="1">
      <c r="A22773" s="7"/>
      <c r="B22773" s="7"/>
      <c r="M22773" s="9" t="s">
        <v>22</v>
      </c>
    </row>
    <row r="22774" ht="15.75" customHeight="1">
      <c r="A22774" s="7"/>
      <c r="B22774" s="7"/>
      <c r="M22774" s="9" t="s">
        <v>27</v>
      </c>
    </row>
    <row r="22775" ht="15.75" customHeight="1">
      <c r="A22775" s="7"/>
      <c r="B22775" s="7"/>
      <c r="M22775" s="9" t="s">
        <v>24</v>
      </c>
    </row>
    <row r="22776" ht="15.75" customHeight="1">
      <c r="A22776" s="7"/>
      <c r="B22776" s="7"/>
      <c r="M22776" s="9" t="s">
        <v>21</v>
      </c>
    </row>
    <row r="22777" ht="15.75" customHeight="1">
      <c r="A22777" s="7"/>
      <c r="B22777" s="7"/>
      <c r="M22777" s="9" t="s">
        <v>37</v>
      </c>
    </row>
    <row r="22778" ht="15.75" customHeight="1">
      <c r="A22778" s="7"/>
      <c r="B22778" s="7"/>
      <c r="M22778" s="9" t="s">
        <v>27</v>
      </c>
    </row>
    <row r="22779" ht="15.75" customHeight="1">
      <c r="A22779" s="7"/>
      <c r="B22779" s="7"/>
      <c r="M22779" s="9" t="s">
        <v>25</v>
      </c>
    </row>
    <row r="22780" ht="15.75" customHeight="1">
      <c r="A22780" s="7"/>
      <c r="B22780" s="7"/>
      <c r="M22780" s="9" t="s">
        <v>23</v>
      </c>
    </row>
    <row r="22781" ht="15.75" customHeight="1">
      <c r="A22781" s="7"/>
      <c r="B22781" s="7"/>
      <c r="M22781" s="9" t="s">
        <v>26</v>
      </c>
    </row>
    <row r="22782" ht="15.75" customHeight="1">
      <c r="A22782" s="7"/>
      <c r="B22782" s="7"/>
      <c r="M22782" s="9" t="s">
        <v>24</v>
      </c>
    </row>
    <row r="22783" ht="15.75" customHeight="1">
      <c r="A22783" s="7"/>
      <c r="B22783" s="7"/>
      <c r="M22783" s="9" t="s">
        <v>21</v>
      </c>
    </row>
    <row r="22784" ht="15.75" customHeight="1">
      <c r="A22784" s="7"/>
      <c r="B22784" s="7"/>
      <c r="M22784" s="9" t="s">
        <v>20</v>
      </c>
    </row>
    <row r="22785" ht="15.75" customHeight="1">
      <c r="A22785" s="7"/>
      <c r="B22785" s="7"/>
      <c r="M22785" s="9" t="s">
        <v>39</v>
      </c>
    </row>
    <row r="22786" ht="15.75" customHeight="1">
      <c r="A22786" s="7"/>
      <c r="B22786" s="7"/>
      <c r="M22786" s="9" t="s">
        <v>22</v>
      </c>
    </row>
    <row r="22787" ht="15.75" customHeight="1">
      <c r="A22787" s="7"/>
      <c r="B22787" s="7"/>
      <c r="M22787" s="9" t="s">
        <v>26</v>
      </c>
    </row>
    <row r="22788" ht="15.75" customHeight="1">
      <c r="A22788" s="7"/>
      <c r="B22788" s="7"/>
      <c r="M22788" s="9" t="s">
        <v>24</v>
      </c>
    </row>
    <row r="22789" ht="15.75" customHeight="1">
      <c r="A22789" s="7"/>
      <c r="B22789" s="7"/>
      <c r="M22789" s="9" t="s">
        <v>21</v>
      </c>
    </row>
    <row r="22790" ht="15.75" customHeight="1">
      <c r="A22790" s="7"/>
      <c r="B22790" s="7"/>
      <c r="M22790" s="9" t="s">
        <v>27</v>
      </c>
    </row>
    <row r="22791" ht="15.75" customHeight="1">
      <c r="A22791" s="7"/>
      <c r="B22791" s="7"/>
      <c r="M22791" s="9" t="s">
        <v>33</v>
      </c>
    </row>
    <row r="22792" ht="15.75" customHeight="1">
      <c r="A22792" s="7"/>
      <c r="B22792" s="7"/>
      <c r="M22792" s="9" t="s">
        <v>24</v>
      </c>
    </row>
    <row r="22793" ht="15.75" customHeight="1">
      <c r="A22793" s="7"/>
      <c r="B22793" s="7"/>
      <c r="M22793" s="9" t="s">
        <v>21</v>
      </c>
    </row>
    <row r="22794" ht="15.75" customHeight="1">
      <c r="A22794" s="7"/>
      <c r="B22794" s="7"/>
      <c r="M22794" s="9" t="s">
        <v>37</v>
      </c>
    </row>
    <row r="22795" ht="15.75" customHeight="1">
      <c r="A22795" s="7"/>
      <c r="B22795" s="7"/>
      <c r="M22795" s="9" t="s">
        <v>27</v>
      </c>
    </row>
    <row r="22796" ht="15.75" customHeight="1">
      <c r="A22796" s="7"/>
      <c r="B22796" s="7"/>
      <c r="M22796" s="9" t="s">
        <v>33</v>
      </c>
    </row>
    <row r="22797" ht="15.75" customHeight="1">
      <c r="A22797" s="7"/>
      <c r="B22797" s="7"/>
      <c r="M22797" s="9" t="s">
        <v>30</v>
      </c>
    </row>
    <row r="22798" ht="15.75" customHeight="1">
      <c r="A22798" s="7"/>
      <c r="B22798" s="7"/>
      <c r="M22798" s="9" t="s">
        <v>24</v>
      </c>
    </row>
    <row r="22799" ht="15.75" customHeight="1">
      <c r="A22799" s="7"/>
      <c r="B22799" s="7"/>
      <c r="M22799" s="9" t="s">
        <v>21</v>
      </c>
    </row>
    <row r="22800" ht="15.75" customHeight="1">
      <c r="A22800" s="7"/>
      <c r="B22800" s="7"/>
      <c r="M22800" s="9" t="s">
        <v>22</v>
      </c>
    </row>
    <row r="22801" ht="15.75" customHeight="1">
      <c r="A22801" s="7"/>
      <c r="B22801" s="7"/>
      <c r="M22801" s="9" t="s">
        <v>27</v>
      </c>
    </row>
    <row r="22802" ht="15.75" customHeight="1">
      <c r="A22802" s="7"/>
      <c r="B22802" s="7"/>
      <c r="M22802" s="9" t="s">
        <v>33</v>
      </c>
    </row>
    <row r="22803" ht="15.75" customHeight="1">
      <c r="A22803" s="7"/>
      <c r="B22803" s="7"/>
      <c r="M22803" s="9" t="s">
        <v>24</v>
      </c>
    </row>
    <row r="22804" ht="15.75" customHeight="1">
      <c r="A22804" s="7"/>
      <c r="B22804" s="7"/>
      <c r="M22804" s="9" t="s">
        <v>20</v>
      </c>
    </row>
    <row r="22805" ht="15.75" customHeight="1">
      <c r="A22805" s="7"/>
      <c r="B22805" s="7"/>
      <c r="M22805" s="9" t="s">
        <v>21</v>
      </c>
    </row>
    <row r="22806" ht="15.75" customHeight="1">
      <c r="A22806" s="7"/>
      <c r="B22806" s="7"/>
      <c r="M22806" s="9" t="s">
        <v>37</v>
      </c>
    </row>
    <row r="22807" ht="15.75" customHeight="1">
      <c r="A22807" s="7"/>
      <c r="B22807" s="7"/>
      <c r="M22807" s="9" t="s">
        <v>27</v>
      </c>
    </row>
    <row r="22808" ht="15.75" customHeight="1">
      <c r="A22808" s="7"/>
      <c r="B22808" s="7"/>
      <c r="M22808" s="9" t="s">
        <v>28</v>
      </c>
    </row>
    <row r="22809" ht="15.75" customHeight="1">
      <c r="A22809" s="7"/>
      <c r="B22809" s="7"/>
      <c r="M22809" s="9" t="s">
        <v>25</v>
      </c>
    </row>
    <row r="22810" ht="15.75" customHeight="1">
      <c r="A22810" s="7"/>
      <c r="B22810" s="7"/>
      <c r="M22810" s="9" t="s">
        <v>23</v>
      </c>
    </row>
    <row r="22811" ht="15.75" customHeight="1">
      <c r="A22811" s="7"/>
      <c r="B22811" s="7"/>
      <c r="M22811" s="9" t="s">
        <v>24</v>
      </c>
    </row>
    <row r="22812" ht="15.75" customHeight="1">
      <c r="A22812" s="7"/>
      <c r="B22812" s="7"/>
      <c r="M22812" s="9" t="s">
        <v>21</v>
      </c>
    </row>
    <row r="22813" ht="15.75" customHeight="1">
      <c r="A22813" s="7"/>
      <c r="B22813" s="7"/>
      <c r="M22813" s="9" t="s">
        <v>22</v>
      </c>
    </row>
    <row r="22814" ht="15.75" customHeight="1">
      <c r="A22814" s="7"/>
      <c r="B22814" s="7"/>
      <c r="M22814" s="9" t="s">
        <v>29</v>
      </c>
    </row>
    <row r="22815" ht="15.75" customHeight="1">
      <c r="A22815" s="7"/>
      <c r="B22815" s="7"/>
      <c r="M22815" s="9" t="s">
        <v>27</v>
      </c>
    </row>
    <row r="22816" ht="15.75" customHeight="1">
      <c r="A22816" s="7"/>
      <c r="B22816" s="7"/>
      <c r="M22816" s="9" t="s">
        <v>35</v>
      </c>
    </row>
    <row r="22817" ht="15.75" customHeight="1">
      <c r="A22817" s="7"/>
      <c r="B22817" s="7"/>
      <c r="M22817" s="9" t="s">
        <v>30</v>
      </c>
    </row>
    <row r="22818" ht="15.75" customHeight="1">
      <c r="A22818" s="7"/>
      <c r="B22818" s="7"/>
      <c r="M22818" s="9" t="s">
        <v>24</v>
      </c>
    </row>
    <row r="22819" ht="15.75" customHeight="1">
      <c r="A22819" s="7"/>
      <c r="B22819" s="7"/>
      <c r="M22819" s="9" t="s">
        <v>20</v>
      </c>
    </row>
    <row r="22820" ht="15.75" customHeight="1">
      <c r="A22820" s="7"/>
      <c r="B22820" s="7"/>
      <c r="M22820" s="9" t="s">
        <v>21</v>
      </c>
    </row>
    <row r="22821" ht="15.75" customHeight="1">
      <c r="A22821" s="7"/>
      <c r="B22821" s="7"/>
      <c r="M22821" s="9" t="s">
        <v>22</v>
      </c>
    </row>
    <row r="22822" ht="15.75" customHeight="1">
      <c r="A22822" s="7"/>
      <c r="B22822" s="7"/>
      <c r="M22822" s="9" t="s">
        <v>27</v>
      </c>
    </row>
    <row r="22823" ht="15.75" customHeight="1">
      <c r="A22823" s="7"/>
      <c r="B22823" s="7"/>
      <c r="M22823" s="9" t="s">
        <v>40</v>
      </c>
    </row>
    <row r="22824" ht="15.75" customHeight="1">
      <c r="A22824" s="7"/>
      <c r="B22824" s="7"/>
      <c r="M22824" s="9" t="s">
        <v>33</v>
      </c>
    </row>
    <row r="22825" ht="15.75" customHeight="1">
      <c r="A22825" s="7"/>
      <c r="B22825" s="7"/>
      <c r="M22825" s="9" t="s">
        <v>35</v>
      </c>
    </row>
    <row r="22826" ht="15.75" customHeight="1">
      <c r="A22826" s="7"/>
      <c r="B22826" s="7"/>
      <c r="M22826" s="9" t="s">
        <v>38</v>
      </c>
    </row>
    <row r="22827" ht="15.75" customHeight="1">
      <c r="A22827" s="7"/>
      <c r="B22827" s="7"/>
      <c r="M22827" s="9" t="s">
        <v>30</v>
      </c>
    </row>
    <row r="22828" ht="15.75" customHeight="1">
      <c r="A22828" s="7"/>
      <c r="B22828" s="7"/>
      <c r="M22828" s="9" t="s">
        <v>23</v>
      </c>
    </row>
    <row r="22829" ht="15.75" customHeight="1">
      <c r="A22829" s="7"/>
      <c r="B22829" s="7"/>
      <c r="M22829" s="9" t="s">
        <v>24</v>
      </c>
    </row>
    <row r="22830" ht="15.75" customHeight="1">
      <c r="A22830" s="7"/>
      <c r="B22830" s="7"/>
      <c r="M22830" s="9" t="s">
        <v>21</v>
      </c>
    </row>
    <row r="22831" ht="15.75" customHeight="1">
      <c r="A22831" s="7"/>
      <c r="B22831" s="7"/>
      <c r="M22831" s="9" t="s">
        <v>37</v>
      </c>
    </row>
    <row r="22832" ht="15.75" customHeight="1">
      <c r="A22832" s="7"/>
      <c r="B22832" s="7"/>
      <c r="M22832" s="9" t="s">
        <v>27</v>
      </c>
    </row>
    <row r="22833" ht="15.75" customHeight="1">
      <c r="A22833" s="7"/>
      <c r="B22833" s="7"/>
      <c r="M22833" s="9" t="s">
        <v>30</v>
      </c>
    </row>
    <row r="22834" ht="15.75" customHeight="1">
      <c r="A22834" s="7"/>
      <c r="B22834" s="7"/>
      <c r="M22834" s="9" t="s">
        <v>24</v>
      </c>
    </row>
    <row r="22835" ht="15.75" customHeight="1">
      <c r="A22835" s="7"/>
      <c r="B22835" s="7"/>
      <c r="M22835" s="9" t="s">
        <v>20</v>
      </c>
    </row>
    <row r="22836" ht="15.75" customHeight="1">
      <c r="A22836" s="7"/>
      <c r="B22836" s="7"/>
      <c r="M22836" s="9" t="s">
        <v>21</v>
      </c>
    </row>
    <row r="22837" ht="15.75" customHeight="1">
      <c r="A22837" s="7"/>
      <c r="B22837" s="7"/>
      <c r="M22837" s="9" t="s">
        <v>39</v>
      </c>
    </row>
    <row r="22838" ht="15.75" customHeight="1">
      <c r="A22838" s="7"/>
      <c r="B22838" s="7"/>
      <c r="M22838" s="9" t="s">
        <v>37</v>
      </c>
    </row>
    <row r="22839" ht="15.75" customHeight="1">
      <c r="A22839" s="7"/>
      <c r="B22839" s="7"/>
      <c r="M22839" s="9" t="s">
        <v>27</v>
      </c>
    </row>
    <row r="22840" ht="15.75" customHeight="1">
      <c r="A22840" s="7"/>
      <c r="B22840" s="7"/>
      <c r="M22840" s="9" t="s">
        <v>30</v>
      </c>
    </row>
    <row r="22841" ht="15.75" customHeight="1">
      <c r="A22841" s="7"/>
      <c r="B22841" s="7"/>
      <c r="M22841" s="9" t="s">
        <v>25</v>
      </c>
    </row>
    <row r="22842" ht="15.75" customHeight="1">
      <c r="A22842" s="7"/>
      <c r="B22842" s="7"/>
      <c r="M22842" s="9" t="s">
        <v>23</v>
      </c>
    </row>
    <row r="22843" ht="15.75" customHeight="1">
      <c r="A22843" s="7"/>
      <c r="B22843" s="7"/>
      <c r="M22843" s="9" t="s">
        <v>42</v>
      </c>
    </row>
    <row r="22844" ht="15.75" customHeight="1">
      <c r="A22844" s="7"/>
      <c r="B22844" s="7"/>
      <c r="M22844" s="9" t="s">
        <v>43</v>
      </c>
    </row>
    <row r="22845" ht="15.75" customHeight="1">
      <c r="A22845" s="7"/>
      <c r="B22845" s="7"/>
      <c r="M22845" s="9" t="s">
        <v>21</v>
      </c>
    </row>
    <row r="22846" ht="15.75" customHeight="1">
      <c r="A22846" s="7"/>
      <c r="B22846" s="7"/>
      <c r="M22846" s="9" t="s">
        <v>35</v>
      </c>
    </row>
    <row r="22847" ht="15.75" customHeight="1">
      <c r="A22847" s="7"/>
      <c r="B22847" s="7"/>
      <c r="M22847" s="9" t="s">
        <v>24</v>
      </c>
    </row>
    <row r="22848" ht="15.75" customHeight="1">
      <c r="A22848" s="7"/>
      <c r="B22848" s="7"/>
      <c r="M22848" s="9" t="s">
        <v>21</v>
      </c>
    </row>
    <row r="22849" ht="15.75" customHeight="1">
      <c r="A22849" s="7"/>
      <c r="B22849" s="7"/>
      <c r="M22849" s="9" t="s">
        <v>37</v>
      </c>
    </row>
    <row r="22850" ht="15.75" customHeight="1">
      <c r="A22850" s="7"/>
      <c r="B22850" s="7"/>
      <c r="M22850" s="9" t="s">
        <v>27</v>
      </c>
    </row>
    <row r="22851" ht="15.75" customHeight="1">
      <c r="A22851" s="7"/>
      <c r="B22851" s="7"/>
      <c r="M22851" s="9" t="s">
        <v>30</v>
      </c>
    </row>
    <row r="22852" ht="15.75" customHeight="1">
      <c r="A22852" s="7"/>
      <c r="B22852" s="7"/>
      <c r="M22852" s="9" t="s">
        <v>26</v>
      </c>
    </row>
    <row r="22853" ht="15.75" customHeight="1">
      <c r="A22853" s="7"/>
      <c r="B22853" s="7"/>
      <c r="M22853" s="9" t="s">
        <v>24</v>
      </c>
    </row>
    <row r="22854" ht="15.75" customHeight="1">
      <c r="A22854" s="7"/>
      <c r="B22854" s="7"/>
      <c r="M22854" s="9" t="s">
        <v>21</v>
      </c>
    </row>
    <row r="22855" ht="15.75" customHeight="1">
      <c r="A22855" s="7"/>
      <c r="B22855" s="7"/>
      <c r="M22855" s="9" t="s">
        <v>27</v>
      </c>
    </row>
    <row r="22856" ht="15.75" customHeight="1">
      <c r="A22856" s="7"/>
      <c r="B22856" s="7"/>
      <c r="M22856" s="9" t="s">
        <v>33</v>
      </c>
    </row>
    <row r="22857" ht="15.75" customHeight="1">
      <c r="A22857" s="7"/>
      <c r="B22857" s="7"/>
      <c r="M22857" s="9" t="s">
        <v>26</v>
      </c>
    </row>
    <row r="22858" ht="15.75" customHeight="1">
      <c r="A22858" s="7"/>
      <c r="B22858" s="7"/>
      <c r="M22858" s="9" t="s">
        <v>21</v>
      </c>
    </row>
    <row r="22859" ht="15.75" customHeight="1">
      <c r="A22859" s="7"/>
      <c r="B22859" s="7"/>
      <c r="M22859" s="9" t="s">
        <v>22</v>
      </c>
    </row>
    <row r="22860" ht="15.75" customHeight="1">
      <c r="A22860" s="7"/>
      <c r="B22860" s="7"/>
      <c r="M22860" s="9" t="s">
        <v>30</v>
      </c>
    </row>
    <row r="22861" ht="15.75" customHeight="1">
      <c r="A22861" s="7"/>
      <c r="B22861" s="7"/>
      <c r="M22861" s="9" t="s">
        <v>20</v>
      </c>
    </row>
    <row r="22862" ht="15.75" customHeight="1">
      <c r="A22862" s="7"/>
      <c r="B22862" s="7"/>
      <c r="M22862" s="9" t="s">
        <v>22</v>
      </c>
    </row>
    <row r="22863" ht="15.75" customHeight="1">
      <c r="A22863" s="7"/>
      <c r="B22863" s="7"/>
      <c r="M22863" s="9" t="s">
        <v>27</v>
      </c>
    </row>
    <row r="22864" ht="15.75" customHeight="1">
      <c r="A22864" s="7"/>
      <c r="B22864" s="7"/>
      <c r="M22864" s="9" t="s">
        <v>40</v>
      </c>
    </row>
    <row r="22865" ht="15.75" customHeight="1">
      <c r="A22865" s="7"/>
      <c r="B22865" s="7"/>
      <c r="M22865" s="9" t="s">
        <v>30</v>
      </c>
    </row>
    <row r="22866" ht="15.75" customHeight="1">
      <c r="A22866" s="7"/>
      <c r="B22866" s="7"/>
      <c r="M22866" s="9" t="s">
        <v>24</v>
      </c>
    </row>
    <row r="22867" ht="15.75" customHeight="1">
      <c r="A22867" s="7"/>
      <c r="B22867" s="7"/>
      <c r="M22867" s="9" t="s">
        <v>21</v>
      </c>
    </row>
    <row r="22868" ht="15.75" customHeight="1">
      <c r="A22868" s="7"/>
      <c r="B22868" s="7"/>
      <c r="M22868" s="9" t="s">
        <v>27</v>
      </c>
    </row>
    <row r="22869" ht="15.75" customHeight="1">
      <c r="A22869" s="7"/>
      <c r="B22869" s="7"/>
      <c r="M22869" s="9" t="s">
        <v>33</v>
      </c>
    </row>
    <row r="22870" ht="15.75" customHeight="1">
      <c r="A22870" s="7"/>
      <c r="B22870" s="7"/>
      <c r="M22870" s="9" t="s">
        <v>30</v>
      </c>
    </row>
    <row r="22871" ht="15.75" customHeight="1">
      <c r="A22871" s="7"/>
      <c r="B22871" s="7"/>
      <c r="M22871" s="9" t="s">
        <v>24</v>
      </c>
    </row>
    <row r="22872" ht="15.75" customHeight="1">
      <c r="A22872" s="7"/>
      <c r="B22872" s="7"/>
      <c r="M22872" s="9" t="s">
        <v>21</v>
      </c>
    </row>
    <row r="22873" ht="15.75" customHeight="1">
      <c r="A22873" s="7"/>
      <c r="B22873" s="7"/>
      <c r="M22873" s="9" t="s">
        <v>31</v>
      </c>
    </row>
    <row r="22874" ht="15.75" customHeight="1">
      <c r="A22874" s="7"/>
      <c r="B22874" s="7"/>
      <c r="M22874" s="9" t="s">
        <v>27</v>
      </c>
    </row>
    <row r="22875" ht="15.75" customHeight="1">
      <c r="A22875" s="7"/>
      <c r="B22875" s="7"/>
      <c r="M22875" s="9" t="s">
        <v>30</v>
      </c>
    </row>
    <row r="22876" ht="15.75" customHeight="1">
      <c r="A22876" s="7"/>
      <c r="B22876" s="7"/>
      <c r="M22876" s="9" t="s">
        <v>24</v>
      </c>
    </row>
    <row r="22877" ht="15.75" customHeight="1">
      <c r="A22877" s="7"/>
      <c r="B22877" s="7"/>
      <c r="M22877" s="9" t="s">
        <v>20</v>
      </c>
    </row>
    <row r="22878" ht="15.75" customHeight="1">
      <c r="A22878" s="7"/>
      <c r="B22878" s="7"/>
      <c r="M22878" s="9" t="s">
        <v>21</v>
      </c>
    </row>
    <row r="22879" ht="15.75" customHeight="1">
      <c r="A22879" s="7"/>
      <c r="B22879" s="7"/>
      <c r="M22879" s="9" t="s">
        <v>22</v>
      </c>
    </row>
    <row r="22880" ht="15.75" customHeight="1">
      <c r="A22880" s="7"/>
      <c r="B22880" s="7"/>
      <c r="M22880" s="9" t="s">
        <v>27</v>
      </c>
    </row>
    <row r="22881" ht="15.75" customHeight="1">
      <c r="A22881" s="7"/>
      <c r="B22881" s="7"/>
      <c r="M22881" s="9" t="s">
        <v>33</v>
      </c>
    </row>
    <row r="22882" ht="15.75" customHeight="1">
      <c r="A22882" s="7"/>
      <c r="B22882" s="7"/>
      <c r="M22882" s="9" t="s">
        <v>30</v>
      </c>
    </row>
    <row r="22883" ht="15.75" customHeight="1">
      <c r="A22883" s="7"/>
      <c r="B22883" s="7"/>
      <c r="M22883" s="9" t="s">
        <v>24</v>
      </c>
    </row>
    <row r="22884" ht="15.75" customHeight="1">
      <c r="A22884" s="7"/>
      <c r="B22884" s="7"/>
      <c r="M22884" s="9" t="s">
        <v>20</v>
      </c>
    </row>
    <row r="22885" ht="15.75" customHeight="1">
      <c r="A22885" s="7"/>
      <c r="B22885" s="7"/>
      <c r="M22885" s="9" t="s">
        <v>21</v>
      </c>
    </row>
    <row r="22886" ht="15.75" customHeight="1">
      <c r="A22886" s="7"/>
      <c r="B22886" s="7"/>
      <c r="M22886" s="9" t="s">
        <v>27</v>
      </c>
    </row>
    <row r="22887" ht="15.75" customHeight="1">
      <c r="A22887" s="7"/>
      <c r="B22887" s="7"/>
      <c r="M22887" s="9" t="s">
        <v>26</v>
      </c>
    </row>
    <row r="22888" ht="15.75" customHeight="1">
      <c r="A22888" s="7"/>
      <c r="B22888" s="7"/>
      <c r="M22888" s="9" t="s">
        <v>24</v>
      </c>
    </row>
    <row r="22889" ht="15.75" customHeight="1">
      <c r="A22889" s="7"/>
      <c r="B22889" s="7"/>
      <c r="M22889" s="9" t="s">
        <v>21</v>
      </c>
    </row>
    <row r="22890" ht="15.75" customHeight="1">
      <c r="A22890" s="7"/>
      <c r="B22890" s="7"/>
      <c r="M22890" s="9" t="s">
        <v>27</v>
      </c>
    </row>
    <row r="22891" ht="15.75" customHeight="1">
      <c r="A22891" s="7"/>
      <c r="B22891" s="7"/>
      <c r="M22891" s="9" t="s">
        <v>33</v>
      </c>
    </row>
    <row r="22892" ht="15.75" customHeight="1">
      <c r="A22892" s="7"/>
      <c r="B22892" s="7"/>
      <c r="M22892" s="9" t="s">
        <v>30</v>
      </c>
    </row>
    <row r="22893" ht="15.75" customHeight="1">
      <c r="A22893" s="7"/>
      <c r="B22893" s="7"/>
      <c r="M22893" s="9" t="s">
        <v>25</v>
      </c>
    </row>
    <row r="22894" ht="15.75" customHeight="1">
      <c r="A22894" s="7"/>
      <c r="B22894" s="7"/>
      <c r="M22894" s="9" t="s">
        <v>23</v>
      </c>
    </row>
    <row r="22895" ht="15.75" customHeight="1">
      <c r="A22895" s="7"/>
      <c r="B22895" s="7"/>
      <c r="M22895" s="9" t="s">
        <v>26</v>
      </c>
    </row>
    <row r="22896" ht="15.75" customHeight="1">
      <c r="A22896" s="7"/>
      <c r="B22896" s="7"/>
      <c r="M22896" s="9" t="s">
        <v>47</v>
      </c>
    </row>
    <row r="22897" ht="15.75" customHeight="1">
      <c r="A22897" s="7"/>
      <c r="B22897" s="7"/>
      <c r="M22897" s="9" t="s">
        <v>45</v>
      </c>
    </row>
    <row r="22898" ht="15.75" customHeight="1">
      <c r="A22898" s="7"/>
      <c r="B22898" s="7"/>
      <c r="M22898" s="9" t="s">
        <v>36</v>
      </c>
    </row>
    <row r="22899" ht="15.75" customHeight="1">
      <c r="A22899" s="7"/>
      <c r="B22899" s="7"/>
      <c r="M22899" s="9" t="s">
        <v>24</v>
      </c>
    </row>
    <row r="22900" ht="15.75" customHeight="1">
      <c r="A22900" s="7"/>
      <c r="B22900" s="7"/>
      <c r="M22900" s="9" t="s">
        <v>21</v>
      </c>
    </row>
    <row r="22901" ht="15.75" customHeight="1">
      <c r="A22901" s="7"/>
      <c r="B22901" s="7"/>
      <c r="M22901" s="9" t="s">
        <v>37</v>
      </c>
    </row>
    <row r="22902" ht="15.75" customHeight="1">
      <c r="A22902" s="7"/>
      <c r="B22902" s="7"/>
      <c r="M22902" s="9" t="s">
        <v>29</v>
      </c>
    </row>
    <row r="22903" ht="15.75" customHeight="1">
      <c r="A22903" s="7"/>
      <c r="B22903" s="7"/>
      <c r="M22903" s="9" t="s">
        <v>32</v>
      </c>
    </row>
    <row r="22904" ht="15.75" customHeight="1">
      <c r="A22904" s="7"/>
      <c r="B22904" s="7"/>
      <c r="M22904" s="9" t="s">
        <v>27</v>
      </c>
    </row>
    <row r="22905" ht="15.75" customHeight="1">
      <c r="A22905" s="7"/>
      <c r="B22905" s="7"/>
      <c r="M22905" s="9" t="s">
        <v>33</v>
      </c>
    </row>
    <row r="22906" ht="15.75" customHeight="1">
      <c r="A22906" s="7"/>
      <c r="B22906" s="7"/>
      <c r="M22906" s="9" t="s">
        <v>26</v>
      </c>
    </row>
    <row r="22907" ht="15.75" customHeight="1">
      <c r="A22907" s="7"/>
      <c r="B22907" s="7"/>
      <c r="M22907" s="9" t="s">
        <v>45</v>
      </c>
    </row>
    <row r="22908" ht="15.75" customHeight="1">
      <c r="A22908" s="7"/>
      <c r="B22908" s="7"/>
      <c r="M22908" s="9" t="s">
        <v>24</v>
      </c>
    </row>
    <row r="22909" ht="15.75" customHeight="1">
      <c r="A22909" s="7"/>
      <c r="B22909" s="7"/>
      <c r="M22909" s="9" t="s">
        <v>21</v>
      </c>
    </row>
    <row r="22910" ht="15.75" customHeight="1">
      <c r="A22910" s="7"/>
      <c r="B22910" s="7"/>
      <c r="M22910" s="9" t="s">
        <v>37</v>
      </c>
    </row>
    <row r="22911" ht="15.75" customHeight="1">
      <c r="A22911" s="7"/>
      <c r="B22911" s="7"/>
      <c r="M22911" s="9" t="s">
        <v>22</v>
      </c>
    </row>
    <row r="22912" ht="15.75" customHeight="1">
      <c r="A22912" s="7"/>
      <c r="B22912" s="7"/>
      <c r="M22912" s="9" t="s">
        <v>27</v>
      </c>
    </row>
    <row r="22913" ht="15.75" customHeight="1">
      <c r="A22913" s="7"/>
      <c r="B22913" s="7"/>
      <c r="M22913" s="9" t="s">
        <v>28</v>
      </c>
    </row>
    <row r="22914" ht="15.75" customHeight="1">
      <c r="A22914" s="7"/>
      <c r="B22914" s="7"/>
      <c r="M22914" s="9" t="s">
        <v>24</v>
      </c>
    </row>
    <row r="22915" ht="15.75" customHeight="1">
      <c r="A22915" s="7"/>
      <c r="B22915" s="7"/>
      <c r="M22915" s="9" t="s">
        <v>21</v>
      </c>
    </row>
    <row r="22916" ht="15.75" customHeight="1">
      <c r="A22916" s="7"/>
      <c r="B22916" s="7"/>
      <c r="M22916" s="9" t="s">
        <v>29</v>
      </c>
    </row>
    <row r="22917" ht="15.75" customHeight="1">
      <c r="A22917" s="7"/>
      <c r="B22917" s="7"/>
      <c r="M22917" s="9" t="s">
        <v>27</v>
      </c>
    </row>
    <row r="22918" ht="15.75" customHeight="1">
      <c r="A22918" s="7"/>
      <c r="B22918" s="7"/>
      <c r="M22918" s="9" t="s">
        <v>30</v>
      </c>
    </row>
    <row r="22919" ht="15.75" customHeight="1">
      <c r="A22919" s="7"/>
      <c r="B22919" s="7"/>
      <c r="M22919" s="9" t="s">
        <v>23</v>
      </c>
    </row>
    <row r="22920" ht="15.75" customHeight="1">
      <c r="A22920" s="7"/>
      <c r="B22920" s="7"/>
      <c r="M22920" s="9" t="s">
        <v>36</v>
      </c>
    </row>
    <row r="22921" ht="15.75" customHeight="1">
      <c r="A22921" s="7"/>
      <c r="B22921" s="7"/>
      <c r="M22921" s="9" t="s">
        <v>24</v>
      </c>
    </row>
    <row r="22922" ht="15.75" customHeight="1">
      <c r="A22922" s="7"/>
      <c r="B22922" s="7"/>
      <c r="M22922" s="9" t="s">
        <v>20</v>
      </c>
    </row>
    <row r="22923" ht="15.75" customHeight="1">
      <c r="A22923" s="7"/>
      <c r="B22923" s="7"/>
      <c r="M22923" s="9" t="s">
        <v>21</v>
      </c>
    </row>
    <row r="22924" ht="15.75" customHeight="1">
      <c r="A22924" s="7"/>
      <c r="B22924" s="7"/>
      <c r="M22924" s="9" t="s">
        <v>37</v>
      </c>
    </row>
    <row r="22925" ht="15.75" customHeight="1">
      <c r="A22925" s="7"/>
      <c r="B22925" s="7"/>
      <c r="M22925" s="9" t="s">
        <v>27</v>
      </c>
    </row>
    <row r="22926" ht="15.75" customHeight="1">
      <c r="A22926" s="7"/>
      <c r="B22926" s="7"/>
      <c r="M22926" s="9" t="s">
        <v>38</v>
      </c>
    </row>
    <row r="22927" ht="15.75" customHeight="1">
      <c r="A22927" s="7"/>
      <c r="B22927" s="7"/>
      <c r="M22927" s="9" t="s">
        <v>30</v>
      </c>
    </row>
    <row r="22928" ht="15.75" customHeight="1">
      <c r="A22928" s="7"/>
      <c r="B22928" s="7"/>
      <c r="M22928" s="9" t="s">
        <v>25</v>
      </c>
    </row>
    <row r="22929" ht="15.75" customHeight="1">
      <c r="A22929" s="7"/>
      <c r="B22929" s="7"/>
      <c r="M22929" s="9" t="s">
        <v>23</v>
      </c>
    </row>
    <row r="22930" ht="15.75" customHeight="1">
      <c r="A22930" s="7"/>
      <c r="B22930" s="7"/>
      <c r="M22930" s="9" t="s">
        <v>24</v>
      </c>
    </row>
    <row r="22931" ht="15.75" customHeight="1">
      <c r="A22931" s="7"/>
      <c r="B22931" s="7"/>
      <c r="M22931" s="9" t="s">
        <v>20</v>
      </c>
    </row>
    <row r="22932" ht="15.75" customHeight="1">
      <c r="A22932" s="7"/>
      <c r="B22932" s="7"/>
      <c r="M22932" s="9" t="s">
        <v>21</v>
      </c>
    </row>
    <row r="22933" ht="15.75" customHeight="1">
      <c r="A22933" s="7"/>
      <c r="B22933" s="7"/>
      <c r="M22933" s="9" t="s">
        <v>29</v>
      </c>
    </row>
    <row r="22934" ht="15.75" customHeight="1">
      <c r="A22934" s="7"/>
      <c r="B22934" s="7"/>
      <c r="M22934" s="9" t="s">
        <v>27</v>
      </c>
    </row>
    <row r="22935" ht="15.75" customHeight="1">
      <c r="A22935" s="7"/>
      <c r="B22935" s="7"/>
      <c r="M22935" s="9" t="s">
        <v>33</v>
      </c>
    </row>
    <row r="22936" ht="15.75" customHeight="1">
      <c r="A22936" s="7"/>
      <c r="B22936" s="7"/>
      <c r="M22936" s="9" t="s">
        <v>35</v>
      </c>
    </row>
    <row r="22937" ht="15.75" customHeight="1">
      <c r="A22937" s="7"/>
      <c r="B22937" s="7"/>
      <c r="M22937" s="9" t="s">
        <v>30</v>
      </c>
    </row>
    <row r="22938" ht="15.75" customHeight="1">
      <c r="A22938" s="7"/>
      <c r="B22938" s="7"/>
      <c r="M22938" s="9" t="s">
        <v>20</v>
      </c>
    </row>
    <row r="22939" ht="15.75" customHeight="1">
      <c r="A22939" s="7"/>
      <c r="B22939" s="7"/>
      <c r="M22939" s="9" t="s">
        <v>35</v>
      </c>
    </row>
    <row r="22940" ht="15.75" customHeight="1">
      <c r="A22940" s="7"/>
      <c r="B22940" s="7"/>
      <c r="M22940" s="9" t="s">
        <v>38</v>
      </c>
    </row>
    <row r="22941" ht="15.75" customHeight="1">
      <c r="A22941" s="7"/>
      <c r="B22941" s="7"/>
      <c r="M22941" s="9" t="s">
        <v>30</v>
      </c>
    </row>
    <row r="22942" ht="15.75" customHeight="1">
      <c r="A22942" s="7"/>
      <c r="B22942" s="7"/>
      <c r="M22942" s="9" t="s">
        <v>25</v>
      </c>
    </row>
    <row r="22943" ht="15.75" customHeight="1">
      <c r="A22943" s="7"/>
      <c r="B22943" s="7"/>
      <c r="M22943" s="9" t="s">
        <v>24</v>
      </c>
    </row>
    <row r="22944" ht="15.75" customHeight="1">
      <c r="A22944" s="7"/>
      <c r="B22944" s="7"/>
      <c r="M22944" s="9" t="s">
        <v>20</v>
      </c>
    </row>
    <row r="22945" ht="15.75" customHeight="1">
      <c r="A22945" s="7"/>
      <c r="B22945" s="7"/>
      <c r="M22945" s="9" t="s">
        <v>21</v>
      </c>
    </row>
    <row r="22946" ht="15.75" customHeight="1">
      <c r="A22946" s="7"/>
      <c r="B22946" s="7"/>
      <c r="M22946" s="9" t="s">
        <v>22</v>
      </c>
    </row>
    <row r="22947" ht="15.75" customHeight="1">
      <c r="A22947" s="7"/>
      <c r="B22947" s="7"/>
      <c r="M22947" s="9" t="s">
        <v>27</v>
      </c>
    </row>
    <row r="22948" ht="15.75" customHeight="1">
      <c r="A22948" s="7"/>
      <c r="B22948" s="7"/>
      <c r="M22948" s="9" t="s">
        <v>35</v>
      </c>
    </row>
    <row r="22949" ht="15.75" customHeight="1">
      <c r="A22949" s="7"/>
      <c r="B22949" s="7"/>
      <c r="M22949" s="9" t="s">
        <v>23</v>
      </c>
    </row>
    <row r="22950" ht="15.75" customHeight="1">
      <c r="A22950" s="7"/>
      <c r="B22950" s="7"/>
      <c r="M22950" s="9" t="s">
        <v>38</v>
      </c>
    </row>
    <row r="22951" ht="15.75" customHeight="1">
      <c r="A22951" s="7"/>
      <c r="B22951" s="7"/>
      <c r="M22951" s="9" t="s">
        <v>30</v>
      </c>
    </row>
    <row r="22952" ht="15.75" customHeight="1">
      <c r="A22952" s="7"/>
      <c r="B22952" s="7"/>
      <c r="M22952" s="9" t="s">
        <v>25</v>
      </c>
    </row>
    <row r="22953" ht="15.75" customHeight="1">
      <c r="A22953" s="7"/>
      <c r="B22953" s="7"/>
      <c r="M22953" s="9" t="s">
        <v>24</v>
      </c>
    </row>
    <row r="22954" ht="15.75" customHeight="1">
      <c r="A22954" s="7"/>
      <c r="B22954" s="7"/>
      <c r="M22954" s="9" t="s">
        <v>21</v>
      </c>
    </row>
    <row r="22955" ht="15.75" customHeight="1">
      <c r="A22955" s="7"/>
      <c r="B22955" s="7"/>
      <c r="M22955" s="9" t="s">
        <v>27</v>
      </c>
    </row>
    <row r="22956" ht="15.75" customHeight="1">
      <c r="A22956" s="7"/>
      <c r="B22956" s="7"/>
      <c r="M22956" s="9" t="s">
        <v>33</v>
      </c>
    </row>
    <row r="22957" ht="15.75" customHeight="1">
      <c r="A22957" s="7"/>
      <c r="B22957" s="7"/>
      <c r="M22957" s="9" t="s">
        <v>24</v>
      </c>
    </row>
    <row r="22958" ht="15.75" customHeight="1">
      <c r="A22958" s="7"/>
      <c r="B22958" s="7"/>
      <c r="M22958" s="9" t="s">
        <v>21</v>
      </c>
    </row>
    <row r="22959" ht="15.75" customHeight="1">
      <c r="A22959" s="7"/>
      <c r="B22959" s="7"/>
      <c r="M22959" s="9" t="s">
        <v>33</v>
      </c>
    </row>
    <row r="22960" ht="15.75" customHeight="1">
      <c r="A22960" s="7"/>
      <c r="B22960" s="7"/>
      <c r="M22960" s="9" t="s">
        <v>25</v>
      </c>
    </row>
    <row r="22961" ht="15.75" customHeight="1">
      <c r="A22961" s="7"/>
      <c r="B22961" s="7"/>
      <c r="M22961" s="9" t="s">
        <v>23</v>
      </c>
    </row>
    <row r="22962" ht="15.75" customHeight="1">
      <c r="A22962" s="7"/>
      <c r="B22962" s="7"/>
      <c r="M22962" s="9" t="s">
        <v>20</v>
      </c>
    </row>
    <row r="22963" ht="15.75" customHeight="1">
      <c r="A22963" s="7"/>
      <c r="B22963" s="7"/>
      <c r="M22963" s="9" t="s">
        <v>39</v>
      </c>
    </row>
    <row r="22964" ht="15.75" customHeight="1">
      <c r="A22964" s="7"/>
      <c r="B22964" s="7"/>
      <c r="M22964" s="9" t="s">
        <v>20</v>
      </c>
    </row>
    <row r="22965" ht="15.75" customHeight="1">
      <c r="A22965" s="7"/>
      <c r="B22965" s="7"/>
      <c r="M22965" s="9" t="s">
        <v>24</v>
      </c>
    </row>
    <row r="22966" ht="15.75" customHeight="1">
      <c r="A22966" s="7"/>
      <c r="B22966" s="7"/>
      <c r="M22966" s="9" t="s">
        <v>29</v>
      </c>
    </row>
    <row r="22967" ht="15.75" customHeight="1">
      <c r="A22967" s="7"/>
      <c r="B22967" s="7"/>
      <c r="M22967" s="9" t="s">
        <v>35</v>
      </c>
    </row>
    <row r="22968" ht="15.75" customHeight="1">
      <c r="A22968" s="7"/>
      <c r="B22968" s="7"/>
      <c r="M22968" s="9" t="s">
        <v>38</v>
      </c>
    </row>
    <row r="22969" ht="15.75" customHeight="1">
      <c r="A22969" s="7"/>
      <c r="B22969" s="7"/>
      <c r="M22969" s="9" t="s">
        <v>25</v>
      </c>
    </row>
    <row r="22970" ht="15.75" customHeight="1">
      <c r="A22970" s="7"/>
      <c r="B22970" s="7"/>
      <c r="M22970" s="9" t="s">
        <v>26</v>
      </c>
    </row>
    <row r="22971" ht="15.75" customHeight="1">
      <c r="A22971" s="7"/>
      <c r="B22971" s="7"/>
      <c r="M22971" s="9" t="s">
        <v>24</v>
      </c>
    </row>
    <row r="22972" ht="15.75" customHeight="1">
      <c r="A22972" s="7"/>
      <c r="B22972" s="7"/>
      <c r="M22972" s="9" t="s">
        <v>20</v>
      </c>
    </row>
    <row r="22973" ht="15.75" customHeight="1">
      <c r="A22973" s="7"/>
      <c r="B22973" s="7"/>
      <c r="M22973" s="9" t="s">
        <v>21</v>
      </c>
    </row>
    <row r="22974" ht="15.75" customHeight="1">
      <c r="A22974" s="7"/>
      <c r="B22974" s="7"/>
      <c r="M22974" s="9" t="s">
        <v>37</v>
      </c>
    </row>
    <row r="22975" ht="15.75" customHeight="1">
      <c r="A22975" s="7"/>
      <c r="B22975" s="7"/>
      <c r="M22975" s="9" t="s">
        <v>27</v>
      </c>
    </row>
    <row r="22976" ht="15.75" customHeight="1">
      <c r="A22976" s="7"/>
      <c r="B22976" s="7"/>
      <c r="M22976" s="9" t="s">
        <v>28</v>
      </c>
    </row>
    <row r="22977" ht="15.75" customHeight="1">
      <c r="A22977" s="7"/>
      <c r="B22977" s="7"/>
      <c r="M22977" s="9" t="s">
        <v>23</v>
      </c>
    </row>
    <row r="22978" ht="15.75" customHeight="1">
      <c r="A22978" s="7"/>
      <c r="B22978" s="7"/>
      <c r="M22978" s="9" t="s">
        <v>26</v>
      </c>
    </row>
    <row r="22979" ht="15.75" customHeight="1">
      <c r="A22979" s="7"/>
      <c r="B22979" s="7"/>
      <c r="M22979" s="9" t="s">
        <v>24</v>
      </c>
    </row>
    <row r="22980" ht="15.75" customHeight="1">
      <c r="A22980" s="7"/>
      <c r="B22980" s="7"/>
      <c r="M22980" s="9" t="s">
        <v>21</v>
      </c>
    </row>
    <row r="22981" ht="15.75" customHeight="1">
      <c r="A22981" s="7"/>
      <c r="B22981" s="7"/>
      <c r="M22981" s="9" t="s">
        <v>37</v>
      </c>
    </row>
    <row r="22982" ht="15.75" customHeight="1">
      <c r="A22982" s="7"/>
      <c r="B22982" s="7"/>
      <c r="M22982" s="9" t="s">
        <v>27</v>
      </c>
    </row>
    <row r="22983" ht="15.75" customHeight="1">
      <c r="A22983" s="7"/>
      <c r="B22983" s="7"/>
      <c r="M22983" s="9" t="s">
        <v>35</v>
      </c>
    </row>
    <row r="22984" ht="15.75" customHeight="1">
      <c r="A22984" s="7"/>
      <c r="B22984" s="7"/>
      <c r="M22984" s="9" t="s">
        <v>30</v>
      </c>
    </row>
    <row r="22985" ht="15.75" customHeight="1">
      <c r="A22985" s="7"/>
      <c r="B22985" s="7"/>
      <c r="M22985" s="9" t="s">
        <v>24</v>
      </c>
    </row>
    <row r="22986" ht="15.75" customHeight="1">
      <c r="A22986" s="7"/>
      <c r="B22986" s="7"/>
      <c r="M22986" s="9" t="s">
        <v>20</v>
      </c>
    </row>
    <row r="22987" ht="15.75" customHeight="1">
      <c r="A22987" s="7"/>
      <c r="B22987" s="7"/>
      <c r="M22987" s="9" t="s">
        <v>21</v>
      </c>
    </row>
    <row r="22988" ht="15.75" customHeight="1">
      <c r="A22988" s="7"/>
      <c r="B22988" s="7"/>
      <c r="M22988" s="9" t="s">
        <v>27</v>
      </c>
    </row>
    <row r="22989" ht="15.75" customHeight="1">
      <c r="A22989" s="7"/>
      <c r="B22989" s="7"/>
      <c r="M22989" s="9" t="s">
        <v>24</v>
      </c>
    </row>
    <row r="22990" ht="15.75" customHeight="1">
      <c r="A22990" s="7"/>
      <c r="B22990" s="7"/>
      <c r="M22990" s="9" t="s">
        <v>21</v>
      </c>
    </row>
    <row r="22991" ht="15.75" customHeight="1">
      <c r="A22991" s="7"/>
      <c r="B22991" s="7"/>
      <c r="M22991" s="9" t="s">
        <v>23</v>
      </c>
    </row>
    <row r="22992" ht="15.75" customHeight="1">
      <c r="A22992" s="7"/>
      <c r="B22992" s="7"/>
      <c r="M22992" s="9" t="s">
        <v>24</v>
      </c>
    </row>
    <row r="22993" ht="15.75" customHeight="1">
      <c r="A22993" s="7"/>
      <c r="B22993" s="7"/>
      <c r="M22993" s="9" t="s">
        <v>20</v>
      </c>
    </row>
    <row r="22994" ht="15.75" customHeight="1">
      <c r="A22994" s="7"/>
      <c r="B22994" s="7"/>
      <c r="M22994" s="9" t="s">
        <v>22</v>
      </c>
    </row>
    <row r="22995" ht="15.75" customHeight="1">
      <c r="A22995" s="7"/>
      <c r="B22995" s="7"/>
      <c r="M22995" s="9" t="s">
        <v>24</v>
      </c>
    </row>
    <row r="22996" ht="15.75" customHeight="1">
      <c r="A22996" s="7"/>
      <c r="B22996" s="7"/>
      <c r="M22996" s="9" t="s">
        <v>21</v>
      </c>
    </row>
    <row r="22997" ht="15.75" customHeight="1">
      <c r="A22997" s="7"/>
      <c r="B22997" s="7"/>
      <c r="M22997" s="9" t="s">
        <v>31</v>
      </c>
    </row>
    <row r="22998" ht="15.75" customHeight="1">
      <c r="A22998" s="7"/>
      <c r="B22998" s="7"/>
      <c r="M22998" s="9" t="s">
        <v>33</v>
      </c>
    </row>
    <row r="22999" ht="15.75" customHeight="1">
      <c r="A22999" s="7"/>
      <c r="B22999" s="7"/>
      <c r="M22999" s="9" t="s">
        <v>30</v>
      </c>
    </row>
    <row r="23000" ht="15.75" customHeight="1">
      <c r="A23000" s="7"/>
      <c r="B23000" s="7"/>
      <c r="M23000" s="9" t="s">
        <v>24</v>
      </c>
    </row>
    <row r="23001" ht="15.75" customHeight="1">
      <c r="A23001" s="7"/>
      <c r="B23001" s="7"/>
      <c r="M23001" s="9" t="s">
        <v>21</v>
      </c>
    </row>
    <row r="23002" ht="15.75" customHeight="1">
      <c r="A23002" s="7"/>
      <c r="B23002" s="7"/>
      <c r="M23002" s="9" t="s">
        <v>22</v>
      </c>
    </row>
    <row r="23003" ht="15.75" customHeight="1">
      <c r="A23003" s="7"/>
      <c r="B23003" s="7"/>
      <c r="M23003" s="9" t="s">
        <v>27</v>
      </c>
    </row>
    <row r="23004" ht="15.75" customHeight="1">
      <c r="A23004" s="7"/>
      <c r="B23004" s="7"/>
      <c r="M23004" s="9" t="s">
        <v>20</v>
      </c>
    </row>
    <row r="23005" ht="15.75" customHeight="1">
      <c r="A23005" s="7"/>
      <c r="B23005" s="7"/>
      <c r="M23005" s="9" t="s">
        <v>21</v>
      </c>
    </row>
    <row r="23006" ht="15.75" customHeight="1">
      <c r="A23006" s="7"/>
      <c r="B23006" s="7"/>
      <c r="M23006" s="9" t="s">
        <v>27</v>
      </c>
    </row>
    <row r="23007" ht="15.75" customHeight="1">
      <c r="A23007" s="7"/>
      <c r="B23007" s="7"/>
      <c r="M23007" s="9" t="s">
        <v>30</v>
      </c>
    </row>
    <row r="23008" ht="15.75" customHeight="1">
      <c r="A23008" s="7"/>
      <c r="B23008" s="7"/>
      <c r="M23008" s="9" t="s">
        <v>44</v>
      </c>
    </row>
    <row r="23009" ht="15.75" customHeight="1">
      <c r="A23009" s="7"/>
      <c r="B23009" s="7"/>
      <c r="M23009" s="9" t="s">
        <v>24</v>
      </c>
    </row>
    <row r="23010" ht="15.75" customHeight="1">
      <c r="A23010" s="7"/>
      <c r="B23010" s="7"/>
      <c r="M23010" s="9" t="s">
        <v>21</v>
      </c>
    </row>
    <row r="23011" ht="15.75" customHeight="1">
      <c r="A23011" s="7"/>
      <c r="B23011" s="7"/>
      <c r="M23011" s="9" t="s">
        <v>31</v>
      </c>
    </row>
    <row r="23012" ht="15.75" customHeight="1">
      <c r="A23012" s="7"/>
      <c r="B23012" s="7"/>
      <c r="M23012" s="9" t="s">
        <v>26</v>
      </c>
    </row>
    <row r="23013" ht="15.75" customHeight="1">
      <c r="A23013" s="7"/>
      <c r="B23013" s="7"/>
      <c r="M23013" s="9" t="s">
        <v>24</v>
      </c>
    </row>
    <row r="23014" ht="15.75" customHeight="1">
      <c r="A23014" s="7"/>
      <c r="B23014" s="7"/>
      <c r="M23014" s="9" t="s">
        <v>20</v>
      </c>
    </row>
    <row r="23015" ht="15.75" customHeight="1">
      <c r="A23015" s="7"/>
      <c r="B23015" s="7"/>
      <c r="M23015" s="9" t="s">
        <v>21</v>
      </c>
    </row>
    <row r="23016" ht="15.75" customHeight="1">
      <c r="A23016" s="7"/>
      <c r="B23016" s="7"/>
      <c r="M23016" s="9" t="s">
        <v>22</v>
      </c>
    </row>
    <row r="23017" ht="15.75" customHeight="1">
      <c r="A23017" s="7"/>
      <c r="B23017" s="7"/>
      <c r="M23017" s="9" t="s">
        <v>33</v>
      </c>
    </row>
    <row r="23018" ht="15.75" customHeight="1">
      <c r="A23018" s="7"/>
      <c r="B23018" s="7"/>
      <c r="M23018" s="9" t="s">
        <v>30</v>
      </c>
    </row>
    <row r="23019" ht="15.75" customHeight="1">
      <c r="A23019" s="7"/>
      <c r="B23019" s="7"/>
      <c r="M23019" s="9" t="s">
        <v>25</v>
      </c>
    </row>
    <row r="23020" ht="15.75" customHeight="1">
      <c r="A23020" s="7"/>
      <c r="B23020" s="7"/>
      <c r="M23020" s="9" t="s">
        <v>23</v>
      </c>
    </row>
    <row r="23021" ht="15.75" customHeight="1">
      <c r="A23021" s="7"/>
      <c r="B23021" s="7"/>
      <c r="M23021" s="9" t="s">
        <v>24</v>
      </c>
    </row>
    <row r="23022" ht="15.75" customHeight="1">
      <c r="A23022" s="7"/>
      <c r="B23022" s="7"/>
      <c r="M23022" s="9" t="s">
        <v>22</v>
      </c>
    </row>
    <row r="23023" ht="15.75" customHeight="1">
      <c r="A23023" s="7"/>
      <c r="B23023" s="7"/>
      <c r="M23023" s="9" t="s">
        <v>24</v>
      </c>
    </row>
    <row r="23024" ht="15.75" customHeight="1">
      <c r="A23024" s="7"/>
      <c r="B23024" s="7"/>
      <c r="M23024" s="9" t="s">
        <v>20</v>
      </c>
    </row>
    <row r="23025" ht="15.75" customHeight="1">
      <c r="A23025" s="7"/>
      <c r="B23025" s="7"/>
      <c r="M23025" s="9" t="s">
        <v>21</v>
      </c>
    </row>
    <row r="23026" ht="15.75" customHeight="1">
      <c r="A23026" s="7"/>
      <c r="B23026" s="7"/>
      <c r="M23026" s="9" t="s">
        <v>22</v>
      </c>
    </row>
    <row r="23027" ht="15.75" customHeight="1">
      <c r="A23027" s="7"/>
      <c r="B23027" s="7"/>
      <c r="M23027" s="9" t="s">
        <v>29</v>
      </c>
    </row>
    <row r="23028" ht="15.75" customHeight="1">
      <c r="A23028" s="7"/>
      <c r="B23028" s="7"/>
      <c r="M23028" s="9" t="s">
        <v>32</v>
      </c>
    </row>
    <row r="23029" ht="15.75" customHeight="1">
      <c r="A23029" s="7"/>
      <c r="B23029" s="7"/>
      <c r="M23029" s="9" t="s">
        <v>24</v>
      </c>
    </row>
    <row r="23030" ht="15.75" customHeight="1">
      <c r="A23030" s="7"/>
      <c r="B23030" s="7"/>
      <c r="M23030" s="9" t="s">
        <v>20</v>
      </c>
    </row>
    <row r="23031" ht="15.75" customHeight="1">
      <c r="A23031" s="7"/>
      <c r="B23031" s="7"/>
      <c r="M23031" s="9" t="s">
        <v>22</v>
      </c>
    </row>
    <row r="23032" ht="15.75" customHeight="1">
      <c r="A23032" s="7"/>
      <c r="B23032" s="7"/>
      <c r="M23032" s="9" t="s">
        <v>27</v>
      </c>
    </row>
    <row r="23033" ht="15.75" customHeight="1">
      <c r="A23033" s="7"/>
      <c r="B23033" s="7"/>
      <c r="M23033" s="9" t="s">
        <v>20</v>
      </c>
    </row>
    <row r="23034" ht="15.75" customHeight="1">
      <c r="A23034" s="7"/>
      <c r="B23034" s="7"/>
      <c r="M23034" s="9" t="s">
        <v>24</v>
      </c>
    </row>
    <row r="23035" ht="15.75" customHeight="1">
      <c r="A23035" s="7"/>
      <c r="B23035" s="7"/>
      <c r="M23035" s="9" t="s">
        <v>21</v>
      </c>
    </row>
    <row r="23036" ht="15.75" customHeight="1">
      <c r="A23036" s="7"/>
      <c r="B23036" s="7"/>
      <c r="M23036" s="9" t="s">
        <v>33</v>
      </c>
    </row>
    <row r="23037" ht="15.75" customHeight="1">
      <c r="A23037" s="7"/>
      <c r="B23037" s="7"/>
      <c r="M23037" s="9" t="s">
        <v>26</v>
      </c>
    </row>
    <row r="23038" ht="15.75" customHeight="1">
      <c r="A23038" s="7"/>
      <c r="B23038" s="7"/>
      <c r="M23038" s="9" t="s">
        <v>24</v>
      </c>
    </row>
    <row r="23039" ht="15.75" customHeight="1">
      <c r="A23039" s="7"/>
      <c r="B23039" s="7"/>
      <c r="M23039" s="9" t="s">
        <v>21</v>
      </c>
    </row>
    <row r="23040" ht="15.75" customHeight="1">
      <c r="A23040" s="7"/>
      <c r="B23040" s="7"/>
      <c r="M23040" s="9" t="s">
        <v>27</v>
      </c>
    </row>
    <row r="23041" ht="15.75" customHeight="1">
      <c r="A23041" s="7"/>
      <c r="B23041" s="7"/>
      <c r="M23041" s="9" t="s">
        <v>24</v>
      </c>
    </row>
    <row r="23042" ht="15.75" customHeight="1">
      <c r="A23042" s="7"/>
      <c r="B23042" s="7"/>
      <c r="M23042" s="9" t="s">
        <v>21</v>
      </c>
    </row>
    <row r="23043" ht="15.75" customHeight="1">
      <c r="A23043" s="7"/>
      <c r="B23043" s="7"/>
      <c r="M23043" s="9" t="s">
        <v>22</v>
      </c>
    </row>
    <row r="23044" ht="15.75" customHeight="1">
      <c r="A23044" s="7"/>
      <c r="B23044" s="7"/>
      <c r="M23044" s="9" t="s">
        <v>26</v>
      </c>
    </row>
    <row r="23045" ht="15.75" customHeight="1">
      <c r="A23045" s="7"/>
      <c r="B23045" s="7"/>
      <c r="M23045" s="9" t="s">
        <v>21</v>
      </c>
    </row>
    <row r="23046" ht="15.75" customHeight="1">
      <c r="A23046" s="7"/>
      <c r="B23046" s="7"/>
      <c r="M23046" s="9" t="s">
        <v>21</v>
      </c>
    </row>
    <row r="23047" ht="15.75" customHeight="1">
      <c r="A23047" s="7"/>
      <c r="B23047" s="7"/>
      <c r="M23047" s="9" t="s">
        <v>30</v>
      </c>
    </row>
    <row r="23048" ht="15.75" customHeight="1">
      <c r="A23048" s="7"/>
      <c r="B23048" s="7"/>
      <c r="M23048" s="9" t="s">
        <v>25</v>
      </c>
    </row>
    <row r="23049" ht="15.75" customHeight="1">
      <c r="A23049" s="7"/>
      <c r="B23049" s="7"/>
      <c r="M23049" s="9" t="s">
        <v>23</v>
      </c>
    </row>
    <row r="23050" ht="15.75" customHeight="1">
      <c r="A23050" s="7"/>
      <c r="B23050" s="7"/>
      <c r="M23050" s="9" t="s">
        <v>26</v>
      </c>
    </row>
    <row r="23051" ht="15.75" customHeight="1">
      <c r="A23051" s="7"/>
      <c r="B23051" s="7"/>
      <c r="M23051" s="9" t="s">
        <v>24</v>
      </c>
    </row>
    <row r="23052" ht="15.75" customHeight="1">
      <c r="A23052" s="7"/>
      <c r="B23052" s="7"/>
      <c r="M23052" s="9" t="s">
        <v>27</v>
      </c>
    </row>
    <row r="23053" ht="15.75" customHeight="1">
      <c r="A23053" s="7"/>
      <c r="B23053" s="7"/>
      <c r="M23053" s="9" t="s">
        <v>35</v>
      </c>
    </row>
    <row r="23054" ht="15.75" customHeight="1">
      <c r="A23054" s="7"/>
      <c r="B23054" s="7"/>
      <c r="M23054" s="9" t="s">
        <v>22</v>
      </c>
    </row>
    <row r="23055" ht="15.75" customHeight="1">
      <c r="A23055" s="7"/>
      <c r="B23055" s="7"/>
      <c r="M23055" s="9" t="s">
        <v>35</v>
      </c>
    </row>
    <row r="23056" ht="15.75" customHeight="1">
      <c r="A23056" s="7"/>
      <c r="B23056" s="7"/>
      <c r="M23056" s="9" t="s">
        <v>30</v>
      </c>
    </row>
    <row r="23057" ht="15.75" customHeight="1">
      <c r="A23057" s="7"/>
      <c r="B23057" s="7"/>
      <c r="M23057" s="9" t="s">
        <v>22</v>
      </c>
    </row>
    <row r="23058" ht="15.75" customHeight="1">
      <c r="A23058" s="7"/>
      <c r="B23058" s="7"/>
      <c r="M23058" s="9" t="s">
        <v>46</v>
      </c>
    </row>
    <row r="23059" ht="15.75" customHeight="1">
      <c r="A23059" s="7"/>
      <c r="B23059" s="7"/>
      <c r="M23059" s="9" t="s">
        <v>27</v>
      </c>
    </row>
    <row r="23060" ht="15.75" customHeight="1">
      <c r="A23060" s="7"/>
      <c r="B23060" s="7"/>
      <c r="M23060" s="9" t="s">
        <v>35</v>
      </c>
    </row>
    <row r="23061" ht="15.75" customHeight="1">
      <c r="A23061" s="7"/>
      <c r="B23061" s="7"/>
      <c r="M23061" s="9" t="s">
        <v>24</v>
      </c>
    </row>
    <row r="23062" ht="15.75" customHeight="1">
      <c r="A23062" s="7"/>
      <c r="B23062" s="7"/>
      <c r="M23062" s="9" t="s">
        <v>21</v>
      </c>
    </row>
    <row r="23063" ht="15.75" customHeight="1">
      <c r="A23063" s="7"/>
      <c r="B23063" s="7"/>
      <c r="M23063" s="9" t="s">
        <v>33</v>
      </c>
    </row>
    <row r="23064" ht="15.75" customHeight="1">
      <c r="A23064" s="7"/>
      <c r="B23064" s="7"/>
      <c r="M23064" s="9" t="s">
        <v>21</v>
      </c>
    </row>
    <row r="23065" ht="15.75" customHeight="1">
      <c r="A23065" s="7"/>
      <c r="B23065" s="7"/>
      <c r="M23065" s="9" t="s">
        <v>29</v>
      </c>
    </row>
    <row r="23066" ht="15.75" customHeight="1">
      <c r="A23066" s="7"/>
      <c r="B23066" s="7"/>
      <c r="M23066" s="9" t="s">
        <v>27</v>
      </c>
    </row>
    <row r="23067" ht="15.75" customHeight="1">
      <c r="A23067" s="7"/>
      <c r="B23067" s="7"/>
      <c r="M23067" s="9" t="s">
        <v>31</v>
      </c>
    </row>
    <row r="23068" ht="15.75" customHeight="1">
      <c r="A23068" s="7"/>
      <c r="B23068" s="7"/>
      <c r="M23068" s="9" t="s">
        <v>30</v>
      </c>
    </row>
    <row r="23069" ht="15.75" customHeight="1">
      <c r="A23069" s="7"/>
      <c r="B23069" s="7"/>
      <c r="M23069" s="9" t="s">
        <v>23</v>
      </c>
    </row>
    <row r="23070" ht="15.75" customHeight="1">
      <c r="A23070" s="7"/>
      <c r="B23070" s="7"/>
      <c r="M23070" s="9" t="s">
        <v>20</v>
      </c>
    </row>
    <row r="23071" ht="15.75" customHeight="1">
      <c r="A23071" s="7"/>
      <c r="B23071" s="7"/>
      <c r="M23071" s="9" t="s">
        <v>21</v>
      </c>
    </row>
    <row r="23072" ht="15.75" customHeight="1">
      <c r="A23072" s="7"/>
      <c r="B23072" s="7"/>
      <c r="M23072" s="9" t="s">
        <v>26</v>
      </c>
    </row>
    <row r="23073" ht="15.75" customHeight="1">
      <c r="A23073" s="7"/>
      <c r="B23073" s="7"/>
      <c r="M23073" s="9" t="s">
        <v>24</v>
      </c>
    </row>
    <row r="23074" ht="15.75" customHeight="1">
      <c r="A23074" s="7"/>
      <c r="B23074" s="7"/>
      <c r="M23074" s="9" t="s">
        <v>20</v>
      </c>
    </row>
    <row r="23075" ht="15.75" customHeight="1">
      <c r="A23075" s="7"/>
      <c r="B23075" s="7"/>
      <c r="M23075" s="9" t="s">
        <v>21</v>
      </c>
    </row>
    <row r="23076" ht="15.75" customHeight="1">
      <c r="A23076" s="7"/>
      <c r="B23076" s="7"/>
      <c r="M23076" s="9" t="s">
        <v>39</v>
      </c>
    </row>
    <row r="23077" ht="15.75" customHeight="1">
      <c r="A23077" s="7"/>
      <c r="B23077" s="7"/>
      <c r="M23077" s="9" t="s">
        <v>27</v>
      </c>
    </row>
    <row r="23078" ht="15.75" customHeight="1">
      <c r="A23078" s="7"/>
      <c r="B23078" s="7"/>
      <c r="M23078" s="9" t="s">
        <v>33</v>
      </c>
    </row>
    <row r="23079" ht="15.75" customHeight="1">
      <c r="A23079" s="7"/>
      <c r="B23079" s="7"/>
      <c r="M23079" s="9" t="s">
        <v>24</v>
      </c>
    </row>
    <row r="23080" ht="15.75" customHeight="1">
      <c r="A23080" s="7"/>
      <c r="B23080" s="7"/>
      <c r="M23080" s="9" t="s">
        <v>20</v>
      </c>
    </row>
    <row r="23081" ht="15.75" customHeight="1">
      <c r="A23081" s="7"/>
      <c r="B23081" s="7"/>
      <c r="M23081" s="9" t="s">
        <v>21</v>
      </c>
    </row>
    <row r="23082" ht="15.75" customHeight="1">
      <c r="A23082" s="7"/>
      <c r="B23082" s="7"/>
      <c r="M23082" s="9" t="s">
        <v>22</v>
      </c>
    </row>
    <row r="23083" ht="15.75" customHeight="1">
      <c r="A23083" s="7"/>
      <c r="B23083" s="7"/>
      <c r="M23083" s="9" t="s">
        <v>31</v>
      </c>
    </row>
    <row r="23084" ht="15.75" customHeight="1">
      <c r="A23084" s="7"/>
      <c r="B23084" s="7"/>
      <c r="M23084" s="9" t="s">
        <v>24</v>
      </c>
    </row>
    <row r="23085" ht="15.75" customHeight="1">
      <c r="A23085" s="7"/>
      <c r="B23085" s="7"/>
      <c r="M23085" s="9" t="s">
        <v>21</v>
      </c>
    </row>
    <row r="23086" ht="15.75" customHeight="1">
      <c r="A23086" s="7"/>
      <c r="B23086" s="7"/>
      <c r="M23086" s="9" t="s">
        <v>37</v>
      </c>
    </row>
    <row r="23087" ht="15.75" customHeight="1">
      <c r="A23087" s="7"/>
      <c r="B23087" s="7"/>
      <c r="M23087" s="9" t="s">
        <v>22</v>
      </c>
    </row>
    <row r="23088" ht="15.75" customHeight="1">
      <c r="A23088" s="7"/>
      <c r="B23088" s="7"/>
      <c r="M23088" s="9" t="s">
        <v>33</v>
      </c>
    </row>
    <row r="23089" ht="15.75" customHeight="1">
      <c r="A23089" s="7"/>
      <c r="B23089" s="7"/>
      <c r="M23089" s="9" t="s">
        <v>25</v>
      </c>
    </row>
    <row r="23090" ht="15.75" customHeight="1">
      <c r="A23090" s="7"/>
      <c r="B23090" s="7"/>
      <c r="M23090" s="9" t="s">
        <v>23</v>
      </c>
    </row>
    <row r="23091" ht="15.75" customHeight="1">
      <c r="A23091" s="7"/>
      <c r="B23091" s="7"/>
      <c r="M23091" s="9" t="s">
        <v>26</v>
      </c>
    </row>
    <row r="23092" ht="15.75" customHeight="1">
      <c r="A23092" s="7"/>
      <c r="B23092" s="7"/>
      <c r="M23092" s="9" t="s">
        <v>24</v>
      </c>
    </row>
    <row r="23093" ht="15.75" customHeight="1">
      <c r="A23093" s="7"/>
      <c r="B23093" s="7"/>
      <c r="M23093" s="9" t="s">
        <v>21</v>
      </c>
    </row>
    <row r="23094" ht="15.75" customHeight="1">
      <c r="A23094" s="7"/>
      <c r="B23094" s="7"/>
      <c r="M23094" s="9" t="s">
        <v>37</v>
      </c>
    </row>
    <row r="23095" ht="15.75" customHeight="1">
      <c r="A23095" s="7"/>
      <c r="B23095" s="7"/>
      <c r="M23095" s="9" t="s">
        <v>22</v>
      </c>
    </row>
    <row r="23096" ht="15.75" customHeight="1">
      <c r="A23096" s="7"/>
      <c r="B23096" s="7"/>
      <c r="M23096" s="9" t="s">
        <v>27</v>
      </c>
    </row>
    <row r="23097" ht="15.75" customHeight="1">
      <c r="A23097" s="7"/>
      <c r="B23097" s="7"/>
      <c r="M23097" s="9" t="s">
        <v>36</v>
      </c>
    </row>
    <row r="23098" ht="15.75" customHeight="1">
      <c r="A23098" s="7"/>
      <c r="B23098" s="7"/>
      <c r="M23098" s="9" t="s">
        <v>20</v>
      </c>
    </row>
    <row r="23099" ht="15.75" customHeight="1">
      <c r="A23099" s="7"/>
      <c r="B23099" s="7"/>
      <c r="M23099" s="9" t="s">
        <v>21</v>
      </c>
    </row>
    <row r="23100" ht="15.75" customHeight="1">
      <c r="A23100" s="7"/>
      <c r="B23100" s="7"/>
      <c r="M23100" s="9" t="s">
        <v>39</v>
      </c>
    </row>
    <row r="23101" ht="15.75" customHeight="1">
      <c r="A23101" s="7"/>
      <c r="B23101" s="7"/>
      <c r="M23101" s="9" t="s">
        <v>31</v>
      </c>
    </row>
    <row r="23102" ht="15.75" customHeight="1">
      <c r="A23102" s="7"/>
      <c r="B23102" s="7"/>
      <c r="M23102" s="9" t="s">
        <v>27</v>
      </c>
    </row>
    <row r="23103" ht="15.75" customHeight="1">
      <c r="A23103" s="7"/>
      <c r="B23103" s="7"/>
      <c r="M23103" s="9" t="s">
        <v>33</v>
      </c>
    </row>
    <row r="23104" ht="15.75" customHeight="1">
      <c r="A23104" s="7"/>
      <c r="B23104" s="7"/>
      <c r="M23104" s="9" t="s">
        <v>26</v>
      </c>
    </row>
    <row r="23105" ht="15.75" customHeight="1">
      <c r="A23105" s="7"/>
      <c r="B23105" s="7"/>
      <c r="M23105" s="9" t="s">
        <v>24</v>
      </c>
    </row>
    <row r="23106" ht="15.75" customHeight="1">
      <c r="A23106" s="7"/>
      <c r="B23106" s="7"/>
      <c r="M23106" s="9" t="s">
        <v>21</v>
      </c>
    </row>
    <row r="23107" ht="15.75" customHeight="1">
      <c r="A23107" s="7"/>
      <c r="B23107" s="7"/>
      <c r="M23107" s="9" t="s">
        <v>27</v>
      </c>
    </row>
    <row r="23108" ht="15.75" customHeight="1">
      <c r="A23108" s="7"/>
      <c r="B23108" s="7"/>
      <c r="M23108" s="9" t="s">
        <v>26</v>
      </c>
    </row>
    <row r="23109" ht="15.75" customHeight="1">
      <c r="A23109" s="7"/>
      <c r="B23109" s="7"/>
      <c r="M23109" s="9" t="s">
        <v>24</v>
      </c>
    </row>
    <row r="23110" ht="15.75" customHeight="1">
      <c r="A23110" s="7"/>
      <c r="B23110" s="7"/>
      <c r="M23110" s="9" t="s">
        <v>21</v>
      </c>
    </row>
    <row r="23111" ht="15.75" customHeight="1">
      <c r="A23111" s="7"/>
      <c r="B23111" s="7"/>
      <c r="M23111" s="9" t="s">
        <v>36</v>
      </c>
    </row>
    <row r="23112" ht="15.75" customHeight="1">
      <c r="A23112" s="7"/>
      <c r="B23112" s="7"/>
      <c r="M23112" s="9" t="s">
        <v>37</v>
      </c>
    </row>
    <row r="23113" ht="15.75" customHeight="1">
      <c r="A23113" s="7"/>
      <c r="B23113" s="7"/>
      <c r="M23113" s="9" t="s">
        <v>25</v>
      </c>
    </row>
    <row r="23114" ht="15.75" customHeight="1">
      <c r="A23114" s="7"/>
      <c r="B23114" s="7"/>
      <c r="M23114" s="9" t="s">
        <v>23</v>
      </c>
    </row>
    <row r="23115" ht="15.75" customHeight="1">
      <c r="A23115" s="7"/>
      <c r="B23115" s="7"/>
      <c r="M23115" s="9" t="s">
        <v>24</v>
      </c>
    </row>
    <row r="23116" ht="15.75" customHeight="1">
      <c r="A23116" s="7"/>
      <c r="B23116" s="7"/>
      <c r="M23116" s="9" t="s">
        <v>21</v>
      </c>
    </row>
    <row r="23117" ht="15.75" customHeight="1">
      <c r="A23117" s="7"/>
      <c r="B23117" s="7"/>
      <c r="M23117" s="9" t="s">
        <v>22</v>
      </c>
    </row>
    <row r="23118" ht="15.75" customHeight="1">
      <c r="A23118" s="7"/>
      <c r="B23118" s="7"/>
      <c r="M23118" s="9" t="s">
        <v>33</v>
      </c>
    </row>
    <row r="23119" ht="15.75" customHeight="1">
      <c r="A23119" s="7"/>
      <c r="B23119" s="7"/>
      <c r="M23119" s="9" t="s">
        <v>30</v>
      </c>
    </row>
    <row r="23120" ht="15.75" customHeight="1">
      <c r="A23120" s="7"/>
      <c r="B23120" s="7"/>
      <c r="M23120" s="9" t="s">
        <v>26</v>
      </c>
    </row>
    <row r="23121" ht="15.75" customHeight="1">
      <c r="A23121" s="7"/>
      <c r="B23121" s="7"/>
      <c r="M23121" s="9" t="s">
        <v>20</v>
      </c>
    </row>
    <row r="23122" ht="15.75" customHeight="1">
      <c r="A23122" s="7"/>
      <c r="B23122" s="7"/>
      <c r="M23122" s="9" t="s">
        <v>21</v>
      </c>
    </row>
    <row r="23123" ht="15.75" customHeight="1">
      <c r="A23123" s="7"/>
      <c r="B23123" s="7"/>
      <c r="M23123" s="9" t="s">
        <v>27</v>
      </c>
    </row>
    <row r="23124" ht="15.75" customHeight="1">
      <c r="A23124" s="7"/>
      <c r="B23124" s="7"/>
      <c r="M23124" s="9" t="s">
        <v>24</v>
      </c>
    </row>
    <row r="23125" ht="15.75" customHeight="1">
      <c r="A23125" s="7"/>
      <c r="B23125" s="7"/>
      <c r="M23125" s="9" t="s">
        <v>20</v>
      </c>
    </row>
    <row r="23126" ht="15.75" customHeight="1">
      <c r="A23126" s="7"/>
      <c r="B23126" s="7"/>
      <c r="M23126" s="9" t="s">
        <v>21</v>
      </c>
    </row>
    <row r="23127" ht="15.75" customHeight="1">
      <c r="A23127" s="7"/>
      <c r="B23127" s="7"/>
      <c r="M23127" s="9" t="s">
        <v>22</v>
      </c>
    </row>
    <row r="23128" ht="15.75" customHeight="1">
      <c r="A23128" s="7"/>
      <c r="B23128" s="7"/>
      <c r="M23128" s="9" t="s">
        <v>30</v>
      </c>
    </row>
    <row r="23129" ht="15.75" customHeight="1">
      <c r="A23129" s="7"/>
      <c r="B23129" s="7"/>
      <c r="M23129" s="9" t="s">
        <v>26</v>
      </c>
    </row>
    <row r="23130" ht="15.75" customHeight="1">
      <c r="A23130" s="7"/>
      <c r="B23130" s="7"/>
      <c r="M23130" s="9" t="s">
        <v>24</v>
      </c>
    </row>
    <row r="23131" ht="15.75" customHeight="1">
      <c r="A23131" s="7"/>
      <c r="B23131" s="7"/>
      <c r="M23131" s="9" t="s">
        <v>21</v>
      </c>
    </row>
    <row r="23132" ht="15.75" customHeight="1">
      <c r="A23132" s="7"/>
      <c r="B23132" s="7"/>
      <c r="M23132" s="9" t="s">
        <v>27</v>
      </c>
    </row>
    <row r="23133" ht="15.75" customHeight="1">
      <c r="A23133" s="7"/>
      <c r="B23133" s="7"/>
      <c r="M23133" s="9" t="s">
        <v>28</v>
      </c>
    </row>
    <row r="23134" ht="15.75" customHeight="1">
      <c r="A23134" s="7"/>
      <c r="B23134" s="7"/>
      <c r="M23134" s="9" t="s">
        <v>30</v>
      </c>
    </row>
    <row r="23135" ht="15.75" customHeight="1">
      <c r="A23135" s="7"/>
      <c r="B23135" s="7"/>
      <c r="M23135" s="9" t="s">
        <v>25</v>
      </c>
    </row>
    <row r="23136" ht="15.75" customHeight="1">
      <c r="A23136" s="7"/>
      <c r="B23136" s="7"/>
      <c r="M23136" s="9" t="s">
        <v>23</v>
      </c>
    </row>
    <row r="23137" ht="15.75" customHeight="1">
      <c r="A23137" s="7"/>
      <c r="B23137" s="7"/>
      <c r="M23137" s="9" t="s">
        <v>36</v>
      </c>
    </row>
    <row r="23138" ht="15.75" customHeight="1">
      <c r="A23138" s="7"/>
      <c r="B23138" s="7"/>
      <c r="M23138" s="9" t="s">
        <v>24</v>
      </c>
    </row>
    <row r="23139" ht="15.75" customHeight="1">
      <c r="A23139" s="7"/>
      <c r="B23139" s="7"/>
      <c r="M23139" s="9" t="s">
        <v>21</v>
      </c>
    </row>
    <row r="23140" ht="15.75" customHeight="1">
      <c r="A23140" s="7"/>
      <c r="B23140" s="7"/>
      <c r="M23140" s="9" t="s">
        <v>22</v>
      </c>
    </row>
    <row r="23141" ht="15.75" customHeight="1">
      <c r="A23141" s="7"/>
      <c r="B23141" s="7"/>
      <c r="M23141" s="9" t="s">
        <v>27</v>
      </c>
    </row>
    <row r="23142" ht="15.75" customHeight="1">
      <c r="A23142" s="7"/>
      <c r="B23142" s="7"/>
      <c r="M23142" s="9" t="s">
        <v>24</v>
      </c>
    </row>
    <row r="23143" ht="15.75" customHeight="1">
      <c r="A23143" s="7"/>
      <c r="B23143" s="7"/>
      <c r="M23143" s="9" t="s">
        <v>21</v>
      </c>
    </row>
    <row r="23144" ht="15.75" customHeight="1">
      <c r="A23144" s="7"/>
      <c r="B23144" s="7"/>
      <c r="M23144" s="9" t="s">
        <v>37</v>
      </c>
    </row>
    <row r="23145" ht="15.75" customHeight="1">
      <c r="A23145" s="7"/>
      <c r="B23145" s="7"/>
      <c r="M23145" s="9" t="s">
        <v>22</v>
      </c>
    </row>
    <row r="23146" ht="15.75" customHeight="1">
      <c r="A23146" s="7"/>
      <c r="B23146" s="7"/>
      <c r="M23146" s="9" t="s">
        <v>29</v>
      </c>
    </row>
    <row r="23147" ht="15.75" customHeight="1">
      <c r="A23147" s="7"/>
      <c r="B23147" s="7"/>
      <c r="M23147" s="9" t="s">
        <v>30</v>
      </c>
    </row>
    <row r="23148" ht="15.75" customHeight="1">
      <c r="A23148" s="7"/>
      <c r="B23148" s="7"/>
      <c r="M23148" s="9" t="s">
        <v>44</v>
      </c>
    </row>
    <row r="23149" ht="15.75" customHeight="1">
      <c r="A23149" s="7"/>
      <c r="B23149" s="7"/>
      <c r="M23149" s="9" t="s">
        <v>24</v>
      </c>
    </row>
    <row r="23150" ht="15.75" customHeight="1">
      <c r="A23150" s="7"/>
      <c r="B23150" s="7"/>
      <c r="M23150" s="9" t="s">
        <v>20</v>
      </c>
    </row>
    <row r="23151" ht="15.75" customHeight="1">
      <c r="A23151" s="7"/>
      <c r="B23151" s="7"/>
      <c r="M23151" s="9" t="s">
        <v>21</v>
      </c>
    </row>
    <row r="23152" ht="15.75" customHeight="1">
      <c r="A23152" s="7"/>
      <c r="B23152" s="7"/>
      <c r="M23152" s="9" t="s">
        <v>37</v>
      </c>
    </row>
    <row r="23153" ht="15.75" customHeight="1">
      <c r="A23153" s="7"/>
      <c r="B23153" s="7"/>
      <c r="M23153" s="9" t="s">
        <v>27</v>
      </c>
    </row>
    <row r="23154" ht="15.75" customHeight="1">
      <c r="A23154" s="7"/>
      <c r="B23154" s="7"/>
      <c r="M23154" s="9" t="s">
        <v>35</v>
      </c>
    </row>
    <row r="23155" ht="15.75" customHeight="1">
      <c r="A23155" s="7"/>
      <c r="B23155" s="7"/>
      <c r="M23155" s="9" t="s">
        <v>26</v>
      </c>
    </row>
    <row r="23156" ht="15.75" customHeight="1">
      <c r="A23156" s="7"/>
      <c r="B23156" s="7"/>
      <c r="M23156" s="9" t="s">
        <v>24</v>
      </c>
    </row>
    <row r="23157" ht="15.75" customHeight="1">
      <c r="A23157" s="7"/>
      <c r="B23157" s="7"/>
      <c r="M23157" s="9" t="s">
        <v>21</v>
      </c>
    </row>
    <row r="23158" ht="15.75" customHeight="1">
      <c r="A23158" s="7"/>
      <c r="B23158" s="7"/>
      <c r="M23158" s="9" t="s">
        <v>27</v>
      </c>
    </row>
    <row r="23159" ht="15.75" customHeight="1">
      <c r="A23159" s="7"/>
      <c r="B23159" s="7"/>
      <c r="M23159" s="9" t="s">
        <v>35</v>
      </c>
    </row>
    <row r="23160" ht="15.75" customHeight="1">
      <c r="A23160" s="7"/>
      <c r="B23160" s="7"/>
      <c r="M23160" s="9" t="s">
        <v>22</v>
      </c>
    </row>
    <row r="23161" ht="15.75" customHeight="1">
      <c r="A23161" s="7"/>
      <c r="B23161" s="7"/>
      <c r="M23161" s="9" t="s">
        <v>27</v>
      </c>
    </row>
    <row r="23162" ht="15.75" customHeight="1">
      <c r="A23162" s="7"/>
      <c r="B23162" s="7"/>
      <c r="M23162" s="9" t="s">
        <v>28</v>
      </c>
    </row>
    <row r="23163" ht="15.75" customHeight="1">
      <c r="A23163" s="7"/>
      <c r="B23163" s="7"/>
      <c r="M23163" s="9" t="s">
        <v>20</v>
      </c>
    </row>
    <row r="23164" ht="15.75" customHeight="1">
      <c r="A23164" s="7"/>
      <c r="B23164" s="7"/>
      <c r="M23164" s="9" t="s">
        <v>39</v>
      </c>
    </row>
    <row r="23165" ht="15.75" customHeight="1">
      <c r="A23165" s="7"/>
      <c r="B23165" s="7"/>
      <c r="M23165" s="9" t="s">
        <v>26</v>
      </c>
    </row>
    <row r="23166" ht="15.75" customHeight="1">
      <c r="A23166" s="7"/>
      <c r="B23166" s="7"/>
      <c r="M23166" s="9" t="s">
        <v>24</v>
      </c>
    </row>
    <row r="23167" ht="15.75" customHeight="1">
      <c r="A23167" s="7"/>
      <c r="B23167" s="7"/>
      <c r="M23167" s="9" t="s">
        <v>21</v>
      </c>
    </row>
    <row r="23168" ht="15.75" customHeight="1">
      <c r="A23168" s="7"/>
      <c r="B23168" s="7"/>
      <c r="M23168" s="9" t="s">
        <v>33</v>
      </c>
    </row>
    <row r="23169" ht="15.75" customHeight="1">
      <c r="A23169" s="7"/>
      <c r="B23169" s="7"/>
      <c r="M23169" s="9" t="s">
        <v>24</v>
      </c>
    </row>
    <row r="23170" ht="15.75" customHeight="1">
      <c r="A23170" s="7"/>
      <c r="B23170" s="7"/>
      <c r="M23170" s="9" t="s">
        <v>20</v>
      </c>
    </row>
    <row r="23171" ht="15.75" customHeight="1">
      <c r="A23171" s="7"/>
      <c r="B23171" s="7"/>
      <c r="M23171" s="9" t="s">
        <v>21</v>
      </c>
    </row>
    <row r="23172" ht="15.75" customHeight="1">
      <c r="A23172" s="7"/>
      <c r="B23172" s="7"/>
      <c r="M23172" s="9" t="s">
        <v>22</v>
      </c>
    </row>
    <row r="23173" ht="15.75" customHeight="1">
      <c r="A23173" s="7"/>
      <c r="B23173" s="7"/>
      <c r="M23173" s="9" t="s">
        <v>27</v>
      </c>
    </row>
    <row r="23174" ht="15.75" customHeight="1">
      <c r="A23174" s="7"/>
      <c r="B23174" s="7"/>
      <c r="M23174" s="9" t="s">
        <v>38</v>
      </c>
    </row>
    <row r="23175" ht="15.75" customHeight="1">
      <c r="A23175" s="7"/>
      <c r="B23175" s="7"/>
      <c r="M23175" s="9" t="s">
        <v>25</v>
      </c>
    </row>
    <row r="23176" ht="15.75" customHeight="1">
      <c r="A23176" s="7"/>
      <c r="B23176" s="7"/>
      <c r="M23176" s="9" t="s">
        <v>23</v>
      </c>
    </row>
    <row r="23177" ht="15.75" customHeight="1">
      <c r="A23177" s="7"/>
      <c r="B23177" s="7"/>
      <c r="M23177" s="9" t="s">
        <v>26</v>
      </c>
    </row>
    <row r="23178" ht="15.75" customHeight="1">
      <c r="A23178" s="7"/>
      <c r="B23178" s="7"/>
      <c r="M23178" s="9" t="s">
        <v>24</v>
      </c>
    </row>
    <row r="23179" ht="15.75" customHeight="1">
      <c r="A23179" s="7"/>
      <c r="B23179" s="7"/>
      <c r="M23179" s="9" t="s">
        <v>20</v>
      </c>
    </row>
    <row r="23180" ht="15.75" customHeight="1">
      <c r="A23180" s="7"/>
      <c r="B23180" s="7"/>
      <c r="M23180" s="9" t="s">
        <v>33</v>
      </c>
    </row>
    <row r="23181" ht="15.75" customHeight="1">
      <c r="A23181" s="7"/>
      <c r="B23181" s="7"/>
      <c r="M23181" s="9" t="s">
        <v>30</v>
      </c>
    </row>
    <row r="23182" ht="15.75" customHeight="1">
      <c r="A23182" s="7"/>
      <c r="B23182" s="7"/>
      <c r="M23182" s="9" t="s">
        <v>26</v>
      </c>
    </row>
    <row r="23183" ht="15.75" customHeight="1">
      <c r="A23183" s="7"/>
      <c r="B23183" s="7"/>
      <c r="M23183" s="9" t="s">
        <v>24</v>
      </c>
    </row>
    <row r="23184" ht="15.75" customHeight="1">
      <c r="A23184" s="7"/>
      <c r="B23184" s="7"/>
      <c r="M23184" s="9" t="s">
        <v>22</v>
      </c>
    </row>
    <row r="23185" ht="15.75" customHeight="1">
      <c r="A23185" s="7"/>
      <c r="B23185" s="7"/>
      <c r="M23185" s="9" t="s">
        <v>29</v>
      </c>
    </row>
    <row r="23186" ht="15.75" customHeight="1">
      <c r="A23186" s="7"/>
      <c r="B23186" s="7"/>
      <c r="M23186" s="9" t="s">
        <v>27</v>
      </c>
    </row>
    <row r="23187" ht="15.75" customHeight="1">
      <c r="A23187" s="7"/>
      <c r="B23187" s="7"/>
      <c r="M23187" s="9" t="s">
        <v>26</v>
      </c>
    </row>
    <row r="23188" ht="15.75" customHeight="1">
      <c r="A23188" s="7"/>
      <c r="B23188" s="7"/>
      <c r="M23188" s="9" t="s">
        <v>35</v>
      </c>
    </row>
    <row r="23189" ht="15.75" customHeight="1">
      <c r="A23189" s="7"/>
      <c r="B23189" s="7"/>
      <c r="M23189" s="9" t="s">
        <v>30</v>
      </c>
    </row>
    <row r="23190" ht="15.75" customHeight="1">
      <c r="A23190" s="7"/>
      <c r="B23190" s="7"/>
      <c r="M23190" s="9" t="s">
        <v>26</v>
      </c>
    </row>
    <row r="23191" ht="15.75" customHeight="1">
      <c r="A23191" s="7"/>
      <c r="B23191" s="7"/>
      <c r="M23191" s="9" t="s">
        <v>24</v>
      </c>
    </row>
    <row r="23192" ht="15.75" customHeight="1">
      <c r="A23192" s="7"/>
      <c r="B23192" s="7"/>
      <c r="M23192" s="9" t="s">
        <v>20</v>
      </c>
    </row>
    <row r="23193" ht="15.75" customHeight="1">
      <c r="A23193" s="7"/>
      <c r="B23193" s="7"/>
      <c r="M23193" s="9" t="s">
        <v>21</v>
      </c>
    </row>
    <row r="23194" ht="15.75" customHeight="1">
      <c r="A23194" s="7"/>
      <c r="B23194" s="7"/>
      <c r="M23194" s="9" t="s">
        <v>39</v>
      </c>
    </row>
    <row r="23195" ht="15.75" customHeight="1">
      <c r="A23195" s="7"/>
      <c r="B23195" s="7"/>
      <c r="M23195" s="9" t="s">
        <v>37</v>
      </c>
    </row>
    <row r="23196" ht="15.75" customHeight="1">
      <c r="A23196" s="7"/>
      <c r="B23196" s="7"/>
      <c r="M23196" s="9" t="s">
        <v>22</v>
      </c>
    </row>
    <row r="23197" ht="15.75" customHeight="1">
      <c r="A23197" s="7"/>
      <c r="B23197" s="7"/>
      <c r="M23197" s="9" t="s">
        <v>27</v>
      </c>
    </row>
    <row r="23198" ht="15.75" customHeight="1">
      <c r="A23198" s="7"/>
      <c r="B23198" s="7"/>
      <c r="M23198" s="9" t="s">
        <v>40</v>
      </c>
    </row>
    <row r="23199" ht="15.75" customHeight="1">
      <c r="A23199" s="7"/>
      <c r="B23199" s="7"/>
      <c r="M23199" s="9" t="s">
        <v>20</v>
      </c>
    </row>
    <row r="23200" ht="15.75" customHeight="1">
      <c r="A23200" s="7"/>
      <c r="B23200" s="7"/>
      <c r="M23200" s="9" t="s">
        <v>21</v>
      </c>
    </row>
    <row r="23201" ht="15.75" customHeight="1">
      <c r="A23201" s="7"/>
      <c r="B23201" s="7"/>
      <c r="M23201" s="9" t="s">
        <v>37</v>
      </c>
    </row>
    <row r="23202" ht="15.75" customHeight="1">
      <c r="A23202" s="7"/>
      <c r="B23202" s="7"/>
      <c r="M23202" s="9" t="s">
        <v>29</v>
      </c>
    </row>
    <row r="23203" ht="15.75" customHeight="1">
      <c r="A23203" s="7"/>
      <c r="B23203" s="7"/>
      <c r="M23203" s="9" t="s">
        <v>27</v>
      </c>
    </row>
    <row r="23204" ht="15.75" customHeight="1">
      <c r="A23204" s="7"/>
      <c r="B23204" s="7"/>
      <c r="M23204" s="9" t="s">
        <v>30</v>
      </c>
    </row>
    <row r="23205" ht="15.75" customHeight="1">
      <c r="A23205" s="7"/>
      <c r="B23205" s="7"/>
      <c r="M23205" s="9" t="s">
        <v>25</v>
      </c>
    </row>
    <row r="23206" ht="15.75" customHeight="1">
      <c r="A23206" s="7"/>
      <c r="B23206" s="7"/>
      <c r="M23206" s="9" t="s">
        <v>23</v>
      </c>
    </row>
    <row r="23207" ht="15.75" customHeight="1">
      <c r="A23207" s="7"/>
      <c r="B23207" s="7"/>
      <c r="M23207" s="9" t="s">
        <v>26</v>
      </c>
    </row>
    <row r="23208" ht="15.75" customHeight="1">
      <c r="A23208" s="7"/>
      <c r="B23208" s="7"/>
      <c r="M23208" s="9" t="s">
        <v>36</v>
      </c>
    </row>
    <row r="23209" ht="15.75" customHeight="1">
      <c r="A23209" s="7"/>
      <c r="B23209" s="7"/>
      <c r="M23209" s="9" t="s">
        <v>24</v>
      </c>
    </row>
    <row r="23210" ht="15.75" customHeight="1">
      <c r="A23210" s="7"/>
      <c r="B23210" s="7"/>
      <c r="M23210" s="9" t="s">
        <v>20</v>
      </c>
    </row>
    <row r="23211" ht="15.75" customHeight="1">
      <c r="A23211" s="7"/>
      <c r="B23211" s="7"/>
      <c r="M23211" s="9" t="s">
        <v>21</v>
      </c>
    </row>
    <row r="23212" ht="15.75" customHeight="1">
      <c r="A23212" s="7"/>
      <c r="B23212" s="7"/>
      <c r="M23212" s="9" t="s">
        <v>29</v>
      </c>
    </row>
    <row r="23213" ht="15.75" customHeight="1">
      <c r="A23213" s="7"/>
      <c r="B23213" s="7"/>
      <c r="M23213" s="9" t="s">
        <v>27</v>
      </c>
    </row>
    <row r="23214" ht="15.75" customHeight="1">
      <c r="A23214" s="7"/>
      <c r="B23214" s="7"/>
      <c r="M23214" s="9" t="s">
        <v>33</v>
      </c>
    </row>
    <row r="23215" ht="15.75" customHeight="1">
      <c r="A23215" s="7"/>
      <c r="B23215" s="7"/>
      <c r="M23215" s="9" t="s">
        <v>34</v>
      </c>
    </row>
    <row r="23216" ht="15.75" customHeight="1">
      <c r="A23216" s="7"/>
      <c r="B23216" s="7"/>
      <c r="M23216" s="9" t="s">
        <v>25</v>
      </c>
    </row>
    <row r="23217" ht="15.75" customHeight="1">
      <c r="A23217" s="7"/>
      <c r="B23217" s="7"/>
      <c r="M23217" s="9" t="s">
        <v>23</v>
      </c>
    </row>
    <row r="23218" ht="15.75" customHeight="1">
      <c r="A23218" s="7"/>
      <c r="B23218" s="7"/>
      <c r="M23218" s="9" t="s">
        <v>20</v>
      </c>
    </row>
    <row r="23219" ht="15.75" customHeight="1">
      <c r="A23219" s="7"/>
      <c r="B23219" s="7"/>
      <c r="M23219" s="9" t="s">
        <v>24</v>
      </c>
    </row>
    <row r="23220" ht="15.75" customHeight="1">
      <c r="A23220" s="7"/>
      <c r="B23220" s="7"/>
      <c r="M23220" s="9" t="s">
        <v>20</v>
      </c>
    </row>
    <row r="23221" ht="15.75" customHeight="1">
      <c r="A23221" s="7"/>
      <c r="B23221" s="7"/>
      <c r="M23221" s="9" t="s">
        <v>22</v>
      </c>
    </row>
    <row r="23222" ht="15.75" customHeight="1">
      <c r="A23222" s="7"/>
      <c r="B23222" s="7"/>
      <c r="M23222" s="9" t="s">
        <v>27</v>
      </c>
    </row>
    <row r="23223" ht="15.75" customHeight="1">
      <c r="A23223" s="7"/>
      <c r="B23223" s="7"/>
      <c r="M23223" s="9" t="s">
        <v>30</v>
      </c>
    </row>
    <row r="23224" ht="15.75" customHeight="1">
      <c r="A23224" s="7"/>
      <c r="B23224" s="7"/>
      <c r="M23224" s="9" t="s">
        <v>25</v>
      </c>
    </row>
    <row r="23225" ht="15.75" customHeight="1">
      <c r="A23225" s="7"/>
      <c r="B23225" s="7"/>
      <c r="M23225" s="9" t="s">
        <v>23</v>
      </c>
    </row>
    <row r="23226" ht="15.75" customHeight="1">
      <c r="A23226" s="7"/>
      <c r="B23226" s="7"/>
      <c r="M23226" s="9" t="s">
        <v>24</v>
      </c>
    </row>
    <row r="23227" ht="15.75" customHeight="1">
      <c r="A23227" s="7"/>
      <c r="B23227" s="7"/>
      <c r="M23227" s="9" t="s">
        <v>20</v>
      </c>
    </row>
    <row r="23228" ht="15.75" customHeight="1">
      <c r="A23228" s="7"/>
      <c r="B23228" s="7"/>
      <c r="M23228" s="9" t="s">
        <v>21</v>
      </c>
    </row>
    <row r="23229" ht="15.75" customHeight="1">
      <c r="A23229" s="7"/>
      <c r="B23229" s="7"/>
      <c r="M23229" s="9" t="s">
        <v>37</v>
      </c>
    </row>
    <row r="23230" ht="15.75" customHeight="1">
      <c r="A23230" s="7"/>
      <c r="B23230" s="7"/>
      <c r="M23230" s="9" t="s">
        <v>22</v>
      </c>
    </row>
    <row r="23231" ht="15.75" customHeight="1">
      <c r="A23231" s="7"/>
      <c r="B23231" s="7"/>
      <c r="M23231" s="9" t="s">
        <v>27</v>
      </c>
    </row>
    <row r="23232" ht="15.75" customHeight="1">
      <c r="A23232" s="7"/>
      <c r="B23232" s="7"/>
      <c r="M23232" s="9" t="s">
        <v>26</v>
      </c>
    </row>
    <row r="23233" ht="15.75" customHeight="1">
      <c r="A23233" s="7"/>
      <c r="B23233" s="7"/>
      <c r="M23233" s="9" t="s">
        <v>24</v>
      </c>
    </row>
    <row r="23234" ht="15.75" customHeight="1">
      <c r="A23234" s="7"/>
      <c r="B23234" s="7"/>
      <c r="M23234" s="9" t="s">
        <v>21</v>
      </c>
    </row>
    <row r="23235" ht="15.75" customHeight="1">
      <c r="A23235" s="7"/>
      <c r="B23235" s="7"/>
      <c r="M23235" s="9" t="s">
        <v>27</v>
      </c>
    </row>
    <row r="23236" ht="15.75" customHeight="1">
      <c r="A23236" s="7"/>
      <c r="B23236" s="7"/>
      <c r="M23236" s="9" t="s">
        <v>33</v>
      </c>
    </row>
    <row r="23237" ht="15.75" customHeight="1">
      <c r="A23237" s="7"/>
      <c r="B23237" s="7"/>
      <c r="M23237" s="9" t="s">
        <v>24</v>
      </c>
    </row>
    <row r="23238" ht="15.75" customHeight="1">
      <c r="A23238" s="7"/>
      <c r="B23238" s="7"/>
      <c r="M23238" s="9" t="s">
        <v>21</v>
      </c>
    </row>
    <row r="23239" ht="15.75" customHeight="1">
      <c r="A23239" s="7"/>
      <c r="B23239" s="7"/>
      <c r="M23239" s="9" t="s">
        <v>30</v>
      </c>
    </row>
    <row r="23240" ht="15.75" customHeight="1">
      <c r="A23240" s="7"/>
      <c r="B23240" s="7"/>
      <c r="M23240" s="9" t="s">
        <v>25</v>
      </c>
    </row>
    <row r="23241" ht="15.75" customHeight="1">
      <c r="A23241" s="7"/>
      <c r="B23241" s="7"/>
      <c r="M23241" s="9" t="s">
        <v>22</v>
      </c>
    </row>
    <row r="23242" ht="15.75" customHeight="1">
      <c r="A23242" s="7"/>
      <c r="B23242" s="7"/>
      <c r="M23242" s="9" t="s">
        <v>30</v>
      </c>
    </row>
    <row r="23243" ht="15.75" customHeight="1">
      <c r="A23243" s="7"/>
      <c r="B23243" s="7"/>
      <c r="M23243" s="9" t="s">
        <v>21</v>
      </c>
    </row>
    <row r="23244" ht="15.75" customHeight="1">
      <c r="A23244" s="7"/>
      <c r="B23244" s="7"/>
      <c r="M23244" s="9" t="s">
        <v>22</v>
      </c>
    </row>
    <row r="23245" ht="15.75" customHeight="1">
      <c r="A23245" s="7"/>
      <c r="B23245" s="7"/>
      <c r="M23245" s="9" t="s">
        <v>27</v>
      </c>
    </row>
    <row r="23246" ht="15.75" customHeight="1">
      <c r="A23246" s="7"/>
      <c r="B23246" s="7"/>
      <c r="M23246" s="9" t="s">
        <v>30</v>
      </c>
    </row>
    <row r="23247" ht="15.75" customHeight="1">
      <c r="A23247" s="7"/>
      <c r="B23247" s="7"/>
      <c r="M23247" s="9" t="s">
        <v>22</v>
      </c>
    </row>
    <row r="23248" ht="15.75" customHeight="1">
      <c r="A23248" s="7"/>
      <c r="B23248" s="7"/>
      <c r="M23248" s="9" t="s">
        <v>29</v>
      </c>
    </row>
    <row r="23249" ht="15.75" customHeight="1">
      <c r="A23249" s="7"/>
      <c r="B23249" s="7"/>
      <c r="M23249" s="9" t="s">
        <v>35</v>
      </c>
    </row>
    <row r="23250" ht="15.75" customHeight="1">
      <c r="A23250" s="7"/>
      <c r="B23250" s="7"/>
      <c r="M23250" s="9" t="s">
        <v>26</v>
      </c>
    </row>
    <row r="23251" ht="15.75" customHeight="1">
      <c r="A23251" s="7"/>
      <c r="B23251" s="7"/>
      <c r="M23251" s="9" t="s">
        <v>24</v>
      </c>
    </row>
    <row r="23252" ht="15.75" customHeight="1">
      <c r="A23252" s="7"/>
      <c r="B23252" s="7"/>
      <c r="M23252" s="9" t="s">
        <v>30</v>
      </c>
    </row>
    <row r="23253" ht="15.75" customHeight="1">
      <c r="A23253" s="7"/>
      <c r="B23253" s="7"/>
      <c r="M23253" s="9" t="s">
        <v>25</v>
      </c>
    </row>
    <row r="23254" ht="15.75" customHeight="1">
      <c r="A23254" s="7"/>
      <c r="B23254" s="7"/>
      <c r="M23254" s="9" t="s">
        <v>23</v>
      </c>
    </row>
    <row r="23255" ht="15.75" customHeight="1">
      <c r="A23255" s="7"/>
      <c r="B23255" s="7"/>
      <c r="M23255" s="9" t="s">
        <v>26</v>
      </c>
    </row>
    <row r="23256" ht="15.75" customHeight="1">
      <c r="A23256" s="7"/>
      <c r="B23256" s="7"/>
      <c r="M23256" s="9" t="s">
        <v>45</v>
      </c>
    </row>
    <row r="23257" ht="15.75" customHeight="1">
      <c r="A23257" s="7"/>
      <c r="B23257" s="7"/>
      <c r="M23257" s="9" t="s">
        <v>24</v>
      </c>
    </row>
    <row r="23258" ht="15.75" customHeight="1">
      <c r="A23258" s="7"/>
      <c r="B23258" s="7"/>
      <c r="M23258" s="9" t="s">
        <v>20</v>
      </c>
    </row>
    <row r="23259" ht="15.75" customHeight="1">
      <c r="A23259" s="7"/>
      <c r="B23259" s="7"/>
      <c r="M23259" s="9" t="s">
        <v>21</v>
      </c>
    </row>
    <row r="23260" ht="15.75" customHeight="1">
      <c r="A23260" s="7"/>
      <c r="B23260" s="7"/>
      <c r="M23260" s="9" t="s">
        <v>39</v>
      </c>
    </row>
    <row r="23261" ht="15.75" customHeight="1">
      <c r="A23261" s="7"/>
      <c r="B23261" s="7"/>
      <c r="M23261" s="9" t="s">
        <v>37</v>
      </c>
    </row>
    <row r="23262" ht="15.75" customHeight="1">
      <c r="A23262" s="7"/>
      <c r="B23262" s="7"/>
      <c r="M23262" s="9" t="s">
        <v>22</v>
      </c>
    </row>
    <row r="23263" ht="15.75" customHeight="1">
      <c r="A23263" s="7"/>
      <c r="B23263" s="7"/>
      <c r="M23263" s="9" t="s">
        <v>27</v>
      </c>
    </row>
    <row r="23264" ht="15.75" customHeight="1">
      <c r="A23264" s="7"/>
      <c r="B23264" s="7"/>
      <c r="M23264" s="9" t="s">
        <v>33</v>
      </c>
    </row>
    <row r="23265" ht="15.75" customHeight="1">
      <c r="A23265" s="7"/>
      <c r="B23265" s="7"/>
      <c r="M23265" s="9" t="s">
        <v>30</v>
      </c>
    </row>
    <row r="23266" ht="15.75" customHeight="1">
      <c r="A23266" s="7"/>
      <c r="B23266" s="7"/>
      <c r="M23266" s="9" t="s">
        <v>26</v>
      </c>
    </row>
    <row r="23267" ht="15.75" customHeight="1">
      <c r="A23267" s="7"/>
      <c r="B23267" s="7"/>
      <c r="M23267" s="9" t="s">
        <v>24</v>
      </c>
    </row>
    <row r="23268" ht="15.75" customHeight="1">
      <c r="A23268" s="7"/>
      <c r="B23268" s="7"/>
      <c r="M23268" s="9" t="s">
        <v>21</v>
      </c>
    </row>
    <row r="23269" ht="15.75" customHeight="1">
      <c r="A23269" s="7"/>
      <c r="B23269" s="7"/>
      <c r="M23269" s="9" t="s">
        <v>27</v>
      </c>
    </row>
    <row r="23270" ht="15.75" customHeight="1">
      <c r="A23270" s="7"/>
      <c r="B23270" s="7"/>
      <c r="M23270" s="9" t="s">
        <v>33</v>
      </c>
    </row>
    <row r="23271" ht="15.75" customHeight="1">
      <c r="A23271" s="7"/>
      <c r="B23271" s="7"/>
      <c r="M23271" s="9" t="s">
        <v>24</v>
      </c>
    </row>
    <row r="23272" ht="15.75" customHeight="1">
      <c r="A23272" s="7"/>
      <c r="B23272" s="7"/>
      <c r="M23272" s="9" t="s">
        <v>21</v>
      </c>
    </row>
    <row r="23273" ht="15.75" customHeight="1">
      <c r="A23273" s="7"/>
      <c r="B23273" s="7"/>
      <c r="M23273" s="9" t="s">
        <v>22</v>
      </c>
    </row>
    <row r="23274" ht="15.75" customHeight="1">
      <c r="A23274" s="7"/>
      <c r="B23274" s="7"/>
      <c r="M23274" s="9" t="s">
        <v>33</v>
      </c>
    </row>
    <row r="23275" ht="15.75" customHeight="1">
      <c r="A23275" s="7"/>
      <c r="B23275" s="7"/>
      <c r="M23275" s="9" t="s">
        <v>30</v>
      </c>
    </row>
    <row r="23276" ht="15.75" customHeight="1">
      <c r="A23276" s="7"/>
      <c r="B23276" s="7"/>
      <c r="M23276" s="9" t="s">
        <v>25</v>
      </c>
    </row>
    <row r="23277" ht="15.75" customHeight="1">
      <c r="A23277" s="7"/>
      <c r="B23277" s="7"/>
      <c r="M23277" s="9" t="s">
        <v>23</v>
      </c>
    </row>
    <row r="23278" ht="15.75" customHeight="1">
      <c r="A23278" s="7"/>
      <c r="B23278" s="7"/>
      <c r="M23278" s="9" t="s">
        <v>20</v>
      </c>
    </row>
    <row r="23279" ht="15.75" customHeight="1">
      <c r="A23279" s="7"/>
      <c r="B23279" s="7"/>
      <c r="M23279" s="9" t="s">
        <v>39</v>
      </c>
    </row>
    <row r="23280" ht="15.75" customHeight="1">
      <c r="A23280" s="7"/>
      <c r="B23280" s="7"/>
      <c r="M23280" s="9" t="s">
        <v>30</v>
      </c>
    </row>
    <row r="23281" ht="15.75" customHeight="1">
      <c r="A23281" s="7"/>
      <c r="B23281" s="7"/>
      <c r="M23281" s="9" t="s">
        <v>36</v>
      </c>
    </row>
    <row r="23282" ht="15.75" customHeight="1">
      <c r="A23282" s="7"/>
      <c r="B23282" s="7"/>
      <c r="M23282" s="9" t="s">
        <v>24</v>
      </c>
    </row>
    <row r="23283" ht="15.75" customHeight="1">
      <c r="A23283" s="7"/>
      <c r="B23283" s="7"/>
      <c r="M23283" s="9" t="s">
        <v>21</v>
      </c>
    </row>
    <row r="23284" ht="15.75" customHeight="1">
      <c r="A23284" s="7"/>
      <c r="B23284" s="7"/>
      <c r="M23284" s="9" t="s">
        <v>37</v>
      </c>
    </row>
    <row r="23285" ht="15.75" customHeight="1">
      <c r="A23285" s="7"/>
      <c r="B23285" s="7"/>
      <c r="M23285" s="9" t="s">
        <v>31</v>
      </c>
    </row>
    <row r="23286" ht="15.75" customHeight="1">
      <c r="A23286" s="7"/>
      <c r="B23286" s="7"/>
      <c r="M23286" s="9" t="s">
        <v>27</v>
      </c>
    </row>
    <row r="23287" ht="15.75" customHeight="1">
      <c r="A23287" s="7"/>
      <c r="B23287" s="7"/>
      <c r="M23287" s="9" t="s">
        <v>38</v>
      </c>
    </row>
    <row r="23288" ht="15.75" customHeight="1">
      <c r="A23288" s="7"/>
      <c r="B23288" s="7"/>
      <c r="M23288" s="9" t="s">
        <v>30</v>
      </c>
    </row>
    <row r="23289" ht="15.75" customHeight="1">
      <c r="A23289" s="7"/>
      <c r="B23289" s="7"/>
      <c r="M23289" s="9" t="s">
        <v>25</v>
      </c>
    </row>
    <row r="23290" ht="15.75" customHeight="1">
      <c r="A23290" s="7"/>
      <c r="B23290" s="7"/>
      <c r="M23290" s="9" t="s">
        <v>23</v>
      </c>
    </row>
    <row r="23291" ht="15.75" customHeight="1">
      <c r="A23291" s="7"/>
      <c r="B23291" s="7"/>
      <c r="M23291" s="9" t="s">
        <v>26</v>
      </c>
    </row>
    <row r="23292" ht="15.75" customHeight="1">
      <c r="A23292" s="7"/>
      <c r="B23292" s="7"/>
      <c r="M23292" s="9" t="s">
        <v>20</v>
      </c>
    </row>
    <row r="23293" ht="15.75" customHeight="1">
      <c r="A23293" s="7"/>
      <c r="B23293" s="7"/>
      <c r="M23293" s="9" t="s">
        <v>21</v>
      </c>
    </row>
    <row r="23294" ht="15.75" customHeight="1">
      <c r="A23294" s="7"/>
      <c r="B23294" s="7"/>
      <c r="M23294" s="9" t="s">
        <v>37</v>
      </c>
    </row>
    <row r="23295" ht="15.75" customHeight="1">
      <c r="A23295" s="7"/>
      <c r="B23295" s="7"/>
      <c r="M23295" s="9" t="s">
        <v>27</v>
      </c>
    </row>
    <row r="23296" ht="15.75" customHeight="1">
      <c r="A23296" s="7"/>
      <c r="B23296" s="7"/>
      <c r="M23296" s="9" t="s">
        <v>28</v>
      </c>
    </row>
    <row r="23297" ht="15.75" customHeight="1">
      <c r="A23297" s="7"/>
      <c r="B23297" s="7"/>
      <c r="M23297" s="9" t="s">
        <v>21</v>
      </c>
    </row>
    <row r="23298" ht="15.75" customHeight="1">
      <c r="A23298" s="7"/>
      <c r="B23298" s="7"/>
      <c r="M23298" s="9" t="s">
        <v>22</v>
      </c>
    </row>
    <row r="23299" ht="15.75" customHeight="1">
      <c r="A23299" s="7"/>
      <c r="B23299" s="7"/>
      <c r="M23299" s="9" t="s">
        <v>27</v>
      </c>
    </row>
    <row r="23300" ht="15.75" customHeight="1">
      <c r="A23300" s="7"/>
      <c r="B23300" s="7"/>
      <c r="M23300" s="9" t="s">
        <v>26</v>
      </c>
    </row>
    <row r="23301" ht="15.75" customHeight="1">
      <c r="A23301" s="7"/>
      <c r="B23301" s="7"/>
      <c r="M23301" s="9" t="s">
        <v>47</v>
      </c>
    </row>
    <row r="23302" ht="15.75" customHeight="1">
      <c r="A23302" s="7"/>
      <c r="B23302" s="7"/>
      <c r="M23302" s="9" t="s">
        <v>24</v>
      </c>
    </row>
    <row r="23303" ht="15.75" customHeight="1">
      <c r="A23303" s="7"/>
      <c r="B23303" s="7"/>
      <c r="M23303" s="9" t="s">
        <v>20</v>
      </c>
    </row>
    <row r="23304" ht="15.75" customHeight="1">
      <c r="A23304" s="7"/>
      <c r="B23304" s="7"/>
      <c r="M23304" s="9" t="s">
        <v>21</v>
      </c>
    </row>
    <row r="23305" ht="15.75" customHeight="1">
      <c r="A23305" s="7"/>
      <c r="B23305" s="7"/>
      <c r="M23305" s="9" t="s">
        <v>22</v>
      </c>
    </row>
    <row r="23306" ht="15.75" customHeight="1">
      <c r="A23306" s="7"/>
      <c r="B23306" s="7"/>
      <c r="M23306" s="9" t="s">
        <v>27</v>
      </c>
    </row>
    <row r="23307" ht="15.75" customHeight="1">
      <c r="A23307" s="7"/>
      <c r="B23307" s="7"/>
      <c r="M23307" s="9" t="s">
        <v>40</v>
      </c>
    </row>
    <row r="23308" ht="15.75" customHeight="1">
      <c r="A23308" s="7"/>
      <c r="B23308" s="7"/>
      <c r="M23308" s="9" t="s">
        <v>25</v>
      </c>
    </row>
    <row r="23309" ht="15.75" customHeight="1">
      <c r="A23309" s="7"/>
      <c r="B23309" s="7"/>
      <c r="M23309" s="9" t="s">
        <v>20</v>
      </c>
    </row>
    <row r="23310" ht="15.75" customHeight="1">
      <c r="A23310" s="7"/>
      <c r="B23310" s="7"/>
      <c r="M23310" s="9" t="s">
        <v>26</v>
      </c>
    </row>
    <row r="23311" ht="15.75" customHeight="1">
      <c r="A23311" s="7"/>
      <c r="B23311" s="7"/>
      <c r="M23311" s="9" t="s">
        <v>24</v>
      </c>
    </row>
    <row r="23312" ht="15.75" customHeight="1">
      <c r="A23312" s="7"/>
      <c r="B23312" s="7"/>
      <c r="M23312" s="9" t="s">
        <v>21</v>
      </c>
    </row>
    <row r="23313" ht="15.75" customHeight="1">
      <c r="A23313" s="7"/>
      <c r="B23313" s="7"/>
      <c r="M23313" s="9" t="s">
        <v>33</v>
      </c>
    </row>
    <row r="23314" ht="15.75" customHeight="1">
      <c r="A23314" s="7"/>
      <c r="B23314" s="7"/>
      <c r="M23314" s="9" t="s">
        <v>30</v>
      </c>
    </row>
    <row r="23315" ht="15.75" customHeight="1">
      <c r="A23315" s="7"/>
      <c r="B23315" s="7"/>
      <c r="M23315" s="9" t="s">
        <v>26</v>
      </c>
    </row>
    <row r="23316" ht="15.75" customHeight="1">
      <c r="A23316" s="7"/>
      <c r="B23316" s="7"/>
      <c r="M23316" s="9" t="s">
        <v>27</v>
      </c>
    </row>
    <row r="23317" ht="15.75" customHeight="1">
      <c r="A23317" s="7"/>
      <c r="B23317" s="7"/>
      <c r="M23317" s="9" t="s">
        <v>30</v>
      </c>
    </row>
    <row r="23318" ht="15.75" customHeight="1">
      <c r="A23318" s="7"/>
      <c r="B23318" s="7"/>
      <c r="M23318" s="9" t="s">
        <v>26</v>
      </c>
    </row>
    <row r="23319" ht="15.75" customHeight="1">
      <c r="A23319" s="7"/>
      <c r="B23319" s="7"/>
      <c r="M23319" s="9" t="s">
        <v>47</v>
      </c>
    </row>
    <row r="23320" ht="15.75" customHeight="1">
      <c r="A23320" s="7"/>
      <c r="B23320" s="7"/>
      <c r="M23320" s="9" t="s">
        <v>24</v>
      </c>
    </row>
    <row r="23321" ht="15.75" customHeight="1">
      <c r="A23321" s="7"/>
      <c r="B23321" s="7"/>
      <c r="M23321" s="9" t="s">
        <v>21</v>
      </c>
    </row>
    <row r="23322" ht="15.75" customHeight="1">
      <c r="A23322" s="7"/>
      <c r="B23322" s="7"/>
      <c r="M23322" s="9" t="s">
        <v>22</v>
      </c>
    </row>
    <row r="23323" ht="15.75" customHeight="1">
      <c r="A23323" s="7"/>
      <c r="B23323" s="7"/>
      <c r="M23323" s="9" t="s">
        <v>31</v>
      </c>
    </row>
    <row r="23324" ht="15.75" customHeight="1">
      <c r="A23324" s="7"/>
      <c r="B23324" s="7"/>
      <c r="M23324" s="9" t="s">
        <v>27</v>
      </c>
    </row>
    <row r="23325" ht="15.75" customHeight="1">
      <c r="A23325" s="7"/>
      <c r="B23325" s="7"/>
      <c r="M23325" s="9" t="s">
        <v>30</v>
      </c>
    </row>
    <row r="23326" ht="15.75" customHeight="1">
      <c r="A23326" s="7"/>
      <c r="B23326" s="7"/>
      <c r="M23326" s="9" t="s">
        <v>24</v>
      </c>
    </row>
    <row r="23327" ht="15.75" customHeight="1">
      <c r="A23327" s="7"/>
      <c r="B23327" s="7"/>
      <c r="M23327" s="9" t="s">
        <v>20</v>
      </c>
    </row>
    <row r="23328" ht="15.75" customHeight="1">
      <c r="A23328" s="7"/>
      <c r="B23328" s="7"/>
      <c r="M23328" s="9" t="s">
        <v>21</v>
      </c>
    </row>
    <row r="23329" ht="15.75" customHeight="1">
      <c r="A23329" s="7"/>
      <c r="B23329" s="7"/>
      <c r="M23329" s="9" t="s">
        <v>22</v>
      </c>
    </row>
    <row r="23330" ht="15.75" customHeight="1">
      <c r="A23330" s="7"/>
      <c r="B23330" s="7"/>
      <c r="M23330" s="9" t="s">
        <v>27</v>
      </c>
    </row>
    <row r="23331" ht="15.75" customHeight="1">
      <c r="A23331" s="7"/>
      <c r="B23331" s="7"/>
      <c r="M23331" s="9" t="s">
        <v>40</v>
      </c>
    </row>
    <row r="23332" ht="15.75" customHeight="1">
      <c r="A23332" s="7"/>
      <c r="B23332" s="7"/>
      <c r="M23332" s="9" t="s">
        <v>33</v>
      </c>
    </row>
    <row r="23333" ht="15.75" customHeight="1">
      <c r="A23333" s="7"/>
      <c r="B23333" s="7"/>
      <c r="M23333" s="9" t="s">
        <v>30</v>
      </c>
    </row>
    <row r="23334" ht="15.75" customHeight="1">
      <c r="A23334" s="7"/>
      <c r="B23334" s="7"/>
      <c r="M23334" s="9" t="s">
        <v>24</v>
      </c>
    </row>
    <row r="23335" ht="15.75" customHeight="1">
      <c r="A23335" s="7"/>
      <c r="B23335" s="7"/>
      <c r="M23335" s="9" t="s">
        <v>37</v>
      </c>
    </row>
    <row r="23336" ht="15.75" customHeight="1">
      <c r="A23336" s="7"/>
      <c r="B23336" s="7"/>
      <c r="M23336" s="9" t="s">
        <v>31</v>
      </c>
    </row>
    <row r="23337" ht="15.75" customHeight="1">
      <c r="A23337" s="7"/>
      <c r="B23337" s="7"/>
      <c r="M23337" s="9" t="s">
        <v>27</v>
      </c>
    </row>
    <row r="23338" ht="15.75" customHeight="1">
      <c r="A23338" s="7"/>
      <c r="B23338" s="7"/>
      <c r="M23338" s="9" t="s">
        <v>28</v>
      </c>
    </row>
    <row r="23339" ht="15.75" customHeight="1">
      <c r="A23339" s="7"/>
      <c r="B23339" s="7"/>
      <c r="M23339" s="9" t="s">
        <v>30</v>
      </c>
    </row>
    <row r="23340" ht="15.75" customHeight="1">
      <c r="A23340" s="7"/>
      <c r="B23340" s="7"/>
      <c r="M23340" s="9" t="s">
        <v>24</v>
      </c>
    </row>
    <row r="23341" ht="15.75" customHeight="1">
      <c r="A23341" s="7"/>
      <c r="B23341" s="7"/>
      <c r="M23341" s="9" t="s">
        <v>20</v>
      </c>
    </row>
    <row r="23342" ht="15.75" customHeight="1">
      <c r="A23342" s="7"/>
      <c r="B23342" s="7"/>
      <c r="M23342" s="9" t="s">
        <v>21</v>
      </c>
    </row>
    <row r="23343" ht="15.75" customHeight="1">
      <c r="A23343" s="7"/>
      <c r="B23343" s="7"/>
      <c r="M23343" s="9" t="s">
        <v>37</v>
      </c>
    </row>
    <row r="23344" ht="15.75" customHeight="1">
      <c r="A23344" s="7"/>
      <c r="B23344" s="7"/>
      <c r="M23344" s="9" t="s">
        <v>27</v>
      </c>
    </row>
    <row r="23345" ht="15.75" customHeight="1">
      <c r="A23345" s="7"/>
      <c r="B23345" s="7"/>
      <c r="M23345" s="9" t="s">
        <v>33</v>
      </c>
    </row>
    <row r="23346" ht="15.75" customHeight="1">
      <c r="A23346" s="7"/>
      <c r="B23346" s="7"/>
      <c r="M23346" s="9" t="s">
        <v>30</v>
      </c>
    </row>
    <row r="23347" ht="15.75" customHeight="1">
      <c r="A23347" s="7"/>
      <c r="B23347" s="7"/>
      <c r="M23347" s="9" t="s">
        <v>25</v>
      </c>
    </row>
    <row r="23348" ht="15.75" customHeight="1">
      <c r="A23348" s="7"/>
      <c r="B23348" s="7"/>
      <c r="M23348" s="9" t="s">
        <v>26</v>
      </c>
    </row>
    <row r="23349" ht="15.75" customHeight="1">
      <c r="A23349" s="7"/>
      <c r="B23349" s="7"/>
      <c r="M23349" s="9" t="s">
        <v>24</v>
      </c>
    </row>
    <row r="23350" ht="15.75" customHeight="1">
      <c r="A23350" s="7"/>
      <c r="B23350" s="7"/>
      <c r="M23350" s="9" t="s">
        <v>21</v>
      </c>
    </row>
    <row r="23351" ht="15.75" customHeight="1">
      <c r="A23351" s="7"/>
      <c r="B23351" s="7"/>
      <c r="M23351" s="9" t="s">
        <v>22</v>
      </c>
    </row>
    <row r="23352" ht="15.75" customHeight="1">
      <c r="A23352" s="7"/>
      <c r="B23352" s="7"/>
      <c r="M23352" s="9" t="s">
        <v>27</v>
      </c>
    </row>
    <row r="23353" ht="15.75" customHeight="1">
      <c r="A23353" s="7"/>
      <c r="B23353" s="7"/>
      <c r="M23353" s="9" t="s">
        <v>33</v>
      </c>
    </row>
    <row r="23354" ht="15.75" customHeight="1">
      <c r="A23354" s="7"/>
      <c r="B23354" s="7"/>
      <c r="M23354" s="9" t="s">
        <v>28</v>
      </c>
    </row>
    <row r="23355" ht="15.75" customHeight="1">
      <c r="A23355" s="7"/>
      <c r="B23355" s="7"/>
      <c r="M23355" s="9" t="s">
        <v>35</v>
      </c>
    </row>
    <row r="23356" ht="15.75" customHeight="1">
      <c r="A23356" s="7"/>
      <c r="B23356" s="7"/>
      <c r="M23356" s="9" t="s">
        <v>30</v>
      </c>
    </row>
    <row r="23357" ht="15.75" customHeight="1">
      <c r="A23357" s="7"/>
      <c r="B23357" s="7"/>
      <c r="M23357" s="9" t="s">
        <v>24</v>
      </c>
    </row>
    <row r="23358" ht="15.75" customHeight="1">
      <c r="A23358" s="7"/>
      <c r="B23358" s="7"/>
      <c r="M23358" s="9" t="s">
        <v>21</v>
      </c>
    </row>
    <row r="23359" ht="15.75" customHeight="1">
      <c r="A23359" s="7"/>
      <c r="B23359" s="7"/>
      <c r="M23359" s="9" t="s">
        <v>22</v>
      </c>
    </row>
    <row r="23360" ht="15.75" customHeight="1">
      <c r="A23360" s="7"/>
      <c r="B23360" s="7"/>
      <c r="M23360" s="9" t="s">
        <v>27</v>
      </c>
    </row>
    <row r="23361" ht="15.75" customHeight="1">
      <c r="A23361" s="7"/>
      <c r="B23361" s="7"/>
      <c r="M23361" s="9" t="s">
        <v>30</v>
      </c>
    </row>
    <row r="23362" ht="15.75" customHeight="1">
      <c r="A23362" s="7"/>
      <c r="B23362" s="7"/>
      <c r="M23362" s="9" t="s">
        <v>24</v>
      </c>
    </row>
    <row r="23363" ht="15.75" customHeight="1">
      <c r="A23363" s="7"/>
      <c r="B23363" s="7"/>
      <c r="M23363" s="9" t="s">
        <v>20</v>
      </c>
    </row>
    <row r="23364" ht="15.75" customHeight="1">
      <c r="A23364" s="7"/>
      <c r="B23364" s="7"/>
      <c r="M23364" s="9" t="s">
        <v>21</v>
      </c>
    </row>
    <row r="23365" ht="15.75" customHeight="1">
      <c r="A23365" s="7"/>
      <c r="B23365" s="7"/>
      <c r="M23365" s="9" t="s">
        <v>27</v>
      </c>
    </row>
    <row r="23366" ht="15.75" customHeight="1">
      <c r="A23366" s="7"/>
      <c r="B23366" s="7"/>
      <c r="M23366" s="9" t="s">
        <v>30</v>
      </c>
    </row>
    <row r="23367" ht="15.75" customHeight="1">
      <c r="A23367" s="7"/>
      <c r="B23367" s="7"/>
      <c r="M23367" s="9" t="s">
        <v>25</v>
      </c>
    </row>
    <row r="23368" ht="15.75" customHeight="1">
      <c r="A23368" s="7"/>
      <c r="B23368" s="7"/>
      <c r="M23368" s="9" t="s">
        <v>23</v>
      </c>
    </row>
    <row r="23369" ht="15.75" customHeight="1">
      <c r="A23369" s="7"/>
      <c r="B23369" s="7"/>
      <c r="M23369" s="9" t="s">
        <v>26</v>
      </c>
    </row>
    <row r="23370" ht="15.75" customHeight="1">
      <c r="A23370" s="7"/>
      <c r="B23370" s="7"/>
      <c r="M23370" s="9" t="s">
        <v>36</v>
      </c>
    </row>
    <row r="23371" ht="15.75" customHeight="1">
      <c r="A23371" s="7"/>
      <c r="B23371" s="7"/>
      <c r="M23371" s="9" t="s">
        <v>24</v>
      </c>
    </row>
    <row r="23372" ht="15.75" customHeight="1">
      <c r="A23372" s="7"/>
      <c r="B23372" s="7"/>
      <c r="M23372" s="9" t="s">
        <v>20</v>
      </c>
    </row>
    <row r="23373" ht="15.75" customHeight="1">
      <c r="A23373" s="7"/>
      <c r="B23373" s="7"/>
      <c r="M23373" s="9" t="s">
        <v>21</v>
      </c>
    </row>
    <row r="23374" ht="15.75" customHeight="1">
      <c r="A23374" s="7"/>
      <c r="B23374" s="7"/>
      <c r="M23374" s="9" t="s">
        <v>37</v>
      </c>
    </row>
    <row r="23375" ht="15.75" customHeight="1">
      <c r="A23375" s="7"/>
      <c r="B23375" s="7"/>
      <c r="M23375" s="9" t="s">
        <v>22</v>
      </c>
    </row>
    <row r="23376" ht="15.75" customHeight="1">
      <c r="A23376" s="7"/>
      <c r="B23376" s="7"/>
      <c r="M23376" s="9" t="s">
        <v>33</v>
      </c>
    </row>
    <row r="23377" ht="15.75" customHeight="1">
      <c r="A23377" s="7"/>
      <c r="B23377" s="7"/>
      <c r="M23377" s="9" t="s">
        <v>22</v>
      </c>
    </row>
    <row r="23378" ht="15.75" customHeight="1">
      <c r="A23378" s="7"/>
      <c r="B23378" s="7"/>
      <c r="M23378" s="9" t="s">
        <v>29</v>
      </c>
    </row>
    <row r="23379" ht="15.75" customHeight="1">
      <c r="A23379" s="7"/>
      <c r="B23379" s="7"/>
      <c r="M23379" s="9" t="s">
        <v>40</v>
      </c>
    </row>
    <row r="23380" ht="15.75" customHeight="1">
      <c r="A23380" s="7"/>
      <c r="B23380" s="7"/>
      <c r="M23380" s="9" t="s">
        <v>35</v>
      </c>
    </row>
    <row r="23381" ht="15.75" customHeight="1">
      <c r="A23381" s="7"/>
      <c r="B23381" s="7"/>
      <c r="M23381" s="9" t="s">
        <v>30</v>
      </c>
    </row>
    <row r="23382" ht="15.75" customHeight="1">
      <c r="A23382" s="7"/>
      <c r="B23382" s="7"/>
      <c r="M23382" s="9" t="s">
        <v>25</v>
      </c>
    </row>
    <row r="23383" ht="15.75" customHeight="1">
      <c r="A23383" s="7"/>
      <c r="B23383" s="7"/>
      <c r="M23383" s="9" t="s">
        <v>26</v>
      </c>
    </row>
    <row r="23384" ht="15.75" customHeight="1">
      <c r="A23384" s="7"/>
      <c r="B23384" s="7"/>
      <c r="M23384" s="9" t="s">
        <v>24</v>
      </c>
    </row>
    <row r="23385" ht="15.75" customHeight="1">
      <c r="A23385" s="7"/>
      <c r="B23385" s="7"/>
      <c r="M23385" s="9" t="s">
        <v>20</v>
      </c>
    </row>
    <row r="23386" ht="15.75" customHeight="1">
      <c r="A23386" s="7"/>
      <c r="B23386" s="7"/>
      <c r="M23386" s="9" t="s">
        <v>21</v>
      </c>
    </row>
    <row r="23387" ht="15.75" customHeight="1">
      <c r="A23387" s="7"/>
      <c r="B23387" s="7"/>
      <c r="M23387" s="9" t="s">
        <v>37</v>
      </c>
    </row>
    <row r="23388" ht="15.75" customHeight="1">
      <c r="A23388" s="7"/>
      <c r="B23388" s="7"/>
      <c r="M23388" s="9" t="s">
        <v>22</v>
      </c>
    </row>
    <row r="23389" ht="15.75" customHeight="1">
      <c r="A23389" s="7"/>
      <c r="B23389" s="7"/>
      <c r="M23389" s="9" t="s">
        <v>29</v>
      </c>
    </row>
    <row r="23390" ht="15.75" customHeight="1">
      <c r="A23390" s="7"/>
      <c r="B23390" s="7"/>
      <c r="M23390" s="9" t="s">
        <v>27</v>
      </c>
    </row>
    <row r="23391" ht="15.75" customHeight="1">
      <c r="A23391" s="7"/>
      <c r="B23391" s="7"/>
      <c r="M23391" s="9" t="s">
        <v>28</v>
      </c>
    </row>
    <row r="23392" ht="15.75" customHeight="1">
      <c r="A23392" s="7"/>
      <c r="B23392" s="7"/>
      <c r="M23392" s="9" t="s">
        <v>25</v>
      </c>
    </row>
    <row r="23393" ht="15.75" customHeight="1">
      <c r="A23393" s="7"/>
      <c r="B23393" s="7"/>
      <c r="M23393" s="9" t="s">
        <v>23</v>
      </c>
    </row>
    <row r="23394" ht="15.75" customHeight="1">
      <c r="A23394" s="7"/>
      <c r="B23394" s="7"/>
      <c r="M23394" s="9" t="s">
        <v>26</v>
      </c>
    </row>
    <row r="23395" ht="15.75" customHeight="1">
      <c r="A23395" s="7"/>
      <c r="B23395" s="7"/>
      <c r="M23395" s="9" t="s">
        <v>22</v>
      </c>
    </row>
    <row r="23396" ht="15.75" customHeight="1">
      <c r="A23396" s="7"/>
      <c r="B23396" s="7"/>
      <c r="M23396" s="9" t="s">
        <v>29</v>
      </c>
    </row>
    <row r="23397" ht="15.75" customHeight="1">
      <c r="A23397" s="7"/>
      <c r="B23397" s="7"/>
      <c r="M23397" s="9" t="s">
        <v>27</v>
      </c>
    </row>
    <row r="23398" ht="15.75" customHeight="1">
      <c r="A23398" s="7"/>
      <c r="B23398" s="7"/>
      <c r="M23398" s="9" t="s">
        <v>35</v>
      </c>
    </row>
    <row r="23399" ht="15.75" customHeight="1">
      <c r="A23399" s="7"/>
      <c r="B23399" s="7"/>
      <c r="M23399" s="9" t="s">
        <v>23</v>
      </c>
    </row>
    <row r="23400" ht="15.75" customHeight="1">
      <c r="A23400" s="7"/>
      <c r="B23400" s="7"/>
      <c r="M23400" s="9" t="s">
        <v>26</v>
      </c>
    </row>
    <row r="23401" ht="15.75" customHeight="1">
      <c r="A23401" s="7"/>
      <c r="B23401" s="7"/>
      <c r="M23401" s="9" t="s">
        <v>24</v>
      </c>
    </row>
    <row r="23402" ht="15.75" customHeight="1">
      <c r="A23402" s="7"/>
      <c r="B23402" s="7"/>
      <c r="M23402" s="9" t="s">
        <v>20</v>
      </c>
    </row>
    <row r="23403" ht="15.75" customHeight="1">
      <c r="A23403" s="7"/>
      <c r="B23403" s="7"/>
      <c r="M23403" s="9" t="s">
        <v>21</v>
      </c>
    </row>
    <row r="23404" ht="15.75" customHeight="1">
      <c r="A23404" s="7"/>
      <c r="B23404" s="7"/>
      <c r="M23404" s="9" t="s">
        <v>27</v>
      </c>
    </row>
    <row r="23405" ht="15.75" customHeight="1">
      <c r="A23405" s="7"/>
      <c r="B23405" s="7"/>
      <c r="M23405" s="9" t="s">
        <v>30</v>
      </c>
    </row>
    <row r="23406" ht="15.75" customHeight="1">
      <c r="A23406" s="7"/>
      <c r="B23406" s="7"/>
      <c r="M23406" s="9" t="s">
        <v>21</v>
      </c>
    </row>
    <row r="23407" ht="15.75" customHeight="1">
      <c r="A23407" s="7"/>
      <c r="B23407" s="7"/>
      <c r="M23407" s="9" t="s">
        <v>26</v>
      </c>
    </row>
    <row r="23408" ht="15.75" customHeight="1">
      <c r="A23408" s="7"/>
      <c r="B23408" s="7"/>
      <c r="M23408" s="9" t="s">
        <v>24</v>
      </c>
    </row>
    <row r="23409" ht="15.75" customHeight="1">
      <c r="A23409" s="7"/>
      <c r="B23409" s="7"/>
      <c r="M23409" s="9" t="s">
        <v>21</v>
      </c>
    </row>
    <row r="23410" ht="15.75" customHeight="1">
      <c r="A23410" s="7"/>
      <c r="B23410" s="7"/>
      <c r="M23410" s="9" t="s">
        <v>41</v>
      </c>
    </row>
    <row r="23411" ht="15.75" customHeight="1">
      <c r="A23411" s="7"/>
      <c r="B23411" s="7"/>
      <c r="M23411" s="9" t="s">
        <v>27</v>
      </c>
    </row>
    <row r="23412" ht="15.75" customHeight="1">
      <c r="A23412" s="7"/>
      <c r="B23412" s="7"/>
      <c r="M23412" s="9" t="s">
        <v>33</v>
      </c>
    </row>
    <row r="23413" ht="15.75" customHeight="1">
      <c r="A23413" s="7"/>
      <c r="B23413" s="7"/>
      <c r="M23413" s="9" t="s">
        <v>24</v>
      </c>
    </row>
    <row r="23414" ht="15.75" customHeight="1">
      <c r="A23414" s="7"/>
      <c r="B23414" s="7"/>
      <c r="M23414" s="9" t="s">
        <v>37</v>
      </c>
    </row>
    <row r="23415" ht="15.75" customHeight="1">
      <c r="A23415" s="7"/>
      <c r="B23415" s="7"/>
      <c r="M23415" s="9" t="s">
        <v>27</v>
      </c>
    </row>
    <row r="23416" ht="15.75" customHeight="1">
      <c r="A23416" s="7"/>
      <c r="B23416" s="7"/>
      <c r="M23416" s="9" t="s">
        <v>26</v>
      </c>
    </row>
    <row r="23417" ht="15.75" customHeight="1">
      <c r="A23417" s="7"/>
      <c r="B23417" s="7"/>
      <c r="M23417" s="9" t="s">
        <v>24</v>
      </c>
    </row>
    <row r="23418" ht="15.75" customHeight="1">
      <c r="A23418" s="7"/>
      <c r="B23418" s="7"/>
      <c r="M23418" s="9" t="s">
        <v>21</v>
      </c>
    </row>
    <row r="23419" ht="15.75" customHeight="1">
      <c r="A23419" s="7"/>
      <c r="B23419" s="7"/>
      <c r="M23419" s="9" t="s">
        <v>27</v>
      </c>
    </row>
    <row r="23420" ht="15.75" customHeight="1">
      <c r="A23420" s="7"/>
      <c r="B23420" s="7"/>
      <c r="M23420" s="9" t="s">
        <v>30</v>
      </c>
    </row>
    <row r="23421" ht="15.75" customHeight="1">
      <c r="A23421" s="7"/>
      <c r="B23421" s="7"/>
      <c r="M23421" s="9" t="s">
        <v>24</v>
      </c>
    </row>
    <row r="23422" ht="15.75" customHeight="1">
      <c r="A23422" s="7"/>
      <c r="B23422" s="7"/>
      <c r="M23422" s="9" t="s">
        <v>20</v>
      </c>
    </row>
    <row r="23423" ht="15.75" customHeight="1">
      <c r="A23423" s="7"/>
      <c r="B23423" s="7"/>
      <c r="M23423" s="9" t="s">
        <v>21</v>
      </c>
    </row>
    <row r="23424" ht="15.75" customHeight="1">
      <c r="A23424" s="7"/>
      <c r="B23424" s="7"/>
      <c r="M23424" s="9" t="s">
        <v>37</v>
      </c>
    </row>
    <row r="23425" ht="15.75" customHeight="1">
      <c r="A23425" s="7"/>
      <c r="B23425" s="7"/>
      <c r="M23425" s="9" t="s">
        <v>27</v>
      </c>
    </row>
    <row r="23426" ht="15.75" customHeight="1">
      <c r="A23426" s="7"/>
      <c r="B23426" s="7"/>
      <c r="M23426" s="9" t="s">
        <v>33</v>
      </c>
    </row>
    <row r="23427" ht="15.75" customHeight="1">
      <c r="A23427" s="7"/>
      <c r="B23427" s="7"/>
      <c r="M23427" s="9" t="s">
        <v>38</v>
      </c>
    </row>
    <row r="23428" ht="15.75" customHeight="1">
      <c r="A23428" s="7"/>
      <c r="B23428" s="7"/>
      <c r="M23428" s="9" t="s">
        <v>25</v>
      </c>
    </row>
    <row r="23429" ht="15.75" customHeight="1">
      <c r="A23429" s="7"/>
      <c r="B23429" s="7"/>
      <c r="M23429" s="9" t="s">
        <v>26</v>
      </c>
    </row>
    <row r="23430" ht="15.75" customHeight="1">
      <c r="A23430" s="7"/>
      <c r="B23430" s="7"/>
      <c r="M23430" s="9" t="s">
        <v>21</v>
      </c>
    </row>
    <row r="23431" ht="15.75" customHeight="1">
      <c r="A23431" s="7"/>
      <c r="B23431" s="7"/>
      <c r="M23431" s="9" t="s">
        <v>26</v>
      </c>
    </row>
    <row r="23432" ht="15.75" customHeight="1">
      <c r="A23432" s="7"/>
      <c r="B23432" s="7"/>
      <c r="M23432" s="9" t="s">
        <v>22</v>
      </c>
    </row>
    <row r="23433" ht="15.75" customHeight="1">
      <c r="A23433" s="7"/>
      <c r="B23433" s="7"/>
      <c r="M23433" s="9" t="s">
        <v>27</v>
      </c>
    </row>
    <row r="23434" ht="15.75" customHeight="1">
      <c r="A23434" s="7"/>
      <c r="B23434" s="7"/>
      <c r="M23434" s="9" t="s">
        <v>20</v>
      </c>
    </row>
    <row r="23435" ht="15.75" customHeight="1">
      <c r="A23435" s="7"/>
      <c r="B23435" s="7"/>
      <c r="M23435" s="9" t="s">
        <v>21</v>
      </c>
    </row>
    <row r="23436" ht="15.75" customHeight="1">
      <c r="A23436" s="7"/>
      <c r="B23436" s="7"/>
      <c r="M23436" s="9" t="s">
        <v>39</v>
      </c>
    </row>
    <row r="23437" ht="15.75" customHeight="1">
      <c r="A23437" s="7"/>
      <c r="B23437" s="7"/>
      <c r="M23437" s="9" t="s">
        <v>24</v>
      </c>
    </row>
    <row r="23438" ht="15.75" customHeight="1">
      <c r="A23438" s="7"/>
      <c r="B23438" s="7"/>
      <c r="M23438" s="9" t="s">
        <v>21</v>
      </c>
    </row>
    <row r="23439" ht="15.75" customHeight="1">
      <c r="A23439" s="7"/>
      <c r="B23439" s="7"/>
      <c r="M23439" s="9" t="s">
        <v>31</v>
      </c>
    </row>
    <row r="23440" ht="15.75" customHeight="1">
      <c r="A23440" s="7"/>
      <c r="B23440" s="7"/>
      <c r="M23440" s="9" t="s">
        <v>33</v>
      </c>
    </row>
    <row r="23441" ht="15.75" customHeight="1">
      <c r="A23441" s="7"/>
      <c r="B23441" s="7"/>
      <c r="M23441" s="9" t="s">
        <v>24</v>
      </c>
    </row>
    <row r="23442" ht="15.75" customHeight="1">
      <c r="A23442" s="7"/>
      <c r="B23442" s="7"/>
      <c r="M23442" s="9" t="s">
        <v>20</v>
      </c>
    </row>
    <row r="23443" ht="15.75" customHeight="1">
      <c r="A23443" s="7"/>
      <c r="B23443" s="7"/>
      <c r="M23443" s="9" t="s">
        <v>21</v>
      </c>
    </row>
    <row r="23444" ht="15.75" customHeight="1">
      <c r="A23444" s="7"/>
      <c r="B23444" s="7"/>
      <c r="M23444" s="9" t="s">
        <v>27</v>
      </c>
    </row>
    <row r="23445" ht="15.75" customHeight="1">
      <c r="A23445" s="7"/>
      <c r="B23445" s="7"/>
      <c r="M23445" s="9" t="s">
        <v>35</v>
      </c>
    </row>
    <row r="23446" ht="15.75" customHeight="1">
      <c r="A23446" s="7"/>
      <c r="B23446" s="7"/>
      <c r="M23446" s="9" t="s">
        <v>23</v>
      </c>
    </row>
    <row r="23447" ht="15.75" customHeight="1">
      <c r="A23447" s="7"/>
      <c r="B23447" s="7"/>
      <c r="M23447" s="9" t="s">
        <v>26</v>
      </c>
    </row>
    <row r="23448" ht="15.75" customHeight="1">
      <c r="A23448" s="7"/>
      <c r="B23448" s="7"/>
      <c r="M23448" s="9" t="s">
        <v>24</v>
      </c>
    </row>
    <row r="23449" ht="15.75" customHeight="1">
      <c r="A23449" s="7"/>
      <c r="B23449" s="7"/>
      <c r="M23449" s="9" t="s">
        <v>20</v>
      </c>
    </row>
    <row r="23450" ht="15.75" customHeight="1">
      <c r="A23450" s="7"/>
      <c r="B23450" s="7"/>
      <c r="M23450" s="9" t="s">
        <v>21</v>
      </c>
    </row>
    <row r="23451" ht="15.75" customHeight="1">
      <c r="A23451" s="7"/>
      <c r="B23451" s="7"/>
      <c r="M23451" s="9" t="s">
        <v>27</v>
      </c>
    </row>
    <row r="23452" ht="15.75" customHeight="1">
      <c r="A23452" s="7"/>
      <c r="B23452" s="7"/>
      <c r="M23452" s="9" t="s">
        <v>33</v>
      </c>
    </row>
    <row r="23453" ht="15.75" customHeight="1">
      <c r="A23453" s="7"/>
      <c r="B23453" s="7"/>
      <c r="M23453" s="9" t="s">
        <v>28</v>
      </c>
    </row>
    <row r="23454" ht="15.75" customHeight="1">
      <c r="A23454" s="7"/>
      <c r="B23454" s="7"/>
      <c r="M23454" s="9" t="s">
        <v>30</v>
      </c>
    </row>
    <row r="23455" ht="15.75" customHeight="1">
      <c r="A23455" s="7"/>
      <c r="B23455" s="7"/>
      <c r="M23455" s="9" t="s">
        <v>24</v>
      </c>
    </row>
    <row r="23456" ht="15.75" customHeight="1">
      <c r="A23456" s="7"/>
      <c r="B23456" s="7"/>
      <c r="M23456" s="9" t="s">
        <v>20</v>
      </c>
    </row>
    <row r="23457" ht="15.75" customHeight="1">
      <c r="A23457" s="7"/>
      <c r="B23457" s="7"/>
      <c r="M23457" s="9" t="s">
        <v>21</v>
      </c>
    </row>
    <row r="23458" ht="15.75" customHeight="1">
      <c r="A23458" s="7"/>
      <c r="B23458" s="7"/>
      <c r="M23458" s="9" t="s">
        <v>22</v>
      </c>
    </row>
    <row r="23459" ht="15.75" customHeight="1">
      <c r="A23459" s="7"/>
      <c r="B23459" s="7"/>
      <c r="M23459" s="9" t="s">
        <v>29</v>
      </c>
    </row>
    <row r="23460" ht="15.75" customHeight="1">
      <c r="A23460" s="7"/>
      <c r="B23460" s="7"/>
      <c r="M23460" s="9" t="s">
        <v>46</v>
      </c>
    </row>
    <row r="23461" ht="15.75" customHeight="1">
      <c r="A23461" s="7"/>
      <c r="B23461" s="7"/>
      <c r="M23461" s="9" t="s">
        <v>27</v>
      </c>
    </row>
    <row r="23462" ht="15.75" customHeight="1">
      <c r="A23462" s="7"/>
      <c r="B23462" s="7"/>
      <c r="M23462" s="9" t="s">
        <v>26</v>
      </c>
    </row>
    <row r="23463" ht="15.75" customHeight="1">
      <c r="A23463" s="7"/>
      <c r="B23463" s="7"/>
      <c r="M23463" s="9" t="s">
        <v>24</v>
      </c>
    </row>
    <row r="23464" ht="15.75" customHeight="1">
      <c r="A23464" s="7"/>
      <c r="B23464" s="7"/>
      <c r="M23464" s="9" t="s">
        <v>21</v>
      </c>
    </row>
    <row r="23465" ht="15.75" customHeight="1">
      <c r="A23465" s="7"/>
      <c r="B23465" s="7"/>
      <c r="M23465" s="9" t="s">
        <v>37</v>
      </c>
    </row>
    <row r="23466" ht="15.75" customHeight="1">
      <c r="A23466" s="7"/>
      <c r="B23466" s="7"/>
      <c r="M23466" s="9" t="s">
        <v>27</v>
      </c>
    </row>
    <row r="23467" ht="15.75" customHeight="1">
      <c r="A23467" s="7"/>
      <c r="B23467" s="7"/>
      <c r="M23467" s="9" t="s">
        <v>35</v>
      </c>
    </row>
    <row r="23468" ht="15.75" customHeight="1">
      <c r="A23468" s="7"/>
      <c r="B23468" s="7"/>
      <c r="M23468" s="9" t="s">
        <v>30</v>
      </c>
    </row>
    <row r="23469" ht="15.75" customHeight="1">
      <c r="A23469" s="7"/>
      <c r="B23469" s="7"/>
      <c r="M23469" s="9" t="s">
        <v>22</v>
      </c>
    </row>
    <row r="23470" ht="15.75" customHeight="1">
      <c r="A23470" s="7"/>
      <c r="B23470" s="7"/>
      <c r="M23470" s="9" t="s">
        <v>29</v>
      </c>
    </row>
    <row r="23471" ht="15.75" customHeight="1">
      <c r="A23471" s="7"/>
      <c r="B23471" s="7"/>
      <c r="M23471" s="9" t="s">
        <v>30</v>
      </c>
    </row>
    <row r="23472" ht="15.75" customHeight="1">
      <c r="A23472" s="7"/>
      <c r="B23472" s="7"/>
      <c r="M23472" s="9" t="s">
        <v>36</v>
      </c>
    </row>
    <row r="23473" ht="15.75" customHeight="1">
      <c r="A23473" s="7"/>
      <c r="B23473" s="7"/>
      <c r="M23473" s="9" t="s">
        <v>24</v>
      </c>
    </row>
    <row r="23474" ht="15.75" customHeight="1">
      <c r="A23474" s="7"/>
      <c r="B23474" s="7"/>
      <c r="M23474" s="9" t="s">
        <v>20</v>
      </c>
    </row>
    <row r="23475" ht="15.75" customHeight="1">
      <c r="A23475" s="7"/>
      <c r="B23475" s="7"/>
      <c r="M23475" s="9" t="s">
        <v>21</v>
      </c>
    </row>
    <row r="23476" ht="15.75" customHeight="1">
      <c r="A23476" s="7"/>
      <c r="B23476" s="7"/>
      <c r="M23476" s="9" t="s">
        <v>27</v>
      </c>
    </row>
    <row r="23477" ht="15.75" customHeight="1">
      <c r="A23477" s="7"/>
      <c r="B23477" s="7"/>
      <c r="M23477" s="9" t="s">
        <v>30</v>
      </c>
    </row>
    <row r="23478" ht="15.75" customHeight="1">
      <c r="A23478" s="7"/>
      <c r="B23478" s="7"/>
      <c r="M23478" s="9" t="s">
        <v>23</v>
      </c>
    </row>
    <row r="23479" ht="15.75" customHeight="1">
      <c r="A23479" s="7"/>
      <c r="B23479" s="7"/>
      <c r="M23479" s="9" t="s">
        <v>26</v>
      </c>
    </row>
    <row r="23480" ht="15.75" customHeight="1">
      <c r="A23480" s="7"/>
      <c r="B23480" s="7"/>
      <c r="M23480" s="9" t="s">
        <v>24</v>
      </c>
    </row>
    <row r="23481" ht="15.75" customHeight="1">
      <c r="A23481" s="7"/>
      <c r="B23481" s="7"/>
      <c r="M23481" s="9" t="s">
        <v>20</v>
      </c>
    </row>
    <row r="23482" ht="15.75" customHeight="1">
      <c r="A23482" s="7"/>
      <c r="B23482" s="7"/>
      <c r="M23482" s="9" t="s">
        <v>21</v>
      </c>
    </row>
    <row r="23483" ht="15.75" customHeight="1">
      <c r="A23483" s="7"/>
      <c r="B23483" s="7"/>
      <c r="M23483" s="9" t="s">
        <v>40</v>
      </c>
    </row>
    <row r="23484" ht="15.75" customHeight="1">
      <c r="A23484" s="7"/>
      <c r="B23484" s="7"/>
      <c r="M23484" s="9" t="s">
        <v>33</v>
      </c>
    </row>
    <row r="23485" ht="15.75" customHeight="1">
      <c r="A23485" s="7"/>
      <c r="B23485" s="7"/>
      <c r="M23485" s="9" t="s">
        <v>25</v>
      </c>
    </row>
    <row r="23486" ht="15.75" customHeight="1">
      <c r="A23486" s="7"/>
      <c r="B23486" s="7"/>
      <c r="M23486" s="9" t="s">
        <v>24</v>
      </c>
    </row>
    <row r="23487" ht="15.75" customHeight="1">
      <c r="A23487" s="7"/>
      <c r="B23487" s="7"/>
      <c r="M23487" s="9" t="s">
        <v>20</v>
      </c>
    </row>
    <row r="23488" ht="15.75" customHeight="1">
      <c r="A23488" s="7"/>
      <c r="B23488" s="7"/>
      <c r="M23488" s="9" t="s">
        <v>22</v>
      </c>
    </row>
    <row r="23489" ht="15.75" customHeight="1">
      <c r="A23489" s="7"/>
      <c r="B23489" s="7"/>
      <c r="M23489" s="9" t="s">
        <v>27</v>
      </c>
    </row>
    <row r="23490" ht="15.75" customHeight="1">
      <c r="A23490" s="7"/>
      <c r="B23490" s="7"/>
      <c r="M23490" s="9" t="s">
        <v>25</v>
      </c>
    </row>
    <row r="23491" ht="15.75" customHeight="1">
      <c r="A23491" s="7"/>
      <c r="B23491" s="7"/>
      <c r="M23491" s="9" t="s">
        <v>23</v>
      </c>
    </row>
    <row r="23492" ht="15.75" customHeight="1">
      <c r="A23492" s="7"/>
      <c r="B23492" s="7"/>
      <c r="M23492" s="9" t="s">
        <v>26</v>
      </c>
    </row>
    <row r="23493" ht="15.75" customHeight="1">
      <c r="A23493" s="7"/>
      <c r="B23493" s="7"/>
      <c r="M23493" s="9" t="s">
        <v>21</v>
      </c>
    </row>
    <row r="23494" ht="15.75" customHeight="1">
      <c r="A23494" s="7"/>
      <c r="B23494" s="7"/>
      <c r="M23494" s="9" t="s">
        <v>22</v>
      </c>
    </row>
    <row r="23495" ht="15.75" customHeight="1">
      <c r="A23495" s="7"/>
      <c r="B23495" s="7"/>
      <c r="M23495" s="9" t="s">
        <v>33</v>
      </c>
    </row>
    <row r="23496" ht="15.75" customHeight="1">
      <c r="A23496" s="7"/>
      <c r="B23496" s="7"/>
      <c r="M23496" s="9" t="s">
        <v>34</v>
      </c>
    </row>
    <row r="23497" ht="15.75" customHeight="1">
      <c r="A23497" s="7"/>
      <c r="B23497" s="7"/>
      <c r="M23497" s="9" t="s">
        <v>25</v>
      </c>
    </row>
    <row r="23498" ht="15.75" customHeight="1">
      <c r="A23498" s="7"/>
      <c r="B23498" s="7"/>
      <c r="M23498" s="9" t="s">
        <v>26</v>
      </c>
    </row>
    <row r="23499" ht="15.75" customHeight="1">
      <c r="A23499" s="7"/>
      <c r="B23499" s="7"/>
      <c r="M23499" s="9" t="s">
        <v>30</v>
      </c>
    </row>
    <row r="23500" ht="15.75" customHeight="1">
      <c r="A23500" s="7"/>
      <c r="B23500" s="7"/>
      <c r="M23500" s="9" t="s">
        <v>26</v>
      </c>
    </row>
    <row r="23501" ht="15.75" customHeight="1">
      <c r="A23501" s="7"/>
      <c r="B23501" s="7"/>
      <c r="M23501" s="9" t="s">
        <v>24</v>
      </c>
    </row>
    <row r="23502" ht="15.75" customHeight="1">
      <c r="A23502" s="7"/>
      <c r="B23502" s="7"/>
      <c r="M23502" s="9" t="s">
        <v>21</v>
      </c>
    </row>
    <row r="23503" ht="15.75" customHeight="1">
      <c r="A23503" s="7"/>
      <c r="B23503" s="7"/>
      <c r="M23503" s="9" t="s">
        <v>37</v>
      </c>
    </row>
    <row r="23504" ht="15.75" customHeight="1">
      <c r="A23504" s="7"/>
      <c r="B23504" s="7"/>
      <c r="M23504" s="9" t="s">
        <v>27</v>
      </c>
    </row>
    <row r="23505" ht="15.75" customHeight="1">
      <c r="A23505" s="7"/>
      <c r="B23505" s="7"/>
      <c r="M23505" s="9" t="s">
        <v>24</v>
      </c>
    </row>
    <row r="23506" ht="15.75" customHeight="1">
      <c r="A23506" s="7"/>
      <c r="B23506" s="7"/>
      <c r="M23506" s="9" t="s">
        <v>20</v>
      </c>
    </row>
    <row r="23507" ht="15.75" customHeight="1">
      <c r="A23507" s="7"/>
      <c r="B23507" s="7"/>
      <c r="M23507" s="9" t="s">
        <v>21</v>
      </c>
    </row>
    <row r="23508" ht="15.75" customHeight="1">
      <c r="A23508" s="7"/>
      <c r="B23508" s="7"/>
      <c r="M23508" s="9" t="s">
        <v>37</v>
      </c>
    </row>
    <row r="23509" ht="15.75" customHeight="1">
      <c r="A23509" s="7"/>
      <c r="B23509" s="7"/>
      <c r="M23509" s="9" t="s">
        <v>27</v>
      </c>
    </row>
    <row r="23510" ht="15.75" customHeight="1">
      <c r="A23510" s="7"/>
      <c r="B23510" s="7"/>
      <c r="M23510" s="9" t="s">
        <v>35</v>
      </c>
    </row>
    <row r="23511" ht="15.75" customHeight="1">
      <c r="A23511" s="7"/>
      <c r="B23511" s="7"/>
      <c r="M23511" s="9" t="s">
        <v>23</v>
      </c>
    </row>
    <row r="23512" ht="15.75" customHeight="1">
      <c r="A23512" s="7"/>
      <c r="B23512" s="7"/>
      <c r="M23512" s="9" t="s">
        <v>26</v>
      </c>
    </row>
    <row r="23513" ht="15.75" customHeight="1">
      <c r="A23513" s="7"/>
      <c r="B23513" s="7"/>
      <c r="M23513" s="9" t="s">
        <v>22</v>
      </c>
    </row>
    <row r="23514" ht="15.75" customHeight="1">
      <c r="A23514" s="7"/>
      <c r="B23514" s="7"/>
      <c r="M23514" s="9" t="s">
        <v>26</v>
      </c>
    </row>
    <row r="23515" ht="15.75" customHeight="1">
      <c r="A23515" s="7"/>
      <c r="B23515" s="7"/>
      <c r="M23515" s="9" t="s">
        <v>24</v>
      </c>
    </row>
    <row r="23516" ht="15.75" customHeight="1">
      <c r="A23516" s="7"/>
      <c r="B23516" s="7"/>
      <c r="M23516" s="9" t="s">
        <v>21</v>
      </c>
    </row>
    <row r="23517" ht="15.75" customHeight="1">
      <c r="A23517" s="7"/>
      <c r="B23517" s="7"/>
      <c r="M23517" s="9" t="s">
        <v>22</v>
      </c>
    </row>
    <row r="23518" ht="15.75" customHeight="1">
      <c r="A23518" s="7"/>
      <c r="B23518" s="7"/>
      <c r="M23518" s="9" t="s">
        <v>27</v>
      </c>
    </row>
    <row r="23519" ht="15.75" customHeight="1">
      <c r="A23519" s="7"/>
      <c r="B23519" s="7"/>
      <c r="M23519" s="9" t="s">
        <v>30</v>
      </c>
    </row>
    <row r="23520" ht="15.75" customHeight="1">
      <c r="A23520" s="7"/>
      <c r="B23520" s="7"/>
      <c r="M23520" s="9" t="s">
        <v>25</v>
      </c>
    </row>
    <row r="23521" ht="15.75" customHeight="1">
      <c r="A23521" s="7"/>
      <c r="B23521" s="7"/>
      <c r="M23521" s="9" t="s">
        <v>23</v>
      </c>
    </row>
    <row r="23522" ht="15.75" customHeight="1">
      <c r="A23522" s="7"/>
      <c r="B23522" s="7"/>
      <c r="M23522" s="9" t="s">
        <v>26</v>
      </c>
    </row>
    <row r="23523" ht="15.75" customHeight="1">
      <c r="A23523" s="7"/>
      <c r="B23523" s="7"/>
      <c r="M23523" s="9" t="s">
        <v>22</v>
      </c>
    </row>
    <row r="23524" ht="15.75" customHeight="1">
      <c r="A23524" s="7"/>
      <c r="B23524" s="7"/>
      <c r="M23524" s="9" t="s">
        <v>24</v>
      </c>
    </row>
    <row r="23525" ht="15.75" customHeight="1">
      <c r="A23525" s="7"/>
      <c r="B23525" s="7"/>
      <c r="M23525" s="9" t="s">
        <v>21</v>
      </c>
    </row>
    <row r="23526" ht="15.75" customHeight="1">
      <c r="A23526" s="7"/>
      <c r="B23526" s="7"/>
      <c r="M23526" s="9" t="s">
        <v>37</v>
      </c>
    </row>
    <row r="23527" ht="15.75" customHeight="1">
      <c r="A23527" s="7"/>
      <c r="B23527" s="7"/>
      <c r="M23527" s="9" t="s">
        <v>27</v>
      </c>
    </row>
    <row r="23528" ht="15.75" customHeight="1">
      <c r="A23528" s="7"/>
      <c r="B23528" s="7"/>
      <c r="M23528" s="9" t="s">
        <v>26</v>
      </c>
    </row>
    <row r="23529" ht="15.75" customHeight="1">
      <c r="A23529" s="7"/>
      <c r="B23529" s="7"/>
      <c r="M23529" s="9" t="s">
        <v>24</v>
      </c>
    </row>
    <row r="23530" ht="15.75" customHeight="1">
      <c r="A23530" s="7"/>
      <c r="B23530" s="7"/>
      <c r="M23530" s="9" t="s">
        <v>21</v>
      </c>
    </row>
    <row r="23531" ht="15.75" customHeight="1">
      <c r="A23531" s="7"/>
      <c r="B23531" s="7"/>
      <c r="M23531" s="9" t="s">
        <v>41</v>
      </c>
    </row>
    <row r="23532" ht="15.75" customHeight="1">
      <c r="A23532" s="7"/>
      <c r="B23532" s="7"/>
      <c r="M23532" s="9" t="s">
        <v>40</v>
      </c>
    </row>
    <row r="23533" ht="15.75" customHeight="1">
      <c r="A23533" s="7"/>
      <c r="B23533" s="7"/>
      <c r="M23533" s="9" t="s">
        <v>26</v>
      </c>
    </row>
    <row r="23534" ht="15.75" customHeight="1">
      <c r="A23534" s="7"/>
      <c r="B23534" s="7"/>
      <c r="M23534" s="9" t="s">
        <v>24</v>
      </c>
    </row>
    <row r="23535" ht="15.75" customHeight="1">
      <c r="A23535" s="7"/>
      <c r="B23535" s="7"/>
      <c r="M23535" s="9" t="s">
        <v>21</v>
      </c>
    </row>
    <row r="23536" ht="15.75" customHeight="1">
      <c r="A23536" s="7"/>
      <c r="B23536" s="7"/>
      <c r="M23536" s="9" t="s">
        <v>22</v>
      </c>
    </row>
    <row r="23537" ht="15.75" customHeight="1">
      <c r="A23537" s="7"/>
      <c r="B23537" s="7"/>
      <c r="M23537" s="9" t="s">
        <v>27</v>
      </c>
    </row>
    <row r="23538" ht="15.75" customHeight="1">
      <c r="A23538" s="7"/>
      <c r="B23538" s="7"/>
      <c r="M23538" s="9" t="s">
        <v>33</v>
      </c>
    </row>
    <row r="23539" ht="15.75" customHeight="1">
      <c r="A23539" s="7"/>
      <c r="B23539" s="7"/>
      <c r="M23539" s="9" t="s">
        <v>24</v>
      </c>
    </row>
    <row r="23540" ht="15.75" customHeight="1">
      <c r="A23540" s="7"/>
      <c r="B23540" s="7"/>
      <c r="M23540" s="9" t="s">
        <v>20</v>
      </c>
    </row>
    <row r="23541" ht="15.75" customHeight="1">
      <c r="A23541" s="7"/>
      <c r="B23541" s="7"/>
      <c r="M23541" s="9" t="s">
        <v>21</v>
      </c>
    </row>
    <row r="23542" ht="15.75" customHeight="1">
      <c r="A23542" s="7"/>
      <c r="B23542" s="7"/>
      <c r="M23542" s="9" t="s">
        <v>22</v>
      </c>
    </row>
    <row r="23543" ht="15.75" customHeight="1">
      <c r="A23543" s="7"/>
      <c r="B23543" s="7"/>
      <c r="M23543" s="9" t="s">
        <v>26</v>
      </c>
    </row>
    <row r="23544" ht="15.75" customHeight="1">
      <c r="A23544" s="7"/>
      <c r="B23544" s="7"/>
      <c r="M23544" s="9" t="s">
        <v>20</v>
      </c>
    </row>
    <row r="23545" ht="15.75" customHeight="1">
      <c r="A23545" s="7"/>
      <c r="B23545" s="7"/>
      <c r="M23545" s="9" t="s">
        <v>27</v>
      </c>
    </row>
    <row r="23546" ht="15.75" customHeight="1">
      <c r="A23546" s="7"/>
      <c r="B23546" s="7"/>
      <c r="M23546" s="9" t="s">
        <v>28</v>
      </c>
    </row>
    <row r="23547" ht="15.75" customHeight="1">
      <c r="A23547" s="7"/>
      <c r="B23547" s="7"/>
      <c r="M23547" s="9" t="s">
        <v>24</v>
      </c>
    </row>
    <row r="23548" ht="15.75" customHeight="1">
      <c r="A23548" s="7"/>
      <c r="B23548" s="7"/>
      <c r="M23548" s="9" t="s">
        <v>21</v>
      </c>
    </row>
    <row r="23549" ht="15.75" customHeight="1">
      <c r="A23549" s="7"/>
      <c r="B23549" s="7"/>
      <c r="M23549" s="9" t="s">
        <v>23</v>
      </c>
    </row>
    <row r="23550" ht="15.75" customHeight="1">
      <c r="A23550" s="7"/>
      <c r="B23550" s="7"/>
      <c r="M23550" s="9" t="s">
        <v>20</v>
      </c>
    </row>
    <row r="23551" ht="15.75" customHeight="1">
      <c r="A23551" s="7"/>
      <c r="B23551" s="7"/>
      <c r="M23551" s="9" t="s">
        <v>22</v>
      </c>
    </row>
    <row r="23552" ht="15.75" customHeight="1">
      <c r="A23552" s="7"/>
      <c r="B23552" s="7"/>
      <c r="M23552" s="9" t="s">
        <v>25</v>
      </c>
    </row>
    <row r="23553" ht="15.75" customHeight="1">
      <c r="A23553" s="7"/>
      <c r="B23553" s="7"/>
      <c r="M23553" s="9" t="s">
        <v>24</v>
      </c>
    </row>
    <row r="23554" ht="15.75" customHeight="1">
      <c r="A23554" s="7"/>
      <c r="B23554" s="7"/>
      <c r="M23554" s="9" t="s">
        <v>20</v>
      </c>
    </row>
    <row r="23555" ht="15.75" customHeight="1">
      <c r="A23555" s="7"/>
      <c r="B23555" s="7"/>
      <c r="M23555" s="9" t="s">
        <v>21</v>
      </c>
    </row>
    <row r="23556" ht="15.75" customHeight="1">
      <c r="A23556" s="7"/>
      <c r="B23556" s="7"/>
      <c r="M23556" s="9" t="s">
        <v>22</v>
      </c>
    </row>
    <row r="23557" ht="15.75" customHeight="1">
      <c r="A23557" s="7"/>
      <c r="B23557" s="7"/>
      <c r="M23557" s="9" t="s">
        <v>27</v>
      </c>
    </row>
    <row r="23558" ht="15.75" customHeight="1">
      <c r="A23558" s="7"/>
      <c r="B23558" s="7"/>
      <c r="M23558" s="9" t="s">
        <v>25</v>
      </c>
    </row>
    <row r="23559" ht="15.75" customHeight="1">
      <c r="A23559" s="7"/>
      <c r="B23559" s="7"/>
      <c r="M23559" s="9" t="s">
        <v>23</v>
      </c>
    </row>
    <row r="23560" ht="15.75" customHeight="1">
      <c r="A23560" s="7"/>
      <c r="B23560" s="7"/>
      <c r="M23560" s="9" t="s">
        <v>26</v>
      </c>
    </row>
    <row r="23561" ht="15.75" customHeight="1">
      <c r="A23561" s="7"/>
      <c r="B23561" s="7"/>
      <c r="M23561" s="9" t="s">
        <v>24</v>
      </c>
    </row>
    <row r="23562" ht="15.75" customHeight="1">
      <c r="A23562" s="7"/>
      <c r="B23562" s="7"/>
      <c r="M23562" s="9" t="s">
        <v>20</v>
      </c>
    </row>
    <row r="23563" ht="15.75" customHeight="1">
      <c r="A23563" s="7"/>
      <c r="B23563" s="7"/>
      <c r="M23563" s="9" t="s">
        <v>21</v>
      </c>
    </row>
    <row r="23564" ht="15.75" customHeight="1">
      <c r="A23564" s="7"/>
      <c r="B23564" s="7"/>
      <c r="M23564" s="9" t="s">
        <v>37</v>
      </c>
    </row>
    <row r="23565" ht="15.75" customHeight="1">
      <c r="A23565" s="7"/>
      <c r="B23565" s="7"/>
      <c r="M23565" s="9" t="s">
        <v>27</v>
      </c>
    </row>
    <row r="23566" ht="15.75" customHeight="1">
      <c r="A23566" s="7"/>
      <c r="B23566" s="7"/>
      <c r="M23566" s="9" t="s">
        <v>28</v>
      </c>
    </row>
    <row r="23567" ht="15.75" customHeight="1">
      <c r="A23567" s="7"/>
      <c r="B23567" s="7"/>
      <c r="M23567" s="9" t="s">
        <v>30</v>
      </c>
    </row>
    <row r="23568" ht="15.75" customHeight="1">
      <c r="A23568" s="7"/>
      <c r="B23568" s="7"/>
      <c r="M23568" s="9" t="s">
        <v>25</v>
      </c>
    </row>
    <row r="23569" ht="15.75" customHeight="1">
      <c r="A23569" s="7"/>
      <c r="B23569" s="7"/>
      <c r="M23569" s="9" t="s">
        <v>23</v>
      </c>
    </row>
    <row r="23570" ht="15.75" customHeight="1">
      <c r="A23570" s="7"/>
      <c r="B23570" s="7"/>
      <c r="M23570" s="9" t="s">
        <v>26</v>
      </c>
    </row>
    <row r="23571" ht="15.75" customHeight="1">
      <c r="A23571" s="7"/>
      <c r="B23571" s="7"/>
      <c r="M23571" s="9" t="s">
        <v>24</v>
      </c>
    </row>
    <row r="23572" ht="15.75" customHeight="1">
      <c r="A23572" s="7"/>
      <c r="B23572" s="7"/>
      <c r="M23572" s="9" t="s">
        <v>20</v>
      </c>
    </row>
    <row r="23573" ht="15.75" customHeight="1">
      <c r="A23573" s="7"/>
      <c r="B23573" s="7"/>
      <c r="M23573" s="9" t="s">
        <v>21</v>
      </c>
    </row>
    <row r="23574" ht="15.75" customHeight="1">
      <c r="A23574" s="7"/>
      <c r="B23574" s="7"/>
      <c r="M23574" s="9" t="s">
        <v>41</v>
      </c>
    </row>
    <row r="23575" ht="15.75" customHeight="1">
      <c r="A23575" s="7"/>
      <c r="B23575" s="7"/>
      <c r="M23575" s="9" t="s">
        <v>37</v>
      </c>
    </row>
    <row r="23576" ht="15.75" customHeight="1">
      <c r="A23576" s="7"/>
      <c r="B23576" s="7"/>
      <c r="M23576" s="9" t="s">
        <v>22</v>
      </c>
    </row>
    <row r="23577" ht="15.75" customHeight="1">
      <c r="A23577" s="7"/>
      <c r="B23577" s="7"/>
      <c r="M23577" s="9" t="s">
        <v>31</v>
      </c>
    </row>
    <row r="23578" ht="15.75" customHeight="1">
      <c r="A23578" s="7"/>
      <c r="B23578" s="7"/>
      <c r="M23578" s="9" t="s">
        <v>27</v>
      </c>
    </row>
    <row r="23579" ht="15.75" customHeight="1">
      <c r="A23579" s="7"/>
      <c r="B23579" s="7"/>
      <c r="M23579" s="9" t="s">
        <v>33</v>
      </c>
    </row>
    <row r="23580" ht="15.75" customHeight="1">
      <c r="A23580" s="7"/>
      <c r="B23580" s="7"/>
      <c r="M23580" s="9" t="s">
        <v>35</v>
      </c>
    </row>
    <row r="23581" ht="15.75" customHeight="1">
      <c r="A23581" s="7"/>
      <c r="B23581" s="7"/>
      <c r="M23581" s="9" t="s">
        <v>30</v>
      </c>
    </row>
    <row r="23582" ht="15.75" customHeight="1">
      <c r="A23582" s="7"/>
      <c r="B23582" s="7"/>
      <c r="M23582" s="9" t="s">
        <v>24</v>
      </c>
    </row>
    <row r="23583" ht="15.75" customHeight="1">
      <c r="A23583" s="7"/>
      <c r="B23583" s="7"/>
      <c r="M23583" s="9" t="s">
        <v>20</v>
      </c>
    </row>
    <row r="23584" ht="15.75" customHeight="1">
      <c r="A23584" s="7"/>
      <c r="B23584" s="7"/>
      <c r="M23584" s="9" t="s">
        <v>21</v>
      </c>
    </row>
    <row r="23585" ht="15.75" customHeight="1">
      <c r="A23585" s="7"/>
      <c r="B23585" s="7"/>
      <c r="M23585" s="9" t="s">
        <v>27</v>
      </c>
    </row>
    <row r="23586" ht="15.75" customHeight="1">
      <c r="A23586" s="7"/>
      <c r="B23586" s="7"/>
      <c r="M23586" s="9" t="s">
        <v>33</v>
      </c>
    </row>
    <row r="23587" ht="15.75" customHeight="1">
      <c r="A23587" s="7"/>
      <c r="B23587" s="7"/>
      <c r="M23587" s="9" t="s">
        <v>30</v>
      </c>
    </row>
    <row r="23588" ht="15.75" customHeight="1">
      <c r="A23588" s="7"/>
      <c r="B23588" s="7"/>
      <c r="M23588" s="9" t="s">
        <v>23</v>
      </c>
    </row>
    <row r="23589" ht="15.75" customHeight="1">
      <c r="A23589" s="7"/>
      <c r="B23589" s="7"/>
      <c r="M23589" s="9" t="s">
        <v>26</v>
      </c>
    </row>
    <row r="23590" ht="15.75" customHeight="1">
      <c r="A23590" s="7"/>
      <c r="B23590" s="7"/>
      <c r="M23590" s="9" t="s">
        <v>24</v>
      </c>
    </row>
    <row r="23591" ht="15.75" customHeight="1">
      <c r="A23591" s="7"/>
      <c r="B23591" s="7"/>
      <c r="M23591" s="9" t="s">
        <v>20</v>
      </c>
    </row>
    <row r="23592" ht="15.75" customHeight="1">
      <c r="A23592" s="7"/>
      <c r="B23592" s="7"/>
      <c r="M23592" s="9" t="s">
        <v>21</v>
      </c>
    </row>
    <row r="23593" ht="15.75" customHeight="1">
      <c r="A23593" s="7"/>
      <c r="B23593" s="7"/>
      <c r="M23593" s="9" t="s">
        <v>37</v>
      </c>
    </row>
    <row r="23594" ht="15.75" customHeight="1">
      <c r="A23594" s="7"/>
      <c r="B23594" s="7"/>
      <c r="M23594" s="9" t="s">
        <v>22</v>
      </c>
    </row>
    <row r="23595" ht="15.75" customHeight="1">
      <c r="A23595" s="7"/>
      <c r="B23595" s="7"/>
      <c r="M23595" s="9" t="s">
        <v>33</v>
      </c>
    </row>
    <row r="23596" ht="15.75" customHeight="1">
      <c r="A23596" s="7"/>
      <c r="B23596" s="7"/>
      <c r="M23596" s="9" t="s">
        <v>26</v>
      </c>
    </row>
    <row r="23597" ht="15.75" customHeight="1">
      <c r="A23597" s="7"/>
      <c r="B23597" s="7"/>
      <c r="M23597" s="9" t="s">
        <v>25</v>
      </c>
    </row>
    <row r="23598" ht="15.75" customHeight="1">
      <c r="A23598" s="7"/>
      <c r="B23598" s="7"/>
      <c r="M23598" s="9" t="s">
        <v>24</v>
      </c>
    </row>
    <row r="23599" ht="15.75" customHeight="1">
      <c r="A23599" s="7"/>
      <c r="B23599" s="7"/>
      <c r="M23599" s="9" t="s">
        <v>21</v>
      </c>
    </row>
    <row r="23600" ht="15.75" customHeight="1">
      <c r="A23600" s="7"/>
      <c r="B23600" s="7"/>
      <c r="M23600" s="9" t="s">
        <v>24</v>
      </c>
    </row>
    <row r="23601" ht="15.75" customHeight="1">
      <c r="A23601" s="7"/>
      <c r="B23601" s="7"/>
      <c r="M23601" s="9" t="s">
        <v>21</v>
      </c>
    </row>
    <row r="23602" ht="15.75" customHeight="1">
      <c r="A23602" s="7"/>
      <c r="B23602" s="7"/>
      <c r="M23602" s="9" t="s">
        <v>37</v>
      </c>
    </row>
    <row r="23603" ht="15.75" customHeight="1">
      <c r="A23603" s="7"/>
      <c r="B23603" s="7"/>
      <c r="M23603" s="9" t="s">
        <v>31</v>
      </c>
    </row>
    <row r="23604" ht="15.75" customHeight="1">
      <c r="A23604" s="7"/>
      <c r="B23604" s="7"/>
      <c r="M23604" s="9" t="s">
        <v>27</v>
      </c>
    </row>
    <row r="23605" ht="15.75" customHeight="1">
      <c r="A23605" s="7"/>
      <c r="B23605" s="7"/>
      <c r="M23605" s="9" t="s">
        <v>26</v>
      </c>
    </row>
    <row r="23606" ht="15.75" customHeight="1">
      <c r="A23606" s="7"/>
      <c r="B23606" s="7"/>
      <c r="M23606" s="9" t="s">
        <v>24</v>
      </c>
    </row>
    <row r="23607" ht="15.75" customHeight="1">
      <c r="A23607" s="7"/>
      <c r="B23607" s="7"/>
      <c r="M23607" s="9" t="s">
        <v>21</v>
      </c>
    </row>
    <row r="23608" ht="15.75" customHeight="1">
      <c r="A23608" s="7"/>
      <c r="B23608" s="7"/>
      <c r="M23608" s="9" t="s">
        <v>27</v>
      </c>
    </row>
    <row r="23609" ht="15.75" customHeight="1">
      <c r="A23609" s="7"/>
      <c r="B23609" s="7"/>
      <c r="M23609" s="9" t="s">
        <v>33</v>
      </c>
    </row>
    <row r="23610" ht="15.75" customHeight="1">
      <c r="A23610" s="7"/>
      <c r="B23610" s="7"/>
      <c r="M23610" s="9" t="s">
        <v>26</v>
      </c>
    </row>
    <row r="23611" ht="15.75" customHeight="1">
      <c r="A23611" s="7"/>
      <c r="B23611" s="7"/>
      <c r="M23611" s="9" t="s">
        <v>24</v>
      </c>
    </row>
    <row r="23612" ht="15.75" customHeight="1">
      <c r="A23612" s="7"/>
      <c r="B23612" s="7"/>
      <c r="M23612" s="9" t="s">
        <v>33</v>
      </c>
    </row>
    <row r="23613" ht="15.75" customHeight="1">
      <c r="A23613" s="7"/>
      <c r="B23613" s="7"/>
      <c r="M23613" s="9" t="s">
        <v>23</v>
      </c>
    </row>
    <row r="23614" ht="15.75" customHeight="1">
      <c r="A23614" s="7"/>
      <c r="B23614" s="7"/>
      <c r="M23614" s="9" t="s">
        <v>26</v>
      </c>
    </row>
    <row r="23615" ht="15.75" customHeight="1">
      <c r="A23615" s="7"/>
      <c r="B23615" s="7"/>
      <c r="M23615" s="9" t="s">
        <v>26</v>
      </c>
    </row>
    <row r="23616" ht="15.75" customHeight="1">
      <c r="A23616" s="7"/>
      <c r="B23616" s="7"/>
      <c r="M23616" s="9" t="s">
        <v>24</v>
      </c>
    </row>
    <row r="23617" ht="15.75" customHeight="1">
      <c r="A23617" s="7"/>
      <c r="B23617" s="7"/>
      <c r="M23617" s="9" t="s">
        <v>21</v>
      </c>
    </row>
    <row r="23618" ht="15.75" customHeight="1">
      <c r="A23618" s="7"/>
      <c r="B23618" s="7"/>
      <c r="M23618" s="9" t="s">
        <v>27</v>
      </c>
    </row>
    <row r="23619" ht="15.75" customHeight="1">
      <c r="A23619" s="7"/>
      <c r="B23619" s="7"/>
      <c r="M23619" s="9" t="s">
        <v>38</v>
      </c>
    </row>
    <row r="23620" ht="15.75" customHeight="1">
      <c r="A23620" s="7"/>
      <c r="B23620" s="7"/>
      <c r="M23620" s="9" t="s">
        <v>30</v>
      </c>
    </row>
    <row r="23621" ht="15.75" customHeight="1">
      <c r="A23621" s="7"/>
      <c r="B23621" s="7"/>
      <c r="M23621" s="9" t="s">
        <v>25</v>
      </c>
    </row>
    <row r="23622" ht="15.75" customHeight="1">
      <c r="A23622" s="7"/>
      <c r="B23622" s="7"/>
      <c r="M23622" s="9" t="s">
        <v>22</v>
      </c>
    </row>
    <row r="23623" ht="15.75" customHeight="1">
      <c r="A23623" s="7"/>
      <c r="B23623" s="7"/>
      <c r="M23623" s="9" t="s">
        <v>35</v>
      </c>
    </row>
    <row r="23624" ht="15.75" customHeight="1">
      <c r="A23624" s="7"/>
      <c r="B23624" s="7"/>
      <c r="M23624" s="9" t="s">
        <v>24</v>
      </c>
    </row>
    <row r="23625" ht="15.75" customHeight="1">
      <c r="A23625" s="7"/>
      <c r="B23625" s="7"/>
      <c r="M23625" s="9" t="s">
        <v>20</v>
      </c>
    </row>
    <row r="23626" ht="15.75" customHeight="1">
      <c r="A23626" s="7"/>
      <c r="B23626" s="7"/>
      <c r="M23626" s="9" t="s">
        <v>21</v>
      </c>
    </row>
    <row r="23627" ht="15.75" customHeight="1">
      <c r="A23627" s="7"/>
      <c r="B23627" s="7"/>
      <c r="M23627" s="9" t="s">
        <v>27</v>
      </c>
    </row>
    <row r="23628" ht="15.75" customHeight="1">
      <c r="A23628" s="7"/>
      <c r="B23628" s="7"/>
      <c r="M23628" s="9" t="s">
        <v>33</v>
      </c>
    </row>
    <row r="23629" ht="15.75" customHeight="1">
      <c r="A23629" s="7"/>
      <c r="B23629" s="7"/>
      <c r="M23629" s="9" t="s">
        <v>35</v>
      </c>
    </row>
    <row r="23630" ht="15.75" customHeight="1">
      <c r="A23630" s="7"/>
      <c r="B23630" s="7"/>
      <c r="M23630" s="9" t="s">
        <v>25</v>
      </c>
    </row>
    <row r="23631" ht="15.75" customHeight="1">
      <c r="A23631" s="7"/>
      <c r="B23631" s="7"/>
      <c r="M23631" s="9" t="s">
        <v>23</v>
      </c>
    </row>
    <row r="23632" ht="15.75" customHeight="1">
      <c r="A23632" s="7"/>
      <c r="B23632" s="7"/>
      <c r="M23632" s="9" t="s">
        <v>20</v>
      </c>
    </row>
    <row r="23633" ht="15.75" customHeight="1">
      <c r="A23633" s="7"/>
      <c r="B23633" s="7"/>
      <c r="M23633" s="9" t="s">
        <v>37</v>
      </c>
    </row>
    <row r="23634" ht="15.75" customHeight="1">
      <c r="A23634" s="7"/>
      <c r="B23634" s="7"/>
      <c r="M23634" s="9" t="s">
        <v>22</v>
      </c>
    </row>
    <row r="23635" ht="15.75" customHeight="1">
      <c r="A23635" s="7"/>
      <c r="B23635" s="7"/>
      <c r="M23635" s="9" t="s">
        <v>27</v>
      </c>
    </row>
    <row r="23636" ht="15.75" customHeight="1">
      <c r="A23636" s="7"/>
      <c r="B23636" s="7"/>
      <c r="M23636" s="9" t="s">
        <v>26</v>
      </c>
    </row>
    <row r="23637" ht="15.75" customHeight="1">
      <c r="A23637" s="7"/>
      <c r="B23637" s="7"/>
      <c r="M23637" s="9" t="s">
        <v>24</v>
      </c>
    </row>
    <row r="23638" ht="15.75" customHeight="1">
      <c r="A23638" s="7"/>
      <c r="B23638" s="7"/>
      <c r="M23638" s="9" t="s">
        <v>21</v>
      </c>
    </row>
    <row r="23639" ht="15.75" customHeight="1">
      <c r="A23639" s="7"/>
      <c r="B23639" s="7"/>
      <c r="M23639" s="9" t="s">
        <v>27</v>
      </c>
    </row>
    <row r="23640" ht="15.75" customHeight="1">
      <c r="A23640" s="7"/>
      <c r="B23640" s="7"/>
      <c r="M23640" s="9" t="s">
        <v>28</v>
      </c>
    </row>
    <row r="23641" ht="15.75" customHeight="1">
      <c r="A23641" s="7"/>
      <c r="B23641" s="7"/>
      <c r="M23641" s="9" t="s">
        <v>26</v>
      </c>
    </row>
    <row r="23642" ht="15.75" customHeight="1">
      <c r="A23642" s="7"/>
      <c r="B23642" s="7"/>
      <c r="M23642" s="9" t="s">
        <v>24</v>
      </c>
    </row>
    <row r="23643" ht="15.75" customHeight="1">
      <c r="A23643" s="7"/>
      <c r="B23643" s="7"/>
      <c r="M23643" s="9" t="s">
        <v>20</v>
      </c>
    </row>
    <row r="23644" ht="15.75" customHeight="1">
      <c r="A23644" s="7"/>
      <c r="B23644" s="7"/>
      <c r="M23644" s="9" t="s">
        <v>21</v>
      </c>
    </row>
    <row r="23645" ht="15.75" customHeight="1">
      <c r="A23645" s="7"/>
      <c r="B23645" s="7"/>
      <c r="M23645" s="9" t="s">
        <v>22</v>
      </c>
    </row>
    <row r="23646" ht="15.75" customHeight="1">
      <c r="A23646" s="7"/>
      <c r="B23646" s="7"/>
      <c r="M23646" s="9" t="s">
        <v>27</v>
      </c>
    </row>
    <row r="23647" ht="15.75" customHeight="1">
      <c r="A23647" s="7"/>
      <c r="B23647" s="7"/>
      <c r="M23647" s="9" t="s">
        <v>33</v>
      </c>
    </row>
    <row r="23648" ht="15.75" customHeight="1">
      <c r="A23648" s="7"/>
      <c r="B23648" s="7"/>
      <c r="M23648" s="9" t="s">
        <v>38</v>
      </c>
    </row>
    <row r="23649" ht="15.75" customHeight="1">
      <c r="A23649" s="7"/>
      <c r="B23649" s="7"/>
      <c r="M23649" s="9" t="s">
        <v>25</v>
      </c>
    </row>
    <row r="23650" ht="15.75" customHeight="1">
      <c r="A23650" s="7"/>
      <c r="B23650" s="7"/>
      <c r="M23650" s="9" t="s">
        <v>23</v>
      </c>
    </row>
    <row r="23651" ht="15.75" customHeight="1">
      <c r="A23651" s="7"/>
      <c r="B23651" s="7"/>
      <c r="M23651" s="9" t="s">
        <v>24</v>
      </c>
    </row>
    <row r="23652" ht="15.75" customHeight="1">
      <c r="A23652" s="7"/>
      <c r="B23652" s="7"/>
      <c r="M23652" s="9" t="s">
        <v>21</v>
      </c>
    </row>
    <row r="23653" ht="15.75" customHeight="1">
      <c r="A23653" s="7"/>
      <c r="B23653" s="7"/>
      <c r="M23653" s="9" t="s">
        <v>22</v>
      </c>
    </row>
    <row r="23654" ht="15.75" customHeight="1">
      <c r="A23654" s="7"/>
      <c r="B23654" s="7"/>
      <c r="M23654" s="9" t="s">
        <v>32</v>
      </c>
    </row>
    <row r="23655" ht="15.75" customHeight="1">
      <c r="A23655" s="7"/>
      <c r="B23655" s="7"/>
      <c r="M23655" s="9" t="s">
        <v>33</v>
      </c>
    </row>
    <row r="23656" ht="15.75" customHeight="1">
      <c r="A23656" s="7"/>
      <c r="B23656" s="7"/>
      <c r="M23656" s="9" t="s">
        <v>36</v>
      </c>
    </row>
    <row r="23657" ht="15.75" customHeight="1">
      <c r="A23657" s="7"/>
      <c r="B23657" s="7"/>
      <c r="M23657" s="9" t="s">
        <v>24</v>
      </c>
    </row>
    <row r="23658" ht="15.75" customHeight="1">
      <c r="A23658" s="7"/>
      <c r="B23658" s="7"/>
      <c r="M23658" s="9" t="s">
        <v>20</v>
      </c>
    </row>
    <row r="23659" ht="15.75" customHeight="1">
      <c r="A23659" s="7"/>
      <c r="B23659" s="7"/>
      <c r="M23659" s="9" t="s">
        <v>21</v>
      </c>
    </row>
    <row r="23660" ht="15.75" customHeight="1">
      <c r="A23660" s="7"/>
      <c r="B23660" s="7"/>
      <c r="M23660" s="9" t="s">
        <v>39</v>
      </c>
    </row>
    <row r="23661" ht="15.75" customHeight="1">
      <c r="A23661" s="7"/>
      <c r="B23661" s="7"/>
      <c r="M23661" s="9" t="s">
        <v>32</v>
      </c>
    </row>
    <row r="23662" ht="15.75" customHeight="1">
      <c r="A23662" s="7"/>
      <c r="B23662" s="7"/>
      <c r="M23662" s="9" t="s">
        <v>33</v>
      </c>
    </row>
    <row r="23663" ht="15.75" customHeight="1">
      <c r="A23663" s="7"/>
      <c r="B23663" s="7"/>
      <c r="M23663" s="9" t="s">
        <v>34</v>
      </c>
    </row>
    <row r="23664" ht="15.75" customHeight="1">
      <c r="A23664" s="7"/>
      <c r="B23664" s="7"/>
      <c r="M23664" s="9" t="s">
        <v>38</v>
      </c>
    </row>
    <row r="23665" ht="15.75" customHeight="1">
      <c r="A23665" s="7"/>
      <c r="B23665" s="7"/>
      <c r="M23665" s="9" t="s">
        <v>23</v>
      </c>
    </row>
    <row r="23666" ht="15.75" customHeight="1">
      <c r="A23666" s="7"/>
      <c r="B23666" s="7"/>
      <c r="M23666" s="9" t="s">
        <v>20</v>
      </c>
    </row>
    <row r="23667" ht="15.75" customHeight="1">
      <c r="A23667" s="7"/>
      <c r="B23667" s="7"/>
      <c r="M23667" s="9" t="s">
        <v>22</v>
      </c>
    </row>
    <row r="23668" ht="15.75" customHeight="1">
      <c r="A23668" s="7"/>
      <c r="B23668" s="7"/>
      <c r="M23668" s="9" t="s">
        <v>24</v>
      </c>
    </row>
    <row r="23669" ht="15.75" customHeight="1">
      <c r="A23669" s="7"/>
      <c r="B23669" s="7"/>
      <c r="M23669" s="9" t="s">
        <v>20</v>
      </c>
    </row>
    <row r="23670" ht="15.75" customHeight="1">
      <c r="A23670" s="7"/>
      <c r="B23670" s="7"/>
      <c r="M23670" s="9" t="s">
        <v>21</v>
      </c>
    </row>
    <row r="23671" ht="15.75" customHeight="1">
      <c r="A23671" s="7"/>
      <c r="B23671" s="7"/>
      <c r="M23671" s="9" t="s">
        <v>27</v>
      </c>
    </row>
    <row r="23672" ht="15.75" customHeight="1">
      <c r="A23672" s="7"/>
      <c r="B23672" s="7"/>
      <c r="M23672" s="9" t="s">
        <v>33</v>
      </c>
    </row>
    <row r="23673" ht="15.75" customHeight="1">
      <c r="A23673" s="7"/>
      <c r="B23673" s="7"/>
      <c r="M23673" s="9" t="s">
        <v>30</v>
      </c>
    </row>
    <row r="23674" ht="15.75" customHeight="1">
      <c r="A23674" s="7"/>
      <c r="B23674" s="7"/>
      <c r="M23674" s="9" t="s">
        <v>26</v>
      </c>
    </row>
    <row r="23675" ht="15.75" customHeight="1">
      <c r="A23675" s="7"/>
      <c r="B23675" s="7"/>
      <c r="M23675" s="9" t="s">
        <v>24</v>
      </c>
    </row>
    <row r="23676" ht="15.75" customHeight="1">
      <c r="A23676" s="7"/>
      <c r="B23676" s="7"/>
      <c r="M23676" s="9" t="s">
        <v>20</v>
      </c>
    </row>
    <row r="23677" ht="15.75" customHeight="1">
      <c r="A23677" s="7"/>
      <c r="B23677" s="7"/>
      <c r="M23677" s="9" t="s">
        <v>22</v>
      </c>
    </row>
    <row r="23678" ht="15.75" customHeight="1">
      <c r="A23678" s="7"/>
      <c r="B23678" s="7"/>
      <c r="M23678" s="9" t="s">
        <v>29</v>
      </c>
    </row>
    <row r="23679" ht="15.75" customHeight="1">
      <c r="A23679" s="7"/>
      <c r="B23679" s="7"/>
      <c r="M23679" s="9" t="s">
        <v>27</v>
      </c>
    </row>
    <row r="23680" ht="15.75" customHeight="1">
      <c r="A23680" s="7"/>
      <c r="B23680" s="7"/>
      <c r="M23680" s="9" t="s">
        <v>28</v>
      </c>
    </row>
    <row r="23681" ht="15.75" customHeight="1">
      <c r="A23681" s="7"/>
      <c r="B23681" s="7"/>
      <c r="M23681" s="9" t="s">
        <v>41</v>
      </c>
    </row>
    <row r="23682" ht="15.75" customHeight="1">
      <c r="A23682" s="7"/>
      <c r="B23682" s="7"/>
      <c r="M23682" s="9" t="s">
        <v>22</v>
      </c>
    </row>
    <row r="23683" ht="15.75" customHeight="1">
      <c r="A23683" s="7"/>
      <c r="B23683" s="7"/>
      <c r="M23683" s="9" t="s">
        <v>40</v>
      </c>
    </row>
    <row r="23684" ht="15.75" customHeight="1">
      <c r="A23684" s="7"/>
      <c r="B23684" s="7"/>
      <c r="M23684" s="9" t="s">
        <v>30</v>
      </c>
    </row>
    <row r="23685" ht="15.75" customHeight="1">
      <c r="A23685" s="7"/>
      <c r="B23685" s="7"/>
      <c r="M23685" s="9" t="s">
        <v>24</v>
      </c>
    </row>
    <row r="23686" ht="15.75" customHeight="1">
      <c r="A23686" s="7"/>
      <c r="B23686" s="7"/>
      <c r="M23686" s="9" t="s">
        <v>21</v>
      </c>
    </row>
    <row r="23687" ht="15.75" customHeight="1">
      <c r="A23687" s="7"/>
      <c r="B23687" s="7"/>
      <c r="M23687" s="9" t="s">
        <v>31</v>
      </c>
    </row>
    <row r="23688" ht="15.75" customHeight="1">
      <c r="A23688" s="7"/>
      <c r="B23688" s="7"/>
      <c r="M23688" s="9" t="s">
        <v>27</v>
      </c>
    </row>
    <row r="23689" ht="15.75" customHeight="1">
      <c r="A23689" s="7"/>
      <c r="B23689" s="7"/>
      <c r="M23689" s="9" t="s">
        <v>30</v>
      </c>
    </row>
    <row r="23690" ht="15.75" customHeight="1">
      <c r="A23690" s="7"/>
      <c r="B23690" s="7"/>
      <c r="M23690" s="9" t="s">
        <v>24</v>
      </c>
    </row>
    <row r="23691" ht="15.75" customHeight="1">
      <c r="A23691" s="7"/>
      <c r="B23691" s="7"/>
      <c r="M23691" s="9" t="s">
        <v>21</v>
      </c>
    </row>
    <row r="23692" ht="15.75" customHeight="1">
      <c r="A23692" s="7"/>
      <c r="B23692" s="7"/>
      <c r="M23692" s="9" t="s">
        <v>22</v>
      </c>
    </row>
    <row r="23693" ht="15.75" customHeight="1">
      <c r="A23693" s="7"/>
      <c r="B23693" s="7"/>
      <c r="M23693" s="9" t="s">
        <v>27</v>
      </c>
    </row>
    <row r="23694" ht="15.75" customHeight="1">
      <c r="A23694" s="7"/>
      <c r="B23694" s="7"/>
      <c r="M23694" s="9" t="s">
        <v>36</v>
      </c>
    </row>
    <row r="23695" ht="15.75" customHeight="1">
      <c r="A23695" s="7"/>
      <c r="B23695" s="7"/>
      <c r="M23695" s="9" t="s">
        <v>21</v>
      </c>
    </row>
    <row r="23696" ht="15.75" customHeight="1">
      <c r="A23696" s="7"/>
      <c r="B23696" s="7"/>
      <c r="M23696" s="9" t="s">
        <v>22</v>
      </c>
    </row>
    <row r="23697" ht="15.75" customHeight="1">
      <c r="A23697" s="7"/>
      <c r="B23697" s="7"/>
      <c r="M23697" s="9" t="s">
        <v>24</v>
      </c>
    </row>
    <row r="23698" ht="15.75" customHeight="1">
      <c r="A23698" s="7"/>
      <c r="B23698" s="7"/>
      <c r="M23698" s="9" t="s">
        <v>21</v>
      </c>
    </row>
    <row r="23699" ht="15.75" customHeight="1">
      <c r="A23699" s="7"/>
      <c r="B23699" s="7"/>
      <c r="M23699" s="9" t="s">
        <v>40</v>
      </c>
    </row>
    <row r="23700" ht="15.75" customHeight="1">
      <c r="A23700" s="7"/>
      <c r="B23700" s="7"/>
      <c r="M23700" s="9" t="s">
        <v>30</v>
      </c>
    </row>
    <row r="23701" ht="15.75" customHeight="1">
      <c r="A23701" s="7"/>
      <c r="B23701" s="7"/>
      <c r="M23701" s="9" t="s">
        <v>24</v>
      </c>
    </row>
    <row r="23702" ht="15.75" customHeight="1">
      <c r="A23702" s="7"/>
      <c r="B23702" s="7"/>
      <c r="M23702" s="9" t="s">
        <v>20</v>
      </c>
    </row>
    <row r="23703" ht="15.75" customHeight="1">
      <c r="A23703" s="7"/>
      <c r="B23703" s="7"/>
      <c r="M23703" s="9" t="s">
        <v>21</v>
      </c>
    </row>
    <row r="23704" ht="15.75" customHeight="1">
      <c r="A23704" s="7"/>
      <c r="B23704" s="7"/>
      <c r="M23704" s="9" t="s">
        <v>37</v>
      </c>
    </row>
    <row r="23705" ht="15.75" customHeight="1">
      <c r="A23705" s="7"/>
      <c r="B23705" s="7"/>
      <c r="M23705" s="9" t="s">
        <v>22</v>
      </c>
    </row>
    <row r="23706" ht="15.75" customHeight="1">
      <c r="A23706" s="7"/>
      <c r="B23706" s="7"/>
      <c r="M23706" s="9" t="s">
        <v>27</v>
      </c>
    </row>
    <row r="23707" ht="15.75" customHeight="1">
      <c r="A23707" s="7"/>
      <c r="B23707" s="7"/>
      <c r="M23707" s="9" t="s">
        <v>23</v>
      </c>
    </row>
    <row r="23708" ht="15.75" customHeight="1">
      <c r="A23708" s="7"/>
      <c r="B23708" s="7"/>
      <c r="M23708" s="9" t="s">
        <v>20</v>
      </c>
    </row>
    <row r="23709" ht="15.75" customHeight="1">
      <c r="A23709" s="7"/>
      <c r="B23709" s="7"/>
      <c r="M23709" s="9" t="s">
        <v>30</v>
      </c>
    </row>
    <row r="23710" ht="15.75" customHeight="1">
      <c r="A23710" s="7"/>
      <c r="B23710" s="7"/>
      <c r="M23710" s="9" t="s">
        <v>22</v>
      </c>
    </row>
    <row r="23711" ht="15.75" customHeight="1">
      <c r="A23711" s="7"/>
      <c r="B23711" s="7"/>
      <c r="M23711" s="9" t="s">
        <v>35</v>
      </c>
    </row>
    <row r="23712" ht="15.75" customHeight="1">
      <c r="A23712" s="7"/>
      <c r="B23712" s="7"/>
      <c r="M23712" s="9" t="s">
        <v>24</v>
      </c>
    </row>
    <row r="23713" ht="15.75" customHeight="1">
      <c r="A23713" s="7"/>
      <c r="B23713" s="7"/>
      <c r="M23713" s="9" t="s">
        <v>21</v>
      </c>
    </row>
    <row r="23714" ht="15.75" customHeight="1">
      <c r="A23714" s="7"/>
      <c r="B23714" s="7"/>
      <c r="M23714" s="9" t="s">
        <v>27</v>
      </c>
    </row>
    <row r="23715" ht="15.75" customHeight="1">
      <c r="A23715" s="7"/>
      <c r="B23715" s="7"/>
      <c r="M23715" s="9" t="s">
        <v>35</v>
      </c>
    </row>
    <row r="23716" ht="15.75" customHeight="1">
      <c r="A23716" s="7"/>
      <c r="B23716" s="7"/>
      <c r="M23716" s="9" t="s">
        <v>25</v>
      </c>
    </row>
    <row r="23717" ht="15.75" customHeight="1">
      <c r="A23717" s="7"/>
      <c r="B23717" s="7"/>
      <c r="M23717" s="9" t="s">
        <v>23</v>
      </c>
    </row>
    <row r="23718" ht="15.75" customHeight="1">
      <c r="A23718" s="7"/>
      <c r="B23718" s="7"/>
      <c r="M23718" s="9" t="s">
        <v>26</v>
      </c>
    </row>
    <row r="23719" ht="15.75" customHeight="1">
      <c r="A23719" s="7"/>
      <c r="B23719" s="7"/>
      <c r="M23719" s="9" t="s">
        <v>20</v>
      </c>
    </row>
    <row r="23720" ht="15.75" customHeight="1">
      <c r="A23720" s="7"/>
      <c r="B23720" s="7"/>
      <c r="M23720" s="9" t="s">
        <v>22</v>
      </c>
    </row>
    <row r="23721" ht="15.75" customHeight="1">
      <c r="A23721" s="7"/>
      <c r="B23721" s="7"/>
      <c r="M23721" s="9" t="s">
        <v>30</v>
      </c>
    </row>
    <row r="23722" ht="15.75" customHeight="1">
      <c r="A23722" s="7"/>
      <c r="B23722" s="7"/>
      <c r="M23722" s="9" t="s">
        <v>25</v>
      </c>
    </row>
    <row r="23723" ht="15.75" customHeight="1">
      <c r="A23723" s="7"/>
      <c r="B23723" s="7"/>
      <c r="M23723" s="9" t="s">
        <v>26</v>
      </c>
    </row>
    <row r="23724" ht="15.75" customHeight="1">
      <c r="A23724" s="7"/>
      <c r="B23724" s="7"/>
      <c r="M23724" s="9" t="s">
        <v>24</v>
      </c>
    </row>
    <row r="23725" ht="15.75" customHeight="1">
      <c r="A23725" s="7"/>
      <c r="B23725" s="7"/>
      <c r="M23725" s="9" t="s">
        <v>20</v>
      </c>
    </row>
    <row r="23726" ht="15.75" customHeight="1">
      <c r="A23726" s="7"/>
      <c r="B23726" s="7"/>
      <c r="M23726" s="9" t="s">
        <v>21</v>
      </c>
    </row>
    <row r="23727" ht="15.75" customHeight="1">
      <c r="A23727" s="7"/>
      <c r="B23727" s="7"/>
      <c r="M23727" s="9" t="s">
        <v>39</v>
      </c>
    </row>
    <row r="23728" ht="15.75" customHeight="1">
      <c r="A23728" s="7"/>
      <c r="B23728" s="7"/>
      <c r="M23728" s="9" t="s">
        <v>41</v>
      </c>
    </row>
    <row r="23729" ht="15.75" customHeight="1">
      <c r="A23729" s="7"/>
      <c r="B23729" s="7"/>
      <c r="M23729" s="9" t="s">
        <v>22</v>
      </c>
    </row>
    <row r="23730" ht="15.75" customHeight="1">
      <c r="A23730" s="7"/>
      <c r="B23730" s="7"/>
      <c r="M23730" s="9" t="s">
        <v>46</v>
      </c>
    </row>
    <row r="23731" ht="15.75" customHeight="1">
      <c r="A23731" s="7"/>
      <c r="B23731" s="7"/>
      <c r="M23731" s="9" t="s">
        <v>27</v>
      </c>
    </row>
    <row r="23732" ht="15.75" customHeight="1">
      <c r="A23732" s="7"/>
      <c r="B23732" s="7"/>
      <c r="M23732" s="9" t="s">
        <v>40</v>
      </c>
    </row>
    <row r="23733" ht="15.75" customHeight="1">
      <c r="A23733" s="7"/>
      <c r="B23733" s="7"/>
      <c r="M23733" s="9" t="s">
        <v>33</v>
      </c>
    </row>
    <row r="23734" ht="15.75" customHeight="1">
      <c r="A23734" s="7"/>
      <c r="B23734" s="7"/>
      <c r="M23734" s="9" t="s">
        <v>20</v>
      </c>
    </row>
    <row r="23735" ht="15.75" customHeight="1">
      <c r="A23735" s="7"/>
      <c r="B23735" s="7"/>
      <c r="M23735" s="9" t="s">
        <v>21</v>
      </c>
    </row>
    <row r="23736" ht="15.75" customHeight="1">
      <c r="A23736" s="7"/>
      <c r="B23736" s="7"/>
      <c r="M23736" s="9" t="s">
        <v>22</v>
      </c>
    </row>
    <row r="23737" ht="15.75" customHeight="1">
      <c r="A23737" s="7"/>
      <c r="B23737" s="7"/>
      <c r="M23737" s="9" t="s">
        <v>30</v>
      </c>
    </row>
    <row r="23738" ht="15.75" customHeight="1">
      <c r="A23738" s="7"/>
      <c r="B23738" s="7"/>
      <c r="M23738" s="9" t="s">
        <v>24</v>
      </c>
    </row>
    <row r="23739" ht="15.75" customHeight="1">
      <c r="A23739" s="7"/>
      <c r="B23739" s="7"/>
      <c r="M23739" s="9" t="s">
        <v>21</v>
      </c>
    </row>
    <row r="23740" ht="15.75" customHeight="1">
      <c r="A23740" s="7"/>
      <c r="B23740" s="7"/>
      <c r="M23740" s="9" t="s">
        <v>31</v>
      </c>
    </row>
    <row r="23741" ht="15.75" customHeight="1">
      <c r="A23741" s="7"/>
      <c r="B23741" s="7"/>
      <c r="M23741" s="9" t="s">
        <v>27</v>
      </c>
    </row>
    <row r="23742" ht="15.75" customHeight="1">
      <c r="A23742" s="7"/>
      <c r="B23742" s="7"/>
      <c r="M23742" s="9" t="s">
        <v>33</v>
      </c>
    </row>
    <row r="23743" ht="15.75" customHeight="1">
      <c r="A23743" s="7"/>
      <c r="B23743" s="7"/>
      <c r="M23743" s="9" t="s">
        <v>24</v>
      </c>
    </row>
    <row r="23744" ht="15.75" customHeight="1">
      <c r="A23744" s="7"/>
      <c r="B23744" s="7"/>
      <c r="M23744" s="9" t="s">
        <v>21</v>
      </c>
    </row>
    <row r="23745" ht="15.75" customHeight="1">
      <c r="A23745" s="7"/>
      <c r="B23745" s="7"/>
      <c r="M23745" s="9" t="s">
        <v>37</v>
      </c>
    </row>
    <row r="23746" ht="15.75" customHeight="1">
      <c r="A23746" s="7"/>
      <c r="B23746" s="7"/>
      <c r="M23746" s="9" t="s">
        <v>27</v>
      </c>
    </row>
    <row r="23747" ht="15.75" customHeight="1">
      <c r="A23747" s="7"/>
      <c r="B23747" s="7"/>
      <c r="M23747" s="9" t="s">
        <v>38</v>
      </c>
    </row>
    <row r="23748" ht="15.75" customHeight="1">
      <c r="A23748" s="7"/>
      <c r="B23748" s="7"/>
      <c r="M23748" s="9" t="s">
        <v>30</v>
      </c>
    </row>
    <row r="23749" ht="15.75" customHeight="1">
      <c r="A23749" s="7"/>
      <c r="B23749" s="7"/>
      <c r="M23749" s="9" t="s">
        <v>25</v>
      </c>
    </row>
    <row r="23750" ht="15.75" customHeight="1">
      <c r="A23750" s="7"/>
      <c r="B23750" s="7"/>
      <c r="M23750" s="9" t="s">
        <v>23</v>
      </c>
    </row>
    <row r="23751" ht="15.75" customHeight="1">
      <c r="A23751" s="7"/>
      <c r="B23751" s="7"/>
      <c r="M23751" s="9" t="s">
        <v>26</v>
      </c>
    </row>
    <row r="23752" ht="15.75" customHeight="1">
      <c r="A23752" s="7"/>
      <c r="B23752" s="7"/>
      <c r="M23752" s="9" t="s">
        <v>44</v>
      </c>
    </row>
    <row r="23753" ht="15.75" customHeight="1">
      <c r="A23753" s="7"/>
      <c r="B23753" s="7"/>
      <c r="M23753" s="9" t="s">
        <v>47</v>
      </c>
    </row>
    <row r="23754" ht="15.75" customHeight="1">
      <c r="A23754" s="7"/>
      <c r="B23754" s="7"/>
      <c r="M23754" s="9" t="s">
        <v>42</v>
      </c>
    </row>
    <row r="23755" ht="15.75" customHeight="1">
      <c r="A23755" s="7"/>
      <c r="B23755" s="7"/>
      <c r="M23755" s="9" t="s">
        <v>43</v>
      </c>
    </row>
    <row r="23756" ht="15.75" customHeight="1">
      <c r="A23756" s="7"/>
      <c r="B23756" s="7"/>
      <c r="M23756" s="9" t="s">
        <v>45</v>
      </c>
    </row>
    <row r="23757" ht="15.75" customHeight="1">
      <c r="A23757" s="7"/>
      <c r="B23757" s="7"/>
      <c r="M23757" s="9" t="s">
        <v>36</v>
      </c>
    </row>
    <row r="23758" ht="15.75" customHeight="1">
      <c r="A23758" s="7"/>
      <c r="B23758" s="7"/>
      <c r="M23758" s="9" t="s">
        <v>24</v>
      </c>
    </row>
    <row r="23759" ht="15.75" customHeight="1">
      <c r="A23759" s="7"/>
      <c r="B23759" s="7"/>
      <c r="M23759" s="9" t="s">
        <v>20</v>
      </c>
    </row>
    <row r="23760" ht="15.75" customHeight="1">
      <c r="A23760" s="7"/>
      <c r="B23760" s="7"/>
      <c r="M23760" s="9" t="s">
        <v>21</v>
      </c>
    </row>
    <row r="23761" ht="15.75" customHeight="1">
      <c r="A23761" s="7"/>
      <c r="B23761" s="7"/>
      <c r="M23761" s="9" t="s">
        <v>39</v>
      </c>
    </row>
    <row r="23762" ht="15.75" customHeight="1">
      <c r="A23762" s="7"/>
      <c r="B23762" s="7"/>
      <c r="M23762" s="9" t="s">
        <v>41</v>
      </c>
    </row>
    <row r="23763" ht="15.75" customHeight="1">
      <c r="A23763" s="7"/>
      <c r="B23763" s="7"/>
      <c r="M23763" s="9" t="s">
        <v>37</v>
      </c>
    </row>
    <row r="23764" ht="15.75" customHeight="1">
      <c r="A23764" s="7"/>
      <c r="B23764" s="7"/>
      <c r="M23764" s="9" t="s">
        <v>22</v>
      </c>
    </row>
    <row r="23765" ht="15.75" customHeight="1">
      <c r="A23765" s="7"/>
      <c r="B23765" s="7"/>
      <c r="M23765" s="9" t="s">
        <v>29</v>
      </c>
    </row>
    <row r="23766" ht="15.75" customHeight="1">
      <c r="A23766" s="7"/>
      <c r="B23766" s="7"/>
      <c r="M23766" s="9" t="s">
        <v>31</v>
      </c>
    </row>
    <row r="23767" ht="15.75" customHeight="1">
      <c r="A23767" s="7"/>
      <c r="B23767" s="7"/>
      <c r="M23767" s="9" t="s">
        <v>32</v>
      </c>
    </row>
    <row r="23768" ht="15.75" customHeight="1">
      <c r="A23768" s="7"/>
      <c r="B23768" s="7"/>
      <c r="M23768" s="9" t="s">
        <v>46</v>
      </c>
    </row>
    <row r="23769" ht="15.75" customHeight="1">
      <c r="A23769" s="7"/>
      <c r="B23769" s="7"/>
      <c r="M23769" s="9" t="s">
        <v>27</v>
      </c>
    </row>
    <row r="23770" ht="15.75" customHeight="1">
      <c r="A23770" s="7"/>
      <c r="B23770" s="7"/>
      <c r="M23770" s="9" t="s">
        <v>40</v>
      </c>
    </row>
    <row r="23771" ht="15.75" customHeight="1">
      <c r="A23771" s="7"/>
      <c r="B23771" s="7"/>
      <c r="M23771" s="9" t="s">
        <v>33</v>
      </c>
    </row>
    <row r="23772" ht="15.75" customHeight="1">
      <c r="A23772" s="7"/>
      <c r="B23772" s="7"/>
      <c r="M23772" s="9" t="s">
        <v>28</v>
      </c>
    </row>
    <row r="23773" ht="15.75" customHeight="1">
      <c r="A23773" s="7"/>
      <c r="B23773" s="7"/>
      <c r="M23773" s="9" t="s">
        <v>34</v>
      </c>
    </row>
    <row r="23774" ht="15.75" customHeight="1">
      <c r="A23774" s="7"/>
      <c r="B23774" s="7"/>
      <c r="M23774" s="9" t="s">
        <v>30</v>
      </c>
    </row>
    <row r="23775" ht="15.75" customHeight="1">
      <c r="A23775" s="7"/>
      <c r="B23775" s="7"/>
      <c r="M23775" s="9" t="s">
        <v>24</v>
      </c>
    </row>
    <row r="23776" ht="15.75" customHeight="1">
      <c r="A23776" s="7"/>
      <c r="B23776" s="7"/>
      <c r="M23776" s="9" t="s">
        <v>20</v>
      </c>
    </row>
    <row r="23777" ht="15.75" customHeight="1">
      <c r="A23777" s="7"/>
      <c r="B23777" s="7"/>
      <c r="M23777" s="9" t="s">
        <v>21</v>
      </c>
    </row>
    <row r="23778" ht="15.75" customHeight="1">
      <c r="A23778" s="7"/>
      <c r="B23778" s="7"/>
      <c r="M23778" s="9" t="s">
        <v>22</v>
      </c>
    </row>
    <row r="23779" ht="15.75" customHeight="1">
      <c r="A23779" s="7"/>
      <c r="B23779" s="7"/>
      <c r="M23779" s="9" t="s">
        <v>27</v>
      </c>
    </row>
    <row r="23780" ht="15.75" customHeight="1">
      <c r="A23780" s="7"/>
      <c r="B23780" s="7"/>
      <c r="M23780" s="9" t="s">
        <v>33</v>
      </c>
    </row>
    <row r="23781" ht="15.75" customHeight="1">
      <c r="A23781" s="7"/>
      <c r="B23781" s="7"/>
      <c r="M23781" s="9" t="s">
        <v>24</v>
      </c>
    </row>
    <row r="23782" ht="15.75" customHeight="1">
      <c r="A23782" s="7"/>
      <c r="B23782" s="7"/>
      <c r="M23782" s="9" t="s">
        <v>20</v>
      </c>
    </row>
    <row r="23783" ht="15.75" customHeight="1">
      <c r="A23783" s="7"/>
      <c r="B23783" s="7"/>
      <c r="M23783" s="9" t="s">
        <v>21</v>
      </c>
    </row>
    <row r="23784" ht="15.75" customHeight="1">
      <c r="A23784" s="7"/>
      <c r="B23784" s="7"/>
      <c r="M23784" s="9" t="s">
        <v>22</v>
      </c>
    </row>
    <row r="23785" ht="15.75" customHeight="1">
      <c r="A23785" s="7"/>
      <c r="B23785" s="7"/>
      <c r="M23785" s="9" t="s">
        <v>27</v>
      </c>
    </row>
    <row r="23786" ht="15.75" customHeight="1">
      <c r="A23786" s="7"/>
      <c r="B23786" s="7"/>
      <c r="M23786" s="9" t="s">
        <v>30</v>
      </c>
    </row>
    <row r="23787" ht="15.75" customHeight="1">
      <c r="A23787" s="7"/>
      <c r="B23787" s="7"/>
      <c r="M23787" s="9" t="s">
        <v>36</v>
      </c>
    </row>
    <row r="23788" ht="15.75" customHeight="1">
      <c r="A23788" s="7"/>
      <c r="B23788" s="7"/>
      <c r="M23788" s="9" t="s">
        <v>24</v>
      </c>
    </row>
    <row r="23789" ht="15.75" customHeight="1">
      <c r="A23789" s="7"/>
      <c r="B23789" s="7"/>
      <c r="M23789" s="9" t="s">
        <v>21</v>
      </c>
    </row>
    <row r="23790" ht="15.75" customHeight="1">
      <c r="A23790" s="7"/>
      <c r="B23790" s="7"/>
      <c r="M23790" s="9" t="s">
        <v>22</v>
      </c>
    </row>
    <row r="23791" ht="15.75" customHeight="1">
      <c r="A23791" s="7"/>
      <c r="B23791" s="7"/>
      <c r="M23791" s="9" t="s">
        <v>35</v>
      </c>
    </row>
    <row r="23792" ht="15.75" customHeight="1">
      <c r="A23792" s="7"/>
      <c r="B23792" s="7"/>
      <c r="M23792" s="9" t="s">
        <v>26</v>
      </c>
    </row>
    <row r="23793" ht="15.75" customHeight="1">
      <c r="A23793" s="7"/>
      <c r="B23793" s="7"/>
      <c r="M23793" s="9" t="s">
        <v>27</v>
      </c>
    </row>
    <row r="23794" ht="15.75" customHeight="1">
      <c r="A23794" s="7"/>
      <c r="B23794" s="7"/>
      <c r="M23794" s="9" t="s">
        <v>20</v>
      </c>
    </row>
    <row r="23795" ht="15.75" customHeight="1">
      <c r="A23795" s="7"/>
      <c r="B23795" s="7"/>
      <c r="M23795" s="9" t="s">
        <v>21</v>
      </c>
    </row>
    <row r="23796" ht="15.75" customHeight="1">
      <c r="A23796" s="7"/>
      <c r="B23796" s="7"/>
      <c r="M23796" s="9" t="s">
        <v>27</v>
      </c>
    </row>
    <row r="23797" ht="15.75" customHeight="1">
      <c r="A23797" s="7"/>
      <c r="B23797" s="7"/>
      <c r="M23797" s="9" t="s">
        <v>25</v>
      </c>
    </row>
    <row r="23798" ht="15.75" customHeight="1">
      <c r="A23798" s="7"/>
      <c r="B23798" s="7"/>
      <c r="M23798" s="9" t="s">
        <v>26</v>
      </c>
    </row>
    <row r="23799" ht="15.75" customHeight="1">
      <c r="A23799" s="7"/>
      <c r="B23799" s="7"/>
      <c r="M23799" s="9" t="s">
        <v>24</v>
      </c>
    </row>
    <row r="23800" ht="15.75" customHeight="1">
      <c r="A23800" s="7"/>
      <c r="B23800" s="7"/>
      <c r="M23800" s="9" t="s">
        <v>20</v>
      </c>
    </row>
    <row r="23801" ht="15.75" customHeight="1">
      <c r="A23801" s="7"/>
      <c r="B23801" s="7"/>
      <c r="M23801" s="9" t="s">
        <v>22</v>
      </c>
    </row>
    <row r="23802" ht="15.75" customHeight="1">
      <c r="A23802" s="7"/>
      <c r="B23802" s="7"/>
      <c r="M23802" s="9" t="s">
        <v>29</v>
      </c>
    </row>
    <row r="23803" ht="15.75" customHeight="1">
      <c r="A23803" s="7"/>
      <c r="B23803" s="7"/>
      <c r="M23803" s="9" t="s">
        <v>27</v>
      </c>
    </row>
    <row r="23804" ht="15.75" customHeight="1">
      <c r="A23804" s="7"/>
      <c r="B23804" s="7"/>
      <c r="M23804" s="9" t="s">
        <v>38</v>
      </c>
    </row>
    <row r="23805" ht="15.75" customHeight="1">
      <c r="A23805" s="7"/>
      <c r="B23805" s="7"/>
      <c r="M23805" s="9" t="s">
        <v>30</v>
      </c>
    </row>
    <row r="23806" ht="15.75" customHeight="1">
      <c r="A23806" s="7"/>
      <c r="B23806" s="7"/>
      <c r="M23806" s="9" t="s">
        <v>25</v>
      </c>
    </row>
    <row r="23807" ht="15.75" customHeight="1">
      <c r="A23807" s="7"/>
      <c r="B23807" s="7"/>
      <c r="M23807" s="9" t="s">
        <v>23</v>
      </c>
    </row>
    <row r="23808" ht="15.75" customHeight="1">
      <c r="A23808" s="7"/>
      <c r="B23808" s="7"/>
      <c r="M23808" s="9" t="s">
        <v>21</v>
      </c>
    </row>
    <row r="23809" ht="15.75" customHeight="1">
      <c r="A23809" s="7"/>
      <c r="B23809" s="7"/>
      <c r="M23809" s="9" t="s">
        <v>22</v>
      </c>
    </row>
    <row r="23810" ht="15.75" customHeight="1">
      <c r="A23810" s="7"/>
      <c r="B23810" s="7"/>
      <c r="M23810" s="9" t="s">
        <v>27</v>
      </c>
    </row>
    <row r="23811" ht="15.75" customHeight="1">
      <c r="A23811" s="7"/>
      <c r="B23811" s="7"/>
      <c r="M23811" s="9" t="s">
        <v>34</v>
      </c>
    </row>
    <row r="23812" ht="15.75" customHeight="1">
      <c r="A23812" s="7"/>
      <c r="B23812" s="7"/>
      <c r="M23812" s="9" t="s">
        <v>35</v>
      </c>
    </row>
    <row r="23813" ht="15.75" customHeight="1">
      <c r="A23813" s="7"/>
      <c r="B23813" s="7"/>
      <c r="M23813" s="9" t="s">
        <v>26</v>
      </c>
    </row>
    <row r="23814" ht="15.75" customHeight="1">
      <c r="A23814" s="7"/>
      <c r="B23814" s="7"/>
      <c r="M23814" s="9" t="s">
        <v>24</v>
      </c>
    </row>
    <row r="23815" ht="15.75" customHeight="1">
      <c r="A23815" s="7"/>
      <c r="B23815" s="7"/>
      <c r="M23815" s="9" t="s">
        <v>37</v>
      </c>
    </row>
    <row r="23816" ht="15.75" customHeight="1">
      <c r="A23816" s="7"/>
      <c r="B23816" s="7"/>
      <c r="M23816" s="9" t="s">
        <v>24</v>
      </c>
    </row>
    <row r="23817" ht="15.75" customHeight="1">
      <c r="A23817" s="7"/>
      <c r="B23817" s="7"/>
      <c r="M23817" s="9" t="s">
        <v>21</v>
      </c>
    </row>
    <row r="23818" ht="15.75" customHeight="1">
      <c r="A23818" s="7"/>
      <c r="B23818" s="7"/>
      <c r="M23818" s="9" t="s">
        <v>41</v>
      </c>
    </row>
    <row r="23819" ht="15.75" customHeight="1">
      <c r="A23819" s="7"/>
      <c r="B23819" s="7"/>
      <c r="M23819" s="9" t="s">
        <v>37</v>
      </c>
    </row>
    <row r="23820" ht="15.75" customHeight="1">
      <c r="A23820" s="7"/>
      <c r="B23820" s="7"/>
      <c r="M23820" s="9" t="s">
        <v>22</v>
      </c>
    </row>
    <row r="23821" ht="15.75" customHeight="1">
      <c r="A23821" s="7"/>
      <c r="B23821" s="7"/>
      <c r="M23821" s="9" t="s">
        <v>27</v>
      </c>
    </row>
    <row r="23822" ht="15.75" customHeight="1">
      <c r="A23822" s="7"/>
      <c r="B23822" s="7"/>
      <c r="M23822" s="9" t="s">
        <v>40</v>
      </c>
    </row>
    <row r="23823" ht="15.75" customHeight="1">
      <c r="A23823" s="7"/>
      <c r="B23823" s="7"/>
      <c r="M23823" s="9" t="s">
        <v>20</v>
      </c>
    </row>
    <row r="23824" ht="15.75" customHeight="1">
      <c r="A23824" s="7"/>
      <c r="B23824" s="7"/>
      <c r="M23824" s="9" t="s">
        <v>25</v>
      </c>
    </row>
    <row r="23825" ht="15.75" customHeight="1">
      <c r="A23825" s="7"/>
      <c r="B23825" s="7"/>
      <c r="M23825" s="9" t="s">
        <v>23</v>
      </c>
    </row>
    <row r="23826" ht="15.75" customHeight="1">
      <c r="A23826" s="7"/>
      <c r="B23826" s="7"/>
      <c r="M23826" s="9" t="s">
        <v>21</v>
      </c>
    </row>
    <row r="23827" ht="15.75" customHeight="1">
      <c r="A23827" s="7"/>
      <c r="B23827" s="7"/>
      <c r="M23827" s="9" t="s">
        <v>25</v>
      </c>
    </row>
    <row r="23828" ht="15.75" customHeight="1">
      <c r="A23828" s="7"/>
      <c r="B23828" s="7"/>
      <c r="M23828" s="9" t="s">
        <v>26</v>
      </c>
    </row>
    <row r="23829" ht="15.75" customHeight="1">
      <c r="A23829" s="7"/>
      <c r="B23829" s="7"/>
      <c r="M23829" s="9" t="s">
        <v>24</v>
      </c>
    </row>
    <row r="23830" ht="15.75" customHeight="1">
      <c r="A23830" s="7"/>
      <c r="B23830" s="7"/>
      <c r="M23830" s="9" t="s">
        <v>21</v>
      </c>
    </row>
    <row r="23831" ht="15.75" customHeight="1">
      <c r="A23831" s="7"/>
      <c r="B23831" s="7"/>
      <c r="M23831" s="9" t="s">
        <v>37</v>
      </c>
    </row>
    <row r="23832" ht="15.75" customHeight="1">
      <c r="A23832" s="7"/>
      <c r="B23832" s="7"/>
      <c r="M23832" s="9" t="s">
        <v>22</v>
      </c>
    </row>
    <row r="23833" ht="15.75" customHeight="1">
      <c r="A23833" s="7"/>
      <c r="B23833" s="7"/>
      <c r="M23833" s="9" t="s">
        <v>27</v>
      </c>
    </row>
    <row r="23834" ht="15.75" customHeight="1">
      <c r="A23834" s="7"/>
      <c r="B23834" s="7"/>
      <c r="M23834" s="9" t="s">
        <v>33</v>
      </c>
    </row>
    <row r="23835" ht="15.75" customHeight="1">
      <c r="A23835" s="7"/>
      <c r="B23835" s="7"/>
      <c r="M23835" s="9" t="s">
        <v>28</v>
      </c>
    </row>
    <row r="23836" ht="15.75" customHeight="1">
      <c r="A23836" s="7"/>
      <c r="B23836" s="7"/>
      <c r="M23836" s="9" t="s">
        <v>34</v>
      </c>
    </row>
    <row r="23837" ht="15.75" customHeight="1">
      <c r="A23837" s="7"/>
      <c r="B23837" s="7"/>
      <c r="M23837" s="9" t="s">
        <v>35</v>
      </c>
    </row>
    <row r="23838" ht="15.75" customHeight="1">
      <c r="A23838" s="7"/>
      <c r="B23838" s="7"/>
      <c r="M23838" s="9" t="s">
        <v>36</v>
      </c>
    </row>
    <row r="23839" ht="15.75" customHeight="1">
      <c r="A23839" s="7"/>
      <c r="B23839" s="7"/>
      <c r="M23839" s="9" t="s">
        <v>21</v>
      </c>
    </row>
    <row r="23840" ht="15.75" customHeight="1">
      <c r="A23840" s="7"/>
      <c r="B23840" s="7"/>
      <c r="M23840" s="9" t="s">
        <v>30</v>
      </c>
    </row>
    <row r="23841" ht="15.75" customHeight="1">
      <c r="A23841" s="7"/>
      <c r="B23841" s="7"/>
      <c r="M23841" s="9" t="s">
        <v>24</v>
      </c>
    </row>
    <row r="23842" ht="15.75" customHeight="1">
      <c r="A23842" s="7"/>
      <c r="B23842" s="7"/>
      <c r="M23842" s="9" t="s">
        <v>21</v>
      </c>
    </row>
    <row r="23843" ht="15.75" customHeight="1">
      <c r="A23843" s="7"/>
      <c r="B23843" s="7"/>
      <c r="M23843" s="9" t="s">
        <v>33</v>
      </c>
    </row>
    <row r="23844" ht="15.75" customHeight="1">
      <c r="A23844" s="7"/>
      <c r="B23844" s="7"/>
      <c r="M23844" s="9" t="s">
        <v>24</v>
      </c>
    </row>
    <row r="23845" ht="15.75" customHeight="1">
      <c r="A23845" s="7"/>
      <c r="B23845" s="7"/>
      <c r="M23845" s="9" t="s">
        <v>21</v>
      </c>
    </row>
    <row r="23846" ht="15.75" customHeight="1">
      <c r="A23846" s="7"/>
      <c r="B23846" s="7"/>
      <c r="M23846" s="9" t="s">
        <v>33</v>
      </c>
    </row>
    <row r="23847" ht="15.75" customHeight="1">
      <c r="A23847" s="7"/>
      <c r="B23847" s="7"/>
      <c r="M23847" s="9" t="s">
        <v>23</v>
      </c>
    </row>
    <row r="23848" ht="15.75" customHeight="1">
      <c r="A23848" s="7"/>
      <c r="B23848" s="7"/>
      <c r="M23848" s="9" t="s">
        <v>24</v>
      </c>
    </row>
    <row r="23849" ht="15.75" customHeight="1">
      <c r="A23849" s="7"/>
      <c r="B23849" s="7"/>
      <c r="M23849" s="9" t="s">
        <v>20</v>
      </c>
    </row>
    <row r="23850" ht="15.75" customHeight="1">
      <c r="A23850" s="7"/>
      <c r="B23850" s="7"/>
      <c r="M23850" s="9" t="s">
        <v>21</v>
      </c>
    </row>
    <row r="23851" ht="15.75" customHeight="1">
      <c r="A23851" s="7"/>
      <c r="B23851" s="7"/>
      <c r="M23851" s="9" t="s">
        <v>37</v>
      </c>
    </row>
    <row r="23852" ht="15.75" customHeight="1">
      <c r="A23852" s="7"/>
      <c r="B23852" s="7"/>
      <c r="M23852" s="9" t="s">
        <v>22</v>
      </c>
    </row>
    <row r="23853" ht="15.75" customHeight="1">
      <c r="A23853" s="7"/>
      <c r="B23853" s="7"/>
      <c r="M23853" s="9" t="s">
        <v>27</v>
      </c>
    </row>
    <row r="23854" ht="15.75" customHeight="1">
      <c r="A23854" s="7"/>
      <c r="B23854" s="7"/>
      <c r="M23854" s="9" t="s">
        <v>30</v>
      </c>
    </row>
    <row r="23855" ht="15.75" customHeight="1">
      <c r="A23855" s="7"/>
      <c r="B23855" s="7"/>
      <c r="M23855" s="9" t="s">
        <v>25</v>
      </c>
    </row>
    <row r="23856" ht="15.75" customHeight="1">
      <c r="A23856" s="7"/>
      <c r="B23856" s="7"/>
      <c r="M23856" s="9" t="s">
        <v>23</v>
      </c>
    </row>
    <row r="23857" ht="15.75" customHeight="1">
      <c r="A23857" s="7"/>
      <c r="B23857" s="7"/>
      <c r="M23857" s="9" t="s">
        <v>26</v>
      </c>
    </row>
    <row r="23858" ht="15.75" customHeight="1">
      <c r="A23858" s="7"/>
      <c r="B23858" s="7"/>
      <c r="M23858" s="9" t="s">
        <v>24</v>
      </c>
    </row>
    <row r="23859" ht="15.75" customHeight="1">
      <c r="A23859" s="7"/>
      <c r="B23859" s="7"/>
      <c r="M23859" s="9" t="s">
        <v>21</v>
      </c>
    </row>
    <row r="23860" ht="15.75" customHeight="1">
      <c r="A23860" s="7"/>
      <c r="B23860" s="7"/>
      <c r="M23860" s="9" t="s">
        <v>37</v>
      </c>
    </row>
    <row r="23861" ht="15.75" customHeight="1">
      <c r="A23861" s="7"/>
      <c r="B23861" s="7"/>
      <c r="M23861" s="9" t="s">
        <v>22</v>
      </c>
    </row>
    <row r="23862" ht="15.75" customHeight="1">
      <c r="A23862" s="7"/>
      <c r="B23862" s="7"/>
      <c r="M23862" s="9" t="s">
        <v>27</v>
      </c>
    </row>
    <row r="23863" ht="15.75" customHeight="1">
      <c r="A23863" s="7"/>
      <c r="B23863" s="7"/>
      <c r="M23863" s="9" t="s">
        <v>35</v>
      </c>
    </row>
    <row r="23864" ht="15.75" customHeight="1">
      <c r="A23864" s="7"/>
      <c r="B23864" s="7"/>
      <c r="M23864" s="9" t="s">
        <v>26</v>
      </c>
    </row>
    <row r="23865" ht="15.75" customHeight="1">
      <c r="A23865" s="7"/>
      <c r="B23865" s="7"/>
      <c r="M23865" s="9" t="s">
        <v>20</v>
      </c>
    </row>
    <row r="23866" ht="15.75" customHeight="1">
      <c r="A23866" s="7"/>
      <c r="B23866" s="7"/>
      <c r="M23866" s="9" t="s">
        <v>39</v>
      </c>
    </row>
    <row r="23867" ht="15.75" customHeight="1">
      <c r="A23867" s="7"/>
      <c r="B23867" s="7"/>
      <c r="M23867" s="9" t="s">
        <v>41</v>
      </c>
    </row>
    <row r="23868" ht="15.75" customHeight="1">
      <c r="A23868" s="7"/>
      <c r="B23868" s="7"/>
      <c r="M23868" s="9" t="s">
        <v>27</v>
      </c>
    </row>
    <row r="23869" ht="15.75" customHeight="1">
      <c r="A23869" s="7"/>
      <c r="B23869" s="7"/>
      <c r="M23869" s="9" t="s">
        <v>24</v>
      </c>
    </row>
    <row r="23870" ht="15.75" customHeight="1">
      <c r="A23870" s="7"/>
      <c r="B23870" s="7"/>
      <c r="M23870" s="9" t="s">
        <v>20</v>
      </c>
    </row>
    <row r="23871" ht="15.75" customHeight="1">
      <c r="A23871" s="7"/>
      <c r="B23871" s="7"/>
      <c r="M23871" s="9" t="s">
        <v>37</v>
      </c>
    </row>
    <row r="23872" ht="15.75" customHeight="1">
      <c r="A23872" s="7"/>
      <c r="B23872" s="7"/>
      <c r="M23872" s="9" t="s">
        <v>27</v>
      </c>
    </row>
    <row r="23873" ht="15.75" customHeight="1">
      <c r="A23873" s="7"/>
      <c r="B23873" s="7"/>
      <c r="M23873" s="9" t="s">
        <v>23</v>
      </c>
    </row>
    <row r="23874" ht="15.75" customHeight="1">
      <c r="A23874" s="7"/>
      <c r="B23874" s="7"/>
      <c r="M23874" s="9" t="s">
        <v>47</v>
      </c>
    </row>
    <row r="23875" ht="15.75" customHeight="1">
      <c r="A23875" s="7"/>
      <c r="B23875" s="7"/>
      <c r="M23875" s="9" t="s">
        <v>24</v>
      </c>
    </row>
    <row r="23876" ht="15.75" customHeight="1">
      <c r="A23876" s="7"/>
      <c r="B23876" s="7"/>
      <c r="M23876" s="9" t="s">
        <v>20</v>
      </c>
    </row>
    <row r="23877" ht="15.75" customHeight="1">
      <c r="A23877" s="7"/>
      <c r="B23877" s="7"/>
      <c r="M23877" s="9" t="s">
        <v>21</v>
      </c>
    </row>
    <row r="23878" ht="15.75" customHeight="1">
      <c r="A23878" s="7"/>
      <c r="B23878" s="7"/>
      <c r="M23878" s="9" t="s">
        <v>39</v>
      </c>
    </row>
    <row r="23879" ht="15.75" customHeight="1">
      <c r="A23879" s="7"/>
      <c r="B23879" s="7"/>
      <c r="M23879" s="9" t="s">
        <v>22</v>
      </c>
    </row>
    <row r="23880" ht="15.75" customHeight="1">
      <c r="A23880" s="7"/>
      <c r="B23880" s="7"/>
      <c r="M23880" s="9" t="s">
        <v>31</v>
      </c>
    </row>
    <row r="23881" ht="15.75" customHeight="1">
      <c r="A23881" s="7"/>
      <c r="B23881" s="7"/>
      <c r="M23881" s="9" t="s">
        <v>40</v>
      </c>
    </row>
    <row r="23882" ht="15.75" customHeight="1">
      <c r="A23882" s="7"/>
      <c r="B23882" s="7"/>
      <c r="M23882" s="9" t="s">
        <v>33</v>
      </c>
    </row>
    <row r="23883" ht="15.75" customHeight="1">
      <c r="A23883" s="7"/>
      <c r="B23883" s="7"/>
      <c r="M23883" s="9" t="s">
        <v>30</v>
      </c>
    </row>
    <row r="23884" ht="15.75" customHeight="1">
      <c r="A23884" s="7"/>
      <c r="B23884" s="7"/>
      <c r="M23884" s="9" t="s">
        <v>24</v>
      </c>
    </row>
    <row r="23885" ht="15.75" customHeight="1">
      <c r="A23885" s="7"/>
      <c r="B23885" s="7"/>
      <c r="M23885" s="9" t="s">
        <v>21</v>
      </c>
    </row>
    <row r="23886" ht="15.75" customHeight="1">
      <c r="A23886" s="7"/>
      <c r="B23886" s="7"/>
      <c r="M23886" s="9" t="s">
        <v>37</v>
      </c>
    </row>
    <row r="23887" ht="15.75" customHeight="1">
      <c r="A23887" s="7"/>
      <c r="B23887" s="7"/>
      <c r="M23887" s="9" t="s">
        <v>23</v>
      </c>
    </row>
    <row r="23888" ht="15.75" customHeight="1">
      <c r="A23888" s="7"/>
      <c r="B23888" s="7"/>
      <c r="M23888" s="9" t="s">
        <v>42</v>
      </c>
    </row>
    <row r="23889" ht="15.75" customHeight="1">
      <c r="A23889" s="7"/>
      <c r="B23889" s="7"/>
      <c r="M23889" s="9" t="s">
        <v>43</v>
      </c>
    </row>
    <row r="23890" ht="15.75" customHeight="1">
      <c r="A23890" s="7"/>
      <c r="B23890" s="7"/>
      <c r="M23890" s="9" t="s">
        <v>24</v>
      </c>
    </row>
    <row r="23891" ht="15.75" customHeight="1">
      <c r="A23891" s="7"/>
      <c r="B23891" s="7"/>
      <c r="M23891" s="9" t="s">
        <v>21</v>
      </c>
    </row>
    <row r="23892" ht="15.75" customHeight="1">
      <c r="A23892" s="7"/>
      <c r="B23892" s="7"/>
      <c r="M23892" s="9" t="s">
        <v>22</v>
      </c>
    </row>
    <row r="23893" ht="15.75" customHeight="1">
      <c r="A23893" s="7"/>
      <c r="B23893" s="7"/>
      <c r="M23893" s="9" t="s">
        <v>31</v>
      </c>
    </row>
    <row r="23894" ht="15.75" customHeight="1">
      <c r="A23894" s="7"/>
      <c r="B23894" s="7"/>
      <c r="M23894" s="9" t="s">
        <v>27</v>
      </c>
    </row>
    <row r="23895" ht="15.75" customHeight="1">
      <c r="A23895" s="7"/>
      <c r="B23895" s="7"/>
      <c r="M23895" s="9" t="s">
        <v>33</v>
      </c>
    </row>
    <row r="23896" ht="15.75" customHeight="1">
      <c r="A23896" s="7"/>
      <c r="B23896" s="7"/>
      <c r="M23896" s="9" t="s">
        <v>35</v>
      </c>
    </row>
    <row r="23897" ht="15.75" customHeight="1">
      <c r="A23897" s="7"/>
      <c r="B23897" s="7"/>
      <c r="M23897" s="9" t="s">
        <v>30</v>
      </c>
    </row>
    <row r="23898" ht="15.75" customHeight="1">
      <c r="A23898" s="7"/>
      <c r="B23898" s="7"/>
      <c r="M23898" s="9" t="s">
        <v>36</v>
      </c>
    </row>
    <row r="23899" ht="15.75" customHeight="1">
      <c r="A23899" s="7"/>
      <c r="B23899" s="7"/>
      <c r="M23899" s="9" t="s">
        <v>24</v>
      </c>
    </row>
    <row r="23900" ht="15.75" customHeight="1">
      <c r="A23900" s="7"/>
      <c r="B23900" s="7"/>
      <c r="M23900" s="9" t="s">
        <v>20</v>
      </c>
    </row>
    <row r="23901" ht="15.75" customHeight="1">
      <c r="A23901" s="7"/>
      <c r="B23901" s="7"/>
      <c r="M23901" s="9" t="s">
        <v>21</v>
      </c>
    </row>
    <row r="23902" ht="15.75" customHeight="1">
      <c r="A23902" s="7"/>
      <c r="B23902" s="7"/>
      <c r="M23902" s="9" t="s">
        <v>37</v>
      </c>
    </row>
    <row r="23903" ht="15.75" customHeight="1">
      <c r="A23903" s="7"/>
      <c r="B23903" s="7"/>
      <c r="M23903" s="9" t="s">
        <v>22</v>
      </c>
    </row>
    <row r="23904" ht="15.75" customHeight="1">
      <c r="A23904" s="7"/>
      <c r="B23904" s="7"/>
      <c r="M23904" s="9" t="s">
        <v>29</v>
      </c>
    </row>
    <row r="23905" ht="15.75" customHeight="1">
      <c r="A23905" s="7"/>
      <c r="B23905" s="7"/>
      <c r="M23905" s="9" t="s">
        <v>27</v>
      </c>
    </row>
    <row r="23906" ht="15.75" customHeight="1">
      <c r="A23906" s="7"/>
      <c r="B23906" s="7"/>
      <c r="M23906" s="9" t="s">
        <v>24</v>
      </c>
    </row>
    <row r="23907" ht="15.75" customHeight="1">
      <c r="A23907" s="7"/>
      <c r="B23907" s="7"/>
      <c r="M23907" s="9" t="s">
        <v>21</v>
      </c>
    </row>
    <row r="23908" ht="15.75" customHeight="1">
      <c r="A23908" s="7"/>
      <c r="B23908" s="7"/>
      <c r="M23908" s="9" t="s">
        <v>37</v>
      </c>
    </row>
    <row r="23909" ht="15.75" customHeight="1">
      <c r="A23909" s="7"/>
      <c r="B23909" s="7"/>
      <c r="M23909" s="9" t="s">
        <v>27</v>
      </c>
    </row>
    <row r="23910" ht="15.75" customHeight="1">
      <c r="A23910" s="7"/>
      <c r="B23910" s="7"/>
      <c r="M23910" s="9" t="s">
        <v>24</v>
      </c>
    </row>
    <row r="23911" ht="15.75" customHeight="1">
      <c r="A23911" s="7"/>
      <c r="B23911" s="7"/>
      <c r="M23911" s="9" t="s">
        <v>20</v>
      </c>
    </row>
    <row r="23912" ht="15.75" customHeight="1">
      <c r="A23912" s="7"/>
      <c r="B23912" s="7"/>
      <c r="M23912" s="9" t="s">
        <v>21</v>
      </c>
    </row>
    <row r="23913" ht="15.75" customHeight="1">
      <c r="A23913" s="7"/>
      <c r="B23913" s="7"/>
      <c r="M23913" s="9" t="s">
        <v>37</v>
      </c>
    </row>
    <row r="23914" ht="15.75" customHeight="1">
      <c r="A23914" s="7"/>
      <c r="B23914" s="7"/>
      <c r="M23914" s="9" t="s">
        <v>27</v>
      </c>
    </row>
    <row r="23915" ht="15.75" customHeight="1">
      <c r="A23915" s="7"/>
      <c r="B23915" s="7"/>
      <c r="M23915" s="9" t="s">
        <v>25</v>
      </c>
    </row>
    <row r="23916" ht="15.75" customHeight="1">
      <c r="A23916" s="7"/>
      <c r="B23916" s="7"/>
      <c r="M23916" s="9" t="s">
        <v>23</v>
      </c>
    </row>
    <row r="23917" ht="15.75" customHeight="1">
      <c r="A23917" s="7"/>
      <c r="B23917" s="7"/>
      <c r="M23917" s="9" t="s">
        <v>24</v>
      </c>
    </row>
    <row r="23918" ht="15.75" customHeight="1">
      <c r="A23918" s="7"/>
      <c r="B23918" s="7"/>
      <c r="M23918" s="9" t="s">
        <v>20</v>
      </c>
    </row>
    <row r="23919" ht="15.75" customHeight="1">
      <c r="A23919" s="7"/>
      <c r="B23919" s="7"/>
      <c r="M23919" s="9" t="s">
        <v>21</v>
      </c>
    </row>
    <row r="23920" ht="15.75" customHeight="1">
      <c r="A23920" s="7"/>
      <c r="B23920" s="7"/>
      <c r="M23920" s="9" t="s">
        <v>41</v>
      </c>
    </row>
    <row r="23921" ht="15.75" customHeight="1">
      <c r="A23921" s="7"/>
      <c r="B23921" s="7"/>
      <c r="M23921" s="9" t="s">
        <v>22</v>
      </c>
    </row>
    <row r="23922" ht="15.75" customHeight="1">
      <c r="A23922" s="7"/>
      <c r="B23922" s="7"/>
      <c r="M23922" s="9" t="s">
        <v>27</v>
      </c>
    </row>
    <row r="23923" ht="15.75" customHeight="1">
      <c r="A23923" s="7"/>
      <c r="B23923" s="7"/>
      <c r="M23923" s="9" t="s">
        <v>23</v>
      </c>
    </row>
    <row r="23924" ht="15.75" customHeight="1">
      <c r="A23924" s="7"/>
      <c r="B23924" s="7"/>
      <c r="M23924" s="9" t="s">
        <v>26</v>
      </c>
    </row>
    <row r="23925" ht="15.75" customHeight="1">
      <c r="A23925" s="7"/>
      <c r="B23925" s="7"/>
      <c r="M23925" s="9" t="s">
        <v>24</v>
      </c>
    </row>
    <row r="23926" ht="15.75" customHeight="1">
      <c r="A23926" s="7"/>
      <c r="B23926" s="7"/>
      <c r="M23926" s="9" t="s">
        <v>20</v>
      </c>
    </row>
    <row r="23927" ht="15.75" customHeight="1">
      <c r="A23927" s="7"/>
      <c r="B23927" s="7"/>
      <c r="M23927" s="9" t="s">
        <v>21</v>
      </c>
    </row>
    <row r="23928" ht="15.75" customHeight="1">
      <c r="A23928" s="7"/>
      <c r="B23928" s="7"/>
      <c r="M23928" s="9" t="s">
        <v>22</v>
      </c>
    </row>
    <row r="23929" ht="15.75" customHeight="1">
      <c r="A23929" s="7"/>
      <c r="B23929" s="7"/>
      <c r="M23929" s="9" t="s">
        <v>31</v>
      </c>
    </row>
    <row r="23930" ht="15.75" customHeight="1">
      <c r="A23930" s="7"/>
      <c r="B23930" s="7"/>
      <c r="M23930" s="9" t="s">
        <v>46</v>
      </c>
    </row>
    <row r="23931" ht="15.75" customHeight="1">
      <c r="A23931" s="7"/>
      <c r="B23931" s="7"/>
      <c r="M23931" s="9" t="s">
        <v>33</v>
      </c>
    </row>
    <row r="23932" ht="15.75" customHeight="1">
      <c r="A23932" s="7"/>
      <c r="B23932" s="7"/>
      <c r="M23932" s="9" t="s">
        <v>24</v>
      </c>
    </row>
    <row r="23933" ht="15.75" customHeight="1">
      <c r="A23933" s="7"/>
      <c r="B23933" s="7"/>
      <c r="M23933" s="9" t="s">
        <v>20</v>
      </c>
    </row>
    <row r="23934" ht="15.75" customHeight="1">
      <c r="A23934" s="7"/>
      <c r="B23934" s="7"/>
      <c r="M23934" s="9" t="s">
        <v>39</v>
      </c>
    </row>
    <row r="23935" ht="15.75" customHeight="1">
      <c r="A23935" s="7"/>
      <c r="B23935" s="7"/>
      <c r="M23935" s="9" t="s">
        <v>22</v>
      </c>
    </row>
    <row r="23936" ht="15.75" customHeight="1">
      <c r="A23936" s="7"/>
      <c r="B23936" s="7"/>
      <c r="M23936" s="9" t="s">
        <v>25</v>
      </c>
    </row>
    <row r="23937" ht="15.75" customHeight="1">
      <c r="A23937" s="7"/>
      <c r="B23937" s="7"/>
      <c r="M23937" s="9" t="s">
        <v>26</v>
      </c>
    </row>
    <row r="23938" ht="15.75" customHeight="1">
      <c r="A23938" s="7"/>
      <c r="B23938" s="7"/>
      <c r="M23938" s="9" t="s">
        <v>24</v>
      </c>
    </row>
    <row r="23939" ht="15.75" customHeight="1">
      <c r="A23939" s="7"/>
      <c r="B23939" s="7"/>
      <c r="M23939" s="9" t="s">
        <v>20</v>
      </c>
    </row>
    <row r="23940" ht="15.75" customHeight="1">
      <c r="A23940" s="7"/>
      <c r="B23940" s="7"/>
      <c r="M23940" s="9" t="s">
        <v>37</v>
      </c>
    </row>
    <row r="23941" ht="15.75" customHeight="1">
      <c r="A23941" s="7"/>
      <c r="B23941" s="7"/>
      <c r="M23941" s="9" t="s">
        <v>27</v>
      </c>
    </row>
    <row r="23942" ht="15.75" customHeight="1">
      <c r="A23942" s="7"/>
      <c r="B23942" s="7"/>
      <c r="M23942" s="9" t="s">
        <v>28</v>
      </c>
    </row>
    <row r="23943" ht="15.75" customHeight="1">
      <c r="A23943" s="7"/>
      <c r="B23943" s="7"/>
      <c r="M23943" s="9" t="s">
        <v>38</v>
      </c>
    </row>
    <row r="23944" ht="15.75" customHeight="1">
      <c r="A23944" s="7"/>
      <c r="B23944" s="7"/>
      <c r="M23944" s="9" t="s">
        <v>25</v>
      </c>
    </row>
    <row r="23945" ht="15.75" customHeight="1">
      <c r="A23945" s="7"/>
      <c r="B23945" s="7"/>
      <c r="M23945" s="9" t="s">
        <v>23</v>
      </c>
    </row>
    <row r="23946" ht="15.75" customHeight="1">
      <c r="A23946" s="7"/>
      <c r="B23946" s="7"/>
      <c r="M23946" s="9" t="s">
        <v>24</v>
      </c>
    </row>
    <row r="23947" ht="15.75" customHeight="1">
      <c r="A23947" s="7"/>
      <c r="B23947" s="7"/>
      <c r="M23947" s="9" t="s">
        <v>20</v>
      </c>
    </row>
    <row r="23948" ht="15.75" customHeight="1">
      <c r="A23948" s="7"/>
      <c r="B23948" s="7"/>
      <c r="M23948" s="9" t="s">
        <v>21</v>
      </c>
    </row>
    <row r="23949" ht="15.75" customHeight="1">
      <c r="A23949" s="7"/>
      <c r="B23949" s="7"/>
      <c r="M23949" s="9" t="s">
        <v>37</v>
      </c>
    </row>
    <row r="23950" ht="15.75" customHeight="1">
      <c r="A23950" s="7"/>
      <c r="B23950" s="7"/>
      <c r="M23950" s="9" t="s">
        <v>22</v>
      </c>
    </row>
    <row r="23951" ht="15.75" customHeight="1">
      <c r="A23951" s="7"/>
      <c r="B23951" s="7"/>
      <c r="M23951" s="9" t="s">
        <v>27</v>
      </c>
    </row>
    <row r="23952" ht="15.75" customHeight="1">
      <c r="A23952" s="7"/>
      <c r="B23952" s="7"/>
      <c r="M23952" s="9" t="s">
        <v>30</v>
      </c>
    </row>
    <row r="23953" ht="15.75" customHeight="1">
      <c r="A23953" s="7"/>
      <c r="B23953" s="7"/>
      <c r="M23953" s="9" t="s">
        <v>26</v>
      </c>
    </row>
    <row r="23954" ht="15.75" customHeight="1">
      <c r="A23954" s="7"/>
      <c r="B23954" s="7"/>
      <c r="M23954" s="9" t="s">
        <v>24</v>
      </c>
    </row>
    <row r="23955" ht="15.75" customHeight="1">
      <c r="A23955" s="7"/>
      <c r="B23955" s="7"/>
      <c r="M23955" s="9" t="s">
        <v>21</v>
      </c>
    </row>
    <row r="23956" ht="15.75" customHeight="1">
      <c r="A23956" s="7"/>
      <c r="B23956" s="7"/>
      <c r="M23956" s="9" t="s">
        <v>22</v>
      </c>
    </row>
    <row r="23957" ht="15.75" customHeight="1">
      <c r="A23957" s="7"/>
      <c r="B23957" s="7"/>
      <c r="M23957" s="9" t="s">
        <v>27</v>
      </c>
    </row>
    <row r="23958" ht="15.75" customHeight="1">
      <c r="A23958" s="7"/>
      <c r="B23958" s="7"/>
      <c r="M23958" s="9" t="s">
        <v>33</v>
      </c>
    </row>
    <row r="23959" ht="15.75" customHeight="1">
      <c r="A23959" s="7"/>
      <c r="B23959" s="7"/>
      <c r="M23959" s="9" t="s">
        <v>26</v>
      </c>
    </row>
    <row r="23960" ht="15.75" customHeight="1">
      <c r="A23960" s="7"/>
      <c r="B23960" s="7"/>
      <c r="M23960" s="9" t="s">
        <v>24</v>
      </c>
    </row>
    <row r="23961" ht="15.75" customHeight="1">
      <c r="A23961" s="7"/>
      <c r="B23961" s="7"/>
      <c r="M23961" s="9" t="s">
        <v>20</v>
      </c>
    </row>
    <row r="23962" ht="15.75" customHeight="1">
      <c r="A23962" s="7"/>
      <c r="B23962" s="7"/>
      <c r="M23962" s="9" t="s">
        <v>21</v>
      </c>
    </row>
    <row r="23963" ht="15.75" customHeight="1">
      <c r="A23963" s="7"/>
      <c r="B23963" s="7"/>
      <c r="M23963" s="9" t="s">
        <v>37</v>
      </c>
    </row>
    <row r="23964" ht="15.75" customHeight="1">
      <c r="A23964" s="7"/>
      <c r="B23964" s="7"/>
      <c r="M23964" s="9" t="s">
        <v>27</v>
      </c>
    </row>
    <row r="23965" ht="15.75" customHeight="1">
      <c r="A23965" s="7"/>
      <c r="B23965" s="7"/>
      <c r="M23965" s="9" t="s">
        <v>26</v>
      </c>
    </row>
    <row r="23966" ht="15.75" customHeight="1">
      <c r="A23966" s="7"/>
      <c r="B23966" s="7"/>
      <c r="M23966" s="9" t="s">
        <v>24</v>
      </c>
    </row>
    <row r="23967" ht="15.75" customHeight="1">
      <c r="A23967" s="7"/>
      <c r="B23967" s="7"/>
      <c r="M23967" s="9" t="s">
        <v>20</v>
      </c>
    </row>
    <row r="23968" ht="15.75" customHeight="1">
      <c r="A23968" s="7"/>
      <c r="B23968" s="7"/>
      <c r="M23968" s="9" t="s">
        <v>21</v>
      </c>
    </row>
    <row r="23969" ht="15.75" customHeight="1">
      <c r="A23969" s="7"/>
      <c r="B23969" s="7"/>
      <c r="M23969" s="9" t="s">
        <v>39</v>
      </c>
    </row>
    <row r="23970" ht="15.75" customHeight="1">
      <c r="A23970" s="7"/>
      <c r="B23970" s="7"/>
      <c r="M23970" s="9" t="s">
        <v>22</v>
      </c>
    </row>
    <row r="23971" ht="15.75" customHeight="1">
      <c r="A23971" s="7"/>
      <c r="B23971" s="7"/>
      <c r="M23971" s="9" t="s">
        <v>27</v>
      </c>
    </row>
    <row r="23972" ht="15.75" customHeight="1">
      <c r="A23972" s="7"/>
      <c r="B23972" s="7"/>
      <c r="M23972" s="9" t="s">
        <v>30</v>
      </c>
    </row>
    <row r="23973" ht="15.75" customHeight="1">
      <c r="A23973" s="7"/>
      <c r="B23973" s="7"/>
      <c r="M23973" s="9" t="s">
        <v>42</v>
      </c>
    </row>
    <row r="23974" ht="15.75" customHeight="1">
      <c r="A23974" s="7"/>
      <c r="B23974" s="7"/>
      <c r="M23974" s="9" t="s">
        <v>24</v>
      </c>
    </row>
    <row r="23975" ht="15.75" customHeight="1">
      <c r="A23975" s="7"/>
      <c r="B23975" s="7"/>
      <c r="M23975" s="9" t="s">
        <v>21</v>
      </c>
    </row>
    <row r="23976" ht="15.75" customHeight="1">
      <c r="A23976" s="7"/>
      <c r="B23976" s="7"/>
      <c r="M23976" s="9" t="s">
        <v>37</v>
      </c>
    </row>
    <row r="23977" ht="15.75" customHeight="1">
      <c r="A23977" s="7"/>
      <c r="B23977" s="7"/>
      <c r="M23977" s="9" t="s">
        <v>22</v>
      </c>
    </row>
    <row r="23978" ht="15.75" customHeight="1">
      <c r="A23978" s="7"/>
      <c r="B23978" s="7"/>
      <c r="M23978" s="9" t="s">
        <v>31</v>
      </c>
    </row>
    <row r="23979" ht="15.75" customHeight="1">
      <c r="A23979" s="7"/>
      <c r="B23979" s="7"/>
      <c r="M23979" s="9" t="s">
        <v>27</v>
      </c>
    </row>
    <row r="23980" ht="15.75" customHeight="1">
      <c r="A23980" s="7"/>
      <c r="B23980" s="7"/>
      <c r="M23980" s="9" t="s">
        <v>33</v>
      </c>
    </row>
    <row r="23981" ht="15.75" customHeight="1">
      <c r="A23981" s="7"/>
      <c r="B23981" s="7"/>
      <c r="M23981" s="9" t="s">
        <v>24</v>
      </c>
    </row>
    <row r="23982" ht="15.75" customHeight="1">
      <c r="A23982" s="7"/>
      <c r="B23982" s="7"/>
      <c r="M23982" s="9" t="s">
        <v>20</v>
      </c>
    </row>
    <row r="23983" ht="15.75" customHeight="1">
      <c r="A23983" s="7"/>
      <c r="B23983" s="7"/>
      <c r="M23983" s="9" t="s">
        <v>21</v>
      </c>
    </row>
    <row r="23984" ht="15.75" customHeight="1">
      <c r="A23984" s="7"/>
      <c r="B23984" s="7"/>
      <c r="M23984" s="9" t="s">
        <v>27</v>
      </c>
    </row>
    <row r="23985" ht="15.75" customHeight="1">
      <c r="A23985" s="7"/>
      <c r="B23985" s="7"/>
      <c r="M23985" s="9" t="s">
        <v>44</v>
      </c>
    </row>
    <row r="23986" ht="15.75" customHeight="1">
      <c r="A23986" s="7"/>
      <c r="B23986" s="7"/>
      <c r="M23986" s="9" t="s">
        <v>24</v>
      </c>
    </row>
    <row r="23987" ht="15.75" customHeight="1">
      <c r="A23987" s="7"/>
      <c r="B23987" s="7"/>
      <c r="M23987" s="9" t="s">
        <v>21</v>
      </c>
    </row>
    <row r="23988" ht="15.75" customHeight="1">
      <c r="A23988" s="7"/>
      <c r="B23988" s="7"/>
      <c r="M23988" s="9" t="s">
        <v>37</v>
      </c>
    </row>
    <row r="23989" ht="15.75" customHeight="1">
      <c r="A23989" s="7"/>
      <c r="B23989" s="7"/>
      <c r="M23989" s="9" t="s">
        <v>22</v>
      </c>
    </row>
    <row r="23990" ht="15.75" customHeight="1">
      <c r="A23990" s="7"/>
      <c r="B23990" s="7"/>
      <c r="M23990" s="9" t="s">
        <v>24</v>
      </c>
    </row>
    <row r="23991" ht="15.75" customHeight="1">
      <c r="A23991" s="7"/>
      <c r="B23991" s="7"/>
      <c r="M23991" s="9" t="s">
        <v>20</v>
      </c>
    </row>
    <row r="23992" ht="15.75" customHeight="1">
      <c r="A23992" s="7"/>
      <c r="B23992" s="7"/>
      <c r="M23992" s="9" t="s">
        <v>21</v>
      </c>
    </row>
    <row r="23993" ht="15.75" customHeight="1">
      <c r="A23993" s="7"/>
      <c r="B23993" s="7"/>
      <c r="M23993" s="9" t="s">
        <v>32</v>
      </c>
    </row>
    <row r="23994" ht="15.75" customHeight="1">
      <c r="A23994" s="7"/>
      <c r="B23994" s="7"/>
      <c r="M23994" s="9" t="s">
        <v>27</v>
      </c>
    </row>
    <row r="23995" ht="15.75" customHeight="1">
      <c r="A23995" s="7"/>
      <c r="B23995" s="7"/>
      <c r="M23995" s="9" t="s">
        <v>30</v>
      </c>
    </row>
    <row r="23996" ht="15.75" customHeight="1">
      <c r="A23996" s="7"/>
      <c r="B23996" s="7"/>
      <c r="M23996" s="9" t="s">
        <v>25</v>
      </c>
    </row>
    <row r="23997" ht="15.75" customHeight="1">
      <c r="A23997" s="7"/>
      <c r="B23997" s="7"/>
      <c r="M23997" s="9" t="s">
        <v>23</v>
      </c>
    </row>
    <row r="23998" ht="15.75" customHeight="1">
      <c r="A23998" s="7"/>
      <c r="B23998" s="7"/>
      <c r="M23998" s="9" t="s">
        <v>24</v>
      </c>
    </row>
    <row r="23999" ht="15.75" customHeight="1">
      <c r="A23999" s="7"/>
      <c r="B23999" s="7"/>
      <c r="M23999" s="9" t="s">
        <v>22</v>
      </c>
    </row>
    <row r="24000" ht="15.75" customHeight="1">
      <c r="A24000" s="7"/>
      <c r="B24000" s="7"/>
      <c r="M24000" s="9" t="s">
        <v>36</v>
      </c>
    </row>
    <row r="24001" ht="15.75" customHeight="1">
      <c r="A24001" s="7"/>
      <c r="B24001" s="7"/>
      <c r="M24001" s="9" t="s">
        <v>24</v>
      </c>
    </row>
    <row r="24002" ht="15.75" customHeight="1">
      <c r="A24002" s="7"/>
      <c r="B24002" s="7"/>
      <c r="M24002" s="9" t="s">
        <v>21</v>
      </c>
    </row>
    <row r="24003" ht="15.75" customHeight="1">
      <c r="A24003" s="7"/>
      <c r="B24003" s="7"/>
      <c r="M24003" s="9" t="s">
        <v>22</v>
      </c>
    </row>
    <row r="24004" ht="15.75" customHeight="1">
      <c r="A24004" s="7"/>
      <c r="B24004" s="7"/>
      <c r="M24004" s="9" t="s">
        <v>27</v>
      </c>
    </row>
    <row r="24005" ht="15.75" customHeight="1">
      <c r="A24005" s="7"/>
      <c r="B24005" s="7"/>
      <c r="M24005" s="9" t="s">
        <v>33</v>
      </c>
    </row>
    <row r="24006" ht="15.75" customHeight="1">
      <c r="A24006" s="7"/>
      <c r="B24006" s="7"/>
      <c r="M24006" s="9" t="s">
        <v>30</v>
      </c>
    </row>
    <row r="24007" ht="15.75" customHeight="1">
      <c r="A24007" s="7"/>
      <c r="B24007" s="7"/>
      <c r="M24007" s="9" t="s">
        <v>23</v>
      </c>
    </row>
    <row r="24008" ht="15.75" customHeight="1">
      <c r="A24008" s="7"/>
      <c r="B24008" s="7"/>
      <c r="M24008" s="9" t="s">
        <v>26</v>
      </c>
    </row>
    <row r="24009" ht="15.75" customHeight="1">
      <c r="A24009" s="7"/>
      <c r="B24009" s="7"/>
      <c r="M24009" s="9" t="s">
        <v>21</v>
      </c>
    </row>
    <row r="24010" ht="15.75" customHeight="1">
      <c r="A24010" s="7"/>
      <c r="B24010" s="7"/>
      <c r="M24010" s="9" t="s">
        <v>22</v>
      </c>
    </row>
    <row r="24011" ht="15.75" customHeight="1">
      <c r="A24011" s="7"/>
      <c r="B24011" s="7"/>
      <c r="M24011" s="9" t="s">
        <v>30</v>
      </c>
    </row>
    <row r="24012" ht="15.75" customHeight="1">
      <c r="A24012" s="7"/>
      <c r="B24012" s="7"/>
      <c r="M24012" s="9" t="s">
        <v>23</v>
      </c>
    </row>
    <row r="24013" ht="15.75" customHeight="1">
      <c r="A24013" s="7"/>
      <c r="B24013" s="7"/>
      <c r="M24013" s="9" t="s">
        <v>24</v>
      </c>
    </row>
    <row r="24014" ht="15.75" customHeight="1">
      <c r="A24014" s="7"/>
      <c r="B24014" s="7"/>
      <c r="M24014" s="9" t="s">
        <v>21</v>
      </c>
    </row>
    <row r="24015" ht="15.75" customHeight="1">
      <c r="A24015" s="7"/>
      <c r="B24015" s="7"/>
      <c r="M24015" s="9" t="s">
        <v>22</v>
      </c>
    </row>
    <row r="24016" ht="15.75" customHeight="1">
      <c r="A24016" s="7"/>
      <c r="B24016" s="7"/>
      <c r="M24016" s="9" t="s">
        <v>30</v>
      </c>
    </row>
    <row r="24017" ht="15.75" customHeight="1">
      <c r="A24017" s="7"/>
      <c r="B24017" s="7"/>
      <c r="M24017" s="9" t="s">
        <v>22</v>
      </c>
    </row>
    <row r="24018" ht="15.75" customHeight="1">
      <c r="A24018" s="7"/>
      <c r="B24018" s="7"/>
      <c r="M24018" s="9" t="s">
        <v>27</v>
      </c>
    </row>
    <row r="24019" ht="15.75" customHeight="1">
      <c r="A24019" s="7"/>
      <c r="B24019" s="7"/>
      <c r="M24019" s="9" t="s">
        <v>35</v>
      </c>
    </row>
    <row r="24020" ht="15.75" customHeight="1">
      <c r="A24020" s="7"/>
      <c r="B24020" s="7"/>
      <c r="M24020" s="9" t="s">
        <v>30</v>
      </c>
    </row>
    <row r="24021" ht="15.75" customHeight="1">
      <c r="A24021" s="7"/>
      <c r="B24021" s="7"/>
      <c r="M24021" s="9" t="s">
        <v>24</v>
      </c>
    </row>
    <row r="24022" ht="15.75" customHeight="1">
      <c r="A24022" s="7"/>
      <c r="B24022" s="7"/>
      <c r="M24022" s="9" t="s">
        <v>21</v>
      </c>
    </row>
    <row r="24023" ht="15.75" customHeight="1">
      <c r="A24023" s="7"/>
      <c r="B24023" s="7"/>
      <c r="M24023" s="9" t="s">
        <v>37</v>
      </c>
    </row>
    <row r="24024" ht="15.75" customHeight="1">
      <c r="A24024" s="7"/>
      <c r="B24024" s="7"/>
      <c r="M24024" s="9" t="s">
        <v>27</v>
      </c>
    </row>
    <row r="24025" ht="15.75" customHeight="1">
      <c r="A24025" s="7"/>
      <c r="B24025" s="7"/>
      <c r="M24025" s="9" t="s">
        <v>33</v>
      </c>
    </row>
    <row r="24026" ht="15.75" customHeight="1">
      <c r="A24026" s="7"/>
      <c r="B24026" s="7"/>
      <c r="M24026" s="9" t="s">
        <v>30</v>
      </c>
    </row>
    <row r="24027" ht="15.75" customHeight="1">
      <c r="A24027" s="7"/>
      <c r="B24027" s="7"/>
      <c r="M24027" s="9" t="s">
        <v>26</v>
      </c>
    </row>
    <row r="24028" ht="15.75" customHeight="1">
      <c r="A24028" s="7"/>
      <c r="B24028" s="7"/>
      <c r="M24028" s="9" t="s">
        <v>24</v>
      </c>
    </row>
    <row r="24029" ht="15.75" customHeight="1">
      <c r="A24029" s="7"/>
      <c r="B24029" s="7"/>
      <c r="M24029" s="9" t="s">
        <v>21</v>
      </c>
    </row>
    <row r="24030" ht="15.75" customHeight="1">
      <c r="A24030" s="7"/>
      <c r="B24030" s="7"/>
      <c r="M24030" s="9" t="s">
        <v>27</v>
      </c>
    </row>
    <row r="24031" ht="15.75" customHeight="1">
      <c r="A24031" s="7"/>
      <c r="B24031" s="7"/>
      <c r="M24031" s="9" t="s">
        <v>33</v>
      </c>
    </row>
    <row r="24032" ht="15.75" customHeight="1">
      <c r="A24032" s="7"/>
      <c r="B24032" s="7"/>
      <c r="M24032" s="9" t="s">
        <v>38</v>
      </c>
    </row>
    <row r="24033" ht="15.75" customHeight="1">
      <c r="A24033" s="7"/>
      <c r="B24033" s="7"/>
      <c r="M24033" s="9" t="s">
        <v>25</v>
      </c>
    </row>
    <row r="24034" ht="15.75" customHeight="1">
      <c r="A24034" s="7"/>
      <c r="B24034" s="7"/>
      <c r="M24034" s="9" t="s">
        <v>30</v>
      </c>
    </row>
    <row r="24035" ht="15.75" customHeight="1">
      <c r="A24035" s="7"/>
      <c r="B24035" s="7"/>
      <c r="M24035" s="9" t="s">
        <v>23</v>
      </c>
    </row>
    <row r="24036" ht="15.75" customHeight="1">
      <c r="A24036" s="7"/>
      <c r="B24036" s="7"/>
      <c r="M24036" s="9" t="s">
        <v>24</v>
      </c>
    </row>
    <row r="24037" ht="15.75" customHeight="1">
      <c r="A24037" s="7"/>
      <c r="B24037" s="7"/>
      <c r="M24037" s="9" t="s">
        <v>37</v>
      </c>
    </row>
    <row r="24038" ht="15.75" customHeight="1">
      <c r="A24038" s="7"/>
      <c r="B24038" s="7"/>
      <c r="M24038" s="9" t="s">
        <v>24</v>
      </c>
    </row>
    <row r="24039" ht="15.75" customHeight="1">
      <c r="A24039" s="7"/>
      <c r="B24039" s="7"/>
      <c r="M24039" s="9" t="s">
        <v>20</v>
      </c>
    </row>
    <row r="24040" ht="15.75" customHeight="1">
      <c r="A24040" s="7"/>
      <c r="B24040" s="7"/>
      <c r="M24040" s="9" t="s">
        <v>21</v>
      </c>
    </row>
    <row r="24041" ht="15.75" customHeight="1">
      <c r="A24041" s="7"/>
      <c r="B24041" s="7"/>
      <c r="M24041" s="9" t="s">
        <v>33</v>
      </c>
    </row>
    <row r="24042" ht="15.75" customHeight="1">
      <c r="A24042" s="7"/>
      <c r="B24042" s="7"/>
      <c r="M24042" s="9" t="s">
        <v>30</v>
      </c>
    </row>
    <row r="24043" ht="15.75" customHeight="1">
      <c r="A24043" s="7"/>
      <c r="B24043" s="7"/>
      <c r="M24043" s="9" t="s">
        <v>26</v>
      </c>
    </row>
    <row r="24044" ht="15.75" customHeight="1">
      <c r="A24044" s="7"/>
      <c r="B24044" s="7"/>
      <c r="M24044" s="9" t="s">
        <v>24</v>
      </c>
    </row>
    <row r="24045" ht="15.75" customHeight="1">
      <c r="A24045" s="7"/>
      <c r="B24045" s="7"/>
      <c r="M24045" s="9" t="s">
        <v>21</v>
      </c>
    </row>
    <row r="24046" ht="15.75" customHeight="1">
      <c r="A24046" s="7"/>
      <c r="B24046" s="7"/>
      <c r="M24046" s="9" t="s">
        <v>22</v>
      </c>
    </row>
    <row r="24047" ht="15.75" customHeight="1">
      <c r="A24047" s="7"/>
      <c r="B24047" s="7"/>
      <c r="M24047" s="9" t="s">
        <v>29</v>
      </c>
    </row>
    <row r="24048" ht="15.75" customHeight="1">
      <c r="A24048" s="7"/>
      <c r="B24048" s="7"/>
      <c r="M24048" s="9" t="s">
        <v>31</v>
      </c>
    </row>
    <row r="24049" ht="15.75" customHeight="1">
      <c r="A24049" s="7"/>
      <c r="B24049" s="7"/>
      <c r="M24049" s="9" t="s">
        <v>32</v>
      </c>
    </row>
    <row r="24050" ht="15.75" customHeight="1">
      <c r="A24050" s="7"/>
      <c r="B24050" s="7"/>
      <c r="M24050" s="9" t="s">
        <v>27</v>
      </c>
    </row>
    <row r="24051" ht="15.75" customHeight="1">
      <c r="A24051" s="7"/>
      <c r="B24051" s="7"/>
      <c r="M24051" s="9" t="s">
        <v>23</v>
      </c>
    </row>
    <row r="24052" ht="15.75" customHeight="1">
      <c r="A24052" s="7"/>
      <c r="B24052" s="7"/>
      <c r="M24052" s="9" t="s">
        <v>20</v>
      </c>
    </row>
    <row r="24053" ht="15.75" customHeight="1">
      <c r="A24053" s="7"/>
      <c r="B24053" s="7"/>
      <c r="M24053" s="9" t="s">
        <v>30</v>
      </c>
    </row>
    <row r="24054" ht="15.75" customHeight="1">
      <c r="A24054" s="7"/>
      <c r="B24054" s="7"/>
      <c r="M24054" s="9" t="s">
        <v>22</v>
      </c>
    </row>
    <row r="24055" ht="15.75" customHeight="1">
      <c r="A24055" s="7"/>
      <c r="B24055" s="7"/>
      <c r="M24055" s="9" t="s">
        <v>30</v>
      </c>
    </row>
    <row r="24056" ht="15.75" customHeight="1">
      <c r="A24056" s="7"/>
      <c r="B24056" s="7"/>
      <c r="M24056" s="9" t="s">
        <v>24</v>
      </c>
    </row>
    <row r="24057" ht="15.75" customHeight="1">
      <c r="A24057" s="7"/>
      <c r="B24057" s="7"/>
      <c r="M24057" s="9" t="s">
        <v>20</v>
      </c>
    </row>
    <row r="24058" ht="15.75" customHeight="1">
      <c r="A24058" s="7"/>
      <c r="B24058" s="7"/>
      <c r="M24058" s="9" t="s">
        <v>21</v>
      </c>
    </row>
    <row r="24059" ht="15.75" customHeight="1">
      <c r="A24059" s="7"/>
      <c r="B24059" s="7"/>
      <c r="M24059" s="9" t="s">
        <v>39</v>
      </c>
    </row>
    <row r="24060" ht="15.75" customHeight="1">
      <c r="A24060" s="7"/>
      <c r="B24060" s="7"/>
      <c r="M24060" s="9" t="s">
        <v>27</v>
      </c>
    </row>
    <row r="24061" ht="15.75" customHeight="1">
      <c r="A24061" s="7"/>
      <c r="B24061" s="7"/>
      <c r="M24061" s="9" t="s">
        <v>24</v>
      </c>
    </row>
    <row r="24062" ht="15.75" customHeight="1">
      <c r="A24062" s="7"/>
      <c r="B24062" s="7"/>
      <c r="M24062" s="9" t="s">
        <v>21</v>
      </c>
    </row>
    <row r="24063" ht="15.75" customHeight="1">
      <c r="A24063" s="7"/>
      <c r="B24063" s="7"/>
      <c r="M24063" s="9" t="s">
        <v>22</v>
      </c>
    </row>
    <row r="24064" ht="15.75" customHeight="1">
      <c r="A24064" s="7"/>
      <c r="B24064" s="7"/>
      <c r="M24064" s="9" t="s">
        <v>27</v>
      </c>
    </row>
    <row r="24065" ht="15.75" customHeight="1">
      <c r="A24065" s="7"/>
      <c r="B24065" s="7"/>
      <c r="M24065" s="9" t="s">
        <v>30</v>
      </c>
    </row>
    <row r="24066" ht="15.75" customHeight="1">
      <c r="A24066" s="7"/>
      <c r="B24066" s="7"/>
      <c r="M24066" s="9" t="s">
        <v>36</v>
      </c>
    </row>
    <row r="24067" ht="15.75" customHeight="1">
      <c r="A24067" s="7"/>
      <c r="B24067" s="7"/>
      <c r="M24067" s="9" t="s">
        <v>24</v>
      </c>
    </row>
    <row r="24068" ht="15.75" customHeight="1">
      <c r="A24068" s="7"/>
      <c r="B24068" s="7"/>
      <c r="M24068" s="9" t="s">
        <v>21</v>
      </c>
    </row>
    <row r="24069" ht="15.75" customHeight="1">
      <c r="A24069" s="7"/>
      <c r="B24069" s="7"/>
      <c r="M24069" s="9" t="s">
        <v>22</v>
      </c>
    </row>
    <row r="24070" ht="15.75" customHeight="1">
      <c r="A24070" s="7"/>
      <c r="B24070" s="7"/>
      <c r="M24070" s="9" t="s">
        <v>29</v>
      </c>
    </row>
    <row r="24071" ht="15.75" customHeight="1">
      <c r="A24071" s="7"/>
      <c r="B24071" s="7"/>
      <c r="M24071" s="9" t="s">
        <v>26</v>
      </c>
    </row>
    <row r="24072" ht="15.75" customHeight="1">
      <c r="A24072" s="7"/>
      <c r="B24072" s="7"/>
      <c r="M24072" s="9" t="s">
        <v>21</v>
      </c>
    </row>
    <row r="24073" ht="15.75" customHeight="1">
      <c r="A24073" s="7"/>
      <c r="B24073" s="7"/>
      <c r="M24073" s="9" t="s">
        <v>26</v>
      </c>
    </row>
    <row r="24074" ht="15.75" customHeight="1">
      <c r="A24074" s="7"/>
      <c r="B24074" s="7"/>
      <c r="M24074" s="9" t="s">
        <v>24</v>
      </c>
    </row>
    <row r="24075" ht="15.75" customHeight="1">
      <c r="A24075" s="7"/>
      <c r="B24075" s="7"/>
      <c r="M24075" s="9" t="s">
        <v>20</v>
      </c>
    </row>
    <row r="24076" ht="15.75" customHeight="1">
      <c r="A24076" s="7"/>
      <c r="B24076" s="7"/>
      <c r="M24076" s="9" t="s">
        <v>21</v>
      </c>
    </row>
    <row r="24077" ht="15.75" customHeight="1">
      <c r="A24077" s="7"/>
      <c r="B24077" s="7"/>
      <c r="M24077" s="9" t="s">
        <v>27</v>
      </c>
    </row>
    <row r="24078" ht="15.75" customHeight="1">
      <c r="A24078" s="7"/>
      <c r="B24078" s="7"/>
      <c r="M24078" s="9" t="s">
        <v>36</v>
      </c>
    </row>
    <row r="24079" ht="15.75" customHeight="1">
      <c r="A24079" s="7"/>
      <c r="B24079" s="7"/>
      <c r="M24079" s="9" t="s">
        <v>24</v>
      </c>
    </row>
    <row r="24080" ht="15.75" customHeight="1">
      <c r="A24080" s="7"/>
      <c r="B24080" s="7"/>
      <c r="M24080" s="9" t="s">
        <v>20</v>
      </c>
    </row>
    <row r="24081" ht="15.75" customHeight="1">
      <c r="A24081" s="7"/>
      <c r="B24081" s="7"/>
      <c r="M24081" s="9" t="s">
        <v>21</v>
      </c>
    </row>
    <row r="24082" ht="15.75" customHeight="1">
      <c r="A24082" s="7"/>
      <c r="B24082" s="7"/>
      <c r="M24082" s="9" t="s">
        <v>22</v>
      </c>
    </row>
    <row r="24083" ht="15.75" customHeight="1">
      <c r="A24083" s="7"/>
      <c r="B24083" s="7"/>
      <c r="M24083" s="9" t="s">
        <v>33</v>
      </c>
    </row>
    <row r="24084" ht="15.75" customHeight="1">
      <c r="A24084" s="7"/>
      <c r="B24084" s="7"/>
      <c r="M24084" s="9" t="s">
        <v>30</v>
      </c>
    </row>
    <row r="24085" ht="15.75" customHeight="1">
      <c r="A24085" s="7"/>
      <c r="B24085" s="7"/>
      <c r="M24085" s="9" t="s">
        <v>23</v>
      </c>
    </row>
    <row r="24086" ht="15.75" customHeight="1">
      <c r="A24086" s="7"/>
      <c r="B24086" s="7"/>
      <c r="M24086" s="9" t="s">
        <v>26</v>
      </c>
    </row>
    <row r="24087" ht="15.75" customHeight="1">
      <c r="A24087" s="7"/>
      <c r="B24087" s="7"/>
      <c r="M24087" s="9" t="s">
        <v>24</v>
      </c>
    </row>
    <row r="24088" ht="15.75" customHeight="1">
      <c r="A24088" s="7"/>
      <c r="B24088" s="7"/>
      <c r="M24088" s="9" t="s">
        <v>20</v>
      </c>
    </row>
    <row r="24089" ht="15.75" customHeight="1">
      <c r="A24089" s="7"/>
      <c r="B24089" s="7"/>
      <c r="M24089" s="9" t="s">
        <v>21</v>
      </c>
    </row>
    <row r="24090" ht="15.75" customHeight="1">
      <c r="A24090" s="7"/>
      <c r="B24090" s="7"/>
      <c r="M24090" s="9" t="s">
        <v>37</v>
      </c>
    </row>
    <row r="24091" ht="15.75" customHeight="1">
      <c r="A24091" s="7"/>
      <c r="B24091" s="7"/>
      <c r="M24091" s="9" t="s">
        <v>22</v>
      </c>
    </row>
    <row r="24092" ht="15.75" customHeight="1">
      <c r="A24092" s="7"/>
      <c r="B24092" s="7"/>
      <c r="M24092" s="9" t="s">
        <v>27</v>
      </c>
    </row>
    <row r="24093" ht="15.75" customHeight="1">
      <c r="A24093" s="7"/>
      <c r="B24093" s="7"/>
      <c r="M24093" s="9" t="s">
        <v>26</v>
      </c>
    </row>
    <row r="24094" ht="15.75" customHeight="1">
      <c r="A24094" s="7"/>
      <c r="B24094" s="7"/>
      <c r="M24094" s="9" t="s">
        <v>24</v>
      </c>
    </row>
    <row r="24095" ht="15.75" customHeight="1">
      <c r="A24095" s="7"/>
      <c r="B24095" s="7"/>
      <c r="M24095" s="9" t="s">
        <v>20</v>
      </c>
    </row>
    <row r="24096" ht="15.75" customHeight="1">
      <c r="A24096" s="7"/>
      <c r="B24096" s="7"/>
      <c r="M24096" s="9" t="s">
        <v>22</v>
      </c>
    </row>
    <row r="24097" ht="15.75" customHeight="1">
      <c r="A24097" s="7"/>
      <c r="B24097" s="7"/>
      <c r="M24097" s="9" t="s">
        <v>46</v>
      </c>
    </row>
    <row r="24098" ht="15.75" customHeight="1">
      <c r="A24098" s="7"/>
      <c r="B24098" s="7"/>
      <c r="M24098" s="9" t="s">
        <v>27</v>
      </c>
    </row>
    <row r="24099" ht="15.75" customHeight="1">
      <c r="A24099" s="7"/>
      <c r="B24099" s="7"/>
      <c r="M24099" s="9" t="s">
        <v>30</v>
      </c>
    </row>
    <row r="24100" ht="15.75" customHeight="1">
      <c r="A24100" s="7"/>
      <c r="B24100" s="7"/>
      <c r="M24100" s="9" t="s">
        <v>24</v>
      </c>
    </row>
    <row r="24101" ht="15.75" customHeight="1">
      <c r="A24101" s="7"/>
      <c r="B24101" s="7"/>
      <c r="M24101" s="9" t="s">
        <v>21</v>
      </c>
    </row>
    <row r="24102" ht="15.75" customHeight="1">
      <c r="A24102" s="7"/>
      <c r="B24102" s="7"/>
      <c r="M24102" s="9" t="s">
        <v>37</v>
      </c>
    </row>
    <row r="24103" ht="15.75" customHeight="1">
      <c r="A24103" s="7"/>
      <c r="B24103" s="7"/>
      <c r="M24103" s="9" t="s">
        <v>22</v>
      </c>
    </row>
    <row r="24104" ht="15.75" customHeight="1">
      <c r="A24104" s="7"/>
      <c r="B24104" s="7"/>
      <c r="M24104" s="9" t="s">
        <v>27</v>
      </c>
    </row>
    <row r="24105" ht="15.75" customHeight="1">
      <c r="A24105" s="7"/>
      <c r="B24105" s="7"/>
      <c r="M24105" s="9" t="s">
        <v>33</v>
      </c>
    </row>
    <row r="24106" ht="15.75" customHeight="1">
      <c r="A24106" s="7"/>
      <c r="B24106" s="7"/>
      <c r="M24106" s="9" t="s">
        <v>24</v>
      </c>
    </row>
    <row r="24107" ht="15.75" customHeight="1">
      <c r="A24107" s="7"/>
      <c r="B24107" s="7"/>
      <c r="M24107" s="9" t="s">
        <v>20</v>
      </c>
    </row>
    <row r="24108" ht="15.75" customHeight="1">
      <c r="A24108" s="7"/>
      <c r="B24108" s="7"/>
      <c r="M24108" s="9" t="s">
        <v>21</v>
      </c>
    </row>
    <row r="24109" ht="15.75" customHeight="1">
      <c r="A24109" s="7"/>
      <c r="B24109" s="7"/>
      <c r="M24109" s="9" t="s">
        <v>37</v>
      </c>
    </row>
    <row r="24110" ht="15.75" customHeight="1">
      <c r="A24110" s="7"/>
      <c r="B24110" s="7"/>
      <c r="M24110" s="9" t="s">
        <v>22</v>
      </c>
    </row>
    <row r="24111" ht="15.75" customHeight="1">
      <c r="A24111" s="7"/>
      <c r="B24111" s="7"/>
      <c r="M24111" s="9" t="s">
        <v>31</v>
      </c>
    </row>
    <row r="24112" ht="15.75" customHeight="1">
      <c r="A24112" s="7"/>
      <c r="B24112" s="7"/>
      <c r="M24112" s="9" t="s">
        <v>27</v>
      </c>
    </row>
    <row r="24113" ht="15.75" customHeight="1">
      <c r="A24113" s="7"/>
      <c r="B24113" s="7"/>
      <c r="M24113" s="9" t="s">
        <v>33</v>
      </c>
    </row>
    <row r="24114" ht="15.75" customHeight="1">
      <c r="A24114" s="7"/>
      <c r="B24114" s="7"/>
      <c r="M24114" s="9" t="s">
        <v>21</v>
      </c>
    </row>
    <row r="24115" ht="15.75" customHeight="1">
      <c r="A24115" s="7"/>
      <c r="B24115" s="7"/>
      <c r="M24115" s="9" t="s">
        <v>35</v>
      </c>
    </row>
    <row r="24116" ht="15.75" customHeight="1">
      <c r="A24116" s="7"/>
      <c r="B24116" s="7"/>
      <c r="M24116" s="9" t="s">
        <v>26</v>
      </c>
    </row>
    <row r="24117" ht="15.75" customHeight="1">
      <c r="A24117" s="7"/>
      <c r="B24117" s="7"/>
      <c r="M24117" s="9" t="s">
        <v>20</v>
      </c>
    </row>
    <row r="24118" ht="15.75" customHeight="1">
      <c r="A24118" s="7"/>
      <c r="B24118" s="7"/>
      <c r="M24118" s="9" t="s">
        <v>39</v>
      </c>
    </row>
    <row r="24119" ht="15.75" customHeight="1">
      <c r="A24119" s="7"/>
      <c r="B24119" s="7"/>
      <c r="M24119" s="9" t="s">
        <v>41</v>
      </c>
    </row>
    <row r="24120" ht="15.75" customHeight="1">
      <c r="A24120" s="7"/>
      <c r="B24120" s="7"/>
      <c r="M24120" s="9" t="s">
        <v>27</v>
      </c>
    </row>
    <row r="24121" ht="15.75" customHeight="1">
      <c r="A24121" s="7"/>
      <c r="B24121" s="7"/>
      <c r="M24121" s="9" t="s">
        <v>40</v>
      </c>
    </row>
    <row r="24122" ht="15.75" customHeight="1">
      <c r="A24122" s="7"/>
      <c r="B24122" s="7"/>
      <c r="M24122" s="9" t="s">
        <v>30</v>
      </c>
    </row>
    <row r="24123" ht="15.75" customHeight="1">
      <c r="A24123" s="7"/>
      <c r="B24123" s="7"/>
      <c r="M24123" s="9" t="s">
        <v>24</v>
      </c>
    </row>
    <row r="24124" ht="15.75" customHeight="1">
      <c r="A24124" s="7"/>
      <c r="B24124" s="7"/>
      <c r="M24124" s="9" t="s">
        <v>20</v>
      </c>
    </row>
    <row r="24125" ht="15.75" customHeight="1">
      <c r="A24125" s="7"/>
      <c r="B24125" s="7"/>
      <c r="M24125" s="9" t="s">
        <v>21</v>
      </c>
    </row>
    <row r="24126" ht="15.75" customHeight="1">
      <c r="A24126" s="7"/>
      <c r="B24126" s="7"/>
      <c r="M24126" s="9" t="s">
        <v>37</v>
      </c>
    </row>
    <row r="24127" ht="15.75" customHeight="1">
      <c r="A24127" s="7"/>
      <c r="B24127" s="7"/>
      <c r="M24127" s="9" t="s">
        <v>27</v>
      </c>
    </row>
    <row r="24128" ht="15.75" customHeight="1">
      <c r="A24128" s="7"/>
      <c r="B24128" s="7"/>
      <c r="M24128" s="9" t="s">
        <v>40</v>
      </c>
    </row>
    <row r="24129" ht="15.75" customHeight="1">
      <c r="A24129" s="7"/>
      <c r="B24129" s="7"/>
      <c r="M24129" s="9" t="s">
        <v>35</v>
      </c>
    </row>
    <row r="24130" ht="15.75" customHeight="1">
      <c r="A24130" s="7"/>
      <c r="B24130" s="7"/>
      <c r="M24130" s="9" t="s">
        <v>22</v>
      </c>
    </row>
    <row r="24131" ht="15.75" customHeight="1">
      <c r="A24131" s="7"/>
      <c r="B24131" s="7"/>
      <c r="M24131" s="9" t="s">
        <v>35</v>
      </c>
    </row>
    <row r="24132" ht="15.75" customHeight="1">
      <c r="A24132" s="7"/>
      <c r="B24132" s="7"/>
      <c r="M24132" s="9" t="s">
        <v>38</v>
      </c>
    </row>
    <row r="24133" ht="15.75" customHeight="1">
      <c r="A24133" s="7"/>
      <c r="B24133" s="7"/>
      <c r="M24133" s="9" t="s">
        <v>25</v>
      </c>
    </row>
    <row r="24134" ht="15.75" customHeight="1">
      <c r="A24134" s="7"/>
      <c r="B24134" s="7"/>
      <c r="M24134" s="9" t="s">
        <v>24</v>
      </c>
    </row>
    <row r="24135" ht="15.75" customHeight="1">
      <c r="A24135" s="7"/>
      <c r="B24135" s="7"/>
      <c r="M24135" s="9" t="s">
        <v>20</v>
      </c>
    </row>
    <row r="24136" ht="15.75" customHeight="1">
      <c r="A24136" s="7"/>
      <c r="B24136" s="7"/>
      <c r="M24136" s="9" t="s">
        <v>21</v>
      </c>
    </row>
    <row r="24137" ht="15.75" customHeight="1">
      <c r="A24137" s="7"/>
      <c r="B24137" s="7"/>
      <c r="M24137" s="9" t="s">
        <v>22</v>
      </c>
    </row>
    <row r="24138" ht="15.75" customHeight="1">
      <c r="A24138" s="7"/>
      <c r="B24138" s="7"/>
      <c r="M24138" s="9" t="s">
        <v>28</v>
      </c>
    </row>
    <row r="24139" ht="15.75" customHeight="1">
      <c r="A24139" s="7"/>
      <c r="B24139" s="7"/>
      <c r="M24139" s="9" t="s">
        <v>26</v>
      </c>
    </row>
    <row r="24140" ht="15.75" customHeight="1">
      <c r="A24140" s="7"/>
      <c r="B24140" s="7"/>
      <c r="M24140" s="9" t="s">
        <v>20</v>
      </c>
    </row>
    <row r="24141" ht="15.75" customHeight="1">
      <c r="A24141" s="7"/>
      <c r="B24141" s="7"/>
      <c r="M24141" s="9" t="s">
        <v>21</v>
      </c>
    </row>
    <row r="24142" ht="15.75" customHeight="1">
      <c r="A24142" s="7"/>
      <c r="B24142" s="7"/>
      <c r="M24142" s="9" t="s">
        <v>27</v>
      </c>
    </row>
    <row r="24143" ht="15.75" customHeight="1">
      <c r="A24143" s="7"/>
      <c r="B24143" s="7"/>
      <c r="M24143" s="9" t="s">
        <v>38</v>
      </c>
    </row>
    <row r="24144" ht="15.75" customHeight="1">
      <c r="A24144" s="7"/>
      <c r="B24144" s="7"/>
      <c r="M24144" s="9" t="s">
        <v>30</v>
      </c>
    </row>
    <row r="24145" ht="15.75" customHeight="1">
      <c r="A24145" s="7"/>
      <c r="B24145" s="7"/>
      <c r="M24145" s="9" t="s">
        <v>26</v>
      </c>
    </row>
    <row r="24146" ht="15.75" customHeight="1">
      <c r="A24146" s="7"/>
      <c r="B24146" s="7"/>
      <c r="M24146" s="9" t="s">
        <v>24</v>
      </c>
    </row>
    <row r="24147" ht="15.75" customHeight="1">
      <c r="A24147" s="7"/>
      <c r="B24147" s="7"/>
      <c r="M24147" s="9" t="s">
        <v>20</v>
      </c>
    </row>
    <row r="24148" ht="15.75" customHeight="1">
      <c r="A24148" s="7"/>
      <c r="B24148" s="7"/>
      <c r="M24148" s="9" t="s">
        <v>27</v>
      </c>
    </row>
    <row r="24149" ht="15.75" customHeight="1">
      <c r="A24149" s="7"/>
      <c r="B24149" s="7"/>
      <c r="M24149" s="9" t="s">
        <v>30</v>
      </c>
    </row>
    <row r="24150" ht="15.75" customHeight="1">
      <c r="A24150" s="7"/>
      <c r="B24150" s="7"/>
      <c r="M24150" s="9" t="s">
        <v>25</v>
      </c>
    </row>
    <row r="24151" ht="15.75" customHeight="1">
      <c r="A24151" s="7"/>
      <c r="B24151" s="7"/>
      <c r="M24151" s="9" t="s">
        <v>23</v>
      </c>
    </row>
    <row r="24152" ht="15.75" customHeight="1">
      <c r="A24152" s="7"/>
      <c r="B24152" s="7"/>
      <c r="M24152" s="9" t="s">
        <v>24</v>
      </c>
    </row>
    <row r="24153" ht="15.75" customHeight="1">
      <c r="A24153" s="7"/>
      <c r="B24153" s="7"/>
      <c r="M24153" s="9" t="s">
        <v>20</v>
      </c>
    </row>
    <row r="24154" ht="15.75" customHeight="1">
      <c r="A24154" s="7"/>
      <c r="B24154" s="7"/>
      <c r="M24154" s="9" t="s">
        <v>27</v>
      </c>
    </row>
    <row r="24155" ht="15.75" customHeight="1">
      <c r="A24155" s="7"/>
      <c r="B24155" s="7"/>
      <c r="M24155" s="9" t="s">
        <v>21</v>
      </c>
    </row>
    <row r="24156" ht="15.75" customHeight="1">
      <c r="A24156" s="7"/>
      <c r="B24156" s="7"/>
      <c r="M24156" s="9" t="s">
        <v>24</v>
      </c>
    </row>
    <row r="24157" ht="15.75" customHeight="1">
      <c r="A24157" s="7"/>
      <c r="B24157" s="7"/>
      <c r="M24157" s="9" t="s">
        <v>30</v>
      </c>
    </row>
    <row r="24158" ht="15.75" customHeight="1">
      <c r="A24158" s="7"/>
      <c r="B24158" s="7"/>
      <c r="M24158" s="9" t="s">
        <v>24</v>
      </c>
    </row>
    <row r="24159" ht="15.75" customHeight="1">
      <c r="A24159" s="7"/>
      <c r="B24159" s="7"/>
      <c r="M24159" s="9" t="s">
        <v>21</v>
      </c>
    </row>
    <row r="24160" ht="15.75" customHeight="1">
      <c r="A24160" s="7"/>
      <c r="B24160" s="7"/>
      <c r="M24160" s="9" t="s">
        <v>22</v>
      </c>
    </row>
    <row r="24161" ht="15.75" customHeight="1">
      <c r="A24161" s="7"/>
      <c r="B24161" s="7"/>
      <c r="M24161" s="9" t="s">
        <v>27</v>
      </c>
    </row>
    <row r="24162" ht="15.75" customHeight="1">
      <c r="A24162" s="7"/>
      <c r="B24162" s="7"/>
      <c r="M24162" s="9" t="s">
        <v>40</v>
      </c>
    </row>
    <row r="24163" ht="15.75" customHeight="1">
      <c r="A24163" s="7"/>
      <c r="B24163" s="7"/>
      <c r="M24163" s="9" t="s">
        <v>30</v>
      </c>
    </row>
    <row r="24164" ht="15.75" customHeight="1">
      <c r="A24164" s="7"/>
      <c r="B24164" s="7"/>
      <c r="M24164" s="9" t="s">
        <v>26</v>
      </c>
    </row>
    <row r="24165" ht="15.75" customHeight="1">
      <c r="A24165" s="7"/>
      <c r="B24165" s="7"/>
      <c r="M24165" s="9" t="s">
        <v>24</v>
      </c>
    </row>
    <row r="24166" ht="15.75" customHeight="1">
      <c r="A24166" s="7"/>
      <c r="B24166" s="7"/>
      <c r="M24166" s="9" t="s">
        <v>22</v>
      </c>
    </row>
    <row r="24167" ht="15.75" customHeight="1">
      <c r="A24167" s="7"/>
      <c r="B24167" s="7"/>
      <c r="M24167" s="9" t="s">
        <v>26</v>
      </c>
    </row>
    <row r="24168" ht="15.75" customHeight="1">
      <c r="A24168" s="7"/>
      <c r="B24168" s="7"/>
      <c r="M24168" s="9" t="s">
        <v>24</v>
      </c>
    </row>
    <row r="24169" ht="15.75" customHeight="1">
      <c r="A24169" s="7"/>
      <c r="B24169" s="7"/>
      <c r="M24169" s="9" t="s">
        <v>21</v>
      </c>
    </row>
    <row r="24170" ht="15.75" customHeight="1">
      <c r="A24170" s="7"/>
      <c r="B24170" s="7"/>
      <c r="M24170" s="9" t="s">
        <v>37</v>
      </c>
    </row>
    <row r="24171" ht="15.75" customHeight="1">
      <c r="A24171" s="7"/>
      <c r="B24171" s="7"/>
      <c r="M24171" s="9" t="s">
        <v>30</v>
      </c>
    </row>
    <row r="24172" ht="15.75" customHeight="1">
      <c r="A24172" s="7"/>
      <c r="B24172" s="7"/>
      <c r="M24172" s="9" t="s">
        <v>24</v>
      </c>
    </row>
    <row r="24173" ht="15.75" customHeight="1">
      <c r="A24173" s="7"/>
      <c r="B24173" s="7"/>
      <c r="M24173" s="9" t="s">
        <v>20</v>
      </c>
    </row>
    <row r="24174" ht="15.75" customHeight="1">
      <c r="A24174" s="7"/>
      <c r="B24174" s="7"/>
      <c r="M24174" s="9" t="s">
        <v>21</v>
      </c>
    </row>
    <row r="24175" ht="15.75" customHeight="1">
      <c r="A24175" s="7"/>
      <c r="B24175" s="7"/>
      <c r="M24175" s="9" t="s">
        <v>27</v>
      </c>
    </row>
    <row r="24176" ht="15.75" customHeight="1">
      <c r="A24176" s="7"/>
      <c r="B24176" s="7"/>
      <c r="M24176" s="9" t="s">
        <v>30</v>
      </c>
    </row>
    <row r="24177" ht="15.75" customHeight="1">
      <c r="A24177" s="7"/>
      <c r="B24177" s="7"/>
      <c r="M24177" s="9" t="s">
        <v>23</v>
      </c>
    </row>
    <row r="24178" ht="15.75" customHeight="1">
      <c r="A24178" s="7"/>
      <c r="B24178" s="7"/>
      <c r="M24178" s="9" t="s">
        <v>26</v>
      </c>
    </row>
    <row r="24179" ht="15.75" customHeight="1">
      <c r="A24179" s="7"/>
      <c r="B24179" s="7"/>
      <c r="M24179" s="9" t="s">
        <v>24</v>
      </c>
    </row>
    <row r="24180" ht="15.75" customHeight="1">
      <c r="A24180" s="7"/>
      <c r="B24180" s="7"/>
      <c r="M24180" s="9" t="s">
        <v>21</v>
      </c>
    </row>
    <row r="24181" ht="15.75" customHeight="1">
      <c r="A24181" s="7"/>
      <c r="B24181" s="7"/>
      <c r="M24181" s="9" t="s">
        <v>37</v>
      </c>
    </row>
    <row r="24182" ht="15.75" customHeight="1">
      <c r="A24182" s="7"/>
      <c r="B24182" s="7"/>
      <c r="M24182" s="9" t="s">
        <v>22</v>
      </c>
    </row>
    <row r="24183" ht="15.75" customHeight="1">
      <c r="A24183" s="7"/>
      <c r="B24183" s="7"/>
      <c r="M24183" s="9" t="s">
        <v>40</v>
      </c>
    </row>
    <row r="24184" ht="15.75" customHeight="1">
      <c r="A24184" s="7"/>
      <c r="B24184" s="7"/>
      <c r="M24184" s="9" t="s">
        <v>20</v>
      </c>
    </row>
    <row r="24185" ht="15.75" customHeight="1">
      <c r="A24185" s="7"/>
      <c r="B24185" s="7"/>
      <c r="M24185" s="9" t="s">
        <v>25</v>
      </c>
    </row>
    <row r="24186" ht="15.75" customHeight="1">
      <c r="A24186" s="7"/>
      <c r="B24186" s="7"/>
      <c r="M24186" s="9" t="s">
        <v>24</v>
      </c>
    </row>
    <row r="24187" ht="15.75" customHeight="1">
      <c r="A24187" s="7"/>
      <c r="B24187" s="7"/>
      <c r="M24187" s="9" t="s">
        <v>20</v>
      </c>
    </row>
    <row r="24188" ht="15.75" customHeight="1">
      <c r="A24188" s="7"/>
      <c r="B24188" s="7"/>
      <c r="M24188" s="9" t="s">
        <v>21</v>
      </c>
    </row>
    <row r="24189" ht="15.75" customHeight="1">
      <c r="A24189" s="7"/>
      <c r="B24189" s="7"/>
      <c r="M24189" s="9" t="s">
        <v>37</v>
      </c>
    </row>
    <row r="24190" ht="15.75" customHeight="1">
      <c r="A24190" s="7"/>
      <c r="B24190" s="7"/>
      <c r="M24190" s="9" t="s">
        <v>27</v>
      </c>
    </row>
    <row r="24191" ht="15.75" customHeight="1">
      <c r="A24191" s="7"/>
      <c r="B24191" s="7"/>
      <c r="M24191" s="9" t="s">
        <v>25</v>
      </c>
    </row>
    <row r="24192" ht="15.75" customHeight="1">
      <c r="A24192" s="7"/>
      <c r="B24192" s="7"/>
      <c r="M24192" s="9" t="s">
        <v>24</v>
      </c>
    </row>
    <row r="24193" ht="15.75" customHeight="1">
      <c r="A24193" s="7"/>
      <c r="B24193" s="7"/>
      <c r="M24193" s="9" t="s">
        <v>20</v>
      </c>
    </row>
    <row r="24194" ht="15.75" customHeight="1">
      <c r="A24194" s="7"/>
      <c r="B24194" s="7"/>
      <c r="M24194" s="9" t="s">
        <v>21</v>
      </c>
    </row>
    <row r="24195" ht="15.75" customHeight="1">
      <c r="A24195" s="7"/>
      <c r="B24195" s="7"/>
      <c r="M24195" s="9" t="s">
        <v>37</v>
      </c>
    </row>
    <row r="24196" ht="15.75" customHeight="1">
      <c r="A24196" s="7"/>
      <c r="B24196" s="7"/>
      <c r="M24196" s="9" t="s">
        <v>27</v>
      </c>
    </row>
    <row r="24197" ht="15.75" customHeight="1">
      <c r="A24197" s="7"/>
      <c r="B24197" s="7"/>
      <c r="M24197" s="9" t="s">
        <v>33</v>
      </c>
    </row>
    <row r="24198" ht="15.75" customHeight="1">
      <c r="A24198" s="7"/>
      <c r="B24198" s="7"/>
      <c r="M24198" s="9" t="s">
        <v>30</v>
      </c>
    </row>
    <row r="24199" ht="15.75" customHeight="1">
      <c r="A24199" s="7"/>
      <c r="B24199" s="7"/>
      <c r="M24199" s="9" t="s">
        <v>20</v>
      </c>
    </row>
    <row r="24200" ht="15.75" customHeight="1">
      <c r="A24200" s="7"/>
      <c r="B24200" s="7"/>
      <c r="M24200" s="9" t="s">
        <v>21</v>
      </c>
    </row>
    <row r="24201" ht="15.75" customHeight="1">
      <c r="A24201" s="7"/>
      <c r="B24201" s="7"/>
      <c r="M24201" s="9" t="s">
        <v>22</v>
      </c>
    </row>
    <row r="24202" ht="15.75" customHeight="1">
      <c r="A24202" s="7"/>
      <c r="B24202" s="7"/>
      <c r="M24202" s="9" t="s">
        <v>46</v>
      </c>
    </row>
    <row r="24203" ht="15.75" customHeight="1">
      <c r="A24203" s="7"/>
      <c r="B24203" s="7"/>
      <c r="M24203" s="9" t="s">
        <v>33</v>
      </c>
    </row>
    <row r="24204" ht="15.75" customHeight="1">
      <c r="A24204" s="7"/>
      <c r="B24204" s="7"/>
      <c r="M24204" s="9" t="s">
        <v>23</v>
      </c>
    </row>
    <row r="24205" ht="15.75" customHeight="1">
      <c r="A24205" s="7"/>
      <c r="B24205" s="7"/>
      <c r="M24205" s="9" t="s">
        <v>24</v>
      </c>
    </row>
    <row r="24206" ht="15.75" customHeight="1">
      <c r="A24206" s="7"/>
      <c r="B24206" s="7"/>
      <c r="M24206" s="9" t="s">
        <v>22</v>
      </c>
    </row>
    <row r="24207" ht="15.75" customHeight="1">
      <c r="A24207" s="7"/>
      <c r="B24207" s="7"/>
      <c r="M24207" s="9" t="s">
        <v>25</v>
      </c>
    </row>
    <row r="24208" ht="15.75" customHeight="1">
      <c r="A24208" s="7"/>
      <c r="B24208" s="7"/>
      <c r="M24208" s="9" t="s">
        <v>23</v>
      </c>
    </row>
    <row r="24209" ht="15.75" customHeight="1">
      <c r="A24209" s="7"/>
      <c r="B24209" s="7"/>
      <c r="M24209" s="9" t="s">
        <v>26</v>
      </c>
    </row>
    <row r="24210" ht="15.75" customHeight="1">
      <c r="A24210" s="7"/>
      <c r="B24210" s="7"/>
      <c r="M24210" s="9" t="s">
        <v>24</v>
      </c>
    </row>
    <row r="24211" ht="15.75" customHeight="1">
      <c r="A24211" s="7"/>
      <c r="B24211" s="7"/>
      <c r="M24211" s="9" t="s">
        <v>21</v>
      </c>
    </row>
    <row r="24212" ht="15.75" customHeight="1">
      <c r="A24212" s="7"/>
      <c r="B24212" s="7"/>
      <c r="M24212" s="9" t="s">
        <v>27</v>
      </c>
    </row>
    <row r="24213" ht="15.75" customHeight="1">
      <c r="A24213" s="7"/>
      <c r="B24213" s="7"/>
      <c r="M24213" s="9" t="s">
        <v>29</v>
      </c>
    </row>
    <row r="24214" ht="15.75" customHeight="1">
      <c r="A24214" s="7"/>
      <c r="B24214" s="7"/>
      <c r="M24214" s="9" t="s">
        <v>30</v>
      </c>
    </row>
    <row r="24215" ht="15.75" customHeight="1">
      <c r="A24215" s="7"/>
      <c r="B24215" s="7"/>
      <c r="M24215" s="9" t="s">
        <v>25</v>
      </c>
    </row>
    <row r="24216" ht="15.75" customHeight="1">
      <c r="A24216" s="7"/>
      <c r="B24216" s="7"/>
      <c r="M24216" s="9" t="s">
        <v>23</v>
      </c>
    </row>
    <row r="24217" ht="15.75" customHeight="1">
      <c r="A24217" s="7"/>
      <c r="B24217" s="7"/>
      <c r="M24217" s="9" t="s">
        <v>22</v>
      </c>
    </row>
    <row r="24218" ht="15.75" customHeight="1">
      <c r="A24218" s="7"/>
      <c r="B24218" s="7"/>
      <c r="M24218" s="9" t="s">
        <v>28</v>
      </c>
    </row>
    <row r="24219" ht="15.75" customHeight="1">
      <c r="A24219" s="7"/>
      <c r="B24219" s="7"/>
      <c r="M24219" s="9" t="s">
        <v>25</v>
      </c>
    </row>
    <row r="24220" ht="15.75" customHeight="1">
      <c r="A24220" s="7"/>
      <c r="B24220" s="7"/>
      <c r="M24220" s="9" t="s">
        <v>26</v>
      </c>
    </row>
    <row r="24221" ht="15.75" customHeight="1">
      <c r="A24221" s="7"/>
      <c r="B24221" s="7"/>
      <c r="M24221" s="9" t="s">
        <v>24</v>
      </c>
    </row>
    <row r="24222" ht="15.75" customHeight="1">
      <c r="A24222" s="7"/>
      <c r="B24222" s="7"/>
      <c r="M24222" s="9" t="s">
        <v>20</v>
      </c>
    </row>
    <row r="24223" ht="15.75" customHeight="1">
      <c r="A24223" s="7"/>
      <c r="B24223" s="7"/>
      <c r="M24223" s="9" t="s">
        <v>21</v>
      </c>
    </row>
    <row r="24224" ht="15.75" customHeight="1">
      <c r="A24224" s="7"/>
      <c r="B24224" s="7"/>
      <c r="M24224" s="9" t="s">
        <v>37</v>
      </c>
    </row>
    <row r="24225" ht="15.75" customHeight="1">
      <c r="A24225" s="7"/>
      <c r="B24225" s="7"/>
      <c r="M24225" s="9" t="s">
        <v>27</v>
      </c>
    </row>
    <row r="24226" ht="15.75" customHeight="1">
      <c r="A24226" s="7"/>
      <c r="B24226" s="7"/>
      <c r="M24226" s="9" t="s">
        <v>25</v>
      </c>
    </row>
    <row r="24227" ht="15.75" customHeight="1">
      <c r="A24227" s="7"/>
      <c r="B24227" s="7"/>
      <c r="M24227" s="9" t="s">
        <v>23</v>
      </c>
    </row>
    <row r="24228" ht="15.75" customHeight="1">
      <c r="A24228" s="7"/>
      <c r="B24228" s="7"/>
      <c r="M24228" s="9" t="s">
        <v>47</v>
      </c>
    </row>
    <row r="24229" ht="15.75" customHeight="1">
      <c r="A24229" s="7"/>
      <c r="B24229" s="7"/>
      <c r="M24229" s="9" t="s">
        <v>24</v>
      </c>
    </row>
    <row r="24230" ht="15.75" customHeight="1">
      <c r="A24230" s="7"/>
      <c r="B24230" s="7"/>
      <c r="M24230" s="9" t="s">
        <v>20</v>
      </c>
    </row>
    <row r="24231" ht="15.75" customHeight="1">
      <c r="A24231" s="7"/>
      <c r="B24231" s="7"/>
      <c r="M24231" s="9" t="s">
        <v>21</v>
      </c>
    </row>
    <row r="24232" ht="15.75" customHeight="1">
      <c r="A24232" s="7"/>
      <c r="B24232" s="7"/>
      <c r="M24232" s="9" t="s">
        <v>22</v>
      </c>
    </row>
    <row r="24233" ht="15.75" customHeight="1">
      <c r="A24233" s="7"/>
      <c r="B24233" s="7"/>
      <c r="M24233" s="9" t="s">
        <v>27</v>
      </c>
    </row>
    <row r="24234" ht="15.75" customHeight="1">
      <c r="A24234" s="7"/>
      <c r="B24234" s="7"/>
      <c r="M24234" s="9" t="s">
        <v>26</v>
      </c>
    </row>
    <row r="24235" ht="15.75" customHeight="1">
      <c r="A24235" s="7"/>
      <c r="B24235" s="7"/>
      <c r="M24235" s="9" t="s">
        <v>25</v>
      </c>
    </row>
    <row r="24236" ht="15.75" customHeight="1">
      <c r="A24236" s="7"/>
      <c r="B24236" s="7"/>
      <c r="M24236" s="9" t="s">
        <v>26</v>
      </c>
    </row>
    <row r="24237" ht="15.75" customHeight="1">
      <c r="A24237" s="7"/>
      <c r="B24237" s="7"/>
      <c r="M24237" s="9" t="s">
        <v>21</v>
      </c>
    </row>
    <row r="24238" ht="15.75" customHeight="1">
      <c r="A24238" s="7"/>
      <c r="B24238" s="7"/>
      <c r="M24238" s="9" t="s">
        <v>27</v>
      </c>
    </row>
    <row r="24239" ht="15.75" customHeight="1">
      <c r="A24239" s="7"/>
      <c r="B24239" s="7"/>
      <c r="M24239" s="9" t="s">
        <v>28</v>
      </c>
    </row>
    <row r="24240" ht="15.75" customHeight="1">
      <c r="A24240" s="7"/>
      <c r="B24240" s="7"/>
      <c r="M24240" s="9" t="s">
        <v>30</v>
      </c>
    </row>
    <row r="24241" ht="15.75" customHeight="1">
      <c r="A24241" s="7"/>
      <c r="B24241" s="7"/>
      <c r="M24241" s="9" t="s">
        <v>24</v>
      </c>
    </row>
    <row r="24242" ht="15.75" customHeight="1">
      <c r="A24242" s="7"/>
      <c r="B24242" s="7"/>
      <c r="M24242" s="9" t="s">
        <v>20</v>
      </c>
    </row>
    <row r="24243" ht="15.75" customHeight="1">
      <c r="A24243" s="7"/>
      <c r="B24243" s="7"/>
      <c r="M24243" s="9" t="s">
        <v>37</v>
      </c>
    </row>
    <row r="24244" ht="15.75" customHeight="1">
      <c r="A24244" s="7"/>
      <c r="B24244" s="7"/>
      <c r="M24244" s="9" t="s">
        <v>22</v>
      </c>
    </row>
    <row r="24245" ht="15.75" customHeight="1">
      <c r="A24245" s="7"/>
      <c r="B24245" s="7"/>
      <c r="M24245" s="9" t="s">
        <v>27</v>
      </c>
    </row>
    <row r="24246" ht="15.75" customHeight="1">
      <c r="A24246" s="7"/>
      <c r="B24246" s="7"/>
      <c r="M24246" s="9" t="s">
        <v>30</v>
      </c>
    </row>
    <row r="24247" ht="15.75" customHeight="1">
      <c r="A24247" s="7"/>
      <c r="B24247" s="7"/>
      <c r="M24247" s="9" t="s">
        <v>26</v>
      </c>
    </row>
    <row r="24248" ht="15.75" customHeight="1">
      <c r="A24248" s="7"/>
      <c r="B24248" s="7"/>
      <c r="M24248" s="9" t="s">
        <v>24</v>
      </c>
    </row>
    <row r="24249" ht="15.75" customHeight="1">
      <c r="A24249" s="7"/>
      <c r="B24249" s="7"/>
      <c r="M24249" s="9" t="s">
        <v>20</v>
      </c>
    </row>
    <row r="24250" ht="15.75" customHeight="1">
      <c r="A24250" s="7"/>
      <c r="B24250" s="7"/>
      <c r="M24250" s="9" t="s">
        <v>21</v>
      </c>
    </row>
    <row r="24251" ht="15.75" customHeight="1">
      <c r="A24251" s="7"/>
      <c r="B24251" s="7"/>
      <c r="M24251" s="9" t="s">
        <v>37</v>
      </c>
    </row>
    <row r="24252" ht="15.75" customHeight="1">
      <c r="A24252" s="7"/>
      <c r="B24252" s="7"/>
      <c r="M24252" s="9" t="s">
        <v>22</v>
      </c>
    </row>
    <row r="24253" ht="15.75" customHeight="1">
      <c r="A24253" s="7"/>
      <c r="B24253" s="7"/>
      <c r="M24253" s="9" t="s">
        <v>27</v>
      </c>
    </row>
    <row r="24254" ht="15.75" customHeight="1">
      <c r="A24254" s="7"/>
      <c r="B24254" s="7"/>
      <c r="M24254" s="9" t="s">
        <v>23</v>
      </c>
    </row>
    <row r="24255" ht="15.75" customHeight="1">
      <c r="A24255" s="7"/>
      <c r="B24255" s="7"/>
      <c r="M24255" s="9" t="s">
        <v>26</v>
      </c>
    </row>
    <row r="24256" ht="15.75" customHeight="1">
      <c r="A24256" s="7"/>
      <c r="B24256" s="7"/>
      <c r="M24256" s="9" t="s">
        <v>35</v>
      </c>
    </row>
    <row r="24257" ht="15.75" customHeight="1">
      <c r="A24257" s="7"/>
      <c r="B24257" s="7"/>
      <c r="M24257" s="9" t="s">
        <v>39</v>
      </c>
    </row>
    <row r="24258" ht="15.75" customHeight="1">
      <c r="A24258" s="7"/>
      <c r="B24258" s="7"/>
      <c r="M24258" s="9" t="s">
        <v>40</v>
      </c>
    </row>
    <row r="24259" ht="15.75" customHeight="1">
      <c r="A24259" s="7"/>
      <c r="B24259" s="7"/>
      <c r="M24259" s="9" t="s">
        <v>25</v>
      </c>
    </row>
    <row r="24260" ht="15.75" customHeight="1">
      <c r="A24260" s="7"/>
      <c r="B24260" s="7"/>
      <c r="M24260" s="9" t="s">
        <v>26</v>
      </c>
    </row>
    <row r="24261" ht="15.75" customHeight="1">
      <c r="A24261" s="7"/>
      <c r="B24261" s="7"/>
      <c r="M24261" s="9" t="s">
        <v>24</v>
      </c>
    </row>
    <row r="24262" ht="15.75" customHeight="1">
      <c r="A24262" s="7"/>
      <c r="B24262" s="7"/>
      <c r="M24262" s="9" t="s">
        <v>21</v>
      </c>
    </row>
    <row r="24263" ht="15.75" customHeight="1">
      <c r="A24263" s="7"/>
      <c r="B24263" s="7"/>
      <c r="M24263" s="9" t="s">
        <v>27</v>
      </c>
    </row>
    <row r="24264" ht="15.75" customHeight="1">
      <c r="A24264" s="7"/>
      <c r="B24264" s="7"/>
      <c r="M24264" s="9" t="s">
        <v>36</v>
      </c>
    </row>
    <row r="24265" ht="15.75" customHeight="1">
      <c r="A24265" s="7"/>
      <c r="B24265" s="7"/>
      <c r="M24265" s="9" t="s">
        <v>21</v>
      </c>
    </row>
    <row r="24266" ht="15.75" customHeight="1">
      <c r="A24266" s="7"/>
      <c r="B24266" s="7"/>
      <c r="M24266" s="9" t="s">
        <v>32</v>
      </c>
    </row>
    <row r="24267" ht="15.75" customHeight="1">
      <c r="A24267" s="7"/>
      <c r="B24267" s="7"/>
      <c r="M24267" s="9" t="s">
        <v>33</v>
      </c>
    </row>
    <row r="24268" ht="15.75" customHeight="1">
      <c r="A24268" s="7"/>
      <c r="B24268" s="7"/>
      <c r="M24268" s="9" t="s">
        <v>35</v>
      </c>
    </row>
    <row r="24269" ht="15.75" customHeight="1">
      <c r="A24269" s="7"/>
      <c r="B24269" s="7"/>
      <c r="M24269" s="9" t="s">
        <v>38</v>
      </c>
    </row>
    <row r="24270" ht="15.75" customHeight="1">
      <c r="A24270" s="7"/>
      <c r="B24270" s="7"/>
      <c r="M24270" s="9" t="s">
        <v>24</v>
      </c>
    </row>
    <row r="24271" ht="15.75" customHeight="1">
      <c r="A24271" s="7"/>
      <c r="B24271" s="7"/>
      <c r="M24271" s="9" t="s">
        <v>20</v>
      </c>
    </row>
    <row r="24272" ht="15.75" customHeight="1">
      <c r="A24272" s="7"/>
      <c r="B24272" s="7"/>
      <c r="M24272" s="9" t="s">
        <v>21</v>
      </c>
    </row>
    <row r="24273" ht="15.75" customHeight="1">
      <c r="A24273" s="7"/>
      <c r="B24273" s="7"/>
      <c r="M24273" s="9" t="s">
        <v>22</v>
      </c>
    </row>
    <row r="24274" ht="15.75" customHeight="1">
      <c r="A24274" s="7"/>
      <c r="B24274" s="7"/>
      <c r="M24274" s="9" t="s">
        <v>27</v>
      </c>
    </row>
    <row r="24275" ht="15.75" customHeight="1">
      <c r="A24275" s="7"/>
      <c r="B24275" s="7"/>
      <c r="M24275" s="9" t="s">
        <v>33</v>
      </c>
    </row>
    <row r="24276" ht="15.75" customHeight="1">
      <c r="A24276" s="7"/>
      <c r="B24276" s="7"/>
      <c r="M24276" s="9" t="s">
        <v>30</v>
      </c>
    </row>
    <row r="24277" ht="15.75" customHeight="1">
      <c r="A24277" s="7"/>
      <c r="B24277" s="7"/>
      <c r="M24277" s="9" t="s">
        <v>24</v>
      </c>
    </row>
    <row r="24278" ht="15.75" customHeight="1">
      <c r="A24278" s="7"/>
      <c r="B24278" s="7"/>
      <c r="M24278" s="9" t="s">
        <v>21</v>
      </c>
    </row>
    <row r="24279" ht="15.75" customHeight="1">
      <c r="A24279" s="7"/>
      <c r="B24279" s="7"/>
      <c r="M24279" s="9" t="s">
        <v>22</v>
      </c>
    </row>
    <row r="24280" ht="15.75" customHeight="1">
      <c r="A24280" s="7"/>
      <c r="B24280" s="7"/>
      <c r="M24280" s="9" t="s">
        <v>31</v>
      </c>
    </row>
    <row r="24281" ht="15.75" customHeight="1">
      <c r="A24281" s="7"/>
      <c r="B24281" s="7"/>
      <c r="M24281" s="9" t="s">
        <v>24</v>
      </c>
    </row>
    <row r="24282" ht="15.75" customHeight="1">
      <c r="A24282" s="7"/>
      <c r="B24282" s="7"/>
      <c r="M24282" s="9" t="s">
        <v>20</v>
      </c>
    </row>
    <row r="24283" ht="15.75" customHeight="1">
      <c r="A24283" s="7"/>
      <c r="B24283" s="7"/>
      <c r="M24283" s="9" t="s">
        <v>21</v>
      </c>
    </row>
    <row r="24284" ht="15.75" customHeight="1">
      <c r="A24284" s="7"/>
      <c r="B24284" s="7"/>
      <c r="M24284" s="9" t="s">
        <v>31</v>
      </c>
    </row>
    <row r="24285" ht="15.75" customHeight="1">
      <c r="A24285" s="7"/>
      <c r="B24285" s="7"/>
      <c r="M24285" s="9" t="s">
        <v>27</v>
      </c>
    </row>
    <row r="24286" ht="15.75" customHeight="1">
      <c r="A24286" s="7"/>
      <c r="B24286" s="7"/>
      <c r="M24286" s="9" t="s">
        <v>25</v>
      </c>
    </row>
    <row r="24287" ht="15.75" customHeight="1">
      <c r="A24287" s="7"/>
      <c r="B24287" s="7"/>
      <c r="M24287" s="9" t="s">
        <v>23</v>
      </c>
    </row>
    <row r="24288" ht="15.75" customHeight="1">
      <c r="A24288" s="7"/>
      <c r="B24288" s="7"/>
      <c r="M24288" s="9" t="s">
        <v>36</v>
      </c>
    </row>
    <row r="24289" ht="15.75" customHeight="1">
      <c r="A24289" s="7"/>
      <c r="B24289" s="7"/>
      <c r="M24289" s="9" t="s">
        <v>21</v>
      </c>
    </row>
    <row r="24290" ht="15.75" customHeight="1">
      <c r="A24290" s="7"/>
      <c r="B24290" s="7"/>
      <c r="M24290" s="9" t="s">
        <v>41</v>
      </c>
    </row>
    <row r="24291" ht="15.75" customHeight="1">
      <c r="A24291" s="7"/>
      <c r="B24291" s="7"/>
      <c r="M24291" s="9" t="s">
        <v>37</v>
      </c>
    </row>
    <row r="24292" ht="15.75" customHeight="1">
      <c r="A24292" s="7"/>
      <c r="B24292" s="7"/>
      <c r="M24292" s="9" t="s">
        <v>22</v>
      </c>
    </row>
    <row r="24293" ht="15.75" customHeight="1">
      <c r="A24293" s="7"/>
      <c r="B24293" s="7"/>
      <c r="M24293" s="9" t="s">
        <v>31</v>
      </c>
    </row>
    <row r="24294" ht="15.75" customHeight="1">
      <c r="A24294" s="7"/>
      <c r="B24294" s="7"/>
      <c r="M24294" s="9" t="s">
        <v>27</v>
      </c>
    </row>
    <row r="24295" ht="15.75" customHeight="1">
      <c r="A24295" s="7"/>
      <c r="B24295" s="7"/>
      <c r="M24295" s="9" t="s">
        <v>40</v>
      </c>
    </row>
    <row r="24296" ht="15.75" customHeight="1">
      <c r="A24296" s="7"/>
      <c r="B24296" s="7"/>
      <c r="M24296" s="9" t="s">
        <v>33</v>
      </c>
    </row>
    <row r="24297" ht="15.75" customHeight="1">
      <c r="A24297" s="7"/>
      <c r="B24297" s="7"/>
      <c r="M24297" s="9" t="s">
        <v>35</v>
      </c>
    </row>
    <row r="24298" ht="15.75" customHeight="1">
      <c r="A24298" s="7"/>
      <c r="B24298" s="7"/>
      <c r="M24298" s="9" t="s">
        <v>30</v>
      </c>
    </row>
    <row r="24299" ht="15.75" customHeight="1">
      <c r="A24299" s="7"/>
      <c r="B24299" s="7"/>
      <c r="M24299" s="9" t="s">
        <v>26</v>
      </c>
    </row>
    <row r="24300" ht="15.75" customHeight="1">
      <c r="A24300" s="7"/>
      <c r="B24300" s="7"/>
      <c r="M24300" s="9" t="s">
        <v>24</v>
      </c>
    </row>
    <row r="24301" ht="15.75" customHeight="1">
      <c r="A24301" s="7"/>
      <c r="B24301" s="7"/>
      <c r="M24301" s="9" t="s">
        <v>21</v>
      </c>
    </row>
    <row r="24302" ht="15.75" customHeight="1">
      <c r="A24302" s="7"/>
      <c r="B24302" s="7"/>
      <c r="M24302" s="9" t="s">
        <v>27</v>
      </c>
    </row>
    <row r="24303" ht="15.75" customHeight="1">
      <c r="A24303" s="7"/>
      <c r="B24303" s="7"/>
      <c r="M24303" s="9" t="s">
        <v>25</v>
      </c>
    </row>
    <row r="24304" ht="15.75" customHeight="1">
      <c r="A24304" s="7"/>
      <c r="B24304" s="7"/>
      <c r="M24304" s="9" t="s">
        <v>23</v>
      </c>
    </row>
    <row r="24305" ht="15.75" customHeight="1">
      <c r="A24305" s="7"/>
      <c r="B24305" s="7"/>
      <c r="M24305" s="9" t="s">
        <v>26</v>
      </c>
    </row>
    <row r="24306" ht="15.75" customHeight="1">
      <c r="A24306" s="7"/>
      <c r="B24306" s="7"/>
      <c r="M24306" s="9" t="s">
        <v>24</v>
      </c>
    </row>
    <row r="24307" ht="15.75" customHeight="1">
      <c r="A24307" s="7"/>
      <c r="B24307" s="7"/>
      <c r="M24307" s="9" t="s">
        <v>20</v>
      </c>
    </row>
    <row r="24308" ht="15.75" customHeight="1">
      <c r="A24308" s="7"/>
      <c r="B24308" s="7"/>
      <c r="M24308" s="9" t="s">
        <v>21</v>
      </c>
    </row>
    <row r="24309" ht="15.75" customHeight="1">
      <c r="A24309" s="7"/>
      <c r="B24309" s="7"/>
      <c r="M24309" s="9" t="s">
        <v>39</v>
      </c>
    </row>
    <row r="24310" ht="15.75" customHeight="1">
      <c r="A24310" s="7"/>
      <c r="B24310" s="7"/>
      <c r="M24310" s="9" t="s">
        <v>40</v>
      </c>
    </row>
    <row r="24311" ht="15.75" customHeight="1">
      <c r="A24311" s="7"/>
      <c r="B24311" s="7"/>
      <c r="M24311" s="9" t="s">
        <v>26</v>
      </c>
    </row>
    <row r="24312" ht="15.75" customHeight="1">
      <c r="A24312" s="7"/>
      <c r="B24312" s="7"/>
      <c r="M24312" s="9" t="s">
        <v>24</v>
      </c>
    </row>
    <row r="24313" ht="15.75" customHeight="1">
      <c r="A24313" s="7"/>
      <c r="B24313" s="7"/>
      <c r="M24313" s="9" t="s">
        <v>21</v>
      </c>
    </row>
    <row r="24314" ht="15.75" customHeight="1">
      <c r="A24314" s="7"/>
      <c r="B24314" s="7"/>
      <c r="M24314" s="9" t="s">
        <v>27</v>
      </c>
    </row>
    <row r="24315" ht="15.75" customHeight="1">
      <c r="A24315" s="7"/>
      <c r="B24315" s="7"/>
      <c r="M24315" s="9" t="s">
        <v>25</v>
      </c>
    </row>
    <row r="24316" ht="15.75" customHeight="1">
      <c r="A24316" s="7"/>
      <c r="B24316" s="7"/>
      <c r="M24316" s="9" t="s">
        <v>26</v>
      </c>
    </row>
    <row r="24317" ht="15.75" customHeight="1">
      <c r="A24317" s="7"/>
      <c r="B24317" s="7"/>
      <c r="M24317" s="9" t="s">
        <v>24</v>
      </c>
    </row>
    <row r="24318" ht="15.75" customHeight="1">
      <c r="A24318" s="7"/>
      <c r="B24318" s="7"/>
      <c r="M24318" s="9" t="s">
        <v>20</v>
      </c>
    </row>
    <row r="24319" ht="15.75" customHeight="1">
      <c r="A24319" s="7"/>
      <c r="B24319" s="7"/>
      <c r="M24319" s="9" t="s">
        <v>21</v>
      </c>
    </row>
    <row r="24320" ht="15.75" customHeight="1">
      <c r="A24320" s="7"/>
      <c r="B24320" s="7"/>
      <c r="M24320" s="9" t="s">
        <v>37</v>
      </c>
    </row>
    <row r="24321" ht="15.75" customHeight="1">
      <c r="A24321" s="7"/>
      <c r="B24321" s="7"/>
      <c r="M24321" s="9" t="s">
        <v>22</v>
      </c>
    </row>
    <row r="24322" ht="15.75" customHeight="1">
      <c r="A24322" s="7"/>
      <c r="B24322" s="7"/>
      <c r="M24322" s="9" t="s">
        <v>27</v>
      </c>
    </row>
    <row r="24323" ht="15.75" customHeight="1">
      <c r="A24323" s="7"/>
      <c r="B24323" s="7"/>
      <c r="M24323" s="9" t="s">
        <v>33</v>
      </c>
    </row>
    <row r="24324" ht="15.75" customHeight="1">
      <c r="A24324" s="7"/>
      <c r="B24324" s="7"/>
      <c r="M24324" s="9" t="s">
        <v>25</v>
      </c>
    </row>
    <row r="24325" ht="15.75" customHeight="1">
      <c r="A24325" s="7"/>
      <c r="B24325" s="7"/>
      <c r="M24325" s="9" t="s">
        <v>26</v>
      </c>
    </row>
    <row r="24326" ht="15.75" customHeight="1">
      <c r="A24326" s="7"/>
      <c r="B24326" s="7"/>
      <c r="M24326" s="9" t="s">
        <v>22</v>
      </c>
    </row>
    <row r="24327" ht="15.75" customHeight="1">
      <c r="A24327" s="7"/>
      <c r="B24327" s="7"/>
      <c r="M24327" s="9" t="s">
        <v>27</v>
      </c>
    </row>
    <row r="24328" ht="15.75" customHeight="1">
      <c r="A24328" s="7"/>
      <c r="B24328" s="7"/>
      <c r="M24328" s="9" t="s">
        <v>22</v>
      </c>
    </row>
    <row r="24329" ht="15.75" customHeight="1">
      <c r="A24329" s="7"/>
      <c r="B24329" s="7"/>
      <c r="M24329" s="9" t="s">
        <v>35</v>
      </c>
    </row>
    <row r="24330" ht="15.75" customHeight="1">
      <c r="A24330" s="7"/>
      <c r="B24330" s="7"/>
      <c r="M24330" s="9" t="s">
        <v>24</v>
      </c>
    </row>
    <row r="24331" ht="15.75" customHeight="1">
      <c r="A24331" s="7"/>
      <c r="B24331" s="7"/>
      <c r="M24331" s="9" t="s">
        <v>21</v>
      </c>
    </row>
    <row r="24332" ht="15.75" customHeight="1">
      <c r="A24332" s="7"/>
      <c r="B24332" s="7"/>
      <c r="M24332" s="9" t="s">
        <v>31</v>
      </c>
    </row>
    <row r="24333" ht="15.75" customHeight="1">
      <c r="A24333" s="7"/>
      <c r="B24333" s="7"/>
      <c r="M24333" s="9" t="s">
        <v>27</v>
      </c>
    </row>
    <row r="24334" ht="15.75" customHeight="1">
      <c r="A24334" s="7"/>
      <c r="B24334" s="7"/>
      <c r="M24334" s="9" t="s">
        <v>26</v>
      </c>
    </row>
    <row r="24335" ht="15.75" customHeight="1">
      <c r="A24335" s="7"/>
      <c r="B24335" s="7"/>
      <c r="M24335" s="9" t="s">
        <v>45</v>
      </c>
    </row>
    <row r="24336" ht="15.75" customHeight="1">
      <c r="A24336" s="7"/>
      <c r="B24336" s="7"/>
      <c r="M24336" s="9" t="s">
        <v>24</v>
      </c>
    </row>
    <row r="24337" ht="15.75" customHeight="1">
      <c r="A24337" s="7"/>
      <c r="B24337" s="7"/>
      <c r="M24337" s="9" t="s">
        <v>21</v>
      </c>
    </row>
    <row r="24338" ht="15.75" customHeight="1">
      <c r="A24338" s="7"/>
      <c r="B24338" s="7"/>
      <c r="M24338" s="9" t="s">
        <v>33</v>
      </c>
    </row>
    <row r="24339" ht="15.75" customHeight="1">
      <c r="A24339" s="7"/>
      <c r="B24339" s="7"/>
      <c r="M24339" s="9" t="s">
        <v>25</v>
      </c>
    </row>
    <row r="24340" ht="15.75" customHeight="1">
      <c r="A24340" s="7"/>
      <c r="B24340" s="7"/>
      <c r="M24340" s="9" t="s">
        <v>23</v>
      </c>
    </row>
    <row r="24341" ht="15.75" customHeight="1">
      <c r="A24341" s="7"/>
      <c r="B24341" s="7"/>
      <c r="M24341" s="9" t="s">
        <v>24</v>
      </c>
    </row>
    <row r="24342" ht="15.75" customHeight="1">
      <c r="A24342" s="7"/>
      <c r="B24342" s="7"/>
      <c r="M24342" s="9" t="s">
        <v>20</v>
      </c>
    </row>
    <row r="24343" ht="15.75" customHeight="1">
      <c r="A24343" s="7"/>
      <c r="B24343" s="7"/>
      <c r="M24343" s="9" t="s">
        <v>21</v>
      </c>
    </row>
    <row r="24344" ht="15.75" customHeight="1">
      <c r="A24344" s="7"/>
      <c r="B24344" s="7"/>
      <c r="M24344" s="9" t="s">
        <v>31</v>
      </c>
    </row>
    <row r="24345" ht="15.75" customHeight="1">
      <c r="A24345" s="7"/>
      <c r="B24345" s="7"/>
      <c r="M24345" s="9" t="s">
        <v>26</v>
      </c>
    </row>
    <row r="24346" ht="15.75" customHeight="1">
      <c r="A24346" s="7"/>
      <c r="B24346" s="7"/>
      <c r="M24346" s="9" t="s">
        <v>30</v>
      </c>
    </row>
    <row r="24347" ht="15.75" customHeight="1">
      <c r="A24347" s="7"/>
      <c r="B24347" s="7"/>
      <c r="M24347" s="9" t="s">
        <v>41</v>
      </c>
    </row>
    <row r="24348" ht="15.75" customHeight="1">
      <c r="A24348" s="7"/>
      <c r="B24348" s="7"/>
      <c r="M24348" s="9" t="s">
        <v>31</v>
      </c>
    </row>
    <row r="24349" ht="15.75" customHeight="1">
      <c r="A24349" s="7"/>
      <c r="B24349" s="7"/>
      <c r="M24349" s="9" t="s">
        <v>40</v>
      </c>
    </row>
    <row r="24350" ht="15.75" customHeight="1">
      <c r="A24350" s="7"/>
      <c r="B24350" s="7"/>
      <c r="M24350" s="9" t="s">
        <v>24</v>
      </c>
    </row>
    <row r="24351" ht="15.75" customHeight="1">
      <c r="A24351" s="7"/>
      <c r="B24351" s="7"/>
      <c r="M24351" s="9" t="s">
        <v>20</v>
      </c>
    </row>
    <row r="24352" ht="15.75" customHeight="1">
      <c r="A24352" s="7"/>
      <c r="B24352" s="7"/>
      <c r="M24352" s="9" t="s">
        <v>21</v>
      </c>
    </row>
    <row r="24353" ht="15.75" customHeight="1">
      <c r="A24353" s="7"/>
      <c r="B24353" s="7"/>
      <c r="M24353" s="9" t="s">
        <v>37</v>
      </c>
    </row>
    <row r="24354" ht="15.75" customHeight="1">
      <c r="A24354" s="7"/>
      <c r="B24354" s="7"/>
      <c r="M24354" s="9" t="s">
        <v>27</v>
      </c>
    </row>
    <row r="24355" ht="15.75" customHeight="1">
      <c r="A24355" s="7"/>
      <c r="B24355" s="7"/>
      <c r="M24355" s="9" t="s">
        <v>33</v>
      </c>
    </row>
    <row r="24356" ht="15.75" customHeight="1">
      <c r="A24356" s="7"/>
      <c r="B24356" s="7"/>
      <c r="M24356" s="9" t="s">
        <v>24</v>
      </c>
    </row>
    <row r="24357" ht="15.75" customHeight="1">
      <c r="A24357" s="7"/>
      <c r="B24357" s="7"/>
      <c r="M24357" s="9" t="s">
        <v>20</v>
      </c>
    </row>
    <row r="24358" ht="15.75" customHeight="1">
      <c r="A24358" s="7"/>
      <c r="B24358" s="7"/>
      <c r="M24358" s="9" t="s">
        <v>21</v>
      </c>
    </row>
    <row r="24359" ht="15.75" customHeight="1">
      <c r="A24359" s="7"/>
      <c r="B24359" s="7"/>
      <c r="M24359" s="9" t="s">
        <v>27</v>
      </c>
    </row>
    <row r="24360" ht="15.75" customHeight="1">
      <c r="A24360" s="7"/>
      <c r="B24360" s="7"/>
      <c r="M24360" s="9" t="s">
        <v>26</v>
      </c>
    </row>
    <row r="24361" ht="15.75" customHeight="1">
      <c r="A24361" s="7"/>
      <c r="B24361" s="7"/>
      <c r="M24361" s="9" t="s">
        <v>24</v>
      </c>
    </row>
    <row r="24362" ht="15.75" customHeight="1">
      <c r="A24362" s="7"/>
      <c r="B24362" s="7"/>
      <c r="M24362" s="9" t="s">
        <v>20</v>
      </c>
    </row>
    <row r="24363" ht="15.75" customHeight="1">
      <c r="A24363" s="7"/>
      <c r="B24363" s="7"/>
      <c r="M24363" s="9" t="s">
        <v>21</v>
      </c>
    </row>
    <row r="24364" ht="15.75" customHeight="1">
      <c r="A24364" s="7"/>
      <c r="B24364" s="7"/>
      <c r="M24364" s="9" t="s">
        <v>37</v>
      </c>
    </row>
    <row r="24365" ht="15.75" customHeight="1">
      <c r="A24365" s="7"/>
      <c r="B24365" s="7"/>
      <c r="M24365" s="9" t="s">
        <v>22</v>
      </c>
    </row>
    <row r="24366" ht="15.75" customHeight="1">
      <c r="A24366" s="7"/>
      <c r="B24366" s="7"/>
      <c r="M24366" s="9" t="s">
        <v>20</v>
      </c>
    </row>
    <row r="24367" ht="15.75" customHeight="1">
      <c r="A24367" s="7"/>
      <c r="B24367" s="7"/>
      <c r="M24367" s="9" t="s">
        <v>21</v>
      </c>
    </row>
    <row r="24368" ht="15.75" customHeight="1">
      <c r="A24368" s="7"/>
      <c r="B24368" s="7"/>
      <c r="M24368" s="9" t="s">
        <v>41</v>
      </c>
    </row>
    <row r="24369" ht="15.75" customHeight="1">
      <c r="A24369" s="7"/>
      <c r="B24369" s="7"/>
      <c r="M24369" s="9" t="s">
        <v>40</v>
      </c>
    </row>
    <row r="24370" ht="15.75" customHeight="1">
      <c r="A24370" s="7"/>
      <c r="B24370" s="7"/>
      <c r="M24370" s="9" t="s">
        <v>30</v>
      </c>
    </row>
    <row r="24371" ht="15.75" customHeight="1">
      <c r="A24371" s="7"/>
      <c r="B24371" s="7"/>
      <c r="M24371" s="9" t="s">
        <v>44</v>
      </c>
    </row>
    <row r="24372" ht="15.75" customHeight="1">
      <c r="A24372" s="7"/>
      <c r="B24372" s="7"/>
      <c r="M24372" s="9" t="s">
        <v>22</v>
      </c>
    </row>
    <row r="24373" ht="15.75" customHeight="1">
      <c r="A24373" s="7"/>
      <c r="B24373" s="7"/>
      <c r="M24373" s="9" t="s">
        <v>30</v>
      </c>
    </row>
    <row r="24374" ht="15.75" customHeight="1">
      <c r="A24374" s="7"/>
      <c r="B24374" s="7"/>
      <c r="M24374" s="9" t="s">
        <v>24</v>
      </c>
    </row>
    <row r="24375" ht="15.75" customHeight="1">
      <c r="A24375" s="7"/>
      <c r="B24375" s="7"/>
      <c r="M24375" s="9" t="s">
        <v>20</v>
      </c>
    </row>
    <row r="24376" ht="15.75" customHeight="1">
      <c r="A24376" s="7"/>
      <c r="B24376" s="7"/>
      <c r="M24376" s="9" t="s">
        <v>21</v>
      </c>
    </row>
    <row r="24377" ht="15.75" customHeight="1">
      <c r="A24377" s="7"/>
      <c r="B24377" s="7"/>
      <c r="M24377" s="9" t="s">
        <v>25</v>
      </c>
    </row>
    <row r="24378" ht="15.75" customHeight="1">
      <c r="A24378" s="7"/>
      <c r="B24378" s="7"/>
      <c r="M24378" s="9" t="s">
        <v>26</v>
      </c>
    </row>
    <row r="24379" ht="15.75" customHeight="1">
      <c r="A24379" s="7"/>
      <c r="B24379" s="7"/>
      <c r="M24379" s="9" t="s">
        <v>21</v>
      </c>
    </row>
    <row r="24380" ht="15.75" customHeight="1">
      <c r="A24380" s="7"/>
      <c r="B24380" s="7"/>
      <c r="M24380" s="9" t="s">
        <v>40</v>
      </c>
    </row>
    <row r="24381" ht="15.75" customHeight="1">
      <c r="A24381" s="7"/>
      <c r="B24381" s="7"/>
      <c r="M24381" s="9" t="s">
        <v>33</v>
      </c>
    </row>
    <row r="24382" ht="15.75" customHeight="1">
      <c r="A24382" s="7"/>
      <c r="B24382" s="7"/>
      <c r="M24382" s="9" t="s">
        <v>24</v>
      </c>
    </row>
    <row r="24383" ht="15.75" customHeight="1">
      <c r="A24383" s="7"/>
      <c r="B24383" s="7"/>
      <c r="M24383" s="9" t="s">
        <v>20</v>
      </c>
    </row>
    <row r="24384" ht="15.75" customHeight="1">
      <c r="A24384" s="7"/>
      <c r="B24384" s="7"/>
      <c r="M24384" s="9" t="s">
        <v>21</v>
      </c>
    </row>
    <row r="24385" ht="15.75" customHeight="1">
      <c r="A24385" s="7"/>
      <c r="B24385" s="7"/>
      <c r="M24385" s="9" t="s">
        <v>31</v>
      </c>
    </row>
    <row r="24386" ht="15.75" customHeight="1">
      <c r="A24386" s="7"/>
      <c r="B24386" s="7"/>
      <c r="M24386" s="9" t="s">
        <v>25</v>
      </c>
    </row>
    <row r="24387" ht="15.75" customHeight="1">
      <c r="A24387" s="7"/>
      <c r="B24387" s="7"/>
      <c r="M24387" s="9" t="s">
        <v>22</v>
      </c>
    </row>
    <row r="24388" ht="15.75" customHeight="1">
      <c r="A24388" s="7"/>
      <c r="B24388" s="7"/>
      <c r="M24388" s="9" t="s">
        <v>32</v>
      </c>
    </row>
    <row r="24389" ht="15.75" customHeight="1">
      <c r="A24389" s="7"/>
      <c r="B24389" s="7"/>
      <c r="M24389" s="9" t="s">
        <v>24</v>
      </c>
    </row>
    <row r="24390" ht="15.75" customHeight="1">
      <c r="A24390" s="7"/>
      <c r="B24390" s="7"/>
      <c r="M24390" s="9" t="s">
        <v>20</v>
      </c>
    </row>
    <row r="24391" ht="15.75" customHeight="1">
      <c r="A24391" s="7"/>
      <c r="B24391" s="7"/>
      <c r="M24391" s="9" t="s">
        <v>21</v>
      </c>
    </row>
    <row r="24392" ht="15.75" customHeight="1">
      <c r="A24392" s="7"/>
      <c r="B24392" s="7"/>
      <c r="M24392" s="9" t="s">
        <v>41</v>
      </c>
    </row>
    <row r="24393" ht="15.75" customHeight="1">
      <c r="A24393" s="7"/>
      <c r="B24393" s="7"/>
      <c r="M24393" s="9" t="s">
        <v>37</v>
      </c>
    </row>
    <row r="24394" ht="15.75" customHeight="1">
      <c r="A24394" s="7"/>
      <c r="B24394" s="7"/>
      <c r="M24394" s="9" t="s">
        <v>31</v>
      </c>
    </row>
    <row r="24395" ht="15.75" customHeight="1">
      <c r="A24395" s="7"/>
      <c r="B24395" s="7"/>
      <c r="M24395" s="9" t="s">
        <v>40</v>
      </c>
    </row>
    <row r="24396" ht="15.75" customHeight="1">
      <c r="A24396" s="7"/>
      <c r="B24396" s="7"/>
      <c r="M24396" s="9" t="s">
        <v>30</v>
      </c>
    </row>
    <row r="24397" ht="15.75" customHeight="1">
      <c r="A24397" s="7"/>
      <c r="B24397" s="7"/>
      <c r="M24397" s="9" t="s">
        <v>20</v>
      </c>
    </row>
    <row r="24398" ht="15.75" customHeight="1">
      <c r="A24398" s="7"/>
      <c r="B24398" s="7"/>
      <c r="M24398" s="9" t="s">
        <v>37</v>
      </c>
    </row>
    <row r="24399" ht="15.75" customHeight="1">
      <c r="A24399" s="7"/>
      <c r="B24399" s="7"/>
      <c r="M24399" s="9" t="s">
        <v>22</v>
      </c>
    </row>
    <row r="24400" ht="15.75" customHeight="1">
      <c r="A24400" s="7"/>
      <c r="B24400" s="7"/>
      <c r="M24400" s="9" t="s">
        <v>26</v>
      </c>
    </row>
    <row r="24401" ht="15.75" customHeight="1">
      <c r="A24401" s="7"/>
      <c r="B24401" s="7"/>
      <c r="M24401" s="9" t="s">
        <v>24</v>
      </c>
    </row>
    <row r="24402" ht="15.75" customHeight="1">
      <c r="A24402" s="7"/>
      <c r="B24402" s="7"/>
      <c r="M24402" s="9" t="s">
        <v>21</v>
      </c>
    </row>
    <row r="24403" ht="15.75" customHeight="1">
      <c r="A24403" s="7"/>
      <c r="B24403" s="7"/>
      <c r="M24403" s="9" t="s">
        <v>27</v>
      </c>
    </row>
    <row r="24404" ht="15.75" customHeight="1">
      <c r="A24404" s="7"/>
      <c r="B24404" s="7"/>
      <c r="M24404" s="9" t="s">
        <v>30</v>
      </c>
    </row>
    <row r="24405" ht="15.75" customHeight="1">
      <c r="A24405" s="7"/>
      <c r="B24405" s="7"/>
      <c r="M24405" s="9" t="s">
        <v>25</v>
      </c>
    </row>
    <row r="24406" ht="15.75" customHeight="1">
      <c r="A24406" s="7"/>
      <c r="B24406" s="7"/>
      <c r="M24406" s="9" t="s">
        <v>23</v>
      </c>
    </row>
    <row r="24407" ht="15.75" customHeight="1">
      <c r="A24407" s="7"/>
      <c r="B24407" s="7"/>
      <c r="M24407" s="9" t="s">
        <v>26</v>
      </c>
    </row>
    <row r="24408" ht="15.75" customHeight="1">
      <c r="A24408" s="7"/>
      <c r="B24408" s="7"/>
      <c r="M24408" s="9" t="s">
        <v>24</v>
      </c>
    </row>
    <row r="24409" ht="15.75" customHeight="1">
      <c r="A24409" s="7"/>
      <c r="B24409" s="7"/>
      <c r="M24409" s="9" t="s">
        <v>20</v>
      </c>
    </row>
    <row r="24410" ht="15.75" customHeight="1">
      <c r="A24410" s="7"/>
      <c r="B24410" s="7"/>
      <c r="M24410" s="9" t="s">
        <v>21</v>
      </c>
    </row>
    <row r="24411" ht="15.75" customHeight="1">
      <c r="A24411" s="7"/>
      <c r="B24411" s="7"/>
      <c r="M24411" s="9" t="s">
        <v>37</v>
      </c>
    </row>
    <row r="24412" ht="15.75" customHeight="1">
      <c r="A24412" s="7"/>
      <c r="B24412" s="7"/>
      <c r="M24412" s="9" t="s">
        <v>22</v>
      </c>
    </row>
    <row r="24413" ht="15.75" customHeight="1">
      <c r="A24413" s="7"/>
      <c r="B24413" s="7"/>
      <c r="M24413" s="9" t="s">
        <v>27</v>
      </c>
    </row>
    <row r="24414" ht="15.75" customHeight="1">
      <c r="A24414" s="7"/>
      <c r="B24414" s="7"/>
      <c r="M24414" s="9" t="s">
        <v>35</v>
      </c>
    </row>
    <row r="24415" ht="15.75" customHeight="1">
      <c r="A24415" s="7"/>
      <c r="B24415" s="7"/>
      <c r="M24415" s="9" t="s">
        <v>30</v>
      </c>
    </row>
    <row r="24416" ht="15.75" customHeight="1">
      <c r="A24416" s="7"/>
      <c r="B24416" s="7"/>
      <c r="M24416" s="9" t="s">
        <v>25</v>
      </c>
    </row>
    <row r="24417" ht="15.75" customHeight="1">
      <c r="A24417" s="7"/>
      <c r="B24417" s="7"/>
      <c r="M24417" s="9" t="s">
        <v>26</v>
      </c>
    </row>
    <row r="24418" ht="15.75" customHeight="1">
      <c r="A24418" s="7"/>
      <c r="B24418" s="7"/>
      <c r="M24418" s="9" t="s">
        <v>24</v>
      </c>
    </row>
    <row r="24419" ht="15.75" customHeight="1">
      <c r="A24419" s="7"/>
      <c r="B24419" s="7"/>
      <c r="M24419" s="9" t="s">
        <v>21</v>
      </c>
    </row>
    <row r="24420" ht="15.75" customHeight="1">
      <c r="A24420" s="7"/>
      <c r="B24420" s="7"/>
      <c r="M24420" s="9" t="s">
        <v>22</v>
      </c>
    </row>
    <row r="24421" ht="15.75" customHeight="1">
      <c r="A24421" s="7"/>
      <c r="B24421" s="7"/>
      <c r="M24421" s="9" t="s">
        <v>29</v>
      </c>
    </row>
    <row r="24422" ht="15.75" customHeight="1">
      <c r="A24422" s="7"/>
      <c r="B24422" s="7"/>
      <c r="M24422" s="9" t="s">
        <v>25</v>
      </c>
    </row>
    <row r="24423" ht="15.75" customHeight="1">
      <c r="A24423" s="7"/>
      <c r="B24423" s="7"/>
      <c r="M24423" s="9" t="s">
        <v>23</v>
      </c>
    </row>
    <row r="24424" ht="15.75" customHeight="1">
      <c r="A24424" s="7"/>
      <c r="B24424" s="7"/>
      <c r="M24424" s="9" t="s">
        <v>24</v>
      </c>
    </row>
    <row r="24425" ht="15.75" customHeight="1">
      <c r="A24425" s="7"/>
      <c r="B24425" s="7"/>
      <c r="M24425" s="9" t="s">
        <v>22</v>
      </c>
    </row>
    <row r="24426" ht="15.75" customHeight="1">
      <c r="A24426" s="7"/>
      <c r="B24426" s="7"/>
      <c r="M24426" s="9" t="s">
        <v>30</v>
      </c>
    </row>
    <row r="24427" ht="15.75" customHeight="1">
      <c r="A24427" s="7"/>
      <c r="B24427" s="7"/>
      <c r="M24427" s="9" t="s">
        <v>20</v>
      </c>
    </row>
    <row r="24428" ht="15.75" customHeight="1">
      <c r="A24428" s="7"/>
      <c r="B24428" s="7"/>
      <c r="M24428" s="9" t="s">
        <v>30</v>
      </c>
    </row>
    <row r="24429" ht="15.75" customHeight="1">
      <c r="A24429" s="7"/>
      <c r="B24429" s="7"/>
      <c r="M24429" s="9" t="s">
        <v>26</v>
      </c>
    </row>
    <row r="24430" ht="15.75" customHeight="1">
      <c r="A24430" s="7"/>
      <c r="B24430" s="7"/>
      <c r="M24430" s="9" t="s">
        <v>24</v>
      </c>
    </row>
    <row r="24431" ht="15.75" customHeight="1">
      <c r="A24431" s="7"/>
      <c r="B24431" s="7"/>
      <c r="M24431" s="9" t="s">
        <v>21</v>
      </c>
    </row>
    <row r="24432" ht="15.75" customHeight="1">
      <c r="A24432" s="7"/>
      <c r="B24432" s="7"/>
      <c r="M24432" s="9" t="s">
        <v>37</v>
      </c>
    </row>
    <row r="24433" ht="15.75" customHeight="1">
      <c r="A24433" s="7"/>
      <c r="B24433" s="7"/>
      <c r="M24433" s="9" t="s">
        <v>22</v>
      </c>
    </row>
    <row r="24434" ht="15.75" customHeight="1">
      <c r="A24434" s="7"/>
      <c r="B24434" s="7"/>
      <c r="M24434" s="9" t="s">
        <v>31</v>
      </c>
    </row>
    <row r="24435" ht="15.75" customHeight="1">
      <c r="A24435" s="7"/>
      <c r="B24435" s="7"/>
      <c r="M24435" s="9" t="s">
        <v>27</v>
      </c>
    </row>
    <row r="24436" ht="15.75" customHeight="1">
      <c r="A24436" s="7"/>
      <c r="B24436" s="7"/>
      <c r="M24436" s="9" t="s">
        <v>38</v>
      </c>
    </row>
    <row r="24437" ht="15.75" customHeight="1">
      <c r="A24437" s="7"/>
      <c r="B24437" s="7"/>
      <c r="M24437" s="9" t="s">
        <v>30</v>
      </c>
    </row>
    <row r="24438" ht="15.75" customHeight="1">
      <c r="A24438" s="7"/>
      <c r="B24438" s="7"/>
      <c r="M24438" s="9" t="s">
        <v>26</v>
      </c>
    </row>
    <row r="24439" ht="15.75" customHeight="1">
      <c r="A24439" s="7"/>
      <c r="B24439" s="7"/>
      <c r="M24439" s="9" t="s">
        <v>24</v>
      </c>
    </row>
    <row r="24440" ht="15.75" customHeight="1">
      <c r="A24440" s="7"/>
      <c r="B24440" s="7"/>
      <c r="M24440" s="9" t="s">
        <v>20</v>
      </c>
    </row>
    <row r="24441" ht="15.75" customHeight="1">
      <c r="A24441" s="7"/>
      <c r="B24441" s="7"/>
      <c r="M24441" s="9" t="s">
        <v>21</v>
      </c>
    </row>
    <row r="24442" ht="15.75" customHeight="1">
      <c r="A24442" s="7"/>
      <c r="B24442" s="7"/>
      <c r="M24442" s="9" t="s">
        <v>37</v>
      </c>
    </row>
    <row r="24443" ht="15.75" customHeight="1">
      <c r="A24443" s="7"/>
      <c r="B24443" s="7"/>
      <c r="M24443" s="9" t="s">
        <v>22</v>
      </c>
    </row>
    <row r="24444" ht="15.75" customHeight="1">
      <c r="A24444" s="7"/>
      <c r="B24444" s="7"/>
      <c r="M24444" s="9" t="s">
        <v>27</v>
      </c>
    </row>
    <row r="24445" ht="15.75" customHeight="1">
      <c r="A24445" s="7"/>
      <c r="B24445" s="7"/>
      <c r="M24445" s="9" t="s">
        <v>26</v>
      </c>
    </row>
    <row r="24446" ht="15.75" customHeight="1">
      <c r="A24446" s="7"/>
      <c r="B24446" s="7"/>
      <c r="M24446" s="9" t="s">
        <v>24</v>
      </c>
    </row>
    <row r="24447" ht="15.75" customHeight="1">
      <c r="A24447" s="7"/>
      <c r="B24447" s="7"/>
      <c r="M24447" s="9" t="s">
        <v>21</v>
      </c>
    </row>
    <row r="24448" ht="15.75" customHeight="1">
      <c r="A24448" s="7"/>
      <c r="B24448" s="7"/>
      <c r="M24448" s="9" t="s">
        <v>27</v>
      </c>
    </row>
    <row r="24449" ht="15.75" customHeight="1">
      <c r="A24449" s="7"/>
      <c r="B24449" s="7"/>
      <c r="M24449" s="9" t="s">
        <v>30</v>
      </c>
    </row>
    <row r="24450" ht="15.75" customHeight="1">
      <c r="A24450" s="7"/>
      <c r="B24450" s="7"/>
      <c r="M24450" s="9" t="s">
        <v>26</v>
      </c>
    </row>
    <row r="24451" ht="15.75" customHeight="1">
      <c r="A24451" s="7"/>
      <c r="B24451" s="7"/>
      <c r="M24451" s="9" t="s">
        <v>24</v>
      </c>
    </row>
    <row r="24452" ht="15.75" customHeight="1">
      <c r="A24452" s="7"/>
      <c r="B24452" s="7"/>
      <c r="M24452" s="9" t="s">
        <v>33</v>
      </c>
    </row>
    <row r="24453" ht="15.75" customHeight="1">
      <c r="A24453" s="7"/>
      <c r="B24453" s="7"/>
      <c r="M24453" s="9" t="s">
        <v>30</v>
      </c>
    </row>
    <row r="24454" ht="15.75" customHeight="1">
      <c r="A24454" s="7"/>
      <c r="B24454" s="7"/>
      <c r="M24454" s="9" t="s">
        <v>24</v>
      </c>
    </row>
    <row r="24455" ht="15.75" customHeight="1">
      <c r="A24455" s="7"/>
      <c r="B24455" s="7"/>
      <c r="M24455" s="9" t="s">
        <v>21</v>
      </c>
    </row>
    <row r="24456" ht="15.75" customHeight="1">
      <c r="A24456" s="7"/>
      <c r="B24456" s="7"/>
      <c r="M24456" s="9" t="s">
        <v>37</v>
      </c>
    </row>
    <row r="24457" ht="15.75" customHeight="1">
      <c r="A24457" s="7"/>
      <c r="B24457" s="7"/>
      <c r="M24457" s="9" t="s">
        <v>22</v>
      </c>
    </row>
    <row r="24458" ht="15.75" customHeight="1">
      <c r="A24458" s="7"/>
      <c r="B24458" s="7"/>
      <c r="M24458" s="9" t="s">
        <v>27</v>
      </c>
    </row>
    <row r="24459" ht="15.75" customHeight="1">
      <c r="A24459" s="7"/>
      <c r="B24459" s="7"/>
      <c r="M24459" s="9" t="s">
        <v>30</v>
      </c>
    </row>
    <row r="24460" ht="15.75" customHeight="1">
      <c r="A24460" s="7"/>
      <c r="B24460" s="7"/>
      <c r="M24460" s="9" t="s">
        <v>20</v>
      </c>
    </row>
    <row r="24461" ht="15.75" customHeight="1">
      <c r="A24461" s="7"/>
      <c r="B24461" s="7"/>
      <c r="M24461" s="9" t="s">
        <v>39</v>
      </c>
    </row>
    <row r="24462" ht="15.75" customHeight="1">
      <c r="A24462" s="7"/>
      <c r="B24462" s="7"/>
      <c r="M24462" s="9" t="s">
        <v>22</v>
      </c>
    </row>
    <row r="24463" ht="15.75" customHeight="1">
      <c r="A24463" s="7"/>
      <c r="B24463" s="7"/>
      <c r="M24463" s="9" t="s">
        <v>31</v>
      </c>
    </row>
    <row r="24464" ht="15.75" customHeight="1">
      <c r="A24464" s="7"/>
      <c r="B24464" s="7"/>
      <c r="M24464" s="9" t="s">
        <v>27</v>
      </c>
    </row>
    <row r="24465" ht="15.75" customHeight="1">
      <c r="A24465" s="7"/>
      <c r="B24465" s="7"/>
      <c r="M24465" s="9" t="s">
        <v>30</v>
      </c>
    </row>
    <row r="24466" ht="15.75" customHeight="1">
      <c r="A24466" s="7"/>
      <c r="B24466" s="7"/>
      <c r="M24466" s="9" t="s">
        <v>26</v>
      </c>
    </row>
    <row r="24467" ht="15.75" customHeight="1">
      <c r="A24467" s="7"/>
      <c r="B24467" s="7"/>
      <c r="M24467" s="9" t="s">
        <v>36</v>
      </c>
    </row>
    <row r="24468" ht="15.75" customHeight="1">
      <c r="A24468" s="7"/>
      <c r="B24468" s="7"/>
      <c r="M24468" s="9" t="s">
        <v>24</v>
      </c>
    </row>
    <row r="24469" ht="15.75" customHeight="1">
      <c r="A24469" s="7"/>
      <c r="B24469" s="7"/>
      <c r="M24469" s="9" t="s">
        <v>20</v>
      </c>
    </row>
    <row r="24470" ht="15.75" customHeight="1">
      <c r="A24470" s="7"/>
      <c r="B24470" s="7"/>
      <c r="M24470" s="9" t="s">
        <v>21</v>
      </c>
    </row>
    <row r="24471" ht="15.75" customHeight="1">
      <c r="A24471" s="7"/>
      <c r="B24471" s="7"/>
      <c r="M24471" s="9" t="s">
        <v>39</v>
      </c>
    </row>
    <row r="24472" ht="15.75" customHeight="1">
      <c r="A24472" s="7"/>
      <c r="B24472" s="7"/>
      <c r="M24472" s="9" t="s">
        <v>27</v>
      </c>
    </row>
    <row r="24473" ht="15.75" customHeight="1">
      <c r="A24473" s="7"/>
      <c r="B24473" s="7"/>
      <c r="M24473" s="9" t="s">
        <v>33</v>
      </c>
    </row>
    <row r="24474" ht="15.75" customHeight="1">
      <c r="A24474" s="7"/>
      <c r="B24474" s="7"/>
      <c r="M24474" s="9" t="s">
        <v>44</v>
      </c>
    </row>
    <row r="24475" ht="15.75" customHeight="1">
      <c r="A24475" s="7"/>
      <c r="B24475" s="7"/>
      <c r="M24475" s="9" t="s">
        <v>21</v>
      </c>
    </row>
    <row r="24476" ht="15.75" customHeight="1">
      <c r="A24476" s="7"/>
      <c r="B24476" s="7"/>
      <c r="M24476" s="9" t="s">
        <v>38</v>
      </c>
    </row>
    <row r="24477" ht="15.75" customHeight="1">
      <c r="A24477" s="7"/>
      <c r="B24477" s="7"/>
      <c r="M24477" s="9" t="s">
        <v>25</v>
      </c>
    </row>
    <row r="24478" ht="15.75" customHeight="1">
      <c r="A24478" s="7"/>
      <c r="B24478" s="7"/>
      <c r="M24478" s="9" t="s">
        <v>26</v>
      </c>
    </row>
    <row r="24479" ht="15.75" customHeight="1">
      <c r="A24479" s="7"/>
      <c r="B24479" s="7"/>
      <c r="M24479" s="9" t="s">
        <v>30</v>
      </c>
    </row>
    <row r="24480" ht="15.75" customHeight="1">
      <c r="A24480" s="7"/>
      <c r="B24480" s="7"/>
      <c r="M24480" s="9" t="s">
        <v>36</v>
      </c>
    </row>
    <row r="24481" ht="15.75" customHeight="1">
      <c r="A24481" s="7"/>
      <c r="B24481" s="7"/>
      <c r="M24481" s="9" t="s">
        <v>24</v>
      </c>
    </row>
    <row r="24482" ht="15.75" customHeight="1">
      <c r="A24482" s="7"/>
      <c r="B24482" s="7"/>
      <c r="M24482" s="9" t="s">
        <v>21</v>
      </c>
    </row>
    <row r="24483" ht="15.75" customHeight="1">
      <c r="A24483" s="7"/>
      <c r="B24483" s="7"/>
      <c r="M24483" s="9" t="s">
        <v>37</v>
      </c>
    </row>
    <row r="24484" ht="15.75" customHeight="1">
      <c r="A24484" s="7"/>
      <c r="B24484" s="7"/>
      <c r="M24484" s="9" t="s">
        <v>22</v>
      </c>
    </row>
    <row r="24485" ht="15.75" customHeight="1">
      <c r="A24485" s="7"/>
      <c r="B24485" s="7"/>
      <c r="M24485" s="9" t="s">
        <v>29</v>
      </c>
    </row>
    <row r="24486" ht="15.75" customHeight="1">
      <c r="A24486" s="7"/>
      <c r="B24486" s="7"/>
      <c r="M24486" s="9" t="s">
        <v>31</v>
      </c>
    </row>
    <row r="24487" ht="15.75" customHeight="1">
      <c r="A24487" s="7"/>
      <c r="B24487" s="7"/>
      <c r="M24487" s="9" t="s">
        <v>27</v>
      </c>
    </row>
    <row r="24488" ht="15.75" customHeight="1">
      <c r="A24488" s="7"/>
      <c r="B24488" s="7"/>
      <c r="M24488" s="9" t="s">
        <v>28</v>
      </c>
    </row>
    <row r="24489" ht="15.75" customHeight="1">
      <c r="A24489" s="7"/>
      <c r="B24489" s="7"/>
      <c r="M24489" s="9" t="s">
        <v>30</v>
      </c>
    </row>
    <row r="24490" ht="15.75" customHeight="1">
      <c r="A24490" s="7"/>
      <c r="B24490" s="7"/>
      <c r="M24490" s="9" t="s">
        <v>24</v>
      </c>
    </row>
    <row r="24491" ht="15.75" customHeight="1">
      <c r="A24491" s="7"/>
      <c r="B24491" s="7"/>
      <c r="M24491" s="9" t="s">
        <v>20</v>
      </c>
    </row>
    <row r="24492" ht="15.75" customHeight="1">
      <c r="A24492" s="7"/>
      <c r="B24492" s="7"/>
      <c r="M24492" s="9" t="s">
        <v>21</v>
      </c>
    </row>
    <row r="24493" ht="15.75" customHeight="1">
      <c r="A24493" s="7"/>
      <c r="B24493" s="7"/>
      <c r="M24493" s="9" t="s">
        <v>22</v>
      </c>
    </row>
    <row r="24494" ht="15.75" customHeight="1">
      <c r="A24494" s="7"/>
      <c r="B24494" s="7"/>
      <c r="M24494" s="9" t="s">
        <v>31</v>
      </c>
    </row>
    <row r="24495" ht="15.75" customHeight="1">
      <c r="A24495" s="7"/>
      <c r="B24495" s="7"/>
      <c r="M24495" s="9" t="s">
        <v>27</v>
      </c>
    </row>
    <row r="24496" ht="15.75" customHeight="1">
      <c r="A24496" s="7"/>
      <c r="B24496" s="7"/>
      <c r="M24496" s="9" t="s">
        <v>33</v>
      </c>
    </row>
    <row r="24497" ht="15.75" customHeight="1">
      <c r="A24497" s="7"/>
      <c r="B24497" s="7"/>
      <c r="M24497" s="9" t="s">
        <v>25</v>
      </c>
    </row>
    <row r="24498" ht="15.75" customHeight="1">
      <c r="A24498" s="7"/>
      <c r="B24498" s="7"/>
      <c r="M24498" s="9" t="s">
        <v>23</v>
      </c>
    </row>
    <row r="24499" ht="15.75" customHeight="1">
      <c r="A24499" s="7"/>
      <c r="B24499" s="7"/>
      <c r="M24499" s="9" t="s">
        <v>26</v>
      </c>
    </row>
    <row r="24500" ht="15.75" customHeight="1">
      <c r="A24500" s="7"/>
      <c r="B24500" s="7"/>
      <c r="M24500" s="9" t="s">
        <v>24</v>
      </c>
    </row>
    <row r="24501" ht="15.75" customHeight="1">
      <c r="A24501" s="7"/>
      <c r="B24501" s="7"/>
      <c r="M24501" s="9" t="s">
        <v>21</v>
      </c>
    </row>
    <row r="24502" ht="15.75" customHeight="1">
      <c r="A24502" s="7"/>
      <c r="B24502" s="7"/>
      <c r="M24502" s="9" t="s">
        <v>27</v>
      </c>
    </row>
    <row r="24503" ht="15.75" customHeight="1">
      <c r="A24503" s="7"/>
      <c r="B24503" s="7"/>
      <c r="M24503" s="9" t="s">
        <v>38</v>
      </c>
    </row>
    <row r="24504" ht="15.75" customHeight="1">
      <c r="A24504" s="7"/>
      <c r="B24504" s="7"/>
      <c r="M24504" s="9" t="s">
        <v>30</v>
      </c>
    </row>
    <row r="24505" ht="15.75" customHeight="1">
      <c r="A24505" s="7"/>
      <c r="B24505" s="7"/>
      <c r="M24505" s="9" t="s">
        <v>25</v>
      </c>
    </row>
    <row r="24506" ht="15.75" customHeight="1">
      <c r="A24506" s="7"/>
      <c r="B24506" s="7"/>
      <c r="M24506" s="9" t="s">
        <v>24</v>
      </c>
    </row>
    <row r="24507" ht="15.75" customHeight="1">
      <c r="A24507" s="7"/>
      <c r="B24507" s="7"/>
      <c r="M24507" s="9" t="s">
        <v>20</v>
      </c>
    </row>
    <row r="24508" ht="15.75" customHeight="1">
      <c r="A24508" s="7"/>
      <c r="B24508" s="7"/>
      <c r="M24508" s="9" t="s">
        <v>21</v>
      </c>
    </row>
    <row r="24509" ht="15.75" customHeight="1">
      <c r="A24509" s="7"/>
      <c r="B24509" s="7"/>
      <c r="M24509" s="9" t="s">
        <v>41</v>
      </c>
    </row>
    <row r="24510" ht="15.75" customHeight="1">
      <c r="A24510" s="7"/>
      <c r="B24510" s="7"/>
      <c r="M24510" s="9" t="s">
        <v>37</v>
      </c>
    </row>
    <row r="24511" ht="15.75" customHeight="1">
      <c r="A24511" s="7"/>
      <c r="B24511" s="7"/>
      <c r="M24511" s="9" t="s">
        <v>22</v>
      </c>
    </row>
    <row r="24512" ht="15.75" customHeight="1">
      <c r="A24512" s="7"/>
      <c r="B24512" s="7"/>
      <c r="M24512" s="9" t="s">
        <v>27</v>
      </c>
    </row>
    <row r="24513" ht="15.75" customHeight="1">
      <c r="A24513" s="7"/>
      <c r="B24513" s="7"/>
      <c r="M24513" s="9" t="s">
        <v>40</v>
      </c>
    </row>
    <row r="24514" ht="15.75" customHeight="1">
      <c r="A24514" s="7"/>
      <c r="B24514" s="7"/>
      <c r="M24514" s="9" t="s">
        <v>30</v>
      </c>
    </row>
    <row r="24515" ht="15.75" customHeight="1">
      <c r="A24515" s="7"/>
      <c r="B24515" s="7"/>
      <c r="M24515" s="9" t="s">
        <v>26</v>
      </c>
    </row>
    <row r="24516" ht="15.75" customHeight="1">
      <c r="A24516" s="7"/>
      <c r="B24516" s="7"/>
      <c r="M24516" s="9" t="s">
        <v>24</v>
      </c>
    </row>
    <row r="24517" ht="15.75" customHeight="1">
      <c r="A24517" s="7"/>
      <c r="B24517" s="7"/>
      <c r="M24517" s="9" t="s">
        <v>21</v>
      </c>
    </row>
    <row r="24518" ht="15.75" customHeight="1">
      <c r="A24518" s="7"/>
      <c r="B24518" s="7"/>
      <c r="M24518" s="9" t="s">
        <v>27</v>
      </c>
    </row>
    <row r="24519" ht="15.75" customHeight="1">
      <c r="A24519" s="7"/>
      <c r="B24519" s="7"/>
      <c r="M24519" s="9" t="s">
        <v>33</v>
      </c>
    </row>
    <row r="24520" ht="15.75" customHeight="1">
      <c r="A24520" s="7"/>
      <c r="B24520" s="7"/>
      <c r="M24520" s="9" t="s">
        <v>30</v>
      </c>
    </row>
    <row r="24521" ht="15.75" customHeight="1">
      <c r="A24521" s="7"/>
      <c r="B24521" s="7"/>
      <c r="M24521" s="9" t="s">
        <v>23</v>
      </c>
    </row>
    <row r="24522" ht="15.75" customHeight="1">
      <c r="A24522" s="7"/>
      <c r="B24522" s="7"/>
      <c r="M24522" s="9" t="s">
        <v>20</v>
      </c>
    </row>
    <row r="24523" ht="15.75" customHeight="1">
      <c r="A24523" s="7"/>
      <c r="B24523" s="7"/>
      <c r="M24523" s="9" t="s">
        <v>21</v>
      </c>
    </row>
    <row r="24524" ht="15.75" customHeight="1">
      <c r="A24524" s="7"/>
      <c r="B24524" s="7"/>
      <c r="M24524" s="9" t="s">
        <v>22</v>
      </c>
    </row>
    <row r="24525" ht="15.75" customHeight="1">
      <c r="A24525" s="7"/>
      <c r="B24525" s="7"/>
      <c r="M24525" s="9" t="s">
        <v>30</v>
      </c>
    </row>
    <row r="24526" ht="15.75" customHeight="1">
      <c r="A24526" s="7"/>
      <c r="B24526" s="7"/>
      <c r="M24526" s="9" t="s">
        <v>24</v>
      </c>
    </row>
    <row r="24527" ht="15.75" customHeight="1">
      <c r="A24527" s="7"/>
      <c r="B24527" s="7"/>
      <c r="M24527" s="9" t="s">
        <v>20</v>
      </c>
    </row>
    <row r="24528" ht="15.75" customHeight="1">
      <c r="A24528" s="7"/>
      <c r="B24528" s="7"/>
      <c r="M24528" s="9" t="s">
        <v>21</v>
      </c>
    </row>
    <row r="24529" ht="15.75" customHeight="1">
      <c r="A24529" s="7"/>
      <c r="B24529" s="7"/>
      <c r="M24529" s="9" t="s">
        <v>22</v>
      </c>
    </row>
    <row r="24530" ht="15.75" customHeight="1">
      <c r="A24530" s="7"/>
      <c r="B24530" s="7"/>
      <c r="M24530" s="9" t="s">
        <v>27</v>
      </c>
    </row>
    <row r="24531" ht="15.75" customHeight="1">
      <c r="A24531" s="7"/>
      <c r="B24531" s="7"/>
      <c r="M24531" s="9" t="s">
        <v>26</v>
      </c>
    </row>
    <row r="24532" ht="15.75" customHeight="1">
      <c r="A24532" s="7"/>
      <c r="B24532" s="7"/>
      <c r="M24532" s="9" t="s">
        <v>24</v>
      </c>
    </row>
    <row r="24533" ht="15.75" customHeight="1">
      <c r="A24533" s="7"/>
      <c r="B24533" s="7"/>
      <c r="M24533" s="9" t="s">
        <v>20</v>
      </c>
    </row>
    <row r="24534" ht="15.75" customHeight="1">
      <c r="A24534" s="7"/>
      <c r="B24534" s="7"/>
      <c r="M24534" s="9" t="s">
        <v>21</v>
      </c>
    </row>
    <row r="24535" ht="15.75" customHeight="1">
      <c r="A24535" s="7"/>
      <c r="B24535" s="7"/>
      <c r="M24535" s="9" t="s">
        <v>22</v>
      </c>
    </row>
    <row r="24536" ht="15.75" customHeight="1">
      <c r="A24536" s="7"/>
      <c r="B24536" s="7"/>
      <c r="M24536" s="9" t="s">
        <v>30</v>
      </c>
    </row>
    <row r="24537" ht="15.75" customHeight="1">
      <c r="A24537" s="7"/>
      <c r="B24537" s="7"/>
      <c r="M24537" s="9" t="s">
        <v>36</v>
      </c>
    </row>
    <row r="24538" ht="15.75" customHeight="1">
      <c r="A24538" s="7"/>
      <c r="B24538" s="7"/>
      <c r="M24538" s="9" t="s">
        <v>24</v>
      </c>
    </row>
    <row r="24539" ht="15.75" customHeight="1">
      <c r="A24539" s="7"/>
      <c r="B24539" s="7"/>
      <c r="M24539" s="9" t="s">
        <v>21</v>
      </c>
    </row>
    <row r="24540" ht="15.75" customHeight="1">
      <c r="A24540" s="7"/>
      <c r="B24540" s="7"/>
      <c r="M24540" s="9" t="s">
        <v>34</v>
      </c>
    </row>
    <row r="24541" ht="15.75" customHeight="1">
      <c r="A24541" s="7"/>
      <c r="B24541" s="7"/>
      <c r="M24541" s="9" t="s">
        <v>30</v>
      </c>
    </row>
    <row r="24542" ht="15.75" customHeight="1">
      <c r="A24542" s="7"/>
      <c r="B24542" s="7"/>
      <c r="M24542" s="9" t="s">
        <v>36</v>
      </c>
    </row>
    <row r="24543" ht="15.75" customHeight="1">
      <c r="A24543" s="7"/>
      <c r="B24543" s="7"/>
      <c r="M24543" s="9" t="s">
        <v>20</v>
      </c>
    </row>
    <row r="24544" ht="15.75" customHeight="1">
      <c r="A24544" s="7"/>
      <c r="B24544" s="7"/>
      <c r="M24544" s="9" t="s">
        <v>24</v>
      </c>
    </row>
    <row r="24545" ht="15.75" customHeight="1">
      <c r="A24545" s="7"/>
      <c r="B24545" s="7"/>
      <c r="M24545" s="9" t="s">
        <v>21</v>
      </c>
    </row>
    <row r="24546" ht="15.75" customHeight="1">
      <c r="A24546" s="7"/>
      <c r="B24546" s="7"/>
      <c r="M24546" s="9" t="s">
        <v>24</v>
      </c>
    </row>
    <row r="24547" ht="15.75" customHeight="1">
      <c r="A24547" s="7"/>
      <c r="B24547" s="7"/>
      <c r="M24547" s="9" t="s">
        <v>20</v>
      </c>
    </row>
    <row r="24548" ht="15.75" customHeight="1">
      <c r="A24548" s="7"/>
      <c r="B24548" s="7"/>
      <c r="M24548" s="9" t="s">
        <v>21</v>
      </c>
    </row>
    <row r="24549" ht="15.75" customHeight="1">
      <c r="A24549" s="7"/>
      <c r="B24549" s="7"/>
      <c r="M24549" s="9" t="s">
        <v>39</v>
      </c>
    </row>
    <row r="24550" ht="15.75" customHeight="1">
      <c r="A24550" s="7"/>
      <c r="B24550" s="7"/>
      <c r="M24550" s="9" t="s">
        <v>27</v>
      </c>
    </row>
    <row r="24551" ht="15.75" customHeight="1">
      <c r="A24551" s="7"/>
      <c r="B24551" s="7"/>
      <c r="M24551" s="9" t="s">
        <v>23</v>
      </c>
    </row>
    <row r="24552" ht="15.75" customHeight="1">
      <c r="A24552" s="7"/>
      <c r="B24552" s="7"/>
      <c r="M24552" s="9" t="s">
        <v>24</v>
      </c>
    </row>
    <row r="24553" ht="15.75" customHeight="1">
      <c r="A24553" s="7"/>
      <c r="B24553" s="7"/>
      <c r="M24553" s="9" t="s">
        <v>32</v>
      </c>
    </row>
    <row r="24554" ht="15.75" customHeight="1">
      <c r="A24554" s="7"/>
      <c r="B24554" s="7"/>
      <c r="M24554" s="9" t="s">
        <v>33</v>
      </c>
    </row>
    <row r="24555" ht="15.75" customHeight="1">
      <c r="A24555" s="7"/>
      <c r="B24555" s="7"/>
      <c r="M24555" s="9" t="s">
        <v>35</v>
      </c>
    </row>
    <row r="24556" ht="15.75" customHeight="1">
      <c r="A24556" s="7"/>
      <c r="B24556" s="7"/>
      <c r="M24556" s="9" t="s">
        <v>25</v>
      </c>
    </row>
    <row r="24557" ht="15.75" customHeight="1">
      <c r="A24557" s="7"/>
      <c r="B24557" s="7"/>
      <c r="M24557" s="9" t="s">
        <v>23</v>
      </c>
    </row>
    <row r="24558" ht="15.75" customHeight="1">
      <c r="A24558" s="7"/>
      <c r="B24558" s="7"/>
      <c r="M24558" s="9" t="s">
        <v>20</v>
      </c>
    </row>
    <row r="24559" ht="15.75" customHeight="1">
      <c r="A24559" s="7"/>
      <c r="B24559" s="7"/>
      <c r="M24559" s="9" t="s">
        <v>39</v>
      </c>
    </row>
    <row r="24560" ht="15.75" customHeight="1">
      <c r="A24560" s="7"/>
      <c r="B24560" s="7"/>
      <c r="M24560" s="9" t="s">
        <v>22</v>
      </c>
    </row>
    <row r="24561" ht="15.75" customHeight="1">
      <c r="A24561" s="7"/>
      <c r="B24561" s="7"/>
      <c r="M24561" s="9" t="s">
        <v>24</v>
      </c>
    </row>
    <row r="24562" ht="15.75" customHeight="1">
      <c r="A24562" s="7"/>
      <c r="B24562" s="7"/>
      <c r="M24562" s="9" t="s">
        <v>20</v>
      </c>
    </row>
    <row r="24563" ht="15.75" customHeight="1">
      <c r="A24563" s="7"/>
      <c r="B24563" s="7"/>
      <c r="M24563" s="9" t="s">
        <v>37</v>
      </c>
    </row>
    <row r="24564" ht="15.75" customHeight="1">
      <c r="A24564" s="7"/>
      <c r="B24564" s="7"/>
      <c r="M24564" s="9" t="s">
        <v>28</v>
      </c>
    </row>
    <row r="24565" ht="15.75" customHeight="1">
      <c r="A24565" s="7"/>
      <c r="B24565" s="7"/>
      <c r="M24565" s="9" t="s">
        <v>26</v>
      </c>
    </row>
    <row r="24566" ht="15.75" customHeight="1">
      <c r="A24566" s="7"/>
      <c r="B24566" s="7"/>
      <c r="M24566" s="9" t="s">
        <v>24</v>
      </c>
    </row>
    <row r="24567" ht="15.75" customHeight="1">
      <c r="A24567" s="7"/>
      <c r="B24567" s="7"/>
      <c r="M24567" s="9" t="s">
        <v>20</v>
      </c>
    </row>
    <row r="24568" ht="15.75" customHeight="1">
      <c r="A24568" s="7"/>
      <c r="B24568" s="7"/>
      <c r="M24568" s="9" t="s">
        <v>21</v>
      </c>
    </row>
    <row r="24569" ht="15.75" customHeight="1">
      <c r="A24569" s="7"/>
      <c r="B24569" s="7"/>
      <c r="M24569" s="9" t="s">
        <v>37</v>
      </c>
    </row>
    <row r="24570" ht="15.75" customHeight="1">
      <c r="A24570" s="7"/>
      <c r="B24570" s="7"/>
      <c r="M24570" s="9" t="s">
        <v>27</v>
      </c>
    </row>
    <row r="24571" ht="15.75" customHeight="1">
      <c r="A24571" s="7"/>
      <c r="B24571" s="7"/>
      <c r="M24571" s="9" t="s">
        <v>33</v>
      </c>
    </row>
    <row r="24572" ht="15.75" customHeight="1">
      <c r="A24572" s="7"/>
      <c r="B24572" s="7"/>
      <c r="M24572" s="9" t="s">
        <v>30</v>
      </c>
    </row>
    <row r="24573" ht="15.75" customHeight="1">
      <c r="A24573" s="7"/>
      <c r="B24573" s="7"/>
      <c r="M24573" s="9" t="s">
        <v>20</v>
      </c>
    </row>
    <row r="24574" ht="15.75" customHeight="1">
      <c r="A24574" s="7"/>
      <c r="B24574" s="7"/>
      <c r="M24574" s="9" t="s">
        <v>21</v>
      </c>
    </row>
    <row r="24575" ht="15.75" customHeight="1">
      <c r="A24575" s="7"/>
      <c r="B24575" s="7"/>
      <c r="M24575" s="9" t="s">
        <v>27</v>
      </c>
    </row>
    <row r="24576" ht="15.75" customHeight="1">
      <c r="A24576" s="7"/>
      <c r="B24576" s="7"/>
      <c r="M24576" s="9" t="s">
        <v>30</v>
      </c>
    </row>
    <row r="24577" ht="15.75" customHeight="1">
      <c r="A24577" s="7"/>
      <c r="B24577" s="7"/>
      <c r="M24577" s="9" t="s">
        <v>26</v>
      </c>
    </row>
    <row r="24578" ht="15.75" customHeight="1">
      <c r="A24578" s="7"/>
      <c r="B24578" s="7"/>
      <c r="M24578" s="9" t="s">
        <v>24</v>
      </c>
    </row>
    <row r="24579" ht="15.75" customHeight="1">
      <c r="A24579" s="7"/>
      <c r="B24579" s="7"/>
      <c r="M24579" s="9" t="s">
        <v>21</v>
      </c>
    </row>
    <row r="24580" ht="15.75" customHeight="1">
      <c r="A24580" s="7"/>
      <c r="B24580" s="7"/>
      <c r="M24580" s="9" t="s">
        <v>22</v>
      </c>
    </row>
    <row r="24581" ht="15.75" customHeight="1">
      <c r="A24581" s="7"/>
      <c r="B24581" s="7"/>
      <c r="M24581" s="9" t="s">
        <v>33</v>
      </c>
    </row>
    <row r="24582" ht="15.75" customHeight="1">
      <c r="A24582" s="7"/>
      <c r="B24582" s="7"/>
      <c r="M24582" s="9" t="s">
        <v>24</v>
      </c>
    </row>
    <row r="24583" ht="15.75" customHeight="1">
      <c r="A24583" s="7"/>
      <c r="B24583" s="7"/>
      <c r="M24583" s="9" t="s">
        <v>21</v>
      </c>
    </row>
    <row r="24584" ht="15.75" customHeight="1">
      <c r="A24584" s="7"/>
      <c r="B24584" s="7"/>
      <c r="M24584" s="9" t="s">
        <v>27</v>
      </c>
    </row>
    <row r="24585" ht="15.75" customHeight="1">
      <c r="A24585" s="7"/>
      <c r="B24585" s="7"/>
      <c r="M24585" s="9" t="s">
        <v>38</v>
      </c>
    </row>
    <row r="24586" ht="15.75" customHeight="1">
      <c r="A24586" s="7"/>
      <c r="B24586" s="7"/>
      <c r="M24586" s="9" t="s">
        <v>36</v>
      </c>
    </row>
    <row r="24587" ht="15.75" customHeight="1">
      <c r="A24587" s="7"/>
      <c r="B24587" s="7"/>
      <c r="M24587" s="9" t="s">
        <v>20</v>
      </c>
    </row>
    <row r="24588" ht="15.75" customHeight="1">
      <c r="A24588" s="7"/>
      <c r="B24588" s="7"/>
      <c r="M24588" s="9" t="s">
        <v>22</v>
      </c>
    </row>
    <row r="24589" ht="15.75" customHeight="1">
      <c r="A24589" s="7"/>
      <c r="B24589" s="7"/>
      <c r="M24589" s="9" t="s">
        <v>27</v>
      </c>
    </row>
    <row r="24590" ht="15.75" customHeight="1">
      <c r="A24590" s="7"/>
      <c r="B24590" s="7"/>
      <c r="M24590" s="9" t="s">
        <v>28</v>
      </c>
    </row>
    <row r="24591" ht="15.75" customHeight="1">
      <c r="A24591" s="7"/>
      <c r="B24591" s="7"/>
      <c r="M24591" s="9" t="s">
        <v>21</v>
      </c>
    </row>
    <row r="24592" ht="15.75" customHeight="1">
      <c r="A24592" s="7"/>
      <c r="B24592" s="7"/>
      <c r="M24592" s="9" t="s">
        <v>37</v>
      </c>
    </row>
    <row r="24593" ht="15.75" customHeight="1">
      <c r="A24593" s="7"/>
      <c r="B24593" s="7"/>
      <c r="M24593" s="9" t="s">
        <v>27</v>
      </c>
    </row>
    <row r="24594" ht="15.75" customHeight="1">
      <c r="A24594" s="7"/>
      <c r="B24594" s="7"/>
      <c r="M24594" s="9" t="s">
        <v>30</v>
      </c>
    </row>
    <row r="24595" ht="15.75" customHeight="1">
      <c r="A24595" s="7"/>
      <c r="B24595" s="7"/>
      <c r="M24595" s="9" t="s">
        <v>24</v>
      </c>
    </row>
    <row r="24596" ht="15.75" customHeight="1">
      <c r="A24596" s="7"/>
      <c r="B24596" s="7"/>
      <c r="M24596" s="9" t="s">
        <v>20</v>
      </c>
    </row>
    <row r="24597" ht="15.75" customHeight="1">
      <c r="A24597" s="7"/>
      <c r="B24597" s="7"/>
      <c r="M24597" s="9" t="s">
        <v>21</v>
      </c>
    </row>
    <row r="24598" ht="15.75" customHeight="1">
      <c r="A24598" s="7"/>
      <c r="B24598" s="7"/>
      <c r="M24598" s="9" t="s">
        <v>39</v>
      </c>
    </row>
    <row r="24599" ht="15.75" customHeight="1">
      <c r="A24599" s="7"/>
      <c r="B24599" s="7"/>
      <c r="M24599" s="9" t="s">
        <v>22</v>
      </c>
    </row>
    <row r="24600" ht="15.75" customHeight="1">
      <c r="A24600" s="7"/>
      <c r="B24600" s="7"/>
      <c r="M24600" s="9" t="s">
        <v>27</v>
      </c>
    </row>
    <row r="24601" ht="15.75" customHeight="1">
      <c r="A24601" s="7"/>
      <c r="B24601" s="7"/>
      <c r="M24601" s="9" t="s">
        <v>33</v>
      </c>
    </row>
    <row r="24602" ht="15.75" customHeight="1">
      <c r="A24602" s="7"/>
      <c r="B24602" s="7"/>
      <c r="M24602" s="9" t="s">
        <v>24</v>
      </c>
    </row>
    <row r="24603" ht="15.75" customHeight="1">
      <c r="A24603" s="7"/>
      <c r="B24603" s="7"/>
      <c r="M24603" s="9" t="s">
        <v>21</v>
      </c>
    </row>
    <row r="24604" ht="15.75" customHeight="1">
      <c r="A24604" s="7"/>
      <c r="B24604" s="7"/>
      <c r="M24604" s="9" t="s">
        <v>25</v>
      </c>
    </row>
    <row r="24605" ht="15.75" customHeight="1">
      <c r="A24605" s="7"/>
      <c r="B24605" s="7"/>
      <c r="M24605" s="9" t="s">
        <v>23</v>
      </c>
    </row>
    <row r="24606" ht="15.75" customHeight="1">
      <c r="A24606" s="7"/>
      <c r="B24606" s="7"/>
      <c r="M24606" s="9" t="s">
        <v>24</v>
      </c>
    </row>
    <row r="24607" ht="15.75" customHeight="1">
      <c r="A24607" s="7"/>
      <c r="B24607" s="7"/>
      <c r="M24607" s="9" t="s">
        <v>22</v>
      </c>
    </row>
    <row r="24608" ht="15.75" customHeight="1">
      <c r="A24608" s="7"/>
      <c r="B24608" s="7"/>
      <c r="M24608" s="9" t="s">
        <v>27</v>
      </c>
    </row>
    <row r="24609" ht="15.75" customHeight="1">
      <c r="A24609" s="7"/>
      <c r="B24609" s="7"/>
      <c r="M24609" s="9" t="s">
        <v>30</v>
      </c>
    </row>
    <row r="24610" ht="15.75" customHeight="1">
      <c r="A24610" s="7"/>
      <c r="B24610" s="7"/>
      <c r="M24610" s="9" t="s">
        <v>26</v>
      </c>
    </row>
    <row r="24611" ht="15.75" customHeight="1">
      <c r="A24611" s="7"/>
      <c r="B24611" s="7"/>
      <c r="M24611" s="9" t="s">
        <v>24</v>
      </c>
    </row>
    <row r="24612" ht="15.75" customHeight="1">
      <c r="A24612" s="7"/>
      <c r="B24612" s="7"/>
      <c r="M24612" s="9" t="s">
        <v>20</v>
      </c>
    </row>
    <row r="24613" ht="15.75" customHeight="1">
      <c r="A24613" s="7"/>
      <c r="B24613" s="7"/>
      <c r="M24613" s="9" t="s">
        <v>21</v>
      </c>
    </row>
    <row r="24614" ht="15.75" customHeight="1">
      <c r="A24614" s="7"/>
      <c r="B24614" s="7"/>
      <c r="M24614" s="9" t="s">
        <v>41</v>
      </c>
    </row>
    <row r="24615" ht="15.75" customHeight="1">
      <c r="A24615" s="7"/>
      <c r="B24615" s="7"/>
      <c r="M24615" s="9" t="s">
        <v>37</v>
      </c>
    </row>
    <row r="24616" ht="15.75" customHeight="1">
      <c r="A24616" s="7"/>
      <c r="B24616" s="7"/>
      <c r="M24616" s="9" t="s">
        <v>27</v>
      </c>
    </row>
    <row r="24617" ht="15.75" customHeight="1">
      <c r="A24617" s="7"/>
      <c r="B24617" s="7"/>
      <c r="M24617" s="9" t="s">
        <v>40</v>
      </c>
    </row>
    <row r="24618" ht="15.75" customHeight="1">
      <c r="A24618" s="7"/>
      <c r="B24618" s="7"/>
      <c r="M24618" s="9" t="s">
        <v>38</v>
      </c>
    </row>
    <row r="24619" ht="15.75" customHeight="1">
      <c r="A24619" s="7"/>
      <c r="B24619" s="7"/>
      <c r="M24619" s="9" t="s">
        <v>30</v>
      </c>
    </row>
    <row r="24620" ht="15.75" customHeight="1">
      <c r="A24620" s="7"/>
      <c r="B24620" s="7"/>
      <c r="M24620" s="9" t="s">
        <v>25</v>
      </c>
    </row>
    <row r="24621" ht="15.75" customHeight="1">
      <c r="A24621" s="7"/>
      <c r="B24621" s="7"/>
      <c r="M24621" s="9" t="s">
        <v>23</v>
      </c>
    </row>
    <row r="24622" ht="15.75" customHeight="1">
      <c r="A24622" s="7"/>
      <c r="B24622" s="7"/>
      <c r="M24622" s="9" t="s">
        <v>24</v>
      </c>
    </row>
    <row r="24623" ht="15.75" customHeight="1">
      <c r="A24623" s="7"/>
      <c r="B24623" s="7"/>
      <c r="M24623" s="9" t="s">
        <v>21</v>
      </c>
    </row>
    <row r="24624" ht="15.75" customHeight="1">
      <c r="A24624" s="7"/>
      <c r="B24624" s="7"/>
      <c r="M24624" s="9" t="s">
        <v>27</v>
      </c>
    </row>
    <row r="24625" ht="15.75" customHeight="1">
      <c r="A24625" s="7"/>
      <c r="B24625" s="7"/>
      <c r="M24625" s="9" t="s">
        <v>30</v>
      </c>
    </row>
    <row r="24626" ht="15.75" customHeight="1">
      <c r="A24626" s="7"/>
      <c r="B24626" s="7"/>
      <c r="M24626" s="9" t="s">
        <v>25</v>
      </c>
    </row>
    <row r="24627" ht="15.75" customHeight="1">
      <c r="A24627" s="7"/>
      <c r="B24627" s="7"/>
      <c r="M24627" s="9" t="s">
        <v>24</v>
      </c>
    </row>
    <row r="24628" ht="15.75" customHeight="1">
      <c r="A24628" s="7"/>
      <c r="B24628" s="7"/>
      <c r="M24628" s="9" t="s">
        <v>20</v>
      </c>
    </row>
    <row r="24629" ht="15.75" customHeight="1">
      <c r="A24629" s="7"/>
      <c r="B24629" s="7"/>
      <c r="M24629" s="9" t="s">
        <v>21</v>
      </c>
    </row>
    <row r="24630" ht="15.75" customHeight="1">
      <c r="A24630" s="7"/>
      <c r="B24630" s="7"/>
      <c r="M24630" s="9" t="s">
        <v>31</v>
      </c>
    </row>
    <row r="24631" ht="15.75" customHeight="1">
      <c r="A24631" s="7"/>
      <c r="B24631" s="7"/>
      <c r="M24631" s="9" t="s">
        <v>27</v>
      </c>
    </row>
    <row r="24632" ht="15.75" customHeight="1">
      <c r="A24632" s="7"/>
      <c r="B24632" s="7"/>
      <c r="M24632" s="9" t="s">
        <v>35</v>
      </c>
    </row>
    <row r="24633" ht="15.75" customHeight="1">
      <c r="A24633" s="7"/>
      <c r="B24633" s="7"/>
      <c r="M24633" s="9" t="s">
        <v>24</v>
      </c>
    </row>
    <row r="24634" ht="15.75" customHeight="1">
      <c r="A24634" s="7"/>
      <c r="B24634" s="7"/>
      <c r="M24634" s="9" t="s">
        <v>20</v>
      </c>
    </row>
    <row r="24635" ht="15.75" customHeight="1">
      <c r="A24635" s="7"/>
      <c r="B24635" s="7"/>
      <c r="M24635" s="9" t="s">
        <v>21</v>
      </c>
    </row>
    <row r="24636" ht="15.75" customHeight="1">
      <c r="A24636" s="7"/>
      <c r="B24636" s="7"/>
      <c r="M24636" s="9" t="s">
        <v>27</v>
      </c>
    </row>
    <row r="24637" ht="15.75" customHeight="1">
      <c r="A24637" s="7"/>
      <c r="B24637" s="7"/>
      <c r="M24637" s="9" t="s">
        <v>26</v>
      </c>
    </row>
    <row r="24638" ht="15.75" customHeight="1">
      <c r="A24638" s="7"/>
      <c r="B24638" s="7"/>
      <c r="M24638" s="9" t="s">
        <v>21</v>
      </c>
    </row>
    <row r="24639" ht="15.75" customHeight="1">
      <c r="A24639" s="7"/>
      <c r="B24639" s="7"/>
      <c r="M24639" s="9" t="s">
        <v>22</v>
      </c>
    </row>
    <row r="24640" ht="15.75" customHeight="1">
      <c r="A24640" s="7"/>
      <c r="B24640" s="7"/>
      <c r="M24640" s="9" t="s">
        <v>27</v>
      </c>
    </row>
    <row r="24641" ht="15.75" customHeight="1">
      <c r="A24641" s="7"/>
      <c r="B24641" s="7"/>
      <c r="M24641" s="9" t="s">
        <v>28</v>
      </c>
    </row>
    <row r="24642" ht="15.75" customHeight="1">
      <c r="A24642" s="7"/>
      <c r="B24642" s="7"/>
      <c r="M24642" s="9" t="s">
        <v>24</v>
      </c>
    </row>
    <row r="24643" ht="15.75" customHeight="1">
      <c r="A24643" s="7"/>
      <c r="B24643" s="7"/>
      <c r="M24643" s="9" t="s">
        <v>20</v>
      </c>
    </row>
    <row r="24644" ht="15.75" customHeight="1">
      <c r="A24644" s="7"/>
      <c r="B24644" s="7"/>
      <c r="M24644" s="9" t="s">
        <v>21</v>
      </c>
    </row>
    <row r="24645" ht="15.75" customHeight="1">
      <c r="A24645" s="7"/>
      <c r="B24645" s="7"/>
      <c r="M24645" s="9" t="s">
        <v>27</v>
      </c>
    </row>
    <row r="24646" ht="15.75" customHeight="1">
      <c r="A24646" s="7"/>
      <c r="B24646" s="7"/>
      <c r="M24646" s="9" t="s">
        <v>30</v>
      </c>
    </row>
    <row r="24647" ht="15.75" customHeight="1">
      <c r="A24647" s="7"/>
      <c r="B24647" s="7"/>
      <c r="M24647" s="9" t="s">
        <v>24</v>
      </c>
    </row>
    <row r="24648" ht="15.75" customHeight="1">
      <c r="A24648" s="7"/>
      <c r="B24648" s="7"/>
      <c r="M24648" s="9" t="s">
        <v>21</v>
      </c>
    </row>
    <row r="24649" ht="15.75" customHeight="1">
      <c r="A24649" s="7"/>
      <c r="B24649" s="7"/>
      <c r="M24649" s="9" t="s">
        <v>37</v>
      </c>
    </row>
    <row r="24650" ht="15.75" customHeight="1">
      <c r="A24650" s="7"/>
      <c r="B24650" s="7"/>
      <c r="M24650" s="9" t="s">
        <v>27</v>
      </c>
    </row>
    <row r="24651" ht="15.75" customHeight="1">
      <c r="A24651" s="7"/>
      <c r="B24651" s="7"/>
      <c r="M24651" s="9" t="s">
        <v>30</v>
      </c>
    </row>
    <row r="24652" ht="15.75" customHeight="1">
      <c r="A24652" s="7"/>
      <c r="B24652" s="7"/>
      <c r="M24652" s="9" t="s">
        <v>26</v>
      </c>
    </row>
    <row r="24653" ht="15.75" customHeight="1">
      <c r="A24653" s="7"/>
      <c r="B24653" s="7"/>
      <c r="M24653" s="9" t="s">
        <v>24</v>
      </c>
    </row>
    <row r="24654" ht="15.75" customHeight="1">
      <c r="A24654" s="7"/>
      <c r="B24654" s="7"/>
      <c r="M24654" s="9" t="s">
        <v>21</v>
      </c>
    </row>
    <row r="24655" ht="15.75" customHeight="1">
      <c r="A24655" s="7"/>
      <c r="B24655" s="7"/>
      <c r="M24655" s="9" t="s">
        <v>27</v>
      </c>
    </row>
    <row r="24656" ht="15.75" customHeight="1">
      <c r="A24656" s="7"/>
      <c r="B24656" s="7"/>
      <c r="M24656" s="9" t="s">
        <v>33</v>
      </c>
    </row>
    <row r="24657" ht="15.75" customHeight="1">
      <c r="A24657" s="7"/>
      <c r="B24657" s="7"/>
      <c r="M24657" s="9" t="s">
        <v>26</v>
      </c>
    </row>
    <row r="24658" ht="15.75" customHeight="1">
      <c r="A24658" s="7"/>
      <c r="B24658" s="7"/>
      <c r="M24658" s="9" t="s">
        <v>24</v>
      </c>
    </row>
    <row r="24659" ht="15.75" customHeight="1">
      <c r="A24659" s="7"/>
      <c r="B24659" s="7"/>
      <c r="M24659" s="9" t="s">
        <v>21</v>
      </c>
    </row>
    <row r="24660" ht="15.75" customHeight="1">
      <c r="A24660" s="7"/>
      <c r="B24660" s="7"/>
      <c r="M24660" s="9" t="s">
        <v>27</v>
      </c>
    </row>
    <row r="24661" ht="15.75" customHeight="1">
      <c r="A24661" s="7"/>
      <c r="B24661" s="7"/>
      <c r="M24661" s="9" t="s">
        <v>30</v>
      </c>
    </row>
    <row r="24662" ht="15.75" customHeight="1">
      <c r="A24662" s="7"/>
      <c r="B24662" s="7"/>
      <c r="M24662" s="9" t="s">
        <v>22</v>
      </c>
    </row>
    <row r="24663" ht="15.75" customHeight="1">
      <c r="A24663" s="7"/>
      <c r="B24663" s="7"/>
      <c r="M24663" s="9" t="s">
        <v>27</v>
      </c>
    </row>
    <row r="24664" ht="15.75" customHeight="1">
      <c r="A24664" s="7"/>
      <c r="B24664" s="7"/>
      <c r="M24664" s="9" t="s">
        <v>30</v>
      </c>
    </row>
    <row r="24665" ht="15.75" customHeight="1">
      <c r="A24665" s="7"/>
      <c r="B24665" s="7"/>
      <c r="M24665" s="9" t="s">
        <v>25</v>
      </c>
    </row>
    <row r="24666" ht="15.75" customHeight="1">
      <c r="A24666" s="7"/>
      <c r="B24666" s="7"/>
      <c r="M24666" s="9" t="s">
        <v>23</v>
      </c>
    </row>
    <row r="24667" ht="15.75" customHeight="1">
      <c r="A24667" s="7"/>
      <c r="B24667" s="7"/>
      <c r="M24667" s="9" t="s">
        <v>26</v>
      </c>
    </row>
    <row r="24668" ht="15.75" customHeight="1">
      <c r="A24668" s="7"/>
      <c r="B24668" s="7"/>
      <c r="M24668" s="9" t="s">
        <v>22</v>
      </c>
    </row>
    <row r="24669" ht="15.75" customHeight="1">
      <c r="A24669" s="7"/>
      <c r="B24669" s="7"/>
      <c r="M24669" s="9" t="s">
        <v>27</v>
      </c>
    </row>
    <row r="24670" ht="15.75" customHeight="1">
      <c r="A24670" s="7"/>
      <c r="B24670" s="7"/>
      <c r="M24670" s="9" t="s">
        <v>35</v>
      </c>
    </row>
    <row r="24671" ht="15.75" customHeight="1">
      <c r="A24671" s="7"/>
      <c r="B24671" s="7"/>
      <c r="M24671" s="9" t="s">
        <v>38</v>
      </c>
    </row>
    <row r="24672" ht="15.75" customHeight="1">
      <c r="A24672" s="7"/>
      <c r="B24672" s="7"/>
      <c r="M24672" s="9" t="s">
        <v>30</v>
      </c>
    </row>
    <row r="24673" ht="15.75" customHeight="1">
      <c r="A24673" s="7"/>
      <c r="B24673" s="7"/>
      <c r="M24673" s="9" t="s">
        <v>25</v>
      </c>
    </row>
    <row r="24674" ht="15.75" customHeight="1">
      <c r="A24674" s="7"/>
      <c r="B24674" s="7"/>
      <c r="M24674" s="9" t="s">
        <v>23</v>
      </c>
    </row>
    <row r="24675" ht="15.75" customHeight="1">
      <c r="A24675" s="7"/>
      <c r="B24675" s="7"/>
      <c r="M24675" s="9" t="s">
        <v>24</v>
      </c>
    </row>
    <row r="24676" ht="15.75" customHeight="1">
      <c r="A24676" s="7"/>
      <c r="B24676" s="7"/>
      <c r="M24676" s="9" t="s">
        <v>21</v>
      </c>
    </row>
    <row r="24677" ht="15.75" customHeight="1">
      <c r="A24677" s="7"/>
      <c r="B24677" s="7"/>
      <c r="M24677" s="9" t="s">
        <v>22</v>
      </c>
    </row>
    <row r="24678" ht="15.75" customHeight="1">
      <c r="A24678" s="7"/>
      <c r="B24678" s="7"/>
      <c r="M24678" s="9" t="s">
        <v>29</v>
      </c>
    </row>
    <row r="24679" ht="15.75" customHeight="1">
      <c r="A24679" s="7"/>
      <c r="B24679" s="7"/>
      <c r="M24679" s="9" t="s">
        <v>24</v>
      </c>
    </row>
    <row r="24680" ht="15.75" customHeight="1">
      <c r="A24680" s="7"/>
      <c r="B24680" s="7"/>
      <c r="M24680" s="9" t="s">
        <v>20</v>
      </c>
    </row>
    <row r="24681" ht="15.75" customHeight="1">
      <c r="A24681" s="7"/>
      <c r="B24681" s="7"/>
      <c r="M24681" s="9" t="s">
        <v>21</v>
      </c>
    </row>
    <row r="24682" ht="15.75" customHeight="1">
      <c r="A24682" s="7"/>
      <c r="B24682" s="7"/>
      <c r="M24682" s="9" t="s">
        <v>27</v>
      </c>
    </row>
    <row r="24683" ht="15.75" customHeight="1">
      <c r="A24683" s="7"/>
      <c r="B24683" s="7"/>
      <c r="M24683" s="9" t="s">
        <v>26</v>
      </c>
    </row>
    <row r="24684" ht="15.75" customHeight="1">
      <c r="A24684" s="7"/>
      <c r="B24684" s="7"/>
      <c r="M24684" s="9" t="s">
        <v>24</v>
      </c>
    </row>
    <row r="24685" ht="15.75" customHeight="1">
      <c r="A24685" s="7"/>
      <c r="B24685" s="7"/>
      <c r="M24685" s="9" t="s">
        <v>20</v>
      </c>
    </row>
    <row r="24686" ht="15.75" customHeight="1">
      <c r="A24686" s="7"/>
      <c r="B24686" s="7"/>
      <c r="M24686" s="9" t="s">
        <v>21</v>
      </c>
    </row>
    <row r="24687" ht="15.75" customHeight="1">
      <c r="A24687" s="7"/>
      <c r="B24687" s="7"/>
      <c r="M24687" s="9" t="s">
        <v>29</v>
      </c>
    </row>
    <row r="24688" ht="15.75" customHeight="1">
      <c r="A24688" s="7"/>
      <c r="B24688" s="7"/>
      <c r="M24688" s="9" t="s">
        <v>27</v>
      </c>
    </row>
    <row r="24689" ht="15.75" customHeight="1">
      <c r="A24689" s="7"/>
      <c r="B24689" s="7"/>
      <c r="M24689" s="9" t="s">
        <v>33</v>
      </c>
    </row>
    <row r="24690" ht="15.75" customHeight="1">
      <c r="A24690" s="7"/>
      <c r="B24690" s="7"/>
      <c r="M24690" s="9" t="s">
        <v>28</v>
      </c>
    </row>
    <row r="24691" ht="15.75" customHeight="1">
      <c r="A24691" s="7"/>
      <c r="B24691" s="7"/>
      <c r="M24691" s="9" t="s">
        <v>39</v>
      </c>
    </row>
    <row r="24692" ht="15.75" customHeight="1">
      <c r="A24692" s="7"/>
      <c r="B24692" s="7"/>
      <c r="M24692" s="9" t="s">
        <v>22</v>
      </c>
    </row>
    <row r="24693" ht="15.75" customHeight="1">
      <c r="A24693" s="7"/>
      <c r="B24693" s="7"/>
      <c r="M24693" s="9" t="s">
        <v>27</v>
      </c>
    </row>
    <row r="24694" ht="15.75" customHeight="1">
      <c r="A24694" s="7"/>
      <c r="B24694" s="7"/>
      <c r="M24694" s="9" t="s">
        <v>22</v>
      </c>
    </row>
    <row r="24695" ht="15.75" customHeight="1">
      <c r="A24695" s="7"/>
      <c r="B24695" s="7"/>
      <c r="M24695" s="9" t="s">
        <v>30</v>
      </c>
    </row>
    <row r="24696" ht="15.75" customHeight="1">
      <c r="A24696" s="7"/>
      <c r="B24696" s="7"/>
      <c r="M24696" s="9" t="s">
        <v>25</v>
      </c>
    </row>
    <row r="24697" ht="15.75" customHeight="1">
      <c r="A24697" s="7"/>
      <c r="B24697" s="7"/>
      <c r="M24697" s="9" t="s">
        <v>36</v>
      </c>
    </row>
    <row r="24698" ht="15.75" customHeight="1">
      <c r="A24698" s="7"/>
      <c r="B24698" s="7"/>
      <c r="M24698" s="9" t="s">
        <v>24</v>
      </c>
    </row>
    <row r="24699" ht="15.75" customHeight="1">
      <c r="A24699" s="7"/>
      <c r="B24699" s="7"/>
      <c r="M24699" s="9" t="s">
        <v>21</v>
      </c>
    </row>
    <row r="24700" ht="15.75" customHeight="1">
      <c r="A24700" s="7"/>
      <c r="B24700" s="7"/>
      <c r="M24700" s="9" t="s">
        <v>22</v>
      </c>
    </row>
    <row r="24701" ht="15.75" customHeight="1">
      <c r="A24701" s="7"/>
      <c r="B24701" s="7"/>
      <c r="M24701" s="9" t="s">
        <v>27</v>
      </c>
    </row>
    <row r="24702" ht="15.75" customHeight="1">
      <c r="A24702" s="7"/>
      <c r="B24702" s="7"/>
      <c r="M24702" s="9" t="s">
        <v>30</v>
      </c>
    </row>
    <row r="24703" ht="15.75" customHeight="1">
      <c r="A24703" s="7"/>
      <c r="B24703" s="7"/>
      <c r="M24703" s="9" t="s">
        <v>24</v>
      </c>
    </row>
    <row r="24704" ht="15.75" customHeight="1">
      <c r="A24704" s="7"/>
      <c r="B24704" s="7"/>
      <c r="M24704" s="9" t="s">
        <v>20</v>
      </c>
    </row>
    <row r="24705" ht="15.75" customHeight="1">
      <c r="A24705" s="7"/>
      <c r="B24705" s="7"/>
      <c r="M24705" s="9" t="s">
        <v>21</v>
      </c>
    </row>
    <row r="24706" ht="15.75" customHeight="1">
      <c r="A24706" s="7"/>
      <c r="B24706" s="7"/>
      <c r="M24706" s="9" t="s">
        <v>27</v>
      </c>
    </row>
    <row r="24707" ht="15.75" customHeight="1">
      <c r="A24707" s="7"/>
      <c r="B24707" s="7"/>
      <c r="M24707" s="9" t="s">
        <v>24</v>
      </c>
    </row>
    <row r="24708" ht="15.75" customHeight="1">
      <c r="A24708" s="7"/>
      <c r="B24708" s="7"/>
      <c r="M24708" s="9" t="s">
        <v>21</v>
      </c>
    </row>
    <row r="24709" ht="15.75" customHeight="1">
      <c r="A24709" s="7"/>
      <c r="B24709" s="7"/>
      <c r="M24709" s="9" t="s">
        <v>30</v>
      </c>
    </row>
    <row r="24710" ht="15.75" customHeight="1">
      <c r="A24710" s="7"/>
      <c r="B24710" s="7"/>
      <c r="M24710" s="9" t="s">
        <v>25</v>
      </c>
    </row>
    <row r="24711" ht="15.75" customHeight="1">
      <c r="A24711" s="7"/>
      <c r="B24711" s="7"/>
      <c r="M24711" s="9" t="s">
        <v>20</v>
      </c>
    </row>
    <row r="24712" ht="15.75" customHeight="1">
      <c r="A24712" s="7"/>
      <c r="B24712" s="7"/>
      <c r="M24712" s="9" t="s">
        <v>21</v>
      </c>
    </row>
    <row r="24713" ht="15.75" customHeight="1">
      <c r="A24713" s="7"/>
      <c r="B24713" s="7"/>
      <c r="M24713" s="9" t="s">
        <v>37</v>
      </c>
    </row>
    <row r="24714" ht="15.75" customHeight="1">
      <c r="A24714" s="7"/>
      <c r="B24714" s="7"/>
      <c r="M24714" s="9" t="s">
        <v>22</v>
      </c>
    </row>
    <row r="24715" ht="15.75" customHeight="1">
      <c r="A24715" s="7"/>
      <c r="B24715" s="7"/>
      <c r="M24715" s="9" t="s">
        <v>29</v>
      </c>
    </row>
    <row r="24716" ht="15.75" customHeight="1">
      <c r="A24716" s="7"/>
      <c r="B24716" s="7"/>
      <c r="M24716" s="9" t="s">
        <v>27</v>
      </c>
    </row>
    <row r="24717" ht="15.75" customHeight="1">
      <c r="A24717" s="7"/>
      <c r="B24717" s="7"/>
      <c r="M24717" s="9" t="s">
        <v>38</v>
      </c>
    </row>
    <row r="24718" ht="15.75" customHeight="1">
      <c r="A24718" s="7"/>
      <c r="B24718" s="7"/>
      <c r="M24718" s="9" t="s">
        <v>30</v>
      </c>
    </row>
    <row r="24719" ht="15.75" customHeight="1">
      <c r="A24719" s="7"/>
      <c r="B24719" s="7"/>
      <c r="M24719" s="9" t="s">
        <v>25</v>
      </c>
    </row>
    <row r="24720" ht="15.75" customHeight="1">
      <c r="A24720" s="7"/>
      <c r="B24720" s="7"/>
      <c r="M24720" s="9" t="s">
        <v>23</v>
      </c>
    </row>
    <row r="24721" ht="15.75" customHeight="1">
      <c r="A24721" s="7"/>
      <c r="B24721" s="7"/>
      <c r="M24721" s="9" t="s">
        <v>24</v>
      </c>
    </row>
    <row r="24722" ht="15.75" customHeight="1">
      <c r="A24722" s="7"/>
      <c r="B24722" s="7"/>
      <c r="M24722" s="9" t="s">
        <v>20</v>
      </c>
    </row>
    <row r="24723" ht="15.75" customHeight="1">
      <c r="A24723" s="7"/>
      <c r="B24723" s="7"/>
      <c r="M24723" s="9" t="s">
        <v>22</v>
      </c>
    </row>
    <row r="24724" ht="15.75" customHeight="1">
      <c r="A24724" s="7"/>
      <c r="B24724" s="7"/>
      <c r="M24724" s="9" t="s">
        <v>27</v>
      </c>
    </row>
    <row r="24725" ht="15.75" customHeight="1">
      <c r="A24725" s="7"/>
      <c r="B24725" s="7"/>
      <c r="M24725" s="9" t="s">
        <v>30</v>
      </c>
    </row>
    <row r="24726" ht="15.75" customHeight="1">
      <c r="A24726" s="7"/>
      <c r="B24726" s="7"/>
      <c r="M24726" s="9" t="s">
        <v>26</v>
      </c>
    </row>
    <row r="24727" ht="15.75" customHeight="1">
      <c r="A24727" s="7"/>
      <c r="B24727" s="7"/>
      <c r="M24727" s="9" t="s">
        <v>45</v>
      </c>
    </row>
    <row r="24728" ht="15.75" customHeight="1">
      <c r="A24728" s="7"/>
      <c r="B24728" s="7"/>
      <c r="M24728" s="9" t="s">
        <v>24</v>
      </c>
    </row>
    <row r="24729" ht="15.75" customHeight="1">
      <c r="A24729" s="7"/>
      <c r="B24729" s="7"/>
      <c r="M24729" s="9" t="s">
        <v>20</v>
      </c>
    </row>
    <row r="24730" ht="15.75" customHeight="1">
      <c r="A24730" s="7"/>
      <c r="B24730" s="7"/>
      <c r="M24730" s="9" t="s">
        <v>21</v>
      </c>
    </row>
    <row r="24731" ht="15.75" customHeight="1">
      <c r="A24731" s="7"/>
      <c r="B24731" s="7"/>
      <c r="M24731" s="9" t="s">
        <v>39</v>
      </c>
    </row>
    <row r="24732" ht="15.75" customHeight="1">
      <c r="A24732" s="7"/>
      <c r="B24732" s="7"/>
      <c r="M24732" s="9" t="s">
        <v>27</v>
      </c>
    </row>
    <row r="24733" ht="15.75" customHeight="1">
      <c r="A24733" s="7"/>
      <c r="B24733" s="7"/>
      <c r="M24733" s="9" t="s">
        <v>33</v>
      </c>
    </row>
    <row r="24734" ht="15.75" customHeight="1">
      <c r="A24734" s="7"/>
      <c r="B24734" s="7"/>
      <c r="M24734" s="9" t="s">
        <v>26</v>
      </c>
    </row>
    <row r="24735" ht="15.75" customHeight="1">
      <c r="A24735" s="7"/>
      <c r="B24735" s="7"/>
      <c r="M24735" s="9" t="s">
        <v>24</v>
      </c>
    </row>
    <row r="24736" ht="15.75" customHeight="1">
      <c r="A24736" s="7"/>
      <c r="B24736" s="7"/>
      <c r="M24736" s="9" t="s">
        <v>21</v>
      </c>
    </row>
    <row r="24737" ht="15.75" customHeight="1">
      <c r="A24737" s="7"/>
      <c r="B24737" s="7"/>
      <c r="M24737" s="9" t="s">
        <v>37</v>
      </c>
    </row>
    <row r="24738" ht="15.75" customHeight="1">
      <c r="A24738" s="7"/>
      <c r="B24738" s="7"/>
      <c r="M24738" s="9" t="s">
        <v>22</v>
      </c>
    </row>
    <row r="24739" ht="15.75" customHeight="1">
      <c r="A24739" s="7"/>
      <c r="B24739" s="7"/>
      <c r="M24739" s="9" t="s">
        <v>33</v>
      </c>
    </row>
    <row r="24740" ht="15.75" customHeight="1">
      <c r="A24740" s="7"/>
      <c r="B24740" s="7"/>
      <c r="M24740" s="9" t="s">
        <v>20</v>
      </c>
    </row>
    <row r="24741" ht="15.75" customHeight="1">
      <c r="A24741" s="7"/>
      <c r="B24741" s="7"/>
      <c r="M24741" s="9" t="s">
        <v>46</v>
      </c>
    </row>
    <row r="24742" ht="15.75" customHeight="1">
      <c r="A24742" s="7"/>
      <c r="B24742" s="7"/>
      <c r="M24742" s="9" t="s">
        <v>23</v>
      </c>
    </row>
    <row r="24743" ht="15.75" customHeight="1">
      <c r="A24743" s="7"/>
      <c r="B24743" s="7"/>
      <c r="M24743" s="9" t="s">
        <v>22</v>
      </c>
    </row>
    <row r="24744" ht="15.75" customHeight="1">
      <c r="A24744" s="7"/>
      <c r="B24744" s="7"/>
      <c r="M24744" s="9" t="s">
        <v>31</v>
      </c>
    </row>
    <row r="24745" ht="15.75" customHeight="1">
      <c r="A24745" s="7"/>
      <c r="B24745" s="7"/>
      <c r="M24745" s="9" t="s">
        <v>27</v>
      </c>
    </row>
    <row r="24746" ht="15.75" customHeight="1">
      <c r="A24746" s="7"/>
      <c r="B24746" s="7"/>
      <c r="M24746" s="9" t="s">
        <v>33</v>
      </c>
    </row>
    <row r="24747" ht="15.75" customHeight="1">
      <c r="A24747" s="7"/>
      <c r="B24747" s="7"/>
      <c r="M24747" s="9" t="s">
        <v>30</v>
      </c>
    </row>
    <row r="24748" ht="15.75" customHeight="1">
      <c r="A24748" s="7"/>
      <c r="B24748" s="7"/>
      <c r="M24748" s="9" t="s">
        <v>25</v>
      </c>
    </row>
    <row r="24749" ht="15.75" customHeight="1">
      <c r="A24749" s="7"/>
      <c r="B24749" s="7"/>
      <c r="M24749" s="9" t="s">
        <v>22</v>
      </c>
    </row>
    <row r="24750" ht="15.75" customHeight="1">
      <c r="A24750" s="7"/>
      <c r="B24750" s="7"/>
      <c r="M24750" s="9" t="s">
        <v>31</v>
      </c>
    </row>
    <row r="24751" ht="15.75" customHeight="1">
      <c r="A24751" s="7"/>
      <c r="B24751" s="7"/>
      <c r="M24751" s="9" t="s">
        <v>30</v>
      </c>
    </row>
    <row r="24752" ht="15.75" customHeight="1">
      <c r="A24752" s="7"/>
      <c r="B24752" s="7"/>
      <c r="M24752" s="9" t="s">
        <v>26</v>
      </c>
    </row>
    <row r="24753" ht="15.75" customHeight="1">
      <c r="A24753" s="7"/>
      <c r="B24753" s="7"/>
      <c r="M24753" s="9" t="s">
        <v>24</v>
      </c>
    </row>
    <row r="24754" ht="15.75" customHeight="1">
      <c r="A24754" s="7"/>
      <c r="B24754" s="7"/>
      <c r="M24754" s="9" t="s">
        <v>21</v>
      </c>
    </row>
    <row r="24755" ht="15.75" customHeight="1">
      <c r="A24755" s="7"/>
      <c r="B24755" s="7"/>
      <c r="M24755" s="9" t="s">
        <v>37</v>
      </c>
    </row>
    <row r="24756" ht="15.75" customHeight="1">
      <c r="A24756" s="7"/>
      <c r="B24756" s="7"/>
      <c r="M24756" s="9" t="s">
        <v>31</v>
      </c>
    </row>
    <row r="24757" ht="15.75" customHeight="1">
      <c r="A24757" s="7"/>
      <c r="B24757" s="7"/>
      <c r="M24757" s="9" t="s">
        <v>27</v>
      </c>
    </row>
    <row r="24758" ht="15.75" customHeight="1">
      <c r="A24758" s="7"/>
      <c r="B24758" s="7"/>
      <c r="M24758" s="9" t="s">
        <v>25</v>
      </c>
    </row>
    <row r="24759" ht="15.75" customHeight="1">
      <c r="A24759" s="7"/>
      <c r="B24759" s="7"/>
      <c r="M24759" s="9" t="s">
        <v>23</v>
      </c>
    </row>
    <row r="24760" ht="15.75" customHeight="1">
      <c r="A24760" s="7"/>
      <c r="B24760" s="7"/>
      <c r="M24760" s="9" t="s">
        <v>26</v>
      </c>
    </row>
    <row r="24761" ht="15.75" customHeight="1">
      <c r="A24761" s="7"/>
      <c r="B24761" s="7"/>
      <c r="M24761" s="9" t="s">
        <v>24</v>
      </c>
    </row>
    <row r="24762" ht="15.75" customHeight="1">
      <c r="A24762" s="7"/>
      <c r="B24762" s="7"/>
      <c r="M24762" s="9" t="s">
        <v>20</v>
      </c>
    </row>
    <row r="24763" ht="15.75" customHeight="1">
      <c r="A24763" s="7"/>
      <c r="B24763" s="7"/>
      <c r="M24763" s="9" t="s">
        <v>21</v>
      </c>
    </row>
    <row r="24764" ht="15.75" customHeight="1">
      <c r="A24764" s="7"/>
      <c r="B24764" s="7"/>
      <c r="M24764" s="9" t="s">
        <v>37</v>
      </c>
    </row>
    <row r="24765" ht="15.75" customHeight="1">
      <c r="A24765" s="7"/>
      <c r="B24765" s="7"/>
      <c r="M24765" s="9" t="s">
        <v>46</v>
      </c>
    </row>
    <row r="24766" ht="15.75" customHeight="1">
      <c r="A24766" s="7"/>
      <c r="B24766" s="7"/>
      <c r="M24766" s="9" t="s">
        <v>33</v>
      </c>
    </row>
    <row r="24767" ht="15.75" customHeight="1">
      <c r="A24767" s="7"/>
      <c r="B24767" s="7"/>
      <c r="M24767" s="9" t="s">
        <v>23</v>
      </c>
    </row>
    <row r="24768" ht="15.75" customHeight="1">
      <c r="A24768" s="7"/>
      <c r="B24768" s="7"/>
      <c r="M24768" s="9" t="s">
        <v>26</v>
      </c>
    </row>
    <row r="24769" ht="15.75" customHeight="1">
      <c r="A24769" s="7"/>
      <c r="B24769" s="7"/>
      <c r="M24769" s="9" t="s">
        <v>20</v>
      </c>
    </row>
    <row r="24770" ht="15.75" customHeight="1">
      <c r="A24770" s="7"/>
      <c r="B24770" s="7"/>
      <c r="M24770" s="9" t="s">
        <v>37</v>
      </c>
    </row>
    <row r="24771" ht="15.75" customHeight="1">
      <c r="A24771" s="7"/>
      <c r="B24771" s="7"/>
      <c r="M24771" s="9" t="s">
        <v>27</v>
      </c>
    </row>
    <row r="24772" ht="15.75" customHeight="1">
      <c r="A24772" s="7"/>
      <c r="B24772" s="7"/>
      <c r="M24772" s="9" t="s">
        <v>26</v>
      </c>
    </row>
    <row r="24773" ht="15.75" customHeight="1">
      <c r="A24773" s="7"/>
      <c r="B24773" s="7"/>
      <c r="M24773" s="9" t="s">
        <v>24</v>
      </c>
    </row>
    <row r="24774" ht="15.75" customHeight="1">
      <c r="A24774" s="7"/>
      <c r="B24774" s="7"/>
      <c r="M24774" s="9" t="s">
        <v>21</v>
      </c>
    </row>
    <row r="24775" ht="15.75" customHeight="1">
      <c r="A24775" s="7"/>
      <c r="B24775" s="7"/>
      <c r="M24775" s="9" t="s">
        <v>27</v>
      </c>
    </row>
    <row r="24776" ht="15.75" customHeight="1">
      <c r="A24776" s="7"/>
      <c r="B24776" s="7"/>
      <c r="M24776" s="9" t="s">
        <v>38</v>
      </c>
    </row>
    <row r="24777" ht="15.75" customHeight="1">
      <c r="A24777" s="7"/>
      <c r="B24777" s="7"/>
      <c r="M24777" s="9" t="s">
        <v>30</v>
      </c>
    </row>
    <row r="24778" ht="15.75" customHeight="1">
      <c r="A24778" s="7"/>
      <c r="B24778" s="7"/>
      <c r="M24778" s="9" t="s">
        <v>23</v>
      </c>
    </row>
    <row r="24779" ht="15.75" customHeight="1">
      <c r="A24779" s="7"/>
      <c r="B24779" s="7"/>
      <c r="M24779" s="9" t="s">
        <v>24</v>
      </c>
    </row>
    <row r="24780" ht="15.75" customHeight="1">
      <c r="A24780" s="7"/>
      <c r="B24780" s="7"/>
      <c r="M24780" s="9" t="s">
        <v>32</v>
      </c>
    </row>
    <row r="24781" ht="15.75" customHeight="1">
      <c r="A24781" s="7"/>
      <c r="B24781" s="7"/>
      <c r="M24781" s="9" t="s">
        <v>26</v>
      </c>
    </row>
    <row r="24782" ht="15.75" customHeight="1">
      <c r="A24782" s="7"/>
      <c r="B24782" s="7"/>
      <c r="M24782" s="9" t="s">
        <v>20</v>
      </c>
    </row>
    <row r="24783" ht="15.75" customHeight="1">
      <c r="A24783" s="7"/>
      <c r="B24783" s="7"/>
      <c r="M24783" s="9" t="s">
        <v>41</v>
      </c>
    </row>
    <row r="24784" ht="15.75" customHeight="1">
      <c r="A24784" s="7"/>
      <c r="B24784" s="7"/>
      <c r="M24784" s="9" t="s">
        <v>27</v>
      </c>
    </row>
    <row r="24785" ht="15.75" customHeight="1">
      <c r="A24785" s="7"/>
      <c r="B24785" s="7"/>
      <c r="M24785" s="9" t="s">
        <v>23</v>
      </c>
    </row>
    <row r="24786" ht="15.75" customHeight="1">
      <c r="A24786" s="7"/>
      <c r="B24786" s="7"/>
      <c r="M24786" s="9" t="s">
        <v>24</v>
      </c>
    </row>
    <row r="24787" ht="15.75" customHeight="1">
      <c r="A24787" s="7"/>
      <c r="B24787" s="7"/>
      <c r="M24787" s="9" t="s">
        <v>37</v>
      </c>
    </row>
    <row r="24788" ht="15.75" customHeight="1">
      <c r="A24788" s="7"/>
      <c r="B24788" s="7"/>
      <c r="M24788" s="9" t="s">
        <v>22</v>
      </c>
    </row>
    <row r="24789" ht="15.75" customHeight="1">
      <c r="A24789" s="7"/>
      <c r="B24789" s="7"/>
      <c r="M24789" s="9" t="s">
        <v>25</v>
      </c>
    </row>
    <row r="24790" ht="15.75" customHeight="1">
      <c r="A24790" s="7"/>
      <c r="B24790" s="7"/>
      <c r="M24790" s="9" t="s">
        <v>23</v>
      </c>
    </row>
    <row r="24791" ht="15.75" customHeight="1">
      <c r="A24791" s="7"/>
      <c r="B24791" s="7"/>
      <c r="M24791" s="9" t="s">
        <v>26</v>
      </c>
    </row>
    <row r="24792" ht="15.75" customHeight="1">
      <c r="A24792" s="7"/>
      <c r="B24792" s="7"/>
      <c r="M24792" s="9" t="s">
        <v>24</v>
      </c>
    </row>
    <row r="24793" ht="15.75" customHeight="1">
      <c r="A24793" s="7"/>
      <c r="B24793" s="7"/>
      <c r="M24793" s="9" t="s">
        <v>22</v>
      </c>
    </row>
    <row r="24794" ht="15.75" customHeight="1">
      <c r="A24794" s="7"/>
      <c r="B24794" s="7"/>
      <c r="M24794" s="9" t="s">
        <v>27</v>
      </c>
    </row>
    <row r="24795" ht="15.75" customHeight="1">
      <c r="A24795" s="7"/>
      <c r="B24795" s="7"/>
      <c r="M24795" s="9" t="s">
        <v>26</v>
      </c>
    </row>
    <row r="24796" ht="15.75" customHeight="1">
      <c r="A24796" s="7"/>
      <c r="B24796" s="7"/>
      <c r="M24796" s="9" t="s">
        <v>24</v>
      </c>
    </row>
    <row r="24797" ht="15.75" customHeight="1">
      <c r="A24797" s="7"/>
      <c r="B24797" s="7"/>
      <c r="M24797" s="9" t="s">
        <v>21</v>
      </c>
    </row>
    <row r="24798" ht="15.75" customHeight="1">
      <c r="A24798" s="7"/>
      <c r="B24798" s="7"/>
      <c r="M24798" s="9" t="s">
        <v>24</v>
      </c>
    </row>
    <row r="24799" ht="15.75" customHeight="1">
      <c r="A24799" s="7"/>
      <c r="B24799" s="7"/>
      <c r="M24799" s="9" t="s">
        <v>20</v>
      </c>
    </row>
    <row r="24800" ht="15.75" customHeight="1">
      <c r="A24800" s="7"/>
      <c r="B24800" s="7"/>
      <c r="M24800" s="9" t="s">
        <v>31</v>
      </c>
    </row>
    <row r="24801" ht="15.75" customHeight="1">
      <c r="A24801" s="7"/>
      <c r="B24801" s="7"/>
      <c r="M24801" s="9" t="s">
        <v>24</v>
      </c>
    </row>
    <row r="24802" ht="15.75" customHeight="1">
      <c r="A24802" s="7"/>
      <c r="B24802" s="7"/>
      <c r="M24802" s="9" t="s">
        <v>21</v>
      </c>
    </row>
    <row r="24803" ht="15.75" customHeight="1">
      <c r="A24803" s="7"/>
      <c r="B24803" s="7"/>
      <c r="M24803" s="9" t="s">
        <v>22</v>
      </c>
    </row>
    <row r="24804" ht="15.75" customHeight="1">
      <c r="A24804" s="7"/>
      <c r="B24804" s="7"/>
      <c r="M24804" s="9" t="s">
        <v>24</v>
      </c>
    </row>
    <row r="24805" ht="15.75" customHeight="1">
      <c r="A24805" s="7"/>
      <c r="B24805" s="7"/>
      <c r="M24805" s="9" t="s">
        <v>21</v>
      </c>
    </row>
    <row r="24806" ht="15.75" customHeight="1">
      <c r="A24806" s="7"/>
      <c r="B24806" s="7"/>
      <c r="M24806" s="9" t="s">
        <v>27</v>
      </c>
    </row>
    <row r="24807" ht="15.75" customHeight="1">
      <c r="A24807" s="7"/>
      <c r="B24807" s="7"/>
      <c r="M24807" s="9" t="s">
        <v>33</v>
      </c>
    </row>
    <row r="24808" ht="15.75" customHeight="1">
      <c r="A24808" s="7"/>
      <c r="B24808" s="7"/>
      <c r="M24808" s="9" t="s">
        <v>28</v>
      </c>
    </row>
    <row r="24809" ht="15.75" customHeight="1">
      <c r="A24809" s="7"/>
      <c r="B24809" s="7"/>
      <c r="M24809" s="9" t="s">
        <v>26</v>
      </c>
    </row>
    <row r="24810" ht="15.75" customHeight="1">
      <c r="A24810" s="7"/>
      <c r="B24810" s="7"/>
      <c r="M24810" s="9" t="s">
        <v>27</v>
      </c>
    </row>
    <row r="24811" ht="15.75" customHeight="1">
      <c r="A24811" s="7"/>
      <c r="B24811" s="7"/>
      <c r="M24811" s="9" t="s">
        <v>28</v>
      </c>
    </row>
    <row r="24812" ht="15.75" customHeight="1">
      <c r="A24812" s="7"/>
      <c r="B24812" s="7"/>
      <c r="M24812" s="9" t="s">
        <v>35</v>
      </c>
    </row>
    <row r="24813" ht="15.75" customHeight="1">
      <c r="A24813" s="7"/>
      <c r="B24813" s="7"/>
      <c r="M24813" s="9" t="s">
        <v>20</v>
      </c>
    </row>
    <row r="24814" ht="15.75" customHeight="1">
      <c r="A24814" s="7"/>
      <c r="B24814" s="7"/>
      <c r="M24814" s="9" t="s">
        <v>22</v>
      </c>
    </row>
    <row r="24815" ht="15.75" customHeight="1">
      <c r="A24815" s="7"/>
      <c r="B24815" s="7"/>
      <c r="M24815" s="9" t="s">
        <v>27</v>
      </c>
    </row>
    <row r="24816" ht="15.75" customHeight="1">
      <c r="A24816" s="7"/>
      <c r="B24816" s="7"/>
      <c r="M24816" s="9" t="s">
        <v>26</v>
      </c>
    </row>
    <row r="24817" ht="15.75" customHeight="1">
      <c r="A24817" s="7"/>
      <c r="B24817" s="7"/>
      <c r="M24817" s="9" t="s">
        <v>25</v>
      </c>
    </row>
    <row r="24818" ht="15.75" customHeight="1">
      <c r="A24818" s="7"/>
      <c r="B24818" s="7"/>
      <c r="M24818" s="9" t="s">
        <v>23</v>
      </c>
    </row>
    <row r="24819" ht="15.75" customHeight="1">
      <c r="A24819" s="7"/>
      <c r="B24819" s="7"/>
      <c r="M24819" s="9" t="s">
        <v>26</v>
      </c>
    </row>
    <row r="24820" ht="15.75" customHeight="1">
      <c r="A24820" s="7"/>
      <c r="B24820" s="7"/>
      <c r="M24820" s="9" t="s">
        <v>24</v>
      </c>
    </row>
    <row r="24821" ht="15.75" customHeight="1">
      <c r="A24821" s="7"/>
      <c r="B24821" s="7"/>
      <c r="M24821" s="9" t="s">
        <v>20</v>
      </c>
    </row>
    <row r="24822" ht="15.75" customHeight="1">
      <c r="A24822" s="7"/>
      <c r="B24822" s="7"/>
      <c r="M24822" s="9" t="s">
        <v>21</v>
      </c>
    </row>
    <row r="24823" ht="15.75" customHeight="1">
      <c r="A24823" s="7"/>
      <c r="B24823" s="7"/>
      <c r="M24823" s="9" t="s">
        <v>41</v>
      </c>
    </row>
    <row r="24824" ht="15.75" customHeight="1">
      <c r="A24824" s="7"/>
      <c r="B24824" s="7"/>
      <c r="M24824" s="9" t="s">
        <v>27</v>
      </c>
    </row>
    <row r="24825" ht="15.75" customHeight="1">
      <c r="A24825" s="7"/>
      <c r="B24825" s="7"/>
      <c r="M24825" s="9" t="s">
        <v>40</v>
      </c>
    </row>
    <row r="24826" ht="15.75" customHeight="1">
      <c r="A24826" s="7"/>
      <c r="B24826" s="7"/>
      <c r="M24826" s="9" t="s">
        <v>30</v>
      </c>
    </row>
    <row r="24827" ht="15.75" customHeight="1">
      <c r="A24827" s="7"/>
      <c r="B24827" s="7"/>
      <c r="M24827" s="9" t="s">
        <v>24</v>
      </c>
    </row>
    <row r="24828" ht="15.75" customHeight="1">
      <c r="A24828" s="7"/>
      <c r="B24828" s="7"/>
      <c r="M24828" s="9" t="s">
        <v>21</v>
      </c>
    </row>
    <row r="24829" ht="15.75" customHeight="1">
      <c r="A24829" s="7"/>
      <c r="B24829" s="7"/>
      <c r="M24829" s="9" t="s">
        <v>41</v>
      </c>
    </row>
    <row r="24830" ht="15.75" customHeight="1">
      <c r="A24830" s="7"/>
      <c r="B24830" s="7"/>
      <c r="M24830" s="9" t="s">
        <v>37</v>
      </c>
    </row>
    <row r="24831" ht="15.75" customHeight="1">
      <c r="A24831" s="7"/>
      <c r="B24831" s="7"/>
      <c r="M24831" s="9" t="s">
        <v>22</v>
      </c>
    </row>
    <row r="24832" ht="15.75" customHeight="1">
      <c r="A24832" s="7"/>
      <c r="B24832" s="7"/>
      <c r="M24832" s="9" t="s">
        <v>27</v>
      </c>
    </row>
    <row r="24833" ht="15.75" customHeight="1">
      <c r="A24833" s="7"/>
      <c r="B24833" s="7"/>
      <c r="M24833" s="9" t="s">
        <v>40</v>
      </c>
    </row>
    <row r="24834" ht="15.75" customHeight="1">
      <c r="A24834" s="7"/>
      <c r="B24834" s="7"/>
      <c r="M24834" s="9" t="s">
        <v>33</v>
      </c>
    </row>
    <row r="24835" ht="15.75" customHeight="1">
      <c r="A24835" s="7"/>
      <c r="B24835" s="7"/>
      <c r="M24835" s="9" t="s">
        <v>26</v>
      </c>
    </row>
    <row r="24836" ht="15.75" customHeight="1">
      <c r="A24836" s="7"/>
      <c r="B24836" s="7"/>
      <c r="M24836" s="9" t="s">
        <v>22</v>
      </c>
    </row>
    <row r="24837" ht="15.75" customHeight="1">
      <c r="A24837" s="7"/>
      <c r="B24837" s="7"/>
      <c r="M24837" s="9" t="s">
        <v>27</v>
      </c>
    </row>
    <row r="24838" ht="15.75" customHeight="1">
      <c r="A24838" s="7"/>
      <c r="B24838" s="7"/>
      <c r="M24838" s="9" t="s">
        <v>37</v>
      </c>
    </row>
    <row r="24839" ht="15.75" customHeight="1">
      <c r="A24839" s="7"/>
      <c r="B24839" s="7"/>
      <c r="M24839" s="9" t="s">
        <v>30</v>
      </c>
    </row>
    <row r="24840" ht="15.75" customHeight="1">
      <c r="A24840" s="7"/>
      <c r="B24840" s="7"/>
      <c r="M24840" s="9" t="s">
        <v>27</v>
      </c>
    </row>
    <row r="24841" ht="15.75" customHeight="1">
      <c r="A24841" s="7"/>
      <c r="B24841" s="7"/>
      <c r="M24841" s="9" t="s">
        <v>20</v>
      </c>
    </row>
    <row r="24842" ht="15.75" customHeight="1">
      <c r="A24842" s="7"/>
      <c r="B24842" s="7"/>
      <c r="M24842" s="9" t="s">
        <v>22</v>
      </c>
    </row>
    <row r="24843" ht="15.75" customHeight="1">
      <c r="A24843" s="7"/>
      <c r="B24843" s="7"/>
      <c r="M24843" s="9" t="s">
        <v>46</v>
      </c>
    </row>
    <row r="24844" ht="15.75" customHeight="1">
      <c r="A24844" s="7"/>
      <c r="B24844" s="7"/>
      <c r="M24844" s="9" t="s">
        <v>22</v>
      </c>
    </row>
    <row r="24845" ht="15.75" customHeight="1">
      <c r="A24845" s="7"/>
      <c r="B24845" s="7"/>
      <c r="M24845" s="9" t="s">
        <v>30</v>
      </c>
    </row>
    <row r="24846" ht="15.75" customHeight="1">
      <c r="A24846" s="7"/>
      <c r="B24846" s="7"/>
      <c r="M24846" s="9" t="s">
        <v>26</v>
      </c>
    </row>
    <row r="24847" ht="15.75" customHeight="1">
      <c r="A24847" s="7"/>
      <c r="B24847" s="7"/>
      <c r="M24847" s="9" t="s">
        <v>36</v>
      </c>
    </row>
    <row r="24848" ht="15.75" customHeight="1">
      <c r="A24848" s="7"/>
      <c r="B24848" s="7"/>
      <c r="M24848" s="9" t="s">
        <v>24</v>
      </c>
    </row>
    <row r="24849" ht="15.75" customHeight="1">
      <c r="A24849" s="7"/>
      <c r="B24849" s="7"/>
      <c r="M24849" s="9" t="s">
        <v>20</v>
      </c>
    </row>
    <row r="24850" ht="15.75" customHeight="1">
      <c r="A24850" s="7"/>
      <c r="B24850" s="7"/>
      <c r="M24850" s="9" t="s">
        <v>21</v>
      </c>
    </row>
    <row r="24851" ht="15.75" customHeight="1">
      <c r="A24851" s="7"/>
      <c r="B24851" s="7"/>
      <c r="M24851" s="9" t="s">
        <v>37</v>
      </c>
    </row>
    <row r="24852" ht="15.75" customHeight="1">
      <c r="A24852" s="7"/>
      <c r="B24852" s="7"/>
      <c r="M24852" s="9" t="s">
        <v>22</v>
      </c>
    </row>
    <row r="24853" ht="15.75" customHeight="1">
      <c r="A24853" s="7"/>
      <c r="B24853" s="7"/>
      <c r="M24853" s="9" t="s">
        <v>27</v>
      </c>
    </row>
    <row r="24854" ht="15.75" customHeight="1">
      <c r="A24854" s="7"/>
      <c r="B24854" s="7"/>
      <c r="M24854" s="9" t="s">
        <v>30</v>
      </c>
    </row>
    <row r="24855" ht="15.75" customHeight="1">
      <c r="A24855" s="7"/>
      <c r="B24855" s="7"/>
      <c r="M24855" s="9" t="s">
        <v>25</v>
      </c>
    </row>
    <row r="24856" ht="15.75" customHeight="1">
      <c r="A24856" s="7"/>
      <c r="B24856" s="7"/>
      <c r="M24856" s="9" t="s">
        <v>23</v>
      </c>
    </row>
    <row r="24857" ht="15.75" customHeight="1">
      <c r="A24857" s="7"/>
      <c r="B24857" s="7"/>
      <c r="M24857" s="9" t="s">
        <v>24</v>
      </c>
    </row>
    <row r="24858" ht="15.75" customHeight="1">
      <c r="A24858" s="7"/>
      <c r="B24858" s="7"/>
      <c r="M24858" s="9" t="s">
        <v>21</v>
      </c>
    </row>
    <row r="24859" ht="15.75" customHeight="1">
      <c r="A24859" s="7"/>
      <c r="B24859" s="7"/>
      <c r="M24859" s="9" t="s">
        <v>22</v>
      </c>
    </row>
    <row r="24860" ht="15.75" customHeight="1">
      <c r="A24860" s="7"/>
      <c r="B24860" s="7"/>
      <c r="M24860" s="9" t="s">
        <v>27</v>
      </c>
    </row>
    <row r="24861" ht="15.75" customHeight="1">
      <c r="A24861" s="7"/>
      <c r="B24861" s="7"/>
      <c r="M24861" s="9" t="s">
        <v>30</v>
      </c>
    </row>
    <row r="24862" ht="15.75" customHeight="1">
      <c r="A24862" s="7"/>
      <c r="B24862" s="7"/>
      <c r="M24862" s="9" t="s">
        <v>26</v>
      </c>
    </row>
    <row r="24863" ht="15.75" customHeight="1">
      <c r="A24863" s="7"/>
      <c r="B24863" s="7"/>
      <c r="M24863" s="9" t="s">
        <v>24</v>
      </c>
    </row>
    <row r="24864" ht="15.75" customHeight="1">
      <c r="A24864" s="7"/>
      <c r="B24864" s="7"/>
      <c r="M24864" s="9" t="s">
        <v>21</v>
      </c>
    </row>
    <row r="24865" ht="15.75" customHeight="1">
      <c r="A24865" s="7"/>
      <c r="B24865" s="7"/>
      <c r="M24865" s="9" t="s">
        <v>22</v>
      </c>
    </row>
    <row r="24866" ht="15.75" customHeight="1">
      <c r="A24866" s="7"/>
      <c r="B24866" s="7"/>
      <c r="M24866" s="9" t="s">
        <v>27</v>
      </c>
    </row>
    <row r="24867" ht="15.75" customHeight="1">
      <c r="A24867" s="7"/>
      <c r="B24867" s="7"/>
      <c r="M24867" s="9" t="s">
        <v>30</v>
      </c>
    </row>
    <row r="24868" ht="15.75" customHeight="1">
      <c r="A24868" s="7"/>
      <c r="B24868" s="7"/>
      <c r="M24868" s="9" t="s">
        <v>24</v>
      </c>
    </row>
    <row r="24869" ht="15.75" customHeight="1">
      <c r="A24869" s="7"/>
      <c r="B24869" s="7"/>
      <c r="M24869" s="9" t="s">
        <v>20</v>
      </c>
    </row>
    <row r="24870" ht="15.75" customHeight="1">
      <c r="A24870" s="7"/>
      <c r="B24870" s="7"/>
      <c r="M24870" s="9" t="s">
        <v>21</v>
      </c>
    </row>
    <row r="24871" ht="15.75" customHeight="1">
      <c r="A24871" s="7"/>
      <c r="B24871" s="7"/>
      <c r="M24871" s="9" t="s">
        <v>22</v>
      </c>
    </row>
    <row r="24872" ht="15.75" customHeight="1">
      <c r="A24872" s="7"/>
      <c r="B24872" s="7"/>
      <c r="M24872" s="9" t="s">
        <v>33</v>
      </c>
    </row>
    <row r="24873" ht="15.75" customHeight="1">
      <c r="A24873" s="7"/>
      <c r="B24873" s="7"/>
      <c r="M24873" s="9" t="s">
        <v>30</v>
      </c>
    </row>
    <row r="24874" ht="15.75" customHeight="1">
      <c r="A24874" s="7"/>
      <c r="B24874" s="7"/>
      <c r="M24874" s="9" t="s">
        <v>25</v>
      </c>
    </row>
    <row r="24875" ht="15.75" customHeight="1">
      <c r="A24875" s="7"/>
      <c r="B24875" s="7"/>
      <c r="M24875" s="9" t="s">
        <v>26</v>
      </c>
    </row>
    <row r="24876" ht="15.75" customHeight="1">
      <c r="A24876" s="7"/>
      <c r="B24876" s="7"/>
      <c r="M24876" s="9" t="s">
        <v>22</v>
      </c>
    </row>
    <row r="24877" ht="15.75" customHeight="1">
      <c r="A24877" s="7"/>
      <c r="B24877" s="7"/>
      <c r="M24877" s="9" t="s">
        <v>27</v>
      </c>
    </row>
    <row r="24878" ht="15.75" customHeight="1">
      <c r="A24878" s="7"/>
      <c r="B24878" s="7"/>
      <c r="M24878" s="9" t="s">
        <v>35</v>
      </c>
    </row>
    <row r="24879" ht="15.75" customHeight="1">
      <c r="A24879" s="7"/>
      <c r="B24879" s="7"/>
      <c r="M24879" s="9" t="s">
        <v>30</v>
      </c>
    </row>
    <row r="24880" ht="15.75" customHeight="1">
      <c r="A24880" s="7"/>
      <c r="B24880" s="7"/>
      <c r="M24880" s="9" t="s">
        <v>23</v>
      </c>
    </row>
    <row r="24881" ht="15.75" customHeight="1">
      <c r="A24881" s="7"/>
      <c r="B24881" s="7"/>
      <c r="M24881" s="9" t="s">
        <v>35</v>
      </c>
    </row>
    <row r="24882" ht="15.75" customHeight="1">
      <c r="A24882" s="7"/>
      <c r="B24882" s="7"/>
      <c r="M24882" s="9" t="s">
        <v>24</v>
      </c>
    </row>
    <row r="24883" ht="15.75" customHeight="1">
      <c r="A24883" s="7"/>
      <c r="B24883" s="7"/>
      <c r="M24883" s="9" t="s">
        <v>21</v>
      </c>
    </row>
    <row r="24884" ht="15.75" customHeight="1">
      <c r="A24884" s="7"/>
      <c r="B24884" s="7"/>
      <c r="M24884" s="9" t="s">
        <v>20</v>
      </c>
    </row>
    <row r="24885" ht="15.75" customHeight="1">
      <c r="A24885" s="7"/>
      <c r="B24885" s="7"/>
      <c r="M24885" s="9" t="s">
        <v>22</v>
      </c>
    </row>
    <row r="24886" ht="15.75" customHeight="1">
      <c r="A24886" s="7"/>
      <c r="B24886" s="7"/>
      <c r="M24886" s="9" t="s">
        <v>35</v>
      </c>
    </row>
    <row r="24887" ht="15.75" customHeight="1">
      <c r="A24887" s="7"/>
      <c r="B24887" s="7"/>
      <c r="M24887" s="9" t="s">
        <v>30</v>
      </c>
    </row>
    <row r="24888" ht="15.75" customHeight="1">
      <c r="A24888" s="7"/>
      <c r="B24888" s="7"/>
      <c r="M24888" s="9" t="s">
        <v>25</v>
      </c>
    </row>
    <row r="24889" ht="15.75" customHeight="1">
      <c r="A24889" s="7"/>
      <c r="B24889" s="7"/>
      <c r="M24889" s="9" t="s">
        <v>23</v>
      </c>
    </row>
    <row r="24890" ht="15.75" customHeight="1">
      <c r="A24890" s="7"/>
      <c r="B24890" s="7"/>
      <c r="M24890" s="9" t="s">
        <v>26</v>
      </c>
    </row>
    <row r="24891" ht="15.75" customHeight="1">
      <c r="A24891" s="7"/>
      <c r="B24891" s="7"/>
      <c r="M24891" s="9" t="s">
        <v>22</v>
      </c>
    </row>
    <row r="24892" ht="15.75" customHeight="1">
      <c r="A24892" s="7"/>
      <c r="B24892" s="7"/>
      <c r="M24892" s="9" t="s">
        <v>27</v>
      </c>
    </row>
    <row r="24893" ht="15.75" customHeight="1">
      <c r="A24893" s="7"/>
      <c r="B24893" s="7"/>
      <c r="M24893" s="9" t="s">
        <v>28</v>
      </c>
    </row>
    <row r="24894" ht="15.75" customHeight="1">
      <c r="A24894" s="7"/>
      <c r="B24894" s="7"/>
      <c r="M24894" s="9" t="s">
        <v>23</v>
      </c>
    </row>
    <row r="24895" ht="15.75" customHeight="1">
      <c r="A24895" s="7"/>
      <c r="B24895" s="7"/>
      <c r="M24895" s="9" t="s">
        <v>24</v>
      </c>
    </row>
    <row r="24896" ht="15.75" customHeight="1">
      <c r="A24896" s="7"/>
      <c r="B24896" s="7"/>
      <c r="M24896" s="9" t="s">
        <v>21</v>
      </c>
    </row>
    <row r="24897" ht="15.75" customHeight="1">
      <c r="A24897" s="7"/>
      <c r="B24897" s="7"/>
      <c r="M24897" s="9" t="s">
        <v>37</v>
      </c>
    </row>
    <row r="24898" ht="15.75" customHeight="1">
      <c r="A24898" s="7"/>
      <c r="B24898" s="7"/>
      <c r="M24898" s="9" t="s">
        <v>27</v>
      </c>
    </row>
    <row r="24899" ht="15.75" customHeight="1">
      <c r="A24899" s="7"/>
      <c r="B24899" s="7"/>
      <c r="M24899" s="9" t="s">
        <v>25</v>
      </c>
    </row>
    <row r="24900" ht="15.75" customHeight="1">
      <c r="A24900" s="7"/>
      <c r="B24900" s="7"/>
      <c r="M24900" s="9" t="s">
        <v>24</v>
      </c>
    </row>
    <row r="24901" ht="15.75" customHeight="1">
      <c r="A24901" s="7"/>
      <c r="B24901" s="7"/>
      <c r="M24901" s="9" t="s">
        <v>20</v>
      </c>
    </row>
    <row r="24902" ht="15.75" customHeight="1">
      <c r="A24902" s="7"/>
      <c r="B24902" s="7"/>
      <c r="M24902" s="9" t="s">
        <v>21</v>
      </c>
    </row>
    <row r="24903" ht="15.75" customHeight="1">
      <c r="A24903" s="7"/>
      <c r="B24903" s="7"/>
      <c r="M24903" s="9" t="s">
        <v>39</v>
      </c>
    </row>
    <row r="24904" ht="15.75" customHeight="1">
      <c r="A24904" s="7"/>
      <c r="B24904" s="7"/>
      <c r="M24904" s="9" t="s">
        <v>41</v>
      </c>
    </row>
    <row r="24905" ht="15.75" customHeight="1">
      <c r="A24905" s="7"/>
      <c r="B24905" s="7"/>
      <c r="M24905" s="9" t="s">
        <v>40</v>
      </c>
    </row>
    <row r="24906" ht="15.75" customHeight="1">
      <c r="A24906" s="7"/>
      <c r="B24906" s="7"/>
      <c r="M24906" s="9" t="s">
        <v>33</v>
      </c>
    </row>
    <row r="24907" ht="15.75" customHeight="1">
      <c r="A24907" s="7"/>
      <c r="B24907" s="7"/>
      <c r="M24907" s="9" t="s">
        <v>47</v>
      </c>
    </row>
    <row r="24908" ht="15.75" customHeight="1">
      <c r="A24908" s="7"/>
      <c r="B24908" s="7"/>
      <c r="M24908" s="9" t="s">
        <v>20</v>
      </c>
    </row>
    <row r="24909" ht="15.75" customHeight="1">
      <c r="A24909" s="7"/>
      <c r="B24909" s="7"/>
      <c r="M24909" s="9" t="s">
        <v>22</v>
      </c>
    </row>
    <row r="24910" ht="15.75" customHeight="1">
      <c r="A24910" s="7"/>
      <c r="B24910" s="7"/>
      <c r="M24910" s="9" t="s">
        <v>24</v>
      </c>
    </row>
    <row r="24911" ht="15.75" customHeight="1">
      <c r="A24911" s="7"/>
      <c r="B24911" s="7"/>
      <c r="M24911" s="9" t="s">
        <v>21</v>
      </c>
    </row>
    <row r="24912" ht="15.75" customHeight="1">
      <c r="A24912" s="7"/>
      <c r="B24912" s="7"/>
      <c r="M24912" s="9" t="s">
        <v>37</v>
      </c>
    </row>
    <row r="24913" ht="15.75" customHeight="1">
      <c r="A24913" s="7"/>
      <c r="B24913" s="7"/>
      <c r="M24913" s="9" t="s">
        <v>27</v>
      </c>
    </row>
    <row r="24914" ht="15.75" customHeight="1">
      <c r="A24914" s="7"/>
      <c r="B24914" s="7"/>
      <c r="M24914" s="9" t="s">
        <v>20</v>
      </c>
    </row>
    <row r="24915" ht="15.75" customHeight="1">
      <c r="A24915" s="7"/>
      <c r="B24915" s="7"/>
      <c r="M24915" s="9" t="s">
        <v>29</v>
      </c>
    </row>
    <row r="24916" ht="15.75" customHeight="1">
      <c r="A24916" s="7"/>
      <c r="B24916" s="7"/>
      <c r="M24916" s="9" t="s">
        <v>28</v>
      </c>
    </row>
    <row r="24917" ht="15.75" customHeight="1">
      <c r="A24917" s="7"/>
      <c r="B24917" s="7"/>
      <c r="M24917" s="9" t="s">
        <v>35</v>
      </c>
    </row>
    <row r="24918" ht="15.75" customHeight="1">
      <c r="A24918" s="7"/>
      <c r="B24918" s="7"/>
      <c r="M24918" s="9" t="s">
        <v>30</v>
      </c>
    </row>
    <row r="24919" ht="15.75" customHeight="1">
      <c r="A24919" s="7"/>
      <c r="B24919" s="7"/>
      <c r="M24919" s="9" t="s">
        <v>26</v>
      </c>
    </row>
    <row r="24920" ht="15.75" customHeight="1">
      <c r="A24920" s="7"/>
      <c r="B24920" s="7"/>
      <c r="M24920" s="9" t="s">
        <v>24</v>
      </c>
    </row>
    <row r="24921" ht="15.75" customHeight="1">
      <c r="A24921" s="7"/>
      <c r="B24921" s="7"/>
      <c r="M24921" s="9" t="s">
        <v>21</v>
      </c>
    </row>
    <row r="24922" ht="15.75" customHeight="1">
      <c r="A24922" s="7"/>
      <c r="B24922" s="7"/>
      <c r="M24922" s="9" t="s">
        <v>22</v>
      </c>
    </row>
    <row r="24923" ht="15.75" customHeight="1">
      <c r="A24923" s="7"/>
      <c r="B24923" s="7"/>
      <c r="M24923" s="9" t="s">
        <v>27</v>
      </c>
    </row>
    <row r="24924" ht="15.75" customHeight="1">
      <c r="A24924" s="7"/>
      <c r="B24924" s="7"/>
      <c r="M24924" s="9" t="s">
        <v>33</v>
      </c>
    </row>
    <row r="24925" ht="15.75" customHeight="1">
      <c r="A24925" s="7"/>
      <c r="B24925" s="7"/>
      <c r="M24925" s="9" t="s">
        <v>30</v>
      </c>
    </row>
    <row r="24926" ht="15.75" customHeight="1">
      <c r="A24926" s="7"/>
      <c r="B24926" s="7"/>
      <c r="M24926" s="9" t="s">
        <v>24</v>
      </c>
    </row>
    <row r="24927" ht="15.75" customHeight="1">
      <c r="A24927" s="7"/>
      <c r="B24927" s="7"/>
      <c r="M24927" s="9" t="s">
        <v>22</v>
      </c>
    </row>
    <row r="24928" ht="15.75" customHeight="1">
      <c r="A24928" s="7"/>
      <c r="B24928" s="7"/>
      <c r="M24928" s="9" t="s">
        <v>31</v>
      </c>
    </row>
    <row r="24929" ht="15.75" customHeight="1">
      <c r="A24929" s="7"/>
      <c r="B24929" s="7"/>
      <c r="M24929" s="9" t="s">
        <v>25</v>
      </c>
    </row>
    <row r="24930" ht="15.75" customHeight="1">
      <c r="A24930" s="7"/>
      <c r="B24930" s="7"/>
      <c r="M24930" s="9" t="s">
        <v>23</v>
      </c>
    </row>
    <row r="24931" ht="15.75" customHeight="1">
      <c r="A24931" s="7"/>
      <c r="B24931" s="7"/>
      <c r="M24931" s="9" t="s">
        <v>26</v>
      </c>
    </row>
    <row r="24932" ht="15.75" customHeight="1">
      <c r="A24932" s="7"/>
      <c r="B24932" s="7"/>
      <c r="M24932" s="9" t="s">
        <v>24</v>
      </c>
    </row>
    <row r="24933" ht="15.75" customHeight="1">
      <c r="A24933" s="7"/>
      <c r="B24933" s="7"/>
      <c r="M24933" s="9" t="s">
        <v>21</v>
      </c>
    </row>
    <row r="24934" ht="15.75" customHeight="1">
      <c r="A24934" s="7"/>
      <c r="B24934" s="7"/>
      <c r="M24934" s="9" t="s">
        <v>37</v>
      </c>
    </row>
    <row r="24935" ht="15.75" customHeight="1">
      <c r="A24935" s="7"/>
      <c r="B24935" s="7"/>
      <c r="M24935" s="9" t="s">
        <v>22</v>
      </c>
    </row>
    <row r="24936" ht="15.75" customHeight="1">
      <c r="A24936" s="7"/>
      <c r="B24936" s="7"/>
      <c r="M24936" s="9" t="s">
        <v>29</v>
      </c>
    </row>
    <row r="24937" ht="15.75" customHeight="1">
      <c r="A24937" s="7"/>
      <c r="B24937" s="7"/>
      <c r="M24937" s="9" t="s">
        <v>27</v>
      </c>
    </row>
    <row r="24938" ht="15.75" customHeight="1">
      <c r="A24938" s="7"/>
      <c r="B24938" s="7"/>
      <c r="M24938" s="9" t="s">
        <v>26</v>
      </c>
    </row>
    <row r="24939" ht="15.75" customHeight="1">
      <c r="A24939" s="7"/>
      <c r="B24939" s="7"/>
      <c r="M24939" s="9" t="s">
        <v>24</v>
      </c>
    </row>
    <row r="24940" ht="15.75" customHeight="1">
      <c r="A24940" s="7"/>
      <c r="B24940" s="7"/>
      <c r="M24940" s="9" t="s">
        <v>21</v>
      </c>
    </row>
    <row r="24941" ht="15.75" customHeight="1">
      <c r="A24941" s="7"/>
      <c r="B24941" s="7"/>
      <c r="M24941" s="9" t="s">
        <v>33</v>
      </c>
    </row>
    <row r="24942" ht="15.75" customHeight="1">
      <c r="A24942" s="7"/>
      <c r="B24942" s="7"/>
      <c r="M24942" s="9" t="s">
        <v>26</v>
      </c>
    </row>
    <row r="24943" ht="15.75" customHeight="1">
      <c r="A24943" s="7"/>
      <c r="B24943" s="7"/>
      <c r="M24943" s="9" t="s">
        <v>24</v>
      </c>
    </row>
    <row r="24944" ht="15.75" customHeight="1">
      <c r="A24944" s="7"/>
      <c r="B24944" s="7"/>
      <c r="M24944" s="9" t="s">
        <v>21</v>
      </c>
    </row>
    <row r="24945" ht="15.75" customHeight="1">
      <c r="A24945" s="7"/>
      <c r="B24945" s="7"/>
      <c r="M24945" s="9" t="s">
        <v>27</v>
      </c>
    </row>
    <row r="24946" ht="15.75" customHeight="1">
      <c r="A24946" s="7"/>
      <c r="B24946" s="7"/>
      <c r="M24946" s="9" t="s">
        <v>33</v>
      </c>
    </row>
    <row r="24947" ht="15.75" customHeight="1">
      <c r="A24947" s="7"/>
      <c r="B24947" s="7"/>
      <c r="M24947" s="9" t="s">
        <v>36</v>
      </c>
    </row>
    <row r="24948" ht="15.75" customHeight="1">
      <c r="A24948" s="7"/>
      <c r="B24948" s="7"/>
      <c r="M24948" s="9" t="s">
        <v>24</v>
      </c>
    </row>
    <row r="24949" ht="15.75" customHeight="1">
      <c r="A24949" s="7"/>
      <c r="B24949" s="7"/>
      <c r="M24949" s="9" t="s">
        <v>21</v>
      </c>
    </row>
    <row r="24950" ht="15.75" customHeight="1">
      <c r="A24950" s="7"/>
      <c r="B24950" s="7"/>
      <c r="M24950" s="9" t="s">
        <v>39</v>
      </c>
    </row>
    <row r="24951" ht="15.75" customHeight="1">
      <c r="A24951" s="7"/>
      <c r="B24951" s="7"/>
      <c r="M24951" s="9" t="s">
        <v>22</v>
      </c>
    </row>
    <row r="24952" ht="15.75" customHeight="1">
      <c r="A24952" s="7"/>
      <c r="B24952" s="7"/>
      <c r="M24952" s="9" t="s">
        <v>30</v>
      </c>
    </row>
    <row r="24953" ht="15.75" customHeight="1">
      <c r="A24953" s="7"/>
      <c r="B24953" s="7"/>
      <c r="M24953" s="9" t="s">
        <v>26</v>
      </c>
    </row>
    <row r="24954" ht="15.75" customHeight="1">
      <c r="A24954" s="7"/>
      <c r="B24954" s="7"/>
      <c r="M24954" s="9" t="s">
        <v>24</v>
      </c>
    </row>
    <row r="24955" ht="15.75" customHeight="1">
      <c r="A24955" s="7"/>
      <c r="B24955" s="7"/>
      <c r="M24955" s="9" t="s">
        <v>21</v>
      </c>
    </row>
    <row r="24956" ht="15.75" customHeight="1">
      <c r="A24956" s="7"/>
      <c r="B24956" s="7"/>
      <c r="M24956" s="9" t="s">
        <v>37</v>
      </c>
    </row>
    <row r="24957" ht="15.75" customHeight="1">
      <c r="A24957" s="7"/>
      <c r="B24957" s="7"/>
      <c r="M24957" s="9" t="s">
        <v>27</v>
      </c>
    </row>
    <row r="24958" ht="15.75" customHeight="1">
      <c r="A24958" s="7"/>
      <c r="B24958" s="7"/>
      <c r="M24958" s="9" t="s">
        <v>30</v>
      </c>
    </row>
    <row r="24959" ht="15.75" customHeight="1">
      <c r="A24959" s="7"/>
      <c r="B24959" s="7"/>
      <c r="M24959" s="9" t="s">
        <v>26</v>
      </c>
    </row>
    <row r="24960" ht="15.75" customHeight="1">
      <c r="A24960" s="7"/>
      <c r="B24960" s="7"/>
      <c r="M24960" s="9" t="s">
        <v>21</v>
      </c>
    </row>
    <row r="24961" ht="15.75" customHeight="1">
      <c r="A24961" s="7"/>
      <c r="B24961" s="7"/>
      <c r="M24961" s="9" t="s">
        <v>33</v>
      </c>
    </row>
    <row r="24962" ht="15.75" customHeight="1">
      <c r="A24962" s="7"/>
      <c r="B24962" s="7"/>
      <c r="M24962" s="9" t="s">
        <v>24</v>
      </c>
    </row>
    <row r="24963" ht="15.75" customHeight="1">
      <c r="A24963" s="7"/>
      <c r="B24963" s="7"/>
      <c r="M24963" s="9" t="s">
        <v>21</v>
      </c>
    </row>
    <row r="24964" ht="15.75" customHeight="1">
      <c r="A24964" s="7"/>
      <c r="B24964" s="7"/>
      <c r="M24964" s="9" t="s">
        <v>35</v>
      </c>
    </row>
    <row r="24965" ht="15.75" customHeight="1">
      <c r="A24965" s="7"/>
      <c r="B24965" s="7"/>
      <c r="M24965" s="9" t="s">
        <v>26</v>
      </c>
    </row>
    <row r="24966" ht="15.75" customHeight="1">
      <c r="A24966" s="7"/>
      <c r="B24966" s="7"/>
      <c r="M24966" s="9" t="s">
        <v>24</v>
      </c>
    </row>
    <row r="24967" ht="15.75" customHeight="1">
      <c r="A24967" s="7"/>
      <c r="B24967" s="7"/>
      <c r="M24967" s="9" t="s">
        <v>21</v>
      </c>
    </row>
    <row r="24968" ht="15.75" customHeight="1">
      <c r="A24968" s="7"/>
      <c r="B24968" s="7"/>
      <c r="M24968" s="9" t="s">
        <v>37</v>
      </c>
    </row>
    <row r="24969" ht="15.75" customHeight="1">
      <c r="A24969" s="7"/>
      <c r="B24969" s="7"/>
      <c r="M24969" s="9" t="s">
        <v>22</v>
      </c>
    </row>
    <row r="24970" ht="15.75" customHeight="1">
      <c r="A24970" s="7"/>
      <c r="B24970" s="7"/>
      <c r="M24970" s="9" t="s">
        <v>27</v>
      </c>
    </row>
    <row r="24971" ht="15.75" customHeight="1">
      <c r="A24971" s="7"/>
      <c r="B24971" s="7"/>
      <c r="M24971" s="9" t="s">
        <v>33</v>
      </c>
    </row>
    <row r="24972" ht="15.75" customHeight="1">
      <c r="A24972" s="7"/>
      <c r="B24972" s="7"/>
      <c r="M24972" s="9" t="s">
        <v>30</v>
      </c>
    </row>
    <row r="24973" ht="15.75" customHeight="1">
      <c r="A24973" s="7"/>
      <c r="B24973" s="7"/>
      <c r="M24973" s="9" t="s">
        <v>26</v>
      </c>
    </row>
    <row r="24974" ht="15.75" customHeight="1">
      <c r="A24974" s="7"/>
      <c r="B24974" s="7"/>
      <c r="M24974" s="9" t="s">
        <v>24</v>
      </c>
    </row>
    <row r="24975" ht="15.75" customHeight="1">
      <c r="A24975" s="7"/>
      <c r="B24975" s="7"/>
      <c r="M24975" s="9" t="s">
        <v>20</v>
      </c>
    </row>
    <row r="24976" ht="15.75" customHeight="1">
      <c r="A24976" s="7"/>
      <c r="B24976" s="7"/>
      <c r="M24976" s="9" t="s">
        <v>21</v>
      </c>
    </row>
    <row r="24977" ht="15.75" customHeight="1">
      <c r="A24977" s="7"/>
      <c r="B24977" s="7"/>
      <c r="M24977" s="9" t="s">
        <v>22</v>
      </c>
    </row>
    <row r="24978" ht="15.75" customHeight="1">
      <c r="A24978" s="7"/>
      <c r="B24978" s="7"/>
      <c r="M24978" s="9" t="s">
        <v>46</v>
      </c>
    </row>
    <row r="24979" ht="15.75" customHeight="1">
      <c r="A24979" s="7"/>
      <c r="B24979" s="7"/>
      <c r="M24979" s="9" t="s">
        <v>35</v>
      </c>
    </row>
    <row r="24980" ht="15.75" customHeight="1">
      <c r="A24980" s="7"/>
      <c r="B24980" s="7"/>
      <c r="M24980" s="9" t="s">
        <v>20</v>
      </c>
    </row>
    <row r="24981" ht="15.75" customHeight="1">
      <c r="A24981" s="7"/>
      <c r="B24981" s="7"/>
      <c r="M24981" s="9" t="s">
        <v>30</v>
      </c>
    </row>
    <row r="24982" ht="15.75" customHeight="1">
      <c r="A24982" s="7"/>
      <c r="B24982" s="7"/>
      <c r="M24982" s="9" t="s">
        <v>26</v>
      </c>
    </row>
    <row r="24983" ht="15.75" customHeight="1">
      <c r="A24983" s="7"/>
      <c r="B24983" s="7"/>
      <c r="M24983" s="9" t="s">
        <v>42</v>
      </c>
    </row>
    <row r="24984" ht="15.75" customHeight="1">
      <c r="A24984" s="7"/>
      <c r="B24984" s="7"/>
      <c r="M24984" s="9" t="s">
        <v>24</v>
      </c>
    </row>
    <row r="24985" ht="15.75" customHeight="1">
      <c r="A24985" s="7"/>
      <c r="B24985" s="7"/>
      <c r="M24985" s="9" t="s">
        <v>21</v>
      </c>
    </row>
    <row r="24986" ht="15.75" customHeight="1">
      <c r="A24986" s="7"/>
      <c r="B24986" s="7"/>
      <c r="M24986" s="9" t="s">
        <v>27</v>
      </c>
    </row>
    <row r="24987" ht="15.75" customHeight="1">
      <c r="A24987" s="7"/>
      <c r="B24987" s="7"/>
      <c r="M24987" s="9" t="s">
        <v>30</v>
      </c>
    </row>
    <row r="24988" ht="15.75" customHeight="1">
      <c r="A24988" s="7"/>
      <c r="B24988" s="7"/>
      <c r="M24988" s="9" t="s">
        <v>24</v>
      </c>
    </row>
    <row r="24989" ht="15.75" customHeight="1">
      <c r="A24989" s="7"/>
      <c r="B24989" s="7"/>
      <c r="M24989" s="9" t="s">
        <v>21</v>
      </c>
    </row>
    <row r="24990" ht="15.75" customHeight="1">
      <c r="A24990" s="7"/>
      <c r="B24990" s="7"/>
      <c r="M24990" s="9" t="s">
        <v>37</v>
      </c>
    </row>
    <row r="24991" ht="15.75" customHeight="1">
      <c r="A24991" s="7"/>
      <c r="B24991" s="7"/>
      <c r="M24991" s="9" t="s">
        <v>27</v>
      </c>
    </row>
    <row r="24992" ht="15.75" customHeight="1">
      <c r="A24992" s="7"/>
      <c r="B24992" s="7"/>
      <c r="M24992" s="9" t="s">
        <v>24</v>
      </c>
    </row>
    <row r="24993" ht="15.75" customHeight="1">
      <c r="A24993" s="7"/>
      <c r="B24993" s="7"/>
      <c r="M24993" s="9" t="s">
        <v>21</v>
      </c>
    </row>
    <row r="24994" ht="15.75" customHeight="1">
      <c r="A24994" s="7"/>
      <c r="B24994" s="7"/>
      <c r="M24994" s="9" t="s">
        <v>22</v>
      </c>
    </row>
    <row r="24995" ht="15.75" customHeight="1">
      <c r="A24995" s="7"/>
      <c r="B24995" s="7"/>
      <c r="M24995" s="9" t="s">
        <v>33</v>
      </c>
    </row>
    <row r="24996" ht="15.75" customHeight="1">
      <c r="A24996" s="7"/>
      <c r="B24996" s="7"/>
      <c r="M24996" s="9" t="s">
        <v>24</v>
      </c>
    </row>
    <row r="24997" ht="15.75" customHeight="1">
      <c r="A24997" s="7"/>
      <c r="B24997" s="7"/>
      <c r="M24997" s="9" t="s">
        <v>21</v>
      </c>
    </row>
    <row r="24998" ht="15.75" customHeight="1">
      <c r="A24998" s="7"/>
      <c r="B24998" s="7"/>
      <c r="M24998" s="9" t="s">
        <v>24</v>
      </c>
    </row>
    <row r="24999" ht="15.75" customHeight="1">
      <c r="A24999" s="7"/>
      <c r="B24999" s="7"/>
      <c r="M24999" s="9" t="s">
        <v>20</v>
      </c>
    </row>
    <row r="25000" ht="15.75" customHeight="1">
      <c r="A25000" s="7"/>
      <c r="B25000" s="7"/>
      <c r="M25000" s="9" t="s">
        <v>21</v>
      </c>
    </row>
    <row r="25001" ht="15.75" customHeight="1">
      <c r="A25001" s="7"/>
      <c r="B25001" s="7"/>
      <c r="M25001" s="9" t="s">
        <v>37</v>
      </c>
    </row>
    <row r="25002" ht="15.75" customHeight="1">
      <c r="A25002" s="7"/>
      <c r="B25002" s="7"/>
      <c r="M25002" s="9" t="s">
        <v>27</v>
      </c>
    </row>
    <row r="25003" ht="15.75" customHeight="1">
      <c r="A25003" s="7"/>
      <c r="B25003" s="7"/>
      <c r="M25003" s="9" t="s">
        <v>30</v>
      </c>
    </row>
    <row r="25004" ht="15.75" customHeight="1">
      <c r="A25004" s="7"/>
      <c r="B25004" s="7"/>
      <c r="M25004" s="9" t="s">
        <v>27</v>
      </c>
    </row>
    <row r="25005" ht="15.75" customHeight="1">
      <c r="A25005" s="7"/>
      <c r="B25005" s="7"/>
      <c r="M25005" s="9" t="s">
        <v>28</v>
      </c>
    </row>
    <row r="25006" ht="15.75" customHeight="1">
      <c r="A25006" s="7"/>
      <c r="B25006" s="7"/>
      <c r="M25006" s="9" t="s">
        <v>24</v>
      </c>
    </row>
    <row r="25007" ht="15.75" customHeight="1">
      <c r="A25007" s="7"/>
      <c r="B25007" s="7"/>
      <c r="M25007" s="9" t="s">
        <v>21</v>
      </c>
    </row>
    <row r="25008" ht="15.75" customHeight="1">
      <c r="A25008" s="7"/>
      <c r="B25008" s="7"/>
      <c r="M25008" s="9" t="s">
        <v>37</v>
      </c>
    </row>
    <row r="25009" ht="15.75" customHeight="1">
      <c r="A25009" s="7"/>
      <c r="B25009" s="7"/>
      <c r="M25009" s="9" t="s">
        <v>27</v>
      </c>
    </row>
    <row r="25010" ht="15.75" customHeight="1">
      <c r="A25010" s="7"/>
      <c r="B25010" s="7"/>
      <c r="M25010" s="9" t="s">
        <v>30</v>
      </c>
    </row>
    <row r="25011" ht="15.75" customHeight="1">
      <c r="A25011" s="7"/>
      <c r="B25011" s="7"/>
      <c r="M25011" s="9" t="s">
        <v>25</v>
      </c>
    </row>
    <row r="25012" ht="15.75" customHeight="1">
      <c r="A25012" s="7"/>
      <c r="B25012" s="7"/>
      <c r="M25012" s="9" t="s">
        <v>47</v>
      </c>
    </row>
    <row r="25013" ht="15.75" customHeight="1">
      <c r="A25013" s="7"/>
      <c r="B25013" s="7"/>
      <c r="M25013" s="9" t="s">
        <v>36</v>
      </c>
    </row>
    <row r="25014" ht="15.75" customHeight="1">
      <c r="A25014" s="7"/>
      <c r="B25014" s="7"/>
      <c r="M25014" s="9" t="s">
        <v>20</v>
      </c>
    </row>
    <row r="25015" ht="15.75" customHeight="1">
      <c r="A25015" s="7"/>
      <c r="B25015" s="7"/>
      <c r="M25015" s="9" t="s">
        <v>21</v>
      </c>
    </row>
    <row r="25016" ht="15.75" customHeight="1">
      <c r="A25016" s="7"/>
      <c r="B25016" s="7"/>
      <c r="M25016" s="9" t="s">
        <v>22</v>
      </c>
    </row>
    <row r="25017" ht="15.75" customHeight="1">
      <c r="A25017" s="7"/>
      <c r="B25017" s="7"/>
      <c r="M25017" s="9" t="s">
        <v>26</v>
      </c>
    </row>
    <row r="25018" ht="15.75" customHeight="1">
      <c r="A25018" s="7"/>
      <c r="B25018" s="7"/>
      <c r="M25018" s="9" t="s">
        <v>23</v>
      </c>
    </row>
    <row r="25019" ht="15.75" customHeight="1">
      <c r="A25019" s="7"/>
      <c r="B25019" s="7"/>
      <c r="M25019" s="9" t="s">
        <v>24</v>
      </c>
    </row>
    <row r="25020" ht="15.75" customHeight="1">
      <c r="A25020" s="7"/>
      <c r="B25020" s="7"/>
      <c r="M25020" s="9" t="s">
        <v>21</v>
      </c>
    </row>
    <row r="25021" ht="15.75" customHeight="1">
      <c r="A25021" s="7"/>
      <c r="B25021" s="7"/>
      <c r="M25021" s="9" t="s">
        <v>37</v>
      </c>
    </row>
    <row r="25022" ht="15.75" customHeight="1">
      <c r="A25022" s="7"/>
      <c r="B25022" s="7"/>
      <c r="M25022" s="9" t="s">
        <v>27</v>
      </c>
    </row>
    <row r="25023" ht="15.75" customHeight="1">
      <c r="A25023" s="7"/>
      <c r="B25023" s="7"/>
      <c r="M25023" s="9" t="s">
        <v>25</v>
      </c>
    </row>
    <row r="25024" ht="15.75" customHeight="1">
      <c r="A25024" s="7"/>
      <c r="B25024" s="7"/>
      <c r="M25024" s="9" t="s">
        <v>24</v>
      </c>
    </row>
    <row r="25025" ht="15.75" customHeight="1">
      <c r="A25025" s="7"/>
      <c r="B25025" s="7"/>
      <c r="M25025" s="9" t="s">
        <v>20</v>
      </c>
    </row>
    <row r="25026" ht="15.75" customHeight="1">
      <c r="A25026" s="7"/>
      <c r="B25026" s="7"/>
      <c r="M25026" s="9" t="s">
        <v>21</v>
      </c>
    </row>
    <row r="25027" ht="15.75" customHeight="1">
      <c r="A25027" s="7"/>
      <c r="B25027" s="7"/>
      <c r="M25027" s="9" t="s">
        <v>37</v>
      </c>
    </row>
    <row r="25028" ht="15.75" customHeight="1">
      <c r="A25028" s="7"/>
      <c r="B25028" s="7"/>
      <c r="M25028" s="9" t="s">
        <v>22</v>
      </c>
    </row>
    <row r="25029" ht="15.75" customHeight="1">
      <c r="A25029" s="7"/>
      <c r="B25029" s="7"/>
      <c r="M25029" s="9" t="s">
        <v>27</v>
      </c>
    </row>
    <row r="25030" ht="15.75" customHeight="1">
      <c r="A25030" s="7"/>
      <c r="B25030" s="7"/>
      <c r="M25030" s="9" t="s">
        <v>35</v>
      </c>
    </row>
    <row r="25031" ht="15.75" customHeight="1">
      <c r="A25031" s="7"/>
      <c r="B25031" s="7"/>
      <c r="M25031" s="9" t="s">
        <v>26</v>
      </c>
    </row>
    <row r="25032" ht="15.75" customHeight="1">
      <c r="A25032" s="7"/>
      <c r="B25032" s="7"/>
      <c r="M25032" s="9" t="s">
        <v>24</v>
      </c>
    </row>
    <row r="25033" ht="15.75" customHeight="1">
      <c r="A25033" s="7"/>
      <c r="B25033" s="7"/>
      <c r="M25033" s="9" t="s">
        <v>21</v>
      </c>
    </row>
    <row r="25034" ht="15.75" customHeight="1">
      <c r="A25034" s="7"/>
      <c r="B25034" s="7"/>
      <c r="M25034" s="9" t="s">
        <v>30</v>
      </c>
    </row>
    <row r="25035" ht="15.75" customHeight="1">
      <c r="A25035" s="7"/>
      <c r="B25035" s="7"/>
      <c r="M25035" s="9" t="s">
        <v>25</v>
      </c>
    </row>
    <row r="25036" ht="15.75" customHeight="1">
      <c r="A25036" s="7"/>
      <c r="B25036" s="7"/>
      <c r="M25036" s="9" t="s">
        <v>23</v>
      </c>
    </row>
    <row r="25037" ht="15.75" customHeight="1">
      <c r="A25037" s="7"/>
      <c r="B25037" s="7"/>
      <c r="M25037" s="9" t="s">
        <v>35</v>
      </c>
    </row>
    <row r="25038" ht="15.75" customHeight="1">
      <c r="A25038" s="7"/>
      <c r="B25038" s="7"/>
      <c r="M25038" s="9" t="s">
        <v>20</v>
      </c>
    </row>
    <row r="25039" ht="15.75" customHeight="1">
      <c r="A25039" s="7"/>
      <c r="B25039" s="7"/>
      <c r="M25039" s="9" t="s">
        <v>39</v>
      </c>
    </row>
    <row r="25040" ht="15.75" customHeight="1">
      <c r="A25040" s="7"/>
      <c r="B25040" s="7"/>
      <c r="M25040" s="9" t="s">
        <v>22</v>
      </c>
    </row>
    <row r="25041" ht="15.75" customHeight="1">
      <c r="A25041" s="7"/>
      <c r="B25041" s="7"/>
      <c r="M25041" s="9" t="s">
        <v>27</v>
      </c>
    </row>
    <row r="25042" ht="15.75" customHeight="1">
      <c r="A25042" s="7"/>
      <c r="B25042" s="7"/>
      <c r="M25042" s="9" t="s">
        <v>24</v>
      </c>
    </row>
    <row r="25043" ht="15.75" customHeight="1">
      <c r="A25043" s="7"/>
      <c r="B25043" s="7"/>
      <c r="M25043" s="9" t="s">
        <v>21</v>
      </c>
    </row>
    <row r="25044" ht="15.75" customHeight="1">
      <c r="A25044" s="7"/>
      <c r="B25044" s="7"/>
      <c r="M25044" s="9" t="s">
        <v>31</v>
      </c>
    </row>
    <row r="25045" ht="15.75" customHeight="1">
      <c r="A25045" s="7"/>
      <c r="B25045" s="7"/>
      <c r="M25045" s="9" t="s">
        <v>27</v>
      </c>
    </row>
    <row r="25046" ht="15.75" customHeight="1">
      <c r="A25046" s="7"/>
      <c r="B25046" s="7"/>
      <c r="M25046" s="9" t="s">
        <v>23</v>
      </c>
    </row>
    <row r="25047" ht="15.75" customHeight="1">
      <c r="A25047" s="7"/>
      <c r="B25047" s="7"/>
      <c r="M25047" s="9" t="s">
        <v>26</v>
      </c>
    </row>
    <row r="25048" ht="15.75" customHeight="1">
      <c r="A25048" s="7"/>
      <c r="B25048" s="7"/>
      <c r="M25048" s="9" t="s">
        <v>24</v>
      </c>
    </row>
    <row r="25049" ht="15.75" customHeight="1">
      <c r="A25049" s="7"/>
      <c r="B25049" s="7"/>
      <c r="M25049" s="9" t="s">
        <v>21</v>
      </c>
    </row>
    <row r="25050" ht="15.75" customHeight="1">
      <c r="A25050" s="7"/>
      <c r="B25050" s="7"/>
      <c r="M25050" s="9" t="s">
        <v>37</v>
      </c>
    </row>
    <row r="25051" ht="15.75" customHeight="1">
      <c r="A25051" s="7"/>
      <c r="B25051" s="7"/>
      <c r="M25051" s="9" t="s">
        <v>27</v>
      </c>
    </row>
    <row r="25052" ht="15.75" customHeight="1">
      <c r="A25052" s="7"/>
      <c r="B25052" s="7"/>
      <c r="M25052" s="9" t="s">
        <v>25</v>
      </c>
    </row>
    <row r="25053" ht="15.75" customHeight="1">
      <c r="A25053" s="7"/>
      <c r="B25053" s="7"/>
      <c r="M25053" s="9" t="s">
        <v>23</v>
      </c>
    </row>
    <row r="25054" ht="15.75" customHeight="1">
      <c r="A25054" s="7"/>
      <c r="B25054" s="7"/>
      <c r="M25054" s="9" t="s">
        <v>24</v>
      </c>
    </row>
    <row r="25055" ht="15.75" customHeight="1">
      <c r="A25055" s="7"/>
      <c r="B25055" s="7"/>
      <c r="M25055" s="9" t="s">
        <v>21</v>
      </c>
    </row>
    <row r="25056" ht="15.75" customHeight="1">
      <c r="A25056" s="7"/>
      <c r="B25056" s="7"/>
      <c r="M25056" s="9" t="s">
        <v>37</v>
      </c>
    </row>
    <row r="25057" ht="15.75" customHeight="1">
      <c r="A25057" s="7"/>
      <c r="B25057" s="7"/>
      <c r="M25057" s="9" t="s">
        <v>22</v>
      </c>
    </row>
    <row r="25058" ht="15.75" customHeight="1">
      <c r="A25058" s="7"/>
      <c r="B25058" s="7"/>
      <c r="M25058" s="9" t="s">
        <v>26</v>
      </c>
    </row>
    <row r="25059" ht="15.75" customHeight="1">
      <c r="A25059" s="7"/>
      <c r="B25059" s="7"/>
      <c r="M25059" s="9" t="s">
        <v>30</v>
      </c>
    </row>
    <row r="25060" ht="15.75" customHeight="1">
      <c r="A25060" s="7"/>
      <c r="B25060" s="7"/>
      <c r="M25060" s="9" t="s">
        <v>36</v>
      </c>
    </row>
    <row r="25061" ht="15.75" customHeight="1">
      <c r="A25061" s="7"/>
      <c r="B25061" s="7"/>
      <c r="M25061" s="9" t="s">
        <v>24</v>
      </c>
    </row>
    <row r="25062" ht="15.75" customHeight="1">
      <c r="A25062" s="7"/>
      <c r="B25062" s="7"/>
      <c r="M25062" s="9" t="s">
        <v>20</v>
      </c>
    </row>
    <row r="25063" ht="15.75" customHeight="1">
      <c r="A25063" s="7"/>
      <c r="B25063" s="7"/>
      <c r="M25063" s="9" t="s">
        <v>21</v>
      </c>
    </row>
    <row r="25064" ht="15.75" customHeight="1">
      <c r="A25064" s="7"/>
      <c r="B25064" s="7"/>
      <c r="M25064" s="9" t="s">
        <v>39</v>
      </c>
    </row>
    <row r="25065" ht="15.75" customHeight="1">
      <c r="A25065" s="7"/>
      <c r="B25065" s="7"/>
      <c r="M25065" s="9" t="s">
        <v>22</v>
      </c>
    </row>
    <row r="25066" ht="15.75" customHeight="1">
      <c r="A25066" s="7"/>
      <c r="B25066" s="7"/>
      <c r="M25066" s="9" t="s">
        <v>27</v>
      </c>
    </row>
    <row r="25067" ht="15.75" customHeight="1">
      <c r="A25067" s="7"/>
      <c r="B25067" s="7"/>
      <c r="M25067" s="9" t="s">
        <v>23</v>
      </c>
    </row>
    <row r="25068" ht="15.75" customHeight="1">
      <c r="A25068" s="7"/>
      <c r="B25068" s="7"/>
      <c r="M25068" s="9" t="s">
        <v>20</v>
      </c>
    </row>
    <row r="25069" ht="15.75" customHeight="1">
      <c r="A25069" s="7"/>
      <c r="B25069" s="7"/>
      <c r="M25069" s="9" t="s">
        <v>35</v>
      </c>
    </row>
    <row r="25070" ht="15.75" customHeight="1">
      <c r="A25070" s="7"/>
      <c r="B25070" s="7"/>
      <c r="M25070" s="9" t="s">
        <v>38</v>
      </c>
    </row>
    <row r="25071" ht="15.75" customHeight="1">
      <c r="A25071" s="7"/>
      <c r="B25071" s="7"/>
      <c r="M25071" s="9" t="s">
        <v>30</v>
      </c>
    </row>
    <row r="25072" ht="15.75" customHeight="1">
      <c r="A25072" s="7"/>
      <c r="B25072" s="7"/>
      <c r="M25072" s="9" t="s">
        <v>25</v>
      </c>
    </row>
    <row r="25073" ht="15.75" customHeight="1">
      <c r="A25073" s="7"/>
      <c r="B25073" s="7"/>
      <c r="M25073" s="9" t="s">
        <v>23</v>
      </c>
    </row>
    <row r="25074" ht="15.75" customHeight="1">
      <c r="A25074" s="7"/>
      <c r="B25074" s="7"/>
      <c r="M25074" s="9" t="s">
        <v>20</v>
      </c>
    </row>
    <row r="25075" ht="15.75" customHeight="1">
      <c r="A25075" s="7"/>
      <c r="B25075" s="7"/>
      <c r="M25075" s="9" t="s">
        <v>21</v>
      </c>
    </row>
    <row r="25076" ht="15.75" customHeight="1">
      <c r="A25076" s="7"/>
      <c r="B25076" s="7"/>
      <c r="M25076" s="9" t="s">
        <v>22</v>
      </c>
    </row>
    <row r="25077" ht="15.75" customHeight="1">
      <c r="A25077" s="7"/>
      <c r="B25077" s="7"/>
      <c r="M25077" s="9" t="s">
        <v>38</v>
      </c>
    </row>
    <row r="25078" ht="15.75" customHeight="1">
      <c r="A25078" s="7"/>
      <c r="B25078" s="7"/>
      <c r="M25078" s="9" t="s">
        <v>30</v>
      </c>
    </row>
    <row r="25079" ht="15.75" customHeight="1">
      <c r="A25079" s="7"/>
      <c r="B25079" s="7"/>
      <c r="M25079" s="9" t="s">
        <v>25</v>
      </c>
    </row>
    <row r="25080" ht="15.75" customHeight="1">
      <c r="A25080" s="7"/>
      <c r="B25080" s="7"/>
      <c r="M25080" s="9" t="s">
        <v>24</v>
      </c>
    </row>
    <row r="25081" ht="15.75" customHeight="1">
      <c r="A25081" s="7"/>
      <c r="B25081" s="7"/>
      <c r="M25081" s="9" t="s">
        <v>20</v>
      </c>
    </row>
    <row r="25082" ht="15.75" customHeight="1">
      <c r="A25082" s="7"/>
      <c r="B25082" s="7"/>
      <c r="M25082" s="9" t="s">
        <v>21</v>
      </c>
    </row>
    <row r="25083" ht="15.75" customHeight="1">
      <c r="A25083" s="7"/>
      <c r="B25083" s="7"/>
      <c r="M25083" s="9" t="s">
        <v>37</v>
      </c>
    </row>
    <row r="25084" ht="15.75" customHeight="1">
      <c r="A25084" s="7"/>
      <c r="B25084" s="7"/>
      <c r="M25084" s="9" t="s">
        <v>27</v>
      </c>
    </row>
    <row r="25085" ht="15.75" customHeight="1">
      <c r="A25085" s="7"/>
      <c r="B25085" s="7"/>
      <c r="M25085" s="9" t="s">
        <v>33</v>
      </c>
    </row>
    <row r="25086" ht="15.75" customHeight="1">
      <c r="A25086" s="7"/>
      <c r="B25086" s="7"/>
      <c r="M25086" s="9" t="s">
        <v>25</v>
      </c>
    </row>
    <row r="25087" ht="15.75" customHeight="1">
      <c r="A25087" s="7"/>
      <c r="B25087" s="7"/>
      <c r="M25087" s="9" t="s">
        <v>23</v>
      </c>
    </row>
    <row r="25088" ht="15.75" customHeight="1">
      <c r="A25088" s="7"/>
      <c r="B25088" s="7"/>
      <c r="M25088" s="9" t="s">
        <v>28</v>
      </c>
    </row>
    <row r="25089" ht="15.75" customHeight="1">
      <c r="A25089" s="7"/>
      <c r="B25089" s="7"/>
      <c r="M25089" s="9" t="s">
        <v>30</v>
      </c>
    </row>
    <row r="25090" ht="15.75" customHeight="1">
      <c r="A25090" s="7"/>
      <c r="B25090" s="7"/>
      <c r="M25090" s="9" t="s">
        <v>24</v>
      </c>
    </row>
    <row r="25091" ht="15.75" customHeight="1">
      <c r="A25091" s="7"/>
      <c r="B25091" s="7"/>
      <c r="M25091" s="9" t="s">
        <v>21</v>
      </c>
    </row>
    <row r="25092" ht="15.75" customHeight="1">
      <c r="A25092" s="7"/>
      <c r="B25092" s="7"/>
      <c r="M25092" s="9" t="s">
        <v>37</v>
      </c>
    </row>
    <row r="25093" ht="15.75" customHeight="1">
      <c r="A25093" s="7"/>
      <c r="B25093" s="7"/>
      <c r="M25093" s="9" t="s">
        <v>22</v>
      </c>
    </row>
    <row r="25094" ht="15.75" customHeight="1">
      <c r="A25094" s="7"/>
      <c r="B25094" s="7"/>
      <c r="M25094" s="9" t="s">
        <v>29</v>
      </c>
    </row>
    <row r="25095" ht="15.75" customHeight="1">
      <c r="A25095" s="7"/>
      <c r="B25095" s="7"/>
      <c r="M25095" s="9" t="s">
        <v>27</v>
      </c>
    </row>
    <row r="25096" ht="15.75" customHeight="1">
      <c r="A25096" s="7"/>
      <c r="B25096" s="7"/>
      <c r="M25096" s="9" t="s">
        <v>34</v>
      </c>
    </row>
    <row r="25097" ht="15.75" customHeight="1">
      <c r="A25097" s="7"/>
      <c r="B25097" s="7"/>
      <c r="M25097" s="9" t="s">
        <v>23</v>
      </c>
    </row>
    <row r="25098" ht="15.75" customHeight="1">
      <c r="A25098" s="7"/>
      <c r="B25098" s="7"/>
      <c r="M25098" s="9" t="s">
        <v>24</v>
      </c>
    </row>
    <row r="25099" ht="15.75" customHeight="1">
      <c r="A25099" s="7"/>
      <c r="B25099" s="7"/>
      <c r="M25099" s="9" t="s">
        <v>21</v>
      </c>
    </row>
    <row r="25100" ht="15.75" customHeight="1">
      <c r="A25100" s="7"/>
      <c r="B25100" s="7"/>
      <c r="M25100" s="9" t="s">
        <v>27</v>
      </c>
    </row>
    <row r="25101" ht="15.75" customHeight="1">
      <c r="A25101" s="7"/>
      <c r="B25101" s="7"/>
      <c r="M25101" s="9" t="s">
        <v>33</v>
      </c>
    </row>
    <row r="25102" ht="15.75" customHeight="1">
      <c r="A25102" s="7"/>
      <c r="B25102" s="7"/>
      <c r="M25102" s="9" t="s">
        <v>25</v>
      </c>
    </row>
    <row r="25103" ht="15.75" customHeight="1">
      <c r="A25103" s="7"/>
      <c r="B25103" s="7"/>
      <c r="M25103" s="9" t="s">
        <v>23</v>
      </c>
    </row>
    <row r="25104" ht="15.75" customHeight="1">
      <c r="A25104" s="7"/>
      <c r="B25104" s="7"/>
      <c r="M25104" s="9" t="s">
        <v>24</v>
      </c>
    </row>
    <row r="25105" ht="15.75" customHeight="1">
      <c r="A25105" s="7"/>
      <c r="B25105" s="7"/>
      <c r="M25105" s="9" t="s">
        <v>20</v>
      </c>
    </row>
    <row r="25106" ht="15.75" customHeight="1">
      <c r="A25106" s="7"/>
      <c r="B25106" s="7"/>
      <c r="M25106" s="9" t="s">
        <v>21</v>
      </c>
    </row>
    <row r="25107" ht="15.75" customHeight="1">
      <c r="A25107" s="7"/>
      <c r="B25107" s="7"/>
      <c r="M25107" s="9" t="s">
        <v>31</v>
      </c>
    </row>
    <row r="25108" ht="15.75" customHeight="1">
      <c r="A25108" s="7"/>
      <c r="B25108" s="7"/>
      <c r="M25108" s="9" t="s">
        <v>40</v>
      </c>
    </row>
    <row r="25109" ht="15.75" customHeight="1">
      <c r="A25109" s="7"/>
      <c r="B25109" s="7"/>
      <c r="M25109" s="9" t="s">
        <v>30</v>
      </c>
    </row>
    <row r="25110" ht="15.75" customHeight="1">
      <c r="A25110" s="7"/>
      <c r="B25110" s="7"/>
      <c r="M25110" s="9" t="s">
        <v>23</v>
      </c>
    </row>
    <row r="25111" ht="15.75" customHeight="1">
      <c r="A25111" s="7"/>
      <c r="B25111" s="7"/>
      <c r="M25111" s="9" t="s">
        <v>24</v>
      </c>
    </row>
    <row r="25112" ht="15.75" customHeight="1">
      <c r="A25112" s="7"/>
      <c r="B25112" s="7"/>
      <c r="M25112" s="9" t="s">
        <v>21</v>
      </c>
    </row>
    <row r="25113" ht="15.75" customHeight="1">
      <c r="A25113" s="7"/>
      <c r="B25113" s="7"/>
      <c r="M25113" s="9" t="s">
        <v>22</v>
      </c>
    </row>
    <row r="25114" ht="15.75" customHeight="1">
      <c r="A25114" s="7"/>
      <c r="B25114" s="7"/>
      <c r="M25114" s="9" t="s">
        <v>27</v>
      </c>
    </row>
    <row r="25115" ht="15.75" customHeight="1">
      <c r="A25115" s="7"/>
      <c r="B25115" s="7"/>
      <c r="M25115" s="9" t="s">
        <v>28</v>
      </c>
    </row>
    <row r="25116" ht="15.75" customHeight="1">
      <c r="A25116" s="7"/>
      <c r="B25116" s="7"/>
      <c r="M25116" s="9" t="s">
        <v>30</v>
      </c>
    </row>
    <row r="25117" ht="15.75" customHeight="1">
      <c r="A25117" s="7"/>
      <c r="B25117" s="7"/>
      <c r="M25117" s="9" t="s">
        <v>22</v>
      </c>
    </row>
    <row r="25118" ht="15.75" customHeight="1">
      <c r="A25118" s="7"/>
      <c r="B25118" s="7"/>
      <c r="M25118" s="9" t="s">
        <v>27</v>
      </c>
    </row>
    <row r="25119" ht="15.75" customHeight="1">
      <c r="A25119" s="7"/>
      <c r="B25119" s="7"/>
      <c r="M25119" s="9" t="s">
        <v>25</v>
      </c>
    </row>
    <row r="25120" ht="15.75" customHeight="1">
      <c r="A25120" s="7"/>
      <c r="B25120" s="7"/>
      <c r="M25120" s="9" t="s">
        <v>23</v>
      </c>
    </row>
    <row r="25121" ht="15.75" customHeight="1">
      <c r="A25121" s="7"/>
      <c r="B25121" s="7"/>
      <c r="M25121" s="9" t="s">
        <v>24</v>
      </c>
    </row>
    <row r="25122" ht="15.75" customHeight="1">
      <c r="A25122" s="7"/>
      <c r="B25122" s="7"/>
      <c r="M25122" s="9" t="s">
        <v>20</v>
      </c>
    </row>
    <row r="25123" ht="15.75" customHeight="1">
      <c r="A25123" s="7"/>
      <c r="B25123" s="7"/>
      <c r="M25123" s="9" t="s">
        <v>21</v>
      </c>
    </row>
    <row r="25124" ht="15.75" customHeight="1">
      <c r="A25124" s="7"/>
      <c r="B25124" s="7"/>
      <c r="M25124" s="9" t="s">
        <v>37</v>
      </c>
    </row>
    <row r="25125" ht="15.75" customHeight="1">
      <c r="A25125" s="7"/>
      <c r="B25125" s="7"/>
      <c r="M25125" s="9" t="s">
        <v>22</v>
      </c>
    </row>
    <row r="25126" ht="15.75" customHeight="1">
      <c r="A25126" s="7"/>
      <c r="B25126" s="7"/>
      <c r="M25126" s="9" t="s">
        <v>27</v>
      </c>
    </row>
    <row r="25127" ht="15.75" customHeight="1">
      <c r="A25127" s="7"/>
      <c r="B25127" s="7"/>
      <c r="M25127" s="9" t="s">
        <v>40</v>
      </c>
    </row>
    <row r="25128" ht="15.75" customHeight="1">
      <c r="A25128" s="7"/>
      <c r="B25128" s="7"/>
      <c r="M25128" s="9" t="s">
        <v>33</v>
      </c>
    </row>
    <row r="25129" ht="15.75" customHeight="1">
      <c r="A25129" s="7"/>
      <c r="B25129" s="7"/>
      <c r="M25129" s="9" t="s">
        <v>20</v>
      </c>
    </row>
    <row r="25130" ht="15.75" customHeight="1">
      <c r="A25130" s="7"/>
      <c r="B25130" s="7"/>
      <c r="M25130" s="9" t="s">
        <v>39</v>
      </c>
    </row>
    <row r="25131" ht="15.75" customHeight="1">
      <c r="A25131" s="7"/>
      <c r="B25131" s="7"/>
      <c r="M25131" s="9" t="s">
        <v>24</v>
      </c>
    </row>
    <row r="25132" ht="15.75" customHeight="1">
      <c r="A25132" s="7"/>
      <c r="B25132" s="7"/>
      <c r="M25132" s="9" t="s">
        <v>21</v>
      </c>
    </row>
    <row r="25133" ht="15.75" customHeight="1">
      <c r="A25133" s="7"/>
      <c r="B25133" s="7"/>
      <c r="M25133" s="9" t="s">
        <v>37</v>
      </c>
    </row>
    <row r="25134" ht="15.75" customHeight="1">
      <c r="A25134" s="7"/>
      <c r="B25134" s="7"/>
      <c r="M25134" s="9" t="s">
        <v>23</v>
      </c>
    </row>
    <row r="25135" ht="15.75" customHeight="1">
      <c r="A25135" s="7"/>
      <c r="B25135" s="7"/>
      <c r="M25135" s="9" t="s">
        <v>24</v>
      </c>
    </row>
    <row r="25136" ht="15.75" customHeight="1">
      <c r="A25136" s="7"/>
      <c r="B25136" s="7"/>
      <c r="M25136" s="9" t="s">
        <v>20</v>
      </c>
    </row>
    <row r="25137" ht="15.75" customHeight="1">
      <c r="A25137" s="7"/>
      <c r="B25137" s="7"/>
      <c r="M25137" s="9" t="s">
        <v>22</v>
      </c>
    </row>
    <row r="25138" ht="15.75" customHeight="1">
      <c r="A25138" s="7"/>
      <c r="B25138" s="7"/>
      <c r="M25138" s="9" t="s">
        <v>27</v>
      </c>
    </row>
    <row r="25139" ht="15.75" customHeight="1">
      <c r="A25139" s="7"/>
      <c r="B25139" s="7"/>
      <c r="M25139" s="9" t="s">
        <v>47</v>
      </c>
    </row>
    <row r="25140" ht="15.75" customHeight="1">
      <c r="A25140" s="7"/>
      <c r="B25140" s="7"/>
      <c r="M25140" s="9" t="s">
        <v>24</v>
      </c>
    </row>
    <row r="25141" ht="15.75" customHeight="1">
      <c r="A25141" s="7"/>
      <c r="B25141" s="7"/>
      <c r="M25141" s="9" t="s">
        <v>21</v>
      </c>
    </row>
    <row r="25142" ht="15.75" customHeight="1">
      <c r="A25142" s="7"/>
      <c r="B25142" s="7"/>
      <c r="M25142" s="9" t="s">
        <v>33</v>
      </c>
    </row>
    <row r="25143" ht="15.75" customHeight="1">
      <c r="A25143" s="7"/>
      <c r="B25143" s="7"/>
      <c r="M25143" s="9" t="s">
        <v>30</v>
      </c>
    </row>
    <row r="25144" ht="15.75" customHeight="1">
      <c r="A25144" s="7"/>
      <c r="B25144" s="7"/>
      <c r="M25144" s="9" t="s">
        <v>26</v>
      </c>
    </row>
    <row r="25145" ht="15.75" customHeight="1">
      <c r="A25145" s="7"/>
      <c r="B25145" s="7"/>
      <c r="M25145" s="9" t="s">
        <v>24</v>
      </c>
    </row>
    <row r="25146" ht="15.75" customHeight="1">
      <c r="A25146" s="7"/>
      <c r="B25146" s="7"/>
      <c r="M25146" s="9" t="s">
        <v>21</v>
      </c>
    </row>
    <row r="25147" ht="15.75" customHeight="1">
      <c r="A25147" s="7"/>
      <c r="B25147" s="7"/>
      <c r="M25147" s="9" t="s">
        <v>27</v>
      </c>
    </row>
    <row r="25148" ht="15.75" customHeight="1">
      <c r="A25148" s="7"/>
      <c r="B25148" s="7"/>
      <c r="M25148" s="9" t="s">
        <v>33</v>
      </c>
    </row>
    <row r="25149" ht="15.75" customHeight="1">
      <c r="A25149" s="7"/>
      <c r="B25149" s="7"/>
      <c r="M25149" s="9" t="s">
        <v>30</v>
      </c>
    </row>
    <row r="25150" ht="15.75" customHeight="1">
      <c r="A25150" s="7"/>
      <c r="B25150" s="7"/>
      <c r="M25150" s="9" t="s">
        <v>25</v>
      </c>
    </row>
    <row r="25151" ht="15.75" customHeight="1">
      <c r="A25151" s="7"/>
      <c r="B25151" s="7"/>
      <c r="M25151" s="9" t="s">
        <v>23</v>
      </c>
    </row>
    <row r="25152" ht="15.75" customHeight="1">
      <c r="A25152" s="7"/>
      <c r="B25152" s="7"/>
      <c r="M25152" s="9" t="s">
        <v>22</v>
      </c>
    </row>
    <row r="25153" ht="15.75" customHeight="1">
      <c r="A25153" s="7"/>
      <c r="B25153" s="7"/>
      <c r="M25153" s="9" t="s">
        <v>30</v>
      </c>
    </row>
    <row r="25154" ht="15.75" customHeight="1">
      <c r="A25154" s="7"/>
      <c r="B25154" s="7"/>
      <c r="M25154" s="9" t="s">
        <v>24</v>
      </c>
    </row>
    <row r="25155" ht="15.75" customHeight="1">
      <c r="A25155" s="7"/>
      <c r="B25155" s="7"/>
      <c r="M25155" s="9" t="s">
        <v>20</v>
      </c>
    </row>
    <row r="25156" ht="15.75" customHeight="1">
      <c r="A25156" s="7"/>
      <c r="B25156" s="7"/>
      <c r="M25156" s="9" t="s">
        <v>21</v>
      </c>
    </row>
    <row r="25157" ht="15.75" customHeight="1">
      <c r="A25157" s="7"/>
      <c r="B25157" s="7"/>
      <c r="M25157" s="9" t="s">
        <v>22</v>
      </c>
    </row>
    <row r="25158" ht="15.75" customHeight="1">
      <c r="A25158" s="7"/>
      <c r="B25158" s="7"/>
      <c r="M25158" s="9" t="s">
        <v>31</v>
      </c>
    </row>
    <row r="25159" ht="15.75" customHeight="1">
      <c r="A25159" s="7"/>
      <c r="B25159" s="7"/>
      <c r="M25159" s="9" t="s">
        <v>27</v>
      </c>
    </row>
    <row r="25160" ht="15.75" customHeight="1">
      <c r="A25160" s="7"/>
      <c r="B25160" s="7"/>
      <c r="M25160" s="9" t="s">
        <v>40</v>
      </c>
    </row>
    <row r="25161" ht="15.75" customHeight="1">
      <c r="A25161" s="7"/>
      <c r="B25161" s="7"/>
      <c r="M25161" s="9" t="s">
        <v>35</v>
      </c>
    </row>
    <row r="25162" ht="15.75" customHeight="1">
      <c r="A25162" s="7"/>
      <c r="B25162" s="7"/>
      <c r="M25162" s="9" t="s">
        <v>20</v>
      </c>
    </row>
    <row r="25163" ht="15.75" customHeight="1">
      <c r="A25163" s="7"/>
      <c r="B25163" s="7"/>
      <c r="M25163" s="9" t="s">
        <v>21</v>
      </c>
    </row>
    <row r="25164" ht="15.75" customHeight="1">
      <c r="A25164" s="7"/>
      <c r="B25164" s="7"/>
      <c r="M25164" s="9" t="s">
        <v>23</v>
      </c>
    </row>
    <row r="25165" ht="15.75" customHeight="1">
      <c r="A25165" s="7"/>
      <c r="B25165" s="7"/>
      <c r="M25165" s="9" t="s">
        <v>26</v>
      </c>
    </row>
    <row r="25166" ht="15.75" customHeight="1">
      <c r="A25166" s="7"/>
      <c r="B25166" s="7"/>
      <c r="M25166" s="9" t="s">
        <v>24</v>
      </c>
    </row>
    <row r="25167" ht="15.75" customHeight="1">
      <c r="A25167" s="7"/>
      <c r="B25167" s="7"/>
      <c r="M25167" s="9" t="s">
        <v>20</v>
      </c>
    </row>
    <row r="25168" ht="15.75" customHeight="1">
      <c r="A25168" s="7"/>
      <c r="B25168" s="7"/>
      <c r="M25168" s="9" t="s">
        <v>21</v>
      </c>
    </row>
    <row r="25169" ht="15.75" customHeight="1">
      <c r="A25169" s="7"/>
      <c r="B25169" s="7"/>
      <c r="M25169" s="9" t="s">
        <v>27</v>
      </c>
    </row>
    <row r="25170" ht="15.75" customHeight="1">
      <c r="A25170" s="7"/>
      <c r="B25170" s="7"/>
      <c r="M25170" s="9" t="s">
        <v>24</v>
      </c>
    </row>
    <row r="25171" ht="15.75" customHeight="1">
      <c r="A25171" s="7"/>
      <c r="B25171" s="7"/>
      <c r="M25171" s="9" t="s">
        <v>21</v>
      </c>
    </row>
    <row r="25172" ht="15.75" customHeight="1">
      <c r="A25172" s="7"/>
      <c r="B25172" s="7"/>
      <c r="M25172" s="9" t="s">
        <v>37</v>
      </c>
    </row>
    <row r="25173" ht="15.75" customHeight="1">
      <c r="A25173" s="7"/>
      <c r="B25173" s="7"/>
      <c r="M25173" s="9" t="s">
        <v>27</v>
      </c>
    </row>
    <row r="25174" ht="15.75" customHeight="1">
      <c r="A25174" s="7"/>
      <c r="B25174" s="7"/>
      <c r="M25174" s="9" t="s">
        <v>30</v>
      </c>
    </row>
    <row r="25175" ht="15.75" customHeight="1">
      <c r="A25175" s="7"/>
      <c r="B25175" s="7"/>
      <c r="M25175" s="9" t="s">
        <v>26</v>
      </c>
    </row>
    <row r="25176" ht="15.75" customHeight="1">
      <c r="A25176" s="7"/>
      <c r="B25176" s="7"/>
      <c r="M25176" s="9" t="s">
        <v>27</v>
      </c>
    </row>
    <row r="25177" ht="15.75" customHeight="1">
      <c r="A25177" s="7"/>
      <c r="B25177" s="7"/>
      <c r="M25177" s="9" t="s">
        <v>24</v>
      </c>
    </row>
    <row r="25178" ht="15.75" customHeight="1">
      <c r="A25178" s="7"/>
      <c r="B25178" s="7"/>
      <c r="M25178" s="9" t="s">
        <v>20</v>
      </c>
    </row>
    <row r="25179" ht="15.75" customHeight="1">
      <c r="A25179" s="7"/>
      <c r="B25179" s="7"/>
      <c r="M25179" s="9" t="s">
        <v>21</v>
      </c>
    </row>
    <row r="25180" ht="15.75" customHeight="1">
      <c r="A25180" s="7"/>
      <c r="B25180" s="7"/>
      <c r="M25180" s="9" t="s">
        <v>33</v>
      </c>
    </row>
    <row r="25181" ht="15.75" customHeight="1">
      <c r="A25181" s="7"/>
      <c r="B25181" s="7"/>
      <c r="M25181" s="9" t="s">
        <v>21</v>
      </c>
    </row>
    <row r="25182" ht="15.75" customHeight="1">
      <c r="A25182" s="7"/>
      <c r="B25182" s="7"/>
      <c r="M25182" s="9" t="s">
        <v>24</v>
      </c>
    </row>
    <row r="25183" ht="15.75" customHeight="1">
      <c r="A25183" s="7"/>
      <c r="B25183" s="7"/>
      <c r="M25183" s="9" t="s">
        <v>20</v>
      </c>
    </row>
    <row r="25184" ht="15.75" customHeight="1">
      <c r="A25184" s="7"/>
      <c r="B25184" s="7"/>
      <c r="M25184" s="9" t="s">
        <v>21</v>
      </c>
    </row>
    <row r="25185" ht="15.75" customHeight="1">
      <c r="A25185" s="7"/>
      <c r="B25185" s="7"/>
      <c r="M25185" s="9" t="s">
        <v>22</v>
      </c>
    </row>
    <row r="25186" ht="15.75" customHeight="1">
      <c r="A25186" s="7"/>
      <c r="B25186" s="7"/>
      <c r="M25186" s="9" t="s">
        <v>27</v>
      </c>
    </row>
    <row r="25187" ht="15.75" customHeight="1">
      <c r="A25187" s="7"/>
      <c r="B25187" s="7"/>
      <c r="M25187" s="9" t="s">
        <v>30</v>
      </c>
    </row>
    <row r="25188" ht="15.75" customHeight="1">
      <c r="A25188" s="7"/>
      <c r="B25188" s="7"/>
      <c r="M25188" s="9" t="s">
        <v>20</v>
      </c>
    </row>
    <row r="25189" ht="15.75" customHeight="1">
      <c r="A25189" s="7"/>
      <c r="B25189" s="7"/>
      <c r="M25189" s="9" t="s">
        <v>27</v>
      </c>
    </row>
    <row r="25190" ht="15.75" customHeight="1">
      <c r="A25190" s="7"/>
      <c r="B25190" s="7"/>
      <c r="M25190" s="9" t="s">
        <v>24</v>
      </c>
    </row>
    <row r="25191" ht="15.75" customHeight="1">
      <c r="A25191" s="7"/>
      <c r="B25191" s="7"/>
      <c r="M25191" s="9" t="s">
        <v>21</v>
      </c>
    </row>
    <row r="25192" ht="15.75" customHeight="1">
      <c r="A25192" s="7"/>
      <c r="B25192" s="7"/>
      <c r="M25192" s="9" t="s">
        <v>30</v>
      </c>
    </row>
    <row r="25193" ht="15.75" customHeight="1">
      <c r="A25193" s="7"/>
      <c r="B25193" s="7"/>
      <c r="M25193" s="9" t="s">
        <v>25</v>
      </c>
    </row>
    <row r="25194" ht="15.75" customHeight="1">
      <c r="A25194" s="7"/>
      <c r="B25194" s="7"/>
      <c r="M25194" s="9" t="s">
        <v>23</v>
      </c>
    </row>
    <row r="25195" ht="15.75" customHeight="1">
      <c r="A25195" s="7"/>
      <c r="B25195" s="7"/>
      <c r="M25195" s="9" t="s">
        <v>22</v>
      </c>
    </row>
    <row r="25196" ht="15.75" customHeight="1">
      <c r="A25196" s="7"/>
      <c r="B25196" s="7"/>
      <c r="M25196" s="9" t="s">
        <v>30</v>
      </c>
    </row>
    <row r="25197" ht="15.75" customHeight="1">
      <c r="A25197" s="7"/>
      <c r="B25197" s="7"/>
      <c r="M25197" s="9" t="s">
        <v>22</v>
      </c>
    </row>
    <row r="25198" ht="15.75" customHeight="1">
      <c r="A25198" s="7"/>
      <c r="B25198" s="7"/>
      <c r="M25198" s="9" t="s">
        <v>29</v>
      </c>
    </row>
    <row r="25199" ht="15.75" customHeight="1">
      <c r="A25199" s="7"/>
      <c r="B25199" s="7"/>
      <c r="M25199" s="9" t="s">
        <v>26</v>
      </c>
    </row>
    <row r="25200" ht="15.75" customHeight="1">
      <c r="A25200" s="7"/>
      <c r="B25200" s="7"/>
      <c r="M25200" s="9" t="s">
        <v>24</v>
      </c>
    </row>
    <row r="25201" ht="15.75" customHeight="1">
      <c r="A25201" s="7"/>
      <c r="B25201" s="7"/>
      <c r="M25201" s="9" t="s">
        <v>20</v>
      </c>
    </row>
    <row r="25202" ht="15.75" customHeight="1">
      <c r="A25202" s="7"/>
      <c r="B25202" s="7"/>
      <c r="M25202" s="9" t="s">
        <v>21</v>
      </c>
    </row>
    <row r="25203" ht="15.75" customHeight="1">
      <c r="A25203" s="7"/>
      <c r="B25203" s="7"/>
      <c r="M25203" s="9" t="s">
        <v>27</v>
      </c>
    </row>
    <row r="25204" ht="15.75" customHeight="1">
      <c r="A25204" s="7"/>
      <c r="B25204" s="7"/>
      <c r="M25204" s="9" t="s">
        <v>33</v>
      </c>
    </row>
    <row r="25205" ht="15.75" customHeight="1">
      <c r="A25205" s="7"/>
      <c r="B25205" s="7"/>
      <c r="M25205" s="9" t="s">
        <v>22</v>
      </c>
    </row>
    <row r="25206" ht="15.75" customHeight="1">
      <c r="A25206" s="7"/>
      <c r="B25206" s="7"/>
      <c r="M25206" s="9" t="s">
        <v>27</v>
      </c>
    </row>
    <row r="25207" ht="15.75" customHeight="1">
      <c r="A25207" s="7"/>
      <c r="B25207" s="7"/>
      <c r="M25207" s="9" t="s">
        <v>24</v>
      </c>
    </row>
    <row r="25208" ht="15.75" customHeight="1">
      <c r="A25208" s="7"/>
      <c r="B25208" s="7"/>
      <c r="M25208" s="9" t="s">
        <v>21</v>
      </c>
    </row>
    <row r="25209" ht="15.75" customHeight="1">
      <c r="A25209" s="7"/>
      <c r="B25209" s="7"/>
      <c r="M25209" s="9" t="s">
        <v>37</v>
      </c>
    </row>
    <row r="25210" ht="15.75" customHeight="1">
      <c r="A25210" s="7"/>
      <c r="B25210" s="7"/>
      <c r="M25210" s="9" t="s">
        <v>27</v>
      </c>
    </row>
    <row r="25211" ht="15.75" customHeight="1">
      <c r="A25211" s="7"/>
      <c r="B25211" s="7"/>
      <c r="M25211" s="9" t="s">
        <v>30</v>
      </c>
    </row>
    <row r="25212" ht="15.75" customHeight="1">
      <c r="A25212" s="7"/>
      <c r="B25212" s="7"/>
      <c r="M25212" s="9" t="s">
        <v>24</v>
      </c>
    </row>
    <row r="25213" ht="15.75" customHeight="1">
      <c r="A25213" s="7"/>
      <c r="B25213" s="7"/>
      <c r="M25213" s="9" t="s">
        <v>22</v>
      </c>
    </row>
    <row r="25214" ht="15.75" customHeight="1">
      <c r="A25214" s="7"/>
      <c r="B25214" s="7"/>
      <c r="M25214" s="9" t="s">
        <v>33</v>
      </c>
    </row>
    <row r="25215" ht="15.75" customHeight="1">
      <c r="A25215" s="7"/>
      <c r="B25215" s="7"/>
      <c r="M25215" s="9" t="s">
        <v>26</v>
      </c>
    </row>
    <row r="25216" ht="15.75" customHeight="1">
      <c r="A25216" s="7"/>
      <c r="B25216" s="7"/>
      <c r="M25216" s="9" t="s">
        <v>24</v>
      </c>
    </row>
    <row r="25217" ht="15.75" customHeight="1">
      <c r="A25217" s="7"/>
      <c r="B25217" s="7"/>
      <c r="M25217" s="9" t="s">
        <v>21</v>
      </c>
    </row>
    <row r="25218" ht="15.75" customHeight="1">
      <c r="A25218" s="7"/>
      <c r="B25218" s="7"/>
      <c r="M25218" s="9" t="s">
        <v>33</v>
      </c>
    </row>
    <row r="25219" ht="15.75" customHeight="1">
      <c r="A25219" s="7"/>
      <c r="B25219" s="7"/>
      <c r="M25219" s="9" t="s">
        <v>25</v>
      </c>
    </row>
    <row r="25220" ht="15.75" customHeight="1">
      <c r="A25220" s="7"/>
      <c r="B25220" s="7"/>
      <c r="M25220" s="9" t="s">
        <v>23</v>
      </c>
    </row>
    <row r="25221" ht="15.75" customHeight="1">
      <c r="A25221" s="7"/>
      <c r="B25221" s="7"/>
      <c r="M25221" s="9" t="s">
        <v>26</v>
      </c>
    </row>
    <row r="25222" ht="15.75" customHeight="1">
      <c r="A25222" s="7"/>
      <c r="B25222" s="7"/>
      <c r="M25222" s="9" t="s">
        <v>22</v>
      </c>
    </row>
    <row r="25223" ht="15.75" customHeight="1">
      <c r="A25223" s="7"/>
      <c r="B25223" s="7"/>
      <c r="M25223" s="9" t="s">
        <v>22</v>
      </c>
    </row>
    <row r="25224" ht="15.75" customHeight="1">
      <c r="A25224" s="7"/>
      <c r="B25224" s="7"/>
      <c r="M25224" s="9" t="s">
        <v>27</v>
      </c>
    </row>
    <row r="25225" ht="15.75" customHeight="1">
      <c r="A25225" s="7"/>
      <c r="B25225" s="7"/>
      <c r="M25225" s="9" t="s">
        <v>38</v>
      </c>
    </row>
    <row r="25226" ht="15.75" customHeight="1">
      <c r="A25226" s="7"/>
      <c r="B25226" s="7"/>
      <c r="M25226" s="9" t="s">
        <v>24</v>
      </c>
    </row>
    <row r="25227" ht="15.75" customHeight="1">
      <c r="A25227" s="7"/>
      <c r="B25227" s="7"/>
      <c r="M25227" s="9" t="s">
        <v>20</v>
      </c>
    </row>
    <row r="25228" ht="15.75" customHeight="1">
      <c r="A25228" s="7"/>
      <c r="B25228" s="7"/>
      <c r="M25228" s="9" t="s">
        <v>21</v>
      </c>
    </row>
    <row r="25229" ht="15.75" customHeight="1">
      <c r="A25229" s="7"/>
      <c r="B25229" s="7"/>
      <c r="M25229" s="9" t="s">
        <v>27</v>
      </c>
    </row>
    <row r="25230" ht="15.75" customHeight="1">
      <c r="A25230" s="7"/>
      <c r="B25230" s="7"/>
      <c r="M25230" s="9" t="s">
        <v>33</v>
      </c>
    </row>
    <row r="25231" ht="15.75" customHeight="1">
      <c r="A25231" s="7"/>
      <c r="B25231" s="7"/>
      <c r="M25231" s="9" t="s">
        <v>22</v>
      </c>
    </row>
    <row r="25232" ht="15.75" customHeight="1">
      <c r="A25232" s="7"/>
      <c r="B25232" s="7"/>
      <c r="M25232" s="9" t="s">
        <v>27</v>
      </c>
    </row>
    <row r="25233" ht="15.75" customHeight="1">
      <c r="A25233" s="7"/>
      <c r="B25233" s="7"/>
      <c r="M25233" s="9" t="s">
        <v>30</v>
      </c>
    </row>
    <row r="25234" ht="15.75" customHeight="1">
      <c r="A25234" s="7"/>
      <c r="B25234" s="7"/>
      <c r="M25234" s="9" t="s">
        <v>23</v>
      </c>
    </row>
    <row r="25235" ht="15.75" customHeight="1">
      <c r="A25235" s="7"/>
      <c r="B25235" s="7"/>
      <c r="M25235" s="9" t="s">
        <v>26</v>
      </c>
    </row>
    <row r="25236" ht="15.75" customHeight="1">
      <c r="A25236" s="7"/>
      <c r="B25236" s="7"/>
      <c r="M25236" s="9" t="s">
        <v>22</v>
      </c>
    </row>
    <row r="25237" ht="15.75" customHeight="1">
      <c r="A25237" s="7"/>
      <c r="B25237" s="7"/>
      <c r="M25237" s="9" t="s">
        <v>24</v>
      </c>
    </row>
    <row r="25238" ht="15.75" customHeight="1">
      <c r="A25238" s="7"/>
      <c r="B25238" s="7"/>
      <c r="M25238" s="9" t="s">
        <v>20</v>
      </c>
    </row>
    <row r="25239" ht="15.75" customHeight="1">
      <c r="A25239" s="7"/>
      <c r="B25239" s="7"/>
      <c r="M25239" s="9" t="s">
        <v>21</v>
      </c>
    </row>
    <row r="25240" ht="15.75" customHeight="1">
      <c r="A25240" s="7"/>
      <c r="B25240" s="7"/>
      <c r="M25240" s="9" t="s">
        <v>39</v>
      </c>
    </row>
    <row r="25241" ht="15.75" customHeight="1">
      <c r="A25241" s="7"/>
      <c r="B25241" s="7"/>
      <c r="M25241" s="9" t="s">
        <v>41</v>
      </c>
    </row>
    <row r="25242" ht="15.75" customHeight="1">
      <c r="A25242" s="7"/>
      <c r="B25242" s="7"/>
      <c r="M25242" s="9" t="s">
        <v>31</v>
      </c>
    </row>
    <row r="25243" ht="15.75" customHeight="1">
      <c r="A25243" s="7"/>
      <c r="B25243" s="7"/>
      <c r="M25243" s="9" t="s">
        <v>40</v>
      </c>
    </row>
    <row r="25244" ht="15.75" customHeight="1">
      <c r="A25244" s="7"/>
      <c r="B25244" s="7"/>
      <c r="M25244" s="9" t="s">
        <v>26</v>
      </c>
    </row>
    <row r="25245" ht="15.75" customHeight="1">
      <c r="A25245" s="7"/>
      <c r="B25245" s="7"/>
      <c r="M25245" s="9" t="s">
        <v>20</v>
      </c>
    </row>
    <row r="25246" ht="15.75" customHeight="1">
      <c r="A25246" s="7"/>
      <c r="B25246" s="7"/>
      <c r="M25246" s="9" t="s">
        <v>41</v>
      </c>
    </row>
    <row r="25247" ht="15.75" customHeight="1">
      <c r="A25247" s="7"/>
      <c r="B25247" s="7"/>
      <c r="M25247" s="9" t="s">
        <v>30</v>
      </c>
    </row>
    <row r="25248" ht="15.75" customHeight="1">
      <c r="A25248" s="7"/>
      <c r="B25248" s="7"/>
      <c r="M25248" s="9" t="s">
        <v>24</v>
      </c>
    </row>
    <row r="25249" ht="15.75" customHeight="1">
      <c r="A25249" s="7"/>
      <c r="B25249" s="7"/>
      <c r="M25249" s="9" t="s">
        <v>20</v>
      </c>
    </row>
    <row r="25250" ht="15.75" customHeight="1">
      <c r="A25250" s="7"/>
      <c r="B25250" s="7"/>
      <c r="M25250" s="9" t="s">
        <v>21</v>
      </c>
    </row>
    <row r="25251" ht="15.75" customHeight="1">
      <c r="A25251" s="7"/>
      <c r="B25251" s="7"/>
      <c r="M25251" s="9" t="s">
        <v>46</v>
      </c>
    </row>
    <row r="25252" ht="15.75" customHeight="1">
      <c r="A25252" s="7"/>
      <c r="B25252" s="7"/>
      <c r="M25252" s="9" t="s">
        <v>27</v>
      </c>
    </row>
    <row r="25253" ht="15.75" customHeight="1">
      <c r="A25253" s="7"/>
      <c r="B25253" s="7"/>
      <c r="M25253" s="9" t="s">
        <v>33</v>
      </c>
    </row>
    <row r="25254" ht="15.75" customHeight="1">
      <c r="A25254" s="7"/>
      <c r="B25254" s="7"/>
      <c r="M25254" s="9" t="s">
        <v>25</v>
      </c>
    </row>
    <row r="25255" ht="15.75" customHeight="1">
      <c r="A25255" s="7"/>
      <c r="B25255" s="7"/>
      <c r="M25255" s="9" t="s">
        <v>23</v>
      </c>
    </row>
    <row r="25256" ht="15.75" customHeight="1">
      <c r="A25256" s="7"/>
      <c r="B25256" s="7"/>
      <c r="M25256" s="9" t="s">
        <v>24</v>
      </c>
    </row>
    <row r="25257" ht="15.75" customHeight="1">
      <c r="A25257" s="7"/>
      <c r="B25257" s="7"/>
      <c r="M25257" s="9" t="s">
        <v>20</v>
      </c>
    </row>
    <row r="25258" ht="15.75" customHeight="1">
      <c r="A25258" s="7"/>
      <c r="B25258" s="7"/>
      <c r="M25258" s="9" t="s">
        <v>21</v>
      </c>
    </row>
    <row r="25259" ht="15.75" customHeight="1">
      <c r="A25259" s="7"/>
      <c r="B25259" s="7"/>
      <c r="M25259" s="9" t="s">
        <v>22</v>
      </c>
    </row>
    <row r="25260" ht="15.75" customHeight="1">
      <c r="A25260" s="7"/>
      <c r="B25260" s="7"/>
      <c r="M25260" s="9" t="s">
        <v>24</v>
      </c>
    </row>
    <row r="25261" ht="15.75" customHeight="1">
      <c r="A25261" s="7"/>
      <c r="B25261" s="7"/>
      <c r="M25261" s="9" t="s">
        <v>20</v>
      </c>
    </row>
    <row r="25262" ht="15.75" customHeight="1">
      <c r="A25262" s="7"/>
      <c r="B25262" s="7"/>
      <c r="M25262" s="9" t="s">
        <v>22</v>
      </c>
    </row>
    <row r="25263" ht="15.75" customHeight="1">
      <c r="A25263" s="7"/>
      <c r="B25263" s="7"/>
      <c r="M25263" s="9" t="s">
        <v>24</v>
      </c>
    </row>
    <row r="25264" ht="15.75" customHeight="1">
      <c r="A25264" s="7"/>
      <c r="B25264" s="7"/>
      <c r="M25264" s="9" t="s">
        <v>23</v>
      </c>
    </row>
    <row r="25265" ht="15.75" customHeight="1">
      <c r="A25265" s="7"/>
      <c r="B25265" s="7"/>
      <c r="M25265" s="9" t="s">
        <v>26</v>
      </c>
    </row>
    <row r="25266" ht="15.75" customHeight="1">
      <c r="A25266" s="7"/>
      <c r="B25266" s="7"/>
      <c r="M25266" s="9" t="s">
        <v>24</v>
      </c>
    </row>
    <row r="25267" ht="15.75" customHeight="1">
      <c r="A25267" s="7"/>
      <c r="B25267" s="7"/>
      <c r="M25267" s="9" t="s">
        <v>20</v>
      </c>
    </row>
    <row r="25268" ht="15.75" customHeight="1">
      <c r="A25268" s="7"/>
      <c r="B25268" s="7"/>
      <c r="M25268" s="9" t="s">
        <v>21</v>
      </c>
    </row>
    <row r="25269" ht="15.75" customHeight="1">
      <c r="A25269" s="7"/>
      <c r="B25269" s="7"/>
      <c r="M25269" s="9" t="s">
        <v>29</v>
      </c>
    </row>
    <row r="25270" ht="15.75" customHeight="1">
      <c r="A25270" s="7"/>
      <c r="B25270" s="7"/>
      <c r="M25270" s="9" t="s">
        <v>31</v>
      </c>
    </row>
    <row r="25271" ht="15.75" customHeight="1">
      <c r="A25271" s="7"/>
      <c r="B25271" s="7"/>
      <c r="M25271" s="9" t="s">
        <v>27</v>
      </c>
    </row>
    <row r="25272" ht="15.75" customHeight="1">
      <c r="A25272" s="7"/>
      <c r="B25272" s="7"/>
      <c r="M25272" s="9" t="s">
        <v>30</v>
      </c>
    </row>
    <row r="25273" ht="15.75" customHeight="1">
      <c r="A25273" s="7"/>
      <c r="B25273" s="7"/>
      <c r="M25273" s="9" t="s">
        <v>24</v>
      </c>
    </row>
    <row r="25274" ht="15.75" customHeight="1">
      <c r="A25274" s="7"/>
      <c r="B25274" s="7"/>
      <c r="M25274" s="9" t="s">
        <v>31</v>
      </c>
    </row>
    <row r="25275" ht="15.75" customHeight="1">
      <c r="A25275" s="7"/>
      <c r="B25275" s="7"/>
      <c r="M25275" s="9" t="s">
        <v>27</v>
      </c>
    </row>
    <row r="25276" ht="15.75" customHeight="1">
      <c r="A25276" s="7"/>
      <c r="B25276" s="7"/>
      <c r="M25276" s="9" t="s">
        <v>30</v>
      </c>
    </row>
    <row r="25277" ht="15.75" customHeight="1">
      <c r="A25277" s="7"/>
      <c r="B25277" s="7"/>
      <c r="M25277" s="9" t="s">
        <v>24</v>
      </c>
    </row>
    <row r="25278" ht="15.75" customHeight="1">
      <c r="A25278" s="7"/>
      <c r="B25278" s="7"/>
      <c r="M25278" s="9" t="s">
        <v>20</v>
      </c>
    </row>
    <row r="25279" ht="15.75" customHeight="1">
      <c r="A25279" s="7"/>
      <c r="B25279" s="7"/>
      <c r="M25279" s="9" t="s">
        <v>21</v>
      </c>
    </row>
    <row r="25280" ht="15.75" customHeight="1">
      <c r="A25280" s="7"/>
      <c r="B25280" s="7"/>
      <c r="M25280" s="9" t="s">
        <v>27</v>
      </c>
    </row>
    <row r="25281" ht="15.75" customHeight="1">
      <c r="A25281" s="7"/>
      <c r="B25281" s="7"/>
      <c r="M25281" s="9" t="s">
        <v>25</v>
      </c>
    </row>
    <row r="25282" ht="15.75" customHeight="1">
      <c r="A25282" s="7"/>
      <c r="B25282" s="7"/>
      <c r="M25282" s="9" t="s">
        <v>20</v>
      </c>
    </row>
    <row r="25283" ht="15.75" customHeight="1">
      <c r="A25283" s="7"/>
      <c r="B25283" s="7"/>
      <c r="M25283" s="9" t="s">
        <v>39</v>
      </c>
    </row>
    <row r="25284" ht="15.75" customHeight="1">
      <c r="A25284" s="7"/>
      <c r="B25284" s="7"/>
      <c r="M25284" s="9" t="s">
        <v>24</v>
      </c>
    </row>
    <row r="25285" ht="15.75" customHeight="1">
      <c r="A25285" s="7"/>
      <c r="B25285" s="7"/>
      <c r="M25285" s="9" t="s">
        <v>21</v>
      </c>
    </row>
    <row r="25286" ht="15.75" customHeight="1">
      <c r="A25286" s="7"/>
      <c r="B25286" s="7"/>
      <c r="M25286" s="9" t="s">
        <v>27</v>
      </c>
    </row>
    <row r="25287" ht="15.75" customHeight="1">
      <c r="A25287" s="7"/>
      <c r="B25287" s="7"/>
      <c r="M25287" s="9" t="s">
        <v>24</v>
      </c>
    </row>
    <row r="25288" ht="15.75" customHeight="1">
      <c r="A25288" s="7"/>
      <c r="B25288" s="7"/>
      <c r="M25288" s="9" t="s">
        <v>20</v>
      </c>
    </row>
    <row r="25289" ht="15.75" customHeight="1">
      <c r="A25289" s="7"/>
      <c r="B25289" s="7"/>
      <c r="M25289" s="9" t="s">
        <v>21</v>
      </c>
    </row>
    <row r="25290" ht="15.75" customHeight="1">
      <c r="A25290" s="7"/>
      <c r="B25290" s="7"/>
      <c r="M25290" s="9" t="s">
        <v>22</v>
      </c>
    </row>
    <row r="25291" ht="15.75" customHeight="1">
      <c r="A25291" s="7"/>
      <c r="B25291" s="7"/>
      <c r="M25291" s="9" t="s">
        <v>27</v>
      </c>
    </row>
    <row r="25292" ht="15.75" customHeight="1">
      <c r="A25292" s="7"/>
      <c r="B25292" s="7"/>
      <c r="M25292" s="9" t="s">
        <v>24</v>
      </c>
    </row>
    <row r="25293" ht="15.75" customHeight="1">
      <c r="A25293" s="7"/>
      <c r="B25293" s="7"/>
      <c r="M25293" s="9" t="s">
        <v>21</v>
      </c>
    </row>
    <row r="25294" ht="15.75" customHeight="1">
      <c r="A25294" s="7"/>
      <c r="B25294" s="7"/>
      <c r="M25294" s="9" t="s">
        <v>37</v>
      </c>
    </row>
    <row r="25295" ht="15.75" customHeight="1">
      <c r="A25295" s="7"/>
      <c r="B25295" s="7"/>
      <c r="M25295" s="9" t="s">
        <v>27</v>
      </c>
    </row>
    <row r="25296" ht="15.75" customHeight="1">
      <c r="A25296" s="7"/>
      <c r="B25296" s="7"/>
      <c r="M25296" s="9" t="s">
        <v>26</v>
      </c>
    </row>
    <row r="25297" ht="15.75" customHeight="1">
      <c r="A25297" s="7"/>
      <c r="B25297" s="7"/>
      <c r="M25297" s="9" t="s">
        <v>24</v>
      </c>
    </row>
    <row r="25298" ht="15.75" customHeight="1">
      <c r="A25298" s="7"/>
      <c r="B25298" s="7"/>
      <c r="M25298" s="9" t="s">
        <v>21</v>
      </c>
    </row>
    <row r="25299" ht="15.75" customHeight="1">
      <c r="A25299" s="7"/>
      <c r="B25299" s="7"/>
      <c r="M25299" s="9" t="s">
        <v>23</v>
      </c>
    </row>
    <row r="25300" ht="15.75" customHeight="1">
      <c r="A25300" s="7"/>
      <c r="B25300" s="7"/>
      <c r="M25300" s="9" t="s">
        <v>24</v>
      </c>
    </row>
    <row r="25301" ht="15.75" customHeight="1">
      <c r="A25301" s="7"/>
      <c r="B25301" s="7"/>
      <c r="M25301" s="9" t="s">
        <v>21</v>
      </c>
    </row>
    <row r="25302" ht="15.75" customHeight="1">
      <c r="A25302" s="7"/>
      <c r="B25302" s="7"/>
      <c r="M25302" s="9" t="s">
        <v>37</v>
      </c>
    </row>
    <row r="25303" ht="15.75" customHeight="1">
      <c r="A25303" s="7"/>
      <c r="B25303" s="7"/>
      <c r="M25303" s="9" t="s">
        <v>38</v>
      </c>
    </row>
    <row r="25304" ht="15.75" customHeight="1">
      <c r="A25304" s="7"/>
      <c r="B25304" s="7"/>
      <c r="M25304" s="9" t="s">
        <v>47</v>
      </c>
    </row>
    <row r="25305" ht="15.75" customHeight="1">
      <c r="A25305" s="7"/>
      <c r="B25305" s="7"/>
      <c r="M25305" s="9" t="s">
        <v>36</v>
      </c>
    </row>
    <row r="25306" ht="15.75" customHeight="1">
      <c r="A25306" s="7"/>
      <c r="B25306" s="7"/>
      <c r="M25306" s="9" t="s">
        <v>22</v>
      </c>
    </row>
    <row r="25307" ht="15.75" customHeight="1">
      <c r="A25307" s="7"/>
      <c r="B25307" s="7"/>
      <c r="M25307" s="9" t="s">
        <v>46</v>
      </c>
    </row>
    <row r="25308" ht="15.75" customHeight="1">
      <c r="A25308" s="7"/>
      <c r="B25308" s="7"/>
      <c r="M25308" s="9" t="s">
        <v>34</v>
      </c>
    </row>
    <row r="25309" ht="15.75" customHeight="1">
      <c r="A25309" s="7"/>
      <c r="B25309" s="7"/>
      <c r="M25309" s="9" t="s">
        <v>30</v>
      </c>
    </row>
    <row r="25310" ht="15.75" customHeight="1">
      <c r="A25310" s="7"/>
      <c r="B25310" s="7"/>
      <c r="M25310" s="9" t="s">
        <v>24</v>
      </c>
    </row>
    <row r="25311" ht="15.75" customHeight="1">
      <c r="A25311" s="7"/>
      <c r="B25311" s="7"/>
      <c r="M25311" s="9" t="s">
        <v>21</v>
      </c>
    </row>
    <row r="25312" ht="15.75" customHeight="1">
      <c r="A25312" s="7"/>
      <c r="B25312" s="7"/>
      <c r="M25312" s="9" t="s">
        <v>37</v>
      </c>
    </row>
    <row r="25313" ht="15.75" customHeight="1">
      <c r="A25313" s="7"/>
      <c r="B25313" s="7"/>
      <c r="M25313" s="9" t="s">
        <v>22</v>
      </c>
    </row>
    <row r="25314" ht="15.75" customHeight="1">
      <c r="A25314" s="7"/>
      <c r="B25314" s="7"/>
      <c r="M25314" s="9" t="s">
        <v>27</v>
      </c>
    </row>
    <row r="25315" ht="15.75" customHeight="1">
      <c r="A25315" s="7"/>
      <c r="B25315" s="7"/>
      <c r="M25315" s="9" t="s">
        <v>33</v>
      </c>
    </row>
    <row r="25316" ht="15.75" customHeight="1">
      <c r="A25316" s="7"/>
      <c r="B25316" s="7"/>
      <c r="M25316" s="9" t="s">
        <v>30</v>
      </c>
    </row>
    <row r="25317" ht="15.75" customHeight="1">
      <c r="A25317" s="7"/>
      <c r="B25317" s="7"/>
      <c r="M25317" s="9" t="s">
        <v>24</v>
      </c>
    </row>
    <row r="25318" ht="15.75" customHeight="1">
      <c r="A25318" s="7"/>
      <c r="B25318" s="7"/>
      <c r="M25318" s="9" t="s">
        <v>21</v>
      </c>
    </row>
    <row r="25319" ht="15.75" customHeight="1">
      <c r="A25319" s="7"/>
      <c r="B25319" s="7"/>
      <c r="M25319" s="9" t="s">
        <v>22</v>
      </c>
    </row>
    <row r="25320" ht="15.75" customHeight="1">
      <c r="A25320" s="7"/>
      <c r="B25320" s="7"/>
      <c r="M25320" s="9" t="s">
        <v>27</v>
      </c>
    </row>
    <row r="25321" ht="15.75" customHeight="1">
      <c r="A25321" s="7"/>
      <c r="B25321" s="7"/>
      <c r="M25321" s="9" t="s">
        <v>30</v>
      </c>
    </row>
    <row r="25322" ht="15.75" customHeight="1">
      <c r="A25322" s="7"/>
      <c r="B25322" s="7"/>
      <c r="M25322" s="9" t="s">
        <v>24</v>
      </c>
    </row>
    <row r="25323" ht="15.75" customHeight="1">
      <c r="A25323" s="7"/>
      <c r="B25323" s="7"/>
      <c r="M25323" s="9" t="s">
        <v>20</v>
      </c>
    </row>
    <row r="25324" ht="15.75" customHeight="1">
      <c r="A25324" s="7"/>
      <c r="B25324" s="7"/>
      <c r="M25324" s="9" t="s">
        <v>37</v>
      </c>
    </row>
    <row r="25325" ht="15.75" customHeight="1">
      <c r="A25325" s="7"/>
      <c r="B25325" s="7"/>
      <c r="M25325" s="9" t="s">
        <v>26</v>
      </c>
    </row>
    <row r="25326" ht="15.75" customHeight="1">
      <c r="A25326" s="7"/>
      <c r="B25326" s="7"/>
      <c r="M25326" s="9" t="s">
        <v>36</v>
      </c>
    </row>
    <row r="25327" ht="15.75" customHeight="1">
      <c r="A25327" s="7"/>
      <c r="B25327" s="7"/>
      <c r="M25327" s="9" t="s">
        <v>24</v>
      </c>
    </row>
    <row r="25328" ht="15.75" customHeight="1">
      <c r="A25328" s="7"/>
      <c r="B25328" s="7"/>
      <c r="M25328" s="9" t="s">
        <v>21</v>
      </c>
    </row>
    <row r="25329" ht="15.75" customHeight="1">
      <c r="A25329" s="7"/>
      <c r="B25329" s="7"/>
      <c r="M25329" s="9" t="s">
        <v>37</v>
      </c>
    </row>
    <row r="25330" ht="15.75" customHeight="1">
      <c r="A25330" s="7"/>
      <c r="B25330" s="7"/>
      <c r="M25330" s="9" t="s">
        <v>30</v>
      </c>
    </row>
    <row r="25331" ht="15.75" customHeight="1">
      <c r="A25331" s="7"/>
      <c r="B25331" s="7"/>
      <c r="M25331" s="9" t="s">
        <v>25</v>
      </c>
    </row>
    <row r="25332" ht="15.75" customHeight="1">
      <c r="A25332" s="7"/>
      <c r="B25332" s="7"/>
      <c r="M25332" s="9" t="s">
        <v>23</v>
      </c>
    </row>
    <row r="25333" ht="15.75" customHeight="1">
      <c r="A25333" s="7"/>
      <c r="B25333" s="7"/>
      <c r="M25333" s="9" t="s">
        <v>24</v>
      </c>
    </row>
    <row r="25334" ht="15.75" customHeight="1">
      <c r="A25334" s="7"/>
      <c r="B25334" s="7"/>
      <c r="M25334" s="9" t="s">
        <v>20</v>
      </c>
    </row>
    <row r="25335" ht="15.75" customHeight="1">
      <c r="A25335" s="7"/>
      <c r="B25335" s="7"/>
      <c r="M25335" s="9" t="s">
        <v>22</v>
      </c>
    </row>
    <row r="25336" ht="15.75" customHeight="1">
      <c r="A25336" s="7"/>
      <c r="B25336" s="7"/>
      <c r="M25336" s="9" t="s">
        <v>27</v>
      </c>
    </row>
    <row r="25337" ht="15.75" customHeight="1">
      <c r="A25337" s="7"/>
      <c r="B25337" s="7"/>
      <c r="M25337" s="9" t="s">
        <v>30</v>
      </c>
    </row>
    <row r="25338" ht="15.75" customHeight="1">
      <c r="A25338" s="7"/>
      <c r="B25338" s="7"/>
      <c r="M25338" s="9" t="s">
        <v>20</v>
      </c>
    </row>
    <row r="25339" ht="15.75" customHeight="1">
      <c r="A25339" s="7"/>
      <c r="B25339" s="7"/>
      <c r="M25339" s="9" t="s">
        <v>21</v>
      </c>
    </row>
    <row r="25340" ht="15.75" customHeight="1">
      <c r="A25340" s="7"/>
      <c r="B25340" s="7"/>
      <c r="M25340" s="9" t="s">
        <v>22</v>
      </c>
    </row>
    <row r="25341" ht="15.75" customHeight="1">
      <c r="A25341" s="7"/>
      <c r="B25341" s="7"/>
      <c r="M25341" s="9" t="s">
        <v>24</v>
      </c>
    </row>
    <row r="25342" ht="15.75" customHeight="1">
      <c r="A25342" s="7"/>
      <c r="B25342" s="7"/>
      <c r="M25342" s="9" t="s">
        <v>20</v>
      </c>
    </row>
    <row r="25343" ht="15.75" customHeight="1">
      <c r="A25343" s="7"/>
      <c r="B25343" s="7"/>
      <c r="M25343" s="9" t="s">
        <v>21</v>
      </c>
    </row>
    <row r="25344" ht="15.75" customHeight="1">
      <c r="A25344" s="7"/>
      <c r="B25344" s="7"/>
      <c r="M25344" s="9" t="s">
        <v>38</v>
      </c>
    </row>
    <row r="25345" ht="15.75" customHeight="1">
      <c r="A25345" s="7"/>
      <c r="B25345" s="7"/>
      <c r="M25345" s="9" t="s">
        <v>26</v>
      </c>
    </row>
    <row r="25346" ht="15.75" customHeight="1">
      <c r="A25346" s="7"/>
      <c r="B25346" s="7"/>
      <c r="M25346" s="9" t="s">
        <v>22</v>
      </c>
    </row>
    <row r="25347" ht="15.75" customHeight="1">
      <c r="A25347" s="7"/>
      <c r="B25347" s="7"/>
      <c r="M25347" s="9" t="s">
        <v>27</v>
      </c>
    </row>
    <row r="25348" ht="15.75" customHeight="1">
      <c r="A25348" s="7"/>
      <c r="B25348" s="7"/>
      <c r="M25348" s="9" t="s">
        <v>28</v>
      </c>
    </row>
    <row r="25349" ht="15.75" customHeight="1">
      <c r="A25349" s="7"/>
      <c r="B25349" s="7"/>
      <c r="M25349" s="9" t="s">
        <v>24</v>
      </c>
    </row>
    <row r="25350" ht="15.75" customHeight="1">
      <c r="A25350" s="7"/>
      <c r="B25350" s="7"/>
      <c r="M25350" s="9" t="s">
        <v>21</v>
      </c>
    </row>
    <row r="25351" ht="15.75" customHeight="1">
      <c r="A25351" s="7"/>
      <c r="B25351" s="7"/>
      <c r="M25351" s="9" t="s">
        <v>37</v>
      </c>
    </row>
    <row r="25352" ht="15.75" customHeight="1">
      <c r="A25352" s="7"/>
      <c r="B25352" s="7"/>
      <c r="M25352" s="9" t="s">
        <v>27</v>
      </c>
    </row>
    <row r="25353" ht="15.75" customHeight="1">
      <c r="A25353" s="7"/>
      <c r="B25353" s="7"/>
      <c r="M25353" s="9" t="s">
        <v>24</v>
      </c>
    </row>
    <row r="25354" ht="15.75" customHeight="1">
      <c r="A25354" s="7"/>
      <c r="B25354" s="7"/>
      <c r="M25354" s="9" t="s">
        <v>22</v>
      </c>
    </row>
    <row r="25355" ht="15.75" customHeight="1">
      <c r="A25355" s="7"/>
      <c r="B25355" s="7"/>
      <c r="M25355" s="9" t="s">
        <v>29</v>
      </c>
    </row>
    <row r="25356" ht="15.75" customHeight="1">
      <c r="A25356" s="7"/>
      <c r="B25356" s="7"/>
      <c r="M25356" s="9" t="s">
        <v>30</v>
      </c>
    </row>
    <row r="25357" ht="15.75" customHeight="1">
      <c r="A25357" s="7"/>
      <c r="B25357" s="7"/>
      <c r="M25357" s="9" t="s">
        <v>26</v>
      </c>
    </row>
    <row r="25358" ht="15.75" customHeight="1">
      <c r="A25358" s="7"/>
      <c r="B25358" s="7"/>
      <c r="M25358" s="9" t="s">
        <v>36</v>
      </c>
    </row>
    <row r="25359" ht="15.75" customHeight="1">
      <c r="A25359" s="7"/>
      <c r="B25359" s="7"/>
      <c r="M25359" s="9" t="s">
        <v>24</v>
      </c>
    </row>
    <row r="25360" ht="15.75" customHeight="1">
      <c r="A25360" s="7"/>
      <c r="B25360" s="7"/>
      <c r="M25360" s="9" t="s">
        <v>21</v>
      </c>
    </row>
    <row r="25361" ht="15.75" customHeight="1">
      <c r="A25361" s="7"/>
      <c r="B25361" s="7"/>
      <c r="M25361" s="9" t="s">
        <v>22</v>
      </c>
    </row>
    <row r="25362" ht="15.75" customHeight="1">
      <c r="A25362" s="7"/>
      <c r="B25362" s="7"/>
      <c r="M25362" s="9" t="s">
        <v>27</v>
      </c>
    </row>
    <row r="25363" ht="15.75" customHeight="1">
      <c r="A25363" s="7"/>
      <c r="B25363" s="7"/>
      <c r="M25363" s="9" t="s">
        <v>33</v>
      </c>
    </row>
    <row r="25364" ht="15.75" customHeight="1">
      <c r="A25364" s="7"/>
      <c r="B25364" s="7"/>
      <c r="M25364" s="9" t="s">
        <v>25</v>
      </c>
    </row>
    <row r="25365" ht="15.75" customHeight="1">
      <c r="A25365" s="7"/>
      <c r="B25365" s="7"/>
      <c r="M25365" s="9" t="s">
        <v>23</v>
      </c>
    </row>
    <row r="25366" ht="15.75" customHeight="1">
      <c r="A25366" s="7"/>
      <c r="B25366" s="7"/>
      <c r="M25366" s="9" t="s">
        <v>36</v>
      </c>
    </row>
    <row r="25367" ht="15.75" customHeight="1">
      <c r="A25367" s="7"/>
      <c r="B25367" s="7"/>
      <c r="M25367" s="9" t="s">
        <v>20</v>
      </c>
    </row>
    <row r="25368" ht="15.75" customHeight="1">
      <c r="A25368" s="7"/>
      <c r="B25368" s="7"/>
      <c r="M25368" s="9" t="s">
        <v>31</v>
      </c>
    </row>
    <row r="25369" ht="15.75" customHeight="1">
      <c r="A25369" s="7"/>
      <c r="B25369" s="7"/>
      <c r="M25369" s="9" t="s">
        <v>27</v>
      </c>
    </row>
    <row r="25370" ht="15.75" customHeight="1">
      <c r="A25370" s="7"/>
      <c r="B25370" s="7"/>
      <c r="M25370" s="9" t="s">
        <v>26</v>
      </c>
    </row>
    <row r="25371" ht="15.75" customHeight="1">
      <c r="A25371" s="7"/>
      <c r="B25371" s="7"/>
      <c r="M25371" s="9" t="s">
        <v>24</v>
      </c>
    </row>
    <row r="25372" ht="15.75" customHeight="1">
      <c r="A25372" s="7"/>
      <c r="B25372" s="7"/>
      <c r="M25372" s="9" t="s">
        <v>21</v>
      </c>
    </row>
    <row r="25373" ht="15.75" customHeight="1">
      <c r="A25373" s="7"/>
      <c r="B25373" s="7"/>
      <c r="M25373" s="9" t="s">
        <v>27</v>
      </c>
    </row>
    <row r="25374" ht="15.75" customHeight="1">
      <c r="A25374" s="7"/>
      <c r="B25374" s="7"/>
      <c r="M25374" s="9" t="s">
        <v>30</v>
      </c>
    </row>
    <row r="25375" ht="15.75" customHeight="1">
      <c r="A25375" s="7"/>
      <c r="B25375" s="7"/>
      <c r="M25375" s="9" t="s">
        <v>26</v>
      </c>
    </row>
    <row r="25376" ht="15.75" customHeight="1">
      <c r="A25376" s="7"/>
      <c r="B25376" s="7"/>
      <c r="M25376" s="9" t="s">
        <v>36</v>
      </c>
    </row>
    <row r="25377" ht="15.75" customHeight="1">
      <c r="A25377" s="7"/>
      <c r="B25377" s="7"/>
      <c r="M25377" s="9" t="s">
        <v>46</v>
      </c>
    </row>
    <row r="25378" ht="15.75" customHeight="1">
      <c r="A25378" s="7"/>
      <c r="B25378" s="7"/>
      <c r="M25378" s="9" t="s">
        <v>33</v>
      </c>
    </row>
    <row r="25379" ht="15.75" customHeight="1">
      <c r="A25379" s="7"/>
      <c r="B25379" s="7"/>
      <c r="M25379" s="9" t="s">
        <v>30</v>
      </c>
    </row>
    <row r="25380" ht="15.75" customHeight="1">
      <c r="A25380" s="7"/>
      <c r="B25380" s="7"/>
      <c r="M25380" s="9" t="s">
        <v>24</v>
      </c>
    </row>
    <row r="25381" ht="15.75" customHeight="1">
      <c r="A25381" s="7"/>
      <c r="B25381" s="7"/>
      <c r="M25381" s="9" t="s">
        <v>22</v>
      </c>
    </row>
    <row r="25382" ht="15.75" customHeight="1">
      <c r="A25382" s="7"/>
      <c r="B25382" s="7"/>
      <c r="M25382" s="9" t="s">
        <v>32</v>
      </c>
    </row>
    <row r="25383" ht="15.75" customHeight="1">
      <c r="A25383" s="7"/>
      <c r="B25383" s="7"/>
      <c r="M25383" s="9" t="s">
        <v>27</v>
      </c>
    </row>
    <row r="25384" ht="15.75" customHeight="1">
      <c r="A25384" s="7"/>
      <c r="B25384" s="7"/>
      <c r="M25384" s="9" t="s">
        <v>21</v>
      </c>
    </row>
    <row r="25385" ht="15.75" customHeight="1">
      <c r="A25385" s="7"/>
      <c r="B25385" s="7"/>
      <c r="M25385" s="9" t="s">
        <v>30</v>
      </c>
    </row>
    <row r="25386" ht="15.75" customHeight="1">
      <c r="A25386" s="7"/>
      <c r="B25386" s="7"/>
      <c r="M25386" s="9" t="s">
        <v>36</v>
      </c>
    </row>
    <row r="25387" ht="15.75" customHeight="1">
      <c r="A25387" s="7"/>
      <c r="B25387" s="7"/>
      <c r="M25387" s="9" t="s">
        <v>24</v>
      </c>
    </row>
    <row r="25388" ht="15.75" customHeight="1">
      <c r="A25388" s="7"/>
      <c r="B25388" s="7"/>
      <c r="M25388" s="9" t="s">
        <v>20</v>
      </c>
    </row>
    <row r="25389" ht="15.75" customHeight="1">
      <c r="A25389" s="7"/>
      <c r="B25389" s="7"/>
      <c r="M25389" s="9" t="s">
        <v>21</v>
      </c>
    </row>
    <row r="25390" ht="15.75" customHeight="1">
      <c r="A25390" s="7"/>
      <c r="B25390" s="7"/>
      <c r="M25390" s="9" t="s">
        <v>37</v>
      </c>
    </row>
    <row r="25391" ht="15.75" customHeight="1">
      <c r="A25391" s="7"/>
      <c r="B25391" s="7"/>
      <c r="M25391" s="9" t="s">
        <v>22</v>
      </c>
    </row>
    <row r="25392" ht="15.75" customHeight="1">
      <c r="A25392" s="7"/>
      <c r="B25392" s="7"/>
      <c r="M25392" s="9" t="s">
        <v>31</v>
      </c>
    </row>
    <row r="25393" ht="15.75" customHeight="1">
      <c r="A25393" s="7"/>
      <c r="B25393" s="7"/>
      <c r="M25393" s="9" t="s">
        <v>27</v>
      </c>
    </row>
    <row r="25394" ht="15.75" customHeight="1">
      <c r="A25394" s="7"/>
      <c r="B25394" s="7"/>
      <c r="M25394" s="9" t="s">
        <v>30</v>
      </c>
    </row>
    <row r="25395" ht="15.75" customHeight="1">
      <c r="A25395" s="7"/>
      <c r="B25395" s="7"/>
      <c r="M25395" s="9" t="s">
        <v>24</v>
      </c>
    </row>
    <row r="25396" ht="15.75" customHeight="1">
      <c r="A25396" s="7"/>
      <c r="B25396" s="7"/>
      <c r="M25396" s="9" t="s">
        <v>20</v>
      </c>
    </row>
    <row r="25397" ht="15.75" customHeight="1">
      <c r="A25397" s="7"/>
      <c r="B25397" s="7"/>
      <c r="M25397" s="9" t="s">
        <v>21</v>
      </c>
    </row>
    <row r="25398" ht="15.75" customHeight="1">
      <c r="A25398" s="7"/>
      <c r="B25398" s="7"/>
      <c r="M25398" s="9" t="s">
        <v>27</v>
      </c>
    </row>
    <row r="25399" ht="15.75" customHeight="1">
      <c r="A25399" s="7"/>
      <c r="B25399" s="7"/>
      <c r="M25399" s="9" t="s">
        <v>33</v>
      </c>
    </row>
    <row r="25400" ht="15.75" customHeight="1">
      <c r="A25400" s="7"/>
      <c r="B25400" s="7"/>
      <c r="M25400" s="9" t="s">
        <v>30</v>
      </c>
    </row>
    <row r="25401" ht="15.75" customHeight="1">
      <c r="A25401" s="7"/>
      <c r="B25401" s="7"/>
      <c r="M25401" s="9" t="s">
        <v>21</v>
      </c>
    </row>
    <row r="25402" ht="15.75" customHeight="1">
      <c r="A25402" s="7"/>
      <c r="B25402" s="7"/>
      <c r="M25402" s="9" t="s">
        <v>22</v>
      </c>
    </row>
    <row r="25403" ht="15.75" customHeight="1">
      <c r="A25403" s="7"/>
      <c r="B25403" s="7"/>
      <c r="M25403" s="9" t="s">
        <v>25</v>
      </c>
    </row>
    <row r="25404" ht="15.75" customHeight="1">
      <c r="A25404" s="7"/>
      <c r="B25404" s="7"/>
      <c r="M25404" s="9" t="s">
        <v>24</v>
      </c>
    </row>
    <row r="25405" ht="15.75" customHeight="1">
      <c r="A25405" s="7"/>
      <c r="B25405" s="7"/>
      <c r="M25405" s="9" t="s">
        <v>20</v>
      </c>
    </row>
    <row r="25406" ht="15.75" customHeight="1">
      <c r="A25406" s="7"/>
      <c r="B25406" s="7"/>
      <c r="M25406" s="9" t="s">
        <v>21</v>
      </c>
    </row>
    <row r="25407" ht="15.75" customHeight="1">
      <c r="A25407" s="7"/>
      <c r="B25407" s="7"/>
      <c r="M25407" s="9" t="s">
        <v>41</v>
      </c>
    </row>
    <row r="25408" ht="15.75" customHeight="1">
      <c r="A25408" s="7"/>
      <c r="B25408" s="7"/>
      <c r="M25408" s="9" t="s">
        <v>37</v>
      </c>
    </row>
    <row r="25409" ht="15.75" customHeight="1">
      <c r="A25409" s="7"/>
      <c r="B25409" s="7"/>
      <c r="M25409" s="9" t="s">
        <v>27</v>
      </c>
    </row>
    <row r="25410" ht="15.75" customHeight="1">
      <c r="A25410" s="7"/>
      <c r="B25410" s="7"/>
      <c r="M25410" s="9" t="s">
        <v>35</v>
      </c>
    </row>
    <row r="25411" ht="15.75" customHeight="1">
      <c r="A25411" s="7"/>
      <c r="B25411" s="7"/>
      <c r="M25411" s="9" t="s">
        <v>23</v>
      </c>
    </row>
    <row r="25412" ht="15.75" customHeight="1">
      <c r="A25412" s="7"/>
      <c r="B25412" s="7"/>
      <c r="M25412" s="9" t="s">
        <v>20</v>
      </c>
    </row>
    <row r="25413" ht="15.75" customHeight="1">
      <c r="A25413" s="7"/>
      <c r="B25413" s="7"/>
      <c r="M25413" s="9" t="s">
        <v>21</v>
      </c>
    </row>
    <row r="25414" ht="15.75" customHeight="1">
      <c r="A25414" s="7"/>
      <c r="B25414" s="7"/>
      <c r="M25414" s="9" t="s">
        <v>46</v>
      </c>
    </row>
    <row r="25415" ht="15.75" customHeight="1">
      <c r="A25415" s="7"/>
      <c r="B25415" s="7"/>
      <c r="M25415" s="9" t="s">
        <v>27</v>
      </c>
    </row>
    <row r="25416" ht="15.75" customHeight="1">
      <c r="A25416" s="7"/>
      <c r="B25416" s="7"/>
      <c r="M25416" s="9" t="s">
        <v>30</v>
      </c>
    </row>
    <row r="25417" ht="15.75" customHeight="1">
      <c r="A25417" s="7"/>
      <c r="B25417" s="7"/>
      <c r="M25417" s="9" t="s">
        <v>37</v>
      </c>
    </row>
    <row r="25418" ht="15.75" customHeight="1">
      <c r="A25418" s="7"/>
      <c r="B25418" s="7"/>
      <c r="M25418" s="9" t="s">
        <v>22</v>
      </c>
    </row>
    <row r="25419" ht="15.75" customHeight="1">
      <c r="A25419" s="7"/>
      <c r="B25419" s="7"/>
      <c r="M25419" s="9" t="s">
        <v>30</v>
      </c>
    </row>
    <row r="25420" ht="15.75" customHeight="1">
      <c r="A25420" s="7"/>
      <c r="B25420" s="7"/>
      <c r="M25420" s="9" t="s">
        <v>24</v>
      </c>
    </row>
    <row r="25421" ht="15.75" customHeight="1">
      <c r="A25421" s="7"/>
      <c r="B25421" s="7"/>
      <c r="M25421" s="9" t="s">
        <v>21</v>
      </c>
    </row>
    <row r="25422" ht="15.75" customHeight="1">
      <c r="A25422" s="7"/>
      <c r="B25422" s="7"/>
      <c r="M25422" s="9" t="s">
        <v>41</v>
      </c>
    </row>
    <row r="25423" ht="15.75" customHeight="1">
      <c r="A25423" s="7"/>
      <c r="B25423" s="7"/>
      <c r="M25423" s="9" t="s">
        <v>22</v>
      </c>
    </row>
    <row r="25424" ht="15.75" customHeight="1">
      <c r="A25424" s="7"/>
      <c r="B25424" s="7"/>
      <c r="M25424" s="9" t="s">
        <v>27</v>
      </c>
    </row>
    <row r="25425" ht="15.75" customHeight="1">
      <c r="A25425" s="7"/>
      <c r="B25425" s="7"/>
      <c r="M25425" s="9" t="s">
        <v>33</v>
      </c>
    </row>
    <row r="25426" ht="15.75" customHeight="1">
      <c r="A25426" s="7"/>
      <c r="B25426" s="7"/>
      <c r="M25426" s="9" t="s">
        <v>36</v>
      </c>
    </row>
    <row r="25427" ht="15.75" customHeight="1">
      <c r="A25427" s="7"/>
      <c r="B25427" s="7"/>
      <c r="M25427" s="9" t="s">
        <v>24</v>
      </c>
    </row>
    <row r="25428" ht="15.75" customHeight="1">
      <c r="A25428" s="7"/>
      <c r="B25428" s="7"/>
      <c r="M25428" s="9" t="s">
        <v>20</v>
      </c>
    </row>
    <row r="25429" ht="15.75" customHeight="1">
      <c r="A25429" s="7"/>
      <c r="B25429" s="7"/>
      <c r="M25429" s="9" t="s">
        <v>21</v>
      </c>
    </row>
    <row r="25430" ht="15.75" customHeight="1">
      <c r="A25430" s="7"/>
      <c r="B25430" s="7"/>
      <c r="M25430" s="9" t="s">
        <v>32</v>
      </c>
    </row>
    <row r="25431" ht="15.75" customHeight="1">
      <c r="A25431" s="7"/>
      <c r="B25431" s="7"/>
      <c r="M25431" s="9" t="s">
        <v>27</v>
      </c>
    </row>
    <row r="25432" ht="15.75" customHeight="1">
      <c r="A25432" s="7"/>
      <c r="B25432" s="7"/>
      <c r="M25432" s="9" t="s">
        <v>25</v>
      </c>
    </row>
    <row r="25433" ht="15.75" customHeight="1">
      <c r="A25433" s="7"/>
      <c r="B25433" s="7"/>
      <c r="M25433" s="9" t="s">
        <v>20</v>
      </c>
    </row>
    <row r="25434" ht="15.75" customHeight="1">
      <c r="A25434" s="7"/>
      <c r="B25434" s="7"/>
      <c r="M25434" s="9" t="s">
        <v>22</v>
      </c>
    </row>
    <row r="25435" ht="15.75" customHeight="1">
      <c r="A25435" s="7"/>
      <c r="B25435" s="7"/>
      <c r="M25435" s="9" t="s">
        <v>29</v>
      </c>
    </row>
    <row r="25436" ht="15.75" customHeight="1">
      <c r="A25436" s="7"/>
      <c r="B25436" s="7"/>
      <c r="M25436" s="9" t="s">
        <v>27</v>
      </c>
    </row>
    <row r="25437" ht="15.75" customHeight="1">
      <c r="A25437" s="7"/>
      <c r="B25437" s="7"/>
      <c r="M25437" s="9" t="s">
        <v>34</v>
      </c>
    </row>
    <row r="25438" ht="15.75" customHeight="1">
      <c r="A25438" s="7"/>
      <c r="B25438" s="7"/>
      <c r="M25438" s="9" t="s">
        <v>30</v>
      </c>
    </row>
    <row r="25439" ht="15.75" customHeight="1">
      <c r="A25439" s="7"/>
      <c r="B25439" s="7"/>
      <c r="M25439" s="9" t="s">
        <v>44</v>
      </c>
    </row>
    <row r="25440" ht="15.75" customHeight="1">
      <c r="A25440" s="7"/>
      <c r="B25440" s="7"/>
      <c r="M25440" s="9" t="s">
        <v>36</v>
      </c>
    </row>
    <row r="25441" ht="15.75" customHeight="1">
      <c r="A25441" s="7"/>
      <c r="B25441" s="7"/>
      <c r="M25441" s="9" t="s">
        <v>24</v>
      </c>
    </row>
    <row r="25442" ht="15.75" customHeight="1">
      <c r="A25442" s="7"/>
      <c r="B25442" s="7"/>
      <c r="M25442" s="9" t="s">
        <v>20</v>
      </c>
    </row>
    <row r="25443" ht="15.75" customHeight="1">
      <c r="A25443" s="7"/>
      <c r="B25443" s="7"/>
      <c r="M25443" s="9" t="s">
        <v>21</v>
      </c>
    </row>
    <row r="25444" ht="15.75" customHeight="1">
      <c r="A25444" s="7"/>
      <c r="B25444" s="7"/>
      <c r="M25444" s="9" t="s">
        <v>39</v>
      </c>
    </row>
    <row r="25445" ht="15.75" customHeight="1">
      <c r="A25445" s="7"/>
      <c r="B25445" s="7"/>
      <c r="M25445" s="9" t="s">
        <v>41</v>
      </c>
    </row>
    <row r="25446" ht="15.75" customHeight="1">
      <c r="A25446" s="7"/>
      <c r="B25446" s="7"/>
      <c r="M25446" s="9" t="s">
        <v>22</v>
      </c>
    </row>
    <row r="25447" ht="15.75" customHeight="1">
      <c r="A25447" s="7"/>
      <c r="B25447" s="7"/>
      <c r="M25447" s="9" t="s">
        <v>32</v>
      </c>
    </row>
    <row r="25448" ht="15.75" customHeight="1">
      <c r="A25448" s="7"/>
      <c r="B25448" s="7"/>
      <c r="M25448" s="9" t="s">
        <v>27</v>
      </c>
    </row>
    <row r="25449" ht="15.75" customHeight="1">
      <c r="A25449" s="7"/>
      <c r="B25449" s="7"/>
      <c r="M25449" s="9" t="s">
        <v>40</v>
      </c>
    </row>
    <row r="25450" ht="15.75" customHeight="1">
      <c r="A25450" s="7"/>
      <c r="B25450" s="7"/>
      <c r="M25450" s="9" t="s">
        <v>33</v>
      </c>
    </row>
    <row r="25451" ht="15.75" customHeight="1">
      <c r="A25451" s="7"/>
      <c r="B25451" s="7"/>
      <c r="M25451" s="9" t="s">
        <v>25</v>
      </c>
    </row>
    <row r="25452" ht="15.75" customHeight="1">
      <c r="A25452" s="7"/>
      <c r="B25452" s="7"/>
      <c r="M25452" s="9" t="s">
        <v>23</v>
      </c>
    </row>
    <row r="25453" ht="15.75" customHeight="1">
      <c r="A25453" s="7"/>
      <c r="B25453" s="7"/>
      <c r="M25453" s="9" t="s">
        <v>26</v>
      </c>
    </row>
    <row r="25454" ht="15.75" customHeight="1">
      <c r="A25454" s="7"/>
      <c r="B25454" s="7"/>
      <c r="M25454" s="9" t="s">
        <v>22</v>
      </c>
    </row>
    <row r="25455" ht="15.75" customHeight="1">
      <c r="A25455" s="7"/>
      <c r="B25455" s="7"/>
      <c r="M25455" s="9" t="s">
        <v>35</v>
      </c>
    </row>
    <row r="25456" ht="15.75" customHeight="1">
      <c r="A25456" s="7"/>
      <c r="B25456" s="7"/>
      <c r="M25456" s="9" t="s">
        <v>38</v>
      </c>
    </row>
    <row r="25457" ht="15.75" customHeight="1">
      <c r="A25457" s="7"/>
      <c r="B25457" s="7"/>
      <c r="M25457" s="9" t="s">
        <v>30</v>
      </c>
    </row>
    <row r="25458" ht="15.75" customHeight="1">
      <c r="A25458" s="7"/>
      <c r="B25458" s="7"/>
      <c r="M25458" s="9" t="s">
        <v>25</v>
      </c>
    </row>
    <row r="25459" ht="15.75" customHeight="1">
      <c r="A25459" s="7"/>
      <c r="B25459" s="7"/>
      <c r="M25459" s="9" t="s">
        <v>23</v>
      </c>
    </row>
    <row r="25460" ht="15.75" customHeight="1">
      <c r="A25460" s="7"/>
      <c r="B25460" s="7"/>
      <c r="M25460" s="9" t="s">
        <v>24</v>
      </c>
    </row>
    <row r="25461" ht="15.75" customHeight="1">
      <c r="A25461" s="7"/>
      <c r="B25461" s="7"/>
      <c r="M25461" s="9" t="s">
        <v>20</v>
      </c>
    </row>
    <row r="25462" ht="15.75" customHeight="1">
      <c r="A25462" s="7"/>
      <c r="B25462" s="7"/>
      <c r="M25462" s="9" t="s">
        <v>21</v>
      </c>
    </row>
    <row r="25463" ht="15.75" customHeight="1">
      <c r="A25463" s="7"/>
      <c r="B25463" s="7"/>
      <c r="M25463" s="9" t="s">
        <v>37</v>
      </c>
    </row>
    <row r="25464" ht="15.75" customHeight="1">
      <c r="A25464" s="7"/>
      <c r="B25464" s="7"/>
      <c r="M25464" s="9" t="s">
        <v>22</v>
      </c>
    </row>
    <row r="25465" ht="15.75" customHeight="1">
      <c r="A25465" s="7"/>
      <c r="B25465" s="7"/>
      <c r="M25465" s="9" t="s">
        <v>27</v>
      </c>
    </row>
    <row r="25466" ht="15.75" customHeight="1">
      <c r="A25466" s="7"/>
      <c r="B25466" s="7"/>
      <c r="M25466" s="9" t="s">
        <v>26</v>
      </c>
    </row>
    <row r="25467" ht="15.75" customHeight="1">
      <c r="A25467" s="7"/>
      <c r="B25467" s="7"/>
      <c r="M25467" s="9" t="s">
        <v>27</v>
      </c>
    </row>
    <row r="25468" ht="15.75" customHeight="1">
      <c r="A25468" s="7"/>
      <c r="B25468" s="7"/>
      <c r="M25468" s="9" t="s">
        <v>30</v>
      </c>
    </row>
    <row r="25469" ht="15.75" customHeight="1">
      <c r="A25469" s="7"/>
      <c r="B25469" s="7"/>
      <c r="M25469" s="9" t="s">
        <v>23</v>
      </c>
    </row>
    <row r="25470" ht="15.75" customHeight="1">
      <c r="A25470" s="7"/>
      <c r="B25470" s="7"/>
      <c r="M25470" s="9" t="s">
        <v>26</v>
      </c>
    </row>
    <row r="25471" ht="15.75" customHeight="1">
      <c r="A25471" s="7"/>
      <c r="B25471" s="7"/>
      <c r="M25471" s="9" t="s">
        <v>24</v>
      </c>
    </row>
    <row r="25472" ht="15.75" customHeight="1">
      <c r="A25472" s="7"/>
      <c r="B25472" s="7"/>
      <c r="M25472" s="9" t="s">
        <v>21</v>
      </c>
    </row>
    <row r="25473" ht="15.75" customHeight="1">
      <c r="A25473" s="7"/>
      <c r="B25473" s="7"/>
      <c r="M25473" s="9" t="s">
        <v>27</v>
      </c>
    </row>
    <row r="25474" ht="15.75" customHeight="1">
      <c r="A25474" s="7"/>
      <c r="B25474" s="7"/>
      <c r="M25474" s="9" t="s">
        <v>33</v>
      </c>
    </row>
    <row r="25475" ht="15.75" customHeight="1">
      <c r="A25475" s="7"/>
      <c r="B25475" s="7"/>
      <c r="M25475" s="9" t="s">
        <v>30</v>
      </c>
    </row>
    <row r="25476" ht="15.75" customHeight="1">
      <c r="A25476" s="7"/>
      <c r="B25476" s="7"/>
      <c r="M25476" s="9" t="s">
        <v>26</v>
      </c>
    </row>
    <row r="25477" ht="15.75" customHeight="1">
      <c r="A25477" s="7"/>
      <c r="B25477" s="7"/>
      <c r="M25477" s="9" t="s">
        <v>24</v>
      </c>
    </row>
    <row r="25478" ht="15.75" customHeight="1">
      <c r="A25478" s="7"/>
      <c r="B25478" s="7"/>
      <c r="M25478" s="9" t="s">
        <v>21</v>
      </c>
    </row>
    <row r="25479" ht="15.75" customHeight="1">
      <c r="A25479" s="7"/>
      <c r="B25479" s="7"/>
      <c r="M25479" s="9" t="s">
        <v>37</v>
      </c>
    </row>
    <row r="25480" ht="15.75" customHeight="1">
      <c r="A25480" s="7"/>
      <c r="B25480" s="7"/>
      <c r="M25480" s="9" t="s">
        <v>31</v>
      </c>
    </row>
    <row r="25481" ht="15.75" customHeight="1">
      <c r="A25481" s="7"/>
      <c r="B25481" s="7"/>
      <c r="M25481" s="9" t="s">
        <v>27</v>
      </c>
    </row>
    <row r="25482" ht="15.75" customHeight="1">
      <c r="A25482" s="7"/>
      <c r="B25482" s="7"/>
      <c r="M25482" s="9" t="s">
        <v>28</v>
      </c>
    </row>
    <row r="25483" ht="15.75" customHeight="1">
      <c r="A25483" s="7"/>
      <c r="B25483" s="7"/>
      <c r="M25483" s="9" t="s">
        <v>30</v>
      </c>
    </row>
    <row r="25484" ht="15.75" customHeight="1">
      <c r="A25484" s="7"/>
      <c r="B25484" s="7"/>
      <c r="M25484" s="9" t="s">
        <v>25</v>
      </c>
    </row>
    <row r="25485" ht="15.75" customHeight="1">
      <c r="A25485" s="7"/>
      <c r="B25485" s="7"/>
      <c r="M25485" s="9" t="s">
        <v>23</v>
      </c>
    </row>
    <row r="25486" ht="15.75" customHeight="1">
      <c r="A25486" s="7"/>
      <c r="B25486" s="7"/>
      <c r="M25486" s="9" t="s">
        <v>24</v>
      </c>
    </row>
    <row r="25487" ht="15.75" customHeight="1">
      <c r="A25487" s="7"/>
      <c r="B25487" s="7"/>
      <c r="M25487" s="9" t="s">
        <v>20</v>
      </c>
    </row>
    <row r="25488" ht="15.75" customHeight="1">
      <c r="A25488" s="7"/>
      <c r="B25488" s="7"/>
      <c r="M25488" s="9" t="s">
        <v>21</v>
      </c>
    </row>
    <row r="25489" ht="15.75" customHeight="1">
      <c r="A25489" s="7"/>
      <c r="B25489" s="7"/>
      <c r="M25489" s="9" t="s">
        <v>27</v>
      </c>
    </row>
    <row r="25490" ht="15.75" customHeight="1">
      <c r="A25490" s="7"/>
      <c r="B25490" s="7"/>
      <c r="M25490" s="9" t="s">
        <v>33</v>
      </c>
    </row>
    <row r="25491" ht="15.75" customHeight="1">
      <c r="A25491" s="7"/>
      <c r="B25491" s="7"/>
      <c r="M25491" s="9" t="s">
        <v>35</v>
      </c>
    </row>
    <row r="25492" ht="15.75" customHeight="1">
      <c r="A25492" s="7"/>
      <c r="B25492" s="7"/>
      <c r="M25492" s="9" t="s">
        <v>30</v>
      </c>
    </row>
    <row r="25493" ht="15.75" customHeight="1">
      <c r="A25493" s="7"/>
      <c r="B25493" s="7"/>
      <c r="M25493" s="9" t="s">
        <v>21</v>
      </c>
    </row>
    <row r="25494" ht="15.75" customHeight="1">
      <c r="A25494" s="7"/>
      <c r="B25494" s="7"/>
      <c r="M25494" s="9" t="s">
        <v>37</v>
      </c>
    </row>
    <row r="25495" ht="15.75" customHeight="1">
      <c r="A25495" s="7"/>
      <c r="B25495" s="7"/>
      <c r="M25495" s="9" t="s">
        <v>22</v>
      </c>
    </row>
    <row r="25496" ht="15.75" customHeight="1">
      <c r="A25496" s="7"/>
      <c r="B25496" s="7"/>
      <c r="M25496" s="9" t="s">
        <v>27</v>
      </c>
    </row>
    <row r="25497" ht="15.75" customHeight="1">
      <c r="A25497" s="7"/>
      <c r="B25497" s="7"/>
      <c r="M25497" s="9" t="s">
        <v>35</v>
      </c>
    </row>
    <row r="25498" ht="15.75" customHeight="1">
      <c r="A25498" s="7"/>
      <c r="B25498" s="7"/>
      <c r="M25498" s="9" t="s">
        <v>23</v>
      </c>
    </row>
    <row r="25499" ht="15.75" customHeight="1">
      <c r="A25499" s="7"/>
      <c r="B25499" s="7"/>
      <c r="M25499" s="9" t="s">
        <v>21</v>
      </c>
    </row>
    <row r="25500" ht="15.75" customHeight="1">
      <c r="A25500" s="7"/>
      <c r="B25500" s="7"/>
      <c r="M25500" s="9" t="s">
        <v>30</v>
      </c>
    </row>
    <row r="25501" ht="15.75" customHeight="1">
      <c r="A25501" s="7"/>
      <c r="B25501" s="7"/>
      <c r="M25501" s="9" t="s">
        <v>24</v>
      </c>
    </row>
    <row r="25502" ht="15.75" customHeight="1">
      <c r="A25502" s="7"/>
      <c r="B25502" s="7"/>
      <c r="M25502" s="9" t="s">
        <v>21</v>
      </c>
    </row>
    <row r="25503" ht="15.75" customHeight="1">
      <c r="A25503" s="7"/>
      <c r="B25503" s="7"/>
      <c r="M25503" s="9" t="s">
        <v>37</v>
      </c>
    </row>
    <row r="25504" ht="15.75" customHeight="1">
      <c r="A25504" s="7"/>
      <c r="B25504" s="7"/>
      <c r="M25504" s="9" t="s">
        <v>27</v>
      </c>
    </row>
    <row r="25505" ht="15.75" customHeight="1">
      <c r="A25505" s="7"/>
      <c r="B25505" s="7"/>
      <c r="M25505" s="9" t="s">
        <v>28</v>
      </c>
    </row>
    <row r="25506" ht="15.75" customHeight="1">
      <c r="A25506" s="7"/>
      <c r="B25506" s="7"/>
      <c r="M25506" s="9" t="s">
        <v>30</v>
      </c>
    </row>
    <row r="25507" ht="15.75" customHeight="1">
      <c r="A25507" s="7"/>
      <c r="B25507" s="7"/>
      <c r="M25507" s="9" t="s">
        <v>24</v>
      </c>
    </row>
    <row r="25508" ht="15.75" customHeight="1">
      <c r="A25508" s="7"/>
      <c r="B25508" s="7"/>
      <c r="M25508" s="9" t="s">
        <v>20</v>
      </c>
    </row>
    <row r="25509" ht="15.75" customHeight="1">
      <c r="A25509" s="7"/>
      <c r="B25509" s="7"/>
      <c r="M25509" s="9" t="s">
        <v>21</v>
      </c>
    </row>
    <row r="25510" ht="15.75" customHeight="1">
      <c r="A25510" s="7"/>
      <c r="B25510" s="7"/>
      <c r="M25510" s="9" t="s">
        <v>31</v>
      </c>
    </row>
    <row r="25511" ht="15.75" customHeight="1">
      <c r="A25511" s="7"/>
      <c r="B25511" s="7"/>
      <c r="M25511" s="9" t="s">
        <v>27</v>
      </c>
    </row>
    <row r="25512" ht="15.75" customHeight="1">
      <c r="A25512" s="7"/>
      <c r="B25512" s="7"/>
      <c r="M25512" s="9" t="s">
        <v>33</v>
      </c>
    </row>
    <row r="25513" ht="15.75" customHeight="1">
      <c r="A25513" s="7"/>
      <c r="B25513" s="7"/>
      <c r="M25513" s="9" t="s">
        <v>30</v>
      </c>
    </row>
    <row r="25514" ht="15.75" customHeight="1">
      <c r="A25514" s="7"/>
      <c r="B25514" s="7"/>
      <c r="M25514" s="9" t="s">
        <v>26</v>
      </c>
    </row>
    <row r="25515" ht="15.75" customHeight="1">
      <c r="A25515" s="7"/>
      <c r="B25515" s="7"/>
      <c r="M25515" s="9" t="s">
        <v>24</v>
      </c>
    </row>
    <row r="25516" ht="15.75" customHeight="1">
      <c r="A25516" s="7"/>
      <c r="B25516" s="7"/>
      <c r="M25516" s="9" t="s">
        <v>21</v>
      </c>
    </row>
    <row r="25517" ht="15.75" customHeight="1">
      <c r="A25517" s="7"/>
      <c r="B25517" s="7"/>
      <c r="M25517" s="9" t="s">
        <v>27</v>
      </c>
    </row>
    <row r="25518" ht="15.75" customHeight="1">
      <c r="A25518" s="7"/>
      <c r="B25518" s="7"/>
      <c r="M25518" s="9" t="s">
        <v>33</v>
      </c>
    </row>
    <row r="25519" ht="15.75" customHeight="1">
      <c r="A25519" s="7"/>
      <c r="B25519" s="7"/>
      <c r="M25519" s="9" t="s">
        <v>25</v>
      </c>
    </row>
    <row r="25520" ht="15.75" customHeight="1">
      <c r="A25520" s="7"/>
      <c r="B25520" s="7"/>
      <c r="M25520" s="9" t="s">
        <v>23</v>
      </c>
    </row>
    <row r="25521" ht="15.75" customHeight="1">
      <c r="A25521" s="7"/>
      <c r="B25521" s="7"/>
      <c r="M25521" s="9" t="s">
        <v>41</v>
      </c>
    </row>
    <row r="25522" ht="15.75" customHeight="1">
      <c r="A25522" s="7"/>
      <c r="B25522" s="7"/>
      <c r="M25522" s="9" t="s">
        <v>25</v>
      </c>
    </row>
    <row r="25523" ht="15.75" customHeight="1">
      <c r="A25523" s="7"/>
      <c r="B25523" s="7"/>
      <c r="M25523" s="9" t="s">
        <v>22</v>
      </c>
    </row>
    <row r="25524" ht="15.75" customHeight="1">
      <c r="A25524" s="7"/>
      <c r="B25524" s="7"/>
      <c r="M25524" s="9" t="s">
        <v>35</v>
      </c>
    </row>
    <row r="25525" ht="15.75" customHeight="1">
      <c r="A25525" s="7"/>
      <c r="B25525" s="7"/>
      <c r="M25525" s="9" t="s">
        <v>26</v>
      </c>
    </row>
    <row r="25526" ht="15.75" customHeight="1">
      <c r="A25526" s="7"/>
      <c r="B25526" s="7"/>
      <c r="M25526" s="9" t="s">
        <v>36</v>
      </c>
    </row>
    <row r="25527" ht="15.75" customHeight="1">
      <c r="A25527" s="7"/>
      <c r="B25527" s="7"/>
      <c r="M25527" s="9" t="s">
        <v>20</v>
      </c>
    </row>
    <row r="25528" ht="15.75" customHeight="1">
      <c r="A25528" s="7"/>
      <c r="B25528" s="7"/>
      <c r="M25528" s="9" t="s">
        <v>21</v>
      </c>
    </row>
    <row r="25529" ht="15.75" customHeight="1">
      <c r="A25529" s="7"/>
      <c r="B25529" s="7"/>
      <c r="M25529" s="9" t="s">
        <v>22</v>
      </c>
    </row>
    <row r="25530" ht="15.75" customHeight="1">
      <c r="A25530" s="7"/>
      <c r="B25530" s="7"/>
      <c r="M25530" s="9" t="s">
        <v>27</v>
      </c>
    </row>
    <row r="25531" ht="15.75" customHeight="1">
      <c r="A25531" s="7"/>
      <c r="B25531" s="7"/>
      <c r="M25531" s="9" t="s">
        <v>30</v>
      </c>
    </row>
    <row r="25532" ht="15.75" customHeight="1">
      <c r="A25532" s="7"/>
      <c r="B25532" s="7"/>
      <c r="M25532" s="9" t="s">
        <v>25</v>
      </c>
    </row>
    <row r="25533" ht="15.75" customHeight="1">
      <c r="A25533" s="7"/>
      <c r="B25533" s="7"/>
      <c r="M25533" s="9" t="s">
        <v>24</v>
      </c>
    </row>
    <row r="25534" ht="15.75" customHeight="1">
      <c r="A25534" s="7"/>
      <c r="B25534" s="7"/>
      <c r="M25534" s="9" t="s">
        <v>20</v>
      </c>
    </row>
    <row r="25535" ht="15.75" customHeight="1">
      <c r="A25535" s="7"/>
      <c r="B25535" s="7"/>
      <c r="M25535" s="9" t="s">
        <v>21</v>
      </c>
    </row>
    <row r="25536" ht="15.75" customHeight="1">
      <c r="A25536" s="7"/>
      <c r="B25536" s="7"/>
      <c r="M25536" s="9" t="s">
        <v>41</v>
      </c>
    </row>
    <row r="25537" ht="15.75" customHeight="1">
      <c r="A25537" s="7"/>
      <c r="B25537" s="7"/>
      <c r="M25537" s="9" t="s">
        <v>24</v>
      </c>
    </row>
    <row r="25538" ht="15.75" customHeight="1">
      <c r="A25538" s="7"/>
      <c r="B25538" s="7"/>
      <c r="M25538" s="9" t="s">
        <v>22</v>
      </c>
    </row>
    <row r="25539" ht="15.75" customHeight="1">
      <c r="A25539" s="7"/>
      <c r="B25539" s="7"/>
      <c r="M25539" s="9" t="s">
        <v>24</v>
      </c>
    </row>
    <row r="25540" ht="15.75" customHeight="1">
      <c r="A25540" s="7"/>
      <c r="B25540" s="7"/>
      <c r="M25540" s="9" t="s">
        <v>21</v>
      </c>
    </row>
    <row r="25541" ht="15.75" customHeight="1">
      <c r="A25541" s="7"/>
      <c r="B25541" s="7"/>
      <c r="M25541" s="9" t="s">
        <v>37</v>
      </c>
    </row>
    <row r="25542" ht="15.75" customHeight="1">
      <c r="A25542" s="7"/>
      <c r="B25542" s="7"/>
      <c r="M25542" s="9" t="s">
        <v>27</v>
      </c>
    </row>
    <row r="25543" ht="15.75" customHeight="1">
      <c r="A25543" s="7"/>
      <c r="B25543" s="7"/>
      <c r="M25543" s="9" t="s">
        <v>26</v>
      </c>
    </row>
    <row r="25544" ht="15.75" customHeight="1">
      <c r="A25544" s="7"/>
      <c r="B25544" s="7"/>
      <c r="M25544" s="9" t="s">
        <v>24</v>
      </c>
    </row>
    <row r="25545" ht="15.75" customHeight="1">
      <c r="A25545" s="7"/>
      <c r="B25545" s="7"/>
      <c r="M25545" s="9" t="s">
        <v>20</v>
      </c>
    </row>
    <row r="25546" ht="15.75" customHeight="1">
      <c r="A25546" s="7"/>
      <c r="B25546" s="7"/>
      <c r="M25546" s="9" t="s">
        <v>21</v>
      </c>
    </row>
    <row r="25547" ht="15.75" customHeight="1">
      <c r="A25547" s="7"/>
      <c r="B25547" s="7"/>
      <c r="M25547" s="9" t="s">
        <v>27</v>
      </c>
    </row>
    <row r="25548" ht="15.75" customHeight="1">
      <c r="A25548" s="7"/>
      <c r="B25548" s="7"/>
      <c r="M25548" s="9" t="s">
        <v>26</v>
      </c>
    </row>
    <row r="25549" ht="15.75" customHeight="1">
      <c r="A25549" s="7"/>
      <c r="B25549" s="7"/>
      <c r="M25549" s="9" t="s">
        <v>24</v>
      </c>
    </row>
    <row r="25550" ht="15.75" customHeight="1">
      <c r="A25550" s="7"/>
      <c r="B25550" s="7"/>
      <c r="M25550" s="9" t="s">
        <v>21</v>
      </c>
    </row>
    <row r="25551" ht="15.75" customHeight="1">
      <c r="A25551" s="7"/>
      <c r="B25551" s="7"/>
      <c r="M25551" s="9" t="s">
        <v>27</v>
      </c>
    </row>
    <row r="25552" ht="15.75" customHeight="1">
      <c r="A25552" s="7"/>
      <c r="B25552" s="7"/>
      <c r="M25552" s="9" t="s">
        <v>30</v>
      </c>
    </row>
    <row r="25553" ht="15.75" customHeight="1">
      <c r="A25553" s="7"/>
      <c r="B25553" s="7"/>
      <c r="M25553" s="9" t="s">
        <v>26</v>
      </c>
    </row>
    <row r="25554" ht="15.75" customHeight="1">
      <c r="A25554" s="7"/>
      <c r="B25554" s="7"/>
      <c r="M25554" s="9" t="s">
        <v>24</v>
      </c>
    </row>
    <row r="25555" ht="15.75" customHeight="1">
      <c r="A25555" s="7"/>
      <c r="B25555" s="7"/>
      <c r="M25555" s="9" t="s">
        <v>21</v>
      </c>
    </row>
    <row r="25556" ht="15.75" customHeight="1">
      <c r="A25556" s="7"/>
      <c r="B25556" s="7"/>
      <c r="M25556" s="9" t="s">
        <v>27</v>
      </c>
    </row>
    <row r="25557" ht="15.75" customHeight="1">
      <c r="A25557" s="7"/>
      <c r="B25557" s="7"/>
      <c r="M25557" s="9" t="s">
        <v>38</v>
      </c>
    </row>
    <row r="25558" ht="15.75" customHeight="1">
      <c r="A25558" s="7"/>
      <c r="B25558" s="7"/>
      <c r="M25558" s="9" t="s">
        <v>25</v>
      </c>
    </row>
    <row r="25559" ht="15.75" customHeight="1">
      <c r="A25559" s="7"/>
      <c r="B25559" s="7"/>
      <c r="M25559" s="9" t="s">
        <v>23</v>
      </c>
    </row>
    <row r="25560" ht="15.75" customHeight="1">
      <c r="A25560" s="7"/>
      <c r="B25560" s="7"/>
      <c r="M25560" s="9" t="s">
        <v>26</v>
      </c>
    </row>
    <row r="25561" ht="15.75" customHeight="1">
      <c r="A25561" s="7"/>
      <c r="B25561" s="7"/>
      <c r="M25561" s="9" t="s">
        <v>24</v>
      </c>
    </row>
    <row r="25562" ht="15.75" customHeight="1">
      <c r="A25562" s="7"/>
      <c r="B25562" s="7"/>
      <c r="M25562" s="9" t="s">
        <v>20</v>
      </c>
    </row>
    <row r="25563" ht="15.75" customHeight="1">
      <c r="A25563" s="7"/>
      <c r="B25563" s="7"/>
      <c r="M25563" s="9" t="s">
        <v>21</v>
      </c>
    </row>
    <row r="25564" ht="15.75" customHeight="1">
      <c r="A25564" s="7"/>
      <c r="B25564" s="7"/>
      <c r="M25564" s="9" t="s">
        <v>37</v>
      </c>
    </row>
    <row r="25565" ht="15.75" customHeight="1">
      <c r="A25565" s="7"/>
      <c r="B25565" s="7"/>
      <c r="M25565" s="9" t="s">
        <v>22</v>
      </c>
    </row>
    <row r="25566" ht="15.75" customHeight="1">
      <c r="A25566" s="7"/>
      <c r="B25566" s="7"/>
      <c r="M25566" s="9" t="s">
        <v>31</v>
      </c>
    </row>
    <row r="25567" ht="15.75" customHeight="1">
      <c r="A25567" s="7"/>
      <c r="B25567" s="7"/>
      <c r="M25567" s="9" t="s">
        <v>27</v>
      </c>
    </row>
    <row r="25568" ht="15.75" customHeight="1">
      <c r="A25568" s="7"/>
      <c r="B25568" s="7"/>
      <c r="M25568" s="9" t="s">
        <v>33</v>
      </c>
    </row>
    <row r="25569" ht="15.75" customHeight="1">
      <c r="A25569" s="7"/>
      <c r="B25569" s="7"/>
      <c r="M25569" s="9" t="s">
        <v>22</v>
      </c>
    </row>
    <row r="25570" ht="15.75" customHeight="1">
      <c r="A25570" s="7"/>
      <c r="B25570" s="7"/>
      <c r="M25570" s="9" t="s">
        <v>27</v>
      </c>
    </row>
    <row r="25571" ht="15.75" customHeight="1">
      <c r="A25571" s="7"/>
      <c r="B25571" s="7"/>
      <c r="M25571" s="9" t="s">
        <v>30</v>
      </c>
    </row>
    <row r="25572" ht="15.75" customHeight="1">
      <c r="A25572" s="7"/>
      <c r="B25572" s="7"/>
      <c r="M25572" s="9" t="s">
        <v>25</v>
      </c>
    </row>
    <row r="25573" ht="15.75" customHeight="1">
      <c r="A25573" s="7"/>
      <c r="B25573" s="7"/>
      <c r="M25573" s="9" t="s">
        <v>24</v>
      </c>
    </row>
    <row r="25574" ht="15.75" customHeight="1">
      <c r="A25574" s="7"/>
      <c r="B25574" s="7"/>
      <c r="M25574" s="9" t="s">
        <v>21</v>
      </c>
    </row>
    <row r="25575" ht="15.75" customHeight="1">
      <c r="A25575" s="7"/>
      <c r="B25575" s="7"/>
      <c r="M25575" s="9" t="s">
        <v>22</v>
      </c>
    </row>
    <row r="25576" ht="15.75" customHeight="1">
      <c r="A25576" s="7"/>
      <c r="B25576" s="7"/>
      <c r="M25576" s="9" t="s">
        <v>27</v>
      </c>
    </row>
    <row r="25577" ht="15.75" customHeight="1">
      <c r="A25577" s="7"/>
      <c r="B25577" s="7"/>
      <c r="M25577" s="9" t="s">
        <v>40</v>
      </c>
    </row>
    <row r="25578" ht="15.75" customHeight="1">
      <c r="A25578" s="7"/>
      <c r="B25578" s="7"/>
      <c r="M25578" s="9" t="s">
        <v>26</v>
      </c>
    </row>
    <row r="25579" ht="15.75" customHeight="1">
      <c r="A25579" s="7"/>
      <c r="B25579" s="7"/>
      <c r="M25579" s="9" t="s">
        <v>32</v>
      </c>
    </row>
    <row r="25580" ht="15.75" customHeight="1">
      <c r="A25580" s="7"/>
      <c r="B25580" s="7"/>
      <c r="M25580" s="9" t="s">
        <v>23</v>
      </c>
    </row>
    <row r="25581" ht="15.75" customHeight="1">
      <c r="A25581" s="7"/>
      <c r="B25581" s="7"/>
      <c r="M25581" s="9" t="s">
        <v>26</v>
      </c>
    </row>
    <row r="25582" ht="15.75" customHeight="1">
      <c r="A25582" s="7"/>
      <c r="B25582" s="7"/>
      <c r="M25582" s="9" t="s">
        <v>27</v>
      </c>
    </row>
    <row r="25583" ht="15.75" customHeight="1">
      <c r="A25583" s="7"/>
      <c r="B25583" s="7"/>
      <c r="M25583" s="9" t="s">
        <v>30</v>
      </c>
    </row>
    <row r="25584" ht="15.75" customHeight="1">
      <c r="A25584" s="7"/>
      <c r="B25584" s="7"/>
      <c r="M25584" s="9" t="s">
        <v>25</v>
      </c>
    </row>
    <row r="25585" ht="15.75" customHeight="1">
      <c r="A25585" s="7"/>
      <c r="B25585" s="7"/>
      <c r="M25585" s="9" t="s">
        <v>23</v>
      </c>
    </row>
    <row r="25586" ht="15.75" customHeight="1">
      <c r="A25586" s="7"/>
      <c r="B25586" s="7"/>
      <c r="M25586" s="9" t="s">
        <v>43</v>
      </c>
    </row>
    <row r="25587" ht="15.75" customHeight="1">
      <c r="A25587" s="7"/>
      <c r="B25587" s="7"/>
      <c r="M25587" s="9" t="s">
        <v>24</v>
      </c>
    </row>
    <row r="25588" ht="15.75" customHeight="1">
      <c r="A25588" s="7"/>
      <c r="B25588" s="7"/>
      <c r="M25588" s="9" t="s">
        <v>20</v>
      </c>
    </row>
    <row r="25589" ht="15.75" customHeight="1">
      <c r="A25589" s="7"/>
      <c r="B25589" s="7"/>
      <c r="M25589" s="9" t="s">
        <v>21</v>
      </c>
    </row>
    <row r="25590" ht="15.75" customHeight="1">
      <c r="A25590" s="7"/>
      <c r="B25590" s="7"/>
      <c r="M25590" s="9" t="s">
        <v>22</v>
      </c>
    </row>
    <row r="25591" ht="15.75" customHeight="1">
      <c r="A25591" s="7"/>
      <c r="B25591" s="7"/>
      <c r="M25591" s="9" t="s">
        <v>33</v>
      </c>
    </row>
    <row r="25592" ht="15.75" customHeight="1">
      <c r="A25592" s="7"/>
      <c r="B25592" s="7"/>
      <c r="M25592" s="9" t="s">
        <v>25</v>
      </c>
    </row>
    <row r="25593" ht="15.75" customHeight="1">
      <c r="A25593" s="7"/>
      <c r="B25593" s="7"/>
      <c r="M25593" s="9" t="s">
        <v>23</v>
      </c>
    </row>
    <row r="25594" ht="15.75" customHeight="1">
      <c r="A25594" s="7"/>
      <c r="B25594" s="7"/>
      <c r="M25594" s="9" t="s">
        <v>24</v>
      </c>
    </row>
    <row r="25595" ht="15.75" customHeight="1">
      <c r="A25595" s="7"/>
      <c r="B25595" s="7"/>
      <c r="M25595" s="9" t="s">
        <v>20</v>
      </c>
    </row>
    <row r="25596" ht="15.75" customHeight="1">
      <c r="A25596" s="7"/>
      <c r="B25596" s="7"/>
      <c r="M25596" s="9" t="s">
        <v>21</v>
      </c>
    </row>
    <row r="25597" ht="15.75" customHeight="1">
      <c r="A25597" s="7"/>
      <c r="B25597" s="7"/>
      <c r="M25597" s="9" t="s">
        <v>37</v>
      </c>
    </row>
    <row r="25598" ht="15.75" customHeight="1">
      <c r="A25598" s="7"/>
      <c r="B25598" s="7"/>
      <c r="M25598" s="9" t="s">
        <v>22</v>
      </c>
    </row>
    <row r="25599" ht="15.75" customHeight="1">
      <c r="A25599" s="7"/>
      <c r="B25599" s="7"/>
      <c r="M25599" s="9" t="s">
        <v>36</v>
      </c>
    </row>
    <row r="25600" ht="15.75" customHeight="1">
      <c r="A25600" s="7"/>
      <c r="B25600" s="7"/>
      <c r="M25600" s="9" t="s">
        <v>24</v>
      </c>
    </row>
    <row r="25601" ht="15.75" customHeight="1">
      <c r="A25601" s="7"/>
      <c r="B25601" s="7"/>
      <c r="M25601" s="9" t="s">
        <v>21</v>
      </c>
    </row>
    <row r="25602" ht="15.75" customHeight="1">
      <c r="A25602" s="7"/>
      <c r="B25602" s="7"/>
      <c r="M25602" s="9" t="s">
        <v>22</v>
      </c>
    </row>
    <row r="25603" ht="15.75" customHeight="1">
      <c r="A25603" s="7"/>
      <c r="B25603" s="7"/>
      <c r="M25603" s="9" t="s">
        <v>29</v>
      </c>
    </row>
    <row r="25604" ht="15.75" customHeight="1">
      <c r="A25604" s="7"/>
      <c r="B25604" s="7"/>
      <c r="M25604" s="9" t="s">
        <v>27</v>
      </c>
    </row>
    <row r="25605" ht="15.75" customHeight="1">
      <c r="A25605" s="7"/>
      <c r="B25605" s="7"/>
      <c r="M25605" s="9" t="s">
        <v>26</v>
      </c>
    </row>
    <row r="25606" ht="15.75" customHeight="1">
      <c r="A25606" s="7"/>
      <c r="B25606" s="7"/>
      <c r="M25606" s="9" t="s">
        <v>24</v>
      </c>
    </row>
    <row r="25607" ht="15.75" customHeight="1">
      <c r="A25607" s="7"/>
      <c r="B25607" s="7"/>
      <c r="M25607" s="9" t="s">
        <v>20</v>
      </c>
    </row>
    <row r="25608" ht="15.75" customHeight="1">
      <c r="A25608" s="7"/>
      <c r="B25608" s="7"/>
      <c r="M25608" s="9" t="s">
        <v>21</v>
      </c>
    </row>
    <row r="25609" ht="15.75" customHeight="1">
      <c r="A25609" s="7"/>
      <c r="B25609" s="7"/>
      <c r="M25609" s="9" t="s">
        <v>37</v>
      </c>
    </row>
    <row r="25610" ht="15.75" customHeight="1">
      <c r="A25610" s="7"/>
      <c r="B25610" s="7"/>
      <c r="M25610" s="9" t="s">
        <v>27</v>
      </c>
    </row>
    <row r="25611" ht="15.75" customHeight="1">
      <c r="A25611" s="7"/>
      <c r="B25611" s="7"/>
      <c r="M25611" s="9" t="s">
        <v>33</v>
      </c>
    </row>
    <row r="25612" ht="15.75" customHeight="1">
      <c r="A25612" s="7"/>
      <c r="B25612" s="7"/>
      <c r="M25612" s="9" t="s">
        <v>28</v>
      </c>
    </row>
    <row r="25613" ht="15.75" customHeight="1">
      <c r="A25613" s="7"/>
      <c r="B25613" s="7"/>
      <c r="M25613" s="9" t="s">
        <v>30</v>
      </c>
    </row>
    <row r="25614" ht="15.75" customHeight="1">
      <c r="A25614" s="7"/>
      <c r="B25614" s="7"/>
      <c r="M25614" s="9" t="s">
        <v>26</v>
      </c>
    </row>
    <row r="25615" ht="15.75" customHeight="1">
      <c r="A25615" s="7"/>
      <c r="B25615" s="7"/>
      <c r="M25615" s="9" t="s">
        <v>42</v>
      </c>
    </row>
    <row r="25616" ht="15.75" customHeight="1">
      <c r="A25616" s="7"/>
      <c r="B25616" s="7"/>
      <c r="M25616" s="9" t="s">
        <v>39</v>
      </c>
    </row>
    <row r="25617" ht="15.75" customHeight="1">
      <c r="A25617" s="7"/>
      <c r="B25617" s="7"/>
      <c r="M25617" s="9" t="s">
        <v>31</v>
      </c>
    </row>
    <row r="25618" ht="15.75" customHeight="1">
      <c r="A25618" s="7"/>
      <c r="B25618" s="7"/>
      <c r="M25618" s="9" t="s">
        <v>27</v>
      </c>
    </row>
    <row r="25619" ht="15.75" customHeight="1">
      <c r="A25619" s="7"/>
      <c r="B25619" s="7"/>
      <c r="M25619" s="9" t="s">
        <v>23</v>
      </c>
    </row>
    <row r="25620" ht="15.75" customHeight="1">
      <c r="A25620" s="7"/>
      <c r="B25620" s="7"/>
      <c r="M25620" s="9" t="s">
        <v>26</v>
      </c>
    </row>
    <row r="25621" ht="15.75" customHeight="1">
      <c r="A25621" s="7"/>
      <c r="B25621" s="7"/>
      <c r="M25621" s="9" t="s">
        <v>24</v>
      </c>
    </row>
    <row r="25622" ht="15.75" customHeight="1">
      <c r="A25622" s="7"/>
      <c r="B25622" s="7"/>
      <c r="M25622" s="9" t="s">
        <v>20</v>
      </c>
    </row>
    <row r="25623" ht="15.75" customHeight="1">
      <c r="A25623" s="7"/>
      <c r="B25623" s="7"/>
      <c r="M25623" s="9" t="s">
        <v>21</v>
      </c>
    </row>
    <row r="25624" ht="15.75" customHeight="1">
      <c r="A25624" s="7"/>
      <c r="B25624" s="7"/>
      <c r="M25624" s="9" t="s">
        <v>27</v>
      </c>
    </row>
    <row r="25625" ht="15.75" customHeight="1">
      <c r="A25625" s="7"/>
      <c r="B25625" s="7"/>
      <c r="M25625" s="9" t="s">
        <v>46</v>
      </c>
    </row>
    <row r="25626" ht="15.75" customHeight="1">
      <c r="A25626" s="7"/>
      <c r="B25626" s="7"/>
      <c r="M25626" s="9" t="s">
        <v>35</v>
      </c>
    </row>
    <row r="25627" ht="15.75" customHeight="1">
      <c r="A25627" s="7"/>
      <c r="B25627" s="7"/>
      <c r="M25627" s="9" t="s">
        <v>20</v>
      </c>
    </row>
    <row r="25628" ht="15.75" customHeight="1">
      <c r="A25628" s="7"/>
      <c r="B25628" s="7"/>
      <c r="M25628" s="9" t="s">
        <v>21</v>
      </c>
    </row>
    <row r="25629" ht="15.75" customHeight="1">
      <c r="A25629" s="7"/>
      <c r="B25629" s="7"/>
      <c r="M25629" s="9" t="s">
        <v>27</v>
      </c>
    </row>
    <row r="25630" ht="15.75" customHeight="1">
      <c r="A25630" s="7"/>
      <c r="B25630" s="7"/>
      <c r="M25630" s="9" t="s">
        <v>26</v>
      </c>
    </row>
    <row r="25631" ht="15.75" customHeight="1">
      <c r="A25631" s="7"/>
      <c r="B25631" s="7"/>
      <c r="M25631" s="9" t="s">
        <v>24</v>
      </c>
    </row>
    <row r="25632" ht="15.75" customHeight="1">
      <c r="A25632" s="7"/>
      <c r="B25632" s="7"/>
      <c r="M25632" s="9" t="s">
        <v>21</v>
      </c>
    </row>
    <row r="25633" ht="15.75" customHeight="1">
      <c r="A25633" s="7"/>
      <c r="B25633" s="7"/>
      <c r="M25633" s="9" t="s">
        <v>30</v>
      </c>
    </row>
    <row r="25634" ht="15.75" customHeight="1">
      <c r="A25634" s="7"/>
      <c r="B25634" s="7"/>
      <c r="M25634" s="9" t="s">
        <v>44</v>
      </c>
    </row>
    <row r="25635" ht="15.75" customHeight="1">
      <c r="A25635" s="7"/>
      <c r="B25635" s="7"/>
      <c r="M25635" s="9" t="s">
        <v>24</v>
      </c>
    </row>
    <row r="25636" ht="15.75" customHeight="1">
      <c r="A25636" s="7"/>
      <c r="B25636" s="7"/>
      <c r="M25636" s="9" t="s">
        <v>21</v>
      </c>
    </row>
    <row r="25637" ht="15.75" customHeight="1">
      <c r="A25637" s="7"/>
      <c r="B25637" s="7"/>
      <c r="M25637" s="9" t="s">
        <v>22</v>
      </c>
    </row>
    <row r="25638" ht="15.75" customHeight="1">
      <c r="A25638" s="7"/>
      <c r="B25638" s="7"/>
      <c r="M25638" s="9" t="s">
        <v>27</v>
      </c>
    </row>
    <row r="25639" ht="15.75" customHeight="1">
      <c r="A25639" s="7"/>
      <c r="B25639" s="7"/>
      <c r="M25639" s="9" t="s">
        <v>30</v>
      </c>
    </row>
    <row r="25640" ht="15.75" customHeight="1">
      <c r="A25640" s="7"/>
      <c r="B25640" s="7"/>
      <c r="M25640" s="9" t="s">
        <v>25</v>
      </c>
    </row>
    <row r="25641" ht="15.75" customHeight="1">
      <c r="A25641" s="7"/>
      <c r="B25641" s="7"/>
      <c r="M25641" s="9" t="s">
        <v>20</v>
      </c>
    </row>
    <row r="25642" ht="15.75" customHeight="1">
      <c r="A25642" s="7"/>
      <c r="B25642" s="7"/>
      <c r="M25642" s="9" t="s">
        <v>21</v>
      </c>
    </row>
    <row r="25643" ht="15.75" customHeight="1">
      <c r="A25643" s="7"/>
      <c r="B25643" s="7"/>
      <c r="M25643" s="9" t="s">
        <v>22</v>
      </c>
    </row>
    <row r="25644" ht="15.75" customHeight="1">
      <c r="A25644" s="7"/>
      <c r="B25644" s="7"/>
      <c r="M25644" s="9" t="s">
        <v>46</v>
      </c>
    </row>
    <row r="25645" ht="15.75" customHeight="1">
      <c r="A25645" s="7"/>
      <c r="B25645" s="7"/>
      <c r="M25645" s="9" t="s">
        <v>27</v>
      </c>
    </row>
    <row r="25646" ht="15.75" customHeight="1">
      <c r="A25646" s="7"/>
      <c r="B25646" s="7"/>
      <c r="M25646" s="9" t="s">
        <v>33</v>
      </c>
    </row>
    <row r="25647" ht="15.75" customHeight="1">
      <c r="A25647" s="7"/>
      <c r="B25647" s="7"/>
      <c r="M25647" s="9" t="s">
        <v>24</v>
      </c>
    </row>
    <row r="25648" ht="15.75" customHeight="1">
      <c r="A25648" s="7"/>
      <c r="B25648" s="7"/>
      <c r="M25648" s="9" t="s">
        <v>20</v>
      </c>
    </row>
    <row r="25649" ht="15.75" customHeight="1">
      <c r="A25649" s="7"/>
      <c r="B25649" s="7"/>
      <c r="M25649" s="9" t="s">
        <v>27</v>
      </c>
    </row>
    <row r="25650" ht="15.75" customHeight="1">
      <c r="A25650" s="7"/>
      <c r="B25650" s="7"/>
      <c r="M25650" s="9" t="s">
        <v>33</v>
      </c>
    </row>
    <row r="25651" ht="15.75" customHeight="1">
      <c r="A25651" s="7"/>
      <c r="B25651" s="7"/>
      <c r="M25651" s="9" t="s">
        <v>26</v>
      </c>
    </row>
    <row r="25652" ht="15.75" customHeight="1">
      <c r="A25652" s="7"/>
      <c r="B25652" s="7"/>
      <c r="M25652" s="9" t="s">
        <v>24</v>
      </c>
    </row>
    <row r="25653" ht="15.75" customHeight="1">
      <c r="A25653" s="7"/>
      <c r="B25653" s="7"/>
      <c r="M25653" s="9" t="s">
        <v>21</v>
      </c>
    </row>
    <row r="25654" ht="15.75" customHeight="1">
      <c r="A25654" s="7"/>
      <c r="B25654" s="7"/>
      <c r="M25654" s="9" t="s">
        <v>22</v>
      </c>
    </row>
    <row r="25655" ht="15.75" customHeight="1">
      <c r="A25655" s="7"/>
      <c r="B25655" s="7"/>
      <c r="M25655" s="9" t="s">
        <v>31</v>
      </c>
    </row>
    <row r="25656" ht="15.75" customHeight="1">
      <c r="A25656" s="7"/>
      <c r="B25656" s="7"/>
      <c r="M25656" s="9" t="s">
        <v>30</v>
      </c>
    </row>
    <row r="25657" ht="15.75" customHeight="1">
      <c r="A25657" s="7"/>
      <c r="B25657" s="7"/>
      <c r="M25657" s="9" t="s">
        <v>26</v>
      </c>
    </row>
    <row r="25658" ht="15.75" customHeight="1">
      <c r="A25658" s="7"/>
      <c r="B25658" s="7"/>
      <c r="M25658" s="9" t="s">
        <v>24</v>
      </c>
    </row>
    <row r="25659" ht="15.75" customHeight="1">
      <c r="A25659" s="7"/>
      <c r="B25659" s="7"/>
      <c r="M25659" s="9" t="s">
        <v>21</v>
      </c>
    </row>
    <row r="25660" ht="15.75" customHeight="1">
      <c r="A25660" s="7"/>
      <c r="B25660" s="7"/>
      <c r="M25660" s="9" t="s">
        <v>27</v>
      </c>
    </row>
    <row r="25661" ht="15.75" customHeight="1">
      <c r="A25661" s="7"/>
      <c r="B25661" s="7"/>
      <c r="M25661" s="9" t="s">
        <v>25</v>
      </c>
    </row>
    <row r="25662" ht="15.75" customHeight="1">
      <c r="A25662" s="7"/>
      <c r="B25662" s="7"/>
      <c r="M25662" s="9" t="s">
        <v>23</v>
      </c>
    </row>
    <row r="25663" ht="15.75" customHeight="1">
      <c r="A25663" s="7"/>
      <c r="B25663" s="7"/>
      <c r="M25663" s="9" t="s">
        <v>26</v>
      </c>
    </row>
    <row r="25664" ht="15.75" customHeight="1">
      <c r="A25664" s="7"/>
      <c r="B25664" s="7"/>
      <c r="M25664" s="9" t="s">
        <v>24</v>
      </c>
    </row>
    <row r="25665" ht="15.75" customHeight="1">
      <c r="A25665" s="7"/>
      <c r="B25665" s="7"/>
      <c r="M25665" s="9" t="s">
        <v>38</v>
      </c>
    </row>
    <row r="25666" ht="15.75" customHeight="1">
      <c r="A25666" s="7"/>
      <c r="B25666" s="7"/>
      <c r="M25666" s="9" t="s">
        <v>25</v>
      </c>
    </row>
    <row r="25667" ht="15.75" customHeight="1">
      <c r="A25667" s="7"/>
      <c r="B25667" s="7"/>
      <c r="M25667" s="9" t="s">
        <v>23</v>
      </c>
    </row>
    <row r="25668" ht="15.75" customHeight="1">
      <c r="A25668" s="7"/>
      <c r="B25668" s="7"/>
      <c r="M25668" s="9" t="s">
        <v>26</v>
      </c>
    </row>
    <row r="25669" ht="15.75" customHeight="1">
      <c r="A25669" s="7"/>
      <c r="B25669" s="7"/>
      <c r="M25669" s="9" t="s">
        <v>24</v>
      </c>
    </row>
    <row r="25670" ht="15.75" customHeight="1">
      <c r="A25670" s="7"/>
      <c r="B25670" s="7"/>
      <c r="M25670" s="9" t="s">
        <v>20</v>
      </c>
    </row>
    <row r="25671" ht="15.75" customHeight="1">
      <c r="A25671" s="7"/>
      <c r="B25671" s="7"/>
      <c r="M25671" s="9" t="s">
        <v>21</v>
      </c>
    </row>
    <row r="25672" ht="15.75" customHeight="1">
      <c r="A25672" s="7"/>
      <c r="B25672" s="7"/>
      <c r="M25672" s="9" t="s">
        <v>37</v>
      </c>
    </row>
    <row r="25673" ht="15.75" customHeight="1">
      <c r="A25673" s="7"/>
      <c r="B25673" s="7"/>
      <c r="M25673" s="9" t="s">
        <v>22</v>
      </c>
    </row>
    <row r="25674" ht="15.75" customHeight="1">
      <c r="A25674" s="7"/>
      <c r="B25674" s="7"/>
      <c r="M25674" s="9" t="s">
        <v>29</v>
      </c>
    </row>
    <row r="25675" ht="15.75" customHeight="1">
      <c r="A25675" s="7"/>
      <c r="B25675" s="7"/>
      <c r="M25675" s="9" t="s">
        <v>27</v>
      </c>
    </row>
    <row r="25676" ht="15.75" customHeight="1">
      <c r="A25676" s="7"/>
      <c r="B25676" s="7"/>
      <c r="M25676" s="9" t="s">
        <v>30</v>
      </c>
    </row>
    <row r="25677" ht="15.75" customHeight="1">
      <c r="A25677" s="7"/>
      <c r="B25677" s="7"/>
      <c r="M25677" s="9" t="s">
        <v>26</v>
      </c>
    </row>
    <row r="25678" ht="15.75" customHeight="1">
      <c r="A25678" s="7"/>
      <c r="B25678" s="7"/>
      <c r="M25678" s="9" t="s">
        <v>24</v>
      </c>
    </row>
    <row r="25679" ht="15.75" customHeight="1">
      <c r="A25679" s="7"/>
      <c r="B25679" s="7"/>
      <c r="M25679" s="9" t="s">
        <v>21</v>
      </c>
    </row>
    <row r="25680" ht="15.75" customHeight="1">
      <c r="A25680" s="7"/>
      <c r="B25680" s="7"/>
      <c r="M25680" s="9" t="s">
        <v>37</v>
      </c>
    </row>
    <row r="25681" ht="15.75" customHeight="1">
      <c r="A25681" s="7"/>
      <c r="B25681" s="7"/>
      <c r="M25681" s="9" t="s">
        <v>22</v>
      </c>
    </row>
    <row r="25682" ht="15.75" customHeight="1">
      <c r="A25682" s="7"/>
      <c r="B25682" s="7"/>
      <c r="M25682" s="9" t="s">
        <v>24</v>
      </c>
    </row>
    <row r="25683" ht="15.75" customHeight="1">
      <c r="A25683" s="7"/>
      <c r="B25683" s="7"/>
      <c r="M25683" s="9" t="s">
        <v>21</v>
      </c>
    </row>
    <row r="25684" ht="15.75" customHeight="1">
      <c r="A25684" s="7"/>
      <c r="B25684" s="7"/>
      <c r="M25684" s="9" t="s">
        <v>22</v>
      </c>
    </row>
    <row r="25685" ht="15.75" customHeight="1">
      <c r="A25685" s="7"/>
      <c r="B25685" s="7"/>
      <c r="M25685" s="9" t="s">
        <v>27</v>
      </c>
    </row>
    <row r="25686" ht="15.75" customHeight="1">
      <c r="A25686" s="7"/>
      <c r="B25686" s="7"/>
      <c r="M25686" s="9" t="s">
        <v>30</v>
      </c>
    </row>
    <row r="25687" ht="15.75" customHeight="1">
      <c r="A25687" s="7"/>
      <c r="B25687" s="7"/>
      <c r="M25687" s="9" t="s">
        <v>26</v>
      </c>
    </row>
    <row r="25688" ht="15.75" customHeight="1">
      <c r="A25688" s="7"/>
      <c r="B25688" s="7"/>
      <c r="M25688" s="9" t="s">
        <v>24</v>
      </c>
    </row>
    <row r="25689" ht="15.75" customHeight="1">
      <c r="A25689" s="7"/>
      <c r="B25689" s="7"/>
      <c r="M25689" s="9" t="s">
        <v>33</v>
      </c>
    </row>
    <row r="25690" ht="15.75" customHeight="1">
      <c r="A25690" s="7"/>
      <c r="B25690" s="7"/>
      <c r="M25690" s="9" t="s">
        <v>24</v>
      </c>
    </row>
    <row r="25691" ht="15.75" customHeight="1">
      <c r="A25691" s="7"/>
      <c r="B25691" s="7"/>
      <c r="M25691" s="9" t="s">
        <v>20</v>
      </c>
    </row>
    <row r="25692" ht="15.75" customHeight="1">
      <c r="A25692" s="7"/>
      <c r="B25692" s="7"/>
      <c r="M25692" s="9" t="s">
        <v>21</v>
      </c>
    </row>
    <row r="25693" ht="15.75" customHeight="1">
      <c r="A25693" s="7"/>
      <c r="B25693" s="7"/>
      <c r="M25693" s="9" t="s">
        <v>22</v>
      </c>
    </row>
    <row r="25694" ht="15.75" customHeight="1">
      <c r="A25694" s="7"/>
      <c r="B25694" s="7"/>
      <c r="M25694" s="9" t="s">
        <v>27</v>
      </c>
    </row>
    <row r="25695" ht="15.75" customHeight="1">
      <c r="A25695" s="7"/>
      <c r="B25695" s="7"/>
      <c r="M25695" s="9" t="s">
        <v>34</v>
      </c>
    </row>
    <row r="25696" ht="15.75" customHeight="1">
      <c r="A25696" s="7"/>
      <c r="B25696" s="7"/>
      <c r="M25696" s="9" t="s">
        <v>24</v>
      </c>
    </row>
    <row r="25697" ht="15.75" customHeight="1">
      <c r="A25697" s="7"/>
      <c r="B25697" s="7"/>
      <c r="M25697" s="9" t="s">
        <v>21</v>
      </c>
    </row>
    <row r="25698" ht="15.75" customHeight="1">
      <c r="A25698" s="7"/>
      <c r="B25698" s="7"/>
      <c r="M25698" s="9" t="s">
        <v>37</v>
      </c>
    </row>
    <row r="25699" ht="15.75" customHeight="1">
      <c r="A25699" s="7"/>
      <c r="B25699" s="7"/>
      <c r="M25699" s="9" t="s">
        <v>22</v>
      </c>
    </row>
    <row r="25700" ht="15.75" customHeight="1">
      <c r="A25700" s="7"/>
      <c r="B25700" s="7"/>
      <c r="M25700" s="9" t="s">
        <v>33</v>
      </c>
    </row>
    <row r="25701" ht="15.75" customHeight="1">
      <c r="A25701" s="7"/>
      <c r="B25701" s="7"/>
      <c r="M25701" s="9" t="s">
        <v>24</v>
      </c>
    </row>
    <row r="25702" ht="15.75" customHeight="1">
      <c r="A25702" s="7"/>
      <c r="B25702" s="7"/>
      <c r="M25702" s="9" t="s">
        <v>21</v>
      </c>
    </row>
    <row r="25703" ht="15.75" customHeight="1">
      <c r="A25703" s="7"/>
      <c r="B25703" s="7"/>
      <c r="M25703" s="9" t="s">
        <v>37</v>
      </c>
    </row>
    <row r="25704" ht="15.75" customHeight="1">
      <c r="A25704" s="7"/>
      <c r="B25704" s="7"/>
      <c r="M25704" s="9" t="s">
        <v>27</v>
      </c>
    </row>
    <row r="25705" ht="15.75" customHeight="1">
      <c r="A25705" s="7"/>
      <c r="B25705" s="7"/>
      <c r="M25705" s="9" t="s">
        <v>24</v>
      </c>
    </row>
    <row r="25706" ht="15.75" customHeight="1">
      <c r="A25706" s="7"/>
      <c r="B25706" s="7"/>
      <c r="M25706" s="9" t="s">
        <v>21</v>
      </c>
    </row>
    <row r="25707" ht="15.75" customHeight="1">
      <c r="A25707" s="7"/>
      <c r="B25707" s="7"/>
      <c r="M25707" s="9" t="s">
        <v>37</v>
      </c>
    </row>
    <row r="25708" ht="15.75" customHeight="1">
      <c r="A25708" s="7"/>
      <c r="B25708" s="7"/>
      <c r="M25708" s="9" t="s">
        <v>22</v>
      </c>
    </row>
    <row r="25709" ht="15.75" customHeight="1">
      <c r="A25709" s="7"/>
      <c r="B25709" s="7"/>
      <c r="M25709" s="9" t="s">
        <v>27</v>
      </c>
    </row>
    <row r="25710" ht="15.75" customHeight="1">
      <c r="A25710" s="7"/>
      <c r="B25710" s="7"/>
      <c r="M25710" s="9" t="s">
        <v>30</v>
      </c>
    </row>
    <row r="25711" ht="15.75" customHeight="1">
      <c r="A25711" s="7"/>
      <c r="B25711" s="7"/>
      <c r="M25711" s="9" t="s">
        <v>26</v>
      </c>
    </row>
    <row r="25712" ht="15.75" customHeight="1">
      <c r="A25712" s="7"/>
      <c r="B25712" s="7"/>
      <c r="M25712" s="9" t="s">
        <v>24</v>
      </c>
    </row>
    <row r="25713" ht="15.75" customHeight="1">
      <c r="A25713" s="7"/>
      <c r="B25713" s="7"/>
      <c r="M25713" s="9" t="s">
        <v>20</v>
      </c>
    </row>
    <row r="25714" ht="15.75" customHeight="1">
      <c r="A25714" s="7"/>
      <c r="B25714" s="7"/>
      <c r="M25714" s="9" t="s">
        <v>21</v>
      </c>
    </row>
    <row r="25715" ht="15.75" customHeight="1">
      <c r="A25715" s="7"/>
      <c r="B25715" s="7"/>
      <c r="M25715" s="9" t="s">
        <v>22</v>
      </c>
    </row>
    <row r="25716" ht="15.75" customHeight="1">
      <c r="A25716" s="7"/>
      <c r="B25716" s="7"/>
      <c r="M25716" s="9" t="s">
        <v>27</v>
      </c>
    </row>
    <row r="25717" ht="15.75" customHeight="1">
      <c r="A25717" s="7"/>
      <c r="B25717" s="7"/>
      <c r="M25717" s="9" t="s">
        <v>30</v>
      </c>
    </row>
    <row r="25718" ht="15.75" customHeight="1">
      <c r="A25718" s="7"/>
      <c r="B25718" s="7"/>
      <c r="M25718" s="9" t="s">
        <v>36</v>
      </c>
    </row>
    <row r="25719" ht="15.75" customHeight="1">
      <c r="A25719" s="7"/>
      <c r="B25719" s="7"/>
      <c r="M25719" s="9" t="s">
        <v>21</v>
      </c>
    </row>
    <row r="25720" ht="15.75" customHeight="1">
      <c r="A25720" s="7"/>
      <c r="B25720" s="7"/>
      <c r="M25720" s="9" t="s">
        <v>37</v>
      </c>
    </row>
    <row r="25721" ht="15.75" customHeight="1">
      <c r="A25721" s="7"/>
      <c r="B25721" s="7"/>
      <c r="M25721" s="9" t="s">
        <v>22</v>
      </c>
    </row>
    <row r="25722" ht="15.75" customHeight="1">
      <c r="A25722" s="7"/>
      <c r="B25722" s="7"/>
      <c r="M25722" s="9" t="s">
        <v>31</v>
      </c>
    </row>
    <row r="25723" ht="15.75" customHeight="1">
      <c r="A25723" s="7"/>
      <c r="B25723" s="7"/>
      <c r="M25723" s="9" t="s">
        <v>40</v>
      </c>
    </row>
    <row r="25724" ht="15.75" customHeight="1">
      <c r="A25724" s="7"/>
      <c r="B25724" s="7"/>
      <c r="M25724" s="9" t="s">
        <v>33</v>
      </c>
    </row>
    <row r="25725" ht="15.75" customHeight="1">
      <c r="A25725" s="7"/>
      <c r="B25725" s="7"/>
      <c r="M25725" s="9" t="s">
        <v>30</v>
      </c>
    </row>
    <row r="25726" ht="15.75" customHeight="1">
      <c r="A25726" s="7"/>
      <c r="B25726" s="7"/>
      <c r="M25726" s="9" t="s">
        <v>23</v>
      </c>
    </row>
    <row r="25727" ht="15.75" customHeight="1">
      <c r="A25727" s="7"/>
      <c r="B25727" s="7"/>
      <c r="M25727" s="9" t="s">
        <v>25</v>
      </c>
    </row>
    <row r="25728" ht="15.75" customHeight="1">
      <c r="A25728" s="7"/>
      <c r="B25728" s="7"/>
      <c r="M25728" s="9" t="s">
        <v>23</v>
      </c>
    </row>
    <row r="25729" ht="15.75" customHeight="1">
      <c r="A25729" s="7"/>
      <c r="B25729" s="7"/>
      <c r="M25729" s="9" t="s">
        <v>24</v>
      </c>
    </row>
    <row r="25730" ht="15.75" customHeight="1">
      <c r="A25730" s="7"/>
      <c r="B25730" s="7"/>
      <c r="M25730" s="9" t="s">
        <v>20</v>
      </c>
    </row>
    <row r="25731" ht="15.75" customHeight="1">
      <c r="A25731" s="7"/>
      <c r="B25731" s="7"/>
      <c r="M25731" s="9" t="s">
        <v>21</v>
      </c>
    </row>
    <row r="25732" ht="15.75" customHeight="1">
      <c r="A25732" s="7"/>
      <c r="B25732" s="7"/>
      <c r="M25732" s="9" t="s">
        <v>27</v>
      </c>
    </row>
    <row r="25733" ht="15.75" customHeight="1">
      <c r="A25733" s="7"/>
      <c r="B25733" s="7"/>
      <c r="M25733" s="9" t="s">
        <v>26</v>
      </c>
    </row>
    <row r="25734" ht="15.75" customHeight="1">
      <c r="A25734" s="7"/>
      <c r="B25734" s="7"/>
      <c r="M25734" s="9" t="s">
        <v>24</v>
      </c>
    </row>
    <row r="25735" ht="15.75" customHeight="1">
      <c r="A25735" s="7"/>
      <c r="B25735" s="7"/>
      <c r="M25735" s="9" t="s">
        <v>21</v>
      </c>
    </row>
    <row r="25736" ht="15.75" customHeight="1">
      <c r="A25736" s="7"/>
      <c r="B25736" s="7"/>
      <c r="M25736" s="9" t="s">
        <v>27</v>
      </c>
    </row>
    <row r="25737" ht="15.75" customHeight="1">
      <c r="A25737" s="7"/>
      <c r="B25737" s="7"/>
      <c r="M25737" s="9" t="s">
        <v>30</v>
      </c>
    </row>
    <row r="25738" ht="15.75" customHeight="1">
      <c r="A25738" s="7"/>
      <c r="B25738" s="7"/>
      <c r="M25738" s="9" t="s">
        <v>25</v>
      </c>
    </row>
    <row r="25739" ht="15.75" customHeight="1">
      <c r="A25739" s="7"/>
      <c r="B25739" s="7"/>
      <c r="M25739" s="9" t="s">
        <v>23</v>
      </c>
    </row>
    <row r="25740" ht="15.75" customHeight="1">
      <c r="A25740" s="7"/>
      <c r="B25740" s="7"/>
      <c r="M25740" s="9" t="s">
        <v>20</v>
      </c>
    </row>
    <row r="25741" ht="15.75" customHeight="1">
      <c r="A25741" s="7"/>
      <c r="B25741" s="7"/>
      <c r="M25741" s="9" t="s">
        <v>22</v>
      </c>
    </row>
    <row r="25742" ht="15.75" customHeight="1">
      <c r="A25742" s="7"/>
      <c r="B25742" s="7"/>
      <c r="M25742" s="9" t="s">
        <v>26</v>
      </c>
    </row>
    <row r="25743" ht="15.75" customHeight="1">
      <c r="A25743" s="7"/>
      <c r="B25743" s="7"/>
      <c r="M25743" s="9" t="s">
        <v>24</v>
      </c>
    </row>
    <row r="25744" ht="15.75" customHeight="1">
      <c r="A25744" s="7"/>
      <c r="B25744" s="7"/>
      <c r="M25744" s="9" t="s">
        <v>21</v>
      </c>
    </row>
    <row r="25745" ht="15.75" customHeight="1">
      <c r="A25745" s="7"/>
      <c r="B25745" s="7"/>
      <c r="M25745" s="9" t="s">
        <v>22</v>
      </c>
    </row>
    <row r="25746" ht="15.75" customHeight="1">
      <c r="A25746" s="7"/>
      <c r="B25746" s="7"/>
      <c r="M25746" s="9" t="s">
        <v>33</v>
      </c>
    </row>
    <row r="25747" ht="15.75" customHeight="1">
      <c r="A25747" s="7"/>
      <c r="B25747" s="7"/>
      <c r="M25747" s="9" t="s">
        <v>30</v>
      </c>
    </row>
    <row r="25748" ht="15.75" customHeight="1">
      <c r="A25748" s="7"/>
      <c r="B25748" s="7"/>
      <c r="M25748" s="9" t="s">
        <v>25</v>
      </c>
    </row>
    <row r="25749" ht="15.75" customHeight="1">
      <c r="A25749" s="7"/>
      <c r="B25749" s="7"/>
      <c r="M25749" s="9" t="s">
        <v>26</v>
      </c>
    </row>
    <row r="25750" ht="15.75" customHeight="1">
      <c r="A25750" s="7"/>
      <c r="B25750" s="7"/>
      <c r="M25750" s="9" t="s">
        <v>24</v>
      </c>
    </row>
    <row r="25751" ht="15.75" customHeight="1">
      <c r="A25751" s="7"/>
      <c r="B25751" s="7"/>
      <c r="M25751" s="9" t="s">
        <v>21</v>
      </c>
    </row>
    <row r="25752" ht="15.75" customHeight="1">
      <c r="A25752" s="7"/>
      <c r="B25752" s="7"/>
      <c r="M25752" s="9" t="s">
        <v>22</v>
      </c>
    </row>
    <row r="25753" ht="15.75" customHeight="1">
      <c r="A25753" s="7"/>
      <c r="B25753" s="7"/>
      <c r="M25753" s="9" t="s">
        <v>29</v>
      </c>
    </row>
    <row r="25754" ht="15.75" customHeight="1">
      <c r="A25754" s="7"/>
      <c r="B25754" s="7"/>
      <c r="M25754" s="9" t="s">
        <v>27</v>
      </c>
    </row>
    <row r="25755" ht="15.75" customHeight="1">
      <c r="A25755" s="7"/>
      <c r="B25755" s="7"/>
      <c r="M25755" s="9" t="s">
        <v>28</v>
      </c>
    </row>
    <row r="25756" ht="15.75" customHeight="1">
      <c r="A25756" s="7"/>
      <c r="B25756" s="7"/>
      <c r="M25756" s="9" t="s">
        <v>25</v>
      </c>
    </row>
    <row r="25757" ht="15.75" customHeight="1">
      <c r="A25757" s="7"/>
      <c r="B25757" s="7"/>
      <c r="M25757" s="9" t="s">
        <v>23</v>
      </c>
    </row>
    <row r="25758" ht="15.75" customHeight="1">
      <c r="A25758" s="7"/>
      <c r="B25758" s="7"/>
      <c r="M25758" s="9" t="s">
        <v>26</v>
      </c>
    </row>
    <row r="25759" ht="15.75" customHeight="1">
      <c r="A25759" s="7"/>
      <c r="B25759" s="7"/>
      <c r="M25759" s="9" t="s">
        <v>20</v>
      </c>
    </row>
    <row r="25760" ht="15.75" customHeight="1">
      <c r="A25760" s="7"/>
      <c r="B25760" s="7"/>
      <c r="M25760" s="9" t="s">
        <v>39</v>
      </c>
    </row>
    <row r="25761" ht="15.75" customHeight="1">
      <c r="A25761" s="7"/>
      <c r="B25761" s="7"/>
      <c r="M25761" s="9" t="s">
        <v>27</v>
      </c>
    </row>
    <row r="25762" ht="15.75" customHeight="1">
      <c r="A25762" s="7"/>
      <c r="B25762" s="7"/>
      <c r="M25762" s="9" t="s">
        <v>40</v>
      </c>
    </row>
    <row r="25763" ht="15.75" customHeight="1">
      <c r="A25763" s="7"/>
      <c r="B25763" s="7"/>
      <c r="M25763" s="9" t="s">
        <v>20</v>
      </c>
    </row>
    <row r="25764" ht="15.75" customHeight="1">
      <c r="A25764" s="7"/>
      <c r="B25764" s="7"/>
      <c r="M25764" s="9" t="s">
        <v>21</v>
      </c>
    </row>
    <row r="25765" ht="15.75" customHeight="1">
      <c r="A25765" s="7"/>
      <c r="B25765" s="7"/>
      <c r="M25765" s="9" t="s">
        <v>39</v>
      </c>
    </row>
    <row r="25766" ht="15.75" customHeight="1">
      <c r="A25766" s="7"/>
      <c r="B25766" s="7"/>
      <c r="M25766" s="9" t="s">
        <v>27</v>
      </c>
    </row>
    <row r="25767" ht="15.75" customHeight="1">
      <c r="A25767" s="7"/>
      <c r="B25767" s="7"/>
      <c r="M25767" s="9" t="s">
        <v>30</v>
      </c>
    </row>
    <row r="25768" ht="15.75" customHeight="1">
      <c r="A25768" s="7"/>
      <c r="B25768" s="7"/>
      <c r="M25768" s="9" t="s">
        <v>20</v>
      </c>
    </row>
    <row r="25769" ht="15.75" customHeight="1">
      <c r="A25769" s="7"/>
      <c r="B25769" s="7"/>
      <c r="M25769" s="9" t="s">
        <v>25</v>
      </c>
    </row>
    <row r="25770" ht="15.75" customHeight="1">
      <c r="A25770" s="7"/>
      <c r="B25770" s="7"/>
      <c r="M25770" s="9" t="s">
        <v>47</v>
      </c>
    </row>
    <row r="25771" ht="15.75" customHeight="1">
      <c r="A25771" s="7"/>
      <c r="B25771" s="7"/>
      <c r="M25771" s="9" t="s">
        <v>24</v>
      </c>
    </row>
    <row r="25772" ht="15.75" customHeight="1">
      <c r="A25772" s="7"/>
      <c r="B25772" s="7"/>
      <c r="M25772" s="9" t="s">
        <v>21</v>
      </c>
    </row>
    <row r="25773" ht="15.75" customHeight="1">
      <c r="A25773" s="7"/>
      <c r="B25773" s="7"/>
      <c r="M25773" s="9" t="s">
        <v>37</v>
      </c>
    </row>
    <row r="25774" ht="15.75" customHeight="1">
      <c r="A25774" s="7"/>
      <c r="B25774" s="7"/>
      <c r="M25774" s="9" t="s">
        <v>27</v>
      </c>
    </row>
    <row r="25775" ht="15.75" customHeight="1">
      <c r="A25775" s="7"/>
      <c r="B25775" s="7"/>
      <c r="M25775" s="9" t="s">
        <v>26</v>
      </c>
    </row>
    <row r="25776" ht="15.75" customHeight="1">
      <c r="A25776" s="7"/>
      <c r="B25776" s="7"/>
      <c r="M25776" s="9" t="s">
        <v>24</v>
      </c>
    </row>
    <row r="25777" ht="15.75" customHeight="1">
      <c r="A25777" s="7"/>
      <c r="B25777" s="7"/>
      <c r="M25777" s="9" t="s">
        <v>21</v>
      </c>
    </row>
    <row r="25778" ht="15.75" customHeight="1">
      <c r="A25778" s="7"/>
      <c r="B25778" s="7"/>
      <c r="M25778" s="9" t="s">
        <v>37</v>
      </c>
    </row>
    <row r="25779" ht="15.75" customHeight="1">
      <c r="A25779" s="7"/>
      <c r="B25779" s="7"/>
      <c r="M25779" s="9" t="s">
        <v>27</v>
      </c>
    </row>
    <row r="25780" ht="15.75" customHeight="1">
      <c r="A25780" s="7"/>
      <c r="B25780" s="7"/>
      <c r="M25780" s="9" t="s">
        <v>28</v>
      </c>
    </row>
    <row r="25781" ht="15.75" customHeight="1">
      <c r="A25781" s="7"/>
      <c r="B25781" s="7"/>
      <c r="M25781" s="9" t="s">
        <v>26</v>
      </c>
    </row>
    <row r="25782" ht="15.75" customHeight="1">
      <c r="A25782" s="7"/>
      <c r="B25782" s="7"/>
      <c r="M25782" s="9" t="s">
        <v>20</v>
      </c>
    </row>
    <row r="25783" ht="15.75" customHeight="1">
      <c r="A25783" s="7"/>
      <c r="B25783" s="7"/>
      <c r="M25783" s="9" t="s">
        <v>39</v>
      </c>
    </row>
    <row r="25784" ht="15.75" customHeight="1">
      <c r="A25784" s="7"/>
      <c r="B25784" s="7"/>
      <c r="M25784" s="9" t="s">
        <v>20</v>
      </c>
    </row>
    <row r="25785" ht="15.75" customHeight="1">
      <c r="A25785" s="7"/>
      <c r="B25785" s="7"/>
      <c r="M25785" s="9" t="s">
        <v>22</v>
      </c>
    </row>
    <row r="25786" ht="15.75" customHeight="1">
      <c r="A25786" s="7"/>
      <c r="B25786" s="7"/>
      <c r="M25786" s="9" t="s">
        <v>29</v>
      </c>
    </row>
    <row r="25787" ht="15.75" customHeight="1">
      <c r="A25787" s="7"/>
      <c r="B25787" s="7"/>
      <c r="M25787" s="9" t="s">
        <v>46</v>
      </c>
    </row>
    <row r="25788" ht="15.75" customHeight="1">
      <c r="A25788" s="7"/>
      <c r="B25788" s="7"/>
      <c r="M25788" s="9" t="s">
        <v>27</v>
      </c>
    </row>
    <row r="25789" ht="15.75" customHeight="1">
      <c r="A25789" s="7"/>
      <c r="B25789" s="7"/>
      <c r="M25789" s="9" t="s">
        <v>30</v>
      </c>
    </row>
    <row r="25790" ht="15.75" customHeight="1">
      <c r="A25790" s="7"/>
      <c r="B25790" s="7"/>
      <c r="M25790" s="9" t="s">
        <v>26</v>
      </c>
    </row>
    <row r="25791" ht="15.75" customHeight="1">
      <c r="A25791" s="7"/>
      <c r="B25791" s="7"/>
      <c r="M25791" s="9" t="s">
        <v>24</v>
      </c>
    </row>
    <row r="25792" ht="15.75" customHeight="1">
      <c r="A25792" s="7"/>
      <c r="B25792" s="7"/>
      <c r="M25792" s="9" t="s">
        <v>20</v>
      </c>
    </row>
    <row r="25793" ht="15.75" customHeight="1">
      <c r="A25793" s="7"/>
      <c r="B25793" s="7"/>
      <c r="M25793" s="9" t="s">
        <v>21</v>
      </c>
    </row>
    <row r="25794" ht="15.75" customHeight="1">
      <c r="A25794" s="7"/>
      <c r="B25794" s="7"/>
      <c r="M25794" s="9" t="s">
        <v>37</v>
      </c>
    </row>
    <row r="25795" ht="15.75" customHeight="1">
      <c r="A25795" s="7"/>
      <c r="B25795" s="7"/>
      <c r="M25795" s="9" t="s">
        <v>27</v>
      </c>
    </row>
    <row r="25796" ht="15.75" customHeight="1">
      <c r="A25796" s="7"/>
      <c r="B25796" s="7"/>
      <c r="M25796" s="9" t="s">
        <v>33</v>
      </c>
    </row>
    <row r="25797" ht="15.75" customHeight="1">
      <c r="A25797" s="7"/>
      <c r="B25797" s="7"/>
      <c r="M25797" s="9" t="s">
        <v>20</v>
      </c>
    </row>
    <row r="25798" ht="15.75" customHeight="1">
      <c r="A25798" s="7"/>
      <c r="B25798" s="7"/>
      <c r="M25798" s="9" t="s">
        <v>21</v>
      </c>
    </row>
    <row r="25799" ht="15.75" customHeight="1">
      <c r="A25799" s="7"/>
      <c r="B25799" s="7"/>
      <c r="M25799" s="9" t="s">
        <v>30</v>
      </c>
    </row>
    <row r="25800" ht="15.75" customHeight="1">
      <c r="A25800" s="7"/>
      <c r="B25800" s="7"/>
      <c r="M25800" s="9" t="s">
        <v>25</v>
      </c>
    </row>
    <row r="25801" ht="15.75" customHeight="1">
      <c r="A25801" s="7"/>
      <c r="B25801" s="7"/>
      <c r="M25801" s="9" t="s">
        <v>23</v>
      </c>
    </row>
    <row r="25802" ht="15.75" customHeight="1">
      <c r="A25802" s="7"/>
      <c r="B25802" s="7"/>
      <c r="M25802" s="9" t="s">
        <v>36</v>
      </c>
    </row>
    <row r="25803" ht="15.75" customHeight="1">
      <c r="A25803" s="7"/>
      <c r="B25803" s="7"/>
      <c r="M25803" s="9" t="s">
        <v>24</v>
      </c>
    </row>
    <row r="25804" ht="15.75" customHeight="1">
      <c r="A25804" s="7"/>
      <c r="B25804" s="7"/>
      <c r="M25804" s="9" t="s">
        <v>20</v>
      </c>
    </row>
    <row r="25805" ht="15.75" customHeight="1">
      <c r="A25805" s="7"/>
      <c r="B25805" s="7"/>
      <c r="M25805" s="9" t="s">
        <v>21</v>
      </c>
    </row>
    <row r="25806" ht="15.75" customHeight="1">
      <c r="A25806" s="7"/>
      <c r="B25806" s="7"/>
      <c r="M25806" s="9" t="s">
        <v>39</v>
      </c>
    </row>
    <row r="25807" ht="15.75" customHeight="1">
      <c r="A25807" s="7"/>
      <c r="B25807" s="7"/>
      <c r="M25807" s="9" t="s">
        <v>31</v>
      </c>
    </row>
    <row r="25808" ht="15.75" customHeight="1">
      <c r="A25808" s="7"/>
      <c r="B25808" s="7"/>
      <c r="M25808" s="9" t="s">
        <v>27</v>
      </c>
    </row>
    <row r="25809" ht="15.75" customHeight="1">
      <c r="A25809" s="7"/>
      <c r="B25809" s="7"/>
      <c r="M25809" s="9" t="s">
        <v>40</v>
      </c>
    </row>
    <row r="25810" ht="15.75" customHeight="1">
      <c r="A25810" s="7"/>
      <c r="B25810" s="7"/>
      <c r="M25810" s="9" t="s">
        <v>24</v>
      </c>
    </row>
    <row r="25811" ht="15.75" customHeight="1">
      <c r="A25811" s="7"/>
      <c r="B25811" s="7"/>
      <c r="M25811" s="9" t="s">
        <v>21</v>
      </c>
    </row>
    <row r="25812" ht="15.75" customHeight="1">
      <c r="A25812" s="7"/>
      <c r="B25812" s="7"/>
      <c r="M25812" s="9" t="s">
        <v>39</v>
      </c>
    </row>
    <row r="25813" ht="15.75" customHeight="1">
      <c r="A25813" s="7"/>
      <c r="B25813" s="7"/>
      <c r="M25813" s="9" t="s">
        <v>37</v>
      </c>
    </row>
    <row r="25814" ht="15.75" customHeight="1">
      <c r="A25814" s="7"/>
      <c r="B25814" s="7"/>
      <c r="M25814" s="9" t="s">
        <v>27</v>
      </c>
    </row>
    <row r="25815" ht="15.75" customHeight="1">
      <c r="A25815" s="7"/>
      <c r="B25815" s="7"/>
      <c r="M25815" s="9" t="s">
        <v>23</v>
      </c>
    </row>
    <row r="25816" ht="15.75" customHeight="1">
      <c r="A25816" s="7"/>
      <c r="B25816" s="7"/>
      <c r="M25816" s="9" t="s">
        <v>24</v>
      </c>
    </row>
    <row r="25817" ht="15.75" customHeight="1">
      <c r="A25817" s="7"/>
      <c r="B25817" s="7"/>
      <c r="M25817" s="9" t="s">
        <v>21</v>
      </c>
    </row>
    <row r="25818" ht="15.75" customHeight="1">
      <c r="A25818" s="7"/>
      <c r="B25818" s="7"/>
      <c r="M25818" s="9" t="s">
        <v>22</v>
      </c>
    </row>
    <row r="25819" ht="15.75" customHeight="1">
      <c r="A25819" s="7"/>
      <c r="B25819" s="7"/>
      <c r="M25819" s="9" t="s">
        <v>30</v>
      </c>
    </row>
    <row r="25820" ht="15.75" customHeight="1">
      <c r="A25820" s="7"/>
      <c r="B25820" s="7"/>
      <c r="M25820" s="9" t="s">
        <v>24</v>
      </c>
    </row>
    <row r="25821" ht="15.75" customHeight="1">
      <c r="A25821" s="7"/>
      <c r="B25821" s="7"/>
      <c r="M25821" s="9" t="s">
        <v>21</v>
      </c>
    </row>
    <row r="25822" ht="15.75" customHeight="1">
      <c r="A25822" s="7"/>
      <c r="B25822" s="7"/>
      <c r="M25822" s="9" t="s">
        <v>37</v>
      </c>
    </row>
    <row r="25823" ht="15.75" customHeight="1">
      <c r="A25823" s="7"/>
      <c r="B25823" s="7"/>
      <c r="M25823" s="9" t="s">
        <v>33</v>
      </c>
    </row>
    <row r="25824" ht="15.75" customHeight="1">
      <c r="A25824" s="7"/>
      <c r="B25824" s="7"/>
      <c r="M25824" s="9" t="s">
        <v>24</v>
      </c>
    </row>
    <row r="25825" ht="15.75" customHeight="1">
      <c r="A25825" s="7"/>
      <c r="B25825" s="7"/>
      <c r="M25825" s="9" t="s">
        <v>20</v>
      </c>
    </row>
    <row r="25826" ht="15.75" customHeight="1">
      <c r="A25826" s="7"/>
      <c r="B25826" s="7"/>
      <c r="M25826" s="9" t="s">
        <v>37</v>
      </c>
    </row>
    <row r="25827" ht="15.75" customHeight="1">
      <c r="A25827" s="7"/>
      <c r="B25827" s="7"/>
      <c r="M25827" s="9" t="s">
        <v>27</v>
      </c>
    </row>
    <row r="25828" ht="15.75" customHeight="1">
      <c r="A25828" s="7"/>
      <c r="B25828" s="7"/>
      <c r="M25828" s="9" t="s">
        <v>30</v>
      </c>
    </row>
    <row r="25829" ht="15.75" customHeight="1">
      <c r="A25829" s="7"/>
      <c r="B25829" s="7"/>
      <c r="M25829" s="9" t="s">
        <v>24</v>
      </c>
    </row>
    <row r="25830" ht="15.75" customHeight="1">
      <c r="A25830" s="7"/>
      <c r="B25830" s="7"/>
      <c r="M25830" s="9" t="s">
        <v>21</v>
      </c>
    </row>
    <row r="25831" ht="15.75" customHeight="1">
      <c r="A25831" s="7"/>
      <c r="B25831" s="7"/>
      <c r="M25831" s="9" t="s">
        <v>22</v>
      </c>
    </row>
    <row r="25832" ht="15.75" customHeight="1">
      <c r="A25832" s="7"/>
      <c r="B25832" s="7"/>
      <c r="M25832" s="9" t="s">
        <v>27</v>
      </c>
    </row>
    <row r="25833" ht="15.75" customHeight="1">
      <c r="A25833" s="7"/>
      <c r="B25833" s="7"/>
      <c r="M25833" s="9" t="s">
        <v>26</v>
      </c>
    </row>
    <row r="25834" ht="15.75" customHeight="1">
      <c r="A25834" s="7"/>
      <c r="B25834" s="7"/>
      <c r="M25834" s="9" t="s">
        <v>24</v>
      </c>
    </row>
    <row r="25835" ht="15.75" customHeight="1">
      <c r="A25835" s="7"/>
      <c r="B25835" s="7"/>
      <c r="M25835" s="9" t="s">
        <v>21</v>
      </c>
    </row>
    <row r="25836" ht="15.75" customHeight="1">
      <c r="A25836" s="7"/>
      <c r="B25836" s="7"/>
      <c r="M25836" s="9" t="s">
        <v>27</v>
      </c>
    </row>
    <row r="25837" ht="15.75" customHeight="1">
      <c r="A25837" s="7"/>
      <c r="B25837" s="7"/>
      <c r="M25837" s="9" t="s">
        <v>23</v>
      </c>
    </row>
    <row r="25838" ht="15.75" customHeight="1">
      <c r="A25838" s="7"/>
      <c r="B25838" s="7"/>
      <c r="M25838" s="9" t="s">
        <v>36</v>
      </c>
    </row>
    <row r="25839" ht="15.75" customHeight="1">
      <c r="A25839" s="7"/>
      <c r="B25839" s="7"/>
      <c r="M25839" s="9" t="s">
        <v>20</v>
      </c>
    </row>
    <row r="25840" ht="15.75" customHeight="1">
      <c r="A25840" s="7"/>
      <c r="B25840" s="7"/>
      <c r="M25840" s="9" t="s">
        <v>21</v>
      </c>
    </row>
    <row r="25841" ht="15.75" customHeight="1">
      <c r="A25841" s="7"/>
      <c r="B25841" s="7"/>
      <c r="M25841" s="9" t="s">
        <v>22</v>
      </c>
    </row>
    <row r="25842" ht="15.75" customHeight="1">
      <c r="A25842" s="7"/>
      <c r="B25842" s="7"/>
      <c r="M25842" s="9" t="s">
        <v>31</v>
      </c>
    </row>
    <row r="25843" ht="15.75" customHeight="1">
      <c r="A25843" s="7"/>
      <c r="B25843" s="7"/>
      <c r="M25843" s="9" t="s">
        <v>32</v>
      </c>
    </row>
    <row r="25844" ht="15.75" customHeight="1">
      <c r="A25844" s="7"/>
      <c r="B25844" s="7"/>
      <c r="M25844" s="9" t="s">
        <v>30</v>
      </c>
    </row>
    <row r="25845" ht="15.75" customHeight="1">
      <c r="A25845" s="7"/>
      <c r="B25845" s="7"/>
      <c r="M25845" s="9" t="s">
        <v>20</v>
      </c>
    </row>
    <row r="25846" ht="15.75" customHeight="1">
      <c r="A25846" s="7"/>
      <c r="B25846" s="7"/>
      <c r="M25846" s="9" t="s">
        <v>22</v>
      </c>
    </row>
    <row r="25847" ht="15.75" customHeight="1">
      <c r="A25847" s="7"/>
      <c r="B25847" s="7"/>
      <c r="M25847" s="9" t="s">
        <v>29</v>
      </c>
    </row>
    <row r="25848" ht="15.75" customHeight="1">
      <c r="A25848" s="7"/>
      <c r="B25848" s="7"/>
      <c r="M25848" s="9" t="s">
        <v>27</v>
      </c>
    </row>
    <row r="25849" ht="15.75" customHeight="1">
      <c r="A25849" s="7"/>
      <c r="B25849" s="7"/>
      <c r="M25849" s="9" t="s">
        <v>26</v>
      </c>
    </row>
    <row r="25850" ht="15.75" customHeight="1">
      <c r="A25850" s="7"/>
      <c r="B25850" s="7"/>
      <c r="M25850" s="9" t="s">
        <v>36</v>
      </c>
    </row>
    <row r="25851" ht="15.75" customHeight="1">
      <c r="A25851" s="7"/>
      <c r="B25851" s="7"/>
      <c r="M25851" s="9" t="s">
        <v>24</v>
      </c>
    </row>
    <row r="25852" ht="15.75" customHeight="1">
      <c r="A25852" s="7"/>
      <c r="B25852" s="7"/>
      <c r="M25852" s="9" t="s">
        <v>21</v>
      </c>
    </row>
    <row r="25853" ht="15.75" customHeight="1">
      <c r="A25853" s="7"/>
      <c r="B25853" s="7"/>
      <c r="M25853" s="9" t="s">
        <v>22</v>
      </c>
    </row>
    <row r="25854" ht="15.75" customHeight="1">
      <c r="A25854" s="7"/>
      <c r="B25854" s="7"/>
      <c r="M25854" s="9" t="s">
        <v>27</v>
      </c>
    </row>
    <row r="25855" ht="15.75" customHeight="1">
      <c r="A25855" s="7"/>
      <c r="B25855" s="7"/>
      <c r="M25855" s="9" t="s">
        <v>38</v>
      </c>
    </row>
    <row r="25856" ht="15.75" customHeight="1">
      <c r="A25856" s="7"/>
      <c r="B25856" s="7"/>
      <c r="M25856" s="9" t="s">
        <v>30</v>
      </c>
    </row>
    <row r="25857" ht="15.75" customHeight="1">
      <c r="A25857" s="7"/>
      <c r="B25857" s="7"/>
      <c r="M25857" s="9" t="s">
        <v>25</v>
      </c>
    </row>
    <row r="25858" ht="15.75" customHeight="1">
      <c r="A25858" s="7"/>
      <c r="B25858" s="7"/>
      <c r="M25858" s="9" t="s">
        <v>24</v>
      </c>
    </row>
    <row r="25859" ht="15.75" customHeight="1">
      <c r="A25859" s="7"/>
      <c r="B25859" s="7"/>
      <c r="M25859" s="9" t="s">
        <v>20</v>
      </c>
    </row>
    <row r="25860" ht="15.75" customHeight="1">
      <c r="A25860" s="7"/>
      <c r="B25860" s="7"/>
      <c r="M25860" s="9" t="s">
        <v>21</v>
      </c>
    </row>
    <row r="25861" ht="15.75" customHeight="1">
      <c r="A25861" s="7"/>
      <c r="B25861" s="7"/>
      <c r="M25861" s="9" t="s">
        <v>37</v>
      </c>
    </row>
    <row r="25862" ht="15.75" customHeight="1">
      <c r="A25862" s="7"/>
      <c r="B25862" s="7"/>
      <c r="M25862" s="9" t="s">
        <v>22</v>
      </c>
    </row>
    <row r="25863" ht="15.75" customHeight="1">
      <c r="A25863" s="7"/>
      <c r="B25863" s="7"/>
      <c r="M25863" s="9" t="s">
        <v>27</v>
      </c>
    </row>
    <row r="25864" ht="15.75" customHeight="1">
      <c r="A25864" s="7"/>
      <c r="B25864" s="7"/>
      <c r="M25864" s="9" t="s">
        <v>33</v>
      </c>
    </row>
    <row r="25865" ht="15.75" customHeight="1">
      <c r="A25865" s="7"/>
      <c r="B25865" s="7"/>
      <c r="M25865" s="9" t="s">
        <v>24</v>
      </c>
    </row>
    <row r="25866" ht="15.75" customHeight="1">
      <c r="A25866" s="7"/>
      <c r="B25866" s="7"/>
      <c r="M25866" s="9" t="s">
        <v>22</v>
      </c>
    </row>
    <row r="25867" ht="15.75" customHeight="1">
      <c r="A25867" s="7"/>
      <c r="B25867" s="7"/>
      <c r="M25867" s="9" t="s">
        <v>29</v>
      </c>
    </row>
    <row r="25868" ht="15.75" customHeight="1">
      <c r="A25868" s="7"/>
      <c r="B25868" s="7"/>
      <c r="M25868" s="9" t="s">
        <v>27</v>
      </c>
    </row>
    <row r="25869" ht="15.75" customHeight="1">
      <c r="A25869" s="7"/>
      <c r="B25869" s="7"/>
      <c r="M25869" s="9" t="s">
        <v>30</v>
      </c>
    </row>
    <row r="25870" ht="15.75" customHeight="1">
      <c r="A25870" s="7"/>
      <c r="B25870" s="7"/>
      <c r="M25870" s="9" t="s">
        <v>26</v>
      </c>
    </row>
    <row r="25871" ht="15.75" customHeight="1">
      <c r="A25871" s="7"/>
      <c r="B25871" s="7"/>
      <c r="M25871" s="9" t="s">
        <v>24</v>
      </c>
    </row>
    <row r="25872" ht="15.75" customHeight="1">
      <c r="A25872" s="7"/>
      <c r="B25872" s="7"/>
      <c r="M25872" s="9" t="s">
        <v>37</v>
      </c>
    </row>
    <row r="25873" ht="15.75" customHeight="1">
      <c r="A25873" s="7"/>
      <c r="B25873" s="7"/>
      <c r="M25873" s="9" t="s">
        <v>32</v>
      </c>
    </row>
    <row r="25874" ht="15.75" customHeight="1">
      <c r="A25874" s="7"/>
      <c r="B25874" s="7"/>
      <c r="M25874" s="9" t="s">
        <v>27</v>
      </c>
    </row>
    <row r="25875" ht="15.75" customHeight="1">
      <c r="A25875" s="7"/>
      <c r="B25875" s="7"/>
      <c r="M25875" s="9" t="s">
        <v>33</v>
      </c>
    </row>
    <row r="25876" ht="15.75" customHeight="1">
      <c r="A25876" s="7"/>
      <c r="B25876" s="7"/>
      <c r="M25876" s="9" t="s">
        <v>24</v>
      </c>
    </row>
    <row r="25877" ht="15.75" customHeight="1">
      <c r="A25877" s="7"/>
      <c r="B25877" s="7"/>
      <c r="M25877" s="9" t="s">
        <v>21</v>
      </c>
    </row>
    <row r="25878" ht="15.75" customHeight="1">
      <c r="A25878" s="7"/>
      <c r="B25878" s="7"/>
      <c r="M25878" s="9" t="s">
        <v>37</v>
      </c>
    </row>
    <row r="25879" ht="15.75" customHeight="1">
      <c r="A25879" s="7"/>
      <c r="B25879" s="7"/>
      <c r="M25879" s="9" t="s">
        <v>27</v>
      </c>
    </row>
    <row r="25880" ht="15.75" customHeight="1">
      <c r="A25880" s="7"/>
      <c r="B25880" s="7"/>
      <c r="M25880" s="9" t="s">
        <v>33</v>
      </c>
    </row>
    <row r="25881" ht="15.75" customHeight="1">
      <c r="A25881" s="7"/>
      <c r="B25881" s="7"/>
      <c r="M25881" s="9" t="s">
        <v>24</v>
      </c>
    </row>
    <row r="25882" ht="15.75" customHeight="1">
      <c r="A25882" s="7"/>
      <c r="B25882" s="7"/>
      <c r="M25882" s="9" t="s">
        <v>21</v>
      </c>
    </row>
    <row r="25883" ht="15.75" customHeight="1">
      <c r="A25883" s="7"/>
      <c r="B25883" s="7"/>
      <c r="M25883" s="9" t="s">
        <v>37</v>
      </c>
    </row>
    <row r="25884" ht="15.75" customHeight="1">
      <c r="A25884" s="7"/>
      <c r="B25884" s="7"/>
      <c r="M25884" s="9" t="s">
        <v>24</v>
      </c>
    </row>
    <row r="25885" ht="15.75" customHeight="1">
      <c r="A25885" s="7"/>
      <c r="B25885" s="7"/>
      <c r="M25885" s="9" t="s">
        <v>22</v>
      </c>
    </row>
    <row r="25886" ht="15.75" customHeight="1">
      <c r="A25886" s="7"/>
      <c r="B25886" s="7"/>
      <c r="M25886" s="9" t="s">
        <v>30</v>
      </c>
    </row>
    <row r="25887" ht="15.75" customHeight="1">
      <c r="A25887" s="7"/>
      <c r="B25887" s="7"/>
      <c r="M25887" s="9" t="s">
        <v>20</v>
      </c>
    </row>
    <row r="25888" ht="15.75" customHeight="1">
      <c r="A25888" s="7"/>
      <c r="B25888" s="7"/>
      <c r="M25888" s="9" t="s">
        <v>22</v>
      </c>
    </row>
    <row r="25889" ht="15.75" customHeight="1">
      <c r="A25889" s="7"/>
      <c r="B25889" s="7"/>
      <c r="M25889" s="9" t="s">
        <v>25</v>
      </c>
    </row>
    <row r="25890" ht="15.75" customHeight="1">
      <c r="A25890" s="7"/>
      <c r="B25890" s="7"/>
      <c r="M25890" s="9" t="s">
        <v>24</v>
      </c>
    </row>
    <row r="25891" ht="15.75" customHeight="1">
      <c r="A25891" s="7"/>
      <c r="B25891" s="7"/>
      <c r="M25891" s="9" t="s">
        <v>20</v>
      </c>
    </row>
    <row r="25892" ht="15.75" customHeight="1">
      <c r="A25892" s="7"/>
      <c r="B25892" s="7"/>
      <c r="M25892" s="9" t="s">
        <v>21</v>
      </c>
    </row>
    <row r="25893" ht="15.75" customHeight="1">
      <c r="A25893" s="7"/>
      <c r="B25893" s="7"/>
      <c r="M25893" s="9" t="s">
        <v>37</v>
      </c>
    </row>
    <row r="25894" ht="15.75" customHeight="1">
      <c r="A25894" s="7"/>
      <c r="B25894" s="7"/>
      <c r="M25894" s="9" t="s">
        <v>27</v>
      </c>
    </row>
    <row r="25895" ht="15.75" customHeight="1">
      <c r="A25895" s="7"/>
      <c r="B25895" s="7"/>
      <c r="M25895" s="9" t="s">
        <v>23</v>
      </c>
    </row>
    <row r="25896" ht="15.75" customHeight="1">
      <c r="A25896" s="7"/>
      <c r="B25896" s="7"/>
      <c r="M25896" s="9" t="s">
        <v>24</v>
      </c>
    </row>
    <row r="25897" ht="15.75" customHeight="1">
      <c r="A25897" s="7"/>
      <c r="B25897" s="7"/>
      <c r="M25897" s="9" t="s">
        <v>21</v>
      </c>
    </row>
    <row r="25898" ht="15.75" customHeight="1">
      <c r="A25898" s="7"/>
      <c r="B25898" s="7"/>
      <c r="M25898" s="9" t="s">
        <v>22</v>
      </c>
    </row>
    <row r="25899" ht="15.75" customHeight="1">
      <c r="A25899" s="7"/>
      <c r="B25899" s="7"/>
      <c r="M25899" s="9" t="s">
        <v>38</v>
      </c>
    </row>
    <row r="25900" ht="15.75" customHeight="1">
      <c r="A25900" s="7"/>
      <c r="B25900" s="7"/>
      <c r="M25900" s="9" t="s">
        <v>30</v>
      </c>
    </row>
    <row r="25901" ht="15.75" customHeight="1">
      <c r="A25901" s="7"/>
      <c r="B25901" s="7"/>
      <c r="M25901" s="9" t="s">
        <v>24</v>
      </c>
    </row>
    <row r="25902" ht="15.75" customHeight="1">
      <c r="A25902" s="7"/>
      <c r="B25902" s="7"/>
      <c r="M25902" s="9" t="s">
        <v>20</v>
      </c>
    </row>
    <row r="25903" ht="15.75" customHeight="1">
      <c r="A25903" s="7"/>
      <c r="B25903" s="7"/>
      <c r="M25903" s="9" t="s">
        <v>21</v>
      </c>
    </row>
    <row r="25904" ht="15.75" customHeight="1">
      <c r="A25904" s="7"/>
      <c r="B25904" s="7"/>
      <c r="M25904" s="9" t="s">
        <v>31</v>
      </c>
    </row>
    <row r="25905" ht="15.75" customHeight="1">
      <c r="A25905" s="7"/>
      <c r="B25905" s="7"/>
      <c r="M25905" s="9" t="s">
        <v>27</v>
      </c>
    </row>
    <row r="25906" ht="15.75" customHeight="1">
      <c r="A25906" s="7"/>
      <c r="B25906" s="7"/>
      <c r="M25906" s="9" t="s">
        <v>30</v>
      </c>
    </row>
    <row r="25907" ht="15.75" customHeight="1">
      <c r="A25907" s="7"/>
      <c r="B25907" s="7"/>
      <c r="M25907" s="9" t="s">
        <v>24</v>
      </c>
    </row>
    <row r="25908" ht="15.75" customHeight="1">
      <c r="A25908" s="7"/>
      <c r="B25908" s="7"/>
      <c r="M25908" s="9" t="s">
        <v>20</v>
      </c>
    </row>
    <row r="25909" ht="15.75" customHeight="1">
      <c r="A25909" s="7"/>
      <c r="B25909" s="7"/>
      <c r="M25909" s="9" t="s">
        <v>21</v>
      </c>
    </row>
    <row r="25910" ht="15.75" customHeight="1">
      <c r="A25910" s="7"/>
      <c r="B25910" s="7"/>
      <c r="M25910" s="9" t="s">
        <v>22</v>
      </c>
    </row>
    <row r="25911" ht="15.75" customHeight="1">
      <c r="A25911" s="7"/>
      <c r="B25911" s="7"/>
      <c r="M25911" s="9" t="s">
        <v>27</v>
      </c>
    </row>
    <row r="25912" ht="15.75" customHeight="1">
      <c r="A25912" s="7"/>
      <c r="B25912" s="7"/>
      <c r="M25912" s="9" t="s">
        <v>26</v>
      </c>
    </row>
    <row r="25913" ht="15.75" customHeight="1">
      <c r="A25913" s="7"/>
      <c r="B25913" s="7"/>
      <c r="M25913" s="9" t="s">
        <v>45</v>
      </c>
    </row>
    <row r="25914" ht="15.75" customHeight="1">
      <c r="A25914" s="7"/>
      <c r="B25914" s="7"/>
      <c r="M25914" s="9" t="s">
        <v>24</v>
      </c>
    </row>
    <row r="25915" ht="15.75" customHeight="1">
      <c r="A25915" s="7"/>
      <c r="B25915" s="7"/>
      <c r="M25915" s="9" t="s">
        <v>35</v>
      </c>
    </row>
    <row r="25916" ht="15.75" customHeight="1">
      <c r="A25916" s="7"/>
      <c r="B25916" s="7"/>
      <c r="M25916" s="9" t="s">
        <v>36</v>
      </c>
    </row>
    <row r="25917" ht="15.75" customHeight="1">
      <c r="A25917" s="7"/>
      <c r="B25917" s="7"/>
      <c r="M25917" s="9" t="s">
        <v>24</v>
      </c>
    </row>
    <row r="25918" ht="15.75" customHeight="1">
      <c r="A25918" s="7"/>
      <c r="B25918" s="7"/>
      <c r="M25918" s="9" t="s">
        <v>21</v>
      </c>
    </row>
    <row r="25919" ht="15.75" customHeight="1">
      <c r="A25919" s="7"/>
      <c r="B25919" s="7"/>
      <c r="M25919" s="9" t="s">
        <v>37</v>
      </c>
    </row>
    <row r="25920" ht="15.75" customHeight="1">
      <c r="A25920" s="7"/>
      <c r="B25920" s="7"/>
      <c r="M25920" s="9" t="s">
        <v>22</v>
      </c>
    </row>
    <row r="25921" ht="15.75" customHeight="1">
      <c r="A25921" s="7"/>
      <c r="B25921" s="7"/>
      <c r="M25921" s="9" t="s">
        <v>29</v>
      </c>
    </row>
    <row r="25922" ht="15.75" customHeight="1">
      <c r="A25922" s="7"/>
      <c r="B25922" s="7"/>
      <c r="M25922" s="9" t="s">
        <v>27</v>
      </c>
    </row>
    <row r="25923" ht="15.75" customHeight="1">
      <c r="A25923" s="7"/>
      <c r="B25923" s="7"/>
      <c r="M25923" s="9" t="s">
        <v>26</v>
      </c>
    </row>
    <row r="25924" ht="15.75" customHeight="1">
      <c r="A25924" s="7"/>
      <c r="B25924" s="7"/>
      <c r="M25924" s="9" t="s">
        <v>37</v>
      </c>
    </row>
    <row r="25925" ht="15.75" customHeight="1">
      <c r="A25925" s="7"/>
      <c r="B25925" s="7"/>
      <c r="M25925" s="9" t="s">
        <v>26</v>
      </c>
    </row>
    <row r="25926" ht="15.75" customHeight="1">
      <c r="A25926" s="7"/>
      <c r="B25926" s="7"/>
      <c r="M25926" s="9" t="s">
        <v>24</v>
      </c>
    </row>
    <row r="25927" ht="15.75" customHeight="1">
      <c r="A25927" s="7"/>
      <c r="B25927" s="7"/>
      <c r="M25927" s="9" t="s">
        <v>21</v>
      </c>
    </row>
    <row r="25928" ht="15.75" customHeight="1">
      <c r="A25928" s="7"/>
      <c r="B25928" s="7"/>
      <c r="M25928" s="9" t="s">
        <v>37</v>
      </c>
    </row>
    <row r="25929" ht="15.75" customHeight="1">
      <c r="A25929" s="7"/>
      <c r="B25929" s="7"/>
      <c r="M25929" s="9" t="s">
        <v>27</v>
      </c>
    </row>
    <row r="25930" ht="15.75" customHeight="1">
      <c r="A25930" s="7"/>
      <c r="B25930" s="7"/>
      <c r="M25930" s="9" t="s">
        <v>28</v>
      </c>
    </row>
    <row r="25931" ht="15.75" customHeight="1">
      <c r="A25931" s="7"/>
      <c r="B25931" s="7"/>
      <c r="M25931" s="9" t="s">
        <v>30</v>
      </c>
    </row>
    <row r="25932" ht="15.75" customHeight="1">
      <c r="A25932" s="7"/>
      <c r="B25932" s="7"/>
      <c r="M25932" s="9" t="s">
        <v>24</v>
      </c>
    </row>
    <row r="25933" ht="15.75" customHeight="1">
      <c r="A25933" s="7"/>
      <c r="B25933" s="7"/>
      <c r="M25933" s="9" t="s">
        <v>21</v>
      </c>
    </row>
    <row r="25934" ht="15.75" customHeight="1">
      <c r="A25934" s="7"/>
      <c r="B25934" s="7"/>
      <c r="M25934" s="9" t="s">
        <v>33</v>
      </c>
    </row>
    <row r="25935" ht="15.75" customHeight="1">
      <c r="A25935" s="7"/>
      <c r="B25935" s="7"/>
      <c r="M25935" s="9" t="s">
        <v>30</v>
      </c>
    </row>
    <row r="25936" ht="15.75" customHeight="1">
      <c r="A25936" s="7"/>
      <c r="B25936" s="7"/>
      <c r="M25936" s="9" t="s">
        <v>23</v>
      </c>
    </row>
    <row r="25937" ht="15.75" customHeight="1">
      <c r="A25937" s="7"/>
      <c r="B25937" s="7"/>
      <c r="M25937" s="9" t="s">
        <v>26</v>
      </c>
    </row>
    <row r="25938" ht="15.75" customHeight="1">
      <c r="A25938" s="7"/>
      <c r="B25938" s="7"/>
      <c r="M25938" s="9" t="s">
        <v>36</v>
      </c>
    </row>
    <row r="25939" ht="15.75" customHeight="1">
      <c r="A25939" s="7"/>
      <c r="B25939" s="7"/>
      <c r="M25939" s="9" t="s">
        <v>24</v>
      </c>
    </row>
    <row r="25940" ht="15.75" customHeight="1">
      <c r="A25940" s="7"/>
      <c r="B25940" s="7"/>
      <c r="M25940" s="9" t="s">
        <v>21</v>
      </c>
    </row>
    <row r="25941" ht="15.75" customHeight="1">
      <c r="A25941" s="7"/>
      <c r="B25941" s="7"/>
      <c r="M25941" s="9" t="s">
        <v>22</v>
      </c>
    </row>
    <row r="25942" ht="15.75" customHeight="1">
      <c r="A25942" s="7"/>
      <c r="B25942" s="7"/>
      <c r="M25942" s="9" t="s">
        <v>27</v>
      </c>
    </row>
    <row r="25943" ht="15.75" customHeight="1">
      <c r="A25943" s="7"/>
      <c r="B25943" s="7"/>
      <c r="M25943" s="9" t="s">
        <v>33</v>
      </c>
    </row>
    <row r="25944" ht="15.75" customHeight="1">
      <c r="A25944" s="7"/>
      <c r="B25944" s="7"/>
      <c r="M25944" s="9" t="s">
        <v>24</v>
      </c>
    </row>
    <row r="25945" ht="15.75" customHeight="1">
      <c r="A25945" s="7"/>
      <c r="B25945" s="7"/>
      <c r="M25945" s="9" t="s">
        <v>21</v>
      </c>
    </row>
    <row r="25946" ht="15.75" customHeight="1">
      <c r="A25946" s="7"/>
      <c r="B25946" s="7"/>
      <c r="M25946" s="9" t="s">
        <v>33</v>
      </c>
    </row>
    <row r="25947" ht="15.75" customHeight="1">
      <c r="A25947" s="7"/>
      <c r="B25947" s="7"/>
      <c r="M25947" s="9" t="s">
        <v>20</v>
      </c>
    </row>
    <row r="25948" ht="15.75" customHeight="1">
      <c r="A25948" s="7"/>
      <c r="B25948" s="7"/>
      <c r="M25948" s="9" t="s">
        <v>39</v>
      </c>
    </row>
    <row r="25949" ht="15.75" customHeight="1">
      <c r="A25949" s="7"/>
      <c r="B25949" s="7"/>
      <c r="M25949" s="9" t="s">
        <v>30</v>
      </c>
    </row>
    <row r="25950" ht="15.75" customHeight="1">
      <c r="A25950" s="7"/>
      <c r="B25950" s="7"/>
      <c r="M25950" s="9" t="s">
        <v>20</v>
      </c>
    </row>
    <row r="25951" ht="15.75" customHeight="1">
      <c r="A25951" s="7"/>
      <c r="B25951" s="7"/>
      <c r="M25951" s="9" t="s">
        <v>39</v>
      </c>
    </row>
    <row r="25952" ht="15.75" customHeight="1">
      <c r="A25952" s="7"/>
      <c r="B25952" s="7"/>
      <c r="M25952" s="9" t="s">
        <v>22</v>
      </c>
    </row>
    <row r="25953" ht="15.75" customHeight="1">
      <c r="A25953" s="7"/>
      <c r="B25953" s="7"/>
      <c r="M25953" s="9" t="s">
        <v>26</v>
      </c>
    </row>
    <row r="25954" ht="15.75" customHeight="1">
      <c r="A25954" s="7"/>
      <c r="B25954" s="7"/>
      <c r="M25954" s="9" t="s">
        <v>24</v>
      </c>
    </row>
    <row r="25955" ht="15.75" customHeight="1">
      <c r="A25955" s="7"/>
      <c r="B25955" s="7"/>
      <c r="M25955" s="9" t="s">
        <v>21</v>
      </c>
    </row>
    <row r="25956" ht="15.75" customHeight="1">
      <c r="A25956" s="7"/>
      <c r="B25956" s="7"/>
      <c r="M25956" s="9" t="s">
        <v>27</v>
      </c>
    </row>
    <row r="25957" ht="15.75" customHeight="1">
      <c r="A25957" s="7"/>
      <c r="B25957" s="7"/>
      <c r="M25957" s="9" t="s">
        <v>24</v>
      </c>
    </row>
    <row r="25958" ht="15.75" customHeight="1">
      <c r="A25958" s="7"/>
      <c r="B25958" s="7"/>
      <c r="M25958" s="9" t="s">
        <v>21</v>
      </c>
    </row>
    <row r="25959" ht="15.75" customHeight="1">
      <c r="A25959" s="7"/>
      <c r="B25959" s="7"/>
      <c r="M25959" s="9" t="s">
        <v>37</v>
      </c>
    </row>
    <row r="25960" ht="15.75" customHeight="1">
      <c r="A25960" s="7"/>
      <c r="B25960" s="7"/>
      <c r="M25960" s="9" t="s">
        <v>27</v>
      </c>
    </row>
    <row r="25961" ht="15.75" customHeight="1">
      <c r="A25961" s="7"/>
      <c r="B25961" s="7"/>
      <c r="M25961" s="9" t="s">
        <v>30</v>
      </c>
    </row>
    <row r="25962" ht="15.75" customHeight="1">
      <c r="A25962" s="7"/>
      <c r="B25962" s="7"/>
      <c r="M25962" s="9" t="s">
        <v>22</v>
      </c>
    </row>
    <row r="25963" ht="15.75" customHeight="1">
      <c r="A25963" s="7"/>
      <c r="B25963" s="7"/>
      <c r="M25963" s="9" t="s">
        <v>35</v>
      </c>
    </row>
    <row r="25964" ht="15.75" customHeight="1">
      <c r="A25964" s="7"/>
      <c r="B25964" s="7"/>
      <c r="M25964" s="9" t="s">
        <v>26</v>
      </c>
    </row>
    <row r="25965" ht="15.75" customHeight="1">
      <c r="A25965" s="7"/>
      <c r="B25965" s="7"/>
      <c r="M25965" s="9" t="s">
        <v>24</v>
      </c>
    </row>
    <row r="25966" ht="15.75" customHeight="1">
      <c r="A25966" s="7"/>
      <c r="B25966" s="7"/>
      <c r="M25966" s="9" t="s">
        <v>21</v>
      </c>
    </row>
    <row r="25967" ht="15.75" customHeight="1">
      <c r="A25967" s="7"/>
      <c r="B25967" s="7"/>
      <c r="M25967" s="9" t="s">
        <v>22</v>
      </c>
    </row>
    <row r="25968" ht="15.75" customHeight="1">
      <c r="A25968" s="7"/>
      <c r="B25968" s="7"/>
      <c r="M25968" s="9" t="s">
        <v>28</v>
      </c>
    </row>
    <row r="25969" ht="15.75" customHeight="1">
      <c r="A25969" s="7"/>
      <c r="B25969" s="7"/>
      <c r="M25969" s="9" t="s">
        <v>30</v>
      </c>
    </row>
    <row r="25970" ht="15.75" customHeight="1">
      <c r="A25970" s="7"/>
      <c r="B25970" s="7"/>
      <c r="M25970" s="9" t="s">
        <v>25</v>
      </c>
    </row>
    <row r="25971" ht="15.75" customHeight="1">
      <c r="A25971" s="7"/>
      <c r="B25971" s="7"/>
      <c r="M25971" s="9" t="s">
        <v>23</v>
      </c>
    </row>
    <row r="25972" ht="15.75" customHeight="1">
      <c r="A25972" s="7"/>
      <c r="B25972" s="7"/>
      <c r="M25972" s="9" t="s">
        <v>24</v>
      </c>
    </row>
    <row r="25973" ht="15.75" customHeight="1">
      <c r="A25973" s="7"/>
      <c r="B25973" s="7"/>
      <c r="M25973" s="9" t="s">
        <v>35</v>
      </c>
    </row>
    <row r="25974" ht="15.75" customHeight="1">
      <c r="A25974" s="7"/>
      <c r="B25974" s="7"/>
      <c r="M25974" s="9" t="s">
        <v>30</v>
      </c>
    </row>
    <row r="25975" ht="15.75" customHeight="1">
      <c r="A25975" s="7"/>
      <c r="B25975" s="7"/>
      <c r="M25975" s="9" t="s">
        <v>26</v>
      </c>
    </row>
    <row r="25976" ht="15.75" customHeight="1">
      <c r="A25976" s="7"/>
      <c r="B25976" s="7"/>
      <c r="M25976" s="9" t="s">
        <v>24</v>
      </c>
    </row>
    <row r="25977" ht="15.75" customHeight="1">
      <c r="A25977" s="7"/>
      <c r="B25977" s="7"/>
      <c r="M25977" s="9" t="s">
        <v>21</v>
      </c>
    </row>
    <row r="25978" ht="15.75" customHeight="1">
      <c r="A25978" s="7"/>
      <c r="B25978" s="7"/>
      <c r="M25978" s="9" t="s">
        <v>37</v>
      </c>
    </row>
    <row r="25979" ht="15.75" customHeight="1">
      <c r="A25979" s="7"/>
      <c r="B25979" s="7"/>
      <c r="M25979" s="9" t="s">
        <v>27</v>
      </c>
    </row>
    <row r="25980" ht="15.75" customHeight="1">
      <c r="A25980" s="7"/>
      <c r="B25980" s="7"/>
      <c r="M25980" s="9" t="s">
        <v>33</v>
      </c>
    </row>
    <row r="25981" ht="15.75" customHeight="1">
      <c r="A25981" s="7"/>
      <c r="B25981" s="7"/>
      <c r="M25981" s="9" t="s">
        <v>23</v>
      </c>
    </row>
    <row r="25982" ht="15.75" customHeight="1">
      <c r="A25982" s="7"/>
      <c r="B25982" s="7"/>
      <c r="M25982" s="9" t="s">
        <v>22</v>
      </c>
    </row>
    <row r="25983" ht="15.75" customHeight="1">
      <c r="A25983" s="7"/>
      <c r="B25983" s="7"/>
      <c r="M25983" s="9" t="s">
        <v>24</v>
      </c>
    </row>
    <row r="25984" ht="15.75" customHeight="1">
      <c r="A25984" s="7"/>
      <c r="B25984" s="7"/>
      <c r="M25984" s="9" t="s">
        <v>21</v>
      </c>
    </row>
    <row r="25985" ht="15.75" customHeight="1">
      <c r="A25985" s="7"/>
      <c r="B25985" s="7"/>
      <c r="M25985" s="9" t="s">
        <v>22</v>
      </c>
    </row>
    <row r="25986" ht="15.75" customHeight="1">
      <c r="A25986" s="7"/>
      <c r="B25986" s="7"/>
      <c r="M25986" s="9" t="s">
        <v>29</v>
      </c>
    </row>
    <row r="25987" ht="15.75" customHeight="1">
      <c r="A25987" s="7"/>
      <c r="B25987" s="7"/>
      <c r="M25987" s="9" t="s">
        <v>23</v>
      </c>
    </row>
    <row r="25988" ht="15.75" customHeight="1">
      <c r="A25988" s="7"/>
      <c r="B25988" s="7"/>
      <c r="M25988" s="9" t="s">
        <v>24</v>
      </c>
    </row>
    <row r="25989" ht="15.75" customHeight="1">
      <c r="A25989" s="7"/>
      <c r="B25989" s="7"/>
      <c r="M25989" s="9" t="s">
        <v>21</v>
      </c>
    </row>
    <row r="25990" ht="15.75" customHeight="1">
      <c r="A25990" s="7"/>
      <c r="B25990" s="7"/>
      <c r="M25990" s="9" t="s">
        <v>33</v>
      </c>
    </row>
    <row r="25991" ht="15.75" customHeight="1">
      <c r="A25991" s="7"/>
      <c r="B25991" s="7"/>
      <c r="M25991" s="9" t="s">
        <v>21</v>
      </c>
    </row>
    <row r="25992" ht="15.75" customHeight="1">
      <c r="A25992" s="7"/>
      <c r="B25992" s="7"/>
      <c r="M25992" s="9" t="s">
        <v>22</v>
      </c>
    </row>
    <row r="25993" ht="15.75" customHeight="1">
      <c r="A25993" s="7"/>
      <c r="B25993" s="7"/>
      <c r="M25993" s="9" t="s">
        <v>30</v>
      </c>
    </row>
    <row r="25994" ht="15.75" customHeight="1">
      <c r="A25994" s="7"/>
      <c r="B25994" s="7"/>
      <c r="M25994" s="9" t="s">
        <v>24</v>
      </c>
    </row>
    <row r="25995" ht="15.75" customHeight="1">
      <c r="A25995" s="7"/>
      <c r="B25995" s="7"/>
      <c r="M25995" s="9" t="s">
        <v>21</v>
      </c>
    </row>
    <row r="25996" ht="15.75" customHeight="1">
      <c r="A25996" s="7"/>
      <c r="B25996" s="7"/>
      <c r="M25996" s="9" t="s">
        <v>41</v>
      </c>
    </row>
    <row r="25997" ht="15.75" customHeight="1">
      <c r="A25997" s="7"/>
      <c r="B25997" s="7"/>
      <c r="M25997" s="9" t="s">
        <v>40</v>
      </c>
    </row>
    <row r="25998" ht="15.75" customHeight="1">
      <c r="A25998" s="7"/>
      <c r="B25998" s="7"/>
      <c r="M25998" s="9" t="s">
        <v>24</v>
      </c>
    </row>
    <row r="25999" ht="15.75" customHeight="1">
      <c r="A25999" s="7"/>
      <c r="B25999" s="7"/>
      <c r="M25999" s="9" t="s">
        <v>21</v>
      </c>
    </row>
    <row r="26000" ht="15.75" customHeight="1">
      <c r="A26000" s="7"/>
      <c r="B26000" s="7"/>
      <c r="M26000" s="9" t="s">
        <v>22</v>
      </c>
    </row>
    <row r="26001" ht="15.75" customHeight="1">
      <c r="A26001" s="7"/>
      <c r="B26001" s="7"/>
      <c r="M26001" s="9" t="s">
        <v>31</v>
      </c>
    </row>
    <row r="26002" ht="15.75" customHeight="1">
      <c r="A26002" s="7"/>
      <c r="B26002" s="7"/>
      <c r="M26002" s="9" t="s">
        <v>40</v>
      </c>
    </row>
    <row r="26003" ht="15.75" customHeight="1">
      <c r="A26003" s="7"/>
      <c r="B26003" s="7"/>
      <c r="M26003" s="9" t="s">
        <v>30</v>
      </c>
    </row>
    <row r="26004" ht="15.75" customHeight="1">
      <c r="A26004" s="7"/>
      <c r="B26004" s="7"/>
      <c r="M26004" s="9" t="s">
        <v>24</v>
      </c>
    </row>
    <row r="26005" ht="15.75" customHeight="1">
      <c r="A26005" s="7"/>
      <c r="B26005" s="7"/>
      <c r="M26005" s="9" t="s">
        <v>21</v>
      </c>
    </row>
    <row r="26006" ht="15.75" customHeight="1">
      <c r="A26006" s="7"/>
      <c r="B26006" s="7"/>
      <c r="M26006" s="9" t="s">
        <v>37</v>
      </c>
    </row>
    <row r="26007" ht="15.75" customHeight="1">
      <c r="A26007" s="7"/>
      <c r="B26007" s="7"/>
      <c r="M26007" s="9" t="s">
        <v>30</v>
      </c>
    </row>
    <row r="26008" ht="15.75" customHeight="1">
      <c r="A26008" s="7"/>
      <c r="B26008" s="7"/>
      <c r="M26008" s="9" t="s">
        <v>25</v>
      </c>
    </row>
    <row r="26009" ht="15.75" customHeight="1">
      <c r="A26009" s="7"/>
      <c r="B26009" s="7"/>
      <c r="M26009" s="9" t="s">
        <v>20</v>
      </c>
    </row>
    <row r="26010" ht="15.75" customHeight="1">
      <c r="A26010" s="7"/>
      <c r="B26010" s="7"/>
      <c r="M26010" s="9" t="s">
        <v>27</v>
      </c>
    </row>
    <row r="26011" ht="15.75" customHeight="1">
      <c r="A26011" s="7"/>
      <c r="B26011" s="7"/>
      <c r="M26011" s="9" t="s">
        <v>30</v>
      </c>
    </row>
    <row r="26012" ht="15.75" customHeight="1">
      <c r="A26012" s="7"/>
      <c r="B26012" s="7"/>
      <c r="M26012" s="9" t="s">
        <v>25</v>
      </c>
    </row>
    <row r="26013" ht="15.75" customHeight="1">
      <c r="A26013" s="7"/>
      <c r="B26013" s="7"/>
      <c r="M26013" s="9" t="s">
        <v>23</v>
      </c>
    </row>
    <row r="26014" ht="15.75" customHeight="1">
      <c r="A26014" s="7"/>
      <c r="B26014" s="7"/>
      <c r="M26014" s="9" t="s">
        <v>42</v>
      </c>
    </row>
    <row r="26015" ht="15.75" customHeight="1">
      <c r="A26015" s="7"/>
      <c r="B26015" s="7"/>
      <c r="M26015" s="9" t="s">
        <v>36</v>
      </c>
    </row>
    <row r="26016" ht="15.75" customHeight="1">
      <c r="A26016" s="7"/>
      <c r="B26016" s="7"/>
      <c r="M26016" s="9" t="s">
        <v>24</v>
      </c>
    </row>
    <row r="26017" ht="15.75" customHeight="1">
      <c r="A26017" s="7"/>
      <c r="B26017" s="7"/>
      <c r="M26017" s="9" t="s">
        <v>20</v>
      </c>
    </row>
    <row r="26018" ht="15.75" customHeight="1">
      <c r="A26018" s="7"/>
      <c r="B26018" s="7"/>
      <c r="M26018" s="9" t="s">
        <v>21</v>
      </c>
    </row>
    <row r="26019" ht="15.75" customHeight="1">
      <c r="A26019" s="7"/>
      <c r="B26019" s="7"/>
      <c r="M26019" s="9" t="s">
        <v>22</v>
      </c>
    </row>
    <row r="26020" ht="15.75" customHeight="1">
      <c r="A26020" s="7"/>
      <c r="B26020" s="7"/>
      <c r="M26020" s="9" t="s">
        <v>31</v>
      </c>
    </row>
    <row r="26021" ht="15.75" customHeight="1">
      <c r="A26021" s="7"/>
      <c r="B26021" s="7"/>
      <c r="M26021" s="9" t="s">
        <v>27</v>
      </c>
    </row>
    <row r="26022" ht="15.75" customHeight="1">
      <c r="A26022" s="7"/>
      <c r="B26022" s="7"/>
      <c r="M26022" s="9" t="s">
        <v>33</v>
      </c>
    </row>
    <row r="26023" ht="15.75" customHeight="1">
      <c r="A26023" s="7"/>
      <c r="B26023" s="7"/>
      <c r="M26023" s="9" t="s">
        <v>25</v>
      </c>
    </row>
    <row r="26024" ht="15.75" customHeight="1">
      <c r="A26024" s="7"/>
      <c r="B26024" s="7"/>
      <c r="M26024" s="9" t="s">
        <v>23</v>
      </c>
    </row>
    <row r="26025" ht="15.75" customHeight="1">
      <c r="A26025" s="7"/>
      <c r="B26025" s="7"/>
      <c r="M26025" s="9" t="s">
        <v>24</v>
      </c>
    </row>
    <row r="26026" ht="15.75" customHeight="1">
      <c r="A26026" s="7"/>
      <c r="B26026" s="7"/>
      <c r="M26026" s="9" t="s">
        <v>21</v>
      </c>
    </row>
    <row r="26027" ht="15.75" customHeight="1">
      <c r="A26027" s="7"/>
      <c r="B26027" s="7"/>
      <c r="M26027" s="9" t="s">
        <v>41</v>
      </c>
    </row>
    <row r="26028" ht="15.75" customHeight="1">
      <c r="A26028" s="7"/>
      <c r="B26028" s="7"/>
      <c r="M26028" s="9" t="s">
        <v>40</v>
      </c>
    </row>
    <row r="26029" ht="15.75" customHeight="1">
      <c r="A26029" s="7"/>
      <c r="B26029" s="7"/>
      <c r="M26029" s="9" t="s">
        <v>30</v>
      </c>
    </row>
    <row r="26030" ht="15.75" customHeight="1">
      <c r="A26030" s="7"/>
      <c r="B26030" s="7"/>
      <c r="M26030" s="9" t="s">
        <v>25</v>
      </c>
    </row>
    <row r="26031" ht="15.75" customHeight="1">
      <c r="A26031" s="7"/>
      <c r="B26031" s="7"/>
      <c r="M26031" s="9" t="s">
        <v>36</v>
      </c>
    </row>
    <row r="26032" ht="15.75" customHeight="1">
      <c r="A26032" s="7"/>
      <c r="B26032" s="7"/>
      <c r="M26032" s="9" t="s">
        <v>24</v>
      </c>
    </row>
    <row r="26033" ht="15.75" customHeight="1">
      <c r="A26033" s="7"/>
      <c r="B26033" s="7"/>
      <c r="M26033" s="9" t="s">
        <v>20</v>
      </c>
    </row>
    <row r="26034" ht="15.75" customHeight="1">
      <c r="A26034" s="7"/>
      <c r="B26034" s="7"/>
      <c r="M26034" s="9" t="s">
        <v>21</v>
      </c>
    </row>
    <row r="26035" ht="15.75" customHeight="1">
      <c r="A26035" s="7"/>
      <c r="B26035" s="7"/>
      <c r="M26035" s="9" t="s">
        <v>22</v>
      </c>
    </row>
    <row r="26036" ht="15.75" customHeight="1">
      <c r="A26036" s="7"/>
      <c r="B26036" s="7"/>
      <c r="M26036" s="9" t="s">
        <v>27</v>
      </c>
    </row>
    <row r="26037" ht="15.75" customHeight="1">
      <c r="A26037" s="7"/>
      <c r="B26037" s="7"/>
      <c r="M26037" s="9" t="s">
        <v>28</v>
      </c>
    </row>
    <row r="26038" ht="15.75" customHeight="1">
      <c r="A26038" s="7"/>
      <c r="B26038" s="7"/>
      <c r="M26038" s="9" t="s">
        <v>30</v>
      </c>
    </row>
    <row r="26039" ht="15.75" customHeight="1">
      <c r="A26039" s="7"/>
      <c r="B26039" s="7"/>
      <c r="M26039" s="9" t="s">
        <v>42</v>
      </c>
    </row>
    <row r="26040" ht="15.75" customHeight="1">
      <c r="A26040" s="7"/>
      <c r="B26040" s="7"/>
      <c r="M26040" s="9" t="s">
        <v>36</v>
      </c>
    </row>
    <row r="26041" ht="15.75" customHeight="1">
      <c r="A26041" s="7"/>
      <c r="B26041" s="7"/>
      <c r="M26041" s="9" t="s">
        <v>24</v>
      </c>
    </row>
    <row r="26042" ht="15.75" customHeight="1">
      <c r="A26042" s="7"/>
      <c r="B26042" s="7"/>
      <c r="M26042" s="9" t="s">
        <v>21</v>
      </c>
    </row>
    <row r="26043" ht="15.75" customHeight="1">
      <c r="A26043" s="7"/>
      <c r="B26043" s="7"/>
      <c r="M26043" s="9" t="s">
        <v>37</v>
      </c>
    </row>
    <row r="26044" ht="15.75" customHeight="1">
      <c r="A26044" s="7"/>
      <c r="B26044" s="7"/>
      <c r="M26044" s="9" t="s">
        <v>22</v>
      </c>
    </row>
    <row r="26045" ht="15.75" customHeight="1">
      <c r="A26045" s="7"/>
      <c r="B26045" s="7"/>
      <c r="M26045" s="9" t="s">
        <v>31</v>
      </c>
    </row>
    <row r="26046" ht="15.75" customHeight="1">
      <c r="A26046" s="7"/>
      <c r="B26046" s="7"/>
      <c r="M26046" s="9" t="s">
        <v>27</v>
      </c>
    </row>
    <row r="26047" ht="15.75" customHeight="1">
      <c r="A26047" s="7"/>
      <c r="B26047" s="7"/>
      <c r="M26047" s="9" t="s">
        <v>38</v>
      </c>
    </row>
    <row r="26048" ht="15.75" customHeight="1">
      <c r="A26048" s="7"/>
      <c r="B26048" s="7"/>
      <c r="M26048" s="9" t="s">
        <v>25</v>
      </c>
    </row>
    <row r="26049" ht="15.75" customHeight="1">
      <c r="A26049" s="7"/>
      <c r="B26049" s="7"/>
      <c r="M26049" s="9" t="s">
        <v>22</v>
      </c>
    </row>
    <row r="26050" ht="15.75" customHeight="1">
      <c r="A26050" s="7"/>
      <c r="B26050" s="7"/>
      <c r="M26050" s="9" t="s">
        <v>29</v>
      </c>
    </row>
    <row r="26051" ht="15.75" customHeight="1">
      <c r="A26051" s="7"/>
      <c r="B26051" s="7"/>
      <c r="M26051" s="9" t="s">
        <v>26</v>
      </c>
    </row>
    <row r="26052" ht="15.75" customHeight="1">
      <c r="A26052" s="7"/>
      <c r="B26052" s="7"/>
      <c r="M26052" s="9" t="s">
        <v>21</v>
      </c>
    </row>
    <row r="26053" ht="15.75" customHeight="1">
      <c r="A26053" s="7"/>
      <c r="B26053" s="7"/>
      <c r="M26053" s="9" t="s">
        <v>46</v>
      </c>
    </row>
    <row r="26054" ht="15.75" customHeight="1">
      <c r="A26054" s="7"/>
      <c r="B26054" s="7"/>
      <c r="M26054" s="9" t="s">
        <v>30</v>
      </c>
    </row>
    <row r="26055" ht="15.75" customHeight="1">
      <c r="A26055" s="7"/>
      <c r="B26055" s="7"/>
      <c r="M26055" s="9" t="s">
        <v>24</v>
      </c>
    </row>
    <row r="26056" ht="15.75" customHeight="1">
      <c r="A26056" s="7"/>
      <c r="B26056" s="7"/>
      <c r="M26056" s="9" t="s">
        <v>20</v>
      </c>
    </row>
    <row r="26057" ht="15.75" customHeight="1">
      <c r="A26057" s="7"/>
      <c r="B26057" s="7"/>
      <c r="M26057" s="9" t="s">
        <v>21</v>
      </c>
    </row>
    <row r="26058" ht="15.75" customHeight="1">
      <c r="A26058" s="7"/>
      <c r="B26058" s="7"/>
      <c r="M26058" s="9" t="s">
        <v>39</v>
      </c>
    </row>
    <row r="26059" ht="15.75" customHeight="1">
      <c r="A26059" s="7"/>
      <c r="B26059" s="7"/>
      <c r="M26059" s="9" t="s">
        <v>27</v>
      </c>
    </row>
    <row r="26060" ht="15.75" customHeight="1">
      <c r="A26060" s="7"/>
      <c r="B26060" s="7"/>
      <c r="M26060" s="9" t="s">
        <v>33</v>
      </c>
    </row>
    <row r="26061" ht="15.75" customHeight="1">
      <c r="A26061" s="7"/>
      <c r="B26061" s="7"/>
      <c r="M26061" s="9" t="s">
        <v>30</v>
      </c>
    </row>
    <row r="26062" ht="15.75" customHeight="1">
      <c r="A26062" s="7"/>
      <c r="B26062" s="7"/>
      <c r="M26062" s="9" t="s">
        <v>25</v>
      </c>
    </row>
    <row r="26063" ht="15.75" customHeight="1">
      <c r="A26063" s="7"/>
      <c r="B26063" s="7"/>
      <c r="M26063" s="9" t="s">
        <v>20</v>
      </c>
    </row>
    <row r="26064" ht="15.75" customHeight="1">
      <c r="A26064" s="7"/>
      <c r="B26064" s="7"/>
      <c r="M26064" s="9" t="s">
        <v>21</v>
      </c>
    </row>
    <row r="26065" ht="15.75" customHeight="1">
      <c r="A26065" s="7"/>
      <c r="B26065" s="7"/>
      <c r="M26065" s="9" t="s">
        <v>22</v>
      </c>
    </row>
    <row r="26066" ht="15.75" customHeight="1">
      <c r="A26066" s="7"/>
      <c r="B26066" s="7"/>
      <c r="M26066" s="9" t="s">
        <v>27</v>
      </c>
    </row>
    <row r="26067" ht="15.75" customHeight="1">
      <c r="A26067" s="7"/>
      <c r="B26067" s="7"/>
      <c r="M26067" s="9" t="s">
        <v>41</v>
      </c>
    </row>
    <row r="26068" ht="15.75" customHeight="1">
      <c r="A26068" s="7"/>
      <c r="B26068" s="7"/>
      <c r="M26068" s="9" t="s">
        <v>25</v>
      </c>
    </row>
    <row r="26069" ht="15.75" customHeight="1">
      <c r="A26069" s="7"/>
      <c r="B26069" s="7"/>
      <c r="M26069" s="9" t="s">
        <v>23</v>
      </c>
    </row>
    <row r="26070" ht="15.75" customHeight="1">
      <c r="A26070" s="7"/>
      <c r="B26070" s="7"/>
      <c r="M26070" s="9" t="s">
        <v>45</v>
      </c>
    </row>
    <row r="26071" ht="15.75" customHeight="1">
      <c r="A26071" s="7"/>
      <c r="B26071" s="7"/>
      <c r="M26071" s="9" t="s">
        <v>24</v>
      </c>
    </row>
    <row r="26072" ht="15.75" customHeight="1">
      <c r="A26072" s="7"/>
      <c r="B26072" s="7"/>
      <c r="M26072" s="9" t="s">
        <v>20</v>
      </c>
    </row>
    <row r="26073" ht="15.75" customHeight="1">
      <c r="A26073" s="7"/>
      <c r="B26073" s="7"/>
      <c r="M26073" s="9" t="s">
        <v>21</v>
      </c>
    </row>
    <row r="26074" ht="15.75" customHeight="1">
      <c r="A26074" s="7"/>
      <c r="B26074" s="7"/>
      <c r="M26074" s="9" t="s">
        <v>41</v>
      </c>
    </row>
    <row r="26075" ht="15.75" customHeight="1">
      <c r="A26075" s="7"/>
      <c r="B26075" s="7"/>
      <c r="M26075" s="9" t="s">
        <v>37</v>
      </c>
    </row>
    <row r="26076" ht="15.75" customHeight="1">
      <c r="A26076" s="7"/>
      <c r="B26076" s="7"/>
      <c r="M26076" s="9" t="s">
        <v>22</v>
      </c>
    </row>
    <row r="26077" ht="15.75" customHeight="1">
      <c r="A26077" s="7"/>
      <c r="B26077" s="7"/>
      <c r="M26077" s="9" t="s">
        <v>27</v>
      </c>
    </row>
    <row r="26078" ht="15.75" customHeight="1">
      <c r="A26078" s="7"/>
      <c r="B26078" s="7"/>
      <c r="M26078" s="9" t="s">
        <v>40</v>
      </c>
    </row>
    <row r="26079" ht="15.75" customHeight="1">
      <c r="A26079" s="7"/>
      <c r="B26079" s="7"/>
      <c r="M26079" s="9" t="s">
        <v>26</v>
      </c>
    </row>
    <row r="26080" ht="15.75" customHeight="1">
      <c r="A26080" s="7"/>
      <c r="B26080" s="7"/>
      <c r="M26080" s="9" t="s">
        <v>24</v>
      </c>
    </row>
    <row r="26081" ht="15.75" customHeight="1">
      <c r="A26081" s="7"/>
      <c r="B26081" s="7"/>
      <c r="M26081" s="9" t="s">
        <v>21</v>
      </c>
    </row>
    <row r="26082" ht="15.75" customHeight="1">
      <c r="A26082" s="7"/>
      <c r="B26082" s="7"/>
      <c r="M26082" s="9" t="s">
        <v>27</v>
      </c>
    </row>
    <row r="26083" ht="15.75" customHeight="1">
      <c r="A26083" s="7"/>
      <c r="B26083" s="7"/>
      <c r="M26083" s="9" t="s">
        <v>30</v>
      </c>
    </row>
    <row r="26084" ht="15.75" customHeight="1">
      <c r="A26084" s="7"/>
      <c r="B26084" s="7"/>
      <c r="M26084" s="9" t="s">
        <v>23</v>
      </c>
    </row>
    <row r="26085" ht="15.75" customHeight="1">
      <c r="A26085" s="7"/>
      <c r="B26085" s="7"/>
      <c r="M26085" s="9" t="s">
        <v>22</v>
      </c>
    </row>
    <row r="26086" ht="15.75" customHeight="1">
      <c r="A26086" s="7"/>
      <c r="B26086" s="7"/>
      <c r="M26086" s="9" t="s">
        <v>31</v>
      </c>
    </row>
    <row r="26087" ht="15.75" customHeight="1">
      <c r="A26087" s="7"/>
      <c r="B26087" s="7"/>
      <c r="M26087" s="9" t="s">
        <v>46</v>
      </c>
    </row>
    <row r="26088" ht="15.75" customHeight="1">
      <c r="A26088" s="7"/>
      <c r="B26088" s="7"/>
      <c r="M26088" s="9" t="s">
        <v>26</v>
      </c>
    </row>
    <row r="26089" ht="15.75" customHeight="1">
      <c r="A26089" s="7"/>
      <c r="B26089" s="7"/>
      <c r="M26089" s="9" t="s">
        <v>24</v>
      </c>
    </row>
    <row r="26090" ht="15.75" customHeight="1">
      <c r="A26090" s="7"/>
      <c r="B26090" s="7"/>
      <c r="M26090" s="9" t="s">
        <v>21</v>
      </c>
    </row>
    <row r="26091" ht="15.75" customHeight="1">
      <c r="A26091" s="7"/>
      <c r="B26091" s="7"/>
      <c r="M26091" s="9" t="s">
        <v>27</v>
      </c>
    </row>
    <row r="26092" ht="15.75" customHeight="1">
      <c r="A26092" s="7"/>
      <c r="B26092" s="7"/>
      <c r="M26092" s="9" t="s">
        <v>33</v>
      </c>
    </row>
    <row r="26093" ht="15.75" customHeight="1">
      <c r="A26093" s="7"/>
      <c r="B26093" s="7"/>
      <c r="M26093" s="9" t="s">
        <v>20</v>
      </c>
    </row>
    <row r="26094" ht="15.75" customHeight="1">
      <c r="A26094" s="7"/>
      <c r="B26094" s="7"/>
      <c r="M26094" s="9" t="s">
        <v>22</v>
      </c>
    </row>
    <row r="26095" ht="15.75" customHeight="1">
      <c r="A26095" s="7"/>
      <c r="B26095" s="7"/>
      <c r="M26095" s="9" t="s">
        <v>29</v>
      </c>
    </row>
    <row r="26096" ht="15.75" customHeight="1">
      <c r="A26096" s="7"/>
      <c r="B26096" s="7"/>
      <c r="M26096" s="9" t="s">
        <v>27</v>
      </c>
    </row>
    <row r="26097" ht="15.75" customHeight="1">
      <c r="A26097" s="7"/>
      <c r="B26097" s="7"/>
      <c r="M26097" s="9" t="s">
        <v>20</v>
      </c>
    </row>
    <row r="26098" ht="15.75" customHeight="1">
      <c r="A26098" s="7"/>
      <c r="B26098" s="7"/>
      <c r="M26098" s="9" t="s">
        <v>21</v>
      </c>
    </row>
    <row r="26099" ht="15.75" customHeight="1">
      <c r="A26099" s="7"/>
      <c r="B26099" s="7"/>
      <c r="M26099" s="9" t="s">
        <v>39</v>
      </c>
    </row>
    <row r="26100" ht="15.75" customHeight="1">
      <c r="A26100" s="7"/>
      <c r="B26100" s="7"/>
      <c r="M26100" s="9" t="s">
        <v>33</v>
      </c>
    </row>
    <row r="26101" ht="15.75" customHeight="1">
      <c r="A26101" s="7"/>
      <c r="B26101" s="7"/>
      <c r="M26101" s="9" t="s">
        <v>23</v>
      </c>
    </row>
    <row r="26102" ht="15.75" customHeight="1">
      <c r="A26102" s="7"/>
      <c r="B26102" s="7"/>
      <c r="M26102" s="9" t="s">
        <v>26</v>
      </c>
    </row>
    <row r="26103" ht="15.75" customHeight="1">
      <c r="A26103" s="7"/>
      <c r="B26103" s="7"/>
      <c r="M26103" s="9" t="s">
        <v>28</v>
      </c>
    </row>
    <row r="26104" ht="15.75" customHeight="1">
      <c r="A26104" s="7"/>
      <c r="B26104" s="7"/>
      <c r="M26104" s="9" t="s">
        <v>30</v>
      </c>
    </row>
    <row r="26105" ht="15.75" customHeight="1">
      <c r="A26105" s="7"/>
      <c r="B26105" s="7"/>
      <c r="M26105" s="9" t="s">
        <v>22</v>
      </c>
    </row>
    <row r="26106" ht="15.75" customHeight="1">
      <c r="A26106" s="7"/>
      <c r="B26106" s="7"/>
      <c r="M26106" s="9" t="s">
        <v>27</v>
      </c>
    </row>
    <row r="26107" ht="15.75" customHeight="1">
      <c r="A26107" s="7"/>
      <c r="B26107" s="7"/>
      <c r="M26107" s="9" t="s">
        <v>36</v>
      </c>
    </row>
    <row r="26108" ht="15.75" customHeight="1">
      <c r="A26108" s="7"/>
      <c r="B26108" s="7"/>
      <c r="M26108" s="9" t="s">
        <v>24</v>
      </c>
    </row>
    <row r="26109" ht="15.75" customHeight="1">
      <c r="A26109" s="7"/>
      <c r="B26109" s="7"/>
      <c r="M26109" s="9" t="s">
        <v>21</v>
      </c>
    </row>
    <row r="26110" ht="15.75" customHeight="1">
      <c r="A26110" s="7"/>
      <c r="B26110" s="7"/>
      <c r="M26110" s="9" t="s">
        <v>37</v>
      </c>
    </row>
    <row r="26111" ht="15.75" customHeight="1">
      <c r="A26111" s="7"/>
      <c r="B26111" s="7"/>
      <c r="M26111" s="9" t="s">
        <v>30</v>
      </c>
    </row>
    <row r="26112" ht="15.75" customHeight="1">
      <c r="A26112" s="7"/>
      <c r="B26112" s="7"/>
      <c r="M26112" s="9" t="s">
        <v>25</v>
      </c>
    </row>
    <row r="26113" ht="15.75" customHeight="1">
      <c r="A26113" s="7"/>
      <c r="B26113" s="7"/>
      <c r="M26113" s="9" t="s">
        <v>23</v>
      </c>
    </row>
    <row r="26114" ht="15.75" customHeight="1">
      <c r="A26114" s="7"/>
      <c r="B26114" s="7"/>
      <c r="M26114" s="9" t="s">
        <v>26</v>
      </c>
    </row>
    <row r="26115" ht="15.75" customHeight="1">
      <c r="A26115" s="7"/>
      <c r="B26115" s="7"/>
      <c r="M26115" s="9" t="s">
        <v>47</v>
      </c>
    </row>
    <row r="26116" ht="15.75" customHeight="1">
      <c r="A26116" s="7"/>
      <c r="B26116" s="7"/>
      <c r="M26116" s="9" t="s">
        <v>24</v>
      </c>
    </row>
    <row r="26117" ht="15.75" customHeight="1">
      <c r="A26117" s="7"/>
      <c r="B26117" s="7"/>
      <c r="M26117" s="9" t="s">
        <v>20</v>
      </c>
    </row>
    <row r="26118" ht="15.75" customHeight="1">
      <c r="A26118" s="7"/>
      <c r="B26118" s="7"/>
      <c r="M26118" s="9" t="s">
        <v>21</v>
      </c>
    </row>
    <row r="26119" ht="15.75" customHeight="1">
      <c r="A26119" s="7"/>
      <c r="B26119" s="7"/>
      <c r="M26119" s="9" t="s">
        <v>39</v>
      </c>
    </row>
    <row r="26120" ht="15.75" customHeight="1">
      <c r="A26120" s="7"/>
      <c r="B26120" s="7"/>
      <c r="M26120" s="9" t="s">
        <v>27</v>
      </c>
    </row>
    <row r="26121" ht="15.75" customHeight="1">
      <c r="A26121" s="7"/>
      <c r="B26121" s="7"/>
      <c r="M26121" s="9" t="s">
        <v>38</v>
      </c>
    </row>
    <row r="26122" ht="15.75" customHeight="1">
      <c r="A26122" s="7"/>
      <c r="B26122" s="7"/>
      <c r="M26122" s="9" t="s">
        <v>24</v>
      </c>
    </row>
    <row r="26123" ht="15.75" customHeight="1">
      <c r="A26123" s="7"/>
      <c r="B26123" s="7"/>
      <c r="M26123" s="9" t="s">
        <v>21</v>
      </c>
    </row>
    <row r="26124" ht="15.75" customHeight="1">
      <c r="A26124" s="7"/>
      <c r="B26124" s="7"/>
      <c r="M26124" s="9" t="s">
        <v>39</v>
      </c>
    </row>
    <row r="26125" ht="15.75" customHeight="1">
      <c r="A26125" s="7"/>
      <c r="B26125" s="7"/>
      <c r="M26125" s="9" t="s">
        <v>41</v>
      </c>
    </row>
    <row r="26126" ht="15.75" customHeight="1">
      <c r="A26126" s="7"/>
      <c r="B26126" s="7"/>
      <c r="M26126" s="9" t="s">
        <v>22</v>
      </c>
    </row>
    <row r="26127" ht="15.75" customHeight="1">
      <c r="A26127" s="7"/>
      <c r="B26127" s="7"/>
      <c r="M26127" s="9" t="s">
        <v>27</v>
      </c>
    </row>
    <row r="26128" ht="15.75" customHeight="1">
      <c r="A26128" s="7"/>
      <c r="B26128" s="7"/>
      <c r="M26128" s="9" t="s">
        <v>40</v>
      </c>
    </row>
    <row r="26129" ht="15.75" customHeight="1">
      <c r="A26129" s="7"/>
      <c r="B26129" s="7"/>
      <c r="M26129" s="9" t="s">
        <v>33</v>
      </c>
    </row>
    <row r="26130" ht="15.75" customHeight="1">
      <c r="A26130" s="7"/>
      <c r="B26130" s="7"/>
      <c r="M26130" s="9" t="s">
        <v>38</v>
      </c>
    </row>
    <row r="26131" ht="15.75" customHeight="1">
      <c r="A26131" s="7"/>
      <c r="B26131" s="7"/>
      <c r="M26131" s="9" t="s">
        <v>30</v>
      </c>
    </row>
    <row r="26132" ht="15.75" customHeight="1">
      <c r="A26132" s="7"/>
      <c r="B26132" s="7"/>
      <c r="M26132" s="9" t="s">
        <v>25</v>
      </c>
    </row>
    <row r="26133" ht="15.75" customHeight="1">
      <c r="A26133" s="7"/>
      <c r="B26133" s="7"/>
      <c r="M26133" s="9" t="s">
        <v>23</v>
      </c>
    </row>
    <row r="26134" ht="15.75" customHeight="1">
      <c r="A26134" s="7"/>
      <c r="B26134" s="7"/>
      <c r="M26134" s="9" t="s">
        <v>24</v>
      </c>
    </row>
    <row r="26135" ht="15.75" customHeight="1">
      <c r="A26135" s="7"/>
      <c r="B26135" s="7"/>
      <c r="M26135" s="9" t="s">
        <v>20</v>
      </c>
    </row>
    <row r="26136" ht="15.75" customHeight="1">
      <c r="A26136" s="7"/>
      <c r="B26136" s="7"/>
      <c r="M26136" s="9" t="s">
        <v>21</v>
      </c>
    </row>
    <row r="26137" ht="15.75" customHeight="1">
      <c r="A26137" s="7"/>
      <c r="B26137" s="7"/>
      <c r="M26137" s="9" t="s">
        <v>27</v>
      </c>
    </row>
    <row r="26138" ht="15.75" customHeight="1">
      <c r="A26138" s="7"/>
      <c r="B26138" s="7"/>
      <c r="M26138" s="9" t="s">
        <v>40</v>
      </c>
    </row>
    <row r="26139" ht="15.75" customHeight="1">
      <c r="A26139" s="7"/>
      <c r="B26139" s="7"/>
      <c r="M26139" s="9" t="s">
        <v>24</v>
      </c>
    </row>
    <row r="26140" ht="15.75" customHeight="1">
      <c r="A26140" s="7"/>
      <c r="B26140" s="7"/>
      <c r="M26140" s="9" t="s">
        <v>20</v>
      </c>
    </row>
    <row r="26141" ht="15.75" customHeight="1">
      <c r="A26141" s="7"/>
      <c r="B26141" s="7"/>
      <c r="M26141" s="9" t="s">
        <v>21</v>
      </c>
    </row>
    <row r="26142" ht="15.75" customHeight="1">
      <c r="A26142" s="7"/>
      <c r="B26142" s="7"/>
      <c r="M26142" s="9" t="s">
        <v>30</v>
      </c>
    </row>
    <row r="26143" ht="15.75" customHeight="1">
      <c r="A26143" s="7"/>
      <c r="B26143" s="7"/>
      <c r="M26143" s="9" t="s">
        <v>26</v>
      </c>
    </row>
    <row r="26144" ht="15.75" customHeight="1">
      <c r="A26144" s="7"/>
      <c r="B26144" s="7"/>
      <c r="M26144" s="9" t="s">
        <v>24</v>
      </c>
    </row>
    <row r="26145" ht="15.75" customHeight="1">
      <c r="A26145" s="7"/>
      <c r="B26145" s="7"/>
      <c r="M26145" s="9" t="s">
        <v>21</v>
      </c>
    </row>
    <row r="26146" ht="15.75" customHeight="1">
      <c r="A26146" s="7"/>
      <c r="B26146" s="7"/>
      <c r="M26146" s="9" t="s">
        <v>37</v>
      </c>
    </row>
    <row r="26147" ht="15.75" customHeight="1">
      <c r="A26147" s="7"/>
      <c r="B26147" s="7"/>
      <c r="M26147" s="9" t="s">
        <v>22</v>
      </c>
    </row>
    <row r="26148" ht="15.75" customHeight="1">
      <c r="A26148" s="7"/>
      <c r="B26148" s="7"/>
      <c r="M26148" s="9" t="s">
        <v>30</v>
      </c>
    </row>
    <row r="26149" ht="15.75" customHeight="1">
      <c r="A26149" s="7"/>
      <c r="B26149" s="7"/>
      <c r="M26149" s="9" t="s">
        <v>47</v>
      </c>
    </row>
    <row r="26150" ht="15.75" customHeight="1">
      <c r="A26150" s="7"/>
      <c r="B26150" s="7"/>
      <c r="M26150" s="9" t="s">
        <v>24</v>
      </c>
    </row>
    <row r="26151" ht="15.75" customHeight="1">
      <c r="A26151" s="7"/>
      <c r="B26151" s="7"/>
      <c r="M26151" s="9" t="s">
        <v>20</v>
      </c>
    </row>
    <row r="26152" ht="15.75" customHeight="1">
      <c r="A26152" s="7"/>
      <c r="B26152" s="7"/>
      <c r="M26152" s="9" t="s">
        <v>21</v>
      </c>
    </row>
    <row r="26153" ht="15.75" customHeight="1">
      <c r="A26153" s="7"/>
      <c r="B26153" s="7"/>
      <c r="M26153" s="9" t="s">
        <v>37</v>
      </c>
    </row>
    <row r="26154" ht="15.75" customHeight="1">
      <c r="A26154" s="7"/>
      <c r="B26154" s="7"/>
      <c r="M26154" s="9" t="s">
        <v>27</v>
      </c>
    </row>
    <row r="26155" ht="15.75" customHeight="1">
      <c r="A26155" s="7"/>
      <c r="B26155" s="7"/>
      <c r="M26155" s="9" t="s">
        <v>33</v>
      </c>
    </row>
    <row r="26156" ht="15.75" customHeight="1">
      <c r="A26156" s="7"/>
      <c r="B26156" s="7"/>
      <c r="M26156" s="9" t="s">
        <v>38</v>
      </c>
    </row>
    <row r="26157" ht="15.75" customHeight="1">
      <c r="A26157" s="7"/>
      <c r="B26157" s="7"/>
      <c r="M26157" s="9" t="s">
        <v>30</v>
      </c>
    </row>
    <row r="26158" ht="15.75" customHeight="1">
      <c r="A26158" s="7"/>
      <c r="B26158" s="7"/>
      <c r="M26158" s="9" t="s">
        <v>25</v>
      </c>
    </row>
    <row r="26159" ht="15.75" customHeight="1">
      <c r="A26159" s="7"/>
      <c r="B26159" s="7"/>
      <c r="M26159" s="9" t="s">
        <v>24</v>
      </c>
    </row>
    <row r="26160" ht="15.75" customHeight="1">
      <c r="A26160" s="7"/>
      <c r="B26160" s="7"/>
      <c r="M26160" s="9" t="s">
        <v>21</v>
      </c>
    </row>
    <row r="26161" ht="15.75" customHeight="1">
      <c r="A26161" s="7"/>
      <c r="B26161" s="7"/>
      <c r="M26161" s="9" t="s">
        <v>22</v>
      </c>
    </row>
    <row r="26162" ht="15.75" customHeight="1">
      <c r="A26162" s="7"/>
      <c r="B26162" s="7"/>
      <c r="M26162" s="9" t="s">
        <v>27</v>
      </c>
    </row>
    <row r="26163" ht="15.75" customHeight="1">
      <c r="A26163" s="7"/>
      <c r="B26163" s="7"/>
      <c r="M26163" s="9" t="s">
        <v>20</v>
      </c>
    </row>
    <row r="26164" ht="15.75" customHeight="1">
      <c r="A26164" s="7"/>
      <c r="B26164" s="7"/>
      <c r="M26164" s="9" t="s">
        <v>26</v>
      </c>
    </row>
    <row r="26165" ht="15.75" customHeight="1">
      <c r="A26165" s="7"/>
      <c r="B26165" s="7"/>
      <c r="M26165" s="9" t="s">
        <v>24</v>
      </c>
    </row>
    <row r="26166" ht="15.75" customHeight="1">
      <c r="A26166" s="7"/>
      <c r="B26166" s="7"/>
      <c r="M26166" s="9" t="s">
        <v>21</v>
      </c>
    </row>
    <row r="26167" ht="15.75" customHeight="1">
      <c r="A26167" s="7"/>
      <c r="B26167" s="7"/>
      <c r="M26167" s="9" t="s">
        <v>22</v>
      </c>
    </row>
    <row r="26168" ht="15.75" customHeight="1">
      <c r="A26168" s="7"/>
      <c r="B26168" s="7"/>
      <c r="M26168" s="9" t="s">
        <v>27</v>
      </c>
    </row>
    <row r="26169" ht="15.75" customHeight="1">
      <c r="A26169" s="7"/>
      <c r="B26169" s="7"/>
      <c r="M26169" s="9" t="s">
        <v>30</v>
      </c>
    </row>
    <row r="26170" ht="15.75" customHeight="1">
      <c r="A26170" s="7"/>
      <c r="B26170" s="7"/>
      <c r="M26170" s="9" t="s">
        <v>20</v>
      </c>
    </row>
    <row r="26171" ht="15.75" customHeight="1">
      <c r="A26171" s="7"/>
      <c r="B26171" s="7"/>
      <c r="M26171" s="9" t="s">
        <v>21</v>
      </c>
    </row>
    <row r="26172" ht="15.75" customHeight="1">
      <c r="A26172" s="7"/>
      <c r="B26172" s="7"/>
      <c r="M26172" s="9" t="s">
        <v>22</v>
      </c>
    </row>
    <row r="26173" ht="15.75" customHeight="1">
      <c r="A26173" s="7"/>
      <c r="B26173" s="7"/>
      <c r="M26173" s="9" t="s">
        <v>33</v>
      </c>
    </row>
    <row r="26174" ht="15.75" customHeight="1">
      <c r="A26174" s="7"/>
      <c r="B26174" s="7"/>
      <c r="M26174" s="9" t="s">
        <v>38</v>
      </c>
    </row>
    <row r="26175" ht="15.75" customHeight="1">
      <c r="A26175" s="7"/>
      <c r="B26175" s="7"/>
      <c r="M26175" s="9" t="s">
        <v>25</v>
      </c>
    </row>
    <row r="26176" ht="15.75" customHeight="1">
      <c r="A26176" s="7"/>
      <c r="B26176" s="7"/>
      <c r="M26176" s="9" t="s">
        <v>23</v>
      </c>
    </row>
    <row r="26177" ht="15.75" customHeight="1">
      <c r="A26177" s="7"/>
      <c r="B26177" s="7"/>
      <c r="M26177" s="9" t="s">
        <v>20</v>
      </c>
    </row>
    <row r="26178" ht="15.75" customHeight="1">
      <c r="A26178" s="7"/>
      <c r="B26178" s="7"/>
      <c r="M26178" s="9" t="s">
        <v>22</v>
      </c>
    </row>
    <row r="26179" ht="15.75" customHeight="1">
      <c r="A26179" s="7"/>
      <c r="B26179" s="7"/>
      <c r="M26179" s="9" t="s">
        <v>20</v>
      </c>
    </row>
    <row r="26180" ht="15.75" customHeight="1">
      <c r="A26180" s="7"/>
      <c r="B26180" s="7"/>
      <c r="M26180" s="9" t="s">
        <v>21</v>
      </c>
    </row>
    <row r="26181" ht="15.75" customHeight="1">
      <c r="A26181" s="7"/>
      <c r="B26181" s="7"/>
      <c r="M26181" s="9" t="s">
        <v>39</v>
      </c>
    </row>
    <row r="26182" ht="15.75" customHeight="1">
      <c r="A26182" s="7"/>
      <c r="B26182" s="7"/>
      <c r="M26182" s="9" t="s">
        <v>27</v>
      </c>
    </row>
    <row r="26183" ht="15.75" customHeight="1">
      <c r="A26183" s="7"/>
      <c r="B26183" s="7"/>
      <c r="M26183" s="9" t="s">
        <v>30</v>
      </c>
    </row>
    <row r="26184" ht="15.75" customHeight="1">
      <c r="A26184" s="7"/>
      <c r="B26184" s="7"/>
      <c r="M26184" s="9" t="s">
        <v>25</v>
      </c>
    </row>
    <row r="26185" ht="15.75" customHeight="1">
      <c r="A26185" s="7"/>
      <c r="B26185" s="7"/>
      <c r="M26185" s="9" t="s">
        <v>23</v>
      </c>
    </row>
    <row r="26186" ht="15.75" customHeight="1">
      <c r="A26186" s="7"/>
      <c r="B26186" s="7"/>
      <c r="M26186" s="9" t="s">
        <v>24</v>
      </c>
    </row>
    <row r="26187" ht="15.75" customHeight="1">
      <c r="A26187" s="7"/>
      <c r="B26187" s="7"/>
      <c r="M26187" s="9" t="s">
        <v>21</v>
      </c>
    </row>
    <row r="26188" ht="15.75" customHeight="1">
      <c r="A26188" s="7"/>
      <c r="B26188" s="7"/>
      <c r="M26188" s="9" t="s">
        <v>22</v>
      </c>
    </row>
    <row r="26189" ht="15.75" customHeight="1">
      <c r="A26189" s="7"/>
      <c r="B26189" s="7"/>
      <c r="M26189" s="9" t="s">
        <v>25</v>
      </c>
    </row>
    <row r="26190" ht="15.75" customHeight="1">
      <c r="A26190" s="7"/>
      <c r="B26190" s="7"/>
      <c r="M26190" s="9" t="s">
        <v>23</v>
      </c>
    </row>
    <row r="26191" ht="15.75" customHeight="1">
      <c r="A26191" s="7"/>
      <c r="B26191" s="7"/>
      <c r="M26191" s="9" t="s">
        <v>20</v>
      </c>
    </row>
    <row r="26192" ht="15.75" customHeight="1">
      <c r="A26192" s="7"/>
      <c r="B26192" s="7"/>
      <c r="M26192" s="9" t="s">
        <v>21</v>
      </c>
    </row>
    <row r="26193" ht="15.75" customHeight="1">
      <c r="A26193" s="7"/>
      <c r="B26193" s="7"/>
      <c r="M26193" s="9" t="s">
        <v>37</v>
      </c>
    </row>
    <row r="26194" ht="15.75" customHeight="1">
      <c r="A26194" s="7"/>
      <c r="B26194" s="7"/>
      <c r="M26194" s="9" t="s">
        <v>22</v>
      </c>
    </row>
    <row r="26195" ht="15.75" customHeight="1">
      <c r="A26195" s="7"/>
      <c r="B26195" s="7"/>
      <c r="M26195" s="9" t="s">
        <v>27</v>
      </c>
    </row>
    <row r="26196" ht="15.75" customHeight="1">
      <c r="A26196" s="7"/>
      <c r="B26196" s="7"/>
      <c r="M26196" s="9" t="s">
        <v>30</v>
      </c>
    </row>
    <row r="26197" ht="15.75" customHeight="1">
      <c r="A26197" s="7"/>
      <c r="B26197" s="7"/>
      <c r="M26197" s="9" t="s">
        <v>23</v>
      </c>
    </row>
    <row r="26198" ht="15.75" customHeight="1">
      <c r="A26198" s="7"/>
      <c r="B26198" s="7"/>
      <c r="M26198" s="9" t="s">
        <v>36</v>
      </c>
    </row>
    <row r="26199" ht="15.75" customHeight="1">
      <c r="A26199" s="7"/>
      <c r="B26199" s="7"/>
      <c r="M26199" s="9" t="s">
        <v>24</v>
      </c>
    </row>
    <row r="26200" ht="15.75" customHeight="1">
      <c r="A26200" s="7"/>
      <c r="B26200" s="7"/>
      <c r="M26200" s="9" t="s">
        <v>20</v>
      </c>
    </row>
    <row r="26201" ht="15.75" customHeight="1">
      <c r="A26201" s="7"/>
      <c r="B26201" s="7"/>
      <c r="M26201" s="9" t="s">
        <v>21</v>
      </c>
    </row>
    <row r="26202" ht="15.75" customHeight="1">
      <c r="A26202" s="7"/>
      <c r="B26202" s="7"/>
      <c r="M26202" s="9" t="s">
        <v>41</v>
      </c>
    </row>
    <row r="26203" ht="15.75" customHeight="1">
      <c r="A26203" s="7"/>
      <c r="B26203" s="7"/>
      <c r="M26203" s="9" t="s">
        <v>22</v>
      </c>
    </row>
    <row r="26204" ht="15.75" customHeight="1">
      <c r="A26204" s="7"/>
      <c r="B26204" s="7"/>
      <c r="M26204" s="9" t="s">
        <v>27</v>
      </c>
    </row>
    <row r="26205" ht="15.75" customHeight="1">
      <c r="A26205" s="7"/>
      <c r="B26205" s="7"/>
      <c r="M26205" s="9" t="s">
        <v>33</v>
      </c>
    </row>
    <row r="26206" ht="15.75" customHeight="1">
      <c r="A26206" s="7"/>
      <c r="B26206" s="7"/>
      <c r="M26206" s="9" t="s">
        <v>36</v>
      </c>
    </row>
    <row r="26207" ht="15.75" customHeight="1">
      <c r="A26207" s="7"/>
      <c r="B26207" s="7"/>
      <c r="M26207" s="9" t="s">
        <v>21</v>
      </c>
    </row>
    <row r="26208" ht="15.75" customHeight="1">
      <c r="A26208" s="7"/>
      <c r="B26208" s="7"/>
      <c r="M26208" s="9" t="s">
        <v>27</v>
      </c>
    </row>
    <row r="26209" ht="15.75" customHeight="1">
      <c r="A26209" s="7"/>
      <c r="B26209" s="7"/>
      <c r="M26209" s="9" t="s">
        <v>26</v>
      </c>
    </row>
    <row r="26210" ht="15.75" customHeight="1">
      <c r="A26210" s="7"/>
      <c r="B26210" s="7"/>
      <c r="M26210" s="9" t="s">
        <v>24</v>
      </c>
    </row>
    <row r="26211" ht="15.75" customHeight="1">
      <c r="A26211" s="7"/>
      <c r="B26211" s="7"/>
      <c r="M26211" s="9" t="s">
        <v>33</v>
      </c>
    </row>
    <row r="26212" ht="15.75" customHeight="1">
      <c r="A26212" s="7"/>
      <c r="B26212" s="7"/>
      <c r="M26212" s="9" t="s">
        <v>26</v>
      </c>
    </row>
    <row r="26213" ht="15.75" customHeight="1">
      <c r="A26213" s="7"/>
      <c r="B26213" s="7"/>
      <c r="M26213" s="9" t="s">
        <v>21</v>
      </c>
    </row>
    <row r="26214" ht="15.75" customHeight="1">
      <c r="A26214" s="7"/>
      <c r="B26214" s="7"/>
      <c r="M26214" s="9" t="s">
        <v>27</v>
      </c>
    </row>
    <row r="26215" ht="15.75" customHeight="1">
      <c r="A26215" s="7"/>
      <c r="B26215" s="7"/>
      <c r="M26215" s="9" t="s">
        <v>42</v>
      </c>
    </row>
    <row r="26216" ht="15.75" customHeight="1">
      <c r="A26216" s="7"/>
      <c r="B26216" s="7"/>
      <c r="M26216" s="9" t="s">
        <v>21</v>
      </c>
    </row>
    <row r="26217" ht="15.75" customHeight="1">
      <c r="A26217" s="7"/>
      <c r="B26217" s="7"/>
      <c r="M26217" s="9" t="s">
        <v>31</v>
      </c>
    </row>
    <row r="26218" ht="15.75" customHeight="1">
      <c r="A26218" s="7"/>
      <c r="B26218" s="7"/>
      <c r="M26218" s="9" t="s">
        <v>20</v>
      </c>
    </row>
    <row r="26219" ht="15.75" customHeight="1">
      <c r="A26219" s="7"/>
      <c r="B26219" s="7"/>
      <c r="M26219" s="9" t="s">
        <v>27</v>
      </c>
    </row>
    <row r="26220" ht="15.75" customHeight="1">
      <c r="A26220" s="7"/>
      <c r="B26220" s="7"/>
      <c r="M26220" s="9" t="s">
        <v>26</v>
      </c>
    </row>
    <row r="26221" ht="15.75" customHeight="1">
      <c r="A26221" s="7"/>
      <c r="B26221" s="7"/>
      <c r="M26221" s="9" t="s">
        <v>24</v>
      </c>
    </row>
    <row r="26222" ht="15.75" customHeight="1">
      <c r="A26222" s="7"/>
      <c r="B26222" s="7"/>
      <c r="M26222" s="9" t="s">
        <v>21</v>
      </c>
    </row>
    <row r="26223" ht="15.75" customHeight="1">
      <c r="A26223" s="7"/>
      <c r="B26223" s="7"/>
      <c r="M26223" s="9" t="s">
        <v>33</v>
      </c>
    </row>
    <row r="26224" ht="15.75" customHeight="1">
      <c r="A26224" s="7"/>
      <c r="B26224" s="7"/>
      <c r="M26224" s="9" t="s">
        <v>40</v>
      </c>
    </row>
    <row r="26225" ht="15.75" customHeight="1">
      <c r="A26225" s="7"/>
      <c r="B26225" s="7"/>
      <c r="M26225" s="9" t="s">
        <v>30</v>
      </c>
    </row>
    <row r="26226" ht="15.75" customHeight="1">
      <c r="A26226" s="7"/>
      <c r="B26226" s="7"/>
      <c r="M26226" s="9" t="s">
        <v>24</v>
      </c>
    </row>
    <row r="26227" ht="15.75" customHeight="1">
      <c r="A26227" s="7"/>
      <c r="B26227" s="7"/>
      <c r="M26227" s="9" t="s">
        <v>20</v>
      </c>
    </row>
    <row r="26228" ht="15.75" customHeight="1">
      <c r="A26228" s="7"/>
      <c r="B26228" s="7"/>
      <c r="M26228" s="9" t="s">
        <v>21</v>
      </c>
    </row>
    <row r="26229" ht="15.75" customHeight="1">
      <c r="A26229" s="7"/>
      <c r="B26229" s="7"/>
      <c r="M26229" s="9" t="s">
        <v>41</v>
      </c>
    </row>
    <row r="26230" ht="15.75" customHeight="1">
      <c r="A26230" s="7"/>
      <c r="B26230" s="7"/>
      <c r="M26230" s="9" t="s">
        <v>22</v>
      </c>
    </row>
    <row r="26231" ht="15.75" customHeight="1">
      <c r="A26231" s="7"/>
      <c r="B26231" s="7"/>
      <c r="M26231" s="9" t="s">
        <v>40</v>
      </c>
    </row>
    <row r="26232" ht="15.75" customHeight="1">
      <c r="A26232" s="7"/>
      <c r="B26232" s="7"/>
      <c r="M26232" s="9" t="s">
        <v>30</v>
      </c>
    </row>
    <row r="26233" ht="15.75" customHeight="1">
      <c r="A26233" s="7"/>
      <c r="B26233" s="7"/>
      <c r="M26233" s="9" t="s">
        <v>20</v>
      </c>
    </row>
    <row r="26234" ht="15.75" customHeight="1">
      <c r="A26234" s="7"/>
      <c r="B26234" s="7"/>
      <c r="M26234" s="9" t="s">
        <v>22</v>
      </c>
    </row>
    <row r="26235" ht="15.75" customHeight="1">
      <c r="A26235" s="7"/>
      <c r="B26235" s="7"/>
      <c r="M26235" s="9" t="s">
        <v>30</v>
      </c>
    </row>
    <row r="26236" ht="15.75" customHeight="1">
      <c r="A26236" s="7"/>
      <c r="B26236" s="7"/>
      <c r="M26236" s="9" t="s">
        <v>25</v>
      </c>
    </row>
    <row r="26237" ht="15.75" customHeight="1">
      <c r="A26237" s="7"/>
      <c r="B26237" s="7"/>
      <c r="M26237" s="9" t="s">
        <v>20</v>
      </c>
    </row>
    <row r="26238" ht="15.75" customHeight="1">
      <c r="A26238" s="7"/>
      <c r="B26238" s="7"/>
      <c r="M26238" s="9" t="s">
        <v>22</v>
      </c>
    </row>
    <row r="26239" ht="15.75" customHeight="1">
      <c r="A26239" s="7"/>
      <c r="B26239" s="7"/>
      <c r="M26239" s="9" t="s">
        <v>29</v>
      </c>
    </row>
    <row r="26240" ht="15.75" customHeight="1">
      <c r="A26240" s="7"/>
      <c r="B26240" s="7"/>
      <c r="M26240" s="9" t="s">
        <v>46</v>
      </c>
    </row>
    <row r="26241" ht="15.75" customHeight="1">
      <c r="A26241" s="7"/>
      <c r="B26241" s="7"/>
      <c r="M26241" s="9" t="s">
        <v>27</v>
      </c>
    </row>
    <row r="26242" ht="15.75" customHeight="1">
      <c r="A26242" s="7"/>
      <c r="B26242" s="7"/>
      <c r="M26242" s="9" t="s">
        <v>38</v>
      </c>
    </row>
    <row r="26243" ht="15.75" customHeight="1">
      <c r="A26243" s="7"/>
      <c r="B26243" s="7"/>
      <c r="M26243" s="9" t="s">
        <v>30</v>
      </c>
    </row>
    <row r="26244" ht="15.75" customHeight="1">
      <c r="A26244" s="7"/>
      <c r="B26244" s="7"/>
      <c r="M26244" s="9" t="s">
        <v>24</v>
      </c>
    </row>
    <row r="26245" ht="15.75" customHeight="1">
      <c r="A26245" s="7"/>
      <c r="B26245" s="7"/>
      <c r="M26245" s="9" t="s">
        <v>21</v>
      </c>
    </row>
    <row r="26246" ht="15.75" customHeight="1">
      <c r="A26246" s="7"/>
      <c r="B26246" s="7"/>
      <c r="M26246" s="9" t="s">
        <v>22</v>
      </c>
    </row>
    <row r="26247" ht="15.75" customHeight="1">
      <c r="A26247" s="7"/>
      <c r="B26247" s="7"/>
      <c r="M26247" s="9" t="s">
        <v>30</v>
      </c>
    </row>
    <row r="26248" ht="15.75" customHeight="1">
      <c r="A26248" s="7"/>
      <c r="B26248" s="7"/>
      <c r="M26248" s="9" t="s">
        <v>23</v>
      </c>
    </row>
    <row r="26249" ht="15.75" customHeight="1">
      <c r="A26249" s="7"/>
      <c r="B26249" s="7"/>
      <c r="M26249" s="9" t="s">
        <v>26</v>
      </c>
    </row>
    <row r="26250" ht="15.75" customHeight="1">
      <c r="A26250" s="7"/>
      <c r="B26250" s="7"/>
      <c r="M26250" s="9" t="s">
        <v>20</v>
      </c>
    </row>
    <row r="26251" ht="15.75" customHeight="1">
      <c r="A26251" s="7"/>
      <c r="B26251" s="7"/>
      <c r="M26251" s="9" t="s">
        <v>32</v>
      </c>
    </row>
    <row r="26252" ht="15.75" customHeight="1">
      <c r="A26252" s="7"/>
      <c r="B26252" s="7"/>
      <c r="M26252" s="9" t="s">
        <v>27</v>
      </c>
    </row>
    <row r="26253" ht="15.75" customHeight="1">
      <c r="A26253" s="7"/>
      <c r="B26253" s="7"/>
      <c r="M26253" s="9" t="s">
        <v>24</v>
      </c>
    </row>
    <row r="26254" ht="15.75" customHeight="1">
      <c r="A26254" s="7"/>
      <c r="B26254" s="7"/>
      <c r="M26254" s="9" t="s">
        <v>21</v>
      </c>
    </row>
    <row r="26255" ht="15.75" customHeight="1">
      <c r="A26255" s="7"/>
      <c r="B26255" s="7"/>
      <c r="M26255" s="9" t="s">
        <v>30</v>
      </c>
    </row>
    <row r="26256" ht="15.75" customHeight="1">
      <c r="A26256" s="7"/>
      <c r="B26256" s="7"/>
      <c r="M26256" s="9" t="s">
        <v>26</v>
      </c>
    </row>
    <row r="26257" ht="15.75" customHeight="1">
      <c r="A26257" s="7"/>
      <c r="B26257" s="7"/>
      <c r="M26257" s="9" t="s">
        <v>24</v>
      </c>
    </row>
    <row r="26258" ht="15.75" customHeight="1">
      <c r="A26258" s="7"/>
      <c r="B26258" s="7"/>
      <c r="M26258" s="9" t="s">
        <v>21</v>
      </c>
    </row>
    <row r="26259" ht="15.75" customHeight="1">
      <c r="A26259" s="7"/>
      <c r="B26259" s="7"/>
      <c r="M26259" s="9" t="s">
        <v>22</v>
      </c>
    </row>
    <row r="26260" ht="15.75" customHeight="1">
      <c r="A26260" s="7"/>
      <c r="B26260" s="7"/>
      <c r="M26260" s="9" t="s">
        <v>35</v>
      </c>
    </row>
    <row r="26261" ht="15.75" customHeight="1">
      <c r="A26261" s="7"/>
      <c r="B26261" s="7"/>
      <c r="M26261" s="9" t="s">
        <v>24</v>
      </c>
    </row>
    <row r="26262" ht="15.75" customHeight="1">
      <c r="A26262" s="7"/>
      <c r="B26262" s="7"/>
      <c r="M26262" s="9" t="s">
        <v>21</v>
      </c>
    </row>
    <row r="26263" ht="15.75" customHeight="1">
      <c r="A26263" s="7"/>
      <c r="B26263" s="7"/>
      <c r="M26263" s="9" t="s">
        <v>37</v>
      </c>
    </row>
    <row r="26264" ht="15.75" customHeight="1">
      <c r="A26264" s="7"/>
      <c r="B26264" s="7"/>
      <c r="M26264" s="9" t="s">
        <v>31</v>
      </c>
    </row>
    <row r="26265" ht="15.75" customHeight="1">
      <c r="A26265" s="7"/>
      <c r="B26265" s="7"/>
      <c r="M26265" s="9" t="s">
        <v>27</v>
      </c>
    </row>
    <row r="26266" ht="15.75" customHeight="1">
      <c r="A26266" s="7"/>
      <c r="B26266" s="7"/>
      <c r="M26266" s="9" t="s">
        <v>38</v>
      </c>
    </row>
    <row r="26267" ht="15.75" customHeight="1">
      <c r="A26267" s="7"/>
      <c r="B26267" s="7"/>
      <c r="M26267" s="9" t="s">
        <v>30</v>
      </c>
    </row>
    <row r="26268" ht="15.75" customHeight="1">
      <c r="A26268" s="7"/>
      <c r="B26268" s="7"/>
      <c r="M26268" s="9" t="s">
        <v>25</v>
      </c>
    </row>
    <row r="26269" ht="15.75" customHeight="1">
      <c r="A26269" s="7"/>
      <c r="B26269" s="7"/>
      <c r="M26269" s="9" t="s">
        <v>23</v>
      </c>
    </row>
    <row r="26270" ht="15.75" customHeight="1">
      <c r="A26270" s="7"/>
      <c r="B26270" s="7"/>
      <c r="M26270" s="9" t="s">
        <v>22</v>
      </c>
    </row>
    <row r="26271" ht="15.75" customHeight="1">
      <c r="A26271" s="7"/>
      <c r="B26271" s="7"/>
      <c r="M26271" s="9" t="s">
        <v>30</v>
      </c>
    </row>
    <row r="26272" ht="15.75" customHeight="1">
      <c r="A26272" s="7"/>
      <c r="B26272" s="7"/>
      <c r="M26272" s="9" t="s">
        <v>20</v>
      </c>
    </row>
    <row r="26273" ht="15.75" customHeight="1">
      <c r="A26273" s="7"/>
      <c r="B26273" s="7"/>
      <c r="M26273" s="9" t="s">
        <v>22</v>
      </c>
    </row>
    <row r="26274" ht="15.75" customHeight="1">
      <c r="A26274" s="7"/>
      <c r="B26274" s="7"/>
      <c r="M26274" s="9" t="s">
        <v>30</v>
      </c>
    </row>
    <row r="26275" ht="15.75" customHeight="1">
      <c r="A26275" s="7"/>
      <c r="B26275" s="7"/>
      <c r="M26275" s="9" t="s">
        <v>20</v>
      </c>
    </row>
    <row r="26276" ht="15.75" customHeight="1">
      <c r="A26276" s="7"/>
      <c r="B26276" s="7"/>
      <c r="M26276" s="9" t="s">
        <v>21</v>
      </c>
    </row>
    <row r="26277" ht="15.75" customHeight="1">
      <c r="A26277" s="7"/>
      <c r="B26277" s="7"/>
      <c r="M26277" s="9" t="s">
        <v>39</v>
      </c>
    </row>
    <row r="26278" ht="15.75" customHeight="1">
      <c r="A26278" s="7"/>
      <c r="B26278" s="7"/>
      <c r="M26278" s="9" t="s">
        <v>30</v>
      </c>
    </row>
    <row r="26279" ht="15.75" customHeight="1">
      <c r="A26279" s="7"/>
      <c r="B26279" s="7"/>
      <c r="M26279" s="9" t="s">
        <v>23</v>
      </c>
    </row>
    <row r="26280" ht="15.75" customHeight="1">
      <c r="A26280" s="7"/>
      <c r="B26280" s="7"/>
      <c r="M26280" s="9" t="s">
        <v>26</v>
      </c>
    </row>
    <row r="26281" ht="15.75" customHeight="1">
      <c r="A26281" s="7"/>
      <c r="B26281" s="7"/>
      <c r="M26281" s="9" t="s">
        <v>24</v>
      </c>
    </row>
    <row r="26282" ht="15.75" customHeight="1">
      <c r="A26282" s="7"/>
      <c r="B26282" s="7"/>
      <c r="M26282" s="9" t="s">
        <v>20</v>
      </c>
    </row>
    <row r="26283" ht="15.75" customHeight="1">
      <c r="A26283" s="7"/>
      <c r="B26283" s="7"/>
      <c r="M26283" s="9" t="s">
        <v>21</v>
      </c>
    </row>
    <row r="26284" ht="15.75" customHeight="1">
      <c r="A26284" s="7"/>
      <c r="B26284" s="7"/>
      <c r="M26284" s="9" t="s">
        <v>39</v>
      </c>
    </row>
    <row r="26285" ht="15.75" customHeight="1">
      <c r="A26285" s="7"/>
      <c r="B26285" s="7"/>
      <c r="M26285" s="9" t="s">
        <v>37</v>
      </c>
    </row>
    <row r="26286" ht="15.75" customHeight="1">
      <c r="A26286" s="7"/>
      <c r="B26286" s="7"/>
      <c r="M26286" s="9" t="s">
        <v>22</v>
      </c>
    </row>
    <row r="26287" ht="15.75" customHeight="1">
      <c r="A26287" s="7"/>
      <c r="B26287" s="7"/>
      <c r="M26287" s="9" t="s">
        <v>27</v>
      </c>
    </row>
    <row r="26288" ht="15.75" customHeight="1">
      <c r="A26288" s="7"/>
      <c r="B26288" s="7"/>
      <c r="M26288" s="9" t="s">
        <v>43</v>
      </c>
    </row>
    <row r="26289" ht="15.75" customHeight="1">
      <c r="A26289" s="7"/>
      <c r="B26289" s="7"/>
      <c r="M26289" s="9" t="s">
        <v>20</v>
      </c>
    </row>
    <row r="26290" ht="15.75" customHeight="1">
      <c r="A26290" s="7"/>
      <c r="B26290" s="7"/>
      <c r="M26290" s="9" t="s">
        <v>27</v>
      </c>
    </row>
    <row r="26291" ht="15.75" customHeight="1">
      <c r="A26291" s="7"/>
      <c r="B26291" s="7"/>
      <c r="M26291" s="9" t="s">
        <v>20</v>
      </c>
    </row>
    <row r="26292" ht="15.75" customHeight="1">
      <c r="A26292" s="7"/>
      <c r="B26292" s="7"/>
      <c r="M26292" s="9" t="s">
        <v>21</v>
      </c>
    </row>
    <row r="26293" ht="15.75" customHeight="1">
      <c r="A26293" s="7"/>
      <c r="B26293" s="7"/>
      <c r="M26293" s="9" t="s">
        <v>22</v>
      </c>
    </row>
    <row r="26294" ht="15.75" customHeight="1">
      <c r="A26294" s="7"/>
      <c r="B26294" s="7"/>
      <c r="M26294" s="9" t="s">
        <v>27</v>
      </c>
    </row>
    <row r="26295" ht="15.75" customHeight="1">
      <c r="A26295" s="7"/>
      <c r="B26295" s="7"/>
      <c r="M26295" s="9" t="s">
        <v>25</v>
      </c>
    </row>
    <row r="26296" ht="15.75" customHeight="1">
      <c r="A26296" s="7"/>
      <c r="B26296" s="7"/>
      <c r="M26296" s="9" t="s">
        <v>23</v>
      </c>
    </row>
    <row r="26297" ht="15.75" customHeight="1">
      <c r="A26297" s="7"/>
      <c r="B26297" s="7"/>
      <c r="M26297" s="9" t="s">
        <v>42</v>
      </c>
    </row>
    <row r="26298" ht="15.75" customHeight="1">
      <c r="A26298" s="7"/>
      <c r="B26298" s="7"/>
      <c r="M26298" s="9" t="s">
        <v>43</v>
      </c>
    </row>
    <row r="26299" ht="15.75" customHeight="1">
      <c r="A26299" s="7"/>
      <c r="B26299" s="7"/>
      <c r="M26299" s="9" t="s">
        <v>21</v>
      </c>
    </row>
    <row r="26300" ht="15.75" customHeight="1">
      <c r="A26300" s="7"/>
      <c r="B26300" s="7"/>
      <c r="M26300" s="9" t="s">
        <v>39</v>
      </c>
    </row>
    <row r="26301" ht="15.75" customHeight="1">
      <c r="A26301" s="7"/>
      <c r="B26301" s="7"/>
      <c r="M26301" s="9" t="s">
        <v>22</v>
      </c>
    </row>
    <row r="26302" ht="15.75" customHeight="1">
      <c r="A26302" s="7"/>
      <c r="B26302" s="7"/>
      <c r="M26302" s="9" t="s">
        <v>34</v>
      </c>
    </row>
    <row r="26303" ht="15.75" customHeight="1">
      <c r="A26303" s="7"/>
      <c r="B26303" s="7"/>
      <c r="M26303" s="9" t="s">
        <v>30</v>
      </c>
    </row>
    <row r="26304" ht="15.75" customHeight="1">
      <c r="A26304" s="7"/>
      <c r="B26304" s="7"/>
      <c r="M26304" s="9" t="s">
        <v>24</v>
      </c>
    </row>
    <row r="26305" ht="15.75" customHeight="1">
      <c r="A26305" s="7"/>
      <c r="B26305" s="7"/>
      <c r="M26305" s="9" t="s">
        <v>21</v>
      </c>
    </row>
    <row r="26306" ht="15.75" customHeight="1">
      <c r="A26306" s="7"/>
      <c r="B26306" s="7"/>
      <c r="M26306" s="9" t="s">
        <v>24</v>
      </c>
    </row>
    <row r="26307" ht="15.75" customHeight="1">
      <c r="A26307" s="7"/>
      <c r="B26307" s="7"/>
      <c r="M26307" s="9" t="s">
        <v>20</v>
      </c>
    </row>
    <row r="26308" ht="15.75" customHeight="1">
      <c r="A26308" s="7"/>
      <c r="B26308" s="7"/>
      <c r="M26308" s="9" t="s">
        <v>27</v>
      </c>
    </row>
    <row r="26309" ht="15.75" customHeight="1">
      <c r="A26309" s="7"/>
      <c r="B26309" s="7"/>
      <c r="M26309" s="9" t="s">
        <v>30</v>
      </c>
    </row>
    <row r="26310" ht="15.75" customHeight="1">
      <c r="A26310" s="7"/>
      <c r="B26310" s="7"/>
      <c r="M26310" s="9" t="s">
        <v>26</v>
      </c>
    </row>
    <row r="26311" ht="15.75" customHeight="1">
      <c r="A26311" s="7"/>
      <c r="B26311" s="7"/>
      <c r="M26311" s="9" t="s">
        <v>24</v>
      </c>
    </row>
    <row r="26312" ht="15.75" customHeight="1">
      <c r="A26312" s="7"/>
      <c r="B26312" s="7"/>
      <c r="M26312" s="9" t="s">
        <v>21</v>
      </c>
    </row>
    <row r="26313" ht="15.75" customHeight="1">
      <c r="A26313" s="7"/>
      <c r="B26313" s="7"/>
      <c r="M26313" s="9" t="s">
        <v>27</v>
      </c>
    </row>
    <row r="26314" ht="15.75" customHeight="1">
      <c r="A26314" s="7"/>
      <c r="B26314" s="7"/>
      <c r="M26314" s="9" t="s">
        <v>33</v>
      </c>
    </row>
    <row r="26315" ht="15.75" customHeight="1">
      <c r="A26315" s="7"/>
      <c r="B26315" s="7"/>
      <c r="M26315" s="9" t="s">
        <v>30</v>
      </c>
    </row>
    <row r="26316" ht="15.75" customHeight="1">
      <c r="A26316" s="7"/>
      <c r="B26316" s="7"/>
      <c r="M26316" s="9" t="s">
        <v>20</v>
      </c>
    </row>
    <row r="26317" ht="15.75" customHeight="1">
      <c r="A26317" s="7"/>
      <c r="B26317" s="7"/>
      <c r="M26317" s="9" t="s">
        <v>21</v>
      </c>
    </row>
    <row r="26318" ht="15.75" customHeight="1">
      <c r="A26318" s="7"/>
      <c r="B26318" s="7"/>
      <c r="M26318" s="9" t="s">
        <v>22</v>
      </c>
    </row>
    <row r="26319" ht="15.75" customHeight="1">
      <c r="A26319" s="7"/>
      <c r="B26319" s="7"/>
      <c r="M26319" s="9" t="s">
        <v>27</v>
      </c>
    </row>
    <row r="26320" ht="15.75" customHeight="1">
      <c r="A26320" s="7"/>
      <c r="B26320" s="7"/>
      <c r="M26320" s="9" t="s">
        <v>24</v>
      </c>
    </row>
    <row r="26321" ht="15.75" customHeight="1">
      <c r="A26321" s="7"/>
      <c r="B26321" s="7"/>
      <c r="M26321" s="9" t="s">
        <v>21</v>
      </c>
    </row>
    <row r="26322" ht="15.75" customHeight="1">
      <c r="A26322" s="7"/>
      <c r="B26322" s="7"/>
      <c r="M26322" s="9" t="s">
        <v>31</v>
      </c>
    </row>
    <row r="26323" ht="15.75" customHeight="1">
      <c r="A26323" s="7"/>
      <c r="B26323" s="7"/>
      <c r="M26323" s="9" t="s">
        <v>30</v>
      </c>
    </row>
    <row r="26324" ht="15.75" customHeight="1">
      <c r="A26324" s="7"/>
      <c r="B26324" s="7"/>
      <c r="M26324" s="9" t="s">
        <v>25</v>
      </c>
    </row>
    <row r="26325" ht="15.75" customHeight="1">
      <c r="A26325" s="7"/>
      <c r="B26325" s="7"/>
      <c r="M26325" s="9" t="s">
        <v>23</v>
      </c>
    </row>
    <row r="26326" ht="15.75" customHeight="1">
      <c r="A26326" s="7"/>
      <c r="B26326" s="7"/>
      <c r="M26326" s="9" t="s">
        <v>26</v>
      </c>
    </row>
    <row r="26327" ht="15.75" customHeight="1">
      <c r="A26327" s="7"/>
      <c r="B26327" s="7"/>
      <c r="M26327" s="9" t="s">
        <v>36</v>
      </c>
    </row>
    <row r="26328" ht="15.75" customHeight="1">
      <c r="A26328" s="7"/>
      <c r="B26328" s="7"/>
      <c r="M26328" s="9" t="s">
        <v>24</v>
      </c>
    </row>
    <row r="26329" ht="15.75" customHeight="1">
      <c r="A26329" s="7"/>
      <c r="B26329" s="7"/>
      <c r="M26329" s="9" t="s">
        <v>20</v>
      </c>
    </row>
    <row r="26330" ht="15.75" customHeight="1">
      <c r="A26330" s="7"/>
      <c r="B26330" s="7"/>
      <c r="M26330" s="9" t="s">
        <v>21</v>
      </c>
    </row>
    <row r="26331" ht="15.75" customHeight="1">
      <c r="A26331" s="7"/>
      <c r="B26331" s="7"/>
      <c r="M26331" s="9" t="s">
        <v>39</v>
      </c>
    </row>
    <row r="26332" ht="15.75" customHeight="1">
      <c r="A26332" s="7"/>
      <c r="B26332" s="7"/>
      <c r="M26332" s="9" t="s">
        <v>37</v>
      </c>
    </row>
    <row r="26333" ht="15.75" customHeight="1">
      <c r="A26333" s="7"/>
      <c r="B26333" s="7"/>
      <c r="M26333" s="9" t="s">
        <v>22</v>
      </c>
    </row>
    <row r="26334" ht="15.75" customHeight="1">
      <c r="A26334" s="7"/>
      <c r="B26334" s="7"/>
      <c r="M26334" s="9" t="s">
        <v>31</v>
      </c>
    </row>
    <row r="26335" ht="15.75" customHeight="1">
      <c r="A26335" s="7"/>
      <c r="B26335" s="7"/>
      <c r="M26335" s="9" t="s">
        <v>46</v>
      </c>
    </row>
    <row r="26336" ht="15.75" customHeight="1">
      <c r="A26336" s="7"/>
      <c r="B26336" s="7"/>
      <c r="M26336" s="9" t="s">
        <v>27</v>
      </c>
    </row>
    <row r="26337" ht="15.75" customHeight="1">
      <c r="A26337" s="7"/>
      <c r="B26337" s="7"/>
      <c r="M26337" s="9" t="s">
        <v>33</v>
      </c>
    </row>
    <row r="26338" ht="15.75" customHeight="1">
      <c r="A26338" s="7"/>
      <c r="B26338" s="7"/>
      <c r="M26338" s="9" t="s">
        <v>28</v>
      </c>
    </row>
    <row r="26339" ht="15.75" customHeight="1">
      <c r="A26339" s="7"/>
      <c r="B26339" s="7"/>
      <c r="M26339" s="9" t="s">
        <v>20</v>
      </c>
    </row>
    <row r="26340" ht="15.75" customHeight="1">
      <c r="A26340" s="7"/>
      <c r="B26340" s="7"/>
      <c r="M26340" s="9" t="s">
        <v>39</v>
      </c>
    </row>
    <row r="26341" ht="15.75" customHeight="1">
      <c r="A26341" s="7"/>
      <c r="B26341" s="7"/>
      <c r="M26341" s="9" t="s">
        <v>27</v>
      </c>
    </row>
    <row r="26342" ht="15.75" customHeight="1">
      <c r="A26342" s="7"/>
      <c r="B26342" s="7"/>
      <c r="M26342" s="9" t="s">
        <v>23</v>
      </c>
    </row>
    <row r="26343" ht="15.75" customHeight="1">
      <c r="A26343" s="7"/>
      <c r="B26343" s="7"/>
      <c r="M26343" s="9" t="s">
        <v>22</v>
      </c>
    </row>
    <row r="26344" ht="15.75" customHeight="1">
      <c r="A26344" s="7"/>
      <c r="B26344" s="7"/>
      <c r="M26344" s="9" t="s">
        <v>38</v>
      </c>
    </row>
    <row r="26345" ht="15.75" customHeight="1">
      <c r="A26345" s="7"/>
      <c r="B26345" s="7"/>
      <c r="M26345" s="9" t="s">
        <v>30</v>
      </c>
    </row>
    <row r="26346" ht="15.75" customHeight="1">
      <c r="A26346" s="7"/>
      <c r="B26346" s="7"/>
      <c r="M26346" s="9" t="s">
        <v>25</v>
      </c>
    </row>
    <row r="26347" ht="15.75" customHeight="1">
      <c r="A26347" s="7"/>
      <c r="B26347" s="7"/>
      <c r="M26347" s="9" t="s">
        <v>23</v>
      </c>
    </row>
    <row r="26348" ht="15.75" customHeight="1">
      <c r="A26348" s="7"/>
      <c r="B26348" s="7"/>
      <c r="M26348" s="9" t="s">
        <v>24</v>
      </c>
    </row>
    <row r="26349" ht="15.75" customHeight="1">
      <c r="A26349" s="7"/>
      <c r="B26349" s="7"/>
      <c r="M26349" s="9" t="s">
        <v>20</v>
      </c>
    </row>
    <row r="26350" ht="15.75" customHeight="1">
      <c r="A26350" s="7"/>
      <c r="B26350" s="7"/>
      <c r="M26350" s="9" t="s">
        <v>21</v>
      </c>
    </row>
    <row r="26351" ht="15.75" customHeight="1">
      <c r="A26351" s="7"/>
      <c r="B26351" s="7"/>
      <c r="M26351" s="9" t="s">
        <v>37</v>
      </c>
    </row>
    <row r="26352" ht="15.75" customHeight="1">
      <c r="A26352" s="7"/>
      <c r="B26352" s="7"/>
      <c r="M26352" s="9" t="s">
        <v>22</v>
      </c>
    </row>
    <row r="26353" ht="15.75" customHeight="1">
      <c r="A26353" s="7"/>
      <c r="B26353" s="7"/>
      <c r="M26353" s="9" t="s">
        <v>24</v>
      </c>
    </row>
    <row r="26354" ht="15.75" customHeight="1">
      <c r="A26354" s="7"/>
      <c r="B26354" s="7"/>
      <c r="M26354" s="9" t="s">
        <v>29</v>
      </c>
    </row>
    <row r="26355" ht="15.75" customHeight="1">
      <c r="A26355" s="7"/>
      <c r="B26355" s="7"/>
      <c r="M26355" s="9" t="s">
        <v>27</v>
      </c>
    </row>
    <row r="26356" ht="15.75" customHeight="1">
      <c r="A26356" s="7"/>
      <c r="B26356" s="7"/>
      <c r="M26356" s="9" t="s">
        <v>30</v>
      </c>
    </row>
    <row r="26357" ht="15.75" customHeight="1">
      <c r="A26357" s="7"/>
      <c r="B26357" s="7"/>
      <c r="M26357" s="9" t="s">
        <v>23</v>
      </c>
    </row>
    <row r="26358" ht="15.75" customHeight="1">
      <c r="A26358" s="7"/>
      <c r="B26358" s="7"/>
      <c r="M26358" s="9" t="s">
        <v>21</v>
      </c>
    </row>
    <row r="26359" ht="15.75" customHeight="1">
      <c r="A26359" s="7"/>
      <c r="B26359" s="7"/>
      <c r="M26359" s="9" t="s">
        <v>37</v>
      </c>
    </row>
    <row r="26360" ht="15.75" customHeight="1">
      <c r="A26360" s="7"/>
      <c r="B26360" s="7"/>
      <c r="M26360" s="9" t="s">
        <v>22</v>
      </c>
    </row>
    <row r="26361" ht="15.75" customHeight="1">
      <c r="A26361" s="7"/>
      <c r="B26361" s="7"/>
      <c r="M26361" s="9" t="s">
        <v>31</v>
      </c>
    </row>
    <row r="26362" ht="15.75" customHeight="1">
      <c r="A26362" s="7"/>
      <c r="B26362" s="7"/>
      <c r="M26362" s="9" t="s">
        <v>27</v>
      </c>
    </row>
    <row r="26363" ht="15.75" customHeight="1">
      <c r="A26363" s="7"/>
      <c r="B26363" s="7"/>
      <c r="M26363" s="9" t="s">
        <v>47</v>
      </c>
    </row>
    <row r="26364" ht="15.75" customHeight="1">
      <c r="A26364" s="7"/>
      <c r="B26364" s="7"/>
      <c r="M26364" s="9" t="s">
        <v>24</v>
      </c>
    </row>
    <row r="26365" ht="15.75" customHeight="1">
      <c r="A26365" s="7"/>
      <c r="B26365" s="7"/>
      <c r="M26365" s="9" t="s">
        <v>20</v>
      </c>
    </row>
    <row r="26366" ht="15.75" customHeight="1">
      <c r="A26366" s="7"/>
      <c r="B26366" s="7"/>
      <c r="M26366" s="9" t="s">
        <v>21</v>
      </c>
    </row>
    <row r="26367" ht="15.75" customHeight="1">
      <c r="A26367" s="7"/>
      <c r="B26367" s="7"/>
      <c r="M26367" s="9" t="s">
        <v>33</v>
      </c>
    </row>
    <row r="26368" ht="15.75" customHeight="1">
      <c r="A26368" s="7"/>
      <c r="B26368" s="7"/>
      <c r="M26368" s="9" t="s">
        <v>30</v>
      </c>
    </row>
    <row r="26369" ht="15.75" customHeight="1">
      <c r="A26369" s="7"/>
      <c r="B26369" s="7"/>
      <c r="M26369" s="9" t="s">
        <v>25</v>
      </c>
    </row>
    <row r="26370" ht="15.75" customHeight="1">
      <c r="A26370" s="7"/>
      <c r="B26370" s="7"/>
      <c r="M26370" s="9" t="s">
        <v>23</v>
      </c>
    </row>
    <row r="26371" ht="15.75" customHeight="1">
      <c r="A26371" s="7"/>
      <c r="B26371" s="7"/>
      <c r="M26371" s="9" t="s">
        <v>24</v>
      </c>
    </row>
    <row r="26372" ht="15.75" customHeight="1">
      <c r="A26372" s="7"/>
      <c r="B26372" s="7"/>
      <c r="M26372" s="9" t="s">
        <v>21</v>
      </c>
    </row>
    <row r="26373" ht="15.75" customHeight="1">
      <c r="A26373" s="7"/>
      <c r="B26373" s="7"/>
      <c r="M26373" s="9" t="s">
        <v>37</v>
      </c>
    </row>
    <row r="26374" ht="15.75" customHeight="1">
      <c r="A26374" s="7"/>
      <c r="B26374" s="7"/>
      <c r="M26374" s="9" t="s">
        <v>30</v>
      </c>
    </row>
    <row r="26375" ht="15.75" customHeight="1">
      <c r="A26375" s="7"/>
      <c r="B26375" s="7"/>
      <c r="M26375" s="9" t="s">
        <v>26</v>
      </c>
    </row>
    <row r="26376" ht="15.75" customHeight="1">
      <c r="A26376" s="7"/>
      <c r="B26376" s="7"/>
      <c r="M26376" s="9" t="s">
        <v>24</v>
      </c>
    </row>
    <row r="26377" ht="15.75" customHeight="1">
      <c r="A26377" s="7"/>
      <c r="B26377" s="7"/>
      <c r="M26377" s="9" t="s">
        <v>21</v>
      </c>
    </row>
    <row r="26378" ht="15.75" customHeight="1">
      <c r="A26378" s="7"/>
      <c r="B26378" s="7"/>
      <c r="M26378" s="9" t="s">
        <v>35</v>
      </c>
    </row>
    <row r="26379" ht="15.75" customHeight="1">
      <c r="A26379" s="7"/>
      <c r="B26379" s="7"/>
      <c r="M26379" s="9" t="s">
        <v>30</v>
      </c>
    </row>
    <row r="26380" ht="15.75" customHeight="1">
      <c r="A26380" s="7"/>
      <c r="B26380" s="7"/>
      <c r="M26380" s="9" t="s">
        <v>25</v>
      </c>
    </row>
    <row r="26381" ht="15.75" customHeight="1">
      <c r="A26381" s="7"/>
      <c r="B26381" s="7"/>
      <c r="M26381" s="9" t="s">
        <v>23</v>
      </c>
    </row>
    <row r="26382" ht="15.75" customHeight="1">
      <c r="A26382" s="7"/>
      <c r="B26382" s="7"/>
      <c r="M26382" s="9" t="s">
        <v>24</v>
      </c>
    </row>
    <row r="26383" ht="15.75" customHeight="1">
      <c r="A26383" s="7"/>
      <c r="B26383" s="7"/>
      <c r="M26383" s="9" t="s">
        <v>20</v>
      </c>
    </row>
    <row r="26384" ht="15.75" customHeight="1">
      <c r="A26384" s="7"/>
      <c r="B26384" s="7"/>
      <c r="M26384" s="9" t="s">
        <v>21</v>
      </c>
    </row>
    <row r="26385" ht="15.75" customHeight="1">
      <c r="A26385" s="7"/>
      <c r="B26385" s="7"/>
      <c r="M26385" s="9" t="s">
        <v>37</v>
      </c>
    </row>
    <row r="26386" ht="15.75" customHeight="1">
      <c r="A26386" s="7"/>
      <c r="B26386" s="7"/>
      <c r="M26386" s="9" t="s">
        <v>22</v>
      </c>
    </row>
    <row r="26387" ht="15.75" customHeight="1">
      <c r="A26387" s="7"/>
      <c r="B26387" s="7"/>
      <c r="M26387" s="9" t="s">
        <v>31</v>
      </c>
    </row>
    <row r="26388" ht="15.75" customHeight="1">
      <c r="A26388" s="7"/>
      <c r="B26388" s="7"/>
      <c r="M26388" s="9" t="s">
        <v>27</v>
      </c>
    </row>
    <row r="26389" ht="15.75" customHeight="1">
      <c r="A26389" s="7"/>
      <c r="B26389" s="7"/>
      <c r="M26389" s="9" t="s">
        <v>25</v>
      </c>
    </row>
    <row r="26390" ht="15.75" customHeight="1">
      <c r="A26390" s="7"/>
      <c r="B26390" s="7"/>
      <c r="M26390" s="9" t="s">
        <v>26</v>
      </c>
    </row>
    <row r="26391" ht="15.75" customHeight="1">
      <c r="A26391" s="7"/>
      <c r="B26391" s="7"/>
      <c r="M26391" s="9" t="s">
        <v>24</v>
      </c>
    </row>
    <row r="26392" ht="15.75" customHeight="1">
      <c r="A26392" s="7"/>
      <c r="B26392" s="7"/>
      <c r="M26392" s="9" t="s">
        <v>20</v>
      </c>
    </row>
    <row r="26393" ht="15.75" customHeight="1">
      <c r="A26393" s="7"/>
      <c r="B26393" s="7"/>
      <c r="M26393" s="9" t="s">
        <v>21</v>
      </c>
    </row>
    <row r="26394" ht="15.75" customHeight="1">
      <c r="A26394" s="7"/>
      <c r="B26394" s="7"/>
      <c r="M26394" s="9" t="s">
        <v>30</v>
      </c>
    </row>
    <row r="26395" ht="15.75" customHeight="1">
      <c r="A26395" s="7"/>
      <c r="B26395" s="7"/>
      <c r="M26395" s="9" t="s">
        <v>24</v>
      </c>
    </row>
    <row r="26396" ht="15.75" customHeight="1">
      <c r="A26396" s="7"/>
      <c r="B26396" s="7"/>
      <c r="M26396" s="9" t="s">
        <v>21</v>
      </c>
    </row>
    <row r="26397" ht="15.75" customHeight="1">
      <c r="A26397" s="7"/>
      <c r="B26397" s="7"/>
      <c r="M26397" s="9" t="s">
        <v>22</v>
      </c>
    </row>
    <row r="26398" ht="15.75" customHeight="1">
      <c r="A26398" s="7"/>
      <c r="B26398" s="7"/>
      <c r="M26398" s="9" t="s">
        <v>31</v>
      </c>
    </row>
    <row r="26399" ht="15.75" customHeight="1">
      <c r="A26399" s="7"/>
      <c r="B26399" s="7"/>
      <c r="M26399" s="9" t="s">
        <v>27</v>
      </c>
    </row>
    <row r="26400" ht="15.75" customHeight="1">
      <c r="A26400" s="7"/>
      <c r="B26400" s="7"/>
      <c r="M26400" s="9" t="s">
        <v>30</v>
      </c>
    </row>
    <row r="26401" ht="15.75" customHeight="1">
      <c r="A26401" s="7"/>
      <c r="B26401" s="7"/>
      <c r="M26401" s="9" t="s">
        <v>24</v>
      </c>
    </row>
    <row r="26402" ht="15.75" customHeight="1">
      <c r="A26402" s="7"/>
      <c r="B26402" s="7"/>
      <c r="M26402" s="9" t="s">
        <v>21</v>
      </c>
    </row>
    <row r="26403" ht="15.75" customHeight="1">
      <c r="A26403" s="7"/>
      <c r="B26403" s="7"/>
      <c r="M26403" s="9" t="s">
        <v>22</v>
      </c>
    </row>
    <row r="26404" ht="15.75" customHeight="1">
      <c r="A26404" s="7"/>
      <c r="B26404" s="7"/>
      <c r="M26404" s="9" t="s">
        <v>27</v>
      </c>
    </row>
    <row r="26405" ht="15.75" customHeight="1">
      <c r="A26405" s="7"/>
      <c r="B26405" s="7"/>
      <c r="M26405" s="9" t="s">
        <v>33</v>
      </c>
    </row>
    <row r="26406" ht="15.75" customHeight="1">
      <c r="A26406" s="7"/>
      <c r="B26406" s="7"/>
      <c r="M26406" s="9" t="s">
        <v>26</v>
      </c>
    </row>
    <row r="26407" ht="15.75" customHeight="1">
      <c r="A26407" s="7"/>
      <c r="B26407" s="7"/>
      <c r="M26407" s="9" t="s">
        <v>24</v>
      </c>
    </row>
    <row r="26408" ht="15.75" customHeight="1">
      <c r="A26408" s="7"/>
      <c r="B26408" s="7"/>
      <c r="M26408" s="9" t="s">
        <v>20</v>
      </c>
    </row>
    <row r="26409" ht="15.75" customHeight="1">
      <c r="A26409" s="7"/>
      <c r="B26409" s="7"/>
      <c r="M26409" s="9" t="s">
        <v>21</v>
      </c>
    </row>
    <row r="26410" ht="15.75" customHeight="1">
      <c r="A26410" s="7"/>
      <c r="B26410" s="7"/>
      <c r="M26410" s="9" t="s">
        <v>37</v>
      </c>
    </row>
    <row r="26411" ht="15.75" customHeight="1">
      <c r="A26411" s="7"/>
      <c r="B26411" s="7"/>
      <c r="M26411" s="9" t="s">
        <v>27</v>
      </c>
    </row>
    <row r="26412" ht="15.75" customHeight="1">
      <c r="A26412" s="7"/>
      <c r="B26412" s="7"/>
      <c r="M26412" s="9" t="s">
        <v>24</v>
      </c>
    </row>
    <row r="26413" ht="15.75" customHeight="1">
      <c r="A26413" s="7"/>
      <c r="B26413" s="7"/>
      <c r="M26413" s="9" t="s">
        <v>21</v>
      </c>
    </row>
    <row r="26414" ht="15.75" customHeight="1">
      <c r="A26414" s="7"/>
      <c r="B26414" s="7"/>
      <c r="M26414" s="9" t="s">
        <v>37</v>
      </c>
    </row>
    <row r="26415" ht="15.75" customHeight="1">
      <c r="A26415" s="7"/>
      <c r="B26415" s="7"/>
      <c r="M26415" s="9" t="s">
        <v>26</v>
      </c>
    </row>
    <row r="26416" ht="15.75" customHeight="1">
      <c r="A26416" s="7"/>
      <c r="B26416" s="7"/>
      <c r="M26416" s="9" t="s">
        <v>24</v>
      </c>
    </row>
    <row r="26417" ht="15.75" customHeight="1">
      <c r="A26417" s="7"/>
      <c r="B26417" s="7"/>
      <c r="M26417" s="9" t="s">
        <v>20</v>
      </c>
    </row>
    <row r="26418" ht="15.75" customHeight="1">
      <c r="A26418" s="7"/>
      <c r="B26418" s="7"/>
      <c r="M26418" s="9" t="s">
        <v>21</v>
      </c>
    </row>
    <row r="26419" ht="15.75" customHeight="1">
      <c r="A26419" s="7"/>
      <c r="B26419" s="7"/>
      <c r="M26419" s="9" t="s">
        <v>39</v>
      </c>
    </row>
    <row r="26420" ht="15.75" customHeight="1">
      <c r="A26420" s="7"/>
      <c r="B26420" s="7"/>
      <c r="M26420" s="9" t="s">
        <v>37</v>
      </c>
    </row>
    <row r="26421" ht="15.75" customHeight="1">
      <c r="A26421" s="7"/>
      <c r="B26421" s="7"/>
      <c r="M26421" s="9" t="s">
        <v>22</v>
      </c>
    </row>
    <row r="26422" ht="15.75" customHeight="1">
      <c r="A26422" s="7"/>
      <c r="B26422" s="7"/>
      <c r="M26422" s="9" t="s">
        <v>27</v>
      </c>
    </row>
    <row r="26423" ht="15.75" customHeight="1">
      <c r="A26423" s="7"/>
      <c r="B26423" s="7"/>
      <c r="M26423" s="9" t="s">
        <v>33</v>
      </c>
    </row>
    <row r="26424" ht="15.75" customHeight="1">
      <c r="A26424" s="7"/>
      <c r="B26424" s="7"/>
      <c r="M26424" s="9" t="s">
        <v>26</v>
      </c>
    </row>
    <row r="26425" ht="15.75" customHeight="1">
      <c r="A26425" s="7"/>
      <c r="B26425" s="7"/>
      <c r="M26425" s="9" t="s">
        <v>24</v>
      </c>
    </row>
    <row r="26426" ht="15.75" customHeight="1">
      <c r="A26426" s="7"/>
      <c r="B26426" s="7"/>
      <c r="M26426" s="9" t="s">
        <v>21</v>
      </c>
    </row>
    <row r="26427" ht="15.75" customHeight="1">
      <c r="A26427" s="7"/>
      <c r="B26427" s="7"/>
      <c r="M26427" s="9" t="s">
        <v>39</v>
      </c>
    </row>
    <row r="26428" ht="15.75" customHeight="1">
      <c r="A26428" s="7"/>
      <c r="B26428" s="7"/>
      <c r="M26428" s="9" t="s">
        <v>37</v>
      </c>
    </row>
    <row r="26429" ht="15.75" customHeight="1">
      <c r="A26429" s="7"/>
      <c r="B26429" s="7"/>
      <c r="M26429" s="9" t="s">
        <v>27</v>
      </c>
    </row>
    <row r="26430" ht="15.75" customHeight="1">
      <c r="A26430" s="7"/>
      <c r="B26430" s="7"/>
      <c r="M26430" s="9" t="s">
        <v>23</v>
      </c>
    </row>
    <row r="26431" ht="15.75" customHeight="1">
      <c r="A26431" s="7"/>
      <c r="B26431" s="7"/>
      <c r="M26431" s="9" t="s">
        <v>24</v>
      </c>
    </row>
    <row r="26432" ht="15.75" customHeight="1">
      <c r="A26432" s="7"/>
      <c r="B26432" s="7"/>
      <c r="M26432" s="9" t="s">
        <v>21</v>
      </c>
    </row>
    <row r="26433" ht="15.75" customHeight="1">
      <c r="A26433" s="7"/>
      <c r="B26433" s="7"/>
      <c r="M26433" s="9" t="s">
        <v>22</v>
      </c>
    </row>
    <row r="26434" ht="15.75" customHeight="1">
      <c r="A26434" s="7"/>
      <c r="B26434" s="7"/>
      <c r="M26434" s="9" t="s">
        <v>27</v>
      </c>
    </row>
    <row r="26435" ht="15.75" customHeight="1">
      <c r="A26435" s="7"/>
      <c r="B26435" s="7"/>
      <c r="M26435" s="9" t="s">
        <v>30</v>
      </c>
    </row>
    <row r="26436" ht="15.75" customHeight="1">
      <c r="A26436" s="7"/>
      <c r="B26436" s="7"/>
      <c r="M26436" s="9" t="s">
        <v>26</v>
      </c>
    </row>
    <row r="26437" ht="15.75" customHeight="1">
      <c r="A26437" s="7"/>
      <c r="B26437" s="7"/>
      <c r="M26437" s="9" t="s">
        <v>29</v>
      </c>
    </row>
    <row r="26438" ht="15.75" customHeight="1">
      <c r="A26438" s="7"/>
      <c r="B26438" s="7"/>
      <c r="M26438" s="9" t="s">
        <v>27</v>
      </c>
    </row>
    <row r="26439" ht="15.75" customHeight="1">
      <c r="A26439" s="7"/>
      <c r="B26439" s="7"/>
      <c r="M26439" s="9" t="s">
        <v>26</v>
      </c>
    </row>
    <row r="26440" ht="15.75" customHeight="1">
      <c r="A26440" s="7"/>
      <c r="B26440" s="7"/>
      <c r="M26440" s="9" t="s">
        <v>23</v>
      </c>
    </row>
    <row r="26441" ht="15.75" customHeight="1">
      <c r="A26441" s="7"/>
      <c r="B26441" s="7"/>
      <c r="M26441" s="9" t="s">
        <v>26</v>
      </c>
    </row>
    <row r="26442" ht="15.75" customHeight="1">
      <c r="A26442" s="7"/>
      <c r="B26442" s="7"/>
      <c r="M26442" s="9" t="s">
        <v>24</v>
      </c>
    </row>
    <row r="26443" ht="15.75" customHeight="1">
      <c r="A26443" s="7"/>
      <c r="B26443" s="7"/>
      <c r="M26443" s="9" t="s">
        <v>21</v>
      </c>
    </row>
    <row r="26444" ht="15.75" customHeight="1">
      <c r="A26444" s="7"/>
      <c r="B26444" s="7"/>
      <c r="M26444" s="9" t="s">
        <v>30</v>
      </c>
    </row>
    <row r="26445" ht="15.75" customHeight="1">
      <c r="A26445" s="7"/>
      <c r="B26445" s="7"/>
      <c r="M26445" s="9" t="s">
        <v>25</v>
      </c>
    </row>
    <row r="26446" ht="15.75" customHeight="1">
      <c r="A26446" s="7"/>
      <c r="B26446" s="7"/>
      <c r="M26446" s="9" t="s">
        <v>23</v>
      </c>
    </row>
    <row r="26447" ht="15.75" customHeight="1">
      <c r="A26447" s="7"/>
      <c r="B26447" s="7"/>
      <c r="M26447" s="9" t="s">
        <v>26</v>
      </c>
    </row>
    <row r="26448" ht="15.75" customHeight="1">
      <c r="A26448" s="7"/>
      <c r="B26448" s="7"/>
      <c r="M26448" s="9" t="s">
        <v>24</v>
      </c>
    </row>
    <row r="26449" ht="15.75" customHeight="1">
      <c r="A26449" s="7"/>
      <c r="B26449" s="7"/>
      <c r="M26449" s="9" t="s">
        <v>20</v>
      </c>
    </row>
    <row r="26450" ht="15.75" customHeight="1">
      <c r="A26450" s="7"/>
      <c r="B26450" s="7"/>
      <c r="M26450" s="9" t="s">
        <v>21</v>
      </c>
    </row>
    <row r="26451" ht="15.75" customHeight="1">
      <c r="A26451" s="7"/>
      <c r="B26451" s="7"/>
      <c r="M26451" s="9" t="s">
        <v>37</v>
      </c>
    </row>
    <row r="26452" ht="15.75" customHeight="1">
      <c r="A26452" s="7"/>
      <c r="B26452" s="7"/>
      <c r="M26452" s="9" t="s">
        <v>22</v>
      </c>
    </row>
    <row r="26453" ht="15.75" customHeight="1">
      <c r="A26453" s="7"/>
      <c r="B26453" s="7"/>
      <c r="M26453" s="9" t="s">
        <v>29</v>
      </c>
    </row>
    <row r="26454" ht="15.75" customHeight="1">
      <c r="A26454" s="7"/>
      <c r="B26454" s="7"/>
      <c r="M26454" s="9" t="s">
        <v>31</v>
      </c>
    </row>
    <row r="26455" ht="15.75" customHeight="1">
      <c r="A26455" s="7"/>
      <c r="B26455" s="7"/>
      <c r="M26455" s="9" t="s">
        <v>27</v>
      </c>
    </row>
    <row r="26456" ht="15.75" customHeight="1">
      <c r="A26456" s="7"/>
      <c r="B26456" s="7"/>
      <c r="M26456" s="9" t="s">
        <v>38</v>
      </c>
    </row>
    <row r="26457" ht="15.75" customHeight="1">
      <c r="A26457" s="7"/>
      <c r="B26457" s="7"/>
      <c r="M26457" s="9" t="s">
        <v>30</v>
      </c>
    </row>
    <row r="26458" ht="15.75" customHeight="1">
      <c r="A26458" s="7"/>
      <c r="B26458" s="7"/>
      <c r="M26458" s="9" t="s">
        <v>25</v>
      </c>
    </row>
    <row r="26459" ht="15.75" customHeight="1">
      <c r="A26459" s="7"/>
      <c r="B26459" s="7"/>
      <c r="M26459" s="9" t="s">
        <v>23</v>
      </c>
    </row>
    <row r="26460" ht="15.75" customHeight="1">
      <c r="A26460" s="7"/>
      <c r="B26460" s="7"/>
      <c r="M26460" s="9" t="s">
        <v>25</v>
      </c>
    </row>
    <row r="26461" ht="15.75" customHeight="1">
      <c r="A26461" s="7"/>
      <c r="B26461" s="7"/>
      <c r="M26461" s="9" t="s">
        <v>24</v>
      </c>
    </row>
    <row r="26462" ht="15.75" customHeight="1">
      <c r="A26462" s="7"/>
      <c r="B26462" s="7"/>
      <c r="M26462" s="9" t="s">
        <v>21</v>
      </c>
    </row>
    <row r="26463" ht="15.75" customHeight="1">
      <c r="A26463" s="7"/>
      <c r="B26463" s="7"/>
      <c r="M26463" s="9" t="s">
        <v>22</v>
      </c>
    </row>
    <row r="26464" ht="15.75" customHeight="1">
      <c r="A26464" s="7"/>
      <c r="B26464" s="7"/>
      <c r="M26464" s="9" t="s">
        <v>27</v>
      </c>
    </row>
    <row r="26465" ht="15.75" customHeight="1">
      <c r="A26465" s="7"/>
      <c r="B26465" s="7"/>
      <c r="M26465" s="9" t="s">
        <v>33</v>
      </c>
    </row>
    <row r="26466" ht="15.75" customHeight="1">
      <c r="A26466" s="7"/>
      <c r="B26466" s="7"/>
      <c r="M26466" s="9" t="s">
        <v>35</v>
      </c>
    </row>
    <row r="26467" ht="15.75" customHeight="1">
      <c r="A26467" s="7"/>
      <c r="B26467" s="7"/>
      <c r="M26467" s="9" t="s">
        <v>30</v>
      </c>
    </row>
    <row r="26468" ht="15.75" customHeight="1">
      <c r="A26468" s="7"/>
      <c r="B26468" s="7"/>
      <c r="M26468" s="9" t="s">
        <v>24</v>
      </c>
    </row>
    <row r="26469" ht="15.75" customHeight="1">
      <c r="A26469" s="7"/>
      <c r="B26469" s="7"/>
      <c r="M26469" s="9" t="s">
        <v>37</v>
      </c>
    </row>
    <row r="26470" ht="15.75" customHeight="1">
      <c r="A26470" s="7"/>
      <c r="B26470" s="7"/>
      <c r="M26470" s="9" t="s">
        <v>27</v>
      </c>
    </row>
    <row r="26471" ht="15.75" customHeight="1">
      <c r="A26471" s="7"/>
      <c r="B26471" s="7"/>
      <c r="M26471" s="9" t="s">
        <v>25</v>
      </c>
    </row>
    <row r="26472" ht="15.75" customHeight="1">
      <c r="A26472" s="7"/>
      <c r="B26472" s="7"/>
      <c r="M26472" s="9" t="s">
        <v>23</v>
      </c>
    </row>
    <row r="26473" ht="15.75" customHeight="1">
      <c r="A26473" s="7"/>
      <c r="B26473" s="7"/>
      <c r="M26473" s="9" t="s">
        <v>24</v>
      </c>
    </row>
    <row r="26474" ht="15.75" customHeight="1">
      <c r="A26474" s="7"/>
      <c r="B26474" s="7"/>
      <c r="M26474" s="9" t="s">
        <v>20</v>
      </c>
    </row>
    <row r="26475" ht="15.75" customHeight="1">
      <c r="A26475" s="7"/>
      <c r="B26475" s="7"/>
      <c r="M26475" s="9" t="s">
        <v>21</v>
      </c>
    </row>
    <row r="26476" ht="15.75" customHeight="1">
      <c r="A26476" s="7"/>
      <c r="B26476" s="7"/>
      <c r="M26476" s="9" t="s">
        <v>27</v>
      </c>
    </row>
    <row r="26477" ht="15.75" customHeight="1">
      <c r="A26477" s="7"/>
      <c r="B26477" s="7"/>
      <c r="M26477" s="9" t="s">
        <v>26</v>
      </c>
    </row>
    <row r="26478" ht="15.75" customHeight="1">
      <c r="A26478" s="7"/>
      <c r="B26478" s="7"/>
      <c r="M26478" s="9" t="s">
        <v>20</v>
      </c>
    </row>
    <row r="26479" ht="15.75" customHeight="1">
      <c r="A26479" s="7"/>
      <c r="B26479" s="7"/>
      <c r="M26479" s="9" t="s">
        <v>39</v>
      </c>
    </row>
    <row r="26480" ht="15.75" customHeight="1">
      <c r="A26480" s="7"/>
      <c r="B26480" s="7"/>
      <c r="M26480" s="9" t="s">
        <v>31</v>
      </c>
    </row>
    <row r="26481" ht="15.75" customHeight="1">
      <c r="A26481" s="7"/>
      <c r="B26481" s="7"/>
      <c r="M26481" s="9" t="s">
        <v>27</v>
      </c>
    </row>
    <row r="26482" ht="15.75" customHeight="1">
      <c r="A26482" s="7"/>
      <c r="B26482" s="7"/>
      <c r="M26482" s="9" t="s">
        <v>24</v>
      </c>
    </row>
    <row r="26483" ht="15.75" customHeight="1">
      <c r="A26483" s="7"/>
      <c r="B26483" s="7"/>
      <c r="M26483" s="9" t="s">
        <v>21</v>
      </c>
    </row>
    <row r="26484" ht="15.75" customHeight="1">
      <c r="A26484" s="7"/>
      <c r="B26484" s="7"/>
      <c r="M26484" s="9" t="s">
        <v>40</v>
      </c>
    </row>
    <row r="26485" ht="15.75" customHeight="1">
      <c r="A26485" s="7"/>
      <c r="B26485" s="7"/>
      <c r="M26485" s="9" t="s">
        <v>24</v>
      </c>
    </row>
    <row r="26486" ht="15.75" customHeight="1">
      <c r="A26486" s="7"/>
      <c r="B26486" s="7"/>
      <c r="M26486" s="9" t="s">
        <v>21</v>
      </c>
    </row>
    <row r="26487" ht="15.75" customHeight="1">
      <c r="A26487" s="7"/>
      <c r="B26487" s="7"/>
      <c r="M26487" s="9" t="s">
        <v>22</v>
      </c>
    </row>
    <row r="26488" ht="15.75" customHeight="1">
      <c r="A26488" s="7"/>
      <c r="B26488" s="7"/>
      <c r="M26488" s="9" t="s">
        <v>30</v>
      </c>
    </row>
    <row r="26489" ht="15.75" customHeight="1">
      <c r="A26489" s="7"/>
      <c r="B26489" s="7"/>
      <c r="M26489" s="9" t="s">
        <v>37</v>
      </c>
    </row>
    <row r="26490" ht="15.75" customHeight="1">
      <c r="A26490" s="7"/>
      <c r="B26490" s="7"/>
      <c r="M26490" s="9" t="s">
        <v>44</v>
      </c>
    </row>
    <row r="26491" ht="15.75" customHeight="1">
      <c r="A26491" s="7"/>
      <c r="B26491" s="7"/>
      <c r="M26491" s="9" t="s">
        <v>20</v>
      </c>
    </row>
    <row r="26492" ht="15.75" customHeight="1">
      <c r="A26492" s="7"/>
      <c r="B26492" s="7"/>
      <c r="M26492" s="9" t="s">
        <v>25</v>
      </c>
    </row>
    <row r="26493" ht="15.75" customHeight="1">
      <c r="A26493" s="7"/>
      <c r="B26493" s="7"/>
      <c r="M26493" s="9" t="s">
        <v>23</v>
      </c>
    </row>
    <row r="26494" ht="15.75" customHeight="1">
      <c r="A26494" s="7"/>
      <c r="B26494" s="7"/>
      <c r="M26494" s="9" t="s">
        <v>24</v>
      </c>
    </row>
    <row r="26495" ht="15.75" customHeight="1">
      <c r="A26495" s="7"/>
      <c r="B26495" s="7"/>
      <c r="M26495" s="9" t="s">
        <v>20</v>
      </c>
    </row>
    <row r="26496" ht="15.75" customHeight="1">
      <c r="A26496" s="7"/>
      <c r="B26496" s="7"/>
      <c r="M26496" s="9" t="s">
        <v>21</v>
      </c>
    </row>
    <row r="26497" ht="15.75" customHeight="1">
      <c r="A26497" s="7"/>
      <c r="B26497" s="7"/>
      <c r="M26497" s="9" t="s">
        <v>27</v>
      </c>
    </row>
    <row r="26498" ht="15.75" customHeight="1">
      <c r="A26498" s="7"/>
      <c r="B26498" s="7"/>
      <c r="M26498" s="9" t="s">
        <v>26</v>
      </c>
    </row>
    <row r="26499" ht="15.75" customHeight="1">
      <c r="A26499" s="7"/>
      <c r="B26499" s="7"/>
      <c r="M26499" s="9" t="s">
        <v>21</v>
      </c>
    </row>
    <row r="26500" ht="15.75" customHeight="1">
      <c r="A26500" s="7"/>
      <c r="B26500" s="7"/>
      <c r="M26500" s="9" t="s">
        <v>27</v>
      </c>
    </row>
    <row r="26501" ht="15.75" customHeight="1">
      <c r="A26501" s="7"/>
      <c r="B26501" s="7"/>
      <c r="M26501" s="9" t="s">
        <v>22</v>
      </c>
    </row>
    <row r="26502" ht="15.75" customHeight="1">
      <c r="A26502" s="7"/>
      <c r="B26502" s="7"/>
      <c r="M26502" s="9" t="s">
        <v>29</v>
      </c>
    </row>
    <row r="26503" ht="15.75" customHeight="1">
      <c r="A26503" s="7"/>
      <c r="B26503" s="7"/>
      <c r="M26503" s="9" t="s">
        <v>28</v>
      </c>
    </row>
    <row r="26504" ht="15.75" customHeight="1">
      <c r="A26504" s="7"/>
      <c r="B26504" s="7"/>
      <c r="M26504" s="9" t="s">
        <v>30</v>
      </c>
    </row>
    <row r="26505" ht="15.75" customHeight="1">
      <c r="A26505" s="7"/>
      <c r="B26505" s="7"/>
      <c r="M26505" s="9" t="s">
        <v>24</v>
      </c>
    </row>
    <row r="26506" ht="15.75" customHeight="1">
      <c r="A26506" s="7"/>
      <c r="B26506" s="7"/>
      <c r="M26506" s="9" t="s">
        <v>20</v>
      </c>
    </row>
    <row r="26507" ht="15.75" customHeight="1">
      <c r="A26507" s="7"/>
      <c r="B26507" s="7"/>
      <c r="M26507" s="9" t="s">
        <v>22</v>
      </c>
    </row>
    <row r="26508" ht="15.75" customHeight="1">
      <c r="A26508" s="7"/>
      <c r="B26508" s="7"/>
      <c r="M26508" s="9" t="s">
        <v>38</v>
      </c>
    </row>
    <row r="26509" ht="15.75" customHeight="1">
      <c r="A26509" s="7"/>
      <c r="B26509" s="7"/>
      <c r="M26509" s="9" t="s">
        <v>30</v>
      </c>
    </row>
    <row r="26510" ht="15.75" customHeight="1">
      <c r="A26510" s="7"/>
      <c r="B26510" s="7"/>
      <c r="M26510" s="9" t="s">
        <v>25</v>
      </c>
    </row>
    <row r="26511" ht="15.75" customHeight="1">
      <c r="A26511" s="7"/>
      <c r="B26511" s="7"/>
      <c r="M26511" s="9" t="s">
        <v>24</v>
      </c>
    </row>
    <row r="26512" ht="15.75" customHeight="1">
      <c r="A26512" s="7"/>
      <c r="B26512" s="7"/>
      <c r="M26512" s="9" t="s">
        <v>20</v>
      </c>
    </row>
    <row r="26513" ht="15.75" customHeight="1">
      <c r="A26513" s="7"/>
      <c r="B26513" s="7"/>
      <c r="M26513" s="9" t="s">
        <v>21</v>
      </c>
    </row>
    <row r="26514" ht="15.75" customHeight="1">
      <c r="A26514" s="7"/>
      <c r="B26514" s="7"/>
      <c r="M26514" s="9" t="s">
        <v>37</v>
      </c>
    </row>
    <row r="26515" ht="15.75" customHeight="1">
      <c r="A26515" s="7"/>
      <c r="B26515" s="7"/>
      <c r="M26515" s="9" t="s">
        <v>22</v>
      </c>
    </row>
    <row r="26516" ht="15.75" customHeight="1">
      <c r="A26516" s="7"/>
      <c r="B26516" s="7"/>
      <c r="M26516" s="9" t="s">
        <v>27</v>
      </c>
    </row>
    <row r="26517" ht="15.75" customHeight="1">
      <c r="A26517" s="7"/>
      <c r="B26517" s="7"/>
      <c r="M26517" s="9" t="s">
        <v>30</v>
      </c>
    </row>
    <row r="26518" ht="15.75" customHeight="1">
      <c r="A26518" s="7"/>
      <c r="B26518" s="7"/>
      <c r="M26518" s="9" t="s">
        <v>25</v>
      </c>
    </row>
    <row r="26519" ht="15.75" customHeight="1">
      <c r="A26519" s="7"/>
      <c r="B26519" s="7"/>
      <c r="M26519" s="9" t="s">
        <v>23</v>
      </c>
    </row>
    <row r="26520" ht="15.75" customHeight="1">
      <c r="A26520" s="7"/>
      <c r="B26520" s="7"/>
      <c r="M26520" s="9" t="s">
        <v>26</v>
      </c>
    </row>
    <row r="26521" ht="15.75" customHeight="1">
      <c r="A26521" s="7"/>
      <c r="B26521" s="7"/>
      <c r="M26521" s="9" t="s">
        <v>24</v>
      </c>
    </row>
    <row r="26522" ht="15.75" customHeight="1">
      <c r="A26522" s="7"/>
      <c r="B26522" s="7"/>
      <c r="M26522" s="9" t="s">
        <v>21</v>
      </c>
    </row>
    <row r="26523" ht="15.75" customHeight="1">
      <c r="A26523" s="7"/>
      <c r="B26523" s="7"/>
      <c r="M26523" s="9" t="s">
        <v>37</v>
      </c>
    </row>
    <row r="26524" ht="15.75" customHeight="1">
      <c r="A26524" s="7"/>
      <c r="B26524" s="7"/>
      <c r="M26524" s="9" t="s">
        <v>22</v>
      </c>
    </row>
    <row r="26525" ht="15.75" customHeight="1">
      <c r="A26525" s="7"/>
      <c r="B26525" s="7"/>
      <c r="M26525" s="9" t="s">
        <v>27</v>
      </c>
    </row>
    <row r="26526" ht="15.75" customHeight="1">
      <c r="A26526" s="7"/>
      <c r="B26526" s="7"/>
      <c r="M26526" s="9" t="s">
        <v>33</v>
      </c>
    </row>
    <row r="26527" ht="15.75" customHeight="1">
      <c r="A26527" s="7"/>
      <c r="B26527" s="7"/>
      <c r="M26527" s="9" t="s">
        <v>30</v>
      </c>
    </row>
    <row r="26528" ht="15.75" customHeight="1">
      <c r="A26528" s="7"/>
      <c r="B26528" s="7"/>
      <c r="M26528" s="9" t="s">
        <v>23</v>
      </c>
    </row>
    <row r="26529" ht="15.75" customHeight="1">
      <c r="A26529" s="7"/>
      <c r="B26529" s="7"/>
      <c r="M26529" s="9" t="s">
        <v>20</v>
      </c>
    </row>
    <row r="26530" ht="15.75" customHeight="1">
      <c r="A26530" s="7"/>
      <c r="B26530" s="7"/>
      <c r="M26530" s="9" t="s">
        <v>21</v>
      </c>
    </row>
    <row r="26531" ht="15.75" customHeight="1">
      <c r="A26531" s="7"/>
      <c r="B26531" s="7"/>
      <c r="M26531" s="9" t="s">
        <v>22</v>
      </c>
    </row>
    <row r="26532" ht="15.75" customHeight="1">
      <c r="A26532" s="7"/>
      <c r="B26532" s="7"/>
      <c r="M26532" s="9" t="s">
        <v>27</v>
      </c>
    </row>
    <row r="26533" ht="15.75" customHeight="1">
      <c r="A26533" s="7"/>
      <c r="B26533" s="7"/>
      <c r="M26533" s="9" t="s">
        <v>30</v>
      </c>
    </row>
    <row r="26534" ht="15.75" customHeight="1">
      <c r="A26534" s="7"/>
      <c r="B26534" s="7"/>
      <c r="M26534" s="9" t="s">
        <v>24</v>
      </c>
    </row>
    <row r="26535" ht="15.75" customHeight="1">
      <c r="A26535" s="7"/>
      <c r="B26535" s="7"/>
      <c r="M26535" s="9" t="s">
        <v>21</v>
      </c>
    </row>
    <row r="26536" ht="15.75" customHeight="1">
      <c r="A26536" s="7"/>
      <c r="B26536" s="7"/>
      <c r="M26536" s="9" t="s">
        <v>37</v>
      </c>
    </row>
    <row r="26537" ht="15.75" customHeight="1">
      <c r="A26537" s="7"/>
      <c r="B26537" s="7"/>
      <c r="M26537" s="9" t="s">
        <v>22</v>
      </c>
    </row>
    <row r="26538" ht="15.75" customHeight="1">
      <c r="A26538" s="7"/>
      <c r="B26538" s="7"/>
      <c r="M26538" s="9" t="s">
        <v>27</v>
      </c>
    </row>
    <row r="26539" ht="15.75" customHeight="1">
      <c r="A26539" s="7"/>
      <c r="B26539" s="7"/>
      <c r="M26539" s="9" t="s">
        <v>38</v>
      </c>
    </row>
    <row r="26540" ht="15.75" customHeight="1">
      <c r="A26540" s="7"/>
      <c r="B26540" s="7"/>
      <c r="M26540" s="9" t="s">
        <v>30</v>
      </c>
    </row>
    <row r="26541" ht="15.75" customHeight="1">
      <c r="A26541" s="7"/>
      <c r="B26541" s="7"/>
      <c r="M26541" s="9" t="s">
        <v>25</v>
      </c>
    </row>
    <row r="26542" ht="15.75" customHeight="1">
      <c r="A26542" s="7"/>
      <c r="B26542" s="7"/>
      <c r="M26542" s="9" t="s">
        <v>23</v>
      </c>
    </row>
    <row r="26543" ht="15.75" customHeight="1">
      <c r="A26543" s="7"/>
      <c r="B26543" s="7"/>
      <c r="M26543" s="9" t="s">
        <v>36</v>
      </c>
    </row>
    <row r="26544" ht="15.75" customHeight="1">
      <c r="A26544" s="7"/>
      <c r="B26544" s="7"/>
      <c r="M26544" s="9" t="s">
        <v>24</v>
      </c>
    </row>
    <row r="26545" ht="15.75" customHeight="1">
      <c r="A26545" s="7"/>
      <c r="B26545" s="7"/>
      <c r="M26545" s="9" t="s">
        <v>21</v>
      </c>
    </row>
    <row r="26546" ht="15.75" customHeight="1">
      <c r="A26546" s="7"/>
      <c r="B26546" s="7"/>
      <c r="M26546" s="9" t="s">
        <v>37</v>
      </c>
    </row>
    <row r="26547" ht="15.75" customHeight="1">
      <c r="A26547" s="7"/>
      <c r="B26547" s="7"/>
      <c r="M26547" s="9" t="s">
        <v>27</v>
      </c>
    </row>
    <row r="26548" ht="15.75" customHeight="1">
      <c r="A26548" s="7"/>
      <c r="B26548" s="7"/>
      <c r="M26548" s="9" t="s">
        <v>40</v>
      </c>
    </row>
    <row r="26549" ht="15.75" customHeight="1">
      <c r="A26549" s="7"/>
      <c r="B26549" s="7"/>
      <c r="M26549" s="9" t="s">
        <v>30</v>
      </c>
    </row>
    <row r="26550" ht="15.75" customHeight="1">
      <c r="A26550" s="7"/>
      <c r="B26550" s="7"/>
      <c r="M26550" s="9" t="s">
        <v>36</v>
      </c>
    </row>
    <row r="26551" ht="15.75" customHeight="1">
      <c r="A26551" s="7"/>
      <c r="B26551" s="7"/>
      <c r="M26551" s="9" t="s">
        <v>24</v>
      </c>
    </row>
    <row r="26552" ht="15.75" customHeight="1">
      <c r="A26552" s="7"/>
      <c r="B26552" s="7"/>
      <c r="M26552" s="9" t="s">
        <v>20</v>
      </c>
    </row>
    <row r="26553" ht="15.75" customHeight="1">
      <c r="A26553" s="7"/>
      <c r="B26553" s="7"/>
      <c r="M26553" s="9" t="s">
        <v>21</v>
      </c>
    </row>
    <row r="26554" ht="15.75" customHeight="1">
      <c r="A26554" s="7"/>
      <c r="B26554" s="7"/>
      <c r="M26554" s="9" t="s">
        <v>39</v>
      </c>
    </row>
    <row r="26555" ht="15.75" customHeight="1">
      <c r="A26555" s="7"/>
      <c r="B26555" s="7"/>
      <c r="M26555" s="9" t="s">
        <v>27</v>
      </c>
    </row>
    <row r="26556" ht="15.75" customHeight="1">
      <c r="A26556" s="7"/>
      <c r="B26556" s="7"/>
      <c r="M26556" s="9" t="s">
        <v>30</v>
      </c>
    </row>
    <row r="26557" ht="15.75" customHeight="1">
      <c r="A26557" s="7"/>
      <c r="B26557" s="7"/>
      <c r="M26557" s="9" t="s">
        <v>25</v>
      </c>
    </row>
    <row r="26558" ht="15.75" customHeight="1">
      <c r="A26558" s="7"/>
      <c r="B26558" s="7"/>
      <c r="M26558" s="9" t="s">
        <v>20</v>
      </c>
    </row>
    <row r="26559" ht="15.75" customHeight="1">
      <c r="A26559" s="7"/>
      <c r="B26559" s="7"/>
      <c r="M26559" s="9" t="s">
        <v>37</v>
      </c>
    </row>
    <row r="26560" ht="15.75" customHeight="1">
      <c r="A26560" s="7"/>
      <c r="B26560" s="7"/>
      <c r="M26560" s="9" t="s">
        <v>22</v>
      </c>
    </row>
    <row r="26561" ht="15.75" customHeight="1">
      <c r="A26561" s="7"/>
      <c r="B26561" s="7"/>
      <c r="M26561" s="9" t="s">
        <v>29</v>
      </c>
    </row>
    <row r="26562" ht="15.75" customHeight="1">
      <c r="A26562" s="7"/>
      <c r="B26562" s="7"/>
      <c r="M26562" s="9" t="s">
        <v>27</v>
      </c>
    </row>
    <row r="26563" ht="15.75" customHeight="1">
      <c r="A26563" s="7"/>
      <c r="B26563" s="7"/>
      <c r="M26563" s="9" t="s">
        <v>28</v>
      </c>
    </row>
    <row r="26564" ht="15.75" customHeight="1">
      <c r="A26564" s="7"/>
      <c r="B26564" s="7"/>
      <c r="M26564" s="9" t="s">
        <v>35</v>
      </c>
    </row>
    <row r="26565" ht="15.75" customHeight="1">
      <c r="A26565" s="7"/>
      <c r="B26565" s="7"/>
      <c r="M26565" s="9" t="s">
        <v>23</v>
      </c>
    </row>
    <row r="26566" ht="15.75" customHeight="1">
      <c r="A26566" s="7"/>
      <c r="B26566" s="7"/>
      <c r="M26566" s="9" t="s">
        <v>21</v>
      </c>
    </row>
    <row r="26567" ht="15.75" customHeight="1">
      <c r="A26567" s="7"/>
      <c r="B26567" s="7"/>
      <c r="M26567" s="9" t="s">
        <v>25</v>
      </c>
    </row>
    <row r="26568" ht="15.75" customHeight="1">
      <c r="A26568" s="7"/>
      <c r="B26568" s="7"/>
      <c r="M26568" s="9" t="s">
        <v>23</v>
      </c>
    </row>
    <row r="26569" ht="15.75" customHeight="1">
      <c r="A26569" s="7"/>
      <c r="B26569" s="7"/>
      <c r="M26569" s="9" t="s">
        <v>24</v>
      </c>
    </row>
    <row r="26570" ht="15.75" customHeight="1">
      <c r="A26570" s="7"/>
      <c r="B26570" s="7"/>
      <c r="M26570" s="9" t="s">
        <v>20</v>
      </c>
    </row>
    <row r="26571" ht="15.75" customHeight="1">
      <c r="A26571" s="7"/>
      <c r="B26571" s="7"/>
      <c r="M26571" s="9" t="s">
        <v>21</v>
      </c>
    </row>
    <row r="26572" ht="15.75" customHeight="1">
      <c r="A26572" s="7"/>
      <c r="B26572" s="7"/>
      <c r="M26572" s="9" t="s">
        <v>39</v>
      </c>
    </row>
    <row r="26573" ht="15.75" customHeight="1">
      <c r="A26573" s="7"/>
      <c r="B26573" s="7"/>
      <c r="M26573" s="9" t="s">
        <v>29</v>
      </c>
    </row>
    <row r="26574" ht="15.75" customHeight="1">
      <c r="A26574" s="7"/>
      <c r="B26574" s="7"/>
      <c r="M26574" s="9" t="s">
        <v>31</v>
      </c>
    </row>
    <row r="26575" ht="15.75" customHeight="1">
      <c r="A26575" s="7"/>
      <c r="B26575" s="7"/>
      <c r="M26575" s="9" t="s">
        <v>27</v>
      </c>
    </row>
    <row r="26576" ht="15.75" customHeight="1">
      <c r="A26576" s="7"/>
      <c r="B26576" s="7"/>
      <c r="M26576" s="9" t="s">
        <v>40</v>
      </c>
    </row>
    <row r="26577" ht="15.75" customHeight="1">
      <c r="A26577" s="7"/>
      <c r="B26577" s="7"/>
      <c r="M26577" s="9" t="s">
        <v>33</v>
      </c>
    </row>
    <row r="26578" ht="15.75" customHeight="1">
      <c r="A26578" s="7"/>
      <c r="B26578" s="7"/>
      <c r="M26578" s="9" t="s">
        <v>23</v>
      </c>
    </row>
    <row r="26579" ht="15.75" customHeight="1">
      <c r="A26579" s="7"/>
      <c r="B26579" s="7"/>
      <c r="M26579" s="9" t="s">
        <v>22</v>
      </c>
    </row>
    <row r="26580" ht="15.75" customHeight="1">
      <c r="A26580" s="7"/>
      <c r="B26580" s="7"/>
      <c r="M26580" s="9" t="s">
        <v>24</v>
      </c>
    </row>
    <row r="26581" ht="15.75" customHeight="1">
      <c r="A26581" s="7"/>
      <c r="B26581" s="7"/>
      <c r="M26581" s="9" t="s">
        <v>21</v>
      </c>
    </row>
    <row r="26582" ht="15.75" customHeight="1">
      <c r="A26582" s="7"/>
      <c r="B26582" s="7"/>
      <c r="M26582" s="9" t="s">
        <v>20</v>
      </c>
    </row>
    <row r="26583" ht="15.75" customHeight="1">
      <c r="A26583" s="7"/>
      <c r="B26583" s="7"/>
      <c r="M26583" s="9" t="s">
        <v>41</v>
      </c>
    </row>
    <row r="26584" ht="15.75" customHeight="1">
      <c r="A26584" s="7"/>
      <c r="B26584" s="7"/>
      <c r="M26584" s="9" t="s">
        <v>40</v>
      </c>
    </row>
    <row r="26585" ht="15.75" customHeight="1">
      <c r="A26585" s="7"/>
      <c r="B26585" s="7"/>
      <c r="M26585" s="9" t="s">
        <v>26</v>
      </c>
    </row>
    <row r="26586" ht="15.75" customHeight="1">
      <c r="A26586" s="7"/>
      <c r="B26586" s="7"/>
      <c r="M26586" s="9" t="s">
        <v>26</v>
      </c>
    </row>
    <row r="26587" ht="15.75" customHeight="1">
      <c r="A26587" s="7"/>
      <c r="B26587" s="7"/>
      <c r="M26587" s="9" t="s">
        <v>45</v>
      </c>
    </row>
    <row r="26588" ht="15.75" customHeight="1">
      <c r="A26588" s="7"/>
      <c r="B26588" s="7"/>
      <c r="M26588" s="9" t="s">
        <v>24</v>
      </c>
    </row>
    <row r="26589" ht="15.75" customHeight="1">
      <c r="A26589" s="7"/>
      <c r="B26589" s="7"/>
      <c r="M26589" s="9" t="s">
        <v>21</v>
      </c>
    </row>
    <row r="26590" ht="15.75" customHeight="1">
      <c r="A26590" s="7"/>
      <c r="B26590" s="7"/>
      <c r="M26590" s="9" t="s">
        <v>37</v>
      </c>
    </row>
    <row r="26591" ht="15.75" customHeight="1">
      <c r="A26591" s="7"/>
      <c r="B26591" s="7"/>
      <c r="M26591" s="9" t="s">
        <v>22</v>
      </c>
    </row>
    <row r="26592" ht="15.75" customHeight="1">
      <c r="A26592" s="7"/>
      <c r="B26592" s="7"/>
      <c r="M26592" s="9" t="s">
        <v>29</v>
      </c>
    </row>
    <row r="26593" ht="15.75" customHeight="1">
      <c r="A26593" s="7"/>
      <c r="B26593" s="7"/>
      <c r="M26593" s="9" t="s">
        <v>27</v>
      </c>
    </row>
    <row r="26594" ht="15.75" customHeight="1">
      <c r="A26594" s="7"/>
      <c r="B26594" s="7"/>
      <c r="M26594" s="9" t="s">
        <v>30</v>
      </c>
    </row>
    <row r="26595" ht="15.75" customHeight="1">
      <c r="A26595" s="7"/>
      <c r="B26595" s="7"/>
      <c r="M26595" s="9" t="s">
        <v>20</v>
      </c>
    </row>
    <row r="26596" ht="15.75" customHeight="1">
      <c r="A26596" s="7"/>
      <c r="B26596" s="7"/>
      <c r="M26596" s="9" t="s">
        <v>21</v>
      </c>
    </row>
    <row r="26597" ht="15.75" customHeight="1">
      <c r="A26597" s="7"/>
      <c r="B26597" s="7"/>
      <c r="M26597" s="9" t="s">
        <v>33</v>
      </c>
    </row>
    <row r="26598" ht="15.75" customHeight="1">
      <c r="A26598" s="7"/>
      <c r="B26598" s="7"/>
      <c r="M26598" s="9" t="s">
        <v>26</v>
      </c>
    </row>
    <row r="26599" ht="15.75" customHeight="1">
      <c r="A26599" s="7"/>
      <c r="B26599" s="7"/>
      <c r="M26599" s="9" t="s">
        <v>24</v>
      </c>
    </row>
    <row r="26600" ht="15.75" customHeight="1">
      <c r="A26600" s="7"/>
      <c r="B26600" s="7"/>
      <c r="M26600" s="9" t="s">
        <v>21</v>
      </c>
    </row>
    <row r="26601" ht="15.75" customHeight="1">
      <c r="A26601" s="7"/>
      <c r="B26601" s="7"/>
      <c r="M26601" s="9" t="s">
        <v>37</v>
      </c>
    </row>
    <row r="26602" ht="15.75" customHeight="1">
      <c r="A26602" s="7"/>
      <c r="B26602" s="7"/>
      <c r="M26602" s="9" t="s">
        <v>27</v>
      </c>
    </row>
    <row r="26603" ht="15.75" customHeight="1">
      <c r="A26603" s="7"/>
      <c r="B26603" s="7"/>
      <c r="M26603" s="9" t="s">
        <v>33</v>
      </c>
    </row>
    <row r="26604" ht="15.75" customHeight="1">
      <c r="A26604" s="7"/>
      <c r="B26604" s="7"/>
      <c r="M26604" s="9" t="s">
        <v>40</v>
      </c>
    </row>
    <row r="26605" ht="15.75" customHeight="1">
      <c r="A26605" s="7"/>
      <c r="B26605" s="7"/>
      <c r="M26605" s="9" t="s">
        <v>26</v>
      </c>
    </row>
    <row r="26606" ht="15.75" customHeight="1">
      <c r="A26606" s="7"/>
      <c r="B26606" s="7"/>
      <c r="M26606" s="9" t="s">
        <v>24</v>
      </c>
    </row>
    <row r="26607" ht="15.75" customHeight="1">
      <c r="A26607" s="7"/>
      <c r="B26607" s="7"/>
      <c r="M26607" s="9" t="s">
        <v>21</v>
      </c>
    </row>
    <row r="26608" ht="15.75" customHeight="1">
      <c r="A26608" s="7"/>
      <c r="B26608" s="7"/>
      <c r="M26608" s="9" t="s">
        <v>33</v>
      </c>
    </row>
    <row r="26609" ht="15.75" customHeight="1">
      <c r="A26609" s="7"/>
      <c r="B26609" s="7"/>
      <c r="M26609" s="9" t="s">
        <v>30</v>
      </c>
    </row>
    <row r="26610" ht="15.75" customHeight="1">
      <c r="A26610" s="7"/>
      <c r="B26610" s="7"/>
      <c r="M26610" s="9" t="s">
        <v>24</v>
      </c>
    </row>
    <row r="26611" ht="15.75" customHeight="1">
      <c r="A26611" s="7"/>
      <c r="B26611" s="7"/>
      <c r="M26611" s="9" t="s">
        <v>21</v>
      </c>
    </row>
    <row r="26612" ht="15.75" customHeight="1">
      <c r="A26612" s="7"/>
      <c r="B26612" s="7"/>
      <c r="M26612" s="9" t="s">
        <v>37</v>
      </c>
    </row>
    <row r="26613" ht="15.75" customHeight="1">
      <c r="A26613" s="7"/>
      <c r="B26613" s="7"/>
      <c r="M26613" s="9" t="s">
        <v>27</v>
      </c>
    </row>
    <row r="26614" ht="15.75" customHeight="1">
      <c r="A26614" s="7"/>
      <c r="B26614" s="7"/>
      <c r="M26614" s="9" t="s">
        <v>30</v>
      </c>
    </row>
    <row r="26615" ht="15.75" customHeight="1">
      <c r="A26615" s="7"/>
      <c r="B26615" s="7"/>
      <c r="M26615" s="9" t="s">
        <v>24</v>
      </c>
    </row>
    <row r="26616" ht="15.75" customHeight="1">
      <c r="A26616" s="7"/>
      <c r="B26616" s="7"/>
      <c r="M26616" s="9" t="s">
        <v>21</v>
      </c>
    </row>
    <row r="26617" ht="15.75" customHeight="1">
      <c r="A26617" s="7"/>
      <c r="B26617" s="7"/>
      <c r="M26617" s="9" t="s">
        <v>37</v>
      </c>
    </row>
    <row r="26618" ht="15.75" customHeight="1">
      <c r="A26618" s="7"/>
      <c r="B26618" s="7"/>
      <c r="M26618" s="9" t="s">
        <v>27</v>
      </c>
    </row>
    <row r="26619" ht="15.75" customHeight="1">
      <c r="A26619" s="7"/>
      <c r="B26619" s="7"/>
      <c r="M26619" s="9" t="s">
        <v>38</v>
      </c>
    </row>
    <row r="26620" ht="15.75" customHeight="1">
      <c r="A26620" s="7"/>
      <c r="B26620" s="7"/>
      <c r="M26620" s="9" t="s">
        <v>25</v>
      </c>
    </row>
    <row r="26621" ht="15.75" customHeight="1">
      <c r="A26621" s="7"/>
      <c r="B26621" s="7"/>
      <c r="M26621" s="9" t="s">
        <v>23</v>
      </c>
    </row>
    <row r="26622" ht="15.75" customHeight="1">
      <c r="A26622" s="7"/>
      <c r="B26622" s="7"/>
      <c r="M26622" s="9" t="s">
        <v>26</v>
      </c>
    </row>
    <row r="26623" ht="15.75" customHeight="1">
      <c r="A26623" s="7"/>
      <c r="B26623" s="7"/>
      <c r="M26623" s="9" t="s">
        <v>20</v>
      </c>
    </row>
    <row r="26624" ht="15.75" customHeight="1">
      <c r="A26624" s="7"/>
      <c r="B26624" s="7"/>
      <c r="M26624" s="9" t="s">
        <v>24</v>
      </c>
    </row>
    <row r="26625" ht="15.75" customHeight="1">
      <c r="A26625" s="7"/>
      <c r="B26625" s="7"/>
      <c r="M26625" s="9" t="s">
        <v>21</v>
      </c>
    </row>
    <row r="26626" ht="15.75" customHeight="1">
      <c r="A26626" s="7"/>
      <c r="B26626" s="7"/>
      <c r="M26626" s="9" t="s">
        <v>37</v>
      </c>
    </row>
    <row r="26627" ht="15.75" customHeight="1">
      <c r="A26627" s="7"/>
      <c r="B26627" s="7"/>
      <c r="M26627" s="9" t="s">
        <v>27</v>
      </c>
    </row>
    <row r="26628" ht="15.75" customHeight="1">
      <c r="A26628" s="7"/>
      <c r="B26628" s="7"/>
      <c r="M26628" s="9" t="s">
        <v>26</v>
      </c>
    </row>
    <row r="26629" ht="15.75" customHeight="1">
      <c r="A26629" s="7"/>
      <c r="B26629" s="7"/>
      <c r="M26629" s="9" t="s">
        <v>20</v>
      </c>
    </row>
    <row r="26630" ht="15.75" customHeight="1">
      <c r="A26630" s="7"/>
      <c r="B26630" s="7"/>
      <c r="M26630" s="9" t="s">
        <v>21</v>
      </c>
    </row>
    <row r="26631" ht="15.75" customHeight="1">
      <c r="A26631" s="7"/>
      <c r="B26631" s="7"/>
      <c r="M26631" s="9" t="s">
        <v>33</v>
      </c>
    </row>
    <row r="26632" ht="15.75" customHeight="1">
      <c r="A26632" s="7"/>
      <c r="B26632" s="7"/>
      <c r="M26632" s="9" t="s">
        <v>24</v>
      </c>
    </row>
    <row r="26633" ht="15.75" customHeight="1">
      <c r="A26633" s="7"/>
      <c r="B26633" s="7"/>
      <c r="M26633" s="9" t="s">
        <v>21</v>
      </c>
    </row>
    <row r="26634" ht="15.75" customHeight="1">
      <c r="A26634" s="7"/>
      <c r="B26634" s="7"/>
      <c r="M26634" s="9" t="s">
        <v>37</v>
      </c>
    </row>
    <row r="26635" ht="15.75" customHeight="1">
      <c r="A26635" s="7"/>
      <c r="B26635" s="7"/>
      <c r="M26635" s="9" t="s">
        <v>27</v>
      </c>
    </row>
    <row r="26636" ht="15.75" customHeight="1">
      <c r="A26636" s="7"/>
      <c r="B26636" s="7"/>
      <c r="M26636" s="9" t="s">
        <v>24</v>
      </c>
    </row>
    <row r="26637" ht="15.75" customHeight="1">
      <c r="A26637" s="7"/>
      <c r="B26637" s="7"/>
      <c r="M26637" s="9" t="s">
        <v>21</v>
      </c>
    </row>
    <row r="26638" ht="15.75" customHeight="1">
      <c r="A26638" s="7"/>
      <c r="B26638" s="7"/>
      <c r="M26638" s="9" t="s">
        <v>26</v>
      </c>
    </row>
    <row r="26639" ht="15.75" customHeight="1">
      <c r="A26639" s="7"/>
      <c r="B26639" s="7"/>
      <c r="M26639" s="9" t="s">
        <v>24</v>
      </c>
    </row>
    <row r="26640" ht="15.75" customHeight="1">
      <c r="A26640" s="7"/>
      <c r="B26640" s="7"/>
      <c r="M26640" s="9" t="s">
        <v>20</v>
      </c>
    </row>
    <row r="26641" ht="15.75" customHeight="1">
      <c r="A26641" s="7"/>
      <c r="B26641" s="7"/>
      <c r="M26641" s="9" t="s">
        <v>21</v>
      </c>
    </row>
    <row r="26642" ht="15.75" customHeight="1">
      <c r="A26642" s="7"/>
      <c r="B26642" s="7"/>
      <c r="M26642" s="9" t="s">
        <v>33</v>
      </c>
    </row>
    <row r="26643" ht="15.75" customHeight="1">
      <c r="A26643" s="7"/>
      <c r="B26643" s="7"/>
      <c r="M26643" s="9" t="s">
        <v>28</v>
      </c>
    </row>
    <row r="26644" ht="15.75" customHeight="1">
      <c r="A26644" s="7"/>
      <c r="B26644" s="7"/>
      <c r="M26644" s="9" t="s">
        <v>26</v>
      </c>
    </row>
    <row r="26645" ht="15.75" customHeight="1">
      <c r="A26645" s="7"/>
      <c r="B26645" s="7"/>
      <c r="M26645" s="9" t="s">
        <v>35</v>
      </c>
    </row>
    <row r="26646" ht="15.75" customHeight="1">
      <c r="A26646" s="7"/>
      <c r="B26646" s="7"/>
      <c r="M26646" s="9" t="s">
        <v>26</v>
      </c>
    </row>
    <row r="26647" ht="15.75" customHeight="1">
      <c r="A26647" s="7"/>
      <c r="B26647" s="7"/>
      <c r="M26647" s="9" t="s">
        <v>24</v>
      </c>
    </row>
    <row r="26648" ht="15.75" customHeight="1">
      <c r="A26648" s="7"/>
      <c r="B26648" s="7"/>
      <c r="M26648" s="9" t="s">
        <v>20</v>
      </c>
    </row>
    <row r="26649" ht="15.75" customHeight="1">
      <c r="A26649" s="7"/>
      <c r="B26649" s="7"/>
      <c r="M26649" s="9" t="s">
        <v>21</v>
      </c>
    </row>
    <row r="26650" ht="15.75" customHeight="1">
      <c r="A26650" s="7"/>
      <c r="B26650" s="7"/>
      <c r="M26650" s="9" t="s">
        <v>27</v>
      </c>
    </row>
    <row r="26651" ht="15.75" customHeight="1">
      <c r="A26651" s="7"/>
      <c r="B26651" s="7"/>
      <c r="M26651" s="9" t="s">
        <v>26</v>
      </c>
    </row>
    <row r="26652" ht="15.75" customHeight="1">
      <c r="A26652" s="7"/>
      <c r="B26652" s="7"/>
      <c r="M26652" s="9" t="s">
        <v>21</v>
      </c>
    </row>
    <row r="26653" ht="15.75" customHeight="1">
      <c r="A26653" s="7"/>
      <c r="B26653" s="7"/>
      <c r="M26653" s="9" t="s">
        <v>27</v>
      </c>
    </row>
    <row r="26654" ht="15.75" customHeight="1">
      <c r="A26654" s="7"/>
      <c r="B26654" s="7"/>
      <c r="M26654" s="9" t="s">
        <v>35</v>
      </c>
    </row>
    <row r="26655" ht="15.75" customHeight="1">
      <c r="A26655" s="7"/>
      <c r="B26655" s="7"/>
      <c r="M26655" s="9" t="s">
        <v>24</v>
      </c>
    </row>
    <row r="26656" ht="15.75" customHeight="1">
      <c r="A26656" s="7"/>
      <c r="B26656" s="7"/>
      <c r="M26656" s="9" t="s">
        <v>21</v>
      </c>
    </row>
    <row r="26657" ht="15.75" customHeight="1">
      <c r="A26657" s="7"/>
      <c r="B26657" s="7"/>
      <c r="M26657" s="9" t="s">
        <v>33</v>
      </c>
    </row>
    <row r="26658" ht="15.75" customHeight="1">
      <c r="A26658" s="7"/>
      <c r="B26658" s="7"/>
      <c r="M26658" s="9" t="s">
        <v>24</v>
      </c>
    </row>
    <row r="26659" ht="15.75" customHeight="1">
      <c r="A26659" s="7"/>
      <c r="B26659" s="7"/>
      <c r="M26659" s="9" t="s">
        <v>21</v>
      </c>
    </row>
    <row r="26660" ht="15.75" customHeight="1">
      <c r="A26660" s="7"/>
      <c r="B26660" s="7"/>
      <c r="M26660" s="9" t="s">
        <v>37</v>
      </c>
    </row>
    <row r="26661" ht="15.75" customHeight="1">
      <c r="A26661" s="7"/>
      <c r="B26661" s="7"/>
      <c r="M26661" s="9" t="s">
        <v>30</v>
      </c>
    </row>
    <row r="26662" ht="15.75" customHeight="1">
      <c r="A26662" s="7"/>
      <c r="B26662" s="7"/>
      <c r="M26662" s="9" t="s">
        <v>24</v>
      </c>
    </row>
    <row r="26663" ht="15.75" customHeight="1">
      <c r="A26663" s="7"/>
      <c r="B26663" s="7"/>
      <c r="M26663" s="9" t="s">
        <v>22</v>
      </c>
    </row>
    <row r="26664" ht="15.75" customHeight="1">
      <c r="A26664" s="7"/>
      <c r="B26664" s="7"/>
      <c r="M26664" s="9" t="s">
        <v>31</v>
      </c>
    </row>
    <row r="26665" ht="15.75" customHeight="1">
      <c r="A26665" s="7"/>
      <c r="B26665" s="7"/>
      <c r="M26665" s="9" t="s">
        <v>35</v>
      </c>
    </row>
    <row r="26666" ht="15.75" customHeight="1">
      <c r="A26666" s="7"/>
      <c r="B26666" s="7"/>
      <c r="M26666" s="9" t="s">
        <v>24</v>
      </c>
    </row>
    <row r="26667" ht="15.75" customHeight="1">
      <c r="A26667" s="7"/>
      <c r="B26667" s="7"/>
      <c r="M26667" s="9" t="s">
        <v>21</v>
      </c>
    </row>
    <row r="26668" ht="15.75" customHeight="1">
      <c r="A26668" s="7"/>
      <c r="B26668" s="7"/>
      <c r="M26668" s="9" t="s">
        <v>27</v>
      </c>
    </row>
    <row r="26669" ht="15.75" customHeight="1">
      <c r="A26669" s="7"/>
      <c r="B26669" s="7"/>
      <c r="M26669" s="9" t="s">
        <v>23</v>
      </c>
    </row>
    <row r="26670" ht="15.75" customHeight="1">
      <c r="A26670" s="7"/>
      <c r="B26670" s="7"/>
      <c r="M26670" s="9" t="s">
        <v>26</v>
      </c>
    </row>
    <row r="26671" ht="15.75" customHeight="1">
      <c r="A26671" s="7"/>
      <c r="B26671" s="7"/>
      <c r="M26671" s="9" t="s">
        <v>24</v>
      </c>
    </row>
    <row r="26672" ht="15.75" customHeight="1">
      <c r="A26672" s="7"/>
      <c r="B26672" s="7"/>
      <c r="M26672" s="9" t="s">
        <v>21</v>
      </c>
    </row>
    <row r="26673" ht="15.75" customHeight="1">
      <c r="A26673" s="7"/>
      <c r="B26673" s="7"/>
      <c r="M26673" s="9" t="s">
        <v>27</v>
      </c>
    </row>
    <row r="26674" ht="15.75" customHeight="1">
      <c r="A26674" s="7"/>
      <c r="B26674" s="7"/>
      <c r="M26674" s="9" t="s">
        <v>22</v>
      </c>
    </row>
    <row r="26675" ht="15.75" customHeight="1">
      <c r="A26675" s="7"/>
      <c r="B26675" s="7"/>
      <c r="M26675" s="9" t="s">
        <v>27</v>
      </c>
    </row>
    <row r="26676" ht="15.75" customHeight="1">
      <c r="A26676" s="7"/>
      <c r="B26676" s="7"/>
      <c r="M26676" s="9" t="s">
        <v>28</v>
      </c>
    </row>
    <row r="26677" ht="15.75" customHeight="1">
      <c r="A26677" s="7"/>
      <c r="B26677" s="7"/>
      <c r="M26677" s="9" t="s">
        <v>38</v>
      </c>
    </row>
    <row r="26678" ht="15.75" customHeight="1">
      <c r="A26678" s="7"/>
      <c r="B26678" s="7"/>
      <c r="M26678" s="9" t="s">
        <v>25</v>
      </c>
    </row>
    <row r="26679" ht="15.75" customHeight="1">
      <c r="A26679" s="7"/>
      <c r="B26679" s="7"/>
      <c r="M26679" s="9" t="s">
        <v>20</v>
      </c>
    </row>
    <row r="26680" ht="15.75" customHeight="1">
      <c r="A26680" s="7"/>
      <c r="B26680" s="7"/>
      <c r="M26680" s="9" t="s">
        <v>22</v>
      </c>
    </row>
    <row r="26681" ht="15.75" customHeight="1">
      <c r="A26681" s="7"/>
      <c r="B26681" s="7"/>
      <c r="M26681" s="9" t="s">
        <v>26</v>
      </c>
    </row>
    <row r="26682" ht="15.75" customHeight="1">
      <c r="A26682" s="7"/>
      <c r="B26682" s="7"/>
      <c r="M26682" s="9" t="s">
        <v>24</v>
      </c>
    </row>
    <row r="26683" ht="15.75" customHeight="1">
      <c r="A26683" s="7"/>
      <c r="B26683" s="7"/>
      <c r="M26683" s="9" t="s">
        <v>21</v>
      </c>
    </row>
    <row r="26684" ht="15.75" customHeight="1">
      <c r="A26684" s="7"/>
      <c r="B26684" s="7"/>
      <c r="M26684" s="9" t="s">
        <v>37</v>
      </c>
    </row>
    <row r="26685" ht="15.75" customHeight="1">
      <c r="A26685" s="7"/>
      <c r="B26685" s="7"/>
      <c r="M26685" s="9" t="s">
        <v>22</v>
      </c>
    </row>
    <row r="26686" ht="15.75" customHeight="1">
      <c r="A26686" s="7"/>
      <c r="B26686" s="7"/>
      <c r="M26686" s="9" t="s">
        <v>27</v>
      </c>
    </row>
    <row r="26687" ht="15.75" customHeight="1">
      <c r="A26687" s="7"/>
      <c r="B26687" s="7"/>
      <c r="M26687" s="9" t="s">
        <v>36</v>
      </c>
    </row>
    <row r="26688" ht="15.75" customHeight="1">
      <c r="A26688" s="7"/>
      <c r="B26688" s="7"/>
      <c r="M26688" s="9" t="s">
        <v>31</v>
      </c>
    </row>
    <row r="26689" ht="15.75" customHeight="1">
      <c r="A26689" s="7"/>
      <c r="B26689" s="7"/>
      <c r="M26689" s="9" t="s">
        <v>38</v>
      </c>
    </row>
    <row r="26690" ht="15.75" customHeight="1">
      <c r="A26690" s="7"/>
      <c r="B26690" s="7"/>
      <c r="M26690" s="9" t="s">
        <v>25</v>
      </c>
    </row>
    <row r="26691" ht="15.75" customHeight="1">
      <c r="A26691" s="7"/>
      <c r="B26691" s="7"/>
      <c r="M26691" s="9" t="s">
        <v>23</v>
      </c>
    </row>
    <row r="26692" ht="15.75" customHeight="1">
      <c r="A26692" s="7"/>
      <c r="B26692" s="7"/>
      <c r="M26692" s="9" t="s">
        <v>24</v>
      </c>
    </row>
    <row r="26693" ht="15.75" customHeight="1">
      <c r="A26693" s="7"/>
      <c r="B26693" s="7"/>
      <c r="M26693" s="9" t="s">
        <v>21</v>
      </c>
    </row>
    <row r="26694" ht="15.75" customHeight="1">
      <c r="A26694" s="7"/>
      <c r="B26694" s="7"/>
      <c r="M26694" s="9" t="s">
        <v>22</v>
      </c>
    </row>
    <row r="26695" ht="15.75" customHeight="1">
      <c r="A26695" s="7"/>
      <c r="B26695" s="7"/>
      <c r="M26695" s="9" t="s">
        <v>26</v>
      </c>
    </row>
    <row r="26696" ht="15.75" customHeight="1">
      <c r="A26696" s="7"/>
      <c r="B26696" s="7"/>
      <c r="M26696" s="9" t="s">
        <v>24</v>
      </c>
    </row>
    <row r="26697" ht="15.75" customHeight="1">
      <c r="A26697" s="7"/>
      <c r="B26697" s="7"/>
      <c r="M26697" s="9" t="s">
        <v>21</v>
      </c>
    </row>
    <row r="26698" ht="15.75" customHeight="1">
      <c r="A26698" s="7"/>
      <c r="B26698" s="7"/>
      <c r="M26698" s="9" t="s">
        <v>22</v>
      </c>
    </row>
    <row r="26699" ht="15.75" customHeight="1">
      <c r="A26699" s="7"/>
      <c r="B26699" s="7"/>
      <c r="M26699" s="9" t="s">
        <v>27</v>
      </c>
    </row>
    <row r="26700" ht="15.75" customHeight="1">
      <c r="A26700" s="7"/>
      <c r="B26700" s="7"/>
      <c r="M26700" s="9" t="s">
        <v>33</v>
      </c>
    </row>
    <row r="26701" ht="15.75" customHeight="1">
      <c r="A26701" s="7"/>
      <c r="B26701" s="7"/>
      <c r="M26701" s="9" t="s">
        <v>30</v>
      </c>
    </row>
    <row r="26702" ht="15.75" customHeight="1">
      <c r="A26702" s="7"/>
      <c r="B26702" s="7"/>
      <c r="M26702" s="9" t="s">
        <v>37</v>
      </c>
    </row>
    <row r="26703" ht="15.75" customHeight="1">
      <c r="A26703" s="7"/>
      <c r="B26703" s="7"/>
      <c r="M26703" s="9" t="s">
        <v>27</v>
      </c>
    </row>
    <row r="26704" ht="15.75" customHeight="1">
      <c r="A26704" s="7"/>
      <c r="B26704" s="7"/>
      <c r="M26704" s="9" t="s">
        <v>38</v>
      </c>
    </row>
    <row r="26705" ht="15.75" customHeight="1">
      <c r="A26705" s="7"/>
      <c r="B26705" s="7"/>
      <c r="M26705" s="9" t="s">
        <v>30</v>
      </c>
    </row>
    <row r="26706" ht="15.75" customHeight="1">
      <c r="A26706" s="7"/>
      <c r="B26706" s="7"/>
      <c r="M26706" s="9" t="s">
        <v>23</v>
      </c>
    </row>
    <row r="26707" ht="15.75" customHeight="1">
      <c r="A26707" s="7"/>
      <c r="B26707" s="7"/>
      <c r="M26707" s="9" t="s">
        <v>26</v>
      </c>
    </row>
    <row r="26708" ht="15.75" customHeight="1">
      <c r="A26708" s="7"/>
      <c r="B26708" s="7"/>
      <c r="M26708" s="9" t="s">
        <v>24</v>
      </c>
    </row>
    <row r="26709" ht="15.75" customHeight="1">
      <c r="A26709" s="7"/>
      <c r="B26709" s="7"/>
      <c r="M26709" s="9" t="s">
        <v>20</v>
      </c>
    </row>
    <row r="26710" ht="15.75" customHeight="1">
      <c r="A26710" s="7"/>
      <c r="B26710" s="7"/>
      <c r="M26710" s="9" t="s">
        <v>21</v>
      </c>
    </row>
    <row r="26711" ht="15.75" customHeight="1">
      <c r="A26711" s="7"/>
      <c r="B26711" s="7"/>
      <c r="M26711" s="9" t="s">
        <v>30</v>
      </c>
    </row>
    <row r="26712" ht="15.75" customHeight="1">
      <c r="A26712" s="7"/>
      <c r="B26712" s="7"/>
      <c r="M26712" s="9" t="s">
        <v>24</v>
      </c>
    </row>
    <row r="26713" ht="15.75" customHeight="1">
      <c r="A26713" s="7"/>
      <c r="B26713" s="7"/>
      <c r="M26713" s="9" t="s">
        <v>20</v>
      </c>
    </row>
    <row r="26714" ht="15.75" customHeight="1">
      <c r="A26714" s="7"/>
      <c r="B26714" s="7"/>
      <c r="M26714" s="9" t="s">
        <v>21</v>
      </c>
    </row>
    <row r="26715" ht="15.75" customHeight="1">
      <c r="A26715" s="7"/>
      <c r="B26715" s="7"/>
      <c r="M26715" s="9" t="s">
        <v>22</v>
      </c>
    </row>
    <row r="26716" ht="15.75" customHeight="1">
      <c r="A26716" s="7"/>
      <c r="B26716" s="7"/>
      <c r="M26716" s="9" t="s">
        <v>27</v>
      </c>
    </row>
    <row r="26717" ht="15.75" customHeight="1">
      <c r="A26717" s="7"/>
      <c r="B26717" s="7"/>
      <c r="M26717" s="9" t="s">
        <v>30</v>
      </c>
    </row>
    <row r="26718" ht="15.75" customHeight="1">
      <c r="A26718" s="7"/>
      <c r="B26718" s="7"/>
      <c r="M26718" s="9" t="s">
        <v>36</v>
      </c>
    </row>
    <row r="26719" ht="15.75" customHeight="1">
      <c r="A26719" s="7"/>
      <c r="B26719" s="7"/>
      <c r="M26719" s="9" t="s">
        <v>22</v>
      </c>
    </row>
    <row r="26720" ht="15.75" customHeight="1">
      <c r="A26720" s="7"/>
      <c r="B26720" s="7"/>
      <c r="M26720" s="9" t="s">
        <v>32</v>
      </c>
    </row>
    <row r="26721" ht="15.75" customHeight="1">
      <c r="A26721" s="7"/>
      <c r="B26721" s="7"/>
      <c r="M26721" s="9" t="s">
        <v>22</v>
      </c>
    </row>
    <row r="26722" ht="15.75" customHeight="1">
      <c r="A26722" s="7"/>
      <c r="B26722" s="7"/>
      <c r="M26722" s="9" t="s">
        <v>24</v>
      </c>
    </row>
    <row r="26723" ht="15.75" customHeight="1">
      <c r="A26723" s="7"/>
      <c r="B26723" s="7"/>
      <c r="M26723" s="9" t="s">
        <v>31</v>
      </c>
    </row>
    <row r="26724" ht="15.75" customHeight="1">
      <c r="A26724" s="7"/>
      <c r="B26724" s="7"/>
      <c r="M26724" s="9" t="s">
        <v>27</v>
      </c>
    </row>
    <row r="26725" ht="15.75" customHeight="1">
      <c r="A26725" s="7"/>
      <c r="B26725" s="7"/>
      <c r="M26725" s="9" t="s">
        <v>23</v>
      </c>
    </row>
    <row r="26726" ht="15.75" customHeight="1">
      <c r="A26726" s="7"/>
      <c r="B26726" s="7"/>
      <c r="M26726" s="9" t="s">
        <v>24</v>
      </c>
    </row>
    <row r="26727" ht="15.75" customHeight="1">
      <c r="A26727" s="7"/>
      <c r="B26727" s="7"/>
      <c r="M26727" s="9" t="s">
        <v>20</v>
      </c>
    </row>
    <row r="26728" ht="15.75" customHeight="1">
      <c r="A26728" s="7"/>
      <c r="B26728" s="7"/>
      <c r="M26728" s="9" t="s">
        <v>21</v>
      </c>
    </row>
    <row r="26729" ht="15.75" customHeight="1">
      <c r="A26729" s="7"/>
      <c r="B26729" s="7"/>
      <c r="M26729" s="9" t="s">
        <v>39</v>
      </c>
    </row>
    <row r="26730" ht="15.75" customHeight="1">
      <c r="A26730" s="7"/>
      <c r="B26730" s="7"/>
      <c r="M26730" s="9" t="s">
        <v>31</v>
      </c>
    </row>
    <row r="26731" ht="15.75" customHeight="1">
      <c r="A26731" s="7"/>
      <c r="B26731" s="7"/>
      <c r="M26731" s="9" t="s">
        <v>33</v>
      </c>
    </row>
    <row r="26732" ht="15.75" customHeight="1">
      <c r="A26732" s="7"/>
      <c r="B26732" s="7"/>
      <c r="M26732" s="9" t="s">
        <v>30</v>
      </c>
    </row>
    <row r="26733" ht="15.75" customHeight="1">
      <c r="A26733" s="7"/>
      <c r="B26733" s="7"/>
      <c r="M26733" s="9" t="s">
        <v>24</v>
      </c>
    </row>
    <row r="26734" ht="15.75" customHeight="1">
      <c r="A26734" s="7"/>
      <c r="B26734" s="7"/>
      <c r="M26734" s="9" t="s">
        <v>21</v>
      </c>
    </row>
    <row r="26735" ht="15.75" customHeight="1">
      <c r="A26735" s="7"/>
      <c r="B26735" s="7"/>
      <c r="M26735" s="9" t="s">
        <v>22</v>
      </c>
    </row>
    <row r="26736" ht="15.75" customHeight="1">
      <c r="A26736" s="7"/>
      <c r="B26736" s="7"/>
      <c r="M26736" s="9" t="s">
        <v>29</v>
      </c>
    </row>
    <row r="26737" ht="15.75" customHeight="1">
      <c r="A26737" s="7"/>
      <c r="B26737" s="7"/>
      <c r="M26737" s="9" t="s">
        <v>27</v>
      </c>
    </row>
    <row r="26738" ht="15.75" customHeight="1">
      <c r="A26738" s="7"/>
      <c r="B26738" s="7"/>
      <c r="M26738" s="9" t="s">
        <v>28</v>
      </c>
    </row>
    <row r="26739" ht="15.75" customHeight="1">
      <c r="A26739" s="7"/>
      <c r="B26739" s="7"/>
      <c r="M26739" s="9" t="s">
        <v>23</v>
      </c>
    </row>
    <row r="26740" ht="15.75" customHeight="1">
      <c r="A26740" s="7"/>
      <c r="B26740" s="7"/>
      <c r="M26740" s="9" t="s">
        <v>22</v>
      </c>
    </row>
    <row r="26741" ht="15.75" customHeight="1">
      <c r="A26741" s="7"/>
      <c r="B26741" s="7"/>
      <c r="M26741" s="9" t="s">
        <v>46</v>
      </c>
    </row>
    <row r="26742" ht="15.75" customHeight="1">
      <c r="A26742" s="7"/>
      <c r="B26742" s="7"/>
      <c r="M26742" s="9" t="s">
        <v>27</v>
      </c>
    </row>
    <row r="26743" ht="15.75" customHeight="1">
      <c r="A26743" s="7"/>
      <c r="B26743" s="7"/>
      <c r="M26743" s="9" t="s">
        <v>24</v>
      </c>
    </row>
    <row r="26744" ht="15.75" customHeight="1">
      <c r="A26744" s="7"/>
      <c r="B26744" s="7"/>
      <c r="M26744" s="9" t="s">
        <v>20</v>
      </c>
    </row>
    <row r="26745" ht="15.75" customHeight="1">
      <c r="A26745" s="7"/>
      <c r="B26745" s="7"/>
      <c r="M26745" s="9" t="s">
        <v>21</v>
      </c>
    </row>
    <row r="26746" ht="15.75" customHeight="1">
      <c r="A26746" s="7"/>
      <c r="B26746" s="7"/>
      <c r="M26746" s="9" t="s">
        <v>27</v>
      </c>
    </row>
    <row r="26747" ht="15.75" customHeight="1">
      <c r="A26747" s="7"/>
      <c r="B26747" s="7"/>
      <c r="M26747" s="9" t="s">
        <v>24</v>
      </c>
    </row>
    <row r="26748" ht="15.75" customHeight="1">
      <c r="A26748" s="7"/>
      <c r="B26748" s="7"/>
      <c r="M26748" s="9" t="s">
        <v>21</v>
      </c>
    </row>
    <row r="26749" ht="15.75" customHeight="1">
      <c r="A26749" s="7"/>
      <c r="B26749" s="7"/>
      <c r="M26749" s="9" t="s">
        <v>37</v>
      </c>
    </row>
    <row r="26750" ht="15.75" customHeight="1">
      <c r="A26750" s="7"/>
      <c r="B26750" s="7"/>
      <c r="M26750" s="9" t="s">
        <v>27</v>
      </c>
    </row>
    <row r="26751" ht="15.75" customHeight="1">
      <c r="A26751" s="7"/>
      <c r="B26751" s="7"/>
      <c r="M26751" s="9" t="s">
        <v>24</v>
      </c>
    </row>
    <row r="26752" ht="15.75" customHeight="1">
      <c r="A26752" s="7"/>
      <c r="B26752" s="7"/>
      <c r="M26752" s="9" t="s">
        <v>21</v>
      </c>
    </row>
    <row r="26753" ht="15.75" customHeight="1">
      <c r="A26753" s="7"/>
      <c r="B26753" s="7"/>
      <c r="M26753" s="9" t="s">
        <v>37</v>
      </c>
    </row>
    <row r="26754" ht="15.75" customHeight="1">
      <c r="A26754" s="7"/>
      <c r="B26754" s="7"/>
      <c r="M26754" s="9" t="s">
        <v>22</v>
      </c>
    </row>
    <row r="26755" ht="15.75" customHeight="1">
      <c r="A26755" s="7"/>
      <c r="B26755" s="7"/>
      <c r="M26755" s="9" t="s">
        <v>27</v>
      </c>
    </row>
    <row r="26756" ht="15.75" customHeight="1">
      <c r="A26756" s="7"/>
      <c r="B26756" s="7"/>
      <c r="M26756" s="9" t="s">
        <v>35</v>
      </c>
    </row>
    <row r="26757" ht="15.75" customHeight="1">
      <c r="A26757" s="7"/>
      <c r="B26757" s="7"/>
      <c r="M26757" s="9" t="s">
        <v>30</v>
      </c>
    </row>
    <row r="26758" ht="15.75" customHeight="1">
      <c r="A26758" s="7"/>
      <c r="B26758" s="7"/>
      <c r="M26758" s="9" t="s">
        <v>25</v>
      </c>
    </row>
    <row r="26759" ht="15.75" customHeight="1">
      <c r="A26759" s="7"/>
      <c r="B26759" s="7"/>
      <c r="M26759" s="9" t="s">
        <v>23</v>
      </c>
    </row>
    <row r="26760" ht="15.75" customHeight="1">
      <c r="A26760" s="7"/>
      <c r="B26760" s="7"/>
      <c r="M26760" s="9" t="s">
        <v>22</v>
      </c>
    </row>
    <row r="26761" ht="15.75" customHeight="1">
      <c r="A26761" s="7"/>
      <c r="B26761" s="7"/>
      <c r="M26761" s="9" t="s">
        <v>35</v>
      </c>
    </row>
    <row r="26762" ht="15.75" customHeight="1">
      <c r="A26762" s="7"/>
      <c r="B26762" s="7"/>
      <c r="M26762" s="9" t="s">
        <v>24</v>
      </c>
    </row>
    <row r="26763" ht="15.75" customHeight="1">
      <c r="A26763" s="7"/>
      <c r="B26763" s="7"/>
      <c r="M26763" s="9" t="s">
        <v>21</v>
      </c>
    </row>
    <row r="26764" ht="15.75" customHeight="1">
      <c r="A26764" s="7"/>
      <c r="B26764" s="7"/>
      <c r="M26764" s="9" t="s">
        <v>30</v>
      </c>
    </row>
    <row r="26765" ht="15.75" customHeight="1">
      <c r="A26765" s="7"/>
      <c r="B26765" s="7"/>
      <c r="M26765" s="9" t="s">
        <v>44</v>
      </c>
    </row>
    <row r="26766" ht="15.75" customHeight="1">
      <c r="A26766" s="7"/>
      <c r="B26766" s="7"/>
      <c r="M26766" s="9" t="s">
        <v>24</v>
      </c>
    </row>
    <row r="26767" ht="15.75" customHeight="1">
      <c r="A26767" s="7"/>
      <c r="B26767" s="7"/>
      <c r="M26767" s="9" t="s">
        <v>20</v>
      </c>
    </row>
    <row r="26768" ht="15.75" customHeight="1">
      <c r="A26768" s="7"/>
      <c r="B26768" s="7"/>
      <c r="M26768" s="9" t="s">
        <v>21</v>
      </c>
    </row>
    <row r="26769" ht="15.75" customHeight="1">
      <c r="A26769" s="7"/>
      <c r="B26769" s="7"/>
      <c r="M26769" s="9" t="s">
        <v>29</v>
      </c>
    </row>
    <row r="26770" ht="15.75" customHeight="1">
      <c r="A26770" s="7"/>
      <c r="B26770" s="7"/>
      <c r="M26770" s="9" t="s">
        <v>42</v>
      </c>
    </row>
    <row r="26771" ht="15.75" customHeight="1">
      <c r="A26771" s="7"/>
      <c r="B26771" s="7"/>
      <c r="M26771" s="9" t="s">
        <v>24</v>
      </c>
    </row>
    <row r="26772" ht="15.75" customHeight="1">
      <c r="A26772" s="7"/>
      <c r="B26772" s="7"/>
      <c r="M26772" s="9" t="s">
        <v>21</v>
      </c>
    </row>
    <row r="26773" ht="15.75" customHeight="1">
      <c r="A26773" s="7"/>
      <c r="B26773" s="7"/>
      <c r="M26773" s="9" t="s">
        <v>31</v>
      </c>
    </row>
    <row r="26774" ht="15.75" customHeight="1">
      <c r="A26774" s="7"/>
      <c r="B26774" s="7"/>
      <c r="M26774" s="9" t="s">
        <v>33</v>
      </c>
    </row>
    <row r="26775" ht="15.75" customHeight="1">
      <c r="A26775" s="7"/>
      <c r="B26775" s="7"/>
      <c r="M26775" s="9" t="s">
        <v>38</v>
      </c>
    </row>
    <row r="26776" ht="15.75" customHeight="1">
      <c r="A26776" s="7"/>
      <c r="B26776" s="7"/>
      <c r="M26776" s="9" t="s">
        <v>30</v>
      </c>
    </row>
    <row r="26777" ht="15.75" customHeight="1">
      <c r="A26777" s="7"/>
      <c r="B26777" s="7"/>
      <c r="M26777" s="9" t="s">
        <v>25</v>
      </c>
    </row>
    <row r="26778" ht="15.75" customHeight="1">
      <c r="A26778" s="7"/>
      <c r="B26778" s="7"/>
      <c r="M26778" s="9" t="s">
        <v>26</v>
      </c>
    </row>
    <row r="26779" ht="15.75" customHeight="1">
      <c r="A26779" s="7"/>
      <c r="B26779" s="7"/>
      <c r="M26779" s="9" t="s">
        <v>24</v>
      </c>
    </row>
    <row r="26780" ht="15.75" customHeight="1">
      <c r="A26780" s="7"/>
      <c r="B26780" s="7"/>
      <c r="M26780" s="9" t="s">
        <v>20</v>
      </c>
    </row>
    <row r="26781" ht="15.75" customHeight="1">
      <c r="A26781" s="7"/>
      <c r="B26781" s="7"/>
      <c r="M26781" s="9" t="s">
        <v>21</v>
      </c>
    </row>
    <row r="26782" ht="15.75" customHeight="1">
      <c r="A26782" s="7"/>
      <c r="B26782" s="7"/>
      <c r="M26782" s="9" t="s">
        <v>22</v>
      </c>
    </row>
    <row r="26783" ht="15.75" customHeight="1">
      <c r="A26783" s="7"/>
      <c r="B26783" s="7"/>
      <c r="M26783" s="9" t="s">
        <v>29</v>
      </c>
    </row>
    <row r="26784" ht="15.75" customHeight="1">
      <c r="A26784" s="7"/>
      <c r="B26784" s="7"/>
      <c r="M26784" s="9" t="s">
        <v>30</v>
      </c>
    </row>
    <row r="26785" ht="15.75" customHeight="1">
      <c r="A26785" s="7"/>
      <c r="B26785" s="7"/>
      <c r="M26785" s="9" t="s">
        <v>20</v>
      </c>
    </row>
    <row r="26786" ht="15.75" customHeight="1">
      <c r="A26786" s="7"/>
      <c r="B26786" s="7"/>
      <c r="M26786" s="9" t="s">
        <v>30</v>
      </c>
    </row>
    <row r="26787" ht="15.75" customHeight="1">
      <c r="A26787" s="7"/>
      <c r="B26787" s="7"/>
      <c r="M26787" s="9" t="s">
        <v>24</v>
      </c>
    </row>
    <row r="26788" ht="15.75" customHeight="1">
      <c r="A26788" s="7"/>
      <c r="B26788" s="7"/>
      <c r="M26788" s="9" t="s">
        <v>20</v>
      </c>
    </row>
    <row r="26789" ht="15.75" customHeight="1">
      <c r="A26789" s="7"/>
      <c r="B26789" s="7"/>
      <c r="M26789" s="9" t="s">
        <v>22</v>
      </c>
    </row>
    <row r="26790" ht="15.75" customHeight="1">
      <c r="A26790" s="7"/>
      <c r="B26790" s="7"/>
      <c r="M26790" s="9" t="s">
        <v>38</v>
      </c>
    </row>
    <row r="26791" ht="15.75" customHeight="1">
      <c r="A26791" s="7"/>
      <c r="B26791" s="7"/>
      <c r="M26791" s="9" t="s">
        <v>25</v>
      </c>
    </row>
    <row r="26792" ht="15.75" customHeight="1">
      <c r="A26792" s="7"/>
      <c r="B26792" s="7"/>
      <c r="M26792" s="9" t="s">
        <v>23</v>
      </c>
    </row>
    <row r="26793" ht="15.75" customHeight="1">
      <c r="A26793" s="7"/>
      <c r="B26793" s="7"/>
      <c r="M26793" s="9" t="s">
        <v>24</v>
      </c>
    </row>
    <row r="26794" ht="15.75" customHeight="1">
      <c r="A26794" s="7"/>
      <c r="B26794" s="7"/>
      <c r="M26794" s="9" t="s">
        <v>20</v>
      </c>
    </row>
    <row r="26795" ht="15.75" customHeight="1">
      <c r="A26795" s="7"/>
      <c r="B26795" s="7"/>
      <c r="M26795" s="9" t="s">
        <v>30</v>
      </c>
    </row>
    <row r="26796" ht="15.75" customHeight="1">
      <c r="A26796" s="7"/>
      <c r="B26796" s="7"/>
      <c r="M26796" s="9" t="s">
        <v>24</v>
      </c>
    </row>
    <row r="26797" ht="15.75" customHeight="1">
      <c r="A26797" s="7"/>
      <c r="B26797" s="7"/>
      <c r="M26797" s="9" t="s">
        <v>20</v>
      </c>
    </row>
    <row r="26798" ht="15.75" customHeight="1">
      <c r="A26798" s="7"/>
      <c r="B26798" s="7"/>
      <c r="M26798" s="9" t="s">
        <v>21</v>
      </c>
    </row>
    <row r="26799" ht="15.75" customHeight="1">
      <c r="A26799" s="7"/>
      <c r="B26799" s="7"/>
      <c r="M26799" s="9" t="s">
        <v>31</v>
      </c>
    </row>
    <row r="26800" ht="15.75" customHeight="1">
      <c r="A26800" s="7"/>
      <c r="B26800" s="7"/>
      <c r="M26800" s="9" t="s">
        <v>27</v>
      </c>
    </row>
    <row r="26801" ht="15.75" customHeight="1">
      <c r="A26801" s="7"/>
      <c r="B26801" s="7"/>
      <c r="M26801" s="9" t="s">
        <v>30</v>
      </c>
    </row>
    <row r="26802" ht="15.75" customHeight="1">
      <c r="A26802" s="7"/>
      <c r="B26802" s="7"/>
      <c r="M26802" s="9" t="s">
        <v>21</v>
      </c>
    </row>
    <row r="26803" ht="15.75" customHeight="1">
      <c r="A26803" s="7"/>
      <c r="B26803" s="7"/>
      <c r="M26803" s="9" t="s">
        <v>22</v>
      </c>
    </row>
    <row r="26804" ht="15.75" customHeight="1">
      <c r="A26804" s="7"/>
      <c r="B26804" s="7"/>
      <c r="M26804" s="9" t="s">
        <v>29</v>
      </c>
    </row>
    <row r="26805" ht="15.75" customHeight="1">
      <c r="A26805" s="7"/>
      <c r="B26805" s="7"/>
      <c r="M26805" s="9" t="s">
        <v>31</v>
      </c>
    </row>
    <row r="26806" ht="15.75" customHeight="1">
      <c r="A26806" s="7"/>
      <c r="B26806" s="7"/>
      <c r="M26806" s="9" t="s">
        <v>27</v>
      </c>
    </row>
    <row r="26807" ht="15.75" customHeight="1">
      <c r="A26807" s="7"/>
      <c r="B26807" s="7"/>
      <c r="M26807" s="9" t="s">
        <v>30</v>
      </c>
    </row>
    <row r="26808" ht="15.75" customHeight="1">
      <c r="A26808" s="7"/>
      <c r="B26808" s="7"/>
      <c r="M26808" s="9" t="s">
        <v>20</v>
      </c>
    </row>
    <row r="26809" ht="15.75" customHeight="1">
      <c r="A26809" s="7"/>
      <c r="B26809" s="7"/>
      <c r="M26809" s="9" t="s">
        <v>21</v>
      </c>
    </row>
    <row r="26810" ht="15.75" customHeight="1">
      <c r="A26810" s="7"/>
      <c r="B26810" s="7"/>
      <c r="M26810" s="9" t="s">
        <v>26</v>
      </c>
    </row>
    <row r="26811" ht="15.75" customHeight="1">
      <c r="A26811" s="7"/>
      <c r="B26811" s="7"/>
      <c r="M26811" s="9" t="s">
        <v>24</v>
      </c>
    </row>
    <row r="26812" ht="15.75" customHeight="1">
      <c r="A26812" s="7"/>
      <c r="B26812" s="7"/>
      <c r="M26812" s="9" t="s">
        <v>20</v>
      </c>
    </row>
    <row r="26813" ht="15.75" customHeight="1">
      <c r="A26813" s="7"/>
      <c r="B26813" s="7"/>
      <c r="M26813" s="9" t="s">
        <v>21</v>
      </c>
    </row>
    <row r="26814" ht="15.75" customHeight="1">
      <c r="A26814" s="7"/>
      <c r="B26814" s="7"/>
      <c r="M26814" s="9" t="s">
        <v>37</v>
      </c>
    </row>
    <row r="26815" ht="15.75" customHeight="1">
      <c r="A26815" s="7"/>
      <c r="B26815" s="7"/>
      <c r="M26815" s="9" t="s">
        <v>27</v>
      </c>
    </row>
    <row r="26816" ht="15.75" customHeight="1">
      <c r="A26816" s="7"/>
      <c r="B26816" s="7"/>
      <c r="M26816" s="9" t="s">
        <v>24</v>
      </c>
    </row>
    <row r="26817" ht="15.75" customHeight="1">
      <c r="A26817" s="7"/>
      <c r="B26817" s="7"/>
      <c r="M26817" s="9" t="s">
        <v>20</v>
      </c>
    </row>
    <row r="26818" ht="15.75" customHeight="1">
      <c r="A26818" s="7"/>
      <c r="B26818" s="7"/>
      <c r="M26818" s="9" t="s">
        <v>21</v>
      </c>
    </row>
    <row r="26819" ht="15.75" customHeight="1">
      <c r="A26819" s="7"/>
      <c r="B26819" s="7"/>
      <c r="M26819" s="9" t="s">
        <v>22</v>
      </c>
    </row>
    <row r="26820" ht="15.75" customHeight="1">
      <c r="A26820" s="7"/>
      <c r="B26820" s="7"/>
      <c r="M26820" s="9" t="s">
        <v>24</v>
      </c>
    </row>
    <row r="26821" ht="15.75" customHeight="1">
      <c r="A26821" s="7"/>
      <c r="B26821" s="7"/>
      <c r="M26821" s="9" t="s">
        <v>20</v>
      </c>
    </row>
    <row r="26822" ht="15.75" customHeight="1">
      <c r="A26822" s="7"/>
      <c r="B26822" s="7"/>
      <c r="M26822" s="9" t="s">
        <v>39</v>
      </c>
    </row>
    <row r="26823" ht="15.75" customHeight="1">
      <c r="A26823" s="7"/>
      <c r="B26823" s="7"/>
      <c r="M26823" s="9" t="s">
        <v>22</v>
      </c>
    </row>
    <row r="26824" ht="15.75" customHeight="1">
      <c r="A26824" s="7"/>
      <c r="B26824" s="7"/>
      <c r="M26824" s="9" t="s">
        <v>30</v>
      </c>
    </row>
    <row r="26825" ht="15.75" customHeight="1">
      <c r="A26825" s="7"/>
      <c r="B26825" s="7"/>
      <c r="M26825" s="9" t="s">
        <v>25</v>
      </c>
    </row>
    <row r="26826" ht="15.75" customHeight="1">
      <c r="A26826" s="7"/>
      <c r="B26826" s="7"/>
      <c r="M26826" s="9" t="s">
        <v>23</v>
      </c>
    </row>
    <row r="26827" ht="15.75" customHeight="1">
      <c r="A26827" s="7"/>
      <c r="B26827" s="7"/>
      <c r="M26827" s="9" t="s">
        <v>20</v>
      </c>
    </row>
    <row r="26828" ht="15.75" customHeight="1">
      <c r="A26828" s="7"/>
      <c r="B26828" s="7"/>
      <c r="M26828" s="9" t="s">
        <v>21</v>
      </c>
    </row>
    <row r="26829" ht="15.75" customHeight="1">
      <c r="A26829" s="7"/>
      <c r="B26829" s="7"/>
      <c r="M26829" s="9" t="s">
        <v>22</v>
      </c>
    </row>
    <row r="26830" ht="15.75" customHeight="1">
      <c r="A26830" s="7"/>
      <c r="B26830" s="7"/>
      <c r="M26830" s="9" t="s">
        <v>29</v>
      </c>
    </row>
    <row r="26831" ht="15.75" customHeight="1">
      <c r="A26831" s="7"/>
      <c r="B26831" s="7"/>
      <c r="M26831" s="9" t="s">
        <v>33</v>
      </c>
    </row>
    <row r="26832" ht="15.75" customHeight="1">
      <c r="A26832" s="7"/>
      <c r="B26832" s="7"/>
      <c r="M26832" s="9" t="s">
        <v>44</v>
      </c>
    </row>
    <row r="26833" ht="15.75" customHeight="1">
      <c r="A26833" s="7"/>
      <c r="B26833" s="7"/>
      <c r="M26833" s="9" t="s">
        <v>22</v>
      </c>
    </row>
    <row r="26834" ht="15.75" customHeight="1">
      <c r="A26834" s="7"/>
      <c r="B26834" s="7"/>
      <c r="M26834" s="9" t="s">
        <v>24</v>
      </c>
    </row>
    <row r="26835" ht="15.75" customHeight="1">
      <c r="A26835" s="7"/>
      <c r="B26835" s="7"/>
      <c r="M26835" s="9" t="s">
        <v>20</v>
      </c>
    </row>
    <row r="26836" ht="15.75" customHeight="1">
      <c r="A26836" s="7"/>
      <c r="B26836" s="7"/>
      <c r="M26836" s="9" t="s">
        <v>21</v>
      </c>
    </row>
    <row r="26837" ht="15.75" customHeight="1">
      <c r="A26837" s="7"/>
      <c r="B26837" s="7"/>
      <c r="M26837" s="9" t="s">
        <v>46</v>
      </c>
    </row>
    <row r="26838" ht="15.75" customHeight="1">
      <c r="A26838" s="7"/>
      <c r="B26838" s="7"/>
      <c r="M26838" s="9" t="s">
        <v>30</v>
      </c>
    </row>
    <row r="26839" ht="15.75" customHeight="1">
      <c r="A26839" s="7"/>
      <c r="B26839" s="7"/>
      <c r="M26839" s="9" t="s">
        <v>22</v>
      </c>
    </row>
    <row r="26840" ht="15.75" customHeight="1">
      <c r="A26840" s="7"/>
      <c r="B26840" s="7"/>
      <c r="M26840" s="9" t="s">
        <v>24</v>
      </c>
    </row>
    <row r="26841" ht="15.75" customHeight="1">
      <c r="A26841" s="7"/>
      <c r="B26841" s="7"/>
      <c r="M26841" s="9" t="s">
        <v>21</v>
      </c>
    </row>
    <row r="26842" ht="15.75" customHeight="1">
      <c r="A26842" s="7"/>
      <c r="B26842" s="7"/>
      <c r="M26842" s="9" t="s">
        <v>41</v>
      </c>
    </row>
    <row r="26843" ht="15.75" customHeight="1">
      <c r="A26843" s="7"/>
      <c r="B26843" s="7"/>
      <c r="M26843" s="9" t="s">
        <v>22</v>
      </c>
    </row>
    <row r="26844" ht="15.75" customHeight="1">
      <c r="A26844" s="7"/>
      <c r="B26844" s="7"/>
      <c r="M26844" s="9" t="s">
        <v>38</v>
      </c>
    </row>
    <row r="26845" ht="15.75" customHeight="1">
      <c r="A26845" s="7"/>
      <c r="B26845" s="7"/>
      <c r="M26845" s="9" t="s">
        <v>26</v>
      </c>
    </row>
    <row r="26846" ht="15.75" customHeight="1">
      <c r="A26846" s="7"/>
      <c r="B26846" s="7"/>
      <c r="M26846" s="9" t="s">
        <v>31</v>
      </c>
    </row>
    <row r="26847" ht="15.75" customHeight="1">
      <c r="A26847" s="7"/>
      <c r="B26847" s="7"/>
      <c r="M26847" s="9" t="s">
        <v>35</v>
      </c>
    </row>
    <row r="26848" ht="15.75" customHeight="1">
      <c r="A26848" s="7"/>
      <c r="B26848" s="7"/>
      <c r="M26848" s="9" t="s">
        <v>30</v>
      </c>
    </row>
    <row r="26849" ht="15.75" customHeight="1">
      <c r="A26849" s="7"/>
      <c r="B26849" s="7"/>
      <c r="M26849" s="9" t="s">
        <v>26</v>
      </c>
    </row>
    <row r="26850" ht="15.75" customHeight="1">
      <c r="A26850" s="7"/>
      <c r="B26850" s="7"/>
      <c r="M26850" s="9" t="s">
        <v>41</v>
      </c>
    </row>
    <row r="26851" ht="15.75" customHeight="1">
      <c r="A26851" s="7"/>
      <c r="B26851" s="7"/>
      <c r="M26851" s="9" t="s">
        <v>31</v>
      </c>
    </row>
    <row r="26852" ht="15.75" customHeight="1">
      <c r="A26852" s="7"/>
      <c r="B26852" s="7"/>
      <c r="M26852" s="9" t="s">
        <v>27</v>
      </c>
    </row>
    <row r="26853" ht="15.75" customHeight="1">
      <c r="A26853" s="7"/>
      <c r="B26853" s="7"/>
      <c r="M26853" s="9" t="s">
        <v>40</v>
      </c>
    </row>
    <row r="26854" ht="15.75" customHeight="1">
      <c r="A26854" s="7"/>
      <c r="B26854" s="7"/>
      <c r="M26854" s="9" t="s">
        <v>30</v>
      </c>
    </row>
    <row r="26855" ht="15.75" customHeight="1">
      <c r="A26855" s="7"/>
      <c r="B26855" s="7"/>
      <c r="M26855" s="9" t="s">
        <v>22</v>
      </c>
    </row>
    <row r="26856" ht="15.75" customHeight="1">
      <c r="A26856" s="7"/>
      <c r="B26856" s="7"/>
      <c r="M26856" s="9" t="s">
        <v>28</v>
      </c>
    </row>
    <row r="26857" ht="15.75" customHeight="1">
      <c r="A26857" s="7"/>
      <c r="B26857" s="7"/>
      <c r="M26857" s="9" t="s">
        <v>38</v>
      </c>
    </row>
    <row r="26858" ht="15.75" customHeight="1">
      <c r="A26858" s="7"/>
      <c r="B26858" s="7"/>
      <c r="M26858" s="9" t="s">
        <v>25</v>
      </c>
    </row>
    <row r="26859" ht="15.75" customHeight="1">
      <c r="A26859" s="7"/>
      <c r="B26859" s="7"/>
      <c r="M26859" s="9" t="s">
        <v>23</v>
      </c>
    </row>
    <row r="26860" ht="15.75" customHeight="1">
      <c r="A26860" s="7"/>
      <c r="B26860" s="7"/>
      <c r="M26860" s="9" t="s">
        <v>26</v>
      </c>
    </row>
    <row r="26861" ht="15.75" customHeight="1">
      <c r="A26861" s="7"/>
      <c r="B26861" s="7"/>
      <c r="M26861" s="9" t="s">
        <v>24</v>
      </c>
    </row>
    <row r="26862" ht="15.75" customHeight="1">
      <c r="A26862" s="7"/>
      <c r="B26862" s="7"/>
      <c r="M26862" s="9" t="s">
        <v>20</v>
      </c>
    </row>
    <row r="26863" ht="15.75" customHeight="1">
      <c r="A26863" s="7"/>
      <c r="B26863" s="7"/>
      <c r="M26863" s="9" t="s">
        <v>21</v>
      </c>
    </row>
    <row r="26864" ht="15.75" customHeight="1">
      <c r="A26864" s="7"/>
      <c r="B26864" s="7"/>
      <c r="M26864" s="9" t="s">
        <v>37</v>
      </c>
    </row>
    <row r="26865" ht="15.75" customHeight="1">
      <c r="A26865" s="7"/>
      <c r="B26865" s="7"/>
      <c r="M26865" s="9" t="s">
        <v>27</v>
      </c>
    </row>
    <row r="26866" ht="15.75" customHeight="1">
      <c r="A26866" s="7"/>
      <c r="B26866" s="7"/>
      <c r="M26866" s="9" t="s">
        <v>21</v>
      </c>
    </row>
    <row r="26867" ht="15.75" customHeight="1">
      <c r="A26867" s="7"/>
      <c r="B26867" s="7"/>
      <c r="M26867" s="9" t="s">
        <v>41</v>
      </c>
    </row>
    <row r="26868" ht="15.75" customHeight="1">
      <c r="A26868" s="7"/>
      <c r="B26868" s="7"/>
      <c r="M26868" s="9" t="s">
        <v>23</v>
      </c>
    </row>
    <row r="26869" ht="15.75" customHeight="1">
      <c r="A26869" s="7"/>
      <c r="B26869" s="7"/>
      <c r="M26869" s="9" t="s">
        <v>22</v>
      </c>
    </row>
    <row r="26870" ht="15.75" customHeight="1">
      <c r="A26870" s="7"/>
      <c r="B26870" s="7"/>
      <c r="M26870" s="9" t="s">
        <v>27</v>
      </c>
    </row>
    <row r="26871" ht="15.75" customHeight="1">
      <c r="A26871" s="7"/>
      <c r="B26871" s="7"/>
      <c r="M26871" s="9" t="s">
        <v>30</v>
      </c>
    </row>
    <row r="26872" ht="15.75" customHeight="1">
      <c r="A26872" s="7"/>
      <c r="B26872" s="7"/>
      <c r="M26872" s="9" t="s">
        <v>26</v>
      </c>
    </row>
    <row r="26873" ht="15.75" customHeight="1">
      <c r="A26873" s="7"/>
      <c r="B26873" s="7"/>
      <c r="M26873" s="9" t="s">
        <v>27</v>
      </c>
    </row>
    <row r="26874" ht="15.75" customHeight="1">
      <c r="A26874" s="7"/>
      <c r="B26874" s="7"/>
      <c r="M26874" s="9" t="s">
        <v>35</v>
      </c>
    </row>
    <row r="26875" ht="15.75" customHeight="1">
      <c r="A26875" s="7"/>
      <c r="B26875" s="7"/>
      <c r="M26875" s="9" t="s">
        <v>26</v>
      </c>
    </row>
    <row r="26876" ht="15.75" customHeight="1">
      <c r="A26876" s="7"/>
      <c r="B26876" s="7"/>
      <c r="M26876" s="9" t="s">
        <v>24</v>
      </c>
    </row>
    <row r="26877" ht="15.75" customHeight="1">
      <c r="A26877" s="7"/>
      <c r="B26877" s="7"/>
      <c r="M26877" s="9" t="s">
        <v>21</v>
      </c>
    </row>
    <row r="26878" ht="15.75" customHeight="1">
      <c r="A26878" s="7"/>
      <c r="B26878" s="7"/>
      <c r="M26878" s="9" t="s">
        <v>27</v>
      </c>
    </row>
    <row r="26879" ht="15.75" customHeight="1">
      <c r="A26879" s="7"/>
      <c r="B26879" s="7"/>
      <c r="M26879" s="9" t="s">
        <v>23</v>
      </c>
    </row>
    <row r="26880" ht="15.75" customHeight="1">
      <c r="A26880" s="7"/>
      <c r="B26880" s="7"/>
      <c r="M26880" s="9" t="s">
        <v>24</v>
      </c>
    </row>
    <row r="26881" ht="15.75" customHeight="1">
      <c r="A26881" s="7"/>
      <c r="B26881" s="7"/>
      <c r="M26881" s="9" t="s">
        <v>21</v>
      </c>
    </row>
    <row r="26882" ht="15.75" customHeight="1">
      <c r="A26882" s="7"/>
      <c r="B26882" s="7"/>
      <c r="M26882" s="9" t="s">
        <v>30</v>
      </c>
    </row>
    <row r="26883" ht="15.75" customHeight="1">
      <c r="A26883" s="7"/>
      <c r="B26883" s="7"/>
      <c r="M26883" s="9" t="s">
        <v>42</v>
      </c>
    </row>
    <row r="26884" ht="15.75" customHeight="1">
      <c r="A26884" s="7"/>
      <c r="B26884" s="7"/>
      <c r="M26884" s="9" t="s">
        <v>43</v>
      </c>
    </row>
    <row r="26885" ht="15.75" customHeight="1">
      <c r="A26885" s="7"/>
      <c r="B26885" s="7"/>
      <c r="M26885" s="9" t="s">
        <v>24</v>
      </c>
    </row>
    <row r="26886" ht="15.75" customHeight="1">
      <c r="A26886" s="7"/>
      <c r="B26886" s="7"/>
      <c r="M26886" s="9" t="s">
        <v>21</v>
      </c>
    </row>
    <row r="26887" ht="15.75" customHeight="1">
      <c r="A26887" s="7"/>
      <c r="B26887" s="7"/>
      <c r="M26887" s="9" t="s">
        <v>22</v>
      </c>
    </row>
    <row r="26888" ht="15.75" customHeight="1">
      <c r="A26888" s="7"/>
      <c r="B26888" s="7"/>
      <c r="M26888" s="9" t="s">
        <v>29</v>
      </c>
    </row>
    <row r="26889" ht="15.75" customHeight="1">
      <c r="A26889" s="7"/>
      <c r="B26889" s="7"/>
      <c r="M26889" s="9" t="s">
        <v>27</v>
      </c>
    </row>
    <row r="26890" ht="15.75" customHeight="1">
      <c r="A26890" s="7"/>
      <c r="B26890" s="7"/>
      <c r="M26890" s="9" t="s">
        <v>24</v>
      </c>
    </row>
    <row r="26891" ht="15.75" customHeight="1">
      <c r="A26891" s="7"/>
      <c r="B26891" s="7"/>
      <c r="M26891" s="9" t="s">
        <v>20</v>
      </c>
    </row>
    <row r="26892" ht="15.75" customHeight="1">
      <c r="A26892" s="7"/>
      <c r="B26892" s="7"/>
      <c r="M26892" s="9" t="s">
        <v>22</v>
      </c>
    </row>
    <row r="26893" ht="15.75" customHeight="1">
      <c r="A26893" s="7"/>
      <c r="B26893" s="7"/>
      <c r="M26893" s="9" t="s">
        <v>29</v>
      </c>
    </row>
    <row r="26894" ht="15.75" customHeight="1">
      <c r="A26894" s="7"/>
      <c r="B26894" s="7"/>
      <c r="M26894" s="9" t="s">
        <v>27</v>
      </c>
    </row>
    <row r="26895" ht="15.75" customHeight="1">
      <c r="A26895" s="7"/>
      <c r="B26895" s="7"/>
      <c r="M26895" s="9" t="s">
        <v>30</v>
      </c>
    </row>
    <row r="26896" ht="15.75" customHeight="1">
      <c r="A26896" s="7"/>
      <c r="B26896" s="7"/>
      <c r="M26896" s="9" t="s">
        <v>24</v>
      </c>
    </row>
    <row r="26897" ht="15.75" customHeight="1">
      <c r="A26897" s="7"/>
      <c r="B26897" s="7"/>
      <c r="M26897" s="9" t="s">
        <v>21</v>
      </c>
    </row>
    <row r="26898" ht="15.75" customHeight="1">
      <c r="A26898" s="7"/>
      <c r="B26898" s="7"/>
      <c r="M26898" s="9" t="s">
        <v>22</v>
      </c>
    </row>
    <row r="26899" ht="15.75" customHeight="1">
      <c r="A26899" s="7"/>
      <c r="B26899" s="7"/>
      <c r="M26899" s="9" t="s">
        <v>27</v>
      </c>
    </row>
    <row r="26900" ht="15.75" customHeight="1">
      <c r="A26900" s="7"/>
      <c r="B26900" s="7"/>
      <c r="M26900" s="9" t="s">
        <v>35</v>
      </c>
    </row>
    <row r="26901" ht="15.75" customHeight="1">
      <c r="A26901" s="7"/>
      <c r="B26901" s="7"/>
      <c r="M26901" s="9" t="s">
        <v>24</v>
      </c>
    </row>
    <row r="26902" ht="15.75" customHeight="1">
      <c r="A26902" s="7"/>
      <c r="B26902" s="7"/>
      <c r="M26902" s="9" t="s">
        <v>21</v>
      </c>
    </row>
    <row r="26903" ht="15.75" customHeight="1">
      <c r="A26903" s="7"/>
      <c r="B26903" s="7"/>
      <c r="M26903" s="9" t="s">
        <v>37</v>
      </c>
    </row>
    <row r="26904" ht="15.75" customHeight="1">
      <c r="A26904" s="7"/>
      <c r="B26904" s="7"/>
      <c r="M26904" s="9" t="s">
        <v>27</v>
      </c>
    </row>
    <row r="26905" ht="15.75" customHeight="1">
      <c r="A26905" s="7"/>
      <c r="B26905" s="7"/>
      <c r="M26905" s="9" t="s">
        <v>24</v>
      </c>
    </row>
    <row r="26906" ht="15.75" customHeight="1">
      <c r="A26906" s="7"/>
      <c r="B26906" s="7"/>
      <c r="M26906" s="9" t="s">
        <v>26</v>
      </c>
    </row>
    <row r="26907" ht="15.75" customHeight="1">
      <c r="A26907" s="7"/>
      <c r="B26907" s="7"/>
      <c r="M26907" s="9" t="s">
        <v>24</v>
      </c>
    </row>
    <row r="26908" ht="15.75" customHeight="1">
      <c r="A26908" s="7"/>
      <c r="B26908" s="7"/>
      <c r="M26908" s="9" t="s">
        <v>21</v>
      </c>
    </row>
    <row r="26909" ht="15.75" customHeight="1">
      <c r="A26909" s="7"/>
      <c r="B26909" s="7"/>
      <c r="M26909" s="9" t="s">
        <v>27</v>
      </c>
    </row>
    <row r="26910" ht="15.75" customHeight="1">
      <c r="A26910" s="7"/>
      <c r="B26910" s="7"/>
      <c r="M26910" s="9" t="s">
        <v>25</v>
      </c>
    </row>
    <row r="26911" ht="15.75" customHeight="1">
      <c r="A26911" s="7"/>
      <c r="B26911" s="7"/>
      <c r="M26911" s="9" t="s">
        <v>23</v>
      </c>
    </row>
    <row r="26912" ht="15.75" customHeight="1">
      <c r="A26912" s="7"/>
      <c r="B26912" s="7"/>
      <c r="M26912" s="9" t="s">
        <v>26</v>
      </c>
    </row>
    <row r="26913" ht="15.75" customHeight="1">
      <c r="A26913" s="7"/>
      <c r="B26913" s="7"/>
      <c r="M26913" s="9" t="s">
        <v>24</v>
      </c>
    </row>
    <row r="26914" ht="15.75" customHeight="1">
      <c r="A26914" s="7"/>
      <c r="B26914" s="7"/>
      <c r="M26914" s="9" t="s">
        <v>20</v>
      </c>
    </row>
    <row r="26915" ht="15.75" customHeight="1">
      <c r="A26915" s="7"/>
      <c r="B26915" s="7"/>
      <c r="M26915" s="9" t="s">
        <v>21</v>
      </c>
    </row>
    <row r="26916" ht="15.75" customHeight="1">
      <c r="A26916" s="7"/>
      <c r="B26916" s="7"/>
      <c r="M26916" s="9" t="s">
        <v>37</v>
      </c>
    </row>
    <row r="26917" ht="15.75" customHeight="1">
      <c r="A26917" s="7"/>
      <c r="B26917" s="7"/>
      <c r="M26917" s="9" t="s">
        <v>22</v>
      </c>
    </row>
    <row r="26918" ht="15.75" customHeight="1">
      <c r="A26918" s="7"/>
      <c r="B26918" s="7"/>
      <c r="M26918" s="9" t="s">
        <v>27</v>
      </c>
    </row>
    <row r="26919" ht="15.75" customHeight="1">
      <c r="A26919" s="7"/>
      <c r="B26919" s="7"/>
      <c r="M26919" s="9" t="s">
        <v>30</v>
      </c>
    </row>
    <row r="26920" ht="15.75" customHeight="1">
      <c r="A26920" s="7"/>
      <c r="B26920" s="7"/>
      <c r="M26920" s="9" t="s">
        <v>25</v>
      </c>
    </row>
    <row r="26921" ht="15.75" customHeight="1">
      <c r="A26921" s="7"/>
      <c r="B26921" s="7"/>
      <c r="M26921" s="9" t="s">
        <v>24</v>
      </c>
    </row>
    <row r="26922" ht="15.75" customHeight="1">
      <c r="A26922" s="7"/>
      <c r="B26922" s="7"/>
      <c r="M26922" s="9" t="s">
        <v>20</v>
      </c>
    </row>
    <row r="26923" ht="15.75" customHeight="1">
      <c r="A26923" s="7"/>
      <c r="B26923" s="7"/>
      <c r="M26923" s="9" t="s">
        <v>21</v>
      </c>
    </row>
    <row r="26924" ht="15.75" customHeight="1">
      <c r="A26924" s="7"/>
      <c r="B26924" s="7"/>
      <c r="M26924" s="9" t="s">
        <v>37</v>
      </c>
    </row>
    <row r="26925" ht="15.75" customHeight="1">
      <c r="A26925" s="7"/>
      <c r="B26925" s="7"/>
      <c r="M26925" s="9" t="s">
        <v>22</v>
      </c>
    </row>
    <row r="26926" ht="15.75" customHeight="1">
      <c r="A26926" s="7"/>
      <c r="B26926" s="7"/>
      <c r="M26926" s="9" t="s">
        <v>29</v>
      </c>
    </row>
    <row r="26927" ht="15.75" customHeight="1">
      <c r="A26927" s="7"/>
      <c r="B26927" s="7"/>
      <c r="M26927" s="9" t="s">
        <v>27</v>
      </c>
    </row>
    <row r="26928" ht="15.75" customHeight="1">
      <c r="A26928" s="7"/>
      <c r="B26928" s="7"/>
      <c r="M26928" s="9" t="s">
        <v>30</v>
      </c>
    </row>
    <row r="26929" ht="15.75" customHeight="1">
      <c r="A26929" s="7"/>
      <c r="B26929" s="7"/>
      <c r="M26929" s="9" t="s">
        <v>25</v>
      </c>
    </row>
    <row r="26930" ht="15.75" customHeight="1">
      <c r="A26930" s="7"/>
      <c r="B26930" s="7"/>
      <c r="M26930" s="9" t="s">
        <v>24</v>
      </c>
    </row>
    <row r="26931" ht="15.75" customHeight="1">
      <c r="A26931" s="7"/>
      <c r="B26931" s="7"/>
      <c r="M26931" s="9" t="s">
        <v>20</v>
      </c>
    </row>
    <row r="26932" ht="15.75" customHeight="1">
      <c r="A26932" s="7"/>
      <c r="B26932" s="7"/>
      <c r="M26932" s="9" t="s">
        <v>22</v>
      </c>
    </row>
    <row r="26933" ht="15.75" customHeight="1">
      <c r="A26933" s="7"/>
      <c r="B26933" s="7"/>
      <c r="M26933" s="9" t="s">
        <v>27</v>
      </c>
    </row>
    <row r="26934" ht="15.75" customHeight="1">
      <c r="A26934" s="7"/>
      <c r="B26934" s="7"/>
      <c r="M26934" s="9" t="s">
        <v>30</v>
      </c>
    </row>
    <row r="26935" ht="15.75" customHeight="1">
      <c r="A26935" s="7"/>
      <c r="B26935" s="7"/>
      <c r="M26935" s="9" t="s">
        <v>24</v>
      </c>
    </row>
    <row r="26936" ht="15.75" customHeight="1">
      <c r="A26936" s="7"/>
      <c r="B26936" s="7"/>
      <c r="M26936" s="9" t="s">
        <v>21</v>
      </c>
    </row>
    <row r="26937" ht="15.75" customHeight="1">
      <c r="A26937" s="7"/>
      <c r="B26937" s="7"/>
      <c r="M26937" s="9" t="s">
        <v>37</v>
      </c>
    </row>
    <row r="26938" ht="15.75" customHeight="1">
      <c r="A26938" s="7"/>
      <c r="B26938" s="7"/>
      <c r="M26938" s="9" t="s">
        <v>31</v>
      </c>
    </row>
    <row r="26939" ht="15.75" customHeight="1">
      <c r="A26939" s="7"/>
      <c r="B26939" s="7"/>
      <c r="M26939" s="9" t="s">
        <v>27</v>
      </c>
    </row>
    <row r="26940" ht="15.75" customHeight="1">
      <c r="A26940" s="7"/>
      <c r="B26940" s="7"/>
      <c r="M26940" s="9" t="s">
        <v>30</v>
      </c>
    </row>
    <row r="26941" ht="15.75" customHeight="1">
      <c r="A26941" s="7"/>
      <c r="B26941" s="7"/>
      <c r="M26941" s="9" t="s">
        <v>20</v>
      </c>
    </row>
    <row r="26942" ht="15.75" customHeight="1">
      <c r="A26942" s="7"/>
      <c r="B26942" s="7"/>
      <c r="M26942" s="9" t="s">
        <v>21</v>
      </c>
    </row>
    <row r="26943" ht="15.75" customHeight="1">
      <c r="A26943" s="7"/>
      <c r="B26943" s="7"/>
      <c r="M26943" s="9" t="s">
        <v>41</v>
      </c>
    </row>
    <row r="26944" ht="15.75" customHeight="1">
      <c r="A26944" s="7"/>
      <c r="B26944" s="7"/>
      <c r="M26944" s="9" t="s">
        <v>22</v>
      </c>
    </row>
    <row r="26945" ht="15.75" customHeight="1">
      <c r="A26945" s="7"/>
      <c r="B26945" s="7"/>
      <c r="M26945" s="9" t="s">
        <v>46</v>
      </c>
    </row>
    <row r="26946" ht="15.75" customHeight="1">
      <c r="A26946" s="7"/>
      <c r="B26946" s="7"/>
      <c r="M26946" s="9" t="s">
        <v>27</v>
      </c>
    </row>
    <row r="26947" ht="15.75" customHeight="1">
      <c r="A26947" s="7"/>
      <c r="B26947" s="7"/>
      <c r="M26947" s="9" t="s">
        <v>20</v>
      </c>
    </row>
    <row r="26948" ht="15.75" customHeight="1">
      <c r="A26948" s="7"/>
      <c r="B26948" s="7"/>
      <c r="M26948" s="9" t="s">
        <v>22</v>
      </c>
    </row>
    <row r="26949" ht="15.75" customHeight="1">
      <c r="A26949" s="7"/>
      <c r="B26949" s="7"/>
      <c r="M26949" s="9" t="s">
        <v>30</v>
      </c>
    </row>
    <row r="26950" ht="15.75" customHeight="1">
      <c r="A26950" s="7"/>
      <c r="B26950" s="7"/>
      <c r="M26950" s="9" t="s">
        <v>26</v>
      </c>
    </row>
    <row r="26951" ht="15.75" customHeight="1">
      <c r="A26951" s="7"/>
      <c r="B26951" s="7"/>
      <c r="M26951" s="9" t="s">
        <v>36</v>
      </c>
    </row>
    <row r="26952" ht="15.75" customHeight="1">
      <c r="A26952" s="7"/>
      <c r="B26952" s="7"/>
      <c r="M26952" s="9" t="s">
        <v>24</v>
      </c>
    </row>
    <row r="26953" ht="15.75" customHeight="1">
      <c r="A26953" s="7"/>
      <c r="B26953" s="7"/>
      <c r="M26953" s="9" t="s">
        <v>22</v>
      </c>
    </row>
    <row r="26954" ht="15.75" customHeight="1">
      <c r="A26954" s="7"/>
      <c r="B26954" s="7"/>
      <c r="M26954" s="9" t="s">
        <v>27</v>
      </c>
    </row>
    <row r="26955" ht="15.75" customHeight="1">
      <c r="A26955" s="7"/>
      <c r="B26955" s="7"/>
      <c r="M26955" s="9" t="s">
        <v>35</v>
      </c>
    </row>
    <row r="26956" ht="15.75" customHeight="1">
      <c r="A26956" s="7"/>
      <c r="B26956" s="7"/>
      <c r="M26956" s="9" t="s">
        <v>24</v>
      </c>
    </row>
    <row r="26957" ht="15.75" customHeight="1">
      <c r="A26957" s="7"/>
      <c r="B26957" s="7"/>
      <c r="M26957" s="9" t="s">
        <v>21</v>
      </c>
    </row>
    <row r="26958" ht="15.75" customHeight="1">
      <c r="A26958" s="7"/>
      <c r="B26958" s="7"/>
      <c r="M26958" s="9" t="s">
        <v>37</v>
      </c>
    </row>
    <row r="26959" ht="15.75" customHeight="1">
      <c r="A26959" s="7"/>
      <c r="B26959" s="7"/>
      <c r="M26959" s="9" t="s">
        <v>27</v>
      </c>
    </row>
    <row r="26960" ht="15.75" customHeight="1">
      <c r="A26960" s="7"/>
      <c r="B26960" s="7"/>
      <c r="M26960" s="9" t="s">
        <v>35</v>
      </c>
    </row>
    <row r="26961" ht="15.75" customHeight="1">
      <c r="A26961" s="7"/>
      <c r="B26961" s="7"/>
      <c r="M26961" s="9" t="s">
        <v>38</v>
      </c>
    </row>
    <row r="26962" ht="15.75" customHeight="1">
      <c r="A26962" s="7"/>
      <c r="B26962" s="7"/>
      <c r="M26962" s="9" t="s">
        <v>30</v>
      </c>
    </row>
    <row r="26963" ht="15.75" customHeight="1">
      <c r="A26963" s="7"/>
      <c r="B26963" s="7"/>
      <c r="M26963" s="9" t="s">
        <v>23</v>
      </c>
    </row>
    <row r="26964" ht="15.75" customHeight="1">
      <c r="A26964" s="7"/>
      <c r="B26964" s="7"/>
      <c r="M26964" s="9" t="s">
        <v>26</v>
      </c>
    </row>
    <row r="26965" ht="15.75" customHeight="1">
      <c r="A26965" s="7"/>
      <c r="B26965" s="7"/>
      <c r="M26965" s="9" t="s">
        <v>24</v>
      </c>
    </row>
    <row r="26966" ht="15.75" customHeight="1">
      <c r="A26966" s="7"/>
      <c r="B26966" s="7"/>
      <c r="M26966" s="9" t="s">
        <v>20</v>
      </c>
    </row>
    <row r="26967" ht="15.75" customHeight="1">
      <c r="A26967" s="7"/>
      <c r="B26967" s="7"/>
      <c r="M26967" s="9" t="s">
        <v>21</v>
      </c>
    </row>
    <row r="26968" ht="15.75" customHeight="1">
      <c r="A26968" s="7"/>
      <c r="B26968" s="7"/>
      <c r="M26968" s="9" t="s">
        <v>37</v>
      </c>
    </row>
    <row r="26969" ht="15.75" customHeight="1">
      <c r="A26969" s="7"/>
      <c r="B26969" s="7"/>
      <c r="M26969" s="9" t="s">
        <v>22</v>
      </c>
    </row>
    <row r="26970" ht="15.75" customHeight="1">
      <c r="A26970" s="7"/>
      <c r="B26970" s="7"/>
      <c r="M26970" s="9" t="s">
        <v>27</v>
      </c>
    </row>
    <row r="26971" ht="15.75" customHeight="1">
      <c r="A26971" s="7"/>
      <c r="B26971" s="7"/>
      <c r="M26971" s="9" t="s">
        <v>25</v>
      </c>
    </row>
    <row r="26972" ht="15.75" customHeight="1">
      <c r="A26972" s="7"/>
      <c r="B26972" s="7"/>
      <c r="M26972" s="9" t="s">
        <v>23</v>
      </c>
    </row>
    <row r="26973" ht="15.75" customHeight="1">
      <c r="A26973" s="7"/>
      <c r="B26973" s="7"/>
      <c r="M26973" s="9" t="s">
        <v>24</v>
      </c>
    </row>
    <row r="26974" ht="15.75" customHeight="1">
      <c r="A26974" s="7"/>
      <c r="B26974" s="7"/>
      <c r="M26974" s="9" t="s">
        <v>20</v>
      </c>
    </row>
    <row r="26975" ht="15.75" customHeight="1">
      <c r="A26975" s="7"/>
      <c r="B26975" s="7"/>
      <c r="M26975" s="9" t="s">
        <v>21</v>
      </c>
    </row>
    <row r="26976" ht="15.75" customHeight="1">
      <c r="A26976" s="7"/>
      <c r="B26976" s="7"/>
      <c r="M26976" s="9" t="s">
        <v>41</v>
      </c>
    </row>
    <row r="26977" ht="15.75" customHeight="1">
      <c r="A26977" s="7"/>
      <c r="B26977" s="7"/>
      <c r="M26977" s="9" t="s">
        <v>22</v>
      </c>
    </row>
    <row r="26978" ht="15.75" customHeight="1">
      <c r="A26978" s="7"/>
      <c r="B26978" s="7"/>
      <c r="M26978" s="9" t="s">
        <v>27</v>
      </c>
    </row>
    <row r="26979" ht="15.75" customHeight="1">
      <c r="A26979" s="7"/>
      <c r="B26979" s="7"/>
      <c r="M26979" s="9" t="s">
        <v>40</v>
      </c>
    </row>
    <row r="26980" ht="15.75" customHeight="1">
      <c r="A26980" s="7"/>
      <c r="B26980" s="7"/>
      <c r="M26980" s="9" t="s">
        <v>26</v>
      </c>
    </row>
    <row r="26981" ht="15.75" customHeight="1">
      <c r="A26981" s="7"/>
      <c r="B26981" s="7"/>
      <c r="M26981" s="9" t="s">
        <v>27</v>
      </c>
    </row>
    <row r="26982" ht="15.75" customHeight="1">
      <c r="A26982" s="7"/>
      <c r="B26982" s="7"/>
      <c r="M26982" s="9" t="s">
        <v>30</v>
      </c>
    </row>
    <row r="26983" ht="15.75" customHeight="1">
      <c r="A26983" s="7"/>
      <c r="B26983" s="7"/>
      <c r="M26983" s="9" t="s">
        <v>26</v>
      </c>
    </row>
    <row r="26984" ht="15.75" customHeight="1">
      <c r="A26984" s="7"/>
      <c r="B26984" s="7"/>
      <c r="M26984" s="9" t="s">
        <v>20</v>
      </c>
    </row>
    <row r="26985" ht="15.75" customHeight="1">
      <c r="A26985" s="7"/>
      <c r="B26985" s="7"/>
      <c r="M26985" s="9" t="s">
        <v>22</v>
      </c>
    </row>
    <row r="26986" ht="15.75" customHeight="1">
      <c r="A26986" s="7"/>
      <c r="B26986" s="7"/>
      <c r="M26986" s="9" t="s">
        <v>27</v>
      </c>
    </row>
    <row r="26987" ht="15.75" customHeight="1">
      <c r="A26987" s="7"/>
      <c r="B26987" s="7"/>
      <c r="M26987" s="9" t="s">
        <v>23</v>
      </c>
    </row>
    <row r="26988" ht="15.75" customHeight="1">
      <c r="A26988" s="7"/>
      <c r="B26988" s="7"/>
      <c r="M26988" s="9" t="s">
        <v>22</v>
      </c>
    </row>
    <row r="26989" ht="15.75" customHeight="1">
      <c r="A26989" s="7"/>
      <c r="B26989" s="7"/>
      <c r="M26989" s="9" t="s">
        <v>35</v>
      </c>
    </row>
    <row r="26990" ht="15.75" customHeight="1">
      <c r="A26990" s="7"/>
      <c r="B26990" s="7"/>
      <c r="M26990" s="9" t="s">
        <v>20</v>
      </c>
    </row>
    <row r="26991" ht="15.75" customHeight="1">
      <c r="A26991" s="7"/>
      <c r="B26991" s="7"/>
      <c r="M26991" s="9" t="s">
        <v>21</v>
      </c>
    </row>
    <row r="26992" ht="15.75" customHeight="1">
      <c r="A26992" s="7"/>
      <c r="B26992" s="7"/>
      <c r="M26992" s="9" t="s">
        <v>22</v>
      </c>
    </row>
    <row r="26993" ht="15.75" customHeight="1">
      <c r="A26993" s="7"/>
      <c r="B26993" s="7"/>
      <c r="M26993" s="9" t="s">
        <v>27</v>
      </c>
    </row>
    <row r="26994" ht="15.75" customHeight="1">
      <c r="A26994" s="7"/>
      <c r="B26994" s="7"/>
      <c r="M26994" s="9" t="s">
        <v>33</v>
      </c>
    </row>
    <row r="26995" ht="15.75" customHeight="1">
      <c r="A26995" s="7"/>
      <c r="B26995" s="7"/>
      <c r="M26995" s="9" t="s">
        <v>24</v>
      </c>
    </row>
    <row r="26996" ht="15.75" customHeight="1">
      <c r="A26996" s="7"/>
      <c r="B26996" s="7"/>
      <c r="M26996" s="9" t="s">
        <v>21</v>
      </c>
    </row>
    <row r="26997" ht="15.75" customHeight="1">
      <c r="A26997" s="7"/>
      <c r="B26997" s="7"/>
      <c r="M26997" s="9" t="s">
        <v>23</v>
      </c>
    </row>
    <row r="26998" ht="15.75" customHeight="1">
      <c r="A26998" s="7"/>
      <c r="B26998" s="7"/>
      <c r="M26998" s="9" t="s">
        <v>24</v>
      </c>
    </row>
    <row r="26999" ht="15.75" customHeight="1">
      <c r="A26999" s="7"/>
      <c r="B26999" s="7"/>
      <c r="M26999" s="9" t="s">
        <v>20</v>
      </c>
    </row>
    <row r="27000" ht="15.75" customHeight="1">
      <c r="A27000" s="7"/>
      <c r="B27000" s="7"/>
      <c r="M27000" s="9" t="s">
        <v>21</v>
      </c>
    </row>
    <row r="27001" ht="15.75" customHeight="1">
      <c r="A27001" s="7"/>
      <c r="B27001" s="7"/>
      <c r="M27001" s="9" t="s">
        <v>37</v>
      </c>
    </row>
    <row r="27002" ht="15.75" customHeight="1">
      <c r="A27002" s="7"/>
      <c r="B27002" s="7"/>
      <c r="M27002" s="9" t="s">
        <v>22</v>
      </c>
    </row>
    <row r="27003" ht="15.75" customHeight="1">
      <c r="A27003" s="7"/>
      <c r="B27003" s="7"/>
      <c r="M27003" s="9" t="s">
        <v>31</v>
      </c>
    </row>
    <row r="27004" ht="15.75" customHeight="1">
      <c r="A27004" s="7"/>
      <c r="B27004" s="7"/>
      <c r="M27004" s="9" t="s">
        <v>27</v>
      </c>
    </row>
    <row r="27005" ht="15.75" customHeight="1">
      <c r="A27005" s="7"/>
      <c r="B27005" s="7"/>
      <c r="M27005" s="9" t="s">
        <v>24</v>
      </c>
    </row>
    <row r="27006" ht="15.75" customHeight="1">
      <c r="A27006" s="7"/>
      <c r="B27006" s="7"/>
      <c r="M27006" s="9" t="s">
        <v>21</v>
      </c>
    </row>
    <row r="27007" ht="15.75" customHeight="1">
      <c r="A27007" s="7"/>
      <c r="B27007" s="7"/>
      <c r="M27007" s="9" t="s">
        <v>30</v>
      </c>
    </row>
    <row r="27008" ht="15.75" customHeight="1">
      <c r="A27008" s="7"/>
      <c r="B27008" s="7"/>
      <c r="M27008" s="9" t="s">
        <v>21</v>
      </c>
    </row>
    <row r="27009" ht="15.75" customHeight="1">
      <c r="A27009" s="7"/>
      <c r="B27009" s="7"/>
      <c r="M27009" s="9" t="s">
        <v>30</v>
      </c>
    </row>
    <row r="27010" ht="15.75" customHeight="1">
      <c r="A27010" s="7"/>
      <c r="B27010" s="7"/>
      <c r="M27010" s="9" t="s">
        <v>25</v>
      </c>
    </row>
    <row r="27011" ht="15.75" customHeight="1">
      <c r="A27011" s="7"/>
      <c r="B27011" s="7"/>
      <c r="M27011" s="9" t="s">
        <v>23</v>
      </c>
    </row>
    <row r="27012" ht="15.75" customHeight="1">
      <c r="A27012" s="7"/>
      <c r="B27012" s="7"/>
      <c r="M27012" s="9" t="s">
        <v>36</v>
      </c>
    </row>
    <row r="27013" ht="15.75" customHeight="1">
      <c r="A27013" s="7"/>
      <c r="B27013" s="7"/>
      <c r="M27013" s="9" t="s">
        <v>22</v>
      </c>
    </row>
    <row r="27014" ht="15.75" customHeight="1">
      <c r="A27014" s="7"/>
      <c r="B27014" s="7"/>
      <c r="M27014" s="9" t="s">
        <v>32</v>
      </c>
    </row>
    <row r="27015" ht="15.75" customHeight="1">
      <c r="A27015" s="7"/>
      <c r="B27015" s="7"/>
      <c r="M27015" s="9" t="s">
        <v>38</v>
      </c>
    </row>
    <row r="27016" ht="15.75" customHeight="1">
      <c r="A27016" s="7"/>
      <c r="B27016" s="7"/>
      <c r="M27016" s="9" t="s">
        <v>30</v>
      </c>
    </row>
    <row r="27017" ht="15.75" customHeight="1">
      <c r="A27017" s="7"/>
      <c r="B27017" s="7"/>
      <c r="M27017" s="9" t="s">
        <v>25</v>
      </c>
    </row>
    <row r="27018" ht="15.75" customHeight="1">
      <c r="A27018" s="7"/>
      <c r="B27018" s="7"/>
      <c r="M27018" s="9" t="s">
        <v>24</v>
      </c>
    </row>
    <row r="27019" ht="15.75" customHeight="1">
      <c r="A27019" s="7"/>
      <c r="B27019" s="7"/>
      <c r="M27019" s="9" t="s">
        <v>20</v>
      </c>
    </row>
    <row r="27020" ht="15.75" customHeight="1">
      <c r="A27020" s="7"/>
      <c r="B27020" s="7"/>
      <c r="M27020" s="9" t="s">
        <v>22</v>
      </c>
    </row>
    <row r="27021" ht="15.75" customHeight="1">
      <c r="A27021" s="7"/>
      <c r="B27021" s="7"/>
      <c r="M27021" s="9" t="s">
        <v>25</v>
      </c>
    </row>
    <row r="27022" ht="15.75" customHeight="1">
      <c r="A27022" s="7"/>
      <c r="B27022" s="7"/>
      <c r="M27022" s="9" t="s">
        <v>23</v>
      </c>
    </row>
    <row r="27023" ht="15.75" customHeight="1">
      <c r="A27023" s="7"/>
      <c r="B27023" s="7"/>
      <c r="M27023" s="9" t="s">
        <v>26</v>
      </c>
    </row>
    <row r="27024" ht="15.75" customHeight="1">
      <c r="A27024" s="7"/>
      <c r="B27024" s="7"/>
      <c r="M27024" s="9" t="s">
        <v>24</v>
      </c>
    </row>
    <row r="27025" ht="15.75" customHeight="1">
      <c r="A27025" s="7"/>
      <c r="B27025" s="7"/>
      <c r="M27025" s="9" t="s">
        <v>21</v>
      </c>
    </row>
    <row r="27026" ht="15.75" customHeight="1">
      <c r="A27026" s="7"/>
      <c r="B27026" s="7"/>
      <c r="M27026" s="9" t="s">
        <v>27</v>
      </c>
    </row>
    <row r="27027" ht="15.75" customHeight="1">
      <c r="A27027" s="7"/>
      <c r="B27027" s="7"/>
      <c r="M27027" s="9" t="s">
        <v>33</v>
      </c>
    </row>
    <row r="27028" ht="15.75" customHeight="1">
      <c r="A27028" s="7"/>
      <c r="B27028" s="7"/>
      <c r="M27028" s="9" t="s">
        <v>35</v>
      </c>
    </row>
    <row r="27029" ht="15.75" customHeight="1">
      <c r="A27029" s="7"/>
      <c r="B27029" s="7"/>
      <c r="M27029" s="9" t="s">
        <v>23</v>
      </c>
    </row>
    <row r="27030" ht="15.75" customHeight="1">
      <c r="A27030" s="7"/>
      <c r="B27030" s="7"/>
      <c r="M27030" s="9" t="s">
        <v>20</v>
      </c>
    </row>
    <row r="27031" ht="15.75" customHeight="1">
      <c r="A27031" s="7"/>
      <c r="B27031" s="7"/>
      <c r="M27031" s="9" t="s">
        <v>38</v>
      </c>
    </row>
    <row r="27032" ht="15.75" customHeight="1">
      <c r="A27032" s="7"/>
      <c r="B27032" s="7"/>
      <c r="M27032" s="9" t="s">
        <v>24</v>
      </c>
    </row>
    <row r="27033" ht="15.75" customHeight="1">
      <c r="A27033" s="7"/>
      <c r="B27033" s="7"/>
      <c r="M27033" s="9" t="s">
        <v>21</v>
      </c>
    </row>
    <row r="27034" ht="15.75" customHeight="1">
      <c r="A27034" s="7"/>
      <c r="B27034" s="7"/>
      <c r="M27034" s="9" t="s">
        <v>27</v>
      </c>
    </row>
    <row r="27035" ht="15.75" customHeight="1">
      <c r="A27035" s="7"/>
      <c r="B27035" s="7"/>
      <c r="M27035" s="9" t="s">
        <v>22</v>
      </c>
    </row>
    <row r="27036" ht="15.75" customHeight="1">
      <c r="A27036" s="7"/>
      <c r="B27036" s="7"/>
      <c r="M27036" s="9" t="s">
        <v>23</v>
      </c>
    </row>
    <row r="27037" ht="15.75" customHeight="1">
      <c r="A27037" s="7"/>
      <c r="B27037" s="7"/>
      <c r="M27037" s="9" t="s">
        <v>24</v>
      </c>
    </row>
    <row r="27038" ht="15.75" customHeight="1">
      <c r="A27038" s="7"/>
      <c r="B27038" s="7"/>
      <c r="M27038" s="9" t="s">
        <v>20</v>
      </c>
    </row>
    <row r="27039" ht="15.75" customHeight="1">
      <c r="A27039" s="7"/>
      <c r="B27039" s="7"/>
      <c r="M27039" s="9" t="s">
        <v>21</v>
      </c>
    </row>
    <row r="27040" ht="15.75" customHeight="1">
      <c r="A27040" s="7"/>
      <c r="B27040" s="7"/>
      <c r="M27040" s="9" t="s">
        <v>37</v>
      </c>
    </row>
    <row r="27041" ht="15.75" customHeight="1">
      <c r="A27041" s="7"/>
      <c r="B27041" s="7"/>
      <c r="M27041" s="9" t="s">
        <v>27</v>
      </c>
    </row>
    <row r="27042" ht="15.75" customHeight="1">
      <c r="A27042" s="7"/>
      <c r="B27042" s="7"/>
      <c r="M27042" s="9" t="s">
        <v>20</v>
      </c>
    </row>
    <row r="27043" ht="15.75" customHeight="1">
      <c r="A27043" s="7"/>
      <c r="B27043" s="7"/>
      <c r="M27043" s="9" t="s">
        <v>27</v>
      </c>
    </row>
    <row r="27044" ht="15.75" customHeight="1">
      <c r="A27044" s="7"/>
      <c r="B27044" s="7"/>
      <c r="M27044" s="9" t="s">
        <v>35</v>
      </c>
    </row>
    <row r="27045" ht="15.75" customHeight="1">
      <c r="A27045" s="7"/>
      <c r="B27045" s="7"/>
      <c r="M27045" s="9" t="s">
        <v>41</v>
      </c>
    </row>
    <row r="27046" ht="15.75" customHeight="1">
      <c r="A27046" s="7"/>
      <c r="B27046" s="7"/>
      <c r="M27046" s="9" t="s">
        <v>22</v>
      </c>
    </row>
    <row r="27047" ht="15.75" customHeight="1">
      <c r="A27047" s="7"/>
      <c r="B27047" s="7"/>
      <c r="M27047" s="9" t="s">
        <v>40</v>
      </c>
    </row>
    <row r="27048" ht="15.75" customHeight="1">
      <c r="A27048" s="7"/>
      <c r="B27048" s="7"/>
      <c r="M27048" s="9" t="s">
        <v>30</v>
      </c>
    </row>
    <row r="27049" ht="15.75" customHeight="1">
      <c r="A27049" s="7"/>
      <c r="B27049" s="7"/>
      <c r="M27049" s="9" t="s">
        <v>26</v>
      </c>
    </row>
    <row r="27050" ht="15.75" customHeight="1">
      <c r="A27050" s="7"/>
      <c r="B27050" s="7"/>
      <c r="M27050" s="9" t="s">
        <v>24</v>
      </c>
    </row>
    <row r="27051" ht="15.75" customHeight="1">
      <c r="A27051" s="7"/>
      <c r="B27051" s="7"/>
      <c r="M27051" s="9" t="s">
        <v>21</v>
      </c>
    </row>
    <row r="27052" ht="15.75" customHeight="1">
      <c r="A27052" s="7"/>
      <c r="B27052" s="7"/>
      <c r="M27052" s="9" t="s">
        <v>27</v>
      </c>
    </row>
    <row r="27053" ht="15.75" customHeight="1">
      <c r="A27053" s="7"/>
      <c r="B27053" s="7"/>
      <c r="M27053" s="9" t="s">
        <v>33</v>
      </c>
    </row>
    <row r="27054" ht="15.75" customHeight="1">
      <c r="A27054" s="7"/>
      <c r="B27054" s="7"/>
      <c r="M27054" s="9" t="s">
        <v>30</v>
      </c>
    </row>
    <row r="27055" ht="15.75" customHeight="1">
      <c r="A27055" s="7"/>
      <c r="B27055" s="7"/>
      <c r="M27055" s="9" t="s">
        <v>25</v>
      </c>
    </row>
    <row r="27056" ht="15.75" customHeight="1">
      <c r="A27056" s="7"/>
      <c r="B27056" s="7"/>
      <c r="M27056" s="9" t="s">
        <v>23</v>
      </c>
    </row>
    <row r="27057" ht="15.75" customHeight="1">
      <c r="A27057" s="7"/>
      <c r="B27057" s="7"/>
      <c r="M27057" s="9" t="s">
        <v>20</v>
      </c>
    </row>
    <row r="27058" ht="15.75" customHeight="1">
      <c r="A27058" s="7"/>
      <c r="B27058" s="7"/>
      <c r="M27058" s="9" t="s">
        <v>22</v>
      </c>
    </row>
    <row r="27059" ht="15.75" customHeight="1">
      <c r="A27059" s="7"/>
      <c r="B27059" s="7"/>
      <c r="M27059" s="9" t="s">
        <v>40</v>
      </c>
    </row>
    <row r="27060" ht="15.75" customHeight="1">
      <c r="A27060" s="7"/>
      <c r="B27060" s="7"/>
      <c r="M27060" s="9" t="s">
        <v>30</v>
      </c>
    </row>
    <row r="27061" ht="15.75" customHeight="1">
      <c r="A27061" s="7"/>
      <c r="B27061" s="7"/>
      <c r="M27061" s="9" t="s">
        <v>24</v>
      </c>
    </row>
    <row r="27062" ht="15.75" customHeight="1">
      <c r="A27062" s="7"/>
      <c r="B27062" s="7"/>
      <c r="M27062" s="9" t="s">
        <v>20</v>
      </c>
    </row>
    <row r="27063" ht="15.75" customHeight="1">
      <c r="A27063" s="7"/>
      <c r="B27063" s="7"/>
      <c r="M27063" s="9" t="s">
        <v>21</v>
      </c>
    </row>
    <row r="27064" ht="15.75" customHeight="1">
      <c r="A27064" s="7"/>
      <c r="B27064" s="7"/>
      <c r="M27064" s="9" t="s">
        <v>22</v>
      </c>
    </row>
    <row r="27065" ht="15.75" customHeight="1">
      <c r="A27065" s="7"/>
      <c r="B27065" s="7"/>
      <c r="M27065" s="9" t="s">
        <v>27</v>
      </c>
    </row>
    <row r="27066" ht="15.75" customHeight="1">
      <c r="A27066" s="7"/>
      <c r="B27066" s="7"/>
      <c r="M27066" s="9" t="s">
        <v>20</v>
      </c>
    </row>
    <row r="27067" ht="15.75" customHeight="1">
      <c r="A27067" s="7"/>
      <c r="B27067" s="7"/>
      <c r="M27067" s="9" t="s">
        <v>39</v>
      </c>
    </row>
    <row r="27068" ht="15.75" customHeight="1">
      <c r="A27068" s="7"/>
      <c r="B27068" s="7"/>
      <c r="M27068" s="9" t="s">
        <v>25</v>
      </c>
    </row>
    <row r="27069" ht="15.75" customHeight="1">
      <c r="A27069" s="7"/>
      <c r="B27069" s="7"/>
      <c r="M27069" s="9" t="s">
        <v>23</v>
      </c>
    </row>
    <row r="27070" ht="15.75" customHeight="1">
      <c r="A27070" s="7"/>
      <c r="B27070" s="7"/>
      <c r="M27070" s="9" t="s">
        <v>22</v>
      </c>
    </row>
    <row r="27071" ht="15.75" customHeight="1">
      <c r="A27071" s="7"/>
      <c r="B27071" s="7"/>
      <c r="M27071" s="9" t="s">
        <v>25</v>
      </c>
    </row>
    <row r="27072" ht="15.75" customHeight="1">
      <c r="A27072" s="7"/>
      <c r="B27072" s="7"/>
      <c r="M27072" s="9" t="s">
        <v>26</v>
      </c>
    </row>
    <row r="27073" ht="15.75" customHeight="1">
      <c r="A27073" s="7"/>
      <c r="B27073" s="7"/>
      <c r="M27073" s="9" t="s">
        <v>38</v>
      </c>
    </row>
    <row r="27074" ht="15.75" customHeight="1">
      <c r="A27074" s="7"/>
      <c r="B27074" s="7"/>
      <c r="M27074" s="9" t="s">
        <v>30</v>
      </c>
    </row>
    <row r="27075" ht="15.75" customHeight="1">
      <c r="A27075" s="7"/>
      <c r="B27075" s="7"/>
      <c r="M27075" s="9" t="s">
        <v>26</v>
      </c>
    </row>
    <row r="27076" ht="15.75" customHeight="1">
      <c r="A27076" s="7"/>
      <c r="B27076" s="7"/>
      <c r="M27076" s="9" t="s">
        <v>24</v>
      </c>
    </row>
    <row r="27077" ht="15.75" customHeight="1">
      <c r="A27077" s="7"/>
      <c r="B27077" s="7"/>
      <c r="M27077" s="9" t="s">
        <v>21</v>
      </c>
    </row>
    <row r="27078" ht="15.75" customHeight="1">
      <c r="A27078" s="7"/>
      <c r="B27078" s="7"/>
      <c r="M27078" s="9" t="s">
        <v>37</v>
      </c>
    </row>
    <row r="27079" ht="15.75" customHeight="1">
      <c r="A27079" s="7"/>
      <c r="B27079" s="7"/>
      <c r="M27079" s="9" t="s">
        <v>22</v>
      </c>
    </row>
    <row r="27080" ht="15.75" customHeight="1">
      <c r="A27080" s="7"/>
      <c r="B27080" s="7"/>
      <c r="M27080" s="9" t="s">
        <v>29</v>
      </c>
    </row>
    <row r="27081" ht="15.75" customHeight="1">
      <c r="A27081" s="7"/>
      <c r="B27081" s="7"/>
      <c r="M27081" s="9" t="s">
        <v>27</v>
      </c>
    </row>
    <row r="27082" ht="15.75" customHeight="1">
      <c r="A27082" s="7"/>
      <c r="B27082" s="7"/>
      <c r="M27082" s="9" t="s">
        <v>33</v>
      </c>
    </row>
    <row r="27083" ht="15.75" customHeight="1">
      <c r="A27083" s="7"/>
      <c r="B27083" s="7"/>
      <c r="M27083" s="9" t="s">
        <v>35</v>
      </c>
    </row>
    <row r="27084" ht="15.75" customHeight="1">
      <c r="A27084" s="7"/>
      <c r="B27084" s="7"/>
      <c r="M27084" s="9" t="s">
        <v>30</v>
      </c>
    </row>
    <row r="27085" ht="15.75" customHeight="1">
      <c r="A27085" s="7"/>
      <c r="B27085" s="7"/>
      <c r="M27085" s="9" t="s">
        <v>25</v>
      </c>
    </row>
    <row r="27086" ht="15.75" customHeight="1">
      <c r="A27086" s="7"/>
      <c r="B27086" s="7"/>
      <c r="M27086" s="9" t="s">
        <v>24</v>
      </c>
    </row>
    <row r="27087" ht="15.75" customHeight="1">
      <c r="A27087" s="7"/>
      <c r="B27087" s="7"/>
      <c r="M27087" s="9" t="s">
        <v>21</v>
      </c>
    </row>
    <row r="27088" ht="15.75" customHeight="1">
      <c r="A27088" s="7"/>
      <c r="B27088" s="7"/>
      <c r="M27088" s="9" t="s">
        <v>22</v>
      </c>
    </row>
    <row r="27089" ht="15.75" customHeight="1">
      <c r="A27089" s="7"/>
      <c r="B27089" s="7"/>
      <c r="M27089" s="9" t="s">
        <v>33</v>
      </c>
    </row>
    <row r="27090" ht="15.75" customHeight="1">
      <c r="A27090" s="7"/>
      <c r="B27090" s="7"/>
      <c r="M27090" s="9" t="s">
        <v>35</v>
      </c>
    </row>
    <row r="27091" ht="15.75" customHeight="1">
      <c r="A27091" s="7"/>
      <c r="B27091" s="7"/>
      <c r="M27091" s="9" t="s">
        <v>24</v>
      </c>
    </row>
    <row r="27092" ht="15.75" customHeight="1">
      <c r="A27092" s="7"/>
      <c r="B27092" s="7"/>
      <c r="M27092" s="9" t="s">
        <v>22</v>
      </c>
    </row>
    <row r="27093" ht="15.75" customHeight="1">
      <c r="A27093" s="7"/>
      <c r="B27093" s="7"/>
      <c r="M27093" s="9" t="s">
        <v>30</v>
      </c>
    </row>
    <row r="27094" ht="15.75" customHeight="1">
      <c r="A27094" s="7"/>
      <c r="B27094" s="7"/>
      <c r="M27094" s="9" t="s">
        <v>36</v>
      </c>
    </row>
    <row r="27095" ht="15.75" customHeight="1">
      <c r="A27095" s="7"/>
      <c r="B27095" s="7"/>
      <c r="M27095" s="9" t="s">
        <v>24</v>
      </c>
    </row>
    <row r="27096" ht="15.75" customHeight="1">
      <c r="A27096" s="7"/>
      <c r="B27096" s="7"/>
      <c r="M27096" s="9" t="s">
        <v>21</v>
      </c>
    </row>
    <row r="27097" ht="15.75" customHeight="1">
      <c r="A27097" s="7"/>
      <c r="B27097" s="7"/>
      <c r="M27097" s="9" t="s">
        <v>37</v>
      </c>
    </row>
    <row r="27098" ht="15.75" customHeight="1">
      <c r="A27098" s="7"/>
      <c r="B27098" s="7"/>
      <c r="M27098" s="9" t="s">
        <v>27</v>
      </c>
    </row>
    <row r="27099" ht="15.75" customHeight="1">
      <c r="A27099" s="7"/>
      <c r="B27099" s="7"/>
      <c r="M27099" s="9" t="s">
        <v>25</v>
      </c>
    </row>
    <row r="27100" ht="15.75" customHeight="1">
      <c r="A27100" s="7"/>
      <c r="B27100" s="7"/>
      <c r="M27100" s="9" t="s">
        <v>24</v>
      </c>
    </row>
    <row r="27101" ht="15.75" customHeight="1">
      <c r="A27101" s="7"/>
      <c r="B27101" s="7"/>
      <c r="M27101" s="9" t="s">
        <v>20</v>
      </c>
    </row>
    <row r="27102" ht="15.75" customHeight="1">
      <c r="A27102" s="7"/>
      <c r="B27102" s="7"/>
      <c r="M27102" s="9" t="s">
        <v>21</v>
      </c>
    </row>
    <row r="27103" ht="15.75" customHeight="1">
      <c r="A27103" s="7"/>
      <c r="B27103" s="7"/>
      <c r="M27103" s="9" t="s">
        <v>24</v>
      </c>
    </row>
    <row r="27104" ht="15.75" customHeight="1">
      <c r="A27104" s="7"/>
      <c r="B27104" s="7"/>
      <c r="M27104" s="9" t="s">
        <v>21</v>
      </c>
    </row>
    <row r="27105" ht="15.75" customHeight="1">
      <c r="A27105" s="7"/>
      <c r="B27105" s="7"/>
      <c r="M27105" s="9" t="s">
        <v>22</v>
      </c>
    </row>
    <row r="27106" ht="15.75" customHeight="1">
      <c r="A27106" s="7"/>
      <c r="B27106" s="7"/>
      <c r="M27106" s="9" t="s">
        <v>33</v>
      </c>
    </row>
    <row r="27107" ht="15.75" customHeight="1">
      <c r="A27107" s="7"/>
      <c r="B27107" s="7"/>
      <c r="M27107" s="9" t="s">
        <v>38</v>
      </c>
    </row>
    <row r="27108" ht="15.75" customHeight="1">
      <c r="A27108" s="7"/>
      <c r="B27108" s="7"/>
      <c r="M27108" s="9" t="s">
        <v>25</v>
      </c>
    </row>
    <row r="27109" ht="15.75" customHeight="1">
      <c r="A27109" s="7"/>
      <c r="B27109" s="7"/>
      <c r="M27109" s="9" t="s">
        <v>23</v>
      </c>
    </row>
    <row r="27110" ht="15.75" customHeight="1">
      <c r="A27110" s="7"/>
      <c r="B27110" s="7"/>
      <c r="M27110" s="9" t="s">
        <v>26</v>
      </c>
    </row>
    <row r="27111" ht="15.75" customHeight="1">
      <c r="A27111" s="7"/>
      <c r="B27111" s="7"/>
      <c r="M27111" s="9" t="s">
        <v>24</v>
      </c>
    </row>
    <row r="27112" ht="15.75" customHeight="1">
      <c r="A27112" s="7"/>
      <c r="B27112" s="7"/>
      <c r="M27112" s="9" t="s">
        <v>20</v>
      </c>
    </row>
    <row r="27113" ht="15.75" customHeight="1">
      <c r="A27113" s="7"/>
      <c r="B27113" s="7"/>
      <c r="M27113" s="9" t="s">
        <v>21</v>
      </c>
    </row>
    <row r="27114" ht="15.75" customHeight="1">
      <c r="A27114" s="7"/>
      <c r="B27114" s="7"/>
      <c r="M27114" s="9" t="s">
        <v>37</v>
      </c>
    </row>
    <row r="27115" ht="15.75" customHeight="1">
      <c r="A27115" s="7"/>
      <c r="B27115" s="7"/>
      <c r="M27115" s="9" t="s">
        <v>22</v>
      </c>
    </row>
    <row r="27116" ht="15.75" customHeight="1">
      <c r="A27116" s="7"/>
      <c r="B27116" s="7"/>
      <c r="M27116" s="9" t="s">
        <v>29</v>
      </c>
    </row>
    <row r="27117" ht="15.75" customHeight="1">
      <c r="A27117" s="7"/>
      <c r="B27117" s="7"/>
      <c r="M27117" s="9" t="s">
        <v>27</v>
      </c>
    </row>
    <row r="27118" ht="15.75" customHeight="1">
      <c r="A27118" s="7"/>
      <c r="B27118" s="7"/>
      <c r="M27118" s="9" t="s">
        <v>26</v>
      </c>
    </row>
    <row r="27119" ht="15.75" customHeight="1">
      <c r="A27119" s="7"/>
      <c r="B27119" s="7"/>
      <c r="M27119" s="9" t="s">
        <v>24</v>
      </c>
    </row>
    <row r="27120" ht="15.75" customHeight="1">
      <c r="A27120" s="7"/>
      <c r="B27120" s="7"/>
      <c r="M27120" s="9" t="s">
        <v>27</v>
      </c>
    </row>
    <row r="27121" ht="15.75" customHeight="1">
      <c r="A27121" s="7"/>
      <c r="B27121" s="7"/>
      <c r="M27121" s="9" t="s">
        <v>33</v>
      </c>
    </row>
    <row r="27122" ht="15.75" customHeight="1">
      <c r="A27122" s="7"/>
      <c r="B27122" s="7"/>
      <c r="M27122" s="9" t="s">
        <v>24</v>
      </c>
    </row>
    <row r="27123" ht="15.75" customHeight="1">
      <c r="A27123" s="7"/>
      <c r="B27123" s="7"/>
      <c r="M27123" s="9" t="s">
        <v>20</v>
      </c>
    </row>
    <row r="27124" ht="15.75" customHeight="1">
      <c r="A27124" s="7"/>
      <c r="B27124" s="7"/>
      <c r="M27124" s="9" t="s">
        <v>21</v>
      </c>
    </row>
    <row r="27125" ht="15.75" customHeight="1">
      <c r="A27125" s="7"/>
      <c r="B27125" s="7"/>
      <c r="M27125" s="9" t="s">
        <v>23</v>
      </c>
    </row>
    <row r="27126" ht="15.75" customHeight="1">
      <c r="A27126" s="7"/>
      <c r="B27126" s="7"/>
      <c r="M27126" s="9" t="s">
        <v>26</v>
      </c>
    </row>
    <row r="27127" ht="15.75" customHeight="1">
      <c r="A27127" s="7"/>
      <c r="B27127" s="7"/>
      <c r="M27127" s="9" t="s">
        <v>22</v>
      </c>
    </row>
    <row r="27128" ht="15.75" customHeight="1">
      <c r="A27128" s="7"/>
      <c r="B27128" s="7"/>
      <c r="M27128" s="9" t="s">
        <v>27</v>
      </c>
    </row>
    <row r="27129" ht="15.75" customHeight="1">
      <c r="A27129" s="7"/>
      <c r="B27129" s="7"/>
      <c r="M27129" s="9" t="s">
        <v>24</v>
      </c>
    </row>
    <row r="27130" ht="15.75" customHeight="1">
      <c r="A27130" s="7"/>
      <c r="B27130" s="7"/>
      <c r="M27130" s="9" t="s">
        <v>20</v>
      </c>
    </row>
    <row r="27131" ht="15.75" customHeight="1">
      <c r="A27131" s="7"/>
      <c r="B27131" s="7"/>
      <c r="M27131" s="9" t="s">
        <v>21</v>
      </c>
    </row>
    <row r="27132" ht="15.75" customHeight="1">
      <c r="A27132" s="7"/>
      <c r="B27132" s="7"/>
      <c r="M27132" s="9" t="s">
        <v>40</v>
      </c>
    </row>
    <row r="27133" ht="15.75" customHeight="1">
      <c r="A27133" s="7"/>
      <c r="B27133" s="7"/>
      <c r="M27133" s="9" t="s">
        <v>24</v>
      </c>
    </row>
    <row r="27134" ht="15.75" customHeight="1">
      <c r="A27134" s="7"/>
      <c r="B27134" s="7"/>
      <c r="M27134" s="9" t="s">
        <v>21</v>
      </c>
    </row>
    <row r="27135" ht="15.75" customHeight="1">
      <c r="A27135" s="7"/>
      <c r="B27135" s="7"/>
      <c r="M27135" s="9" t="s">
        <v>37</v>
      </c>
    </row>
    <row r="27136" ht="15.75" customHeight="1">
      <c r="A27136" s="7"/>
      <c r="B27136" s="7"/>
      <c r="M27136" s="9" t="s">
        <v>22</v>
      </c>
    </row>
    <row r="27137" ht="15.75" customHeight="1">
      <c r="A27137" s="7"/>
      <c r="B27137" s="7"/>
      <c r="M27137" s="9" t="s">
        <v>27</v>
      </c>
    </row>
    <row r="27138" ht="15.75" customHeight="1">
      <c r="A27138" s="7"/>
      <c r="B27138" s="7"/>
      <c r="M27138" s="9" t="s">
        <v>30</v>
      </c>
    </row>
    <row r="27139" ht="15.75" customHeight="1">
      <c r="A27139" s="7"/>
      <c r="B27139" s="7"/>
      <c r="M27139" s="9" t="s">
        <v>25</v>
      </c>
    </row>
    <row r="27140" ht="15.75" customHeight="1">
      <c r="A27140" s="7"/>
      <c r="B27140" s="7"/>
      <c r="M27140" s="9" t="s">
        <v>23</v>
      </c>
    </row>
    <row r="27141" ht="15.75" customHeight="1">
      <c r="A27141" s="7"/>
      <c r="B27141" s="7"/>
      <c r="M27141" s="9" t="s">
        <v>24</v>
      </c>
    </row>
    <row r="27142" ht="15.75" customHeight="1">
      <c r="A27142" s="7"/>
      <c r="B27142" s="7"/>
      <c r="M27142" s="9" t="s">
        <v>20</v>
      </c>
    </row>
    <row r="27143" ht="15.75" customHeight="1">
      <c r="A27143" s="7"/>
      <c r="B27143" s="7"/>
      <c r="M27143" s="9" t="s">
        <v>21</v>
      </c>
    </row>
    <row r="27144" ht="15.75" customHeight="1">
      <c r="A27144" s="7"/>
      <c r="B27144" s="7"/>
      <c r="M27144" s="9" t="s">
        <v>37</v>
      </c>
    </row>
    <row r="27145" ht="15.75" customHeight="1">
      <c r="A27145" s="7"/>
      <c r="B27145" s="7"/>
      <c r="M27145" s="9" t="s">
        <v>22</v>
      </c>
    </row>
    <row r="27146" ht="15.75" customHeight="1">
      <c r="A27146" s="7"/>
      <c r="B27146" s="7"/>
      <c r="M27146" s="9" t="s">
        <v>29</v>
      </c>
    </row>
    <row r="27147" ht="15.75" customHeight="1">
      <c r="A27147" s="7"/>
      <c r="B27147" s="7"/>
      <c r="M27147" s="9" t="s">
        <v>31</v>
      </c>
    </row>
    <row r="27148" ht="15.75" customHeight="1">
      <c r="A27148" s="7"/>
      <c r="B27148" s="7"/>
      <c r="M27148" s="9" t="s">
        <v>27</v>
      </c>
    </row>
    <row r="27149" ht="15.75" customHeight="1">
      <c r="A27149" s="7"/>
      <c r="B27149" s="7"/>
      <c r="M27149" s="9" t="s">
        <v>28</v>
      </c>
    </row>
    <row r="27150" ht="15.75" customHeight="1">
      <c r="A27150" s="7"/>
      <c r="B27150" s="7"/>
      <c r="M27150" s="9" t="s">
        <v>23</v>
      </c>
    </row>
    <row r="27151" ht="15.75" customHeight="1">
      <c r="A27151" s="7"/>
      <c r="B27151" s="7"/>
      <c r="M27151" s="9" t="s">
        <v>26</v>
      </c>
    </row>
    <row r="27152" ht="15.75" customHeight="1">
      <c r="A27152" s="7"/>
      <c r="B27152" s="7"/>
      <c r="M27152" s="9" t="s">
        <v>24</v>
      </c>
    </row>
    <row r="27153" ht="15.75" customHeight="1">
      <c r="A27153" s="7"/>
      <c r="B27153" s="7"/>
      <c r="M27153" s="9" t="s">
        <v>20</v>
      </c>
    </row>
    <row r="27154" ht="15.75" customHeight="1">
      <c r="A27154" s="7"/>
      <c r="B27154" s="7"/>
      <c r="M27154" s="9" t="s">
        <v>21</v>
      </c>
    </row>
    <row r="27155" ht="15.75" customHeight="1">
      <c r="A27155" s="7"/>
      <c r="B27155" s="7"/>
      <c r="M27155" s="9" t="s">
        <v>37</v>
      </c>
    </row>
    <row r="27156" ht="15.75" customHeight="1">
      <c r="A27156" s="7"/>
      <c r="B27156" s="7"/>
      <c r="M27156" s="9" t="s">
        <v>22</v>
      </c>
    </row>
    <row r="27157" ht="15.75" customHeight="1">
      <c r="A27157" s="7"/>
      <c r="B27157" s="7"/>
      <c r="M27157" s="9" t="s">
        <v>27</v>
      </c>
    </row>
    <row r="27158" ht="15.75" customHeight="1">
      <c r="A27158" s="7"/>
      <c r="B27158" s="7"/>
      <c r="M27158" s="9" t="s">
        <v>33</v>
      </c>
    </row>
    <row r="27159" ht="15.75" customHeight="1">
      <c r="A27159" s="7"/>
      <c r="B27159" s="7"/>
      <c r="M27159" s="9" t="s">
        <v>38</v>
      </c>
    </row>
    <row r="27160" ht="15.75" customHeight="1">
      <c r="A27160" s="7"/>
      <c r="B27160" s="7"/>
      <c r="M27160" s="9" t="s">
        <v>30</v>
      </c>
    </row>
    <row r="27161" ht="15.75" customHeight="1">
      <c r="A27161" s="7"/>
      <c r="B27161" s="7"/>
      <c r="M27161" s="9" t="s">
        <v>26</v>
      </c>
    </row>
    <row r="27162" ht="15.75" customHeight="1">
      <c r="A27162" s="7"/>
      <c r="B27162" s="7"/>
      <c r="M27162" s="9" t="s">
        <v>45</v>
      </c>
    </row>
    <row r="27163" ht="15.75" customHeight="1">
      <c r="A27163" s="7"/>
      <c r="B27163" s="7"/>
      <c r="M27163" s="9" t="s">
        <v>24</v>
      </c>
    </row>
    <row r="27164" ht="15.75" customHeight="1">
      <c r="A27164" s="7"/>
      <c r="B27164" s="7"/>
      <c r="M27164" s="9" t="s">
        <v>20</v>
      </c>
    </row>
    <row r="27165" ht="15.75" customHeight="1">
      <c r="A27165" s="7"/>
      <c r="B27165" s="7"/>
      <c r="M27165" s="9" t="s">
        <v>21</v>
      </c>
    </row>
    <row r="27166" ht="15.75" customHeight="1">
      <c r="A27166" s="7"/>
      <c r="B27166" s="7"/>
      <c r="M27166" s="9" t="s">
        <v>27</v>
      </c>
    </row>
    <row r="27167" ht="15.75" customHeight="1">
      <c r="A27167" s="7"/>
      <c r="B27167" s="7"/>
      <c r="M27167" s="9" t="s">
        <v>34</v>
      </c>
    </row>
    <row r="27168" ht="15.75" customHeight="1">
      <c r="A27168" s="7"/>
      <c r="B27168" s="7"/>
      <c r="M27168" s="9" t="s">
        <v>30</v>
      </c>
    </row>
    <row r="27169" ht="15.75" customHeight="1">
      <c r="A27169" s="7"/>
      <c r="B27169" s="7"/>
      <c r="M27169" s="9" t="s">
        <v>23</v>
      </c>
    </row>
    <row r="27170" ht="15.75" customHeight="1">
      <c r="A27170" s="7"/>
      <c r="B27170" s="7"/>
      <c r="M27170" s="9" t="s">
        <v>26</v>
      </c>
    </row>
    <row r="27171" ht="15.75" customHeight="1">
      <c r="A27171" s="7"/>
      <c r="B27171" s="7"/>
      <c r="M27171" s="9" t="s">
        <v>24</v>
      </c>
    </row>
    <row r="27172" ht="15.75" customHeight="1">
      <c r="A27172" s="7"/>
      <c r="B27172" s="7"/>
      <c r="M27172" s="9" t="s">
        <v>21</v>
      </c>
    </row>
    <row r="27173" ht="15.75" customHeight="1">
      <c r="A27173" s="7"/>
      <c r="B27173" s="7"/>
      <c r="M27173" s="9" t="s">
        <v>37</v>
      </c>
    </row>
    <row r="27174" ht="15.75" customHeight="1">
      <c r="A27174" s="7"/>
      <c r="B27174" s="7"/>
      <c r="M27174" s="9" t="s">
        <v>27</v>
      </c>
    </row>
    <row r="27175" ht="15.75" customHeight="1">
      <c r="A27175" s="7"/>
      <c r="B27175" s="7"/>
      <c r="M27175" s="9" t="s">
        <v>40</v>
      </c>
    </row>
    <row r="27176" ht="15.75" customHeight="1">
      <c r="A27176" s="7"/>
      <c r="B27176" s="7"/>
      <c r="M27176" s="9" t="s">
        <v>35</v>
      </c>
    </row>
    <row r="27177" ht="15.75" customHeight="1">
      <c r="A27177" s="7"/>
      <c r="B27177" s="7"/>
      <c r="M27177" s="9" t="s">
        <v>30</v>
      </c>
    </row>
    <row r="27178" ht="15.75" customHeight="1">
      <c r="A27178" s="7"/>
      <c r="B27178" s="7"/>
      <c r="M27178" s="9" t="s">
        <v>24</v>
      </c>
    </row>
    <row r="27179" ht="15.75" customHeight="1">
      <c r="A27179" s="7"/>
      <c r="B27179" s="7"/>
      <c r="M27179" s="9" t="s">
        <v>21</v>
      </c>
    </row>
    <row r="27180" ht="15.75" customHeight="1">
      <c r="A27180" s="7"/>
      <c r="B27180" s="7"/>
      <c r="M27180" s="9" t="s">
        <v>22</v>
      </c>
    </row>
    <row r="27181" ht="15.75" customHeight="1">
      <c r="A27181" s="7"/>
      <c r="B27181" s="7"/>
      <c r="M27181" s="9" t="s">
        <v>30</v>
      </c>
    </row>
    <row r="27182" ht="15.75" customHeight="1">
      <c r="A27182" s="7"/>
      <c r="B27182" s="7"/>
      <c r="M27182" s="9" t="s">
        <v>47</v>
      </c>
    </row>
    <row r="27183" ht="15.75" customHeight="1">
      <c r="A27183" s="7"/>
      <c r="B27183" s="7"/>
      <c r="M27183" s="9" t="s">
        <v>24</v>
      </c>
    </row>
    <row r="27184" ht="15.75" customHeight="1">
      <c r="A27184" s="7"/>
      <c r="B27184" s="7"/>
      <c r="M27184" s="9" t="s">
        <v>39</v>
      </c>
    </row>
    <row r="27185" ht="15.75" customHeight="1">
      <c r="A27185" s="7"/>
      <c r="B27185" s="7"/>
      <c r="M27185" s="9" t="s">
        <v>32</v>
      </c>
    </row>
    <row r="27186" ht="15.75" customHeight="1">
      <c r="A27186" s="7"/>
      <c r="B27186" s="7"/>
      <c r="M27186" s="9" t="s">
        <v>30</v>
      </c>
    </row>
    <row r="27187" ht="15.75" customHeight="1">
      <c r="A27187" s="7"/>
      <c r="B27187" s="7"/>
      <c r="M27187" s="9" t="s">
        <v>26</v>
      </c>
    </row>
    <row r="27188" ht="15.75" customHeight="1">
      <c r="A27188" s="7"/>
      <c r="B27188" s="7"/>
      <c r="M27188" s="9" t="s">
        <v>42</v>
      </c>
    </row>
    <row r="27189" ht="15.75" customHeight="1">
      <c r="A27189" s="7"/>
      <c r="B27189" s="7"/>
      <c r="M27189" s="9" t="s">
        <v>43</v>
      </c>
    </row>
    <row r="27190" ht="15.75" customHeight="1">
      <c r="A27190" s="7"/>
      <c r="B27190" s="7"/>
      <c r="M27190" s="9" t="s">
        <v>24</v>
      </c>
    </row>
    <row r="27191" ht="15.75" customHeight="1">
      <c r="A27191" s="7"/>
      <c r="B27191" s="7"/>
      <c r="M27191" s="9" t="s">
        <v>20</v>
      </c>
    </row>
    <row r="27192" ht="15.75" customHeight="1">
      <c r="A27192" s="7"/>
      <c r="B27192" s="7"/>
      <c r="M27192" s="9" t="s">
        <v>21</v>
      </c>
    </row>
    <row r="27193" ht="15.75" customHeight="1">
      <c r="A27193" s="7"/>
      <c r="B27193" s="7"/>
      <c r="M27193" s="9" t="s">
        <v>22</v>
      </c>
    </row>
    <row r="27194" ht="15.75" customHeight="1">
      <c r="A27194" s="7"/>
      <c r="B27194" s="7"/>
      <c r="M27194" s="9" t="s">
        <v>31</v>
      </c>
    </row>
    <row r="27195" ht="15.75" customHeight="1">
      <c r="A27195" s="7"/>
      <c r="B27195" s="7"/>
      <c r="M27195" s="9" t="s">
        <v>27</v>
      </c>
    </row>
    <row r="27196" ht="15.75" customHeight="1">
      <c r="A27196" s="7"/>
      <c r="B27196" s="7"/>
      <c r="M27196" s="9" t="s">
        <v>26</v>
      </c>
    </row>
    <row r="27197" ht="15.75" customHeight="1">
      <c r="A27197" s="7"/>
      <c r="B27197" s="7"/>
      <c r="M27197" s="9" t="s">
        <v>24</v>
      </c>
    </row>
    <row r="27198" ht="15.75" customHeight="1">
      <c r="A27198" s="7"/>
      <c r="B27198" s="7"/>
      <c r="M27198" s="9" t="s">
        <v>20</v>
      </c>
    </row>
    <row r="27199" ht="15.75" customHeight="1">
      <c r="A27199" s="7"/>
      <c r="B27199" s="7"/>
      <c r="M27199" s="9" t="s">
        <v>21</v>
      </c>
    </row>
    <row r="27200" ht="15.75" customHeight="1">
      <c r="A27200" s="7"/>
      <c r="B27200" s="7"/>
      <c r="M27200" s="9" t="s">
        <v>27</v>
      </c>
    </row>
    <row r="27201" ht="15.75" customHeight="1">
      <c r="A27201" s="7"/>
      <c r="B27201" s="7"/>
      <c r="M27201" s="9" t="s">
        <v>26</v>
      </c>
    </row>
    <row r="27202" ht="15.75" customHeight="1">
      <c r="A27202" s="7"/>
      <c r="B27202" s="7"/>
      <c r="M27202" s="9" t="s">
        <v>24</v>
      </c>
    </row>
    <row r="27203" ht="15.75" customHeight="1">
      <c r="A27203" s="7"/>
      <c r="B27203" s="7"/>
      <c r="M27203" s="9" t="s">
        <v>21</v>
      </c>
    </row>
    <row r="27204" ht="15.75" customHeight="1">
      <c r="A27204" s="7"/>
      <c r="B27204" s="7"/>
      <c r="M27204" s="9" t="s">
        <v>27</v>
      </c>
    </row>
    <row r="27205" ht="15.75" customHeight="1">
      <c r="A27205" s="7"/>
      <c r="B27205" s="7"/>
      <c r="M27205" s="9" t="s">
        <v>30</v>
      </c>
    </row>
    <row r="27206" ht="15.75" customHeight="1">
      <c r="A27206" s="7"/>
      <c r="B27206" s="7"/>
      <c r="M27206" s="9" t="s">
        <v>25</v>
      </c>
    </row>
    <row r="27207" ht="15.75" customHeight="1">
      <c r="A27207" s="7"/>
      <c r="B27207" s="7"/>
      <c r="M27207" s="9" t="s">
        <v>24</v>
      </c>
    </row>
    <row r="27208" ht="15.75" customHeight="1">
      <c r="A27208" s="7"/>
      <c r="B27208" s="7"/>
      <c r="M27208" s="9" t="s">
        <v>21</v>
      </c>
    </row>
    <row r="27209" ht="15.75" customHeight="1">
      <c r="A27209" s="7"/>
      <c r="B27209" s="7"/>
      <c r="M27209" s="9" t="s">
        <v>37</v>
      </c>
    </row>
    <row r="27210" ht="15.75" customHeight="1">
      <c r="A27210" s="7"/>
      <c r="B27210" s="7"/>
      <c r="M27210" s="9" t="s">
        <v>33</v>
      </c>
    </row>
    <row r="27211" ht="15.75" customHeight="1">
      <c r="A27211" s="7"/>
      <c r="B27211" s="7"/>
      <c r="M27211" s="9" t="s">
        <v>26</v>
      </c>
    </row>
    <row r="27212" ht="15.75" customHeight="1">
      <c r="A27212" s="7"/>
      <c r="B27212" s="7"/>
      <c r="M27212" s="9" t="s">
        <v>24</v>
      </c>
    </row>
    <row r="27213" ht="15.75" customHeight="1">
      <c r="A27213" s="7"/>
      <c r="B27213" s="7"/>
      <c r="M27213" s="9" t="s">
        <v>21</v>
      </c>
    </row>
    <row r="27214" ht="15.75" customHeight="1">
      <c r="A27214" s="7"/>
      <c r="B27214" s="7"/>
      <c r="M27214" s="9" t="s">
        <v>37</v>
      </c>
    </row>
    <row r="27215" ht="15.75" customHeight="1">
      <c r="A27215" s="7"/>
      <c r="B27215" s="7"/>
      <c r="M27215" s="9" t="s">
        <v>27</v>
      </c>
    </row>
    <row r="27216" ht="15.75" customHeight="1">
      <c r="A27216" s="7"/>
      <c r="B27216" s="7"/>
      <c r="M27216" s="9" t="s">
        <v>33</v>
      </c>
    </row>
    <row r="27217" ht="15.75" customHeight="1">
      <c r="A27217" s="7"/>
      <c r="B27217" s="7"/>
      <c r="M27217" s="9" t="s">
        <v>24</v>
      </c>
    </row>
    <row r="27218" ht="15.75" customHeight="1">
      <c r="A27218" s="7"/>
      <c r="B27218" s="7"/>
      <c r="M27218" s="9" t="s">
        <v>21</v>
      </c>
    </row>
    <row r="27219" ht="15.75" customHeight="1">
      <c r="A27219" s="7"/>
      <c r="B27219" s="7"/>
      <c r="M27219" s="9" t="s">
        <v>37</v>
      </c>
    </row>
    <row r="27220" ht="15.75" customHeight="1">
      <c r="A27220" s="7"/>
      <c r="B27220" s="7"/>
      <c r="M27220" s="9" t="s">
        <v>22</v>
      </c>
    </row>
    <row r="27221" ht="15.75" customHeight="1">
      <c r="A27221" s="7"/>
      <c r="B27221" s="7"/>
      <c r="M27221" s="9" t="s">
        <v>27</v>
      </c>
    </row>
    <row r="27222" ht="15.75" customHeight="1">
      <c r="A27222" s="7"/>
      <c r="B27222" s="7"/>
      <c r="M27222" s="9" t="s">
        <v>30</v>
      </c>
    </row>
    <row r="27223" ht="15.75" customHeight="1">
      <c r="A27223" s="7"/>
      <c r="B27223" s="7"/>
      <c r="M27223" s="9" t="s">
        <v>26</v>
      </c>
    </row>
    <row r="27224" ht="15.75" customHeight="1">
      <c r="A27224" s="7"/>
      <c r="B27224" s="7"/>
      <c r="M27224" s="9" t="s">
        <v>24</v>
      </c>
    </row>
    <row r="27225" ht="15.75" customHeight="1">
      <c r="A27225" s="7"/>
      <c r="B27225" s="7"/>
      <c r="M27225" s="9" t="s">
        <v>21</v>
      </c>
    </row>
    <row r="27226" ht="15.75" customHeight="1">
      <c r="A27226" s="7"/>
      <c r="B27226" s="7"/>
      <c r="M27226" s="9" t="s">
        <v>22</v>
      </c>
    </row>
    <row r="27227" ht="15.75" customHeight="1">
      <c r="A27227" s="7"/>
      <c r="B27227" s="7"/>
      <c r="M27227" s="9" t="s">
        <v>29</v>
      </c>
    </row>
    <row r="27228" ht="15.75" customHeight="1">
      <c r="A27228" s="7"/>
      <c r="B27228" s="7"/>
      <c r="M27228" s="9" t="s">
        <v>30</v>
      </c>
    </row>
    <row r="27229" ht="15.75" customHeight="1">
      <c r="A27229" s="7"/>
      <c r="B27229" s="7"/>
      <c r="M27229" s="9" t="s">
        <v>24</v>
      </c>
    </row>
    <row r="27230" ht="15.75" customHeight="1">
      <c r="A27230" s="7"/>
      <c r="B27230" s="7"/>
      <c r="M27230" s="9" t="s">
        <v>21</v>
      </c>
    </row>
    <row r="27231" ht="15.75" customHeight="1">
      <c r="A27231" s="7"/>
      <c r="B27231" s="7"/>
      <c r="M27231" s="9" t="s">
        <v>37</v>
      </c>
    </row>
    <row r="27232" ht="15.75" customHeight="1">
      <c r="A27232" s="7"/>
      <c r="B27232" s="7"/>
      <c r="M27232" s="9" t="s">
        <v>22</v>
      </c>
    </row>
    <row r="27233" ht="15.75" customHeight="1">
      <c r="A27233" s="7"/>
      <c r="B27233" s="7"/>
      <c r="M27233" s="9" t="s">
        <v>31</v>
      </c>
    </row>
    <row r="27234" ht="15.75" customHeight="1">
      <c r="A27234" s="7"/>
      <c r="B27234" s="7"/>
      <c r="M27234" s="9" t="s">
        <v>27</v>
      </c>
    </row>
    <row r="27235" ht="15.75" customHeight="1">
      <c r="A27235" s="7"/>
      <c r="B27235" s="7"/>
      <c r="M27235" s="9" t="s">
        <v>33</v>
      </c>
    </row>
    <row r="27236" ht="15.75" customHeight="1">
      <c r="A27236" s="7"/>
      <c r="B27236" s="7"/>
      <c r="M27236" s="9" t="s">
        <v>24</v>
      </c>
    </row>
    <row r="27237" ht="15.75" customHeight="1">
      <c r="A27237" s="7"/>
      <c r="B27237" s="7"/>
      <c r="M27237" s="9" t="s">
        <v>21</v>
      </c>
    </row>
    <row r="27238" ht="15.75" customHeight="1">
      <c r="A27238" s="7"/>
      <c r="B27238" s="7"/>
      <c r="M27238" s="9" t="s">
        <v>37</v>
      </c>
    </row>
    <row r="27239" ht="15.75" customHeight="1">
      <c r="A27239" s="7"/>
      <c r="B27239" s="7"/>
      <c r="M27239" s="9" t="s">
        <v>33</v>
      </c>
    </row>
    <row r="27240" ht="15.75" customHeight="1">
      <c r="A27240" s="7"/>
      <c r="B27240" s="7"/>
      <c r="M27240" s="9" t="s">
        <v>25</v>
      </c>
    </row>
    <row r="27241" ht="15.75" customHeight="1">
      <c r="A27241" s="7"/>
      <c r="B27241" s="7"/>
      <c r="M27241" s="9" t="s">
        <v>36</v>
      </c>
    </row>
    <row r="27242" ht="15.75" customHeight="1">
      <c r="A27242" s="7"/>
      <c r="B27242" s="7"/>
      <c r="M27242" s="9" t="s">
        <v>22</v>
      </c>
    </row>
    <row r="27243" ht="15.75" customHeight="1">
      <c r="A27243" s="7"/>
      <c r="B27243" s="7"/>
      <c r="M27243" s="9" t="s">
        <v>30</v>
      </c>
    </row>
    <row r="27244" ht="15.75" customHeight="1">
      <c r="A27244" s="7"/>
      <c r="B27244" s="7"/>
      <c r="M27244" s="9" t="s">
        <v>26</v>
      </c>
    </row>
    <row r="27245" ht="15.75" customHeight="1">
      <c r="A27245" s="7"/>
      <c r="B27245" s="7"/>
      <c r="M27245" s="9" t="s">
        <v>24</v>
      </c>
    </row>
    <row r="27246" ht="15.75" customHeight="1">
      <c r="A27246" s="7"/>
      <c r="B27246" s="7"/>
      <c r="M27246" s="9" t="s">
        <v>21</v>
      </c>
    </row>
    <row r="27247" ht="15.75" customHeight="1">
      <c r="A27247" s="7"/>
      <c r="B27247" s="7"/>
      <c r="M27247" s="9" t="s">
        <v>27</v>
      </c>
    </row>
    <row r="27248" ht="15.75" customHeight="1">
      <c r="A27248" s="7"/>
      <c r="B27248" s="7"/>
      <c r="M27248" s="9" t="s">
        <v>20</v>
      </c>
    </row>
    <row r="27249" ht="15.75" customHeight="1">
      <c r="A27249" s="7"/>
      <c r="B27249" s="7"/>
      <c r="M27249" s="9" t="s">
        <v>46</v>
      </c>
    </row>
    <row r="27250" ht="15.75" customHeight="1">
      <c r="A27250" s="7"/>
      <c r="B27250" s="7"/>
      <c r="M27250" s="9" t="s">
        <v>40</v>
      </c>
    </row>
    <row r="27251" ht="15.75" customHeight="1">
      <c r="A27251" s="7"/>
      <c r="B27251" s="7"/>
      <c r="M27251" s="9" t="s">
        <v>22</v>
      </c>
    </row>
    <row r="27252" ht="15.75" customHeight="1">
      <c r="A27252" s="7"/>
      <c r="B27252" s="7"/>
      <c r="M27252" s="9" t="s">
        <v>38</v>
      </c>
    </row>
    <row r="27253" ht="15.75" customHeight="1">
      <c r="A27253" s="7"/>
      <c r="B27253" s="7"/>
      <c r="M27253" s="9" t="s">
        <v>23</v>
      </c>
    </row>
    <row r="27254" ht="15.75" customHeight="1">
      <c r="A27254" s="7"/>
      <c r="B27254" s="7"/>
      <c r="M27254" s="9" t="s">
        <v>26</v>
      </c>
    </row>
    <row r="27255" ht="15.75" customHeight="1">
      <c r="A27255" s="7"/>
      <c r="B27255" s="7"/>
      <c r="M27255" s="9" t="s">
        <v>24</v>
      </c>
    </row>
    <row r="27256" ht="15.75" customHeight="1">
      <c r="A27256" s="7"/>
      <c r="B27256" s="7"/>
      <c r="M27256" s="9" t="s">
        <v>21</v>
      </c>
    </row>
    <row r="27257" ht="15.75" customHeight="1">
      <c r="A27257" s="7"/>
      <c r="B27257" s="7"/>
      <c r="M27257" s="9" t="s">
        <v>27</v>
      </c>
    </row>
    <row r="27258" ht="15.75" customHeight="1">
      <c r="A27258" s="7"/>
      <c r="B27258" s="7"/>
      <c r="M27258" s="9" t="s">
        <v>30</v>
      </c>
    </row>
    <row r="27259" ht="15.75" customHeight="1">
      <c r="A27259" s="7"/>
      <c r="B27259" s="7"/>
      <c r="M27259" s="9" t="s">
        <v>26</v>
      </c>
    </row>
    <row r="27260" ht="15.75" customHeight="1">
      <c r="A27260" s="7"/>
      <c r="B27260" s="7"/>
      <c r="M27260" s="9" t="s">
        <v>24</v>
      </c>
    </row>
    <row r="27261" ht="15.75" customHeight="1">
      <c r="A27261" s="7"/>
      <c r="B27261" s="7"/>
      <c r="M27261" s="9" t="s">
        <v>21</v>
      </c>
    </row>
    <row r="27262" ht="15.75" customHeight="1">
      <c r="A27262" s="7"/>
      <c r="B27262" s="7"/>
      <c r="M27262" s="9" t="s">
        <v>27</v>
      </c>
    </row>
    <row r="27263" ht="15.75" customHeight="1">
      <c r="A27263" s="7"/>
      <c r="B27263" s="7"/>
      <c r="M27263" s="9" t="s">
        <v>33</v>
      </c>
    </row>
    <row r="27264" ht="15.75" customHeight="1">
      <c r="A27264" s="7"/>
      <c r="B27264" s="7"/>
      <c r="M27264" s="9" t="s">
        <v>25</v>
      </c>
    </row>
    <row r="27265" ht="15.75" customHeight="1">
      <c r="A27265" s="7"/>
      <c r="B27265" s="7"/>
      <c r="M27265" s="9" t="s">
        <v>23</v>
      </c>
    </row>
    <row r="27266" ht="15.75" customHeight="1">
      <c r="A27266" s="7"/>
      <c r="B27266" s="7"/>
      <c r="M27266" s="9" t="s">
        <v>26</v>
      </c>
    </row>
    <row r="27267" ht="15.75" customHeight="1">
      <c r="A27267" s="7"/>
      <c r="B27267" s="7"/>
      <c r="M27267" s="9" t="s">
        <v>24</v>
      </c>
    </row>
    <row r="27268" ht="15.75" customHeight="1">
      <c r="A27268" s="7"/>
      <c r="B27268" s="7"/>
      <c r="M27268" s="9" t="s">
        <v>20</v>
      </c>
    </row>
    <row r="27269" ht="15.75" customHeight="1">
      <c r="A27269" s="7"/>
      <c r="B27269" s="7"/>
      <c r="M27269" s="9" t="s">
        <v>21</v>
      </c>
    </row>
    <row r="27270" ht="15.75" customHeight="1">
      <c r="A27270" s="7"/>
      <c r="B27270" s="7"/>
      <c r="M27270" s="9" t="s">
        <v>41</v>
      </c>
    </row>
    <row r="27271" ht="15.75" customHeight="1">
      <c r="A27271" s="7"/>
      <c r="B27271" s="7"/>
      <c r="M27271" s="9" t="s">
        <v>37</v>
      </c>
    </row>
    <row r="27272" ht="15.75" customHeight="1">
      <c r="A27272" s="7"/>
      <c r="B27272" s="7"/>
      <c r="M27272" s="9" t="s">
        <v>22</v>
      </c>
    </row>
    <row r="27273" ht="15.75" customHeight="1">
      <c r="A27273" s="7"/>
      <c r="B27273" s="7"/>
      <c r="M27273" s="9" t="s">
        <v>29</v>
      </c>
    </row>
    <row r="27274" ht="15.75" customHeight="1">
      <c r="A27274" s="7"/>
      <c r="B27274" s="7"/>
      <c r="M27274" s="9" t="s">
        <v>28</v>
      </c>
    </row>
    <row r="27275" ht="15.75" customHeight="1">
      <c r="A27275" s="7"/>
      <c r="B27275" s="7"/>
      <c r="M27275" s="9" t="s">
        <v>30</v>
      </c>
    </row>
    <row r="27276" ht="15.75" customHeight="1">
      <c r="A27276" s="7"/>
      <c r="B27276" s="7"/>
      <c r="M27276" s="9" t="s">
        <v>24</v>
      </c>
    </row>
    <row r="27277" ht="15.75" customHeight="1">
      <c r="A27277" s="7"/>
      <c r="B27277" s="7"/>
      <c r="M27277" s="9" t="s">
        <v>20</v>
      </c>
    </row>
    <row r="27278" ht="15.75" customHeight="1">
      <c r="A27278" s="7"/>
      <c r="B27278" s="7"/>
      <c r="M27278" s="9" t="s">
        <v>37</v>
      </c>
    </row>
    <row r="27279" ht="15.75" customHeight="1">
      <c r="A27279" s="7"/>
      <c r="B27279" s="7"/>
      <c r="M27279" s="9" t="s">
        <v>22</v>
      </c>
    </row>
    <row r="27280" ht="15.75" customHeight="1">
      <c r="A27280" s="7"/>
      <c r="B27280" s="7"/>
      <c r="M27280" s="9" t="s">
        <v>27</v>
      </c>
    </row>
    <row r="27281" ht="15.75" customHeight="1">
      <c r="A27281" s="7"/>
      <c r="B27281" s="7"/>
      <c r="M27281" s="9" t="s">
        <v>33</v>
      </c>
    </row>
    <row r="27282" ht="15.75" customHeight="1">
      <c r="A27282" s="7"/>
      <c r="B27282" s="7"/>
      <c r="M27282" s="9" t="s">
        <v>35</v>
      </c>
    </row>
    <row r="27283" ht="15.75" customHeight="1">
      <c r="A27283" s="7"/>
      <c r="B27283" s="7"/>
      <c r="M27283" s="9" t="s">
        <v>30</v>
      </c>
    </row>
    <row r="27284" ht="15.75" customHeight="1">
      <c r="A27284" s="7"/>
      <c r="B27284" s="7"/>
      <c r="M27284" s="9" t="s">
        <v>23</v>
      </c>
    </row>
    <row r="27285" ht="15.75" customHeight="1">
      <c r="A27285" s="7"/>
      <c r="B27285" s="7"/>
      <c r="M27285" s="9" t="s">
        <v>24</v>
      </c>
    </row>
    <row r="27286" ht="15.75" customHeight="1">
      <c r="A27286" s="7"/>
      <c r="B27286" s="7"/>
      <c r="M27286" s="9" t="s">
        <v>21</v>
      </c>
    </row>
    <row r="27287" ht="15.75" customHeight="1">
      <c r="A27287" s="7"/>
      <c r="B27287" s="7"/>
      <c r="M27287" s="9" t="s">
        <v>22</v>
      </c>
    </row>
    <row r="27288" ht="15.75" customHeight="1">
      <c r="A27288" s="7"/>
      <c r="B27288" s="7"/>
      <c r="M27288" s="9" t="s">
        <v>30</v>
      </c>
    </row>
    <row r="27289" ht="15.75" customHeight="1">
      <c r="A27289" s="7"/>
      <c r="B27289" s="7"/>
      <c r="M27289" s="9" t="s">
        <v>24</v>
      </c>
    </row>
    <row r="27290" ht="15.75" customHeight="1">
      <c r="A27290" s="7"/>
      <c r="B27290" s="7"/>
      <c r="M27290" s="9" t="s">
        <v>21</v>
      </c>
    </row>
    <row r="27291" ht="15.75" customHeight="1">
      <c r="A27291" s="7"/>
      <c r="B27291" s="7"/>
      <c r="M27291" s="9" t="s">
        <v>22</v>
      </c>
    </row>
    <row r="27292" ht="15.75" customHeight="1">
      <c r="A27292" s="7"/>
      <c r="B27292" s="7"/>
      <c r="M27292" s="9" t="s">
        <v>31</v>
      </c>
    </row>
    <row r="27293" ht="15.75" customHeight="1">
      <c r="A27293" s="7"/>
      <c r="B27293" s="7"/>
      <c r="M27293" s="9" t="s">
        <v>30</v>
      </c>
    </row>
    <row r="27294" ht="15.75" customHeight="1">
      <c r="A27294" s="7"/>
      <c r="B27294" s="7"/>
      <c r="M27294" s="9" t="s">
        <v>25</v>
      </c>
    </row>
    <row r="27295" ht="15.75" customHeight="1">
      <c r="A27295" s="7"/>
      <c r="B27295" s="7"/>
      <c r="M27295" s="9" t="s">
        <v>23</v>
      </c>
    </row>
    <row r="27296" ht="15.75" customHeight="1">
      <c r="A27296" s="7"/>
      <c r="B27296" s="7"/>
      <c r="M27296" s="9" t="s">
        <v>26</v>
      </c>
    </row>
    <row r="27297" ht="15.75" customHeight="1">
      <c r="A27297" s="7"/>
      <c r="B27297" s="7"/>
      <c r="M27297" s="9" t="s">
        <v>24</v>
      </c>
    </row>
    <row r="27298" ht="15.75" customHeight="1">
      <c r="A27298" s="7"/>
      <c r="B27298" s="7"/>
      <c r="M27298" s="9" t="s">
        <v>21</v>
      </c>
    </row>
    <row r="27299" ht="15.75" customHeight="1">
      <c r="A27299" s="7"/>
      <c r="B27299" s="7"/>
      <c r="M27299" s="9" t="s">
        <v>37</v>
      </c>
    </row>
    <row r="27300" ht="15.75" customHeight="1">
      <c r="A27300" s="7"/>
      <c r="B27300" s="7"/>
      <c r="M27300" s="9" t="s">
        <v>22</v>
      </c>
    </row>
    <row r="27301" ht="15.75" customHeight="1">
      <c r="A27301" s="7"/>
      <c r="B27301" s="7"/>
      <c r="M27301" s="9" t="s">
        <v>27</v>
      </c>
    </row>
    <row r="27302" ht="15.75" customHeight="1">
      <c r="A27302" s="7"/>
      <c r="B27302" s="7"/>
      <c r="M27302" s="9" t="s">
        <v>26</v>
      </c>
    </row>
    <row r="27303" ht="15.75" customHeight="1">
      <c r="A27303" s="7"/>
      <c r="B27303" s="7"/>
      <c r="M27303" s="9" t="s">
        <v>20</v>
      </c>
    </row>
    <row r="27304" ht="15.75" customHeight="1">
      <c r="A27304" s="7"/>
      <c r="B27304" s="7"/>
      <c r="M27304" s="9" t="s">
        <v>21</v>
      </c>
    </row>
    <row r="27305" ht="15.75" customHeight="1">
      <c r="A27305" s="7"/>
      <c r="B27305" s="7"/>
      <c r="M27305" s="9" t="s">
        <v>27</v>
      </c>
    </row>
    <row r="27306" ht="15.75" customHeight="1">
      <c r="A27306" s="7"/>
      <c r="B27306" s="7"/>
      <c r="M27306" s="9" t="s">
        <v>26</v>
      </c>
    </row>
    <row r="27307" ht="15.75" customHeight="1">
      <c r="A27307" s="7"/>
      <c r="B27307" s="7"/>
      <c r="M27307" s="9" t="s">
        <v>24</v>
      </c>
    </row>
    <row r="27308" ht="15.75" customHeight="1">
      <c r="A27308" s="7"/>
      <c r="B27308" s="7"/>
      <c r="M27308" s="9" t="s">
        <v>21</v>
      </c>
    </row>
    <row r="27309" ht="15.75" customHeight="1">
      <c r="A27309" s="7"/>
      <c r="B27309" s="7"/>
      <c r="M27309" s="9" t="s">
        <v>27</v>
      </c>
    </row>
    <row r="27310" ht="15.75" customHeight="1">
      <c r="A27310" s="7"/>
      <c r="B27310" s="7"/>
      <c r="M27310" s="9" t="s">
        <v>33</v>
      </c>
    </row>
    <row r="27311" ht="15.75" customHeight="1">
      <c r="A27311" s="7"/>
      <c r="B27311" s="7"/>
      <c r="M27311" s="9" t="s">
        <v>24</v>
      </c>
    </row>
    <row r="27312" ht="15.75" customHeight="1">
      <c r="A27312" s="7"/>
      <c r="B27312" s="7"/>
      <c r="M27312" s="9" t="s">
        <v>21</v>
      </c>
    </row>
    <row r="27313" ht="15.75" customHeight="1">
      <c r="A27313" s="7"/>
      <c r="B27313" s="7"/>
      <c r="M27313" s="9" t="s">
        <v>26</v>
      </c>
    </row>
    <row r="27314" ht="15.75" customHeight="1">
      <c r="A27314" s="7"/>
      <c r="B27314" s="7"/>
      <c r="M27314" s="9" t="s">
        <v>24</v>
      </c>
    </row>
    <row r="27315" ht="15.75" customHeight="1">
      <c r="A27315" s="7"/>
      <c r="B27315" s="7"/>
      <c r="M27315" s="9" t="s">
        <v>20</v>
      </c>
    </row>
    <row r="27316" ht="15.75" customHeight="1">
      <c r="A27316" s="7"/>
      <c r="B27316" s="7"/>
      <c r="M27316" s="9" t="s">
        <v>21</v>
      </c>
    </row>
    <row r="27317" ht="15.75" customHeight="1">
      <c r="A27317" s="7"/>
      <c r="B27317" s="7"/>
      <c r="M27317" s="9" t="s">
        <v>41</v>
      </c>
    </row>
    <row r="27318" ht="15.75" customHeight="1">
      <c r="A27318" s="7"/>
      <c r="B27318" s="7"/>
      <c r="M27318" s="9" t="s">
        <v>22</v>
      </c>
    </row>
    <row r="27319" ht="15.75" customHeight="1">
      <c r="A27319" s="7"/>
      <c r="B27319" s="7"/>
      <c r="M27319" s="9" t="s">
        <v>40</v>
      </c>
    </row>
    <row r="27320" ht="15.75" customHeight="1">
      <c r="A27320" s="7"/>
      <c r="B27320" s="7"/>
      <c r="M27320" s="9" t="s">
        <v>33</v>
      </c>
    </row>
    <row r="27321" ht="15.75" customHeight="1">
      <c r="A27321" s="7"/>
      <c r="B27321" s="7"/>
      <c r="M27321" s="9" t="s">
        <v>30</v>
      </c>
    </row>
    <row r="27322" ht="15.75" customHeight="1">
      <c r="A27322" s="7"/>
      <c r="B27322" s="7"/>
      <c r="M27322" s="9" t="s">
        <v>23</v>
      </c>
    </row>
    <row r="27323" ht="15.75" customHeight="1">
      <c r="A27323" s="7"/>
      <c r="B27323" s="7"/>
      <c r="M27323" s="9" t="s">
        <v>24</v>
      </c>
    </row>
    <row r="27324" ht="15.75" customHeight="1">
      <c r="A27324" s="7"/>
      <c r="B27324" s="7"/>
      <c r="M27324" s="9" t="s">
        <v>20</v>
      </c>
    </row>
    <row r="27325" ht="15.75" customHeight="1">
      <c r="A27325" s="7"/>
      <c r="B27325" s="7"/>
      <c r="M27325" s="9" t="s">
        <v>21</v>
      </c>
    </row>
    <row r="27326" ht="15.75" customHeight="1">
      <c r="A27326" s="7"/>
      <c r="B27326" s="7"/>
      <c r="M27326" s="9" t="s">
        <v>41</v>
      </c>
    </row>
    <row r="27327" ht="15.75" customHeight="1">
      <c r="A27327" s="7"/>
      <c r="B27327" s="7"/>
      <c r="M27327" s="9" t="s">
        <v>31</v>
      </c>
    </row>
    <row r="27328" ht="15.75" customHeight="1">
      <c r="A27328" s="7"/>
      <c r="B27328" s="7"/>
      <c r="M27328" s="9" t="s">
        <v>40</v>
      </c>
    </row>
    <row r="27329" ht="15.75" customHeight="1">
      <c r="A27329" s="7"/>
      <c r="B27329" s="7"/>
      <c r="M27329" s="9" t="s">
        <v>36</v>
      </c>
    </row>
    <row r="27330" ht="15.75" customHeight="1">
      <c r="A27330" s="7"/>
      <c r="B27330" s="7"/>
      <c r="M27330" s="9" t="s">
        <v>24</v>
      </c>
    </row>
    <row r="27331" ht="15.75" customHeight="1">
      <c r="A27331" s="7"/>
      <c r="B27331" s="7"/>
      <c r="M27331" s="9" t="s">
        <v>20</v>
      </c>
    </row>
    <row r="27332" ht="15.75" customHeight="1">
      <c r="A27332" s="7"/>
      <c r="B27332" s="7"/>
      <c r="M27332" s="9" t="s">
        <v>21</v>
      </c>
    </row>
    <row r="27333" ht="15.75" customHeight="1">
      <c r="A27333" s="7"/>
      <c r="B27333" s="7"/>
      <c r="M27333" s="9" t="s">
        <v>37</v>
      </c>
    </row>
    <row r="27334" ht="15.75" customHeight="1">
      <c r="A27334" s="7"/>
      <c r="B27334" s="7"/>
      <c r="M27334" s="9" t="s">
        <v>22</v>
      </c>
    </row>
    <row r="27335" ht="15.75" customHeight="1">
      <c r="A27335" s="7"/>
      <c r="B27335" s="7"/>
      <c r="M27335" s="9" t="s">
        <v>29</v>
      </c>
    </row>
    <row r="27336" ht="15.75" customHeight="1">
      <c r="A27336" s="7"/>
      <c r="B27336" s="7"/>
      <c r="M27336" s="9" t="s">
        <v>27</v>
      </c>
    </row>
    <row r="27337" ht="15.75" customHeight="1">
      <c r="A27337" s="7"/>
      <c r="B27337" s="7"/>
      <c r="M27337" s="9" t="s">
        <v>33</v>
      </c>
    </row>
    <row r="27338" ht="15.75" customHeight="1">
      <c r="A27338" s="7"/>
      <c r="B27338" s="7"/>
      <c r="M27338" s="9" t="s">
        <v>28</v>
      </c>
    </row>
    <row r="27339" ht="15.75" customHeight="1">
      <c r="A27339" s="7"/>
      <c r="B27339" s="7"/>
      <c r="M27339" s="9" t="s">
        <v>38</v>
      </c>
    </row>
    <row r="27340" ht="15.75" customHeight="1">
      <c r="A27340" s="7"/>
      <c r="B27340" s="7"/>
      <c r="M27340" s="9" t="s">
        <v>25</v>
      </c>
    </row>
    <row r="27341" ht="15.75" customHeight="1">
      <c r="A27341" s="7"/>
      <c r="B27341" s="7"/>
      <c r="M27341" s="9" t="s">
        <v>36</v>
      </c>
    </row>
    <row r="27342" ht="15.75" customHeight="1">
      <c r="A27342" s="7"/>
      <c r="B27342" s="7"/>
      <c r="M27342" s="9" t="s">
        <v>32</v>
      </c>
    </row>
    <row r="27343" ht="15.75" customHeight="1">
      <c r="A27343" s="7"/>
      <c r="B27343" s="7"/>
      <c r="M27343" s="9" t="s">
        <v>24</v>
      </c>
    </row>
    <row r="27344" ht="15.75" customHeight="1">
      <c r="A27344" s="7"/>
      <c r="B27344" s="7"/>
      <c r="M27344" s="9" t="s">
        <v>20</v>
      </c>
    </row>
    <row r="27345" ht="15.75" customHeight="1">
      <c r="A27345" s="7"/>
      <c r="B27345" s="7"/>
      <c r="M27345" s="9" t="s">
        <v>21</v>
      </c>
    </row>
    <row r="27346" ht="15.75" customHeight="1">
      <c r="A27346" s="7"/>
      <c r="B27346" s="7"/>
      <c r="M27346" s="9" t="s">
        <v>37</v>
      </c>
    </row>
    <row r="27347" ht="15.75" customHeight="1">
      <c r="A27347" s="7"/>
      <c r="B27347" s="7"/>
      <c r="M27347" s="9" t="s">
        <v>22</v>
      </c>
    </row>
    <row r="27348" ht="15.75" customHeight="1">
      <c r="A27348" s="7"/>
      <c r="B27348" s="7"/>
      <c r="M27348" s="9" t="s">
        <v>27</v>
      </c>
    </row>
    <row r="27349" ht="15.75" customHeight="1">
      <c r="A27349" s="7"/>
      <c r="B27349" s="7"/>
      <c r="M27349" s="9" t="s">
        <v>40</v>
      </c>
    </row>
    <row r="27350" ht="15.75" customHeight="1">
      <c r="A27350" s="7"/>
      <c r="B27350" s="7"/>
      <c r="M27350" s="9" t="s">
        <v>24</v>
      </c>
    </row>
    <row r="27351" ht="15.75" customHeight="1">
      <c r="A27351" s="7"/>
      <c r="B27351" s="7"/>
      <c r="M27351" s="9" t="s">
        <v>20</v>
      </c>
    </row>
    <row r="27352" ht="15.75" customHeight="1">
      <c r="A27352" s="7"/>
      <c r="B27352" s="7"/>
      <c r="M27352" s="9" t="s">
        <v>21</v>
      </c>
    </row>
    <row r="27353" ht="15.75" customHeight="1">
      <c r="A27353" s="7"/>
      <c r="B27353" s="7"/>
      <c r="M27353" s="9" t="s">
        <v>35</v>
      </c>
    </row>
    <row r="27354" ht="15.75" customHeight="1">
      <c r="A27354" s="7"/>
      <c r="B27354" s="7"/>
      <c r="M27354" s="9" t="s">
        <v>30</v>
      </c>
    </row>
    <row r="27355" ht="15.75" customHeight="1">
      <c r="A27355" s="7"/>
      <c r="B27355" s="7"/>
      <c r="M27355" s="9" t="s">
        <v>42</v>
      </c>
    </row>
    <row r="27356" ht="15.75" customHeight="1">
      <c r="A27356" s="7"/>
      <c r="B27356" s="7"/>
      <c r="M27356" s="9" t="s">
        <v>24</v>
      </c>
    </row>
    <row r="27357" ht="15.75" customHeight="1">
      <c r="A27357" s="7"/>
      <c r="B27357" s="7"/>
      <c r="M27357" s="9" t="s">
        <v>21</v>
      </c>
    </row>
    <row r="27358" ht="15.75" customHeight="1">
      <c r="A27358" s="7"/>
      <c r="B27358" s="7"/>
      <c r="M27358" s="9" t="s">
        <v>27</v>
      </c>
    </row>
    <row r="27359" ht="15.75" customHeight="1">
      <c r="A27359" s="7"/>
      <c r="B27359" s="7"/>
      <c r="M27359" s="9" t="s">
        <v>33</v>
      </c>
    </row>
    <row r="27360" ht="15.75" customHeight="1">
      <c r="A27360" s="7"/>
      <c r="B27360" s="7"/>
      <c r="M27360" s="9" t="s">
        <v>26</v>
      </c>
    </row>
    <row r="27361" ht="15.75" customHeight="1">
      <c r="A27361" s="7"/>
      <c r="B27361" s="7"/>
      <c r="M27361" s="9" t="s">
        <v>24</v>
      </c>
    </row>
    <row r="27362" ht="15.75" customHeight="1">
      <c r="A27362" s="7"/>
      <c r="B27362" s="7"/>
      <c r="M27362" s="9" t="s">
        <v>21</v>
      </c>
    </row>
    <row r="27363" ht="15.75" customHeight="1">
      <c r="A27363" s="7"/>
      <c r="B27363" s="7"/>
      <c r="M27363" s="9" t="s">
        <v>27</v>
      </c>
    </row>
    <row r="27364" ht="15.75" customHeight="1">
      <c r="A27364" s="7"/>
      <c r="B27364" s="7"/>
      <c r="M27364" s="9" t="s">
        <v>33</v>
      </c>
    </row>
    <row r="27365" ht="15.75" customHeight="1">
      <c r="A27365" s="7"/>
      <c r="B27365" s="7"/>
      <c r="M27365" s="9" t="s">
        <v>30</v>
      </c>
    </row>
    <row r="27366" ht="15.75" customHeight="1">
      <c r="A27366" s="7"/>
      <c r="B27366" s="7"/>
      <c r="M27366" s="9" t="s">
        <v>25</v>
      </c>
    </row>
    <row r="27367" ht="15.75" customHeight="1">
      <c r="A27367" s="7"/>
      <c r="B27367" s="7"/>
      <c r="M27367" s="9" t="s">
        <v>36</v>
      </c>
    </row>
    <row r="27368" ht="15.75" customHeight="1">
      <c r="A27368" s="7"/>
      <c r="B27368" s="7"/>
      <c r="M27368" s="9" t="s">
        <v>24</v>
      </c>
    </row>
    <row r="27369" ht="15.75" customHeight="1">
      <c r="A27369" s="7"/>
      <c r="B27369" s="7"/>
      <c r="M27369" s="9" t="s">
        <v>20</v>
      </c>
    </row>
    <row r="27370" ht="15.75" customHeight="1">
      <c r="A27370" s="7"/>
      <c r="B27370" s="7"/>
      <c r="M27370" s="9" t="s">
        <v>21</v>
      </c>
    </row>
    <row r="27371" ht="15.75" customHeight="1">
      <c r="A27371" s="7"/>
      <c r="B27371" s="7"/>
      <c r="M27371" s="9" t="s">
        <v>22</v>
      </c>
    </row>
    <row r="27372" ht="15.75" customHeight="1">
      <c r="A27372" s="7"/>
      <c r="B27372" s="7"/>
      <c r="M27372" s="9" t="s">
        <v>30</v>
      </c>
    </row>
    <row r="27373" ht="15.75" customHeight="1">
      <c r="A27373" s="7"/>
      <c r="B27373" s="7"/>
      <c r="M27373" s="9" t="s">
        <v>20</v>
      </c>
    </row>
    <row r="27374" ht="15.75" customHeight="1">
      <c r="A27374" s="7"/>
      <c r="B27374" s="7"/>
      <c r="M27374" s="9" t="s">
        <v>46</v>
      </c>
    </row>
    <row r="27375" ht="15.75" customHeight="1">
      <c r="A27375" s="7"/>
      <c r="B27375" s="7"/>
      <c r="M27375" s="9" t="s">
        <v>27</v>
      </c>
    </row>
    <row r="27376" ht="15.75" customHeight="1">
      <c r="A27376" s="7"/>
      <c r="B27376" s="7"/>
      <c r="M27376" s="9" t="s">
        <v>45</v>
      </c>
    </row>
    <row r="27377" ht="15.75" customHeight="1">
      <c r="A27377" s="7"/>
      <c r="B27377" s="7"/>
      <c r="M27377" s="9" t="s">
        <v>22</v>
      </c>
    </row>
    <row r="27378" ht="15.75" customHeight="1">
      <c r="A27378" s="7"/>
      <c r="B27378" s="7"/>
      <c r="M27378" s="9" t="s">
        <v>23</v>
      </c>
    </row>
    <row r="27379" ht="15.75" customHeight="1">
      <c r="A27379" s="7"/>
      <c r="B27379" s="7"/>
      <c r="M27379" s="9" t="s">
        <v>24</v>
      </c>
    </row>
    <row r="27380" ht="15.75" customHeight="1">
      <c r="A27380" s="7"/>
      <c r="B27380" s="7"/>
      <c r="M27380" s="9" t="s">
        <v>21</v>
      </c>
    </row>
    <row r="27381" ht="15.75" customHeight="1">
      <c r="A27381" s="7"/>
      <c r="B27381" s="7"/>
      <c r="M27381" s="9" t="s">
        <v>22</v>
      </c>
    </row>
    <row r="27382" ht="15.75" customHeight="1">
      <c r="A27382" s="7"/>
      <c r="B27382" s="7"/>
      <c r="M27382" s="9" t="s">
        <v>26</v>
      </c>
    </row>
    <row r="27383" ht="15.75" customHeight="1">
      <c r="A27383" s="7"/>
      <c r="B27383" s="7"/>
      <c r="M27383" s="9" t="s">
        <v>24</v>
      </c>
    </row>
    <row r="27384" ht="15.75" customHeight="1">
      <c r="A27384" s="7"/>
      <c r="B27384" s="7"/>
      <c r="M27384" s="9" t="s">
        <v>20</v>
      </c>
    </row>
    <row r="27385" ht="15.75" customHeight="1">
      <c r="A27385" s="7"/>
      <c r="B27385" s="7"/>
      <c r="M27385" s="9" t="s">
        <v>21</v>
      </c>
    </row>
    <row r="27386" ht="15.75" customHeight="1">
      <c r="A27386" s="7"/>
      <c r="B27386" s="7"/>
      <c r="M27386" s="9" t="s">
        <v>27</v>
      </c>
    </row>
    <row r="27387" ht="15.75" customHeight="1">
      <c r="A27387" s="7"/>
      <c r="B27387" s="7"/>
      <c r="M27387" s="9" t="s">
        <v>23</v>
      </c>
    </row>
    <row r="27388" ht="15.75" customHeight="1">
      <c r="A27388" s="7"/>
      <c r="B27388" s="7"/>
      <c r="M27388" s="9" t="s">
        <v>26</v>
      </c>
    </row>
    <row r="27389" ht="15.75" customHeight="1">
      <c r="A27389" s="7"/>
      <c r="B27389" s="7"/>
      <c r="M27389" s="9" t="s">
        <v>24</v>
      </c>
    </row>
    <row r="27390" ht="15.75" customHeight="1">
      <c r="A27390" s="7"/>
      <c r="B27390" s="7"/>
      <c r="M27390" s="9" t="s">
        <v>20</v>
      </c>
    </row>
    <row r="27391" ht="15.75" customHeight="1">
      <c r="A27391" s="7"/>
      <c r="B27391" s="7"/>
      <c r="M27391" s="9" t="s">
        <v>39</v>
      </c>
    </row>
    <row r="27392" ht="15.75" customHeight="1">
      <c r="A27392" s="7"/>
      <c r="B27392" s="7"/>
      <c r="M27392" s="9" t="s">
        <v>35</v>
      </c>
    </row>
    <row r="27393" ht="15.75" customHeight="1">
      <c r="A27393" s="7"/>
      <c r="B27393" s="7"/>
      <c r="M27393" s="9" t="s">
        <v>30</v>
      </c>
    </row>
    <row r="27394" ht="15.75" customHeight="1">
      <c r="A27394" s="7"/>
      <c r="B27394" s="7"/>
      <c r="M27394" s="9" t="s">
        <v>21</v>
      </c>
    </row>
    <row r="27395" ht="15.75" customHeight="1">
      <c r="A27395" s="7"/>
      <c r="B27395" s="7"/>
      <c r="M27395" s="9" t="s">
        <v>41</v>
      </c>
    </row>
    <row r="27396" ht="15.75" customHeight="1">
      <c r="A27396" s="7"/>
      <c r="B27396" s="7"/>
      <c r="M27396" s="9" t="s">
        <v>31</v>
      </c>
    </row>
    <row r="27397" ht="15.75" customHeight="1">
      <c r="A27397" s="7"/>
      <c r="B27397" s="7"/>
      <c r="M27397" s="9" t="s">
        <v>40</v>
      </c>
    </row>
    <row r="27398" ht="15.75" customHeight="1">
      <c r="A27398" s="7"/>
      <c r="B27398" s="7"/>
      <c r="M27398" s="9" t="s">
        <v>26</v>
      </c>
    </row>
    <row r="27399" ht="15.75" customHeight="1">
      <c r="A27399" s="7"/>
      <c r="B27399" s="7"/>
      <c r="M27399" s="9" t="s">
        <v>20</v>
      </c>
    </row>
    <row r="27400" ht="15.75" customHeight="1">
      <c r="A27400" s="7"/>
      <c r="B27400" s="7"/>
      <c r="M27400" s="9" t="s">
        <v>21</v>
      </c>
    </row>
    <row r="27401" ht="15.75" customHeight="1">
      <c r="A27401" s="7"/>
      <c r="B27401" s="7"/>
      <c r="M27401" s="9" t="s">
        <v>41</v>
      </c>
    </row>
    <row r="27402" ht="15.75" customHeight="1">
      <c r="A27402" s="7"/>
      <c r="B27402" s="7"/>
      <c r="M27402" s="9" t="s">
        <v>37</v>
      </c>
    </row>
    <row r="27403" ht="15.75" customHeight="1">
      <c r="A27403" s="7"/>
      <c r="B27403" s="7"/>
      <c r="M27403" s="9" t="s">
        <v>27</v>
      </c>
    </row>
    <row r="27404" ht="15.75" customHeight="1">
      <c r="A27404" s="7"/>
      <c r="B27404" s="7"/>
      <c r="M27404" s="9" t="s">
        <v>40</v>
      </c>
    </row>
    <row r="27405" ht="15.75" customHeight="1">
      <c r="A27405" s="7"/>
      <c r="B27405" s="7"/>
      <c r="M27405" s="9" t="s">
        <v>24</v>
      </c>
    </row>
    <row r="27406" ht="15.75" customHeight="1">
      <c r="A27406" s="7"/>
      <c r="B27406" s="7"/>
      <c r="M27406" s="9" t="s">
        <v>21</v>
      </c>
    </row>
    <row r="27407" ht="15.75" customHeight="1">
      <c r="A27407" s="7"/>
      <c r="B27407" s="7"/>
      <c r="M27407" s="9" t="s">
        <v>33</v>
      </c>
    </row>
    <row r="27408" ht="15.75" customHeight="1">
      <c r="A27408" s="7"/>
      <c r="B27408" s="7"/>
      <c r="M27408" s="9" t="s">
        <v>30</v>
      </c>
    </row>
    <row r="27409" ht="15.75" customHeight="1">
      <c r="A27409" s="7"/>
      <c r="B27409" s="7"/>
      <c r="M27409" s="9" t="s">
        <v>25</v>
      </c>
    </row>
    <row r="27410" ht="15.75" customHeight="1">
      <c r="A27410" s="7"/>
      <c r="B27410" s="7"/>
      <c r="M27410" s="9" t="s">
        <v>23</v>
      </c>
    </row>
    <row r="27411" ht="15.75" customHeight="1">
      <c r="A27411" s="7"/>
      <c r="B27411" s="7"/>
      <c r="M27411" s="9" t="s">
        <v>42</v>
      </c>
    </row>
    <row r="27412" ht="15.75" customHeight="1">
      <c r="A27412" s="7"/>
      <c r="B27412" s="7"/>
      <c r="M27412" s="9" t="s">
        <v>24</v>
      </c>
    </row>
    <row r="27413" ht="15.75" customHeight="1">
      <c r="A27413" s="7"/>
      <c r="B27413" s="7"/>
      <c r="M27413" s="9" t="s">
        <v>20</v>
      </c>
    </row>
    <row r="27414" ht="15.75" customHeight="1">
      <c r="A27414" s="7"/>
      <c r="B27414" s="7"/>
      <c r="M27414" s="9" t="s">
        <v>21</v>
      </c>
    </row>
    <row r="27415" ht="15.75" customHeight="1">
      <c r="A27415" s="7"/>
      <c r="B27415" s="7"/>
      <c r="M27415" s="9" t="s">
        <v>22</v>
      </c>
    </row>
    <row r="27416" ht="15.75" customHeight="1">
      <c r="A27416" s="7"/>
      <c r="B27416" s="7"/>
      <c r="M27416" s="9" t="s">
        <v>31</v>
      </c>
    </row>
    <row r="27417" ht="15.75" customHeight="1">
      <c r="A27417" s="7"/>
      <c r="B27417" s="7"/>
      <c r="M27417" s="9" t="s">
        <v>24</v>
      </c>
    </row>
    <row r="27418" ht="15.75" customHeight="1">
      <c r="A27418" s="7"/>
      <c r="B27418" s="7"/>
      <c r="M27418" s="9" t="s">
        <v>21</v>
      </c>
    </row>
    <row r="27419" ht="15.75" customHeight="1">
      <c r="A27419" s="7"/>
      <c r="B27419" s="7"/>
      <c r="M27419" s="9" t="s">
        <v>37</v>
      </c>
    </row>
    <row r="27420" ht="15.75" customHeight="1">
      <c r="A27420" s="7"/>
      <c r="B27420" s="7"/>
      <c r="M27420" s="9" t="s">
        <v>22</v>
      </c>
    </row>
    <row r="27421" ht="15.75" customHeight="1">
      <c r="A27421" s="7"/>
      <c r="B27421" s="7"/>
      <c r="M27421" s="9" t="s">
        <v>27</v>
      </c>
    </row>
    <row r="27422" ht="15.75" customHeight="1">
      <c r="A27422" s="7"/>
      <c r="B27422" s="7"/>
      <c r="M27422" s="9" t="s">
        <v>30</v>
      </c>
    </row>
    <row r="27423" ht="15.75" customHeight="1">
      <c r="A27423" s="7"/>
      <c r="B27423" s="7"/>
      <c r="M27423" s="9" t="s">
        <v>25</v>
      </c>
    </row>
    <row r="27424" ht="15.75" customHeight="1">
      <c r="A27424" s="7"/>
      <c r="B27424" s="7"/>
      <c r="M27424" s="9" t="s">
        <v>23</v>
      </c>
    </row>
    <row r="27425" ht="15.75" customHeight="1">
      <c r="A27425" s="7"/>
      <c r="B27425" s="7"/>
      <c r="M27425" s="9" t="s">
        <v>24</v>
      </c>
    </row>
    <row r="27426" ht="15.75" customHeight="1">
      <c r="A27426" s="7"/>
      <c r="B27426" s="7"/>
      <c r="M27426" s="9" t="s">
        <v>20</v>
      </c>
    </row>
    <row r="27427" ht="15.75" customHeight="1">
      <c r="A27427" s="7"/>
      <c r="B27427" s="7"/>
      <c r="M27427" s="9" t="s">
        <v>21</v>
      </c>
    </row>
    <row r="27428" ht="15.75" customHeight="1">
      <c r="A27428" s="7"/>
      <c r="B27428" s="7"/>
      <c r="M27428" s="9" t="s">
        <v>22</v>
      </c>
    </row>
    <row r="27429" ht="15.75" customHeight="1">
      <c r="A27429" s="7"/>
      <c r="B27429" s="7"/>
      <c r="M27429" s="9" t="s">
        <v>27</v>
      </c>
    </row>
    <row r="27430" ht="15.75" customHeight="1">
      <c r="A27430" s="7"/>
      <c r="B27430" s="7"/>
      <c r="M27430" s="9" t="s">
        <v>24</v>
      </c>
    </row>
    <row r="27431" ht="15.75" customHeight="1">
      <c r="A27431" s="7"/>
      <c r="B27431" s="7"/>
      <c r="M27431" s="9" t="s">
        <v>21</v>
      </c>
    </row>
    <row r="27432" ht="15.75" customHeight="1">
      <c r="A27432" s="7"/>
      <c r="B27432" s="7"/>
      <c r="M27432" s="9" t="s">
        <v>31</v>
      </c>
    </row>
    <row r="27433" ht="15.75" customHeight="1">
      <c r="A27433" s="7"/>
      <c r="B27433" s="7"/>
      <c r="M27433" s="9" t="s">
        <v>24</v>
      </c>
    </row>
    <row r="27434" ht="15.75" customHeight="1">
      <c r="A27434" s="7"/>
      <c r="B27434" s="7"/>
      <c r="M27434" s="9" t="s">
        <v>21</v>
      </c>
    </row>
    <row r="27435" ht="15.75" customHeight="1">
      <c r="A27435" s="7"/>
      <c r="B27435" s="7"/>
      <c r="M27435" s="9" t="s">
        <v>40</v>
      </c>
    </row>
    <row r="27436" ht="15.75" customHeight="1">
      <c r="A27436" s="7"/>
      <c r="B27436" s="7"/>
      <c r="M27436" s="9" t="s">
        <v>30</v>
      </c>
    </row>
    <row r="27437" ht="15.75" customHeight="1">
      <c r="A27437" s="7"/>
      <c r="B27437" s="7"/>
      <c r="M27437" s="9" t="s">
        <v>24</v>
      </c>
    </row>
    <row r="27438" ht="15.75" customHeight="1">
      <c r="A27438" s="7"/>
      <c r="B27438" s="7"/>
      <c r="M27438" s="9" t="s">
        <v>20</v>
      </c>
    </row>
    <row r="27439" ht="15.75" customHeight="1">
      <c r="A27439" s="7"/>
      <c r="B27439" s="7"/>
      <c r="M27439" s="9" t="s">
        <v>21</v>
      </c>
    </row>
    <row r="27440" ht="15.75" customHeight="1">
      <c r="A27440" s="7"/>
      <c r="B27440" s="7"/>
      <c r="M27440" s="9" t="s">
        <v>37</v>
      </c>
    </row>
    <row r="27441" ht="15.75" customHeight="1">
      <c r="A27441" s="7"/>
      <c r="B27441" s="7"/>
      <c r="M27441" s="9" t="s">
        <v>27</v>
      </c>
    </row>
    <row r="27442" ht="15.75" customHeight="1">
      <c r="A27442" s="7"/>
      <c r="B27442" s="7"/>
      <c r="M27442" s="9" t="s">
        <v>33</v>
      </c>
    </row>
    <row r="27443" ht="15.75" customHeight="1">
      <c r="A27443" s="7"/>
      <c r="B27443" s="7"/>
      <c r="M27443" s="9" t="s">
        <v>36</v>
      </c>
    </row>
    <row r="27444" ht="15.75" customHeight="1">
      <c r="A27444" s="7"/>
      <c r="B27444" s="7"/>
      <c r="M27444" s="9" t="s">
        <v>24</v>
      </c>
    </row>
    <row r="27445" ht="15.75" customHeight="1">
      <c r="A27445" s="7"/>
      <c r="B27445" s="7"/>
      <c r="M27445" s="9" t="s">
        <v>20</v>
      </c>
    </row>
    <row r="27446" ht="15.75" customHeight="1">
      <c r="A27446" s="7"/>
      <c r="B27446" s="7"/>
      <c r="M27446" s="9" t="s">
        <v>21</v>
      </c>
    </row>
    <row r="27447" ht="15.75" customHeight="1">
      <c r="A27447" s="7"/>
      <c r="B27447" s="7"/>
      <c r="M27447" s="9" t="s">
        <v>37</v>
      </c>
    </row>
    <row r="27448" ht="15.75" customHeight="1">
      <c r="A27448" s="7"/>
      <c r="B27448" s="7"/>
      <c r="M27448" s="9" t="s">
        <v>22</v>
      </c>
    </row>
    <row r="27449" ht="15.75" customHeight="1">
      <c r="A27449" s="7"/>
      <c r="B27449" s="7"/>
      <c r="M27449" s="9" t="s">
        <v>46</v>
      </c>
    </row>
    <row r="27450" ht="15.75" customHeight="1">
      <c r="A27450" s="7"/>
      <c r="B27450" s="7"/>
      <c r="M27450" s="9" t="s">
        <v>27</v>
      </c>
    </row>
    <row r="27451" ht="15.75" customHeight="1">
      <c r="A27451" s="7"/>
      <c r="B27451" s="7"/>
      <c r="M27451" s="9" t="s">
        <v>33</v>
      </c>
    </row>
    <row r="27452" ht="15.75" customHeight="1">
      <c r="A27452" s="7"/>
      <c r="B27452" s="7"/>
      <c r="M27452" s="9" t="s">
        <v>28</v>
      </c>
    </row>
    <row r="27453" ht="15.75" customHeight="1">
      <c r="A27453" s="7"/>
      <c r="B27453" s="7"/>
      <c r="M27453" s="9" t="s">
        <v>30</v>
      </c>
    </row>
    <row r="27454" ht="15.75" customHeight="1">
      <c r="A27454" s="7"/>
      <c r="B27454" s="7"/>
      <c r="M27454" s="9" t="s">
        <v>21</v>
      </c>
    </row>
    <row r="27455" ht="15.75" customHeight="1">
      <c r="A27455" s="7"/>
      <c r="B27455" s="7"/>
      <c r="M27455" s="9" t="s">
        <v>30</v>
      </c>
    </row>
    <row r="27456" ht="15.75" customHeight="1">
      <c r="A27456" s="7"/>
      <c r="B27456" s="7"/>
      <c r="M27456" s="9" t="s">
        <v>24</v>
      </c>
    </row>
    <row r="27457" ht="15.75" customHeight="1">
      <c r="A27457" s="7"/>
      <c r="B27457" s="7"/>
      <c r="M27457" s="9" t="s">
        <v>21</v>
      </c>
    </row>
    <row r="27458" ht="15.75" customHeight="1">
      <c r="A27458" s="7"/>
      <c r="B27458" s="7"/>
      <c r="M27458" s="9" t="s">
        <v>37</v>
      </c>
    </row>
    <row r="27459" ht="15.75" customHeight="1">
      <c r="A27459" s="7"/>
      <c r="B27459" s="7"/>
      <c r="M27459" s="9" t="s">
        <v>22</v>
      </c>
    </row>
    <row r="27460" ht="15.75" customHeight="1">
      <c r="A27460" s="7"/>
      <c r="B27460" s="7"/>
      <c r="M27460" s="9" t="s">
        <v>31</v>
      </c>
    </row>
    <row r="27461" ht="15.75" customHeight="1">
      <c r="A27461" s="7"/>
      <c r="B27461" s="7"/>
      <c r="M27461" s="9" t="s">
        <v>27</v>
      </c>
    </row>
    <row r="27462" ht="15.75" customHeight="1">
      <c r="A27462" s="7"/>
      <c r="B27462" s="7"/>
      <c r="M27462" s="9" t="s">
        <v>33</v>
      </c>
    </row>
    <row r="27463" ht="15.75" customHeight="1">
      <c r="A27463" s="7"/>
      <c r="B27463" s="7"/>
      <c r="M27463" s="9" t="s">
        <v>35</v>
      </c>
    </row>
    <row r="27464" ht="15.75" customHeight="1">
      <c r="A27464" s="7"/>
      <c r="B27464" s="7"/>
      <c r="M27464" s="9" t="s">
        <v>30</v>
      </c>
    </row>
    <row r="27465" ht="15.75" customHeight="1">
      <c r="A27465" s="7"/>
      <c r="B27465" s="7"/>
      <c r="M27465" s="9" t="s">
        <v>25</v>
      </c>
    </row>
    <row r="27466" ht="15.75" customHeight="1">
      <c r="A27466" s="7"/>
      <c r="B27466" s="7"/>
      <c r="M27466" s="9" t="s">
        <v>26</v>
      </c>
    </row>
    <row r="27467" ht="15.75" customHeight="1">
      <c r="A27467" s="7"/>
      <c r="B27467" s="7"/>
      <c r="M27467" s="9" t="s">
        <v>24</v>
      </c>
    </row>
    <row r="27468" ht="15.75" customHeight="1">
      <c r="A27468" s="7"/>
      <c r="B27468" s="7"/>
      <c r="M27468" s="9" t="s">
        <v>20</v>
      </c>
    </row>
    <row r="27469" ht="15.75" customHeight="1">
      <c r="A27469" s="7"/>
      <c r="B27469" s="7"/>
      <c r="M27469" s="9" t="s">
        <v>21</v>
      </c>
    </row>
    <row r="27470" ht="15.75" customHeight="1">
      <c r="A27470" s="7"/>
      <c r="B27470" s="7"/>
      <c r="M27470" s="9" t="s">
        <v>37</v>
      </c>
    </row>
    <row r="27471" ht="15.75" customHeight="1">
      <c r="A27471" s="7"/>
      <c r="B27471" s="7"/>
      <c r="M27471" s="9" t="s">
        <v>27</v>
      </c>
    </row>
    <row r="27472" ht="15.75" customHeight="1">
      <c r="A27472" s="7"/>
      <c r="B27472" s="7"/>
      <c r="M27472" s="9" t="s">
        <v>33</v>
      </c>
    </row>
    <row r="27473" ht="15.75" customHeight="1">
      <c r="A27473" s="7"/>
      <c r="B27473" s="7"/>
      <c r="M27473" s="9" t="s">
        <v>30</v>
      </c>
    </row>
    <row r="27474" ht="15.75" customHeight="1">
      <c r="A27474" s="7"/>
      <c r="B27474" s="7"/>
      <c r="M27474" s="9" t="s">
        <v>23</v>
      </c>
    </row>
    <row r="27475" ht="15.75" customHeight="1">
      <c r="A27475" s="7"/>
      <c r="B27475" s="7"/>
      <c r="M27475" s="9" t="s">
        <v>42</v>
      </c>
    </row>
    <row r="27476" ht="15.75" customHeight="1">
      <c r="A27476" s="7"/>
      <c r="B27476" s="7"/>
      <c r="M27476" s="9" t="s">
        <v>24</v>
      </c>
    </row>
    <row r="27477" ht="15.75" customHeight="1">
      <c r="A27477" s="7"/>
      <c r="B27477" s="7"/>
      <c r="M27477" s="9" t="s">
        <v>21</v>
      </c>
    </row>
    <row r="27478" ht="15.75" customHeight="1">
      <c r="A27478" s="7"/>
      <c r="B27478" s="7"/>
      <c r="M27478" s="9" t="s">
        <v>31</v>
      </c>
    </row>
    <row r="27479" ht="15.75" customHeight="1">
      <c r="A27479" s="7"/>
      <c r="B27479" s="7"/>
      <c r="M27479" s="9" t="s">
        <v>32</v>
      </c>
    </row>
    <row r="27480" ht="15.75" customHeight="1">
      <c r="A27480" s="7"/>
      <c r="B27480" s="7"/>
      <c r="M27480" s="9" t="s">
        <v>27</v>
      </c>
    </row>
    <row r="27481" ht="15.75" customHeight="1">
      <c r="A27481" s="7"/>
      <c r="B27481" s="7"/>
      <c r="M27481" s="9" t="s">
        <v>26</v>
      </c>
    </row>
    <row r="27482" ht="15.75" customHeight="1">
      <c r="A27482" s="7"/>
      <c r="B27482" s="7"/>
      <c r="M27482" s="9" t="s">
        <v>35</v>
      </c>
    </row>
    <row r="27483" ht="15.75" customHeight="1">
      <c r="A27483" s="7"/>
      <c r="B27483" s="7"/>
      <c r="M27483" s="9" t="s">
        <v>30</v>
      </c>
    </row>
    <row r="27484" ht="15.75" customHeight="1">
      <c r="A27484" s="7"/>
      <c r="B27484" s="7"/>
      <c r="M27484" s="9" t="s">
        <v>36</v>
      </c>
    </row>
    <row r="27485" ht="15.75" customHeight="1">
      <c r="A27485" s="7"/>
      <c r="B27485" s="7"/>
      <c r="M27485" s="9" t="s">
        <v>20</v>
      </c>
    </row>
    <row r="27486" ht="15.75" customHeight="1">
      <c r="A27486" s="7"/>
      <c r="B27486" s="7"/>
      <c r="M27486" s="9" t="s">
        <v>25</v>
      </c>
    </row>
    <row r="27487" ht="15.75" customHeight="1">
      <c r="A27487" s="7"/>
      <c r="B27487" s="7"/>
      <c r="M27487" s="9" t="s">
        <v>23</v>
      </c>
    </row>
    <row r="27488" ht="15.75" customHeight="1">
      <c r="A27488" s="7"/>
      <c r="B27488" s="7"/>
      <c r="M27488" s="9" t="s">
        <v>24</v>
      </c>
    </row>
    <row r="27489" ht="15.75" customHeight="1">
      <c r="A27489" s="7"/>
      <c r="B27489" s="7"/>
      <c r="M27489" s="9" t="s">
        <v>20</v>
      </c>
    </row>
    <row r="27490" ht="15.75" customHeight="1">
      <c r="A27490" s="7"/>
      <c r="B27490" s="7"/>
      <c r="M27490" s="9" t="s">
        <v>21</v>
      </c>
    </row>
    <row r="27491" ht="15.75" customHeight="1">
      <c r="A27491" s="7"/>
      <c r="B27491" s="7"/>
      <c r="M27491" s="9" t="s">
        <v>39</v>
      </c>
    </row>
    <row r="27492" ht="15.75" customHeight="1">
      <c r="A27492" s="7"/>
      <c r="B27492" s="7"/>
      <c r="M27492" s="9" t="s">
        <v>22</v>
      </c>
    </row>
    <row r="27493" ht="15.75" customHeight="1">
      <c r="A27493" s="7"/>
      <c r="B27493" s="7"/>
      <c r="M27493" s="9" t="s">
        <v>24</v>
      </c>
    </row>
    <row r="27494" ht="15.75" customHeight="1">
      <c r="A27494" s="7"/>
      <c r="B27494" s="7"/>
      <c r="M27494" s="9" t="s">
        <v>21</v>
      </c>
    </row>
    <row r="27495" ht="15.75" customHeight="1">
      <c r="A27495" s="7"/>
      <c r="B27495" s="7"/>
      <c r="M27495" s="9" t="s">
        <v>33</v>
      </c>
    </row>
    <row r="27496" ht="15.75" customHeight="1">
      <c r="A27496" s="7"/>
      <c r="B27496" s="7"/>
      <c r="M27496" s="9" t="s">
        <v>26</v>
      </c>
    </row>
    <row r="27497" ht="15.75" customHeight="1">
      <c r="A27497" s="7"/>
      <c r="B27497" s="7"/>
      <c r="M27497" s="9" t="s">
        <v>24</v>
      </c>
    </row>
    <row r="27498" ht="15.75" customHeight="1">
      <c r="A27498" s="7"/>
      <c r="B27498" s="7"/>
      <c r="M27498" s="9" t="s">
        <v>27</v>
      </c>
    </row>
    <row r="27499" ht="15.75" customHeight="1">
      <c r="A27499" s="7"/>
      <c r="B27499" s="7"/>
      <c r="M27499" s="9" t="s">
        <v>28</v>
      </c>
    </row>
    <row r="27500" ht="15.75" customHeight="1">
      <c r="A27500" s="7"/>
      <c r="B27500" s="7"/>
      <c r="M27500" s="9" t="s">
        <v>30</v>
      </c>
    </row>
    <row r="27501" ht="15.75" customHeight="1">
      <c r="A27501" s="7"/>
      <c r="B27501" s="7"/>
      <c r="M27501" s="9" t="s">
        <v>20</v>
      </c>
    </row>
    <row r="27502" ht="15.75" customHeight="1">
      <c r="A27502" s="7"/>
      <c r="B27502" s="7"/>
      <c r="M27502" s="9" t="s">
        <v>25</v>
      </c>
    </row>
    <row r="27503" ht="15.75" customHeight="1">
      <c r="A27503" s="7"/>
      <c r="B27503" s="7"/>
      <c r="M27503" s="9" t="s">
        <v>23</v>
      </c>
    </row>
    <row r="27504" ht="15.75" customHeight="1">
      <c r="A27504" s="7"/>
      <c r="B27504" s="7"/>
      <c r="M27504" s="9" t="s">
        <v>26</v>
      </c>
    </row>
    <row r="27505" ht="15.75" customHeight="1">
      <c r="A27505" s="7"/>
      <c r="B27505" s="7"/>
      <c r="M27505" s="9" t="s">
        <v>24</v>
      </c>
    </row>
    <row r="27506" ht="15.75" customHeight="1">
      <c r="A27506" s="7"/>
      <c r="B27506" s="7"/>
      <c r="M27506" s="9" t="s">
        <v>21</v>
      </c>
    </row>
    <row r="27507" ht="15.75" customHeight="1">
      <c r="A27507" s="7"/>
      <c r="B27507" s="7"/>
      <c r="M27507" s="9" t="s">
        <v>37</v>
      </c>
    </row>
    <row r="27508" ht="15.75" customHeight="1">
      <c r="A27508" s="7"/>
      <c r="B27508" s="7"/>
      <c r="M27508" s="9" t="s">
        <v>27</v>
      </c>
    </row>
    <row r="27509" ht="15.75" customHeight="1">
      <c r="A27509" s="7"/>
      <c r="B27509" s="7"/>
      <c r="M27509" s="9" t="s">
        <v>26</v>
      </c>
    </row>
    <row r="27510" ht="15.75" customHeight="1">
      <c r="A27510" s="7"/>
      <c r="B27510" s="7"/>
      <c r="M27510" s="9" t="s">
        <v>24</v>
      </c>
    </row>
    <row r="27511" ht="15.75" customHeight="1">
      <c r="A27511" s="7"/>
      <c r="B27511" s="7"/>
      <c r="M27511" s="9" t="s">
        <v>21</v>
      </c>
    </row>
    <row r="27512" ht="15.75" customHeight="1">
      <c r="A27512" s="7"/>
      <c r="B27512" s="7"/>
      <c r="M27512" s="9" t="s">
        <v>37</v>
      </c>
    </row>
    <row r="27513" ht="15.75" customHeight="1">
      <c r="A27513" s="7"/>
      <c r="B27513" s="7"/>
      <c r="M27513" s="9" t="s">
        <v>27</v>
      </c>
    </row>
    <row r="27514" ht="15.75" customHeight="1">
      <c r="A27514" s="7"/>
      <c r="B27514" s="7"/>
      <c r="M27514" s="9" t="s">
        <v>26</v>
      </c>
    </row>
    <row r="27515" ht="15.75" customHeight="1">
      <c r="A27515" s="7"/>
      <c r="B27515" s="7"/>
      <c r="M27515" s="9" t="s">
        <v>24</v>
      </c>
    </row>
    <row r="27516" ht="15.75" customHeight="1">
      <c r="A27516" s="7"/>
      <c r="B27516" s="7"/>
      <c r="M27516" s="9" t="s">
        <v>20</v>
      </c>
    </row>
    <row r="27517" ht="15.75" customHeight="1">
      <c r="A27517" s="7"/>
      <c r="B27517" s="7"/>
      <c r="M27517" s="9" t="s">
        <v>21</v>
      </c>
    </row>
    <row r="27518" ht="15.75" customHeight="1">
      <c r="A27518" s="7"/>
      <c r="B27518" s="7"/>
      <c r="M27518" s="9" t="s">
        <v>37</v>
      </c>
    </row>
    <row r="27519" ht="15.75" customHeight="1">
      <c r="A27519" s="7"/>
      <c r="B27519" s="7"/>
      <c r="M27519" s="9" t="s">
        <v>27</v>
      </c>
    </row>
    <row r="27520" ht="15.75" customHeight="1">
      <c r="A27520" s="7"/>
      <c r="B27520" s="7"/>
      <c r="M27520" s="9" t="s">
        <v>33</v>
      </c>
    </row>
    <row r="27521" ht="15.75" customHeight="1">
      <c r="A27521" s="7"/>
      <c r="B27521" s="7"/>
      <c r="M27521" s="9" t="s">
        <v>23</v>
      </c>
    </row>
    <row r="27522" ht="15.75" customHeight="1">
      <c r="A27522" s="7"/>
      <c r="B27522" s="7"/>
      <c r="M27522" s="9" t="s">
        <v>20</v>
      </c>
    </row>
    <row r="27523" ht="15.75" customHeight="1">
      <c r="A27523" s="7"/>
      <c r="B27523" s="7"/>
      <c r="M27523" s="9" t="s">
        <v>22</v>
      </c>
    </row>
    <row r="27524" ht="15.75" customHeight="1">
      <c r="A27524" s="7"/>
      <c r="B27524" s="7"/>
      <c r="M27524" s="9" t="s">
        <v>38</v>
      </c>
    </row>
    <row r="27525" ht="15.75" customHeight="1">
      <c r="A27525" s="7"/>
      <c r="B27525" s="7"/>
      <c r="M27525" s="9" t="s">
        <v>30</v>
      </c>
    </row>
    <row r="27526" ht="15.75" customHeight="1">
      <c r="A27526" s="7"/>
      <c r="B27526" s="7"/>
      <c r="M27526" s="9" t="s">
        <v>37</v>
      </c>
    </row>
    <row r="27527" ht="15.75" customHeight="1">
      <c r="A27527" s="7"/>
      <c r="B27527" s="7"/>
      <c r="M27527" s="9" t="s">
        <v>27</v>
      </c>
    </row>
    <row r="27528" ht="15.75" customHeight="1">
      <c r="A27528" s="7"/>
      <c r="B27528" s="7"/>
      <c r="M27528" s="9" t="s">
        <v>30</v>
      </c>
    </row>
    <row r="27529" ht="15.75" customHeight="1">
      <c r="A27529" s="7"/>
      <c r="B27529" s="7"/>
      <c r="M27529" s="9" t="s">
        <v>25</v>
      </c>
    </row>
    <row r="27530" ht="15.75" customHeight="1">
      <c r="A27530" s="7"/>
      <c r="B27530" s="7"/>
      <c r="M27530" s="9" t="s">
        <v>22</v>
      </c>
    </row>
    <row r="27531" ht="15.75" customHeight="1">
      <c r="A27531" s="7"/>
      <c r="B27531" s="7"/>
      <c r="M27531" s="9" t="s">
        <v>35</v>
      </c>
    </row>
    <row r="27532" ht="15.75" customHeight="1">
      <c r="A27532" s="7"/>
      <c r="B27532" s="7"/>
      <c r="M27532" s="9" t="s">
        <v>30</v>
      </c>
    </row>
    <row r="27533" ht="15.75" customHeight="1">
      <c r="A27533" s="7"/>
      <c r="B27533" s="7"/>
      <c r="M27533" s="9" t="s">
        <v>24</v>
      </c>
    </row>
    <row r="27534" ht="15.75" customHeight="1">
      <c r="A27534" s="7"/>
      <c r="B27534" s="7"/>
      <c r="M27534" s="9" t="s">
        <v>20</v>
      </c>
    </row>
    <row r="27535" ht="15.75" customHeight="1">
      <c r="A27535" s="7"/>
      <c r="B27535" s="7"/>
      <c r="M27535" s="9" t="s">
        <v>21</v>
      </c>
    </row>
    <row r="27536" ht="15.75" customHeight="1">
      <c r="A27536" s="7"/>
      <c r="B27536" s="7"/>
      <c r="M27536" s="9" t="s">
        <v>37</v>
      </c>
    </row>
    <row r="27537" ht="15.75" customHeight="1">
      <c r="A27537" s="7"/>
      <c r="B27537" s="7"/>
      <c r="M27537" s="9" t="s">
        <v>27</v>
      </c>
    </row>
    <row r="27538" ht="15.75" customHeight="1">
      <c r="A27538" s="7"/>
      <c r="B27538" s="7"/>
      <c r="M27538" s="9" t="s">
        <v>33</v>
      </c>
    </row>
    <row r="27539" ht="15.75" customHeight="1">
      <c r="A27539" s="7"/>
      <c r="B27539" s="7"/>
      <c r="M27539" s="9" t="s">
        <v>44</v>
      </c>
    </row>
    <row r="27540" ht="15.75" customHeight="1">
      <c r="A27540" s="7"/>
      <c r="B27540" s="7"/>
      <c r="M27540" s="9" t="s">
        <v>24</v>
      </c>
    </row>
    <row r="27541" ht="15.75" customHeight="1">
      <c r="A27541" s="7"/>
      <c r="B27541" s="7"/>
      <c r="M27541" s="9" t="s">
        <v>20</v>
      </c>
    </row>
    <row r="27542" ht="15.75" customHeight="1">
      <c r="A27542" s="7"/>
      <c r="B27542" s="7"/>
      <c r="M27542" s="9" t="s">
        <v>21</v>
      </c>
    </row>
    <row r="27543" ht="15.75" customHeight="1">
      <c r="A27543" s="7"/>
      <c r="B27543" s="7"/>
      <c r="M27543" s="9" t="s">
        <v>27</v>
      </c>
    </row>
    <row r="27544" ht="15.75" customHeight="1">
      <c r="A27544" s="7"/>
      <c r="B27544" s="7"/>
      <c r="M27544" s="9" t="s">
        <v>35</v>
      </c>
    </row>
    <row r="27545" ht="15.75" customHeight="1">
      <c r="A27545" s="7"/>
      <c r="B27545" s="7"/>
      <c r="M27545" s="9" t="s">
        <v>29</v>
      </c>
    </row>
    <row r="27546" ht="15.75" customHeight="1">
      <c r="A27546" s="7"/>
      <c r="B27546" s="7"/>
      <c r="M27546" s="9" t="s">
        <v>27</v>
      </c>
    </row>
    <row r="27547" ht="15.75" customHeight="1">
      <c r="A27547" s="7"/>
      <c r="B27547" s="7"/>
      <c r="M27547" s="9" t="s">
        <v>24</v>
      </c>
    </row>
    <row r="27548" ht="15.75" customHeight="1">
      <c r="A27548" s="7"/>
      <c r="B27548" s="7"/>
      <c r="M27548" s="9" t="s">
        <v>20</v>
      </c>
    </row>
    <row r="27549" ht="15.75" customHeight="1">
      <c r="A27549" s="7"/>
      <c r="B27549" s="7"/>
      <c r="M27549" s="9" t="s">
        <v>21</v>
      </c>
    </row>
    <row r="27550" ht="15.75" customHeight="1">
      <c r="A27550" s="7"/>
      <c r="B27550" s="7"/>
      <c r="M27550" s="9" t="s">
        <v>21</v>
      </c>
    </row>
    <row r="27551" ht="15.75" customHeight="1">
      <c r="A27551" s="7"/>
      <c r="B27551" s="7"/>
      <c r="M27551" s="9" t="s">
        <v>41</v>
      </c>
    </row>
    <row r="27552" ht="15.75" customHeight="1">
      <c r="A27552" s="7"/>
      <c r="B27552" s="7"/>
      <c r="M27552" s="9" t="s">
        <v>40</v>
      </c>
    </row>
    <row r="27553" ht="15.75" customHeight="1">
      <c r="A27553" s="7"/>
      <c r="B27553" s="7"/>
      <c r="M27553" s="9" t="s">
        <v>26</v>
      </c>
    </row>
    <row r="27554" ht="15.75" customHeight="1">
      <c r="A27554" s="7"/>
      <c r="B27554" s="7"/>
      <c r="M27554" s="9" t="s">
        <v>24</v>
      </c>
    </row>
    <row r="27555" ht="15.75" customHeight="1">
      <c r="A27555" s="7"/>
      <c r="B27555" s="7"/>
      <c r="M27555" s="9" t="s">
        <v>21</v>
      </c>
    </row>
    <row r="27556" ht="15.75" customHeight="1">
      <c r="A27556" s="7"/>
      <c r="B27556" s="7"/>
      <c r="M27556" s="9" t="s">
        <v>22</v>
      </c>
    </row>
    <row r="27557" ht="15.75" customHeight="1">
      <c r="A27557" s="7"/>
      <c r="B27557" s="7"/>
      <c r="M27557" s="9" t="s">
        <v>27</v>
      </c>
    </row>
    <row r="27558" ht="15.75" customHeight="1">
      <c r="A27558" s="7"/>
      <c r="B27558" s="7"/>
      <c r="M27558" s="9" t="s">
        <v>33</v>
      </c>
    </row>
    <row r="27559" ht="15.75" customHeight="1">
      <c r="A27559" s="7"/>
      <c r="B27559" s="7"/>
      <c r="M27559" s="9" t="s">
        <v>28</v>
      </c>
    </row>
    <row r="27560" ht="15.75" customHeight="1">
      <c r="A27560" s="7"/>
      <c r="B27560" s="7"/>
      <c r="M27560" s="9" t="s">
        <v>30</v>
      </c>
    </row>
    <row r="27561" ht="15.75" customHeight="1">
      <c r="A27561" s="7"/>
      <c r="B27561" s="7"/>
      <c r="M27561" s="9" t="s">
        <v>24</v>
      </c>
    </row>
    <row r="27562" ht="15.75" customHeight="1">
      <c r="A27562" s="7"/>
      <c r="B27562" s="7"/>
      <c r="M27562" s="9" t="s">
        <v>20</v>
      </c>
    </row>
    <row r="27563" ht="15.75" customHeight="1">
      <c r="A27563" s="7"/>
      <c r="B27563" s="7"/>
      <c r="M27563" s="9" t="s">
        <v>21</v>
      </c>
    </row>
    <row r="27564" ht="15.75" customHeight="1">
      <c r="A27564" s="7"/>
      <c r="B27564" s="7"/>
      <c r="M27564" s="9" t="s">
        <v>37</v>
      </c>
    </row>
    <row r="27565" ht="15.75" customHeight="1">
      <c r="A27565" s="7"/>
      <c r="B27565" s="7"/>
      <c r="M27565" s="9" t="s">
        <v>27</v>
      </c>
    </row>
    <row r="27566" ht="15.75" customHeight="1">
      <c r="A27566" s="7"/>
      <c r="B27566" s="7"/>
      <c r="M27566" s="9" t="s">
        <v>24</v>
      </c>
    </row>
    <row r="27567" ht="15.75" customHeight="1">
      <c r="A27567" s="7"/>
      <c r="B27567" s="7"/>
      <c r="M27567" s="9" t="s">
        <v>20</v>
      </c>
    </row>
    <row r="27568" ht="15.75" customHeight="1">
      <c r="A27568" s="7"/>
      <c r="B27568" s="7"/>
      <c r="M27568" s="9" t="s">
        <v>21</v>
      </c>
    </row>
    <row r="27569" ht="15.75" customHeight="1">
      <c r="A27569" s="7"/>
      <c r="B27569" s="7"/>
      <c r="M27569" s="9" t="s">
        <v>22</v>
      </c>
    </row>
    <row r="27570" ht="15.75" customHeight="1">
      <c r="A27570" s="7"/>
      <c r="B27570" s="7"/>
      <c r="M27570" s="9" t="s">
        <v>35</v>
      </c>
    </row>
    <row r="27571" ht="15.75" customHeight="1">
      <c r="A27571" s="7"/>
      <c r="B27571" s="7"/>
      <c r="M27571" s="9" t="s">
        <v>26</v>
      </c>
    </row>
    <row r="27572" ht="15.75" customHeight="1">
      <c r="A27572" s="7"/>
      <c r="B27572" s="7"/>
      <c r="M27572" s="9" t="s">
        <v>21</v>
      </c>
    </row>
    <row r="27573" ht="15.75" customHeight="1">
      <c r="A27573" s="7"/>
      <c r="B27573" s="7"/>
      <c r="M27573" s="9" t="s">
        <v>23</v>
      </c>
    </row>
    <row r="27574" ht="15.75" customHeight="1">
      <c r="A27574" s="7"/>
      <c r="B27574" s="7"/>
      <c r="M27574" s="9" t="s">
        <v>26</v>
      </c>
    </row>
    <row r="27575" ht="15.75" customHeight="1">
      <c r="A27575" s="7"/>
      <c r="B27575" s="7"/>
      <c r="M27575" s="9" t="s">
        <v>20</v>
      </c>
    </row>
    <row r="27576" ht="15.75" customHeight="1">
      <c r="A27576" s="7"/>
      <c r="B27576" s="7"/>
      <c r="M27576" s="9" t="s">
        <v>22</v>
      </c>
    </row>
    <row r="27577" ht="15.75" customHeight="1">
      <c r="A27577" s="7"/>
      <c r="B27577" s="7"/>
      <c r="M27577" s="9" t="s">
        <v>21</v>
      </c>
    </row>
    <row r="27578" ht="15.75" customHeight="1">
      <c r="A27578" s="7"/>
      <c r="B27578" s="7"/>
      <c r="M27578" s="9" t="s">
        <v>24</v>
      </c>
    </row>
    <row r="27579" ht="15.75" customHeight="1">
      <c r="A27579" s="7"/>
      <c r="B27579" s="7"/>
      <c r="M27579" s="9" t="s">
        <v>21</v>
      </c>
    </row>
    <row r="27580" ht="15.75" customHeight="1">
      <c r="A27580" s="7"/>
      <c r="B27580" s="7"/>
      <c r="M27580" s="9" t="s">
        <v>37</v>
      </c>
    </row>
    <row r="27581" ht="15.75" customHeight="1">
      <c r="A27581" s="7"/>
      <c r="B27581" s="7"/>
      <c r="M27581" s="9" t="s">
        <v>22</v>
      </c>
    </row>
    <row r="27582" ht="15.75" customHeight="1">
      <c r="A27582" s="7"/>
      <c r="B27582" s="7"/>
      <c r="M27582" s="9" t="s">
        <v>27</v>
      </c>
    </row>
    <row r="27583" ht="15.75" customHeight="1">
      <c r="A27583" s="7"/>
      <c r="B27583" s="7"/>
      <c r="M27583" s="9" t="s">
        <v>26</v>
      </c>
    </row>
    <row r="27584" ht="15.75" customHeight="1">
      <c r="A27584" s="7"/>
      <c r="B27584" s="7"/>
      <c r="M27584" s="9" t="s">
        <v>24</v>
      </c>
    </row>
    <row r="27585" ht="15.75" customHeight="1">
      <c r="A27585" s="7"/>
      <c r="B27585" s="7"/>
      <c r="M27585" s="9" t="s">
        <v>20</v>
      </c>
    </row>
    <row r="27586" ht="15.75" customHeight="1">
      <c r="A27586" s="7"/>
      <c r="B27586" s="7"/>
      <c r="M27586" s="9" t="s">
        <v>21</v>
      </c>
    </row>
    <row r="27587" ht="15.75" customHeight="1">
      <c r="A27587" s="7"/>
      <c r="B27587" s="7"/>
      <c r="M27587" s="9" t="s">
        <v>37</v>
      </c>
    </row>
    <row r="27588" ht="15.75" customHeight="1">
      <c r="A27588" s="7"/>
      <c r="B27588" s="7"/>
      <c r="M27588" s="9" t="s">
        <v>27</v>
      </c>
    </row>
    <row r="27589" ht="15.75" customHeight="1">
      <c r="A27589" s="7"/>
      <c r="B27589" s="7"/>
      <c r="M27589" s="9" t="s">
        <v>28</v>
      </c>
    </row>
    <row r="27590" ht="15.75" customHeight="1">
      <c r="A27590" s="7"/>
      <c r="B27590" s="7"/>
      <c r="M27590" s="9" t="s">
        <v>26</v>
      </c>
    </row>
    <row r="27591" ht="15.75" customHeight="1">
      <c r="A27591" s="7"/>
      <c r="B27591" s="7"/>
      <c r="M27591" s="9" t="s">
        <v>24</v>
      </c>
    </row>
    <row r="27592" ht="15.75" customHeight="1">
      <c r="A27592" s="7"/>
      <c r="B27592" s="7"/>
      <c r="M27592" s="9" t="s">
        <v>21</v>
      </c>
    </row>
    <row r="27593" ht="15.75" customHeight="1">
      <c r="A27593" s="7"/>
      <c r="B27593" s="7"/>
      <c r="M27593" s="9" t="s">
        <v>27</v>
      </c>
    </row>
    <row r="27594" ht="15.75" customHeight="1">
      <c r="A27594" s="7"/>
      <c r="B27594" s="7"/>
      <c r="M27594" s="9" t="s">
        <v>33</v>
      </c>
    </row>
    <row r="27595" ht="15.75" customHeight="1">
      <c r="A27595" s="7"/>
      <c r="B27595" s="7"/>
      <c r="M27595" s="9" t="s">
        <v>31</v>
      </c>
    </row>
    <row r="27596" ht="15.75" customHeight="1">
      <c r="A27596" s="7"/>
      <c r="B27596" s="7"/>
      <c r="M27596" s="9" t="s">
        <v>27</v>
      </c>
    </row>
    <row r="27597" ht="15.75" customHeight="1">
      <c r="A27597" s="7"/>
      <c r="B27597" s="7"/>
      <c r="M27597" s="9" t="s">
        <v>22</v>
      </c>
    </row>
    <row r="27598" ht="15.75" customHeight="1">
      <c r="A27598" s="7"/>
      <c r="B27598" s="7"/>
      <c r="M27598" s="9" t="s">
        <v>29</v>
      </c>
    </row>
    <row r="27599" ht="15.75" customHeight="1">
      <c r="A27599" s="7"/>
      <c r="B27599" s="7"/>
      <c r="M27599" s="9" t="s">
        <v>27</v>
      </c>
    </row>
    <row r="27600" ht="15.75" customHeight="1">
      <c r="A27600" s="7"/>
      <c r="B27600" s="7"/>
      <c r="M27600" s="9" t="s">
        <v>26</v>
      </c>
    </row>
    <row r="27601" ht="15.75" customHeight="1">
      <c r="A27601" s="7"/>
      <c r="B27601" s="7"/>
      <c r="M27601" s="9" t="s">
        <v>24</v>
      </c>
    </row>
    <row r="27602" ht="15.75" customHeight="1">
      <c r="A27602" s="7"/>
      <c r="B27602" s="7"/>
      <c r="M27602" s="9" t="s">
        <v>21</v>
      </c>
    </row>
    <row r="27603" ht="15.75" customHeight="1">
      <c r="A27603" s="7"/>
      <c r="B27603" s="7"/>
      <c r="M27603" s="9" t="s">
        <v>27</v>
      </c>
    </row>
    <row r="27604" ht="15.75" customHeight="1">
      <c r="A27604" s="7"/>
      <c r="B27604" s="7"/>
      <c r="M27604" s="9" t="s">
        <v>33</v>
      </c>
    </row>
    <row r="27605" ht="15.75" customHeight="1">
      <c r="A27605" s="7"/>
      <c r="B27605" s="7"/>
      <c r="M27605" s="9" t="s">
        <v>30</v>
      </c>
    </row>
    <row r="27606" ht="15.75" customHeight="1">
      <c r="A27606" s="7"/>
      <c r="B27606" s="7"/>
      <c r="M27606" s="9" t="s">
        <v>24</v>
      </c>
    </row>
    <row r="27607" ht="15.75" customHeight="1">
      <c r="A27607" s="7"/>
      <c r="B27607" s="7"/>
      <c r="M27607" s="9" t="s">
        <v>20</v>
      </c>
    </row>
    <row r="27608" ht="15.75" customHeight="1">
      <c r="A27608" s="7"/>
      <c r="B27608" s="7"/>
      <c r="M27608" s="9" t="s">
        <v>21</v>
      </c>
    </row>
    <row r="27609" ht="15.75" customHeight="1">
      <c r="A27609" s="7"/>
      <c r="B27609" s="7"/>
      <c r="M27609" s="9" t="s">
        <v>27</v>
      </c>
    </row>
    <row r="27610" ht="15.75" customHeight="1">
      <c r="A27610" s="7"/>
      <c r="B27610" s="7"/>
      <c r="M27610" s="9" t="s">
        <v>33</v>
      </c>
    </row>
    <row r="27611" ht="15.75" customHeight="1">
      <c r="A27611" s="7"/>
      <c r="B27611" s="7"/>
      <c r="M27611" s="9" t="s">
        <v>26</v>
      </c>
    </row>
    <row r="27612" ht="15.75" customHeight="1">
      <c r="A27612" s="7"/>
      <c r="B27612" s="7"/>
      <c r="M27612" s="9" t="s">
        <v>27</v>
      </c>
    </row>
    <row r="27613" ht="15.75" customHeight="1">
      <c r="A27613" s="7"/>
      <c r="B27613" s="7"/>
      <c r="M27613" s="9" t="s">
        <v>36</v>
      </c>
    </row>
    <row r="27614" ht="15.75" customHeight="1">
      <c r="A27614" s="7"/>
      <c r="B27614" s="7"/>
      <c r="M27614" s="9" t="s">
        <v>24</v>
      </c>
    </row>
    <row r="27615" ht="15.75" customHeight="1">
      <c r="A27615" s="7"/>
      <c r="B27615" s="7"/>
      <c r="M27615" s="9" t="s">
        <v>22</v>
      </c>
    </row>
    <row r="27616" ht="15.75" customHeight="1">
      <c r="A27616" s="7"/>
      <c r="B27616" s="7"/>
      <c r="M27616" s="9" t="s">
        <v>31</v>
      </c>
    </row>
    <row r="27617" ht="15.75" customHeight="1">
      <c r="A27617" s="7"/>
      <c r="B27617" s="7"/>
      <c r="M27617" s="9" t="s">
        <v>27</v>
      </c>
    </row>
    <row r="27618" ht="15.75" customHeight="1">
      <c r="A27618" s="7"/>
      <c r="B27618" s="7"/>
      <c r="M27618" s="9" t="s">
        <v>30</v>
      </c>
    </row>
    <row r="27619" ht="15.75" customHeight="1">
      <c r="A27619" s="7"/>
      <c r="B27619" s="7"/>
      <c r="M27619" s="9" t="s">
        <v>20</v>
      </c>
    </row>
    <row r="27620" ht="15.75" customHeight="1">
      <c r="A27620" s="7"/>
      <c r="B27620" s="7"/>
      <c r="M27620" s="9" t="s">
        <v>22</v>
      </c>
    </row>
    <row r="27621" ht="15.75" customHeight="1">
      <c r="A27621" s="7"/>
      <c r="B27621" s="7"/>
      <c r="M27621" s="9" t="s">
        <v>27</v>
      </c>
    </row>
    <row r="27622" ht="15.75" customHeight="1">
      <c r="A27622" s="7"/>
      <c r="B27622" s="7"/>
      <c r="M27622" s="9" t="s">
        <v>25</v>
      </c>
    </row>
    <row r="27623" ht="15.75" customHeight="1">
      <c r="A27623" s="7"/>
      <c r="B27623" s="7"/>
      <c r="M27623" s="9" t="s">
        <v>23</v>
      </c>
    </row>
    <row r="27624" ht="15.75" customHeight="1">
      <c r="A27624" s="7"/>
      <c r="B27624" s="7"/>
      <c r="M27624" s="9" t="s">
        <v>20</v>
      </c>
    </row>
    <row r="27625" ht="15.75" customHeight="1">
      <c r="A27625" s="7"/>
      <c r="B27625" s="7"/>
      <c r="M27625" s="9" t="s">
        <v>22</v>
      </c>
    </row>
    <row r="27626" ht="15.75" customHeight="1">
      <c r="A27626" s="7"/>
      <c r="B27626" s="7"/>
      <c r="M27626" s="9" t="s">
        <v>30</v>
      </c>
    </row>
    <row r="27627" ht="15.75" customHeight="1">
      <c r="A27627" s="7"/>
      <c r="B27627" s="7"/>
      <c r="M27627" s="9" t="s">
        <v>25</v>
      </c>
    </row>
    <row r="27628" ht="15.75" customHeight="1">
      <c r="A27628" s="7"/>
      <c r="B27628" s="7"/>
      <c r="M27628" s="9" t="s">
        <v>23</v>
      </c>
    </row>
    <row r="27629" ht="15.75" customHeight="1">
      <c r="A27629" s="7"/>
      <c r="B27629" s="7"/>
      <c r="M27629" s="9" t="s">
        <v>26</v>
      </c>
    </row>
    <row r="27630" ht="15.75" customHeight="1">
      <c r="A27630" s="7"/>
      <c r="B27630" s="7"/>
      <c r="M27630" s="9" t="s">
        <v>20</v>
      </c>
    </row>
    <row r="27631" ht="15.75" customHeight="1">
      <c r="A27631" s="7"/>
      <c r="B27631" s="7"/>
      <c r="M27631" s="9" t="s">
        <v>38</v>
      </c>
    </row>
    <row r="27632" ht="15.75" customHeight="1">
      <c r="A27632" s="7"/>
      <c r="B27632" s="7"/>
      <c r="M27632" s="9" t="s">
        <v>30</v>
      </c>
    </row>
    <row r="27633" ht="15.75" customHeight="1">
      <c r="A27633" s="7"/>
      <c r="B27633" s="7"/>
      <c r="M27633" s="9" t="s">
        <v>25</v>
      </c>
    </row>
    <row r="27634" ht="15.75" customHeight="1">
      <c r="A27634" s="7"/>
      <c r="B27634" s="7"/>
      <c r="M27634" s="9" t="s">
        <v>23</v>
      </c>
    </row>
    <row r="27635" ht="15.75" customHeight="1">
      <c r="A27635" s="7"/>
      <c r="B27635" s="7"/>
      <c r="M27635" s="9" t="s">
        <v>24</v>
      </c>
    </row>
    <row r="27636" ht="15.75" customHeight="1">
      <c r="A27636" s="7"/>
      <c r="B27636" s="7"/>
      <c r="M27636" s="9" t="s">
        <v>21</v>
      </c>
    </row>
    <row r="27637" ht="15.75" customHeight="1">
      <c r="A27637" s="7"/>
      <c r="B27637" s="7"/>
      <c r="M27637" s="9" t="s">
        <v>22</v>
      </c>
    </row>
    <row r="27638" ht="15.75" customHeight="1">
      <c r="A27638" s="7"/>
      <c r="B27638" s="7"/>
      <c r="M27638" s="9" t="s">
        <v>24</v>
      </c>
    </row>
    <row r="27639" ht="15.75" customHeight="1">
      <c r="A27639" s="7"/>
      <c r="B27639" s="7"/>
      <c r="M27639" s="9" t="s">
        <v>21</v>
      </c>
    </row>
    <row r="27640" ht="15.75" customHeight="1">
      <c r="A27640" s="7"/>
      <c r="B27640" s="7"/>
      <c r="M27640" s="9" t="s">
        <v>37</v>
      </c>
    </row>
    <row r="27641" ht="15.75" customHeight="1">
      <c r="A27641" s="7"/>
      <c r="B27641" s="7"/>
      <c r="M27641" s="9" t="s">
        <v>27</v>
      </c>
    </row>
    <row r="27642" ht="15.75" customHeight="1">
      <c r="A27642" s="7"/>
      <c r="B27642" s="7"/>
      <c r="M27642" s="9" t="s">
        <v>30</v>
      </c>
    </row>
    <row r="27643" ht="15.75" customHeight="1">
      <c r="A27643" s="7"/>
      <c r="B27643" s="7"/>
      <c r="M27643" s="9" t="s">
        <v>24</v>
      </c>
    </row>
    <row r="27644" ht="15.75" customHeight="1">
      <c r="A27644" s="7"/>
      <c r="B27644" s="7"/>
      <c r="M27644" s="9" t="s">
        <v>21</v>
      </c>
    </row>
    <row r="27645" ht="15.75" customHeight="1">
      <c r="A27645" s="7"/>
      <c r="B27645" s="7"/>
      <c r="M27645" s="9" t="s">
        <v>22</v>
      </c>
    </row>
    <row r="27646" ht="15.75" customHeight="1">
      <c r="A27646" s="7"/>
      <c r="B27646" s="7"/>
      <c r="M27646" s="9" t="s">
        <v>27</v>
      </c>
    </row>
    <row r="27647" ht="15.75" customHeight="1">
      <c r="A27647" s="7"/>
      <c r="B27647" s="7"/>
      <c r="M27647" s="9" t="s">
        <v>30</v>
      </c>
    </row>
    <row r="27648" ht="15.75" customHeight="1">
      <c r="A27648" s="7"/>
      <c r="B27648" s="7"/>
      <c r="M27648" s="9" t="s">
        <v>26</v>
      </c>
    </row>
    <row r="27649" ht="15.75" customHeight="1">
      <c r="A27649" s="7"/>
      <c r="B27649" s="7"/>
      <c r="M27649" s="9" t="s">
        <v>36</v>
      </c>
    </row>
    <row r="27650" ht="15.75" customHeight="1">
      <c r="A27650" s="7"/>
      <c r="B27650" s="7"/>
      <c r="M27650" s="9" t="s">
        <v>21</v>
      </c>
    </row>
    <row r="27651" ht="15.75" customHeight="1">
      <c r="A27651" s="7"/>
      <c r="B27651" s="7"/>
      <c r="M27651" s="9" t="s">
        <v>37</v>
      </c>
    </row>
    <row r="27652" ht="15.75" customHeight="1">
      <c r="A27652" s="7"/>
      <c r="B27652" s="7"/>
      <c r="M27652" s="9" t="s">
        <v>22</v>
      </c>
    </row>
    <row r="27653" ht="15.75" customHeight="1">
      <c r="A27653" s="7"/>
      <c r="B27653" s="7"/>
      <c r="M27653" s="9" t="s">
        <v>29</v>
      </c>
    </row>
    <row r="27654" ht="15.75" customHeight="1">
      <c r="A27654" s="7"/>
      <c r="B27654" s="7"/>
      <c r="M27654" s="9" t="s">
        <v>27</v>
      </c>
    </row>
    <row r="27655" ht="15.75" customHeight="1">
      <c r="A27655" s="7"/>
      <c r="B27655" s="7"/>
      <c r="M27655" s="9" t="s">
        <v>35</v>
      </c>
    </row>
    <row r="27656" ht="15.75" customHeight="1">
      <c r="A27656" s="7"/>
      <c r="B27656" s="7"/>
      <c r="M27656" s="9" t="s">
        <v>30</v>
      </c>
    </row>
    <row r="27657" ht="15.75" customHeight="1">
      <c r="A27657" s="7"/>
      <c r="B27657" s="7"/>
      <c r="M27657" s="9" t="s">
        <v>20</v>
      </c>
    </row>
    <row r="27658" ht="15.75" customHeight="1">
      <c r="A27658" s="7"/>
      <c r="B27658" s="7"/>
      <c r="M27658" s="9" t="s">
        <v>39</v>
      </c>
    </row>
    <row r="27659" ht="15.75" customHeight="1">
      <c r="A27659" s="7"/>
      <c r="B27659" s="7"/>
      <c r="M27659" s="9" t="s">
        <v>27</v>
      </c>
    </row>
    <row r="27660" ht="15.75" customHeight="1">
      <c r="A27660" s="7"/>
      <c r="B27660" s="7"/>
      <c r="M27660" s="9" t="s">
        <v>35</v>
      </c>
    </row>
    <row r="27661" ht="15.75" customHeight="1">
      <c r="A27661" s="7"/>
      <c r="B27661" s="7"/>
      <c r="M27661" s="9" t="s">
        <v>24</v>
      </c>
    </row>
    <row r="27662" ht="15.75" customHeight="1">
      <c r="A27662" s="7"/>
      <c r="B27662" s="7"/>
      <c r="M27662" s="9" t="s">
        <v>21</v>
      </c>
    </row>
    <row r="27663" ht="15.75" customHeight="1">
      <c r="A27663" s="7"/>
      <c r="B27663" s="7"/>
      <c r="M27663" s="9" t="s">
        <v>37</v>
      </c>
    </row>
    <row r="27664" ht="15.75" customHeight="1">
      <c r="A27664" s="7"/>
      <c r="B27664" s="7"/>
      <c r="M27664" s="9" t="s">
        <v>22</v>
      </c>
    </row>
    <row r="27665" ht="15.75" customHeight="1">
      <c r="A27665" s="7"/>
      <c r="B27665" s="7"/>
      <c r="M27665" s="9" t="s">
        <v>25</v>
      </c>
    </row>
    <row r="27666" ht="15.75" customHeight="1">
      <c r="A27666" s="7"/>
      <c r="B27666" s="7"/>
      <c r="M27666" s="9" t="s">
        <v>26</v>
      </c>
    </row>
    <row r="27667" ht="15.75" customHeight="1">
      <c r="A27667" s="7"/>
      <c r="B27667" s="7"/>
      <c r="M27667" s="9" t="s">
        <v>24</v>
      </c>
    </row>
    <row r="27668" ht="15.75" customHeight="1">
      <c r="A27668" s="7"/>
      <c r="B27668" s="7"/>
      <c r="M27668" s="9" t="s">
        <v>20</v>
      </c>
    </row>
    <row r="27669" ht="15.75" customHeight="1">
      <c r="A27669" s="7"/>
      <c r="B27669" s="7"/>
      <c r="M27669" s="9" t="s">
        <v>21</v>
      </c>
    </row>
    <row r="27670" ht="15.75" customHeight="1">
      <c r="A27670" s="7"/>
      <c r="B27670" s="7"/>
      <c r="M27670" s="9" t="s">
        <v>27</v>
      </c>
    </row>
    <row r="27671" ht="15.75" customHeight="1">
      <c r="A27671" s="7"/>
      <c r="B27671" s="7"/>
      <c r="M27671" s="9" t="s">
        <v>28</v>
      </c>
    </row>
    <row r="27672" ht="15.75" customHeight="1">
      <c r="A27672" s="7"/>
      <c r="B27672" s="7"/>
      <c r="M27672" s="9" t="s">
        <v>47</v>
      </c>
    </row>
    <row r="27673" ht="15.75" customHeight="1">
      <c r="A27673" s="7"/>
      <c r="B27673" s="7"/>
      <c r="M27673" s="9" t="s">
        <v>24</v>
      </c>
    </row>
    <row r="27674" ht="15.75" customHeight="1">
      <c r="A27674" s="7"/>
      <c r="B27674" s="7"/>
      <c r="M27674" s="9" t="s">
        <v>21</v>
      </c>
    </row>
    <row r="27675" ht="15.75" customHeight="1">
      <c r="A27675" s="7"/>
      <c r="B27675" s="7"/>
      <c r="M27675" s="9" t="s">
        <v>37</v>
      </c>
    </row>
    <row r="27676" ht="15.75" customHeight="1">
      <c r="A27676" s="7"/>
      <c r="B27676" s="7"/>
      <c r="M27676" s="9" t="s">
        <v>24</v>
      </c>
    </row>
    <row r="27677" ht="15.75" customHeight="1">
      <c r="A27677" s="7"/>
      <c r="B27677" s="7"/>
      <c r="M27677" s="9" t="s">
        <v>20</v>
      </c>
    </row>
    <row r="27678" ht="15.75" customHeight="1">
      <c r="A27678" s="7"/>
      <c r="B27678" s="7"/>
      <c r="M27678" s="9" t="s">
        <v>21</v>
      </c>
    </row>
    <row r="27679" ht="15.75" customHeight="1">
      <c r="A27679" s="7"/>
      <c r="B27679" s="7"/>
      <c r="M27679" s="9" t="s">
        <v>22</v>
      </c>
    </row>
    <row r="27680" ht="15.75" customHeight="1">
      <c r="A27680" s="7"/>
      <c r="B27680" s="7"/>
      <c r="M27680" s="9" t="s">
        <v>31</v>
      </c>
    </row>
    <row r="27681" ht="15.75" customHeight="1">
      <c r="A27681" s="7"/>
      <c r="B27681" s="7"/>
      <c r="M27681" s="9" t="s">
        <v>26</v>
      </c>
    </row>
    <row r="27682" ht="15.75" customHeight="1">
      <c r="A27682" s="7"/>
      <c r="B27682" s="7"/>
      <c r="M27682" s="9" t="s">
        <v>20</v>
      </c>
    </row>
    <row r="27683" ht="15.75" customHeight="1">
      <c r="A27683" s="7"/>
      <c r="B27683" s="7"/>
      <c r="M27683" s="9" t="s">
        <v>21</v>
      </c>
    </row>
    <row r="27684" ht="15.75" customHeight="1">
      <c r="A27684" s="7"/>
      <c r="B27684" s="7"/>
      <c r="M27684" s="9" t="s">
        <v>37</v>
      </c>
    </row>
    <row r="27685" ht="15.75" customHeight="1">
      <c r="A27685" s="7"/>
      <c r="B27685" s="7"/>
      <c r="M27685" s="9" t="s">
        <v>27</v>
      </c>
    </row>
    <row r="27686" ht="15.75" customHeight="1">
      <c r="A27686" s="7"/>
      <c r="B27686" s="7"/>
      <c r="M27686" s="9" t="s">
        <v>23</v>
      </c>
    </row>
    <row r="27687" ht="15.75" customHeight="1">
      <c r="A27687" s="7"/>
      <c r="B27687" s="7"/>
      <c r="M27687" s="9" t="s">
        <v>24</v>
      </c>
    </row>
    <row r="27688" ht="15.75" customHeight="1">
      <c r="A27688" s="7"/>
      <c r="B27688" s="7"/>
      <c r="M27688" s="9" t="s">
        <v>20</v>
      </c>
    </row>
    <row r="27689" ht="15.75" customHeight="1">
      <c r="A27689" s="7"/>
      <c r="B27689" s="7"/>
      <c r="M27689" s="9" t="s">
        <v>22</v>
      </c>
    </row>
    <row r="27690" ht="15.75" customHeight="1">
      <c r="A27690" s="7"/>
      <c r="B27690" s="7"/>
      <c r="M27690" s="9" t="s">
        <v>27</v>
      </c>
    </row>
    <row r="27691" ht="15.75" customHeight="1">
      <c r="A27691" s="7"/>
      <c r="B27691" s="7"/>
      <c r="M27691" s="9" t="s">
        <v>35</v>
      </c>
    </row>
    <row r="27692" ht="15.75" customHeight="1">
      <c r="A27692" s="7"/>
      <c r="B27692" s="7"/>
      <c r="M27692" s="9" t="s">
        <v>25</v>
      </c>
    </row>
    <row r="27693" ht="15.75" customHeight="1">
      <c r="A27693" s="7"/>
      <c r="B27693" s="7"/>
      <c r="M27693" s="9" t="s">
        <v>23</v>
      </c>
    </row>
    <row r="27694" ht="15.75" customHeight="1">
      <c r="A27694" s="7"/>
      <c r="B27694" s="7"/>
      <c r="M27694" s="9" t="s">
        <v>21</v>
      </c>
    </row>
    <row r="27695" ht="15.75" customHeight="1">
      <c r="A27695" s="7"/>
      <c r="B27695" s="7"/>
      <c r="M27695" s="9" t="s">
        <v>22</v>
      </c>
    </row>
    <row r="27696" ht="15.75" customHeight="1">
      <c r="A27696" s="7"/>
      <c r="B27696" s="7"/>
      <c r="M27696" s="9" t="s">
        <v>27</v>
      </c>
    </row>
    <row r="27697" ht="15.75" customHeight="1">
      <c r="A27697" s="7"/>
      <c r="B27697" s="7"/>
      <c r="M27697" s="9" t="s">
        <v>26</v>
      </c>
    </row>
    <row r="27698" ht="15.75" customHeight="1">
      <c r="A27698" s="7"/>
      <c r="B27698" s="7"/>
      <c r="M27698" s="9" t="s">
        <v>22</v>
      </c>
    </row>
    <row r="27699" ht="15.75" customHeight="1">
      <c r="A27699" s="7"/>
      <c r="B27699" s="7"/>
      <c r="M27699" s="9" t="s">
        <v>32</v>
      </c>
    </row>
    <row r="27700" ht="15.75" customHeight="1">
      <c r="A27700" s="7"/>
      <c r="B27700" s="7"/>
      <c r="M27700" s="9" t="s">
        <v>35</v>
      </c>
    </row>
    <row r="27701" ht="15.75" customHeight="1">
      <c r="A27701" s="7"/>
      <c r="B27701" s="7"/>
      <c r="M27701" s="9" t="s">
        <v>30</v>
      </c>
    </row>
    <row r="27702" ht="15.75" customHeight="1">
      <c r="A27702" s="7"/>
      <c r="B27702" s="7"/>
      <c r="M27702" s="9" t="s">
        <v>26</v>
      </c>
    </row>
    <row r="27703" ht="15.75" customHeight="1">
      <c r="A27703" s="7"/>
      <c r="B27703" s="7"/>
      <c r="M27703" s="9" t="s">
        <v>24</v>
      </c>
    </row>
    <row r="27704" ht="15.75" customHeight="1">
      <c r="A27704" s="7"/>
      <c r="B27704" s="7"/>
      <c r="M27704" s="9" t="s">
        <v>21</v>
      </c>
    </row>
    <row r="27705" ht="15.75" customHeight="1">
      <c r="A27705" s="7"/>
      <c r="B27705" s="7"/>
      <c r="M27705" s="9" t="s">
        <v>27</v>
      </c>
    </row>
    <row r="27706" ht="15.75" customHeight="1">
      <c r="A27706" s="7"/>
      <c r="B27706" s="7"/>
      <c r="M27706" s="9" t="s">
        <v>25</v>
      </c>
    </row>
    <row r="27707" ht="15.75" customHeight="1">
      <c r="A27707" s="7"/>
      <c r="B27707" s="7"/>
      <c r="M27707" s="9" t="s">
        <v>23</v>
      </c>
    </row>
    <row r="27708" ht="15.75" customHeight="1">
      <c r="A27708" s="7"/>
      <c r="B27708" s="7"/>
      <c r="M27708" s="9" t="s">
        <v>20</v>
      </c>
    </row>
    <row r="27709" ht="15.75" customHeight="1">
      <c r="A27709" s="7"/>
      <c r="B27709" s="7"/>
      <c r="M27709" s="9" t="s">
        <v>39</v>
      </c>
    </row>
    <row r="27710" ht="15.75" customHeight="1">
      <c r="A27710" s="7"/>
      <c r="B27710" s="7"/>
      <c r="M27710" s="9" t="s">
        <v>22</v>
      </c>
    </row>
    <row r="27711" ht="15.75" customHeight="1">
      <c r="A27711" s="7"/>
      <c r="B27711" s="7"/>
      <c r="M27711" s="9" t="s">
        <v>24</v>
      </c>
    </row>
    <row r="27712" ht="15.75" customHeight="1">
      <c r="A27712" s="7"/>
      <c r="B27712" s="7"/>
      <c r="M27712" s="9" t="s">
        <v>21</v>
      </c>
    </row>
    <row r="27713" ht="15.75" customHeight="1">
      <c r="A27713" s="7"/>
      <c r="B27713" s="7"/>
      <c r="M27713" s="9" t="s">
        <v>37</v>
      </c>
    </row>
    <row r="27714" ht="15.75" customHeight="1">
      <c r="A27714" s="7"/>
      <c r="B27714" s="7"/>
      <c r="M27714" s="9" t="s">
        <v>22</v>
      </c>
    </row>
    <row r="27715" ht="15.75" customHeight="1">
      <c r="A27715" s="7"/>
      <c r="B27715" s="7"/>
      <c r="M27715" s="9" t="s">
        <v>46</v>
      </c>
    </row>
    <row r="27716" ht="15.75" customHeight="1">
      <c r="A27716" s="7"/>
      <c r="B27716" s="7"/>
      <c r="M27716" s="9" t="s">
        <v>24</v>
      </c>
    </row>
    <row r="27717" ht="15.75" customHeight="1">
      <c r="A27717" s="7"/>
      <c r="B27717" s="7"/>
      <c r="M27717" s="9" t="s">
        <v>21</v>
      </c>
    </row>
    <row r="27718" ht="15.75" customHeight="1">
      <c r="A27718" s="7"/>
      <c r="B27718" s="7"/>
      <c r="M27718" s="9" t="s">
        <v>31</v>
      </c>
    </row>
    <row r="27719" ht="15.75" customHeight="1">
      <c r="A27719" s="7"/>
      <c r="B27719" s="7"/>
      <c r="M27719" s="9" t="s">
        <v>24</v>
      </c>
    </row>
    <row r="27720" ht="15.75" customHeight="1">
      <c r="A27720" s="7"/>
      <c r="B27720" s="7"/>
      <c r="M27720" s="9" t="s">
        <v>21</v>
      </c>
    </row>
    <row r="27721" ht="15.75" customHeight="1">
      <c r="A27721" s="7"/>
      <c r="B27721" s="7"/>
      <c r="M27721" s="9" t="s">
        <v>33</v>
      </c>
    </row>
    <row r="27722" ht="15.75" customHeight="1">
      <c r="A27722" s="7"/>
      <c r="B27722" s="7"/>
      <c r="M27722" s="9" t="s">
        <v>22</v>
      </c>
    </row>
    <row r="27723" ht="15.75" customHeight="1">
      <c r="A27723" s="7"/>
      <c r="B27723" s="7"/>
      <c r="M27723" s="9" t="s">
        <v>29</v>
      </c>
    </row>
    <row r="27724" ht="15.75" customHeight="1">
      <c r="A27724" s="7"/>
      <c r="B27724" s="7"/>
      <c r="M27724" s="9" t="s">
        <v>27</v>
      </c>
    </row>
    <row r="27725" ht="15.75" customHeight="1">
      <c r="A27725" s="7"/>
      <c r="B27725" s="7"/>
      <c r="M27725" s="9" t="s">
        <v>23</v>
      </c>
    </row>
    <row r="27726" ht="15.75" customHeight="1">
      <c r="A27726" s="7"/>
      <c r="B27726" s="7"/>
      <c r="M27726" s="9" t="s">
        <v>26</v>
      </c>
    </row>
    <row r="27727" ht="15.75" customHeight="1">
      <c r="A27727" s="7"/>
      <c r="B27727" s="7"/>
      <c r="M27727" s="9" t="s">
        <v>24</v>
      </c>
    </row>
    <row r="27728" ht="15.75" customHeight="1">
      <c r="A27728" s="7"/>
      <c r="B27728" s="7"/>
      <c r="M27728" s="9" t="s">
        <v>20</v>
      </c>
    </row>
    <row r="27729" ht="15.75" customHeight="1">
      <c r="A27729" s="7"/>
      <c r="B27729" s="7"/>
      <c r="M27729" s="9" t="s">
        <v>21</v>
      </c>
    </row>
    <row r="27730" ht="15.75" customHeight="1">
      <c r="A27730" s="7"/>
      <c r="B27730" s="7"/>
      <c r="M27730" s="9" t="s">
        <v>27</v>
      </c>
    </row>
    <row r="27731" ht="15.75" customHeight="1">
      <c r="A27731" s="7"/>
      <c r="B27731" s="7"/>
      <c r="M27731" s="9" t="s">
        <v>33</v>
      </c>
    </row>
    <row r="27732" ht="15.75" customHeight="1">
      <c r="A27732" s="7"/>
      <c r="B27732" s="7"/>
      <c r="M27732" s="9" t="s">
        <v>42</v>
      </c>
    </row>
    <row r="27733" ht="15.75" customHeight="1">
      <c r="A27733" s="7"/>
      <c r="B27733" s="7"/>
      <c r="M27733" s="9" t="s">
        <v>24</v>
      </c>
    </row>
    <row r="27734" ht="15.75" customHeight="1">
      <c r="A27734" s="7"/>
      <c r="B27734" s="7"/>
      <c r="M27734" s="9" t="s">
        <v>21</v>
      </c>
    </row>
    <row r="27735" ht="15.75" customHeight="1">
      <c r="A27735" s="7"/>
      <c r="B27735" s="7"/>
      <c r="M27735" s="9" t="s">
        <v>33</v>
      </c>
    </row>
    <row r="27736" ht="15.75" customHeight="1">
      <c r="A27736" s="7"/>
      <c r="B27736" s="7"/>
      <c r="M27736" s="9" t="s">
        <v>26</v>
      </c>
    </row>
    <row r="27737" ht="15.75" customHeight="1">
      <c r="A27737" s="7"/>
      <c r="B27737" s="7"/>
      <c r="M27737" s="9" t="s">
        <v>21</v>
      </c>
    </row>
    <row r="27738" ht="15.75" customHeight="1">
      <c r="A27738" s="7"/>
      <c r="B27738" s="7"/>
      <c r="M27738" s="9" t="s">
        <v>27</v>
      </c>
    </row>
    <row r="27739" ht="15.75" customHeight="1">
      <c r="A27739" s="7"/>
      <c r="B27739" s="7"/>
      <c r="M27739" s="9" t="s">
        <v>47</v>
      </c>
    </row>
    <row r="27740" ht="15.75" customHeight="1">
      <c r="A27740" s="7"/>
      <c r="B27740" s="7"/>
      <c r="M27740" s="9" t="s">
        <v>20</v>
      </c>
    </row>
    <row r="27741" ht="15.75" customHeight="1">
      <c r="A27741" s="7"/>
      <c r="B27741" s="7"/>
      <c r="M27741" s="9" t="s">
        <v>21</v>
      </c>
    </row>
    <row r="27742" ht="15.75" customHeight="1">
      <c r="A27742" s="7"/>
      <c r="B27742" s="7"/>
      <c r="M27742" s="9" t="s">
        <v>41</v>
      </c>
    </row>
    <row r="27743" ht="15.75" customHeight="1">
      <c r="A27743" s="7"/>
      <c r="B27743" s="7"/>
      <c r="M27743" s="9" t="s">
        <v>22</v>
      </c>
    </row>
    <row r="27744" ht="15.75" customHeight="1">
      <c r="A27744" s="7"/>
      <c r="B27744" s="7"/>
      <c r="M27744" s="9" t="s">
        <v>40</v>
      </c>
    </row>
    <row r="27745" ht="15.75" customHeight="1">
      <c r="A27745" s="7"/>
      <c r="B27745" s="7"/>
      <c r="M27745" s="9" t="s">
        <v>20</v>
      </c>
    </row>
    <row r="27746" ht="15.75" customHeight="1">
      <c r="A27746" s="7"/>
      <c r="B27746" s="7"/>
      <c r="M27746" s="9" t="s">
        <v>27</v>
      </c>
    </row>
    <row r="27747" ht="15.75" customHeight="1">
      <c r="A27747" s="7"/>
      <c r="B27747" s="7"/>
      <c r="M27747" s="9" t="s">
        <v>30</v>
      </c>
    </row>
    <row r="27748" ht="15.75" customHeight="1">
      <c r="A27748" s="7"/>
      <c r="B27748" s="7"/>
      <c r="M27748" s="9" t="s">
        <v>22</v>
      </c>
    </row>
    <row r="27749" ht="15.75" customHeight="1">
      <c r="A27749" s="7"/>
      <c r="B27749" s="7"/>
      <c r="M27749" s="9" t="s">
        <v>24</v>
      </c>
    </row>
    <row r="27750" ht="15.75" customHeight="1">
      <c r="A27750" s="7"/>
      <c r="B27750" s="7"/>
      <c r="M27750" s="9" t="s">
        <v>20</v>
      </c>
    </row>
    <row r="27751" ht="15.75" customHeight="1">
      <c r="A27751" s="7"/>
      <c r="B27751" s="7"/>
      <c r="M27751" s="9" t="s">
        <v>21</v>
      </c>
    </row>
    <row r="27752" ht="15.75" customHeight="1">
      <c r="A27752" s="7"/>
      <c r="B27752" s="7"/>
      <c r="M27752" s="9" t="s">
        <v>22</v>
      </c>
    </row>
    <row r="27753" ht="15.75" customHeight="1">
      <c r="A27753" s="7"/>
      <c r="B27753" s="7"/>
      <c r="M27753" s="9" t="s">
        <v>29</v>
      </c>
    </row>
    <row r="27754" ht="15.75" customHeight="1">
      <c r="A27754" s="7"/>
      <c r="B27754" s="7"/>
      <c r="M27754" s="9" t="s">
        <v>27</v>
      </c>
    </row>
    <row r="27755" ht="15.75" customHeight="1">
      <c r="A27755" s="7"/>
      <c r="B27755" s="7"/>
      <c r="M27755" s="9" t="s">
        <v>30</v>
      </c>
    </row>
    <row r="27756" ht="15.75" customHeight="1">
      <c r="A27756" s="7"/>
      <c r="B27756" s="7"/>
      <c r="M27756" s="9" t="s">
        <v>26</v>
      </c>
    </row>
    <row r="27757" ht="15.75" customHeight="1">
      <c r="A27757" s="7"/>
      <c r="B27757" s="7"/>
      <c r="M27757" s="9" t="s">
        <v>33</v>
      </c>
    </row>
    <row r="27758" ht="15.75" customHeight="1">
      <c r="A27758" s="7"/>
      <c r="B27758" s="7"/>
      <c r="M27758" s="9" t="s">
        <v>26</v>
      </c>
    </row>
    <row r="27759" ht="15.75" customHeight="1">
      <c r="A27759" s="7"/>
      <c r="B27759" s="7"/>
      <c r="M27759" s="9" t="s">
        <v>45</v>
      </c>
    </row>
    <row r="27760" ht="15.75" customHeight="1">
      <c r="A27760" s="7"/>
      <c r="B27760" s="7"/>
      <c r="M27760" s="9" t="s">
        <v>22</v>
      </c>
    </row>
    <row r="27761" ht="15.75" customHeight="1">
      <c r="A27761" s="7"/>
      <c r="B27761" s="7"/>
      <c r="M27761" s="9" t="s">
        <v>27</v>
      </c>
    </row>
    <row r="27762" ht="15.75" customHeight="1">
      <c r="A27762" s="7"/>
      <c r="B27762" s="7"/>
      <c r="M27762" s="9" t="s">
        <v>35</v>
      </c>
    </row>
    <row r="27763" ht="15.75" customHeight="1">
      <c r="A27763" s="7"/>
      <c r="B27763" s="7"/>
      <c r="M27763" s="9" t="s">
        <v>30</v>
      </c>
    </row>
    <row r="27764" ht="15.75" customHeight="1">
      <c r="A27764" s="7"/>
      <c r="B27764" s="7"/>
      <c r="M27764" s="9" t="s">
        <v>26</v>
      </c>
    </row>
    <row r="27765" ht="15.75" customHeight="1">
      <c r="A27765" s="7"/>
      <c r="B27765" s="7"/>
      <c r="M27765" s="9" t="s">
        <v>24</v>
      </c>
    </row>
    <row r="27766" ht="15.75" customHeight="1">
      <c r="A27766" s="7"/>
      <c r="B27766" s="7"/>
      <c r="M27766" s="9" t="s">
        <v>20</v>
      </c>
    </row>
    <row r="27767" ht="15.75" customHeight="1">
      <c r="A27767" s="7"/>
      <c r="B27767" s="7"/>
      <c r="M27767" s="9" t="s">
        <v>21</v>
      </c>
    </row>
    <row r="27768" ht="15.75" customHeight="1">
      <c r="A27768" s="7"/>
      <c r="B27768" s="7"/>
      <c r="M27768" s="9" t="s">
        <v>27</v>
      </c>
    </row>
    <row r="27769" ht="15.75" customHeight="1">
      <c r="A27769" s="7"/>
      <c r="B27769" s="7"/>
      <c r="M27769" s="9" t="s">
        <v>24</v>
      </c>
    </row>
    <row r="27770" ht="15.75" customHeight="1">
      <c r="A27770" s="7"/>
      <c r="B27770" s="7"/>
      <c r="M27770" s="9" t="s">
        <v>21</v>
      </c>
    </row>
    <row r="27771" ht="15.75" customHeight="1">
      <c r="A27771" s="7"/>
      <c r="B27771" s="7"/>
      <c r="M27771" s="9" t="s">
        <v>37</v>
      </c>
    </row>
    <row r="27772" ht="15.75" customHeight="1">
      <c r="A27772" s="7"/>
      <c r="B27772" s="7"/>
      <c r="M27772" s="9" t="s">
        <v>33</v>
      </c>
    </row>
    <row r="27773" ht="15.75" customHeight="1">
      <c r="A27773" s="7"/>
      <c r="B27773" s="7"/>
      <c r="M27773" s="9" t="s">
        <v>36</v>
      </c>
    </row>
    <row r="27774" ht="15.75" customHeight="1">
      <c r="A27774" s="7"/>
      <c r="B27774" s="7"/>
      <c r="M27774" s="9" t="s">
        <v>20</v>
      </c>
    </row>
    <row r="27775" ht="15.75" customHeight="1">
      <c r="A27775" s="7"/>
      <c r="B27775" s="7"/>
      <c r="M27775" s="9" t="s">
        <v>22</v>
      </c>
    </row>
    <row r="27776" ht="15.75" customHeight="1">
      <c r="A27776" s="7"/>
      <c r="B27776" s="7"/>
      <c r="M27776" s="9" t="s">
        <v>29</v>
      </c>
    </row>
    <row r="27777" ht="15.75" customHeight="1">
      <c r="A27777" s="7"/>
      <c r="B27777" s="7"/>
      <c r="M27777" s="9" t="s">
        <v>24</v>
      </c>
    </row>
    <row r="27778" ht="15.75" customHeight="1">
      <c r="A27778" s="7"/>
      <c r="B27778" s="7"/>
      <c r="M27778" s="9" t="s">
        <v>20</v>
      </c>
    </row>
    <row r="27779" ht="15.75" customHeight="1">
      <c r="A27779" s="7"/>
      <c r="B27779" s="7"/>
      <c r="M27779" s="9" t="s">
        <v>21</v>
      </c>
    </row>
    <row r="27780" ht="15.75" customHeight="1">
      <c r="A27780" s="7"/>
      <c r="B27780" s="7"/>
      <c r="M27780" s="9" t="s">
        <v>37</v>
      </c>
    </row>
    <row r="27781" ht="15.75" customHeight="1">
      <c r="A27781" s="7"/>
      <c r="B27781" s="7"/>
      <c r="M27781" s="9" t="s">
        <v>22</v>
      </c>
    </row>
    <row r="27782" ht="15.75" customHeight="1">
      <c r="A27782" s="7"/>
      <c r="B27782" s="7"/>
      <c r="M27782" s="9" t="s">
        <v>27</v>
      </c>
    </row>
    <row r="27783" ht="15.75" customHeight="1">
      <c r="A27783" s="7"/>
      <c r="B27783" s="7"/>
      <c r="M27783" s="9" t="s">
        <v>30</v>
      </c>
    </row>
    <row r="27784" ht="15.75" customHeight="1">
      <c r="A27784" s="7"/>
      <c r="B27784" s="7"/>
      <c r="M27784" s="9" t="s">
        <v>24</v>
      </c>
    </row>
    <row r="27785" ht="15.75" customHeight="1">
      <c r="A27785" s="7"/>
      <c r="B27785" s="7"/>
      <c r="M27785" s="9" t="s">
        <v>20</v>
      </c>
    </row>
    <row r="27786" ht="15.75" customHeight="1">
      <c r="A27786" s="7"/>
      <c r="B27786" s="7"/>
      <c r="M27786" s="9" t="s">
        <v>21</v>
      </c>
    </row>
    <row r="27787" ht="15.75" customHeight="1">
      <c r="A27787" s="7"/>
      <c r="B27787" s="7"/>
      <c r="M27787" s="9" t="s">
        <v>22</v>
      </c>
    </row>
    <row r="27788" ht="15.75" customHeight="1">
      <c r="A27788" s="7"/>
      <c r="B27788" s="7"/>
      <c r="M27788" s="9" t="s">
        <v>28</v>
      </c>
    </row>
    <row r="27789" ht="15.75" customHeight="1">
      <c r="A27789" s="7"/>
      <c r="B27789" s="7"/>
      <c r="M27789" s="9" t="s">
        <v>38</v>
      </c>
    </row>
    <row r="27790" ht="15.75" customHeight="1">
      <c r="A27790" s="7"/>
      <c r="B27790" s="7"/>
      <c r="M27790" s="9" t="s">
        <v>27</v>
      </c>
    </row>
    <row r="27791" ht="15.75" customHeight="1">
      <c r="A27791" s="7"/>
      <c r="B27791" s="7"/>
      <c r="M27791" s="9" t="s">
        <v>24</v>
      </c>
    </row>
    <row r="27792" ht="15.75" customHeight="1">
      <c r="A27792" s="7"/>
      <c r="B27792" s="7"/>
      <c r="M27792" s="9" t="s">
        <v>20</v>
      </c>
    </row>
    <row r="27793" ht="15.75" customHeight="1">
      <c r="A27793" s="7"/>
      <c r="B27793" s="7"/>
      <c r="M27793" s="9" t="s">
        <v>21</v>
      </c>
    </row>
    <row r="27794" ht="15.75" customHeight="1">
      <c r="A27794" s="7"/>
      <c r="B27794" s="7"/>
      <c r="M27794" s="9" t="s">
        <v>27</v>
      </c>
    </row>
    <row r="27795" ht="15.75" customHeight="1">
      <c r="A27795" s="7"/>
      <c r="B27795" s="7"/>
      <c r="M27795" s="9" t="s">
        <v>26</v>
      </c>
    </row>
    <row r="27796" ht="15.75" customHeight="1">
      <c r="A27796" s="7"/>
      <c r="B27796" s="7"/>
      <c r="M27796" s="9" t="s">
        <v>27</v>
      </c>
    </row>
    <row r="27797" ht="15.75" customHeight="1">
      <c r="A27797" s="7"/>
      <c r="B27797" s="7"/>
      <c r="M27797" s="9" t="s">
        <v>25</v>
      </c>
    </row>
    <row r="27798" ht="15.75" customHeight="1">
      <c r="A27798" s="7"/>
      <c r="B27798" s="7"/>
      <c r="M27798" s="9" t="s">
        <v>26</v>
      </c>
    </row>
    <row r="27799" ht="15.75" customHeight="1">
      <c r="A27799" s="7"/>
      <c r="B27799" s="7"/>
      <c r="M27799" s="9" t="s">
        <v>24</v>
      </c>
    </row>
    <row r="27800" ht="15.75" customHeight="1">
      <c r="A27800" s="7"/>
      <c r="B27800" s="7"/>
      <c r="M27800" s="9" t="s">
        <v>20</v>
      </c>
    </row>
    <row r="27801" ht="15.75" customHeight="1">
      <c r="A27801" s="7"/>
      <c r="B27801" s="7"/>
      <c r="M27801" s="9" t="s">
        <v>21</v>
      </c>
    </row>
    <row r="27802" ht="15.75" customHeight="1">
      <c r="A27802" s="7"/>
      <c r="B27802" s="7"/>
      <c r="M27802" s="9" t="s">
        <v>37</v>
      </c>
    </row>
    <row r="27803" ht="15.75" customHeight="1">
      <c r="A27803" s="7"/>
      <c r="B27803" s="7"/>
      <c r="M27803" s="9" t="s">
        <v>22</v>
      </c>
    </row>
    <row r="27804" ht="15.75" customHeight="1">
      <c r="A27804" s="7"/>
      <c r="B27804" s="7"/>
      <c r="M27804" s="9" t="s">
        <v>31</v>
      </c>
    </row>
    <row r="27805" ht="15.75" customHeight="1">
      <c r="A27805" s="7"/>
      <c r="B27805" s="7"/>
      <c r="M27805" s="9" t="s">
        <v>27</v>
      </c>
    </row>
    <row r="27806" ht="15.75" customHeight="1">
      <c r="A27806" s="7"/>
      <c r="B27806" s="7"/>
      <c r="M27806" s="9" t="s">
        <v>30</v>
      </c>
    </row>
    <row r="27807" ht="15.75" customHeight="1">
      <c r="A27807" s="7"/>
      <c r="B27807" s="7"/>
      <c r="M27807" s="9" t="s">
        <v>26</v>
      </c>
    </row>
    <row r="27808" ht="15.75" customHeight="1">
      <c r="A27808" s="7"/>
      <c r="B27808" s="7"/>
      <c r="M27808" s="9" t="s">
        <v>24</v>
      </c>
    </row>
    <row r="27809" ht="15.75" customHeight="1">
      <c r="A27809" s="7"/>
      <c r="B27809" s="7"/>
      <c r="M27809" s="9" t="s">
        <v>21</v>
      </c>
    </row>
    <row r="27810" ht="15.75" customHeight="1">
      <c r="A27810" s="7"/>
      <c r="B27810" s="7"/>
      <c r="M27810" s="9" t="s">
        <v>37</v>
      </c>
    </row>
    <row r="27811" ht="15.75" customHeight="1">
      <c r="A27811" s="7"/>
      <c r="B27811" s="7"/>
      <c r="M27811" s="9" t="s">
        <v>22</v>
      </c>
    </row>
    <row r="27812" ht="15.75" customHeight="1">
      <c r="A27812" s="7"/>
      <c r="B27812" s="7"/>
      <c r="M27812" s="9" t="s">
        <v>27</v>
      </c>
    </row>
    <row r="27813" ht="15.75" customHeight="1">
      <c r="A27813" s="7"/>
      <c r="B27813" s="7"/>
      <c r="M27813" s="9" t="s">
        <v>30</v>
      </c>
    </row>
    <row r="27814" ht="15.75" customHeight="1">
      <c r="A27814" s="7"/>
      <c r="B27814" s="7"/>
      <c r="M27814" s="9" t="s">
        <v>24</v>
      </c>
    </row>
    <row r="27815" ht="15.75" customHeight="1">
      <c r="A27815" s="7"/>
      <c r="B27815" s="7"/>
      <c r="M27815" s="9" t="s">
        <v>21</v>
      </c>
    </row>
    <row r="27816" ht="15.75" customHeight="1">
      <c r="A27816" s="7"/>
      <c r="B27816" s="7"/>
      <c r="M27816" s="9" t="s">
        <v>22</v>
      </c>
    </row>
    <row r="27817" ht="15.75" customHeight="1">
      <c r="A27817" s="7"/>
      <c r="B27817" s="7"/>
      <c r="M27817" s="9" t="s">
        <v>29</v>
      </c>
    </row>
    <row r="27818" ht="15.75" customHeight="1">
      <c r="A27818" s="7"/>
      <c r="B27818" s="7"/>
      <c r="M27818" s="9" t="s">
        <v>27</v>
      </c>
    </row>
    <row r="27819" ht="15.75" customHeight="1">
      <c r="A27819" s="7"/>
      <c r="B27819" s="7"/>
      <c r="M27819" s="9" t="s">
        <v>28</v>
      </c>
    </row>
    <row r="27820" ht="15.75" customHeight="1">
      <c r="A27820" s="7"/>
      <c r="B27820" s="7"/>
      <c r="M27820" s="9" t="s">
        <v>30</v>
      </c>
    </row>
    <row r="27821" ht="15.75" customHeight="1">
      <c r="A27821" s="7"/>
      <c r="B27821" s="7"/>
      <c r="M27821" s="9" t="s">
        <v>24</v>
      </c>
    </row>
    <row r="27822" ht="15.75" customHeight="1">
      <c r="A27822" s="7"/>
      <c r="B27822" s="7"/>
      <c r="M27822" s="9" t="s">
        <v>21</v>
      </c>
    </row>
    <row r="27823" ht="15.75" customHeight="1">
      <c r="A27823" s="7"/>
      <c r="B27823" s="7"/>
      <c r="M27823" s="9" t="s">
        <v>37</v>
      </c>
    </row>
    <row r="27824" ht="15.75" customHeight="1">
      <c r="A27824" s="7"/>
      <c r="B27824" s="7"/>
      <c r="M27824" s="9" t="s">
        <v>27</v>
      </c>
    </row>
    <row r="27825" ht="15.75" customHeight="1">
      <c r="A27825" s="7"/>
      <c r="B27825" s="7"/>
      <c r="M27825" s="9" t="s">
        <v>38</v>
      </c>
    </row>
    <row r="27826" ht="15.75" customHeight="1">
      <c r="A27826" s="7"/>
      <c r="B27826" s="7"/>
      <c r="M27826" s="9" t="s">
        <v>30</v>
      </c>
    </row>
    <row r="27827" ht="15.75" customHeight="1">
      <c r="A27827" s="7"/>
      <c r="B27827" s="7"/>
      <c r="M27827" s="9" t="s">
        <v>25</v>
      </c>
    </row>
    <row r="27828" ht="15.75" customHeight="1">
      <c r="A27828" s="7"/>
      <c r="B27828" s="7"/>
      <c r="M27828" s="9" t="s">
        <v>26</v>
      </c>
    </row>
    <row r="27829" ht="15.75" customHeight="1">
      <c r="A27829" s="7"/>
      <c r="B27829" s="7"/>
      <c r="M27829" s="9" t="s">
        <v>36</v>
      </c>
    </row>
    <row r="27830" ht="15.75" customHeight="1">
      <c r="A27830" s="7"/>
      <c r="B27830" s="7"/>
      <c r="M27830" s="9" t="s">
        <v>24</v>
      </c>
    </row>
    <row r="27831" ht="15.75" customHeight="1">
      <c r="A27831" s="7"/>
      <c r="B27831" s="7"/>
      <c r="M27831" s="9" t="s">
        <v>21</v>
      </c>
    </row>
    <row r="27832" ht="15.75" customHeight="1">
      <c r="A27832" s="7"/>
      <c r="B27832" s="7"/>
      <c r="M27832" s="9" t="s">
        <v>32</v>
      </c>
    </row>
    <row r="27833" ht="15.75" customHeight="1">
      <c r="A27833" s="7"/>
      <c r="B27833" s="7"/>
      <c r="M27833" s="9" t="s">
        <v>27</v>
      </c>
    </row>
    <row r="27834" ht="15.75" customHeight="1">
      <c r="A27834" s="7"/>
      <c r="B27834" s="7"/>
      <c r="M27834" s="9" t="s">
        <v>33</v>
      </c>
    </row>
    <row r="27835" ht="15.75" customHeight="1">
      <c r="A27835" s="7"/>
      <c r="B27835" s="7"/>
      <c r="M27835" s="9" t="s">
        <v>34</v>
      </c>
    </row>
    <row r="27836" ht="15.75" customHeight="1">
      <c r="A27836" s="7"/>
      <c r="B27836" s="7"/>
      <c r="M27836" s="9" t="s">
        <v>22</v>
      </c>
    </row>
    <row r="27837" ht="15.75" customHeight="1">
      <c r="A27837" s="7"/>
      <c r="B27837" s="7"/>
      <c r="M27837" s="9" t="s">
        <v>24</v>
      </c>
    </row>
    <row r="27838" ht="15.75" customHeight="1">
      <c r="A27838" s="7"/>
      <c r="B27838" s="7"/>
      <c r="M27838" s="9" t="s">
        <v>20</v>
      </c>
    </row>
    <row r="27839" ht="15.75" customHeight="1">
      <c r="A27839" s="7"/>
      <c r="B27839" s="7"/>
      <c r="M27839" s="9" t="s">
        <v>21</v>
      </c>
    </row>
    <row r="27840" ht="15.75" customHeight="1">
      <c r="A27840" s="7"/>
      <c r="B27840" s="7"/>
      <c r="M27840" s="9" t="s">
        <v>20</v>
      </c>
    </row>
    <row r="27841" ht="15.75" customHeight="1">
      <c r="A27841" s="7"/>
      <c r="B27841" s="7"/>
      <c r="M27841" s="9" t="s">
        <v>21</v>
      </c>
    </row>
    <row r="27842" ht="15.75" customHeight="1">
      <c r="A27842" s="7"/>
      <c r="B27842" s="7"/>
      <c r="M27842" s="9" t="s">
        <v>41</v>
      </c>
    </row>
    <row r="27843" ht="15.75" customHeight="1">
      <c r="A27843" s="7"/>
      <c r="B27843" s="7"/>
      <c r="M27843" s="9" t="s">
        <v>33</v>
      </c>
    </row>
    <row r="27844" ht="15.75" customHeight="1">
      <c r="A27844" s="7"/>
      <c r="B27844" s="7"/>
      <c r="M27844" s="9" t="s">
        <v>30</v>
      </c>
    </row>
    <row r="27845" ht="15.75" customHeight="1">
      <c r="A27845" s="7"/>
      <c r="B27845" s="7"/>
      <c r="M27845" s="9" t="s">
        <v>36</v>
      </c>
    </row>
    <row r="27846" ht="15.75" customHeight="1">
      <c r="A27846" s="7"/>
      <c r="B27846" s="7"/>
      <c r="M27846" s="9" t="s">
        <v>24</v>
      </c>
    </row>
    <row r="27847" ht="15.75" customHeight="1">
      <c r="A27847" s="7"/>
      <c r="B27847" s="7"/>
      <c r="M27847" s="9" t="s">
        <v>21</v>
      </c>
    </row>
    <row r="27848" ht="15.75" customHeight="1">
      <c r="A27848" s="7"/>
      <c r="B27848" s="7"/>
      <c r="M27848" s="9" t="s">
        <v>22</v>
      </c>
    </row>
    <row r="27849" ht="15.75" customHeight="1">
      <c r="A27849" s="7"/>
      <c r="B27849" s="7"/>
      <c r="M27849" s="9" t="s">
        <v>31</v>
      </c>
    </row>
    <row r="27850" ht="15.75" customHeight="1">
      <c r="A27850" s="7"/>
      <c r="B27850" s="7"/>
      <c r="M27850" s="9" t="s">
        <v>27</v>
      </c>
    </row>
    <row r="27851" ht="15.75" customHeight="1">
      <c r="A27851" s="7"/>
      <c r="B27851" s="7"/>
      <c r="M27851" s="9" t="s">
        <v>30</v>
      </c>
    </row>
    <row r="27852" ht="15.75" customHeight="1">
      <c r="A27852" s="7"/>
      <c r="B27852" s="7"/>
      <c r="M27852" s="9" t="s">
        <v>26</v>
      </c>
    </row>
    <row r="27853" ht="15.75" customHeight="1">
      <c r="A27853" s="7"/>
      <c r="B27853" s="7"/>
      <c r="M27853" s="9" t="s">
        <v>24</v>
      </c>
    </row>
    <row r="27854" ht="15.75" customHeight="1">
      <c r="A27854" s="7"/>
      <c r="B27854" s="7"/>
      <c r="M27854" s="9" t="s">
        <v>33</v>
      </c>
    </row>
    <row r="27855" ht="15.75" customHeight="1">
      <c r="A27855" s="7"/>
      <c r="B27855" s="7"/>
      <c r="M27855" s="9" t="s">
        <v>30</v>
      </c>
    </row>
    <row r="27856" ht="15.75" customHeight="1">
      <c r="A27856" s="7"/>
      <c r="B27856" s="7"/>
      <c r="M27856" s="9" t="s">
        <v>24</v>
      </c>
    </row>
    <row r="27857" ht="15.75" customHeight="1">
      <c r="A27857" s="7"/>
      <c r="B27857" s="7"/>
      <c r="M27857" s="9" t="s">
        <v>21</v>
      </c>
    </row>
    <row r="27858" ht="15.75" customHeight="1">
      <c r="A27858" s="7"/>
      <c r="B27858" s="7"/>
      <c r="M27858" s="9" t="s">
        <v>37</v>
      </c>
    </row>
    <row r="27859" ht="15.75" customHeight="1">
      <c r="A27859" s="7"/>
      <c r="B27859" s="7"/>
      <c r="M27859" s="9" t="s">
        <v>22</v>
      </c>
    </row>
    <row r="27860" ht="15.75" customHeight="1">
      <c r="A27860" s="7"/>
      <c r="B27860" s="7"/>
      <c r="M27860" s="9" t="s">
        <v>30</v>
      </c>
    </row>
    <row r="27861" ht="15.75" customHeight="1">
      <c r="A27861" s="7"/>
      <c r="B27861" s="7"/>
      <c r="M27861" s="9" t="s">
        <v>26</v>
      </c>
    </row>
    <row r="27862" ht="15.75" customHeight="1">
      <c r="A27862" s="7"/>
      <c r="B27862" s="7"/>
      <c r="M27862" s="9" t="s">
        <v>24</v>
      </c>
    </row>
    <row r="27863" ht="15.75" customHeight="1">
      <c r="A27863" s="7"/>
      <c r="B27863" s="7"/>
      <c r="M27863" s="9" t="s">
        <v>21</v>
      </c>
    </row>
    <row r="27864" ht="15.75" customHeight="1">
      <c r="A27864" s="7"/>
      <c r="B27864" s="7"/>
      <c r="M27864" s="9" t="s">
        <v>33</v>
      </c>
    </row>
    <row r="27865" ht="15.75" customHeight="1">
      <c r="A27865" s="7"/>
      <c r="B27865" s="7"/>
      <c r="M27865" s="9" t="s">
        <v>24</v>
      </c>
    </row>
    <row r="27866" ht="15.75" customHeight="1">
      <c r="A27866" s="7"/>
      <c r="B27866" s="7"/>
      <c r="M27866" s="9" t="s">
        <v>21</v>
      </c>
    </row>
    <row r="27867" ht="15.75" customHeight="1">
      <c r="A27867" s="7"/>
      <c r="B27867" s="7"/>
      <c r="M27867" s="9" t="s">
        <v>37</v>
      </c>
    </row>
    <row r="27868" ht="15.75" customHeight="1">
      <c r="A27868" s="7"/>
      <c r="B27868" s="7"/>
      <c r="M27868" s="9" t="s">
        <v>30</v>
      </c>
    </row>
    <row r="27869" ht="15.75" customHeight="1">
      <c r="A27869" s="7"/>
      <c r="B27869" s="7"/>
      <c r="M27869" s="9" t="s">
        <v>24</v>
      </c>
    </row>
    <row r="27870" ht="15.75" customHeight="1">
      <c r="A27870" s="7"/>
      <c r="B27870" s="7"/>
      <c r="M27870" s="9" t="s">
        <v>21</v>
      </c>
    </row>
    <row r="27871" ht="15.75" customHeight="1">
      <c r="A27871" s="7"/>
      <c r="B27871" s="7"/>
      <c r="M27871" s="9" t="s">
        <v>37</v>
      </c>
    </row>
    <row r="27872" ht="15.75" customHeight="1">
      <c r="A27872" s="7"/>
      <c r="B27872" s="7"/>
      <c r="M27872" s="9" t="s">
        <v>22</v>
      </c>
    </row>
    <row r="27873" ht="15.75" customHeight="1">
      <c r="A27873" s="7"/>
      <c r="B27873" s="7"/>
      <c r="M27873" s="9" t="s">
        <v>27</v>
      </c>
    </row>
    <row r="27874" ht="15.75" customHeight="1">
      <c r="A27874" s="7"/>
      <c r="B27874" s="7"/>
      <c r="M27874" s="9" t="s">
        <v>33</v>
      </c>
    </row>
    <row r="27875" ht="15.75" customHeight="1">
      <c r="A27875" s="7"/>
      <c r="B27875" s="7"/>
      <c r="M27875" s="9" t="s">
        <v>30</v>
      </c>
    </row>
    <row r="27876" ht="15.75" customHeight="1">
      <c r="A27876" s="7"/>
      <c r="B27876" s="7"/>
      <c r="M27876" s="9" t="s">
        <v>25</v>
      </c>
    </row>
    <row r="27877" ht="15.75" customHeight="1">
      <c r="A27877" s="7"/>
      <c r="B27877" s="7"/>
      <c r="M27877" s="9" t="s">
        <v>23</v>
      </c>
    </row>
    <row r="27878" ht="15.75" customHeight="1">
      <c r="A27878" s="7"/>
      <c r="B27878" s="7"/>
      <c r="M27878" s="9" t="s">
        <v>26</v>
      </c>
    </row>
    <row r="27879" ht="15.75" customHeight="1">
      <c r="A27879" s="7"/>
      <c r="B27879" s="7"/>
      <c r="M27879" s="9" t="s">
        <v>24</v>
      </c>
    </row>
    <row r="27880" ht="15.75" customHeight="1">
      <c r="A27880" s="7"/>
      <c r="B27880" s="7"/>
      <c r="M27880" s="9" t="s">
        <v>20</v>
      </c>
    </row>
    <row r="27881" ht="15.75" customHeight="1">
      <c r="A27881" s="7"/>
      <c r="B27881" s="7"/>
      <c r="M27881" s="9" t="s">
        <v>21</v>
      </c>
    </row>
    <row r="27882" ht="15.75" customHeight="1">
      <c r="A27882" s="7"/>
      <c r="B27882" s="7"/>
      <c r="M27882" s="9" t="s">
        <v>22</v>
      </c>
    </row>
    <row r="27883" ht="15.75" customHeight="1">
      <c r="A27883" s="7"/>
      <c r="B27883" s="7"/>
      <c r="M27883" s="9" t="s">
        <v>27</v>
      </c>
    </row>
    <row r="27884" ht="15.75" customHeight="1">
      <c r="A27884" s="7"/>
      <c r="B27884" s="7"/>
      <c r="M27884" s="9" t="s">
        <v>35</v>
      </c>
    </row>
    <row r="27885" ht="15.75" customHeight="1">
      <c r="A27885" s="7"/>
      <c r="B27885" s="7"/>
      <c r="M27885" s="9" t="s">
        <v>24</v>
      </c>
    </row>
    <row r="27886" ht="15.75" customHeight="1">
      <c r="A27886" s="7"/>
      <c r="B27886" s="7"/>
      <c r="M27886" s="9" t="s">
        <v>20</v>
      </c>
    </row>
    <row r="27887" ht="15.75" customHeight="1">
      <c r="A27887" s="7"/>
      <c r="B27887" s="7"/>
      <c r="M27887" s="9" t="s">
        <v>21</v>
      </c>
    </row>
    <row r="27888" ht="15.75" customHeight="1">
      <c r="A27888" s="7"/>
      <c r="B27888" s="7"/>
      <c r="M27888" s="9" t="s">
        <v>37</v>
      </c>
    </row>
    <row r="27889" ht="15.75" customHeight="1">
      <c r="A27889" s="7"/>
      <c r="B27889" s="7"/>
      <c r="M27889" s="9" t="s">
        <v>27</v>
      </c>
    </row>
    <row r="27890" ht="15.75" customHeight="1">
      <c r="A27890" s="7"/>
      <c r="B27890" s="7"/>
      <c r="M27890" s="9" t="s">
        <v>33</v>
      </c>
    </row>
    <row r="27891" ht="15.75" customHeight="1">
      <c r="A27891" s="7"/>
      <c r="B27891" s="7"/>
      <c r="M27891" s="9" t="s">
        <v>30</v>
      </c>
    </row>
    <row r="27892" ht="15.75" customHeight="1">
      <c r="A27892" s="7"/>
      <c r="B27892" s="7"/>
      <c r="M27892" s="9" t="s">
        <v>24</v>
      </c>
    </row>
    <row r="27893" ht="15.75" customHeight="1">
      <c r="A27893" s="7"/>
      <c r="B27893" s="7"/>
      <c r="M27893" s="9" t="s">
        <v>21</v>
      </c>
    </row>
    <row r="27894" ht="15.75" customHeight="1">
      <c r="A27894" s="7"/>
      <c r="B27894" s="7"/>
      <c r="M27894" s="9" t="s">
        <v>33</v>
      </c>
    </row>
    <row r="27895" ht="15.75" customHeight="1">
      <c r="A27895" s="7"/>
      <c r="B27895" s="7"/>
      <c r="M27895" s="9" t="s">
        <v>26</v>
      </c>
    </row>
    <row r="27896" ht="15.75" customHeight="1">
      <c r="A27896" s="7"/>
      <c r="B27896" s="7"/>
      <c r="M27896" s="9" t="s">
        <v>24</v>
      </c>
    </row>
    <row r="27897" ht="15.75" customHeight="1">
      <c r="A27897" s="7"/>
      <c r="B27897" s="7"/>
      <c r="M27897" s="9" t="s">
        <v>21</v>
      </c>
    </row>
    <row r="27898" ht="15.75" customHeight="1">
      <c r="A27898" s="7"/>
      <c r="B27898" s="7"/>
      <c r="M27898" s="9" t="s">
        <v>27</v>
      </c>
    </row>
    <row r="27899" ht="15.75" customHeight="1">
      <c r="A27899" s="7"/>
      <c r="B27899" s="7"/>
      <c r="M27899" s="9" t="s">
        <v>38</v>
      </c>
    </row>
    <row r="27900" ht="15.75" customHeight="1">
      <c r="A27900" s="7"/>
      <c r="B27900" s="7"/>
      <c r="M27900" s="9" t="s">
        <v>30</v>
      </c>
    </row>
    <row r="27901" ht="15.75" customHeight="1">
      <c r="A27901" s="7"/>
      <c r="B27901" s="7"/>
      <c r="M27901" s="9" t="s">
        <v>25</v>
      </c>
    </row>
    <row r="27902" ht="15.75" customHeight="1">
      <c r="A27902" s="7"/>
      <c r="B27902" s="7"/>
      <c r="M27902" s="9" t="s">
        <v>23</v>
      </c>
    </row>
    <row r="27903" ht="15.75" customHeight="1">
      <c r="A27903" s="7"/>
      <c r="B27903" s="7"/>
      <c r="M27903" s="9" t="s">
        <v>32</v>
      </c>
    </row>
    <row r="27904" ht="15.75" customHeight="1">
      <c r="A27904" s="7"/>
      <c r="B27904" s="7"/>
      <c r="M27904" s="9" t="s">
        <v>30</v>
      </c>
    </row>
    <row r="27905" ht="15.75" customHeight="1">
      <c r="A27905" s="7"/>
      <c r="B27905" s="7"/>
      <c r="M27905" s="9" t="s">
        <v>25</v>
      </c>
    </row>
    <row r="27906" ht="15.75" customHeight="1">
      <c r="A27906" s="7"/>
      <c r="B27906" s="7"/>
      <c r="M27906" s="9" t="s">
        <v>23</v>
      </c>
    </row>
    <row r="27907" ht="15.75" customHeight="1">
      <c r="A27907" s="7"/>
      <c r="B27907" s="7"/>
      <c r="M27907" s="9" t="s">
        <v>22</v>
      </c>
    </row>
    <row r="27908" ht="15.75" customHeight="1">
      <c r="A27908" s="7"/>
      <c r="B27908" s="7"/>
      <c r="M27908" s="9" t="s">
        <v>26</v>
      </c>
    </row>
    <row r="27909" ht="15.75" customHeight="1">
      <c r="A27909" s="7"/>
      <c r="B27909" s="7"/>
      <c r="M27909" s="9" t="s">
        <v>31</v>
      </c>
    </row>
    <row r="27910" ht="15.75" customHeight="1">
      <c r="A27910" s="7"/>
      <c r="B27910" s="7"/>
      <c r="M27910" s="9" t="s">
        <v>32</v>
      </c>
    </row>
    <row r="27911" ht="15.75" customHeight="1">
      <c r="A27911" s="7"/>
      <c r="B27911" s="7"/>
      <c r="M27911" s="9" t="s">
        <v>30</v>
      </c>
    </row>
    <row r="27912" ht="15.75" customHeight="1">
      <c r="A27912" s="7"/>
      <c r="B27912" s="7"/>
      <c r="M27912" s="9" t="s">
        <v>25</v>
      </c>
    </row>
    <row r="27913" ht="15.75" customHeight="1">
      <c r="A27913" s="7"/>
      <c r="B27913" s="7"/>
      <c r="M27913" s="9" t="s">
        <v>24</v>
      </c>
    </row>
    <row r="27914" ht="15.75" customHeight="1">
      <c r="A27914" s="7"/>
      <c r="B27914" s="7"/>
      <c r="M27914" s="9" t="s">
        <v>21</v>
      </c>
    </row>
    <row r="27915" ht="15.75" customHeight="1">
      <c r="A27915" s="7"/>
      <c r="B27915" s="7"/>
      <c r="M27915" s="9" t="s">
        <v>37</v>
      </c>
    </row>
    <row r="27916" ht="15.75" customHeight="1">
      <c r="A27916" s="7"/>
      <c r="B27916" s="7"/>
      <c r="M27916" s="9" t="s">
        <v>33</v>
      </c>
    </row>
    <row r="27917" ht="15.75" customHeight="1">
      <c r="A27917" s="7"/>
      <c r="B27917" s="7"/>
      <c r="M27917" s="9" t="s">
        <v>20</v>
      </c>
    </row>
    <row r="27918" ht="15.75" customHeight="1">
      <c r="A27918" s="7"/>
      <c r="B27918" s="7"/>
      <c r="M27918" s="9" t="s">
        <v>39</v>
      </c>
    </row>
    <row r="27919" ht="15.75" customHeight="1">
      <c r="A27919" s="7"/>
      <c r="B27919" s="7"/>
      <c r="M27919" s="9" t="s">
        <v>26</v>
      </c>
    </row>
    <row r="27920" ht="15.75" customHeight="1">
      <c r="A27920" s="7"/>
      <c r="B27920" s="7"/>
      <c r="M27920" s="9" t="s">
        <v>24</v>
      </c>
    </row>
    <row r="27921" ht="15.75" customHeight="1">
      <c r="A27921" s="7"/>
      <c r="B27921" s="7"/>
      <c r="M27921" s="9" t="s">
        <v>37</v>
      </c>
    </row>
    <row r="27922" ht="15.75" customHeight="1">
      <c r="A27922" s="7"/>
      <c r="B27922" s="7"/>
      <c r="M27922" s="9" t="s">
        <v>27</v>
      </c>
    </row>
    <row r="27923" ht="15.75" customHeight="1">
      <c r="A27923" s="7"/>
      <c r="B27923" s="7"/>
      <c r="M27923" s="9" t="s">
        <v>28</v>
      </c>
    </row>
    <row r="27924" ht="15.75" customHeight="1">
      <c r="A27924" s="7"/>
      <c r="B27924" s="7"/>
      <c r="M27924" s="9" t="s">
        <v>20</v>
      </c>
    </row>
    <row r="27925" ht="15.75" customHeight="1">
      <c r="A27925" s="7"/>
      <c r="B27925" s="7"/>
      <c r="M27925" s="9" t="s">
        <v>26</v>
      </c>
    </row>
    <row r="27926" ht="15.75" customHeight="1">
      <c r="A27926" s="7"/>
      <c r="B27926" s="7"/>
      <c r="M27926" s="9" t="s">
        <v>24</v>
      </c>
    </row>
    <row r="27927" ht="15.75" customHeight="1">
      <c r="A27927" s="7"/>
      <c r="B27927" s="7"/>
      <c r="M27927" s="9" t="s">
        <v>21</v>
      </c>
    </row>
    <row r="27928" ht="15.75" customHeight="1">
      <c r="A27928" s="7"/>
      <c r="B27928" s="7"/>
      <c r="M27928" s="9" t="s">
        <v>27</v>
      </c>
    </row>
    <row r="27929" ht="15.75" customHeight="1">
      <c r="A27929" s="7"/>
      <c r="B27929" s="7"/>
      <c r="M27929" s="9" t="s">
        <v>33</v>
      </c>
    </row>
    <row r="27930" ht="15.75" customHeight="1">
      <c r="A27930" s="7"/>
      <c r="B27930" s="7"/>
      <c r="M27930" s="9" t="s">
        <v>30</v>
      </c>
    </row>
    <row r="27931" ht="15.75" customHeight="1">
      <c r="A27931" s="7"/>
      <c r="B27931" s="7"/>
      <c r="M27931" s="9" t="s">
        <v>44</v>
      </c>
    </row>
    <row r="27932" ht="15.75" customHeight="1">
      <c r="A27932" s="7"/>
      <c r="B27932" s="7"/>
      <c r="M27932" s="9" t="s">
        <v>24</v>
      </c>
    </row>
    <row r="27933" ht="15.75" customHeight="1">
      <c r="A27933" s="7"/>
      <c r="B27933" s="7"/>
      <c r="M27933" s="9" t="s">
        <v>21</v>
      </c>
    </row>
    <row r="27934" ht="15.75" customHeight="1">
      <c r="A27934" s="7"/>
      <c r="B27934" s="7"/>
      <c r="M27934" s="9" t="s">
        <v>22</v>
      </c>
    </row>
    <row r="27935" ht="15.75" customHeight="1">
      <c r="A27935" s="7"/>
      <c r="B27935" s="7"/>
      <c r="M27935" s="9" t="s">
        <v>33</v>
      </c>
    </row>
    <row r="27936" ht="15.75" customHeight="1">
      <c r="A27936" s="7"/>
      <c r="B27936" s="7"/>
      <c r="M27936" s="9" t="s">
        <v>24</v>
      </c>
    </row>
    <row r="27937" ht="15.75" customHeight="1">
      <c r="A27937" s="7"/>
      <c r="B27937" s="7"/>
      <c r="M27937" s="9" t="s">
        <v>21</v>
      </c>
    </row>
    <row r="27938" ht="15.75" customHeight="1">
      <c r="A27938" s="7"/>
      <c r="B27938" s="7"/>
      <c r="M27938" s="9" t="s">
        <v>31</v>
      </c>
    </row>
    <row r="27939" ht="15.75" customHeight="1">
      <c r="A27939" s="7"/>
      <c r="B27939" s="7"/>
      <c r="M27939" s="9" t="s">
        <v>26</v>
      </c>
    </row>
    <row r="27940" ht="15.75" customHeight="1">
      <c r="A27940" s="7"/>
      <c r="B27940" s="7"/>
      <c r="M27940" s="9" t="s">
        <v>21</v>
      </c>
    </row>
    <row r="27941" ht="15.75" customHeight="1">
      <c r="A27941" s="7"/>
      <c r="B27941" s="7"/>
      <c r="M27941" s="9" t="s">
        <v>35</v>
      </c>
    </row>
    <row r="27942" ht="15.75" customHeight="1">
      <c r="A27942" s="7"/>
      <c r="B27942" s="7"/>
      <c r="M27942" s="9" t="s">
        <v>26</v>
      </c>
    </row>
    <row r="27943" ht="15.75" customHeight="1">
      <c r="A27943" s="7"/>
      <c r="B27943" s="7"/>
      <c r="M27943" s="9" t="s">
        <v>27</v>
      </c>
    </row>
    <row r="27944" ht="15.75" customHeight="1">
      <c r="A27944" s="7"/>
      <c r="B27944" s="7"/>
      <c r="M27944" s="9" t="s">
        <v>30</v>
      </c>
    </row>
    <row r="27945" ht="15.75" customHeight="1">
      <c r="A27945" s="7"/>
      <c r="B27945" s="7"/>
      <c r="M27945" s="9" t="s">
        <v>44</v>
      </c>
    </row>
    <row r="27946" ht="15.75" customHeight="1">
      <c r="A27946" s="7"/>
      <c r="B27946" s="7"/>
      <c r="M27946" s="9" t="s">
        <v>20</v>
      </c>
    </row>
    <row r="27947" ht="15.75" customHeight="1">
      <c r="A27947" s="7"/>
      <c r="B27947" s="7"/>
      <c r="M27947" s="9" t="s">
        <v>46</v>
      </c>
    </row>
    <row r="27948" ht="15.75" customHeight="1">
      <c r="A27948" s="7"/>
      <c r="B27948" s="7"/>
      <c r="M27948" s="9" t="s">
        <v>30</v>
      </c>
    </row>
    <row r="27949" ht="15.75" customHeight="1">
      <c r="A27949" s="7"/>
      <c r="B27949" s="7"/>
      <c r="M27949" s="9" t="s">
        <v>20</v>
      </c>
    </row>
    <row r="27950" ht="15.75" customHeight="1">
      <c r="A27950" s="7"/>
      <c r="B27950" s="7"/>
      <c r="M27950" s="9" t="s">
        <v>21</v>
      </c>
    </row>
    <row r="27951" ht="15.75" customHeight="1">
      <c r="A27951" s="7"/>
      <c r="B27951" s="7"/>
      <c r="M27951" s="9" t="s">
        <v>26</v>
      </c>
    </row>
    <row r="27952" ht="15.75" customHeight="1">
      <c r="A27952" s="7"/>
      <c r="B27952" s="7"/>
      <c r="M27952" s="9" t="s">
        <v>24</v>
      </c>
    </row>
    <row r="27953" ht="15.75" customHeight="1">
      <c r="A27953" s="7"/>
      <c r="B27953" s="7"/>
      <c r="M27953" s="9" t="s">
        <v>20</v>
      </c>
    </row>
    <row r="27954" ht="15.75" customHeight="1">
      <c r="A27954" s="7"/>
      <c r="B27954" s="7"/>
      <c r="M27954" s="9" t="s">
        <v>21</v>
      </c>
    </row>
    <row r="27955" ht="15.75" customHeight="1">
      <c r="A27955" s="7"/>
      <c r="B27955" s="7"/>
      <c r="M27955" s="9" t="s">
        <v>27</v>
      </c>
    </row>
    <row r="27956" ht="15.75" customHeight="1">
      <c r="A27956" s="7"/>
      <c r="B27956" s="7"/>
      <c r="M27956" s="9" t="s">
        <v>35</v>
      </c>
    </row>
    <row r="27957" ht="15.75" customHeight="1">
      <c r="A27957" s="7"/>
      <c r="B27957" s="7"/>
      <c r="M27957" s="9" t="s">
        <v>26</v>
      </c>
    </row>
    <row r="27958" ht="15.75" customHeight="1">
      <c r="A27958" s="7"/>
      <c r="B27958" s="7"/>
      <c r="M27958" s="9" t="s">
        <v>20</v>
      </c>
    </row>
    <row r="27959" ht="15.75" customHeight="1">
      <c r="A27959" s="7"/>
      <c r="B27959" s="7"/>
      <c r="M27959" s="9" t="s">
        <v>39</v>
      </c>
    </row>
    <row r="27960" ht="15.75" customHeight="1">
      <c r="A27960" s="7"/>
      <c r="B27960" s="7"/>
      <c r="M27960" s="9" t="s">
        <v>24</v>
      </c>
    </row>
    <row r="27961" ht="15.75" customHeight="1">
      <c r="A27961" s="7"/>
      <c r="B27961" s="7"/>
      <c r="M27961" s="9" t="s">
        <v>21</v>
      </c>
    </row>
    <row r="27962" ht="15.75" customHeight="1">
      <c r="A27962" s="7"/>
      <c r="B27962" s="7"/>
      <c r="M27962" s="9" t="s">
        <v>37</v>
      </c>
    </row>
    <row r="27963" ht="15.75" customHeight="1">
      <c r="A27963" s="7"/>
      <c r="B27963" s="7"/>
      <c r="M27963" s="9" t="s">
        <v>27</v>
      </c>
    </row>
    <row r="27964" ht="15.75" customHeight="1">
      <c r="A27964" s="7"/>
      <c r="B27964" s="7"/>
      <c r="M27964" s="9" t="s">
        <v>26</v>
      </c>
    </row>
    <row r="27965" ht="15.75" customHeight="1">
      <c r="A27965" s="7"/>
      <c r="B27965" s="7"/>
      <c r="M27965" s="9" t="s">
        <v>24</v>
      </c>
    </row>
    <row r="27966" ht="15.75" customHeight="1">
      <c r="A27966" s="7"/>
      <c r="B27966" s="7"/>
      <c r="M27966" s="9" t="s">
        <v>21</v>
      </c>
    </row>
    <row r="27967" ht="15.75" customHeight="1">
      <c r="A27967" s="7"/>
      <c r="B27967" s="7"/>
      <c r="M27967" s="9" t="s">
        <v>27</v>
      </c>
    </row>
    <row r="27968" ht="15.75" customHeight="1">
      <c r="A27968" s="7"/>
      <c r="B27968" s="7"/>
      <c r="M27968" s="9" t="s">
        <v>23</v>
      </c>
    </row>
    <row r="27969" ht="15.75" customHeight="1">
      <c r="A27969" s="7"/>
      <c r="B27969" s="7"/>
      <c r="M27969" s="9" t="s">
        <v>20</v>
      </c>
    </row>
    <row r="27970" ht="15.75" customHeight="1">
      <c r="A27970" s="7"/>
      <c r="B27970" s="7"/>
      <c r="M27970" s="9" t="s">
        <v>42</v>
      </c>
    </row>
    <row r="27971" ht="15.75" customHeight="1">
      <c r="A27971" s="7"/>
      <c r="B27971" s="7"/>
      <c r="M27971" s="9" t="s">
        <v>24</v>
      </c>
    </row>
    <row r="27972" ht="15.75" customHeight="1">
      <c r="A27972" s="7"/>
      <c r="B27972" s="7"/>
      <c r="M27972" s="9" t="s">
        <v>21</v>
      </c>
    </row>
    <row r="27973" ht="15.75" customHeight="1">
      <c r="A27973" s="7"/>
      <c r="B27973" s="7"/>
      <c r="M27973" s="9" t="s">
        <v>37</v>
      </c>
    </row>
    <row r="27974" ht="15.75" customHeight="1">
      <c r="A27974" s="7"/>
      <c r="B27974" s="7"/>
      <c r="M27974" s="9" t="s">
        <v>22</v>
      </c>
    </row>
    <row r="27975" ht="15.75" customHeight="1">
      <c r="A27975" s="7"/>
      <c r="B27975" s="7"/>
      <c r="M27975" s="9" t="s">
        <v>31</v>
      </c>
    </row>
    <row r="27976" ht="15.75" customHeight="1">
      <c r="A27976" s="7"/>
      <c r="B27976" s="7"/>
      <c r="M27976" s="9" t="s">
        <v>27</v>
      </c>
    </row>
    <row r="27977" ht="15.75" customHeight="1">
      <c r="A27977" s="7"/>
      <c r="B27977" s="7"/>
      <c r="M27977" s="9" t="s">
        <v>25</v>
      </c>
    </row>
    <row r="27978" ht="15.75" customHeight="1">
      <c r="A27978" s="7"/>
      <c r="B27978" s="7"/>
      <c r="M27978" s="9" t="s">
        <v>24</v>
      </c>
    </row>
    <row r="27979" ht="15.75" customHeight="1">
      <c r="A27979" s="7"/>
      <c r="B27979" s="7"/>
      <c r="M27979" s="9" t="s">
        <v>20</v>
      </c>
    </row>
    <row r="27980" ht="15.75" customHeight="1">
      <c r="A27980" s="7"/>
      <c r="B27980" s="7"/>
      <c r="M27980" s="9" t="s">
        <v>21</v>
      </c>
    </row>
    <row r="27981" ht="15.75" customHeight="1">
      <c r="A27981" s="7"/>
      <c r="B27981" s="7"/>
      <c r="M27981" s="9" t="s">
        <v>31</v>
      </c>
    </row>
    <row r="27982" ht="15.75" customHeight="1">
      <c r="A27982" s="7"/>
      <c r="B27982" s="7"/>
      <c r="M27982" s="9" t="s">
        <v>27</v>
      </c>
    </row>
    <row r="27983" ht="15.75" customHeight="1">
      <c r="A27983" s="7"/>
      <c r="B27983" s="7"/>
      <c r="M27983" s="9" t="s">
        <v>30</v>
      </c>
    </row>
    <row r="27984" ht="15.75" customHeight="1">
      <c r="A27984" s="7"/>
      <c r="B27984" s="7"/>
      <c r="M27984" s="9" t="s">
        <v>25</v>
      </c>
    </row>
    <row r="27985" ht="15.75" customHeight="1">
      <c r="A27985" s="7"/>
      <c r="B27985" s="7"/>
      <c r="M27985" s="9" t="s">
        <v>23</v>
      </c>
    </row>
    <row r="27986" ht="15.75" customHeight="1">
      <c r="A27986" s="7"/>
      <c r="B27986" s="7"/>
      <c r="M27986" s="9" t="s">
        <v>26</v>
      </c>
    </row>
    <row r="27987" ht="15.75" customHeight="1">
      <c r="A27987" s="7"/>
      <c r="B27987" s="7"/>
      <c r="M27987" s="9" t="s">
        <v>24</v>
      </c>
    </row>
    <row r="27988" ht="15.75" customHeight="1">
      <c r="A27988" s="7"/>
      <c r="B27988" s="7"/>
      <c r="M27988" s="9" t="s">
        <v>20</v>
      </c>
    </row>
    <row r="27989" ht="15.75" customHeight="1">
      <c r="A27989" s="7"/>
      <c r="B27989" s="7"/>
      <c r="M27989" s="9" t="s">
        <v>22</v>
      </c>
    </row>
    <row r="27990" ht="15.75" customHeight="1">
      <c r="A27990" s="7"/>
      <c r="B27990" s="7"/>
      <c r="M27990" s="9" t="s">
        <v>24</v>
      </c>
    </row>
    <row r="27991" ht="15.75" customHeight="1">
      <c r="A27991" s="7"/>
      <c r="B27991" s="7"/>
      <c r="M27991" s="9" t="s">
        <v>20</v>
      </c>
    </row>
    <row r="27992" ht="15.75" customHeight="1">
      <c r="A27992" s="7"/>
      <c r="B27992" s="7"/>
      <c r="M27992" s="9" t="s">
        <v>21</v>
      </c>
    </row>
    <row r="27993" ht="15.75" customHeight="1">
      <c r="A27993" s="7"/>
      <c r="B27993" s="7"/>
      <c r="M27993" s="9" t="s">
        <v>39</v>
      </c>
    </row>
    <row r="27994" ht="15.75" customHeight="1">
      <c r="A27994" s="7"/>
      <c r="B27994" s="7"/>
      <c r="M27994" s="9" t="s">
        <v>37</v>
      </c>
    </row>
    <row r="27995" ht="15.75" customHeight="1">
      <c r="A27995" s="7"/>
      <c r="B27995" s="7"/>
      <c r="M27995" s="9" t="s">
        <v>31</v>
      </c>
    </row>
    <row r="27996" ht="15.75" customHeight="1">
      <c r="A27996" s="7"/>
      <c r="B27996" s="7"/>
      <c r="M27996" s="9" t="s">
        <v>27</v>
      </c>
    </row>
    <row r="27997" ht="15.75" customHeight="1">
      <c r="A27997" s="7"/>
      <c r="B27997" s="7"/>
      <c r="M27997" s="9" t="s">
        <v>40</v>
      </c>
    </row>
    <row r="27998" ht="15.75" customHeight="1">
      <c r="A27998" s="7"/>
      <c r="B27998" s="7"/>
      <c r="M27998" s="9" t="s">
        <v>25</v>
      </c>
    </row>
    <row r="27999" ht="15.75" customHeight="1">
      <c r="A27999" s="7"/>
      <c r="B27999" s="7"/>
      <c r="M27999" s="9" t="s">
        <v>24</v>
      </c>
    </row>
    <row r="28000" ht="15.75" customHeight="1">
      <c r="A28000" s="7"/>
      <c r="B28000" s="7"/>
      <c r="M28000" s="9" t="s">
        <v>20</v>
      </c>
    </row>
    <row r="28001" ht="15.75" customHeight="1">
      <c r="A28001" s="7"/>
      <c r="B28001" s="7"/>
      <c r="M28001" s="9" t="s">
        <v>21</v>
      </c>
    </row>
    <row r="28002" ht="15.75" customHeight="1">
      <c r="A28002" s="7"/>
      <c r="B28002" s="7"/>
      <c r="M28002" s="9" t="s">
        <v>37</v>
      </c>
    </row>
    <row r="28003" ht="15.75" customHeight="1">
      <c r="A28003" s="7"/>
      <c r="B28003" s="7"/>
      <c r="M28003" s="9" t="s">
        <v>30</v>
      </c>
    </row>
    <row r="28004" ht="15.75" customHeight="1">
      <c r="A28004" s="7"/>
      <c r="B28004" s="7"/>
      <c r="M28004" s="9" t="s">
        <v>25</v>
      </c>
    </row>
    <row r="28005" ht="15.75" customHeight="1">
      <c r="A28005" s="7"/>
      <c r="B28005" s="7"/>
      <c r="M28005" s="9" t="s">
        <v>23</v>
      </c>
    </row>
    <row r="28006" ht="15.75" customHeight="1">
      <c r="A28006" s="7"/>
      <c r="B28006" s="7"/>
      <c r="M28006" s="9" t="s">
        <v>22</v>
      </c>
    </row>
    <row r="28007" ht="15.75" customHeight="1">
      <c r="A28007" s="7"/>
      <c r="B28007" s="7"/>
      <c r="M28007" s="9" t="s">
        <v>26</v>
      </c>
    </row>
    <row r="28008" ht="15.75" customHeight="1">
      <c r="A28008" s="7"/>
      <c r="B28008" s="7"/>
      <c r="M28008" s="9" t="s">
        <v>24</v>
      </c>
    </row>
    <row r="28009" ht="15.75" customHeight="1">
      <c r="A28009" s="7"/>
      <c r="B28009" s="7"/>
      <c r="M28009" s="9" t="s">
        <v>20</v>
      </c>
    </row>
    <row r="28010" ht="15.75" customHeight="1">
      <c r="A28010" s="7"/>
      <c r="B28010" s="7"/>
      <c r="M28010" s="9" t="s">
        <v>21</v>
      </c>
    </row>
    <row r="28011" ht="15.75" customHeight="1">
      <c r="A28011" s="7"/>
      <c r="B28011" s="7"/>
      <c r="M28011" s="9" t="s">
        <v>37</v>
      </c>
    </row>
    <row r="28012" ht="15.75" customHeight="1">
      <c r="A28012" s="7"/>
      <c r="B28012" s="7"/>
      <c r="M28012" s="9" t="s">
        <v>22</v>
      </c>
    </row>
    <row r="28013" ht="15.75" customHeight="1">
      <c r="A28013" s="7"/>
      <c r="B28013" s="7"/>
      <c r="M28013" s="9" t="s">
        <v>27</v>
      </c>
    </row>
    <row r="28014" ht="15.75" customHeight="1">
      <c r="A28014" s="7"/>
      <c r="B28014" s="7"/>
      <c r="M28014" s="9" t="s">
        <v>25</v>
      </c>
    </row>
    <row r="28015" ht="15.75" customHeight="1">
      <c r="A28015" s="7"/>
      <c r="B28015" s="7"/>
      <c r="M28015" s="9" t="s">
        <v>26</v>
      </c>
    </row>
    <row r="28016" ht="15.75" customHeight="1">
      <c r="A28016" s="7"/>
      <c r="B28016" s="7"/>
      <c r="M28016" s="9" t="s">
        <v>36</v>
      </c>
    </row>
    <row r="28017" ht="15.75" customHeight="1">
      <c r="A28017" s="7"/>
      <c r="B28017" s="7"/>
      <c r="M28017" s="9" t="s">
        <v>24</v>
      </c>
    </row>
    <row r="28018" ht="15.75" customHeight="1">
      <c r="A28018" s="7"/>
      <c r="B28018" s="7"/>
      <c r="M28018" s="9" t="s">
        <v>20</v>
      </c>
    </row>
    <row r="28019" ht="15.75" customHeight="1">
      <c r="A28019" s="7"/>
      <c r="B28019" s="7"/>
      <c r="M28019" s="9" t="s">
        <v>21</v>
      </c>
    </row>
    <row r="28020" ht="15.75" customHeight="1">
      <c r="A28020" s="7"/>
      <c r="B28020" s="7"/>
      <c r="M28020" s="9" t="s">
        <v>22</v>
      </c>
    </row>
    <row r="28021" ht="15.75" customHeight="1">
      <c r="A28021" s="7"/>
      <c r="B28021" s="7"/>
      <c r="M28021" s="9" t="s">
        <v>31</v>
      </c>
    </row>
    <row r="28022" ht="15.75" customHeight="1">
      <c r="A28022" s="7"/>
      <c r="B28022" s="7"/>
      <c r="M28022" s="9" t="s">
        <v>33</v>
      </c>
    </row>
    <row r="28023" ht="15.75" customHeight="1">
      <c r="A28023" s="7"/>
      <c r="B28023" s="7"/>
      <c r="M28023" s="9" t="s">
        <v>23</v>
      </c>
    </row>
    <row r="28024" ht="15.75" customHeight="1">
      <c r="A28024" s="7"/>
      <c r="B28024" s="7"/>
      <c r="M28024" s="9" t="s">
        <v>26</v>
      </c>
    </row>
    <row r="28025" ht="15.75" customHeight="1">
      <c r="A28025" s="7"/>
      <c r="B28025" s="7"/>
      <c r="M28025" s="9" t="s">
        <v>24</v>
      </c>
    </row>
    <row r="28026" ht="15.75" customHeight="1">
      <c r="A28026" s="7"/>
      <c r="B28026" s="7"/>
      <c r="M28026" s="9" t="s">
        <v>21</v>
      </c>
    </row>
    <row r="28027" ht="15.75" customHeight="1">
      <c r="A28027" s="7"/>
      <c r="B28027" s="7"/>
      <c r="M28027" s="9" t="s">
        <v>22</v>
      </c>
    </row>
    <row r="28028" ht="15.75" customHeight="1">
      <c r="A28028" s="7"/>
      <c r="B28028" s="7"/>
      <c r="M28028" s="9" t="s">
        <v>27</v>
      </c>
    </row>
    <row r="28029" ht="15.75" customHeight="1">
      <c r="A28029" s="7"/>
      <c r="B28029" s="7"/>
      <c r="M28029" s="9" t="s">
        <v>38</v>
      </c>
    </row>
    <row r="28030" ht="15.75" customHeight="1">
      <c r="A28030" s="7"/>
      <c r="B28030" s="7"/>
      <c r="M28030" s="9" t="s">
        <v>30</v>
      </c>
    </row>
    <row r="28031" ht="15.75" customHeight="1">
      <c r="A28031" s="7"/>
      <c r="B28031" s="7"/>
      <c r="M28031" s="9" t="s">
        <v>25</v>
      </c>
    </row>
    <row r="28032" ht="15.75" customHeight="1">
      <c r="A28032" s="7"/>
      <c r="B28032" s="7"/>
      <c r="M28032" s="9" t="s">
        <v>23</v>
      </c>
    </row>
    <row r="28033" ht="15.75" customHeight="1">
      <c r="A28033" s="7"/>
      <c r="B28033" s="7"/>
      <c r="M28033" s="9" t="s">
        <v>20</v>
      </c>
    </row>
    <row r="28034" ht="15.75" customHeight="1">
      <c r="A28034" s="7"/>
      <c r="B28034" s="7"/>
      <c r="M28034" s="9" t="s">
        <v>21</v>
      </c>
    </row>
    <row r="28035" ht="15.75" customHeight="1">
      <c r="A28035" s="7"/>
      <c r="B28035" s="7"/>
      <c r="M28035" s="9" t="s">
        <v>22</v>
      </c>
    </row>
    <row r="28036" ht="15.75" customHeight="1">
      <c r="A28036" s="7"/>
      <c r="B28036" s="7"/>
      <c r="M28036" s="9" t="s">
        <v>27</v>
      </c>
    </row>
    <row r="28037" ht="15.75" customHeight="1">
      <c r="A28037" s="7"/>
      <c r="B28037" s="7"/>
      <c r="M28037" s="9" t="s">
        <v>24</v>
      </c>
    </row>
    <row r="28038" ht="15.75" customHeight="1">
      <c r="A28038" s="7"/>
      <c r="B28038" s="7"/>
      <c r="M28038" s="9" t="s">
        <v>21</v>
      </c>
    </row>
    <row r="28039" ht="15.75" customHeight="1">
      <c r="A28039" s="7"/>
      <c r="B28039" s="7"/>
      <c r="M28039" s="9" t="s">
        <v>25</v>
      </c>
    </row>
    <row r="28040" ht="15.75" customHeight="1">
      <c r="A28040" s="7"/>
      <c r="B28040" s="7"/>
      <c r="M28040" s="9" t="s">
        <v>23</v>
      </c>
    </row>
    <row r="28041" ht="15.75" customHeight="1">
      <c r="A28041" s="7"/>
      <c r="B28041" s="7"/>
      <c r="M28041" s="9" t="s">
        <v>20</v>
      </c>
    </row>
    <row r="28042" ht="15.75" customHeight="1">
      <c r="A28042" s="7"/>
      <c r="B28042" s="7"/>
      <c r="M28042" s="9" t="s">
        <v>24</v>
      </c>
    </row>
    <row r="28043" ht="15.75" customHeight="1">
      <c r="A28043" s="7"/>
      <c r="B28043" s="7"/>
      <c r="M28043" s="9" t="s">
        <v>21</v>
      </c>
    </row>
    <row r="28044" ht="15.75" customHeight="1">
      <c r="A28044" s="7"/>
      <c r="B28044" s="7"/>
      <c r="M28044" s="9" t="s">
        <v>22</v>
      </c>
    </row>
    <row r="28045" ht="15.75" customHeight="1">
      <c r="A28045" s="7"/>
      <c r="B28045" s="7"/>
      <c r="M28045" s="9" t="s">
        <v>40</v>
      </c>
    </row>
    <row r="28046" ht="15.75" customHeight="1">
      <c r="A28046" s="7"/>
      <c r="B28046" s="7"/>
      <c r="M28046" s="9" t="s">
        <v>33</v>
      </c>
    </row>
    <row r="28047" ht="15.75" customHeight="1">
      <c r="A28047" s="7"/>
      <c r="B28047" s="7"/>
      <c r="M28047" s="9" t="s">
        <v>28</v>
      </c>
    </row>
    <row r="28048" ht="15.75" customHeight="1">
      <c r="A28048" s="7"/>
      <c r="B28048" s="7"/>
      <c r="M28048" s="9" t="s">
        <v>22</v>
      </c>
    </row>
    <row r="28049" ht="15.75" customHeight="1">
      <c r="A28049" s="7"/>
      <c r="B28049" s="7"/>
      <c r="M28049" s="9" t="s">
        <v>29</v>
      </c>
    </row>
    <row r="28050" ht="15.75" customHeight="1">
      <c r="A28050" s="7"/>
      <c r="B28050" s="7"/>
      <c r="M28050" s="9" t="s">
        <v>35</v>
      </c>
    </row>
    <row r="28051" ht="15.75" customHeight="1">
      <c r="A28051" s="7"/>
      <c r="B28051" s="7"/>
      <c r="M28051" s="9" t="s">
        <v>38</v>
      </c>
    </row>
    <row r="28052" ht="15.75" customHeight="1">
      <c r="A28052" s="7"/>
      <c r="B28052" s="7"/>
      <c r="M28052" s="9" t="s">
        <v>25</v>
      </c>
    </row>
    <row r="28053" ht="15.75" customHeight="1">
      <c r="A28053" s="7"/>
      <c r="B28053" s="7"/>
      <c r="M28053" s="9" t="s">
        <v>24</v>
      </c>
    </row>
    <row r="28054" ht="15.75" customHeight="1">
      <c r="A28054" s="7"/>
      <c r="B28054" s="7"/>
      <c r="M28054" s="9" t="s">
        <v>21</v>
      </c>
    </row>
    <row r="28055" ht="15.75" customHeight="1">
      <c r="A28055" s="7"/>
      <c r="B28055" s="7"/>
      <c r="M28055" s="9" t="s">
        <v>22</v>
      </c>
    </row>
    <row r="28056" ht="15.75" customHeight="1">
      <c r="A28056" s="7"/>
      <c r="B28056" s="7"/>
      <c r="M28056" s="9" t="s">
        <v>27</v>
      </c>
    </row>
    <row r="28057" ht="15.75" customHeight="1">
      <c r="A28057" s="7"/>
      <c r="B28057" s="7"/>
      <c r="M28057" s="9" t="s">
        <v>28</v>
      </c>
    </row>
    <row r="28058" ht="15.75" customHeight="1">
      <c r="A28058" s="7"/>
      <c r="B28058" s="7"/>
      <c r="M28058" s="9" t="s">
        <v>23</v>
      </c>
    </row>
    <row r="28059" ht="15.75" customHeight="1">
      <c r="A28059" s="7"/>
      <c r="B28059" s="7"/>
      <c r="M28059" s="9" t="s">
        <v>24</v>
      </c>
    </row>
    <row r="28060" ht="15.75" customHeight="1">
      <c r="A28060" s="7"/>
      <c r="B28060" s="7"/>
      <c r="M28060" s="9" t="s">
        <v>20</v>
      </c>
    </row>
    <row r="28061" ht="15.75" customHeight="1">
      <c r="A28061" s="7"/>
      <c r="B28061" s="7"/>
      <c r="M28061" s="9" t="s">
        <v>21</v>
      </c>
    </row>
    <row r="28062" ht="15.75" customHeight="1">
      <c r="A28062" s="7"/>
      <c r="B28062" s="7"/>
      <c r="M28062" s="9" t="s">
        <v>37</v>
      </c>
    </row>
    <row r="28063" ht="15.75" customHeight="1">
      <c r="A28063" s="7"/>
      <c r="B28063" s="7"/>
      <c r="M28063" s="9" t="s">
        <v>22</v>
      </c>
    </row>
    <row r="28064" ht="15.75" customHeight="1">
      <c r="A28064" s="7"/>
      <c r="B28064" s="7"/>
      <c r="M28064" s="9" t="s">
        <v>27</v>
      </c>
    </row>
    <row r="28065" ht="15.75" customHeight="1">
      <c r="A28065" s="7"/>
      <c r="B28065" s="7"/>
      <c r="M28065" s="9" t="s">
        <v>23</v>
      </c>
    </row>
    <row r="28066" ht="15.75" customHeight="1">
      <c r="A28066" s="7"/>
      <c r="B28066" s="7"/>
      <c r="M28066" s="9" t="s">
        <v>21</v>
      </c>
    </row>
    <row r="28067" ht="15.75" customHeight="1">
      <c r="A28067" s="7"/>
      <c r="B28067" s="7"/>
      <c r="M28067" s="9" t="s">
        <v>24</v>
      </c>
    </row>
    <row r="28068" ht="15.75" customHeight="1">
      <c r="A28068" s="7"/>
      <c r="B28068" s="7"/>
      <c r="M28068" s="9" t="s">
        <v>20</v>
      </c>
    </row>
    <row r="28069" ht="15.75" customHeight="1">
      <c r="A28069" s="7"/>
      <c r="B28069" s="7"/>
      <c r="M28069" s="9" t="s">
        <v>21</v>
      </c>
    </row>
    <row r="28070" ht="15.75" customHeight="1">
      <c r="A28070" s="7"/>
      <c r="B28070" s="7"/>
      <c r="M28070" s="9" t="s">
        <v>27</v>
      </c>
    </row>
    <row r="28071" ht="15.75" customHeight="1">
      <c r="A28071" s="7"/>
      <c r="B28071" s="7"/>
      <c r="M28071" s="9" t="s">
        <v>33</v>
      </c>
    </row>
    <row r="28072" ht="15.75" customHeight="1">
      <c r="A28072" s="7"/>
      <c r="B28072" s="7"/>
      <c r="M28072" s="9" t="s">
        <v>26</v>
      </c>
    </row>
    <row r="28073" ht="15.75" customHeight="1">
      <c r="A28073" s="7"/>
      <c r="B28073" s="7"/>
      <c r="M28073" s="9" t="s">
        <v>24</v>
      </c>
    </row>
    <row r="28074" ht="15.75" customHeight="1">
      <c r="A28074" s="7"/>
      <c r="B28074" s="7"/>
      <c r="M28074" s="9" t="s">
        <v>21</v>
      </c>
    </row>
    <row r="28075" ht="15.75" customHeight="1">
      <c r="A28075" s="7"/>
      <c r="B28075" s="7"/>
      <c r="M28075" s="9" t="s">
        <v>37</v>
      </c>
    </row>
    <row r="28076" ht="15.75" customHeight="1">
      <c r="A28076" s="7"/>
      <c r="B28076" s="7"/>
      <c r="M28076" s="9" t="s">
        <v>22</v>
      </c>
    </row>
    <row r="28077" ht="15.75" customHeight="1">
      <c r="A28077" s="7"/>
      <c r="B28077" s="7"/>
      <c r="M28077" s="9" t="s">
        <v>27</v>
      </c>
    </row>
    <row r="28078" ht="15.75" customHeight="1">
      <c r="A28078" s="7"/>
      <c r="B28078" s="7"/>
      <c r="M28078" s="9" t="s">
        <v>35</v>
      </c>
    </row>
    <row r="28079" ht="15.75" customHeight="1">
      <c r="A28079" s="7"/>
      <c r="B28079" s="7"/>
      <c r="M28079" s="9" t="s">
        <v>30</v>
      </c>
    </row>
    <row r="28080" ht="15.75" customHeight="1">
      <c r="A28080" s="7"/>
      <c r="B28080" s="7"/>
      <c r="M28080" s="9" t="s">
        <v>26</v>
      </c>
    </row>
    <row r="28081" ht="15.75" customHeight="1">
      <c r="A28081" s="7"/>
      <c r="B28081" s="7"/>
      <c r="M28081" s="9" t="s">
        <v>24</v>
      </c>
    </row>
    <row r="28082" ht="15.75" customHeight="1">
      <c r="A28082" s="7"/>
      <c r="B28082" s="7"/>
      <c r="M28082" s="9" t="s">
        <v>20</v>
      </c>
    </row>
    <row r="28083" ht="15.75" customHeight="1">
      <c r="A28083" s="7"/>
      <c r="B28083" s="7"/>
      <c r="M28083" s="9" t="s">
        <v>21</v>
      </c>
    </row>
    <row r="28084" ht="15.75" customHeight="1">
      <c r="A28084" s="7"/>
      <c r="B28084" s="7"/>
      <c r="M28084" s="9" t="s">
        <v>37</v>
      </c>
    </row>
    <row r="28085" ht="15.75" customHeight="1">
      <c r="A28085" s="7"/>
      <c r="B28085" s="7"/>
      <c r="M28085" s="9" t="s">
        <v>27</v>
      </c>
    </row>
    <row r="28086" ht="15.75" customHeight="1">
      <c r="A28086" s="7"/>
      <c r="B28086" s="7"/>
      <c r="M28086" s="9" t="s">
        <v>33</v>
      </c>
    </row>
    <row r="28087" ht="15.75" customHeight="1">
      <c r="A28087" s="7"/>
      <c r="B28087" s="7"/>
      <c r="M28087" s="9" t="s">
        <v>24</v>
      </c>
    </row>
    <row r="28088" ht="15.75" customHeight="1">
      <c r="A28088" s="7"/>
      <c r="B28088" s="7"/>
      <c r="M28088" s="9" t="s">
        <v>21</v>
      </c>
    </row>
    <row r="28089" ht="15.75" customHeight="1">
      <c r="A28089" s="7"/>
      <c r="B28089" s="7"/>
      <c r="M28089" s="9" t="s">
        <v>37</v>
      </c>
    </row>
    <row r="28090" ht="15.75" customHeight="1">
      <c r="A28090" s="7"/>
      <c r="B28090" s="7"/>
      <c r="M28090" s="9" t="s">
        <v>23</v>
      </c>
    </row>
    <row r="28091" ht="15.75" customHeight="1">
      <c r="A28091" s="7"/>
      <c r="B28091" s="7"/>
      <c r="M28091" s="9" t="s">
        <v>24</v>
      </c>
    </row>
    <row r="28092" ht="15.75" customHeight="1">
      <c r="A28092" s="7"/>
      <c r="B28092" s="7"/>
      <c r="M28092" s="9" t="s">
        <v>20</v>
      </c>
    </row>
    <row r="28093" ht="15.75" customHeight="1">
      <c r="A28093" s="7"/>
      <c r="B28093" s="7"/>
      <c r="M28093" s="9" t="s">
        <v>21</v>
      </c>
    </row>
    <row r="28094" ht="15.75" customHeight="1">
      <c r="A28094" s="7"/>
      <c r="B28094" s="7"/>
      <c r="M28094" s="9" t="s">
        <v>39</v>
      </c>
    </row>
    <row r="28095" ht="15.75" customHeight="1">
      <c r="A28095" s="7"/>
      <c r="B28095" s="7"/>
      <c r="M28095" s="9" t="s">
        <v>41</v>
      </c>
    </row>
    <row r="28096" ht="15.75" customHeight="1">
      <c r="A28096" s="7"/>
      <c r="B28096" s="7"/>
      <c r="M28096" s="9" t="s">
        <v>33</v>
      </c>
    </row>
    <row r="28097" ht="15.75" customHeight="1">
      <c r="A28097" s="7"/>
      <c r="B28097" s="7"/>
      <c r="M28097" s="9" t="s">
        <v>38</v>
      </c>
    </row>
    <row r="28098" ht="15.75" customHeight="1">
      <c r="A28098" s="7"/>
      <c r="B28098" s="7"/>
      <c r="M28098" s="9" t="s">
        <v>30</v>
      </c>
    </row>
    <row r="28099" ht="15.75" customHeight="1">
      <c r="A28099" s="7"/>
      <c r="B28099" s="7"/>
      <c r="M28099" s="9" t="s">
        <v>25</v>
      </c>
    </row>
    <row r="28100" ht="15.75" customHeight="1">
      <c r="A28100" s="7"/>
      <c r="B28100" s="7"/>
      <c r="M28100" s="9" t="s">
        <v>23</v>
      </c>
    </row>
    <row r="28101" ht="15.75" customHeight="1">
      <c r="A28101" s="7"/>
      <c r="B28101" s="7"/>
      <c r="M28101" s="9" t="s">
        <v>26</v>
      </c>
    </row>
    <row r="28102" ht="15.75" customHeight="1">
      <c r="A28102" s="7"/>
      <c r="B28102" s="7"/>
      <c r="M28102" s="9" t="s">
        <v>44</v>
      </c>
    </row>
    <row r="28103" ht="15.75" customHeight="1">
      <c r="A28103" s="7"/>
      <c r="B28103" s="7"/>
      <c r="M28103" s="9" t="s">
        <v>47</v>
      </c>
    </row>
    <row r="28104" ht="15.75" customHeight="1">
      <c r="A28104" s="7"/>
      <c r="B28104" s="7"/>
      <c r="M28104" s="9" t="s">
        <v>42</v>
      </c>
    </row>
    <row r="28105" ht="15.75" customHeight="1">
      <c r="A28105" s="7"/>
      <c r="B28105" s="7"/>
      <c r="M28105" s="9" t="s">
        <v>43</v>
      </c>
    </row>
    <row r="28106" ht="15.75" customHeight="1">
      <c r="A28106" s="7"/>
      <c r="B28106" s="7"/>
      <c r="M28106" s="9" t="s">
        <v>45</v>
      </c>
    </row>
    <row r="28107" ht="15.75" customHeight="1">
      <c r="A28107" s="7"/>
      <c r="B28107" s="7"/>
      <c r="M28107" s="9" t="s">
        <v>36</v>
      </c>
    </row>
    <row r="28108" ht="15.75" customHeight="1">
      <c r="A28108" s="7"/>
      <c r="B28108" s="7"/>
      <c r="M28108" s="9" t="s">
        <v>24</v>
      </c>
    </row>
    <row r="28109" ht="15.75" customHeight="1">
      <c r="A28109" s="7"/>
      <c r="B28109" s="7"/>
      <c r="M28109" s="9" t="s">
        <v>20</v>
      </c>
    </row>
    <row r="28110" ht="15.75" customHeight="1">
      <c r="A28110" s="7"/>
      <c r="B28110" s="7"/>
      <c r="M28110" s="9" t="s">
        <v>21</v>
      </c>
    </row>
    <row r="28111" ht="15.75" customHeight="1">
      <c r="A28111" s="7"/>
      <c r="B28111" s="7"/>
      <c r="M28111" s="9" t="s">
        <v>39</v>
      </c>
    </row>
    <row r="28112" ht="15.75" customHeight="1">
      <c r="A28112" s="7"/>
      <c r="B28112" s="7"/>
      <c r="M28112" s="9" t="s">
        <v>41</v>
      </c>
    </row>
    <row r="28113" ht="15.75" customHeight="1">
      <c r="A28113" s="7"/>
      <c r="B28113" s="7"/>
      <c r="M28113" s="9" t="s">
        <v>37</v>
      </c>
    </row>
    <row r="28114" ht="15.75" customHeight="1">
      <c r="A28114" s="7"/>
      <c r="B28114" s="7"/>
      <c r="M28114" s="9" t="s">
        <v>22</v>
      </c>
    </row>
    <row r="28115" ht="15.75" customHeight="1">
      <c r="A28115" s="7"/>
      <c r="B28115" s="7"/>
      <c r="M28115" s="9" t="s">
        <v>29</v>
      </c>
    </row>
    <row r="28116" ht="15.75" customHeight="1">
      <c r="A28116" s="7"/>
      <c r="B28116" s="7"/>
      <c r="M28116" s="9" t="s">
        <v>31</v>
      </c>
    </row>
    <row r="28117" ht="15.75" customHeight="1">
      <c r="A28117" s="7"/>
      <c r="B28117" s="7"/>
      <c r="M28117" s="9" t="s">
        <v>32</v>
      </c>
    </row>
    <row r="28118" ht="15.75" customHeight="1">
      <c r="A28118" s="7"/>
      <c r="B28118" s="7"/>
      <c r="M28118" s="9" t="s">
        <v>46</v>
      </c>
    </row>
    <row r="28119" ht="15.75" customHeight="1">
      <c r="A28119" s="7"/>
      <c r="B28119" s="7"/>
      <c r="M28119" s="9" t="s">
        <v>27</v>
      </c>
    </row>
    <row r="28120" ht="15.75" customHeight="1">
      <c r="A28120" s="7"/>
      <c r="B28120" s="7"/>
      <c r="M28120" s="9" t="s">
        <v>40</v>
      </c>
    </row>
    <row r="28121" ht="15.75" customHeight="1">
      <c r="A28121" s="7"/>
      <c r="B28121" s="7"/>
      <c r="M28121" s="9" t="s">
        <v>33</v>
      </c>
    </row>
    <row r="28122" ht="15.75" customHeight="1">
      <c r="A28122" s="7"/>
      <c r="B28122" s="7"/>
      <c r="M28122" s="9" t="s">
        <v>28</v>
      </c>
    </row>
    <row r="28123" ht="15.75" customHeight="1">
      <c r="A28123" s="7"/>
      <c r="B28123" s="7"/>
      <c r="M28123" s="9" t="s">
        <v>34</v>
      </c>
    </row>
    <row r="28124" ht="15.75" customHeight="1">
      <c r="A28124" s="7"/>
      <c r="B28124" s="7"/>
      <c r="M28124" s="9" t="s">
        <v>29</v>
      </c>
    </row>
    <row r="28125" ht="15.75" customHeight="1">
      <c r="A28125" s="7"/>
      <c r="B28125" s="7"/>
      <c r="M28125" s="9" t="s">
        <v>27</v>
      </c>
    </row>
    <row r="28126" ht="15.75" customHeight="1">
      <c r="A28126" s="7"/>
      <c r="B28126" s="7"/>
      <c r="M28126" s="9" t="s">
        <v>30</v>
      </c>
    </row>
    <row r="28127" ht="15.75" customHeight="1">
      <c r="A28127" s="7"/>
      <c r="B28127" s="7"/>
      <c r="M28127" s="9" t="s">
        <v>22</v>
      </c>
    </row>
    <row r="28128" ht="15.75" customHeight="1">
      <c r="A28128" s="7"/>
      <c r="B28128" s="7"/>
      <c r="M28128" s="9" t="s">
        <v>26</v>
      </c>
    </row>
    <row r="28129" ht="15.75" customHeight="1">
      <c r="A28129" s="7"/>
      <c r="B28129" s="7"/>
      <c r="M28129" s="9" t="s">
        <v>24</v>
      </c>
    </row>
    <row r="28130" ht="15.75" customHeight="1">
      <c r="A28130" s="7"/>
      <c r="B28130" s="7"/>
      <c r="M28130" s="9" t="s">
        <v>22</v>
      </c>
    </row>
    <row r="28131" ht="15.75" customHeight="1">
      <c r="A28131" s="7"/>
      <c r="B28131" s="7"/>
      <c r="M28131" s="9" t="s">
        <v>27</v>
      </c>
    </row>
    <row r="28132" ht="15.75" customHeight="1">
      <c r="A28132" s="7"/>
      <c r="B28132" s="7"/>
      <c r="M28132" s="9" t="s">
        <v>30</v>
      </c>
    </row>
    <row r="28133" ht="15.75" customHeight="1">
      <c r="A28133" s="7"/>
      <c r="B28133" s="7"/>
      <c r="M28133" s="9" t="s">
        <v>20</v>
      </c>
    </row>
    <row r="28134" ht="15.75" customHeight="1">
      <c r="A28134" s="7"/>
      <c r="B28134" s="7"/>
      <c r="M28134" s="9" t="s">
        <v>21</v>
      </c>
    </row>
    <row r="28135" ht="15.75" customHeight="1">
      <c r="A28135" s="7"/>
      <c r="B28135" s="7"/>
      <c r="M28135" s="9" t="s">
        <v>27</v>
      </c>
    </row>
    <row r="28136" ht="15.75" customHeight="1">
      <c r="A28136" s="7"/>
      <c r="B28136" s="7"/>
      <c r="M28136" s="9" t="s">
        <v>30</v>
      </c>
    </row>
    <row r="28137" ht="15.75" customHeight="1">
      <c r="A28137" s="7"/>
      <c r="B28137" s="7"/>
      <c r="M28137" s="9" t="s">
        <v>26</v>
      </c>
    </row>
    <row r="28138" ht="15.75" customHeight="1">
      <c r="A28138" s="7"/>
      <c r="B28138" s="7"/>
      <c r="M28138" s="9" t="s">
        <v>24</v>
      </c>
    </row>
    <row r="28139" ht="15.75" customHeight="1">
      <c r="A28139" s="7"/>
      <c r="B28139" s="7"/>
      <c r="M28139" s="9" t="s">
        <v>20</v>
      </c>
    </row>
    <row r="28140" ht="15.75" customHeight="1">
      <c r="A28140" s="7"/>
      <c r="B28140" s="7"/>
      <c r="M28140" s="9" t="s">
        <v>21</v>
      </c>
    </row>
    <row r="28141" ht="15.75" customHeight="1">
      <c r="A28141" s="7"/>
      <c r="B28141" s="7"/>
      <c r="M28141" s="9" t="s">
        <v>27</v>
      </c>
    </row>
    <row r="28142" ht="15.75" customHeight="1">
      <c r="A28142" s="7"/>
      <c r="B28142" s="7"/>
      <c r="M28142" s="9" t="s">
        <v>30</v>
      </c>
    </row>
    <row r="28143" ht="15.75" customHeight="1">
      <c r="A28143" s="7"/>
      <c r="B28143" s="7"/>
      <c r="M28143" s="9" t="s">
        <v>36</v>
      </c>
    </row>
    <row r="28144" ht="15.75" customHeight="1">
      <c r="A28144" s="7"/>
      <c r="B28144" s="7"/>
      <c r="M28144" s="9" t="s">
        <v>24</v>
      </c>
    </row>
    <row r="28145" ht="15.75" customHeight="1">
      <c r="A28145" s="7"/>
      <c r="B28145" s="7"/>
      <c r="M28145" s="9" t="s">
        <v>21</v>
      </c>
    </row>
    <row r="28146" ht="15.75" customHeight="1">
      <c r="A28146" s="7"/>
      <c r="B28146" s="7"/>
      <c r="M28146" s="9" t="s">
        <v>22</v>
      </c>
    </row>
    <row r="28147" ht="15.75" customHeight="1">
      <c r="A28147" s="7"/>
      <c r="B28147" s="7"/>
      <c r="M28147" s="9" t="s">
        <v>30</v>
      </c>
    </row>
    <row r="28148" ht="15.75" customHeight="1">
      <c r="A28148" s="7"/>
      <c r="B28148" s="7"/>
      <c r="M28148" s="9" t="s">
        <v>26</v>
      </c>
    </row>
    <row r="28149" ht="15.75" customHeight="1">
      <c r="A28149" s="7"/>
      <c r="B28149" s="7"/>
      <c r="M28149" s="9" t="s">
        <v>24</v>
      </c>
    </row>
    <row r="28150" ht="15.75" customHeight="1">
      <c r="A28150" s="7"/>
      <c r="B28150" s="7"/>
      <c r="M28150" s="9" t="s">
        <v>20</v>
      </c>
    </row>
    <row r="28151" ht="15.75" customHeight="1">
      <c r="A28151" s="7"/>
      <c r="B28151" s="7"/>
      <c r="M28151" s="9" t="s">
        <v>21</v>
      </c>
    </row>
    <row r="28152" ht="15.75" customHeight="1">
      <c r="A28152" s="7"/>
      <c r="B28152" s="7"/>
      <c r="M28152" s="9" t="s">
        <v>27</v>
      </c>
    </row>
    <row r="28153" ht="15.75" customHeight="1">
      <c r="A28153" s="7"/>
      <c r="B28153" s="7"/>
      <c r="M28153" s="9" t="s">
        <v>26</v>
      </c>
    </row>
    <row r="28154" ht="15.75" customHeight="1">
      <c r="A28154" s="7"/>
      <c r="B28154" s="7"/>
      <c r="M28154" s="9" t="s">
        <v>24</v>
      </c>
    </row>
    <row r="28155" ht="15.75" customHeight="1">
      <c r="A28155" s="7"/>
      <c r="B28155" s="7"/>
      <c r="M28155" s="9" t="s">
        <v>21</v>
      </c>
    </row>
    <row r="28156" ht="15.75" customHeight="1">
      <c r="A28156" s="7"/>
      <c r="B28156" s="7"/>
      <c r="M28156" s="9" t="s">
        <v>22</v>
      </c>
    </row>
    <row r="28157" ht="15.75" customHeight="1">
      <c r="A28157" s="7"/>
      <c r="B28157" s="7"/>
      <c r="M28157" s="9" t="s">
        <v>27</v>
      </c>
    </row>
    <row r="28158" ht="15.75" customHeight="1">
      <c r="A28158" s="7"/>
      <c r="B28158" s="7"/>
      <c r="M28158" s="9" t="s">
        <v>30</v>
      </c>
    </row>
    <row r="28159" ht="15.75" customHeight="1">
      <c r="A28159" s="7"/>
      <c r="B28159" s="7"/>
      <c r="M28159" s="9" t="s">
        <v>24</v>
      </c>
    </row>
    <row r="28160" ht="15.75" customHeight="1">
      <c r="A28160" s="7"/>
      <c r="B28160" s="7"/>
      <c r="M28160" s="9" t="s">
        <v>21</v>
      </c>
    </row>
    <row r="28161" ht="15.75" customHeight="1">
      <c r="A28161" s="7"/>
      <c r="B28161" s="7"/>
      <c r="M28161" s="9" t="s">
        <v>32</v>
      </c>
    </row>
    <row r="28162" ht="15.75" customHeight="1">
      <c r="A28162" s="7"/>
      <c r="B28162" s="7"/>
      <c r="M28162" s="9" t="s">
        <v>30</v>
      </c>
    </row>
    <row r="28163" ht="15.75" customHeight="1">
      <c r="A28163" s="7"/>
      <c r="B28163" s="7"/>
      <c r="M28163" s="9" t="s">
        <v>25</v>
      </c>
    </row>
    <row r="28164" ht="15.75" customHeight="1">
      <c r="A28164" s="7"/>
      <c r="B28164" s="7"/>
      <c r="M28164" s="9" t="s">
        <v>22</v>
      </c>
    </row>
    <row r="28165" ht="15.75" customHeight="1">
      <c r="A28165" s="7"/>
      <c r="B28165" s="7"/>
      <c r="M28165" s="9" t="s">
        <v>30</v>
      </c>
    </row>
    <row r="28166" ht="15.75" customHeight="1">
      <c r="A28166" s="7"/>
      <c r="B28166" s="7"/>
      <c r="M28166" s="9" t="s">
        <v>24</v>
      </c>
    </row>
    <row r="28167" ht="15.75" customHeight="1">
      <c r="A28167" s="7"/>
      <c r="B28167" s="7"/>
      <c r="M28167" s="9" t="s">
        <v>20</v>
      </c>
    </row>
    <row r="28168" ht="15.75" customHeight="1">
      <c r="A28168" s="7"/>
      <c r="B28168" s="7"/>
      <c r="M28168" s="9" t="s">
        <v>21</v>
      </c>
    </row>
    <row r="28169" ht="15.75" customHeight="1">
      <c r="A28169" s="7"/>
      <c r="B28169" s="7"/>
      <c r="M28169" s="9" t="s">
        <v>27</v>
      </c>
    </row>
    <row r="28170" ht="15.75" customHeight="1">
      <c r="A28170" s="7"/>
      <c r="B28170" s="7"/>
      <c r="M28170" s="9" t="s">
        <v>33</v>
      </c>
    </row>
    <row r="28171" ht="15.75" customHeight="1">
      <c r="A28171" s="7"/>
      <c r="B28171" s="7"/>
      <c r="M28171" s="9" t="s">
        <v>24</v>
      </c>
    </row>
    <row r="28172" ht="15.75" customHeight="1">
      <c r="A28172" s="7"/>
      <c r="B28172" s="7"/>
      <c r="M28172" s="9" t="s">
        <v>21</v>
      </c>
    </row>
    <row r="28173" ht="15.75" customHeight="1">
      <c r="A28173" s="7"/>
      <c r="B28173" s="7"/>
      <c r="M28173" s="9" t="s">
        <v>37</v>
      </c>
    </row>
    <row r="28174" ht="15.75" customHeight="1">
      <c r="A28174" s="7"/>
      <c r="B28174" s="7"/>
      <c r="M28174" s="9" t="s">
        <v>27</v>
      </c>
    </row>
    <row r="28175" ht="15.75" customHeight="1">
      <c r="A28175" s="7"/>
      <c r="B28175" s="7"/>
      <c r="M28175" s="9" t="s">
        <v>30</v>
      </c>
    </row>
    <row r="28176" ht="15.75" customHeight="1">
      <c r="A28176" s="7"/>
      <c r="B28176" s="7"/>
      <c r="M28176" s="9" t="s">
        <v>26</v>
      </c>
    </row>
    <row r="28177" ht="15.75" customHeight="1">
      <c r="A28177" s="7"/>
      <c r="B28177" s="7"/>
      <c r="M28177" s="9" t="s">
        <v>45</v>
      </c>
    </row>
    <row r="28178" ht="15.75" customHeight="1">
      <c r="A28178" s="7"/>
      <c r="B28178" s="7"/>
      <c r="M28178" s="9" t="s">
        <v>24</v>
      </c>
    </row>
    <row r="28179" ht="15.75" customHeight="1">
      <c r="A28179" s="7"/>
      <c r="B28179" s="7"/>
      <c r="M28179" s="9" t="s">
        <v>21</v>
      </c>
    </row>
    <row r="28180" ht="15.75" customHeight="1">
      <c r="A28180" s="7"/>
      <c r="B28180" s="7"/>
      <c r="M28180" s="9" t="s">
        <v>27</v>
      </c>
    </row>
    <row r="28181" ht="15.75" customHeight="1">
      <c r="A28181" s="7"/>
      <c r="B28181" s="7"/>
      <c r="M28181" s="9" t="s">
        <v>33</v>
      </c>
    </row>
    <row r="28182" ht="15.75" customHeight="1">
      <c r="A28182" s="7"/>
      <c r="B28182" s="7"/>
      <c r="M28182" s="9" t="s">
        <v>25</v>
      </c>
    </row>
    <row r="28183" ht="15.75" customHeight="1">
      <c r="A28183" s="7"/>
      <c r="B28183" s="7"/>
      <c r="M28183" s="9" t="s">
        <v>23</v>
      </c>
    </row>
    <row r="28184" ht="15.75" customHeight="1">
      <c r="A28184" s="7"/>
      <c r="B28184" s="7"/>
      <c r="M28184" s="9" t="s">
        <v>20</v>
      </c>
    </row>
    <row r="28185" ht="15.75" customHeight="1">
      <c r="A28185" s="7"/>
      <c r="B28185" s="7"/>
      <c r="M28185" s="9" t="s">
        <v>21</v>
      </c>
    </row>
    <row r="28186" ht="15.75" customHeight="1">
      <c r="A28186" s="7"/>
      <c r="B28186" s="7"/>
      <c r="M28186" s="9" t="s">
        <v>22</v>
      </c>
    </row>
    <row r="28187" ht="15.75" customHeight="1">
      <c r="A28187" s="7"/>
      <c r="B28187" s="7"/>
      <c r="M28187" s="9" t="s">
        <v>27</v>
      </c>
    </row>
    <row r="28188" ht="15.75" customHeight="1">
      <c r="A28188" s="7"/>
      <c r="B28188" s="7"/>
      <c r="M28188" s="9" t="s">
        <v>31</v>
      </c>
    </row>
    <row r="28189" ht="15.75" customHeight="1">
      <c r="A28189" s="7"/>
      <c r="B28189" s="7"/>
      <c r="M28189" s="9" t="s">
        <v>23</v>
      </c>
    </row>
    <row r="28190" ht="15.75" customHeight="1">
      <c r="A28190" s="7"/>
      <c r="B28190" s="7"/>
      <c r="M28190" s="9" t="s">
        <v>24</v>
      </c>
    </row>
    <row r="28191" ht="15.75" customHeight="1">
      <c r="A28191" s="7"/>
      <c r="B28191" s="7"/>
      <c r="M28191" s="9" t="s">
        <v>20</v>
      </c>
    </row>
    <row r="28192" ht="15.75" customHeight="1">
      <c r="A28192" s="7"/>
      <c r="B28192" s="7"/>
      <c r="M28192" s="9" t="s">
        <v>21</v>
      </c>
    </row>
    <row r="28193" ht="15.75" customHeight="1">
      <c r="A28193" s="7"/>
      <c r="B28193" s="7"/>
      <c r="M28193" s="9" t="s">
        <v>37</v>
      </c>
    </row>
    <row r="28194" ht="15.75" customHeight="1">
      <c r="A28194" s="7"/>
      <c r="B28194" s="7"/>
      <c r="M28194" s="9" t="s">
        <v>27</v>
      </c>
    </row>
    <row r="28195" ht="15.75" customHeight="1">
      <c r="A28195" s="7"/>
      <c r="B28195" s="7"/>
      <c r="M28195" s="9" t="s">
        <v>34</v>
      </c>
    </row>
    <row r="28196" ht="15.75" customHeight="1">
      <c r="A28196" s="7"/>
      <c r="B28196" s="7"/>
      <c r="M28196" s="9" t="s">
        <v>38</v>
      </c>
    </row>
    <row r="28197" ht="15.75" customHeight="1">
      <c r="A28197" s="7"/>
      <c r="B28197" s="7"/>
      <c r="M28197" s="9" t="s">
        <v>30</v>
      </c>
    </row>
    <row r="28198" ht="15.75" customHeight="1">
      <c r="A28198" s="7"/>
      <c r="B28198" s="7"/>
      <c r="M28198" s="9" t="s">
        <v>25</v>
      </c>
    </row>
    <row r="28199" ht="15.75" customHeight="1">
      <c r="A28199" s="7"/>
      <c r="B28199" s="7"/>
      <c r="M28199" s="9" t="s">
        <v>23</v>
      </c>
    </row>
    <row r="28200" ht="15.75" customHeight="1">
      <c r="A28200" s="7"/>
      <c r="B28200" s="7"/>
      <c r="M28200" s="9" t="s">
        <v>20</v>
      </c>
    </row>
    <row r="28201" ht="15.75" customHeight="1">
      <c r="A28201" s="7"/>
      <c r="B28201" s="7"/>
      <c r="M28201" s="9" t="s">
        <v>22</v>
      </c>
    </row>
    <row r="28202" ht="15.75" customHeight="1">
      <c r="A28202" s="7"/>
      <c r="B28202" s="7"/>
      <c r="M28202" s="9" t="s">
        <v>32</v>
      </c>
    </row>
    <row r="28203" ht="15.75" customHeight="1">
      <c r="A28203" s="7"/>
      <c r="B28203" s="7"/>
      <c r="M28203" s="9" t="s">
        <v>23</v>
      </c>
    </row>
    <row r="28204" ht="15.75" customHeight="1">
      <c r="A28204" s="7"/>
      <c r="B28204" s="7"/>
      <c r="M28204" s="9" t="s">
        <v>24</v>
      </c>
    </row>
    <row r="28205" ht="15.75" customHeight="1">
      <c r="A28205" s="7"/>
      <c r="B28205" s="7"/>
      <c r="M28205" s="9" t="s">
        <v>20</v>
      </c>
    </row>
    <row r="28206" ht="15.75" customHeight="1">
      <c r="A28206" s="7"/>
      <c r="B28206" s="7"/>
      <c r="M28206" s="9" t="s">
        <v>21</v>
      </c>
    </row>
    <row r="28207" ht="15.75" customHeight="1">
      <c r="A28207" s="7"/>
      <c r="B28207" s="7"/>
      <c r="M28207" s="9" t="s">
        <v>37</v>
      </c>
    </row>
    <row r="28208" ht="15.75" customHeight="1">
      <c r="A28208" s="7"/>
      <c r="B28208" s="7"/>
      <c r="M28208" s="9" t="s">
        <v>22</v>
      </c>
    </row>
    <row r="28209" ht="15.75" customHeight="1">
      <c r="A28209" s="7"/>
      <c r="B28209" s="7"/>
      <c r="M28209" s="9" t="s">
        <v>27</v>
      </c>
    </row>
    <row r="28210" ht="15.75" customHeight="1">
      <c r="A28210" s="7"/>
      <c r="B28210" s="7"/>
      <c r="M28210" s="9" t="s">
        <v>30</v>
      </c>
    </row>
    <row r="28211" ht="15.75" customHeight="1">
      <c r="A28211" s="7"/>
      <c r="B28211" s="7"/>
      <c r="M28211" s="9" t="s">
        <v>44</v>
      </c>
    </row>
    <row r="28212" ht="15.75" customHeight="1">
      <c r="A28212" s="7"/>
      <c r="B28212" s="7"/>
      <c r="M28212" s="9" t="s">
        <v>36</v>
      </c>
    </row>
    <row r="28213" ht="15.75" customHeight="1">
      <c r="A28213" s="7"/>
      <c r="B28213" s="7"/>
      <c r="M28213" s="9" t="s">
        <v>29</v>
      </c>
    </row>
    <row r="28214" ht="15.75" customHeight="1">
      <c r="A28214" s="7"/>
      <c r="B28214" s="7"/>
      <c r="M28214" s="9" t="s">
        <v>31</v>
      </c>
    </row>
    <row r="28215" ht="15.75" customHeight="1">
      <c r="A28215" s="7"/>
      <c r="B28215" s="7"/>
      <c r="M28215" s="9" t="s">
        <v>23</v>
      </c>
    </row>
    <row r="28216" ht="15.75" customHeight="1">
      <c r="A28216" s="7"/>
      <c r="B28216" s="7"/>
      <c r="M28216" s="9" t="s">
        <v>26</v>
      </c>
    </row>
    <row r="28217" ht="15.75" customHeight="1">
      <c r="A28217" s="7"/>
      <c r="B28217" s="7"/>
      <c r="M28217" s="9" t="s">
        <v>24</v>
      </c>
    </row>
    <row r="28218" ht="15.75" customHeight="1">
      <c r="A28218" s="7"/>
      <c r="B28218" s="7"/>
      <c r="M28218" s="9" t="s">
        <v>21</v>
      </c>
    </row>
    <row r="28219" ht="15.75" customHeight="1">
      <c r="A28219" s="7"/>
      <c r="B28219" s="7"/>
      <c r="M28219" s="9" t="s">
        <v>27</v>
      </c>
    </row>
    <row r="28220" ht="15.75" customHeight="1">
      <c r="A28220" s="7"/>
      <c r="B28220" s="7"/>
      <c r="M28220" s="9" t="s">
        <v>30</v>
      </c>
    </row>
    <row r="28221" ht="15.75" customHeight="1">
      <c r="A28221" s="7"/>
      <c r="B28221" s="7"/>
      <c r="M28221" s="9" t="s">
        <v>44</v>
      </c>
    </row>
    <row r="28222" ht="15.75" customHeight="1">
      <c r="A28222" s="7"/>
      <c r="B28222" s="7"/>
      <c r="M28222" s="9" t="s">
        <v>42</v>
      </c>
    </row>
    <row r="28223" ht="15.75" customHeight="1">
      <c r="A28223" s="7"/>
      <c r="B28223" s="7"/>
      <c r="M28223" s="9" t="s">
        <v>43</v>
      </c>
    </row>
    <row r="28224" ht="15.75" customHeight="1">
      <c r="A28224" s="7"/>
      <c r="B28224" s="7"/>
      <c r="M28224" s="9" t="s">
        <v>36</v>
      </c>
    </row>
    <row r="28225" ht="15.75" customHeight="1">
      <c r="A28225" s="7"/>
      <c r="B28225" s="7"/>
      <c r="M28225" s="9" t="s">
        <v>22</v>
      </c>
    </row>
    <row r="28226" ht="15.75" customHeight="1">
      <c r="A28226" s="7"/>
      <c r="B28226" s="7"/>
      <c r="M28226" s="9" t="s">
        <v>31</v>
      </c>
    </row>
    <row r="28227" ht="15.75" customHeight="1">
      <c r="A28227" s="7"/>
      <c r="B28227" s="7"/>
      <c r="M28227" s="9" t="s">
        <v>46</v>
      </c>
    </row>
    <row r="28228" ht="15.75" customHeight="1">
      <c r="A28228" s="7"/>
      <c r="B28228" s="7"/>
      <c r="M28228" s="9" t="s">
        <v>25</v>
      </c>
    </row>
    <row r="28229" ht="15.75" customHeight="1">
      <c r="A28229" s="7"/>
      <c r="B28229" s="7"/>
      <c r="M28229" s="9" t="s">
        <v>23</v>
      </c>
    </row>
    <row r="28230" ht="15.75" customHeight="1">
      <c r="A28230" s="7"/>
      <c r="B28230" s="7"/>
      <c r="M28230" s="9" t="s">
        <v>26</v>
      </c>
    </row>
    <row r="28231" ht="15.75" customHeight="1">
      <c r="A28231" s="7"/>
      <c r="B28231" s="7"/>
      <c r="M28231" s="9" t="s">
        <v>20</v>
      </c>
    </row>
    <row r="28232" ht="15.75" customHeight="1">
      <c r="A28232" s="7"/>
      <c r="B28232" s="7"/>
      <c r="M28232" s="9" t="s">
        <v>24</v>
      </c>
    </row>
    <row r="28233" ht="15.75" customHeight="1">
      <c r="A28233" s="7"/>
      <c r="B28233" s="7"/>
      <c r="M28233" s="9" t="s">
        <v>21</v>
      </c>
    </row>
    <row r="28234" ht="15.75" customHeight="1">
      <c r="A28234" s="7"/>
      <c r="B28234" s="7"/>
      <c r="M28234" s="9" t="s">
        <v>37</v>
      </c>
    </row>
    <row r="28235" ht="15.75" customHeight="1">
      <c r="A28235" s="7"/>
      <c r="B28235" s="7"/>
      <c r="M28235" s="9" t="s">
        <v>27</v>
      </c>
    </row>
    <row r="28236" ht="15.75" customHeight="1">
      <c r="A28236" s="7"/>
      <c r="B28236" s="7"/>
      <c r="M28236" s="9" t="s">
        <v>30</v>
      </c>
    </row>
    <row r="28237" ht="15.75" customHeight="1">
      <c r="A28237" s="7"/>
      <c r="B28237" s="7"/>
      <c r="M28237" s="9" t="s">
        <v>23</v>
      </c>
    </row>
    <row r="28238" ht="15.75" customHeight="1">
      <c r="A28238" s="7"/>
      <c r="B28238" s="7"/>
      <c r="M28238" s="9" t="s">
        <v>20</v>
      </c>
    </row>
    <row r="28239" ht="15.75" customHeight="1">
      <c r="A28239" s="7"/>
      <c r="B28239" s="7"/>
      <c r="M28239" s="9" t="s">
        <v>22</v>
      </c>
    </row>
    <row r="28240" ht="15.75" customHeight="1">
      <c r="A28240" s="7"/>
      <c r="B28240" s="7"/>
      <c r="M28240" s="9" t="s">
        <v>24</v>
      </c>
    </row>
    <row r="28241" ht="15.75" customHeight="1">
      <c r="A28241" s="7"/>
      <c r="B28241" s="7"/>
      <c r="M28241" s="9" t="s">
        <v>21</v>
      </c>
    </row>
    <row r="28242" ht="15.75" customHeight="1">
      <c r="A28242" s="7"/>
      <c r="B28242" s="7"/>
      <c r="M28242" s="9" t="s">
        <v>36</v>
      </c>
    </row>
    <row r="28243" ht="15.75" customHeight="1">
      <c r="A28243" s="7"/>
      <c r="B28243" s="7"/>
      <c r="M28243" s="9" t="s">
        <v>24</v>
      </c>
    </row>
    <row r="28244" ht="15.75" customHeight="1">
      <c r="A28244" s="7"/>
      <c r="B28244" s="7"/>
      <c r="M28244" s="9" t="s">
        <v>21</v>
      </c>
    </row>
    <row r="28245" ht="15.75" customHeight="1">
      <c r="A28245" s="7"/>
      <c r="B28245" s="7"/>
      <c r="M28245" s="9" t="s">
        <v>22</v>
      </c>
    </row>
    <row r="28246" ht="15.75" customHeight="1">
      <c r="A28246" s="7"/>
      <c r="B28246" s="7"/>
      <c r="M28246" s="9" t="s">
        <v>27</v>
      </c>
    </row>
    <row r="28247" ht="15.75" customHeight="1">
      <c r="A28247" s="7"/>
      <c r="B28247" s="7"/>
      <c r="M28247" s="9" t="s">
        <v>20</v>
      </c>
    </row>
    <row r="28248" ht="15.75" customHeight="1">
      <c r="A28248" s="7"/>
      <c r="B28248" s="7"/>
      <c r="M28248" s="9" t="s">
        <v>24</v>
      </c>
    </row>
    <row r="28249" ht="15.75" customHeight="1">
      <c r="A28249" s="7"/>
      <c r="B28249" s="7"/>
      <c r="M28249" s="9" t="s">
        <v>21</v>
      </c>
    </row>
    <row r="28250" ht="15.75" customHeight="1">
      <c r="A28250" s="7"/>
      <c r="B28250" s="7"/>
      <c r="M28250" s="9" t="s">
        <v>37</v>
      </c>
    </row>
    <row r="28251" ht="15.75" customHeight="1">
      <c r="A28251" s="7"/>
      <c r="B28251" s="7"/>
      <c r="M28251" s="9" t="s">
        <v>30</v>
      </c>
    </row>
    <row r="28252" ht="15.75" customHeight="1">
      <c r="A28252" s="7"/>
      <c r="B28252" s="7"/>
      <c r="M28252" s="9" t="s">
        <v>24</v>
      </c>
    </row>
    <row r="28253" ht="15.75" customHeight="1">
      <c r="A28253" s="7"/>
      <c r="B28253" s="7"/>
      <c r="M28253" s="9" t="s">
        <v>20</v>
      </c>
    </row>
    <row r="28254" ht="15.75" customHeight="1">
      <c r="A28254" s="7"/>
      <c r="B28254" s="7"/>
      <c r="M28254" s="9" t="s">
        <v>21</v>
      </c>
    </row>
    <row r="28255" ht="15.75" customHeight="1">
      <c r="A28255" s="7"/>
      <c r="B28255" s="7"/>
      <c r="M28255" s="9" t="s">
        <v>22</v>
      </c>
    </row>
    <row r="28256" ht="15.75" customHeight="1">
      <c r="A28256" s="7"/>
      <c r="B28256" s="7"/>
      <c r="M28256" s="9" t="s">
        <v>26</v>
      </c>
    </row>
    <row r="28257" ht="15.75" customHeight="1">
      <c r="A28257" s="7"/>
      <c r="B28257" s="7"/>
      <c r="M28257" s="9" t="s">
        <v>24</v>
      </c>
    </row>
    <row r="28258" ht="15.75" customHeight="1">
      <c r="A28258" s="7"/>
      <c r="B28258" s="7"/>
      <c r="M28258" s="9" t="s">
        <v>20</v>
      </c>
    </row>
    <row r="28259" ht="15.75" customHeight="1">
      <c r="A28259" s="7"/>
      <c r="B28259" s="7"/>
      <c r="M28259" s="9" t="s">
        <v>21</v>
      </c>
    </row>
    <row r="28260" ht="15.75" customHeight="1">
      <c r="A28260" s="7"/>
      <c r="B28260" s="7"/>
      <c r="M28260" s="9" t="s">
        <v>37</v>
      </c>
    </row>
    <row r="28261" ht="15.75" customHeight="1">
      <c r="A28261" s="7"/>
      <c r="B28261" s="7"/>
      <c r="M28261" s="9" t="s">
        <v>22</v>
      </c>
    </row>
    <row r="28262" ht="15.75" customHeight="1">
      <c r="A28262" s="7"/>
      <c r="B28262" s="7"/>
      <c r="M28262" s="9" t="s">
        <v>27</v>
      </c>
    </row>
    <row r="28263" ht="15.75" customHeight="1">
      <c r="A28263" s="7"/>
      <c r="B28263" s="7"/>
      <c r="M28263" s="9" t="s">
        <v>25</v>
      </c>
    </row>
    <row r="28264" ht="15.75" customHeight="1">
      <c r="A28264" s="7"/>
      <c r="B28264" s="7"/>
      <c r="M28264" s="9" t="s">
        <v>35</v>
      </c>
    </row>
    <row r="28265" ht="15.75" customHeight="1">
      <c r="A28265" s="7"/>
      <c r="B28265" s="7"/>
      <c r="M28265" s="9" t="s">
        <v>24</v>
      </c>
    </row>
    <row r="28266" ht="15.75" customHeight="1">
      <c r="A28266" s="7"/>
      <c r="B28266" s="7"/>
      <c r="M28266" s="9" t="s">
        <v>20</v>
      </c>
    </row>
    <row r="28267" ht="15.75" customHeight="1">
      <c r="A28267" s="7"/>
      <c r="B28267" s="7"/>
      <c r="M28267" s="9" t="s">
        <v>21</v>
      </c>
    </row>
    <row r="28268" ht="15.75" customHeight="1">
      <c r="A28268" s="7"/>
      <c r="B28268" s="7"/>
      <c r="M28268" s="9" t="s">
        <v>22</v>
      </c>
    </row>
    <row r="28269" ht="15.75" customHeight="1">
      <c r="A28269" s="7"/>
      <c r="B28269" s="7"/>
      <c r="M28269" s="9" t="s">
        <v>27</v>
      </c>
    </row>
    <row r="28270" ht="15.75" customHeight="1">
      <c r="A28270" s="7"/>
      <c r="B28270" s="7"/>
      <c r="M28270" s="9" t="s">
        <v>24</v>
      </c>
    </row>
    <row r="28271" ht="15.75" customHeight="1">
      <c r="A28271" s="7"/>
      <c r="B28271" s="7"/>
      <c r="M28271" s="9" t="s">
        <v>20</v>
      </c>
    </row>
    <row r="28272" ht="15.75" customHeight="1">
      <c r="A28272" s="7"/>
      <c r="B28272" s="7"/>
      <c r="M28272" s="9" t="s">
        <v>21</v>
      </c>
    </row>
    <row r="28273" ht="15.75" customHeight="1">
      <c r="A28273" s="7"/>
      <c r="B28273" s="7"/>
      <c r="M28273" s="9" t="s">
        <v>41</v>
      </c>
    </row>
    <row r="28274" ht="15.75" customHeight="1">
      <c r="A28274" s="7"/>
      <c r="B28274" s="7"/>
      <c r="M28274" s="9" t="s">
        <v>37</v>
      </c>
    </row>
    <row r="28275" ht="15.75" customHeight="1">
      <c r="A28275" s="7"/>
      <c r="B28275" s="7"/>
      <c r="M28275" s="9" t="s">
        <v>22</v>
      </c>
    </row>
    <row r="28276" ht="15.75" customHeight="1">
      <c r="A28276" s="7"/>
      <c r="B28276" s="7"/>
      <c r="M28276" s="9" t="s">
        <v>31</v>
      </c>
    </row>
    <row r="28277" ht="15.75" customHeight="1">
      <c r="A28277" s="7"/>
      <c r="B28277" s="7"/>
      <c r="M28277" s="9" t="s">
        <v>27</v>
      </c>
    </row>
    <row r="28278" ht="15.75" customHeight="1">
      <c r="A28278" s="7"/>
      <c r="B28278" s="7"/>
      <c r="M28278" s="9" t="s">
        <v>40</v>
      </c>
    </row>
    <row r="28279" ht="15.75" customHeight="1">
      <c r="A28279" s="7"/>
      <c r="B28279" s="7"/>
      <c r="M28279" s="9" t="s">
        <v>30</v>
      </c>
    </row>
    <row r="28280" ht="15.75" customHeight="1">
      <c r="A28280" s="7"/>
      <c r="B28280" s="7"/>
      <c r="M28280" s="9" t="s">
        <v>24</v>
      </c>
    </row>
    <row r="28281" ht="15.75" customHeight="1">
      <c r="A28281" s="7"/>
      <c r="B28281" s="7"/>
      <c r="M28281" s="9" t="s">
        <v>21</v>
      </c>
    </row>
    <row r="28282" ht="15.75" customHeight="1">
      <c r="A28282" s="7"/>
      <c r="B28282" s="7"/>
      <c r="M28282" s="9" t="s">
        <v>37</v>
      </c>
    </row>
    <row r="28283" ht="15.75" customHeight="1">
      <c r="A28283" s="7"/>
      <c r="B28283" s="7"/>
      <c r="M28283" s="9" t="s">
        <v>23</v>
      </c>
    </row>
    <row r="28284" ht="15.75" customHeight="1">
      <c r="A28284" s="7"/>
      <c r="B28284" s="7"/>
      <c r="M28284" s="9" t="s">
        <v>26</v>
      </c>
    </row>
    <row r="28285" ht="15.75" customHeight="1">
      <c r="A28285" s="7"/>
      <c r="B28285" s="7"/>
      <c r="M28285" s="9" t="s">
        <v>24</v>
      </c>
    </row>
    <row r="28286" ht="15.75" customHeight="1">
      <c r="A28286" s="7"/>
      <c r="B28286" s="7"/>
      <c r="M28286" s="9" t="s">
        <v>20</v>
      </c>
    </row>
    <row r="28287" ht="15.75" customHeight="1">
      <c r="A28287" s="7"/>
      <c r="B28287" s="7"/>
      <c r="M28287" s="9" t="s">
        <v>21</v>
      </c>
    </row>
    <row r="28288" ht="15.75" customHeight="1">
      <c r="A28288" s="7"/>
      <c r="B28288" s="7"/>
      <c r="M28288" s="9" t="s">
        <v>27</v>
      </c>
    </row>
    <row r="28289" ht="15.75" customHeight="1">
      <c r="A28289" s="7"/>
      <c r="B28289" s="7"/>
      <c r="M28289" s="9" t="s">
        <v>33</v>
      </c>
    </row>
    <row r="28290" ht="15.75" customHeight="1">
      <c r="A28290" s="7"/>
      <c r="B28290" s="7"/>
      <c r="M28290" s="9" t="s">
        <v>30</v>
      </c>
    </row>
    <row r="28291" ht="15.75" customHeight="1">
      <c r="A28291" s="7"/>
      <c r="B28291" s="7"/>
      <c r="M28291" s="9" t="s">
        <v>20</v>
      </c>
    </row>
    <row r="28292" ht="15.75" customHeight="1">
      <c r="A28292" s="7"/>
      <c r="B28292" s="7"/>
      <c r="M28292" s="9" t="s">
        <v>21</v>
      </c>
    </row>
    <row r="28293" ht="15.75" customHeight="1">
      <c r="A28293" s="7"/>
      <c r="B28293" s="7"/>
      <c r="M28293" s="9" t="s">
        <v>26</v>
      </c>
    </row>
    <row r="28294" ht="15.75" customHeight="1">
      <c r="A28294" s="7"/>
      <c r="B28294" s="7"/>
      <c r="M28294" s="9" t="s">
        <v>24</v>
      </c>
    </row>
    <row r="28295" ht="15.75" customHeight="1">
      <c r="A28295" s="7"/>
      <c r="B28295" s="7"/>
      <c r="M28295" s="9" t="s">
        <v>20</v>
      </c>
    </row>
    <row r="28296" ht="15.75" customHeight="1">
      <c r="A28296" s="7"/>
      <c r="B28296" s="7"/>
      <c r="M28296" s="9" t="s">
        <v>21</v>
      </c>
    </row>
    <row r="28297" ht="15.75" customHeight="1">
      <c r="A28297" s="7"/>
      <c r="B28297" s="7"/>
      <c r="M28297" s="9" t="s">
        <v>36</v>
      </c>
    </row>
    <row r="28298" ht="15.75" customHeight="1">
      <c r="A28298" s="7"/>
      <c r="B28298" s="7"/>
      <c r="M28298" s="9" t="s">
        <v>24</v>
      </c>
    </row>
    <row r="28299" ht="15.75" customHeight="1">
      <c r="A28299" s="7"/>
      <c r="B28299" s="7"/>
      <c r="M28299" s="9" t="s">
        <v>21</v>
      </c>
    </row>
    <row r="28300" ht="15.75" customHeight="1">
      <c r="A28300" s="7"/>
      <c r="B28300" s="7"/>
      <c r="M28300" s="9" t="s">
        <v>37</v>
      </c>
    </row>
    <row r="28301" ht="15.75" customHeight="1">
      <c r="A28301" s="7"/>
      <c r="B28301" s="7"/>
      <c r="M28301" s="9" t="s">
        <v>33</v>
      </c>
    </row>
    <row r="28302" ht="15.75" customHeight="1">
      <c r="A28302" s="7"/>
      <c r="B28302" s="7"/>
      <c r="M28302" s="9" t="s">
        <v>24</v>
      </c>
    </row>
    <row r="28303" ht="15.75" customHeight="1">
      <c r="A28303" s="7"/>
      <c r="B28303" s="7"/>
      <c r="M28303" s="9" t="s">
        <v>21</v>
      </c>
    </row>
    <row r="28304" ht="15.75" customHeight="1">
      <c r="A28304" s="7"/>
      <c r="B28304" s="7"/>
      <c r="M28304" s="9" t="s">
        <v>31</v>
      </c>
    </row>
    <row r="28305" ht="15.75" customHeight="1">
      <c r="A28305" s="7"/>
      <c r="B28305" s="7"/>
      <c r="M28305" s="9" t="s">
        <v>27</v>
      </c>
    </row>
    <row r="28306" ht="15.75" customHeight="1">
      <c r="A28306" s="7"/>
      <c r="B28306" s="7"/>
      <c r="M28306" s="9" t="s">
        <v>40</v>
      </c>
    </row>
    <row r="28307" ht="15.75" customHeight="1">
      <c r="A28307" s="7"/>
      <c r="B28307" s="7"/>
      <c r="M28307" s="9" t="s">
        <v>30</v>
      </c>
    </row>
    <row r="28308" ht="15.75" customHeight="1">
      <c r="A28308" s="7"/>
      <c r="B28308" s="7"/>
      <c r="M28308" s="9" t="s">
        <v>24</v>
      </c>
    </row>
    <row r="28309" ht="15.75" customHeight="1">
      <c r="A28309" s="7"/>
      <c r="B28309" s="7"/>
      <c r="M28309" s="9" t="s">
        <v>21</v>
      </c>
    </row>
    <row r="28310" ht="15.75" customHeight="1">
      <c r="A28310" s="7"/>
      <c r="B28310" s="7"/>
      <c r="M28310" s="9" t="s">
        <v>37</v>
      </c>
    </row>
    <row r="28311" ht="15.75" customHeight="1">
      <c r="A28311" s="7"/>
      <c r="B28311" s="7"/>
      <c r="M28311" s="9" t="s">
        <v>31</v>
      </c>
    </row>
    <row r="28312" ht="15.75" customHeight="1">
      <c r="A28312" s="7"/>
      <c r="B28312" s="7"/>
      <c r="M28312" s="9" t="s">
        <v>27</v>
      </c>
    </row>
    <row r="28313" ht="15.75" customHeight="1">
      <c r="A28313" s="7"/>
      <c r="B28313" s="7"/>
      <c r="M28313" s="9" t="s">
        <v>26</v>
      </c>
    </row>
    <row r="28314" ht="15.75" customHeight="1">
      <c r="A28314" s="7"/>
      <c r="B28314" s="7"/>
      <c r="M28314" s="9" t="s">
        <v>24</v>
      </c>
    </row>
    <row r="28315" ht="15.75" customHeight="1">
      <c r="A28315" s="7"/>
      <c r="B28315" s="7"/>
      <c r="M28315" s="9" t="s">
        <v>20</v>
      </c>
    </row>
    <row r="28316" ht="15.75" customHeight="1">
      <c r="A28316" s="7"/>
      <c r="B28316" s="7"/>
      <c r="M28316" s="9" t="s">
        <v>21</v>
      </c>
    </row>
    <row r="28317" ht="15.75" customHeight="1">
      <c r="A28317" s="7"/>
      <c r="B28317" s="7"/>
      <c r="M28317" s="9" t="s">
        <v>39</v>
      </c>
    </row>
    <row r="28318" ht="15.75" customHeight="1">
      <c r="A28318" s="7"/>
      <c r="B28318" s="7"/>
      <c r="M28318" s="9" t="s">
        <v>24</v>
      </c>
    </row>
    <row r="28319" ht="15.75" customHeight="1">
      <c r="A28319" s="7"/>
      <c r="B28319" s="7"/>
      <c r="M28319" s="9" t="s">
        <v>21</v>
      </c>
    </row>
    <row r="28320" ht="15.75" customHeight="1">
      <c r="A28320" s="7"/>
      <c r="B28320" s="7"/>
      <c r="M28320" s="9" t="s">
        <v>37</v>
      </c>
    </row>
    <row r="28321" ht="15.75" customHeight="1">
      <c r="A28321" s="7"/>
      <c r="B28321" s="7"/>
      <c r="M28321" s="9" t="s">
        <v>27</v>
      </c>
    </row>
    <row r="28322" ht="15.75" customHeight="1">
      <c r="A28322" s="7"/>
      <c r="B28322" s="7"/>
      <c r="M28322" s="9" t="s">
        <v>33</v>
      </c>
    </row>
    <row r="28323" ht="15.75" customHeight="1">
      <c r="A28323" s="7"/>
      <c r="B28323" s="7"/>
      <c r="M28323" s="9" t="s">
        <v>35</v>
      </c>
    </row>
    <row r="28324" ht="15.75" customHeight="1">
      <c r="A28324" s="7"/>
      <c r="B28324" s="7"/>
      <c r="M28324" s="9" t="s">
        <v>24</v>
      </c>
    </row>
    <row r="28325" ht="15.75" customHeight="1">
      <c r="A28325" s="7"/>
      <c r="B28325" s="7"/>
      <c r="M28325" s="9" t="s">
        <v>21</v>
      </c>
    </row>
    <row r="28326" ht="15.75" customHeight="1">
      <c r="A28326" s="7"/>
      <c r="B28326" s="7"/>
      <c r="M28326" s="9" t="s">
        <v>22</v>
      </c>
    </row>
    <row r="28327" ht="15.75" customHeight="1">
      <c r="A28327" s="7"/>
      <c r="B28327" s="7"/>
      <c r="M28327" s="9" t="s">
        <v>33</v>
      </c>
    </row>
    <row r="28328" ht="15.75" customHeight="1">
      <c r="A28328" s="7"/>
      <c r="B28328" s="7"/>
      <c r="M28328" s="9" t="s">
        <v>30</v>
      </c>
    </row>
    <row r="28329" ht="15.75" customHeight="1">
      <c r="A28329" s="7"/>
      <c r="B28329" s="7"/>
      <c r="M28329" s="9" t="s">
        <v>26</v>
      </c>
    </row>
    <row r="28330" ht="15.75" customHeight="1">
      <c r="A28330" s="7"/>
      <c r="B28330" s="7"/>
      <c r="M28330" s="9" t="s">
        <v>24</v>
      </c>
    </row>
    <row r="28331" ht="15.75" customHeight="1">
      <c r="A28331" s="7"/>
      <c r="B28331" s="7"/>
      <c r="M28331" s="9" t="s">
        <v>21</v>
      </c>
    </row>
    <row r="28332" ht="15.75" customHeight="1">
      <c r="A28332" s="7"/>
      <c r="B28332" s="7"/>
      <c r="M28332" s="9" t="s">
        <v>27</v>
      </c>
    </row>
    <row r="28333" ht="15.75" customHeight="1">
      <c r="A28333" s="7"/>
      <c r="B28333" s="7"/>
      <c r="M28333" s="9" t="s">
        <v>25</v>
      </c>
    </row>
    <row r="28334" ht="15.75" customHeight="1">
      <c r="A28334" s="7"/>
      <c r="B28334" s="7"/>
      <c r="M28334" s="9" t="s">
        <v>20</v>
      </c>
    </row>
    <row r="28335" ht="15.75" customHeight="1">
      <c r="A28335" s="7"/>
      <c r="B28335" s="7"/>
      <c r="M28335" s="9" t="s">
        <v>35</v>
      </c>
    </row>
    <row r="28336" ht="15.75" customHeight="1">
      <c r="A28336" s="7"/>
      <c r="B28336" s="7"/>
      <c r="M28336" s="9" t="s">
        <v>30</v>
      </c>
    </row>
    <row r="28337" ht="15.75" customHeight="1">
      <c r="A28337" s="7"/>
      <c r="B28337" s="7"/>
      <c r="M28337" s="9" t="s">
        <v>26</v>
      </c>
    </row>
    <row r="28338" ht="15.75" customHeight="1">
      <c r="A28338" s="7"/>
      <c r="B28338" s="7"/>
      <c r="M28338" s="9" t="s">
        <v>24</v>
      </c>
    </row>
    <row r="28339" ht="15.75" customHeight="1">
      <c r="A28339" s="7"/>
      <c r="B28339" s="7"/>
      <c r="M28339" s="9" t="s">
        <v>21</v>
      </c>
    </row>
    <row r="28340" ht="15.75" customHeight="1">
      <c r="A28340" s="7"/>
      <c r="B28340" s="7"/>
      <c r="M28340" s="9" t="s">
        <v>27</v>
      </c>
    </row>
    <row r="28341" ht="15.75" customHeight="1">
      <c r="A28341" s="7"/>
      <c r="B28341" s="7"/>
      <c r="M28341" s="9" t="s">
        <v>33</v>
      </c>
    </row>
    <row r="28342" ht="15.75" customHeight="1">
      <c r="A28342" s="7"/>
      <c r="B28342" s="7"/>
      <c r="M28342" s="9" t="s">
        <v>20</v>
      </c>
    </row>
    <row r="28343" ht="15.75" customHeight="1">
      <c r="A28343" s="7"/>
      <c r="B28343" s="7"/>
      <c r="M28343" s="9" t="s">
        <v>21</v>
      </c>
    </row>
    <row r="28344" ht="15.75" customHeight="1">
      <c r="A28344" s="7"/>
      <c r="B28344" s="7"/>
      <c r="M28344" s="9" t="s">
        <v>30</v>
      </c>
    </row>
    <row r="28345" ht="15.75" customHeight="1">
      <c r="A28345" s="7"/>
      <c r="B28345" s="7"/>
      <c r="M28345" s="9" t="s">
        <v>26</v>
      </c>
    </row>
    <row r="28346" ht="15.75" customHeight="1">
      <c r="A28346" s="7"/>
      <c r="B28346" s="7"/>
      <c r="M28346" s="9" t="s">
        <v>36</v>
      </c>
    </row>
    <row r="28347" ht="15.75" customHeight="1">
      <c r="A28347" s="7"/>
      <c r="B28347" s="7"/>
      <c r="M28347" s="9" t="s">
        <v>24</v>
      </c>
    </row>
    <row r="28348" ht="15.75" customHeight="1">
      <c r="A28348" s="7"/>
      <c r="B28348" s="7"/>
      <c r="M28348" s="9" t="s">
        <v>20</v>
      </c>
    </row>
    <row r="28349" ht="15.75" customHeight="1">
      <c r="A28349" s="7"/>
      <c r="B28349" s="7"/>
      <c r="M28349" s="9" t="s">
        <v>21</v>
      </c>
    </row>
    <row r="28350" ht="15.75" customHeight="1">
      <c r="A28350" s="7"/>
      <c r="B28350" s="7"/>
      <c r="M28350" s="9" t="s">
        <v>33</v>
      </c>
    </row>
    <row r="28351" ht="15.75" customHeight="1">
      <c r="A28351" s="7"/>
      <c r="B28351" s="7"/>
      <c r="M28351" s="9" t="s">
        <v>21</v>
      </c>
    </row>
    <row r="28352" ht="15.75" customHeight="1">
      <c r="A28352" s="7"/>
      <c r="B28352" s="7"/>
      <c r="M28352" s="9" t="s">
        <v>22</v>
      </c>
    </row>
    <row r="28353" ht="15.75" customHeight="1">
      <c r="A28353" s="7"/>
      <c r="B28353" s="7"/>
      <c r="M28353" s="9" t="s">
        <v>32</v>
      </c>
    </row>
    <row r="28354" ht="15.75" customHeight="1">
      <c r="A28354" s="7"/>
      <c r="B28354" s="7"/>
      <c r="M28354" s="9" t="s">
        <v>33</v>
      </c>
    </row>
    <row r="28355" ht="15.75" customHeight="1">
      <c r="A28355" s="7"/>
      <c r="B28355" s="7"/>
      <c r="M28355" s="9" t="s">
        <v>30</v>
      </c>
    </row>
    <row r="28356" ht="15.75" customHeight="1">
      <c r="A28356" s="7"/>
      <c r="B28356" s="7"/>
      <c r="M28356" s="9" t="s">
        <v>24</v>
      </c>
    </row>
    <row r="28357" ht="15.75" customHeight="1">
      <c r="A28357" s="7"/>
      <c r="B28357" s="7"/>
      <c r="M28357" s="9" t="s">
        <v>21</v>
      </c>
    </row>
    <row r="28358" ht="15.75" customHeight="1">
      <c r="A28358" s="7"/>
      <c r="B28358" s="7"/>
      <c r="M28358" s="9" t="s">
        <v>37</v>
      </c>
    </row>
    <row r="28359" ht="15.75" customHeight="1">
      <c r="A28359" s="7"/>
      <c r="B28359" s="7"/>
      <c r="M28359" s="9" t="s">
        <v>27</v>
      </c>
    </row>
    <row r="28360" ht="15.75" customHeight="1">
      <c r="A28360" s="7"/>
      <c r="B28360" s="7"/>
      <c r="M28360" s="9" t="s">
        <v>40</v>
      </c>
    </row>
    <row r="28361" ht="15.75" customHeight="1">
      <c r="A28361" s="7"/>
      <c r="B28361" s="7"/>
      <c r="M28361" s="9" t="s">
        <v>30</v>
      </c>
    </row>
    <row r="28362" ht="15.75" customHeight="1">
      <c r="A28362" s="7"/>
      <c r="B28362" s="7"/>
      <c r="M28362" s="9" t="s">
        <v>23</v>
      </c>
    </row>
    <row r="28363" ht="15.75" customHeight="1">
      <c r="A28363" s="7"/>
      <c r="B28363" s="7"/>
      <c r="M28363" s="9" t="s">
        <v>26</v>
      </c>
    </row>
    <row r="28364" ht="15.75" customHeight="1">
      <c r="A28364" s="7"/>
      <c r="B28364" s="7"/>
      <c r="M28364" s="9" t="s">
        <v>24</v>
      </c>
    </row>
    <row r="28365" ht="15.75" customHeight="1">
      <c r="A28365" s="7"/>
      <c r="B28365" s="7"/>
      <c r="M28365" s="9" t="s">
        <v>21</v>
      </c>
    </row>
    <row r="28366" ht="15.75" customHeight="1">
      <c r="A28366" s="7"/>
      <c r="B28366" s="7"/>
      <c r="M28366" s="9" t="s">
        <v>33</v>
      </c>
    </row>
    <row r="28367" ht="15.75" customHeight="1">
      <c r="A28367" s="7"/>
      <c r="B28367" s="7"/>
      <c r="M28367" s="9" t="s">
        <v>24</v>
      </c>
    </row>
    <row r="28368" ht="15.75" customHeight="1">
      <c r="A28368" s="7"/>
      <c r="B28368" s="7"/>
      <c r="M28368" s="9" t="s">
        <v>20</v>
      </c>
    </row>
    <row r="28369" ht="15.75" customHeight="1">
      <c r="A28369" s="7"/>
      <c r="B28369" s="7"/>
      <c r="M28369" s="9" t="s">
        <v>21</v>
      </c>
    </row>
    <row r="28370" ht="15.75" customHeight="1">
      <c r="A28370" s="7"/>
      <c r="B28370" s="7"/>
      <c r="M28370" s="9" t="s">
        <v>22</v>
      </c>
    </row>
    <row r="28371" ht="15.75" customHeight="1">
      <c r="A28371" s="7"/>
      <c r="B28371" s="7"/>
      <c r="M28371" s="9" t="s">
        <v>30</v>
      </c>
    </row>
    <row r="28372" ht="15.75" customHeight="1">
      <c r="A28372" s="7"/>
      <c r="B28372" s="7"/>
      <c r="M28372" s="9" t="s">
        <v>20</v>
      </c>
    </row>
    <row r="28373" ht="15.75" customHeight="1">
      <c r="A28373" s="7"/>
      <c r="B28373" s="7"/>
      <c r="M28373" s="9" t="s">
        <v>21</v>
      </c>
    </row>
    <row r="28374" ht="15.75" customHeight="1">
      <c r="A28374" s="7"/>
      <c r="B28374" s="7"/>
      <c r="M28374" s="9" t="s">
        <v>27</v>
      </c>
    </row>
    <row r="28375" ht="15.75" customHeight="1">
      <c r="A28375" s="7"/>
      <c r="B28375" s="7"/>
      <c r="M28375" s="9" t="s">
        <v>24</v>
      </c>
    </row>
    <row r="28376" ht="15.75" customHeight="1">
      <c r="A28376" s="7"/>
      <c r="B28376" s="7"/>
      <c r="M28376" s="9" t="s">
        <v>21</v>
      </c>
    </row>
    <row r="28377" ht="15.75" customHeight="1">
      <c r="A28377" s="7"/>
      <c r="B28377" s="7"/>
      <c r="M28377" s="9" t="s">
        <v>37</v>
      </c>
    </row>
    <row r="28378" ht="15.75" customHeight="1">
      <c r="A28378" s="7"/>
      <c r="B28378" s="7"/>
      <c r="M28378" s="9" t="s">
        <v>22</v>
      </c>
    </row>
    <row r="28379" ht="15.75" customHeight="1">
      <c r="A28379" s="7"/>
      <c r="B28379" s="7"/>
      <c r="M28379" s="9" t="s">
        <v>27</v>
      </c>
    </row>
    <row r="28380" ht="15.75" customHeight="1">
      <c r="A28380" s="7"/>
      <c r="B28380" s="7"/>
      <c r="M28380" s="9" t="s">
        <v>33</v>
      </c>
    </row>
    <row r="28381" ht="15.75" customHeight="1">
      <c r="A28381" s="7"/>
      <c r="B28381" s="7"/>
      <c r="M28381" s="9" t="s">
        <v>26</v>
      </c>
    </row>
    <row r="28382" ht="15.75" customHeight="1">
      <c r="A28382" s="7"/>
      <c r="B28382" s="7"/>
      <c r="M28382" s="9" t="s">
        <v>24</v>
      </c>
    </row>
    <row r="28383" ht="15.75" customHeight="1">
      <c r="A28383" s="7"/>
      <c r="B28383" s="7"/>
      <c r="M28383" s="9" t="s">
        <v>21</v>
      </c>
    </row>
    <row r="28384" ht="15.75" customHeight="1">
      <c r="A28384" s="7"/>
      <c r="B28384" s="7"/>
      <c r="M28384" s="9" t="s">
        <v>27</v>
      </c>
    </row>
    <row r="28385" ht="15.75" customHeight="1">
      <c r="A28385" s="7"/>
      <c r="B28385" s="7"/>
      <c r="M28385" s="9" t="s">
        <v>30</v>
      </c>
    </row>
    <row r="28386" ht="15.75" customHeight="1">
      <c r="A28386" s="7"/>
      <c r="B28386" s="7"/>
      <c r="M28386" s="9" t="s">
        <v>21</v>
      </c>
    </row>
    <row r="28387" ht="15.75" customHeight="1">
      <c r="A28387" s="7"/>
      <c r="B28387" s="7"/>
      <c r="M28387" s="9" t="s">
        <v>26</v>
      </c>
    </row>
    <row r="28388" ht="15.75" customHeight="1">
      <c r="A28388" s="7"/>
      <c r="B28388" s="7"/>
      <c r="M28388" s="9" t="s">
        <v>20</v>
      </c>
    </row>
    <row r="28389" ht="15.75" customHeight="1">
      <c r="A28389" s="7"/>
      <c r="B28389" s="7"/>
      <c r="M28389" s="9" t="s">
        <v>22</v>
      </c>
    </row>
    <row r="28390" ht="15.75" customHeight="1">
      <c r="A28390" s="7"/>
      <c r="B28390" s="7"/>
      <c r="M28390" s="9" t="s">
        <v>30</v>
      </c>
    </row>
    <row r="28391" ht="15.75" customHeight="1">
      <c r="A28391" s="7"/>
      <c r="B28391" s="7"/>
      <c r="M28391" s="9" t="s">
        <v>24</v>
      </c>
    </row>
    <row r="28392" ht="15.75" customHeight="1">
      <c r="A28392" s="7"/>
      <c r="B28392" s="7"/>
      <c r="M28392" s="9" t="s">
        <v>20</v>
      </c>
    </row>
    <row r="28393" ht="15.75" customHeight="1">
      <c r="A28393" s="7"/>
      <c r="B28393" s="7"/>
      <c r="M28393" s="9" t="s">
        <v>21</v>
      </c>
    </row>
    <row r="28394" ht="15.75" customHeight="1">
      <c r="A28394" s="7"/>
      <c r="B28394" s="7"/>
      <c r="M28394" s="9" t="s">
        <v>22</v>
      </c>
    </row>
    <row r="28395" ht="15.75" customHeight="1">
      <c r="A28395" s="7"/>
      <c r="B28395" s="7"/>
      <c r="M28395" s="9" t="s">
        <v>33</v>
      </c>
    </row>
    <row r="28396" ht="15.75" customHeight="1">
      <c r="A28396" s="7"/>
      <c r="B28396" s="7"/>
      <c r="M28396" s="9" t="s">
        <v>35</v>
      </c>
    </row>
    <row r="28397" ht="15.75" customHeight="1">
      <c r="A28397" s="7"/>
      <c r="B28397" s="7"/>
      <c r="M28397" s="9" t="s">
        <v>26</v>
      </c>
    </row>
    <row r="28398" ht="15.75" customHeight="1">
      <c r="A28398" s="7"/>
      <c r="B28398" s="7"/>
      <c r="M28398" s="9" t="s">
        <v>24</v>
      </c>
    </row>
    <row r="28399" ht="15.75" customHeight="1">
      <c r="A28399" s="7"/>
      <c r="B28399" s="7"/>
      <c r="M28399" s="9" t="s">
        <v>21</v>
      </c>
    </row>
    <row r="28400" ht="15.75" customHeight="1">
      <c r="A28400" s="7"/>
      <c r="B28400" s="7"/>
      <c r="M28400" s="9" t="s">
        <v>30</v>
      </c>
    </row>
    <row r="28401" ht="15.75" customHeight="1">
      <c r="A28401" s="7"/>
      <c r="B28401" s="7"/>
      <c r="M28401" s="9" t="s">
        <v>20</v>
      </c>
    </row>
    <row r="28402" ht="15.75" customHeight="1">
      <c r="A28402" s="7"/>
      <c r="B28402" s="7"/>
      <c r="M28402" s="9" t="s">
        <v>35</v>
      </c>
    </row>
    <row r="28403" ht="15.75" customHeight="1">
      <c r="A28403" s="7"/>
      <c r="B28403" s="7"/>
      <c r="M28403" s="9" t="s">
        <v>30</v>
      </c>
    </row>
    <row r="28404" ht="15.75" customHeight="1">
      <c r="A28404" s="7"/>
      <c r="B28404" s="7"/>
      <c r="M28404" s="9" t="s">
        <v>47</v>
      </c>
    </row>
    <row r="28405" ht="15.75" customHeight="1">
      <c r="A28405" s="7"/>
      <c r="B28405" s="7"/>
      <c r="M28405" s="9" t="s">
        <v>36</v>
      </c>
    </row>
    <row r="28406" ht="15.75" customHeight="1">
      <c r="A28406" s="7"/>
      <c r="B28406" s="7"/>
      <c r="M28406" s="9" t="s">
        <v>20</v>
      </c>
    </row>
    <row r="28407" ht="15.75" customHeight="1">
      <c r="A28407" s="7"/>
      <c r="B28407" s="7"/>
      <c r="M28407" s="9" t="s">
        <v>39</v>
      </c>
    </row>
    <row r="28408" ht="15.75" customHeight="1">
      <c r="A28408" s="7"/>
      <c r="B28408" s="7"/>
      <c r="M28408" s="9" t="s">
        <v>22</v>
      </c>
    </row>
    <row r="28409" ht="15.75" customHeight="1">
      <c r="A28409" s="7"/>
      <c r="B28409" s="7"/>
      <c r="M28409" s="9" t="s">
        <v>46</v>
      </c>
    </row>
    <row r="28410" ht="15.75" customHeight="1">
      <c r="A28410" s="7"/>
      <c r="B28410" s="7"/>
      <c r="M28410" s="9" t="s">
        <v>25</v>
      </c>
    </row>
    <row r="28411" ht="15.75" customHeight="1">
      <c r="A28411" s="7"/>
      <c r="B28411" s="7"/>
      <c r="M28411" s="9" t="s">
        <v>24</v>
      </c>
    </row>
    <row r="28412" ht="15.75" customHeight="1">
      <c r="A28412" s="7"/>
      <c r="B28412" s="7"/>
      <c r="M28412" s="9" t="s">
        <v>20</v>
      </c>
    </row>
    <row r="28413" ht="15.75" customHeight="1">
      <c r="A28413" s="7"/>
      <c r="B28413" s="7"/>
      <c r="M28413" s="9" t="s">
        <v>37</v>
      </c>
    </row>
    <row r="28414" ht="15.75" customHeight="1">
      <c r="A28414" s="7"/>
      <c r="B28414" s="7"/>
      <c r="M28414" s="9" t="s">
        <v>34</v>
      </c>
    </row>
    <row r="28415" ht="15.75" customHeight="1">
      <c r="A28415" s="7"/>
      <c r="B28415" s="7"/>
      <c r="M28415" s="9" t="s">
        <v>38</v>
      </c>
    </row>
    <row r="28416" ht="15.75" customHeight="1">
      <c r="A28416" s="7"/>
      <c r="B28416" s="7"/>
      <c r="M28416" s="9" t="s">
        <v>30</v>
      </c>
    </row>
    <row r="28417" ht="15.75" customHeight="1">
      <c r="A28417" s="7"/>
      <c r="B28417" s="7"/>
      <c r="M28417" s="9" t="s">
        <v>25</v>
      </c>
    </row>
    <row r="28418" ht="15.75" customHeight="1">
      <c r="A28418" s="7"/>
      <c r="B28418" s="7"/>
      <c r="M28418" s="9" t="s">
        <v>36</v>
      </c>
    </row>
    <row r="28419" ht="15.75" customHeight="1">
      <c r="A28419" s="7"/>
      <c r="B28419" s="7"/>
      <c r="M28419" s="9" t="s">
        <v>24</v>
      </c>
    </row>
    <row r="28420" ht="15.75" customHeight="1">
      <c r="A28420" s="7"/>
      <c r="B28420" s="7"/>
      <c r="M28420" s="9" t="s">
        <v>20</v>
      </c>
    </row>
    <row r="28421" ht="15.75" customHeight="1">
      <c r="A28421" s="7"/>
      <c r="B28421" s="7"/>
      <c r="M28421" s="9" t="s">
        <v>21</v>
      </c>
    </row>
    <row r="28422" ht="15.75" customHeight="1">
      <c r="A28422" s="7"/>
      <c r="B28422" s="7"/>
      <c r="M28422" s="9" t="s">
        <v>39</v>
      </c>
    </row>
    <row r="28423" ht="15.75" customHeight="1">
      <c r="A28423" s="7"/>
      <c r="B28423" s="7"/>
      <c r="M28423" s="9" t="s">
        <v>41</v>
      </c>
    </row>
    <row r="28424" ht="15.75" customHeight="1">
      <c r="A28424" s="7"/>
      <c r="B28424" s="7"/>
      <c r="M28424" s="9" t="s">
        <v>37</v>
      </c>
    </row>
    <row r="28425" ht="15.75" customHeight="1">
      <c r="A28425" s="7"/>
      <c r="B28425" s="7"/>
      <c r="M28425" s="9" t="s">
        <v>22</v>
      </c>
    </row>
    <row r="28426" ht="15.75" customHeight="1">
      <c r="A28426" s="7"/>
      <c r="B28426" s="7"/>
      <c r="M28426" s="9" t="s">
        <v>27</v>
      </c>
    </row>
    <row r="28427" ht="15.75" customHeight="1">
      <c r="A28427" s="7"/>
      <c r="B28427" s="7"/>
      <c r="M28427" s="9" t="s">
        <v>40</v>
      </c>
    </row>
    <row r="28428" ht="15.75" customHeight="1">
      <c r="A28428" s="7"/>
      <c r="B28428" s="7"/>
      <c r="M28428" s="9" t="s">
        <v>26</v>
      </c>
    </row>
    <row r="28429" ht="15.75" customHeight="1">
      <c r="A28429" s="7"/>
      <c r="B28429" s="7"/>
      <c r="M28429" s="9" t="s">
        <v>21</v>
      </c>
    </row>
    <row r="28430" ht="15.75" customHeight="1">
      <c r="A28430" s="7"/>
      <c r="B28430" s="7"/>
      <c r="M28430" s="9" t="s">
        <v>22</v>
      </c>
    </row>
    <row r="28431" ht="15.75" customHeight="1">
      <c r="A28431" s="7"/>
      <c r="B28431" s="7"/>
      <c r="M28431" s="9" t="s">
        <v>27</v>
      </c>
    </row>
    <row r="28432" ht="15.75" customHeight="1">
      <c r="A28432" s="7"/>
      <c r="B28432" s="7"/>
      <c r="M28432" s="9" t="s">
        <v>33</v>
      </c>
    </row>
    <row r="28433" ht="15.75" customHeight="1">
      <c r="A28433" s="7"/>
      <c r="B28433" s="7"/>
      <c r="M28433" s="9" t="s">
        <v>23</v>
      </c>
    </row>
    <row r="28434" ht="15.75" customHeight="1">
      <c r="A28434" s="7"/>
      <c r="B28434" s="7"/>
      <c r="M28434" s="9" t="s">
        <v>20</v>
      </c>
    </row>
    <row r="28435" ht="15.75" customHeight="1">
      <c r="A28435" s="7"/>
      <c r="B28435" s="7"/>
      <c r="M28435" s="9" t="s">
        <v>22</v>
      </c>
    </row>
    <row r="28436" ht="15.75" customHeight="1">
      <c r="A28436" s="7"/>
      <c r="B28436" s="7"/>
      <c r="M28436" s="9" t="s">
        <v>20</v>
      </c>
    </row>
    <row r="28437" ht="15.75" customHeight="1">
      <c r="A28437" s="7"/>
      <c r="B28437" s="7"/>
      <c r="M28437" s="9" t="s">
        <v>21</v>
      </c>
    </row>
    <row r="28438" ht="15.75" customHeight="1">
      <c r="A28438" s="7"/>
      <c r="B28438" s="7"/>
      <c r="M28438" s="9" t="s">
        <v>22</v>
      </c>
    </row>
    <row r="28439" ht="15.75" customHeight="1">
      <c r="A28439" s="7"/>
      <c r="B28439" s="7"/>
      <c r="M28439" s="9" t="s">
        <v>23</v>
      </c>
    </row>
    <row r="28440" ht="15.75" customHeight="1">
      <c r="A28440" s="7"/>
      <c r="B28440" s="7"/>
      <c r="M28440" s="9" t="s">
        <v>20</v>
      </c>
    </row>
    <row r="28441" ht="15.75" customHeight="1">
      <c r="A28441" s="7"/>
      <c r="B28441" s="7"/>
      <c r="M28441" s="9" t="s">
        <v>35</v>
      </c>
    </row>
    <row r="28442" ht="15.75" customHeight="1">
      <c r="A28442" s="7"/>
      <c r="B28442" s="7"/>
      <c r="M28442" s="9" t="s">
        <v>29</v>
      </c>
    </row>
    <row r="28443" ht="15.75" customHeight="1">
      <c r="A28443" s="7"/>
      <c r="B28443" s="7"/>
      <c r="M28443" s="9" t="s">
        <v>27</v>
      </c>
    </row>
    <row r="28444" ht="15.75" customHeight="1">
      <c r="A28444" s="7"/>
      <c r="B28444" s="7"/>
      <c r="M28444" s="9" t="s">
        <v>20</v>
      </c>
    </row>
    <row r="28445" ht="15.75" customHeight="1">
      <c r="A28445" s="7"/>
      <c r="B28445" s="7"/>
      <c r="M28445" s="9" t="s">
        <v>21</v>
      </c>
    </row>
    <row r="28446" ht="15.75" customHeight="1">
      <c r="A28446" s="7"/>
      <c r="B28446" s="7"/>
      <c r="M28446" s="9" t="s">
        <v>22</v>
      </c>
    </row>
    <row r="28447" ht="15.75" customHeight="1">
      <c r="A28447" s="7"/>
      <c r="B28447" s="7"/>
      <c r="M28447" s="9" t="s">
        <v>32</v>
      </c>
    </row>
    <row r="28448" ht="15.75" customHeight="1">
      <c r="A28448" s="7"/>
      <c r="B28448" s="7"/>
      <c r="M28448" s="9" t="s">
        <v>27</v>
      </c>
    </row>
    <row r="28449" ht="15.75" customHeight="1">
      <c r="A28449" s="7"/>
      <c r="B28449" s="7"/>
      <c r="M28449" s="9" t="s">
        <v>21</v>
      </c>
    </row>
    <row r="28450" ht="15.75" customHeight="1">
      <c r="A28450" s="7"/>
      <c r="B28450" s="7"/>
      <c r="M28450" s="9" t="s">
        <v>33</v>
      </c>
    </row>
    <row r="28451" ht="15.75" customHeight="1">
      <c r="A28451" s="7"/>
      <c r="B28451" s="7"/>
      <c r="M28451" s="9" t="s">
        <v>25</v>
      </c>
    </row>
    <row r="28452" ht="15.75" customHeight="1">
      <c r="A28452" s="7"/>
      <c r="B28452" s="7"/>
      <c r="M28452" s="9" t="s">
        <v>23</v>
      </c>
    </row>
    <row r="28453" ht="15.75" customHeight="1">
      <c r="A28453" s="7"/>
      <c r="B28453" s="7"/>
      <c r="M28453" s="9" t="s">
        <v>20</v>
      </c>
    </row>
    <row r="28454" ht="15.75" customHeight="1">
      <c r="A28454" s="7"/>
      <c r="B28454" s="7"/>
      <c r="M28454" s="9" t="s">
        <v>22</v>
      </c>
    </row>
    <row r="28455" ht="15.75" customHeight="1">
      <c r="A28455" s="7"/>
      <c r="B28455" s="7"/>
      <c r="M28455" s="9" t="s">
        <v>30</v>
      </c>
    </row>
    <row r="28456" ht="15.75" customHeight="1">
      <c r="A28456" s="7"/>
      <c r="B28456" s="7"/>
      <c r="M28456" s="9" t="s">
        <v>36</v>
      </c>
    </row>
    <row r="28457" ht="15.75" customHeight="1">
      <c r="A28457" s="7"/>
      <c r="B28457" s="7"/>
      <c r="M28457" s="9" t="s">
        <v>24</v>
      </c>
    </row>
    <row r="28458" ht="15.75" customHeight="1">
      <c r="A28458" s="7"/>
      <c r="B28458" s="7"/>
      <c r="M28458" s="9" t="s">
        <v>20</v>
      </c>
    </row>
    <row r="28459" ht="15.75" customHeight="1">
      <c r="A28459" s="7"/>
      <c r="B28459" s="7"/>
      <c r="M28459" s="9" t="s">
        <v>22</v>
      </c>
    </row>
    <row r="28460" ht="15.75" customHeight="1">
      <c r="A28460" s="7"/>
      <c r="B28460" s="7"/>
      <c r="M28460" s="9" t="s">
        <v>30</v>
      </c>
    </row>
    <row r="28461" ht="15.75" customHeight="1">
      <c r="A28461" s="7"/>
      <c r="B28461" s="7"/>
      <c r="M28461" s="9" t="s">
        <v>24</v>
      </c>
    </row>
    <row r="28462" ht="15.75" customHeight="1">
      <c r="A28462" s="7"/>
      <c r="B28462" s="7"/>
      <c r="M28462" s="9" t="s">
        <v>21</v>
      </c>
    </row>
    <row r="28463" ht="15.75" customHeight="1">
      <c r="A28463" s="7"/>
      <c r="B28463" s="7"/>
      <c r="M28463" s="9" t="s">
        <v>22</v>
      </c>
    </row>
    <row r="28464" ht="15.75" customHeight="1">
      <c r="A28464" s="7"/>
      <c r="B28464" s="7"/>
      <c r="M28464" s="9" t="s">
        <v>29</v>
      </c>
    </row>
    <row r="28465" ht="15.75" customHeight="1">
      <c r="A28465" s="7"/>
      <c r="B28465" s="7"/>
      <c r="M28465" s="9" t="s">
        <v>31</v>
      </c>
    </row>
    <row r="28466" ht="15.75" customHeight="1">
      <c r="A28466" s="7"/>
      <c r="B28466" s="7"/>
      <c r="M28466" s="9" t="s">
        <v>27</v>
      </c>
    </row>
    <row r="28467" ht="15.75" customHeight="1">
      <c r="A28467" s="7"/>
      <c r="B28467" s="7"/>
      <c r="M28467" s="9" t="s">
        <v>28</v>
      </c>
    </row>
    <row r="28468" ht="15.75" customHeight="1">
      <c r="A28468" s="7"/>
      <c r="B28468" s="7"/>
      <c r="M28468" s="9" t="s">
        <v>44</v>
      </c>
    </row>
    <row r="28469" ht="15.75" customHeight="1">
      <c r="A28469" s="7"/>
      <c r="B28469" s="7"/>
      <c r="M28469" s="9" t="s">
        <v>24</v>
      </c>
    </row>
    <row r="28470" ht="15.75" customHeight="1">
      <c r="A28470" s="7"/>
      <c r="B28470" s="7"/>
      <c r="M28470" s="9" t="s">
        <v>20</v>
      </c>
    </row>
    <row r="28471" ht="15.75" customHeight="1">
      <c r="A28471" s="7"/>
      <c r="B28471" s="7"/>
      <c r="M28471" s="9" t="s">
        <v>21</v>
      </c>
    </row>
    <row r="28472" ht="15.75" customHeight="1">
      <c r="A28472" s="7"/>
      <c r="B28472" s="7"/>
      <c r="M28472" s="9" t="s">
        <v>39</v>
      </c>
    </row>
    <row r="28473" ht="15.75" customHeight="1">
      <c r="A28473" s="7"/>
      <c r="B28473" s="7"/>
      <c r="M28473" s="9" t="s">
        <v>22</v>
      </c>
    </row>
    <row r="28474" ht="15.75" customHeight="1">
      <c r="A28474" s="7"/>
      <c r="B28474" s="7"/>
      <c r="M28474" s="9" t="s">
        <v>27</v>
      </c>
    </row>
    <row r="28475" ht="15.75" customHeight="1">
      <c r="A28475" s="7"/>
      <c r="B28475" s="7"/>
      <c r="M28475" s="9" t="s">
        <v>30</v>
      </c>
    </row>
    <row r="28476" ht="15.75" customHeight="1">
      <c r="A28476" s="7"/>
      <c r="B28476" s="7"/>
      <c r="M28476" s="9" t="s">
        <v>24</v>
      </c>
    </row>
    <row r="28477" ht="15.75" customHeight="1">
      <c r="A28477" s="7"/>
      <c r="B28477" s="7"/>
      <c r="M28477" s="9" t="s">
        <v>21</v>
      </c>
    </row>
    <row r="28478" ht="15.75" customHeight="1">
      <c r="A28478" s="7"/>
      <c r="B28478" s="7"/>
      <c r="M28478" s="9" t="s">
        <v>22</v>
      </c>
    </row>
    <row r="28479" ht="15.75" customHeight="1">
      <c r="A28479" s="7"/>
      <c r="B28479" s="7"/>
      <c r="M28479" s="9" t="s">
        <v>31</v>
      </c>
    </row>
    <row r="28480" ht="15.75" customHeight="1">
      <c r="A28480" s="7"/>
      <c r="B28480" s="7"/>
      <c r="M28480" s="9" t="s">
        <v>27</v>
      </c>
    </row>
    <row r="28481" ht="15.75" customHeight="1">
      <c r="A28481" s="7"/>
      <c r="B28481" s="7"/>
      <c r="M28481" s="9" t="s">
        <v>20</v>
      </c>
    </row>
    <row r="28482" ht="15.75" customHeight="1">
      <c r="A28482" s="7"/>
      <c r="B28482" s="7"/>
      <c r="M28482" s="9" t="s">
        <v>39</v>
      </c>
    </row>
    <row r="28483" ht="15.75" customHeight="1">
      <c r="A28483" s="7"/>
      <c r="B28483" s="7"/>
      <c r="M28483" s="9" t="s">
        <v>24</v>
      </c>
    </row>
    <row r="28484" ht="15.75" customHeight="1">
      <c r="A28484" s="7"/>
      <c r="B28484" s="7"/>
      <c r="M28484" s="9" t="s">
        <v>27</v>
      </c>
    </row>
    <row r="28485" ht="15.75" customHeight="1">
      <c r="A28485" s="7"/>
      <c r="B28485" s="7"/>
      <c r="M28485" s="9" t="s">
        <v>30</v>
      </c>
    </row>
    <row r="28486" ht="15.75" customHeight="1">
      <c r="A28486" s="7"/>
      <c r="B28486" s="7"/>
      <c r="M28486" s="9" t="s">
        <v>36</v>
      </c>
    </row>
    <row r="28487" ht="15.75" customHeight="1">
      <c r="A28487" s="7"/>
      <c r="B28487" s="7"/>
      <c r="M28487" s="9" t="s">
        <v>24</v>
      </c>
    </row>
    <row r="28488" ht="15.75" customHeight="1">
      <c r="A28488" s="7"/>
      <c r="B28488" s="7"/>
      <c r="M28488" s="9" t="s">
        <v>21</v>
      </c>
    </row>
    <row r="28489" ht="15.75" customHeight="1">
      <c r="A28489" s="7"/>
      <c r="B28489" s="7"/>
      <c r="M28489" s="9" t="s">
        <v>32</v>
      </c>
    </row>
    <row r="28490" ht="15.75" customHeight="1">
      <c r="A28490" s="7"/>
      <c r="B28490" s="7"/>
      <c r="M28490" s="9" t="s">
        <v>33</v>
      </c>
    </row>
    <row r="28491" ht="15.75" customHeight="1">
      <c r="A28491" s="7"/>
      <c r="B28491" s="7"/>
      <c r="M28491" s="9" t="s">
        <v>24</v>
      </c>
    </row>
    <row r="28492" ht="15.75" customHeight="1">
      <c r="A28492" s="7"/>
      <c r="B28492" s="7"/>
      <c r="M28492" s="9" t="s">
        <v>21</v>
      </c>
    </row>
    <row r="28493" ht="15.75" customHeight="1">
      <c r="A28493" s="7"/>
      <c r="B28493" s="7"/>
      <c r="M28493" s="9" t="s">
        <v>33</v>
      </c>
    </row>
    <row r="28494" ht="15.75" customHeight="1">
      <c r="A28494" s="7"/>
      <c r="B28494" s="7"/>
      <c r="M28494" s="9" t="s">
        <v>30</v>
      </c>
    </row>
    <row r="28495" ht="15.75" customHeight="1">
      <c r="A28495" s="7"/>
      <c r="B28495" s="7"/>
      <c r="M28495" s="9" t="s">
        <v>24</v>
      </c>
    </row>
    <row r="28496" ht="15.75" customHeight="1">
      <c r="A28496" s="7"/>
      <c r="B28496" s="7"/>
      <c r="M28496" s="9" t="s">
        <v>21</v>
      </c>
    </row>
    <row r="28497" ht="15.75" customHeight="1">
      <c r="A28497" s="7"/>
      <c r="B28497" s="7"/>
      <c r="M28497" s="9" t="s">
        <v>37</v>
      </c>
    </row>
    <row r="28498" ht="15.75" customHeight="1">
      <c r="A28498" s="7"/>
      <c r="B28498" s="7"/>
      <c r="M28498" s="9" t="s">
        <v>22</v>
      </c>
    </row>
    <row r="28499" ht="15.75" customHeight="1">
      <c r="A28499" s="7"/>
      <c r="B28499" s="7"/>
      <c r="M28499" s="9" t="s">
        <v>29</v>
      </c>
    </row>
    <row r="28500" ht="15.75" customHeight="1">
      <c r="A28500" s="7"/>
      <c r="B28500" s="7"/>
      <c r="M28500" s="9" t="s">
        <v>27</v>
      </c>
    </row>
    <row r="28501" ht="15.75" customHeight="1">
      <c r="A28501" s="7"/>
      <c r="B28501" s="7"/>
      <c r="M28501" s="9" t="s">
        <v>30</v>
      </c>
    </row>
    <row r="28502" ht="15.75" customHeight="1">
      <c r="A28502" s="7"/>
      <c r="B28502" s="7"/>
      <c r="M28502" s="9" t="s">
        <v>26</v>
      </c>
    </row>
    <row r="28503" ht="15.75" customHeight="1">
      <c r="A28503" s="7"/>
      <c r="B28503" s="7"/>
      <c r="M28503" s="9" t="s">
        <v>45</v>
      </c>
    </row>
    <row r="28504" ht="15.75" customHeight="1">
      <c r="A28504" s="7"/>
      <c r="B28504" s="7"/>
      <c r="M28504" s="9" t="s">
        <v>24</v>
      </c>
    </row>
    <row r="28505" ht="15.75" customHeight="1">
      <c r="A28505" s="7"/>
      <c r="B28505" s="7"/>
      <c r="M28505" s="9" t="s">
        <v>21</v>
      </c>
    </row>
    <row r="28506" ht="15.75" customHeight="1">
      <c r="A28506" s="7"/>
      <c r="B28506" s="7"/>
      <c r="M28506" s="9" t="s">
        <v>22</v>
      </c>
    </row>
    <row r="28507" ht="15.75" customHeight="1">
      <c r="A28507" s="7"/>
      <c r="B28507" s="7"/>
      <c r="M28507" s="9" t="s">
        <v>27</v>
      </c>
    </row>
    <row r="28508" ht="15.75" customHeight="1">
      <c r="A28508" s="7"/>
      <c r="B28508" s="7"/>
      <c r="M28508" s="9" t="s">
        <v>33</v>
      </c>
    </row>
    <row r="28509" ht="15.75" customHeight="1">
      <c r="A28509" s="7"/>
      <c r="B28509" s="7"/>
      <c r="M28509" s="9" t="s">
        <v>30</v>
      </c>
    </row>
    <row r="28510" ht="15.75" customHeight="1">
      <c r="A28510" s="7"/>
      <c r="B28510" s="7"/>
      <c r="M28510" s="9" t="s">
        <v>24</v>
      </c>
    </row>
    <row r="28511" ht="15.75" customHeight="1">
      <c r="A28511" s="7"/>
      <c r="B28511" s="7"/>
      <c r="M28511" s="9" t="s">
        <v>20</v>
      </c>
    </row>
    <row r="28512" ht="15.75" customHeight="1">
      <c r="A28512" s="7"/>
      <c r="B28512" s="7"/>
      <c r="M28512" s="9" t="s">
        <v>21</v>
      </c>
    </row>
    <row r="28513" ht="15.75" customHeight="1">
      <c r="A28513" s="7"/>
      <c r="B28513" s="7"/>
      <c r="M28513" s="9" t="s">
        <v>22</v>
      </c>
    </row>
    <row r="28514" ht="15.75" customHeight="1">
      <c r="A28514" s="7"/>
      <c r="B28514" s="7"/>
      <c r="M28514" s="9" t="s">
        <v>27</v>
      </c>
    </row>
    <row r="28515" ht="15.75" customHeight="1">
      <c r="A28515" s="7"/>
      <c r="B28515" s="7"/>
      <c r="M28515" s="9" t="s">
        <v>24</v>
      </c>
    </row>
    <row r="28516" ht="15.75" customHeight="1">
      <c r="A28516" s="7"/>
      <c r="B28516" s="7"/>
      <c r="M28516" s="9" t="s">
        <v>21</v>
      </c>
    </row>
    <row r="28517" ht="15.75" customHeight="1">
      <c r="A28517" s="7"/>
      <c r="B28517" s="7"/>
      <c r="M28517" s="9" t="s">
        <v>31</v>
      </c>
    </row>
    <row r="28518" ht="15.75" customHeight="1">
      <c r="A28518" s="7"/>
      <c r="B28518" s="7"/>
      <c r="M28518" s="9" t="s">
        <v>27</v>
      </c>
    </row>
    <row r="28519" ht="15.75" customHeight="1">
      <c r="A28519" s="7"/>
      <c r="B28519" s="7"/>
      <c r="M28519" s="9" t="s">
        <v>30</v>
      </c>
    </row>
    <row r="28520" ht="15.75" customHeight="1">
      <c r="A28520" s="7"/>
      <c r="B28520" s="7"/>
      <c r="M28520" s="9" t="s">
        <v>26</v>
      </c>
    </row>
    <row r="28521" ht="15.75" customHeight="1">
      <c r="A28521" s="7"/>
      <c r="B28521" s="7"/>
      <c r="M28521" s="9" t="s">
        <v>24</v>
      </c>
    </row>
    <row r="28522" ht="15.75" customHeight="1">
      <c r="A28522" s="7"/>
      <c r="B28522" s="7"/>
      <c r="M28522" s="9" t="s">
        <v>21</v>
      </c>
    </row>
    <row r="28523" ht="15.75" customHeight="1">
      <c r="A28523" s="7"/>
      <c r="B28523" s="7"/>
      <c r="M28523" s="9" t="s">
        <v>37</v>
      </c>
    </row>
    <row r="28524" ht="15.75" customHeight="1">
      <c r="A28524" s="7"/>
      <c r="B28524" s="7"/>
      <c r="M28524" s="9" t="s">
        <v>27</v>
      </c>
    </row>
    <row r="28525" ht="15.75" customHeight="1">
      <c r="A28525" s="7"/>
      <c r="B28525" s="7"/>
      <c r="M28525" s="9" t="s">
        <v>33</v>
      </c>
    </row>
    <row r="28526" ht="15.75" customHeight="1">
      <c r="A28526" s="7"/>
      <c r="B28526" s="7"/>
      <c r="M28526" s="9" t="s">
        <v>25</v>
      </c>
    </row>
    <row r="28527" ht="15.75" customHeight="1">
      <c r="A28527" s="7"/>
      <c r="B28527" s="7"/>
      <c r="M28527" s="9" t="s">
        <v>23</v>
      </c>
    </row>
    <row r="28528" ht="15.75" customHeight="1">
      <c r="A28528" s="7"/>
      <c r="B28528" s="7"/>
      <c r="M28528" s="9" t="s">
        <v>20</v>
      </c>
    </row>
    <row r="28529" ht="15.75" customHeight="1">
      <c r="A28529" s="7"/>
      <c r="B28529" s="7"/>
      <c r="M28529" s="9" t="s">
        <v>22</v>
      </c>
    </row>
    <row r="28530" ht="15.75" customHeight="1">
      <c r="A28530" s="7"/>
      <c r="B28530" s="7"/>
      <c r="M28530" s="9" t="s">
        <v>24</v>
      </c>
    </row>
    <row r="28531" ht="15.75" customHeight="1">
      <c r="A28531" s="7"/>
      <c r="B28531" s="7"/>
      <c r="M28531" s="9" t="s">
        <v>21</v>
      </c>
    </row>
    <row r="28532" ht="15.75" customHeight="1">
      <c r="A28532" s="7"/>
      <c r="B28532" s="7"/>
      <c r="M28532" s="9" t="s">
        <v>37</v>
      </c>
    </row>
    <row r="28533" ht="15.75" customHeight="1">
      <c r="A28533" s="7"/>
      <c r="B28533" s="7"/>
      <c r="M28533" s="9" t="s">
        <v>33</v>
      </c>
    </row>
    <row r="28534" ht="15.75" customHeight="1">
      <c r="A28534" s="7"/>
      <c r="B28534" s="7"/>
      <c r="M28534" s="9" t="s">
        <v>38</v>
      </c>
    </row>
    <row r="28535" ht="15.75" customHeight="1">
      <c r="A28535" s="7"/>
      <c r="B28535" s="7"/>
      <c r="M28535" s="9" t="s">
        <v>30</v>
      </c>
    </row>
    <row r="28536" ht="15.75" customHeight="1">
      <c r="A28536" s="7"/>
      <c r="B28536" s="7"/>
      <c r="M28536" s="9" t="s">
        <v>25</v>
      </c>
    </row>
    <row r="28537" ht="15.75" customHeight="1">
      <c r="A28537" s="7"/>
      <c r="B28537" s="7"/>
      <c r="M28537" s="9" t="s">
        <v>24</v>
      </c>
    </row>
    <row r="28538" ht="15.75" customHeight="1">
      <c r="A28538" s="7"/>
      <c r="B28538" s="7"/>
      <c r="M28538" s="9" t="s">
        <v>20</v>
      </c>
    </row>
    <row r="28539" ht="15.75" customHeight="1">
      <c r="A28539" s="7"/>
      <c r="B28539" s="7"/>
      <c r="M28539" s="9" t="s">
        <v>21</v>
      </c>
    </row>
    <row r="28540" ht="15.75" customHeight="1">
      <c r="A28540" s="7"/>
      <c r="B28540" s="7"/>
      <c r="M28540" s="9" t="s">
        <v>22</v>
      </c>
    </row>
    <row r="28541" ht="15.75" customHeight="1">
      <c r="A28541" s="7"/>
      <c r="B28541" s="7"/>
      <c r="M28541" s="9" t="s">
        <v>29</v>
      </c>
    </row>
    <row r="28542" ht="15.75" customHeight="1">
      <c r="A28542" s="7"/>
      <c r="B28542" s="7"/>
      <c r="M28542" s="9" t="s">
        <v>27</v>
      </c>
    </row>
    <row r="28543" ht="15.75" customHeight="1">
      <c r="A28543" s="7"/>
      <c r="B28543" s="7"/>
      <c r="M28543" s="9" t="s">
        <v>30</v>
      </c>
    </row>
    <row r="28544" ht="15.75" customHeight="1">
      <c r="A28544" s="7"/>
      <c r="B28544" s="7"/>
      <c r="M28544" s="9" t="s">
        <v>26</v>
      </c>
    </row>
    <row r="28545" ht="15.75" customHeight="1">
      <c r="A28545" s="7"/>
      <c r="B28545" s="7"/>
      <c r="M28545" s="9" t="s">
        <v>27</v>
      </c>
    </row>
    <row r="28546" ht="15.75" customHeight="1">
      <c r="A28546" s="7"/>
      <c r="B28546" s="7"/>
      <c r="M28546" s="9" t="s">
        <v>24</v>
      </c>
    </row>
    <row r="28547" ht="15.75" customHeight="1">
      <c r="A28547" s="7"/>
      <c r="B28547" s="7"/>
      <c r="M28547" s="9" t="s">
        <v>21</v>
      </c>
    </row>
    <row r="28548" ht="15.75" customHeight="1">
      <c r="A28548" s="7"/>
      <c r="B28548" s="7"/>
      <c r="M28548" s="9" t="s">
        <v>37</v>
      </c>
    </row>
    <row r="28549" ht="15.75" customHeight="1">
      <c r="A28549" s="7"/>
      <c r="B28549" s="7"/>
      <c r="M28549" s="9" t="s">
        <v>27</v>
      </c>
    </row>
    <row r="28550" ht="15.75" customHeight="1">
      <c r="A28550" s="7"/>
      <c r="B28550" s="7"/>
      <c r="M28550" s="9" t="s">
        <v>30</v>
      </c>
    </row>
    <row r="28551" ht="15.75" customHeight="1">
      <c r="A28551" s="7"/>
      <c r="B28551" s="7"/>
      <c r="M28551" s="9" t="s">
        <v>25</v>
      </c>
    </row>
    <row r="28552" ht="15.75" customHeight="1">
      <c r="A28552" s="7"/>
      <c r="B28552" s="7"/>
      <c r="M28552" s="9" t="s">
        <v>23</v>
      </c>
    </row>
    <row r="28553" ht="15.75" customHeight="1">
      <c r="A28553" s="7"/>
      <c r="B28553" s="7"/>
      <c r="M28553" s="9" t="s">
        <v>26</v>
      </c>
    </row>
    <row r="28554" ht="15.75" customHeight="1">
      <c r="A28554" s="7"/>
      <c r="B28554" s="7"/>
      <c r="M28554" s="9" t="s">
        <v>24</v>
      </c>
    </row>
    <row r="28555" ht="15.75" customHeight="1">
      <c r="A28555" s="7"/>
      <c r="B28555" s="7"/>
      <c r="M28555" s="9" t="s">
        <v>21</v>
      </c>
    </row>
    <row r="28556" ht="15.75" customHeight="1">
      <c r="A28556" s="7"/>
      <c r="B28556" s="7"/>
      <c r="M28556" s="9" t="s">
        <v>37</v>
      </c>
    </row>
    <row r="28557" ht="15.75" customHeight="1">
      <c r="A28557" s="7"/>
      <c r="B28557" s="7"/>
      <c r="M28557" s="9" t="s">
        <v>22</v>
      </c>
    </row>
    <row r="28558" ht="15.75" customHeight="1">
      <c r="A28558" s="7"/>
      <c r="B28558" s="7"/>
      <c r="M28558" s="9" t="s">
        <v>27</v>
      </c>
    </row>
    <row r="28559" ht="15.75" customHeight="1">
      <c r="A28559" s="7"/>
      <c r="B28559" s="7"/>
      <c r="M28559" s="9" t="s">
        <v>21</v>
      </c>
    </row>
    <row r="28560" ht="15.75" customHeight="1">
      <c r="A28560" s="7"/>
      <c r="B28560" s="7"/>
      <c r="M28560" s="9" t="s">
        <v>22</v>
      </c>
    </row>
    <row r="28561" ht="15.75" customHeight="1">
      <c r="A28561" s="7"/>
      <c r="B28561" s="7"/>
      <c r="M28561" s="9" t="s">
        <v>29</v>
      </c>
    </row>
    <row r="28562" ht="15.75" customHeight="1">
      <c r="A28562" s="7"/>
      <c r="B28562" s="7"/>
      <c r="M28562" s="9" t="s">
        <v>26</v>
      </c>
    </row>
    <row r="28563" ht="15.75" customHeight="1">
      <c r="A28563" s="7"/>
      <c r="B28563" s="7"/>
      <c r="M28563" s="9" t="s">
        <v>24</v>
      </c>
    </row>
    <row r="28564" ht="15.75" customHeight="1">
      <c r="A28564" s="7"/>
      <c r="B28564" s="7"/>
      <c r="M28564" s="9" t="s">
        <v>21</v>
      </c>
    </row>
    <row r="28565" ht="15.75" customHeight="1">
      <c r="A28565" s="7"/>
      <c r="B28565" s="7"/>
      <c r="M28565" s="9" t="s">
        <v>37</v>
      </c>
    </row>
    <row r="28566" ht="15.75" customHeight="1">
      <c r="A28566" s="7"/>
      <c r="B28566" s="7"/>
      <c r="M28566" s="9" t="s">
        <v>22</v>
      </c>
    </row>
    <row r="28567" ht="15.75" customHeight="1">
      <c r="A28567" s="7"/>
      <c r="B28567" s="7"/>
      <c r="M28567" s="9" t="s">
        <v>27</v>
      </c>
    </row>
    <row r="28568" ht="15.75" customHeight="1">
      <c r="A28568" s="7"/>
      <c r="B28568" s="7"/>
      <c r="M28568" s="9" t="s">
        <v>38</v>
      </c>
    </row>
    <row r="28569" ht="15.75" customHeight="1">
      <c r="A28569" s="7"/>
      <c r="B28569" s="7"/>
      <c r="M28569" s="9" t="s">
        <v>25</v>
      </c>
    </row>
    <row r="28570" ht="15.75" customHeight="1">
      <c r="A28570" s="7"/>
      <c r="B28570" s="7"/>
      <c r="M28570" s="9" t="s">
        <v>23</v>
      </c>
    </row>
    <row r="28571" ht="15.75" customHeight="1">
      <c r="A28571" s="7"/>
      <c r="B28571" s="7"/>
      <c r="M28571" s="9" t="s">
        <v>26</v>
      </c>
    </row>
    <row r="28572" ht="15.75" customHeight="1">
      <c r="A28572" s="7"/>
      <c r="B28572" s="7"/>
      <c r="M28572" s="9" t="s">
        <v>24</v>
      </c>
    </row>
    <row r="28573" ht="15.75" customHeight="1">
      <c r="A28573" s="7"/>
      <c r="B28573" s="7"/>
      <c r="M28573" s="9" t="s">
        <v>21</v>
      </c>
    </row>
    <row r="28574" ht="15.75" customHeight="1">
      <c r="A28574" s="7"/>
      <c r="B28574" s="7"/>
      <c r="M28574" s="9" t="s">
        <v>37</v>
      </c>
    </row>
    <row r="28575" ht="15.75" customHeight="1">
      <c r="A28575" s="7"/>
      <c r="B28575" s="7"/>
      <c r="M28575" s="9" t="s">
        <v>22</v>
      </c>
    </row>
    <row r="28576" ht="15.75" customHeight="1">
      <c r="A28576" s="7"/>
      <c r="B28576" s="7"/>
      <c r="M28576" s="9" t="s">
        <v>27</v>
      </c>
    </row>
    <row r="28577" ht="15.75" customHeight="1">
      <c r="A28577" s="7"/>
      <c r="B28577" s="7"/>
      <c r="M28577" s="9" t="s">
        <v>28</v>
      </c>
    </row>
    <row r="28578" ht="15.75" customHeight="1">
      <c r="A28578" s="7"/>
      <c r="B28578" s="7"/>
      <c r="M28578" s="9" t="s">
        <v>35</v>
      </c>
    </row>
    <row r="28579" ht="15.75" customHeight="1">
      <c r="A28579" s="7"/>
      <c r="B28579" s="7"/>
      <c r="M28579" s="9" t="s">
        <v>30</v>
      </c>
    </row>
    <row r="28580" ht="15.75" customHeight="1">
      <c r="A28580" s="7"/>
      <c r="B28580" s="7"/>
      <c r="M28580" s="9" t="s">
        <v>24</v>
      </c>
    </row>
    <row r="28581" ht="15.75" customHeight="1">
      <c r="A28581" s="7"/>
      <c r="B28581" s="7"/>
      <c r="M28581" s="9" t="s">
        <v>21</v>
      </c>
    </row>
    <row r="28582" ht="15.75" customHeight="1">
      <c r="A28582" s="7"/>
      <c r="B28582" s="7"/>
      <c r="M28582" s="9" t="s">
        <v>37</v>
      </c>
    </row>
    <row r="28583" ht="15.75" customHeight="1">
      <c r="A28583" s="7"/>
      <c r="B28583" s="7"/>
      <c r="M28583" s="9" t="s">
        <v>27</v>
      </c>
    </row>
    <row r="28584" ht="15.75" customHeight="1">
      <c r="A28584" s="7"/>
      <c r="B28584" s="7"/>
      <c r="M28584" s="9" t="s">
        <v>25</v>
      </c>
    </row>
    <row r="28585" ht="15.75" customHeight="1">
      <c r="A28585" s="7"/>
      <c r="B28585" s="7"/>
      <c r="M28585" s="9" t="s">
        <v>24</v>
      </c>
    </row>
    <row r="28586" ht="15.75" customHeight="1">
      <c r="A28586" s="7"/>
      <c r="B28586" s="7"/>
      <c r="M28586" s="9" t="s">
        <v>20</v>
      </c>
    </row>
    <row r="28587" ht="15.75" customHeight="1">
      <c r="A28587" s="7"/>
      <c r="B28587" s="7"/>
      <c r="M28587" s="9" t="s">
        <v>21</v>
      </c>
    </row>
    <row r="28588" ht="15.75" customHeight="1">
      <c r="A28588" s="7"/>
      <c r="B28588" s="7"/>
      <c r="M28588" s="9" t="s">
        <v>37</v>
      </c>
    </row>
    <row r="28589" ht="15.75" customHeight="1">
      <c r="A28589" s="7"/>
      <c r="B28589" s="7"/>
      <c r="M28589" s="9" t="s">
        <v>22</v>
      </c>
    </row>
    <row r="28590" ht="15.75" customHeight="1">
      <c r="A28590" s="7"/>
      <c r="B28590" s="7"/>
      <c r="M28590" s="9" t="s">
        <v>27</v>
      </c>
    </row>
    <row r="28591" ht="15.75" customHeight="1">
      <c r="A28591" s="7"/>
      <c r="B28591" s="7"/>
      <c r="M28591" s="9" t="s">
        <v>30</v>
      </c>
    </row>
    <row r="28592" ht="15.75" customHeight="1">
      <c r="A28592" s="7"/>
      <c r="B28592" s="7"/>
      <c r="M28592" s="9" t="s">
        <v>36</v>
      </c>
    </row>
    <row r="28593" ht="15.75" customHeight="1">
      <c r="A28593" s="7"/>
      <c r="B28593" s="7"/>
      <c r="M28593" s="9" t="s">
        <v>38</v>
      </c>
    </row>
    <row r="28594" ht="15.75" customHeight="1">
      <c r="A28594" s="7"/>
      <c r="B28594" s="7"/>
      <c r="M28594" s="9" t="s">
        <v>25</v>
      </c>
    </row>
    <row r="28595" ht="15.75" customHeight="1">
      <c r="A28595" s="7"/>
      <c r="B28595" s="7"/>
      <c r="M28595" s="9" t="s">
        <v>24</v>
      </c>
    </row>
    <row r="28596" ht="15.75" customHeight="1">
      <c r="A28596" s="7"/>
      <c r="B28596" s="7"/>
      <c r="M28596" s="9" t="s">
        <v>21</v>
      </c>
    </row>
    <row r="28597" ht="15.75" customHeight="1">
      <c r="A28597" s="7"/>
      <c r="B28597" s="7"/>
      <c r="M28597" s="9" t="s">
        <v>37</v>
      </c>
    </row>
    <row r="28598" ht="15.75" customHeight="1">
      <c r="A28598" s="7"/>
      <c r="B28598" s="7"/>
      <c r="M28598" s="9" t="s">
        <v>26</v>
      </c>
    </row>
    <row r="28599" ht="15.75" customHeight="1">
      <c r="A28599" s="7"/>
      <c r="B28599" s="7"/>
      <c r="M28599" s="9" t="s">
        <v>24</v>
      </c>
    </row>
    <row r="28600" ht="15.75" customHeight="1">
      <c r="A28600" s="7"/>
      <c r="B28600" s="7"/>
      <c r="M28600" s="9" t="s">
        <v>21</v>
      </c>
    </row>
    <row r="28601" ht="15.75" customHeight="1">
      <c r="A28601" s="7"/>
      <c r="B28601" s="7"/>
      <c r="M28601" s="9" t="s">
        <v>27</v>
      </c>
    </row>
    <row r="28602" ht="15.75" customHeight="1">
      <c r="A28602" s="7"/>
      <c r="B28602" s="7"/>
      <c r="M28602" s="9" t="s">
        <v>33</v>
      </c>
    </row>
    <row r="28603" ht="15.75" customHeight="1">
      <c r="A28603" s="7"/>
      <c r="B28603" s="7"/>
      <c r="M28603" s="9" t="s">
        <v>36</v>
      </c>
    </row>
    <row r="28604" ht="15.75" customHeight="1">
      <c r="A28604" s="7"/>
      <c r="B28604" s="7"/>
      <c r="M28604" s="9" t="s">
        <v>24</v>
      </c>
    </row>
    <row r="28605" ht="15.75" customHeight="1">
      <c r="A28605" s="7"/>
      <c r="B28605" s="7"/>
      <c r="M28605" s="9" t="s">
        <v>21</v>
      </c>
    </row>
    <row r="28606" ht="15.75" customHeight="1">
      <c r="A28606" s="7"/>
      <c r="B28606" s="7"/>
      <c r="M28606" s="9" t="s">
        <v>31</v>
      </c>
    </row>
    <row r="28607" ht="15.75" customHeight="1">
      <c r="A28607" s="7"/>
      <c r="B28607" s="7"/>
      <c r="M28607" s="9" t="s">
        <v>27</v>
      </c>
    </row>
    <row r="28608" ht="15.75" customHeight="1">
      <c r="A28608" s="7"/>
      <c r="B28608" s="7"/>
      <c r="M28608" s="9" t="s">
        <v>30</v>
      </c>
    </row>
    <row r="28609" ht="15.75" customHeight="1">
      <c r="A28609" s="7"/>
      <c r="B28609" s="7"/>
      <c r="M28609" s="9" t="s">
        <v>26</v>
      </c>
    </row>
    <row r="28610" ht="15.75" customHeight="1">
      <c r="A28610" s="7"/>
      <c r="B28610" s="7"/>
      <c r="M28610" s="9" t="s">
        <v>24</v>
      </c>
    </row>
    <row r="28611" ht="15.75" customHeight="1">
      <c r="A28611" s="7"/>
      <c r="B28611" s="7"/>
      <c r="M28611" s="9" t="s">
        <v>21</v>
      </c>
    </row>
    <row r="28612" ht="15.75" customHeight="1">
      <c r="A28612" s="7"/>
      <c r="B28612" s="7"/>
      <c r="M28612" s="9" t="s">
        <v>37</v>
      </c>
    </row>
    <row r="28613" ht="15.75" customHeight="1">
      <c r="A28613" s="7"/>
      <c r="B28613" s="7"/>
      <c r="M28613" s="9" t="s">
        <v>27</v>
      </c>
    </row>
    <row r="28614" ht="15.75" customHeight="1">
      <c r="A28614" s="7"/>
      <c r="B28614" s="7"/>
      <c r="M28614" s="9" t="s">
        <v>28</v>
      </c>
    </row>
    <row r="28615" ht="15.75" customHeight="1">
      <c r="A28615" s="7"/>
      <c r="B28615" s="7"/>
      <c r="M28615" s="9" t="s">
        <v>26</v>
      </c>
    </row>
    <row r="28616" ht="15.75" customHeight="1">
      <c r="A28616" s="7"/>
      <c r="B28616" s="7"/>
      <c r="M28616" s="9" t="s">
        <v>36</v>
      </c>
    </row>
    <row r="28617" ht="15.75" customHeight="1">
      <c r="A28617" s="7"/>
      <c r="B28617" s="7"/>
      <c r="M28617" s="9" t="s">
        <v>24</v>
      </c>
    </row>
    <row r="28618" ht="15.75" customHeight="1">
      <c r="A28618" s="7"/>
      <c r="B28618" s="7"/>
      <c r="M28618" s="9" t="s">
        <v>20</v>
      </c>
    </row>
    <row r="28619" ht="15.75" customHeight="1">
      <c r="A28619" s="7"/>
      <c r="B28619" s="7"/>
      <c r="M28619" s="9" t="s">
        <v>21</v>
      </c>
    </row>
    <row r="28620" ht="15.75" customHeight="1">
      <c r="A28620" s="7"/>
      <c r="B28620" s="7"/>
      <c r="M28620" s="9" t="s">
        <v>37</v>
      </c>
    </row>
    <row r="28621" ht="15.75" customHeight="1">
      <c r="A28621" s="7"/>
      <c r="B28621" s="7"/>
      <c r="M28621" s="9" t="s">
        <v>27</v>
      </c>
    </row>
    <row r="28622" ht="15.75" customHeight="1">
      <c r="A28622" s="7"/>
      <c r="B28622" s="7"/>
      <c r="M28622" s="9" t="s">
        <v>33</v>
      </c>
    </row>
    <row r="28623" ht="15.75" customHeight="1">
      <c r="A28623" s="7"/>
      <c r="B28623" s="7"/>
      <c r="M28623" s="9" t="s">
        <v>23</v>
      </c>
    </row>
    <row r="28624" ht="15.75" customHeight="1">
      <c r="A28624" s="7"/>
      <c r="B28624" s="7"/>
      <c r="M28624" s="9" t="s">
        <v>21</v>
      </c>
    </row>
    <row r="28625" ht="15.75" customHeight="1">
      <c r="A28625" s="7"/>
      <c r="B28625" s="7"/>
      <c r="M28625" s="9" t="s">
        <v>41</v>
      </c>
    </row>
    <row r="28626" ht="15.75" customHeight="1">
      <c r="A28626" s="7"/>
      <c r="B28626" s="7"/>
      <c r="M28626" s="9" t="s">
        <v>40</v>
      </c>
    </row>
    <row r="28627" ht="15.75" customHeight="1">
      <c r="A28627" s="7"/>
      <c r="B28627" s="7"/>
      <c r="M28627" s="9" t="s">
        <v>24</v>
      </c>
    </row>
    <row r="28628" ht="15.75" customHeight="1">
      <c r="A28628" s="7"/>
      <c r="B28628" s="7"/>
      <c r="M28628" s="9" t="s">
        <v>21</v>
      </c>
    </row>
    <row r="28629" ht="15.75" customHeight="1">
      <c r="A28629" s="7"/>
      <c r="B28629" s="7"/>
      <c r="M28629" s="9" t="s">
        <v>26</v>
      </c>
    </row>
    <row r="28630" ht="15.75" customHeight="1">
      <c r="A28630" s="7"/>
      <c r="B28630" s="7"/>
      <c r="M28630" s="9" t="s">
        <v>45</v>
      </c>
    </row>
    <row r="28631" ht="15.75" customHeight="1">
      <c r="A28631" s="7"/>
      <c r="B28631" s="7"/>
      <c r="M28631" s="9" t="s">
        <v>24</v>
      </c>
    </row>
    <row r="28632" ht="15.75" customHeight="1">
      <c r="A28632" s="7"/>
      <c r="B28632" s="7"/>
      <c r="M28632" s="9" t="s">
        <v>41</v>
      </c>
    </row>
    <row r="28633" ht="15.75" customHeight="1">
      <c r="A28633" s="7"/>
      <c r="B28633" s="7"/>
      <c r="M28633" s="9" t="s">
        <v>33</v>
      </c>
    </row>
    <row r="28634" ht="15.75" customHeight="1">
      <c r="A28634" s="7"/>
      <c r="B28634" s="7"/>
      <c r="M28634" s="9" t="s">
        <v>30</v>
      </c>
    </row>
    <row r="28635" ht="15.75" customHeight="1">
      <c r="A28635" s="7"/>
      <c r="B28635" s="7"/>
      <c r="M28635" s="9" t="s">
        <v>23</v>
      </c>
    </row>
    <row r="28636" ht="15.75" customHeight="1">
      <c r="A28636" s="7"/>
      <c r="B28636" s="7"/>
      <c r="M28636" s="9" t="s">
        <v>22</v>
      </c>
    </row>
    <row r="28637" ht="15.75" customHeight="1">
      <c r="A28637" s="7"/>
      <c r="B28637" s="7"/>
      <c r="M28637" s="9" t="s">
        <v>30</v>
      </c>
    </row>
    <row r="28638" ht="15.75" customHeight="1">
      <c r="A28638" s="7"/>
      <c r="B28638" s="7"/>
      <c r="M28638" s="9" t="s">
        <v>26</v>
      </c>
    </row>
    <row r="28639" ht="15.75" customHeight="1">
      <c r="A28639" s="7"/>
      <c r="B28639" s="7"/>
      <c r="M28639" s="9" t="s">
        <v>24</v>
      </c>
    </row>
    <row r="28640" ht="15.75" customHeight="1">
      <c r="A28640" s="7"/>
      <c r="B28640" s="7"/>
      <c r="M28640" s="9" t="s">
        <v>21</v>
      </c>
    </row>
    <row r="28641" ht="15.75" customHeight="1">
      <c r="A28641" s="7"/>
      <c r="B28641" s="7"/>
      <c r="M28641" s="9" t="s">
        <v>27</v>
      </c>
    </row>
    <row r="28642" ht="15.75" customHeight="1">
      <c r="A28642" s="7"/>
      <c r="B28642" s="7"/>
      <c r="M28642" s="9" t="s">
        <v>20</v>
      </c>
    </row>
    <row r="28643" ht="15.75" customHeight="1">
      <c r="A28643" s="7"/>
      <c r="B28643" s="7"/>
      <c r="M28643" s="9" t="s">
        <v>39</v>
      </c>
    </row>
    <row r="28644" ht="15.75" customHeight="1">
      <c r="A28644" s="7"/>
      <c r="B28644" s="7"/>
      <c r="M28644" s="9" t="s">
        <v>24</v>
      </c>
    </row>
    <row r="28645" ht="15.75" customHeight="1">
      <c r="A28645" s="7"/>
      <c r="B28645" s="7"/>
      <c r="M28645" s="9" t="s">
        <v>21</v>
      </c>
    </row>
    <row r="28646" ht="15.75" customHeight="1">
      <c r="A28646" s="7"/>
      <c r="B28646" s="7"/>
      <c r="M28646" s="9" t="s">
        <v>27</v>
      </c>
    </row>
    <row r="28647" ht="15.75" customHeight="1">
      <c r="A28647" s="7"/>
      <c r="B28647" s="7"/>
      <c r="M28647" s="9" t="s">
        <v>33</v>
      </c>
    </row>
    <row r="28648" ht="15.75" customHeight="1">
      <c r="A28648" s="7"/>
      <c r="B28648" s="7"/>
      <c r="M28648" s="9" t="s">
        <v>23</v>
      </c>
    </row>
    <row r="28649" ht="15.75" customHeight="1">
      <c r="A28649" s="7"/>
      <c r="B28649" s="7"/>
      <c r="M28649" s="9" t="s">
        <v>24</v>
      </c>
    </row>
    <row r="28650" ht="15.75" customHeight="1">
      <c r="A28650" s="7"/>
      <c r="B28650" s="7"/>
      <c r="M28650" s="9" t="s">
        <v>20</v>
      </c>
    </row>
    <row r="28651" ht="15.75" customHeight="1">
      <c r="A28651" s="7"/>
      <c r="B28651" s="7"/>
      <c r="M28651" s="9" t="s">
        <v>21</v>
      </c>
    </row>
    <row r="28652" ht="15.75" customHeight="1">
      <c r="A28652" s="7"/>
      <c r="B28652" s="7"/>
      <c r="M28652" s="9" t="s">
        <v>37</v>
      </c>
    </row>
    <row r="28653" ht="15.75" customHeight="1">
      <c r="A28653" s="7"/>
      <c r="B28653" s="7"/>
      <c r="M28653" s="9" t="s">
        <v>22</v>
      </c>
    </row>
    <row r="28654" ht="15.75" customHeight="1">
      <c r="A28654" s="7"/>
      <c r="B28654" s="7"/>
      <c r="M28654" s="9" t="s">
        <v>29</v>
      </c>
    </row>
    <row r="28655" ht="15.75" customHeight="1">
      <c r="A28655" s="7"/>
      <c r="B28655" s="7"/>
      <c r="M28655" s="9" t="s">
        <v>27</v>
      </c>
    </row>
    <row r="28656" ht="15.75" customHeight="1">
      <c r="A28656" s="7"/>
      <c r="B28656" s="7"/>
      <c r="M28656" s="9" t="s">
        <v>26</v>
      </c>
    </row>
    <row r="28657" ht="15.75" customHeight="1">
      <c r="A28657" s="7"/>
      <c r="B28657" s="7"/>
      <c r="M28657" s="9" t="s">
        <v>24</v>
      </c>
    </row>
    <row r="28658" ht="15.75" customHeight="1">
      <c r="A28658" s="7"/>
      <c r="B28658" s="7"/>
      <c r="M28658" s="9" t="s">
        <v>21</v>
      </c>
    </row>
    <row r="28659" ht="15.75" customHeight="1">
      <c r="A28659" s="7"/>
      <c r="B28659" s="7"/>
      <c r="M28659" s="9" t="s">
        <v>27</v>
      </c>
    </row>
    <row r="28660" ht="15.75" customHeight="1">
      <c r="A28660" s="7"/>
      <c r="B28660" s="7"/>
      <c r="M28660" s="9" t="s">
        <v>24</v>
      </c>
    </row>
    <row r="28661" ht="15.75" customHeight="1">
      <c r="A28661" s="7"/>
      <c r="B28661" s="7"/>
      <c r="M28661" s="9" t="s">
        <v>21</v>
      </c>
    </row>
    <row r="28662" ht="15.75" customHeight="1">
      <c r="A28662" s="7"/>
      <c r="B28662" s="7"/>
      <c r="M28662" s="9" t="s">
        <v>37</v>
      </c>
    </row>
    <row r="28663" ht="15.75" customHeight="1">
      <c r="A28663" s="7"/>
      <c r="B28663" s="7"/>
      <c r="M28663" s="9" t="s">
        <v>30</v>
      </c>
    </row>
    <row r="28664" ht="15.75" customHeight="1">
      <c r="A28664" s="7"/>
      <c r="B28664" s="7"/>
      <c r="M28664" s="9" t="s">
        <v>24</v>
      </c>
    </row>
    <row r="28665" ht="15.75" customHeight="1">
      <c r="A28665" s="7"/>
      <c r="B28665" s="7"/>
      <c r="M28665" s="9" t="s">
        <v>20</v>
      </c>
    </row>
    <row r="28666" ht="15.75" customHeight="1">
      <c r="A28666" s="7"/>
      <c r="B28666" s="7"/>
      <c r="M28666" s="9" t="s">
        <v>21</v>
      </c>
    </row>
    <row r="28667" ht="15.75" customHeight="1">
      <c r="A28667" s="7"/>
      <c r="B28667" s="7"/>
      <c r="M28667" s="9" t="s">
        <v>46</v>
      </c>
    </row>
    <row r="28668" ht="15.75" customHeight="1">
      <c r="A28668" s="7"/>
      <c r="B28668" s="7"/>
      <c r="M28668" s="9" t="s">
        <v>27</v>
      </c>
    </row>
    <row r="28669" ht="15.75" customHeight="1">
      <c r="A28669" s="7"/>
      <c r="B28669" s="7"/>
      <c r="M28669" s="9" t="s">
        <v>21</v>
      </c>
    </row>
    <row r="28670" ht="15.75" customHeight="1">
      <c r="A28670" s="7"/>
      <c r="B28670" s="7"/>
      <c r="M28670" s="9" t="s">
        <v>30</v>
      </c>
    </row>
    <row r="28671" ht="15.75" customHeight="1">
      <c r="A28671" s="7"/>
      <c r="B28671" s="7"/>
      <c r="M28671" s="9" t="s">
        <v>23</v>
      </c>
    </row>
    <row r="28672" ht="15.75" customHeight="1">
      <c r="A28672" s="7"/>
      <c r="B28672" s="7"/>
      <c r="M28672" s="9" t="s">
        <v>22</v>
      </c>
    </row>
    <row r="28673" ht="15.75" customHeight="1">
      <c r="A28673" s="7"/>
      <c r="B28673" s="7"/>
      <c r="M28673" s="9" t="s">
        <v>29</v>
      </c>
    </row>
    <row r="28674" ht="15.75" customHeight="1">
      <c r="A28674" s="7"/>
      <c r="B28674" s="7"/>
      <c r="M28674" s="9" t="s">
        <v>24</v>
      </c>
    </row>
    <row r="28675" ht="15.75" customHeight="1">
      <c r="A28675" s="7"/>
      <c r="B28675" s="7"/>
      <c r="M28675" s="9" t="s">
        <v>21</v>
      </c>
    </row>
    <row r="28676" ht="15.75" customHeight="1">
      <c r="A28676" s="7"/>
      <c r="B28676" s="7"/>
      <c r="M28676" s="9" t="s">
        <v>22</v>
      </c>
    </row>
    <row r="28677" ht="15.75" customHeight="1">
      <c r="A28677" s="7"/>
      <c r="B28677" s="7"/>
      <c r="M28677" s="9" t="s">
        <v>33</v>
      </c>
    </row>
    <row r="28678" ht="15.75" customHeight="1">
      <c r="A28678" s="7"/>
      <c r="B28678" s="7"/>
      <c r="M28678" s="9" t="s">
        <v>38</v>
      </c>
    </row>
    <row r="28679" ht="15.75" customHeight="1">
      <c r="A28679" s="7"/>
      <c r="B28679" s="7"/>
      <c r="M28679" s="9" t="s">
        <v>30</v>
      </c>
    </row>
    <row r="28680" ht="15.75" customHeight="1">
      <c r="A28680" s="7"/>
      <c r="B28680" s="7"/>
      <c r="M28680" s="9" t="s">
        <v>43</v>
      </c>
    </row>
    <row r="28681" ht="15.75" customHeight="1">
      <c r="A28681" s="7"/>
      <c r="B28681" s="7"/>
      <c r="M28681" s="9" t="s">
        <v>20</v>
      </c>
    </row>
    <row r="28682" ht="15.75" customHeight="1">
      <c r="A28682" s="7"/>
      <c r="B28682" s="7"/>
      <c r="M28682" s="9" t="s">
        <v>30</v>
      </c>
    </row>
    <row r="28683" ht="15.75" customHeight="1">
      <c r="A28683" s="7"/>
      <c r="B28683" s="7"/>
      <c r="M28683" s="9" t="s">
        <v>24</v>
      </c>
    </row>
    <row r="28684" ht="15.75" customHeight="1">
      <c r="A28684" s="7"/>
      <c r="B28684" s="7"/>
      <c r="M28684" s="9" t="s">
        <v>20</v>
      </c>
    </row>
    <row r="28685" ht="15.75" customHeight="1">
      <c r="A28685" s="7"/>
      <c r="B28685" s="7"/>
      <c r="M28685" s="9" t="s">
        <v>21</v>
      </c>
    </row>
    <row r="28686" ht="15.75" customHeight="1">
      <c r="A28686" s="7"/>
      <c r="B28686" s="7"/>
      <c r="M28686" s="9" t="s">
        <v>27</v>
      </c>
    </row>
    <row r="28687" ht="15.75" customHeight="1">
      <c r="A28687" s="7"/>
      <c r="B28687" s="7"/>
      <c r="M28687" s="9" t="s">
        <v>24</v>
      </c>
    </row>
    <row r="28688" ht="15.75" customHeight="1">
      <c r="A28688" s="7"/>
      <c r="B28688" s="7"/>
      <c r="M28688" s="9" t="s">
        <v>21</v>
      </c>
    </row>
    <row r="28689" ht="15.75" customHeight="1">
      <c r="A28689" s="7"/>
      <c r="B28689" s="7"/>
      <c r="M28689" s="9" t="s">
        <v>37</v>
      </c>
    </row>
    <row r="28690" ht="15.75" customHeight="1">
      <c r="A28690" s="7"/>
      <c r="B28690" s="7"/>
      <c r="M28690" s="9" t="s">
        <v>30</v>
      </c>
    </row>
    <row r="28691" ht="15.75" customHeight="1">
      <c r="A28691" s="7"/>
      <c r="B28691" s="7"/>
      <c r="M28691" s="9" t="s">
        <v>26</v>
      </c>
    </row>
    <row r="28692" ht="15.75" customHeight="1">
      <c r="A28692" s="7"/>
      <c r="B28692" s="7"/>
      <c r="M28692" s="9" t="s">
        <v>20</v>
      </c>
    </row>
    <row r="28693" ht="15.75" customHeight="1">
      <c r="A28693" s="7"/>
      <c r="B28693" s="7"/>
      <c r="M28693" s="9" t="s">
        <v>22</v>
      </c>
    </row>
    <row r="28694" ht="15.75" customHeight="1">
      <c r="A28694" s="7"/>
      <c r="B28694" s="7"/>
      <c r="M28694" s="9" t="s">
        <v>30</v>
      </c>
    </row>
    <row r="28695" ht="15.75" customHeight="1">
      <c r="A28695" s="7"/>
      <c r="B28695" s="7"/>
      <c r="M28695" s="9" t="s">
        <v>24</v>
      </c>
    </row>
    <row r="28696" ht="15.75" customHeight="1">
      <c r="A28696" s="7"/>
      <c r="B28696" s="7"/>
      <c r="M28696" s="9" t="s">
        <v>20</v>
      </c>
    </row>
    <row r="28697" ht="15.75" customHeight="1">
      <c r="A28697" s="7"/>
      <c r="B28697" s="7"/>
      <c r="M28697" s="9" t="s">
        <v>21</v>
      </c>
    </row>
    <row r="28698" ht="15.75" customHeight="1">
      <c r="A28698" s="7"/>
      <c r="B28698" s="7"/>
      <c r="M28698" s="9" t="s">
        <v>39</v>
      </c>
    </row>
    <row r="28699" ht="15.75" customHeight="1">
      <c r="A28699" s="7"/>
      <c r="B28699" s="7"/>
      <c r="M28699" s="9" t="s">
        <v>37</v>
      </c>
    </row>
    <row r="28700" ht="15.75" customHeight="1">
      <c r="A28700" s="7"/>
      <c r="B28700" s="7"/>
      <c r="M28700" s="9" t="s">
        <v>27</v>
      </c>
    </row>
    <row r="28701" ht="15.75" customHeight="1">
      <c r="A28701" s="7"/>
      <c r="B28701" s="7"/>
      <c r="M28701" s="9" t="s">
        <v>33</v>
      </c>
    </row>
    <row r="28702" ht="15.75" customHeight="1">
      <c r="A28702" s="7"/>
      <c r="B28702" s="7"/>
      <c r="M28702" s="9" t="s">
        <v>30</v>
      </c>
    </row>
    <row r="28703" ht="15.75" customHeight="1">
      <c r="A28703" s="7"/>
      <c r="B28703" s="7"/>
      <c r="M28703" s="9" t="s">
        <v>25</v>
      </c>
    </row>
    <row r="28704" ht="15.75" customHeight="1">
      <c r="A28704" s="7"/>
      <c r="B28704" s="7"/>
      <c r="M28704" s="9" t="s">
        <v>23</v>
      </c>
    </row>
    <row r="28705" ht="15.75" customHeight="1">
      <c r="A28705" s="7"/>
      <c r="B28705" s="7"/>
      <c r="M28705" s="9" t="s">
        <v>26</v>
      </c>
    </row>
    <row r="28706" ht="15.75" customHeight="1">
      <c r="A28706" s="7"/>
      <c r="B28706" s="7"/>
      <c r="M28706" s="9" t="s">
        <v>22</v>
      </c>
    </row>
    <row r="28707" ht="15.75" customHeight="1">
      <c r="A28707" s="7"/>
      <c r="B28707" s="7"/>
      <c r="M28707" s="9" t="s">
        <v>38</v>
      </c>
    </row>
    <row r="28708" ht="15.75" customHeight="1">
      <c r="A28708" s="7"/>
      <c r="B28708" s="7"/>
      <c r="M28708" s="9" t="s">
        <v>25</v>
      </c>
    </row>
    <row r="28709" ht="15.75" customHeight="1">
      <c r="A28709" s="7"/>
      <c r="B28709" s="7"/>
      <c r="M28709" s="9" t="s">
        <v>23</v>
      </c>
    </row>
    <row r="28710" ht="15.75" customHeight="1">
      <c r="A28710" s="7"/>
      <c r="B28710" s="7"/>
      <c r="M28710" s="9" t="s">
        <v>20</v>
      </c>
    </row>
    <row r="28711" ht="15.75" customHeight="1">
      <c r="A28711" s="7"/>
      <c r="B28711" s="7"/>
      <c r="M28711" s="9" t="s">
        <v>37</v>
      </c>
    </row>
    <row r="28712" ht="15.75" customHeight="1">
      <c r="A28712" s="7"/>
      <c r="B28712" s="7"/>
      <c r="M28712" s="9" t="s">
        <v>22</v>
      </c>
    </row>
    <row r="28713" ht="15.75" customHeight="1">
      <c r="A28713" s="7"/>
      <c r="B28713" s="7"/>
      <c r="M28713" s="9" t="s">
        <v>27</v>
      </c>
    </row>
    <row r="28714" ht="15.75" customHeight="1">
      <c r="A28714" s="7"/>
      <c r="B28714" s="7"/>
      <c r="M28714" s="9" t="s">
        <v>28</v>
      </c>
    </row>
    <row r="28715" ht="15.75" customHeight="1">
      <c r="A28715" s="7"/>
      <c r="B28715" s="7"/>
      <c r="M28715" s="9" t="s">
        <v>24</v>
      </c>
    </row>
    <row r="28716" ht="15.75" customHeight="1">
      <c r="A28716" s="7"/>
      <c r="B28716" s="7"/>
      <c r="M28716" s="9" t="s">
        <v>20</v>
      </c>
    </row>
    <row r="28717" ht="15.75" customHeight="1">
      <c r="A28717" s="7"/>
      <c r="B28717" s="7"/>
      <c r="M28717" s="9" t="s">
        <v>21</v>
      </c>
    </row>
    <row r="28718" ht="15.75" customHeight="1">
      <c r="A28718" s="7"/>
      <c r="B28718" s="7"/>
      <c r="M28718" s="9" t="s">
        <v>40</v>
      </c>
    </row>
    <row r="28719" ht="15.75" customHeight="1">
      <c r="A28719" s="7"/>
      <c r="B28719" s="7"/>
      <c r="M28719" s="9" t="s">
        <v>30</v>
      </c>
    </row>
    <row r="28720" ht="15.75" customHeight="1">
      <c r="A28720" s="7"/>
      <c r="B28720" s="7"/>
      <c r="M28720" s="9" t="s">
        <v>25</v>
      </c>
    </row>
    <row r="28721" ht="15.75" customHeight="1">
      <c r="A28721" s="7"/>
      <c r="B28721" s="7"/>
      <c r="M28721" s="9" t="s">
        <v>24</v>
      </c>
    </row>
    <row r="28722" ht="15.75" customHeight="1">
      <c r="A28722" s="7"/>
      <c r="B28722" s="7"/>
      <c r="M28722" s="9" t="s">
        <v>20</v>
      </c>
    </row>
    <row r="28723" ht="15.75" customHeight="1">
      <c r="A28723" s="7"/>
      <c r="B28723" s="7"/>
      <c r="M28723" s="9" t="s">
        <v>21</v>
      </c>
    </row>
    <row r="28724" ht="15.75" customHeight="1">
      <c r="A28724" s="7"/>
      <c r="B28724" s="7"/>
      <c r="M28724" s="9" t="s">
        <v>22</v>
      </c>
    </row>
    <row r="28725" ht="15.75" customHeight="1">
      <c r="A28725" s="7"/>
      <c r="B28725" s="7"/>
      <c r="M28725" s="9" t="s">
        <v>24</v>
      </c>
    </row>
    <row r="28726" ht="15.75" customHeight="1">
      <c r="A28726" s="7"/>
      <c r="B28726" s="7"/>
      <c r="M28726" s="9" t="s">
        <v>20</v>
      </c>
    </row>
    <row r="28727" ht="15.75" customHeight="1">
      <c r="A28727" s="7"/>
      <c r="B28727" s="7"/>
      <c r="M28727" s="9" t="s">
        <v>21</v>
      </c>
    </row>
    <row r="28728" ht="15.75" customHeight="1">
      <c r="A28728" s="7"/>
      <c r="B28728" s="7"/>
      <c r="M28728" s="9" t="s">
        <v>27</v>
      </c>
    </row>
    <row r="28729" ht="15.75" customHeight="1">
      <c r="A28729" s="7"/>
      <c r="B28729" s="7"/>
      <c r="M28729" s="9" t="s">
        <v>35</v>
      </c>
    </row>
    <row r="28730" ht="15.75" customHeight="1">
      <c r="A28730" s="7"/>
      <c r="B28730" s="7"/>
      <c r="M28730" s="9" t="s">
        <v>23</v>
      </c>
    </row>
    <row r="28731" ht="15.75" customHeight="1">
      <c r="A28731" s="7"/>
      <c r="B28731" s="7"/>
      <c r="M28731" s="9" t="s">
        <v>22</v>
      </c>
    </row>
    <row r="28732" ht="15.75" customHeight="1">
      <c r="A28732" s="7"/>
      <c r="B28732" s="7"/>
      <c r="M28732" s="9" t="s">
        <v>25</v>
      </c>
    </row>
    <row r="28733" ht="15.75" customHeight="1">
      <c r="A28733" s="7"/>
      <c r="B28733" s="7"/>
      <c r="M28733" s="9" t="s">
        <v>24</v>
      </c>
    </row>
    <row r="28734" ht="15.75" customHeight="1">
      <c r="A28734" s="7"/>
      <c r="B28734" s="7"/>
      <c r="M28734" s="9" t="s">
        <v>24</v>
      </c>
    </row>
    <row r="28735" ht="15.75" customHeight="1">
      <c r="A28735" s="7"/>
      <c r="B28735" s="7"/>
      <c r="M28735" s="9" t="s">
        <v>20</v>
      </c>
    </row>
    <row r="28736" ht="15.75" customHeight="1">
      <c r="A28736" s="7"/>
      <c r="B28736" s="7"/>
      <c r="M28736" s="9" t="s">
        <v>30</v>
      </c>
    </row>
    <row r="28737" ht="15.75" customHeight="1">
      <c r="A28737" s="7"/>
      <c r="B28737" s="7"/>
      <c r="M28737" s="9" t="s">
        <v>23</v>
      </c>
    </row>
    <row r="28738" ht="15.75" customHeight="1">
      <c r="A28738" s="7"/>
      <c r="B28738" s="7"/>
      <c r="M28738" s="9" t="s">
        <v>26</v>
      </c>
    </row>
    <row r="28739" ht="15.75" customHeight="1">
      <c r="A28739" s="7"/>
      <c r="B28739" s="7"/>
      <c r="M28739" s="9" t="s">
        <v>30</v>
      </c>
    </row>
    <row r="28740" ht="15.75" customHeight="1">
      <c r="A28740" s="7"/>
      <c r="B28740" s="7"/>
      <c r="M28740" s="9" t="s">
        <v>22</v>
      </c>
    </row>
    <row r="28741" ht="15.75" customHeight="1">
      <c r="A28741" s="7"/>
      <c r="B28741" s="7"/>
      <c r="M28741" s="9" t="s">
        <v>31</v>
      </c>
    </row>
    <row r="28742" ht="15.75" customHeight="1">
      <c r="A28742" s="7"/>
      <c r="B28742" s="7"/>
      <c r="M28742" s="9" t="s">
        <v>27</v>
      </c>
    </row>
    <row r="28743" ht="15.75" customHeight="1">
      <c r="A28743" s="7"/>
      <c r="B28743" s="7"/>
      <c r="M28743" s="9" t="s">
        <v>26</v>
      </c>
    </row>
    <row r="28744" ht="15.75" customHeight="1">
      <c r="A28744" s="7"/>
      <c r="B28744" s="7"/>
      <c r="M28744" s="9" t="s">
        <v>24</v>
      </c>
    </row>
    <row r="28745" ht="15.75" customHeight="1">
      <c r="A28745" s="7"/>
      <c r="B28745" s="7"/>
      <c r="M28745" s="9" t="s">
        <v>21</v>
      </c>
    </row>
    <row r="28746" ht="15.75" customHeight="1">
      <c r="A28746" s="7"/>
      <c r="B28746" s="7"/>
      <c r="M28746" s="9" t="s">
        <v>27</v>
      </c>
    </row>
    <row r="28747" ht="15.75" customHeight="1">
      <c r="A28747" s="7"/>
      <c r="B28747" s="7"/>
      <c r="M28747" s="9" t="s">
        <v>33</v>
      </c>
    </row>
    <row r="28748" ht="15.75" customHeight="1">
      <c r="A28748" s="7"/>
      <c r="B28748" s="7"/>
      <c r="M28748" s="9" t="s">
        <v>23</v>
      </c>
    </row>
    <row r="28749" ht="15.75" customHeight="1">
      <c r="A28749" s="7"/>
      <c r="B28749" s="7"/>
      <c r="M28749" s="9" t="s">
        <v>26</v>
      </c>
    </row>
    <row r="28750" ht="15.75" customHeight="1">
      <c r="A28750" s="7"/>
      <c r="B28750" s="7"/>
      <c r="M28750" s="9" t="s">
        <v>21</v>
      </c>
    </row>
    <row r="28751" ht="15.75" customHeight="1">
      <c r="A28751" s="7"/>
      <c r="B28751" s="7"/>
      <c r="M28751" s="9" t="s">
        <v>22</v>
      </c>
    </row>
    <row r="28752" ht="15.75" customHeight="1">
      <c r="A28752" s="7"/>
      <c r="B28752" s="7"/>
      <c r="M28752" s="9" t="s">
        <v>27</v>
      </c>
    </row>
    <row r="28753" ht="15.75" customHeight="1">
      <c r="A28753" s="7"/>
      <c r="B28753" s="7"/>
      <c r="M28753" s="9" t="s">
        <v>24</v>
      </c>
    </row>
    <row r="28754" ht="15.75" customHeight="1">
      <c r="A28754" s="7"/>
      <c r="B28754" s="7"/>
      <c r="M28754" s="9" t="s">
        <v>21</v>
      </c>
    </row>
    <row r="28755" ht="15.75" customHeight="1">
      <c r="A28755" s="7"/>
      <c r="B28755" s="7"/>
      <c r="M28755" s="9" t="s">
        <v>37</v>
      </c>
    </row>
    <row r="28756" ht="15.75" customHeight="1">
      <c r="A28756" s="7"/>
      <c r="B28756" s="7"/>
      <c r="M28756" s="9" t="s">
        <v>27</v>
      </c>
    </row>
    <row r="28757" ht="15.75" customHeight="1">
      <c r="A28757" s="7"/>
      <c r="B28757" s="7"/>
      <c r="M28757" s="9" t="s">
        <v>38</v>
      </c>
    </row>
    <row r="28758" ht="15.75" customHeight="1">
      <c r="A28758" s="7"/>
      <c r="B28758" s="7"/>
      <c r="M28758" s="9" t="s">
        <v>25</v>
      </c>
    </row>
    <row r="28759" ht="15.75" customHeight="1">
      <c r="A28759" s="7"/>
      <c r="B28759" s="7"/>
      <c r="M28759" s="9" t="s">
        <v>23</v>
      </c>
    </row>
    <row r="28760" ht="15.75" customHeight="1">
      <c r="A28760" s="7"/>
      <c r="B28760" s="7"/>
      <c r="M28760" s="9" t="s">
        <v>24</v>
      </c>
    </row>
    <row r="28761" ht="15.75" customHeight="1">
      <c r="A28761" s="7"/>
      <c r="B28761" s="7"/>
      <c r="M28761" s="9" t="s">
        <v>20</v>
      </c>
    </row>
    <row r="28762" ht="15.75" customHeight="1">
      <c r="A28762" s="7"/>
      <c r="B28762" s="7"/>
      <c r="M28762" s="9" t="s">
        <v>21</v>
      </c>
    </row>
    <row r="28763" ht="15.75" customHeight="1">
      <c r="A28763" s="7"/>
      <c r="B28763" s="7"/>
      <c r="M28763" s="9" t="s">
        <v>22</v>
      </c>
    </row>
    <row r="28764" ht="15.75" customHeight="1">
      <c r="A28764" s="7"/>
      <c r="B28764" s="7"/>
      <c r="M28764" s="9" t="s">
        <v>27</v>
      </c>
    </row>
    <row r="28765" ht="15.75" customHeight="1">
      <c r="A28765" s="7"/>
      <c r="B28765" s="7"/>
      <c r="M28765" s="9" t="s">
        <v>47</v>
      </c>
    </row>
    <row r="28766" ht="15.75" customHeight="1">
      <c r="A28766" s="7"/>
      <c r="B28766" s="7"/>
      <c r="M28766" s="9" t="s">
        <v>39</v>
      </c>
    </row>
    <row r="28767" ht="15.75" customHeight="1">
      <c r="A28767" s="7"/>
      <c r="B28767" s="7"/>
      <c r="M28767" s="9" t="s">
        <v>20</v>
      </c>
    </row>
    <row r="28768" ht="15.75" customHeight="1">
      <c r="A28768" s="7"/>
      <c r="B28768" s="7"/>
      <c r="M28768" s="9" t="s">
        <v>27</v>
      </c>
    </row>
    <row r="28769" ht="15.75" customHeight="1">
      <c r="A28769" s="7"/>
      <c r="B28769" s="7"/>
      <c r="M28769" s="9" t="s">
        <v>24</v>
      </c>
    </row>
    <row r="28770" ht="15.75" customHeight="1">
      <c r="A28770" s="7"/>
      <c r="B28770" s="7"/>
      <c r="M28770" s="9" t="s">
        <v>21</v>
      </c>
    </row>
    <row r="28771" ht="15.75" customHeight="1">
      <c r="A28771" s="7"/>
      <c r="B28771" s="7"/>
      <c r="M28771" s="9" t="s">
        <v>37</v>
      </c>
    </row>
    <row r="28772" ht="15.75" customHeight="1">
      <c r="A28772" s="7"/>
      <c r="B28772" s="7"/>
      <c r="M28772" s="9" t="s">
        <v>27</v>
      </c>
    </row>
    <row r="28773" ht="15.75" customHeight="1">
      <c r="A28773" s="7"/>
      <c r="B28773" s="7"/>
      <c r="M28773" s="9" t="s">
        <v>24</v>
      </c>
    </row>
    <row r="28774" ht="15.75" customHeight="1">
      <c r="A28774" s="7"/>
      <c r="B28774" s="7"/>
      <c r="M28774" s="9" t="s">
        <v>21</v>
      </c>
    </row>
    <row r="28775" ht="15.75" customHeight="1">
      <c r="A28775" s="7"/>
      <c r="B28775" s="7"/>
      <c r="M28775" s="9" t="s">
        <v>22</v>
      </c>
    </row>
    <row r="28776" ht="15.75" customHeight="1">
      <c r="A28776" s="7"/>
      <c r="B28776" s="7"/>
      <c r="M28776" s="9" t="s">
        <v>33</v>
      </c>
    </row>
    <row r="28777" ht="15.75" customHeight="1">
      <c r="A28777" s="7"/>
      <c r="B28777" s="7"/>
      <c r="M28777" s="9" t="s">
        <v>25</v>
      </c>
    </row>
    <row r="28778" ht="15.75" customHeight="1">
      <c r="A28778" s="7"/>
      <c r="B28778" s="7"/>
      <c r="M28778" s="9" t="s">
        <v>23</v>
      </c>
    </row>
    <row r="28779" ht="15.75" customHeight="1">
      <c r="A28779" s="7"/>
      <c r="B28779" s="7"/>
      <c r="M28779" s="9" t="s">
        <v>26</v>
      </c>
    </row>
    <row r="28780" ht="15.75" customHeight="1">
      <c r="A28780" s="7"/>
      <c r="B28780" s="7"/>
      <c r="M28780" s="9" t="s">
        <v>24</v>
      </c>
    </row>
    <row r="28781" ht="15.75" customHeight="1">
      <c r="A28781" s="7"/>
      <c r="B28781" s="7"/>
      <c r="M28781" s="9" t="s">
        <v>20</v>
      </c>
    </row>
    <row r="28782" ht="15.75" customHeight="1">
      <c r="A28782" s="7"/>
      <c r="B28782" s="7"/>
      <c r="M28782" s="9" t="s">
        <v>21</v>
      </c>
    </row>
    <row r="28783" ht="15.75" customHeight="1">
      <c r="A28783" s="7"/>
      <c r="B28783" s="7"/>
      <c r="M28783" s="9" t="s">
        <v>22</v>
      </c>
    </row>
    <row r="28784" ht="15.75" customHeight="1">
      <c r="A28784" s="7"/>
      <c r="B28784" s="7"/>
      <c r="M28784" s="9" t="s">
        <v>27</v>
      </c>
    </row>
    <row r="28785" ht="15.75" customHeight="1">
      <c r="A28785" s="7"/>
      <c r="B28785" s="7"/>
      <c r="M28785" s="9" t="s">
        <v>28</v>
      </c>
    </row>
    <row r="28786" ht="15.75" customHeight="1">
      <c r="A28786" s="7"/>
      <c r="B28786" s="7"/>
      <c r="M28786" s="9" t="s">
        <v>25</v>
      </c>
    </row>
    <row r="28787" ht="15.75" customHeight="1">
      <c r="A28787" s="7"/>
      <c r="B28787" s="7"/>
      <c r="M28787" s="9" t="s">
        <v>23</v>
      </c>
    </row>
    <row r="28788" ht="15.75" customHeight="1">
      <c r="A28788" s="7"/>
      <c r="B28788" s="7"/>
      <c r="M28788" s="9" t="s">
        <v>26</v>
      </c>
    </row>
    <row r="28789" ht="15.75" customHeight="1">
      <c r="A28789" s="7"/>
      <c r="B28789" s="7"/>
      <c r="M28789" s="9" t="s">
        <v>47</v>
      </c>
    </row>
    <row r="28790" ht="15.75" customHeight="1">
      <c r="A28790" s="7"/>
      <c r="B28790" s="7"/>
      <c r="M28790" s="9" t="s">
        <v>36</v>
      </c>
    </row>
    <row r="28791" ht="15.75" customHeight="1">
      <c r="A28791" s="7"/>
      <c r="B28791" s="7"/>
      <c r="M28791" s="9" t="s">
        <v>24</v>
      </c>
    </row>
    <row r="28792" ht="15.75" customHeight="1">
      <c r="A28792" s="7"/>
      <c r="B28792" s="7"/>
      <c r="M28792" s="9" t="s">
        <v>20</v>
      </c>
    </row>
    <row r="28793" ht="15.75" customHeight="1">
      <c r="A28793" s="7"/>
      <c r="B28793" s="7"/>
      <c r="M28793" s="9" t="s">
        <v>21</v>
      </c>
    </row>
    <row r="28794" ht="15.75" customHeight="1">
      <c r="A28794" s="7"/>
      <c r="B28794" s="7"/>
      <c r="M28794" s="9" t="s">
        <v>39</v>
      </c>
    </row>
    <row r="28795" ht="15.75" customHeight="1">
      <c r="A28795" s="7"/>
      <c r="B28795" s="7"/>
      <c r="M28795" s="9" t="s">
        <v>41</v>
      </c>
    </row>
    <row r="28796" ht="15.75" customHeight="1">
      <c r="A28796" s="7"/>
      <c r="B28796" s="7"/>
      <c r="M28796" s="9" t="s">
        <v>37</v>
      </c>
    </row>
    <row r="28797" ht="15.75" customHeight="1">
      <c r="A28797" s="7"/>
      <c r="B28797" s="7"/>
      <c r="M28797" s="9" t="s">
        <v>22</v>
      </c>
    </row>
    <row r="28798" ht="15.75" customHeight="1">
      <c r="A28798" s="7"/>
      <c r="B28798" s="7"/>
      <c r="M28798" s="9" t="s">
        <v>27</v>
      </c>
    </row>
    <row r="28799" ht="15.75" customHeight="1">
      <c r="A28799" s="7"/>
      <c r="B28799" s="7"/>
      <c r="M28799" s="9" t="s">
        <v>40</v>
      </c>
    </row>
    <row r="28800" ht="15.75" customHeight="1">
      <c r="A28800" s="7"/>
      <c r="B28800" s="7"/>
      <c r="M28800" s="9" t="s">
        <v>28</v>
      </c>
    </row>
    <row r="28801" ht="15.75" customHeight="1">
      <c r="A28801" s="7"/>
      <c r="B28801" s="7"/>
      <c r="M28801" s="9" t="s">
        <v>30</v>
      </c>
    </row>
    <row r="28802" ht="15.75" customHeight="1">
      <c r="A28802" s="7"/>
      <c r="B28802" s="7"/>
      <c r="M28802" s="9" t="s">
        <v>26</v>
      </c>
    </row>
    <row r="28803" ht="15.75" customHeight="1">
      <c r="A28803" s="7"/>
      <c r="B28803" s="7"/>
      <c r="M28803" s="9" t="s">
        <v>24</v>
      </c>
    </row>
    <row r="28804" ht="15.75" customHeight="1">
      <c r="A28804" s="7"/>
      <c r="B28804" s="7"/>
      <c r="M28804" s="9" t="s">
        <v>20</v>
      </c>
    </row>
    <row r="28805" ht="15.75" customHeight="1">
      <c r="A28805" s="7"/>
      <c r="B28805" s="7"/>
      <c r="M28805" s="9" t="s">
        <v>21</v>
      </c>
    </row>
    <row r="28806" ht="15.75" customHeight="1">
      <c r="A28806" s="7"/>
      <c r="B28806" s="7"/>
      <c r="M28806" s="9" t="s">
        <v>37</v>
      </c>
    </row>
    <row r="28807" ht="15.75" customHeight="1">
      <c r="A28807" s="7"/>
      <c r="B28807" s="7"/>
      <c r="M28807" s="9" t="s">
        <v>22</v>
      </c>
    </row>
    <row r="28808" ht="15.75" customHeight="1">
      <c r="A28808" s="7"/>
      <c r="B28808" s="7"/>
      <c r="M28808" s="9" t="s">
        <v>27</v>
      </c>
    </row>
    <row r="28809" ht="15.75" customHeight="1">
      <c r="A28809" s="7"/>
      <c r="B28809" s="7"/>
      <c r="M28809" s="9" t="s">
        <v>23</v>
      </c>
    </row>
    <row r="28810" ht="15.75" customHeight="1">
      <c r="A28810" s="7"/>
      <c r="B28810" s="7"/>
      <c r="M28810" s="9" t="s">
        <v>26</v>
      </c>
    </row>
    <row r="28811" ht="15.75" customHeight="1">
      <c r="A28811" s="7"/>
      <c r="B28811" s="7"/>
      <c r="M28811" s="9" t="s">
        <v>36</v>
      </c>
    </row>
    <row r="28812" ht="15.75" customHeight="1">
      <c r="A28812" s="7"/>
      <c r="B28812" s="7"/>
      <c r="M28812" s="9" t="s">
        <v>24</v>
      </c>
    </row>
    <row r="28813" ht="15.75" customHeight="1">
      <c r="A28813" s="7"/>
      <c r="B28813" s="7"/>
      <c r="M28813" s="9" t="s">
        <v>20</v>
      </c>
    </row>
    <row r="28814" ht="15.75" customHeight="1">
      <c r="A28814" s="7"/>
      <c r="B28814" s="7"/>
      <c r="M28814" s="9" t="s">
        <v>21</v>
      </c>
    </row>
    <row r="28815" ht="15.75" customHeight="1">
      <c r="A28815" s="7"/>
      <c r="B28815" s="7"/>
      <c r="M28815" s="9" t="s">
        <v>41</v>
      </c>
    </row>
    <row r="28816" ht="15.75" customHeight="1">
      <c r="A28816" s="7"/>
      <c r="B28816" s="7"/>
      <c r="M28816" s="9" t="s">
        <v>37</v>
      </c>
    </row>
    <row r="28817" ht="15.75" customHeight="1">
      <c r="A28817" s="7"/>
      <c r="B28817" s="7"/>
      <c r="M28817" s="9" t="s">
        <v>27</v>
      </c>
    </row>
    <row r="28818" ht="15.75" customHeight="1">
      <c r="A28818" s="7"/>
      <c r="B28818" s="7"/>
      <c r="M28818" s="9" t="s">
        <v>33</v>
      </c>
    </row>
    <row r="28819" ht="15.75" customHeight="1">
      <c r="A28819" s="7"/>
      <c r="B28819" s="7"/>
      <c r="M28819" s="9" t="s">
        <v>20</v>
      </c>
    </row>
    <row r="28820" ht="15.75" customHeight="1">
      <c r="A28820" s="7"/>
      <c r="B28820" s="7"/>
      <c r="M28820" s="9" t="s">
        <v>30</v>
      </c>
    </row>
    <row r="28821" ht="15.75" customHeight="1">
      <c r="A28821" s="7"/>
      <c r="B28821" s="7"/>
      <c r="M28821" s="9" t="s">
        <v>23</v>
      </c>
    </row>
    <row r="28822" ht="15.75" customHeight="1">
      <c r="A28822" s="7"/>
      <c r="B28822" s="7"/>
      <c r="M28822" s="9" t="s">
        <v>36</v>
      </c>
    </row>
    <row r="28823" ht="15.75" customHeight="1">
      <c r="A28823" s="7"/>
      <c r="B28823" s="7"/>
      <c r="M28823" s="9" t="s">
        <v>24</v>
      </c>
    </row>
    <row r="28824" ht="15.75" customHeight="1">
      <c r="A28824" s="7"/>
      <c r="B28824" s="7"/>
      <c r="M28824" s="9" t="s">
        <v>21</v>
      </c>
    </row>
    <row r="28825" ht="15.75" customHeight="1">
      <c r="A28825" s="7"/>
      <c r="B28825" s="7"/>
      <c r="M28825" s="9" t="s">
        <v>22</v>
      </c>
    </row>
    <row r="28826" ht="15.75" customHeight="1">
      <c r="A28826" s="7"/>
      <c r="B28826" s="7"/>
      <c r="M28826" s="9" t="s">
        <v>33</v>
      </c>
    </row>
    <row r="28827" ht="15.75" customHeight="1">
      <c r="A28827" s="7"/>
      <c r="B28827" s="7"/>
      <c r="M28827" s="9" t="s">
        <v>23</v>
      </c>
    </row>
    <row r="28828" ht="15.75" customHeight="1">
      <c r="A28828" s="7"/>
      <c r="B28828" s="7"/>
      <c r="M28828" s="9" t="s">
        <v>24</v>
      </c>
    </row>
    <row r="28829" ht="15.75" customHeight="1">
      <c r="A28829" s="7"/>
      <c r="B28829" s="7"/>
      <c r="M28829" s="9" t="s">
        <v>20</v>
      </c>
    </row>
    <row r="28830" ht="15.75" customHeight="1">
      <c r="A28830" s="7"/>
      <c r="B28830" s="7"/>
      <c r="M28830" s="9" t="s">
        <v>21</v>
      </c>
    </row>
    <row r="28831" ht="15.75" customHeight="1">
      <c r="A28831" s="7"/>
      <c r="B28831" s="7"/>
      <c r="M28831" s="9" t="s">
        <v>37</v>
      </c>
    </row>
    <row r="28832" ht="15.75" customHeight="1">
      <c r="A28832" s="7"/>
      <c r="B28832" s="7"/>
      <c r="M28832" s="9" t="s">
        <v>27</v>
      </c>
    </row>
    <row r="28833" ht="15.75" customHeight="1">
      <c r="A28833" s="7"/>
      <c r="B28833" s="7"/>
      <c r="M28833" s="9" t="s">
        <v>30</v>
      </c>
    </row>
    <row r="28834" ht="15.75" customHeight="1">
      <c r="A28834" s="7"/>
      <c r="B28834" s="7"/>
      <c r="M28834" s="9" t="s">
        <v>22</v>
      </c>
    </row>
    <row r="28835" ht="15.75" customHeight="1">
      <c r="A28835" s="7"/>
      <c r="B28835" s="7"/>
      <c r="M28835" s="9" t="s">
        <v>26</v>
      </c>
    </row>
    <row r="28836" ht="15.75" customHeight="1">
      <c r="A28836" s="7"/>
      <c r="B28836" s="7"/>
      <c r="M28836" s="9" t="s">
        <v>21</v>
      </c>
    </row>
    <row r="28837" ht="15.75" customHeight="1">
      <c r="A28837" s="7"/>
      <c r="B28837" s="7"/>
      <c r="M28837" s="9" t="s">
        <v>27</v>
      </c>
    </row>
    <row r="28838" ht="15.75" customHeight="1">
      <c r="A28838" s="7"/>
      <c r="B28838" s="7"/>
      <c r="M28838" s="9" t="s">
        <v>40</v>
      </c>
    </row>
    <row r="28839" ht="15.75" customHeight="1">
      <c r="A28839" s="7"/>
      <c r="B28839" s="7"/>
      <c r="M28839" s="9" t="s">
        <v>24</v>
      </c>
    </row>
    <row r="28840" ht="15.75" customHeight="1">
      <c r="A28840" s="7"/>
      <c r="B28840" s="7"/>
      <c r="M28840" s="9" t="s">
        <v>20</v>
      </c>
    </row>
    <row r="28841" ht="15.75" customHeight="1">
      <c r="A28841" s="7"/>
      <c r="B28841" s="7"/>
      <c r="M28841" s="9" t="s">
        <v>21</v>
      </c>
    </row>
    <row r="28842" ht="15.75" customHeight="1">
      <c r="A28842" s="7"/>
      <c r="B28842" s="7"/>
      <c r="M28842" s="9" t="s">
        <v>37</v>
      </c>
    </row>
    <row r="28843" ht="15.75" customHeight="1">
      <c r="A28843" s="7"/>
      <c r="B28843" s="7"/>
      <c r="M28843" s="9" t="s">
        <v>22</v>
      </c>
    </row>
    <row r="28844" ht="15.75" customHeight="1">
      <c r="A28844" s="7"/>
      <c r="B28844" s="7"/>
      <c r="M28844" s="9" t="s">
        <v>27</v>
      </c>
    </row>
    <row r="28845" ht="15.75" customHeight="1">
      <c r="A28845" s="7"/>
      <c r="B28845" s="7"/>
      <c r="M28845" s="9" t="s">
        <v>25</v>
      </c>
    </row>
    <row r="28846" ht="15.75" customHeight="1">
      <c r="A28846" s="7"/>
      <c r="B28846" s="7"/>
      <c r="M28846" s="9" t="s">
        <v>23</v>
      </c>
    </row>
    <row r="28847" ht="15.75" customHeight="1">
      <c r="A28847" s="7"/>
      <c r="B28847" s="7"/>
      <c r="M28847" s="9" t="s">
        <v>24</v>
      </c>
    </row>
    <row r="28848" ht="15.75" customHeight="1">
      <c r="A28848" s="7"/>
      <c r="B28848" s="7"/>
      <c r="M28848" s="9" t="s">
        <v>21</v>
      </c>
    </row>
    <row r="28849" ht="15.75" customHeight="1">
      <c r="A28849" s="7"/>
      <c r="B28849" s="7"/>
      <c r="M28849" s="9" t="s">
        <v>33</v>
      </c>
    </row>
    <row r="28850" ht="15.75" customHeight="1">
      <c r="A28850" s="7"/>
      <c r="B28850" s="7"/>
      <c r="M28850" s="9" t="s">
        <v>20</v>
      </c>
    </row>
    <row r="28851" ht="15.75" customHeight="1">
      <c r="A28851" s="7"/>
      <c r="B28851" s="7"/>
      <c r="M28851" s="9" t="s">
        <v>30</v>
      </c>
    </row>
    <row r="28852" ht="15.75" customHeight="1">
      <c r="A28852" s="7"/>
      <c r="B28852" s="7"/>
      <c r="M28852" s="9" t="s">
        <v>24</v>
      </c>
    </row>
    <row r="28853" ht="15.75" customHeight="1">
      <c r="A28853" s="7"/>
      <c r="B28853" s="7"/>
      <c r="M28853" s="9" t="s">
        <v>21</v>
      </c>
    </row>
    <row r="28854" ht="15.75" customHeight="1">
      <c r="A28854" s="7"/>
      <c r="B28854" s="7"/>
      <c r="M28854" s="9" t="s">
        <v>22</v>
      </c>
    </row>
    <row r="28855" ht="15.75" customHeight="1">
      <c r="A28855" s="7"/>
      <c r="B28855" s="7"/>
      <c r="M28855" s="9" t="s">
        <v>31</v>
      </c>
    </row>
    <row r="28856" ht="15.75" customHeight="1">
      <c r="A28856" s="7"/>
      <c r="B28856" s="7"/>
      <c r="M28856" s="9" t="s">
        <v>32</v>
      </c>
    </row>
    <row r="28857" ht="15.75" customHeight="1">
      <c r="A28857" s="7"/>
      <c r="B28857" s="7"/>
      <c r="M28857" s="9" t="s">
        <v>27</v>
      </c>
    </row>
    <row r="28858" ht="15.75" customHeight="1">
      <c r="A28858" s="7"/>
      <c r="B28858" s="7"/>
      <c r="M28858" s="9" t="s">
        <v>26</v>
      </c>
    </row>
    <row r="28859" ht="15.75" customHeight="1">
      <c r="A28859" s="7"/>
      <c r="B28859" s="7"/>
      <c r="M28859" s="9" t="s">
        <v>31</v>
      </c>
    </row>
    <row r="28860" ht="15.75" customHeight="1">
      <c r="A28860" s="7"/>
      <c r="B28860" s="7"/>
      <c r="M28860" s="9" t="s">
        <v>38</v>
      </c>
    </row>
    <row r="28861" ht="15.75" customHeight="1">
      <c r="A28861" s="7"/>
      <c r="B28861" s="7"/>
      <c r="M28861" s="9" t="s">
        <v>47</v>
      </c>
    </row>
    <row r="28862" ht="15.75" customHeight="1">
      <c r="A28862" s="7"/>
      <c r="B28862" s="7"/>
      <c r="M28862" s="9" t="s">
        <v>43</v>
      </c>
    </row>
    <row r="28863" ht="15.75" customHeight="1">
      <c r="A28863" s="7"/>
      <c r="B28863" s="7"/>
      <c r="M28863" s="9" t="s">
        <v>36</v>
      </c>
    </row>
    <row r="28864" ht="15.75" customHeight="1">
      <c r="A28864" s="7"/>
      <c r="B28864" s="7"/>
      <c r="M28864" s="9" t="s">
        <v>24</v>
      </c>
    </row>
    <row r="28865" ht="15.75" customHeight="1">
      <c r="A28865" s="7"/>
      <c r="B28865" s="7"/>
      <c r="M28865" s="9" t="s">
        <v>21</v>
      </c>
    </row>
    <row r="28866" ht="15.75" customHeight="1">
      <c r="A28866" s="7"/>
      <c r="B28866" s="7"/>
      <c r="M28866" s="9" t="s">
        <v>39</v>
      </c>
    </row>
    <row r="28867" ht="15.75" customHeight="1">
      <c r="A28867" s="7"/>
      <c r="B28867" s="7"/>
      <c r="M28867" s="9" t="s">
        <v>27</v>
      </c>
    </row>
    <row r="28868" ht="15.75" customHeight="1">
      <c r="A28868" s="7"/>
      <c r="B28868" s="7"/>
      <c r="M28868" s="9" t="s">
        <v>30</v>
      </c>
    </row>
    <row r="28869" ht="15.75" customHeight="1">
      <c r="A28869" s="7"/>
      <c r="B28869" s="7"/>
      <c r="M28869" s="9" t="s">
        <v>24</v>
      </c>
    </row>
    <row r="28870" ht="15.75" customHeight="1">
      <c r="A28870" s="7"/>
      <c r="B28870" s="7"/>
      <c r="M28870" s="9" t="s">
        <v>21</v>
      </c>
    </row>
    <row r="28871" ht="15.75" customHeight="1">
      <c r="A28871" s="7"/>
      <c r="B28871" s="7"/>
      <c r="M28871" s="9" t="s">
        <v>37</v>
      </c>
    </row>
    <row r="28872" ht="15.75" customHeight="1">
      <c r="A28872" s="7"/>
      <c r="B28872" s="7"/>
      <c r="M28872" s="9" t="s">
        <v>30</v>
      </c>
    </row>
    <row r="28873" ht="15.75" customHeight="1">
      <c r="A28873" s="7"/>
      <c r="B28873" s="7"/>
      <c r="M28873" s="9" t="s">
        <v>20</v>
      </c>
    </row>
    <row r="28874" ht="15.75" customHeight="1">
      <c r="A28874" s="7"/>
      <c r="B28874" s="7"/>
      <c r="M28874" s="9" t="s">
        <v>27</v>
      </c>
    </row>
    <row r="28875" ht="15.75" customHeight="1">
      <c r="A28875" s="7"/>
      <c r="B28875" s="7"/>
      <c r="M28875" s="9" t="s">
        <v>35</v>
      </c>
    </row>
    <row r="28876" ht="15.75" customHeight="1">
      <c r="A28876" s="7"/>
      <c r="B28876" s="7"/>
      <c r="M28876" s="9" t="s">
        <v>20</v>
      </c>
    </row>
    <row r="28877" ht="15.75" customHeight="1">
      <c r="A28877" s="7"/>
      <c r="B28877" s="7"/>
      <c r="M28877" s="9" t="s">
        <v>37</v>
      </c>
    </row>
    <row r="28878" ht="15.75" customHeight="1">
      <c r="A28878" s="7"/>
      <c r="B28878" s="7"/>
      <c r="M28878" s="9" t="s">
        <v>27</v>
      </c>
    </row>
    <row r="28879" ht="15.75" customHeight="1">
      <c r="A28879" s="7"/>
      <c r="B28879" s="7"/>
      <c r="M28879" s="9" t="s">
        <v>23</v>
      </c>
    </row>
    <row r="28880" ht="15.75" customHeight="1">
      <c r="A28880" s="7"/>
      <c r="B28880" s="7"/>
      <c r="M28880" s="9" t="s">
        <v>24</v>
      </c>
    </row>
    <row r="28881" ht="15.75" customHeight="1">
      <c r="A28881" s="7"/>
      <c r="B28881" s="7"/>
      <c r="M28881" s="9" t="s">
        <v>22</v>
      </c>
    </row>
    <row r="28882" ht="15.75" customHeight="1">
      <c r="A28882" s="7"/>
      <c r="B28882" s="7"/>
      <c r="M28882" s="9" t="s">
        <v>27</v>
      </c>
    </row>
    <row r="28883" ht="15.75" customHeight="1">
      <c r="A28883" s="7"/>
      <c r="B28883" s="7"/>
      <c r="M28883" s="9" t="s">
        <v>26</v>
      </c>
    </row>
    <row r="28884" ht="15.75" customHeight="1">
      <c r="A28884" s="7"/>
      <c r="B28884" s="7"/>
      <c r="M28884" s="9" t="s">
        <v>24</v>
      </c>
    </row>
    <row r="28885" ht="15.75" customHeight="1">
      <c r="A28885" s="7"/>
      <c r="B28885" s="7"/>
      <c r="M28885" s="9" t="s">
        <v>20</v>
      </c>
    </row>
    <row r="28886" ht="15.75" customHeight="1">
      <c r="A28886" s="7"/>
      <c r="B28886" s="7"/>
      <c r="M28886" s="9" t="s">
        <v>21</v>
      </c>
    </row>
    <row r="28887" ht="15.75" customHeight="1">
      <c r="A28887" s="7"/>
      <c r="B28887" s="7"/>
      <c r="M28887" s="9" t="s">
        <v>27</v>
      </c>
    </row>
    <row r="28888" ht="15.75" customHeight="1">
      <c r="A28888" s="7"/>
      <c r="B28888" s="7"/>
      <c r="M28888" s="9" t="s">
        <v>26</v>
      </c>
    </row>
    <row r="28889" ht="15.75" customHeight="1">
      <c r="A28889" s="7"/>
      <c r="B28889" s="7"/>
      <c r="M28889" s="9" t="s">
        <v>22</v>
      </c>
    </row>
    <row r="28890" ht="15.75" customHeight="1">
      <c r="A28890" s="7"/>
      <c r="B28890" s="7"/>
      <c r="M28890" s="9" t="s">
        <v>30</v>
      </c>
    </row>
    <row r="28891" ht="15.75" customHeight="1">
      <c r="A28891" s="7"/>
      <c r="B28891" s="7"/>
      <c r="M28891" s="9" t="s">
        <v>25</v>
      </c>
    </row>
    <row r="28892" ht="15.75" customHeight="1">
      <c r="A28892" s="7"/>
      <c r="B28892" s="7"/>
      <c r="M28892" s="9" t="s">
        <v>22</v>
      </c>
    </row>
    <row r="28893" ht="15.75" customHeight="1">
      <c r="A28893" s="7"/>
      <c r="B28893" s="7"/>
      <c r="M28893" s="9" t="s">
        <v>26</v>
      </c>
    </row>
    <row r="28894" ht="15.75" customHeight="1">
      <c r="A28894" s="7"/>
      <c r="B28894" s="7"/>
      <c r="M28894" s="9" t="s">
        <v>42</v>
      </c>
    </row>
    <row r="28895" ht="15.75" customHeight="1">
      <c r="A28895" s="7"/>
      <c r="B28895" s="7"/>
      <c r="M28895" s="9" t="s">
        <v>36</v>
      </c>
    </row>
    <row r="28896" ht="15.75" customHeight="1">
      <c r="A28896" s="7"/>
      <c r="B28896" s="7"/>
      <c r="M28896" s="9" t="s">
        <v>24</v>
      </c>
    </row>
    <row r="28897" ht="15.75" customHeight="1">
      <c r="A28897" s="7"/>
      <c r="B28897" s="7"/>
      <c r="M28897" s="9" t="s">
        <v>21</v>
      </c>
    </row>
    <row r="28898" ht="15.75" customHeight="1">
      <c r="A28898" s="7"/>
      <c r="B28898" s="7"/>
      <c r="M28898" s="9" t="s">
        <v>33</v>
      </c>
    </row>
    <row r="28899" ht="15.75" customHeight="1">
      <c r="A28899" s="7"/>
      <c r="B28899" s="7"/>
      <c r="M28899" s="9" t="s">
        <v>30</v>
      </c>
    </row>
    <row r="28900" ht="15.75" customHeight="1">
      <c r="A28900" s="7"/>
      <c r="B28900" s="7"/>
      <c r="M28900" s="9" t="s">
        <v>24</v>
      </c>
    </row>
    <row r="28901" ht="15.75" customHeight="1">
      <c r="A28901" s="7"/>
      <c r="B28901" s="7"/>
      <c r="M28901" s="9" t="s">
        <v>21</v>
      </c>
    </row>
    <row r="28902" ht="15.75" customHeight="1">
      <c r="A28902" s="7"/>
      <c r="B28902" s="7"/>
      <c r="M28902" s="9" t="s">
        <v>37</v>
      </c>
    </row>
    <row r="28903" ht="15.75" customHeight="1">
      <c r="A28903" s="7"/>
      <c r="B28903" s="7"/>
      <c r="M28903" s="9" t="s">
        <v>27</v>
      </c>
    </row>
    <row r="28904" ht="15.75" customHeight="1">
      <c r="A28904" s="7"/>
      <c r="B28904" s="7"/>
      <c r="M28904" s="9" t="s">
        <v>25</v>
      </c>
    </row>
    <row r="28905" ht="15.75" customHeight="1">
      <c r="A28905" s="7"/>
      <c r="B28905" s="7"/>
      <c r="M28905" s="9" t="s">
        <v>23</v>
      </c>
    </row>
    <row r="28906" ht="15.75" customHeight="1">
      <c r="A28906" s="7"/>
      <c r="B28906" s="7"/>
      <c r="M28906" s="9" t="s">
        <v>22</v>
      </c>
    </row>
    <row r="28907" ht="15.75" customHeight="1">
      <c r="A28907" s="7"/>
      <c r="B28907" s="7"/>
      <c r="M28907" s="9" t="s">
        <v>30</v>
      </c>
    </row>
    <row r="28908" ht="15.75" customHeight="1">
      <c r="A28908" s="7"/>
      <c r="B28908" s="7"/>
      <c r="M28908" s="9" t="s">
        <v>27</v>
      </c>
    </row>
    <row r="28909" ht="15.75" customHeight="1">
      <c r="A28909" s="7"/>
      <c r="B28909" s="7"/>
      <c r="M28909" s="9" t="s">
        <v>30</v>
      </c>
    </row>
    <row r="28910" ht="15.75" customHeight="1">
      <c r="A28910" s="7"/>
      <c r="B28910" s="7"/>
      <c r="M28910" s="9" t="s">
        <v>36</v>
      </c>
    </row>
    <row r="28911" ht="15.75" customHeight="1">
      <c r="A28911" s="7"/>
      <c r="B28911" s="7"/>
      <c r="M28911" s="9" t="s">
        <v>24</v>
      </c>
    </row>
    <row r="28912" ht="15.75" customHeight="1">
      <c r="A28912" s="7"/>
      <c r="B28912" s="7"/>
      <c r="M28912" s="9" t="s">
        <v>27</v>
      </c>
    </row>
    <row r="28913" ht="15.75" customHeight="1">
      <c r="A28913" s="7"/>
      <c r="B28913" s="7"/>
      <c r="M28913" s="9" t="s">
        <v>20</v>
      </c>
    </row>
    <row r="28914" ht="15.75" customHeight="1">
      <c r="A28914" s="7"/>
      <c r="B28914" s="7"/>
      <c r="M28914" s="9" t="s">
        <v>46</v>
      </c>
    </row>
    <row r="28915" ht="15.75" customHeight="1">
      <c r="A28915" s="7"/>
      <c r="B28915" s="7"/>
      <c r="M28915" s="9" t="s">
        <v>33</v>
      </c>
    </row>
    <row r="28916" ht="15.75" customHeight="1">
      <c r="A28916" s="7"/>
      <c r="B28916" s="7"/>
      <c r="M28916" s="9" t="s">
        <v>24</v>
      </c>
    </row>
    <row r="28917" ht="15.75" customHeight="1">
      <c r="A28917" s="7"/>
      <c r="B28917" s="7"/>
      <c r="M28917" s="9" t="s">
        <v>21</v>
      </c>
    </row>
    <row r="28918" ht="15.75" customHeight="1">
      <c r="A28918" s="7"/>
      <c r="B28918" s="7"/>
      <c r="M28918" s="9" t="s">
        <v>22</v>
      </c>
    </row>
    <row r="28919" ht="15.75" customHeight="1">
      <c r="A28919" s="7"/>
      <c r="B28919" s="7"/>
      <c r="M28919" s="9" t="s">
        <v>33</v>
      </c>
    </row>
    <row r="28920" ht="15.75" customHeight="1">
      <c r="A28920" s="7"/>
      <c r="B28920" s="7"/>
      <c r="M28920" s="9" t="s">
        <v>30</v>
      </c>
    </row>
    <row r="28921" ht="15.75" customHeight="1">
      <c r="A28921" s="7"/>
      <c r="B28921" s="7"/>
      <c r="M28921" s="9" t="s">
        <v>24</v>
      </c>
    </row>
    <row r="28922" ht="15.75" customHeight="1">
      <c r="A28922" s="7"/>
      <c r="B28922" s="7"/>
      <c r="M28922" s="9" t="s">
        <v>20</v>
      </c>
    </row>
    <row r="28923" ht="15.75" customHeight="1">
      <c r="A28923" s="7"/>
      <c r="B28923" s="7"/>
      <c r="M28923" s="9" t="s">
        <v>21</v>
      </c>
    </row>
    <row r="28924" ht="15.75" customHeight="1">
      <c r="A28924" s="7"/>
      <c r="B28924" s="7"/>
      <c r="M28924" s="9" t="s">
        <v>22</v>
      </c>
    </row>
    <row r="28925" ht="15.75" customHeight="1">
      <c r="A28925" s="7"/>
      <c r="B28925" s="7"/>
      <c r="M28925" s="9" t="s">
        <v>38</v>
      </c>
    </row>
    <row r="28926" ht="15.75" customHeight="1">
      <c r="A28926" s="7"/>
      <c r="B28926" s="7"/>
      <c r="M28926" s="9" t="s">
        <v>24</v>
      </c>
    </row>
    <row r="28927" ht="15.75" customHeight="1">
      <c r="A28927" s="7"/>
      <c r="B28927" s="7"/>
      <c r="M28927" s="9" t="s">
        <v>20</v>
      </c>
    </row>
    <row r="28928" ht="15.75" customHeight="1">
      <c r="A28928" s="7"/>
      <c r="B28928" s="7"/>
      <c r="M28928" s="9" t="s">
        <v>21</v>
      </c>
    </row>
    <row r="28929" ht="15.75" customHeight="1">
      <c r="A28929" s="7"/>
      <c r="B28929" s="7"/>
      <c r="M28929" s="9" t="s">
        <v>37</v>
      </c>
    </row>
    <row r="28930" ht="15.75" customHeight="1">
      <c r="A28930" s="7"/>
      <c r="B28930" s="7"/>
      <c r="M28930" s="9" t="s">
        <v>27</v>
      </c>
    </row>
    <row r="28931" ht="15.75" customHeight="1">
      <c r="A28931" s="7"/>
      <c r="B28931" s="7"/>
      <c r="M28931" s="9" t="s">
        <v>33</v>
      </c>
    </row>
    <row r="28932" ht="15.75" customHeight="1">
      <c r="A28932" s="7"/>
      <c r="B28932" s="7"/>
      <c r="M28932" s="9" t="s">
        <v>30</v>
      </c>
    </row>
    <row r="28933" ht="15.75" customHeight="1">
      <c r="A28933" s="7"/>
      <c r="B28933" s="7"/>
      <c r="M28933" s="9" t="s">
        <v>25</v>
      </c>
    </row>
    <row r="28934" ht="15.75" customHeight="1">
      <c r="A28934" s="7"/>
      <c r="B28934" s="7"/>
      <c r="M28934" s="9" t="s">
        <v>23</v>
      </c>
    </row>
    <row r="28935" ht="15.75" customHeight="1">
      <c r="A28935" s="7"/>
      <c r="B28935" s="7"/>
      <c r="M28935" s="9" t="s">
        <v>36</v>
      </c>
    </row>
    <row r="28936" ht="15.75" customHeight="1">
      <c r="A28936" s="7"/>
      <c r="B28936" s="7"/>
      <c r="M28936" s="9" t="s">
        <v>24</v>
      </c>
    </row>
    <row r="28937" ht="15.75" customHeight="1">
      <c r="A28937" s="7"/>
      <c r="B28937" s="7"/>
      <c r="M28937" s="9" t="s">
        <v>22</v>
      </c>
    </row>
    <row r="28938" ht="15.75" customHeight="1">
      <c r="A28938" s="7"/>
      <c r="B28938" s="7"/>
      <c r="M28938" s="9" t="s">
        <v>35</v>
      </c>
    </row>
    <row r="28939" ht="15.75" customHeight="1">
      <c r="A28939" s="7"/>
      <c r="B28939" s="7"/>
      <c r="M28939" s="9" t="s">
        <v>24</v>
      </c>
    </row>
    <row r="28940" ht="15.75" customHeight="1">
      <c r="A28940" s="7"/>
      <c r="B28940" s="7"/>
      <c r="M28940" s="9" t="s">
        <v>21</v>
      </c>
    </row>
    <row r="28941" ht="15.75" customHeight="1">
      <c r="A28941" s="7"/>
      <c r="B28941" s="7"/>
      <c r="M28941" s="9" t="s">
        <v>27</v>
      </c>
    </row>
    <row r="28942" ht="15.75" customHeight="1">
      <c r="A28942" s="7"/>
      <c r="B28942" s="7"/>
      <c r="M28942" s="9" t="s">
        <v>25</v>
      </c>
    </row>
    <row r="28943" ht="15.75" customHeight="1">
      <c r="A28943" s="7"/>
      <c r="B28943" s="7"/>
      <c r="M28943" s="9" t="s">
        <v>26</v>
      </c>
    </row>
    <row r="28944" ht="15.75" customHeight="1">
      <c r="A28944" s="7"/>
      <c r="B28944" s="7"/>
      <c r="M28944" s="9" t="s">
        <v>24</v>
      </c>
    </row>
    <row r="28945" ht="15.75" customHeight="1">
      <c r="A28945" s="7"/>
      <c r="B28945" s="7"/>
      <c r="M28945" s="9" t="s">
        <v>20</v>
      </c>
    </row>
    <row r="28946" ht="15.75" customHeight="1">
      <c r="A28946" s="7"/>
      <c r="B28946" s="7"/>
      <c r="M28946" s="9" t="s">
        <v>21</v>
      </c>
    </row>
    <row r="28947" ht="15.75" customHeight="1">
      <c r="A28947" s="7"/>
      <c r="B28947" s="7"/>
      <c r="M28947" s="9" t="s">
        <v>22</v>
      </c>
    </row>
    <row r="28948" ht="15.75" customHeight="1">
      <c r="A28948" s="7"/>
      <c r="B28948" s="7"/>
      <c r="M28948" s="9" t="s">
        <v>30</v>
      </c>
    </row>
    <row r="28949" ht="15.75" customHeight="1">
      <c r="A28949" s="7"/>
      <c r="B28949" s="7"/>
      <c r="M28949" s="9" t="s">
        <v>26</v>
      </c>
    </row>
    <row r="28950" ht="15.75" customHeight="1">
      <c r="A28950" s="7"/>
      <c r="B28950" s="7"/>
      <c r="M28950" s="9" t="s">
        <v>24</v>
      </c>
    </row>
    <row r="28951" ht="15.75" customHeight="1">
      <c r="A28951" s="7"/>
      <c r="B28951" s="7"/>
      <c r="M28951" s="9" t="s">
        <v>27</v>
      </c>
    </row>
    <row r="28952" ht="15.75" customHeight="1">
      <c r="A28952" s="7"/>
      <c r="B28952" s="7"/>
      <c r="M28952" s="9" t="s">
        <v>33</v>
      </c>
    </row>
    <row r="28953" ht="15.75" customHeight="1">
      <c r="A28953" s="7"/>
      <c r="B28953" s="7"/>
      <c r="M28953" s="9" t="s">
        <v>24</v>
      </c>
    </row>
    <row r="28954" ht="15.75" customHeight="1">
      <c r="A28954" s="7"/>
      <c r="B28954" s="7"/>
      <c r="M28954" s="9" t="s">
        <v>21</v>
      </c>
    </row>
    <row r="28955" ht="15.75" customHeight="1">
      <c r="A28955" s="7"/>
      <c r="B28955" s="7"/>
      <c r="M28955" s="9" t="s">
        <v>22</v>
      </c>
    </row>
    <row r="28956" ht="15.75" customHeight="1">
      <c r="A28956" s="7"/>
      <c r="B28956" s="7"/>
      <c r="M28956" s="9" t="s">
        <v>27</v>
      </c>
    </row>
    <row r="28957" ht="15.75" customHeight="1">
      <c r="A28957" s="7"/>
      <c r="B28957" s="7"/>
      <c r="M28957" s="9" t="s">
        <v>26</v>
      </c>
    </row>
    <row r="28958" ht="15.75" customHeight="1">
      <c r="A28958" s="7"/>
      <c r="B28958" s="7"/>
      <c r="M28958" s="9" t="s">
        <v>21</v>
      </c>
    </row>
    <row r="28959" ht="15.75" customHeight="1">
      <c r="A28959" s="7"/>
      <c r="B28959" s="7"/>
      <c r="M28959" s="9" t="s">
        <v>27</v>
      </c>
    </row>
    <row r="28960" ht="15.75" customHeight="1">
      <c r="A28960" s="7"/>
      <c r="B28960" s="7"/>
      <c r="M28960" s="9" t="s">
        <v>24</v>
      </c>
    </row>
    <row r="28961" ht="15.75" customHeight="1">
      <c r="A28961" s="7"/>
      <c r="B28961" s="7"/>
      <c r="M28961" s="9" t="s">
        <v>21</v>
      </c>
    </row>
    <row r="28962" ht="15.75" customHeight="1">
      <c r="A28962" s="7"/>
      <c r="B28962" s="7"/>
      <c r="M28962" s="9" t="s">
        <v>37</v>
      </c>
    </row>
    <row r="28963" ht="15.75" customHeight="1">
      <c r="A28963" s="7"/>
      <c r="B28963" s="7"/>
      <c r="M28963" s="9" t="s">
        <v>27</v>
      </c>
    </row>
    <row r="28964" ht="15.75" customHeight="1">
      <c r="A28964" s="7"/>
      <c r="B28964" s="7"/>
      <c r="M28964" s="9" t="s">
        <v>26</v>
      </c>
    </row>
    <row r="28965" ht="15.75" customHeight="1">
      <c r="A28965" s="7"/>
      <c r="B28965" s="7"/>
      <c r="M28965" s="9" t="s">
        <v>22</v>
      </c>
    </row>
    <row r="28966" ht="15.75" customHeight="1">
      <c r="A28966" s="7"/>
      <c r="B28966" s="7"/>
      <c r="M28966" s="9" t="s">
        <v>29</v>
      </c>
    </row>
    <row r="28967" ht="15.75" customHeight="1">
      <c r="A28967" s="7"/>
      <c r="B28967" s="7"/>
      <c r="M28967" s="9" t="s">
        <v>27</v>
      </c>
    </row>
    <row r="28968" ht="15.75" customHeight="1">
      <c r="A28968" s="7"/>
      <c r="B28968" s="7"/>
      <c r="M28968" s="9" t="s">
        <v>30</v>
      </c>
    </row>
    <row r="28969" ht="15.75" customHeight="1">
      <c r="A28969" s="7"/>
      <c r="B28969" s="7"/>
      <c r="M28969" s="9" t="s">
        <v>24</v>
      </c>
    </row>
    <row r="28970" ht="15.75" customHeight="1">
      <c r="A28970" s="7"/>
      <c r="B28970" s="7"/>
      <c r="M28970" s="9" t="s">
        <v>20</v>
      </c>
    </row>
    <row r="28971" ht="15.75" customHeight="1">
      <c r="A28971" s="7"/>
      <c r="B28971" s="7"/>
      <c r="M28971" s="9" t="s">
        <v>37</v>
      </c>
    </row>
    <row r="28972" ht="15.75" customHeight="1">
      <c r="A28972" s="7"/>
      <c r="B28972" s="7"/>
      <c r="M28972" s="9" t="s">
        <v>24</v>
      </c>
    </row>
    <row r="28973" ht="15.75" customHeight="1">
      <c r="A28973" s="7"/>
      <c r="B28973" s="7"/>
      <c r="M28973" s="9" t="s">
        <v>21</v>
      </c>
    </row>
    <row r="28974" ht="15.75" customHeight="1">
      <c r="A28974" s="7"/>
      <c r="B28974" s="7"/>
      <c r="M28974" s="9" t="s">
        <v>37</v>
      </c>
    </row>
    <row r="28975" ht="15.75" customHeight="1">
      <c r="A28975" s="7"/>
      <c r="B28975" s="7"/>
      <c r="M28975" s="9" t="s">
        <v>27</v>
      </c>
    </row>
    <row r="28976" ht="15.75" customHeight="1">
      <c r="A28976" s="7"/>
      <c r="B28976" s="7"/>
      <c r="M28976" s="9" t="s">
        <v>35</v>
      </c>
    </row>
    <row r="28977" ht="15.75" customHeight="1">
      <c r="A28977" s="7"/>
      <c r="B28977" s="7"/>
      <c r="M28977" s="9" t="s">
        <v>38</v>
      </c>
    </row>
    <row r="28978" ht="15.75" customHeight="1">
      <c r="A28978" s="7"/>
      <c r="B28978" s="7"/>
      <c r="M28978" s="9" t="s">
        <v>30</v>
      </c>
    </row>
    <row r="28979" ht="15.75" customHeight="1">
      <c r="A28979" s="7"/>
      <c r="B28979" s="7"/>
      <c r="M28979" s="9" t="s">
        <v>25</v>
      </c>
    </row>
    <row r="28980" ht="15.75" customHeight="1">
      <c r="A28980" s="7"/>
      <c r="B28980" s="7"/>
      <c r="M28980" s="9" t="s">
        <v>23</v>
      </c>
    </row>
    <row r="28981" ht="15.75" customHeight="1">
      <c r="A28981" s="7"/>
      <c r="B28981" s="7"/>
      <c r="M28981" s="9" t="s">
        <v>24</v>
      </c>
    </row>
    <row r="28982" ht="15.75" customHeight="1">
      <c r="A28982" s="7"/>
      <c r="B28982" s="7"/>
      <c r="M28982" s="9" t="s">
        <v>20</v>
      </c>
    </row>
    <row r="28983" ht="15.75" customHeight="1">
      <c r="A28983" s="7"/>
      <c r="B28983" s="7"/>
      <c r="M28983" s="9" t="s">
        <v>21</v>
      </c>
    </row>
    <row r="28984" ht="15.75" customHeight="1">
      <c r="A28984" s="7"/>
      <c r="B28984" s="7"/>
      <c r="M28984" s="9" t="s">
        <v>37</v>
      </c>
    </row>
    <row r="28985" ht="15.75" customHeight="1">
      <c r="A28985" s="7"/>
      <c r="B28985" s="7"/>
      <c r="M28985" s="9" t="s">
        <v>22</v>
      </c>
    </row>
    <row r="28986" ht="15.75" customHeight="1">
      <c r="A28986" s="7"/>
      <c r="B28986" s="7"/>
      <c r="M28986" s="9" t="s">
        <v>27</v>
      </c>
    </row>
    <row r="28987" ht="15.75" customHeight="1">
      <c r="A28987" s="7"/>
      <c r="B28987" s="7"/>
      <c r="M28987" s="9" t="s">
        <v>20</v>
      </c>
    </row>
    <row r="28988" ht="15.75" customHeight="1">
      <c r="A28988" s="7"/>
      <c r="B28988" s="7"/>
      <c r="M28988" s="9" t="s">
        <v>22</v>
      </c>
    </row>
    <row r="28989" ht="15.75" customHeight="1">
      <c r="A28989" s="7"/>
      <c r="B28989" s="7"/>
      <c r="M28989" s="9" t="s">
        <v>24</v>
      </c>
    </row>
    <row r="28990" ht="15.75" customHeight="1">
      <c r="A28990" s="7"/>
      <c r="B28990" s="7"/>
      <c r="M28990" s="9" t="s">
        <v>20</v>
      </c>
    </row>
    <row r="28991" ht="15.75" customHeight="1">
      <c r="A28991" s="7"/>
      <c r="B28991" s="7"/>
      <c r="M28991" s="9" t="s">
        <v>21</v>
      </c>
    </row>
    <row r="28992" ht="15.75" customHeight="1">
      <c r="A28992" s="7"/>
      <c r="B28992" s="7"/>
      <c r="M28992" s="9" t="s">
        <v>30</v>
      </c>
    </row>
    <row r="28993" ht="15.75" customHeight="1">
      <c r="A28993" s="7"/>
      <c r="B28993" s="7"/>
      <c r="M28993" s="9" t="s">
        <v>23</v>
      </c>
    </row>
    <row r="28994" ht="15.75" customHeight="1">
      <c r="A28994" s="7"/>
      <c r="B28994" s="7"/>
      <c r="M28994" s="9" t="s">
        <v>22</v>
      </c>
    </row>
    <row r="28995" ht="15.75" customHeight="1">
      <c r="A28995" s="7"/>
      <c r="B28995" s="7"/>
      <c r="M28995" s="9" t="s">
        <v>29</v>
      </c>
    </row>
    <row r="28996" ht="15.75" customHeight="1">
      <c r="A28996" s="7"/>
      <c r="B28996" s="7"/>
      <c r="M28996" s="9" t="s">
        <v>30</v>
      </c>
    </row>
    <row r="28997" ht="15.75" customHeight="1">
      <c r="A28997" s="7"/>
      <c r="B28997" s="7"/>
      <c r="M28997" s="9" t="s">
        <v>36</v>
      </c>
    </row>
    <row r="28998" ht="15.75" customHeight="1">
      <c r="A28998" s="7"/>
      <c r="B28998" s="7"/>
      <c r="M28998" s="9" t="s">
        <v>24</v>
      </c>
    </row>
    <row r="28999" ht="15.75" customHeight="1">
      <c r="A28999" s="7"/>
      <c r="B28999" s="7"/>
      <c r="M28999" s="9" t="s">
        <v>20</v>
      </c>
    </row>
    <row r="29000" ht="15.75" customHeight="1">
      <c r="A29000" s="7"/>
      <c r="B29000" s="7"/>
      <c r="M29000" s="9" t="s">
        <v>21</v>
      </c>
    </row>
    <row r="29001" ht="15.75" customHeight="1">
      <c r="A29001" s="7"/>
      <c r="B29001" s="7"/>
      <c r="M29001" s="9" t="s">
        <v>22</v>
      </c>
    </row>
    <row r="29002" ht="15.75" customHeight="1">
      <c r="A29002" s="7"/>
      <c r="B29002" s="7"/>
      <c r="M29002" s="9" t="s">
        <v>27</v>
      </c>
    </row>
    <row r="29003" ht="15.75" customHeight="1">
      <c r="A29003" s="7"/>
      <c r="B29003" s="7"/>
      <c r="M29003" s="9" t="s">
        <v>24</v>
      </c>
    </row>
    <row r="29004" ht="15.75" customHeight="1">
      <c r="A29004" s="7"/>
      <c r="B29004" s="7"/>
      <c r="M29004" s="9" t="s">
        <v>21</v>
      </c>
    </row>
    <row r="29005" ht="15.75" customHeight="1">
      <c r="A29005" s="7"/>
      <c r="B29005" s="7"/>
      <c r="M29005" s="9" t="s">
        <v>24</v>
      </c>
    </row>
    <row r="29006" ht="15.75" customHeight="1">
      <c r="A29006" s="7"/>
      <c r="B29006" s="7"/>
      <c r="M29006" s="9" t="s">
        <v>21</v>
      </c>
    </row>
    <row r="29007" ht="15.75" customHeight="1">
      <c r="A29007" s="7"/>
      <c r="B29007" s="7"/>
      <c r="M29007" s="9" t="s">
        <v>22</v>
      </c>
    </row>
    <row r="29008" ht="15.75" customHeight="1">
      <c r="A29008" s="7"/>
      <c r="B29008" s="7"/>
      <c r="M29008" s="9" t="s">
        <v>27</v>
      </c>
    </row>
    <row r="29009" ht="15.75" customHeight="1">
      <c r="A29009" s="7"/>
      <c r="B29009" s="7"/>
      <c r="M29009" s="9" t="s">
        <v>33</v>
      </c>
    </row>
    <row r="29010" ht="15.75" customHeight="1">
      <c r="A29010" s="7"/>
      <c r="B29010" s="7"/>
      <c r="M29010" s="9" t="s">
        <v>30</v>
      </c>
    </row>
    <row r="29011" ht="15.75" customHeight="1">
      <c r="A29011" s="7"/>
      <c r="B29011" s="7"/>
      <c r="M29011" s="9" t="s">
        <v>23</v>
      </c>
    </row>
    <row r="29012" ht="15.75" customHeight="1">
      <c r="A29012" s="7"/>
      <c r="B29012" s="7"/>
      <c r="M29012" s="9" t="s">
        <v>26</v>
      </c>
    </row>
    <row r="29013" ht="15.75" customHeight="1">
      <c r="A29013" s="7"/>
      <c r="B29013" s="7"/>
      <c r="M29013" s="9" t="s">
        <v>22</v>
      </c>
    </row>
    <row r="29014" ht="15.75" customHeight="1">
      <c r="A29014" s="7"/>
      <c r="B29014" s="7"/>
      <c r="M29014" s="9" t="s">
        <v>27</v>
      </c>
    </row>
    <row r="29015" ht="15.75" customHeight="1">
      <c r="A29015" s="7"/>
      <c r="B29015" s="7"/>
      <c r="M29015" s="9" t="s">
        <v>20</v>
      </c>
    </row>
    <row r="29016" ht="15.75" customHeight="1">
      <c r="A29016" s="7"/>
      <c r="B29016" s="7"/>
      <c r="M29016" s="9" t="s">
        <v>40</v>
      </c>
    </row>
    <row r="29017" ht="15.75" customHeight="1">
      <c r="A29017" s="7"/>
      <c r="B29017" s="7"/>
      <c r="M29017" s="9" t="s">
        <v>24</v>
      </c>
    </row>
    <row r="29018" ht="15.75" customHeight="1">
      <c r="A29018" s="7"/>
      <c r="B29018" s="7"/>
      <c r="M29018" s="9" t="s">
        <v>21</v>
      </c>
    </row>
    <row r="29019" ht="15.75" customHeight="1">
      <c r="A29019" s="7"/>
      <c r="B29019" s="7"/>
      <c r="M29019" s="9" t="s">
        <v>24</v>
      </c>
    </row>
    <row r="29020" ht="15.75" customHeight="1">
      <c r="A29020" s="7"/>
      <c r="B29020" s="7"/>
      <c r="M29020" s="9" t="s">
        <v>21</v>
      </c>
    </row>
    <row r="29021" ht="15.75" customHeight="1">
      <c r="A29021" s="7"/>
      <c r="B29021" s="7"/>
      <c r="M29021" s="9" t="s">
        <v>37</v>
      </c>
    </row>
    <row r="29022" ht="15.75" customHeight="1">
      <c r="A29022" s="7"/>
      <c r="B29022" s="7"/>
      <c r="M29022" s="9" t="s">
        <v>27</v>
      </c>
    </row>
    <row r="29023" ht="15.75" customHeight="1">
      <c r="A29023" s="7"/>
      <c r="B29023" s="7"/>
      <c r="M29023" s="9" t="s">
        <v>26</v>
      </c>
    </row>
    <row r="29024" ht="15.75" customHeight="1">
      <c r="A29024" s="7"/>
      <c r="B29024" s="7"/>
      <c r="M29024" s="9" t="s">
        <v>24</v>
      </c>
    </row>
    <row r="29025" ht="15.75" customHeight="1">
      <c r="A29025" s="7"/>
      <c r="B29025" s="7"/>
      <c r="M29025" s="9" t="s">
        <v>21</v>
      </c>
    </row>
    <row r="29026" ht="15.75" customHeight="1">
      <c r="A29026" s="7"/>
      <c r="B29026" s="7"/>
      <c r="M29026" s="9" t="s">
        <v>37</v>
      </c>
    </row>
    <row r="29027" ht="15.75" customHeight="1">
      <c r="A29027" s="7"/>
      <c r="B29027" s="7"/>
      <c r="M29027" s="9" t="s">
        <v>22</v>
      </c>
    </row>
    <row r="29028" ht="15.75" customHeight="1">
      <c r="A29028" s="7"/>
      <c r="B29028" s="7"/>
      <c r="M29028" s="9" t="s">
        <v>27</v>
      </c>
    </row>
    <row r="29029" ht="15.75" customHeight="1">
      <c r="A29029" s="7"/>
      <c r="B29029" s="7"/>
      <c r="M29029" s="9" t="s">
        <v>24</v>
      </c>
    </row>
    <row r="29030" ht="15.75" customHeight="1">
      <c r="A29030" s="7"/>
      <c r="B29030" s="7"/>
      <c r="M29030" s="9" t="s">
        <v>21</v>
      </c>
    </row>
    <row r="29031" ht="15.75" customHeight="1">
      <c r="A29031" s="7"/>
      <c r="B29031" s="7"/>
      <c r="M29031" s="9" t="s">
        <v>22</v>
      </c>
    </row>
    <row r="29032" ht="15.75" customHeight="1">
      <c r="A29032" s="7"/>
      <c r="B29032" s="7"/>
      <c r="M29032" s="9" t="s">
        <v>33</v>
      </c>
    </row>
    <row r="29033" ht="15.75" customHeight="1">
      <c r="A29033" s="7"/>
      <c r="B29033" s="7"/>
      <c r="M29033" s="9" t="s">
        <v>30</v>
      </c>
    </row>
    <row r="29034" ht="15.75" customHeight="1">
      <c r="A29034" s="7"/>
      <c r="B29034" s="7"/>
      <c r="M29034" s="9" t="s">
        <v>25</v>
      </c>
    </row>
    <row r="29035" ht="15.75" customHeight="1">
      <c r="A29035" s="7"/>
      <c r="B29035" s="7"/>
      <c r="M29035" s="9" t="s">
        <v>23</v>
      </c>
    </row>
    <row r="29036" ht="15.75" customHeight="1">
      <c r="A29036" s="7"/>
      <c r="B29036" s="7"/>
      <c r="M29036" s="9" t="s">
        <v>47</v>
      </c>
    </row>
    <row r="29037" ht="15.75" customHeight="1">
      <c r="A29037" s="7"/>
      <c r="B29037" s="7"/>
      <c r="M29037" s="9" t="s">
        <v>36</v>
      </c>
    </row>
    <row r="29038" ht="15.75" customHeight="1">
      <c r="A29038" s="7"/>
      <c r="B29038" s="7"/>
      <c r="M29038" s="9" t="s">
        <v>24</v>
      </c>
    </row>
    <row r="29039" ht="15.75" customHeight="1">
      <c r="A29039" s="7"/>
      <c r="B29039" s="7"/>
      <c r="M29039" s="9" t="s">
        <v>20</v>
      </c>
    </row>
    <row r="29040" ht="15.75" customHeight="1">
      <c r="A29040" s="7"/>
      <c r="B29040" s="7"/>
      <c r="M29040" s="9" t="s">
        <v>21</v>
      </c>
    </row>
    <row r="29041" ht="15.75" customHeight="1">
      <c r="A29041" s="7"/>
      <c r="B29041" s="7"/>
      <c r="M29041" s="9" t="s">
        <v>39</v>
      </c>
    </row>
    <row r="29042" ht="15.75" customHeight="1">
      <c r="A29042" s="7"/>
      <c r="B29042" s="7"/>
      <c r="M29042" s="9" t="s">
        <v>33</v>
      </c>
    </row>
    <row r="29043" ht="15.75" customHeight="1">
      <c r="A29043" s="7"/>
      <c r="B29043" s="7"/>
      <c r="M29043" s="9" t="s">
        <v>30</v>
      </c>
    </row>
    <row r="29044" ht="15.75" customHeight="1">
      <c r="A29044" s="7"/>
      <c r="B29044" s="7"/>
      <c r="M29044" s="9" t="s">
        <v>23</v>
      </c>
    </row>
    <row r="29045" ht="15.75" customHeight="1">
      <c r="A29045" s="7"/>
      <c r="B29045" s="7"/>
      <c r="M29045" s="9" t="s">
        <v>24</v>
      </c>
    </row>
    <row r="29046" ht="15.75" customHeight="1">
      <c r="A29046" s="7"/>
      <c r="B29046" s="7"/>
      <c r="M29046" s="9" t="s">
        <v>22</v>
      </c>
    </row>
    <row r="29047" ht="15.75" customHeight="1">
      <c r="A29047" s="7"/>
      <c r="B29047" s="7"/>
      <c r="M29047" s="9" t="s">
        <v>40</v>
      </c>
    </row>
    <row r="29048" ht="15.75" customHeight="1">
      <c r="A29048" s="7"/>
      <c r="B29048" s="7"/>
      <c r="M29048" s="9" t="s">
        <v>20</v>
      </c>
    </row>
    <row r="29049" ht="15.75" customHeight="1">
      <c r="A29049" s="7"/>
      <c r="B29049" s="7"/>
      <c r="M29049" s="9" t="s">
        <v>41</v>
      </c>
    </row>
    <row r="29050" ht="15.75" customHeight="1">
      <c r="A29050" s="7"/>
      <c r="B29050" s="7"/>
      <c r="M29050" s="9" t="s">
        <v>22</v>
      </c>
    </row>
    <row r="29051" ht="15.75" customHeight="1">
      <c r="A29051" s="7"/>
      <c r="B29051" s="7"/>
      <c r="M29051" s="9" t="s">
        <v>31</v>
      </c>
    </row>
    <row r="29052" ht="15.75" customHeight="1">
      <c r="A29052" s="7"/>
      <c r="B29052" s="7"/>
      <c r="M29052" s="9" t="s">
        <v>32</v>
      </c>
    </row>
    <row r="29053" ht="15.75" customHeight="1">
      <c r="A29053" s="7"/>
      <c r="B29053" s="7"/>
      <c r="M29053" s="9" t="s">
        <v>27</v>
      </c>
    </row>
    <row r="29054" ht="15.75" customHeight="1">
      <c r="A29054" s="7"/>
      <c r="B29054" s="7"/>
      <c r="M29054" s="9" t="s">
        <v>40</v>
      </c>
    </row>
    <row r="29055" ht="15.75" customHeight="1">
      <c r="A29055" s="7"/>
      <c r="B29055" s="7"/>
      <c r="M29055" s="9" t="s">
        <v>24</v>
      </c>
    </row>
    <row r="29056" ht="15.75" customHeight="1">
      <c r="A29056" s="7"/>
      <c r="B29056" s="7"/>
      <c r="M29056" s="9" t="s">
        <v>20</v>
      </c>
    </row>
    <row r="29057" ht="15.75" customHeight="1">
      <c r="A29057" s="7"/>
      <c r="B29057" s="7"/>
      <c r="M29057" s="9" t="s">
        <v>21</v>
      </c>
    </row>
    <row r="29058" ht="15.75" customHeight="1">
      <c r="A29058" s="7"/>
      <c r="B29058" s="7"/>
      <c r="M29058" s="9" t="s">
        <v>27</v>
      </c>
    </row>
    <row r="29059" ht="15.75" customHeight="1">
      <c r="A29059" s="7"/>
      <c r="B29059" s="7"/>
      <c r="M29059" s="9" t="s">
        <v>30</v>
      </c>
    </row>
    <row r="29060" ht="15.75" customHeight="1">
      <c r="A29060" s="7"/>
      <c r="B29060" s="7"/>
      <c r="M29060" s="9" t="s">
        <v>36</v>
      </c>
    </row>
    <row r="29061" ht="15.75" customHeight="1">
      <c r="A29061" s="7"/>
      <c r="B29061" s="7"/>
      <c r="M29061" s="9" t="s">
        <v>30</v>
      </c>
    </row>
    <row r="29062" ht="15.75" customHeight="1">
      <c r="A29062" s="7"/>
      <c r="B29062" s="7"/>
      <c r="M29062" s="9" t="s">
        <v>26</v>
      </c>
    </row>
    <row r="29063" ht="15.75" customHeight="1">
      <c r="A29063" s="7"/>
      <c r="B29063" s="7"/>
      <c r="M29063" s="9" t="s">
        <v>21</v>
      </c>
    </row>
    <row r="29064" ht="15.75" customHeight="1">
      <c r="A29064" s="7"/>
      <c r="B29064" s="7"/>
      <c r="M29064" s="9" t="s">
        <v>27</v>
      </c>
    </row>
    <row r="29065" ht="15.75" customHeight="1">
      <c r="A29065" s="7"/>
      <c r="B29065" s="7"/>
      <c r="M29065" s="9" t="s">
        <v>33</v>
      </c>
    </row>
    <row r="29066" ht="15.75" customHeight="1">
      <c r="A29066" s="7"/>
      <c r="B29066" s="7"/>
      <c r="M29066" s="9" t="s">
        <v>24</v>
      </c>
    </row>
    <row r="29067" ht="15.75" customHeight="1">
      <c r="A29067" s="7"/>
      <c r="B29067" s="7"/>
      <c r="M29067" s="9" t="s">
        <v>20</v>
      </c>
    </row>
    <row r="29068" ht="15.75" customHeight="1">
      <c r="A29068" s="7"/>
      <c r="B29068" s="7"/>
      <c r="M29068" s="9" t="s">
        <v>21</v>
      </c>
    </row>
    <row r="29069" ht="15.75" customHeight="1">
      <c r="A29069" s="7"/>
      <c r="B29069" s="7"/>
      <c r="M29069" s="9" t="s">
        <v>33</v>
      </c>
    </row>
    <row r="29070" ht="15.75" customHeight="1">
      <c r="A29070" s="7"/>
      <c r="B29070" s="7"/>
      <c r="M29070" s="9" t="s">
        <v>24</v>
      </c>
    </row>
    <row r="29071" ht="15.75" customHeight="1">
      <c r="A29071" s="7"/>
      <c r="B29071" s="7"/>
      <c r="M29071" s="9" t="s">
        <v>21</v>
      </c>
    </row>
    <row r="29072" ht="15.75" customHeight="1">
      <c r="A29072" s="7"/>
      <c r="B29072" s="7"/>
      <c r="M29072" s="9" t="s">
        <v>30</v>
      </c>
    </row>
    <row r="29073" ht="15.75" customHeight="1">
      <c r="A29073" s="7"/>
      <c r="B29073" s="7"/>
      <c r="M29073" s="9" t="s">
        <v>23</v>
      </c>
    </row>
    <row r="29074" ht="15.75" customHeight="1">
      <c r="A29074" s="7"/>
      <c r="B29074" s="7"/>
      <c r="M29074" s="9" t="s">
        <v>20</v>
      </c>
    </row>
    <row r="29075" ht="15.75" customHeight="1">
      <c r="A29075" s="7"/>
      <c r="B29075" s="7"/>
      <c r="M29075" s="9" t="s">
        <v>22</v>
      </c>
    </row>
    <row r="29076" ht="15.75" customHeight="1">
      <c r="A29076" s="7"/>
      <c r="B29076" s="7"/>
      <c r="M29076" s="9" t="s">
        <v>38</v>
      </c>
    </row>
    <row r="29077" ht="15.75" customHeight="1">
      <c r="A29077" s="7"/>
      <c r="B29077" s="7"/>
      <c r="M29077" s="9" t="s">
        <v>30</v>
      </c>
    </row>
    <row r="29078" ht="15.75" customHeight="1">
      <c r="A29078" s="7"/>
      <c r="B29078" s="7"/>
      <c r="M29078" s="9" t="s">
        <v>23</v>
      </c>
    </row>
    <row r="29079" ht="15.75" customHeight="1">
      <c r="A29079" s="7"/>
      <c r="B29079" s="7"/>
      <c r="M29079" s="9" t="s">
        <v>24</v>
      </c>
    </row>
    <row r="29080" ht="15.75" customHeight="1">
      <c r="A29080" s="7"/>
      <c r="B29080" s="7"/>
      <c r="M29080" s="9" t="s">
        <v>20</v>
      </c>
    </row>
    <row r="29081" ht="15.75" customHeight="1">
      <c r="A29081" s="7"/>
      <c r="B29081" s="7"/>
      <c r="M29081" s="9" t="s">
        <v>21</v>
      </c>
    </row>
    <row r="29082" ht="15.75" customHeight="1">
      <c r="A29082" s="7"/>
      <c r="B29082" s="7"/>
      <c r="M29082" s="9" t="s">
        <v>27</v>
      </c>
    </row>
    <row r="29083" ht="15.75" customHeight="1">
      <c r="A29083" s="7"/>
      <c r="B29083" s="7"/>
      <c r="M29083" s="9" t="s">
        <v>24</v>
      </c>
    </row>
    <row r="29084" ht="15.75" customHeight="1">
      <c r="A29084" s="7"/>
      <c r="B29084" s="7"/>
      <c r="M29084" s="9" t="s">
        <v>20</v>
      </c>
    </row>
    <row r="29085" ht="15.75" customHeight="1">
      <c r="A29085" s="7"/>
      <c r="B29085" s="7"/>
      <c r="M29085" s="9" t="s">
        <v>21</v>
      </c>
    </row>
    <row r="29086" ht="15.75" customHeight="1">
      <c r="A29086" s="7"/>
      <c r="B29086" s="7"/>
      <c r="M29086" s="9" t="s">
        <v>27</v>
      </c>
    </row>
    <row r="29087" ht="15.75" customHeight="1">
      <c r="A29087" s="7"/>
      <c r="B29087" s="7"/>
      <c r="M29087" s="9" t="s">
        <v>25</v>
      </c>
    </row>
    <row r="29088" ht="15.75" customHeight="1">
      <c r="A29088" s="7"/>
      <c r="B29088" s="7"/>
      <c r="M29088" s="9" t="s">
        <v>23</v>
      </c>
    </row>
    <row r="29089" ht="15.75" customHeight="1">
      <c r="A29089" s="7"/>
      <c r="B29089" s="7"/>
      <c r="M29089" s="9" t="s">
        <v>44</v>
      </c>
    </row>
    <row r="29090" ht="15.75" customHeight="1">
      <c r="A29090" s="7"/>
      <c r="B29090" s="7"/>
      <c r="M29090" s="9" t="s">
        <v>42</v>
      </c>
    </row>
    <row r="29091" ht="15.75" customHeight="1">
      <c r="A29091" s="7"/>
      <c r="B29091" s="7"/>
      <c r="M29091" s="9" t="s">
        <v>43</v>
      </c>
    </row>
    <row r="29092" ht="15.75" customHeight="1">
      <c r="A29092" s="7"/>
      <c r="B29092" s="7"/>
      <c r="M29092" s="9" t="s">
        <v>24</v>
      </c>
    </row>
    <row r="29093" ht="15.75" customHeight="1">
      <c r="A29093" s="7"/>
      <c r="B29093" s="7"/>
      <c r="M29093" s="9" t="s">
        <v>21</v>
      </c>
    </row>
    <row r="29094" ht="15.75" customHeight="1">
      <c r="A29094" s="7"/>
      <c r="B29094" s="7"/>
      <c r="M29094" s="9" t="s">
        <v>39</v>
      </c>
    </row>
    <row r="29095" ht="15.75" customHeight="1">
      <c r="A29095" s="7"/>
      <c r="B29095" s="7"/>
      <c r="M29095" s="9" t="s">
        <v>22</v>
      </c>
    </row>
    <row r="29096" ht="15.75" customHeight="1">
      <c r="A29096" s="7"/>
      <c r="B29096" s="7"/>
      <c r="M29096" s="9" t="s">
        <v>32</v>
      </c>
    </row>
    <row r="29097" ht="15.75" customHeight="1">
      <c r="A29097" s="7"/>
      <c r="B29097" s="7"/>
      <c r="M29097" s="9" t="s">
        <v>27</v>
      </c>
    </row>
    <row r="29098" ht="15.75" customHeight="1">
      <c r="A29098" s="7"/>
      <c r="B29098" s="7"/>
      <c r="M29098" s="9" t="s">
        <v>35</v>
      </c>
    </row>
    <row r="29099" ht="15.75" customHeight="1">
      <c r="A29099" s="7"/>
      <c r="B29099" s="7"/>
      <c r="M29099" s="9" t="s">
        <v>24</v>
      </c>
    </row>
    <row r="29100" ht="15.75" customHeight="1">
      <c r="A29100" s="7"/>
      <c r="B29100" s="7"/>
      <c r="M29100" s="9" t="s">
        <v>21</v>
      </c>
    </row>
    <row r="29101" ht="15.75" customHeight="1">
      <c r="A29101" s="7"/>
      <c r="B29101" s="7"/>
      <c r="M29101" s="9" t="s">
        <v>37</v>
      </c>
    </row>
    <row r="29102" ht="15.75" customHeight="1">
      <c r="A29102" s="7"/>
      <c r="B29102" s="7"/>
      <c r="M29102" s="9" t="s">
        <v>27</v>
      </c>
    </row>
    <row r="29103" ht="15.75" customHeight="1">
      <c r="A29103" s="7"/>
      <c r="B29103" s="7"/>
      <c r="M29103" s="9" t="s">
        <v>24</v>
      </c>
    </row>
    <row r="29104" ht="15.75" customHeight="1">
      <c r="A29104" s="7"/>
      <c r="B29104" s="7"/>
      <c r="M29104" s="9" t="s">
        <v>21</v>
      </c>
    </row>
    <row r="29105" ht="15.75" customHeight="1">
      <c r="A29105" s="7"/>
      <c r="B29105" s="7"/>
      <c r="M29105" s="9" t="s">
        <v>37</v>
      </c>
    </row>
    <row r="29106" ht="15.75" customHeight="1">
      <c r="A29106" s="7"/>
      <c r="B29106" s="7"/>
      <c r="M29106" s="9" t="s">
        <v>27</v>
      </c>
    </row>
    <row r="29107" ht="15.75" customHeight="1">
      <c r="A29107" s="7"/>
      <c r="B29107" s="7"/>
      <c r="M29107" s="9" t="s">
        <v>26</v>
      </c>
    </row>
    <row r="29108" ht="15.75" customHeight="1">
      <c r="A29108" s="7"/>
      <c r="B29108" s="7"/>
      <c r="M29108" s="9" t="s">
        <v>24</v>
      </c>
    </row>
    <row r="29109" ht="15.75" customHeight="1">
      <c r="A29109" s="7"/>
      <c r="B29109" s="7"/>
      <c r="M29109" s="9" t="s">
        <v>20</v>
      </c>
    </row>
    <row r="29110" ht="15.75" customHeight="1">
      <c r="A29110" s="7"/>
      <c r="B29110" s="7"/>
      <c r="M29110" s="9" t="s">
        <v>21</v>
      </c>
    </row>
    <row r="29111" ht="15.75" customHeight="1">
      <c r="A29111" s="7"/>
      <c r="B29111" s="7"/>
      <c r="M29111" s="9" t="s">
        <v>33</v>
      </c>
    </row>
    <row r="29112" ht="15.75" customHeight="1">
      <c r="A29112" s="7"/>
      <c r="B29112" s="7"/>
      <c r="M29112" s="9" t="s">
        <v>28</v>
      </c>
    </row>
    <row r="29113" ht="15.75" customHeight="1">
      <c r="A29113" s="7"/>
      <c r="B29113" s="7"/>
      <c r="M29113" s="9" t="s">
        <v>30</v>
      </c>
    </row>
    <row r="29114" ht="15.75" customHeight="1">
      <c r="A29114" s="7"/>
      <c r="B29114" s="7"/>
      <c r="M29114" s="9" t="s">
        <v>44</v>
      </c>
    </row>
    <row r="29115" ht="15.75" customHeight="1">
      <c r="A29115" s="7"/>
      <c r="B29115" s="7"/>
      <c r="M29115" s="9" t="s">
        <v>47</v>
      </c>
    </row>
    <row r="29116" ht="15.75" customHeight="1">
      <c r="A29116" s="7"/>
      <c r="B29116" s="7"/>
      <c r="M29116" s="9" t="s">
        <v>36</v>
      </c>
    </row>
    <row r="29117" ht="15.75" customHeight="1">
      <c r="A29117" s="7"/>
      <c r="B29117" s="7"/>
      <c r="M29117" s="9" t="s">
        <v>24</v>
      </c>
    </row>
    <row r="29118" ht="15.75" customHeight="1">
      <c r="A29118" s="7"/>
      <c r="B29118" s="7"/>
      <c r="M29118" s="9" t="s">
        <v>20</v>
      </c>
    </row>
    <row r="29119" ht="15.75" customHeight="1">
      <c r="A29119" s="7"/>
      <c r="B29119" s="7"/>
      <c r="M29119" s="9" t="s">
        <v>22</v>
      </c>
    </row>
    <row r="29120" ht="15.75" customHeight="1">
      <c r="A29120" s="7"/>
      <c r="B29120" s="7"/>
      <c r="M29120" s="9" t="s">
        <v>26</v>
      </c>
    </row>
    <row r="29121" ht="15.75" customHeight="1">
      <c r="A29121" s="7"/>
      <c r="B29121" s="7"/>
      <c r="M29121" s="9" t="s">
        <v>24</v>
      </c>
    </row>
    <row r="29122" ht="15.75" customHeight="1">
      <c r="A29122" s="7"/>
      <c r="B29122" s="7"/>
      <c r="M29122" s="9" t="s">
        <v>21</v>
      </c>
    </row>
    <row r="29123" ht="15.75" customHeight="1">
      <c r="A29123" s="7"/>
      <c r="B29123" s="7"/>
      <c r="M29123" s="9" t="s">
        <v>39</v>
      </c>
    </row>
    <row r="29124" ht="15.75" customHeight="1">
      <c r="A29124" s="7"/>
      <c r="B29124" s="7"/>
      <c r="M29124" s="9" t="s">
        <v>25</v>
      </c>
    </row>
    <row r="29125" ht="15.75" customHeight="1">
      <c r="A29125" s="7"/>
      <c r="B29125" s="7"/>
      <c r="M29125" s="9" t="s">
        <v>23</v>
      </c>
    </row>
    <row r="29126" ht="15.75" customHeight="1">
      <c r="A29126" s="7"/>
      <c r="B29126" s="7"/>
      <c r="M29126" s="9" t="s">
        <v>26</v>
      </c>
    </row>
    <row r="29127" ht="15.75" customHeight="1">
      <c r="A29127" s="7"/>
      <c r="B29127" s="7"/>
      <c r="M29127" s="9" t="s">
        <v>20</v>
      </c>
    </row>
    <row r="29128" ht="15.75" customHeight="1">
      <c r="A29128" s="7"/>
      <c r="B29128" s="7"/>
      <c r="M29128" s="9" t="s">
        <v>22</v>
      </c>
    </row>
    <row r="29129" ht="15.75" customHeight="1">
      <c r="A29129" s="7"/>
      <c r="B29129" s="7"/>
      <c r="M29129" s="9" t="s">
        <v>24</v>
      </c>
    </row>
    <row r="29130" ht="15.75" customHeight="1">
      <c r="A29130" s="7"/>
      <c r="B29130" s="7"/>
      <c r="M29130" s="9" t="s">
        <v>21</v>
      </c>
    </row>
    <row r="29131" ht="15.75" customHeight="1">
      <c r="A29131" s="7"/>
      <c r="B29131" s="7"/>
      <c r="M29131" s="9" t="s">
        <v>31</v>
      </c>
    </row>
    <row r="29132" ht="15.75" customHeight="1">
      <c r="A29132" s="7"/>
      <c r="B29132" s="7"/>
      <c r="M29132" s="9" t="s">
        <v>46</v>
      </c>
    </row>
    <row r="29133" ht="15.75" customHeight="1">
      <c r="A29133" s="7"/>
      <c r="B29133" s="7"/>
      <c r="M29133" s="9" t="s">
        <v>27</v>
      </c>
    </row>
    <row r="29134" ht="15.75" customHeight="1">
      <c r="A29134" s="7"/>
      <c r="B29134" s="7"/>
      <c r="M29134" s="9" t="s">
        <v>36</v>
      </c>
    </row>
    <row r="29135" ht="15.75" customHeight="1">
      <c r="A29135" s="7"/>
      <c r="B29135" s="7"/>
      <c r="M29135" s="9" t="s">
        <v>20</v>
      </c>
    </row>
    <row r="29136" ht="15.75" customHeight="1">
      <c r="A29136" s="7"/>
      <c r="B29136" s="7"/>
      <c r="M29136" s="9" t="s">
        <v>32</v>
      </c>
    </row>
    <row r="29137" ht="15.75" customHeight="1">
      <c r="A29137" s="7"/>
      <c r="B29137" s="7"/>
      <c r="M29137" s="9" t="s">
        <v>38</v>
      </c>
    </row>
    <row r="29138" ht="15.75" customHeight="1">
      <c r="A29138" s="7"/>
      <c r="B29138" s="7"/>
      <c r="M29138" s="9" t="s">
        <v>30</v>
      </c>
    </row>
    <row r="29139" ht="15.75" customHeight="1">
      <c r="A29139" s="7"/>
      <c r="B29139" s="7"/>
      <c r="M29139" s="9" t="s">
        <v>25</v>
      </c>
    </row>
    <row r="29140" ht="15.75" customHeight="1">
      <c r="A29140" s="7"/>
      <c r="B29140" s="7"/>
      <c r="M29140" s="9" t="s">
        <v>23</v>
      </c>
    </row>
    <row r="29141" ht="15.75" customHeight="1">
      <c r="A29141" s="7"/>
      <c r="B29141" s="7"/>
      <c r="M29141" s="9" t="s">
        <v>26</v>
      </c>
    </row>
    <row r="29142" ht="15.75" customHeight="1">
      <c r="A29142" s="7"/>
      <c r="B29142" s="7"/>
      <c r="M29142" s="9" t="s">
        <v>43</v>
      </c>
    </row>
    <row r="29143" ht="15.75" customHeight="1">
      <c r="A29143" s="7"/>
      <c r="B29143" s="7"/>
      <c r="M29143" s="9" t="s">
        <v>45</v>
      </c>
    </row>
    <row r="29144" ht="15.75" customHeight="1">
      <c r="A29144" s="7"/>
      <c r="B29144" s="7"/>
      <c r="M29144" s="9" t="s">
        <v>36</v>
      </c>
    </row>
    <row r="29145" ht="15.75" customHeight="1">
      <c r="A29145" s="7"/>
      <c r="B29145" s="7"/>
      <c r="M29145" s="9" t="s">
        <v>20</v>
      </c>
    </row>
    <row r="29146" ht="15.75" customHeight="1">
      <c r="A29146" s="7"/>
      <c r="B29146" s="7"/>
      <c r="M29146" s="9" t="s">
        <v>21</v>
      </c>
    </row>
    <row r="29147" ht="15.75" customHeight="1">
      <c r="A29147" s="7"/>
      <c r="B29147" s="7"/>
      <c r="M29147" s="9" t="s">
        <v>25</v>
      </c>
    </row>
    <row r="29148" ht="15.75" customHeight="1">
      <c r="A29148" s="7"/>
      <c r="B29148" s="7"/>
      <c r="M29148" s="9" t="s">
        <v>23</v>
      </c>
    </row>
    <row r="29149" ht="15.75" customHeight="1">
      <c r="A29149" s="7"/>
      <c r="B29149" s="7"/>
      <c r="M29149" s="9" t="s">
        <v>26</v>
      </c>
    </row>
    <row r="29150" ht="15.75" customHeight="1">
      <c r="A29150" s="7"/>
      <c r="B29150" s="7"/>
      <c r="M29150" s="9" t="s">
        <v>47</v>
      </c>
    </row>
    <row r="29151" ht="15.75" customHeight="1">
      <c r="A29151" s="7"/>
      <c r="B29151" s="7"/>
      <c r="M29151" s="9" t="s">
        <v>24</v>
      </c>
    </row>
    <row r="29152" ht="15.75" customHeight="1">
      <c r="A29152" s="7"/>
      <c r="B29152" s="7"/>
      <c r="M29152" s="9" t="s">
        <v>20</v>
      </c>
    </row>
    <row r="29153" ht="15.75" customHeight="1">
      <c r="A29153" s="7"/>
      <c r="B29153" s="7"/>
      <c r="M29153" s="9" t="s">
        <v>21</v>
      </c>
    </row>
    <row r="29154" ht="15.75" customHeight="1">
      <c r="A29154" s="7"/>
      <c r="B29154" s="7"/>
      <c r="M29154" s="9" t="s">
        <v>39</v>
      </c>
    </row>
    <row r="29155" ht="15.75" customHeight="1">
      <c r="A29155" s="7"/>
      <c r="B29155" s="7"/>
      <c r="M29155" s="9" t="s">
        <v>22</v>
      </c>
    </row>
    <row r="29156" ht="15.75" customHeight="1">
      <c r="A29156" s="7"/>
      <c r="B29156" s="7"/>
      <c r="M29156" s="9" t="s">
        <v>40</v>
      </c>
    </row>
    <row r="29157" ht="15.75" customHeight="1">
      <c r="A29157" s="7"/>
      <c r="B29157" s="7"/>
      <c r="M29157" s="9" t="s">
        <v>33</v>
      </c>
    </row>
    <row r="29158" ht="15.75" customHeight="1">
      <c r="A29158" s="7"/>
      <c r="B29158" s="7"/>
      <c r="M29158" s="9" t="s">
        <v>25</v>
      </c>
    </row>
    <row r="29159" ht="15.75" customHeight="1">
      <c r="A29159" s="7"/>
      <c r="B29159" s="7"/>
      <c r="M29159" s="9" t="s">
        <v>23</v>
      </c>
    </row>
    <row r="29160" ht="15.75" customHeight="1">
      <c r="A29160" s="7"/>
      <c r="B29160" s="7"/>
      <c r="M29160" s="9" t="s">
        <v>26</v>
      </c>
    </row>
    <row r="29161" ht="15.75" customHeight="1">
      <c r="A29161" s="7"/>
      <c r="B29161" s="7"/>
      <c r="M29161" s="9" t="s">
        <v>24</v>
      </c>
    </row>
    <row r="29162" ht="15.75" customHeight="1">
      <c r="A29162" s="7"/>
      <c r="B29162" s="7"/>
      <c r="M29162" s="9" t="s">
        <v>21</v>
      </c>
    </row>
    <row r="29163" ht="15.75" customHeight="1">
      <c r="A29163" s="7"/>
      <c r="B29163" s="7"/>
      <c r="M29163" s="9" t="s">
        <v>37</v>
      </c>
    </row>
    <row r="29164" ht="15.75" customHeight="1">
      <c r="A29164" s="7"/>
      <c r="B29164" s="7"/>
      <c r="M29164" s="9" t="s">
        <v>27</v>
      </c>
    </row>
    <row r="29165" ht="15.75" customHeight="1">
      <c r="A29165" s="7"/>
      <c r="B29165" s="7"/>
      <c r="M29165" s="9" t="s">
        <v>24</v>
      </c>
    </row>
    <row r="29166" ht="15.75" customHeight="1">
      <c r="A29166" s="7"/>
      <c r="B29166" s="7"/>
      <c r="M29166" s="9" t="s">
        <v>20</v>
      </c>
    </row>
    <row r="29167" ht="15.75" customHeight="1">
      <c r="A29167" s="7"/>
      <c r="B29167" s="7"/>
      <c r="M29167" s="9" t="s">
        <v>27</v>
      </c>
    </row>
    <row r="29168" ht="15.75" customHeight="1">
      <c r="A29168" s="7"/>
      <c r="B29168" s="7"/>
      <c r="M29168" s="9" t="s">
        <v>30</v>
      </c>
    </row>
    <row r="29169" ht="15.75" customHeight="1">
      <c r="A29169" s="7"/>
      <c r="B29169" s="7"/>
      <c r="M29169" s="9" t="s">
        <v>24</v>
      </c>
    </row>
    <row r="29170" ht="15.75" customHeight="1">
      <c r="A29170" s="7"/>
      <c r="B29170" s="7"/>
      <c r="M29170" s="9" t="s">
        <v>21</v>
      </c>
    </row>
    <row r="29171" ht="15.75" customHeight="1">
      <c r="A29171" s="7"/>
      <c r="B29171" s="7"/>
      <c r="M29171" s="9" t="s">
        <v>37</v>
      </c>
    </row>
    <row r="29172" ht="15.75" customHeight="1">
      <c r="A29172" s="7"/>
      <c r="B29172" s="7"/>
      <c r="M29172" s="9" t="s">
        <v>25</v>
      </c>
    </row>
    <row r="29173" ht="15.75" customHeight="1">
      <c r="A29173" s="7"/>
      <c r="B29173" s="7"/>
      <c r="M29173" s="9" t="s">
        <v>24</v>
      </c>
    </row>
    <row r="29174" ht="15.75" customHeight="1">
      <c r="A29174" s="7"/>
      <c r="B29174" s="7"/>
      <c r="M29174" s="9" t="s">
        <v>20</v>
      </c>
    </row>
    <row r="29175" ht="15.75" customHeight="1">
      <c r="A29175" s="7"/>
      <c r="B29175" s="7"/>
      <c r="M29175" s="9" t="s">
        <v>39</v>
      </c>
    </row>
    <row r="29176" ht="15.75" customHeight="1">
      <c r="A29176" s="7"/>
      <c r="B29176" s="7"/>
      <c r="M29176" s="9" t="s">
        <v>22</v>
      </c>
    </row>
    <row r="29177" ht="15.75" customHeight="1">
      <c r="A29177" s="7"/>
      <c r="B29177" s="7"/>
      <c r="M29177" s="9" t="s">
        <v>40</v>
      </c>
    </row>
    <row r="29178" ht="15.75" customHeight="1">
      <c r="A29178" s="7"/>
      <c r="B29178" s="7"/>
      <c r="M29178" s="9" t="s">
        <v>24</v>
      </c>
    </row>
    <row r="29179" ht="15.75" customHeight="1">
      <c r="A29179" s="7"/>
      <c r="B29179" s="7"/>
      <c r="M29179" s="9" t="s">
        <v>37</v>
      </c>
    </row>
    <row r="29180" ht="15.75" customHeight="1">
      <c r="A29180" s="7"/>
      <c r="B29180" s="7"/>
      <c r="M29180" s="9" t="s">
        <v>33</v>
      </c>
    </row>
    <row r="29181" ht="15.75" customHeight="1">
      <c r="A29181" s="7"/>
      <c r="B29181" s="7"/>
      <c r="M29181" s="9" t="s">
        <v>38</v>
      </c>
    </row>
    <row r="29182" ht="15.75" customHeight="1">
      <c r="A29182" s="7"/>
      <c r="B29182" s="7"/>
      <c r="M29182" s="9" t="s">
        <v>30</v>
      </c>
    </row>
    <row r="29183" ht="15.75" customHeight="1">
      <c r="A29183" s="7"/>
      <c r="B29183" s="7"/>
      <c r="M29183" s="9" t="s">
        <v>25</v>
      </c>
    </row>
    <row r="29184" ht="15.75" customHeight="1">
      <c r="A29184" s="7"/>
      <c r="B29184" s="7"/>
      <c r="M29184" s="9" t="s">
        <v>23</v>
      </c>
    </row>
    <row r="29185" ht="15.75" customHeight="1">
      <c r="A29185" s="7"/>
      <c r="B29185" s="7"/>
      <c r="M29185" s="9" t="s">
        <v>26</v>
      </c>
    </row>
    <row r="29186" ht="15.75" customHeight="1">
      <c r="A29186" s="7"/>
      <c r="B29186" s="7"/>
      <c r="M29186" s="9" t="s">
        <v>47</v>
      </c>
    </row>
    <row r="29187" ht="15.75" customHeight="1">
      <c r="A29187" s="7"/>
      <c r="B29187" s="7"/>
      <c r="M29187" s="9" t="s">
        <v>42</v>
      </c>
    </row>
    <row r="29188" ht="15.75" customHeight="1">
      <c r="A29188" s="7"/>
      <c r="B29188" s="7"/>
      <c r="M29188" s="9" t="s">
        <v>43</v>
      </c>
    </row>
    <row r="29189" ht="15.75" customHeight="1">
      <c r="A29189" s="7"/>
      <c r="B29189" s="7"/>
      <c r="M29189" s="9" t="s">
        <v>45</v>
      </c>
    </row>
    <row r="29190" ht="15.75" customHeight="1">
      <c r="A29190" s="7"/>
      <c r="B29190" s="7"/>
      <c r="M29190" s="9" t="s">
        <v>36</v>
      </c>
    </row>
    <row r="29191" ht="15.75" customHeight="1">
      <c r="A29191" s="7"/>
      <c r="B29191" s="7"/>
      <c r="M29191" s="9" t="s">
        <v>24</v>
      </c>
    </row>
    <row r="29192" ht="15.75" customHeight="1">
      <c r="A29192" s="7"/>
      <c r="B29192" s="7"/>
      <c r="M29192" s="9" t="s">
        <v>20</v>
      </c>
    </row>
    <row r="29193" ht="15.75" customHeight="1">
      <c r="A29193" s="7"/>
      <c r="B29193" s="7"/>
      <c r="M29193" s="9" t="s">
        <v>21</v>
      </c>
    </row>
    <row r="29194" ht="15.75" customHeight="1">
      <c r="A29194" s="7"/>
      <c r="B29194" s="7"/>
      <c r="M29194" s="9" t="s">
        <v>39</v>
      </c>
    </row>
    <row r="29195" ht="15.75" customHeight="1">
      <c r="A29195" s="7"/>
      <c r="B29195" s="7"/>
      <c r="M29195" s="9" t="s">
        <v>41</v>
      </c>
    </row>
    <row r="29196" ht="15.75" customHeight="1">
      <c r="A29196" s="7"/>
      <c r="B29196" s="7"/>
      <c r="M29196" s="9" t="s">
        <v>29</v>
      </c>
    </row>
    <row r="29197" ht="15.75" customHeight="1">
      <c r="A29197" s="7"/>
      <c r="B29197" s="7"/>
      <c r="M29197" s="9" t="s">
        <v>31</v>
      </c>
    </row>
    <row r="29198" ht="15.75" customHeight="1">
      <c r="A29198" s="7"/>
      <c r="B29198" s="7"/>
      <c r="M29198" s="9" t="s">
        <v>32</v>
      </c>
    </row>
    <row r="29199" ht="15.75" customHeight="1">
      <c r="A29199" s="7"/>
      <c r="B29199" s="7"/>
      <c r="M29199" s="9" t="s">
        <v>46</v>
      </c>
    </row>
    <row r="29200" ht="15.75" customHeight="1">
      <c r="A29200" s="7"/>
      <c r="B29200" s="7"/>
      <c r="M29200" s="9" t="s">
        <v>40</v>
      </c>
    </row>
    <row r="29201" ht="15.75" customHeight="1">
      <c r="A29201" s="7"/>
      <c r="B29201" s="7"/>
      <c r="M29201" s="9" t="s">
        <v>33</v>
      </c>
    </row>
    <row r="29202" ht="15.75" customHeight="1">
      <c r="A29202" s="7"/>
      <c r="B29202" s="7"/>
      <c r="M29202" s="9" t="s">
        <v>28</v>
      </c>
    </row>
    <row r="29203" ht="15.75" customHeight="1">
      <c r="A29203" s="7"/>
      <c r="B29203" s="7"/>
      <c r="M29203" s="9" t="s">
        <v>34</v>
      </c>
    </row>
    <row r="29204" ht="15.75" customHeight="1">
      <c r="A29204" s="7"/>
      <c r="B29204" s="7"/>
      <c r="M29204" s="9" t="s">
        <v>35</v>
      </c>
    </row>
    <row r="29205" ht="15.75" customHeight="1">
      <c r="A29205" s="7"/>
      <c r="B29205" s="7"/>
      <c r="M29205" s="9" t="s">
        <v>30</v>
      </c>
    </row>
    <row r="29206" ht="15.75" customHeight="1">
      <c r="A29206" s="7"/>
      <c r="B29206" s="7"/>
      <c r="M29206" s="9" t="s">
        <v>26</v>
      </c>
    </row>
    <row r="29207" ht="15.75" customHeight="1">
      <c r="A29207" s="7"/>
      <c r="B29207" s="7"/>
      <c r="M29207" s="9" t="s">
        <v>24</v>
      </c>
    </row>
    <row r="29208" ht="15.75" customHeight="1">
      <c r="A29208" s="7"/>
      <c r="B29208" s="7"/>
      <c r="M29208" s="9" t="s">
        <v>21</v>
      </c>
    </row>
    <row r="29209" ht="15.75" customHeight="1">
      <c r="A29209" s="7"/>
      <c r="B29209" s="7"/>
      <c r="M29209" s="9" t="s">
        <v>22</v>
      </c>
    </row>
    <row r="29210" ht="15.75" customHeight="1">
      <c r="A29210" s="7"/>
      <c r="B29210" s="7"/>
      <c r="M29210" s="9" t="s">
        <v>27</v>
      </c>
    </row>
    <row r="29211" ht="15.75" customHeight="1">
      <c r="A29211" s="7"/>
      <c r="B29211" s="7"/>
      <c r="M29211" s="9" t="s">
        <v>33</v>
      </c>
    </row>
    <row r="29212" ht="15.75" customHeight="1">
      <c r="A29212" s="7"/>
      <c r="B29212" s="7"/>
      <c r="M29212" s="9" t="s">
        <v>47</v>
      </c>
    </row>
    <row r="29213" ht="15.75" customHeight="1">
      <c r="A29213" s="7"/>
      <c r="B29213" s="7"/>
      <c r="M29213" s="9" t="s">
        <v>24</v>
      </c>
    </row>
    <row r="29214" ht="15.75" customHeight="1">
      <c r="A29214" s="7"/>
      <c r="B29214" s="7"/>
      <c r="M29214" s="9" t="s">
        <v>20</v>
      </c>
    </row>
    <row r="29215" ht="15.75" customHeight="1">
      <c r="A29215" s="7"/>
      <c r="B29215" s="7"/>
      <c r="M29215" s="9" t="s">
        <v>21</v>
      </c>
    </row>
    <row r="29216" ht="15.75" customHeight="1">
      <c r="A29216" s="7"/>
      <c r="B29216" s="7"/>
      <c r="M29216" s="9" t="s">
        <v>37</v>
      </c>
    </row>
    <row r="29217" ht="15.75" customHeight="1">
      <c r="A29217" s="7"/>
      <c r="B29217" s="7"/>
      <c r="M29217" s="9" t="s">
        <v>40</v>
      </c>
    </row>
    <row r="29218" ht="15.75" customHeight="1">
      <c r="A29218" s="7"/>
      <c r="B29218" s="7"/>
      <c r="M29218" s="9" t="s">
        <v>23</v>
      </c>
    </row>
    <row r="29219" ht="15.75" customHeight="1">
      <c r="A29219" s="7"/>
      <c r="B29219" s="7"/>
      <c r="M29219" s="9" t="s">
        <v>24</v>
      </c>
    </row>
    <row r="29220" ht="15.75" customHeight="1">
      <c r="A29220" s="7"/>
      <c r="B29220" s="7"/>
      <c r="M29220" s="9" t="s">
        <v>20</v>
      </c>
    </row>
    <row r="29221" ht="15.75" customHeight="1">
      <c r="A29221" s="7"/>
      <c r="B29221" s="7"/>
      <c r="M29221" s="9" t="s">
        <v>21</v>
      </c>
    </row>
    <row r="29222" ht="15.75" customHeight="1">
      <c r="A29222" s="7"/>
      <c r="B29222" s="7"/>
      <c r="M29222" s="9" t="s">
        <v>37</v>
      </c>
    </row>
    <row r="29223" ht="15.75" customHeight="1">
      <c r="A29223" s="7"/>
      <c r="B29223" s="7"/>
      <c r="M29223" s="9" t="s">
        <v>27</v>
      </c>
    </row>
    <row r="29224" ht="15.75" customHeight="1">
      <c r="A29224" s="7"/>
      <c r="B29224" s="7"/>
      <c r="M29224" s="9" t="s">
        <v>28</v>
      </c>
    </row>
    <row r="29225" ht="15.75" customHeight="1">
      <c r="A29225" s="7"/>
      <c r="B29225" s="7"/>
      <c r="M29225" s="9" t="s">
        <v>35</v>
      </c>
    </row>
    <row r="29226" ht="15.75" customHeight="1">
      <c r="A29226" s="7"/>
      <c r="B29226" s="7"/>
      <c r="M29226" s="9" t="s">
        <v>30</v>
      </c>
    </row>
    <row r="29227" ht="15.75" customHeight="1">
      <c r="A29227" s="7"/>
      <c r="B29227" s="7"/>
      <c r="M29227" s="9" t="s">
        <v>26</v>
      </c>
    </row>
    <row r="29228" ht="15.75" customHeight="1">
      <c r="A29228" s="7"/>
      <c r="B29228" s="7"/>
      <c r="M29228" s="9" t="s">
        <v>24</v>
      </c>
    </row>
    <row r="29229" ht="15.75" customHeight="1">
      <c r="A29229" s="7"/>
      <c r="B29229" s="7"/>
      <c r="M29229" s="9" t="s">
        <v>21</v>
      </c>
    </row>
    <row r="29230" ht="15.75" customHeight="1">
      <c r="A29230" s="7"/>
      <c r="B29230" s="7"/>
      <c r="M29230" s="9" t="s">
        <v>37</v>
      </c>
    </row>
    <row r="29231" ht="15.75" customHeight="1">
      <c r="A29231" s="7"/>
      <c r="B29231" s="7"/>
      <c r="M29231" s="9" t="s">
        <v>27</v>
      </c>
    </row>
    <row r="29232" ht="15.75" customHeight="1">
      <c r="A29232" s="7"/>
      <c r="B29232" s="7"/>
      <c r="M29232" s="9" t="s">
        <v>33</v>
      </c>
    </row>
    <row r="29233" ht="15.75" customHeight="1">
      <c r="A29233" s="7"/>
      <c r="B29233" s="7"/>
      <c r="M29233" s="9" t="s">
        <v>30</v>
      </c>
    </row>
    <row r="29234" ht="15.75" customHeight="1">
      <c r="A29234" s="7"/>
      <c r="B29234" s="7"/>
      <c r="M29234" s="9" t="s">
        <v>26</v>
      </c>
    </row>
    <row r="29235" ht="15.75" customHeight="1">
      <c r="A29235" s="7"/>
      <c r="B29235" s="7"/>
      <c r="M29235" s="9" t="s">
        <v>27</v>
      </c>
    </row>
    <row r="29236" ht="15.75" customHeight="1">
      <c r="A29236" s="7"/>
      <c r="B29236" s="7"/>
      <c r="M29236" s="9" t="s">
        <v>28</v>
      </c>
    </row>
    <row r="29237" ht="15.75" customHeight="1">
      <c r="A29237" s="7"/>
      <c r="B29237" s="7"/>
      <c r="M29237" s="9" t="s">
        <v>30</v>
      </c>
    </row>
    <row r="29238" ht="15.75" customHeight="1">
      <c r="A29238" s="7"/>
      <c r="B29238" s="7"/>
      <c r="M29238" s="9" t="s">
        <v>25</v>
      </c>
    </row>
    <row r="29239" ht="15.75" customHeight="1">
      <c r="A29239" s="7"/>
      <c r="B29239" s="7"/>
      <c r="M29239" s="9" t="s">
        <v>23</v>
      </c>
    </row>
    <row r="29240" ht="15.75" customHeight="1">
      <c r="A29240" s="7"/>
      <c r="B29240" s="7"/>
      <c r="M29240" s="9" t="s">
        <v>47</v>
      </c>
    </row>
    <row r="29241" ht="15.75" customHeight="1">
      <c r="A29241" s="7"/>
      <c r="B29241" s="7"/>
      <c r="M29241" s="9" t="s">
        <v>21</v>
      </c>
    </row>
    <row r="29242" ht="15.75" customHeight="1">
      <c r="A29242" s="7"/>
      <c r="B29242" s="7"/>
      <c r="M29242" s="9" t="s">
        <v>41</v>
      </c>
    </row>
    <row r="29243" ht="15.75" customHeight="1">
      <c r="A29243" s="7"/>
      <c r="B29243" s="7"/>
      <c r="M29243" s="9" t="s">
        <v>22</v>
      </c>
    </row>
    <row r="29244" ht="15.75" customHeight="1">
      <c r="A29244" s="7"/>
      <c r="B29244" s="7"/>
      <c r="M29244" s="9" t="s">
        <v>27</v>
      </c>
    </row>
    <row r="29245" ht="15.75" customHeight="1">
      <c r="A29245" s="7"/>
      <c r="B29245" s="7"/>
      <c r="M29245" s="9" t="s">
        <v>24</v>
      </c>
    </row>
    <row r="29246" ht="15.75" customHeight="1">
      <c r="A29246" s="7"/>
      <c r="B29246" s="7"/>
      <c r="M29246" s="9" t="s">
        <v>21</v>
      </c>
    </row>
    <row r="29247" ht="15.75" customHeight="1">
      <c r="A29247" s="7"/>
      <c r="B29247" s="7"/>
      <c r="M29247" s="9" t="s">
        <v>31</v>
      </c>
    </row>
    <row r="29248" ht="15.75" customHeight="1">
      <c r="A29248" s="7"/>
      <c r="B29248" s="7"/>
      <c r="M29248" s="9" t="s">
        <v>30</v>
      </c>
    </row>
    <row r="29249" ht="15.75" customHeight="1">
      <c r="A29249" s="7"/>
      <c r="B29249" s="7"/>
      <c r="M29249" s="9" t="s">
        <v>23</v>
      </c>
    </row>
    <row r="29250" ht="15.75" customHeight="1">
      <c r="A29250" s="7"/>
      <c r="B29250" s="7"/>
      <c r="M29250" s="9" t="s">
        <v>36</v>
      </c>
    </row>
    <row r="29251" ht="15.75" customHeight="1">
      <c r="A29251" s="7"/>
      <c r="B29251" s="7"/>
      <c r="M29251" s="9" t="s">
        <v>21</v>
      </c>
    </row>
    <row r="29252" ht="15.75" customHeight="1">
      <c r="A29252" s="7"/>
      <c r="B29252" s="7"/>
      <c r="M29252" s="9" t="s">
        <v>22</v>
      </c>
    </row>
    <row r="29253" ht="15.75" customHeight="1">
      <c r="A29253" s="7"/>
      <c r="B29253" s="7"/>
      <c r="M29253" s="9" t="s">
        <v>32</v>
      </c>
    </row>
    <row r="29254" ht="15.75" customHeight="1">
      <c r="A29254" s="7"/>
      <c r="B29254" s="7"/>
      <c r="M29254" s="9" t="s">
        <v>46</v>
      </c>
    </row>
    <row r="29255" ht="15.75" customHeight="1">
      <c r="A29255" s="7"/>
      <c r="B29255" s="7"/>
      <c r="M29255" s="9" t="s">
        <v>20</v>
      </c>
    </row>
    <row r="29256" ht="15.75" customHeight="1">
      <c r="A29256" s="7"/>
      <c r="B29256" s="7"/>
      <c r="M29256" s="9" t="s">
        <v>21</v>
      </c>
    </row>
    <row r="29257" ht="15.75" customHeight="1">
      <c r="A29257" s="7"/>
      <c r="B29257" s="7"/>
      <c r="M29257" s="9" t="s">
        <v>37</v>
      </c>
    </row>
    <row r="29258" ht="15.75" customHeight="1">
      <c r="A29258" s="7"/>
      <c r="B29258" s="7"/>
      <c r="M29258" s="9" t="s">
        <v>22</v>
      </c>
    </row>
    <row r="29259" ht="15.75" customHeight="1">
      <c r="A29259" s="7"/>
      <c r="B29259" s="7"/>
      <c r="M29259" s="9" t="s">
        <v>27</v>
      </c>
    </row>
    <row r="29260" ht="15.75" customHeight="1">
      <c r="A29260" s="7"/>
      <c r="B29260" s="7"/>
      <c r="M29260" s="9" t="s">
        <v>40</v>
      </c>
    </row>
    <row r="29261" ht="15.75" customHeight="1">
      <c r="A29261" s="7"/>
      <c r="B29261" s="7"/>
      <c r="M29261" s="9" t="s">
        <v>37</v>
      </c>
    </row>
    <row r="29262" ht="15.75" customHeight="1">
      <c r="A29262" s="7"/>
      <c r="B29262" s="7"/>
      <c r="M29262" s="9" t="s">
        <v>30</v>
      </c>
    </row>
    <row r="29263" ht="15.75" customHeight="1">
      <c r="A29263" s="7"/>
      <c r="B29263" s="7"/>
      <c r="M29263" s="9" t="s">
        <v>25</v>
      </c>
    </row>
    <row r="29264" ht="15.75" customHeight="1">
      <c r="A29264" s="7"/>
      <c r="B29264" s="7"/>
      <c r="M29264" s="9" t="s">
        <v>23</v>
      </c>
    </row>
    <row r="29265" ht="15.75" customHeight="1">
      <c r="A29265" s="7"/>
      <c r="B29265" s="7"/>
      <c r="M29265" s="9" t="s">
        <v>20</v>
      </c>
    </row>
    <row r="29266" ht="15.75" customHeight="1">
      <c r="A29266" s="7"/>
      <c r="B29266" s="7"/>
      <c r="M29266" s="9" t="s">
        <v>22</v>
      </c>
    </row>
    <row r="29267" ht="15.75" customHeight="1">
      <c r="A29267" s="7"/>
      <c r="B29267" s="7"/>
      <c r="M29267" s="9" t="s">
        <v>27</v>
      </c>
    </row>
    <row r="29268" ht="15.75" customHeight="1">
      <c r="A29268" s="7"/>
      <c r="B29268" s="7"/>
      <c r="M29268" s="9" t="s">
        <v>38</v>
      </c>
    </row>
    <row r="29269" ht="15.75" customHeight="1">
      <c r="A29269" s="7"/>
      <c r="B29269" s="7"/>
      <c r="M29269" s="9" t="s">
        <v>30</v>
      </c>
    </row>
    <row r="29270" ht="15.75" customHeight="1">
      <c r="A29270" s="7"/>
      <c r="B29270" s="7"/>
      <c r="M29270" s="9" t="s">
        <v>25</v>
      </c>
    </row>
    <row r="29271" ht="15.75" customHeight="1">
      <c r="A29271" s="7"/>
      <c r="B29271" s="7"/>
      <c r="M29271" s="9" t="s">
        <v>23</v>
      </c>
    </row>
    <row r="29272" ht="15.75" customHeight="1">
      <c r="A29272" s="7"/>
      <c r="B29272" s="7"/>
      <c r="M29272" s="9" t="s">
        <v>24</v>
      </c>
    </row>
    <row r="29273" ht="15.75" customHeight="1">
      <c r="A29273" s="7"/>
      <c r="B29273" s="7"/>
      <c r="M29273" s="9" t="s">
        <v>20</v>
      </c>
    </row>
    <row r="29274" ht="15.75" customHeight="1">
      <c r="A29274" s="7"/>
      <c r="B29274" s="7"/>
      <c r="M29274" s="9" t="s">
        <v>21</v>
      </c>
    </row>
    <row r="29275" ht="15.75" customHeight="1">
      <c r="A29275" s="7"/>
      <c r="B29275" s="7"/>
      <c r="M29275" s="9" t="s">
        <v>22</v>
      </c>
    </row>
    <row r="29276" ht="15.75" customHeight="1">
      <c r="A29276" s="7"/>
      <c r="B29276" s="7"/>
      <c r="M29276" s="9" t="s">
        <v>27</v>
      </c>
    </row>
    <row r="29277" ht="15.75" customHeight="1">
      <c r="A29277" s="7"/>
      <c r="B29277" s="7"/>
      <c r="M29277" s="9" t="s">
        <v>26</v>
      </c>
    </row>
    <row r="29278" ht="15.75" customHeight="1">
      <c r="A29278" s="7"/>
      <c r="B29278" s="7"/>
      <c r="M29278" s="9" t="s">
        <v>20</v>
      </c>
    </row>
    <row r="29279" ht="15.75" customHeight="1">
      <c r="A29279" s="7"/>
      <c r="B29279" s="7"/>
      <c r="M29279" s="9" t="s">
        <v>21</v>
      </c>
    </row>
    <row r="29280" ht="15.75" customHeight="1">
      <c r="A29280" s="7"/>
      <c r="B29280" s="7"/>
      <c r="M29280" s="9" t="s">
        <v>39</v>
      </c>
    </row>
    <row r="29281" ht="15.75" customHeight="1">
      <c r="A29281" s="7"/>
      <c r="B29281" s="7"/>
      <c r="M29281" s="9" t="s">
        <v>27</v>
      </c>
    </row>
    <row r="29282" ht="15.75" customHeight="1">
      <c r="A29282" s="7"/>
      <c r="B29282" s="7"/>
      <c r="M29282" s="9" t="s">
        <v>33</v>
      </c>
    </row>
    <row r="29283" ht="15.75" customHeight="1">
      <c r="A29283" s="7"/>
      <c r="B29283" s="7"/>
      <c r="M29283" s="9" t="s">
        <v>30</v>
      </c>
    </row>
    <row r="29284" ht="15.75" customHeight="1">
      <c r="A29284" s="7"/>
      <c r="B29284" s="7"/>
      <c r="M29284" s="9" t="s">
        <v>27</v>
      </c>
    </row>
    <row r="29285" ht="15.75" customHeight="1">
      <c r="A29285" s="7"/>
      <c r="B29285" s="7"/>
      <c r="M29285" s="9" t="s">
        <v>26</v>
      </c>
    </row>
    <row r="29286" ht="15.75" customHeight="1">
      <c r="A29286" s="7"/>
      <c r="B29286" s="7"/>
      <c r="M29286" s="9" t="s">
        <v>24</v>
      </c>
    </row>
    <row r="29287" ht="15.75" customHeight="1">
      <c r="A29287" s="7"/>
      <c r="B29287" s="7"/>
      <c r="M29287" s="9" t="s">
        <v>20</v>
      </c>
    </row>
    <row r="29288" ht="15.75" customHeight="1">
      <c r="A29288" s="7"/>
      <c r="B29288" s="7"/>
      <c r="M29288" s="9" t="s">
        <v>21</v>
      </c>
    </row>
    <row r="29289" ht="15.75" customHeight="1">
      <c r="A29289" s="7"/>
      <c r="B29289" s="7"/>
      <c r="M29289" s="9" t="s">
        <v>27</v>
      </c>
    </row>
    <row r="29290" ht="15.75" customHeight="1">
      <c r="A29290" s="7"/>
      <c r="B29290" s="7"/>
      <c r="M29290" s="9" t="s">
        <v>24</v>
      </c>
    </row>
    <row r="29291" ht="15.75" customHeight="1">
      <c r="A29291" s="7"/>
      <c r="B29291" s="7"/>
      <c r="M29291" s="9" t="s">
        <v>21</v>
      </c>
    </row>
    <row r="29292" ht="15.75" customHeight="1">
      <c r="A29292" s="7"/>
      <c r="B29292" s="7"/>
      <c r="M29292" s="9" t="s">
        <v>32</v>
      </c>
    </row>
    <row r="29293" ht="15.75" customHeight="1">
      <c r="A29293" s="7"/>
      <c r="B29293" s="7"/>
      <c r="M29293" s="9" t="s">
        <v>30</v>
      </c>
    </row>
    <row r="29294" ht="15.75" customHeight="1">
      <c r="A29294" s="7"/>
      <c r="B29294" s="7"/>
      <c r="M29294" s="9" t="s">
        <v>44</v>
      </c>
    </row>
    <row r="29295" ht="15.75" customHeight="1">
      <c r="A29295" s="7"/>
      <c r="B29295" s="7"/>
      <c r="M29295" s="9" t="s">
        <v>24</v>
      </c>
    </row>
    <row r="29296" ht="15.75" customHeight="1">
      <c r="A29296" s="7"/>
      <c r="B29296" s="7"/>
      <c r="M29296" s="9" t="s">
        <v>20</v>
      </c>
    </row>
    <row r="29297" ht="15.75" customHeight="1">
      <c r="A29297" s="7"/>
      <c r="B29297" s="7"/>
      <c r="M29297" s="9" t="s">
        <v>21</v>
      </c>
    </row>
    <row r="29298" ht="15.75" customHeight="1">
      <c r="A29298" s="7"/>
      <c r="B29298" s="7"/>
      <c r="M29298" s="9" t="s">
        <v>27</v>
      </c>
    </row>
    <row r="29299" ht="15.75" customHeight="1">
      <c r="A29299" s="7"/>
      <c r="B29299" s="7"/>
      <c r="M29299" s="9" t="s">
        <v>23</v>
      </c>
    </row>
    <row r="29300" ht="15.75" customHeight="1">
      <c r="A29300" s="7"/>
      <c r="B29300" s="7"/>
      <c r="M29300" s="9" t="s">
        <v>24</v>
      </c>
    </row>
    <row r="29301" ht="15.75" customHeight="1">
      <c r="A29301" s="7"/>
      <c r="B29301" s="7"/>
      <c r="M29301" s="9" t="s">
        <v>20</v>
      </c>
    </row>
    <row r="29302" ht="15.75" customHeight="1">
      <c r="A29302" s="7"/>
      <c r="B29302" s="7"/>
      <c r="M29302" s="9" t="s">
        <v>21</v>
      </c>
    </row>
    <row r="29303" ht="15.75" customHeight="1">
      <c r="A29303" s="7"/>
      <c r="B29303" s="7"/>
      <c r="M29303" s="9" t="s">
        <v>27</v>
      </c>
    </row>
    <row r="29304" ht="15.75" customHeight="1">
      <c r="A29304" s="7"/>
      <c r="B29304" s="7"/>
      <c r="M29304" s="9" t="s">
        <v>33</v>
      </c>
    </row>
    <row r="29305" ht="15.75" customHeight="1">
      <c r="A29305" s="7"/>
      <c r="B29305" s="7"/>
      <c r="M29305" s="9" t="s">
        <v>21</v>
      </c>
    </row>
    <row r="29306" ht="15.75" customHeight="1">
      <c r="A29306" s="7"/>
      <c r="B29306" s="7"/>
      <c r="M29306" s="9" t="s">
        <v>22</v>
      </c>
    </row>
    <row r="29307" ht="15.75" customHeight="1">
      <c r="A29307" s="7"/>
      <c r="B29307" s="7"/>
      <c r="M29307" s="9" t="s">
        <v>31</v>
      </c>
    </row>
    <row r="29308" ht="15.75" customHeight="1">
      <c r="A29308" s="7"/>
      <c r="B29308" s="7"/>
      <c r="M29308" s="9" t="s">
        <v>40</v>
      </c>
    </row>
    <row r="29309" ht="15.75" customHeight="1">
      <c r="A29309" s="7"/>
      <c r="B29309" s="7"/>
      <c r="M29309" s="9" t="s">
        <v>24</v>
      </c>
    </row>
    <row r="29310" ht="15.75" customHeight="1">
      <c r="A29310" s="7"/>
      <c r="B29310" s="7"/>
      <c r="M29310" s="9" t="s">
        <v>21</v>
      </c>
    </row>
    <row r="29311" ht="15.75" customHeight="1">
      <c r="A29311" s="7"/>
      <c r="B29311" s="7"/>
      <c r="M29311" s="9" t="s">
        <v>27</v>
      </c>
    </row>
    <row r="29312" ht="15.75" customHeight="1">
      <c r="A29312" s="7"/>
      <c r="B29312" s="7"/>
      <c r="M29312" s="9" t="s">
        <v>28</v>
      </c>
    </row>
    <row r="29313" ht="15.75" customHeight="1">
      <c r="A29313" s="7"/>
      <c r="B29313" s="7"/>
      <c r="M29313" s="9" t="s">
        <v>25</v>
      </c>
    </row>
    <row r="29314" ht="15.75" customHeight="1">
      <c r="A29314" s="7"/>
      <c r="B29314" s="7"/>
      <c r="M29314" s="9" t="s">
        <v>26</v>
      </c>
    </row>
    <row r="29315" ht="15.75" customHeight="1">
      <c r="A29315" s="7"/>
      <c r="B29315" s="7"/>
      <c r="M29315" s="9" t="s">
        <v>24</v>
      </c>
    </row>
    <row r="29316" ht="15.75" customHeight="1">
      <c r="A29316" s="7"/>
      <c r="B29316" s="7"/>
      <c r="M29316" s="9" t="s">
        <v>20</v>
      </c>
    </row>
    <row r="29317" ht="15.75" customHeight="1">
      <c r="A29317" s="7"/>
      <c r="B29317" s="7"/>
      <c r="M29317" s="9" t="s">
        <v>21</v>
      </c>
    </row>
    <row r="29318" ht="15.75" customHeight="1">
      <c r="A29318" s="7"/>
      <c r="B29318" s="7"/>
      <c r="M29318" s="9" t="s">
        <v>37</v>
      </c>
    </row>
    <row r="29319" ht="15.75" customHeight="1">
      <c r="A29319" s="7"/>
      <c r="B29319" s="7"/>
      <c r="M29319" s="9" t="s">
        <v>27</v>
      </c>
    </row>
    <row r="29320" ht="15.75" customHeight="1">
      <c r="A29320" s="7"/>
      <c r="B29320" s="7"/>
      <c r="M29320" s="9" t="s">
        <v>33</v>
      </c>
    </row>
    <row r="29321" ht="15.75" customHeight="1">
      <c r="A29321" s="7"/>
      <c r="B29321" s="7"/>
      <c r="M29321" s="9" t="s">
        <v>25</v>
      </c>
    </row>
    <row r="29322" ht="15.75" customHeight="1">
      <c r="A29322" s="7"/>
      <c r="B29322" s="7"/>
      <c r="M29322" s="9" t="s">
        <v>23</v>
      </c>
    </row>
    <row r="29323" ht="15.75" customHeight="1">
      <c r="A29323" s="7"/>
      <c r="B29323" s="7"/>
      <c r="M29323" s="9" t="s">
        <v>22</v>
      </c>
    </row>
    <row r="29324" ht="15.75" customHeight="1">
      <c r="A29324" s="7"/>
      <c r="B29324" s="7"/>
      <c r="M29324" s="9" t="s">
        <v>27</v>
      </c>
    </row>
    <row r="29325" ht="15.75" customHeight="1">
      <c r="A29325" s="7"/>
      <c r="B29325" s="7"/>
      <c r="M29325" s="9" t="s">
        <v>35</v>
      </c>
    </row>
    <row r="29326" ht="15.75" customHeight="1">
      <c r="A29326" s="7"/>
      <c r="B29326" s="7"/>
      <c r="M29326" s="9" t="s">
        <v>21</v>
      </c>
    </row>
    <row r="29327" ht="15.75" customHeight="1">
      <c r="A29327" s="7"/>
      <c r="B29327" s="7"/>
      <c r="M29327" s="9" t="s">
        <v>25</v>
      </c>
    </row>
    <row r="29328" ht="15.75" customHeight="1">
      <c r="A29328" s="7"/>
      <c r="B29328" s="7"/>
      <c r="M29328" s="9" t="s">
        <v>24</v>
      </c>
    </row>
    <row r="29329" ht="15.75" customHeight="1">
      <c r="A29329" s="7"/>
      <c r="B29329" s="7"/>
      <c r="M29329" s="9" t="s">
        <v>20</v>
      </c>
    </row>
    <row r="29330" ht="15.75" customHeight="1">
      <c r="A29330" s="7"/>
      <c r="B29330" s="7"/>
      <c r="M29330" s="9" t="s">
        <v>21</v>
      </c>
    </row>
    <row r="29331" ht="15.75" customHeight="1">
      <c r="A29331" s="7"/>
      <c r="B29331" s="7"/>
      <c r="M29331" s="9" t="s">
        <v>37</v>
      </c>
    </row>
    <row r="29332" ht="15.75" customHeight="1">
      <c r="A29332" s="7"/>
      <c r="B29332" s="7"/>
      <c r="M29332" s="9" t="s">
        <v>27</v>
      </c>
    </row>
    <row r="29333" ht="15.75" customHeight="1">
      <c r="A29333" s="7"/>
      <c r="B29333" s="7"/>
      <c r="M29333" s="9" t="s">
        <v>25</v>
      </c>
    </row>
    <row r="29334" ht="15.75" customHeight="1">
      <c r="A29334" s="7"/>
      <c r="B29334" s="7"/>
      <c r="M29334" s="9" t="s">
        <v>23</v>
      </c>
    </row>
    <row r="29335" ht="15.75" customHeight="1">
      <c r="A29335" s="7"/>
      <c r="B29335" s="7"/>
      <c r="M29335" s="9" t="s">
        <v>35</v>
      </c>
    </row>
    <row r="29336" ht="15.75" customHeight="1">
      <c r="A29336" s="7"/>
      <c r="B29336" s="7"/>
      <c r="M29336" s="9" t="s">
        <v>23</v>
      </c>
    </row>
    <row r="29337" ht="15.75" customHeight="1">
      <c r="A29337" s="7"/>
      <c r="B29337" s="7"/>
      <c r="M29337" s="9" t="s">
        <v>20</v>
      </c>
    </row>
    <row r="29338" ht="15.75" customHeight="1">
      <c r="A29338" s="7"/>
      <c r="B29338" s="7"/>
      <c r="M29338" s="9" t="s">
        <v>28</v>
      </c>
    </row>
    <row r="29339" ht="15.75" customHeight="1">
      <c r="A29339" s="7"/>
      <c r="B29339" s="7"/>
      <c r="M29339" s="9" t="s">
        <v>26</v>
      </c>
    </row>
    <row r="29340" ht="15.75" customHeight="1">
      <c r="A29340" s="7"/>
      <c r="B29340" s="7"/>
      <c r="M29340" s="9" t="s">
        <v>27</v>
      </c>
    </row>
    <row r="29341" ht="15.75" customHeight="1">
      <c r="A29341" s="7"/>
      <c r="B29341" s="7"/>
      <c r="M29341" s="9" t="s">
        <v>38</v>
      </c>
    </row>
    <row r="29342" ht="15.75" customHeight="1">
      <c r="A29342" s="7"/>
      <c r="B29342" s="7"/>
      <c r="M29342" s="9" t="s">
        <v>30</v>
      </c>
    </row>
    <row r="29343" ht="15.75" customHeight="1">
      <c r="A29343" s="7"/>
      <c r="B29343" s="7"/>
      <c r="M29343" s="9" t="s">
        <v>25</v>
      </c>
    </row>
    <row r="29344" ht="15.75" customHeight="1">
      <c r="A29344" s="7"/>
      <c r="B29344" s="7"/>
      <c r="M29344" s="9" t="s">
        <v>23</v>
      </c>
    </row>
    <row r="29345" ht="15.75" customHeight="1">
      <c r="A29345" s="7"/>
      <c r="B29345" s="7"/>
      <c r="M29345" s="9" t="s">
        <v>26</v>
      </c>
    </row>
    <row r="29346" ht="15.75" customHeight="1">
      <c r="A29346" s="7"/>
      <c r="B29346" s="7"/>
      <c r="M29346" s="9" t="s">
        <v>24</v>
      </c>
    </row>
    <row r="29347" ht="15.75" customHeight="1">
      <c r="A29347" s="7"/>
      <c r="B29347" s="7"/>
      <c r="M29347" s="9" t="s">
        <v>20</v>
      </c>
    </row>
    <row r="29348" ht="15.75" customHeight="1">
      <c r="A29348" s="7"/>
      <c r="B29348" s="7"/>
      <c r="M29348" s="9" t="s">
        <v>21</v>
      </c>
    </row>
    <row r="29349" ht="15.75" customHeight="1">
      <c r="A29349" s="7"/>
      <c r="B29349" s="7"/>
      <c r="M29349" s="9" t="s">
        <v>22</v>
      </c>
    </row>
    <row r="29350" ht="15.75" customHeight="1">
      <c r="A29350" s="7"/>
      <c r="B29350" s="7"/>
      <c r="M29350" s="9" t="s">
        <v>27</v>
      </c>
    </row>
    <row r="29351" ht="15.75" customHeight="1">
      <c r="A29351" s="7"/>
      <c r="B29351" s="7"/>
      <c r="M29351" s="9" t="s">
        <v>33</v>
      </c>
    </row>
    <row r="29352" ht="15.75" customHeight="1">
      <c r="A29352" s="7"/>
      <c r="B29352" s="7"/>
      <c r="M29352" s="9" t="s">
        <v>34</v>
      </c>
    </row>
    <row r="29353" ht="15.75" customHeight="1">
      <c r="A29353" s="7"/>
      <c r="B29353" s="7"/>
      <c r="M29353" s="9" t="s">
        <v>38</v>
      </c>
    </row>
    <row r="29354" ht="15.75" customHeight="1">
      <c r="A29354" s="7"/>
      <c r="B29354" s="7"/>
      <c r="M29354" s="9" t="s">
        <v>25</v>
      </c>
    </row>
    <row r="29355" ht="15.75" customHeight="1">
      <c r="A29355" s="7"/>
      <c r="B29355" s="7"/>
      <c r="M29355" s="9" t="s">
        <v>23</v>
      </c>
    </row>
    <row r="29356" ht="15.75" customHeight="1">
      <c r="A29356" s="7"/>
      <c r="B29356" s="7"/>
      <c r="M29356" s="9" t="s">
        <v>20</v>
      </c>
    </row>
    <row r="29357" ht="15.75" customHeight="1">
      <c r="A29357" s="7"/>
      <c r="B29357" s="7"/>
      <c r="M29357" s="9" t="s">
        <v>21</v>
      </c>
    </row>
    <row r="29358" ht="15.75" customHeight="1">
      <c r="A29358" s="7"/>
      <c r="B29358" s="7"/>
      <c r="M29358" s="9" t="s">
        <v>37</v>
      </c>
    </row>
    <row r="29359" ht="15.75" customHeight="1">
      <c r="A29359" s="7"/>
      <c r="B29359" s="7"/>
      <c r="M29359" s="9" t="s">
        <v>22</v>
      </c>
    </row>
    <row r="29360" ht="15.75" customHeight="1">
      <c r="A29360" s="7"/>
      <c r="B29360" s="7"/>
      <c r="M29360" s="9" t="s">
        <v>27</v>
      </c>
    </row>
    <row r="29361" ht="15.75" customHeight="1">
      <c r="A29361" s="7"/>
      <c r="B29361" s="7"/>
      <c r="M29361" s="9" t="s">
        <v>40</v>
      </c>
    </row>
    <row r="29362" ht="15.75" customHeight="1">
      <c r="A29362" s="7"/>
      <c r="B29362" s="7"/>
      <c r="M29362" s="9" t="s">
        <v>33</v>
      </c>
    </row>
    <row r="29363" ht="15.75" customHeight="1">
      <c r="A29363" s="7"/>
      <c r="B29363" s="7"/>
      <c r="M29363" s="9" t="s">
        <v>44</v>
      </c>
    </row>
    <row r="29364" ht="15.75" customHeight="1">
      <c r="A29364" s="7"/>
      <c r="B29364" s="7"/>
      <c r="M29364" s="9" t="s">
        <v>22</v>
      </c>
    </row>
    <row r="29365" ht="15.75" customHeight="1">
      <c r="A29365" s="7"/>
      <c r="B29365" s="7"/>
      <c r="M29365" s="9" t="s">
        <v>35</v>
      </c>
    </row>
    <row r="29366" ht="15.75" customHeight="1">
      <c r="A29366" s="7"/>
      <c r="B29366" s="7"/>
      <c r="M29366" s="9" t="s">
        <v>25</v>
      </c>
    </row>
    <row r="29367" ht="15.75" customHeight="1">
      <c r="A29367" s="7"/>
      <c r="B29367" s="7"/>
      <c r="M29367" s="9" t="s">
        <v>23</v>
      </c>
    </row>
    <row r="29368" ht="15.75" customHeight="1">
      <c r="A29368" s="7"/>
      <c r="B29368" s="7"/>
      <c r="M29368" s="9" t="s">
        <v>26</v>
      </c>
    </row>
    <row r="29369" ht="15.75" customHeight="1">
      <c r="A29369" s="7"/>
      <c r="B29369" s="7"/>
      <c r="M29369" s="9" t="s">
        <v>20</v>
      </c>
    </row>
    <row r="29370" ht="15.75" customHeight="1">
      <c r="A29370" s="7"/>
      <c r="B29370" s="7"/>
      <c r="M29370" s="9" t="s">
        <v>24</v>
      </c>
    </row>
    <row r="29371" ht="15.75" customHeight="1">
      <c r="A29371" s="7"/>
      <c r="B29371" s="7"/>
      <c r="M29371" s="9" t="s">
        <v>21</v>
      </c>
    </row>
    <row r="29372" ht="15.75" customHeight="1">
      <c r="A29372" s="7"/>
      <c r="B29372" s="7"/>
      <c r="M29372" s="9" t="s">
        <v>37</v>
      </c>
    </row>
    <row r="29373" ht="15.75" customHeight="1">
      <c r="A29373" s="7"/>
      <c r="B29373" s="7"/>
      <c r="M29373" s="9" t="s">
        <v>27</v>
      </c>
    </row>
    <row r="29374" ht="15.75" customHeight="1">
      <c r="A29374" s="7"/>
      <c r="B29374" s="7"/>
      <c r="M29374" s="9" t="s">
        <v>21</v>
      </c>
    </row>
    <row r="29375" ht="15.75" customHeight="1">
      <c r="A29375" s="7"/>
      <c r="B29375" s="7"/>
      <c r="M29375" s="9" t="s">
        <v>22</v>
      </c>
    </row>
    <row r="29376" ht="15.75" customHeight="1">
      <c r="A29376" s="7"/>
      <c r="B29376" s="7"/>
      <c r="M29376" s="9" t="s">
        <v>24</v>
      </c>
    </row>
    <row r="29377" ht="15.75" customHeight="1">
      <c r="A29377" s="7"/>
      <c r="B29377" s="7"/>
      <c r="M29377" s="9" t="s">
        <v>21</v>
      </c>
    </row>
    <row r="29378" ht="15.75" customHeight="1">
      <c r="A29378" s="7"/>
      <c r="B29378" s="7"/>
      <c r="M29378" s="9" t="s">
        <v>37</v>
      </c>
    </row>
    <row r="29379" ht="15.75" customHeight="1">
      <c r="A29379" s="7"/>
      <c r="B29379" s="7"/>
      <c r="M29379" s="9" t="s">
        <v>24</v>
      </c>
    </row>
    <row r="29380" ht="15.75" customHeight="1">
      <c r="A29380" s="7"/>
      <c r="B29380" s="7"/>
      <c r="M29380" s="9" t="s">
        <v>21</v>
      </c>
    </row>
    <row r="29381" ht="15.75" customHeight="1">
      <c r="A29381" s="7"/>
      <c r="B29381" s="7"/>
      <c r="M29381" s="9" t="s">
        <v>30</v>
      </c>
    </row>
    <row r="29382" ht="15.75" customHeight="1">
      <c r="A29382" s="7"/>
      <c r="B29382" s="7"/>
      <c r="M29382" s="9" t="s">
        <v>24</v>
      </c>
    </row>
    <row r="29383" ht="15.75" customHeight="1">
      <c r="A29383" s="7"/>
      <c r="B29383" s="7"/>
      <c r="M29383" s="9" t="s">
        <v>20</v>
      </c>
    </row>
    <row r="29384" ht="15.75" customHeight="1">
      <c r="A29384" s="7"/>
      <c r="B29384" s="7"/>
      <c r="M29384" s="9" t="s">
        <v>21</v>
      </c>
    </row>
    <row r="29385" ht="15.75" customHeight="1">
      <c r="A29385" s="7"/>
      <c r="B29385" s="7"/>
      <c r="M29385" s="9" t="s">
        <v>37</v>
      </c>
    </row>
    <row r="29386" ht="15.75" customHeight="1">
      <c r="A29386" s="7"/>
      <c r="B29386" s="7"/>
      <c r="M29386" s="9" t="s">
        <v>22</v>
      </c>
    </row>
    <row r="29387" ht="15.75" customHeight="1">
      <c r="A29387" s="7"/>
      <c r="B29387" s="7"/>
      <c r="M29387" s="9" t="s">
        <v>20</v>
      </c>
    </row>
    <row r="29388" ht="15.75" customHeight="1">
      <c r="A29388" s="7"/>
      <c r="B29388" s="7"/>
      <c r="M29388" s="9" t="s">
        <v>27</v>
      </c>
    </row>
    <row r="29389" ht="15.75" customHeight="1">
      <c r="A29389" s="7"/>
      <c r="B29389" s="7"/>
      <c r="M29389" s="9" t="s">
        <v>30</v>
      </c>
    </row>
    <row r="29390" ht="15.75" customHeight="1">
      <c r="A29390" s="7"/>
      <c r="B29390" s="7"/>
      <c r="M29390" s="9" t="s">
        <v>26</v>
      </c>
    </row>
    <row r="29391" ht="15.75" customHeight="1">
      <c r="A29391" s="7"/>
      <c r="B29391" s="7"/>
      <c r="M29391" s="9" t="s">
        <v>24</v>
      </c>
    </row>
    <row r="29392" ht="15.75" customHeight="1">
      <c r="A29392" s="7"/>
      <c r="B29392" s="7"/>
      <c r="M29392" s="9" t="s">
        <v>21</v>
      </c>
    </row>
    <row r="29393" ht="15.75" customHeight="1">
      <c r="A29393" s="7"/>
      <c r="B29393" s="7"/>
      <c r="M29393" s="9" t="s">
        <v>22</v>
      </c>
    </row>
    <row r="29394" ht="15.75" customHeight="1">
      <c r="A29394" s="7"/>
      <c r="B29394" s="7"/>
      <c r="M29394" s="9" t="s">
        <v>27</v>
      </c>
    </row>
    <row r="29395" ht="15.75" customHeight="1">
      <c r="A29395" s="7"/>
      <c r="B29395" s="7"/>
      <c r="M29395" s="9" t="s">
        <v>30</v>
      </c>
    </row>
    <row r="29396" ht="15.75" customHeight="1">
      <c r="A29396" s="7"/>
      <c r="B29396" s="7"/>
      <c r="M29396" s="9" t="s">
        <v>24</v>
      </c>
    </row>
    <row r="29397" ht="15.75" customHeight="1">
      <c r="A29397" s="7"/>
      <c r="B29397" s="7"/>
      <c r="M29397" s="9" t="s">
        <v>20</v>
      </c>
    </row>
    <row r="29398" ht="15.75" customHeight="1">
      <c r="A29398" s="7"/>
      <c r="B29398" s="7"/>
      <c r="M29398" s="9" t="s">
        <v>21</v>
      </c>
    </row>
    <row r="29399" ht="15.75" customHeight="1">
      <c r="A29399" s="7"/>
      <c r="B29399" s="7"/>
      <c r="M29399" s="9" t="s">
        <v>27</v>
      </c>
    </row>
    <row r="29400" ht="15.75" customHeight="1">
      <c r="A29400" s="7"/>
      <c r="B29400" s="7"/>
      <c r="M29400" s="9" t="s">
        <v>33</v>
      </c>
    </row>
    <row r="29401" ht="15.75" customHeight="1">
      <c r="A29401" s="7"/>
      <c r="B29401" s="7"/>
      <c r="M29401" s="9" t="s">
        <v>26</v>
      </c>
    </row>
    <row r="29402" ht="15.75" customHeight="1">
      <c r="A29402" s="7"/>
      <c r="B29402" s="7"/>
      <c r="M29402" s="9" t="s">
        <v>24</v>
      </c>
    </row>
    <row r="29403" ht="15.75" customHeight="1">
      <c r="A29403" s="7"/>
      <c r="B29403" s="7"/>
      <c r="M29403" s="9" t="s">
        <v>20</v>
      </c>
    </row>
    <row r="29404" ht="15.75" customHeight="1">
      <c r="A29404" s="7"/>
      <c r="B29404" s="7"/>
      <c r="M29404" s="9" t="s">
        <v>21</v>
      </c>
    </row>
    <row r="29405" ht="15.75" customHeight="1">
      <c r="A29405" s="7"/>
      <c r="B29405" s="7"/>
      <c r="M29405" s="9" t="s">
        <v>30</v>
      </c>
    </row>
    <row r="29406" ht="15.75" customHeight="1">
      <c r="A29406" s="7"/>
      <c r="B29406" s="7"/>
      <c r="M29406" s="9" t="s">
        <v>25</v>
      </c>
    </row>
    <row r="29407" ht="15.75" customHeight="1">
      <c r="A29407" s="7"/>
      <c r="B29407" s="7"/>
      <c r="M29407" s="9" t="s">
        <v>23</v>
      </c>
    </row>
    <row r="29408" ht="15.75" customHeight="1">
      <c r="A29408" s="7"/>
      <c r="B29408" s="7"/>
      <c r="M29408" s="9" t="s">
        <v>24</v>
      </c>
    </row>
    <row r="29409" ht="15.75" customHeight="1">
      <c r="A29409" s="7"/>
      <c r="B29409" s="7"/>
      <c r="M29409" s="9" t="s">
        <v>21</v>
      </c>
    </row>
    <row r="29410" ht="15.75" customHeight="1">
      <c r="A29410" s="7"/>
      <c r="B29410" s="7"/>
      <c r="M29410" s="9" t="s">
        <v>22</v>
      </c>
    </row>
    <row r="29411" ht="15.75" customHeight="1">
      <c r="A29411" s="7"/>
      <c r="B29411" s="7"/>
      <c r="M29411" s="9" t="s">
        <v>20</v>
      </c>
    </row>
    <row r="29412" ht="15.75" customHeight="1">
      <c r="A29412" s="7"/>
      <c r="B29412" s="7"/>
      <c r="M29412" s="9" t="s">
        <v>22</v>
      </c>
    </row>
    <row r="29413" ht="15.75" customHeight="1">
      <c r="A29413" s="7"/>
      <c r="B29413" s="7"/>
      <c r="M29413" s="9" t="s">
        <v>30</v>
      </c>
    </row>
    <row r="29414" ht="15.75" customHeight="1">
      <c r="A29414" s="7"/>
      <c r="B29414" s="7"/>
      <c r="M29414" s="9" t="s">
        <v>25</v>
      </c>
    </row>
    <row r="29415" ht="15.75" customHeight="1">
      <c r="A29415" s="7"/>
      <c r="B29415" s="7"/>
      <c r="M29415" s="9" t="s">
        <v>23</v>
      </c>
    </row>
    <row r="29416" ht="15.75" customHeight="1">
      <c r="A29416" s="7"/>
      <c r="B29416" s="7"/>
      <c r="M29416" s="9" t="s">
        <v>36</v>
      </c>
    </row>
    <row r="29417" ht="15.75" customHeight="1">
      <c r="A29417" s="7"/>
      <c r="B29417" s="7"/>
      <c r="M29417" s="9" t="s">
        <v>24</v>
      </c>
    </row>
    <row r="29418" ht="15.75" customHeight="1">
      <c r="A29418" s="7"/>
      <c r="B29418" s="7"/>
      <c r="M29418" s="9" t="s">
        <v>21</v>
      </c>
    </row>
    <row r="29419" ht="15.75" customHeight="1">
      <c r="A29419" s="7"/>
      <c r="B29419" s="7"/>
      <c r="M29419" s="9" t="s">
        <v>33</v>
      </c>
    </row>
    <row r="29420" ht="15.75" customHeight="1">
      <c r="A29420" s="7"/>
      <c r="B29420" s="7"/>
      <c r="M29420" s="9" t="s">
        <v>25</v>
      </c>
    </row>
    <row r="29421" ht="15.75" customHeight="1">
      <c r="A29421" s="7"/>
      <c r="B29421" s="7"/>
      <c r="M29421" s="9" t="s">
        <v>23</v>
      </c>
    </row>
    <row r="29422" ht="15.75" customHeight="1">
      <c r="A29422" s="7"/>
      <c r="B29422" s="7"/>
      <c r="M29422" s="9" t="s">
        <v>26</v>
      </c>
    </row>
    <row r="29423" ht="15.75" customHeight="1">
      <c r="A29423" s="7"/>
      <c r="B29423" s="7"/>
      <c r="M29423" s="9" t="s">
        <v>24</v>
      </c>
    </row>
    <row r="29424" ht="15.75" customHeight="1">
      <c r="A29424" s="7"/>
      <c r="B29424" s="7"/>
      <c r="M29424" s="9" t="s">
        <v>20</v>
      </c>
    </row>
    <row r="29425" ht="15.75" customHeight="1">
      <c r="A29425" s="7"/>
      <c r="B29425" s="7"/>
      <c r="M29425" s="9" t="s">
        <v>21</v>
      </c>
    </row>
    <row r="29426" ht="15.75" customHeight="1">
      <c r="A29426" s="7"/>
      <c r="B29426" s="7"/>
      <c r="M29426" s="9" t="s">
        <v>37</v>
      </c>
    </row>
    <row r="29427" ht="15.75" customHeight="1">
      <c r="A29427" s="7"/>
      <c r="B29427" s="7"/>
      <c r="M29427" s="9" t="s">
        <v>22</v>
      </c>
    </row>
    <row r="29428" ht="15.75" customHeight="1">
      <c r="A29428" s="7"/>
      <c r="B29428" s="7"/>
      <c r="M29428" s="9" t="s">
        <v>27</v>
      </c>
    </row>
    <row r="29429" ht="15.75" customHeight="1">
      <c r="A29429" s="7"/>
      <c r="B29429" s="7"/>
      <c r="M29429" s="9" t="s">
        <v>30</v>
      </c>
    </row>
    <row r="29430" ht="15.75" customHeight="1">
      <c r="A29430" s="7"/>
      <c r="B29430" s="7"/>
      <c r="M29430" s="9" t="s">
        <v>24</v>
      </c>
    </row>
    <row r="29431" ht="15.75" customHeight="1">
      <c r="A29431" s="7"/>
      <c r="B29431" s="7"/>
      <c r="M29431" s="9" t="s">
        <v>20</v>
      </c>
    </row>
    <row r="29432" ht="15.75" customHeight="1">
      <c r="A29432" s="7"/>
      <c r="B29432" s="7"/>
      <c r="M29432" s="9" t="s">
        <v>21</v>
      </c>
    </row>
    <row r="29433" ht="15.75" customHeight="1">
      <c r="A29433" s="7"/>
      <c r="B29433" s="7"/>
      <c r="M29433" s="9" t="s">
        <v>27</v>
      </c>
    </row>
    <row r="29434" ht="15.75" customHeight="1">
      <c r="A29434" s="7"/>
      <c r="B29434" s="7"/>
      <c r="M29434" s="9" t="s">
        <v>25</v>
      </c>
    </row>
    <row r="29435" ht="15.75" customHeight="1">
      <c r="A29435" s="7"/>
      <c r="B29435" s="7"/>
      <c r="M29435" s="9" t="s">
        <v>26</v>
      </c>
    </row>
    <row r="29436" ht="15.75" customHeight="1">
      <c r="A29436" s="7"/>
      <c r="B29436" s="7"/>
      <c r="M29436" s="9" t="s">
        <v>36</v>
      </c>
    </row>
    <row r="29437" ht="15.75" customHeight="1">
      <c r="A29437" s="7"/>
      <c r="B29437" s="7"/>
      <c r="M29437" s="9" t="s">
        <v>24</v>
      </c>
    </row>
    <row r="29438" ht="15.75" customHeight="1">
      <c r="A29438" s="7"/>
      <c r="B29438" s="7"/>
      <c r="M29438" s="9" t="s">
        <v>21</v>
      </c>
    </row>
    <row r="29439" ht="15.75" customHeight="1">
      <c r="A29439" s="7"/>
      <c r="B29439" s="7"/>
      <c r="M29439" s="9" t="s">
        <v>22</v>
      </c>
    </row>
    <row r="29440" ht="15.75" customHeight="1">
      <c r="A29440" s="7"/>
      <c r="B29440" s="7"/>
      <c r="M29440" s="9" t="s">
        <v>22</v>
      </c>
    </row>
    <row r="29441" ht="15.75" customHeight="1">
      <c r="A29441" s="7"/>
      <c r="B29441" s="7"/>
      <c r="M29441" s="9" t="s">
        <v>27</v>
      </c>
    </row>
    <row r="29442" ht="15.75" customHeight="1">
      <c r="A29442" s="7"/>
      <c r="B29442" s="7"/>
      <c r="M29442" s="9" t="s">
        <v>25</v>
      </c>
    </row>
    <row r="29443" ht="15.75" customHeight="1">
      <c r="A29443" s="7"/>
      <c r="B29443" s="7"/>
      <c r="M29443" s="9" t="s">
        <v>23</v>
      </c>
    </row>
    <row r="29444" ht="15.75" customHeight="1">
      <c r="A29444" s="7"/>
      <c r="B29444" s="7"/>
      <c r="M29444" s="9" t="s">
        <v>22</v>
      </c>
    </row>
    <row r="29445" ht="15.75" customHeight="1">
      <c r="A29445" s="7"/>
      <c r="B29445" s="7"/>
      <c r="M29445" s="9" t="s">
        <v>21</v>
      </c>
    </row>
    <row r="29446" ht="15.75" customHeight="1">
      <c r="A29446" s="7"/>
      <c r="B29446" s="7"/>
      <c r="M29446" s="9" t="s">
        <v>29</v>
      </c>
    </row>
    <row r="29447" ht="15.75" customHeight="1">
      <c r="A29447" s="7"/>
      <c r="B29447" s="7"/>
      <c r="M29447" s="9" t="s">
        <v>25</v>
      </c>
    </row>
    <row r="29448" ht="15.75" customHeight="1">
      <c r="A29448" s="7"/>
      <c r="B29448" s="7"/>
      <c r="M29448" s="9" t="s">
        <v>23</v>
      </c>
    </row>
    <row r="29449" ht="15.75" customHeight="1">
      <c r="A29449" s="7"/>
      <c r="B29449" s="7"/>
      <c r="M29449" s="9" t="s">
        <v>20</v>
      </c>
    </row>
    <row r="29450" ht="15.75" customHeight="1">
      <c r="A29450" s="7"/>
      <c r="B29450" s="7"/>
      <c r="M29450" s="9" t="s">
        <v>22</v>
      </c>
    </row>
    <row r="29451" ht="15.75" customHeight="1">
      <c r="A29451" s="7"/>
      <c r="B29451" s="7"/>
      <c r="M29451" s="9" t="s">
        <v>24</v>
      </c>
    </row>
    <row r="29452" ht="15.75" customHeight="1">
      <c r="A29452" s="7"/>
      <c r="B29452" s="7"/>
      <c r="M29452" s="9" t="s">
        <v>21</v>
      </c>
    </row>
    <row r="29453" ht="15.75" customHeight="1">
      <c r="A29453" s="7"/>
      <c r="B29453" s="7"/>
      <c r="M29453" s="9" t="s">
        <v>37</v>
      </c>
    </row>
    <row r="29454" ht="15.75" customHeight="1">
      <c r="A29454" s="7"/>
      <c r="B29454" s="7"/>
      <c r="M29454" s="9" t="s">
        <v>31</v>
      </c>
    </row>
    <row r="29455" ht="15.75" customHeight="1">
      <c r="A29455" s="7"/>
      <c r="B29455" s="7"/>
      <c r="M29455" s="9" t="s">
        <v>24</v>
      </c>
    </row>
    <row r="29456" ht="15.75" customHeight="1">
      <c r="A29456" s="7"/>
      <c r="B29456" s="7"/>
      <c r="M29456" s="9" t="s">
        <v>20</v>
      </c>
    </row>
    <row r="29457" ht="15.75" customHeight="1">
      <c r="A29457" s="7"/>
      <c r="B29457" s="7"/>
      <c r="M29457" s="9" t="s">
        <v>21</v>
      </c>
    </row>
    <row r="29458" ht="15.75" customHeight="1">
      <c r="A29458" s="7"/>
      <c r="B29458" s="7"/>
      <c r="M29458" s="9" t="s">
        <v>22</v>
      </c>
    </row>
    <row r="29459" ht="15.75" customHeight="1">
      <c r="A29459" s="7"/>
      <c r="B29459" s="7"/>
      <c r="M29459" s="9" t="s">
        <v>30</v>
      </c>
    </row>
    <row r="29460" ht="15.75" customHeight="1">
      <c r="A29460" s="7"/>
      <c r="B29460" s="7"/>
      <c r="M29460" s="9" t="s">
        <v>23</v>
      </c>
    </row>
    <row r="29461" ht="15.75" customHeight="1">
      <c r="A29461" s="7"/>
      <c r="B29461" s="7"/>
      <c r="M29461" s="9" t="s">
        <v>26</v>
      </c>
    </row>
    <row r="29462" ht="15.75" customHeight="1">
      <c r="A29462" s="7"/>
      <c r="B29462" s="7"/>
      <c r="M29462" s="9" t="s">
        <v>47</v>
      </c>
    </row>
    <row r="29463" ht="15.75" customHeight="1">
      <c r="A29463" s="7"/>
      <c r="B29463" s="7"/>
      <c r="M29463" s="9" t="s">
        <v>45</v>
      </c>
    </row>
    <row r="29464" ht="15.75" customHeight="1">
      <c r="A29464" s="7"/>
      <c r="B29464" s="7"/>
      <c r="M29464" s="9" t="s">
        <v>24</v>
      </c>
    </row>
    <row r="29465" ht="15.75" customHeight="1">
      <c r="A29465" s="7"/>
      <c r="B29465" s="7"/>
      <c r="M29465" s="9" t="s">
        <v>20</v>
      </c>
    </row>
    <row r="29466" ht="15.75" customHeight="1">
      <c r="A29466" s="7"/>
      <c r="B29466" s="7"/>
      <c r="M29466" s="9" t="s">
        <v>21</v>
      </c>
    </row>
    <row r="29467" ht="15.75" customHeight="1">
      <c r="A29467" s="7"/>
      <c r="B29467" s="7"/>
      <c r="M29467" s="9" t="s">
        <v>39</v>
      </c>
    </row>
    <row r="29468" ht="15.75" customHeight="1">
      <c r="A29468" s="7"/>
      <c r="B29468" s="7"/>
      <c r="M29468" s="9" t="s">
        <v>41</v>
      </c>
    </row>
    <row r="29469" ht="15.75" customHeight="1">
      <c r="A29469" s="7"/>
      <c r="B29469" s="7"/>
      <c r="M29469" s="9" t="s">
        <v>27</v>
      </c>
    </row>
    <row r="29470" ht="15.75" customHeight="1">
      <c r="A29470" s="7"/>
      <c r="B29470" s="7"/>
      <c r="M29470" s="9" t="s">
        <v>40</v>
      </c>
    </row>
    <row r="29471" ht="15.75" customHeight="1">
      <c r="A29471" s="7"/>
      <c r="B29471" s="7"/>
      <c r="M29471" s="9" t="s">
        <v>33</v>
      </c>
    </row>
    <row r="29472" ht="15.75" customHeight="1">
      <c r="A29472" s="7"/>
      <c r="B29472" s="7"/>
      <c r="M29472" s="9" t="s">
        <v>30</v>
      </c>
    </row>
    <row r="29473" ht="15.75" customHeight="1">
      <c r="A29473" s="7"/>
      <c r="B29473" s="7"/>
      <c r="M29473" s="9" t="s">
        <v>24</v>
      </c>
    </row>
    <row r="29474" ht="15.75" customHeight="1">
      <c r="A29474" s="7"/>
      <c r="B29474" s="7"/>
      <c r="M29474" s="9" t="s">
        <v>21</v>
      </c>
    </row>
    <row r="29475" ht="15.75" customHeight="1">
      <c r="A29475" s="7"/>
      <c r="B29475" s="7"/>
      <c r="M29475" s="9" t="s">
        <v>20</v>
      </c>
    </row>
    <row r="29476" ht="15.75" customHeight="1">
      <c r="A29476" s="7"/>
      <c r="B29476" s="7"/>
      <c r="M29476" s="9" t="s">
        <v>22</v>
      </c>
    </row>
    <row r="29477" ht="15.75" customHeight="1">
      <c r="A29477" s="7"/>
      <c r="B29477" s="7"/>
      <c r="M29477" s="9" t="s">
        <v>32</v>
      </c>
    </row>
    <row r="29478" ht="15.75" customHeight="1">
      <c r="A29478" s="7"/>
      <c r="B29478" s="7"/>
      <c r="M29478" s="9" t="s">
        <v>24</v>
      </c>
    </row>
    <row r="29479" ht="15.75" customHeight="1">
      <c r="A29479" s="7"/>
      <c r="B29479" s="7"/>
      <c r="M29479" s="9" t="s">
        <v>21</v>
      </c>
    </row>
    <row r="29480" ht="15.75" customHeight="1">
      <c r="A29480" s="7"/>
      <c r="B29480" s="7"/>
      <c r="M29480" s="9" t="s">
        <v>33</v>
      </c>
    </row>
    <row r="29481" ht="15.75" customHeight="1">
      <c r="A29481" s="7"/>
      <c r="B29481" s="7"/>
      <c r="M29481" s="9" t="s">
        <v>30</v>
      </c>
    </row>
    <row r="29482" ht="15.75" customHeight="1">
      <c r="A29482" s="7"/>
      <c r="B29482" s="7"/>
      <c r="M29482" s="9" t="s">
        <v>24</v>
      </c>
    </row>
    <row r="29483" ht="15.75" customHeight="1">
      <c r="A29483" s="7"/>
      <c r="B29483" s="7"/>
      <c r="M29483" s="9" t="s">
        <v>20</v>
      </c>
    </row>
    <row r="29484" ht="15.75" customHeight="1">
      <c r="A29484" s="7"/>
      <c r="B29484" s="7"/>
      <c r="M29484" s="9" t="s">
        <v>21</v>
      </c>
    </row>
    <row r="29485" ht="15.75" customHeight="1">
      <c r="A29485" s="7"/>
      <c r="B29485" s="7"/>
      <c r="M29485" s="9" t="s">
        <v>37</v>
      </c>
    </row>
    <row r="29486" ht="15.75" customHeight="1">
      <c r="A29486" s="7"/>
      <c r="B29486" s="7"/>
      <c r="M29486" s="9" t="s">
        <v>27</v>
      </c>
    </row>
    <row r="29487" ht="15.75" customHeight="1">
      <c r="A29487" s="7"/>
      <c r="B29487" s="7"/>
      <c r="M29487" s="9" t="s">
        <v>30</v>
      </c>
    </row>
    <row r="29488" ht="15.75" customHeight="1">
      <c r="A29488" s="7"/>
      <c r="B29488" s="7"/>
      <c r="M29488" s="9" t="s">
        <v>24</v>
      </c>
    </row>
    <row r="29489" ht="15.75" customHeight="1">
      <c r="A29489" s="7"/>
      <c r="B29489" s="7"/>
      <c r="M29489" s="9" t="s">
        <v>21</v>
      </c>
    </row>
    <row r="29490" ht="15.75" customHeight="1">
      <c r="A29490" s="7"/>
      <c r="B29490" s="7"/>
      <c r="M29490" s="9" t="s">
        <v>22</v>
      </c>
    </row>
    <row r="29491" ht="15.75" customHeight="1">
      <c r="A29491" s="7"/>
      <c r="B29491" s="7"/>
      <c r="M29491" s="9" t="s">
        <v>27</v>
      </c>
    </row>
    <row r="29492" ht="15.75" customHeight="1">
      <c r="A29492" s="7"/>
      <c r="B29492" s="7"/>
      <c r="M29492" s="9" t="s">
        <v>33</v>
      </c>
    </row>
    <row r="29493" ht="15.75" customHeight="1">
      <c r="A29493" s="7"/>
      <c r="B29493" s="7"/>
      <c r="M29493" s="9" t="s">
        <v>30</v>
      </c>
    </row>
    <row r="29494" ht="15.75" customHeight="1">
      <c r="A29494" s="7"/>
      <c r="B29494" s="7"/>
      <c r="M29494" s="9" t="s">
        <v>24</v>
      </c>
    </row>
    <row r="29495" ht="15.75" customHeight="1">
      <c r="A29495" s="7"/>
      <c r="B29495" s="7"/>
      <c r="M29495" s="9" t="s">
        <v>20</v>
      </c>
    </row>
    <row r="29496" ht="15.75" customHeight="1">
      <c r="A29496" s="7"/>
      <c r="B29496" s="7"/>
      <c r="M29496" s="9" t="s">
        <v>21</v>
      </c>
    </row>
    <row r="29497" ht="15.75" customHeight="1">
      <c r="A29497" s="7"/>
      <c r="B29497" s="7"/>
      <c r="M29497" s="9" t="s">
        <v>37</v>
      </c>
    </row>
    <row r="29498" ht="15.75" customHeight="1">
      <c r="A29498" s="7"/>
      <c r="B29498" s="7"/>
      <c r="M29498" s="9" t="s">
        <v>38</v>
      </c>
    </row>
    <row r="29499" ht="15.75" customHeight="1">
      <c r="A29499" s="7"/>
      <c r="B29499" s="7"/>
      <c r="M29499" s="9" t="s">
        <v>30</v>
      </c>
    </row>
    <row r="29500" ht="15.75" customHeight="1">
      <c r="A29500" s="7"/>
      <c r="B29500" s="7"/>
      <c r="M29500" s="9" t="s">
        <v>25</v>
      </c>
    </row>
    <row r="29501" ht="15.75" customHeight="1">
      <c r="A29501" s="7"/>
      <c r="B29501" s="7"/>
      <c r="M29501" s="9" t="s">
        <v>22</v>
      </c>
    </row>
    <row r="29502" ht="15.75" customHeight="1">
      <c r="A29502" s="7"/>
      <c r="B29502" s="7"/>
      <c r="M29502" s="9" t="s">
        <v>27</v>
      </c>
    </row>
    <row r="29503" ht="15.75" customHeight="1">
      <c r="A29503" s="7"/>
      <c r="B29503" s="7"/>
      <c r="M29503" s="9" t="s">
        <v>30</v>
      </c>
    </row>
    <row r="29504" ht="15.75" customHeight="1">
      <c r="A29504" s="7"/>
      <c r="B29504" s="7"/>
      <c r="M29504" s="9" t="s">
        <v>20</v>
      </c>
    </row>
    <row r="29505" ht="15.75" customHeight="1">
      <c r="A29505" s="7"/>
      <c r="B29505" s="7"/>
      <c r="M29505" s="9" t="s">
        <v>46</v>
      </c>
    </row>
    <row r="29506" ht="15.75" customHeight="1">
      <c r="A29506" s="7"/>
      <c r="B29506" s="7"/>
      <c r="M29506" s="9" t="s">
        <v>27</v>
      </c>
    </row>
    <row r="29507" ht="15.75" customHeight="1">
      <c r="A29507" s="7"/>
      <c r="B29507" s="7"/>
      <c r="M29507" s="9" t="s">
        <v>35</v>
      </c>
    </row>
    <row r="29508" ht="15.75" customHeight="1">
      <c r="A29508" s="7"/>
      <c r="B29508" s="7"/>
      <c r="M29508" s="9" t="s">
        <v>36</v>
      </c>
    </row>
    <row r="29509" ht="15.75" customHeight="1">
      <c r="A29509" s="7"/>
      <c r="B29509" s="7"/>
      <c r="M29509" s="9" t="s">
        <v>22</v>
      </c>
    </row>
    <row r="29510" ht="15.75" customHeight="1">
      <c r="A29510" s="7"/>
      <c r="B29510" s="7"/>
      <c r="M29510" s="9" t="s">
        <v>26</v>
      </c>
    </row>
    <row r="29511" ht="15.75" customHeight="1">
      <c r="A29511" s="7"/>
      <c r="B29511" s="7"/>
      <c r="M29511" s="9" t="s">
        <v>24</v>
      </c>
    </row>
    <row r="29512" ht="15.75" customHeight="1">
      <c r="A29512" s="7"/>
      <c r="B29512" s="7"/>
      <c r="M29512" s="9" t="s">
        <v>21</v>
      </c>
    </row>
    <row r="29513" ht="15.75" customHeight="1">
      <c r="A29513" s="7"/>
      <c r="B29513" s="7"/>
      <c r="M29513" s="9" t="s">
        <v>37</v>
      </c>
    </row>
    <row r="29514" ht="15.75" customHeight="1">
      <c r="A29514" s="7"/>
      <c r="B29514" s="7"/>
      <c r="M29514" s="9" t="s">
        <v>27</v>
      </c>
    </row>
    <row r="29515" ht="15.75" customHeight="1">
      <c r="A29515" s="7"/>
      <c r="B29515" s="7"/>
      <c r="M29515" s="9" t="s">
        <v>24</v>
      </c>
    </row>
    <row r="29516" ht="15.75" customHeight="1">
      <c r="A29516" s="7"/>
      <c r="B29516" s="7"/>
      <c r="M29516" s="9" t="s">
        <v>20</v>
      </c>
    </row>
    <row r="29517" ht="15.75" customHeight="1">
      <c r="A29517" s="7"/>
      <c r="B29517" s="7"/>
      <c r="M29517" s="9" t="s">
        <v>21</v>
      </c>
    </row>
    <row r="29518" ht="15.75" customHeight="1">
      <c r="A29518" s="7"/>
      <c r="B29518" s="7"/>
      <c r="M29518" s="9" t="s">
        <v>33</v>
      </c>
    </row>
    <row r="29519" ht="15.75" customHeight="1">
      <c r="A29519" s="7"/>
      <c r="B29519" s="7"/>
      <c r="M29519" s="9" t="s">
        <v>26</v>
      </c>
    </row>
    <row r="29520" ht="15.75" customHeight="1">
      <c r="A29520" s="7"/>
      <c r="B29520" s="7"/>
      <c r="M29520" s="9" t="s">
        <v>30</v>
      </c>
    </row>
    <row r="29521" ht="15.75" customHeight="1">
      <c r="A29521" s="7"/>
      <c r="B29521" s="7"/>
      <c r="M29521" s="9" t="s">
        <v>24</v>
      </c>
    </row>
    <row r="29522" ht="15.75" customHeight="1">
      <c r="A29522" s="7"/>
      <c r="B29522" s="7"/>
      <c r="M29522" s="9" t="s">
        <v>20</v>
      </c>
    </row>
    <row r="29523" ht="15.75" customHeight="1">
      <c r="A29523" s="7"/>
      <c r="B29523" s="7"/>
      <c r="M29523" s="9" t="s">
        <v>21</v>
      </c>
    </row>
    <row r="29524" ht="15.75" customHeight="1">
      <c r="A29524" s="7"/>
      <c r="B29524" s="7"/>
      <c r="M29524" s="9" t="s">
        <v>39</v>
      </c>
    </row>
    <row r="29525" ht="15.75" customHeight="1">
      <c r="A29525" s="7"/>
      <c r="B29525" s="7"/>
      <c r="M29525" s="9" t="s">
        <v>41</v>
      </c>
    </row>
    <row r="29526" ht="15.75" customHeight="1">
      <c r="A29526" s="7"/>
      <c r="B29526" s="7"/>
      <c r="M29526" s="9" t="s">
        <v>40</v>
      </c>
    </row>
    <row r="29527" ht="15.75" customHeight="1">
      <c r="A29527" s="7"/>
      <c r="B29527" s="7"/>
      <c r="M29527" s="9" t="s">
        <v>33</v>
      </c>
    </row>
    <row r="29528" ht="15.75" customHeight="1">
      <c r="A29528" s="7"/>
      <c r="B29528" s="7"/>
      <c r="M29528" s="9" t="s">
        <v>26</v>
      </c>
    </row>
    <row r="29529" ht="15.75" customHeight="1">
      <c r="A29529" s="7"/>
      <c r="B29529" s="7"/>
      <c r="M29529" s="9" t="s">
        <v>24</v>
      </c>
    </row>
    <row r="29530" ht="15.75" customHeight="1">
      <c r="A29530" s="7"/>
      <c r="B29530" s="7"/>
      <c r="M29530" s="9" t="s">
        <v>21</v>
      </c>
    </row>
    <row r="29531" ht="15.75" customHeight="1">
      <c r="A29531" s="7"/>
      <c r="B29531" s="7"/>
      <c r="M29531" s="9" t="s">
        <v>27</v>
      </c>
    </row>
    <row r="29532" ht="15.75" customHeight="1">
      <c r="A29532" s="7"/>
      <c r="B29532" s="7"/>
      <c r="M29532" s="9" t="s">
        <v>33</v>
      </c>
    </row>
    <row r="29533" ht="15.75" customHeight="1">
      <c r="A29533" s="7"/>
      <c r="B29533" s="7"/>
      <c r="M29533" s="9" t="s">
        <v>24</v>
      </c>
    </row>
    <row r="29534" ht="15.75" customHeight="1">
      <c r="A29534" s="7"/>
      <c r="B29534" s="7"/>
      <c r="M29534" s="9" t="s">
        <v>21</v>
      </c>
    </row>
    <row r="29535" ht="15.75" customHeight="1">
      <c r="A29535" s="7"/>
      <c r="B29535" s="7"/>
      <c r="M29535" s="9" t="s">
        <v>37</v>
      </c>
    </row>
    <row r="29536" ht="15.75" customHeight="1">
      <c r="A29536" s="7"/>
      <c r="B29536" s="7"/>
      <c r="M29536" s="9" t="s">
        <v>27</v>
      </c>
    </row>
    <row r="29537" ht="15.75" customHeight="1">
      <c r="A29537" s="7"/>
      <c r="B29537" s="7"/>
      <c r="M29537" s="9" t="s">
        <v>35</v>
      </c>
    </row>
    <row r="29538" ht="15.75" customHeight="1">
      <c r="A29538" s="7"/>
      <c r="B29538" s="7"/>
      <c r="M29538" s="9" t="s">
        <v>30</v>
      </c>
    </row>
    <row r="29539" ht="15.75" customHeight="1">
      <c r="A29539" s="7"/>
      <c r="B29539" s="7"/>
      <c r="M29539" s="9" t="s">
        <v>23</v>
      </c>
    </row>
    <row r="29540" ht="15.75" customHeight="1">
      <c r="A29540" s="7"/>
      <c r="B29540" s="7"/>
      <c r="M29540" s="9" t="s">
        <v>24</v>
      </c>
    </row>
    <row r="29541" ht="15.75" customHeight="1">
      <c r="A29541" s="7"/>
      <c r="B29541" s="7"/>
      <c r="M29541" s="9" t="s">
        <v>20</v>
      </c>
    </row>
    <row r="29542" ht="15.75" customHeight="1">
      <c r="A29542" s="7"/>
      <c r="B29542" s="7"/>
      <c r="M29542" s="9" t="s">
        <v>21</v>
      </c>
    </row>
    <row r="29543" ht="15.75" customHeight="1">
      <c r="A29543" s="7"/>
      <c r="B29543" s="7"/>
      <c r="M29543" s="9" t="s">
        <v>22</v>
      </c>
    </row>
    <row r="29544" ht="15.75" customHeight="1">
      <c r="A29544" s="7"/>
      <c r="B29544" s="7"/>
      <c r="M29544" s="9" t="s">
        <v>26</v>
      </c>
    </row>
    <row r="29545" ht="15.75" customHeight="1">
      <c r="A29545" s="7"/>
      <c r="B29545" s="7"/>
      <c r="M29545" s="9" t="s">
        <v>24</v>
      </c>
    </row>
    <row r="29546" ht="15.75" customHeight="1">
      <c r="A29546" s="7"/>
      <c r="B29546" s="7"/>
      <c r="M29546" s="9" t="s">
        <v>21</v>
      </c>
    </row>
    <row r="29547" ht="15.75" customHeight="1">
      <c r="A29547" s="7"/>
      <c r="B29547" s="7"/>
      <c r="M29547" s="9" t="s">
        <v>27</v>
      </c>
    </row>
    <row r="29548" ht="15.75" customHeight="1">
      <c r="A29548" s="7"/>
      <c r="B29548" s="7"/>
      <c r="M29548" s="9" t="s">
        <v>24</v>
      </c>
    </row>
    <row r="29549" ht="15.75" customHeight="1">
      <c r="A29549" s="7"/>
      <c r="B29549" s="7"/>
      <c r="M29549" s="9" t="s">
        <v>21</v>
      </c>
    </row>
    <row r="29550" ht="15.75" customHeight="1">
      <c r="A29550" s="7"/>
      <c r="B29550" s="7"/>
      <c r="M29550" s="9" t="s">
        <v>37</v>
      </c>
    </row>
    <row r="29551" ht="15.75" customHeight="1">
      <c r="A29551" s="7"/>
      <c r="B29551" s="7"/>
      <c r="M29551" s="9" t="s">
        <v>27</v>
      </c>
    </row>
    <row r="29552" ht="15.75" customHeight="1">
      <c r="A29552" s="7"/>
      <c r="B29552" s="7"/>
      <c r="M29552" s="9" t="s">
        <v>30</v>
      </c>
    </row>
    <row r="29553" ht="15.75" customHeight="1">
      <c r="A29553" s="7"/>
      <c r="B29553" s="7"/>
      <c r="M29553" s="9" t="s">
        <v>23</v>
      </c>
    </row>
    <row r="29554" ht="15.75" customHeight="1">
      <c r="A29554" s="7"/>
      <c r="B29554" s="7"/>
      <c r="M29554" s="9" t="s">
        <v>26</v>
      </c>
    </row>
    <row r="29555" ht="15.75" customHeight="1">
      <c r="A29555" s="7"/>
      <c r="B29555" s="7"/>
      <c r="M29555" s="9" t="s">
        <v>36</v>
      </c>
    </row>
    <row r="29556" ht="15.75" customHeight="1">
      <c r="A29556" s="7"/>
      <c r="B29556" s="7"/>
      <c r="M29556" s="9" t="s">
        <v>24</v>
      </c>
    </row>
    <row r="29557" ht="15.75" customHeight="1">
      <c r="A29557" s="7"/>
      <c r="B29557" s="7"/>
      <c r="M29557" s="9" t="s">
        <v>21</v>
      </c>
    </row>
    <row r="29558" ht="15.75" customHeight="1">
      <c r="A29558" s="7"/>
      <c r="B29558" s="7"/>
      <c r="M29558" s="9" t="s">
        <v>22</v>
      </c>
    </row>
    <row r="29559" ht="15.75" customHeight="1">
      <c r="A29559" s="7"/>
      <c r="B29559" s="7"/>
      <c r="M29559" s="9" t="s">
        <v>32</v>
      </c>
    </row>
    <row r="29560" ht="15.75" customHeight="1">
      <c r="A29560" s="7"/>
      <c r="B29560" s="7"/>
      <c r="M29560" s="9" t="s">
        <v>33</v>
      </c>
    </row>
    <row r="29561" ht="15.75" customHeight="1">
      <c r="A29561" s="7"/>
      <c r="B29561" s="7"/>
      <c r="M29561" s="9" t="s">
        <v>30</v>
      </c>
    </row>
    <row r="29562" ht="15.75" customHeight="1">
      <c r="A29562" s="7"/>
      <c r="B29562" s="7"/>
      <c r="M29562" s="9" t="s">
        <v>24</v>
      </c>
    </row>
    <row r="29563" ht="15.75" customHeight="1">
      <c r="A29563" s="7"/>
      <c r="B29563" s="7"/>
      <c r="M29563" s="9" t="s">
        <v>21</v>
      </c>
    </row>
    <row r="29564" ht="15.75" customHeight="1">
      <c r="A29564" s="7"/>
      <c r="B29564" s="7"/>
      <c r="M29564" s="9" t="s">
        <v>37</v>
      </c>
    </row>
    <row r="29565" ht="15.75" customHeight="1">
      <c r="A29565" s="7"/>
      <c r="B29565" s="7"/>
      <c r="M29565" s="9" t="s">
        <v>22</v>
      </c>
    </row>
    <row r="29566" ht="15.75" customHeight="1">
      <c r="A29566" s="7"/>
      <c r="B29566" s="7"/>
      <c r="M29566" s="9" t="s">
        <v>29</v>
      </c>
    </row>
    <row r="29567" ht="15.75" customHeight="1">
      <c r="A29567" s="7"/>
      <c r="B29567" s="7"/>
      <c r="M29567" s="9" t="s">
        <v>27</v>
      </c>
    </row>
    <row r="29568" ht="15.75" customHeight="1">
      <c r="A29568" s="7"/>
      <c r="B29568" s="7"/>
      <c r="M29568" s="9" t="s">
        <v>28</v>
      </c>
    </row>
    <row r="29569" ht="15.75" customHeight="1">
      <c r="A29569" s="7"/>
      <c r="B29569" s="7"/>
      <c r="M29569" s="9" t="s">
        <v>30</v>
      </c>
    </row>
    <row r="29570" ht="15.75" customHeight="1">
      <c r="A29570" s="7"/>
      <c r="B29570" s="7"/>
      <c r="M29570" s="9" t="s">
        <v>25</v>
      </c>
    </row>
    <row r="29571" ht="15.75" customHeight="1">
      <c r="A29571" s="7"/>
      <c r="B29571" s="7"/>
      <c r="M29571" s="9" t="s">
        <v>23</v>
      </c>
    </row>
    <row r="29572" ht="15.75" customHeight="1">
      <c r="A29572" s="7"/>
      <c r="B29572" s="7"/>
      <c r="M29572" s="9" t="s">
        <v>24</v>
      </c>
    </row>
    <row r="29573" ht="15.75" customHeight="1">
      <c r="A29573" s="7"/>
      <c r="B29573" s="7"/>
      <c r="M29573" s="9" t="s">
        <v>20</v>
      </c>
    </row>
    <row r="29574" ht="15.75" customHeight="1">
      <c r="A29574" s="7"/>
      <c r="B29574" s="7"/>
      <c r="M29574" s="9" t="s">
        <v>31</v>
      </c>
    </row>
    <row r="29575" ht="15.75" customHeight="1">
      <c r="A29575" s="7"/>
      <c r="B29575" s="7"/>
      <c r="M29575" s="9" t="s">
        <v>24</v>
      </c>
    </row>
    <row r="29576" ht="15.75" customHeight="1">
      <c r="A29576" s="7"/>
      <c r="B29576" s="7"/>
      <c r="M29576" s="9" t="s">
        <v>21</v>
      </c>
    </row>
    <row r="29577" ht="15.75" customHeight="1">
      <c r="A29577" s="7"/>
      <c r="B29577" s="7"/>
      <c r="M29577" s="9" t="s">
        <v>24</v>
      </c>
    </row>
    <row r="29578" ht="15.75" customHeight="1">
      <c r="A29578" s="7"/>
      <c r="B29578" s="7"/>
      <c r="M29578" s="9" t="s">
        <v>20</v>
      </c>
    </row>
    <row r="29579" ht="15.75" customHeight="1">
      <c r="A29579" s="7"/>
      <c r="B29579" s="7"/>
      <c r="M29579" s="9" t="s">
        <v>21</v>
      </c>
    </row>
    <row r="29580" ht="15.75" customHeight="1">
      <c r="A29580" s="7"/>
      <c r="B29580" s="7"/>
      <c r="M29580" s="9" t="s">
        <v>39</v>
      </c>
    </row>
    <row r="29581" ht="15.75" customHeight="1">
      <c r="A29581" s="7"/>
      <c r="B29581" s="7"/>
      <c r="M29581" s="9" t="s">
        <v>37</v>
      </c>
    </row>
    <row r="29582" ht="15.75" customHeight="1">
      <c r="A29582" s="7"/>
      <c r="B29582" s="7"/>
      <c r="M29582" s="9" t="s">
        <v>26</v>
      </c>
    </row>
    <row r="29583" ht="15.75" customHeight="1">
      <c r="A29583" s="7"/>
      <c r="B29583" s="7"/>
      <c r="M29583" s="9" t="s">
        <v>24</v>
      </c>
    </row>
    <row r="29584" ht="15.75" customHeight="1">
      <c r="A29584" s="7"/>
      <c r="B29584" s="7"/>
      <c r="M29584" s="9" t="s">
        <v>20</v>
      </c>
    </row>
    <row r="29585" ht="15.75" customHeight="1">
      <c r="A29585" s="7"/>
      <c r="B29585" s="7"/>
      <c r="M29585" s="9" t="s">
        <v>21</v>
      </c>
    </row>
    <row r="29586" ht="15.75" customHeight="1">
      <c r="A29586" s="7"/>
      <c r="B29586" s="7"/>
      <c r="M29586" s="9" t="s">
        <v>22</v>
      </c>
    </row>
    <row r="29587" ht="15.75" customHeight="1">
      <c r="A29587" s="7"/>
      <c r="B29587" s="7"/>
      <c r="M29587" s="9" t="s">
        <v>27</v>
      </c>
    </row>
    <row r="29588" ht="15.75" customHeight="1">
      <c r="A29588" s="7"/>
      <c r="B29588" s="7"/>
      <c r="M29588" s="9" t="s">
        <v>25</v>
      </c>
    </row>
    <row r="29589" ht="15.75" customHeight="1">
      <c r="A29589" s="7"/>
      <c r="B29589" s="7"/>
      <c r="M29589" s="9" t="s">
        <v>23</v>
      </c>
    </row>
    <row r="29590" ht="15.75" customHeight="1">
      <c r="A29590" s="7"/>
      <c r="B29590" s="7"/>
      <c r="M29590" s="9" t="s">
        <v>26</v>
      </c>
    </row>
    <row r="29591" ht="15.75" customHeight="1">
      <c r="A29591" s="7"/>
      <c r="B29591" s="7"/>
      <c r="M29591" s="9" t="s">
        <v>24</v>
      </c>
    </row>
    <row r="29592" ht="15.75" customHeight="1">
      <c r="A29592" s="7"/>
      <c r="B29592" s="7"/>
      <c r="M29592" s="9" t="s">
        <v>20</v>
      </c>
    </row>
    <row r="29593" ht="15.75" customHeight="1">
      <c r="A29593" s="7"/>
      <c r="B29593" s="7"/>
      <c r="M29593" s="9" t="s">
        <v>21</v>
      </c>
    </row>
    <row r="29594" ht="15.75" customHeight="1">
      <c r="A29594" s="7"/>
      <c r="B29594" s="7"/>
      <c r="M29594" s="9" t="s">
        <v>37</v>
      </c>
    </row>
    <row r="29595" ht="15.75" customHeight="1">
      <c r="A29595" s="7"/>
      <c r="B29595" s="7"/>
      <c r="M29595" s="9" t="s">
        <v>22</v>
      </c>
    </row>
    <row r="29596" ht="15.75" customHeight="1">
      <c r="A29596" s="7"/>
      <c r="B29596" s="7"/>
      <c r="M29596" s="9" t="s">
        <v>29</v>
      </c>
    </row>
    <row r="29597" ht="15.75" customHeight="1">
      <c r="A29597" s="7"/>
      <c r="B29597" s="7"/>
      <c r="M29597" s="9" t="s">
        <v>27</v>
      </c>
    </row>
    <row r="29598" ht="15.75" customHeight="1">
      <c r="A29598" s="7"/>
      <c r="B29598" s="7"/>
      <c r="M29598" s="9" t="s">
        <v>33</v>
      </c>
    </row>
    <row r="29599" ht="15.75" customHeight="1">
      <c r="A29599" s="7"/>
      <c r="B29599" s="7"/>
      <c r="M29599" s="9" t="s">
        <v>24</v>
      </c>
    </row>
    <row r="29600" ht="15.75" customHeight="1">
      <c r="A29600" s="7"/>
      <c r="B29600" s="7"/>
      <c r="M29600" s="9" t="s">
        <v>20</v>
      </c>
    </row>
    <row r="29601" ht="15.75" customHeight="1">
      <c r="A29601" s="7"/>
      <c r="B29601" s="7"/>
      <c r="M29601" s="9" t="s">
        <v>21</v>
      </c>
    </row>
    <row r="29602" ht="15.75" customHeight="1">
      <c r="A29602" s="7"/>
      <c r="B29602" s="7"/>
      <c r="M29602" s="9" t="s">
        <v>27</v>
      </c>
    </row>
    <row r="29603" ht="15.75" customHeight="1">
      <c r="A29603" s="7"/>
      <c r="B29603" s="7"/>
      <c r="M29603" s="9" t="s">
        <v>36</v>
      </c>
    </row>
    <row r="29604" ht="15.75" customHeight="1">
      <c r="A29604" s="7"/>
      <c r="B29604" s="7"/>
      <c r="M29604" s="9" t="s">
        <v>24</v>
      </c>
    </row>
    <row r="29605" ht="15.75" customHeight="1">
      <c r="A29605" s="7"/>
      <c r="B29605" s="7"/>
      <c r="M29605" s="9" t="s">
        <v>20</v>
      </c>
    </row>
    <row r="29606" ht="15.75" customHeight="1">
      <c r="A29606" s="7"/>
      <c r="B29606" s="7"/>
      <c r="M29606" s="9" t="s">
        <v>21</v>
      </c>
    </row>
    <row r="29607" ht="15.75" customHeight="1">
      <c r="A29607" s="7"/>
      <c r="B29607" s="7"/>
      <c r="M29607" s="9" t="s">
        <v>27</v>
      </c>
    </row>
    <row r="29608" ht="15.75" customHeight="1">
      <c r="A29608" s="7"/>
      <c r="B29608" s="7"/>
      <c r="M29608" s="9" t="s">
        <v>33</v>
      </c>
    </row>
    <row r="29609" ht="15.75" customHeight="1">
      <c r="A29609" s="7"/>
      <c r="B29609" s="7"/>
      <c r="M29609" s="9" t="s">
        <v>42</v>
      </c>
    </row>
    <row r="29610" ht="15.75" customHeight="1">
      <c r="A29610" s="7"/>
      <c r="B29610" s="7"/>
      <c r="M29610" s="9" t="s">
        <v>24</v>
      </c>
    </row>
    <row r="29611" ht="15.75" customHeight="1">
      <c r="A29611" s="7"/>
      <c r="B29611" s="7"/>
      <c r="M29611" s="9" t="s">
        <v>21</v>
      </c>
    </row>
    <row r="29612" ht="15.75" customHeight="1">
      <c r="A29612" s="7"/>
      <c r="B29612" s="7"/>
      <c r="M29612" s="9" t="s">
        <v>27</v>
      </c>
    </row>
    <row r="29613" ht="15.75" customHeight="1">
      <c r="A29613" s="7"/>
      <c r="B29613" s="7"/>
      <c r="M29613" s="9" t="s">
        <v>33</v>
      </c>
    </row>
    <row r="29614" ht="15.75" customHeight="1">
      <c r="A29614" s="7"/>
      <c r="B29614" s="7"/>
      <c r="M29614" s="9" t="s">
        <v>35</v>
      </c>
    </row>
    <row r="29615" ht="15.75" customHeight="1">
      <c r="A29615" s="7"/>
      <c r="B29615" s="7"/>
      <c r="M29615" s="9" t="s">
        <v>30</v>
      </c>
    </row>
    <row r="29616" ht="15.75" customHeight="1">
      <c r="A29616" s="7"/>
      <c r="B29616" s="7"/>
      <c r="M29616" s="9" t="s">
        <v>25</v>
      </c>
    </row>
    <row r="29617" ht="15.75" customHeight="1">
      <c r="A29617" s="7"/>
      <c r="B29617" s="7"/>
      <c r="M29617" s="9" t="s">
        <v>23</v>
      </c>
    </row>
    <row r="29618" ht="15.75" customHeight="1">
      <c r="A29618" s="7"/>
      <c r="B29618" s="7"/>
      <c r="M29618" s="9" t="s">
        <v>26</v>
      </c>
    </row>
    <row r="29619" ht="15.75" customHeight="1">
      <c r="A29619" s="7"/>
      <c r="B29619" s="7"/>
      <c r="M29619" s="9" t="s">
        <v>24</v>
      </c>
    </row>
    <row r="29620" ht="15.75" customHeight="1">
      <c r="A29620" s="7"/>
      <c r="B29620" s="7"/>
      <c r="M29620" s="9" t="s">
        <v>20</v>
      </c>
    </row>
    <row r="29621" ht="15.75" customHeight="1">
      <c r="A29621" s="7"/>
      <c r="B29621" s="7"/>
      <c r="M29621" s="9" t="s">
        <v>21</v>
      </c>
    </row>
    <row r="29622" ht="15.75" customHeight="1">
      <c r="A29622" s="7"/>
      <c r="B29622" s="7"/>
      <c r="M29622" s="9" t="s">
        <v>22</v>
      </c>
    </row>
    <row r="29623" ht="15.75" customHeight="1">
      <c r="A29623" s="7"/>
      <c r="B29623" s="7"/>
      <c r="M29623" s="9" t="s">
        <v>27</v>
      </c>
    </row>
    <row r="29624" ht="15.75" customHeight="1">
      <c r="A29624" s="7"/>
      <c r="B29624" s="7"/>
      <c r="M29624" s="9" t="s">
        <v>24</v>
      </c>
    </row>
    <row r="29625" ht="15.75" customHeight="1">
      <c r="A29625" s="7"/>
      <c r="B29625" s="7"/>
      <c r="M29625" s="9" t="s">
        <v>20</v>
      </c>
    </row>
    <row r="29626" ht="15.75" customHeight="1">
      <c r="A29626" s="7"/>
      <c r="B29626" s="7"/>
      <c r="M29626" s="9" t="s">
        <v>22</v>
      </c>
    </row>
    <row r="29627" ht="15.75" customHeight="1">
      <c r="A29627" s="7"/>
      <c r="B29627" s="7"/>
      <c r="M29627" s="9" t="s">
        <v>27</v>
      </c>
    </row>
    <row r="29628" ht="15.75" customHeight="1">
      <c r="A29628" s="7"/>
      <c r="B29628" s="7"/>
      <c r="M29628" s="9" t="s">
        <v>30</v>
      </c>
    </row>
    <row r="29629" ht="15.75" customHeight="1">
      <c r="A29629" s="7"/>
      <c r="B29629" s="7"/>
      <c r="M29629" s="9" t="s">
        <v>25</v>
      </c>
    </row>
    <row r="29630" ht="15.75" customHeight="1">
      <c r="A29630" s="7"/>
      <c r="B29630" s="7"/>
      <c r="M29630" s="9" t="s">
        <v>23</v>
      </c>
    </row>
    <row r="29631" ht="15.75" customHeight="1">
      <c r="A29631" s="7"/>
      <c r="B29631" s="7"/>
      <c r="M29631" s="9" t="s">
        <v>20</v>
      </c>
    </row>
    <row r="29632" ht="15.75" customHeight="1">
      <c r="A29632" s="7"/>
      <c r="B29632" s="7"/>
      <c r="M29632" s="9" t="s">
        <v>22</v>
      </c>
    </row>
    <row r="29633" ht="15.75" customHeight="1">
      <c r="A29633" s="7"/>
      <c r="B29633" s="7"/>
      <c r="M29633" s="9" t="s">
        <v>23</v>
      </c>
    </row>
    <row r="29634" ht="15.75" customHeight="1">
      <c r="A29634" s="7"/>
      <c r="B29634" s="7"/>
      <c r="M29634" s="9" t="s">
        <v>26</v>
      </c>
    </row>
    <row r="29635" ht="15.75" customHeight="1">
      <c r="A29635" s="7"/>
      <c r="B29635" s="7"/>
      <c r="M29635" s="9" t="s">
        <v>20</v>
      </c>
    </row>
    <row r="29636" ht="15.75" customHeight="1">
      <c r="A29636" s="7"/>
      <c r="B29636" s="7"/>
      <c r="M29636" s="9" t="s">
        <v>21</v>
      </c>
    </row>
    <row r="29637" ht="15.75" customHeight="1">
      <c r="A29637" s="7"/>
      <c r="B29637" s="7"/>
      <c r="M29637" s="9" t="s">
        <v>25</v>
      </c>
    </row>
    <row r="29638" ht="15.75" customHeight="1">
      <c r="A29638" s="7"/>
      <c r="B29638" s="7"/>
      <c r="M29638" s="9" t="s">
        <v>23</v>
      </c>
    </row>
    <row r="29639" ht="15.75" customHeight="1">
      <c r="A29639" s="7"/>
      <c r="B29639" s="7"/>
      <c r="M29639" s="9" t="s">
        <v>24</v>
      </c>
    </row>
    <row r="29640" ht="15.75" customHeight="1">
      <c r="A29640" s="7"/>
      <c r="B29640" s="7"/>
      <c r="M29640" s="9" t="s">
        <v>21</v>
      </c>
    </row>
    <row r="29641" ht="15.75" customHeight="1">
      <c r="A29641" s="7"/>
      <c r="B29641" s="7"/>
      <c r="M29641" s="9" t="s">
        <v>24</v>
      </c>
    </row>
    <row r="29642" ht="15.75" customHeight="1">
      <c r="A29642" s="7"/>
      <c r="B29642" s="7"/>
      <c r="M29642" s="9" t="s">
        <v>21</v>
      </c>
    </row>
    <row r="29643" ht="15.75" customHeight="1">
      <c r="A29643" s="7"/>
      <c r="B29643" s="7"/>
      <c r="M29643" s="9" t="s">
        <v>37</v>
      </c>
    </row>
    <row r="29644" ht="15.75" customHeight="1">
      <c r="A29644" s="7"/>
      <c r="B29644" s="7"/>
      <c r="M29644" s="9" t="s">
        <v>27</v>
      </c>
    </row>
    <row r="29645" ht="15.75" customHeight="1">
      <c r="A29645" s="7"/>
      <c r="B29645" s="7"/>
      <c r="M29645" s="9" t="s">
        <v>30</v>
      </c>
    </row>
    <row r="29646" ht="15.75" customHeight="1">
      <c r="A29646" s="7"/>
      <c r="B29646" s="7"/>
      <c r="M29646" s="9" t="s">
        <v>23</v>
      </c>
    </row>
    <row r="29647" ht="15.75" customHeight="1">
      <c r="A29647" s="7"/>
      <c r="B29647" s="7"/>
      <c r="M29647" s="9" t="s">
        <v>22</v>
      </c>
    </row>
    <row r="29648" ht="15.75" customHeight="1">
      <c r="A29648" s="7"/>
      <c r="B29648" s="7"/>
      <c r="M29648" s="9" t="s">
        <v>24</v>
      </c>
    </row>
    <row r="29649" ht="15.75" customHeight="1">
      <c r="A29649" s="7"/>
      <c r="B29649" s="7"/>
      <c r="M29649" s="9" t="s">
        <v>21</v>
      </c>
    </row>
    <row r="29650" ht="15.75" customHeight="1">
      <c r="A29650" s="7"/>
      <c r="B29650" s="7"/>
      <c r="M29650" s="9" t="s">
        <v>37</v>
      </c>
    </row>
    <row r="29651" ht="15.75" customHeight="1">
      <c r="A29651" s="7"/>
      <c r="B29651" s="7"/>
      <c r="M29651" s="9" t="s">
        <v>27</v>
      </c>
    </row>
    <row r="29652" ht="15.75" customHeight="1">
      <c r="A29652" s="7"/>
      <c r="B29652" s="7"/>
      <c r="M29652" s="9" t="s">
        <v>30</v>
      </c>
    </row>
    <row r="29653" ht="15.75" customHeight="1">
      <c r="A29653" s="7"/>
      <c r="B29653" s="7"/>
      <c r="M29653" s="9" t="s">
        <v>24</v>
      </c>
    </row>
    <row r="29654" ht="15.75" customHeight="1">
      <c r="A29654" s="7"/>
      <c r="B29654" s="7"/>
      <c r="M29654" s="9" t="s">
        <v>21</v>
      </c>
    </row>
    <row r="29655" ht="15.75" customHeight="1">
      <c r="A29655" s="7"/>
      <c r="B29655" s="7"/>
      <c r="M29655" s="9" t="s">
        <v>27</v>
      </c>
    </row>
    <row r="29656" ht="15.75" customHeight="1">
      <c r="A29656" s="7"/>
      <c r="B29656" s="7"/>
      <c r="M29656" s="9" t="s">
        <v>24</v>
      </c>
    </row>
    <row r="29657" ht="15.75" customHeight="1">
      <c r="A29657" s="7"/>
      <c r="B29657" s="7"/>
      <c r="M29657" s="9" t="s">
        <v>20</v>
      </c>
    </row>
    <row r="29658" ht="15.75" customHeight="1">
      <c r="A29658" s="7"/>
      <c r="B29658" s="7"/>
      <c r="M29658" s="9" t="s">
        <v>21</v>
      </c>
    </row>
    <row r="29659" ht="15.75" customHeight="1">
      <c r="A29659" s="7"/>
      <c r="B29659" s="7"/>
      <c r="M29659" s="9" t="s">
        <v>37</v>
      </c>
    </row>
    <row r="29660" ht="15.75" customHeight="1">
      <c r="A29660" s="7"/>
      <c r="B29660" s="7"/>
      <c r="M29660" s="9" t="s">
        <v>27</v>
      </c>
    </row>
    <row r="29661" ht="15.75" customHeight="1">
      <c r="A29661" s="7"/>
      <c r="B29661" s="7"/>
      <c r="M29661" s="9" t="s">
        <v>30</v>
      </c>
    </row>
    <row r="29662" ht="15.75" customHeight="1">
      <c r="A29662" s="7"/>
      <c r="B29662" s="7"/>
      <c r="M29662" s="9" t="s">
        <v>20</v>
      </c>
    </row>
    <row r="29663" ht="15.75" customHeight="1">
      <c r="A29663" s="7"/>
      <c r="B29663" s="7"/>
      <c r="M29663" s="9" t="s">
        <v>21</v>
      </c>
    </row>
    <row r="29664" ht="15.75" customHeight="1">
      <c r="A29664" s="7"/>
      <c r="B29664" s="7"/>
      <c r="M29664" s="9" t="s">
        <v>37</v>
      </c>
    </row>
    <row r="29665" ht="15.75" customHeight="1">
      <c r="A29665" s="7"/>
      <c r="B29665" s="7"/>
      <c r="M29665" s="9" t="s">
        <v>26</v>
      </c>
    </row>
    <row r="29666" ht="15.75" customHeight="1">
      <c r="A29666" s="7"/>
      <c r="B29666" s="7"/>
      <c r="M29666" s="9" t="s">
        <v>24</v>
      </c>
    </row>
    <row r="29667" ht="15.75" customHeight="1">
      <c r="A29667" s="7"/>
      <c r="B29667" s="7"/>
      <c r="M29667" s="9" t="s">
        <v>21</v>
      </c>
    </row>
    <row r="29668" ht="15.75" customHeight="1">
      <c r="A29668" s="7"/>
      <c r="B29668" s="7"/>
      <c r="M29668" s="9" t="s">
        <v>27</v>
      </c>
    </row>
    <row r="29669" ht="15.75" customHeight="1">
      <c r="A29669" s="7"/>
      <c r="B29669" s="7"/>
      <c r="M29669" s="9" t="s">
        <v>33</v>
      </c>
    </row>
    <row r="29670" ht="15.75" customHeight="1">
      <c r="A29670" s="7"/>
      <c r="B29670" s="7"/>
      <c r="M29670" s="9" t="s">
        <v>26</v>
      </c>
    </row>
    <row r="29671" ht="15.75" customHeight="1">
      <c r="A29671" s="7"/>
      <c r="B29671" s="7"/>
      <c r="M29671" s="9" t="s">
        <v>24</v>
      </c>
    </row>
    <row r="29672" ht="15.75" customHeight="1">
      <c r="A29672" s="7"/>
      <c r="B29672" s="7"/>
      <c r="M29672" s="9" t="s">
        <v>21</v>
      </c>
    </row>
    <row r="29673" ht="15.75" customHeight="1">
      <c r="A29673" s="7"/>
      <c r="B29673" s="7"/>
      <c r="M29673" s="9" t="s">
        <v>27</v>
      </c>
    </row>
    <row r="29674" ht="15.75" customHeight="1">
      <c r="A29674" s="7"/>
      <c r="B29674" s="7"/>
      <c r="M29674" s="9" t="s">
        <v>33</v>
      </c>
    </row>
    <row r="29675" ht="15.75" customHeight="1">
      <c r="A29675" s="7"/>
      <c r="B29675" s="7"/>
      <c r="M29675" s="9" t="s">
        <v>38</v>
      </c>
    </row>
    <row r="29676" ht="15.75" customHeight="1">
      <c r="A29676" s="7"/>
      <c r="B29676" s="7"/>
      <c r="M29676" s="9" t="s">
        <v>30</v>
      </c>
    </row>
    <row r="29677" ht="15.75" customHeight="1">
      <c r="A29677" s="7"/>
      <c r="B29677" s="7"/>
      <c r="M29677" s="9" t="s">
        <v>23</v>
      </c>
    </row>
    <row r="29678" ht="15.75" customHeight="1">
      <c r="A29678" s="7"/>
      <c r="B29678" s="7"/>
      <c r="M29678" s="9" t="s">
        <v>24</v>
      </c>
    </row>
    <row r="29679" ht="15.75" customHeight="1">
      <c r="A29679" s="7"/>
      <c r="B29679" s="7"/>
      <c r="M29679" s="9" t="s">
        <v>21</v>
      </c>
    </row>
    <row r="29680" ht="15.75" customHeight="1">
      <c r="A29680" s="7"/>
      <c r="B29680" s="7"/>
      <c r="M29680" s="9" t="s">
        <v>37</v>
      </c>
    </row>
    <row r="29681" ht="15.75" customHeight="1">
      <c r="A29681" s="7"/>
      <c r="B29681" s="7"/>
      <c r="M29681" s="9" t="s">
        <v>22</v>
      </c>
    </row>
    <row r="29682" ht="15.75" customHeight="1">
      <c r="A29682" s="7"/>
      <c r="B29682" s="7"/>
      <c r="M29682" s="9" t="s">
        <v>29</v>
      </c>
    </row>
    <row r="29683" ht="15.75" customHeight="1">
      <c r="A29683" s="7"/>
      <c r="B29683" s="7"/>
      <c r="M29683" s="9" t="s">
        <v>27</v>
      </c>
    </row>
    <row r="29684" ht="15.75" customHeight="1">
      <c r="A29684" s="7"/>
      <c r="B29684" s="7"/>
      <c r="M29684" s="9" t="s">
        <v>24</v>
      </c>
    </row>
    <row r="29685" ht="15.75" customHeight="1">
      <c r="A29685" s="7"/>
      <c r="B29685" s="7"/>
      <c r="M29685" s="9" t="s">
        <v>37</v>
      </c>
    </row>
    <row r="29686" ht="15.75" customHeight="1">
      <c r="A29686" s="7"/>
      <c r="B29686" s="7"/>
      <c r="M29686" s="9" t="s">
        <v>27</v>
      </c>
    </row>
    <row r="29687" ht="15.75" customHeight="1">
      <c r="A29687" s="7"/>
      <c r="B29687" s="7"/>
      <c r="M29687" s="9" t="s">
        <v>30</v>
      </c>
    </row>
    <row r="29688" ht="15.75" customHeight="1">
      <c r="A29688" s="7"/>
      <c r="B29688" s="7"/>
      <c r="M29688" s="9" t="s">
        <v>26</v>
      </c>
    </row>
    <row r="29689" ht="15.75" customHeight="1">
      <c r="A29689" s="7"/>
      <c r="B29689" s="7"/>
      <c r="M29689" s="9" t="s">
        <v>24</v>
      </c>
    </row>
    <row r="29690" ht="15.75" customHeight="1">
      <c r="A29690" s="7"/>
      <c r="B29690" s="7"/>
      <c r="M29690" s="9" t="s">
        <v>21</v>
      </c>
    </row>
    <row r="29691" ht="15.75" customHeight="1">
      <c r="A29691" s="7"/>
      <c r="B29691" s="7"/>
      <c r="M29691" s="9" t="s">
        <v>27</v>
      </c>
    </row>
    <row r="29692" ht="15.75" customHeight="1">
      <c r="A29692" s="7"/>
      <c r="B29692" s="7"/>
      <c r="M29692" s="9" t="s">
        <v>33</v>
      </c>
    </row>
    <row r="29693" ht="15.75" customHeight="1">
      <c r="A29693" s="7"/>
      <c r="B29693" s="7"/>
      <c r="M29693" s="9" t="s">
        <v>20</v>
      </c>
    </row>
    <row r="29694" ht="15.75" customHeight="1">
      <c r="A29694" s="7"/>
      <c r="B29694" s="7"/>
      <c r="M29694" s="9" t="s">
        <v>27</v>
      </c>
    </row>
    <row r="29695" ht="15.75" customHeight="1">
      <c r="A29695" s="7"/>
      <c r="B29695" s="7"/>
      <c r="M29695" s="9" t="s">
        <v>30</v>
      </c>
    </row>
    <row r="29696" ht="15.75" customHeight="1">
      <c r="A29696" s="7"/>
      <c r="B29696" s="7"/>
      <c r="M29696" s="9" t="s">
        <v>26</v>
      </c>
    </row>
    <row r="29697" ht="15.75" customHeight="1">
      <c r="A29697" s="7"/>
      <c r="B29697" s="7"/>
      <c r="M29697" s="9" t="s">
        <v>24</v>
      </c>
    </row>
    <row r="29698" ht="15.75" customHeight="1">
      <c r="A29698" s="7"/>
      <c r="B29698" s="7"/>
      <c r="M29698" s="9" t="s">
        <v>21</v>
      </c>
    </row>
    <row r="29699" ht="15.75" customHeight="1">
      <c r="A29699" s="7"/>
      <c r="B29699" s="7"/>
      <c r="M29699" s="9" t="s">
        <v>30</v>
      </c>
    </row>
    <row r="29700" ht="15.75" customHeight="1">
      <c r="A29700" s="7"/>
      <c r="B29700" s="7"/>
      <c r="M29700" s="9" t="s">
        <v>23</v>
      </c>
    </row>
    <row r="29701" ht="15.75" customHeight="1">
      <c r="A29701" s="7"/>
      <c r="B29701" s="7"/>
      <c r="M29701" s="9" t="s">
        <v>21</v>
      </c>
    </row>
    <row r="29702" ht="15.75" customHeight="1">
      <c r="A29702" s="7"/>
      <c r="B29702" s="7"/>
      <c r="M29702" s="9" t="s">
        <v>32</v>
      </c>
    </row>
    <row r="29703" ht="15.75" customHeight="1">
      <c r="A29703" s="7"/>
      <c r="B29703" s="7"/>
      <c r="M29703" s="9" t="s">
        <v>35</v>
      </c>
    </row>
    <row r="29704" ht="15.75" customHeight="1">
      <c r="A29704" s="7"/>
      <c r="B29704" s="7"/>
      <c r="M29704" s="9" t="s">
        <v>43</v>
      </c>
    </row>
    <row r="29705" ht="15.75" customHeight="1">
      <c r="A29705" s="7"/>
      <c r="B29705" s="7"/>
      <c r="M29705" s="9" t="s">
        <v>24</v>
      </c>
    </row>
    <row r="29706" ht="15.75" customHeight="1">
      <c r="A29706" s="7"/>
      <c r="B29706" s="7"/>
      <c r="M29706" s="9" t="s">
        <v>20</v>
      </c>
    </row>
    <row r="29707" ht="15.75" customHeight="1">
      <c r="A29707" s="7"/>
      <c r="B29707" s="7"/>
      <c r="M29707" s="9" t="s">
        <v>21</v>
      </c>
    </row>
    <row r="29708" ht="15.75" customHeight="1">
      <c r="A29708" s="7"/>
      <c r="B29708" s="7"/>
      <c r="M29708" s="9" t="s">
        <v>22</v>
      </c>
    </row>
    <row r="29709" ht="15.75" customHeight="1">
      <c r="A29709" s="7"/>
      <c r="B29709" s="7"/>
      <c r="M29709" s="9" t="s">
        <v>27</v>
      </c>
    </row>
    <row r="29710" ht="15.75" customHeight="1">
      <c r="A29710" s="7"/>
      <c r="B29710" s="7"/>
      <c r="M29710" s="9" t="s">
        <v>24</v>
      </c>
    </row>
    <row r="29711" ht="15.75" customHeight="1">
      <c r="A29711" s="7"/>
      <c r="B29711" s="7"/>
      <c r="M29711" s="9" t="s">
        <v>21</v>
      </c>
    </row>
    <row r="29712" ht="15.75" customHeight="1">
      <c r="A29712" s="7"/>
      <c r="B29712" s="7"/>
      <c r="M29712" s="9" t="s">
        <v>27</v>
      </c>
    </row>
    <row r="29713" ht="15.75" customHeight="1">
      <c r="A29713" s="7"/>
      <c r="B29713" s="7"/>
      <c r="M29713" s="9" t="s">
        <v>24</v>
      </c>
    </row>
    <row r="29714" ht="15.75" customHeight="1">
      <c r="A29714" s="7"/>
      <c r="B29714" s="7"/>
      <c r="M29714" s="9" t="s">
        <v>21</v>
      </c>
    </row>
    <row r="29715" ht="15.75" customHeight="1">
      <c r="A29715" s="7"/>
      <c r="B29715" s="7"/>
      <c r="M29715" s="9" t="s">
        <v>37</v>
      </c>
    </row>
    <row r="29716" ht="15.75" customHeight="1">
      <c r="A29716" s="7"/>
      <c r="B29716" s="7"/>
      <c r="M29716" s="9" t="s">
        <v>27</v>
      </c>
    </row>
    <row r="29717" ht="15.75" customHeight="1">
      <c r="A29717" s="7"/>
      <c r="B29717" s="7"/>
      <c r="M29717" s="9" t="s">
        <v>35</v>
      </c>
    </row>
    <row r="29718" ht="15.75" customHeight="1">
      <c r="A29718" s="7"/>
      <c r="B29718" s="7"/>
      <c r="M29718" s="9" t="s">
        <v>26</v>
      </c>
    </row>
    <row r="29719" ht="15.75" customHeight="1">
      <c r="A29719" s="7"/>
      <c r="B29719" s="7"/>
      <c r="M29719" s="9" t="s">
        <v>44</v>
      </c>
    </row>
    <row r="29720" ht="15.75" customHeight="1">
      <c r="A29720" s="7"/>
      <c r="B29720" s="7"/>
      <c r="M29720" s="9" t="s">
        <v>24</v>
      </c>
    </row>
    <row r="29721" ht="15.75" customHeight="1">
      <c r="A29721" s="7"/>
      <c r="B29721" s="7"/>
      <c r="M29721" s="9" t="s">
        <v>20</v>
      </c>
    </row>
    <row r="29722" ht="15.75" customHeight="1">
      <c r="A29722" s="7"/>
      <c r="B29722" s="7"/>
      <c r="M29722" s="9" t="s">
        <v>21</v>
      </c>
    </row>
    <row r="29723" ht="15.75" customHeight="1">
      <c r="A29723" s="7"/>
      <c r="B29723" s="7"/>
      <c r="M29723" s="9" t="s">
        <v>33</v>
      </c>
    </row>
    <row r="29724" ht="15.75" customHeight="1">
      <c r="A29724" s="7"/>
      <c r="B29724" s="7"/>
      <c r="M29724" s="9" t="s">
        <v>24</v>
      </c>
    </row>
    <row r="29725" ht="15.75" customHeight="1">
      <c r="A29725" s="7"/>
      <c r="B29725" s="7"/>
      <c r="M29725" s="9" t="s">
        <v>21</v>
      </c>
    </row>
    <row r="29726" ht="15.75" customHeight="1">
      <c r="A29726" s="7"/>
      <c r="B29726" s="7"/>
      <c r="M29726" s="9" t="s">
        <v>37</v>
      </c>
    </row>
    <row r="29727" ht="15.75" customHeight="1">
      <c r="A29727" s="7"/>
      <c r="B29727" s="7"/>
      <c r="M29727" s="9" t="s">
        <v>22</v>
      </c>
    </row>
    <row r="29728" ht="15.75" customHeight="1">
      <c r="A29728" s="7"/>
      <c r="B29728" s="7"/>
      <c r="M29728" s="9" t="s">
        <v>31</v>
      </c>
    </row>
    <row r="29729" ht="15.75" customHeight="1">
      <c r="A29729" s="7"/>
      <c r="B29729" s="7"/>
      <c r="M29729" s="9" t="s">
        <v>27</v>
      </c>
    </row>
    <row r="29730" ht="15.75" customHeight="1">
      <c r="A29730" s="7"/>
      <c r="B29730" s="7"/>
      <c r="M29730" s="9" t="s">
        <v>24</v>
      </c>
    </row>
    <row r="29731" ht="15.75" customHeight="1">
      <c r="A29731" s="7"/>
      <c r="B29731" s="7"/>
      <c r="M29731" s="9" t="s">
        <v>20</v>
      </c>
    </row>
    <row r="29732" ht="15.75" customHeight="1">
      <c r="A29732" s="7"/>
      <c r="B29732" s="7"/>
      <c r="M29732" s="9" t="s">
        <v>21</v>
      </c>
    </row>
    <row r="29733" ht="15.75" customHeight="1">
      <c r="A29733" s="7"/>
      <c r="B29733" s="7"/>
      <c r="M29733" s="9" t="s">
        <v>39</v>
      </c>
    </row>
    <row r="29734" ht="15.75" customHeight="1">
      <c r="A29734" s="7"/>
      <c r="B29734" s="7"/>
      <c r="M29734" s="9" t="s">
        <v>22</v>
      </c>
    </row>
    <row r="29735" ht="15.75" customHeight="1">
      <c r="A29735" s="7"/>
      <c r="B29735" s="7"/>
      <c r="M29735" s="9" t="s">
        <v>24</v>
      </c>
    </row>
    <row r="29736" ht="15.75" customHeight="1">
      <c r="A29736" s="7"/>
      <c r="B29736" s="7"/>
      <c r="M29736" s="9" t="s">
        <v>20</v>
      </c>
    </row>
    <row r="29737" ht="15.75" customHeight="1">
      <c r="A29737" s="7"/>
      <c r="B29737" s="7"/>
      <c r="M29737" s="9" t="s">
        <v>21</v>
      </c>
    </row>
    <row r="29738" ht="15.75" customHeight="1">
      <c r="A29738" s="7"/>
      <c r="B29738" s="7"/>
      <c r="M29738" s="9" t="s">
        <v>38</v>
      </c>
    </row>
    <row r="29739" ht="15.75" customHeight="1">
      <c r="A29739" s="7"/>
      <c r="B29739" s="7"/>
      <c r="M29739" s="9" t="s">
        <v>30</v>
      </c>
    </row>
    <row r="29740" ht="15.75" customHeight="1">
      <c r="A29740" s="7"/>
      <c r="B29740" s="7"/>
      <c r="M29740" s="9" t="s">
        <v>24</v>
      </c>
    </row>
    <row r="29741" ht="15.75" customHeight="1">
      <c r="A29741" s="7"/>
      <c r="B29741" s="7"/>
      <c r="M29741" s="9" t="s">
        <v>20</v>
      </c>
    </row>
    <row r="29742" ht="15.75" customHeight="1">
      <c r="A29742" s="7"/>
      <c r="B29742" s="7"/>
      <c r="M29742" s="9" t="s">
        <v>21</v>
      </c>
    </row>
    <row r="29743" ht="15.75" customHeight="1">
      <c r="A29743" s="7"/>
      <c r="B29743" s="7"/>
      <c r="M29743" s="9" t="s">
        <v>22</v>
      </c>
    </row>
    <row r="29744" ht="15.75" customHeight="1">
      <c r="A29744" s="7"/>
      <c r="B29744" s="7"/>
      <c r="M29744" s="9" t="s">
        <v>27</v>
      </c>
    </row>
    <row r="29745" ht="15.75" customHeight="1">
      <c r="A29745" s="7"/>
      <c r="B29745" s="7"/>
      <c r="M29745" s="9" t="s">
        <v>26</v>
      </c>
    </row>
    <row r="29746" ht="15.75" customHeight="1">
      <c r="A29746" s="7"/>
      <c r="B29746" s="7"/>
      <c r="M29746" s="9" t="s">
        <v>24</v>
      </c>
    </row>
    <row r="29747" ht="15.75" customHeight="1">
      <c r="A29747" s="7"/>
      <c r="B29747" s="7"/>
      <c r="M29747" s="9" t="s">
        <v>21</v>
      </c>
    </row>
    <row r="29748" ht="15.75" customHeight="1">
      <c r="A29748" s="7"/>
      <c r="B29748" s="7"/>
      <c r="M29748" s="9" t="s">
        <v>27</v>
      </c>
    </row>
    <row r="29749" ht="15.75" customHeight="1">
      <c r="A29749" s="7"/>
      <c r="B29749" s="7"/>
      <c r="M29749" s="9" t="s">
        <v>20</v>
      </c>
    </row>
    <row r="29750" ht="15.75" customHeight="1">
      <c r="A29750" s="7"/>
      <c r="B29750" s="7"/>
      <c r="M29750" s="9" t="s">
        <v>22</v>
      </c>
    </row>
    <row r="29751" ht="15.75" customHeight="1">
      <c r="A29751" s="7"/>
      <c r="B29751" s="7"/>
      <c r="M29751" s="9" t="s">
        <v>30</v>
      </c>
    </row>
    <row r="29752" ht="15.75" customHeight="1">
      <c r="A29752" s="7"/>
      <c r="B29752" s="7"/>
      <c r="M29752" s="9" t="s">
        <v>26</v>
      </c>
    </row>
    <row r="29753" ht="15.75" customHeight="1">
      <c r="A29753" s="7"/>
      <c r="B29753" s="7"/>
      <c r="M29753" s="9" t="s">
        <v>24</v>
      </c>
    </row>
    <row r="29754" ht="15.75" customHeight="1">
      <c r="A29754" s="7"/>
      <c r="B29754" s="7"/>
      <c r="M29754" s="9" t="s">
        <v>21</v>
      </c>
    </row>
    <row r="29755" ht="15.75" customHeight="1">
      <c r="A29755" s="7"/>
      <c r="B29755" s="7"/>
      <c r="M29755" s="9" t="s">
        <v>25</v>
      </c>
    </row>
    <row r="29756" ht="15.75" customHeight="1">
      <c r="A29756" s="7"/>
      <c r="B29756" s="7"/>
      <c r="M29756" s="9" t="s">
        <v>23</v>
      </c>
    </row>
    <row r="29757" ht="15.75" customHeight="1">
      <c r="A29757" s="7"/>
      <c r="B29757" s="7"/>
      <c r="M29757" s="9" t="s">
        <v>22</v>
      </c>
    </row>
    <row r="29758" ht="15.75" customHeight="1">
      <c r="A29758" s="7"/>
      <c r="B29758" s="7"/>
      <c r="M29758" s="9" t="s">
        <v>30</v>
      </c>
    </row>
    <row r="29759" ht="15.75" customHeight="1">
      <c r="A29759" s="7"/>
      <c r="B29759" s="7"/>
      <c r="M29759" s="9" t="s">
        <v>36</v>
      </c>
    </row>
    <row r="29760" ht="15.75" customHeight="1">
      <c r="A29760" s="7"/>
      <c r="B29760" s="7"/>
      <c r="M29760" s="9" t="s">
        <v>25</v>
      </c>
    </row>
    <row r="29761" ht="15.75" customHeight="1">
      <c r="A29761" s="7"/>
      <c r="B29761" s="7"/>
      <c r="M29761" s="9" t="s">
        <v>23</v>
      </c>
    </row>
    <row r="29762" ht="15.75" customHeight="1">
      <c r="A29762" s="7"/>
      <c r="B29762" s="7"/>
      <c r="M29762" s="9" t="s">
        <v>24</v>
      </c>
    </row>
    <row r="29763" ht="15.75" customHeight="1">
      <c r="A29763" s="7"/>
      <c r="B29763" s="7"/>
      <c r="M29763" s="9" t="s">
        <v>22</v>
      </c>
    </row>
    <row r="29764" ht="15.75" customHeight="1">
      <c r="A29764" s="7"/>
      <c r="B29764" s="7"/>
      <c r="M29764" s="9" t="s">
        <v>31</v>
      </c>
    </row>
    <row r="29765" ht="15.75" customHeight="1">
      <c r="A29765" s="7"/>
      <c r="B29765" s="7"/>
      <c r="M29765" s="9" t="s">
        <v>27</v>
      </c>
    </row>
    <row r="29766" ht="15.75" customHeight="1">
      <c r="A29766" s="7"/>
      <c r="B29766" s="7"/>
      <c r="M29766" s="9" t="s">
        <v>30</v>
      </c>
    </row>
    <row r="29767" ht="15.75" customHeight="1">
      <c r="A29767" s="7"/>
      <c r="B29767" s="7"/>
      <c r="M29767" s="9" t="s">
        <v>26</v>
      </c>
    </row>
    <row r="29768" ht="15.75" customHeight="1">
      <c r="A29768" s="7"/>
      <c r="B29768" s="7"/>
      <c r="M29768" s="9" t="s">
        <v>21</v>
      </c>
    </row>
    <row r="29769" ht="15.75" customHeight="1">
      <c r="A29769" s="7"/>
      <c r="B29769" s="7"/>
      <c r="M29769" s="9" t="s">
        <v>27</v>
      </c>
    </row>
    <row r="29770" ht="15.75" customHeight="1">
      <c r="A29770" s="7"/>
      <c r="B29770" s="7"/>
      <c r="M29770" s="9" t="s">
        <v>30</v>
      </c>
    </row>
    <row r="29771" ht="15.75" customHeight="1">
      <c r="A29771" s="7"/>
      <c r="B29771" s="7"/>
      <c r="M29771" s="9" t="s">
        <v>24</v>
      </c>
    </row>
    <row r="29772" ht="15.75" customHeight="1">
      <c r="A29772" s="7"/>
      <c r="B29772" s="7"/>
      <c r="M29772" s="9" t="s">
        <v>20</v>
      </c>
    </row>
    <row r="29773" ht="15.75" customHeight="1">
      <c r="A29773" s="7"/>
      <c r="B29773" s="7"/>
      <c r="M29773" s="9" t="s">
        <v>21</v>
      </c>
    </row>
    <row r="29774" ht="15.75" customHeight="1">
      <c r="A29774" s="7"/>
      <c r="B29774" s="7"/>
      <c r="M29774" s="9" t="s">
        <v>33</v>
      </c>
    </row>
    <row r="29775" ht="15.75" customHeight="1">
      <c r="A29775" s="7"/>
      <c r="B29775" s="7"/>
      <c r="M29775" s="9" t="s">
        <v>20</v>
      </c>
    </row>
    <row r="29776" ht="15.75" customHeight="1">
      <c r="A29776" s="7"/>
      <c r="B29776" s="7"/>
      <c r="M29776" s="9" t="s">
        <v>21</v>
      </c>
    </row>
    <row r="29777" ht="15.75" customHeight="1">
      <c r="A29777" s="7"/>
      <c r="B29777" s="7"/>
      <c r="M29777" s="9" t="s">
        <v>33</v>
      </c>
    </row>
    <row r="29778" ht="15.75" customHeight="1">
      <c r="A29778" s="7"/>
      <c r="B29778" s="7"/>
      <c r="M29778" s="9" t="s">
        <v>38</v>
      </c>
    </row>
    <row r="29779" ht="15.75" customHeight="1">
      <c r="A29779" s="7"/>
      <c r="B29779" s="7"/>
      <c r="M29779" s="9" t="s">
        <v>30</v>
      </c>
    </row>
    <row r="29780" ht="15.75" customHeight="1">
      <c r="A29780" s="7"/>
      <c r="B29780" s="7"/>
      <c r="M29780" s="9" t="s">
        <v>25</v>
      </c>
    </row>
    <row r="29781" ht="15.75" customHeight="1">
      <c r="A29781" s="7"/>
      <c r="B29781" s="7"/>
      <c r="M29781" s="9" t="s">
        <v>23</v>
      </c>
    </row>
    <row r="29782" ht="15.75" customHeight="1">
      <c r="A29782" s="7"/>
      <c r="B29782" s="7"/>
      <c r="M29782" s="9" t="s">
        <v>26</v>
      </c>
    </row>
    <row r="29783" ht="15.75" customHeight="1">
      <c r="A29783" s="7"/>
      <c r="B29783" s="7"/>
      <c r="M29783" s="9" t="s">
        <v>36</v>
      </c>
    </row>
    <row r="29784" ht="15.75" customHeight="1">
      <c r="A29784" s="7"/>
      <c r="B29784" s="7"/>
      <c r="M29784" s="9" t="s">
        <v>24</v>
      </c>
    </row>
    <row r="29785" ht="15.75" customHeight="1">
      <c r="A29785" s="7"/>
      <c r="B29785" s="7"/>
      <c r="M29785" s="9" t="s">
        <v>20</v>
      </c>
    </row>
    <row r="29786" ht="15.75" customHeight="1">
      <c r="A29786" s="7"/>
      <c r="B29786" s="7"/>
      <c r="M29786" s="9" t="s">
        <v>21</v>
      </c>
    </row>
    <row r="29787" ht="15.75" customHeight="1">
      <c r="A29787" s="7"/>
      <c r="B29787" s="7"/>
      <c r="M29787" s="9" t="s">
        <v>37</v>
      </c>
    </row>
    <row r="29788" ht="15.75" customHeight="1">
      <c r="A29788" s="7"/>
      <c r="B29788" s="7"/>
      <c r="M29788" s="9" t="s">
        <v>22</v>
      </c>
    </row>
    <row r="29789" ht="15.75" customHeight="1">
      <c r="A29789" s="7"/>
      <c r="B29789" s="7"/>
      <c r="M29789" s="9" t="s">
        <v>27</v>
      </c>
    </row>
    <row r="29790" ht="15.75" customHeight="1">
      <c r="A29790" s="7"/>
      <c r="B29790" s="7"/>
      <c r="M29790" s="9" t="s">
        <v>30</v>
      </c>
    </row>
    <row r="29791" ht="15.75" customHeight="1">
      <c r="A29791" s="7"/>
      <c r="B29791" s="7"/>
      <c r="M29791" s="9" t="s">
        <v>24</v>
      </c>
    </row>
    <row r="29792" ht="15.75" customHeight="1">
      <c r="A29792" s="7"/>
      <c r="B29792" s="7"/>
      <c r="M29792" s="9" t="s">
        <v>21</v>
      </c>
    </row>
    <row r="29793" ht="15.75" customHeight="1">
      <c r="A29793" s="7"/>
      <c r="B29793" s="7"/>
      <c r="M29793" s="9" t="s">
        <v>22</v>
      </c>
    </row>
    <row r="29794" ht="15.75" customHeight="1">
      <c r="A29794" s="7"/>
      <c r="B29794" s="7"/>
      <c r="M29794" s="9" t="s">
        <v>31</v>
      </c>
    </row>
    <row r="29795" ht="15.75" customHeight="1">
      <c r="A29795" s="7"/>
      <c r="B29795" s="7"/>
      <c r="M29795" s="9" t="s">
        <v>27</v>
      </c>
    </row>
    <row r="29796" ht="15.75" customHeight="1">
      <c r="A29796" s="7"/>
      <c r="B29796" s="7"/>
      <c r="M29796" s="9" t="s">
        <v>23</v>
      </c>
    </row>
    <row r="29797" ht="15.75" customHeight="1">
      <c r="A29797" s="7"/>
      <c r="B29797" s="7"/>
      <c r="M29797" s="9" t="s">
        <v>26</v>
      </c>
    </row>
    <row r="29798" ht="15.75" customHeight="1">
      <c r="A29798" s="7"/>
      <c r="B29798" s="7"/>
      <c r="M29798" s="9" t="s">
        <v>24</v>
      </c>
    </row>
    <row r="29799" ht="15.75" customHeight="1">
      <c r="A29799" s="7"/>
      <c r="B29799" s="7"/>
      <c r="M29799" s="9" t="s">
        <v>21</v>
      </c>
    </row>
    <row r="29800" ht="15.75" customHeight="1">
      <c r="A29800" s="7"/>
      <c r="B29800" s="7"/>
      <c r="M29800" s="9" t="s">
        <v>37</v>
      </c>
    </row>
    <row r="29801" ht="15.75" customHeight="1">
      <c r="A29801" s="7"/>
      <c r="B29801" s="7"/>
      <c r="M29801" s="9" t="s">
        <v>27</v>
      </c>
    </row>
    <row r="29802" ht="15.75" customHeight="1">
      <c r="A29802" s="7"/>
      <c r="B29802" s="7"/>
      <c r="M29802" s="9" t="s">
        <v>28</v>
      </c>
    </row>
    <row r="29803" ht="15.75" customHeight="1">
      <c r="A29803" s="7"/>
      <c r="B29803" s="7"/>
      <c r="M29803" s="9" t="s">
        <v>24</v>
      </c>
    </row>
    <row r="29804" ht="15.75" customHeight="1">
      <c r="A29804" s="7"/>
      <c r="B29804" s="7"/>
      <c r="M29804" s="9" t="s">
        <v>20</v>
      </c>
    </row>
    <row r="29805" ht="15.75" customHeight="1">
      <c r="A29805" s="7"/>
      <c r="B29805" s="7"/>
      <c r="M29805" s="9" t="s">
        <v>21</v>
      </c>
    </row>
    <row r="29806" ht="15.75" customHeight="1">
      <c r="A29806" s="7"/>
      <c r="B29806" s="7"/>
      <c r="M29806" s="9" t="s">
        <v>31</v>
      </c>
    </row>
    <row r="29807" ht="15.75" customHeight="1">
      <c r="A29807" s="7"/>
      <c r="B29807" s="7"/>
      <c r="M29807" s="9" t="s">
        <v>27</v>
      </c>
    </row>
    <row r="29808" ht="15.75" customHeight="1">
      <c r="A29808" s="7"/>
      <c r="B29808" s="7"/>
      <c r="M29808" s="9" t="s">
        <v>33</v>
      </c>
    </row>
    <row r="29809" ht="15.75" customHeight="1">
      <c r="A29809" s="7"/>
      <c r="B29809" s="7"/>
      <c r="M29809" s="9" t="s">
        <v>26</v>
      </c>
    </row>
    <row r="29810" ht="15.75" customHeight="1">
      <c r="A29810" s="7"/>
      <c r="B29810" s="7"/>
      <c r="M29810" s="9" t="s">
        <v>24</v>
      </c>
    </row>
    <row r="29811" ht="15.75" customHeight="1">
      <c r="A29811" s="7"/>
      <c r="B29811" s="7"/>
      <c r="M29811" s="9" t="s">
        <v>21</v>
      </c>
    </row>
    <row r="29812" ht="15.75" customHeight="1">
      <c r="A29812" s="7"/>
      <c r="B29812" s="7"/>
      <c r="M29812" s="9" t="s">
        <v>27</v>
      </c>
    </row>
    <row r="29813" ht="15.75" customHeight="1">
      <c r="A29813" s="7"/>
      <c r="B29813" s="7"/>
      <c r="M29813" s="9" t="s">
        <v>26</v>
      </c>
    </row>
    <row r="29814" ht="15.75" customHeight="1">
      <c r="A29814" s="7"/>
      <c r="B29814" s="7"/>
      <c r="M29814" s="9" t="s">
        <v>24</v>
      </c>
    </row>
    <row r="29815" ht="15.75" customHeight="1">
      <c r="A29815" s="7"/>
      <c r="B29815" s="7"/>
      <c r="M29815" s="9" t="s">
        <v>20</v>
      </c>
    </row>
    <row r="29816" ht="15.75" customHeight="1">
      <c r="A29816" s="7"/>
      <c r="B29816" s="7"/>
      <c r="M29816" s="9" t="s">
        <v>37</v>
      </c>
    </row>
    <row r="29817" ht="15.75" customHeight="1">
      <c r="A29817" s="7"/>
      <c r="B29817" s="7"/>
      <c r="M29817" s="9" t="s">
        <v>27</v>
      </c>
    </row>
    <row r="29818" ht="15.75" customHeight="1">
      <c r="A29818" s="7"/>
      <c r="B29818" s="7"/>
      <c r="M29818" s="9" t="s">
        <v>20</v>
      </c>
    </row>
    <row r="29819" ht="15.75" customHeight="1">
      <c r="A29819" s="7"/>
      <c r="B29819" s="7"/>
      <c r="M29819" s="9" t="s">
        <v>21</v>
      </c>
    </row>
    <row r="29820" ht="15.75" customHeight="1">
      <c r="A29820" s="7"/>
      <c r="B29820" s="7"/>
      <c r="M29820" s="9" t="s">
        <v>25</v>
      </c>
    </row>
    <row r="29821" ht="15.75" customHeight="1">
      <c r="A29821" s="7"/>
      <c r="B29821" s="7"/>
      <c r="M29821" s="9" t="s">
        <v>23</v>
      </c>
    </row>
    <row r="29822" ht="15.75" customHeight="1">
      <c r="A29822" s="7"/>
      <c r="B29822" s="7"/>
      <c r="M29822" s="9" t="s">
        <v>26</v>
      </c>
    </row>
    <row r="29823" ht="15.75" customHeight="1">
      <c r="A29823" s="7"/>
      <c r="B29823" s="7"/>
      <c r="M29823" s="9" t="s">
        <v>37</v>
      </c>
    </row>
    <row r="29824" ht="15.75" customHeight="1">
      <c r="A29824" s="7"/>
      <c r="B29824" s="7"/>
      <c r="M29824" s="9" t="s">
        <v>30</v>
      </c>
    </row>
    <row r="29825" ht="15.75" customHeight="1">
      <c r="A29825" s="7"/>
      <c r="B29825" s="7"/>
      <c r="M29825" s="9" t="s">
        <v>25</v>
      </c>
    </row>
    <row r="29826" ht="15.75" customHeight="1">
      <c r="A29826" s="7"/>
      <c r="B29826" s="7"/>
      <c r="M29826" s="9" t="s">
        <v>23</v>
      </c>
    </row>
    <row r="29827" ht="15.75" customHeight="1">
      <c r="A29827" s="7"/>
      <c r="B29827" s="7"/>
      <c r="M29827" s="9" t="s">
        <v>20</v>
      </c>
    </row>
    <row r="29828" ht="15.75" customHeight="1">
      <c r="A29828" s="7"/>
      <c r="B29828" s="7"/>
      <c r="M29828" s="9" t="s">
        <v>22</v>
      </c>
    </row>
    <row r="29829" ht="15.75" customHeight="1">
      <c r="A29829" s="7"/>
      <c r="B29829" s="7"/>
      <c r="M29829" s="9" t="s">
        <v>27</v>
      </c>
    </row>
    <row r="29830" ht="15.75" customHeight="1">
      <c r="A29830" s="7"/>
      <c r="B29830" s="7"/>
      <c r="M29830" s="9" t="s">
        <v>24</v>
      </c>
    </row>
    <row r="29831" ht="15.75" customHeight="1">
      <c r="A29831" s="7"/>
      <c r="B29831" s="7"/>
      <c r="M29831" s="9" t="s">
        <v>21</v>
      </c>
    </row>
    <row r="29832" ht="15.75" customHeight="1">
      <c r="A29832" s="7"/>
      <c r="B29832" s="7"/>
      <c r="M29832" s="9" t="s">
        <v>37</v>
      </c>
    </row>
    <row r="29833" ht="15.75" customHeight="1">
      <c r="A29833" s="7"/>
      <c r="B29833" s="7"/>
      <c r="M29833" s="9" t="s">
        <v>28</v>
      </c>
    </row>
    <row r="29834" ht="15.75" customHeight="1">
      <c r="A29834" s="7"/>
      <c r="B29834" s="7"/>
      <c r="M29834" s="9" t="s">
        <v>35</v>
      </c>
    </row>
    <row r="29835" ht="15.75" customHeight="1">
      <c r="A29835" s="7"/>
      <c r="B29835" s="7"/>
      <c r="M29835" s="9" t="s">
        <v>26</v>
      </c>
    </row>
    <row r="29836" ht="15.75" customHeight="1">
      <c r="A29836" s="7"/>
      <c r="B29836" s="7"/>
      <c r="M29836" s="9" t="s">
        <v>24</v>
      </c>
    </row>
    <row r="29837" ht="15.75" customHeight="1">
      <c r="A29837" s="7"/>
      <c r="B29837" s="7"/>
      <c r="M29837" s="9" t="s">
        <v>20</v>
      </c>
    </row>
    <row r="29838" ht="15.75" customHeight="1">
      <c r="A29838" s="7"/>
      <c r="B29838" s="7"/>
      <c r="M29838" s="9" t="s">
        <v>21</v>
      </c>
    </row>
    <row r="29839" ht="15.75" customHeight="1">
      <c r="A29839" s="7"/>
      <c r="B29839" s="7"/>
      <c r="M29839" s="9" t="s">
        <v>22</v>
      </c>
    </row>
    <row r="29840" ht="15.75" customHeight="1">
      <c r="A29840" s="7"/>
      <c r="B29840" s="7"/>
      <c r="M29840" s="9" t="s">
        <v>27</v>
      </c>
    </row>
    <row r="29841" ht="15.75" customHeight="1">
      <c r="A29841" s="7"/>
      <c r="B29841" s="7"/>
      <c r="M29841" s="9" t="s">
        <v>28</v>
      </c>
    </row>
    <row r="29842" ht="15.75" customHeight="1">
      <c r="A29842" s="7"/>
      <c r="B29842" s="7"/>
      <c r="M29842" s="9" t="s">
        <v>26</v>
      </c>
    </row>
    <row r="29843" ht="15.75" customHeight="1">
      <c r="A29843" s="7"/>
      <c r="B29843" s="7"/>
      <c r="M29843" s="9" t="s">
        <v>24</v>
      </c>
    </row>
    <row r="29844" ht="15.75" customHeight="1">
      <c r="A29844" s="7"/>
      <c r="B29844" s="7"/>
      <c r="M29844" s="9" t="s">
        <v>20</v>
      </c>
    </row>
    <row r="29845" ht="15.75" customHeight="1">
      <c r="A29845" s="7"/>
      <c r="B29845" s="7"/>
      <c r="M29845" s="9" t="s">
        <v>21</v>
      </c>
    </row>
    <row r="29846" ht="15.75" customHeight="1">
      <c r="A29846" s="7"/>
      <c r="B29846" s="7"/>
      <c r="M29846" s="9" t="s">
        <v>22</v>
      </c>
    </row>
    <row r="29847" ht="15.75" customHeight="1">
      <c r="A29847" s="7"/>
      <c r="B29847" s="7"/>
      <c r="M29847" s="9" t="s">
        <v>27</v>
      </c>
    </row>
    <row r="29848" ht="15.75" customHeight="1">
      <c r="A29848" s="7"/>
      <c r="B29848" s="7"/>
      <c r="M29848" s="9" t="s">
        <v>33</v>
      </c>
    </row>
    <row r="29849" ht="15.75" customHeight="1">
      <c r="A29849" s="7"/>
      <c r="B29849" s="7"/>
      <c r="M29849" s="9" t="s">
        <v>28</v>
      </c>
    </row>
    <row r="29850" ht="15.75" customHeight="1">
      <c r="A29850" s="7"/>
      <c r="B29850" s="7"/>
      <c r="M29850" s="9" t="s">
        <v>25</v>
      </c>
    </row>
    <row r="29851" ht="15.75" customHeight="1">
      <c r="A29851" s="7"/>
      <c r="B29851" s="7"/>
      <c r="M29851" s="9" t="s">
        <v>23</v>
      </c>
    </row>
    <row r="29852" ht="15.75" customHeight="1">
      <c r="A29852" s="7"/>
      <c r="B29852" s="7"/>
      <c r="M29852" s="9" t="s">
        <v>26</v>
      </c>
    </row>
    <row r="29853" ht="15.75" customHeight="1">
      <c r="A29853" s="7"/>
      <c r="B29853" s="7"/>
      <c r="M29853" s="9" t="s">
        <v>24</v>
      </c>
    </row>
    <row r="29854" ht="15.75" customHeight="1">
      <c r="A29854" s="7"/>
      <c r="B29854" s="7"/>
      <c r="M29854" s="9" t="s">
        <v>20</v>
      </c>
    </row>
    <row r="29855" ht="15.75" customHeight="1">
      <c r="A29855" s="7"/>
      <c r="B29855" s="7"/>
      <c r="M29855" s="9" t="s">
        <v>21</v>
      </c>
    </row>
    <row r="29856" ht="15.75" customHeight="1">
      <c r="A29856" s="7"/>
      <c r="B29856" s="7"/>
      <c r="M29856" s="9" t="s">
        <v>37</v>
      </c>
    </row>
    <row r="29857" ht="15.75" customHeight="1">
      <c r="A29857" s="7"/>
      <c r="B29857" s="7"/>
      <c r="M29857" s="9" t="s">
        <v>22</v>
      </c>
    </row>
    <row r="29858" ht="15.75" customHeight="1">
      <c r="A29858" s="7"/>
      <c r="B29858" s="7"/>
      <c r="M29858" s="9" t="s">
        <v>27</v>
      </c>
    </row>
    <row r="29859" ht="15.75" customHeight="1">
      <c r="A29859" s="7"/>
      <c r="B29859" s="7"/>
      <c r="M29859" s="9" t="s">
        <v>30</v>
      </c>
    </row>
    <row r="29860" ht="15.75" customHeight="1">
      <c r="A29860" s="7"/>
      <c r="B29860" s="7"/>
      <c r="M29860" s="9" t="s">
        <v>26</v>
      </c>
    </row>
    <row r="29861" ht="15.75" customHeight="1">
      <c r="A29861" s="7"/>
      <c r="B29861" s="7"/>
      <c r="M29861" s="9" t="s">
        <v>24</v>
      </c>
    </row>
    <row r="29862" ht="15.75" customHeight="1">
      <c r="A29862" s="7"/>
      <c r="B29862" s="7"/>
      <c r="M29862" s="9" t="s">
        <v>21</v>
      </c>
    </row>
    <row r="29863" ht="15.75" customHeight="1">
      <c r="A29863" s="7"/>
      <c r="B29863" s="7"/>
      <c r="M29863" s="9" t="s">
        <v>41</v>
      </c>
    </row>
    <row r="29864" ht="15.75" customHeight="1">
      <c r="A29864" s="7"/>
      <c r="B29864" s="7"/>
      <c r="M29864" s="9" t="s">
        <v>22</v>
      </c>
    </row>
    <row r="29865" ht="15.75" customHeight="1">
      <c r="A29865" s="7"/>
      <c r="B29865" s="7"/>
      <c r="M29865" s="9" t="s">
        <v>27</v>
      </c>
    </row>
    <row r="29866" ht="15.75" customHeight="1">
      <c r="A29866" s="7"/>
      <c r="B29866" s="7"/>
      <c r="M29866" s="9" t="s">
        <v>25</v>
      </c>
    </row>
    <row r="29867" ht="15.75" customHeight="1">
      <c r="A29867" s="7"/>
      <c r="B29867" s="7"/>
      <c r="M29867" s="9" t="s">
        <v>24</v>
      </c>
    </row>
    <row r="29868" ht="15.75" customHeight="1">
      <c r="A29868" s="7"/>
      <c r="B29868" s="7"/>
      <c r="M29868" s="9" t="s">
        <v>20</v>
      </c>
    </row>
    <row r="29869" ht="15.75" customHeight="1">
      <c r="A29869" s="7"/>
      <c r="B29869" s="7"/>
      <c r="M29869" s="9" t="s">
        <v>21</v>
      </c>
    </row>
    <row r="29870" ht="15.75" customHeight="1">
      <c r="A29870" s="7"/>
      <c r="B29870" s="7"/>
      <c r="M29870" s="9" t="s">
        <v>37</v>
      </c>
    </row>
    <row r="29871" ht="15.75" customHeight="1">
      <c r="A29871" s="7"/>
      <c r="B29871" s="7"/>
      <c r="M29871" s="9" t="s">
        <v>22</v>
      </c>
    </row>
    <row r="29872" ht="15.75" customHeight="1">
      <c r="A29872" s="7"/>
      <c r="B29872" s="7"/>
      <c r="M29872" s="9" t="s">
        <v>31</v>
      </c>
    </row>
    <row r="29873" ht="15.75" customHeight="1">
      <c r="A29873" s="7"/>
      <c r="B29873" s="7"/>
      <c r="M29873" s="9" t="s">
        <v>27</v>
      </c>
    </row>
    <row r="29874" ht="15.75" customHeight="1">
      <c r="A29874" s="7"/>
      <c r="B29874" s="7"/>
      <c r="M29874" s="9" t="s">
        <v>24</v>
      </c>
    </row>
    <row r="29875" ht="15.75" customHeight="1">
      <c r="A29875" s="7"/>
      <c r="B29875" s="7"/>
      <c r="M29875" s="9" t="s">
        <v>21</v>
      </c>
    </row>
    <row r="29876" ht="15.75" customHeight="1">
      <c r="A29876" s="7"/>
      <c r="B29876" s="7"/>
      <c r="M29876" s="9" t="s">
        <v>22</v>
      </c>
    </row>
    <row r="29877" ht="15.75" customHeight="1">
      <c r="A29877" s="7"/>
      <c r="B29877" s="7"/>
      <c r="M29877" s="9" t="s">
        <v>25</v>
      </c>
    </row>
    <row r="29878" ht="15.75" customHeight="1">
      <c r="A29878" s="7"/>
      <c r="B29878" s="7"/>
      <c r="M29878" s="9" t="s">
        <v>23</v>
      </c>
    </row>
    <row r="29879" ht="15.75" customHeight="1">
      <c r="A29879" s="7"/>
      <c r="B29879" s="7"/>
      <c r="M29879" s="9" t="s">
        <v>26</v>
      </c>
    </row>
    <row r="29880" ht="15.75" customHeight="1">
      <c r="A29880" s="7"/>
      <c r="B29880" s="7"/>
      <c r="M29880" s="9" t="s">
        <v>24</v>
      </c>
    </row>
    <row r="29881" ht="15.75" customHeight="1">
      <c r="A29881" s="7"/>
      <c r="B29881" s="7"/>
      <c r="M29881" s="9" t="s">
        <v>20</v>
      </c>
    </row>
    <row r="29882" ht="15.75" customHeight="1">
      <c r="A29882" s="7"/>
      <c r="B29882" s="7"/>
      <c r="M29882" s="9" t="s">
        <v>21</v>
      </c>
    </row>
    <row r="29883" ht="15.75" customHeight="1">
      <c r="A29883" s="7"/>
      <c r="B29883" s="7"/>
      <c r="M29883" s="9" t="s">
        <v>22</v>
      </c>
    </row>
    <row r="29884" ht="15.75" customHeight="1">
      <c r="A29884" s="7"/>
      <c r="B29884" s="7"/>
      <c r="M29884" s="9" t="s">
        <v>23</v>
      </c>
    </row>
    <row r="29885" ht="15.75" customHeight="1">
      <c r="A29885" s="7"/>
      <c r="B29885" s="7"/>
      <c r="M29885" s="9" t="s">
        <v>24</v>
      </c>
    </row>
    <row r="29886" ht="15.75" customHeight="1">
      <c r="A29886" s="7"/>
      <c r="B29886" s="7"/>
      <c r="M29886" s="9" t="s">
        <v>20</v>
      </c>
    </row>
    <row r="29887" ht="15.75" customHeight="1">
      <c r="A29887" s="7"/>
      <c r="B29887" s="7"/>
      <c r="M29887" s="9" t="s">
        <v>27</v>
      </c>
    </row>
    <row r="29888" ht="15.75" customHeight="1">
      <c r="A29888" s="7"/>
      <c r="B29888" s="7"/>
      <c r="M29888" s="9" t="s">
        <v>30</v>
      </c>
    </row>
    <row r="29889" ht="15.75" customHeight="1">
      <c r="A29889" s="7"/>
      <c r="B29889" s="7"/>
      <c r="M29889" s="9" t="s">
        <v>25</v>
      </c>
    </row>
    <row r="29890" ht="15.75" customHeight="1">
      <c r="A29890" s="7"/>
      <c r="B29890" s="7"/>
      <c r="M29890" s="9" t="s">
        <v>23</v>
      </c>
    </row>
    <row r="29891" ht="15.75" customHeight="1">
      <c r="A29891" s="7"/>
      <c r="B29891" s="7"/>
      <c r="M29891" s="9" t="s">
        <v>26</v>
      </c>
    </row>
    <row r="29892" ht="15.75" customHeight="1">
      <c r="A29892" s="7"/>
      <c r="B29892" s="7"/>
      <c r="M29892" s="9" t="s">
        <v>24</v>
      </c>
    </row>
    <row r="29893" ht="15.75" customHeight="1">
      <c r="A29893" s="7"/>
      <c r="B29893" s="7"/>
      <c r="M29893" s="9" t="s">
        <v>20</v>
      </c>
    </row>
    <row r="29894" ht="15.75" customHeight="1">
      <c r="A29894" s="7"/>
      <c r="B29894" s="7"/>
      <c r="M29894" s="9" t="s">
        <v>21</v>
      </c>
    </row>
    <row r="29895" ht="15.75" customHeight="1">
      <c r="A29895" s="7"/>
      <c r="B29895" s="7"/>
      <c r="M29895" s="9" t="s">
        <v>37</v>
      </c>
    </row>
    <row r="29896" ht="15.75" customHeight="1">
      <c r="A29896" s="7"/>
      <c r="B29896" s="7"/>
      <c r="M29896" s="9" t="s">
        <v>27</v>
      </c>
    </row>
    <row r="29897" ht="15.75" customHeight="1">
      <c r="A29897" s="7"/>
      <c r="B29897" s="7"/>
      <c r="M29897" s="9" t="s">
        <v>20</v>
      </c>
    </row>
    <row r="29898" ht="15.75" customHeight="1">
      <c r="A29898" s="7"/>
      <c r="B29898" s="7"/>
      <c r="M29898" s="9" t="s">
        <v>22</v>
      </c>
    </row>
    <row r="29899" ht="15.75" customHeight="1">
      <c r="A29899" s="7"/>
      <c r="B29899" s="7"/>
      <c r="M29899" s="9" t="s">
        <v>30</v>
      </c>
    </row>
    <row r="29900" ht="15.75" customHeight="1">
      <c r="A29900" s="7"/>
      <c r="B29900" s="7"/>
      <c r="M29900" s="9" t="s">
        <v>24</v>
      </c>
    </row>
    <row r="29901" ht="15.75" customHeight="1">
      <c r="A29901" s="7"/>
      <c r="B29901" s="7"/>
      <c r="M29901" s="9" t="s">
        <v>20</v>
      </c>
    </row>
    <row r="29902" ht="15.75" customHeight="1">
      <c r="A29902" s="7"/>
      <c r="B29902" s="7"/>
      <c r="M29902" s="9" t="s">
        <v>21</v>
      </c>
    </row>
    <row r="29903" ht="15.75" customHeight="1">
      <c r="A29903" s="7"/>
      <c r="B29903" s="7"/>
      <c r="M29903" s="9" t="s">
        <v>39</v>
      </c>
    </row>
    <row r="29904" ht="15.75" customHeight="1">
      <c r="A29904" s="7"/>
      <c r="B29904" s="7"/>
      <c r="M29904" s="9" t="s">
        <v>22</v>
      </c>
    </row>
    <row r="29905" ht="15.75" customHeight="1">
      <c r="A29905" s="7"/>
      <c r="B29905" s="7"/>
      <c r="M29905" s="9" t="s">
        <v>27</v>
      </c>
    </row>
    <row r="29906" ht="15.75" customHeight="1">
      <c r="A29906" s="7"/>
      <c r="B29906" s="7"/>
      <c r="M29906" s="9" t="s">
        <v>33</v>
      </c>
    </row>
    <row r="29907" ht="15.75" customHeight="1">
      <c r="A29907" s="7"/>
      <c r="B29907" s="7"/>
      <c r="M29907" s="9" t="s">
        <v>30</v>
      </c>
    </row>
    <row r="29908" ht="15.75" customHeight="1">
      <c r="A29908" s="7"/>
      <c r="B29908" s="7"/>
      <c r="M29908" s="9" t="s">
        <v>24</v>
      </c>
    </row>
    <row r="29909" ht="15.75" customHeight="1">
      <c r="A29909" s="7"/>
      <c r="B29909" s="7"/>
      <c r="M29909" s="9" t="s">
        <v>20</v>
      </c>
    </row>
    <row r="29910" ht="15.75" customHeight="1">
      <c r="A29910" s="7"/>
      <c r="B29910" s="7"/>
      <c r="M29910" s="9" t="s">
        <v>21</v>
      </c>
    </row>
    <row r="29911" ht="15.75" customHeight="1">
      <c r="A29911" s="7"/>
      <c r="B29911" s="7"/>
      <c r="M29911" s="9" t="s">
        <v>27</v>
      </c>
    </row>
    <row r="29912" ht="15.75" customHeight="1">
      <c r="A29912" s="7"/>
      <c r="B29912" s="7"/>
      <c r="M29912" s="9" t="s">
        <v>26</v>
      </c>
    </row>
    <row r="29913" ht="15.75" customHeight="1">
      <c r="A29913" s="7"/>
      <c r="B29913" s="7"/>
      <c r="M29913" s="9" t="s">
        <v>24</v>
      </c>
    </row>
    <row r="29914" ht="15.75" customHeight="1">
      <c r="A29914" s="7"/>
      <c r="B29914" s="7"/>
      <c r="M29914" s="9" t="s">
        <v>21</v>
      </c>
    </row>
    <row r="29915" ht="15.75" customHeight="1">
      <c r="A29915" s="7"/>
      <c r="B29915" s="7"/>
      <c r="M29915" s="9" t="s">
        <v>27</v>
      </c>
    </row>
    <row r="29916" ht="15.75" customHeight="1">
      <c r="A29916" s="7"/>
      <c r="B29916" s="7"/>
      <c r="M29916" s="9" t="s">
        <v>30</v>
      </c>
    </row>
    <row r="29917" ht="15.75" customHeight="1">
      <c r="A29917" s="7"/>
      <c r="B29917" s="7"/>
      <c r="M29917" s="9" t="s">
        <v>24</v>
      </c>
    </row>
    <row r="29918" ht="15.75" customHeight="1">
      <c r="A29918" s="7"/>
      <c r="B29918" s="7"/>
      <c r="M29918" s="9" t="s">
        <v>22</v>
      </c>
    </row>
    <row r="29919" ht="15.75" customHeight="1">
      <c r="A29919" s="7"/>
      <c r="B29919" s="7"/>
      <c r="M29919" s="9" t="s">
        <v>27</v>
      </c>
    </row>
    <row r="29920" ht="15.75" customHeight="1">
      <c r="A29920" s="7"/>
      <c r="B29920" s="7"/>
      <c r="M29920" s="9" t="s">
        <v>38</v>
      </c>
    </row>
    <row r="29921" ht="15.75" customHeight="1">
      <c r="A29921" s="7"/>
      <c r="B29921" s="7"/>
      <c r="M29921" s="9" t="s">
        <v>30</v>
      </c>
    </row>
    <row r="29922" ht="15.75" customHeight="1">
      <c r="A29922" s="7"/>
      <c r="B29922" s="7"/>
      <c r="M29922" s="9" t="s">
        <v>25</v>
      </c>
    </row>
    <row r="29923" ht="15.75" customHeight="1">
      <c r="A29923" s="7"/>
      <c r="B29923" s="7"/>
      <c r="M29923" s="9" t="s">
        <v>23</v>
      </c>
    </row>
    <row r="29924" ht="15.75" customHeight="1">
      <c r="A29924" s="7"/>
      <c r="B29924" s="7"/>
      <c r="M29924" s="9" t="s">
        <v>22</v>
      </c>
    </row>
    <row r="29925" ht="15.75" customHeight="1">
      <c r="A29925" s="7"/>
      <c r="B29925" s="7"/>
      <c r="M29925" s="9" t="s">
        <v>46</v>
      </c>
    </row>
    <row r="29926" ht="15.75" customHeight="1">
      <c r="A29926" s="7"/>
      <c r="B29926" s="7"/>
      <c r="M29926" s="9" t="s">
        <v>35</v>
      </c>
    </row>
    <row r="29927" ht="15.75" customHeight="1">
      <c r="A29927" s="7"/>
      <c r="B29927" s="7"/>
      <c r="M29927" s="9" t="s">
        <v>25</v>
      </c>
    </row>
    <row r="29928" ht="15.75" customHeight="1">
      <c r="A29928" s="7"/>
      <c r="B29928" s="7"/>
      <c r="M29928" s="9" t="s">
        <v>36</v>
      </c>
    </row>
    <row r="29929" ht="15.75" customHeight="1">
      <c r="A29929" s="7"/>
      <c r="B29929" s="7"/>
      <c r="M29929" s="9" t="s">
        <v>24</v>
      </c>
    </row>
    <row r="29930" ht="15.75" customHeight="1">
      <c r="A29930" s="7"/>
      <c r="B29930" s="7"/>
      <c r="M29930" s="9" t="s">
        <v>21</v>
      </c>
    </row>
    <row r="29931" ht="15.75" customHeight="1">
      <c r="A29931" s="7"/>
      <c r="B29931" s="7"/>
      <c r="M29931" s="9" t="s">
        <v>37</v>
      </c>
    </row>
    <row r="29932" ht="15.75" customHeight="1">
      <c r="A29932" s="7"/>
      <c r="B29932" s="7"/>
      <c r="M29932" s="9" t="s">
        <v>31</v>
      </c>
    </row>
    <row r="29933" ht="15.75" customHeight="1">
      <c r="A29933" s="7"/>
      <c r="B29933" s="7"/>
      <c r="M29933" s="9" t="s">
        <v>27</v>
      </c>
    </row>
    <row r="29934" ht="15.75" customHeight="1">
      <c r="A29934" s="7"/>
      <c r="B29934" s="7"/>
      <c r="M29934" s="9" t="s">
        <v>33</v>
      </c>
    </row>
    <row r="29935" ht="15.75" customHeight="1">
      <c r="A29935" s="7"/>
      <c r="B29935" s="7"/>
      <c r="M29935" s="9" t="s">
        <v>38</v>
      </c>
    </row>
    <row r="29936" ht="15.75" customHeight="1">
      <c r="A29936" s="7"/>
      <c r="B29936" s="7"/>
      <c r="M29936" s="9" t="s">
        <v>30</v>
      </c>
    </row>
    <row r="29937" ht="15.75" customHeight="1">
      <c r="A29937" s="7"/>
      <c r="B29937" s="7"/>
      <c r="M29937" s="9" t="s">
        <v>25</v>
      </c>
    </row>
    <row r="29938" ht="15.75" customHeight="1">
      <c r="A29938" s="7"/>
      <c r="B29938" s="7"/>
      <c r="M29938" s="9" t="s">
        <v>20</v>
      </c>
    </row>
    <row r="29939" ht="15.75" customHeight="1">
      <c r="A29939" s="7"/>
      <c r="B29939" s="7"/>
      <c r="M29939" s="9" t="s">
        <v>22</v>
      </c>
    </row>
    <row r="29940" ht="15.75" customHeight="1">
      <c r="A29940" s="7"/>
      <c r="B29940" s="7"/>
      <c r="M29940" s="9" t="s">
        <v>32</v>
      </c>
    </row>
    <row r="29941" ht="15.75" customHeight="1">
      <c r="A29941" s="7"/>
      <c r="B29941" s="7"/>
      <c r="M29941" s="9" t="s">
        <v>30</v>
      </c>
    </row>
    <row r="29942" ht="15.75" customHeight="1">
      <c r="A29942" s="7"/>
      <c r="B29942" s="7"/>
      <c r="M29942" s="9" t="s">
        <v>25</v>
      </c>
    </row>
    <row r="29943" ht="15.75" customHeight="1">
      <c r="A29943" s="7"/>
      <c r="B29943" s="7"/>
      <c r="M29943" s="9" t="s">
        <v>23</v>
      </c>
    </row>
    <row r="29944" ht="15.75" customHeight="1">
      <c r="A29944" s="7"/>
      <c r="B29944" s="7"/>
      <c r="M29944" s="9" t="s">
        <v>26</v>
      </c>
    </row>
    <row r="29945" ht="15.75" customHeight="1">
      <c r="A29945" s="7"/>
      <c r="B29945" s="7"/>
      <c r="M29945" s="9" t="s">
        <v>36</v>
      </c>
    </row>
    <row r="29946" ht="15.75" customHeight="1">
      <c r="A29946" s="7"/>
      <c r="B29946" s="7"/>
      <c r="M29946" s="9" t="s">
        <v>24</v>
      </c>
    </row>
    <row r="29947" ht="15.75" customHeight="1">
      <c r="A29947" s="7"/>
      <c r="B29947" s="7"/>
      <c r="M29947" s="9" t="s">
        <v>21</v>
      </c>
    </row>
    <row r="29948" ht="15.75" customHeight="1">
      <c r="A29948" s="7"/>
      <c r="B29948" s="7"/>
      <c r="M29948" s="9" t="s">
        <v>31</v>
      </c>
    </row>
    <row r="29949" ht="15.75" customHeight="1">
      <c r="A29949" s="7"/>
      <c r="B29949" s="7"/>
      <c r="M29949" s="9" t="s">
        <v>27</v>
      </c>
    </row>
    <row r="29950" ht="15.75" customHeight="1">
      <c r="A29950" s="7"/>
      <c r="B29950" s="7"/>
      <c r="M29950" s="9" t="s">
        <v>21</v>
      </c>
    </row>
    <row r="29951" ht="15.75" customHeight="1">
      <c r="A29951" s="7"/>
      <c r="B29951" s="7"/>
      <c r="M29951" s="9" t="s">
        <v>22</v>
      </c>
    </row>
    <row r="29952" ht="15.75" customHeight="1">
      <c r="A29952" s="7"/>
      <c r="B29952" s="7"/>
      <c r="M29952" s="9" t="s">
        <v>31</v>
      </c>
    </row>
    <row r="29953" ht="15.75" customHeight="1">
      <c r="A29953" s="7"/>
      <c r="B29953" s="7"/>
      <c r="M29953" s="9" t="s">
        <v>30</v>
      </c>
    </row>
    <row r="29954" ht="15.75" customHeight="1">
      <c r="A29954" s="7"/>
      <c r="B29954" s="7"/>
      <c r="M29954" s="9" t="s">
        <v>36</v>
      </c>
    </row>
    <row r="29955" ht="15.75" customHeight="1">
      <c r="A29955" s="7"/>
      <c r="B29955" s="7"/>
      <c r="M29955" s="9" t="s">
        <v>24</v>
      </c>
    </row>
    <row r="29956" ht="15.75" customHeight="1">
      <c r="A29956" s="7"/>
      <c r="B29956" s="7"/>
      <c r="M29956" s="9" t="s">
        <v>20</v>
      </c>
    </row>
    <row r="29957" ht="15.75" customHeight="1">
      <c r="A29957" s="7"/>
      <c r="B29957" s="7"/>
      <c r="M29957" s="9" t="s">
        <v>21</v>
      </c>
    </row>
    <row r="29958" ht="15.75" customHeight="1">
      <c r="A29958" s="7"/>
      <c r="B29958" s="7"/>
      <c r="M29958" s="9" t="s">
        <v>37</v>
      </c>
    </row>
    <row r="29959" ht="15.75" customHeight="1">
      <c r="A29959" s="7"/>
      <c r="B29959" s="7"/>
      <c r="M29959" s="9" t="s">
        <v>27</v>
      </c>
    </row>
    <row r="29960" ht="15.75" customHeight="1">
      <c r="A29960" s="7"/>
      <c r="B29960" s="7"/>
      <c r="M29960" s="9" t="s">
        <v>30</v>
      </c>
    </row>
    <row r="29961" ht="15.75" customHeight="1">
      <c r="A29961" s="7"/>
      <c r="B29961" s="7"/>
      <c r="M29961" s="9" t="s">
        <v>24</v>
      </c>
    </row>
    <row r="29962" ht="15.75" customHeight="1">
      <c r="A29962" s="7"/>
      <c r="B29962" s="7"/>
      <c r="M29962" s="9" t="s">
        <v>21</v>
      </c>
    </row>
    <row r="29963" ht="15.75" customHeight="1">
      <c r="A29963" s="7"/>
      <c r="B29963" s="7"/>
      <c r="M29963" s="9" t="s">
        <v>37</v>
      </c>
    </row>
    <row r="29964" ht="15.75" customHeight="1">
      <c r="A29964" s="7"/>
      <c r="B29964" s="7"/>
      <c r="M29964" s="9" t="s">
        <v>27</v>
      </c>
    </row>
    <row r="29965" ht="15.75" customHeight="1">
      <c r="A29965" s="7"/>
      <c r="B29965" s="7"/>
      <c r="M29965" s="9" t="s">
        <v>33</v>
      </c>
    </row>
    <row r="29966" ht="15.75" customHeight="1">
      <c r="A29966" s="7"/>
      <c r="B29966" s="7"/>
      <c r="M29966" s="9" t="s">
        <v>24</v>
      </c>
    </row>
    <row r="29967" ht="15.75" customHeight="1">
      <c r="A29967" s="7"/>
      <c r="B29967" s="7"/>
      <c r="M29967" s="9" t="s">
        <v>21</v>
      </c>
    </row>
    <row r="29968" ht="15.75" customHeight="1">
      <c r="A29968" s="7"/>
      <c r="B29968" s="7"/>
      <c r="M29968" s="9" t="s">
        <v>33</v>
      </c>
    </row>
    <row r="29969" ht="15.75" customHeight="1">
      <c r="A29969" s="7"/>
      <c r="B29969" s="7"/>
      <c r="M29969" s="9" t="s">
        <v>26</v>
      </c>
    </row>
    <row r="29970" ht="15.75" customHeight="1">
      <c r="A29970" s="7"/>
      <c r="B29970" s="7"/>
      <c r="M29970" s="9" t="s">
        <v>47</v>
      </c>
    </row>
    <row r="29971" ht="15.75" customHeight="1">
      <c r="A29971" s="7"/>
      <c r="B29971" s="7"/>
      <c r="M29971" s="9" t="s">
        <v>24</v>
      </c>
    </row>
    <row r="29972" ht="15.75" customHeight="1">
      <c r="A29972" s="7"/>
      <c r="B29972" s="7"/>
      <c r="M29972" s="9" t="s">
        <v>20</v>
      </c>
    </row>
    <row r="29973" ht="15.75" customHeight="1">
      <c r="A29973" s="7"/>
      <c r="B29973" s="7"/>
      <c r="M29973" s="9" t="s">
        <v>21</v>
      </c>
    </row>
    <row r="29974" ht="15.75" customHeight="1">
      <c r="A29974" s="7"/>
      <c r="B29974" s="7"/>
      <c r="M29974" s="9" t="s">
        <v>37</v>
      </c>
    </row>
    <row r="29975" ht="15.75" customHeight="1">
      <c r="A29975" s="7"/>
      <c r="B29975" s="7"/>
      <c r="M29975" s="9" t="s">
        <v>27</v>
      </c>
    </row>
    <row r="29976" ht="15.75" customHeight="1">
      <c r="A29976" s="7"/>
      <c r="B29976" s="7"/>
      <c r="M29976" s="9" t="s">
        <v>21</v>
      </c>
    </row>
    <row r="29977" ht="15.75" customHeight="1">
      <c r="A29977" s="7"/>
      <c r="B29977" s="7"/>
      <c r="M29977" s="9" t="s">
        <v>22</v>
      </c>
    </row>
    <row r="29978" ht="15.75" customHeight="1">
      <c r="A29978" s="7"/>
      <c r="B29978" s="7"/>
      <c r="M29978" s="9" t="s">
        <v>33</v>
      </c>
    </row>
    <row r="29979" ht="15.75" customHeight="1">
      <c r="A29979" s="7"/>
      <c r="B29979" s="7"/>
      <c r="M29979" s="9" t="s">
        <v>24</v>
      </c>
    </row>
    <row r="29980" ht="15.75" customHeight="1">
      <c r="A29980" s="7"/>
      <c r="B29980" s="7"/>
      <c r="M29980" s="9" t="s">
        <v>21</v>
      </c>
    </row>
    <row r="29981" ht="15.75" customHeight="1">
      <c r="A29981" s="7"/>
      <c r="B29981" s="7"/>
      <c r="M29981" s="9" t="s">
        <v>37</v>
      </c>
    </row>
    <row r="29982" ht="15.75" customHeight="1">
      <c r="A29982" s="7"/>
      <c r="B29982" s="7"/>
      <c r="M29982" s="9" t="s">
        <v>33</v>
      </c>
    </row>
    <row r="29983" ht="15.75" customHeight="1">
      <c r="A29983" s="7"/>
      <c r="B29983" s="7"/>
      <c r="M29983" s="9" t="s">
        <v>26</v>
      </c>
    </row>
    <row r="29984" ht="15.75" customHeight="1">
      <c r="A29984" s="7"/>
      <c r="B29984" s="7"/>
      <c r="M29984" s="9" t="s">
        <v>24</v>
      </c>
    </row>
    <row r="29985" ht="15.75" customHeight="1">
      <c r="A29985" s="7"/>
      <c r="B29985" s="7"/>
      <c r="M29985" s="9" t="s">
        <v>20</v>
      </c>
    </row>
    <row r="29986" ht="15.75" customHeight="1">
      <c r="A29986" s="7"/>
      <c r="B29986" s="7"/>
      <c r="M29986" s="9" t="s">
        <v>21</v>
      </c>
    </row>
    <row r="29987" ht="15.75" customHeight="1">
      <c r="A29987" s="7"/>
      <c r="B29987" s="7"/>
      <c r="M29987" s="9" t="s">
        <v>37</v>
      </c>
    </row>
    <row r="29988" ht="15.75" customHeight="1">
      <c r="A29988" s="7"/>
      <c r="B29988" s="7"/>
      <c r="M29988" s="9" t="s">
        <v>27</v>
      </c>
    </row>
    <row r="29989" ht="15.75" customHeight="1">
      <c r="A29989" s="7"/>
      <c r="B29989" s="7"/>
      <c r="M29989" s="9" t="s">
        <v>23</v>
      </c>
    </row>
    <row r="29990" ht="15.75" customHeight="1">
      <c r="A29990" s="7"/>
      <c r="B29990" s="7"/>
      <c r="M29990" s="9" t="s">
        <v>26</v>
      </c>
    </row>
    <row r="29991" ht="15.75" customHeight="1">
      <c r="A29991" s="7"/>
      <c r="B29991" s="7"/>
      <c r="M29991" s="9" t="s">
        <v>24</v>
      </c>
    </row>
    <row r="29992" ht="15.75" customHeight="1">
      <c r="A29992" s="7"/>
      <c r="B29992" s="7"/>
      <c r="M29992" s="9" t="s">
        <v>20</v>
      </c>
    </row>
    <row r="29993" ht="15.75" customHeight="1">
      <c r="A29993" s="7"/>
      <c r="B29993" s="7"/>
      <c r="M29993" s="9" t="s">
        <v>21</v>
      </c>
    </row>
    <row r="29994" ht="15.75" customHeight="1">
      <c r="A29994" s="7"/>
      <c r="B29994" s="7"/>
      <c r="M29994" s="9" t="s">
        <v>39</v>
      </c>
    </row>
    <row r="29995" ht="15.75" customHeight="1">
      <c r="A29995" s="7"/>
      <c r="B29995" s="7"/>
      <c r="M29995" s="9" t="s">
        <v>27</v>
      </c>
    </row>
    <row r="29996" ht="15.75" customHeight="1">
      <c r="A29996" s="7"/>
      <c r="B29996" s="7"/>
      <c r="M29996" s="9" t="s">
        <v>33</v>
      </c>
    </row>
    <row r="29997" ht="15.75" customHeight="1">
      <c r="A29997" s="7"/>
      <c r="B29997" s="7"/>
      <c r="M29997" s="9" t="s">
        <v>35</v>
      </c>
    </row>
    <row r="29998" ht="15.75" customHeight="1">
      <c r="A29998" s="7"/>
      <c r="B29998" s="7"/>
      <c r="M29998" s="9" t="s">
        <v>30</v>
      </c>
    </row>
    <row r="29999" ht="15.75" customHeight="1">
      <c r="A29999" s="7"/>
      <c r="B29999" s="7"/>
      <c r="M29999" s="9" t="s">
        <v>24</v>
      </c>
    </row>
    <row r="30000" ht="15.75" customHeight="1">
      <c r="A30000" s="7"/>
      <c r="B30000" s="7"/>
      <c r="M30000" s="9" t="s">
        <v>21</v>
      </c>
    </row>
    <row r="30001" ht="15.75" customHeight="1">
      <c r="A30001" s="7"/>
      <c r="B30001" s="7"/>
      <c r="M30001" s="9" t="s">
        <v>37</v>
      </c>
    </row>
    <row r="30002" ht="15.75" customHeight="1">
      <c r="A30002" s="7"/>
      <c r="B30002" s="7"/>
      <c r="M30002" s="9" t="s">
        <v>22</v>
      </c>
    </row>
    <row r="30003" ht="15.75" customHeight="1">
      <c r="A30003" s="7"/>
      <c r="B30003" s="7"/>
      <c r="M30003" s="9" t="s">
        <v>31</v>
      </c>
    </row>
    <row r="30004" ht="15.75" customHeight="1">
      <c r="A30004" s="7"/>
      <c r="B30004" s="7"/>
      <c r="M30004" s="9" t="s">
        <v>27</v>
      </c>
    </row>
    <row r="30005" ht="15.75" customHeight="1">
      <c r="A30005" s="7"/>
      <c r="B30005" s="7"/>
      <c r="M30005" s="9" t="s">
        <v>33</v>
      </c>
    </row>
    <row r="30006" ht="15.75" customHeight="1">
      <c r="A30006" s="7"/>
      <c r="B30006" s="7"/>
      <c r="M30006" s="9" t="s">
        <v>30</v>
      </c>
    </row>
    <row r="30007" ht="15.75" customHeight="1">
      <c r="A30007" s="7"/>
      <c r="B30007" s="7"/>
      <c r="M30007" s="9" t="s">
        <v>23</v>
      </c>
    </row>
    <row r="30008" ht="15.75" customHeight="1">
      <c r="A30008" s="7"/>
      <c r="B30008" s="7"/>
      <c r="M30008" s="9" t="s">
        <v>26</v>
      </c>
    </row>
    <row r="30009" ht="15.75" customHeight="1">
      <c r="A30009" s="7"/>
      <c r="B30009" s="7"/>
      <c r="M30009" s="9" t="s">
        <v>24</v>
      </c>
    </row>
    <row r="30010" ht="15.75" customHeight="1">
      <c r="A30010" s="7"/>
      <c r="B30010" s="7"/>
      <c r="M30010" s="9" t="s">
        <v>20</v>
      </c>
    </row>
    <row r="30011" ht="15.75" customHeight="1">
      <c r="A30011" s="7"/>
      <c r="B30011" s="7"/>
      <c r="M30011" s="9" t="s">
        <v>21</v>
      </c>
    </row>
    <row r="30012" ht="15.75" customHeight="1">
      <c r="A30012" s="7"/>
      <c r="B30012" s="7"/>
      <c r="M30012" s="9" t="s">
        <v>22</v>
      </c>
    </row>
    <row r="30013" ht="15.75" customHeight="1">
      <c r="A30013" s="7"/>
      <c r="B30013" s="7"/>
      <c r="M30013" s="9" t="s">
        <v>20</v>
      </c>
    </row>
    <row r="30014" ht="15.75" customHeight="1">
      <c r="A30014" s="7"/>
      <c r="B30014" s="7"/>
      <c r="M30014" s="9" t="s">
        <v>21</v>
      </c>
    </row>
    <row r="30015" ht="15.75" customHeight="1">
      <c r="A30015" s="7"/>
      <c r="B30015" s="7"/>
      <c r="M30015" s="9" t="s">
        <v>39</v>
      </c>
    </row>
    <row r="30016" ht="15.75" customHeight="1">
      <c r="A30016" s="7"/>
      <c r="B30016" s="7"/>
      <c r="M30016" s="9" t="s">
        <v>27</v>
      </c>
    </row>
    <row r="30017" ht="15.75" customHeight="1">
      <c r="A30017" s="7"/>
      <c r="B30017" s="7"/>
      <c r="M30017" s="9" t="s">
        <v>26</v>
      </c>
    </row>
    <row r="30018" ht="15.75" customHeight="1">
      <c r="A30018" s="7"/>
      <c r="B30018" s="7"/>
      <c r="M30018" s="9" t="s">
        <v>24</v>
      </c>
    </row>
    <row r="30019" ht="15.75" customHeight="1">
      <c r="A30019" s="7"/>
      <c r="B30019" s="7"/>
      <c r="M30019" s="9" t="s">
        <v>21</v>
      </c>
    </row>
    <row r="30020" ht="15.75" customHeight="1">
      <c r="A30020" s="7"/>
      <c r="B30020" s="7"/>
      <c r="M30020" s="9" t="s">
        <v>37</v>
      </c>
    </row>
    <row r="30021" ht="15.75" customHeight="1">
      <c r="A30021" s="7"/>
      <c r="B30021" s="7"/>
      <c r="M30021" s="9" t="s">
        <v>27</v>
      </c>
    </row>
    <row r="30022" ht="15.75" customHeight="1">
      <c r="A30022" s="7"/>
      <c r="B30022" s="7"/>
      <c r="M30022" s="9" t="s">
        <v>25</v>
      </c>
    </row>
    <row r="30023" ht="15.75" customHeight="1">
      <c r="A30023" s="7"/>
      <c r="B30023" s="7"/>
      <c r="M30023" s="9" t="s">
        <v>23</v>
      </c>
    </row>
    <row r="30024" ht="15.75" customHeight="1">
      <c r="A30024" s="7"/>
      <c r="B30024" s="7"/>
      <c r="M30024" s="9" t="s">
        <v>22</v>
      </c>
    </row>
    <row r="30025" ht="15.75" customHeight="1">
      <c r="A30025" s="7"/>
      <c r="B30025" s="7"/>
      <c r="M30025" s="9" t="s">
        <v>32</v>
      </c>
    </row>
    <row r="30026" ht="15.75" customHeight="1">
      <c r="A30026" s="7"/>
      <c r="B30026" s="7"/>
      <c r="M30026" s="9" t="s">
        <v>30</v>
      </c>
    </row>
    <row r="30027" ht="15.75" customHeight="1">
      <c r="A30027" s="7"/>
      <c r="B30027" s="7"/>
      <c r="M30027" s="9" t="s">
        <v>22</v>
      </c>
    </row>
    <row r="30028" ht="15.75" customHeight="1">
      <c r="A30028" s="7"/>
      <c r="B30028" s="7"/>
      <c r="M30028" s="9" t="s">
        <v>27</v>
      </c>
    </row>
    <row r="30029" ht="15.75" customHeight="1">
      <c r="A30029" s="7"/>
      <c r="B30029" s="7"/>
      <c r="M30029" s="9" t="s">
        <v>26</v>
      </c>
    </row>
    <row r="30030" ht="15.75" customHeight="1">
      <c r="A30030" s="7"/>
      <c r="B30030" s="7"/>
      <c r="M30030" s="9" t="s">
        <v>24</v>
      </c>
    </row>
    <row r="30031" ht="15.75" customHeight="1">
      <c r="A30031" s="7"/>
      <c r="B30031" s="7"/>
      <c r="M30031" s="9" t="s">
        <v>21</v>
      </c>
    </row>
    <row r="30032" ht="15.75" customHeight="1">
      <c r="A30032" s="7"/>
      <c r="B30032" s="7"/>
      <c r="M30032" s="9" t="s">
        <v>37</v>
      </c>
    </row>
    <row r="30033" ht="15.75" customHeight="1">
      <c r="A30033" s="7"/>
      <c r="B30033" s="7"/>
      <c r="M30033" s="9" t="s">
        <v>27</v>
      </c>
    </row>
    <row r="30034" ht="15.75" customHeight="1">
      <c r="A30034" s="7"/>
      <c r="B30034" s="7"/>
      <c r="M30034" s="9" t="s">
        <v>30</v>
      </c>
    </row>
    <row r="30035" ht="15.75" customHeight="1">
      <c r="A30035" s="7"/>
      <c r="B30035" s="7"/>
      <c r="M30035" s="9" t="s">
        <v>25</v>
      </c>
    </row>
    <row r="30036" ht="15.75" customHeight="1">
      <c r="A30036" s="7"/>
      <c r="B30036" s="7"/>
      <c r="M30036" s="9" t="s">
        <v>36</v>
      </c>
    </row>
    <row r="30037" ht="15.75" customHeight="1">
      <c r="A30037" s="7"/>
      <c r="B30037" s="7"/>
      <c r="M30037" s="9" t="s">
        <v>24</v>
      </c>
    </row>
    <row r="30038" ht="15.75" customHeight="1">
      <c r="A30038" s="7"/>
      <c r="B30038" s="7"/>
      <c r="M30038" s="9" t="s">
        <v>21</v>
      </c>
    </row>
    <row r="30039" ht="15.75" customHeight="1">
      <c r="A30039" s="7"/>
      <c r="B30039" s="7"/>
      <c r="M30039" s="9" t="s">
        <v>22</v>
      </c>
    </row>
    <row r="30040" ht="15.75" customHeight="1">
      <c r="A30040" s="7"/>
      <c r="B30040" s="7"/>
      <c r="M30040" s="9" t="s">
        <v>29</v>
      </c>
    </row>
    <row r="30041" ht="15.75" customHeight="1">
      <c r="A30041" s="7"/>
      <c r="B30041" s="7"/>
      <c r="M30041" s="9" t="s">
        <v>23</v>
      </c>
    </row>
    <row r="30042" ht="15.75" customHeight="1">
      <c r="A30042" s="7"/>
      <c r="B30042" s="7"/>
      <c r="M30042" s="9" t="s">
        <v>44</v>
      </c>
    </row>
    <row r="30043" ht="15.75" customHeight="1">
      <c r="A30043" s="7"/>
      <c r="B30043" s="7"/>
      <c r="M30043" s="9" t="s">
        <v>35</v>
      </c>
    </row>
    <row r="30044" ht="15.75" customHeight="1">
      <c r="A30044" s="7"/>
      <c r="B30044" s="7"/>
      <c r="M30044" s="9" t="s">
        <v>30</v>
      </c>
    </row>
    <row r="30045" ht="15.75" customHeight="1">
      <c r="A30045" s="7"/>
      <c r="B30045" s="7"/>
      <c r="M30045" s="9" t="s">
        <v>24</v>
      </c>
    </row>
    <row r="30046" ht="15.75" customHeight="1">
      <c r="A30046" s="7"/>
      <c r="B30046" s="7"/>
      <c r="M30046" s="9" t="s">
        <v>21</v>
      </c>
    </row>
    <row r="30047" ht="15.75" customHeight="1">
      <c r="A30047" s="7"/>
      <c r="B30047" s="7"/>
      <c r="M30047" s="9" t="s">
        <v>37</v>
      </c>
    </row>
    <row r="30048" ht="15.75" customHeight="1">
      <c r="A30048" s="7"/>
      <c r="B30048" s="7"/>
      <c r="M30048" s="9" t="s">
        <v>26</v>
      </c>
    </row>
    <row r="30049" ht="15.75" customHeight="1">
      <c r="A30049" s="7"/>
      <c r="B30049" s="7"/>
      <c r="M30049" s="9" t="s">
        <v>24</v>
      </c>
    </row>
    <row r="30050" ht="15.75" customHeight="1">
      <c r="A30050" s="7"/>
      <c r="B30050" s="7"/>
      <c r="M30050" s="9" t="s">
        <v>21</v>
      </c>
    </row>
    <row r="30051" ht="15.75" customHeight="1">
      <c r="A30051" s="7"/>
      <c r="B30051" s="7"/>
      <c r="M30051" s="9" t="s">
        <v>27</v>
      </c>
    </row>
    <row r="30052" ht="15.75" customHeight="1">
      <c r="A30052" s="7"/>
      <c r="B30052" s="7"/>
      <c r="M30052" s="9" t="s">
        <v>31</v>
      </c>
    </row>
    <row r="30053" ht="15.75" customHeight="1">
      <c r="A30053" s="7"/>
      <c r="B30053" s="7"/>
      <c r="M30053" s="9" t="s">
        <v>46</v>
      </c>
    </row>
    <row r="30054" ht="15.75" customHeight="1">
      <c r="A30054" s="7"/>
      <c r="B30054" s="7"/>
      <c r="M30054" s="9" t="s">
        <v>27</v>
      </c>
    </row>
    <row r="30055" ht="15.75" customHeight="1">
      <c r="A30055" s="7"/>
      <c r="B30055" s="7"/>
      <c r="M30055" s="9" t="s">
        <v>33</v>
      </c>
    </row>
    <row r="30056" ht="15.75" customHeight="1">
      <c r="A30056" s="7"/>
      <c r="B30056" s="7"/>
      <c r="M30056" s="9" t="s">
        <v>24</v>
      </c>
    </row>
    <row r="30057" ht="15.75" customHeight="1">
      <c r="A30057" s="7"/>
      <c r="B30057" s="7"/>
      <c r="M30057" s="9" t="s">
        <v>21</v>
      </c>
    </row>
    <row r="30058" ht="15.75" customHeight="1">
      <c r="A30058" s="7"/>
      <c r="B30058" s="7"/>
      <c r="M30058" s="9" t="s">
        <v>27</v>
      </c>
    </row>
    <row r="30059" ht="15.75" customHeight="1">
      <c r="A30059" s="7"/>
      <c r="B30059" s="7"/>
      <c r="M30059" s="9" t="s">
        <v>36</v>
      </c>
    </row>
    <row r="30060" ht="15.75" customHeight="1">
      <c r="A30060" s="7"/>
      <c r="B30060" s="7"/>
      <c r="M30060" s="9" t="s">
        <v>24</v>
      </c>
    </row>
    <row r="30061" ht="15.75" customHeight="1">
      <c r="A30061" s="7"/>
      <c r="B30061" s="7"/>
      <c r="M30061" s="9" t="s">
        <v>21</v>
      </c>
    </row>
    <row r="30062" ht="15.75" customHeight="1">
      <c r="A30062" s="7"/>
      <c r="B30062" s="7"/>
      <c r="M30062" s="9" t="s">
        <v>38</v>
      </c>
    </row>
    <row r="30063" ht="15.75" customHeight="1">
      <c r="A30063" s="7"/>
      <c r="B30063" s="7"/>
      <c r="M30063" s="9" t="s">
        <v>25</v>
      </c>
    </row>
    <row r="30064" ht="15.75" customHeight="1">
      <c r="A30064" s="7"/>
      <c r="B30064" s="7"/>
      <c r="M30064" s="9" t="s">
        <v>23</v>
      </c>
    </row>
    <row r="30065" ht="15.75" customHeight="1">
      <c r="A30065" s="7"/>
      <c r="B30065" s="7"/>
      <c r="M30065" s="9" t="s">
        <v>25</v>
      </c>
    </row>
    <row r="30066" ht="15.75" customHeight="1">
      <c r="A30066" s="7"/>
      <c r="B30066" s="7"/>
      <c r="M30066" s="9" t="s">
        <v>44</v>
      </c>
    </row>
    <row r="30067" ht="15.75" customHeight="1">
      <c r="A30067" s="7"/>
      <c r="B30067" s="7"/>
      <c r="M30067" s="9" t="s">
        <v>24</v>
      </c>
    </row>
    <row r="30068" ht="15.75" customHeight="1">
      <c r="A30068" s="7"/>
      <c r="B30068" s="7"/>
      <c r="M30068" s="9" t="s">
        <v>21</v>
      </c>
    </row>
    <row r="30069" ht="15.75" customHeight="1">
      <c r="A30069" s="7"/>
      <c r="B30069" s="7"/>
      <c r="M30069" s="9" t="s">
        <v>33</v>
      </c>
    </row>
    <row r="30070" ht="15.75" customHeight="1">
      <c r="A30070" s="7"/>
      <c r="B30070" s="7"/>
      <c r="M30070" s="9" t="s">
        <v>35</v>
      </c>
    </row>
    <row r="30071" ht="15.75" customHeight="1">
      <c r="A30071" s="7"/>
      <c r="B30071" s="7"/>
      <c r="M30071" s="9" t="s">
        <v>20</v>
      </c>
    </row>
    <row r="30072" ht="15.75" customHeight="1">
      <c r="A30072" s="7"/>
      <c r="B30072" s="7"/>
      <c r="M30072" s="9" t="s">
        <v>39</v>
      </c>
    </row>
    <row r="30073" ht="15.75" customHeight="1">
      <c r="A30073" s="7"/>
      <c r="B30073" s="7"/>
      <c r="M30073" s="9" t="s">
        <v>41</v>
      </c>
    </row>
    <row r="30074" ht="15.75" customHeight="1">
      <c r="A30074" s="7"/>
      <c r="B30074" s="7"/>
      <c r="M30074" s="9" t="s">
        <v>22</v>
      </c>
    </row>
    <row r="30075" ht="15.75" customHeight="1">
      <c r="A30075" s="7"/>
      <c r="B30075" s="7"/>
      <c r="M30075" s="9" t="s">
        <v>46</v>
      </c>
    </row>
    <row r="30076" ht="15.75" customHeight="1">
      <c r="A30076" s="7"/>
      <c r="B30076" s="7"/>
      <c r="M30076" s="9" t="s">
        <v>40</v>
      </c>
    </row>
    <row r="30077" ht="15.75" customHeight="1">
      <c r="A30077" s="7"/>
      <c r="B30077" s="7"/>
      <c r="M30077" s="9" t="s">
        <v>30</v>
      </c>
    </row>
    <row r="30078" ht="15.75" customHeight="1">
      <c r="A30078" s="7"/>
      <c r="B30078" s="7"/>
      <c r="M30078" s="9" t="s">
        <v>24</v>
      </c>
    </row>
    <row r="30079" ht="15.75" customHeight="1">
      <c r="A30079" s="7"/>
      <c r="B30079" s="7"/>
      <c r="M30079" s="9" t="s">
        <v>31</v>
      </c>
    </row>
    <row r="30080" ht="15.75" customHeight="1">
      <c r="A30080" s="7"/>
      <c r="B30080" s="7"/>
      <c r="M30080" s="9" t="s">
        <v>27</v>
      </c>
    </row>
    <row r="30081" ht="15.75" customHeight="1">
      <c r="A30081" s="7"/>
      <c r="B30081" s="7"/>
      <c r="M30081" s="9" t="s">
        <v>35</v>
      </c>
    </row>
    <row r="30082" ht="15.75" customHeight="1">
      <c r="A30082" s="7"/>
      <c r="B30082" s="7"/>
      <c r="M30082" s="9" t="s">
        <v>20</v>
      </c>
    </row>
    <row r="30083" ht="15.75" customHeight="1">
      <c r="A30083" s="7"/>
      <c r="B30083" s="7"/>
      <c r="M30083" s="9" t="s">
        <v>39</v>
      </c>
    </row>
    <row r="30084" ht="15.75" customHeight="1">
      <c r="A30084" s="7"/>
      <c r="B30084" s="7"/>
      <c r="M30084" s="9" t="s">
        <v>37</v>
      </c>
    </row>
    <row r="30085" ht="15.75" customHeight="1">
      <c r="A30085" s="7"/>
      <c r="B30085" s="7"/>
      <c r="M30085" s="9" t="s">
        <v>27</v>
      </c>
    </row>
    <row r="30086" ht="15.75" customHeight="1">
      <c r="A30086" s="7"/>
      <c r="B30086" s="7"/>
      <c r="M30086" s="9" t="s">
        <v>35</v>
      </c>
    </row>
    <row r="30087" ht="15.75" customHeight="1">
      <c r="A30087" s="7"/>
      <c r="B30087" s="7"/>
      <c r="M30087" s="9" t="s">
        <v>23</v>
      </c>
    </row>
    <row r="30088" ht="15.75" customHeight="1">
      <c r="A30088" s="7"/>
      <c r="B30088" s="7"/>
      <c r="M30088" s="9" t="s">
        <v>24</v>
      </c>
    </row>
    <row r="30089" ht="15.75" customHeight="1">
      <c r="A30089" s="7"/>
      <c r="B30089" s="7"/>
      <c r="M30089" s="9" t="s">
        <v>21</v>
      </c>
    </row>
    <row r="30090" ht="15.75" customHeight="1">
      <c r="A30090" s="7"/>
      <c r="B30090" s="7"/>
      <c r="M30090" s="9" t="s">
        <v>27</v>
      </c>
    </row>
    <row r="30091" ht="15.75" customHeight="1">
      <c r="A30091" s="7"/>
      <c r="B30091" s="7"/>
      <c r="M30091" s="9" t="s">
        <v>38</v>
      </c>
    </row>
    <row r="30092" ht="15.75" customHeight="1">
      <c r="A30092" s="7"/>
      <c r="B30092" s="7"/>
      <c r="M30092" s="9" t="s">
        <v>30</v>
      </c>
    </row>
    <row r="30093" ht="15.75" customHeight="1">
      <c r="A30093" s="7"/>
      <c r="B30093" s="7"/>
      <c r="M30093" s="9" t="s">
        <v>25</v>
      </c>
    </row>
    <row r="30094" ht="15.75" customHeight="1">
      <c r="A30094" s="7"/>
      <c r="B30094" s="7"/>
      <c r="M30094" s="9" t="s">
        <v>23</v>
      </c>
    </row>
    <row r="30095" ht="15.75" customHeight="1">
      <c r="A30095" s="7"/>
      <c r="B30095" s="7"/>
      <c r="M30095" s="9" t="s">
        <v>36</v>
      </c>
    </row>
    <row r="30096" ht="15.75" customHeight="1">
      <c r="A30096" s="7"/>
      <c r="B30096" s="7"/>
      <c r="M30096" s="9" t="s">
        <v>24</v>
      </c>
    </row>
    <row r="30097" ht="15.75" customHeight="1">
      <c r="A30097" s="7"/>
      <c r="B30097" s="7"/>
      <c r="M30097" s="9" t="s">
        <v>20</v>
      </c>
    </row>
    <row r="30098" ht="15.75" customHeight="1">
      <c r="A30098" s="7"/>
      <c r="B30098" s="7"/>
      <c r="M30098" s="9" t="s">
        <v>21</v>
      </c>
    </row>
    <row r="30099" ht="15.75" customHeight="1">
      <c r="A30099" s="7"/>
      <c r="B30099" s="7"/>
      <c r="M30099" s="9" t="s">
        <v>22</v>
      </c>
    </row>
    <row r="30100" ht="15.75" customHeight="1">
      <c r="A30100" s="7"/>
      <c r="B30100" s="7"/>
      <c r="M30100" s="9" t="s">
        <v>27</v>
      </c>
    </row>
    <row r="30101" ht="15.75" customHeight="1">
      <c r="A30101" s="7"/>
      <c r="B30101" s="7"/>
      <c r="M30101" s="9" t="s">
        <v>40</v>
      </c>
    </row>
    <row r="30102" ht="15.75" customHeight="1">
      <c r="A30102" s="7"/>
      <c r="B30102" s="7"/>
      <c r="M30102" s="9" t="s">
        <v>33</v>
      </c>
    </row>
    <row r="30103" ht="15.75" customHeight="1">
      <c r="A30103" s="7"/>
      <c r="B30103" s="7"/>
      <c r="M30103" s="9" t="s">
        <v>30</v>
      </c>
    </row>
    <row r="30104" ht="15.75" customHeight="1">
      <c r="A30104" s="7"/>
      <c r="B30104" s="7"/>
      <c r="M30104" s="9" t="s">
        <v>23</v>
      </c>
    </row>
    <row r="30105" ht="15.75" customHeight="1">
      <c r="A30105" s="7"/>
      <c r="B30105" s="7"/>
      <c r="M30105" s="9" t="s">
        <v>26</v>
      </c>
    </row>
    <row r="30106" ht="15.75" customHeight="1">
      <c r="A30106" s="7"/>
      <c r="B30106" s="7"/>
      <c r="M30106" s="9" t="s">
        <v>24</v>
      </c>
    </row>
    <row r="30107" ht="15.75" customHeight="1">
      <c r="A30107" s="7"/>
      <c r="B30107" s="7"/>
      <c r="M30107" s="9" t="s">
        <v>21</v>
      </c>
    </row>
    <row r="30108" ht="15.75" customHeight="1">
      <c r="A30108" s="7"/>
      <c r="B30108" s="7"/>
      <c r="M30108" s="9" t="s">
        <v>39</v>
      </c>
    </row>
    <row r="30109" ht="15.75" customHeight="1">
      <c r="A30109" s="7"/>
      <c r="B30109" s="7"/>
      <c r="M30109" s="9" t="s">
        <v>22</v>
      </c>
    </row>
    <row r="30110" ht="15.75" customHeight="1">
      <c r="A30110" s="7"/>
      <c r="B30110" s="7"/>
      <c r="M30110" s="9" t="s">
        <v>33</v>
      </c>
    </row>
    <row r="30111" ht="15.75" customHeight="1">
      <c r="A30111" s="7"/>
      <c r="B30111" s="7"/>
      <c r="M30111" s="9" t="s">
        <v>30</v>
      </c>
    </row>
    <row r="30112" ht="15.75" customHeight="1">
      <c r="A30112" s="7"/>
      <c r="B30112" s="7"/>
      <c r="M30112" s="9" t="s">
        <v>24</v>
      </c>
    </row>
    <row r="30113" ht="15.75" customHeight="1">
      <c r="A30113" s="7"/>
      <c r="B30113" s="7"/>
      <c r="M30113" s="9" t="s">
        <v>21</v>
      </c>
    </row>
    <row r="30114" ht="15.75" customHeight="1">
      <c r="A30114" s="7"/>
      <c r="B30114" s="7"/>
      <c r="M30114" s="9" t="s">
        <v>37</v>
      </c>
    </row>
    <row r="30115" ht="15.75" customHeight="1">
      <c r="A30115" s="7"/>
      <c r="B30115" s="7"/>
      <c r="M30115" s="9" t="s">
        <v>27</v>
      </c>
    </row>
    <row r="30116" ht="15.75" customHeight="1">
      <c r="A30116" s="7"/>
      <c r="B30116" s="7"/>
      <c r="M30116" s="9" t="s">
        <v>26</v>
      </c>
    </row>
    <row r="30117" ht="15.75" customHeight="1">
      <c r="A30117" s="7"/>
      <c r="B30117" s="7"/>
      <c r="M30117" s="9" t="s">
        <v>24</v>
      </c>
    </row>
    <row r="30118" ht="15.75" customHeight="1">
      <c r="A30118" s="7"/>
      <c r="B30118" s="7"/>
      <c r="M30118" s="9" t="s">
        <v>21</v>
      </c>
    </row>
    <row r="30119" ht="15.75" customHeight="1">
      <c r="A30119" s="7"/>
      <c r="B30119" s="7"/>
      <c r="M30119" s="9" t="s">
        <v>27</v>
      </c>
    </row>
    <row r="30120" ht="15.75" customHeight="1">
      <c r="A30120" s="7"/>
      <c r="B30120" s="7"/>
      <c r="M30120" s="9" t="s">
        <v>22</v>
      </c>
    </row>
    <row r="30121" ht="15.75" customHeight="1">
      <c r="A30121" s="7"/>
      <c r="B30121" s="7"/>
      <c r="M30121" s="9" t="s">
        <v>24</v>
      </c>
    </row>
    <row r="30122" ht="15.75" customHeight="1">
      <c r="A30122" s="7"/>
      <c r="B30122" s="7"/>
      <c r="M30122" s="9" t="s">
        <v>20</v>
      </c>
    </row>
    <row r="30123" ht="15.75" customHeight="1">
      <c r="A30123" s="7"/>
      <c r="B30123" s="7"/>
      <c r="M30123" s="9" t="s">
        <v>21</v>
      </c>
    </row>
    <row r="30124" ht="15.75" customHeight="1">
      <c r="A30124" s="7"/>
      <c r="B30124" s="7"/>
      <c r="M30124" s="9" t="s">
        <v>29</v>
      </c>
    </row>
    <row r="30125" ht="15.75" customHeight="1">
      <c r="A30125" s="7"/>
      <c r="B30125" s="7"/>
      <c r="M30125" s="9" t="s">
        <v>27</v>
      </c>
    </row>
    <row r="30126" ht="15.75" customHeight="1">
      <c r="A30126" s="7"/>
      <c r="B30126" s="7"/>
      <c r="M30126" s="9" t="s">
        <v>26</v>
      </c>
    </row>
    <row r="30127" ht="15.75" customHeight="1">
      <c r="A30127" s="7"/>
      <c r="B30127" s="7"/>
      <c r="M30127" s="9" t="s">
        <v>24</v>
      </c>
    </row>
    <row r="30128" ht="15.75" customHeight="1">
      <c r="A30128" s="7"/>
      <c r="B30128" s="7"/>
      <c r="M30128" s="9" t="s">
        <v>21</v>
      </c>
    </row>
    <row r="30129" ht="15.75" customHeight="1">
      <c r="A30129" s="7"/>
      <c r="B30129" s="7"/>
      <c r="M30129" s="9" t="s">
        <v>27</v>
      </c>
    </row>
    <row r="30130" ht="15.75" customHeight="1">
      <c r="A30130" s="7"/>
      <c r="B30130" s="7"/>
      <c r="M30130" s="9" t="s">
        <v>24</v>
      </c>
    </row>
    <row r="30131" ht="15.75" customHeight="1">
      <c r="A30131" s="7"/>
      <c r="B30131" s="7"/>
      <c r="M30131" s="9" t="s">
        <v>21</v>
      </c>
    </row>
    <row r="30132" ht="15.75" customHeight="1">
      <c r="A30132" s="7"/>
      <c r="B30132" s="7"/>
      <c r="M30132" s="9" t="s">
        <v>33</v>
      </c>
    </row>
    <row r="30133" ht="15.75" customHeight="1">
      <c r="A30133" s="7"/>
      <c r="B30133" s="7"/>
      <c r="M30133" s="9" t="s">
        <v>38</v>
      </c>
    </row>
    <row r="30134" ht="15.75" customHeight="1">
      <c r="A30134" s="7"/>
      <c r="B30134" s="7"/>
      <c r="M30134" s="9" t="s">
        <v>30</v>
      </c>
    </row>
    <row r="30135" ht="15.75" customHeight="1">
      <c r="A30135" s="7"/>
      <c r="B30135" s="7"/>
      <c r="M30135" s="9" t="s">
        <v>25</v>
      </c>
    </row>
    <row r="30136" ht="15.75" customHeight="1">
      <c r="A30136" s="7"/>
      <c r="B30136" s="7"/>
      <c r="M30136" s="9" t="s">
        <v>20</v>
      </c>
    </row>
    <row r="30137" ht="15.75" customHeight="1">
      <c r="A30137" s="7"/>
      <c r="B30137" s="7"/>
      <c r="M30137" s="9" t="s">
        <v>21</v>
      </c>
    </row>
    <row r="30138" ht="15.75" customHeight="1">
      <c r="A30138" s="7"/>
      <c r="B30138" s="7"/>
      <c r="M30138" s="9" t="s">
        <v>41</v>
      </c>
    </row>
    <row r="30139" ht="15.75" customHeight="1">
      <c r="A30139" s="7"/>
      <c r="B30139" s="7"/>
      <c r="M30139" s="9" t="s">
        <v>22</v>
      </c>
    </row>
    <row r="30140" ht="15.75" customHeight="1">
      <c r="A30140" s="7"/>
      <c r="B30140" s="7"/>
      <c r="M30140" s="9" t="s">
        <v>40</v>
      </c>
    </row>
    <row r="30141" ht="15.75" customHeight="1">
      <c r="A30141" s="7"/>
      <c r="B30141" s="7"/>
      <c r="M30141" s="9" t="s">
        <v>30</v>
      </c>
    </row>
    <row r="30142" ht="15.75" customHeight="1">
      <c r="A30142" s="7"/>
      <c r="B30142" s="7"/>
      <c r="M30142" s="9" t="s">
        <v>25</v>
      </c>
    </row>
    <row r="30143" ht="15.75" customHeight="1">
      <c r="A30143" s="7"/>
      <c r="B30143" s="7"/>
      <c r="M30143" s="9" t="s">
        <v>23</v>
      </c>
    </row>
    <row r="30144" ht="15.75" customHeight="1">
      <c r="A30144" s="7"/>
      <c r="B30144" s="7"/>
      <c r="M30144" s="9" t="s">
        <v>24</v>
      </c>
    </row>
    <row r="30145" ht="15.75" customHeight="1">
      <c r="A30145" s="7"/>
      <c r="B30145" s="7"/>
      <c r="M30145" s="9" t="s">
        <v>21</v>
      </c>
    </row>
    <row r="30146" ht="15.75" customHeight="1">
      <c r="A30146" s="7"/>
      <c r="B30146" s="7"/>
      <c r="M30146" s="9" t="s">
        <v>22</v>
      </c>
    </row>
    <row r="30147" ht="15.75" customHeight="1">
      <c r="A30147" s="7"/>
      <c r="B30147" s="7"/>
      <c r="M30147" s="9" t="s">
        <v>35</v>
      </c>
    </row>
    <row r="30148" ht="15.75" customHeight="1">
      <c r="A30148" s="7"/>
      <c r="B30148" s="7"/>
      <c r="M30148" s="9" t="s">
        <v>21</v>
      </c>
    </row>
    <row r="30149" ht="15.75" customHeight="1">
      <c r="A30149" s="7"/>
      <c r="B30149" s="7"/>
      <c r="M30149" s="9" t="s">
        <v>27</v>
      </c>
    </row>
    <row r="30150" ht="15.75" customHeight="1">
      <c r="A30150" s="7"/>
      <c r="B30150" s="7"/>
      <c r="M30150" s="9" t="s">
        <v>30</v>
      </c>
    </row>
    <row r="30151" ht="15.75" customHeight="1">
      <c r="A30151" s="7"/>
      <c r="B30151" s="7"/>
      <c r="M30151" s="9" t="s">
        <v>25</v>
      </c>
    </row>
    <row r="30152" ht="15.75" customHeight="1">
      <c r="A30152" s="7"/>
      <c r="B30152" s="7"/>
      <c r="M30152" s="9" t="s">
        <v>36</v>
      </c>
    </row>
    <row r="30153" ht="15.75" customHeight="1">
      <c r="A30153" s="7"/>
      <c r="B30153" s="7"/>
      <c r="M30153" s="9" t="s">
        <v>24</v>
      </c>
    </row>
    <row r="30154" ht="15.75" customHeight="1">
      <c r="A30154" s="7"/>
      <c r="B30154" s="7"/>
      <c r="M30154" s="9" t="s">
        <v>21</v>
      </c>
    </row>
    <row r="30155" ht="15.75" customHeight="1">
      <c r="A30155" s="7"/>
      <c r="B30155" s="7"/>
      <c r="M30155" s="9" t="s">
        <v>31</v>
      </c>
    </row>
    <row r="30156" ht="15.75" customHeight="1">
      <c r="A30156" s="7"/>
      <c r="B30156" s="7"/>
      <c r="M30156" s="9" t="s">
        <v>46</v>
      </c>
    </row>
    <row r="30157" ht="15.75" customHeight="1">
      <c r="A30157" s="7"/>
      <c r="B30157" s="7"/>
      <c r="M30157" s="9" t="s">
        <v>27</v>
      </c>
    </row>
    <row r="30158" ht="15.75" customHeight="1">
      <c r="A30158" s="7"/>
      <c r="B30158" s="7"/>
      <c r="M30158" s="9" t="s">
        <v>24</v>
      </c>
    </row>
    <row r="30159" ht="15.75" customHeight="1">
      <c r="A30159" s="7"/>
      <c r="B30159" s="7"/>
      <c r="M30159" s="9" t="s">
        <v>20</v>
      </c>
    </row>
    <row r="30160" ht="15.75" customHeight="1">
      <c r="A30160" s="7"/>
      <c r="B30160" s="7"/>
      <c r="M30160" s="9" t="s">
        <v>21</v>
      </c>
    </row>
    <row r="30161" ht="15.75" customHeight="1">
      <c r="A30161" s="7"/>
      <c r="B30161" s="7"/>
      <c r="M30161" s="9" t="s">
        <v>27</v>
      </c>
    </row>
    <row r="30162" ht="15.75" customHeight="1">
      <c r="A30162" s="7"/>
      <c r="B30162" s="7"/>
      <c r="M30162" s="9" t="s">
        <v>30</v>
      </c>
    </row>
    <row r="30163" ht="15.75" customHeight="1">
      <c r="A30163" s="7"/>
      <c r="B30163" s="7"/>
      <c r="M30163" s="9" t="s">
        <v>25</v>
      </c>
    </row>
    <row r="30164" ht="15.75" customHeight="1">
      <c r="A30164" s="7"/>
      <c r="B30164" s="7"/>
      <c r="M30164" s="9" t="s">
        <v>26</v>
      </c>
    </row>
    <row r="30165" ht="15.75" customHeight="1">
      <c r="A30165" s="7"/>
      <c r="B30165" s="7"/>
      <c r="M30165" s="9" t="s">
        <v>36</v>
      </c>
    </row>
    <row r="30166" ht="15.75" customHeight="1">
      <c r="A30166" s="7"/>
      <c r="B30166" s="7"/>
      <c r="M30166" s="9" t="s">
        <v>24</v>
      </c>
    </row>
    <row r="30167" ht="15.75" customHeight="1">
      <c r="A30167" s="7"/>
      <c r="B30167" s="7"/>
      <c r="M30167" s="9" t="s">
        <v>20</v>
      </c>
    </row>
    <row r="30168" ht="15.75" customHeight="1">
      <c r="A30168" s="7"/>
      <c r="B30168" s="7"/>
      <c r="M30168" s="9" t="s">
        <v>21</v>
      </c>
    </row>
    <row r="30169" ht="15.75" customHeight="1">
      <c r="A30169" s="7"/>
      <c r="B30169" s="7"/>
      <c r="M30169" s="9" t="s">
        <v>37</v>
      </c>
    </row>
    <row r="30170" ht="15.75" customHeight="1">
      <c r="A30170" s="7"/>
      <c r="B30170" s="7"/>
      <c r="M30170" s="9" t="s">
        <v>22</v>
      </c>
    </row>
    <row r="30171" ht="15.75" customHeight="1">
      <c r="A30171" s="7"/>
      <c r="B30171" s="7"/>
      <c r="M30171" s="9" t="s">
        <v>33</v>
      </c>
    </row>
    <row r="30172" ht="15.75" customHeight="1">
      <c r="A30172" s="7"/>
      <c r="B30172" s="7"/>
      <c r="M30172" s="9" t="s">
        <v>30</v>
      </c>
    </row>
    <row r="30173" ht="15.75" customHeight="1">
      <c r="A30173" s="7"/>
      <c r="B30173" s="7"/>
      <c r="M30173" s="9" t="s">
        <v>21</v>
      </c>
    </row>
    <row r="30174" ht="15.75" customHeight="1">
      <c r="A30174" s="7"/>
      <c r="B30174" s="7"/>
      <c r="M30174" s="9" t="s">
        <v>29</v>
      </c>
    </row>
    <row r="30175" ht="15.75" customHeight="1">
      <c r="A30175" s="7"/>
      <c r="B30175" s="7"/>
      <c r="M30175" s="9" t="s">
        <v>26</v>
      </c>
    </row>
    <row r="30176" ht="15.75" customHeight="1">
      <c r="A30176" s="7"/>
      <c r="B30176" s="7"/>
      <c r="M30176" s="9" t="s">
        <v>24</v>
      </c>
    </row>
    <row r="30177" ht="15.75" customHeight="1">
      <c r="A30177" s="7"/>
      <c r="B30177" s="7"/>
      <c r="M30177" s="9" t="s">
        <v>21</v>
      </c>
    </row>
    <row r="30178" ht="15.75" customHeight="1">
      <c r="A30178" s="7"/>
      <c r="B30178" s="7"/>
      <c r="M30178" s="9" t="s">
        <v>27</v>
      </c>
    </row>
    <row r="30179" ht="15.75" customHeight="1">
      <c r="A30179" s="7"/>
      <c r="B30179" s="7"/>
      <c r="M30179" s="9" t="s">
        <v>33</v>
      </c>
    </row>
    <row r="30180" ht="15.75" customHeight="1">
      <c r="A30180" s="7"/>
      <c r="B30180" s="7"/>
      <c r="M30180" s="9" t="s">
        <v>23</v>
      </c>
    </row>
    <row r="30181" ht="15.75" customHeight="1">
      <c r="A30181" s="7"/>
      <c r="B30181" s="7"/>
      <c r="M30181" s="9" t="s">
        <v>24</v>
      </c>
    </row>
    <row r="30182" ht="15.75" customHeight="1">
      <c r="A30182" s="7"/>
      <c r="B30182" s="7"/>
      <c r="M30182" s="9" t="s">
        <v>21</v>
      </c>
    </row>
    <row r="30183" ht="15.75" customHeight="1">
      <c r="A30183" s="7"/>
      <c r="B30183" s="7"/>
      <c r="M30183" s="9" t="s">
        <v>33</v>
      </c>
    </row>
    <row r="30184" ht="15.75" customHeight="1">
      <c r="A30184" s="7"/>
      <c r="B30184" s="7"/>
      <c r="M30184" s="9" t="s">
        <v>35</v>
      </c>
    </row>
    <row r="30185" ht="15.75" customHeight="1">
      <c r="A30185" s="7"/>
      <c r="B30185" s="7"/>
      <c r="M30185" s="9" t="s">
        <v>30</v>
      </c>
    </row>
    <row r="30186" ht="15.75" customHeight="1">
      <c r="A30186" s="7"/>
      <c r="B30186" s="7"/>
      <c r="M30186" s="9" t="s">
        <v>25</v>
      </c>
    </row>
    <row r="30187" ht="15.75" customHeight="1">
      <c r="A30187" s="7"/>
      <c r="B30187" s="7"/>
      <c r="M30187" s="9" t="s">
        <v>23</v>
      </c>
    </row>
    <row r="30188" ht="15.75" customHeight="1">
      <c r="A30188" s="7"/>
      <c r="B30188" s="7"/>
      <c r="M30188" s="9" t="s">
        <v>26</v>
      </c>
    </row>
    <row r="30189" ht="15.75" customHeight="1">
      <c r="A30189" s="7"/>
      <c r="B30189" s="7"/>
      <c r="M30189" s="9" t="s">
        <v>24</v>
      </c>
    </row>
    <row r="30190" ht="15.75" customHeight="1">
      <c r="A30190" s="7"/>
      <c r="B30190" s="7"/>
      <c r="M30190" s="9" t="s">
        <v>20</v>
      </c>
    </row>
    <row r="30191" ht="15.75" customHeight="1">
      <c r="A30191" s="7"/>
      <c r="B30191" s="7"/>
      <c r="M30191" s="9" t="s">
        <v>22</v>
      </c>
    </row>
    <row r="30192" ht="15.75" customHeight="1">
      <c r="A30192" s="7"/>
      <c r="B30192" s="7"/>
      <c r="M30192" s="9" t="s">
        <v>31</v>
      </c>
    </row>
    <row r="30193" ht="15.75" customHeight="1">
      <c r="A30193" s="7"/>
      <c r="B30193" s="7"/>
      <c r="M30193" s="9" t="s">
        <v>27</v>
      </c>
    </row>
    <row r="30194" ht="15.75" customHeight="1">
      <c r="A30194" s="7"/>
      <c r="B30194" s="7"/>
      <c r="M30194" s="9" t="s">
        <v>33</v>
      </c>
    </row>
    <row r="30195" ht="15.75" customHeight="1">
      <c r="A30195" s="7"/>
      <c r="B30195" s="7"/>
      <c r="M30195" s="9" t="s">
        <v>30</v>
      </c>
    </row>
    <row r="30196" ht="15.75" customHeight="1">
      <c r="A30196" s="7"/>
      <c r="B30196" s="7"/>
      <c r="M30196" s="9" t="s">
        <v>36</v>
      </c>
    </row>
    <row r="30197" ht="15.75" customHeight="1">
      <c r="A30197" s="7"/>
      <c r="B30197" s="7"/>
      <c r="M30197" s="9" t="s">
        <v>22</v>
      </c>
    </row>
    <row r="30198" ht="15.75" customHeight="1">
      <c r="A30198" s="7"/>
      <c r="B30198" s="7"/>
      <c r="M30198" s="9" t="s">
        <v>27</v>
      </c>
    </row>
    <row r="30199" ht="15.75" customHeight="1">
      <c r="A30199" s="7"/>
      <c r="B30199" s="7"/>
      <c r="M30199" s="9" t="s">
        <v>38</v>
      </c>
    </row>
    <row r="30200" ht="15.75" customHeight="1">
      <c r="A30200" s="7"/>
      <c r="B30200" s="7"/>
      <c r="M30200" s="9" t="s">
        <v>25</v>
      </c>
    </row>
    <row r="30201" ht="15.75" customHeight="1">
      <c r="A30201" s="7"/>
      <c r="B30201" s="7"/>
      <c r="M30201" s="9" t="s">
        <v>23</v>
      </c>
    </row>
    <row r="30202" ht="15.75" customHeight="1">
      <c r="A30202" s="7"/>
      <c r="B30202" s="7"/>
      <c r="M30202" s="9" t="s">
        <v>24</v>
      </c>
    </row>
    <row r="30203" ht="15.75" customHeight="1">
      <c r="A30203" s="7"/>
      <c r="B30203" s="7"/>
      <c r="M30203" s="9" t="s">
        <v>20</v>
      </c>
    </row>
    <row r="30204" ht="15.75" customHeight="1">
      <c r="A30204" s="7"/>
      <c r="B30204" s="7"/>
      <c r="M30204" s="9" t="s">
        <v>21</v>
      </c>
    </row>
    <row r="30205" ht="15.75" customHeight="1">
      <c r="A30205" s="7"/>
      <c r="B30205" s="7"/>
      <c r="M30205" s="9" t="s">
        <v>26</v>
      </c>
    </row>
    <row r="30206" ht="15.75" customHeight="1">
      <c r="A30206" s="7"/>
      <c r="B30206" s="7"/>
      <c r="M30206" s="9" t="s">
        <v>24</v>
      </c>
    </row>
    <row r="30207" ht="15.75" customHeight="1">
      <c r="A30207" s="7"/>
      <c r="B30207" s="7"/>
      <c r="M30207" s="9" t="s">
        <v>21</v>
      </c>
    </row>
    <row r="30208" ht="15.75" customHeight="1">
      <c r="A30208" s="7"/>
      <c r="B30208" s="7"/>
      <c r="M30208" s="9" t="s">
        <v>27</v>
      </c>
    </row>
    <row r="30209" ht="15.75" customHeight="1">
      <c r="A30209" s="7"/>
      <c r="B30209" s="7"/>
      <c r="M30209" s="9" t="s">
        <v>33</v>
      </c>
    </row>
    <row r="30210" ht="15.75" customHeight="1">
      <c r="A30210" s="7"/>
      <c r="B30210" s="7"/>
      <c r="M30210" s="9" t="s">
        <v>38</v>
      </c>
    </row>
    <row r="30211" ht="15.75" customHeight="1">
      <c r="A30211" s="7"/>
      <c r="B30211" s="7"/>
      <c r="M30211" s="9" t="s">
        <v>30</v>
      </c>
    </row>
    <row r="30212" ht="15.75" customHeight="1">
      <c r="A30212" s="7"/>
      <c r="B30212" s="7"/>
      <c r="M30212" s="9" t="s">
        <v>25</v>
      </c>
    </row>
    <row r="30213" ht="15.75" customHeight="1">
      <c r="A30213" s="7"/>
      <c r="B30213" s="7"/>
      <c r="M30213" s="9" t="s">
        <v>23</v>
      </c>
    </row>
    <row r="30214" ht="15.75" customHeight="1">
      <c r="A30214" s="7"/>
      <c r="B30214" s="7"/>
      <c r="M30214" s="9" t="s">
        <v>26</v>
      </c>
    </row>
    <row r="30215" ht="15.75" customHeight="1">
      <c r="A30215" s="7"/>
      <c r="B30215" s="7"/>
      <c r="M30215" s="9" t="s">
        <v>47</v>
      </c>
    </row>
    <row r="30216" ht="15.75" customHeight="1">
      <c r="A30216" s="7"/>
      <c r="B30216" s="7"/>
      <c r="M30216" s="9" t="s">
        <v>36</v>
      </c>
    </row>
    <row r="30217" ht="15.75" customHeight="1">
      <c r="A30217" s="7"/>
      <c r="B30217" s="7"/>
      <c r="M30217" s="9" t="s">
        <v>24</v>
      </c>
    </row>
    <row r="30218" ht="15.75" customHeight="1">
      <c r="A30218" s="7"/>
      <c r="B30218" s="7"/>
      <c r="M30218" s="9" t="s">
        <v>20</v>
      </c>
    </row>
    <row r="30219" ht="15.75" customHeight="1">
      <c r="A30219" s="7"/>
      <c r="B30219" s="7"/>
      <c r="M30219" s="9" t="s">
        <v>21</v>
      </c>
    </row>
    <row r="30220" ht="15.75" customHeight="1">
      <c r="A30220" s="7"/>
      <c r="B30220" s="7"/>
      <c r="M30220" s="9" t="s">
        <v>39</v>
      </c>
    </row>
    <row r="30221" ht="15.75" customHeight="1">
      <c r="A30221" s="7"/>
      <c r="B30221" s="7"/>
      <c r="M30221" s="9" t="s">
        <v>41</v>
      </c>
    </row>
    <row r="30222" ht="15.75" customHeight="1">
      <c r="A30222" s="7"/>
      <c r="B30222" s="7"/>
      <c r="M30222" s="9" t="s">
        <v>22</v>
      </c>
    </row>
    <row r="30223" ht="15.75" customHeight="1">
      <c r="A30223" s="7"/>
      <c r="B30223" s="7"/>
      <c r="M30223" s="9" t="s">
        <v>32</v>
      </c>
    </row>
    <row r="30224" ht="15.75" customHeight="1">
      <c r="A30224" s="7"/>
      <c r="B30224" s="7"/>
      <c r="M30224" s="9" t="s">
        <v>27</v>
      </c>
    </row>
    <row r="30225" ht="15.75" customHeight="1">
      <c r="A30225" s="7"/>
      <c r="B30225" s="7"/>
      <c r="M30225" s="9" t="s">
        <v>40</v>
      </c>
    </row>
    <row r="30226" ht="15.75" customHeight="1">
      <c r="A30226" s="7"/>
      <c r="B30226" s="7"/>
      <c r="M30226" s="9" t="s">
        <v>33</v>
      </c>
    </row>
    <row r="30227" ht="15.75" customHeight="1">
      <c r="A30227" s="7"/>
      <c r="B30227" s="7"/>
      <c r="M30227" s="9" t="s">
        <v>34</v>
      </c>
    </row>
    <row r="30228" ht="15.75" customHeight="1">
      <c r="A30228" s="7"/>
      <c r="B30228" s="7"/>
      <c r="M30228" s="9" t="s">
        <v>30</v>
      </c>
    </row>
    <row r="30229" ht="15.75" customHeight="1">
      <c r="A30229" s="7"/>
      <c r="B30229" s="7"/>
      <c r="M30229" s="9" t="s">
        <v>23</v>
      </c>
    </row>
    <row r="30230" ht="15.75" customHeight="1">
      <c r="A30230" s="7"/>
      <c r="B30230" s="7"/>
      <c r="M30230" s="9" t="s">
        <v>26</v>
      </c>
    </row>
    <row r="30231" ht="15.75" customHeight="1">
      <c r="A30231" s="7"/>
      <c r="B30231" s="7"/>
      <c r="M30231" s="9" t="s">
        <v>24</v>
      </c>
    </row>
    <row r="30232" ht="15.75" customHeight="1">
      <c r="A30232" s="7"/>
      <c r="B30232" s="7"/>
      <c r="M30232" s="9" t="s">
        <v>21</v>
      </c>
    </row>
    <row r="30233" ht="15.75" customHeight="1">
      <c r="A30233" s="7"/>
      <c r="B30233" s="7"/>
      <c r="M30233" s="9" t="s">
        <v>27</v>
      </c>
    </row>
    <row r="30234" ht="15.75" customHeight="1">
      <c r="A30234" s="7"/>
      <c r="B30234" s="7"/>
      <c r="M30234" s="9" t="s">
        <v>26</v>
      </c>
    </row>
    <row r="30235" ht="15.75" customHeight="1">
      <c r="A30235" s="7"/>
      <c r="B30235" s="7"/>
      <c r="M30235" s="9" t="s">
        <v>24</v>
      </c>
    </row>
    <row r="30236" ht="15.75" customHeight="1">
      <c r="A30236" s="7"/>
      <c r="B30236" s="7"/>
      <c r="M30236" s="9" t="s">
        <v>21</v>
      </c>
    </row>
    <row r="30237" ht="15.75" customHeight="1">
      <c r="A30237" s="7"/>
      <c r="B30237" s="7"/>
      <c r="M30237" s="9" t="s">
        <v>27</v>
      </c>
    </row>
    <row r="30238" ht="15.75" customHeight="1">
      <c r="A30238" s="7"/>
      <c r="B30238" s="7"/>
      <c r="M30238" s="9" t="s">
        <v>26</v>
      </c>
    </row>
    <row r="30239" ht="15.75" customHeight="1">
      <c r="A30239" s="7"/>
      <c r="B30239" s="7"/>
      <c r="M30239" s="9" t="s">
        <v>36</v>
      </c>
    </row>
    <row r="30240" ht="15.75" customHeight="1">
      <c r="A30240" s="7"/>
      <c r="B30240" s="7"/>
      <c r="M30240" s="9" t="s">
        <v>24</v>
      </c>
    </row>
    <row r="30241" ht="15.75" customHeight="1">
      <c r="A30241" s="7"/>
      <c r="B30241" s="7"/>
      <c r="M30241" s="9" t="s">
        <v>20</v>
      </c>
    </row>
    <row r="30242" ht="15.75" customHeight="1">
      <c r="A30242" s="7"/>
      <c r="B30242" s="7"/>
      <c r="M30242" s="9" t="s">
        <v>21</v>
      </c>
    </row>
    <row r="30243" ht="15.75" customHeight="1">
      <c r="A30243" s="7"/>
      <c r="B30243" s="7"/>
      <c r="M30243" s="9" t="s">
        <v>39</v>
      </c>
    </row>
    <row r="30244" ht="15.75" customHeight="1">
      <c r="A30244" s="7"/>
      <c r="B30244" s="7"/>
      <c r="M30244" s="9" t="s">
        <v>22</v>
      </c>
    </row>
    <row r="30245" ht="15.75" customHeight="1">
      <c r="A30245" s="7"/>
      <c r="B30245" s="7"/>
      <c r="M30245" s="9" t="s">
        <v>27</v>
      </c>
    </row>
    <row r="30246" ht="15.75" customHeight="1">
      <c r="A30246" s="7"/>
      <c r="B30246" s="7"/>
      <c r="M30246" s="9" t="s">
        <v>33</v>
      </c>
    </row>
    <row r="30247" ht="15.75" customHeight="1">
      <c r="A30247" s="7"/>
      <c r="B30247" s="7"/>
      <c r="M30247" s="9" t="s">
        <v>30</v>
      </c>
    </row>
    <row r="30248" ht="15.75" customHeight="1">
      <c r="A30248" s="7"/>
      <c r="B30248" s="7"/>
      <c r="M30248" s="9" t="s">
        <v>25</v>
      </c>
    </row>
    <row r="30249" ht="15.75" customHeight="1">
      <c r="A30249" s="7"/>
      <c r="B30249" s="7"/>
      <c r="M30249" s="9" t="s">
        <v>24</v>
      </c>
    </row>
    <row r="30250" ht="15.75" customHeight="1">
      <c r="A30250" s="7"/>
      <c r="B30250" s="7"/>
      <c r="M30250" s="9" t="s">
        <v>20</v>
      </c>
    </row>
    <row r="30251" ht="15.75" customHeight="1">
      <c r="A30251" s="7"/>
      <c r="B30251" s="7"/>
      <c r="M30251" s="9" t="s">
        <v>21</v>
      </c>
    </row>
    <row r="30252" ht="15.75" customHeight="1">
      <c r="A30252" s="7"/>
      <c r="B30252" s="7"/>
      <c r="M30252" s="9" t="s">
        <v>27</v>
      </c>
    </row>
    <row r="30253" ht="15.75" customHeight="1">
      <c r="A30253" s="7"/>
      <c r="B30253" s="7"/>
      <c r="M30253" s="9" t="s">
        <v>35</v>
      </c>
    </row>
    <row r="30254" ht="15.75" customHeight="1">
      <c r="A30254" s="7"/>
      <c r="B30254" s="7"/>
      <c r="M30254" s="9" t="s">
        <v>30</v>
      </c>
    </row>
    <row r="30255" ht="15.75" customHeight="1">
      <c r="A30255" s="7"/>
      <c r="B30255" s="7"/>
      <c r="M30255" s="9" t="s">
        <v>26</v>
      </c>
    </row>
    <row r="30256" ht="15.75" customHeight="1">
      <c r="A30256" s="7"/>
      <c r="B30256" s="7"/>
      <c r="M30256" s="9" t="s">
        <v>24</v>
      </c>
    </row>
    <row r="30257" ht="15.75" customHeight="1">
      <c r="A30257" s="7"/>
      <c r="B30257" s="7"/>
      <c r="M30257" s="9" t="s">
        <v>20</v>
      </c>
    </row>
    <row r="30258" ht="15.75" customHeight="1">
      <c r="A30258" s="7"/>
      <c r="B30258" s="7"/>
      <c r="M30258" s="9" t="s">
        <v>21</v>
      </c>
    </row>
    <row r="30259" ht="15.75" customHeight="1">
      <c r="A30259" s="7"/>
      <c r="B30259" s="7"/>
      <c r="M30259" s="9" t="s">
        <v>22</v>
      </c>
    </row>
    <row r="30260" ht="15.75" customHeight="1">
      <c r="A30260" s="7"/>
      <c r="B30260" s="7"/>
      <c r="M30260" s="9" t="s">
        <v>27</v>
      </c>
    </row>
    <row r="30261" ht="15.75" customHeight="1">
      <c r="A30261" s="7"/>
      <c r="B30261" s="7"/>
      <c r="M30261" s="9" t="s">
        <v>33</v>
      </c>
    </row>
    <row r="30262" ht="15.75" customHeight="1">
      <c r="A30262" s="7"/>
      <c r="B30262" s="7"/>
      <c r="M30262" s="9" t="s">
        <v>26</v>
      </c>
    </row>
    <row r="30263" ht="15.75" customHeight="1">
      <c r="A30263" s="7"/>
      <c r="B30263" s="7"/>
      <c r="M30263" s="9" t="s">
        <v>23</v>
      </c>
    </row>
    <row r="30264" ht="15.75" customHeight="1">
      <c r="A30264" s="7"/>
      <c r="B30264" s="7"/>
      <c r="M30264" s="9" t="s">
        <v>36</v>
      </c>
    </row>
    <row r="30265" ht="15.75" customHeight="1">
      <c r="A30265" s="7"/>
      <c r="B30265" s="7"/>
      <c r="M30265" s="9" t="s">
        <v>24</v>
      </c>
    </row>
    <row r="30266" ht="15.75" customHeight="1">
      <c r="A30266" s="7"/>
      <c r="B30266" s="7"/>
      <c r="M30266" s="9" t="s">
        <v>21</v>
      </c>
    </row>
    <row r="30267" ht="15.75" customHeight="1">
      <c r="A30267" s="7"/>
      <c r="B30267" s="7"/>
      <c r="M30267" s="9" t="s">
        <v>22</v>
      </c>
    </row>
    <row r="30268" ht="15.75" customHeight="1">
      <c r="A30268" s="7"/>
      <c r="B30268" s="7"/>
      <c r="M30268" s="9" t="s">
        <v>27</v>
      </c>
    </row>
    <row r="30269" ht="15.75" customHeight="1">
      <c r="A30269" s="7"/>
      <c r="B30269" s="7"/>
      <c r="M30269" s="9" t="s">
        <v>30</v>
      </c>
    </row>
    <row r="30270" ht="15.75" customHeight="1">
      <c r="A30270" s="7"/>
      <c r="B30270" s="7"/>
      <c r="M30270" s="9" t="s">
        <v>36</v>
      </c>
    </row>
    <row r="30271" ht="15.75" customHeight="1">
      <c r="A30271" s="7"/>
      <c r="B30271" s="7"/>
      <c r="M30271" s="9" t="s">
        <v>24</v>
      </c>
    </row>
    <row r="30272" ht="15.75" customHeight="1">
      <c r="A30272" s="7"/>
      <c r="B30272" s="7"/>
      <c r="M30272" s="9" t="s">
        <v>21</v>
      </c>
    </row>
    <row r="30273" ht="15.75" customHeight="1">
      <c r="A30273" s="7"/>
      <c r="B30273" s="7"/>
      <c r="M30273" s="9" t="s">
        <v>23</v>
      </c>
    </row>
    <row r="30274" ht="15.75" customHeight="1">
      <c r="A30274" s="7"/>
      <c r="B30274" s="7"/>
      <c r="M30274" s="9" t="s">
        <v>20</v>
      </c>
    </row>
    <row r="30275" ht="15.75" customHeight="1">
      <c r="A30275" s="7"/>
      <c r="B30275" s="7"/>
      <c r="M30275" s="9" t="s">
        <v>39</v>
      </c>
    </row>
    <row r="30276" ht="15.75" customHeight="1">
      <c r="A30276" s="7"/>
      <c r="B30276" s="7"/>
      <c r="M30276" s="9" t="s">
        <v>22</v>
      </c>
    </row>
    <row r="30277" ht="15.75" customHeight="1">
      <c r="A30277" s="7"/>
      <c r="B30277" s="7"/>
      <c r="M30277" s="9" t="s">
        <v>30</v>
      </c>
    </row>
    <row r="30278" ht="15.75" customHeight="1">
      <c r="A30278" s="7"/>
      <c r="B30278" s="7"/>
      <c r="M30278" s="9" t="s">
        <v>24</v>
      </c>
    </row>
    <row r="30279" ht="15.75" customHeight="1">
      <c r="A30279" s="7"/>
      <c r="B30279" s="7"/>
      <c r="M30279" s="9" t="s">
        <v>31</v>
      </c>
    </row>
    <row r="30280" ht="15.75" customHeight="1">
      <c r="A30280" s="7"/>
      <c r="B30280" s="7"/>
      <c r="M30280" s="9" t="s">
        <v>27</v>
      </c>
    </row>
    <row r="30281" ht="15.75" customHeight="1">
      <c r="A30281" s="7"/>
      <c r="B30281" s="7"/>
      <c r="M30281" s="9" t="s">
        <v>25</v>
      </c>
    </row>
    <row r="30282" ht="15.75" customHeight="1">
      <c r="A30282" s="7"/>
      <c r="B30282" s="7"/>
      <c r="M30282" s="9" t="s">
        <v>23</v>
      </c>
    </row>
    <row r="30283" ht="15.75" customHeight="1">
      <c r="A30283" s="7"/>
      <c r="B30283" s="7"/>
      <c r="M30283" s="9" t="s">
        <v>20</v>
      </c>
    </row>
    <row r="30284" ht="15.75" customHeight="1">
      <c r="A30284" s="7"/>
      <c r="B30284" s="7"/>
      <c r="M30284" s="9" t="s">
        <v>21</v>
      </c>
    </row>
    <row r="30285" ht="15.75" customHeight="1">
      <c r="A30285" s="7"/>
      <c r="B30285" s="7"/>
      <c r="M30285" s="9" t="s">
        <v>37</v>
      </c>
    </row>
    <row r="30286" ht="15.75" customHeight="1">
      <c r="A30286" s="7"/>
      <c r="B30286" s="7"/>
      <c r="M30286" s="9" t="s">
        <v>31</v>
      </c>
    </row>
    <row r="30287" ht="15.75" customHeight="1">
      <c r="A30287" s="7"/>
      <c r="B30287" s="7"/>
      <c r="M30287" s="9" t="s">
        <v>30</v>
      </c>
    </row>
    <row r="30288" ht="15.75" customHeight="1">
      <c r="A30288" s="7"/>
      <c r="B30288" s="7"/>
      <c r="M30288" s="9" t="s">
        <v>26</v>
      </c>
    </row>
    <row r="30289" ht="15.75" customHeight="1">
      <c r="A30289" s="7"/>
      <c r="B30289" s="7"/>
      <c r="M30289" s="9" t="s">
        <v>44</v>
      </c>
    </row>
    <row r="30290" ht="15.75" customHeight="1">
      <c r="A30290" s="7"/>
      <c r="B30290" s="7"/>
      <c r="M30290" s="9" t="s">
        <v>36</v>
      </c>
    </row>
    <row r="30291" ht="15.75" customHeight="1">
      <c r="A30291" s="7"/>
      <c r="B30291" s="7"/>
      <c r="M30291" s="9" t="s">
        <v>20</v>
      </c>
    </row>
    <row r="30292" ht="15.75" customHeight="1">
      <c r="A30292" s="7"/>
      <c r="B30292" s="7"/>
      <c r="M30292" s="9" t="s">
        <v>21</v>
      </c>
    </row>
    <row r="30293" ht="15.75" customHeight="1">
      <c r="A30293" s="7"/>
      <c r="B30293" s="7"/>
      <c r="M30293" s="9" t="s">
        <v>27</v>
      </c>
    </row>
    <row r="30294" ht="15.75" customHeight="1">
      <c r="A30294" s="7"/>
      <c r="B30294" s="7"/>
      <c r="M30294" s="9" t="s">
        <v>25</v>
      </c>
    </row>
    <row r="30295" ht="15.75" customHeight="1">
      <c r="A30295" s="7"/>
      <c r="B30295" s="7"/>
      <c r="M30295" s="9" t="s">
        <v>23</v>
      </c>
    </row>
    <row r="30296" ht="15.75" customHeight="1">
      <c r="A30296" s="7"/>
      <c r="B30296" s="7"/>
      <c r="M30296" s="9" t="s">
        <v>20</v>
      </c>
    </row>
    <row r="30297" ht="15.75" customHeight="1">
      <c r="A30297" s="7"/>
      <c r="B30297" s="7"/>
      <c r="M30297" s="9" t="s">
        <v>22</v>
      </c>
    </row>
    <row r="30298" ht="15.75" customHeight="1">
      <c r="A30298" s="7"/>
      <c r="B30298" s="7"/>
      <c r="M30298" s="9" t="s">
        <v>27</v>
      </c>
    </row>
    <row r="30299" ht="15.75" customHeight="1">
      <c r="A30299" s="7"/>
      <c r="B30299" s="7"/>
      <c r="M30299" s="9" t="s">
        <v>23</v>
      </c>
    </row>
    <row r="30300" ht="15.75" customHeight="1">
      <c r="A30300" s="7"/>
      <c r="B30300" s="7"/>
      <c r="M30300" s="9" t="s">
        <v>37</v>
      </c>
    </row>
    <row r="30301" ht="15.75" customHeight="1">
      <c r="A30301" s="7"/>
      <c r="B30301" s="7"/>
      <c r="M30301" s="9" t="s">
        <v>26</v>
      </c>
    </row>
    <row r="30302" ht="15.75" customHeight="1">
      <c r="A30302" s="7"/>
      <c r="B30302" s="7"/>
      <c r="M30302" s="9" t="s">
        <v>27</v>
      </c>
    </row>
    <row r="30303" ht="15.75" customHeight="1">
      <c r="A30303" s="7"/>
      <c r="B30303" s="7"/>
      <c r="M30303" s="9" t="s">
        <v>27</v>
      </c>
    </row>
    <row r="30304" ht="15.75" customHeight="1">
      <c r="A30304" s="7"/>
      <c r="B30304" s="7"/>
      <c r="M30304" s="9" t="s">
        <v>28</v>
      </c>
    </row>
    <row r="30305" ht="15.75" customHeight="1">
      <c r="A30305" s="7"/>
      <c r="B30305" s="7"/>
      <c r="M30305" s="9" t="s">
        <v>30</v>
      </c>
    </row>
    <row r="30306" ht="15.75" customHeight="1">
      <c r="A30306" s="7"/>
      <c r="B30306" s="7"/>
      <c r="M30306" s="9" t="s">
        <v>23</v>
      </c>
    </row>
    <row r="30307" ht="15.75" customHeight="1">
      <c r="A30307" s="7"/>
      <c r="B30307" s="7"/>
      <c r="M30307" s="9" t="s">
        <v>47</v>
      </c>
    </row>
    <row r="30308" ht="15.75" customHeight="1">
      <c r="A30308" s="7"/>
      <c r="B30308" s="7"/>
      <c r="M30308" s="9" t="s">
        <v>24</v>
      </c>
    </row>
    <row r="30309" ht="15.75" customHeight="1">
      <c r="A30309" s="7"/>
      <c r="B30309" s="7"/>
      <c r="M30309" s="9" t="s">
        <v>21</v>
      </c>
    </row>
    <row r="30310" ht="15.75" customHeight="1">
      <c r="A30310" s="7"/>
      <c r="B30310" s="7"/>
      <c r="M30310" s="9" t="s">
        <v>37</v>
      </c>
    </row>
    <row r="30311" ht="15.75" customHeight="1">
      <c r="A30311" s="7"/>
      <c r="B30311" s="7"/>
      <c r="M30311" s="9" t="s">
        <v>22</v>
      </c>
    </row>
    <row r="30312" ht="15.75" customHeight="1">
      <c r="A30312" s="7"/>
      <c r="B30312" s="7"/>
      <c r="M30312" s="9" t="s">
        <v>27</v>
      </c>
    </row>
    <row r="30313" ht="15.75" customHeight="1">
      <c r="A30313" s="7"/>
      <c r="B30313" s="7"/>
      <c r="M30313" s="9" t="s">
        <v>33</v>
      </c>
    </row>
    <row r="30314" ht="15.75" customHeight="1">
      <c r="A30314" s="7"/>
      <c r="B30314" s="7"/>
      <c r="M30314" s="9" t="s">
        <v>24</v>
      </c>
    </row>
    <row r="30315" ht="15.75" customHeight="1">
      <c r="A30315" s="7"/>
      <c r="B30315" s="7"/>
      <c r="M30315" s="9" t="s">
        <v>21</v>
      </c>
    </row>
    <row r="30316" ht="15.75" customHeight="1">
      <c r="A30316" s="7"/>
      <c r="B30316" s="7"/>
      <c r="M30316" s="9" t="s">
        <v>37</v>
      </c>
    </row>
    <row r="30317" ht="15.75" customHeight="1">
      <c r="A30317" s="7"/>
      <c r="B30317" s="7"/>
      <c r="M30317" s="9" t="s">
        <v>30</v>
      </c>
    </row>
    <row r="30318" ht="15.75" customHeight="1">
      <c r="A30318" s="7"/>
      <c r="B30318" s="7"/>
      <c r="M30318" s="9" t="s">
        <v>21</v>
      </c>
    </row>
    <row r="30319" ht="15.75" customHeight="1">
      <c r="A30319" s="7"/>
      <c r="B30319" s="7"/>
      <c r="M30319" s="9" t="s">
        <v>22</v>
      </c>
    </row>
    <row r="30320" ht="15.75" customHeight="1">
      <c r="A30320" s="7"/>
      <c r="B30320" s="7"/>
      <c r="M30320" s="9" t="s">
        <v>30</v>
      </c>
    </row>
    <row r="30321" ht="15.75" customHeight="1">
      <c r="A30321" s="7"/>
      <c r="B30321" s="7"/>
      <c r="M30321" s="9" t="s">
        <v>24</v>
      </c>
    </row>
    <row r="30322" ht="15.75" customHeight="1">
      <c r="A30322" s="7"/>
      <c r="B30322" s="7"/>
      <c r="M30322" s="9" t="s">
        <v>21</v>
      </c>
    </row>
    <row r="30323" ht="15.75" customHeight="1">
      <c r="A30323" s="7"/>
      <c r="B30323" s="7"/>
      <c r="M30323" s="9" t="s">
        <v>22</v>
      </c>
    </row>
    <row r="30324" ht="15.75" customHeight="1">
      <c r="A30324" s="7"/>
      <c r="B30324" s="7"/>
      <c r="M30324" s="9" t="s">
        <v>27</v>
      </c>
    </row>
    <row r="30325" ht="15.75" customHeight="1">
      <c r="A30325" s="7"/>
      <c r="B30325" s="7"/>
      <c r="M30325" s="9" t="s">
        <v>25</v>
      </c>
    </row>
    <row r="30326" ht="15.75" customHeight="1">
      <c r="A30326" s="7"/>
      <c r="B30326" s="7"/>
      <c r="M30326" s="9" t="s">
        <v>23</v>
      </c>
    </row>
    <row r="30327" ht="15.75" customHeight="1">
      <c r="A30327" s="7"/>
      <c r="B30327" s="7"/>
      <c r="M30327" s="9" t="s">
        <v>46</v>
      </c>
    </row>
    <row r="30328" ht="15.75" customHeight="1">
      <c r="A30328" s="7"/>
      <c r="B30328" s="7"/>
      <c r="M30328" s="9" t="s">
        <v>35</v>
      </c>
    </row>
    <row r="30329" ht="15.75" customHeight="1">
      <c r="A30329" s="7"/>
      <c r="B30329" s="7"/>
      <c r="M30329" s="9" t="s">
        <v>30</v>
      </c>
    </row>
    <row r="30330" ht="15.75" customHeight="1">
      <c r="A30330" s="7"/>
      <c r="B30330" s="7"/>
      <c r="M30330" s="9" t="s">
        <v>24</v>
      </c>
    </row>
    <row r="30331" ht="15.75" customHeight="1">
      <c r="A30331" s="7"/>
      <c r="B30331" s="7"/>
      <c r="M30331" s="9" t="s">
        <v>21</v>
      </c>
    </row>
    <row r="30332" ht="15.75" customHeight="1">
      <c r="A30332" s="7"/>
      <c r="B30332" s="7"/>
      <c r="M30332" s="9" t="s">
        <v>22</v>
      </c>
    </row>
    <row r="30333" ht="15.75" customHeight="1">
      <c r="A30333" s="7"/>
      <c r="B30333" s="7"/>
      <c r="M30333" s="9" t="s">
        <v>27</v>
      </c>
    </row>
    <row r="30334" ht="15.75" customHeight="1">
      <c r="A30334" s="7"/>
      <c r="B30334" s="7"/>
      <c r="M30334" s="9" t="s">
        <v>30</v>
      </c>
    </row>
    <row r="30335" ht="15.75" customHeight="1">
      <c r="A30335" s="7"/>
      <c r="B30335" s="7"/>
      <c r="M30335" s="9" t="s">
        <v>24</v>
      </c>
    </row>
    <row r="30336" ht="15.75" customHeight="1">
      <c r="A30336" s="7"/>
      <c r="B30336" s="7"/>
      <c r="M30336" s="9" t="s">
        <v>21</v>
      </c>
    </row>
    <row r="30337" ht="15.75" customHeight="1">
      <c r="A30337" s="7"/>
      <c r="B30337" s="7"/>
      <c r="M30337" s="9" t="s">
        <v>37</v>
      </c>
    </row>
    <row r="30338" ht="15.75" customHeight="1">
      <c r="A30338" s="7"/>
      <c r="B30338" s="7"/>
      <c r="M30338" s="9" t="s">
        <v>22</v>
      </c>
    </row>
    <row r="30339" ht="15.75" customHeight="1">
      <c r="A30339" s="7"/>
      <c r="B30339" s="7"/>
      <c r="M30339" s="9" t="s">
        <v>27</v>
      </c>
    </row>
    <row r="30340" ht="15.75" customHeight="1">
      <c r="A30340" s="7"/>
      <c r="B30340" s="7"/>
      <c r="M30340" s="9" t="s">
        <v>33</v>
      </c>
    </row>
    <row r="30341" ht="15.75" customHeight="1">
      <c r="A30341" s="7"/>
      <c r="B30341" s="7"/>
      <c r="M30341" s="9" t="s">
        <v>30</v>
      </c>
    </row>
    <row r="30342" ht="15.75" customHeight="1">
      <c r="A30342" s="7"/>
      <c r="B30342" s="7"/>
      <c r="M30342" s="9" t="s">
        <v>36</v>
      </c>
    </row>
    <row r="30343" ht="15.75" customHeight="1">
      <c r="A30343" s="7"/>
      <c r="B30343" s="7"/>
      <c r="M30343" s="9" t="s">
        <v>22</v>
      </c>
    </row>
    <row r="30344" ht="15.75" customHeight="1">
      <c r="A30344" s="7"/>
      <c r="B30344" s="7"/>
      <c r="M30344" s="9" t="s">
        <v>26</v>
      </c>
    </row>
    <row r="30345" ht="15.75" customHeight="1">
      <c r="A30345" s="7"/>
      <c r="B30345" s="7"/>
      <c r="M30345" s="9" t="s">
        <v>24</v>
      </c>
    </row>
    <row r="30346" ht="15.75" customHeight="1">
      <c r="A30346" s="7"/>
      <c r="B30346" s="7"/>
      <c r="M30346" s="9" t="s">
        <v>21</v>
      </c>
    </row>
    <row r="30347" ht="15.75" customHeight="1">
      <c r="A30347" s="7"/>
      <c r="B30347" s="7"/>
      <c r="M30347" s="9" t="s">
        <v>27</v>
      </c>
    </row>
    <row r="30348" ht="15.75" customHeight="1">
      <c r="A30348" s="7"/>
      <c r="B30348" s="7"/>
      <c r="M30348" s="9" t="s">
        <v>33</v>
      </c>
    </row>
    <row r="30349" ht="15.75" customHeight="1">
      <c r="A30349" s="7"/>
      <c r="B30349" s="7"/>
      <c r="M30349" s="9" t="s">
        <v>30</v>
      </c>
    </row>
    <row r="30350" ht="15.75" customHeight="1">
      <c r="A30350" s="7"/>
      <c r="B30350" s="7"/>
      <c r="M30350" s="9" t="s">
        <v>24</v>
      </c>
    </row>
    <row r="30351" ht="15.75" customHeight="1">
      <c r="A30351" s="7"/>
      <c r="B30351" s="7"/>
      <c r="M30351" s="9" t="s">
        <v>20</v>
      </c>
    </row>
    <row r="30352" ht="15.75" customHeight="1">
      <c r="A30352" s="7"/>
      <c r="B30352" s="7"/>
      <c r="M30352" s="9" t="s">
        <v>22</v>
      </c>
    </row>
    <row r="30353" ht="15.75" customHeight="1">
      <c r="A30353" s="7"/>
      <c r="B30353" s="7"/>
      <c r="M30353" s="9" t="s">
        <v>20</v>
      </c>
    </row>
    <row r="30354" ht="15.75" customHeight="1">
      <c r="A30354" s="7"/>
      <c r="B30354" s="7"/>
      <c r="M30354" s="9" t="s">
        <v>21</v>
      </c>
    </row>
    <row r="30355" ht="15.75" customHeight="1">
      <c r="A30355" s="7"/>
      <c r="B30355" s="7"/>
      <c r="M30355" s="9" t="s">
        <v>22</v>
      </c>
    </row>
    <row r="30356" ht="15.75" customHeight="1">
      <c r="A30356" s="7"/>
      <c r="B30356" s="7"/>
      <c r="M30356" s="9" t="s">
        <v>40</v>
      </c>
    </row>
    <row r="30357" ht="15.75" customHeight="1">
      <c r="A30357" s="7"/>
      <c r="B30357" s="7"/>
      <c r="M30357" s="9" t="s">
        <v>24</v>
      </c>
    </row>
    <row r="30358" ht="15.75" customHeight="1">
      <c r="A30358" s="7"/>
      <c r="B30358" s="7"/>
      <c r="M30358" s="9" t="s">
        <v>20</v>
      </c>
    </row>
    <row r="30359" ht="15.75" customHeight="1">
      <c r="A30359" s="7"/>
      <c r="B30359" s="7"/>
      <c r="M30359" s="9" t="s">
        <v>21</v>
      </c>
    </row>
    <row r="30360" ht="15.75" customHeight="1">
      <c r="A30360" s="7"/>
      <c r="B30360" s="7"/>
      <c r="M30360" s="9" t="s">
        <v>22</v>
      </c>
    </row>
    <row r="30361" ht="15.75" customHeight="1">
      <c r="A30361" s="7"/>
      <c r="B30361" s="7"/>
      <c r="M30361" s="9" t="s">
        <v>27</v>
      </c>
    </row>
    <row r="30362" ht="15.75" customHeight="1">
      <c r="A30362" s="7"/>
      <c r="B30362" s="7"/>
      <c r="M30362" s="9" t="s">
        <v>35</v>
      </c>
    </row>
    <row r="30363" ht="15.75" customHeight="1">
      <c r="A30363" s="7"/>
      <c r="B30363" s="7"/>
      <c r="M30363" s="9" t="s">
        <v>30</v>
      </c>
    </row>
    <row r="30364" ht="15.75" customHeight="1">
      <c r="A30364" s="7"/>
      <c r="B30364" s="7"/>
      <c r="M30364" s="9" t="s">
        <v>26</v>
      </c>
    </row>
    <row r="30365" ht="15.75" customHeight="1">
      <c r="A30365" s="7"/>
      <c r="B30365" s="7"/>
      <c r="M30365" s="9" t="s">
        <v>24</v>
      </c>
    </row>
    <row r="30366" ht="15.75" customHeight="1">
      <c r="A30366" s="7"/>
      <c r="B30366" s="7"/>
      <c r="M30366" s="9" t="s">
        <v>21</v>
      </c>
    </row>
    <row r="30367" ht="15.75" customHeight="1">
      <c r="A30367" s="7"/>
      <c r="B30367" s="7"/>
      <c r="M30367" s="9" t="s">
        <v>37</v>
      </c>
    </row>
    <row r="30368" ht="15.75" customHeight="1">
      <c r="A30368" s="7"/>
      <c r="B30368" s="7"/>
      <c r="M30368" s="9" t="s">
        <v>27</v>
      </c>
    </row>
    <row r="30369" ht="15.75" customHeight="1">
      <c r="A30369" s="7"/>
      <c r="B30369" s="7"/>
      <c r="M30369" s="9" t="s">
        <v>30</v>
      </c>
    </row>
    <row r="30370" ht="15.75" customHeight="1">
      <c r="A30370" s="7"/>
      <c r="B30370" s="7"/>
      <c r="M30370" s="9" t="s">
        <v>26</v>
      </c>
    </row>
    <row r="30371" ht="15.75" customHeight="1">
      <c r="A30371" s="7"/>
      <c r="B30371" s="7"/>
      <c r="M30371" s="9" t="s">
        <v>24</v>
      </c>
    </row>
    <row r="30372" ht="15.75" customHeight="1">
      <c r="A30372" s="7"/>
      <c r="B30372" s="7"/>
      <c r="M30372" s="9" t="s">
        <v>20</v>
      </c>
    </row>
    <row r="30373" ht="15.75" customHeight="1">
      <c r="A30373" s="7"/>
      <c r="B30373" s="7"/>
      <c r="M30373" s="9" t="s">
        <v>21</v>
      </c>
    </row>
    <row r="30374" ht="15.75" customHeight="1">
      <c r="A30374" s="7"/>
      <c r="B30374" s="7"/>
      <c r="M30374" s="9" t="s">
        <v>27</v>
      </c>
    </row>
    <row r="30375" ht="15.75" customHeight="1">
      <c r="A30375" s="7"/>
      <c r="B30375" s="7"/>
      <c r="M30375" s="9" t="s">
        <v>23</v>
      </c>
    </row>
    <row r="30376" ht="15.75" customHeight="1">
      <c r="A30376" s="7"/>
      <c r="B30376" s="7"/>
      <c r="M30376" s="9" t="s">
        <v>30</v>
      </c>
    </row>
    <row r="30377" ht="15.75" customHeight="1">
      <c r="A30377" s="7"/>
      <c r="B30377" s="7"/>
      <c r="M30377" s="9" t="s">
        <v>24</v>
      </c>
    </row>
    <row r="30378" ht="15.75" customHeight="1">
      <c r="A30378" s="7"/>
      <c r="B30378" s="7"/>
      <c r="M30378" s="9" t="s">
        <v>21</v>
      </c>
    </row>
    <row r="30379" ht="15.75" customHeight="1">
      <c r="A30379" s="7"/>
      <c r="B30379" s="7"/>
      <c r="M30379" s="9" t="s">
        <v>26</v>
      </c>
    </row>
    <row r="30380" ht="15.75" customHeight="1">
      <c r="A30380" s="7"/>
      <c r="B30380" s="7"/>
      <c r="M30380" s="9" t="s">
        <v>24</v>
      </c>
    </row>
    <row r="30381" ht="15.75" customHeight="1">
      <c r="A30381" s="7"/>
      <c r="B30381" s="7"/>
      <c r="M30381" s="9" t="s">
        <v>20</v>
      </c>
    </row>
    <row r="30382" ht="15.75" customHeight="1">
      <c r="A30382" s="7"/>
      <c r="B30382" s="7"/>
      <c r="M30382" s="9" t="s">
        <v>21</v>
      </c>
    </row>
    <row r="30383" ht="15.75" customHeight="1">
      <c r="A30383" s="7"/>
      <c r="B30383" s="7"/>
      <c r="M30383" s="9" t="s">
        <v>37</v>
      </c>
    </row>
    <row r="30384" ht="15.75" customHeight="1">
      <c r="A30384" s="7"/>
      <c r="B30384" s="7"/>
      <c r="M30384" s="9" t="s">
        <v>27</v>
      </c>
    </row>
    <row r="30385" ht="15.75" customHeight="1">
      <c r="A30385" s="7"/>
      <c r="B30385" s="7"/>
      <c r="M30385" s="9" t="s">
        <v>24</v>
      </c>
    </row>
    <row r="30386" ht="15.75" customHeight="1">
      <c r="A30386" s="7"/>
      <c r="B30386" s="7"/>
      <c r="M30386" s="9" t="s">
        <v>20</v>
      </c>
    </row>
    <row r="30387" ht="15.75" customHeight="1">
      <c r="A30387" s="7"/>
      <c r="B30387" s="7"/>
      <c r="M30387" s="9" t="s">
        <v>39</v>
      </c>
    </row>
    <row r="30388" ht="15.75" customHeight="1">
      <c r="A30388" s="7"/>
      <c r="B30388" s="7"/>
      <c r="M30388" s="9" t="s">
        <v>22</v>
      </c>
    </row>
    <row r="30389" ht="15.75" customHeight="1">
      <c r="A30389" s="7"/>
      <c r="B30389" s="7"/>
      <c r="M30389" s="9" t="s">
        <v>20</v>
      </c>
    </row>
    <row r="30390" ht="15.75" customHeight="1">
      <c r="A30390" s="7"/>
      <c r="B30390" s="7"/>
      <c r="M30390" s="9" t="s">
        <v>21</v>
      </c>
    </row>
    <row r="30391" ht="15.75" customHeight="1">
      <c r="A30391" s="7"/>
      <c r="B30391" s="7"/>
      <c r="M30391" s="9" t="s">
        <v>24</v>
      </c>
    </row>
    <row r="30392" ht="15.75" customHeight="1">
      <c r="A30392" s="7"/>
      <c r="B30392" s="7"/>
      <c r="M30392" s="9" t="s">
        <v>21</v>
      </c>
    </row>
    <row r="30393" ht="15.75" customHeight="1">
      <c r="A30393" s="7"/>
      <c r="B30393" s="7"/>
      <c r="M30393" s="9" t="s">
        <v>24</v>
      </c>
    </row>
    <row r="30394" ht="15.75" customHeight="1">
      <c r="A30394" s="7"/>
      <c r="B30394" s="7"/>
      <c r="M30394" s="9" t="s">
        <v>20</v>
      </c>
    </row>
    <row r="30395" ht="15.75" customHeight="1">
      <c r="A30395" s="7"/>
      <c r="B30395" s="7"/>
      <c r="M30395" s="9" t="s">
        <v>21</v>
      </c>
    </row>
    <row r="30396" ht="15.75" customHeight="1">
      <c r="A30396" s="7"/>
      <c r="B30396" s="7"/>
      <c r="M30396" s="9" t="s">
        <v>37</v>
      </c>
    </row>
    <row r="30397" ht="15.75" customHeight="1">
      <c r="A30397" s="7"/>
      <c r="B30397" s="7"/>
      <c r="M30397" s="9" t="s">
        <v>22</v>
      </c>
    </row>
    <row r="30398" ht="15.75" customHeight="1">
      <c r="A30398" s="7"/>
      <c r="B30398" s="7"/>
      <c r="M30398" s="9" t="s">
        <v>27</v>
      </c>
    </row>
    <row r="30399" ht="15.75" customHeight="1">
      <c r="A30399" s="7"/>
      <c r="B30399" s="7"/>
      <c r="M30399" s="9" t="s">
        <v>30</v>
      </c>
    </row>
    <row r="30400" ht="15.75" customHeight="1">
      <c r="A30400" s="7"/>
      <c r="B30400" s="7"/>
      <c r="M30400" s="9" t="s">
        <v>24</v>
      </c>
    </row>
    <row r="30401" ht="15.75" customHeight="1">
      <c r="A30401" s="7"/>
      <c r="B30401" s="7"/>
      <c r="M30401" s="9" t="s">
        <v>20</v>
      </c>
    </row>
    <row r="30402" ht="15.75" customHeight="1">
      <c r="A30402" s="7"/>
      <c r="B30402" s="7"/>
      <c r="M30402" s="9" t="s">
        <v>21</v>
      </c>
    </row>
    <row r="30403" ht="15.75" customHeight="1">
      <c r="A30403" s="7"/>
      <c r="B30403" s="7"/>
      <c r="M30403" s="9" t="s">
        <v>22</v>
      </c>
    </row>
    <row r="30404" ht="15.75" customHeight="1">
      <c r="A30404" s="7"/>
      <c r="B30404" s="7"/>
      <c r="M30404" s="9" t="s">
        <v>27</v>
      </c>
    </row>
    <row r="30405" ht="15.75" customHeight="1">
      <c r="A30405" s="7"/>
      <c r="B30405" s="7"/>
      <c r="M30405" s="9" t="s">
        <v>26</v>
      </c>
    </row>
    <row r="30406" ht="15.75" customHeight="1">
      <c r="A30406" s="7"/>
      <c r="B30406" s="7"/>
      <c r="M30406" s="9" t="s">
        <v>20</v>
      </c>
    </row>
    <row r="30407" ht="15.75" customHeight="1">
      <c r="A30407" s="7"/>
      <c r="B30407" s="7"/>
      <c r="M30407" s="9" t="s">
        <v>27</v>
      </c>
    </row>
    <row r="30408" ht="15.75" customHeight="1">
      <c r="A30408" s="7"/>
      <c r="B30408" s="7"/>
      <c r="M30408" s="9" t="s">
        <v>24</v>
      </c>
    </row>
    <row r="30409" ht="15.75" customHeight="1">
      <c r="A30409" s="7"/>
      <c r="B30409" s="7"/>
      <c r="M30409" s="9" t="s">
        <v>21</v>
      </c>
    </row>
    <row r="30410" ht="15.75" customHeight="1">
      <c r="A30410" s="7"/>
      <c r="B30410" s="7"/>
      <c r="M30410" s="9" t="s">
        <v>37</v>
      </c>
    </row>
    <row r="30411" ht="15.75" customHeight="1">
      <c r="A30411" s="7"/>
      <c r="B30411" s="7"/>
      <c r="M30411" s="9" t="s">
        <v>22</v>
      </c>
    </row>
    <row r="30412" ht="15.75" customHeight="1">
      <c r="A30412" s="7"/>
      <c r="B30412" s="7"/>
      <c r="M30412" s="9" t="s">
        <v>27</v>
      </c>
    </row>
    <row r="30413" ht="15.75" customHeight="1">
      <c r="A30413" s="7"/>
      <c r="B30413" s="7"/>
      <c r="M30413" s="9" t="s">
        <v>26</v>
      </c>
    </row>
    <row r="30414" ht="15.75" customHeight="1">
      <c r="A30414" s="7"/>
      <c r="B30414" s="7"/>
      <c r="M30414" s="9" t="s">
        <v>24</v>
      </c>
    </row>
    <row r="30415" ht="15.75" customHeight="1">
      <c r="A30415" s="7"/>
      <c r="B30415" s="7"/>
      <c r="M30415" s="9" t="s">
        <v>20</v>
      </c>
    </row>
    <row r="30416" ht="15.75" customHeight="1">
      <c r="A30416" s="7"/>
      <c r="B30416" s="7"/>
      <c r="M30416" s="9" t="s">
        <v>21</v>
      </c>
    </row>
    <row r="30417" ht="15.75" customHeight="1">
      <c r="A30417" s="7"/>
      <c r="B30417" s="7"/>
      <c r="M30417" s="9" t="s">
        <v>27</v>
      </c>
    </row>
    <row r="30418" ht="15.75" customHeight="1">
      <c r="A30418" s="7"/>
      <c r="B30418" s="7"/>
      <c r="M30418" s="9" t="s">
        <v>26</v>
      </c>
    </row>
    <row r="30419" ht="15.75" customHeight="1">
      <c r="A30419" s="7"/>
      <c r="B30419" s="7"/>
      <c r="M30419" s="9" t="s">
        <v>21</v>
      </c>
    </row>
    <row r="30420" ht="15.75" customHeight="1">
      <c r="A30420" s="7"/>
      <c r="B30420" s="7"/>
      <c r="M30420" s="9" t="s">
        <v>25</v>
      </c>
    </row>
    <row r="30421" ht="15.75" customHeight="1">
      <c r="A30421" s="7"/>
      <c r="B30421" s="7"/>
      <c r="M30421" s="9" t="s">
        <v>23</v>
      </c>
    </row>
    <row r="30422" ht="15.75" customHeight="1">
      <c r="A30422" s="7"/>
      <c r="B30422" s="7"/>
      <c r="M30422" s="9" t="s">
        <v>26</v>
      </c>
    </row>
    <row r="30423" ht="15.75" customHeight="1">
      <c r="A30423" s="7"/>
      <c r="B30423" s="7"/>
      <c r="M30423" s="9" t="s">
        <v>24</v>
      </c>
    </row>
    <row r="30424" ht="15.75" customHeight="1">
      <c r="A30424" s="7"/>
      <c r="B30424" s="7"/>
      <c r="M30424" s="9" t="s">
        <v>20</v>
      </c>
    </row>
    <row r="30425" ht="15.75" customHeight="1">
      <c r="A30425" s="7"/>
      <c r="B30425" s="7"/>
      <c r="M30425" s="9" t="s">
        <v>21</v>
      </c>
    </row>
    <row r="30426" ht="15.75" customHeight="1">
      <c r="A30426" s="7"/>
      <c r="B30426" s="7"/>
      <c r="M30426" s="9" t="s">
        <v>39</v>
      </c>
    </row>
    <row r="30427" ht="15.75" customHeight="1">
      <c r="A30427" s="7"/>
      <c r="B30427" s="7"/>
      <c r="M30427" s="9" t="s">
        <v>27</v>
      </c>
    </row>
    <row r="30428" ht="15.75" customHeight="1">
      <c r="A30428" s="7"/>
      <c r="B30428" s="7"/>
      <c r="M30428" s="9" t="s">
        <v>30</v>
      </c>
    </row>
    <row r="30429" ht="15.75" customHeight="1">
      <c r="A30429" s="7"/>
      <c r="B30429" s="7"/>
      <c r="M30429" s="9" t="s">
        <v>26</v>
      </c>
    </row>
    <row r="30430" ht="15.75" customHeight="1">
      <c r="A30430" s="7"/>
      <c r="B30430" s="7"/>
      <c r="M30430" s="9" t="s">
        <v>24</v>
      </c>
    </row>
    <row r="30431" ht="15.75" customHeight="1">
      <c r="A30431" s="7"/>
      <c r="B30431" s="7"/>
      <c r="M30431" s="9" t="s">
        <v>21</v>
      </c>
    </row>
    <row r="30432" ht="15.75" customHeight="1">
      <c r="A30432" s="7"/>
      <c r="B30432" s="7"/>
      <c r="M30432" s="9" t="s">
        <v>27</v>
      </c>
    </row>
    <row r="30433" ht="15.75" customHeight="1">
      <c r="A30433" s="7"/>
      <c r="B30433" s="7"/>
      <c r="M30433" s="9" t="s">
        <v>34</v>
      </c>
    </row>
    <row r="30434" ht="15.75" customHeight="1">
      <c r="A30434" s="7"/>
      <c r="B30434" s="7"/>
      <c r="M30434" s="9" t="s">
        <v>24</v>
      </c>
    </row>
    <row r="30435" ht="15.75" customHeight="1">
      <c r="A30435" s="7"/>
      <c r="B30435" s="7"/>
      <c r="M30435" s="9" t="s">
        <v>21</v>
      </c>
    </row>
    <row r="30436" ht="15.75" customHeight="1">
      <c r="A30436" s="7"/>
      <c r="B30436" s="7"/>
      <c r="M30436" s="9" t="s">
        <v>37</v>
      </c>
    </row>
    <row r="30437" ht="15.75" customHeight="1">
      <c r="A30437" s="7"/>
      <c r="B30437" s="7"/>
      <c r="M30437" s="9" t="s">
        <v>33</v>
      </c>
    </row>
    <row r="30438" ht="15.75" customHeight="1">
      <c r="A30438" s="7"/>
      <c r="B30438" s="7"/>
      <c r="M30438" s="9" t="s">
        <v>30</v>
      </c>
    </row>
    <row r="30439" ht="15.75" customHeight="1">
      <c r="A30439" s="7"/>
      <c r="B30439" s="7"/>
      <c r="M30439" s="9" t="s">
        <v>26</v>
      </c>
    </row>
    <row r="30440" ht="15.75" customHeight="1">
      <c r="A30440" s="7"/>
      <c r="B30440" s="7"/>
      <c r="M30440" s="9" t="s">
        <v>20</v>
      </c>
    </row>
    <row r="30441" ht="15.75" customHeight="1">
      <c r="A30441" s="7"/>
      <c r="B30441" s="7"/>
      <c r="M30441" s="9" t="s">
        <v>21</v>
      </c>
    </row>
    <row r="30442" ht="15.75" customHeight="1">
      <c r="A30442" s="7"/>
      <c r="B30442" s="7"/>
      <c r="M30442" s="9" t="s">
        <v>22</v>
      </c>
    </row>
    <row r="30443" ht="15.75" customHeight="1">
      <c r="A30443" s="7"/>
      <c r="B30443" s="7"/>
      <c r="M30443" s="9" t="s">
        <v>23</v>
      </c>
    </row>
    <row r="30444" ht="15.75" customHeight="1">
      <c r="A30444" s="7"/>
      <c r="B30444" s="7"/>
      <c r="M30444" s="9" t="s">
        <v>26</v>
      </c>
    </row>
    <row r="30445" ht="15.75" customHeight="1">
      <c r="A30445" s="7"/>
      <c r="B30445" s="7"/>
      <c r="M30445" s="9" t="s">
        <v>20</v>
      </c>
    </row>
    <row r="30446" ht="15.75" customHeight="1">
      <c r="A30446" s="7"/>
      <c r="B30446" s="7"/>
      <c r="M30446" s="9" t="s">
        <v>37</v>
      </c>
    </row>
    <row r="30447" ht="15.75" customHeight="1">
      <c r="A30447" s="7"/>
      <c r="B30447" s="7"/>
      <c r="M30447" s="9" t="s">
        <v>22</v>
      </c>
    </row>
    <row r="30448" ht="15.75" customHeight="1">
      <c r="A30448" s="7"/>
      <c r="B30448" s="7"/>
      <c r="M30448" s="9" t="s">
        <v>31</v>
      </c>
    </row>
    <row r="30449" ht="15.75" customHeight="1">
      <c r="A30449" s="7"/>
      <c r="B30449" s="7"/>
      <c r="M30449" s="9" t="s">
        <v>33</v>
      </c>
    </row>
    <row r="30450" ht="15.75" customHeight="1">
      <c r="A30450" s="7"/>
      <c r="B30450" s="7"/>
      <c r="M30450" s="9" t="s">
        <v>24</v>
      </c>
    </row>
    <row r="30451" ht="15.75" customHeight="1">
      <c r="A30451" s="7"/>
      <c r="B30451" s="7"/>
      <c r="M30451" s="9" t="s">
        <v>20</v>
      </c>
    </row>
    <row r="30452" ht="15.75" customHeight="1">
      <c r="A30452" s="7"/>
      <c r="B30452" s="7"/>
      <c r="M30452" s="9" t="s">
        <v>21</v>
      </c>
    </row>
    <row r="30453" ht="15.75" customHeight="1">
      <c r="A30453" s="7"/>
      <c r="B30453" s="7"/>
      <c r="M30453" s="9" t="s">
        <v>46</v>
      </c>
    </row>
    <row r="30454" ht="15.75" customHeight="1">
      <c r="A30454" s="7"/>
      <c r="B30454" s="7"/>
      <c r="M30454" s="9" t="s">
        <v>27</v>
      </c>
    </row>
    <row r="30455" ht="15.75" customHeight="1">
      <c r="A30455" s="7"/>
      <c r="B30455" s="7"/>
      <c r="M30455" s="9" t="s">
        <v>22</v>
      </c>
    </row>
    <row r="30456" ht="15.75" customHeight="1">
      <c r="A30456" s="7"/>
      <c r="B30456" s="7"/>
      <c r="M30456" s="9" t="s">
        <v>30</v>
      </c>
    </row>
    <row r="30457" ht="15.75" customHeight="1">
      <c r="A30457" s="7"/>
      <c r="B30457" s="7"/>
      <c r="M30457" s="9" t="s">
        <v>24</v>
      </c>
    </row>
    <row r="30458" ht="15.75" customHeight="1">
      <c r="A30458" s="7"/>
      <c r="B30458" s="7"/>
      <c r="M30458" s="9" t="s">
        <v>21</v>
      </c>
    </row>
    <row r="30459" ht="15.75" customHeight="1">
      <c r="A30459" s="7"/>
      <c r="B30459" s="7"/>
      <c r="M30459" s="9" t="s">
        <v>22</v>
      </c>
    </row>
    <row r="30460" ht="15.75" customHeight="1">
      <c r="A30460" s="7"/>
      <c r="B30460" s="7"/>
      <c r="M30460" s="9" t="s">
        <v>33</v>
      </c>
    </row>
    <row r="30461" ht="15.75" customHeight="1">
      <c r="A30461" s="7"/>
      <c r="B30461" s="7"/>
      <c r="M30461" s="9" t="s">
        <v>30</v>
      </c>
    </row>
    <row r="30462" ht="15.75" customHeight="1">
      <c r="A30462" s="7"/>
      <c r="B30462" s="7"/>
      <c r="M30462" s="9" t="s">
        <v>26</v>
      </c>
    </row>
    <row r="30463" ht="15.75" customHeight="1">
      <c r="A30463" s="7"/>
      <c r="B30463" s="7"/>
      <c r="M30463" s="9" t="s">
        <v>24</v>
      </c>
    </row>
    <row r="30464" ht="15.75" customHeight="1">
      <c r="A30464" s="7"/>
      <c r="B30464" s="7"/>
      <c r="M30464" s="9" t="s">
        <v>21</v>
      </c>
    </row>
    <row r="30465" ht="15.75" customHeight="1">
      <c r="A30465" s="7"/>
      <c r="B30465" s="7"/>
      <c r="M30465" s="9" t="s">
        <v>27</v>
      </c>
    </row>
    <row r="30466" ht="15.75" customHeight="1">
      <c r="A30466" s="7"/>
      <c r="B30466" s="7"/>
      <c r="M30466" s="9" t="s">
        <v>30</v>
      </c>
    </row>
    <row r="30467" ht="15.75" customHeight="1">
      <c r="A30467" s="7"/>
      <c r="B30467" s="7"/>
      <c r="M30467" s="9" t="s">
        <v>21</v>
      </c>
    </row>
    <row r="30468" ht="15.75" customHeight="1">
      <c r="A30468" s="7"/>
      <c r="B30468" s="7"/>
      <c r="M30468" s="9" t="s">
        <v>31</v>
      </c>
    </row>
    <row r="30469" ht="15.75" customHeight="1">
      <c r="A30469" s="7"/>
      <c r="B30469" s="7"/>
      <c r="M30469" s="9" t="s">
        <v>27</v>
      </c>
    </row>
    <row r="30470" ht="15.75" customHeight="1">
      <c r="A30470" s="7"/>
      <c r="B30470" s="7"/>
      <c r="M30470" s="9" t="s">
        <v>33</v>
      </c>
    </row>
    <row r="30471" ht="15.75" customHeight="1">
      <c r="A30471" s="7"/>
      <c r="B30471" s="7"/>
      <c r="M30471" s="9" t="s">
        <v>30</v>
      </c>
    </row>
    <row r="30472" ht="15.75" customHeight="1">
      <c r="A30472" s="7"/>
      <c r="B30472" s="7"/>
      <c r="M30472" s="9" t="s">
        <v>24</v>
      </c>
    </row>
    <row r="30473" ht="15.75" customHeight="1">
      <c r="A30473" s="7"/>
      <c r="B30473" s="7"/>
      <c r="M30473" s="9" t="s">
        <v>21</v>
      </c>
    </row>
    <row r="30474" ht="15.75" customHeight="1">
      <c r="A30474" s="7"/>
      <c r="B30474" s="7"/>
      <c r="M30474" s="9" t="s">
        <v>37</v>
      </c>
    </row>
    <row r="30475" ht="15.75" customHeight="1">
      <c r="A30475" s="7"/>
      <c r="B30475" s="7"/>
      <c r="M30475" s="9" t="s">
        <v>22</v>
      </c>
    </row>
    <row r="30476" ht="15.75" customHeight="1">
      <c r="A30476" s="7"/>
      <c r="B30476" s="7"/>
      <c r="M30476" s="9" t="s">
        <v>27</v>
      </c>
    </row>
    <row r="30477" ht="15.75" customHeight="1">
      <c r="A30477" s="7"/>
      <c r="B30477" s="7"/>
      <c r="M30477" s="9" t="s">
        <v>28</v>
      </c>
    </row>
    <row r="30478" ht="15.75" customHeight="1">
      <c r="A30478" s="7"/>
      <c r="B30478" s="7"/>
      <c r="M30478" s="9" t="s">
        <v>22</v>
      </c>
    </row>
    <row r="30479" ht="15.75" customHeight="1">
      <c r="A30479" s="7"/>
      <c r="B30479" s="7"/>
      <c r="M30479" s="9" t="s">
        <v>24</v>
      </c>
    </row>
    <row r="30480" ht="15.75" customHeight="1">
      <c r="A30480" s="7"/>
      <c r="B30480" s="7"/>
      <c r="M30480" s="9" t="s">
        <v>20</v>
      </c>
    </row>
    <row r="30481" ht="15.75" customHeight="1">
      <c r="A30481" s="7"/>
      <c r="B30481" s="7"/>
      <c r="M30481" s="9" t="s">
        <v>21</v>
      </c>
    </row>
    <row r="30482" ht="15.75" customHeight="1">
      <c r="A30482" s="7"/>
      <c r="B30482" s="7"/>
      <c r="M30482" s="9" t="s">
        <v>39</v>
      </c>
    </row>
    <row r="30483" ht="15.75" customHeight="1">
      <c r="A30483" s="7"/>
      <c r="B30483" s="7"/>
      <c r="M30483" s="9" t="s">
        <v>22</v>
      </c>
    </row>
    <row r="30484" ht="15.75" customHeight="1">
      <c r="A30484" s="7"/>
      <c r="B30484" s="7"/>
      <c r="M30484" s="9" t="s">
        <v>27</v>
      </c>
    </row>
    <row r="30485" ht="15.75" customHeight="1">
      <c r="A30485" s="7"/>
      <c r="B30485" s="7"/>
      <c r="M30485" s="9" t="s">
        <v>33</v>
      </c>
    </row>
    <row r="30486" ht="15.75" customHeight="1">
      <c r="A30486" s="7"/>
      <c r="B30486" s="7"/>
      <c r="M30486" s="9" t="s">
        <v>26</v>
      </c>
    </row>
    <row r="30487" ht="15.75" customHeight="1">
      <c r="A30487" s="7"/>
      <c r="B30487" s="7"/>
      <c r="M30487" s="9" t="s">
        <v>24</v>
      </c>
    </row>
    <row r="30488" ht="15.75" customHeight="1">
      <c r="A30488" s="7"/>
      <c r="B30488" s="7"/>
      <c r="M30488" s="9" t="s">
        <v>21</v>
      </c>
    </row>
    <row r="30489" ht="15.75" customHeight="1">
      <c r="A30489" s="7"/>
      <c r="B30489" s="7"/>
      <c r="M30489" s="9" t="s">
        <v>33</v>
      </c>
    </row>
    <row r="30490" ht="15.75" customHeight="1">
      <c r="A30490" s="7"/>
      <c r="B30490" s="7"/>
      <c r="M30490" s="9" t="s">
        <v>28</v>
      </c>
    </row>
    <row r="30491" ht="15.75" customHeight="1">
      <c r="A30491" s="7"/>
      <c r="B30491" s="7"/>
      <c r="M30491" s="9" t="s">
        <v>30</v>
      </c>
    </row>
    <row r="30492" ht="15.75" customHeight="1">
      <c r="A30492" s="7"/>
      <c r="B30492" s="7"/>
      <c r="M30492" s="9" t="s">
        <v>20</v>
      </c>
    </row>
    <row r="30493" ht="15.75" customHeight="1">
      <c r="A30493" s="7"/>
      <c r="B30493" s="7"/>
      <c r="M30493" s="9" t="s">
        <v>21</v>
      </c>
    </row>
    <row r="30494" ht="15.75" customHeight="1">
      <c r="A30494" s="7"/>
      <c r="B30494" s="7"/>
      <c r="M30494" s="9" t="s">
        <v>33</v>
      </c>
    </row>
    <row r="30495" ht="15.75" customHeight="1">
      <c r="A30495" s="7"/>
      <c r="B30495" s="7"/>
      <c r="M30495" s="9" t="s">
        <v>30</v>
      </c>
    </row>
    <row r="30496" ht="15.75" customHeight="1">
      <c r="A30496" s="7"/>
      <c r="B30496" s="7"/>
      <c r="M30496" s="9" t="s">
        <v>24</v>
      </c>
    </row>
    <row r="30497" ht="15.75" customHeight="1">
      <c r="A30497" s="7"/>
      <c r="B30497" s="7"/>
      <c r="M30497" s="9" t="s">
        <v>21</v>
      </c>
    </row>
    <row r="30498" ht="15.75" customHeight="1">
      <c r="A30498" s="7"/>
      <c r="B30498" s="7"/>
      <c r="M30498" s="9" t="s">
        <v>22</v>
      </c>
    </row>
    <row r="30499" ht="15.75" customHeight="1">
      <c r="A30499" s="7"/>
      <c r="B30499" s="7"/>
      <c r="M30499" s="9" t="s">
        <v>24</v>
      </c>
    </row>
    <row r="30500" ht="15.75" customHeight="1">
      <c r="A30500" s="7"/>
      <c r="B30500" s="7"/>
      <c r="M30500" s="9" t="s">
        <v>20</v>
      </c>
    </row>
    <row r="30501" ht="15.75" customHeight="1">
      <c r="A30501" s="7"/>
      <c r="B30501" s="7"/>
      <c r="M30501" s="9" t="s">
        <v>21</v>
      </c>
    </row>
    <row r="30502" ht="15.75" customHeight="1">
      <c r="A30502" s="7"/>
      <c r="B30502" s="7"/>
      <c r="M30502" s="9" t="s">
        <v>22</v>
      </c>
    </row>
    <row r="30503" ht="15.75" customHeight="1">
      <c r="A30503" s="7"/>
      <c r="B30503" s="7"/>
      <c r="M30503" s="9" t="s">
        <v>27</v>
      </c>
    </row>
    <row r="30504" ht="15.75" customHeight="1">
      <c r="A30504" s="7"/>
      <c r="B30504" s="7"/>
      <c r="M30504" s="9" t="s">
        <v>25</v>
      </c>
    </row>
    <row r="30505" ht="15.75" customHeight="1">
      <c r="A30505" s="7"/>
      <c r="B30505" s="7"/>
      <c r="M30505" s="9" t="s">
        <v>24</v>
      </c>
    </row>
    <row r="30506" ht="15.75" customHeight="1">
      <c r="A30506" s="7"/>
      <c r="B30506" s="7"/>
      <c r="M30506" s="9" t="s">
        <v>20</v>
      </c>
    </row>
    <row r="30507" ht="15.75" customHeight="1">
      <c r="A30507" s="7"/>
      <c r="B30507" s="7"/>
      <c r="M30507" s="9" t="s">
        <v>21</v>
      </c>
    </row>
    <row r="30508" ht="15.75" customHeight="1">
      <c r="A30508" s="7"/>
      <c r="B30508" s="7"/>
      <c r="M30508" s="9" t="s">
        <v>37</v>
      </c>
    </row>
    <row r="30509" ht="15.75" customHeight="1">
      <c r="A30509" s="7"/>
      <c r="B30509" s="7"/>
      <c r="M30509" s="9" t="s">
        <v>33</v>
      </c>
    </row>
    <row r="30510" ht="15.75" customHeight="1">
      <c r="A30510" s="7"/>
      <c r="B30510" s="7"/>
      <c r="M30510" s="9" t="s">
        <v>23</v>
      </c>
    </row>
    <row r="30511" ht="15.75" customHeight="1">
      <c r="A30511" s="7"/>
      <c r="B30511" s="7"/>
      <c r="M30511" s="9" t="s">
        <v>26</v>
      </c>
    </row>
    <row r="30512" ht="15.75" customHeight="1">
      <c r="A30512" s="7"/>
      <c r="B30512" s="7"/>
      <c r="M30512" s="9" t="s">
        <v>37</v>
      </c>
    </row>
    <row r="30513" ht="15.75" customHeight="1">
      <c r="A30513" s="7"/>
      <c r="B30513" s="7"/>
      <c r="M30513" s="9" t="s">
        <v>32</v>
      </c>
    </row>
    <row r="30514" ht="15.75" customHeight="1">
      <c r="A30514" s="7"/>
      <c r="B30514" s="7"/>
      <c r="M30514" s="9" t="s">
        <v>27</v>
      </c>
    </row>
    <row r="30515" ht="15.75" customHeight="1">
      <c r="A30515" s="7"/>
      <c r="B30515" s="7"/>
      <c r="M30515" s="9" t="s">
        <v>38</v>
      </c>
    </row>
    <row r="30516" ht="15.75" customHeight="1">
      <c r="A30516" s="7"/>
      <c r="B30516" s="7"/>
      <c r="M30516" s="9" t="s">
        <v>30</v>
      </c>
    </row>
    <row r="30517" ht="15.75" customHeight="1">
      <c r="A30517" s="7"/>
      <c r="B30517" s="7"/>
      <c r="M30517" s="9" t="s">
        <v>25</v>
      </c>
    </row>
    <row r="30518" ht="15.75" customHeight="1">
      <c r="A30518" s="7"/>
      <c r="B30518" s="7"/>
      <c r="M30518" s="9" t="s">
        <v>23</v>
      </c>
    </row>
    <row r="30519" ht="15.75" customHeight="1">
      <c r="A30519" s="7"/>
      <c r="B30519" s="7"/>
      <c r="M30519" s="9" t="s">
        <v>24</v>
      </c>
    </row>
    <row r="30520" ht="15.75" customHeight="1">
      <c r="A30520" s="7"/>
      <c r="B30520" s="7"/>
      <c r="M30520" s="9" t="s">
        <v>37</v>
      </c>
    </row>
    <row r="30521" ht="15.75" customHeight="1">
      <c r="A30521" s="7"/>
      <c r="B30521" s="7"/>
      <c r="M30521" s="9" t="s">
        <v>22</v>
      </c>
    </row>
    <row r="30522" ht="15.75" customHeight="1">
      <c r="A30522" s="7"/>
      <c r="B30522" s="7"/>
      <c r="M30522" s="9" t="s">
        <v>27</v>
      </c>
    </row>
    <row r="30523" ht="15.75" customHeight="1">
      <c r="A30523" s="7"/>
      <c r="B30523" s="7"/>
      <c r="M30523" s="9" t="s">
        <v>25</v>
      </c>
    </row>
    <row r="30524" ht="15.75" customHeight="1">
      <c r="A30524" s="7"/>
      <c r="B30524" s="7"/>
      <c r="M30524" s="9" t="s">
        <v>23</v>
      </c>
    </row>
    <row r="30525" ht="15.75" customHeight="1">
      <c r="A30525" s="7"/>
      <c r="B30525" s="7"/>
      <c r="M30525" s="9" t="s">
        <v>26</v>
      </c>
    </row>
    <row r="30526" ht="15.75" customHeight="1">
      <c r="A30526" s="7"/>
      <c r="B30526" s="7"/>
      <c r="M30526" s="9" t="s">
        <v>24</v>
      </c>
    </row>
    <row r="30527" ht="15.75" customHeight="1">
      <c r="A30527" s="7"/>
      <c r="B30527" s="7"/>
      <c r="M30527" s="9" t="s">
        <v>21</v>
      </c>
    </row>
    <row r="30528" ht="15.75" customHeight="1">
      <c r="A30528" s="7"/>
      <c r="B30528" s="7"/>
      <c r="M30528" s="9" t="s">
        <v>27</v>
      </c>
    </row>
    <row r="30529" ht="15.75" customHeight="1">
      <c r="A30529" s="7"/>
      <c r="B30529" s="7"/>
      <c r="M30529" s="9" t="s">
        <v>28</v>
      </c>
    </row>
    <row r="30530" ht="15.75" customHeight="1">
      <c r="A30530" s="7"/>
      <c r="B30530" s="7"/>
      <c r="M30530" s="9" t="s">
        <v>20</v>
      </c>
    </row>
    <row r="30531" ht="15.75" customHeight="1">
      <c r="A30531" s="7"/>
      <c r="B30531" s="7"/>
      <c r="M30531" s="9" t="s">
        <v>21</v>
      </c>
    </row>
    <row r="30532" ht="15.75" customHeight="1">
      <c r="A30532" s="7"/>
      <c r="B30532" s="7"/>
      <c r="M30532" s="9" t="s">
        <v>37</v>
      </c>
    </row>
    <row r="30533" ht="15.75" customHeight="1">
      <c r="A30533" s="7"/>
      <c r="B30533" s="7"/>
      <c r="M30533" s="9" t="s">
        <v>27</v>
      </c>
    </row>
    <row r="30534" ht="15.75" customHeight="1">
      <c r="A30534" s="7"/>
      <c r="B30534" s="7"/>
      <c r="M30534" s="9" t="s">
        <v>30</v>
      </c>
    </row>
    <row r="30535" ht="15.75" customHeight="1">
      <c r="A30535" s="7"/>
      <c r="B30535" s="7"/>
      <c r="M30535" s="9" t="s">
        <v>25</v>
      </c>
    </row>
    <row r="30536" ht="15.75" customHeight="1">
      <c r="A30536" s="7"/>
      <c r="B30536" s="7"/>
      <c r="M30536" s="9" t="s">
        <v>24</v>
      </c>
    </row>
    <row r="30537" ht="15.75" customHeight="1">
      <c r="A30537" s="7"/>
      <c r="B30537" s="7"/>
      <c r="M30537" s="9" t="s">
        <v>20</v>
      </c>
    </row>
    <row r="30538" ht="15.75" customHeight="1">
      <c r="A30538" s="7"/>
      <c r="B30538" s="7"/>
      <c r="M30538" s="9" t="s">
        <v>21</v>
      </c>
    </row>
    <row r="30539" ht="15.75" customHeight="1">
      <c r="A30539" s="7"/>
      <c r="B30539" s="7"/>
      <c r="M30539" s="9" t="s">
        <v>22</v>
      </c>
    </row>
    <row r="30540" ht="15.75" customHeight="1">
      <c r="A30540" s="7"/>
      <c r="B30540" s="7"/>
      <c r="M30540" s="9" t="s">
        <v>31</v>
      </c>
    </row>
    <row r="30541" ht="15.75" customHeight="1">
      <c r="A30541" s="7"/>
      <c r="B30541" s="7"/>
      <c r="M30541" s="9" t="s">
        <v>30</v>
      </c>
    </row>
    <row r="30542" ht="15.75" customHeight="1">
      <c r="A30542" s="7"/>
      <c r="B30542" s="7"/>
      <c r="M30542" s="9" t="s">
        <v>26</v>
      </c>
    </row>
    <row r="30543" ht="15.75" customHeight="1">
      <c r="A30543" s="7"/>
      <c r="B30543" s="7"/>
      <c r="M30543" s="9" t="s">
        <v>24</v>
      </c>
    </row>
    <row r="30544" ht="15.75" customHeight="1">
      <c r="A30544" s="7"/>
      <c r="B30544" s="7"/>
      <c r="M30544" s="9" t="s">
        <v>21</v>
      </c>
    </row>
    <row r="30545" ht="15.75" customHeight="1">
      <c r="A30545" s="7"/>
      <c r="B30545" s="7"/>
      <c r="M30545" s="9" t="s">
        <v>27</v>
      </c>
    </row>
    <row r="30546" ht="15.75" customHeight="1">
      <c r="A30546" s="7"/>
      <c r="B30546" s="7"/>
      <c r="M30546" s="9" t="s">
        <v>33</v>
      </c>
    </row>
    <row r="30547" ht="15.75" customHeight="1">
      <c r="A30547" s="7"/>
      <c r="B30547" s="7"/>
      <c r="M30547" s="9" t="s">
        <v>30</v>
      </c>
    </row>
    <row r="30548" ht="15.75" customHeight="1">
      <c r="A30548" s="7"/>
      <c r="B30548" s="7"/>
      <c r="M30548" s="9" t="s">
        <v>24</v>
      </c>
    </row>
    <row r="30549" ht="15.75" customHeight="1">
      <c r="A30549" s="7"/>
      <c r="B30549" s="7"/>
      <c r="M30549" s="9" t="s">
        <v>22</v>
      </c>
    </row>
    <row r="30550" ht="15.75" customHeight="1">
      <c r="A30550" s="7"/>
      <c r="B30550" s="7"/>
      <c r="M30550" s="9" t="s">
        <v>27</v>
      </c>
    </row>
    <row r="30551" ht="15.75" customHeight="1">
      <c r="A30551" s="7"/>
      <c r="B30551" s="7"/>
      <c r="M30551" s="9" t="s">
        <v>28</v>
      </c>
    </row>
    <row r="30552" ht="15.75" customHeight="1">
      <c r="A30552" s="7"/>
      <c r="B30552" s="7"/>
      <c r="M30552" s="9" t="s">
        <v>24</v>
      </c>
    </row>
    <row r="30553" ht="15.75" customHeight="1">
      <c r="A30553" s="7"/>
      <c r="B30553" s="7"/>
      <c r="M30553" s="9" t="s">
        <v>21</v>
      </c>
    </row>
    <row r="30554" ht="15.75" customHeight="1">
      <c r="A30554" s="7"/>
      <c r="B30554" s="7"/>
      <c r="M30554" s="9" t="s">
        <v>32</v>
      </c>
    </row>
    <row r="30555" ht="15.75" customHeight="1">
      <c r="A30555" s="7"/>
      <c r="B30555" s="7"/>
      <c r="M30555" s="9" t="s">
        <v>40</v>
      </c>
    </row>
    <row r="30556" ht="15.75" customHeight="1">
      <c r="A30556" s="7"/>
      <c r="B30556" s="7"/>
      <c r="M30556" s="9" t="s">
        <v>33</v>
      </c>
    </row>
    <row r="30557" ht="15.75" customHeight="1">
      <c r="A30557" s="7"/>
      <c r="B30557" s="7"/>
      <c r="M30557" s="9" t="s">
        <v>34</v>
      </c>
    </row>
    <row r="30558" ht="15.75" customHeight="1">
      <c r="A30558" s="7"/>
      <c r="B30558" s="7"/>
      <c r="M30558" s="9" t="s">
        <v>38</v>
      </c>
    </row>
    <row r="30559" ht="15.75" customHeight="1">
      <c r="A30559" s="7"/>
      <c r="B30559" s="7"/>
      <c r="M30559" s="9" t="s">
        <v>30</v>
      </c>
    </row>
    <row r="30560" ht="15.75" customHeight="1">
      <c r="A30560" s="7"/>
      <c r="B30560" s="7"/>
      <c r="M30560" s="9" t="s">
        <v>25</v>
      </c>
    </row>
    <row r="30561" ht="15.75" customHeight="1">
      <c r="A30561" s="7"/>
      <c r="B30561" s="7"/>
      <c r="M30561" s="9" t="s">
        <v>23</v>
      </c>
    </row>
    <row r="30562" ht="15.75" customHeight="1">
      <c r="A30562" s="7"/>
      <c r="B30562" s="7"/>
      <c r="M30562" s="9" t="s">
        <v>24</v>
      </c>
    </row>
    <row r="30563" ht="15.75" customHeight="1">
      <c r="A30563" s="7"/>
      <c r="B30563" s="7"/>
      <c r="M30563" s="9" t="s">
        <v>20</v>
      </c>
    </row>
    <row r="30564" ht="15.75" customHeight="1">
      <c r="A30564" s="7"/>
      <c r="B30564" s="7"/>
      <c r="M30564" s="9" t="s">
        <v>21</v>
      </c>
    </row>
    <row r="30565" ht="15.75" customHeight="1">
      <c r="A30565" s="7"/>
      <c r="B30565" s="7"/>
      <c r="M30565" s="9" t="s">
        <v>22</v>
      </c>
    </row>
    <row r="30566" ht="15.75" customHeight="1">
      <c r="A30566" s="7"/>
      <c r="B30566" s="7"/>
      <c r="M30566" s="9" t="s">
        <v>27</v>
      </c>
    </row>
    <row r="30567" ht="15.75" customHeight="1">
      <c r="A30567" s="7"/>
      <c r="B30567" s="7"/>
      <c r="M30567" s="9" t="s">
        <v>28</v>
      </c>
    </row>
    <row r="30568" ht="15.75" customHeight="1">
      <c r="A30568" s="7"/>
      <c r="B30568" s="7"/>
      <c r="M30568" s="9" t="s">
        <v>38</v>
      </c>
    </row>
    <row r="30569" ht="15.75" customHeight="1">
      <c r="A30569" s="7"/>
      <c r="B30569" s="7"/>
      <c r="M30569" s="9" t="s">
        <v>30</v>
      </c>
    </row>
    <row r="30570" ht="15.75" customHeight="1">
      <c r="A30570" s="7"/>
      <c r="B30570" s="7"/>
      <c r="M30570" s="9" t="s">
        <v>25</v>
      </c>
    </row>
    <row r="30571" ht="15.75" customHeight="1">
      <c r="A30571" s="7"/>
      <c r="B30571" s="7"/>
      <c r="M30571" s="9" t="s">
        <v>23</v>
      </c>
    </row>
    <row r="30572" ht="15.75" customHeight="1">
      <c r="A30572" s="7"/>
      <c r="B30572" s="7"/>
      <c r="M30572" s="9" t="s">
        <v>24</v>
      </c>
    </row>
    <row r="30573" ht="15.75" customHeight="1">
      <c r="A30573" s="7"/>
      <c r="B30573" s="7"/>
      <c r="M30573" s="9" t="s">
        <v>21</v>
      </c>
    </row>
    <row r="30574" ht="15.75" customHeight="1">
      <c r="A30574" s="7"/>
      <c r="B30574" s="7"/>
      <c r="M30574" s="9" t="s">
        <v>35</v>
      </c>
    </row>
    <row r="30575" ht="15.75" customHeight="1">
      <c r="A30575" s="7"/>
      <c r="B30575" s="7"/>
      <c r="M30575" s="9" t="s">
        <v>24</v>
      </c>
    </row>
    <row r="30576" ht="15.75" customHeight="1">
      <c r="A30576" s="7"/>
      <c r="B30576" s="7"/>
      <c r="M30576" s="9" t="s">
        <v>21</v>
      </c>
    </row>
    <row r="30577" ht="15.75" customHeight="1">
      <c r="A30577" s="7"/>
      <c r="B30577" s="7"/>
      <c r="M30577" s="9" t="s">
        <v>31</v>
      </c>
    </row>
    <row r="30578" ht="15.75" customHeight="1">
      <c r="A30578" s="7"/>
      <c r="B30578" s="7"/>
      <c r="M30578" s="9" t="s">
        <v>27</v>
      </c>
    </row>
    <row r="30579" ht="15.75" customHeight="1">
      <c r="A30579" s="7"/>
      <c r="B30579" s="7"/>
      <c r="M30579" s="9" t="s">
        <v>23</v>
      </c>
    </row>
    <row r="30580" ht="15.75" customHeight="1">
      <c r="A30580" s="7"/>
      <c r="B30580" s="7"/>
      <c r="M30580" s="9" t="s">
        <v>24</v>
      </c>
    </row>
    <row r="30581" ht="15.75" customHeight="1">
      <c r="A30581" s="7"/>
      <c r="B30581" s="7"/>
      <c r="M30581" s="9" t="s">
        <v>20</v>
      </c>
    </row>
    <row r="30582" ht="15.75" customHeight="1">
      <c r="A30582" s="7"/>
      <c r="B30582" s="7"/>
      <c r="M30582" s="9" t="s">
        <v>22</v>
      </c>
    </row>
    <row r="30583" ht="15.75" customHeight="1">
      <c r="A30583" s="7"/>
      <c r="B30583" s="7"/>
      <c r="M30583" s="9" t="s">
        <v>24</v>
      </c>
    </row>
    <row r="30584" ht="15.75" customHeight="1">
      <c r="A30584" s="7"/>
      <c r="B30584" s="7"/>
      <c r="M30584" s="9" t="s">
        <v>21</v>
      </c>
    </row>
    <row r="30585" ht="15.75" customHeight="1">
      <c r="A30585" s="7"/>
      <c r="B30585" s="7"/>
      <c r="M30585" s="9" t="s">
        <v>23</v>
      </c>
    </row>
    <row r="30586" ht="15.75" customHeight="1">
      <c r="A30586" s="7"/>
      <c r="B30586" s="7"/>
      <c r="M30586" s="9" t="s">
        <v>24</v>
      </c>
    </row>
    <row r="30587" ht="15.75" customHeight="1">
      <c r="A30587" s="7"/>
      <c r="B30587" s="7"/>
      <c r="M30587" s="9" t="s">
        <v>20</v>
      </c>
    </row>
    <row r="30588" ht="15.75" customHeight="1">
      <c r="A30588" s="7"/>
      <c r="B30588" s="7"/>
      <c r="M30588" s="9" t="s">
        <v>38</v>
      </c>
    </row>
    <row r="30589" ht="15.75" customHeight="1">
      <c r="A30589" s="7"/>
      <c r="B30589" s="7"/>
      <c r="M30589" s="9" t="s">
        <v>25</v>
      </c>
    </row>
    <row r="30590" ht="15.75" customHeight="1">
      <c r="A30590" s="7"/>
      <c r="B30590" s="7"/>
      <c r="M30590" s="9" t="s">
        <v>23</v>
      </c>
    </row>
    <row r="30591" ht="15.75" customHeight="1">
      <c r="A30591" s="7"/>
      <c r="B30591" s="7"/>
      <c r="M30591" s="9" t="s">
        <v>26</v>
      </c>
    </row>
    <row r="30592" ht="15.75" customHeight="1">
      <c r="A30592" s="7"/>
      <c r="B30592" s="7"/>
      <c r="M30592" s="9" t="s">
        <v>20</v>
      </c>
    </row>
    <row r="30593" ht="15.75" customHeight="1">
      <c r="A30593" s="7"/>
      <c r="B30593" s="7"/>
      <c r="M30593" s="9" t="s">
        <v>46</v>
      </c>
    </row>
    <row r="30594" ht="15.75" customHeight="1">
      <c r="A30594" s="7"/>
      <c r="B30594" s="7"/>
      <c r="M30594" s="9" t="s">
        <v>27</v>
      </c>
    </row>
    <row r="30595" ht="15.75" customHeight="1">
      <c r="A30595" s="7"/>
      <c r="B30595" s="7"/>
      <c r="M30595" s="9" t="s">
        <v>20</v>
      </c>
    </row>
    <row r="30596" ht="15.75" customHeight="1">
      <c r="A30596" s="7"/>
      <c r="B30596" s="7"/>
      <c r="M30596" s="9" t="s">
        <v>21</v>
      </c>
    </row>
    <row r="30597" ht="15.75" customHeight="1">
      <c r="A30597" s="7"/>
      <c r="B30597" s="7"/>
      <c r="M30597" s="9" t="s">
        <v>39</v>
      </c>
    </row>
    <row r="30598" ht="15.75" customHeight="1">
      <c r="A30598" s="7"/>
      <c r="B30598" s="7"/>
      <c r="M30598" s="9" t="s">
        <v>26</v>
      </c>
    </row>
    <row r="30599" ht="15.75" customHeight="1">
      <c r="A30599" s="7"/>
      <c r="B30599" s="7"/>
      <c r="M30599" s="9" t="s">
        <v>24</v>
      </c>
    </row>
    <row r="30600" ht="15.75" customHeight="1">
      <c r="A30600" s="7"/>
      <c r="B30600" s="7"/>
      <c r="M30600" s="9" t="s">
        <v>21</v>
      </c>
    </row>
    <row r="30601" ht="15.75" customHeight="1">
      <c r="A30601" s="7"/>
      <c r="B30601" s="7"/>
      <c r="M30601" s="9" t="s">
        <v>30</v>
      </c>
    </row>
    <row r="30602" ht="15.75" customHeight="1">
      <c r="A30602" s="7"/>
      <c r="B30602" s="7"/>
      <c r="M30602" s="9" t="s">
        <v>23</v>
      </c>
    </row>
    <row r="30603" ht="15.75" customHeight="1">
      <c r="A30603" s="7"/>
      <c r="B30603" s="7"/>
      <c r="M30603" s="9" t="s">
        <v>26</v>
      </c>
    </row>
    <row r="30604" ht="15.75" customHeight="1">
      <c r="A30604" s="7"/>
      <c r="B30604" s="7"/>
      <c r="M30604" s="9" t="s">
        <v>24</v>
      </c>
    </row>
    <row r="30605" ht="15.75" customHeight="1">
      <c r="A30605" s="7"/>
      <c r="B30605" s="7"/>
      <c r="M30605" s="9" t="s">
        <v>20</v>
      </c>
    </row>
    <row r="30606" ht="15.75" customHeight="1">
      <c r="A30606" s="7"/>
      <c r="B30606" s="7"/>
      <c r="M30606" s="9" t="s">
        <v>21</v>
      </c>
    </row>
    <row r="30607" ht="15.75" customHeight="1">
      <c r="A30607" s="7"/>
      <c r="B30607" s="7"/>
      <c r="M30607" s="9" t="s">
        <v>22</v>
      </c>
    </row>
    <row r="30608" ht="15.75" customHeight="1">
      <c r="A30608" s="7"/>
      <c r="B30608" s="7"/>
      <c r="M30608" s="9" t="s">
        <v>27</v>
      </c>
    </row>
    <row r="30609" ht="15.75" customHeight="1">
      <c r="A30609" s="7"/>
      <c r="B30609" s="7"/>
      <c r="M30609" s="9" t="s">
        <v>38</v>
      </c>
    </row>
    <row r="30610" ht="15.75" customHeight="1">
      <c r="A30610" s="7"/>
      <c r="B30610" s="7"/>
      <c r="M30610" s="9" t="s">
        <v>30</v>
      </c>
    </row>
    <row r="30611" ht="15.75" customHeight="1">
      <c r="A30611" s="7"/>
      <c r="B30611" s="7"/>
      <c r="M30611" s="9" t="s">
        <v>25</v>
      </c>
    </row>
    <row r="30612" ht="15.75" customHeight="1">
      <c r="A30612" s="7"/>
      <c r="B30612" s="7"/>
      <c r="M30612" s="9" t="s">
        <v>23</v>
      </c>
    </row>
    <row r="30613" ht="15.75" customHeight="1">
      <c r="A30613" s="7"/>
      <c r="B30613" s="7"/>
      <c r="M30613" s="9" t="s">
        <v>26</v>
      </c>
    </row>
    <row r="30614" ht="15.75" customHeight="1">
      <c r="A30614" s="7"/>
      <c r="B30614" s="7"/>
      <c r="M30614" s="9" t="s">
        <v>24</v>
      </c>
    </row>
    <row r="30615" ht="15.75" customHeight="1">
      <c r="A30615" s="7"/>
      <c r="B30615" s="7"/>
      <c r="M30615" s="9" t="s">
        <v>35</v>
      </c>
    </row>
    <row r="30616" ht="15.75" customHeight="1">
      <c r="A30616" s="7"/>
      <c r="B30616" s="7"/>
      <c r="M30616" s="9" t="s">
        <v>30</v>
      </c>
    </row>
    <row r="30617" ht="15.75" customHeight="1">
      <c r="A30617" s="7"/>
      <c r="B30617" s="7"/>
      <c r="M30617" s="9" t="s">
        <v>24</v>
      </c>
    </row>
    <row r="30618" ht="15.75" customHeight="1">
      <c r="A30618" s="7"/>
      <c r="B30618" s="7"/>
      <c r="M30618" s="9" t="s">
        <v>21</v>
      </c>
    </row>
    <row r="30619" ht="15.75" customHeight="1">
      <c r="A30619" s="7"/>
      <c r="B30619" s="7"/>
      <c r="M30619" s="9" t="s">
        <v>22</v>
      </c>
    </row>
    <row r="30620" ht="15.75" customHeight="1">
      <c r="A30620" s="7"/>
      <c r="B30620" s="7"/>
      <c r="M30620" s="9" t="s">
        <v>26</v>
      </c>
    </row>
    <row r="30621" ht="15.75" customHeight="1">
      <c r="A30621" s="7"/>
      <c r="B30621" s="7"/>
      <c r="M30621" s="9" t="s">
        <v>24</v>
      </c>
    </row>
    <row r="30622" ht="15.75" customHeight="1">
      <c r="A30622" s="7"/>
      <c r="B30622" s="7"/>
      <c r="M30622" s="9" t="s">
        <v>21</v>
      </c>
    </row>
    <row r="30623" ht="15.75" customHeight="1">
      <c r="A30623" s="7"/>
      <c r="B30623" s="7"/>
      <c r="M30623" s="9" t="s">
        <v>31</v>
      </c>
    </row>
    <row r="30624" ht="15.75" customHeight="1">
      <c r="A30624" s="7"/>
      <c r="B30624" s="7"/>
      <c r="M30624" s="9" t="s">
        <v>26</v>
      </c>
    </row>
    <row r="30625" ht="15.75" customHeight="1">
      <c r="A30625" s="7"/>
      <c r="B30625" s="7"/>
      <c r="M30625" s="9" t="s">
        <v>24</v>
      </c>
    </row>
    <row r="30626" ht="15.75" customHeight="1">
      <c r="A30626" s="7"/>
      <c r="B30626" s="7"/>
      <c r="M30626" s="9" t="s">
        <v>20</v>
      </c>
    </row>
    <row r="30627" ht="15.75" customHeight="1">
      <c r="A30627" s="7"/>
      <c r="B30627" s="7"/>
      <c r="M30627" s="9" t="s">
        <v>21</v>
      </c>
    </row>
    <row r="30628" ht="15.75" customHeight="1">
      <c r="A30628" s="7"/>
      <c r="B30628" s="7"/>
      <c r="M30628" s="9" t="s">
        <v>39</v>
      </c>
    </row>
    <row r="30629" ht="15.75" customHeight="1">
      <c r="A30629" s="7"/>
      <c r="B30629" s="7"/>
      <c r="M30629" s="9" t="s">
        <v>37</v>
      </c>
    </row>
    <row r="30630" ht="15.75" customHeight="1">
      <c r="A30630" s="7"/>
      <c r="B30630" s="7"/>
      <c r="M30630" s="9" t="s">
        <v>27</v>
      </c>
    </row>
    <row r="30631" ht="15.75" customHeight="1">
      <c r="A30631" s="7"/>
      <c r="B30631" s="7"/>
      <c r="M30631" s="9" t="s">
        <v>40</v>
      </c>
    </row>
    <row r="30632" ht="15.75" customHeight="1">
      <c r="A30632" s="7"/>
      <c r="B30632" s="7"/>
      <c r="M30632" s="9" t="s">
        <v>28</v>
      </c>
    </row>
    <row r="30633" ht="15.75" customHeight="1">
      <c r="A30633" s="7"/>
      <c r="B30633" s="7"/>
      <c r="M30633" s="9" t="s">
        <v>35</v>
      </c>
    </row>
    <row r="30634" ht="15.75" customHeight="1">
      <c r="A30634" s="7"/>
      <c r="B30634" s="7"/>
      <c r="M30634" s="9" t="s">
        <v>26</v>
      </c>
    </row>
    <row r="30635" ht="15.75" customHeight="1">
      <c r="A30635" s="7"/>
      <c r="B30635" s="7"/>
      <c r="M30635" s="9" t="s">
        <v>36</v>
      </c>
    </row>
    <row r="30636" ht="15.75" customHeight="1">
      <c r="A30636" s="7"/>
      <c r="B30636" s="7"/>
      <c r="M30636" s="9" t="s">
        <v>20</v>
      </c>
    </row>
    <row r="30637" ht="15.75" customHeight="1">
      <c r="A30637" s="7"/>
      <c r="B30637" s="7"/>
      <c r="M30637" s="9" t="s">
        <v>21</v>
      </c>
    </row>
    <row r="30638" ht="15.75" customHeight="1">
      <c r="A30638" s="7"/>
      <c r="B30638" s="7"/>
      <c r="M30638" s="9" t="s">
        <v>37</v>
      </c>
    </row>
    <row r="30639" ht="15.75" customHeight="1">
      <c r="A30639" s="7"/>
      <c r="B30639" s="7"/>
      <c r="M30639" s="9" t="s">
        <v>27</v>
      </c>
    </row>
    <row r="30640" ht="15.75" customHeight="1">
      <c r="A30640" s="7"/>
      <c r="B30640" s="7"/>
      <c r="M30640" s="9" t="s">
        <v>35</v>
      </c>
    </row>
    <row r="30641" ht="15.75" customHeight="1">
      <c r="A30641" s="7"/>
      <c r="B30641" s="7"/>
      <c r="M30641" s="9" t="s">
        <v>30</v>
      </c>
    </row>
    <row r="30642" ht="15.75" customHeight="1">
      <c r="A30642" s="7"/>
      <c r="B30642" s="7"/>
      <c r="M30642" s="9" t="s">
        <v>24</v>
      </c>
    </row>
    <row r="30643" ht="15.75" customHeight="1">
      <c r="A30643" s="7"/>
      <c r="B30643" s="7"/>
      <c r="M30643" s="9" t="s">
        <v>21</v>
      </c>
    </row>
    <row r="30644" ht="15.75" customHeight="1">
      <c r="A30644" s="7"/>
      <c r="B30644" s="7"/>
      <c r="M30644" s="9" t="s">
        <v>28</v>
      </c>
    </row>
    <row r="30645" ht="15.75" customHeight="1">
      <c r="A30645" s="7"/>
      <c r="B30645" s="7"/>
      <c r="M30645" s="9" t="s">
        <v>25</v>
      </c>
    </row>
    <row r="30646" ht="15.75" customHeight="1">
      <c r="A30646" s="7"/>
      <c r="B30646" s="7"/>
      <c r="M30646" s="9" t="s">
        <v>23</v>
      </c>
    </row>
    <row r="30647" ht="15.75" customHeight="1">
      <c r="A30647" s="7"/>
      <c r="B30647" s="7"/>
      <c r="M30647" s="9" t="s">
        <v>26</v>
      </c>
    </row>
    <row r="30648" ht="15.75" customHeight="1">
      <c r="A30648" s="7"/>
      <c r="B30648" s="7"/>
      <c r="M30648" s="9" t="s">
        <v>24</v>
      </c>
    </row>
    <row r="30649" ht="15.75" customHeight="1">
      <c r="A30649" s="7"/>
      <c r="B30649" s="7"/>
      <c r="M30649" s="9" t="s">
        <v>20</v>
      </c>
    </row>
    <row r="30650" ht="15.75" customHeight="1">
      <c r="A30650" s="7"/>
      <c r="B30650" s="7"/>
      <c r="M30650" s="9" t="s">
        <v>21</v>
      </c>
    </row>
    <row r="30651" ht="15.75" customHeight="1">
      <c r="A30651" s="7"/>
      <c r="B30651" s="7"/>
      <c r="M30651" s="9" t="s">
        <v>22</v>
      </c>
    </row>
    <row r="30652" ht="15.75" customHeight="1">
      <c r="A30652" s="7"/>
      <c r="B30652" s="7"/>
      <c r="M30652" s="9" t="s">
        <v>27</v>
      </c>
    </row>
    <row r="30653" ht="15.75" customHeight="1">
      <c r="A30653" s="7"/>
      <c r="B30653" s="7"/>
      <c r="M30653" s="9" t="s">
        <v>22</v>
      </c>
    </row>
    <row r="30654" ht="15.75" customHeight="1">
      <c r="A30654" s="7"/>
      <c r="B30654" s="7"/>
      <c r="M30654" s="9" t="s">
        <v>35</v>
      </c>
    </row>
    <row r="30655" ht="15.75" customHeight="1">
      <c r="A30655" s="7"/>
      <c r="B30655" s="7"/>
      <c r="M30655" s="9" t="s">
        <v>30</v>
      </c>
    </row>
    <row r="30656" ht="15.75" customHeight="1">
      <c r="A30656" s="7"/>
      <c r="B30656" s="7"/>
      <c r="M30656" s="9" t="s">
        <v>25</v>
      </c>
    </row>
    <row r="30657" ht="15.75" customHeight="1">
      <c r="A30657" s="7"/>
      <c r="B30657" s="7"/>
      <c r="M30657" s="9" t="s">
        <v>23</v>
      </c>
    </row>
    <row r="30658" ht="15.75" customHeight="1">
      <c r="A30658" s="7"/>
      <c r="B30658" s="7"/>
      <c r="M30658" s="9" t="s">
        <v>24</v>
      </c>
    </row>
    <row r="30659" ht="15.75" customHeight="1">
      <c r="A30659" s="7"/>
      <c r="B30659" s="7"/>
      <c r="M30659" s="9" t="s">
        <v>20</v>
      </c>
    </row>
    <row r="30660" ht="15.75" customHeight="1">
      <c r="A30660" s="7"/>
      <c r="B30660" s="7"/>
      <c r="M30660" s="9" t="s">
        <v>21</v>
      </c>
    </row>
    <row r="30661" ht="15.75" customHeight="1">
      <c r="A30661" s="7"/>
      <c r="B30661" s="7"/>
      <c r="M30661" s="9" t="s">
        <v>37</v>
      </c>
    </row>
    <row r="30662" ht="15.75" customHeight="1">
      <c r="A30662" s="7"/>
      <c r="B30662" s="7"/>
      <c r="M30662" s="9" t="s">
        <v>22</v>
      </c>
    </row>
    <row r="30663" ht="15.75" customHeight="1">
      <c r="A30663" s="7"/>
      <c r="B30663" s="7"/>
      <c r="M30663" s="9" t="s">
        <v>32</v>
      </c>
    </row>
    <row r="30664" ht="15.75" customHeight="1">
      <c r="A30664" s="7"/>
      <c r="B30664" s="7"/>
      <c r="M30664" s="9" t="s">
        <v>27</v>
      </c>
    </row>
    <row r="30665" ht="15.75" customHeight="1">
      <c r="A30665" s="7"/>
      <c r="B30665" s="7"/>
      <c r="M30665" s="9" t="s">
        <v>33</v>
      </c>
    </row>
    <row r="30666" ht="15.75" customHeight="1">
      <c r="A30666" s="7"/>
      <c r="B30666" s="7"/>
      <c r="M30666" s="9" t="s">
        <v>26</v>
      </c>
    </row>
    <row r="30667" ht="15.75" customHeight="1">
      <c r="A30667" s="7"/>
      <c r="B30667" s="7"/>
      <c r="M30667" s="9" t="s">
        <v>24</v>
      </c>
    </row>
    <row r="30668" ht="15.75" customHeight="1">
      <c r="A30668" s="7"/>
      <c r="B30668" s="7"/>
      <c r="M30668" s="9" t="s">
        <v>21</v>
      </c>
    </row>
    <row r="30669" ht="15.75" customHeight="1">
      <c r="A30669" s="7"/>
      <c r="B30669" s="7"/>
      <c r="M30669" s="9" t="s">
        <v>27</v>
      </c>
    </row>
    <row r="30670" ht="15.75" customHeight="1">
      <c r="A30670" s="7"/>
      <c r="B30670" s="7"/>
      <c r="M30670" s="9" t="s">
        <v>30</v>
      </c>
    </row>
    <row r="30671" ht="15.75" customHeight="1">
      <c r="A30671" s="7"/>
      <c r="B30671" s="7"/>
      <c r="M30671" s="9" t="s">
        <v>22</v>
      </c>
    </row>
    <row r="30672" ht="15.75" customHeight="1">
      <c r="A30672" s="7"/>
      <c r="B30672" s="7"/>
      <c r="M30672" s="9" t="s">
        <v>27</v>
      </c>
    </row>
    <row r="30673" ht="15.75" customHeight="1">
      <c r="A30673" s="7"/>
      <c r="B30673" s="7"/>
      <c r="M30673" s="9" t="s">
        <v>30</v>
      </c>
    </row>
    <row r="30674" ht="15.75" customHeight="1">
      <c r="A30674" s="7"/>
      <c r="B30674" s="7"/>
      <c r="M30674" s="9" t="s">
        <v>24</v>
      </c>
    </row>
    <row r="30675" ht="15.75" customHeight="1">
      <c r="A30675" s="7"/>
      <c r="B30675" s="7"/>
      <c r="M30675" s="9" t="s">
        <v>21</v>
      </c>
    </row>
    <row r="30676" ht="15.75" customHeight="1">
      <c r="A30676" s="7"/>
      <c r="B30676" s="7"/>
      <c r="M30676" s="9" t="s">
        <v>22</v>
      </c>
    </row>
    <row r="30677" ht="15.75" customHeight="1">
      <c r="A30677" s="7"/>
      <c r="B30677" s="7"/>
      <c r="M30677" s="9" t="s">
        <v>31</v>
      </c>
    </row>
    <row r="30678" ht="15.75" customHeight="1">
      <c r="A30678" s="7"/>
      <c r="B30678" s="7"/>
      <c r="M30678" s="9" t="s">
        <v>27</v>
      </c>
    </row>
    <row r="30679" ht="15.75" customHeight="1">
      <c r="A30679" s="7"/>
      <c r="B30679" s="7"/>
      <c r="M30679" s="9" t="s">
        <v>30</v>
      </c>
    </row>
    <row r="30680" ht="15.75" customHeight="1">
      <c r="A30680" s="7"/>
      <c r="B30680" s="7"/>
      <c r="M30680" s="9" t="s">
        <v>23</v>
      </c>
    </row>
    <row r="30681" ht="15.75" customHeight="1">
      <c r="A30681" s="7"/>
      <c r="B30681" s="7"/>
      <c r="M30681" s="9" t="s">
        <v>26</v>
      </c>
    </row>
    <row r="30682" ht="15.75" customHeight="1">
      <c r="A30682" s="7"/>
      <c r="B30682" s="7"/>
      <c r="M30682" s="9" t="s">
        <v>21</v>
      </c>
    </row>
    <row r="30683" ht="15.75" customHeight="1">
      <c r="A30683" s="7"/>
      <c r="B30683" s="7"/>
      <c r="M30683" s="9" t="s">
        <v>22</v>
      </c>
    </row>
    <row r="30684" ht="15.75" customHeight="1">
      <c r="A30684" s="7"/>
      <c r="B30684" s="7"/>
      <c r="M30684" s="9" t="s">
        <v>26</v>
      </c>
    </row>
    <row r="30685" ht="15.75" customHeight="1">
      <c r="A30685" s="7"/>
      <c r="B30685" s="7"/>
      <c r="M30685" s="9" t="s">
        <v>24</v>
      </c>
    </row>
    <row r="30686" ht="15.75" customHeight="1">
      <c r="A30686" s="7"/>
      <c r="B30686" s="7"/>
      <c r="M30686" s="9" t="s">
        <v>20</v>
      </c>
    </row>
    <row r="30687" ht="15.75" customHeight="1">
      <c r="A30687" s="7"/>
      <c r="B30687" s="7"/>
      <c r="M30687" s="9" t="s">
        <v>21</v>
      </c>
    </row>
    <row r="30688" ht="15.75" customHeight="1">
      <c r="A30688" s="7"/>
      <c r="B30688" s="7"/>
      <c r="M30688" s="9" t="s">
        <v>39</v>
      </c>
    </row>
    <row r="30689" ht="15.75" customHeight="1">
      <c r="A30689" s="7"/>
      <c r="B30689" s="7"/>
      <c r="M30689" s="9" t="s">
        <v>38</v>
      </c>
    </row>
    <row r="30690" ht="15.75" customHeight="1">
      <c r="A30690" s="7"/>
      <c r="B30690" s="7"/>
      <c r="M30690" s="9" t="s">
        <v>30</v>
      </c>
    </row>
    <row r="30691" ht="15.75" customHeight="1">
      <c r="A30691" s="7"/>
      <c r="B30691" s="7"/>
      <c r="M30691" s="9" t="s">
        <v>23</v>
      </c>
    </row>
    <row r="30692" ht="15.75" customHeight="1">
      <c r="A30692" s="7"/>
      <c r="B30692" s="7"/>
      <c r="M30692" s="9" t="s">
        <v>20</v>
      </c>
    </row>
    <row r="30693" ht="15.75" customHeight="1">
      <c r="A30693" s="7"/>
      <c r="B30693" s="7"/>
      <c r="M30693" s="9" t="s">
        <v>22</v>
      </c>
    </row>
    <row r="30694" ht="15.75" customHeight="1">
      <c r="A30694" s="7"/>
      <c r="B30694" s="7"/>
      <c r="M30694" s="9" t="s">
        <v>27</v>
      </c>
    </row>
    <row r="30695" ht="15.75" customHeight="1">
      <c r="A30695" s="7"/>
      <c r="B30695" s="7"/>
      <c r="M30695" s="9" t="s">
        <v>39</v>
      </c>
    </row>
    <row r="30696" ht="15.75" customHeight="1">
      <c r="A30696" s="7"/>
      <c r="B30696" s="7"/>
      <c r="M30696" s="9" t="s">
        <v>41</v>
      </c>
    </row>
    <row r="30697" ht="15.75" customHeight="1">
      <c r="A30697" s="7"/>
      <c r="B30697" s="7"/>
      <c r="M30697" s="9" t="s">
        <v>26</v>
      </c>
    </row>
    <row r="30698" ht="15.75" customHeight="1">
      <c r="A30698" s="7"/>
      <c r="B30698" s="7"/>
      <c r="M30698" s="9" t="s">
        <v>44</v>
      </c>
    </row>
    <row r="30699" ht="15.75" customHeight="1">
      <c r="A30699" s="7"/>
      <c r="B30699" s="7"/>
      <c r="M30699" s="9" t="s">
        <v>36</v>
      </c>
    </row>
    <row r="30700" ht="15.75" customHeight="1">
      <c r="A30700" s="7"/>
      <c r="B30700" s="7"/>
      <c r="M30700" s="9" t="s">
        <v>24</v>
      </c>
    </row>
    <row r="30701" ht="15.75" customHeight="1">
      <c r="A30701" s="7"/>
      <c r="B30701" s="7"/>
      <c r="M30701" s="9" t="s">
        <v>21</v>
      </c>
    </row>
    <row r="30702" ht="15.75" customHeight="1">
      <c r="A30702" s="7"/>
      <c r="B30702" s="7"/>
      <c r="M30702" s="9" t="s">
        <v>27</v>
      </c>
    </row>
    <row r="30703" ht="15.75" customHeight="1">
      <c r="A30703" s="7"/>
      <c r="B30703" s="7"/>
      <c r="M30703" s="9" t="s">
        <v>30</v>
      </c>
    </row>
    <row r="30704" ht="15.75" customHeight="1">
      <c r="A30704" s="7"/>
      <c r="B30704" s="7"/>
      <c r="M30704" s="9" t="s">
        <v>23</v>
      </c>
    </row>
    <row r="30705" ht="15.75" customHeight="1">
      <c r="A30705" s="7"/>
      <c r="B30705" s="7"/>
      <c r="M30705" s="9" t="s">
        <v>20</v>
      </c>
    </row>
    <row r="30706" ht="15.75" customHeight="1">
      <c r="A30706" s="7"/>
      <c r="B30706" s="7"/>
      <c r="M30706" s="9" t="s">
        <v>22</v>
      </c>
    </row>
    <row r="30707" ht="15.75" customHeight="1">
      <c r="A30707" s="7"/>
      <c r="B30707" s="7"/>
      <c r="M30707" s="9" t="s">
        <v>21</v>
      </c>
    </row>
    <row r="30708" ht="15.75" customHeight="1">
      <c r="A30708" s="7"/>
      <c r="B30708" s="7"/>
      <c r="M30708" s="9" t="s">
        <v>37</v>
      </c>
    </row>
    <row r="30709" ht="15.75" customHeight="1">
      <c r="A30709" s="7"/>
      <c r="B30709" s="7"/>
      <c r="M30709" s="9" t="s">
        <v>27</v>
      </c>
    </row>
    <row r="30710" ht="15.75" customHeight="1">
      <c r="A30710" s="7"/>
      <c r="B30710" s="7"/>
      <c r="M30710" s="9" t="s">
        <v>30</v>
      </c>
    </row>
    <row r="30711" ht="15.75" customHeight="1">
      <c r="A30711" s="7"/>
      <c r="B30711" s="7"/>
      <c r="M30711" s="9" t="s">
        <v>24</v>
      </c>
    </row>
    <row r="30712" ht="15.75" customHeight="1">
      <c r="A30712" s="7"/>
      <c r="B30712" s="7"/>
      <c r="M30712" s="9" t="s">
        <v>21</v>
      </c>
    </row>
    <row r="30713" ht="15.75" customHeight="1">
      <c r="A30713" s="7"/>
      <c r="B30713" s="7"/>
      <c r="M30713" s="9" t="s">
        <v>37</v>
      </c>
    </row>
    <row r="30714" ht="15.75" customHeight="1">
      <c r="A30714" s="7"/>
      <c r="B30714" s="7"/>
      <c r="M30714" s="9" t="s">
        <v>27</v>
      </c>
    </row>
    <row r="30715" ht="15.75" customHeight="1">
      <c r="A30715" s="7"/>
      <c r="B30715" s="7"/>
      <c r="M30715" s="9" t="s">
        <v>22</v>
      </c>
    </row>
    <row r="30716" ht="15.75" customHeight="1">
      <c r="A30716" s="7"/>
      <c r="B30716" s="7"/>
      <c r="M30716" s="9" t="s">
        <v>31</v>
      </c>
    </row>
    <row r="30717" ht="15.75" customHeight="1">
      <c r="A30717" s="7"/>
      <c r="B30717" s="7"/>
      <c r="M30717" s="9" t="s">
        <v>27</v>
      </c>
    </row>
    <row r="30718" ht="15.75" customHeight="1">
      <c r="A30718" s="7"/>
      <c r="B30718" s="7"/>
      <c r="M30718" s="9" t="s">
        <v>30</v>
      </c>
    </row>
    <row r="30719" ht="15.75" customHeight="1">
      <c r="A30719" s="7"/>
      <c r="B30719" s="7"/>
      <c r="M30719" s="9" t="s">
        <v>24</v>
      </c>
    </row>
    <row r="30720" ht="15.75" customHeight="1">
      <c r="A30720" s="7"/>
      <c r="B30720" s="7"/>
      <c r="M30720" s="9" t="s">
        <v>20</v>
      </c>
    </row>
    <row r="30721" ht="15.75" customHeight="1">
      <c r="A30721" s="7"/>
      <c r="B30721" s="7"/>
      <c r="M30721" s="9" t="s">
        <v>21</v>
      </c>
    </row>
    <row r="30722" ht="15.75" customHeight="1">
      <c r="A30722" s="7"/>
      <c r="B30722" s="7"/>
      <c r="M30722" s="9" t="s">
        <v>27</v>
      </c>
    </row>
    <row r="30723" ht="15.75" customHeight="1">
      <c r="A30723" s="7"/>
      <c r="B30723" s="7"/>
      <c r="M30723" s="9" t="s">
        <v>30</v>
      </c>
    </row>
    <row r="30724" ht="15.75" customHeight="1">
      <c r="A30724" s="7"/>
      <c r="B30724" s="7"/>
      <c r="M30724" s="9" t="s">
        <v>26</v>
      </c>
    </row>
    <row r="30725" ht="15.75" customHeight="1">
      <c r="A30725" s="7"/>
      <c r="B30725" s="7"/>
      <c r="M30725" s="9" t="s">
        <v>45</v>
      </c>
    </row>
    <row r="30726" ht="15.75" customHeight="1">
      <c r="A30726" s="7"/>
      <c r="B30726" s="7"/>
      <c r="M30726" s="9" t="s">
        <v>24</v>
      </c>
    </row>
    <row r="30727" ht="15.75" customHeight="1">
      <c r="A30727" s="7"/>
      <c r="B30727" s="7"/>
      <c r="M30727" s="9" t="s">
        <v>21</v>
      </c>
    </row>
    <row r="30728" ht="15.75" customHeight="1">
      <c r="A30728" s="7"/>
      <c r="B30728" s="7"/>
      <c r="M30728" s="9" t="s">
        <v>22</v>
      </c>
    </row>
    <row r="30729" ht="15.75" customHeight="1">
      <c r="A30729" s="7"/>
      <c r="B30729" s="7"/>
      <c r="M30729" s="9" t="s">
        <v>29</v>
      </c>
    </row>
    <row r="30730" ht="15.75" customHeight="1">
      <c r="A30730" s="7"/>
      <c r="B30730" s="7"/>
      <c r="M30730" s="9" t="s">
        <v>27</v>
      </c>
    </row>
    <row r="30731" ht="15.75" customHeight="1">
      <c r="A30731" s="7"/>
      <c r="B30731" s="7"/>
      <c r="M30731" s="9" t="s">
        <v>33</v>
      </c>
    </row>
    <row r="30732" ht="15.75" customHeight="1">
      <c r="A30732" s="7"/>
      <c r="B30732" s="7"/>
      <c r="M30732" s="9" t="s">
        <v>30</v>
      </c>
    </row>
    <row r="30733" ht="15.75" customHeight="1">
      <c r="A30733" s="7"/>
      <c r="B30733" s="7"/>
      <c r="M30733" s="9" t="s">
        <v>22</v>
      </c>
    </row>
    <row r="30734" ht="15.75" customHeight="1">
      <c r="A30734" s="7"/>
      <c r="B30734" s="7"/>
      <c r="M30734" s="9" t="s">
        <v>29</v>
      </c>
    </row>
    <row r="30735" ht="15.75" customHeight="1">
      <c r="A30735" s="7"/>
      <c r="B30735" s="7"/>
      <c r="M30735" s="9" t="s">
        <v>27</v>
      </c>
    </row>
    <row r="30736" ht="15.75" customHeight="1">
      <c r="A30736" s="7"/>
      <c r="B30736" s="7"/>
      <c r="M30736" s="9" t="s">
        <v>28</v>
      </c>
    </row>
    <row r="30737" ht="15.75" customHeight="1">
      <c r="A30737" s="7"/>
      <c r="B30737" s="7"/>
      <c r="M30737" s="9" t="s">
        <v>30</v>
      </c>
    </row>
    <row r="30738" ht="15.75" customHeight="1">
      <c r="A30738" s="7"/>
      <c r="B30738" s="7"/>
      <c r="M30738" s="9" t="s">
        <v>24</v>
      </c>
    </row>
    <row r="30739" ht="15.75" customHeight="1">
      <c r="A30739" s="7"/>
      <c r="B30739" s="7"/>
      <c r="M30739" s="9" t="s">
        <v>20</v>
      </c>
    </row>
    <row r="30740" ht="15.75" customHeight="1">
      <c r="A30740" s="7"/>
      <c r="B30740" s="7"/>
      <c r="M30740" s="9" t="s">
        <v>21</v>
      </c>
    </row>
    <row r="30741" ht="15.75" customHeight="1">
      <c r="A30741" s="7"/>
      <c r="B30741" s="7"/>
      <c r="M30741" s="9" t="s">
        <v>37</v>
      </c>
    </row>
    <row r="30742" ht="15.75" customHeight="1">
      <c r="A30742" s="7"/>
      <c r="B30742" s="7"/>
      <c r="M30742" s="9" t="s">
        <v>22</v>
      </c>
    </row>
    <row r="30743" ht="15.75" customHeight="1">
      <c r="A30743" s="7"/>
      <c r="B30743" s="7"/>
      <c r="M30743" s="9" t="s">
        <v>27</v>
      </c>
    </row>
    <row r="30744" ht="15.75" customHeight="1">
      <c r="A30744" s="7"/>
      <c r="B30744" s="7"/>
      <c r="M30744" s="9" t="s">
        <v>33</v>
      </c>
    </row>
    <row r="30745" ht="15.75" customHeight="1">
      <c r="A30745" s="7"/>
      <c r="B30745" s="7"/>
      <c r="M30745" s="9" t="s">
        <v>23</v>
      </c>
    </row>
    <row r="30746" ht="15.75" customHeight="1">
      <c r="A30746" s="7"/>
      <c r="B30746" s="7"/>
      <c r="M30746" s="9" t="s">
        <v>24</v>
      </c>
    </row>
    <row r="30747" ht="15.75" customHeight="1">
      <c r="A30747" s="7"/>
      <c r="B30747" s="7"/>
      <c r="M30747" s="9" t="s">
        <v>21</v>
      </c>
    </row>
    <row r="30748" ht="15.75" customHeight="1">
      <c r="A30748" s="7"/>
      <c r="B30748" s="7"/>
      <c r="M30748" s="9" t="s">
        <v>37</v>
      </c>
    </row>
    <row r="30749" ht="15.75" customHeight="1">
      <c r="A30749" s="7"/>
      <c r="B30749" s="7"/>
      <c r="M30749" s="9" t="s">
        <v>31</v>
      </c>
    </row>
    <row r="30750" ht="15.75" customHeight="1">
      <c r="A30750" s="7"/>
      <c r="B30750" s="7"/>
      <c r="M30750" s="9" t="s">
        <v>27</v>
      </c>
    </row>
    <row r="30751" ht="15.75" customHeight="1">
      <c r="A30751" s="7"/>
      <c r="B30751" s="7"/>
      <c r="M30751" s="9" t="s">
        <v>30</v>
      </c>
    </row>
    <row r="30752" ht="15.75" customHeight="1">
      <c r="A30752" s="7"/>
      <c r="B30752" s="7"/>
      <c r="M30752" s="9" t="s">
        <v>25</v>
      </c>
    </row>
    <row r="30753" ht="15.75" customHeight="1">
      <c r="A30753" s="7"/>
      <c r="B30753" s="7"/>
      <c r="M30753" s="9" t="s">
        <v>23</v>
      </c>
    </row>
    <row r="30754" ht="15.75" customHeight="1">
      <c r="A30754" s="7"/>
      <c r="B30754" s="7"/>
      <c r="M30754" s="9" t="s">
        <v>24</v>
      </c>
    </row>
    <row r="30755" ht="15.75" customHeight="1">
      <c r="A30755" s="7"/>
      <c r="B30755" s="7"/>
      <c r="M30755" s="9" t="s">
        <v>21</v>
      </c>
    </row>
    <row r="30756" ht="15.75" customHeight="1">
      <c r="A30756" s="7"/>
      <c r="B30756" s="7"/>
      <c r="M30756" s="9" t="s">
        <v>22</v>
      </c>
    </row>
    <row r="30757" ht="15.75" customHeight="1">
      <c r="A30757" s="7"/>
      <c r="B30757" s="7"/>
      <c r="M30757" s="9" t="s">
        <v>31</v>
      </c>
    </row>
    <row r="30758" ht="15.75" customHeight="1">
      <c r="A30758" s="7"/>
      <c r="B30758" s="7"/>
      <c r="M30758" s="9" t="s">
        <v>36</v>
      </c>
    </row>
    <row r="30759" ht="15.75" customHeight="1">
      <c r="A30759" s="7"/>
      <c r="B30759" s="7"/>
      <c r="M30759" s="9" t="s">
        <v>20</v>
      </c>
    </row>
    <row r="30760" ht="15.75" customHeight="1">
      <c r="A30760" s="7"/>
      <c r="B30760" s="7"/>
      <c r="M30760" s="9" t="s">
        <v>22</v>
      </c>
    </row>
    <row r="30761" ht="15.75" customHeight="1">
      <c r="A30761" s="7"/>
      <c r="B30761" s="7"/>
      <c r="M30761" s="9" t="s">
        <v>33</v>
      </c>
    </row>
    <row r="30762" ht="15.75" customHeight="1">
      <c r="A30762" s="7"/>
      <c r="B30762" s="7"/>
      <c r="M30762" s="9" t="s">
        <v>30</v>
      </c>
    </row>
    <row r="30763" ht="15.75" customHeight="1">
      <c r="A30763" s="7"/>
      <c r="B30763" s="7"/>
      <c r="M30763" s="9" t="s">
        <v>24</v>
      </c>
    </row>
    <row r="30764" ht="15.75" customHeight="1">
      <c r="A30764" s="7"/>
      <c r="B30764" s="7"/>
      <c r="M30764" s="9" t="s">
        <v>21</v>
      </c>
    </row>
    <row r="30765" ht="15.75" customHeight="1">
      <c r="A30765" s="7"/>
      <c r="B30765" s="7"/>
      <c r="M30765" s="9" t="s">
        <v>37</v>
      </c>
    </row>
    <row r="30766" ht="15.75" customHeight="1">
      <c r="A30766" s="7"/>
      <c r="B30766" s="7"/>
      <c r="M30766" s="9" t="s">
        <v>27</v>
      </c>
    </row>
    <row r="30767" ht="15.75" customHeight="1">
      <c r="A30767" s="7"/>
      <c r="B30767" s="7"/>
      <c r="M30767" s="9" t="s">
        <v>30</v>
      </c>
    </row>
    <row r="30768" ht="15.75" customHeight="1">
      <c r="A30768" s="7"/>
      <c r="B30768" s="7"/>
      <c r="M30768" s="9" t="s">
        <v>36</v>
      </c>
    </row>
    <row r="30769" ht="15.75" customHeight="1">
      <c r="A30769" s="7"/>
      <c r="B30769" s="7"/>
      <c r="M30769" s="9" t="s">
        <v>24</v>
      </c>
    </row>
    <row r="30770" ht="15.75" customHeight="1">
      <c r="A30770" s="7"/>
      <c r="B30770" s="7"/>
      <c r="M30770" s="9" t="s">
        <v>20</v>
      </c>
    </row>
    <row r="30771" ht="15.75" customHeight="1">
      <c r="A30771" s="7"/>
      <c r="B30771" s="7"/>
      <c r="M30771" s="9" t="s">
        <v>21</v>
      </c>
    </row>
    <row r="30772" ht="15.75" customHeight="1">
      <c r="A30772" s="7"/>
      <c r="B30772" s="7"/>
      <c r="M30772" s="9" t="s">
        <v>41</v>
      </c>
    </row>
    <row r="30773" ht="15.75" customHeight="1">
      <c r="A30773" s="7"/>
      <c r="B30773" s="7"/>
      <c r="M30773" s="9" t="s">
        <v>37</v>
      </c>
    </row>
    <row r="30774" ht="15.75" customHeight="1">
      <c r="A30774" s="7"/>
      <c r="B30774" s="7"/>
      <c r="M30774" s="9" t="s">
        <v>31</v>
      </c>
    </row>
    <row r="30775" ht="15.75" customHeight="1">
      <c r="A30775" s="7"/>
      <c r="B30775" s="7"/>
      <c r="M30775" s="9" t="s">
        <v>27</v>
      </c>
    </row>
    <row r="30776" ht="15.75" customHeight="1">
      <c r="A30776" s="7"/>
      <c r="B30776" s="7"/>
      <c r="M30776" s="9" t="s">
        <v>24</v>
      </c>
    </row>
    <row r="30777" ht="15.75" customHeight="1">
      <c r="A30777" s="7"/>
      <c r="B30777" s="7"/>
      <c r="M30777" s="9" t="s">
        <v>21</v>
      </c>
    </row>
    <row r="30778" ht="15.75" customHeight="1">
      <c r="A30778" s="7"/>
      <c r="B30778" s="7"/>
      <c r="M30778" s="9" t="s">
        <v>27</v>
      </c>
    </row>
    <row r="30779" ht="15.75" customHeight="1">
      <c r="A30779" s="7"/>
      <c r="B30779" s="7"/>
      <c r="M30779" s="9" t="s">
        <v>35</v>
      </c>
    </row>
    <row r="30780" ht="15.75" customHeight="1">
      <c r="A30780" s="7"/>
      <c r="B30780" s="7"/>
      <c r="M30780" s="9" t="s">
        <v>23</v>
      </c>
    </row>
    <row r="30781" ht="15.75" customHeight="1">
      <c r="A30781" s="7"/>
      <c r="B30781" s="7"/>
      <c r="M30781" s="9" t="s">
        <v>20</v>
      </c>
    </row>
    <row r="30782" ht="15.75" customHeight="1">
      <c r="A30782" s="7"/>
      <c r="B30782" s="7"/>
      <c r="M30782" s="9" t="s">
        <v>21</v>
      </c>
    </row>
    <row r="30783" ht="15.75" customHeight="1">
      <c r="A30783" s="7"/>
      <c r="B30783" s="7"/>
      <c r="M30783" s="9" t="s">
        <v>39</v>
      </c>
    </row>
    <row r="30784" ht="15.75" customHeight="1">
      <c r="A30784" s="7"/>
      <c r="B30784" s="7"/>
      <c r="M30784" s="9" t="s">
        <v>41</v>
      </c>
    </row>
    <row r="30785" ht="15.75" customHeight="1">
      <c r="A30785" s="7"/>
      <c r="B30785" s="7"/>
      <c r="M30785" s="9" t="s">
        <v>22</v>
      </c>
    </row>
    <row r="30786" ht="15.75" customHeight="1">
      <c r="A30786" s="7"/>
      <c r="B30786" s="7"/>
      <c r="M30786" s="9" t="s">
        <v>46</v>
      </c>
    </row>
    <row r="30787" ht="15.75" customHeight="1">
      <c r="A30787" s="7"/>
      <c r="B30787" s="7"/>
      <c r="M30787" s="9" t="s">
        <v>33</v>
      </c>
    </row>
    <row r="30788" ht="15.75" customHeight="1">
      <c r="A30788" s="7"/>
      <c r="B30788" s="7"/>
      <c r="M30788" s="9" t="s">
        <v>30</v>
      </c>
    </row>
    <row r="30789" ht="15.75" customHeight="1">
      <c r="A30789" s="7"/>
      <c r="B30789" s="7"/>
      <c r="M30789" s="9" t="s">
        <v>24</v>
      </c>
    </row>
    <row r="30790" ht="15.75" customHeight="1">
      <c r="A30790" s="7"/>
      <c r="B30790" s="7"/>
      <c r="M30790" s="9" t="s">
        <v>20</v>
      </c>
    </row>
    <row r="30791" ht="15.75" customHeight="1">
      <c r="A30791" s="7"/>
      <c r="B30791" s="7"/>
      <c r="M30791" s="9" t="s">
        <v>21</v>
      </c>
    </row>
    <row r="30792" ht="15.75" customHeight="1">
      <c r="A30792" s="7"/>
      <c r="B30792" s="7"/>
      <c r="M30792" s="9" t="s">
        <v>33</v>
      </c>
    </row>
    <row r="30793" ht="15.75" customHeight="1">
      <c r="A30793" s="7"/>
      <c r="B30793" s="7"/>
      <c r="M30793" s="9" t="s">
        <v>30</v>
      </c>
    </row>
    <row r="30794" ht="15.75" customHeight="1">
      <c r="A30794" s="7"/>
      <c r="B30794" s="7"/>
      <c r="M30794" s="9" t="s">
        <v>24</v>
      </c>
    </row>
    <row r="30795" ht="15.75" customHeight="1">
      <c r="A30795" s="7"/>
      <c r="B30795" s="7"/>
      <c r="M30795" s="9" t="s">
        <v>20</v>
      </c>
    </row>
    <row r="30796" ht="15.75" customHeight="1">
      <c r="A30796" s="7"/>
      <c r="B30796" s="7"/>
      <c r="M30796" s="9" t="s">
        <v>32</v>
      </c>
    </row>
    <row r="30797" ht="15.75" customHeight="1">
      <c r="A30797" s="7"/>
      <c r="B30797" s="7"/>
      <c r="M30797" s="9" t="s">
        <v>38</v>
      </c>
    </row>
    <row r="30798" ht="15.75" customHeight="1">
      <c r="A30798" s="7"/>
      <c r="B30798" s="7"/>
      <c r="M30798" s="9" t="s">
        <v>22</v>
      </c>
    </row>
    <row r="30799" ht="15.75" customHeight="1">
      <c r="A30799" s="7"/>
      <c r="B30799" s="7"/>
      <c r="M30799" s="9" t="s">
        <v>29</v>
      </c>
    </row>
    <row r="30800" ht="15.75" customHeight="1">
      <c r="A30800" s="7"/>
      <c r="B30800" s="7"/>
      <c r="M30800" s="9" t="s">
        <v>28</v>
      </c>
    </row>
    <row r="30801" ht="15.75" customHeight="1">
      <c r="A30801" s="7"/>
      <c r="B30801" s="7"/>
      <c r="M30801" s="9" t="s">
        <v>30</v>
      </c>
    </row>
    <row r="30802" ht="15.75" customHeight="1">
      <c r="A30802" s="7"/>
      <c r="B30802" s="7"/>
      <c r="M30802" s="9" t="s">
        <v>26</v>
      </c>
    </row>
    <row r="30803" ht="15.75" customHeight="1">
      <c r="A30803" s="7"/>
      <c r="B30803" s="7"/>
      <c r="M30803" s="9" t="s">
        <v>36</v>
      </c>
    </row>
    <row r="30804" ht="15.75" customHeight="1">
      <c r="A30804" s="7"/>
      <c r="B30804" s="7"/>
      <c r="M30804" s="9" t="s">
        <v>21</v>
      </c>
    </row>
    <row r="30805" ht="15.75" customHeight="1">
      <c r="A30805" s="7"/>
      <c r="B30805" s="7"/>
      <c r="M30805" s="9" t="s">
        <v>27</v>
      </c>
    </row>
    <row r="30806" ht="15.75" customHeight="1">
      <c r="A30806" s="7"/>
      <c r="B30806" s="7"/>
      <c r="M30806" s="9" t="s">
        <v>33</v>
      </c>
    </row>
    <row r="30807" ht="15.75" customHeight="1">
      <c r="A30807" s="7"/>
      <c r="B30807" s="7"/>
      <c r="M30807" s="9" t="s">
        <v>20</v>
      </c>
    </row>
    <row r="30808" ht="15.75" customHeight="1">
      <c r="A30808" s="7"/>
      <c r="B30808" s="7"/>
      <c r="M30808" s="9" t="s">
        <v>22</v>
      </c>
    </row>
    <row r="30809" ht="15.75" customHeight="1">
      <c r="A30809" s="7"/>
      <c r="B30809" s="7"/>
      <c r="M30809" s="9" t="s">
        <v>26</v>
      </c>
    </row>
    <row r="30810" ht="15.75" customHeight="1">
      <c r="A30810" s="7"/>
      <c r="B30810" s="7"/>
      <c r="M30810" s="9" t="s">
        <v>20</v>
      </c>
    </row>
    <row r="30811" ht="15.75" customHeight="1">
      <c r="A30811" s="7"/>
      <c r="B30811" s="7"/>
      <c r="M30811" s="9" t="s">
        <v>22</v>
      </c>
    </row>
    <row r="30812" ht="15.75" customHeight="1">
      <c r="A30812" s="7"/>
      <c r="B30812" s="7"/>
      <c r="M30812" s="9" t="s">
        <v>24</v>
      </c>
    </row>
    <row r="30813" ht="15.75" customHeight="1">
      <c r="A30813" s="7"/>
      <c r="B30813" s="7"/>
      <c r="M30813" s="9" t="s">
        <v>21</v>
      </c>
    </row>
    <row r="30814" ht="15.75" customHeight="1">
      <c r="A30814" s="7"/>
      <c r="B30814" s="7"/>
      <c r="M30814" s="9" t="s">
        <v>22</v>
      </c>
    </row>
    <row r="30815" ht="15.75" customHeight="1">
      <c r="A30815" s="7"/>
      <c r="B30815" s="7"/>
      <c r="M30815" s="9" t="s">
        <v>27</v>
      </c>
    </row>
    <row r="30816" ht="15.75" customHeight="1">
      <c r="A30816" s="7"/>
      <c r="B30816" s="7"/>
      <c r="M30816" s="9" t="s">
        <v>24</v>
      </c>
    </row>
    <row r="30817" ht="15.75" customHeight="1">
      <c r="A30817" s="7"/>
      <c r="B30817" s="7"/>
      <c r="M30817" s="9" t="s">
        <v>21</v>
      </c>
    </row>
    <row r="30818" ht="15.75" customHeight="1">
      <c r="A30818" s="7"/>
      <c r="B30818" s="7"/>
      <c r="M30818" s="9" t="s">
        <v>37</v>
      </c>
    </row>
    <row r="30819" ht="15.75" customHeight="1">
      <c r="A30819" s="7"/>
      <c r="B30819" s="7"/>
      <c r="M30819" s="9" t="s">
        <v>25</v>
      </c>
    </row>
    <row r="30820" ht="15.75" customHeight="1">
      <c r="A30820" s="7"/>
      <c r="B30820" s="7"/>
      <c r="M30820" s="9" t="s">
        <v>23</v>
      </c>
    </row>
    <row r="30821" ht="15.75" customHeight="1">
      <c r="A30821" s="7"/>
      <c r="B30821" s="7"/>
      <c r="M30821" s="9" t="s">
        <v>41</v>
      </c>
    </row>
    <row r="30822" ht="15.75" customHeight="1">
      <c r="A30822" s="7"/>
      <c r="B30822" s="7"/>
      <c r="M30822" s="9" t="s">
        <v>27</v>
      </c>
    </row>
    <row r="30823" ht="15.75" customHeight="1">
      <c r="A30823" s="7"/>
      <c r="B30823" s="7"/>
      <c r="M30823" s="9" t="s">
        <v>40</v>
      </c>
    </row>
    <row r="30824" ht="15.75" customHeight="1">
      <c r="A30824" s="7"/>
      <c r="B30824" s="7"/>
      <c r="M30824" s="9" t="s">
        <v>26</v>
      </c>
    </row>
    <row r="30825" ht="15.75" customHeight="1">
      <c r="A30825" s="7"/>
      <c r="B30825" s="7"/>
      <c r="M30825" s="9" t="s">
        <v>24</v>
      </c>
    </row>
    <row r="30826" ht="15.75" customHeight="1">
      <c r="A30826" s="7"/>
      <c r="B30826" s="7"/>
      <c r="M30826" s="9" t="s">
        <v>21</v>
      </c>
    </row>
    <row r="30827" ht="15.75" customHeight="1">
      <c r="A30827" s="7"/>
      <c r="B30827" s="7"/>
      <c r="M30827" s="9" t="s">
        <v>27</v>
      </c>
    </row>
    <row r="30828" ht="15.75" customHeight="1">
      <c r="A30828" s="7"/>
      <c r="B30828" s="7"/>
      <c r="M30828" s="9" t="s">
        <v>38</v>
      </c>
    </row>
    <row r="30829" ht="15.75" customHeight="1">
      <c r="A30829" s="7"/>
      <c r="B30829" s="7"/>
      <c r="M30829" s="9" t="s">
        <v>23</v>
      </c>
    </row>
    <row r="30830" ht="15.75" customHeight="1">
      <c r="A30830" s="7"/>
      <c r="B30830" s="7"/>
      <c r="M30830" s="9" t="s">
        <v>26</v>
      </c>
    </row>
    <row r="30831" ht="15.75" customHeight="1">
      <c r="A30831" s="7"/>
      <c r="B30831" s="7"/>
      <c r="M30831" s="9" t="s">
        <v>21</v>
      </c>
    </row>
    <row r="30832" ht="15.75" customHeight="1">
      <c r="A30832" s="7"/>
      <c r="B30832" s="7"/>
      <c r="M30832" s="9" t="s">
        <v>27</v>
      </c>
    </row>
    <row r="30833" ht="15.75" customHeight="1">
      <c r="A30833" s="7"/>
      <c r="B30833" s="7"/>
      <c r="M30833" s="9" t="s">
        <v>24</v>
      </c>
    </row>
    <row r="30834" ht="15.75" customHeight="1">
      <c r="A30834" s="7"/>
      <c r="B30834" s="7"/>
      <c r="M30834" s="9" t="s">
        <v>20</v>
      </c>
    </row>
    <row r="30835" ht="15.75" customHeight="1">
      <c r="A30835" s="7"/>
      <c r="B30835" s="7"/>
      <c r="M30835" s="9" t="s">
        <v>21</v>
      </c>
    </row>
    <row r="30836" ht="15.75" customHeight="1">
      <c r="A30836" s="7"/>
      <c r="B30836" s="7"/>
      <c r="M30836" s="9" t="s">
        <v>22</v>
      </c>
    </row>
    <row r="30837" ht="15.75" customHeight="1">
      <c r="A30837" s="7"/>
      <c r="B30837" s="7"/>
      <c r="M30837" s="9" t="s">
        <v>20</v>
      </c>
    </row>
    <row r="30838" ht="15.75" customHeight="1">
      <c r="A30838" s="7"/>
      <c r="B30838" s="7"/>
      <c r="M30838" s="9" t="s">
        <v>27</v>
      </c>
    </row>
    <row r="30839" ht="15.75" customHeight="1">
      <c r="A30839" s="7"/>
      <c r="B30839" s="7"/>
      <c r="M30839" s="9" t="s">
        <v>25</v>
      </c>
    </row>
    <row r="30840" ht="15.75" customHeight="1">
      <c r="A30840" s="7"/>
      <c r="B30840" s="7"/>
      <c r="M30840" s="9" t="s">
        <v>23</v>
      </c>
    </row>
    <row r="30841" ht="15.75" customHeight="1">
      <c r="A30841" s="7"/>
      <c r="B30841" s="7"/>
      <c r="M30841" s="9" t="s">
        <v>24</v>
      </c>
    </row>
    <row r="30842" ht="15.75" customHeight="1">
      <c r="A30842" s="7"/>
      <c r="B30842" s="7"/>
      <c r="M30842" s="9" t="s">
        <v>21</v>
      </c>
    </row>
    <row r="30843" ht="15.75" customHeight="1">
      <c r="A30843" s="7"/>
      <c r="B30843" s="7"/>
      <c r="M30843" s="9" t="s">
        <v>37</v>
      </c>
    </row>
    <row r="30844" ht="15.75" customHeight="1">
      <c r="A30844" s="7"/>
      <c r="B30844" s="7"/>
      <c r="M30844" s="9" t="s">
        <v>27</v>
      </c>
    </row>
    <row r="30845" ht="15.75" customHeight="1">
      <c r="A30845" s="7"/>
      <c r="B30845" s="7"/>
      <c r="M30845" s="9" t="s">
        <v>33</v>
      </c>
    </row>
    <row r="30846" ht="15.75" customHeight="1">
      <c r="A30846" s="7"/>
      <c r="B30846" s="7"/>
      <c r="M30846" s="9" t="s">
        <v>30</v>
      </c>
    </row>
    <row r="30847" ht="15.75" customHeight="1">
      <c r="A30847" s="7"/>
      <c r="B30847" s="7"/>
      <c r="M30847" s="9" t="s">
        <v>26</v>
      </c>
    </row>
    <row r="30848" ht="15.75" customHeight="1">
      <c r="A30848" s="7"/>
      <c r="B30848" s="7"/>
      <c r="M30848" s="9" t="s">
        <v>24</v>
      </c>
    </row>
    <row r="30849" ht="15.75" customHeight="1">
      <c r="A30849" s="7"/>
      <c r="B30849" s="7"/>
      <c r="M30849" s="9" t="s">
        <v>20</v>
      </c>
    </row>
    <row r="30850" ht="15.75" customHeight="1">
      <c r="A30850" s="7"/>
      <c r="B30850" s="7"/>
      <c r="M30850" s="9" t="s">
        <v>21</v>
      </c>
    </row>
    <row r="30851" ht="15.75" customHeight="1">
      <c r="A30851" s="7"/>
      <c r="B30851" s="7"/>
      <c r="M30851" s="9" t="s">
        <v>27</v>
      </c>
    </row>
    <row r="30852" ht="15.75" customHeight="1">
      <c r="A30852" s="7"/>
      <c r="B30852" s="7"/>
      <c r="M30852" s="9" t="s">
        <v>38</v>
      </c>
    </row>
    <row r="30853" ht="15.75" customHeight="1">
      <c r="A30853" s="7"/>
      <c r="B30853" s="7"/>
      <c r="M30853" s="9" t="s">
        <v>30</v>
      </c>
    </row>
    <row r="30854" ht="15.75" customHeight="1">
      <c r="A30854" s="7"/>
      <c r="B30854" s="7"/>
      <c r="M30854" s="9" t="s">
        <v>25</v>
      </c>
    </row>
    <row r="30855" ht="15.75" customHeight="1">
      <c r="A30855" s="7"/>
      <c r="B30855" s="7"/>
      <c r="M30855" s="9" t="s">
        <v>23</v>
      </c>
    </row>
    <row r="30856" ht="15.75" customHeight="1">
      <c r="A30856" s="7"/>
      <c r="B30856" s="7"/>
      <c r="M30856" s="9" t="s">
        <v>22</v>
      </c>
    </row>
    <row r="30857" ht="15.75" customHeight="1">
      <c r="A30857" s="7"/>
      <c r="B30857" s="7"/>
      <c r="M30857" s="9" t="s">
        <v>32</v>
      </c>
    </row>
    <row r="30858" ht="15.75" customHeight="1">
      <c r="A30858" s="7"/>
      <c r="B30858" s="7"/>
      <c r="M30858" s="9" t="s">
        <v>20</v>
      </c>
    </row>
    <row r="30859" ht="15.75" customHeight="1">
      <c r="A30859" s="7"/>
      <c r="B30859" s="7"/>
      <c r="M30859" s="9" t="s">
        <v>21</v>
      </c>
    </row>
    <row r="30860" ht="15.75" customHeight="1">
      <c r="A30860" s="7"/>
      <c r="B30860" s="7"/>
      <c r="M30860" s="9" t="s">
        <v>39</v>
      </c>
    </row>
    <row r="30861" ht="15.75" customHeight="1">
      <c r="A30861" s="7"/>
      <c r="B30861" s="7"/>
      <c r="M30861" s="9" t="s">
        <v>41</v>
      </c>
    </row>
    <row r="30862" ht="15.75" customHeight="1">
      <c r="A30862" s="7"/>
      <c r="B30862" s="7"/>
      <c r="M30862" s="9" t="s">
        <v>40</v>
      </c>
    </row>
    <row r="30863" ht="15.75" customHeight="1">
      <c r="A30863" s="7"/>
      <c r="B30863" s="7"/>
      <c r="M30863" s="9" t="s">
        <v>30</v>
      </c>
    </row>
    <row r="30864" ht="15.75" customHeight="1">
      <c r="A30864" s="7"/>
      <c r="B30864" s="7"/>
      <c r="M30864" s="9" t="s">
        <v>25</v>
      </c>
    </row>
    <row r="30865" ht="15.75" customHeight="1">
      <c r="A30865" s="7"/>
      <c r="B30865" s="7"/>
      <c r="M30865" s="9" t="s">
        <v>24</v>
      </c>
    </row>
    <row r="30866" ht="15.75" customHeight="1">
      <c r="A30866" s="7"/>
      <c r="B30866" s="7"/>
      <c r="M30866" s="9" t="s">
        <v>21</v>
      </c>
    </row>
    <row r="30867" ht="15.75" customHeight="1">
      <c r="A30867" s="7"/>
      <c r="B30867" s="7"/>
      <c r="M30867" s="9" t="s">
        <v>37</v>
      </c>
    </row>
    <row r="30868" ht="15.75" customHeight="1">
      <c r="A30868" s="7"/>
      <c r="B30868" s="7"/>
      <c r="M30868" s="9" t="s">
        <v>22</v>
      </c>
    </row>
    <row r="30869" ht="15.75" customHeight="1">
      <c r="A30869" s="7"/>
      <c r="B30869" s="7"/>
      <c r="M30869" s="9" t="s">
        <v>27</v>
      </c>
    </row>
    <row r="30870" ht="15.75" customHeight="1">
      <c r="A30870" s="7"/>
      <c r="B30870" s="7"/>
      <c r="M30870" s="9" t="s">
        <v>24</v>
      </c>
    </row>
    <row r="30871" ht="15.75" customHeight="1">
      <c r="A30871" s="7"/>
      <c r="B30871" s="7"/>
      <c r="M30871" s="9" t="s">
        <v>20</v>
      </c>
    </row>
    <row r="30872" ht="15.75" customHeight="1">
      <c r="A30872" s="7"/>
      <c r="B30872" s="7"/>
      <c r="M30872" s="9" t="s">
        <v>21</v>
      </c>
    </row>
    <row r="30873" ht="15.75" customHeight="1">
      <c r="A30873" s="7"/>
      <c r="B30873" s="7"/>
      <c r="M30873" s="9" t="s">
        <v>46</v>
      </c>
    </row>
    <row r="30874" ht="15.75" customHeight="1">
      <c r="A30874" s="7"/>
      <c r="B30874" s="7"/>
      <c r="M30874" s="9" t="s">
        <v>27</v>
      </c>
    </row>
    <row r="30875" ht="15.75" customHeight="1">
      <c r="A30875" s="7"/>
      <c r="B30875" s="7"/>
      <c r="M30875" s="9" t="s">
        <v>24</v>
      </c>
    </row>
    <row r="30876" ht="15.75" customHeight="1">
      <c r="A30876" s="7"/>
      <c r="B30876" s="7"/>
      <c r="M30876" s="9" t="s">
        <v>21</v>
      </c>
    </row>
    <row r="30877" ht="15.75" customHeight="1">
      <c r="A30877" s="7"/>
      <c r="B30877" s="7"/>
      <c r="M30877" s="9" t="s">
        <v>41</v>
      </c>
    </row>
    <row r="30878" ht="15.75" customHeight="1">
      <c r="A30878" s="7"/>
      <c r="B30878" s="7"/>
      <c r="M30878" s="9" t="s">
        <v>37</v>
      </c>
    </row>
    <row r="30879" ht="15.75" customHeight="1">
      <c r="A30879" s="7"/>
      <c r="B30879" s="7"/>
      <c r="M30879" s="9" t="s">
        <v>27</v>
      </c>
    </row>
    <row r="30880" ht="15.75" customHeight="1">
      <c r="A30880" s="7"/>
      <c r="B30880" s="7"/>
      <c r="M30880" s="9" t="s">
        <v>30</v>
      </c>
    </row>
    <row r="30881" ht="15.75" customHeight="1">
      <c r="A30881" s="7"/>
      <c r="B30881" s="7"/>
      <c r="M30881" s="9" t="s">
        <v>37</v>
      </c>
    </row>
    <row r="30882" ht="15.75" customHeight="1">
      <c r="A30882" s="7"/>
      <c r="B30882" s="7"/>
      <c r="M30882" s="9" t="s">
        <v>22</v>
      </c>
    </row>
    <row r="30883" ht="15.75" customHeight="1">
      <c r="A30883" s="7"/>
      <c r="B30883" s="7"/>
      <c r="M30883" s="9" t="s">
        <v>27</v>
      </c>
    </row>
    <row r="30884" ht="15.75" customHeight="1">
      <c r="A30884" s="7"/>
      <c r="B30884" s="7"/>
      <c r="M30884" s="9" t="s">
        <v>24</v>
      </c>
    </row>
    <row r="30885" ht="15.75" customHeight="1">
      <c r="A30885" s="7"/>
      <c r="B30885" s="7"/>
      <c r="M30885" s="9" t="s">
        <v>21</v>
      </c>
    </row>
    <row r="30886" ht="15.75" customHeight="1">
      <c r="A30886" s="7"/>
      <c r="B30886" s="7"/>
      <c r="M30886" s="9" t="s">
        <v>37</v>
      </c>
    </row>
    <row r="30887" ht="15.75" customHeight="1">
      <c r="A30887" s="7"/>
      <c r="B30887" s="7"/>
      <c r="M30887" s="9" t="s">
        <v>30</v>
      </c>
    </row>
    <row r="30888" ht="15.75" customHeight="1">
      <c r="A30888" s="7"/>
      <c r="B30888" s="7"/>
      <c r="M30888" s="9" t="s">
        <v>23</v>
      </c>
    </row>
    <row r="30889" ht="15.75" customHeight="1">
      <c r="A30889" s="7"/>
      <c r="B30889" s="7"/>
      <c r="M30889" s="9" t="s">
        <v>26</v>
      </c>
    </row>
    <row r="30890" ht="15.75" customHeight="1">
      <c r="A30890" s="7"/>
      <c r="B30890" s="7"/>
      <c r="M30890" s="9" t="s">
        <v>20</v>
      </c>
    </row>
    <row r="30891" ht="15.75" customHeight="1">
      <c r="A30891" s="7"/>
      <c r="B30891" s="7"/>
      <c r="M30891" s="9" t="s">
        <v>27</v>
      </c>
    </row>
    <row r="30892" ht="15.75" customHeight="1">
      <c r="A30892" s="7"/>
      <c r="B30892" s="7"/>
      <c r="M30892" s="9" t="s">
        <v>30</v>
      </c>
    </row>
    <row r="30893" ht="15.75" customHeight="1">
      <c r="A30893" s="7"/>
      <c r="B30893" s="7"/>
      <c r="M30893" s="9" t="s">
        <v>25</v>
      </c>
    </row>
    <row r="30894" ht="15.75" customHeight="1">
      <c r="A30894" s="7"/>
      <c r="B30894" s="7"/>
      <c r="M30894" s="9" t="s">
        <v>23</v>
      </c>
    </row>
    <row r="30895" ht="15.75" customHeight="1">
      <c r="A30895" s="7"/>
      <c r="B30895" s="7"/>
      <c r="M30895" s="9" t="s">
        <v>26</v>
      </c>
    </row>
    <row r="30896" ht="15.75" customHeight="1">
      <c r="A30896" s="7"/>
      <c r="B30896" s="7"/>
      <c r="M30896" s="9" t="s">
        <v>20</v>
      </c>
    </row>
    <row r="30897" ht="15.75" customHeight="1">
      <c r="A30897" s="7"/>
      <c r="B30897" s="7"/>
      <c r="M30897" s="9" t="s">
        <v>26</v>
      </c>
    </row>
    <row r="30898" ht="15.75" customHeight="1">
      <c r="A30898" s="7"/>
      <c r="B30898" s="7"/>
      <c r="M30898" s="9" t="s">
        <v>24</v>
      </c>
    </row>
    <row r="30899" ht="15.75" customHeight="1">
      <c r="A30899" s="7"/>
      <c r="B30899" s="7"/>
      <c r="M30899" s="9" t="s">
        <v>21</v>
      </c>
    </row>
    <row r="30900" ht="15.75" customHeight="1">
      <c r="A30900" s="7"/>
      <c r="B30900" s="7"/>
      <c r="M30900" s="9" t="s">
        <v>30</v>
      </c>
    </row>
    <row r="30901" ht="15.75" customHeight="1">
      <c r="A30901" s="7"/>
      <c r="B30901" s="7"/>
      <c r="M30901" s="9" t="s">
        <v>36</v>
      </c>
    </row>
    <row r="30902" ht="15.75" customHeight="1">
      <c r="A30902" s="7"/>
      <c r="B30902" s="7"/>
      <c r="M30902" s="9" t="s">
        <v>24</v>
      </c>
    </row>
    <row r="30903" ht="15.75" customHeight="1">
      <c r="A30903" s="7"/>
      <c r="B30903" s="7"/>
      <c r="M30903" s="9" t="s">
        <v>20</v>
      </c>
    </row>
    <row r="30904" ht="15.75" customHeight="1">
      <c r="A30904" s="7"/>
      <c r="B30904" s="7"/>
      <c r="M30904" s="9" t="s">
        <v>21</v>
      </c>
    </row>
    <row r="30905" ht="15.75" customHeight="1">
      <c r="A30905" s="7"/>
      <c r="B30905" s="7"/>
      <c r="M30905" s="9" t="s">
        <v>37</v>
      </c>
    </row>
    <row r="30906" ht="15.75" customHeight="1">
      <c r="A30906" s="7"/>
      <c r="B30906" s="7"/>
      <c r="M30906" s="9" t="s">
        <v>33</v>
      </c>
    </row>
    <row r="30907" ht="15.75" customHeight="1">
      <c r="A30907" s="7"/>
      <c r="B30907" s="7"/>
      <c r="M30907" s="9" t="s">
        <v>35</v>
      </c>
    </row>
    <row r="30908" ht="15.75" customHeight="1">
      <c r="A30908" s="7"/>
      <c r="B30908" s="7"/>
      <c r="M30908" s="9" t="s">
        <v>38</v>
      </c>
    </row>
    <row r="30909" ht="15.75" customHeight="1">
      <c r="A30909" s="7"/>
      <c r="B30909" s="7"/>
      <c r="M30909" s="9" t="s">
        <v>20</v>
      </c>
    </row>
    <row r="30910" ht="15.75" customHeight="1">
      <c r="A30910" s="7"/>
      <c r="B30910" s="7"/>
      <c r="M30910" s="9" t="s">
        <v>39</v>
      </c>
    </row>
    <row r="30911" ht="15.75" customHeight="1">
      <c r="A30911" s="7"/>
      <c r="B30911" s="7"/>
      <c r="M30911" s="9" t="s">
        <v>26</v>
      </c>
    </row>
    <row r="30912" ht="15.75" customHeight="1">
      <c r="A30912" s="7"/>
      <c r="B30912" s="7"/>
      <c r="M30912" s="9" t="s">
        <v>23</v>
      </c>
    </row>
    <row r="30913" ht="15.75" customHeight="1">
      <c r="A30913" s="7"/>
      <c r="B30913" s="7"/>
      <c r="M30913" s="9" t="s">
        <v>26</v>
      </c>
    </row>
    <row r="30914" ht="15.75" customHeight="1">
      <c r="A30914" s="7"/>
      <c r="B30914" s="7"/>
      <c r="M30914" s="9" t="s">
        <v>24</v>
      </c>
    </row>
    <row r="30915" ht="15.75" customHeight="1">
      <c r="A30915" s="7"/>
      <c r="B30915" s="7"/>
      <c r="M30915" s="9" t="s">
        <v>21</v>
      </c>
    </row>
    <row r="30916" ht="15.75" customHeight="1">
      <c r="A30916" s="7"/>
      <c r="B30916" s="7"/>
      <c r="M30916" s="9" t="s">
        <v>27</v>
      </c>
    </row>
    <row r="30917" ht="15.75" customHeight="1">
      <c r="A30917" s="7"/>
      <c r="B30917" s="7"/>
      <c r="M30917" s="9" t="s">
        <v>30</v>
      </c>
    </row>
    <row r="30918" ht="15.75" customHeight="1">
      <c r="A30918" s="7"/>
      <c r="B30918" s="7"/>
      <c r="M30918" s="9" t="s">
        <v>22</v>
      </c>
    </row>
    <row r="30919" ht="15.75" customHeight="1">
      <c r="A30919" s="7"/>
      <c r="B30919" s="7"/>
      <c r="M30919" s="9" t="s">
        <v>29</v>
      </c>
    </row>
    <row r="30920" ht="15.75" customHeight="1">
      <c r="A30920" s="7"/>
      <c r="B30920" s="7"/>
      <c r="M30920" s="9" t="s">
        <v>27</v>
      </c>
    </row>
    <row r="30921" ht="15.75" customHeight="1">
      <c r="A30921" s="7"/>
      <c r="B30921" s="7"/>
      <c r="M30921" s="9" t="s">
        <v>30</v>
      </c>
    </row>
    <row r="30922" ht="15.75" customHeight="1">
      <c r="A30922" s="7"/>
      <c r="B30922" s="7"/>
      <c r="M30922" s="9" t="s">
        <v>23</v>
      </c>
    </row>
    <row r="30923" ht="15.75" customHeight="1">
      <c r="A30923" s="7"/>
      <c r="B30923" s="7"/>
      <c r="M30923" s="9" t="s">
        <v>47</v>
      </c>
    </row>
    <row r="30924" ht="15.75" customHeight="1">
      <c r="A30924" s="7"/>
      <c r="B30924" s="7"/>
      <c r="M30924" s="9" t="s">
        <v>36</v>
      </c>
    </row>
    <row r="30925" ht="15.75" customHeight="1">
      <c r="A30925" s="7"/>
      <c r="B30925" s="7"/>
      <c r="M30925" s="9" t="s">
        <v>24</v>
      </c>
    </row>
    <row r="30926" ht="15.75" customHeight="1">
      <c r="A30926" s="7"/>
      <c r="B30926" s="7"/>
      <c r="M30926" s="9" t="s">
        <v>20</v>
      </c>
    </row>
    <row r="30927" ht="15.75" customHeight="1">
      <c r="A30927" s="7"/>
      <c r="B30927" s="7"/>
      <c r="M30927" s="9" t="s">
        <v>21</v>
      </c>
    </row>
    <row r="30928" ht="15.75" customHeight="1">
      <c r="A30928" s="7"/>
      <c r="B30928" s="7"/>
      <c r="M30928" s="9" t="s">
        <v>22</v>
      </c>
    </row>
    <row r="30929" ht="15.75" customHeight="1">
      <c r="A30929" s="7"/>
      <c r="B30929" s="7"/>
      <c r="M30929" s="9" t="s">
        <v>27</v>
      </c>
    </row>
    <row r="30930" ht="15.75" customHeight="1">
      <c r="A30930" s="7"/>
      <c r="B30930" s="7"/>
      <c r="M30930" s="9" t="s">
        <v>41</v>
      </c>
    </row>
    <row r="30931" ht="15.75" customHeight="1">
      <c r="A30931" s="7"/>
      <c r="B30931" s="7"/>
      <c r="M30931" s="9" t="s">
        <v>40</v>
      </c>
    </row>
    <row r="30932" ht="15.75" customHeight="1">
      <c r="A30932" s="7"/>
      <c r="B30932" s="7"/>
      <c r="M30932" s="9" t="s">
        <v>30</v>
      </c>
    </row>
    <row r="30933" ht="15.75" customHeight="1">
      <c r="A30933" s="7"/>
      <c r="B30933" s="7"/>
      <c r="M30933" s="9" t="s">
        <v>24</v>
      </c>
    </row>
    <row r="30934" ht="15.75" customHeight="1">
      <c r="A30934" s="7"/>
      <c r="B30934" s="7"/>
      <c r="M30934" s="9" t="s">
        <v>21</v>
      </c>
    </row>
    <row r="30935" ht="15.75" customHeight="1">
      <c r="A30935" s="7"/>
      <c r="B30935" s="7"/>
      <c r="M30935" s="9" t="s">
        <v>37</v>
      </c>
    </row>
    <row r="30936" ht="15.75" customHeight="1">
      <c r="A30936" s="7"/>
      <c r="B30936" s="7"/>
      <c r="M30936" s="9" t="s">
        <v>24</v>
      </c>
    </row>
    <row r="30937" ht="15.75" customHeight="1">
      <c r="A30937" s="7"/>
      <c r="B30937" s="7"/>
      <c r="M30937" s="9" t="s">
        <v>20</v>
      </c>
    </row>
    <row r="30938" ht="15.75" customHeight="1">
      <c r="A30938" s="7"/>
      <c r="B30938" s="7"/>
      <c r="M30938" s="9" t="s">
        <v>21</v>
      </c>
    </row>
    <row r="30939" ht="15.75" customHeight="1">
      <c r="A30939" s="7"/>
      <c r="B30939" s="7"/>
      <c r="M30939" s="9" t="s">
        <v>31</v>
      </c>
    </row>
    <row r="30940" ht="15.75" customHeight="1">
      <c r="A30940" s="7"/>
      <c r="B30940" s="7"/>
      <c r="M30940" s="9" t="s">
        <v>26</v>
      </c>
    </row>
    <row r="30941" ht="15.75" customHeight="1">
      <c r="A30941" s="7"/>
      <c r="B30941" s="7"/>
      <c r="M30941" s="9" t="s">
        <v>36</v>
      </c>
    </row>
    <row r="30942" ht="15.75" customHeight="1">
      <c r="A30942" s="7"/>
      <c r="B30942" s="7"/>
      <c r="M30942" s="9" t="s">
        <v>24</v>
      </c>
    </row>
    <row r="30943" ht="15.75" customHeight="1">
      <c r="A30943" s="7"/>
      <c r="B30943" s="7"/>
      <c r="M30943" s="9" t="s">
        <v>20</v>
      </c>
    </row>
    <row r="30944" ht="15.75" customHeight="1">
      <c r="A30944" s="7"/>
      <c r="B30944" s="7"/>
      <c r="M30944" s="9" t="s">
        <v>21</v>
      </c>
    </row>
    <row r="30945" ht="15.75" customHeight="1">
      <c r="A30945" s="7"/>
      <c r="B30945" s="7"/>
      <c r="M30945" s="9" t="s">
        <v>39</v>
      </c>
    </row>
    <row r="30946" ht="15.75" customHeight="1">
      <c r="A30946" s="7"/>
      <c r="B30946" s="7"/>
      <c r="M30946" s="9" t="s">
        <v>41</v>
      </c>
    </row>
    <row r="30947" ht="15.75" customHeight="1">
      <c r="A30947" s="7"/>
      <c r="B30947" s="7"/>
      <c r="M30947" s="9" t="s">
        <v>37</v>
      </c>
    </row>
    <row r="30948" ht="15.75" customHeight="1">
      <c r="A30948" s="7"/>
      <c r="B30948" s="7"/>
      <c r="M30948" s="9" t="s">
        <v>27</v>
      </c>
    </row>
    <row r="30949" ht="15.75" customHeight="1">
      <c r="A30949" s="7"/>
      <c r="B30949" s="7"/>
      <c r="M30949" s="9" t="s">
        <v>33</v>
      </c>
    </row>
    <row r="30950" ht="15.75" customHeight="1">
      <c r="A30950" s="7"/>
      <c r="B30950" s="7"/>
      <c r="M30950" s="9" t="s">
        <v>38</v>
      </c>
    </row>
    <row r="30951" ht="15.75" customHeight="1">
      <c r="A30951" s="7"/>
      <c r="B30951" s="7"/>
      <c r="M30951" s="9" t="s">
        <v>25</v>
      </c>
    </row>
    <row r="30952" ht="15.75" customHeight="1">
      <c r="A30952" s="7"/>
      <c r="B30952" s="7"/>
      <c r="M30952" s="9" t="s">
        <v>23</v>
      </c>
    </row>
    <row r="30953" ht="15.75" customHeight="1">
      <c r="A30953" s="7"/>
      <c r="B30953" s="7"/>
      <c r="M30953" s="9" t="s">
        <v>26</v>
      </c>
    </row>
    <row r="30954" ht="15.75" customHeight="1">
      <c r="A30954" s="7"/>
      <c r="B30954" s="7"/>
      <c r="M30954" s="9" t="s">
        <v>45</v>
      </c>
    </row>
    <row r="30955" ht="15.75" customHeight="1">
      <c r="A30955" s="7"/>
      <c r="B30955" s="7"/>
      <c r="M30955" s="9" t="s">
        <v>24</v>
      </c>
    </row>
    <row r="30956" ht="15.75" customHeight="1">
      <c r="A30956" s="7"/>
      <c r="B30956" s="7"/>
      <c r="M30956" s="9" t="s">
        <v>21</v>
      </c>
    </row>
    <row r="30957" ht="15.75" customHeight="1">
      <c r="A30957" s="7"/>
      <c r="B30957" s="7"/>
      <c r="M30957" s="9" t="s">
        <v>22</v>
      </c>
    </row>
    <row r="30958" ht="15.75" customHeight="1">
      <c r="A30958" s="7"/>
      <c r="B30958" s="7"/>
      <c r="M30958" s="9" t="s">
        <v>27</v>
      </c>
    </row>
    <row r="30959" ht="15.75" customHeight="1">
      <c r="A30959" s="7"/>
      <c r="B30959" s="7"/>
      <c r="M30959" s="9" t="s">
        <v>25</v>
      </c>
    </row>
    <row r="30960" ht="15.75" customHeight="1">
      <c r="A30960" s="7"/>
      <c r="B30960" s="7"/>
      <c r="M30960" s="9" t="s">
        <v>23</v>
      </c>
    </row>
    <row r="30961" ht="15.75" customHeight="1">
      <c r="A30961" s="7"/>
      <c r="B30961" s="7"/>
      <c r="M30961" s="9" t="s">
        <v>24</v>
      </c>
    </row>
    <row r="30962" ht="15.75" customHeight="1">
      <c r="A30962" s="7"/>
      <c r="B30962" s="7"/>
      <c r="M30962" s="9" t="s">
        <v>21</v>
      </c>
    </row>
    <row r="30963" ht="15.75" customHeight="1">
      <c r="A30963" s="7"/>
      <c r="B30963" s="7"/>
      <c r="M30963" s="9" t="s">
        <v>22</v>
      </c>
    </row>
    <row r="30964" ht="15.75" customHeight="1">
      <c r="A30964" s="7"/>
      <c r="B30964" s="7"/>
      <c r="M30964" s="9" t="s">
        <v>27</v>
      </c>
    </row>
    <row r="30965" ht="15.75" customHeight="1">
      <c r="A30965" s="7"/>
      <c r="B30965" s="7"/>
      <c r="M30965" s="9" t="s">
        <v>23</v>
      </c>
    </row>
    <row r="30966" ht="15.75" customHeight="1">
      <c r="A30966" s="7"/>
      <c r="B30966" s="7"/>
      <c r="M30966" s="9" t="s">
        <v>26</v>
      </c>
    </row>
    <row r="30967" ht="15.75" customHeight="1">
      <c r="A30967" s="7"/>
      <c r="B30967" s="7"/>
      <c r="M30967" s="9" t="s">
        <v>20</v>
      </c>
    </row>
    <row r="30968" ht="15.75" customHeight="1">
      <c r="A30968" s="7"/>
      <c r="B30968" s="7"/>
      <c r="M30968" s="9" t="s">
        <v>27</v>
      </c>
    </row>
    <row r="30969" ht="15.75" customHeight="1">
      <c r="A30969" s="7"/>
      <c r="B30969" s="7"/>
      <c r="M30969" s="9" t="s">
        <v>26</v>
      </c>
    </row>
    <row r="30970" ht="15.75" customHeight="1">
      <c r="A30970" s="7"/>
      <c r="B30970" s="7"/>
      <c r="M30970" s="9" t="s">
        <v>22</v>
      </c>
    </row>
    <row r="30971" ht="15.75" customHeight="1">
      <c r="A30971" s="7"/>
      <c r="B30971" s="7"/>
      <c r="M30971" s="9" t="s">
        <v>27</v>
      </c>
    </row>
    <row r="30972" ht="15.75" customHeight="1">
      <c r="A30972" s="7"/>
      <c r="B30972" s="7"/>
      <c r="M30972" s="9" t="s">
        <v>26</v>
      </c>
    </row>
    <row r="30973" ht="15.75" customHeight="1">
      <c r="A30973" s="7"/>
      <c r="B30973" s="7"/>
      <c r="M30973" s="9" t="s">
        <v>24</v>
      </c>
    </row>
    <row r="30974" ht="15.75" customHeight="1">
      <c r="A30974" s="7"/>
      <c r="B30974" s="7"/>
      <c r="M30974" s="9" t="s">
        <v>21</v>
      </c>
    </row>
    <row r="30975" ht="15.75" customHeight="1">
      <c r="A30975" s="7"/>
      <c r="B30975" s="7"/>
      <c r="M30975" s="9" t="s">
        <v>37</v>
      </c>
    </row>
    <row r="30976" ht="15.75" customHeight="1">
      <c r="A30976" s="7"/>
      <c r="B30976" s="7"/>
      <c r="M30976" s="9" t="s">
        <v>27</v>
      </c>
    </row>
    <row r="30977" ht="15.75" customHeight="1">
      <c r="A30977" s="7"/>
      <c r="B30977" s="7"/>
      <c r="M30977" s="9" t="s">
        <v>35</v>
      </c>
    </row>
    <row r="30978" ht="15.75" customHeight="1">
      <c r="A30978" s="7"/>
      <c r="B30978" s="7"/>
      <c r="M30978" s="9" t="s">
        <v>26</v>
      </c>
    </row>
    <row r="30979" ht="15.75" customHeight="1">
      <c r="A30979" s="7"/>
      <c r="B30979" s="7"/>
      <c r="M30979" s="9" t="s">
        <v>27</v>
      </c>
    </row>
    <row r="30980" ht="15.75" customHeight="1">
      <c r="A30980" s="7"/>
      <c r="B30980" s="7"/>
      <c r="M30980" s="9" t="s">
        <v>23</v>
      </c>
    </row>
    <row r="30981" ht="15.75" customHeight="1">
      <c r="A30981" s="7"/>
      <c r="B30981" s="7"/>
      <c r="M30981" s="9" t="s">
        <v>24</v>
      </c>
    </row>
    <row r="30982" ht="15.75" customHeight="1">
      <c r="A30982" s="7"/>
      <c r="B30982" s="7"/>
      <c r="M30982" s="9" t="s">
        <v>21</v>
      </c>
    </row>
    <row r="30983" ht="15.75" customHeight="1">
      <c r="A30983" s="7"/>
      <c r="B30983" s="7"/>
      <c r="M30983" s="9" t="s">
        <v>37</v>
      </c>
    </row>
    <row r="30984" ht="15.75" customHeight="1">
      <c r="A30984" s="7"/>
      <c r="B30984" s="7"/>
      <c r="M30984" s="9" t="s">
        <v>27</v>
      </c>
    </row>
    <row r="30985" ht="15.75" customHeight="1">
      <c r="A30985" s="7"/>
      <c r="B30985" s="7"/>
      <c r="M30985" s="9" t="s">
        <v>26</v>
      </c>
    </row>
    <row r="30986" ht="15.75" customHeight="1">
      <c r="A30986" s="7"/>
      <c r="B30986" s="7"/>
      <c r="M30986" s="9" t="s">
        <v>24</v>
      </c>
    </row>
    <row r="30987" ht="15.75" customHeight="1">
      <c r="A30987" s="7"/>
      <c r="B30987" s="7"/>
      <c r="M30987" s="9" t="s">
        <v>21</v>
      </c>
    </row>
    <row r="30988" ht="15.75" customHeight="1">
      <c r="A30988" s="7"/>
      <c r="B30988" s="7"/>
      <c r="M30988" s="9" t="s">
        <v>27</v>
      </c>
    </row>
    <row r="30989" ht="15.75" customHeight="1">
      <c r="A30989" s="7"/>
      <c r="B30989" s="7"/>
      <c r="M30989" s="9" t="s">
        <v>30</v>
      </c>
    </row>
    <row r="30990" ht="15.75" customHeight="1">
      <c r="A30990" s="7"/>
      <c r="B30990" s="7"/>
      <c r="M30990" s="9" t="s">
        <v>22</v>
      </c>
    </row>
    <row r="30991" ht="15.75" customHeight="1">
      <c r="A30991" s="7"/>
      <c r="B30991" s="7"/>
      <c r="M30991" s="9" t="s">
        <v>20</v>
      </c>
    </row>
    <row r="30992" ht="15.75" customHeight="1">
      <c r="A30992" s="7"/>
      <c r="B30992" s="7"/>
      <c r="M30992" s="9" t="s">
        <v>21</v>
      </c>
    </row>
    <row r="30993" ht="15.75" customHeight="1">
      <c r="A30993" s="7"/>
      <c r="B30993" s="7"/>
      <c r="M30993" s="9" t="s">
        <v>33</v>
      </c>
    </row>
    <row r="30994" ht="15.75" customHeight="1">
      <c r="A30994" s="7"/>
      <c r="B30994" s="7"/>
      <c r="M30994" s="9" t="s">
        <v>30</v>
      </c>
    </row>
    <row r="30995" ht="15.75" customHeight="1">
      <c r="A30995" s="7"/>
      <c r="B30995" s="7"/>
      <c r="M30995" s="9" t="s">
        <v>24</v>
      </c>
    </row>
    <row r="30996" ht="15.75" customHeight="1">
      <c r="A30996" s="7"/>
      <c r="B30996" s="7"/>
      <c r="M30996" s="9" t="s">
        <v>21</v>
      </c>
    </row>
    <row r="30997" ht="15.75" customHeight="1">
      <c r="A30997" s="7"/>
      <c r="B30997" s="7"/>
      <c r="M30997" s="9" t="s">
        <v>22</v>
      </c>
    </row>
    <row r="30998" ht="15.75" customHeight="1">
      <c r="A30998" s="7"/>
      <c r="B30998" s="7"/>
      <c r="M30998" s="9" t="s">
        <v>25</v>
      </c>
    </row>
    <row r="30999" ht="15.75" customHeight="1">
      <c r="A30999" s="7"/>
      <c r="B30999" s="7"/>
      <c r="M30999" s="9" t="s">
        <v>24</v>
      </c>
    </row>
    <row r="31000" ht="15.75" customHeight="1">
      <c r="A31000" s="7"/>
      <c r="B31000" s="7"/>
      <c r="M31000" s="9" t="s">
        <v>20</v>
      </c>
    </row>
    <row r="31001" ht="15.75" customHeight="1">
      <c r="A31001" s="7"/>
      <c r="B31001" s="7"/>
      <c r="M31001" s="9" t="s">
        <v>21</v>
      </c>
    </row>
    <row r="31002" ht="15.75" customHeight="1">
      <c r="A31002" s="7"/>
      <c r="B31002" s="7"/>
      <c r="M31002" s="9" t="s">
        <v>27</v>
      </c>
    </row>
    <row r="31003" ht="15.75" customHeight="1">
      <c r="A31003" s="7"/>
      <c r="B31003" s="7"/>
      <c r="M31003" s="9" t="s">
        <v>26</v>
      </c>
    </row>
    <row r="31004" ht="15.75" customHeight="1">
      <c r="A31004" s="7"/>
      <c r="B31004" s="7"/>
      <c r="M31004" s="9" t="s">
        <v>21</v>
      </c>
    </row>
    <row r="31005" ht="15.75" customHeight="1">
      <c r="A31005" s="7"/>
      <c r="B31005" s="7"/>
      <c r="M31005" s="9" t="s">
        <v>27</v>
      </c>
    </row>
    <row r="31006" ht="15.75" customHeight="1">
      <c r="A31006" s="7"/>
      <c r="B31006" s="7"/>
      <c r="M31006" s="9" t="s">
        <v>24</v>
      </c>
    </row>
    <row r="31007" ht="15.75" customHeight="1">
      <c r="A31007" s="7"/>
      <c r="B31007" s="7"/>
      <c r="M31007" s="9" t="s">
        <v>20</v>
      </c>
    </row>
    <row r="31008" ht="15.75" customHeight="1">
      <c r="A31008" s="7"/>
      <c r="B31008" s="7"/>
      <c r="M31008" s="9" t="s">
        <v>21</v>
      </c>
    </row>
    <row r="31009" ht="15.75" customHeight="1">
      <c r="A31009" s="7"/>
      <c r="B31009" s="7"/>
      <c r="M31009" s="9" t="s">
        <v>27</v>
      </c>
    </row>
    <row r="31010" ht="15.75" customHeight="1">
      <c r="A31010" s="7"/>
      <c r="B31010" s="7"/>
      <c r="M31010" s="9" t="s">
        <v>33</v>
      </c>
    </row>
    <row r="31011" ht="15.75" customHeight="1">
      <c r="A31011" s="7"/>
      <c r="B31011" s="7"/>
      <c r="M31011" s="9" t="s">
        <v>26</v>
      </c>
    </row>
    <row r="31012" ht="15.75" customHeight="1">
      <c r="A31012" s="7"/>
      <c r="B31012" s="7"/>
      <c r="M31012" s="9" t="s">
        <v>24</v>
      </c>
    </row>
    <row r="31013" ht="15.75" customHeight="1">
      <c r="A31013" s="7"/>
      <c r="B31013" s="7"/>
      <c r="M31013" s="9" t="s">
        <v>21</v>
      </c>
    </row>
    <row r="31014" ht="15.75" customHeight="1">
      <c r="A31014" s="7"/>
      <c r="B31014" s="7"/>
      <c r="M31014" s="9" t="s">
        <v>20</v>
      </c>
    </row>
    <row r="31015" ht="15.75" customHeight="1">
      <c r="A31015" s="7"/>
      <c r="B31015" s="7"/>
      <c r="M31015" s="9" t="s">
        <v>22</v>
      </c>
    </row>
    <row r="31016" ht="15.75" customHeight="1">
      <c r="A31016" s="7"/>
      <c r="B31016" s="7"/>
      <c r="M31016" s="9" t="s">
        <v>38</v>
      </c>
    </row>
    <row r="31017" ht="15.75" customHeight="1">
      <c r="A31017" s="7"/>
      <c r="B31017" s="7"/>
      <c r="M31017" s="9" t="s">
        <v>30</v>
      </c>
    </row>
    <row r="31018" ht="15.75" customHeight="1">
      <c r="A31018" s="7"/>
      <c r="B31018" s="7"/>
      <c r="M31018" s="9" t="s">
        <v>25</v>
      </c>
    </row>
    <row r="31019" ht="15.75" customHeight="1">
      <c r="A31019" s="7"/>
      <c r="B31019" s="7"/>
      <c r="M31019" s="9" t="s">
        <v>23</v>
      </c>
    </row>
    <row r="31020" ht="15.75" customHeight="1">
      <c r="A31020" s="7"/>
      <c r="B31020" s="7"/>
      <c r="M31020" s="9" t="s">
        <v>20</v>
      </c>
    </row>
    <row r="31021" ht="15.75" customHeight="1">
      <c r="A31021" s="7"/>
      <c r="B31021" s="7"/>
      <c r="M31021" s="9" t="s">
        <v>22</v>
      </c>
    </row>
    <row r="31022" ht="15.75" customHeight="1">
      <c r="A31022" s="7"/>
      <c r="B31022" s="7"/>
      <c r="M31022" s="9" t="s">
        <v>27</v>
      </c>
    </row>
    <row r="31023" ht="15.75" customHeight="1">
      <c r="A31023" s="7"/>
      <c r="B31023" s="7"/>
      <c r="M31023" s="9" t="s">
        <v>30</v>
      </c>
    </row>
    <row r="31024" ht="15.75" customHeight="1">
      <c r="A31024" s="7"/>
      <c r="B31024" s="7"/>
      <c r="M31024" s="9" t="s">
        <v>25</v>
      </c>
    </row>
    <row r="31025" ht="15.75" customHeight="1">
      <c r="A31025" s="7"/>
      <c r="B31025" s="7"/>
      <c r="M31025" s="9" t="s">
        <v>23</v>
      </c>
    </row>
    <row r="31026" ht="15.75" customHeight="1">
      <c r="A31026" s="7"/>
      <c r="B31026" s="7"/>
      <c r="M31026" s="9" t="s">
        <v>26</v>
      </c>
    </row>
    <row r="31027" ht="15.75" customHeight="1">
      <c r="A31027" s="7"/>
      <c r="B31027" s="7"/>
      <c r="M31027" s="9" t="s">
        <v>24</v>
      </c>
    </row>
    <row r="31028" ht="15.75" customHeight="1">
      <c r="A31028" s="7"/>
      <c r="B31028" s="7"/>
      <c r="M31028" s="9" t="s">
        <v>21</v>
      </c>
    </row>
    <row r="31029" ht="15.75" customHeight="1">
      <c r="A31029" s="7"/>
      <c r="B31029" s="7"/>
      <c r="M31029" s="9" t="s">
        <v>29</v>
      </c>
    </row>
    <row r="31030" ht="15.75" customHeight="1">
      <c r="A31030" s="7"/>
      <c r="B31030" s="7"/>
      <c r="M31030" s="9" t="s">
        <v>27</v>
      </c>
    </row>
    <row r="31031" ht="15.75" customHeight="1">
      <c r="A31031" s="7"/>
      <c r="B31031" s="7"/>
      <c r="M31031" s="9" t="s">
        <v>42</v>
      </c>
    </row>
    <row r="31032" ht="15.75" customHeight="1">
      <c r="A31032" s="7"/>
      <c r="B31032" s="7"/>
      <c r="M31032" s="9" t="s">
        <v>43</v>
      </c>
    </row>
    <row r="31033" ht="15.75" customHeight="1">
      <c r="A31033" s="7"/>
      <c r="B31033" s="7"/>
      <c r="M31033" s="9" t="s">
        <v>36</v>
      </c>
    </row>
    <row r="31034" ht="15.75" customHeight="1">
      <c r="A31034" s="7"/>
      <c r="B31034" s="7"/>
      <c r="M31034" s="9" t="s">
        <v>24</v>
      </c>
    </row>
    <row r="31035" ht="15.75" customHeight="1">
      <c r="A31035" s="7"/>
      <c r="B31035" s="7"/>
      <c r="M31035" s="9" t="s">
        <v>21</v>
      </c>
    </row>
    <row r="31036" ht="15.75" customHeight="1">
      <c r="A31036" s="7"/>
      <c r="B31036" s="7"/>
      <c r="M31036" s="9" t="s">
        <v>37</v>
      </c>
    </row>
    <row r="31037" ht="15.75" customHeight="1">
      <c r="A31037" s="7"/>
      <c r="B31037" s="7"/>
      <c r="M31037" s="9" t="s">
        <v>31</v>
      </c>
    </row>
    <row r="31038" ht="15.75" customHeight="1">
      <c r="A31038" s="7"/>
      <c r="B31038" s="7"/>
      <c r="M31038" s="9" t="s">
        <v>22</v>
      </c>
    </row>
    <row r="31039" ht="15.75" customHeight="1">
      <c r="A31039" s="7"/>
      <c r="B31039" s="7"/>
      <c r="M31039" s="9" t="s">
        <v>35</v>
      </c>
    </row>
    <row r="31040" ht="15.75" customHeight="1">
      <c r="A31040" s="7"/>
      <c r="B31040" s="7"/>
      <c r="M31040" s="9" t="s">
        <v>37</v>
      </c>
    </row>
    <row r="31041" ht="15.75" customHeight="1">
      <c r="A31041" s="7"/>
      <c r="B31041" s="7"/>
      <c r="M31041" s="9" t="s">
        <v>26</v>
      </c>
    </row>
    <row r="31042" ht="15.75" customHeight="1">
      <c r="A31042" s="7"/>
      <c r="B31042" s="7"/>
      <c r="M31042" s="9" t="s">
        <v>24</v>
      </c>
    </row>
    <row r="31043" ht="15.75" customHeight="1">
      <c r="A31043" s="7"/>
      <c r="B31043" s="7"/>
      <c r="M31043" s="9" t="s">
        <v>21</v>
      </c>
    </row>
    <row r="31044" ht="15.75" customHeight="1">
      <c r="A31044" s="7"/>
      <c r="B31044" s="7"/>
      <c r="M31044" s="9" t="s">
        <v>22</v>
      </c>
    </row>
    <row r="31045" ht="15.75" customHeight="1">
      <c r="A31045" s="7"/>
      <c r="B31045" s="7"/>
      <c r="M31045" s="9" t="s">
        <v>27</v>
      </c>
    </row>
    <row r="31046" ht="15.75" customHeight="1">
      <c r="A31046" s="7"/>
      <c r="B31046" s="7"/>
      <c r="M31046" s="9" t="s">
        <v>23</v>
      </c>
    </row>
    <row r="31047" ht="15.75" customHeight="1">
      <c r="A31047" s="7"/>
      <c r="B31047" s="7"/>
      <c r="M31047" s="9" t="s">
        <v>20</v>
      </c>
    </row>
    <row r="31048" ht="15.75" customHeight="1">
      <c r="A31048" s="7"/>
      <c r="B31048" s="7"/>
      <c r="M31048" s="9" t="s">
        <v>23</v>
      </c>
    </row>
    <row r="31049" ht="15.75" customHeight="1">
      <c r="A31049" s="7"/>
      <c r="B31049" s="7"/>
      <c r="M31049" s="9" t="s">
        <v>26</v>
      </c>
    </row>
    <row r="31050" ht="15.75" customHeight="1">
      <c r="A31050" s="7"/>
      <c r="B31050" s="7"/>
      <c r="M31050" s="9" t="s">
        <v>24</v>
      </c>
    </row>
    <row r="31051" ht="15.75" customHeight="1">
      <c r="A31051" s="7"/>
      <c r="B31051" s="7"/>
      <c r="M31051" s="9" t="s">
        <v>20</v>
      </c>
    </row>
    <row r="31052" ht="15.75" customHeight="1">
      <c r="A31052" s="7"/>
      <c r="B31052" s="7"/>
      <c r="M31052" s="9" t="s">
        <v>21</v>
      </c>
    </row>
    <row r="31053" ht="15.75" customHeight="1">
      <c r="A31053" s="7"/>
      <c r="B31053" s="7"/>
      <c r="M31053" s="9" t="s">
        <v>27</v>
      </c>
    </row>
    <row r="31054" ht="15.75" customHeight="1">
      <c r="A31054" s="7"/>
      <c r="B31054" s="7"/>
      <c r="M31054" s="9" t="s">
        <v>35</v>
      </c>
    </row>
    <row r="31055" ht="15.75" customHeight="1">
      <c r="A31055" s="7"/>
      <c r="B31055" s="7"/>
      <c r="M31055" s="9" t="s">
        <v>20</v>
      </c>
    </row>
    <row r="31056" ht="15.75" customHeight="1">
      <c r="A31056" s="7"/>
      <c r="B31056" s="7"/>
      <c r="M31056" s="9" t="s">
        <v>24</v>
      </c>
    </row>
    <row r="31057" ht="15.75" customHeight="1">
      <c r="A31057" s="7"/>
      <c r="B31057" s="7"/>
      <c r="M31057" s="9" t="s">
        <v>21</v>
      </c>
    </row>
    <row r="31058" ht="15.75" customHeight="1">
      <c r="A31058" s="7"/>
      <c r="B31058" s="7"/>
      <c r="M31058" s="9" t="s">
        <v>37</v>
      </c>
    </row>
    <row r="31059" ht="15.75" customHeight="1">
      <c r="A31059" s="7"/>
      <c r="B31059" s="7"/>
      <c r="M31059" s="9" t="s">
        <v>27</v>
      </c>
    </row>
    <row r="31060" ht="15.75" customHeight="1">
      <c r="A31060" s="7"/>
      <c r="B31060" s="7"/>
      <c r="M31060" s="9" t="s">
        <v>26</v>
      </c>
    </row>
    <row r="31061" ht="15.75" customHeight="1">
      <c r="A31061" s="7"/>
      <c r="B31061" s="7"/>
      <c r="M31061" s="9" t="s">
        <v>24</v>
      </c>
    </row>
    <row r="31062" ht="15.75" customHeight="1">
      <c r="A31062" s="7"/>
      <c r="B31062" s="7"/>
      <c r="M31062" s="9" t="s">
        <v>21</v>
      </c>
    </row>
    <row r="31063" ht="15.75" customHeight="1">
      <c r="A31063" s="7"/>
      <c r="B31063" s="7"/>
      <c r="M31063" s="9" t="s">
        <v>37</v>
      </c>
    </row>
    <row r="31064" ht="15.75" customHeight="1">
      <c r="A31064" s="7"/>
      <c r="B31064" s="7"/>
      <c r="M31064" s="9" t="s">
        <v>26</v>
      </c>
    </row>
    <row r="31065" ht="15.75" customHeight="1">
      <c r="A31065" s="7"/>
      <c r="B31065" s="7"/>
      <c r="M31065" s="9" t="s">
        <v>24</v>
      </c>
    </row>
    <row r="31066" ht="15.75" customHeight="1">
      <c r="A31066" s="7"/>
      <c r="B31066" s="7"/>
      <c r="M31066" s="9" t="s">
        <v>21</v>
      </c>
    </row>
    <row r="31067" ht="15.75" customHeight="1">
      <c r="A31067" s="7"/>
      <c r="B31067" s="7"/>
      <c r="M31067" s="9" t="s">
        <v>27</v>
      </c>
    </row>
    <row r="31068" ht="15.75" customHeight="1">
      <c r="A31068" s="7"/>
      <c r="B31068" s="7"/>
      <c r="M31068" s="9" t="s">
        <v>30</v>
      </c>
    </row>
    <row r="31069" ht="15.75" customHeight="1">
      <c r="A31069" s="7"/>
      <c r="B31069" s="7"/>
      <c r="M31069" s="9" t="s">
        <v>25</v>
      </c>
    </row>
    <row r="31070" ht="15.75" customHeight="1">
      <c r="A31070" s="7"/>
      <c r="B31070" s="7"/>
      <c r="M31070" s="9" t="s">
        <v>23</v>
      </c>
    </row>
    <row r="31071" ht="15.75" customHeight="1">
      <c r="A31071" s="7"/>
      <c r="B31071" s="7"/>
      <c r="M31071" s="9" t="s">
        <v>26</v>
      </c>
    </row>
    <row r="31072" ht="15.75" customHeight="1">
      <c r="A31072" s="7"/>
      <c r="B31072" s="7"/>
      <c r="M31072" s="9" t="s">
        <v>24</v>
      </c>
    </row>
    <row r="31073" ht="15.75" customHeight="1">
      <c r="A31073" s="7"/>
      <c r="B31073" s="7"/>
      <c r="M31073" s="9" t="s">
        <v>20</v>
      </c>
    </row>
    <row r="31074" ht="15.75" customHeight="1">
      <c r="A31074" s="7"/>
      <c r="B31074" s="7"/>
      <c r="M31074" s="9" t="s">
        <v>21</v>
      </c>
    </row>
    <row r="31075" ht="15.75" customHeight="1">
      <c r="A31075" s="7"/>
      <c r="B31075" s="7"/>
      <c r="M31075" s="9" t="s">
        <v>39</v>
      </c>
    </row>
    <row r="31076" ht="15.75" customHeight="1">
      <c r="A31076" s="7"/>
      <c r="B31076" s="7"/>
      <c r="M31076" s="9" t="s">
        <v>22</v>
      </c>
    </row>
    <row r="31077" ht="15.75" customHeight="1">
      <c r="A31077" s="7"/>
      <c r="B31077" s="7"/>
      <c r="M31077" s="9" t="s">
        <v>27</v>
      </c>
    </row>
    <row r="31078" ht="15.75" customHeight="1">
      <c r="A31078" s="7"/>
      <c r="B31078" s="7"/>
      <c r="M31078" s="9" t="s">
        <v>24</v>
      </c>
    </row>
    <row r="31079" ht="15.75" customHeight="1">
      <c r="A31079" s="7"/>
      <c r="B31079" s="7"/>
      <c r="M31079" s="9" t="s">
        <v>21</v>
      </c>
    </row>
    <row r="31080" ht="15.75" customHeight="1">
      <c r="A31080" s="7"/>
      <c r="B31080" s="7"/>
      <c r="M31080" s="9" t="s">
        <v>37</v>
      </c>
    </row>
    <row r="31081" ht="15.75" customHeight="1">
      <c r="A31081" s="7"/>
      <c r="B31081" s="7"/>
      <c r="M31081" s="9" t="s">
        <v>22</v>
      </c>
    </row>
    <row r="31082" ht="15.75" customHeight="1">
      <c r="A31082" s="7"/>
      <c r="B31082" s="7"/>
      <c r="M31082" s="9" t="s">
        <v>27</v>
      </c>
    </row>
    <row r="31083" ht="15.75" customHeight="1">
      <c r="A31083" s="7"/>
      <c r="B31083" s="7"/>
      <c r="M31083" s="9" t="s">
        <v>23</v>
      </c>
    </row>
    <row r="31084" ht="15.75" customHeight="1">
      <c r="A31084" s="7"/>
      <c r="B31084" s="7"/>
      <c r="M31084" s="9" t="s">
        <v>22</v>
      </c>
    </row>
    <row r="31085" ht="15.75" customHeight="1">
      <c r="A31085" s="7"/>
      <c r="B31085" s="7"/>
      <c r="M31085" s="9" t="s">
        <v>24</v>
      </c>
    </row>
    <row r="31086" ht="15.75" customHeight="1">
      <c r="A31086" s="7"/>
      <c r="B31086" s="7"/>
      <c r="M31086" s="9" t="s">
        <v>20</v>
      </c>
    </row>
    <row r="31087" ht="15.75" customHeight="1">
      <c r="A31087" s="7"/>
      <c r="B31087" s="7"/>
      <c r="M31087" s="9" t="s">
        <v>21</v>
      </c>
    </row>
    <row r="31088" ht="15.75" customHeight="1">
      <c r="A31088" s="7"/>
      <c r="B31088" s="7"/>
      <c r="M31088" s="9" t="s">
        <v>31</v>
      </c>
    </row>
    <row r="31089" ht="15.75" customHeight="1">
      <c r="A31089" s="7"/>
      <c r="B31089" s="7"/>
      <c r="M31089" s="9" t="s">
        <v>27</v>
      </c>
    </row>
    <row r="31090" ht="15.75" customHeight="1">
      <c r="A31090" s="7"/>
      <c r="B31090" s="7"/>
      <c r="M31090" s="9" t="s">
        <v>40</v>
      </c>
    </row>
    <row r="31091" ht="15.75" customHeight="1">
      <c r="A31091" s="7"/>
      <c r="B31091" s="7"/>
      <c r="M31091" s="9" t="s">
        <v>33</v>
      </c>
    </row>
    <row r="31092" ht="15.75" customHeight="1">
      <c r="A31092" s="7"/>
      <c r="B31092" s="7"/>
      <c r="M31092" s="9" t="s">
        <v>23</v>
      </c>
    </row>
    <row r="31093" ht="15.75" customHeight="1">
      <c r="A31093" s="7"/>
      <c r="B31093" s="7"/>
      <c r="M31093" s="9" t="s">
        <v>26</v>
      </c>
    </row>
    <row r="31094" ht="15.75" customHeight="1">
      <c r="A31094" s="7"/>
      <c r="B31094" s="7"/>
      <c r="M31094" s="9" t="s">
        <v>36</v>
      </c>
    </row>
    <row r="31095" ht="15.75" customHeight="1">
      <c r="A31095" s="7"/>
      <c r="B31095" s="7"/>
      <c r="M31095" s="9" t="s">
        <v>24</v>
      </c>
    </row>
    <row r="31096" ht="15.75" customHeight="1">
      <c r="A31096" s="7"/>
      <c r="B31096" s="7"/>
      <c r="M31096" s="9" t="s">
        <v>21</v>
      </c>
    </row>
    <row r="31097" ht="15.75" customHeight="1">
      <c r="A31097" s="7"/>
      <c r="B31097" s="7"/>
      <c r="M31097" s="9" t="s">
        <v>41</v>
      </c>
    </row>
    <row r="31098" ht="15.75" customHeight="1">
      <c r="A31098" s="7"/>
      <c r="B31098" s="7"/>
      <c r="M31098" s="9" t="s">
        <v>37</v>
      </c>
    </row>
    <row r="31099" ht="15.75" customHeight="1">
      <c r="A31099" s="7"/>
      <c r="B31099" s="7"/>
      <c r="M31099" s="9" t="s">
        <v>22</v>
      </c>
    </row>
    <row r="31100" ht="15.75" customHeight="1">
      <c r="A31100" s="7"/>
      <c r="B31100" s="7"/>
      <c r="M31100" s="9" t="s">
        <v>27</v>
      </c>
    </row>
    <row r="31101" ht="15.75" customHeight="1">
      <c r="A31101" s="7"/>
      <c r="B31101" s="7"/>
      <c r="M31101" s="9" t="s">
        <v>40</v>
      </c>
    </row>
    <row r="31102" ht="15.75" customHeight="1">
      <c r="A31102" s="7"/>
      <c r="B31102" s="7"/>
      <c r="M31102" s="9" t="s">
        <v>20</v>
      </c>
    </row>
    <row r="31103" ht="15.75" customHeight="1">
      <c r="A31103" s="7"/>
      <c r="B31103" s="7"/>
      <c r="M31103" s="9" t="s">
        <v>22</v>
      </c>
    </row>
    <row r="31104" ht="15.75" customHeight="1">
      <c r="A31104" s="7"/>
      <c r="B31104" s="7"/>
      <c r="M31104" s="9" t="s">
        <v>23</v>
      </c>
    </row>
    <row r="31105" ht="15.75" customHeight="1">
      <c r="A31105" s="7"/>
      <c r="B31105" s="7"/>
      <c r="M31105" s="9" t="s">
        <v>21</v>
      </c>
    </row>
    <row r="31106" ht="15.75" customHeight="1">
      <c r="A31106" s="7"/>
      <c r="B31106" s="7"/>
      <c r="M31106" s="9" t="s">
        <v>37</v>
      </c>
    </row>
    <row r="31107" ht="15.75" customHeight="1">
      <c r="A31107" s="7"/>
      <c r="B31107" s="7"/>
      <c r="M31107" s="9" t="s">
        <v>27</v>
      </c>
    </row>
    <row r="31108" ht="15.75" customHeight="1">
      <c r="A31108" s="7"/>
      <c r="B31108" s="7"/>
      <c r="M31108" s="9" t="s">
        <v>30</v>
      </c>
    </row>
    <row r="31109" ht="15.75" customHeight="1">
      <c r="A31109" s="7"/>
      <c r="B31109" s="7"/>
      <c r="M31109" s="9" t="s">
        <v>25</v>
      </c>
    </row>
    <row r="31110" ht="15.75" customHeight="1">
      <c r="A31110" s="7"/>
      <c r="B31110" s="7"/>
      <c r="M31110" s="9" t="s">
        <v>26</v>
      </c>
    </row>
    <row r="31111" ht="15.75" customHeight="1">
      <c r="A31111" s="7"/>
      <c r="B31111" s="7"/>
      <c r="M31111" s="9" t="s">
        <v>44</v>
      </c>
    </row>
    <row r="31112" ht="15.75" customHeight="1">
      <c r="A31112" s="7"/>
      <c r="B31112" s="7"/>
      <c r="M31112" s="9" t="s">
        <v>42</v>
      </c>
    </row>
    <row r="31113" ht="15.75" customHeight="1">
      <c r="A31113" s="7"/>
      <c r="B31113" s="7"/>
      <c r="M31113" s="9" t="s">
        <v>24</v>
      </c>
    </row>
    <row r="31114" ht="15.75" customHeight="1">
      <c r="A31114" s="7"/>
      <c r="B31114" s="7"/>
      <c r="M31114" s="9" t="s">
        <v>20</v>
      </c>
    </row>
    <row r="31115" ht="15.75" customHeight="1">
      <c r="A31115" s="7"/>
      <c r="B31115" s="7"/>
      <c r="M31115" s="9" t="s">
        <v>21</v>
      </c>
    </row>
    <row r="31116" ht="15.75" customHeight="1">
      <c r="A31116" s="7"/>
      <c r="B31116" s="7"/>
      <c r="M31116" s="9" t="s">
        <v>41</v>
      </c>
    </row>
    <row r="31117" ht="15.75" customHeight="1">
      <c r="A31117" s="7"/>
      <c r="B31117" s="7"/>
      <c r="M31117" s="9" t="s">
        <v>37</v>
      </c>
    </row>
    <row r="31118" ht="15.75" customHeight="1">
      <c r="A31118" s="7"/>
      <c r="B31118" s="7"/>
      <c r="M31118" s="9" t="s">
        <v>27</v>
      </c>
    </row>
    <row r="31119" ht="15.75" customHeight="1">
      <c r="A31119" s="7"/>
      <c r="B31119" s="7"/>
      <c r="M31119" s="9" t="s">
        <v>40</v>
      </c>
    </row>
    <row r="31120" ht="15.75" customHeight="1">
      <c r="A31120" s="7"/>
      <c r="B31120" s="7"/>
      <c r="M31120" s="9" t="s">
        <v>33</v>
      </c>
    </row>
    <row r="31121" ht="15.75" customHeight="1">
      <c r="A31121" s="7"/>
      <c r="B31121" s="7"/>
      <c r="M31121" s="9" t="s">
        <v>38</v>
      </c>
    </row>
    <row r="31122" ht="15.75" customHeight="1">
      <c r="A31122" s="7"/>
      <c r="B31122" s="7"/>
      <c r="M31122" s="9" t="s">
        <v>30</v>
      </c>
    </row>
    <row r="31123" ht="15.75" customHeight="1">
      <c r="A31123" s="7"/>
      <c r="B31123" s="7"/>
      <c r="M31123" s="9" t="s">
        <v>25</v>
      </c>
    </row>
    <row r="31124" ht="15.75" customHeight="1">
      <c r="A31124" s="7"/>
      <c r="B31124" s="7"/>
      <c r="M31124" s="9" t="s">
        <v>23</v>
      </c>
    </row>
    <row r="31125" ht="15.75" customHeight="1">
      <c r="A31125" s="7"/>
      <c r="B31125" s="7"/>
      <c r="M31125" s="9" t="s">
        <v>43</v>
      </c>
    </row>
    <row r="31126" ht="15.75" customHeight="1">
      <c r="A31126" s="7"/>
      <c r="B31126" s="7"/>
      <c r="M31126" s="9" t="s">
        <v>24</v>
      </c>
    </row>
    <row r="31127" ht="15.75" customHeight="1">
      <c r="A31127" s="7"/>
      <c r="B31127" s="7"/>
      <c r="M31127" s="9" t="s">
        <v>20</v>
      </c>
    </row>
    <row r="31128" ht="15.75" customHeight="1">
      <c r="A31128" s="7"/>
      <c r="B31128" s="7"/>
      <c r="M31128" s="9" t="s">
        <v>21</v>
      </c>
    </row>
    <row r="31129" ht="15.75" customHeight="1">
      <c r="A31129" s="7"/>
      <c r="B31129" s="7"/>
      <c r="M31129" s="9" t="s">
        <v>37</v>
      </c>
    </row>
    <row r="31130" ht="15.75" customHeight="1">
      <c r="A31130" s="7"/>
      <c r="B31130" s="7"/>
      <c r="M31130" s="9" t="s">
        <v>46</v>
      </c>
    </row>
    <row r="31131" ht="15.75" customHeight="1">
      <c r="A31131" s="7"/>
      <c r="B31131" s="7"/>
      <c r="M31131" s="9" t="s">
        <v>27</v>
      </c>
    </row>
    <row r="31132" ht="15.75" customHeight="1">
      <c r="A31132" s="7"/>
      <c r="B31132" s="7"/>
      <c r="M31132" s="9" t="s">
        <v>21</v>
      </c>
    </row>
    <row r="31133" ht="15.75" customHeight="1">
      <c r="A31133" s="7"/>
      <c r="B31133" s="7"/>
      <c r="M31133" s="9" t="s">
        <v>27</v>
      </c>
    </row>
    <row r="31134" ht="15.75" customHeight="1">
      <c r="A31134" s="7"/>
      <c r="B31134" s="7"/>
      <c r="M31134" s="9" t="s">
        <v>35</v>
      </c>
    </row>
    <row r="31135" ht="15.75" customHeight="1">
      <c r="A31135" s="7"/>
      <c r="B31135" s="7"/>
      <c r="M31135" s="9" t="s">
        <v>20</v>
      </c>
    </row>
    <row r="31136" ht="15.75" customHeight="1">
      <c r="A31136" s="7"/>
      <c r="B31136" s="7"/>
      <c r="M31136" s="9" t="s">
        <v>21</v>
      </c>
    </row>
    <row r="31137" ht="15.75" customHeight="1">
      <c r="A31137" s="7"/>
      <c r="B31137" s="7"/>
      <c r="M31137" s="9" t="s">
        <v>39</v>
      </c>
    </row>
    <row r="31138" ht="15.75" customHeight="1">
      <c r="A31138" s="7"/>
      <c r="B31138" s="7"/>
      <c r="M31138" s="9" t="s">
        <v>22</v>
      </c>
    </row>
    <row r="31139" ht="15.75" customHeight="1">
      <c r="A31139" s="7"/>
      <c r="B31139" s="7"/>
      <c r="M31139" s="9" t="s">
        <v>29</v>
      </c>
    </row>
    <row r="31140" ht="15.75" customHeight="1">
      <c r="A31140" s="7"/>
      <c r="B31140" s="7"/>
      <c r="M31140" s="9" t="s">
        <v>46</v>
      </c>
    </row>
    <row r="31141" ht="15.75" customHeight="1">
      <c r="A31141" s="7"/>
      <c r="B31141" s="7"/>
      <c r="M31141" s="9" t="s">
        <v>33</v>
      </c>
    </row>
    <row r="31142" ht="15.75" customHeight="1">
      <c r="A31142" s="7"/>
      <c r="B31142" s="7"/>
      <c r="M31142" s="9" t="s">
        <v>30</v>
      </c>
    </row>
    <row r="31143" ht="15.75" customHeight="1">
      <c r="A31143" s="7"/>
      <c r="B31143" s="7"/>
      <c r="M31143" s="9" t="s">
        <v>25</v>
      </c>
    </row>
    <row r="31144" ht="15.75" customHeight="1">
      <c r="A31144" s="7"/>
      <c r="B31144" s="7"/>
      <c r="M31144" s="9" t="s">
        <v>30</v>
      </c>
    </row>
    <row r="31145" ht="15.75" customHeight="1">
      <c r="A31145" s="7"/>
      <c r="B31145" s="7"/>
      <c r="M31145" s="9" t="s">
        <v>36</v>
      </c>
    </row>
    <row r="31146" ht="15.75" customHeight="1">
      <c r="A31146" s="7"/>
      <c r="B31146" s="7"/>
      <c r="M31146" s="9" t="s">
        <v>24</v>
      </c>
    </row>
    <row r="31147" ht="15.75" customHeight="1">
      <c r="A31147" s="7"/>
      <c r="B31147" s="7"/>
      <c r="M31147" s="9" t="s">
        <v>20</v>
      </c>
    </row>
    <row r="31148" ht="15.75" customHeight="1">
      <c r="A31148" s="7"/>
      <c r="B31148" s="7"/>
      <c r="M31148" s="9" t="s">
        <v>21</v>
      </c>
    </row>
    <row r="31149" ht="15.75" customHeight="1">
      <c r="A31149" s="7"/>
      <c r="B31149" s="7"/>
      <c r="M31149" s="9" t="s">
        <v>39</v>
      </c>
    </row>
    <row r="31150" ht="15.75" customHeight="1">
      <c r="A31150" s="7"/>
      <c r="B31150" s="7"/>
      <c r="M31150" s="9" t="s">
        <v>41</v>
      </c>
    </row>
    <row r="31151" ht="15.75" customHeight="1">
      <c r="A31151" s="7"/>
      <c r="B31151" s="7"/>
      <c r="M31151" s="9" t="s">
        <v>31</v>
      </c>
    </row>
    <row r="31152" ht="15.75" customHeight="1">
      <c r="A31152" s="7"/>
      <c r="B31152" s="7"/>
      <c r="M31152" s="9" t="s">
        <v>26</v>
      </c>
    </row>
    <row r="31153" ht="15.75" customHeight="1">
      <c r="A31153" s="7"/>
      <c r="B31153" s="7"/>
      <c r="M31153" s="9" t="s">
        <v>24</v>
      </c>
    </row>
    <row r="31154" ht="15.75" customHeight="1">
      <c r="A31154" s="7"/>
      <c r="B31154" s="7"/>
      <c r="M31154" s="9" t="s">
        <v>37</v>
      </c>
    </row>
    <row r="31155" ht="15.75" customHeight="1">
      <c r="A31155" s="7"/>
      <c r="B31155" s="7"/>
      <c r="M31155" s="9" t="s">
        <v>27</v>
      </c>
    </row>
    <row r="31156" ht="15.75" customHeight="1">
      <c r="A31156" s="7"/>
      <c r="B31156" s="7"/>
      <c r="M31156" s="9" t="s">
        <v>30</v>
      </c>
    </row>
    <row r="31157" ht="15.75" customHeight="1">
      <c r="A31157" s="7"/>
      <c r="B31157" s="7"/>
      <c r="M31157" s="9" t="s">
        <v>25</v>
      </c>
    </row>
    <row r="31158" ht="15.75" customHeight="1">
      <c r="A31158" s="7"/>
      <c r="B31158" s="7"/>
      <c r="M31158" s="9" t="s">
        <v>24</v>
      </c>
    </row>
    <row r="31159" ht="15.75" customHeight="1">
      <c r="A31159" s="7"/>
      <c r="B31159" s="7"/>
      <c r="M31159" s="9" t="s">
        <v>20</v>
      </c>
    </row>
    <row r="31160" ht="15.75" customHeight="1">
      <c r="A31160" s="7"/>
      <c r="B31160" s="7"/>
      <c r="M31160" s="9" t="s">
        <v>21</v>
      </c>
    </row>
    <row r="31161" ht="15.75" customHeight="1">
      <c r="A31161" s="7"/>
      <c r="B31161" s="7"/>
      <c r="M31161" s="9" t="s">
        <v>39</v>
      </c>
    </row>
    <row r="31162" ht="15.75" customHeight="1">
      <c r="A31162" s="7"/>
      <c r="B31162" s="7"/>
      <c r="M31162" s="9" t="s">
        <v>37</v>
      </c>
    </row>
    <row r="31163" ht="15.75" customHeight="1">
      <c r="A31163" s="7"/>
      <c r="B31163" s="7"/>
      <c r="M31163" s="9" t="s">
        <v>22</v>
      </c>
    </row>
    <row r="31164" ht="15.75" customHeight="1">
      <c r="A31164" s="7"/>
      <c r="B31164" s="7"/>
      <c r="M31164" s="9" t="s">
        <v>27</v>
      </c>
    </row>
    <row r="31165" ht="15.75" customHeight="1">
      <c r="A31165" s="7"/>
      <c r="B31165" s="7"/>
      <c r="M31165" s="9" t="s">
        <v>28</v>
      </c>
    </row>
    <row r="31166" ht="15.75" customHeight="1">
      <c r="A31166" s="7"/>
      <c r="B31166" s="7"/>
      <c r="M31166" s="9" t="s">
        <v>25</v>
      </c>
    </row>
    <row r="31167" ht="15.75" customHeight="1">
      <c r="A31167" s="7"/>
      <c r="B31167" s="7"/>
      <c r="M31167" s="9" t="s">
        <v>23</v>
      </c>
    </row>
    <row r="31168" ht="15.75" customHeight="1">
      <c r="A31168" s="7"/>
      <c r="B31168" s="7"/>
      <c r="M31168" s="9" t="s">
        <v>24</v>
      </c>
    </row>
    <row r="31169" ht="15.75" customHeight="1">
      <c r="A31169" s="7"/>
      <c r="B31169" s="7"/>
      <c r="M31169" s="9" t="s">
        <v>20</v>
      </c>
    </row>
    <row r="31170" ht="15.75" customHeight="1">
      <c r="A31170" s="7"/>
      <c r="B31170" s="7"/>
      <c r="M31170" s="9" t="s">
        <v>21</v>
      </c>
    </row>
    <row r="31171" ht="15.75" customHeight="1">
      <c r="A31171" s="7"/>
      <c r="B31171" s="7"/>
      <c r="M31171" s="9" t="s">
        <v>27</v>
      </c>
    </row>
    <row r="31172" ht="15.75" customHeight="1">
      <c r="A31172" s="7"/>
      <c r="B31172" s="7"/>
      <c r="M31172" s="9" t="s">
        <v>30</v>
      </c>
    </row>
    <row r="31173" ht="15.75" customHeight="1">
      <c r="A31173" s="7"/>
      <c r="B31173" s="7"/>
      <c r="M31173" s="9" t="s">
        <v>24</v>
      </c>
    </row>
    <row r="31174" ht="15.75" customHeight="1">
      <c r="A31174" s="7"/>
      <c r="B31174" s="7"/>
      <c r="M31174" s="9" t="s">
        <v>21</v>
      </c>
    </row>
    <row r="31175" ht="15.75" customHeight="1">
      <c r="A31175" s="7"/>
      <c r="B31175" s="7"/>
      <c r="M31175" s="9" t="s">
        <v>37</v>
      </c>
    </row>
    <row r="31176" ht="15.75" customHeight="1">
      <c r="A31176" s="7"/>
      <c r="B31176" s="7"/>
      <c r="M31176" s="9" t="s">
        <v>27</v>
      </c>
    </row>
    <row r="31177" ht="15.75" customHeight="1">
      <c r="A31177" s="7"/>
      <c r="B31177" s="7"/>
      <c r="M31177" s="9" t="s">
        <v>30</v>
      </c>
    </row>
    <row r="31178" ht="15.75" customHeight="1">
      <c r="A31178" s="7"/>
      <c r="B31178" s="7"/>
      <c r="M31178" s="9" t="s">
        <v>23</v>
      </c>
    </row>
    <row r="31179" ht="15.75" customHeight="1">
      <c r="A31179" s="7"/>
      <c r="B31179" s="7"/>
      <c r="M31179" s="9" t="s">
        <v>26</v>
      </c>
    </row>
    <row r="31180" ht="15.75" customHeight="1">
      <c r="A31180" s="7"/>
      <c r="B31180" s="7"/>
      <c r="M31180" s="9" t="s">
        <v>24</v>
      </c>
    </row>
    <row r="31181" ht="15.75" customHeight="1">
      <c r="A31181" s="7"/>
      <c r="B31181" s="7"/>
      <c r="M31181" s="9" t="s">
        <v>20</v>
      </c>
    </row>
    <row r="31182" ht="15.75" customHeight="1">
      <c r="A31182" s="7"/>
      <c r="B31182" s="7"/>
      <c r="M31182" s="9" t="s">
        <v>21</v>
      </c>
    </row>
    <row r="31183" ht="15.75" customHeight="1">
      <c r="A31183" s="7"/>
      <c r="B31183" s="7"/>
      <c r="M31183" s="9" t="s">
        <v>33</v>
      </c>
    </row>
    <row r="31184" ht="15.75" customHeight="1">
      <c r="A31184" s="7"/>
      <c r="B31184" s="7"/>
      <c r="M31184" s="9" t="s">
        <v>26</v>
      </c>
    </row>
    <row r="31185" ht="15.75" customHeight="1">
      <c r="A31185" s="7"/>
      <c r="B31185" s="7"/>
      <c r="M31185" s="9" t="s">
        <v>24</v>
      </c>
    </row>
    <row r="31186" ht="15.75" customHeight="1">
      <c r="A31186" s="7"/>
      <c r="B31186" s="7"/>
      <c r="M31186" s="9" t="s">
        <v>20</v>
      </c>
    </row>
    <row r="31187" ht="15.75" customHeight="1">
      <c r="A31187" s="7"/>
      <c r="B31187" s="7"/>
      <c r="M31187" s="9" t="s">
        <v>21</v>
      </c>
    </row>
    <row r="31188" ht="15.75" customHeight="1">
      <c r="A31188" s="7"/>
      <c r="B31188" s="7"/>
      <c r="M31188" s="9" t="s">
        <v>27</v>
      </c>
    </row>
    <row r="31189" ht="15.75" customHeight="1">
      <c r="A31189" s="7"/>
      <c r="B31189" s="7"/>
      <c r="M31189" s="9" t="s">
        <v>26</v>
      </c>
    </row>
    <row r="31190" ht="15.75" customHeight="1">
      <c r="A31190" s="7"/>
      <c r="B31190" s="7"/>
      <c r="M31190" s="9" t="s">
        <v>20</v>
      </c>
    </row>
    <row r="31191" ht="15.75" customHeight="1">
      <c r="A31191" s="7"/>
      <c r="B31191" s="7"/>
      <c r="M31191" s="9" t="s">
        <v>21</v>
      </c>
    </row>
    <row r="31192" ht="15.75" customHeight="1">
      <c r="A31192" s="7"/>
      <c r="B31192" s="7"/>
      <c r="M31192" s="9" t="s">
        <v>33</v>
      </c>
    </row>
    <row r="31193" ht="15.75" customHeight="1">
      <c r="A31193" s="7"/>
      <c r="B31193" s="7"/>
      <c r="M31193" s="9" t="s">
        <v>30</v>
      </c>
    </row>
    <row r="31194" ht="15.75" customHeight="1">
      <c r="A31194" s="7"/>
      <c r="B31194" s="7"/>
      <c r="M31194" s="9" t="s">
        <v>44</v>
      </c>
    </row>
    <row r="31195" ht="15.75" customHeight="1">
      <c r="A31195" s="7"/>
      <c r="B31195" s="7"/>
      <c r="M31195" s="9" t="s">
        <v>47</v>
      </c>
    </row>
    <row r="31196" ht="15.75" customHeight="1">
      <c r="A31196" s="7"/>
      <c r="B31196" s="7"/>
      <c r="M31196" s="9" t="s">
        <v>36</v>
      </c>
    </row>
    <row r="31197" ht="15.75" customHeight="1">
      <c r="A31197" s="7"/>
      <c r="B31197" s="7"/>
      <c r="M31197" s="9" t="s">
        <v>24</v>
      </c>
    </row>
    <row r="31198" ht="15.75" customHeight="1">
      <c r="A31198" s="7"/>
      <c r="B31198" s="7"/>
      <c r="M31198" s="9" t="s">
        <v>20</v>
      </c>
    </row>
    <row r="31199" ht="15.75" customHeight="1">
      <c r="A31199" s="7"/>
      <c r="B31199" s="7"/>
      <c r="M31199" s="9" t="s">
        <v>21</v>
      </c>
    </row>
    <row r="31200" ht="15.75" customHeight="1">
      <c r="A31200" s="7"/>
      <c r="B31200" s="7"/>
      <c r="M31200" s="9" t="s">
        <v>22</v>
      </c>
    </row>
    <row r="31201" ht="15.75" customHeight="1">
      <c r="A31201" s="7"/>
      <c r="B31201" s="7"/>
      <c r="M31201" s="9" t="s">
        <v>27</v>
      </c>
    </row>
    <row r="31202" ht="15.75" customHeight="1">
      <c r="A31202" s="7"/>
      <c r="B31202" s="7"/>
      <c r="M31202" s="9" t="s">
        <v>21</v>
      </c>
    </row>
    <row r="31203" ht="15.75" customHeight="1">
      <c r="A31203" s="7"/>
      <c r="B31203" s="7"/>
      <c r="M31203" s="9" t="s">
        <v>22</v>
      </c>
    </row>
    <row r="31204" ht="15.75" customHeight="1">
      <c r="A31204" s="7"/>
      <c r="B31204" s="7"/>
      <c r="M31204" s="9" t="s">
        <v>30</v>
      </c>
    </row>
    <row r="31205" ht="15.75" customHeight="1">
      <c r="A31205" s="7"/>
      <c r="B31205" s="7"/>
      <c r="M31205" s="9" t="s">
        <v>24</v>
      </c>
    </row>
    <row r="31206" ht="15.75" customHeight="1">
      <c r="A31206" s="7"/>
      <c r="B31206" s="7"/>
      <c r="M31206" s="9" t="s">
        <v>37</v>
      </c>
    </row>
    <row r="31207" ht="15.75" customHeight="1">
      <c r="A31207" s="7"/>
      <c r="B31207" s="7"/>
      <c r="M31207" s="9" t="s">
        <v>22</v>
      </c>
    </row>
    <row r="31208" ht="15.75" customHeight="1">
      <c r="A31208" s="7"/>
      <c r="B31208" s="7"/>
      <c r="M31208" s="9" t="s">
        <v>29</v>
      </c>
    </row>
    <row r="31209" ht="15.75" customHeight="1">
      <c r="A31209" s="7"/>
      <c r="B31209" s="7"/>
      <c r="M31209" s="9" t="s">
        <v>27</v>
      </c>
    </row>
    <row r="31210" ht="15.75" customHeight="1">
      <c r="A31210" s="7"/>
      <c r="B31210" s="7"/>
      <c r="M31210" s="9" t="s">
        <v>30</v>
      </c>
    </row>
    <row r="31211" ht="15.75" customHeight="1">
      <c r="A31211" s="7"/>
      <c r="B31211" s="7"/>
      <c r="M31211" s="9" t="s">
        <v>26</v>
      </c>
    </row>
    <row r="31212" ht="15.75" customHeight="1">
      <c r="A31212" s="7"/>
      <c r="B31212" s="7"/>
      <c r="M31212" s="9" t="s">
        <v>24</v>
      </c>
    </row>
    <row r="31213" ht="15.75" customHeight="1">
      <c r="A31213" s="7"/>
      <c r="B31213" s="7"/>
      <c r="M31213" s="9" t="s">
        <v>20</v>
      </c>
    </row>
    <row r="31214" ht="15.75" customHeight="1">
      <c r="A31214" s="7"/>
      <c r="B31214" s="7"/>
      <c r="M31214" s="9" t="s">
        <v>21</v>
      </c>
    </row>
    <row r="31215" ht="15.75" customHeight="1">
      <c r="A31215" s="7"/>
      <c r="B31215" s="7"/>
      <c r="M31215" s="9" t="s">
        <v>41</v>
      </c>
    </row>
    <row r="31216" ht="15.75" customHeight="1">
      <c r="A31216" s="7"/>
      <c r="B31216" s="7"/>
      <c r="M31216" s="9" t="s">
        <v>37</v>
      </c>
    </row>
    <row r="31217" ht="15.75" customHeight="1">
      <c r="A31217" s="7"/>
      <c r="B31217" s="7"/>
      <c r="M31217" s="9" t="s">
        <v>27</v>
      </c>
    </row>
    <row r="31218" ht="15.75" customHeight="1">
      <c r="A31218" s="7"/>
      <c r="B31218" s="7"/>
      <c r="M31218" s="9" t="s">
        <v>33</v>
      </c>
    </row>
    <row r="31219" ht="15.75" customHeight="1">
      <c r="A31219" s="7"/>
      <c r="B31219" s="7"/>
      <c r="M31219" s="9" t="s">
        <v>38</v>
      </c>
    </row>
    <row r="31220" ht="15.75" customHeight="1">
      <c r="A31220" s="7"/>
      <c r="B31220" s="7"/>
      <c r="M31220" s="9" t="s">
        <v>30</v>
      </c>
    </row>
    <row r="31221" ht="15.75" customHeight="1">
      <c r="A31221" s="7"/>
      <c r="B31221" s="7"/>
      <c r="M31221" s="9" t="s">
        <v>23</v>
      </c>
    </row>
    <row r="31222" ht="15.75" customHeight="1">
      <c r="A31222" s="7"/>
      <c r="B31222" s="7"/>
      <c r="M31222" s="9" t="s">
        <v>36</v>
      </c>
    </row>
    <row r="31223" ht="15.75" customHeight="1">
      <c r="A31223" s="7"/>
      <c r="B31223" s="7"/>
      <c r="M31223" s="9" t="s">
        <v>24</v>
      </c>
    </row>
    <row r="31224" ht="15.75" customHeight="1">
      <c r="A31224" s="7"/>
      <c r="B31224" s="7"/>
      <c r="M31224" s="9" t="s">
        <v>21</v>
      </c>
    </row>
    <row r="31225" ht="15.75" customHeight="1">
      <c r="A31225" s="7"/>
      <c r="B31225" s="7"/>
      <c r="M31225" s="9" t="s">
        <v>22</v>
      </c>
    </row>
    <row r="31226" ht="15.75" customHeight="1">
      <c r="A31226" s="7"/>
      <c r="B31226" s="7"/>
      <c r="M31226" s="9" t="s">
        <v>32</v>
      </c>
    </row>
    <row r="31227" ht="15.75" customHeight="1">
      <c r="A31227" s="7"/>
      <c r="B31227" s="7"/>
      <c r="M31227" s="9" t="s">
        <v>30</v>
      </c>
    </row>
    <row r="31228" ht="15.75" customHeight="1">
      <c r="A31228" s="7"/>
      <c r="B31228" s="7"/>
      <c r="M31228" s="9" t="s">
        <v>24</v>
      </c>
    </row>
    <row r="31229" ht="15.75" customHeight="1">
      <c r="A31229" s="7"/>
      <c r="B31229" s="7"/>
      <c r="M31229" s="9" t="s">
        <v>20</v>
      </c>
    </row>
    <row r="31230" ht="15.75" customHeight="1">
      <c r="A31230" s="7"/>
      <c r="B31230" s="7"/>
      <c r="M31230" s="9" t="s">
        <v>21</v>
      </c>
    </row>
    <row r="31231" ht="15.75" customHeight="1">
      <c r="A31231" s="7"/>
      <c r="B31231" s="7"/>
      <c r="M31231" s="9" t="s">
        <v>27</v>
      </c>
    </row>
    <row r="31232" ht="15.75" customHeight="1">
      <c r="A31232" s="7"/>
      <c r="B31232" s="7"/>
      <c r="M31232" s="9" t="s">
        <v>21</v>
      </c>
    </row>
    <row r="31233" ht="15.75" customHeight="1">
      <c r="A31233" s="7"/>
      <c r="B31233" s="7"/>
      <c r="M31233" s="9" t="s">
        <v>22</v>
      </c>
    </row>
    <row r="31234" ht="15.75" customHeight="1">
      <c r="A31234" s="7"/>
      <c r="B31234" s="7"/>
      <c r="M31234" s="9" t="s">
        <v>23</v>
      </c>
    </row>
    <row r="31235" ht="15.75" customHeight="1">
      <c r="A31235" s="7"/>
      <c r="B31235" s="7"/>
      <c r="M31235" s="9" t="s">
        <v>26</v>
      </c>
    </row>
    <row r="31236" ht="15.75" customHeight="1">
      <c r="A31236" s="7"/>
      <c r="B31236" s="7"/>
      <c r="M31236" s="9" t="s">
        <v>22</v>
      </c>
    </row>
    <row r="31237" ht="15.75" customHeight="1">
      <c r="A31237" s="7"/>
      <c r="B31237" s="7"/>
      <c r="M31237" s="9" t="s">
        <v>29</v>
      </c>
    </row>
    <row r="31238" ht="15.75" customHeight="1">
      <c r="A31238" s="7"/>
      <c r="B31238" s="7"/>
      <c r="M31238" s="9" t="s">
        <v>33</v>
      </c>
    </row>
    <row r="31239" ht="15.75" customHeight="1">
      <c r="A31239" s="7"/>
      <c r="B31239" s="7"/>
      <c r="M31239" s="9" t="s">
        <v>30</v>
      </c>
    </row>
    <row r="31240" ht="15.75" customHeight="1">
      <c r="A31240" s="7"/>
      <c r="B31240" s="7"/>
      <c r="M31240" s="9" t="s">
        <v>25</v>
      </c>
    </row>
    <row r="31241" ht="15.75" customHeight="1">
      <c r="A31241" s="7"/>
      <c r="B31241" s="7"/>
      <c r="M31241" s="9" t="s">
        <v>23</v>
      </c>
    </row>
    <row r="31242" ht="15.75" customHeight="1">
      <c r="A31242" s="7"/>
      <c r="B31242" s="7"/>
      <c r="M31242" s="9" t="s">
        <v>47</v>
      </c>
    </row>
    <row r="31243" ht="15.75" customHeight="1">
      <c r="A31243" s="7"/>
      <c r="B31243" s="7"/>
      <c r="M31243" s="9" t="s">
        <v>24</v>
      </c>
    </row>
    <row r="31244" ht="15.75" customHeight="1">
      <c r="A31244" s="7"/>
      <c r="B31244" s="7"/>
      <c r="M31244" s="9" t="s">
        <v>21</v>
      </c>
    </row>
    <row r="31245" ht="15.75" customHeight="1">
      <c r="A31245" s="7"/>
      <c r="B31245" s="7"/>
      <c r="M31245" s="9" t="s">
        <v>22</v>
      </c>
    </row>
    <row r="31246" ht="15.75" customHeight="1">
      <c r="A31246" s="7"/>
      <c r="B31246" s="7"/>
      <c r="M31246" s="9" t="s">
        <v>31</v>
      </c>
    </row>
    <row r="31247" ht="15.75" customHeight="1">
      <c r="A31247" s="7"/>
      <c r="B31247" s="7"/>
      <c r="M31247" s="9" t="s">
        <v>27</v>
      </c>
    </row>
    <row r="31248" ht="15.75" customHeight="1">
      <c r="A31248" s="7"/>
      <c r="B31248" s="7"/>
      <c r="M31248" s="9" t="s">
        <v>23</v>
      </c>
    </row>
    <row r="31249" ht="15.75" customHeight="1">
      <c r="A31249" s="7"/>
      <c r="B31249" s="7"/>
      <c r="M31249" s="9" t="s">
        <v>26</v>
      </c>
    </row>
    <row r="31250" ht="15.75" customHeight="1">
      <c r="A31250" s="7"/>
      <c r="B31250" s="7"/>
      <c r="M31250" s="9" t="s">
        <v>24</v>
      </c>
    </row>
    <row r="31251" ht="15.75" customHeight="1">
      <c r="A31251" s="7"/>
      <c r="B31251" s="7"/>
      <c r="M31251" s="9" t="s">
        <v>21</v>
      </c>
    </row>
    <row r="31252" ht="15.75" customHeight="1">
      <c r="A31252" s="7"/>
      <c r="B31252" s="7"/>
      <c r="M31252" s="9" t="s">
        <v>24</v>
      </c>
    </row>
    <row r="31253" ht="15.75" customHeight="1">
      <c r="A31253" s="7"/>
      <c r="B31253" s="7"/>
      <c r="M31253" s="9" t="s">
        <v>20</v>
      </c>
    </row>
    <row r="31254" ht="15.75" customHeight="1">
      <c r="A31254" s="7"/>
      <c r="B31254" s="7"/>
      <c r="M31254" s="9" t="s">
        <v>22</v>
      </c>
    </row>
    <row r="31255" ht="15.75" customHeight="1">
      <c r="A31255" s="7"/>
      <c r="B31255" s="7"/>
      <c r="M31255" s="9" t="s">
        <v>27</v>
      </c>
    </row>
    <row r="31256" ht="15.75" customHeight="1">
      <c r="A31256" s="7"/>
      <c r="B31256" s="7"/>
      <c r="M31256" s="9" t="s">
        <v>24</v>
      </c>
    </row>
    <row r="31257" ht="15.75" customHeight="1">
      <c r="A31257" s="7"/>
      <c r="B31257" s="7"/>
      <c r="M31257" s="9" t="s">
        <v>21</v>
      </c>
    </row>
    <row r="31258" ht="15.75" customHeight="1">
      <c r="A31258" s="7"/>
      <c r="B31258" s="7"/>
      <c r="M31258" s="9" t="s">
        <v>23</v>
      </c>
    </row>
    <row r="31259" ht="15.75" customHeight="1">
      <c r="A31259" s="7"/>
      <c r="B31259" s="7"/>
      <c r="M31259" s="9" t="s">
        <v>24</v>
      </c>
    </row>
    <row r="31260" ht="15.75" customHeight="1">
      <c r="A31260" s="7"/>
      <c r="B31260" s="7"/>
      <c r="M31260" s="9" t="s">
        <v>21</v>
      </c>
    </row>
    <row r="31261" ht="15.75" customHeight="1">
      <c r="A31261" s="7"/>
      <c r="B31261" s="7"/>
      <c r="M31261" s="9" t="s">
        <v>22</v>
      </c>
    </row>
    <row r="31262" ht="15.75" customHeight="1">
      <c r="A31262" s="7"/>
      <c r="B31262" s="7"/>
      <c r="M31262" s="9" t="s">
        <v>26</v>
      </c>
    </row>
    <row r="31263" ht="15.75" customHeight="1">
      <c r="A31263" s="7"/>
      <c r="B31263" s="7"/>
      <c r="M31263" s="9" t="s">
        <v>24</v>
      </c>
    </row>
    <row r="31264" ht="15.75" customHeight="1">
      <c r="A31264" s="7"/>
      <c r="B31264" s="7"/>
      <c r="M31264" s="9" t="s">
        <v>21</v>
      </c>
    </row>
    <row r="31265" ht="15.75" customHeight="1">
      <c r="A31265" s="7"/>
      <c r="B31265" s="7"/>
      <c r="M31265" s="9" t="s">
        <v>37</v>
      </c>
    </row>
    <row r="31266" ht="15.75" customHeight="1">
      <c r="A31266" s="7"/>
      <c r="B31266" s="7"/>
      <c r="M31266" s="9" t="s">
        <v>27</v>
      </c>
    </row>
    <row r="31267" ht="15.75" customHeight="1">
      <c r="A31267" s="7"/>
      <c r="B31267" s="7"/>
      <c r="M31267" s="9" t="s">
        <v>30</v>
      </c>
    </row>
    <row r="31268" ht="15.75" customHeight="1">
      <c r="A31268" s="7"/>
      <c r="B31268" s="7"/>
      <c r="M31268" s="9" t="s">
        <v>26</v>
      </c>
    </row>
    <row r="31269" ht="15.75" customHeight="1">
      <c r="A31269" s="7"/>
      <c r="B31269" s="7"/>
      <c r="M31269" s="9" t="s">
        <v>24</v>
      </c>
    </row>
    <row r="31270" ht="15.75" customHeight="1">
      <c r="A31270" s="7"/>
      <c r="B31270" s="7"/>
      <c r="M31270" s="9" t="s">
        <v>21</v>
      </c>
    </row>
    <row r="31271" ht="15.75" customHeight="1">
      <c r="A31271" s="7"/>
      <c r="B31271" s="7"/>
      <c r="M31271" s="9" t="s">
        <v>27</v>
      </c>
    </row>
    <row r="31272" ht="15.75" customHeight="1">
      <c r="A31272" s="7"/>
      <c r="B31272" s="7"/>
      <c r="M31272" s="9" t="s">
        <v>33</v>
      </c>
    </row>
    <row r="31273" ht="15.75" customHeight="1">
      <c r="A31273" s="7"/>
      <c r="B31273" s="7"/>
      <c r="M31273" s="9" t="s">
        <v>38</v>
      </c>
    </row>
    <row r="31274" ht="15.75" customHeight="1">
      <c r="A31274" s="7"/>
      <c r="B31274" s="7"/>
      <c r="M31274" s="9" t="s">
        <v>30</v>
      </c>
    </row>
    <row r="31275" ht="15.75" customHeight="1">
      <c r="A31275" s="7"/>
      <c r="B31275" s="7"/>
      <c r="M31275" s="9" t="s">
        <v>25</v>
      </c>
    </row>
    <row r="31276" ht="15.75" customHeight="1">
      <c r="A31276" s="7"/>
      <c r="B31276" s="7"/>
      <c r="M31276" s="9" t="s">
        <v>23</v>
      </c>
    </row>
    <row r="31277" ht="15.75" customHeight="1">
      <c r="A31277" s="7"/>
      <c r="B31277" s="7"/>
      <c r="M31277" s="9" t="s">
        <v>26</v>
      </c>
    </row>
    <row r="31278" ht="15.75" customHeight="1">
      <c r="A31278" s="7"/>
      <c r="B31278" s="7"/>
      <c r="M31278" s="9" t="s">
        <v>44</v>
      </c>
    </row>
    <row r="31279" ht="15.75" customHeight="1">
      <c r="A31279" s="7"/>
      <c r="B31279" s="7"/>
      <c r="M31279" s="9" t="s">
        <v>45</v>
      </c>
    </row>
    <row r="31280" ht="15.75" customHeight="1">
      <c r="A31280" s="7"/>
      <c r="B31280" s="7"/>
      <c r="M31280" s="9" t="s">
        <v>36</v>
      </c>
    </row>
    <row r="31281" ht="15.75" customHeight="1">
      <c r="A31281" s="7"/>
      <c r="B31281" s="7"/>
      <c r="M31281" s="9" t="s">
        <v>20</v>
      </c>
    </row>
    <row r="31282" ht="15.75" customHeight="1">
      <c r="A31282" s="7"/>
      <c r="B31282" s="7"/>
      <c r="M31282" s="9" t="s">
        <v>30</v>
      </c>
    </row>
    <row r="31283" ht="15.75" customHeight="1">
      <c r="A31283" s="7"/>
      <c r="B31283" s="7"/>
      <c r="M31283" s="9" t="s">
        <v>25</v>
      </c>
    </row>
    <row r="31284" ht="15.75" customHeight="1">
      <c r="A31284" s="7"/>
      <c r="B31284" s="7"/>
      <c r="M31284" s="9" t="s">
        <v>24</v>
      </c>
    </row>
    <row r="31285" ht="15.75" customHeight="1">
      <c r="A31285" s="7"/>
      <c r="B31285" s="7"/>
      <c r="M31285" s="9" t="s">
        <v>21</v>
      </c>
    </row>
    <row r="31286" ht="15.75" customHeight="1">
      <c r="A31286" s="7"/>
      <c r="B31286" s="7"/>
      <c r="M31286" s="9" t="s">
        <v>37</v>
      </c>
    </row>
    <row r="31287" ht="15.75" customHeight="1">
      <c r="A31287" s="7"/>
      <c r="B31287" s="7"/>
      <c r="M31287" s="9" t="s">
        <v>27</v>
      </c>
    </row>
    <row r="31288" ht="15.75" customHeight="1">
      <c r="A31288" s="7"/>
      <c r="B31288" s="7"/>
      <c r="M31288" s="9" t="s">
        <v>30</v>
      </c>
    </row>
    <row r="31289" ht="15.75" customHeight="1">
      <c r="A31289" s="7"/>
      <c r="B31289" s="7"/>
      <c r="M31289" s="9" t="s">
        <v>25</v>
      </c>
    </row>
    <row r="31290" ht="15.75" customHeight="1">
      <c r="A31290" s="7"/>
      <c r="B31290" s="7"/>
      <c r="M31290" s="9" t="s">
        <v>26</v>
      </c>
    </row>
    <row r="31291" ht="15.75" customHeight="1">
      <c r="A31291" s="7"/>
      <c r="B31291" s="7"/>
      <c r="M31291" s="9" t="s">
        <v>24</v>
      </c>
    </row>
    <row r="31292" ht="15.75" customHeight="1">
      <c r="A31292" s="7"/>
      <c r="B31292" s="7"/>
      <c r="M31292" s="9" t="s">
        <v>21</v>
      </c>
    </row>
    <row r="31293" ht="15.75" customHeight="1">
      <c r="A31293" s="7"/>
      <c r="B31293" s="7"/>
      <c r="M31293" s="9" t="s">
        <v>37</v>
      </c>
    </row>
    <row r="31294" ht="15.75" customHeight="1">
      <c r="A31294" s="7"/>
      <c r="B31294" s="7"/>
      <c r="M31294" s="9" t="s">
        <v>24</v>
      </c>
    </row>
    <row r="31295" ht="15.75" customHeight="1">
      <c r="A31295" s="7"/>
      <c r="B31295" s="7"/>
      <c r="M31295" s="9" t="s">
        <v>21</v>
      </c>
    </row>
    <row r="31296" ht="15.75" customHeight="1">
      <c r="A31296" s="7"/>
      <c r="B31296" s="7"/>
      <c r="M31296" s="9" t="s">
        <v>30</v>
      </c>
    </row>
    <row r="31297" ht="15.75" customHeight="1">
      <c r="A31297" s="7"/>
      <c r="B31297" s="7"/>
      <c r="M31297" s="9" t="s">
        <v>24</v>
      </c>
    </row>
    <row r="31298" ht="15.75" customHeight="1">
      <c r="A31298" s="7"/>
      <c r="B31298" s="7"/>
      <c r="M31298" s="9" t="s">
        <v>21</v>
      </c>
    </row>
    <row r="31299" ht="15.75" customHeight="1">
      <c r="A31299" s="7"/>
      <c r="B31299" s="7"/>
      <c r="M31299" s="9" t="s">
        <v>31</v>
      </c>
    </row>
    <row r="31300" ht="15.75" customHeight="1">
      <c r="A31300" s="7"/>
      <c r="B31300" s="7"/>
      <c r="M31300" s="9" t="s">
        <v>27</v>
      </c>
    </row>
    <row r="31301" ht="15.75" customHeight="1">
      <c r="A31301" s="7"/>
      <c r="B31301" s="7"/>
      <c r="M31301" s="9" t="s">
        <v>24</v>
      </c>
    </row>
    <row r="31302" ht="15.75" customHeight="1">
      <c r="A31302" s="7"/>
      <c r="B31302" s="7"/>
      <c r="M31302" s="9" t="s">
        <v>21</v>
      </c>
    </row>
    <row r="31303" ht="15.75" customHeight="1">
      <c r="A31303" s="7"/>
      <c r="B31303" s="7"/>
      <c r="M31303" s="9" t="s">
        <v>22</v>
      </c>
    </row>
    <row r="31304" ht="15.75" customHeight="1">
      <c r="A31304" s="7"/>
      <c r="B31304" s="7"/>
      <c r="M31304" s="9" t="s">
        <v>30</v>
      </c>
    </row>
    <row r="31305" ht="15.75" customHeight="1">
      <c r="A31305" s="7"/>
      <c r="B31305" s="7"/>
      <c r="M31305" s="9" t="s">
        <v>26</v>
      </c>
    </row>
    <row r="31306" ht="15.75" customHeight="1">
      <c r="A31306" s="7"/>
      <c r="B31306" s="7"/>
      <c r="M31306" s="9" t="s">
        <v>29</v>
      </c>
    </row>
    <row r="31307" ht="15.75" customHeight="1">
      <c r="A31307" s="7"/>
      <c r="B31307" s="7"/>
      <c r="M31307" s="9" t="s">
        <v>24</v>
      </c>
    </row>
    <row r="31308" ht="15.75" customHeight="1">
      <c r="A31308" s="7"/>
      <c r="B31308" s="7"/>
      <c r="M31308" s="9" t="s">
        <v>21</v>
      </c>
    </row>
    <row r="31309" ht="15.75" customHeight="1">
      <c r="A31309" s="7"/>
      <c r="B31309" s="7"/>
      <c r="M31309" s="9" t="s">
        <v>22</v>
      </c>
    </row>
    <row r="31310" ht="15.75" customHeight="1">
      <c r="A31310" s="7"/>
      <c r="B31310" s="7"/>
      <c r="M31310" s="9" t="s">
        <v>23</v>
      </c>
    </row>
    <row r="31311" ht="15.75" customHeight="1">
      <c r="A31311" s="7"/>
      <c r="B31311" s="7"/>
      <c r="M31311" s="9" t="s">
        <v>26</v>
      </c>
    </row>
    <row r="31312" ht="15.75" customHeight="1">
      <c r="A31312" s="7"/>
      <c r="B31312" s="7"/>
      <c r="M31312" s="9" t="s">
        <v>24</v>
      </c>
    </row>
    <row r="31313" ht="15.75" customHeight="1">
      <c r="A31313" s="7"/>
      <c r="B31313" s="7"/>
      <c r="M31313" s="9" t="s">
        <v>21</v>
      </c>
    </row>
    <row r="31314" ht="15.75" customHeight="1">
      <c r="A31314" s="7"/>
      <c r="B31314" s="7"/>
      <c r="M31314" s="9" t="s">
        <v>27</v>
      </c>
    </row>
    <row r="31315" ht="15.75" customHeight="1">
      <c r="A31315" s="7"/>
      <c r="B31315" s="7"/>
      <c r="M31315" s="9" t="s">
        <v>24</v>
      </c>
    </row>
    <row r="31316" ht="15.75" customHeight="1">
      <c r="A31316" s="7"/>
      <c r="B31316" s="7"/>
      <c r="M31316" s="9" t="s">
        <v>21</v>
      </c>
    </row>
    <row r="31317" ht="15.75" customHeight="1">
      <c r="A31317" s="7"/>
      <c r="B31317" s="7"/>
      <c r="M31317" s="9" t="s">
        <v>31</v>
      </c>
    </row>
    <row r="31318" ht="15.75" customHeight="1">
      <c r="A31318" s="7"/>
      <c r="B31318" s="7"/>
      <c r="M31318" s="9" t="s">
        <v>38</v>
      </c>
    </row>
    <row r="31319" ht="15.75" customHeight="1">
      <c r="A31319" s="7"/>
      <c r="B31319" s="7"/>
      <c r="M31319" s="9" t="s">
        <v>23</v>
      </c>
    </row>
    <row r="31320" ht="15.75" customHeight="1">
      <c r="A31320" s="7"/>
      <c r="B31320" s="7"/>
      <c r="M31320" s="9" t="s">
        <v>36</v>
      </c>
    </row>
    <row r="31321" ht="15.75" customHeight="1">
      <c r="A31321" s="7"/>
      <c r="B31321" s="7"/>
      <c r="M31321" s="9" t="s">
        <v>24</v>
      </c>
    </row>
    <row r="31322" ht="15.75" customHeight="1">
      <c r="A31322" s="7"/>
      <c r="B31322" s="7"/>
      <c r="M31322" s="9" t="s">
        <v>20</v>
      </c>
    </row>
    <row r="31323" ht="15.75" customHeight="1">
      <c r="A31323" s="7"/>
      <c r="B31323" s="7"/>
      <c r="M31323" s="9" t="s">
        <v>22</v>
      </c>
    </row>
    <row r="31324" ht="15.75" customHeight="1">
      <c r="A31324" s="7"/>
      <c r="B31324" s="7"/>
      <c r="M31324" s="9" t="s">
        <v>40</v>
      </c>
    </row>
    <row r="31325" ht="15.75" customHeight="1">
      <c r="A31325" s="7"/>
      <c r="B31325" s="7"/>
      <c r="M31325" s="9" t="s">
        <v>30</v>
      </c>
    </row>
    <row r="31326" ht="15.75" customHeight="1">
      <c r="A31326" s="7"/>
      <c r="B31326" s="7"/>
      <c r="M31326" s="9" t="s">
        <v>23</v>
      </c>
    </row>
    <row r="31327" ht="15.75" customHeight="1">
      <c r="A31327" s="7"/>
      <c r="B31327" s="7"/>
      <c r="M31327" s="9" t="s">
        <v>24</v>
      </c>
    </row>
    <row r="31328" ht="15.75" customHeight="1">
      <c r="A31328" s="7"/>
      <c r="B31328" s="7"/>
      <c r="M31328" s="9" t="s">
        <v>21</v>
      </c>
    </row>
    <row r="31329" ht="15.75" customHeight="1">
      <c r="A31329" s="7"/>
      <c r="B31329" s="7"/>
      <c r="M31329" s="9" t="s">
        <v>37</v>
      </c>
    </row>
    <row r="31330" ht="15.75" customHeight="1">
      <c r="A31330" s="7"/>
      <c r="B31330" s="7"/>
      <c r="M31330" s="9" t="s">
        <v>27</v>
      </c>
    </row>
    <row r="31331" ht="15.75" customHeight="1">
      <c r="A31331" s="7"/>
      <c r="B31331" s="7"/>
      <c r="M31331" s="9" t="s">
        <v>30</v>
      </c>
    </row>
    <row r="31332" ht="15.75" customHeight="1">
      <c r="A31332" s="7"/>
      <c r="B31332" s="7"/>
      <c r="M31332" s="9" t="s">
        <v>25</v>
      </c>
    </row>
    <row r="31333" ht="15.75" customHeight="1">
      <c r="A31333" s="7"/>
      <c r="B31333" s="7"/>
      <c r="M31333" s="9" t="s">
        <v>23</v>
      </c>
    </row>
    <row r="31334" ht="15.75" customHeight="1">
      <c r="A31334" s="7"/>
      <c r="B31334" s="7"/>
      <c r="M31334" s="9" t="s">
        <v>26</v>
      </c>
    </row>
    <row r="31335" ht="15.75" customHeight="1">
      <c r="A31335" s="7"/>
      <c r="B31335" s="7"/>
      <c r="M31335" s="9" t="s">
        <v>20</v>
      </c>
    </row>
    <row r="31336" ht="15.75" customHeight="1">
      <c r="A31336" s="7"/>
      <c r="B31336" s="7"/>
      <c r="M31336" s="9" t="s">
        <v>21</v>
      </c>
    </row>
    <row r="31337" ht="15.75" customHeight="1">
      <c r="A31337" s="7"/>
      <c r="B31337" s="7"/>
      <c r="M31337" s="9" t="s">
        <v>22</v>
      </c>
    </row>
    <row r="31338" ht="15.75" customHeight="1">
      <c r="A31338" s="7"/>
      <c r="B31338" s="7"/>
      <c r="M31338" s="9" t="s">
        <v>31</v>
      </c>
    </row>
    <row r="31339" ht="15.75" customHeight="1">
      <c r="A31339" s="7"/>
      <c r="B31339" s="7"/>
      <c r="M31339" s="9" t="s">
        <v>27</v>
      </c>
    </row>
    <row r="31340" ht="15.75" customHeight="1">
      <c r="A31340" s="7"/>
      <c r="B31340" s="7"/>
      <c r="M31340" s="9" t="s">
        <v>22</v>
      </c>
    </row>
    <row r="31341" ht="15.75" customHeight="1">
      <c r="A31341" s="7"/>
      <c r="B31341" s="7"/>
      <c r="M31341" s="9" t="s">
        <v>24</v>
      </c>
    </row>
    <row r="31342" ht="15.75" customHeight="1">
      <c r="A31342" s="7"/>
      <c r="B31342" s="7"/>
      <c r="M31342" s="9" t="s">
        <v>20</v>
      </c>
    </row>
    <row r="31343" ht="15.75" customHeight="1">
      <c r="A31343" s="7"/>
      <c r="B31343" s="7"/>
      <c r="M31343" s="9" t="s">
        <v>21</v>
      </c>
    </row>
    <row r="31344" ht="15.75" customHeight="1">
      <c r="A31344" s="7"/>
      <c r="B31344" s="7"/>
      <c r="M31344" s="9" t="s">
        <v>27</v>
      </c>
    </row>
    <row r="31345" ht="15.75" customHeight="1">
      <c r="A31345" s="7"/>
      <c r="B31345" s="7"/>
      <c r="M31345" s="9" t="s">
        <v>33</v>
      </c>
    </row>
    <row r="31346" ht="15.75" customHeight="1">
      <c r="A31346" s="7"/>
      <c r="B31346" s="7"/>
      <c r="M31346" s="9" t="s">
        <v>24</v>
      </c>
    </row>
    <row r="31347" ht="15.75" customHeight="1">
      <c r="A31347" s="7"/>
      <c r="B31347" s="7"/>
      <c r="M31347" s="9" t="s">
        <v>20</v>
      </c>
    </row>
    <row r="31348" ht="15.75" customHeight="1">
      <c r="A31348" s="7"/>
      <c r="B31348" s="7"/>
      <c r="M31348" s="9" t="s">
        <v>21</v>
      </c>
    </row>
    <row r="31349" ht="15.75" customHeight="1">
      <c r="A31349" s="7"/>
      <c r="B31349" s="7"/>
      <c r="M31349" s="9" t="s">
        <v>37</v>
      </c>
    </row>
    <row r="31350" ht="15.75" customHeight="1">
      <c r="A31350" s="7"/>
      <c r="B31350" s="7"/>
      <c r="M31350" s="9" t="s">
        <v>27</v>
      </c>
    </row>
    <row r="31351" ht="15.75" customHeight="1">
      <c r="A31351" s="7"/>
      <c r="B31351" s="7"/>
      <c r="M31351" s="9" t="s">
        <v>35</v>
      </c>
    </row>
    <row r="31352" ht="15.75" customHeight="1">
      <c r="A31352" s="7"/>
      <c r="B31352" s="7"/>
      <c r="M31352" s="9" t="s">
        <v>30</v>
      </c>
    </row>
    <row r="31353" ht="15.75" customHeight="1">
      <c r="A31353" s="7"/>
      <c r="B31353" s="7"/>
      <c r="M31353" s="9" t="s">
        <v>24</v>
      </c>
    </row>
    <row r="31354" ht="15.75" customHeight="1">
      <c r="A31354" s="7"/>
      <c r="B31354" s="7"/>
      <c r="M31354" s="9" t="s">
        <v>21</v>
      </c>
    </row>
    <row r="31355" ht="15.75" customHeight="1">
      <c r="A31355" s="7"/>
      <c r="B31355" s="7"/>
      <c r="M31355" s="9" t="s">
        <v>37</v>
      </c>
    </row>
    <row r="31356" ht="15.75" customHeight="1">
      <c r="A31356" s="7"/>
      <c r="B31356" s="7"/>
      <c r="M31356" s="9" t="s">
        <v>27</v>
      </c>
    </row>
    <row r="31357" ht="15.75" customHeight="1">
      <c r="A31357" s="7"/>
      <c r="B31357" s="7"/>
      <c r="M31357" s="9" t="s">
        <v>30</v>
      </c>
    </row>
    <row r="31358" ht="15.75" customHeight="1">
      <c r="A31358" s="7"/>
      <c r="B31358" s="7"/>
      <c r="M31358" s="9" t="s">
        <v>42</v>
      </c>
    </row>
    <row r="31359" ht="15.75" customHeight="1">
      <c r="A31359" s="7"/>
      <c r="B31359" s="7"/>
      <c r="M31359" s="9" t="s">
        <v>24</v>
      </c>
    </row>
    <row r="31360" ht="15.75" customHeight="1">
      <c r="A31360" s="7"/>
      <c r="B31360" s="7"/>
      <c r="M31360" s="9" t="s">
        <v>21</v>
      </c>
    </row>
    <row r="31361" ht="15.75" customHeight="1">
      <c r="A31361" s="7"/>
      <c r="B31361" s="7"/>
      <c r="M31361" s="9" t="s">
        <v>31</v>
      </c>
    </row>
    <row r="31362" ht="15.75" customHeight="1">
      <c r="A31362" s="7"/>
      <c r="B31362" s="7"/>
      <c r="M31362" s="9" t="s">
        <v>27</v>
      </c>
    </row>
    <row r="31363" ht="15.75" customHeight="1">
      <c r="A31363" s="7"/>
      <c r="B31363" s="7"/>
      <c r="M31363" s="9" t="s">
        <v>30</v>
      </c>
    </row>
    <row r="31364" ht="15.75" customHeight="1">
      <c r="A31364" s="7"/>
      <c r="B31364" s="7"/>
      <c r="M31364" s="9" t="s">
        <v>23</v>
      </c>
    </row>
    <row r="31365" ht="15.75" customHeight="1">
      <c r="A31365" s="7"/>
      <c r="B31365" s="7"/>
      <c r="M31365" s="9" t="s">
        <v>26</v>
      </c>
    </row>
    <row r="31366" ht="15.75" customHeight="1">
      <c r="A31366" s="7"/>
      <c r="B31366" s="7"/>
      <c r="M31366" s="9" t="s">
        <v>24</v>
      </c>
    </row>
    <row r="31367" ht="15.75" customHeight="1">
      <c r="A31367" s="7"/>
      <c r="B31367" s="7"/>
      <c r="M31367" s="9" t="s">
        <v>20</v>
      </c>
    </row>
    <row r="31368" ht="15.75" customHeight="1">
      <c r="A31368" s="7"/>
      <c r="B31368" s="7"/>
      <c r="M31368" s="9" t="s">
        <v>21</v>
      </c>
    </row>
    <row r="31369" ht="15.75" customHeight="1">
      <c r="A31369" s="7"/>
      <c r="B31369" s="7"/>
      <c r="M31369" s="9" t="s">
        <v>31</v>
      </c>
    </row>
    <row r="31370" ht="15.75" customHeight="1">
      <c r="A31370" s="7"/>
      <c r="B31370" s="7"/>
      <c r="M31370" s="9" t="s">
        <v>46</v>
      </c>
    </row>
    <row r="31371" ht="15.75" customHeight="1">
      <c r="A31371" s="7"/>
      <c r="B31371" s="7"/>
      <c r="M31371" s="9" t="s">
        <v>27</v>
      </c>
    </row>
    <row r="31372" ht="15.75" customHeight="1">
      <c r="A31372" s="7"/>
      <c r="B31372" s="7"/>
      <c r="M31372" s="9" t="s">
        <v>38</v>
      </c>
    </row>
    <row r="31373" ht="15.75" customHeight="1">
      <c r="A31373" s="7"/>
      <c r="B31373" s="7"/>
      <c r="M31373" s="9" t="s">
        <v>30</v>
      </c>
    </row>
    <row r="31374" ht="15.75" customHeight="1">
      <c r="A31374" s="7"/>
      <c r="B31374" s="7"/>
      <c r="M31374" s="9" t="s">
        <v>24</v>
      </c>
    </row>
    <row r="31375" ht="15.75" customHeight="1">
      <c r="A31375" s="7"/>
      <c r="B31375" s="7"/>
      <c r="M31375" s="9" t="s">
        <v>20</v>
      </c>
    </row>
    <row r="31376" ht="15.75" customHeight="1">
      <c r="A31376" s="7"/>
      <c r="B31376" s="7"/>
      <c r="M31376" s="9" t="s">
        <v>21</v>
      </c>
    </row>
    <row r="31377" ht="15.75" customHeight="1">
      <c r="A31377" s="7"/>
      <c r="B31377" s="7"/>
      <c r="M31377" s="9" t="s">
        <v>37</v>
      </c>
    </row>
    <row r="31378" ht="15.75" customHeight="1">
      <c r="A31378" s="7"/>
      <c r="B31378" s="7"/>
      <c r="M31378" s="9" t="s">
        <v>31</v>
      </c>
    </row>
    <row r="31379" ht="15.75" customHeight="1">
      <c r="A31379" s="7"/>
      <c r="B31379" s="7"/>
      <c r="M31379" s="9" t="s">
        <v>27</v>
      </c>
    </row>
    <row r="31380" ht="15.75" customHeight="1">
      <c r="A31380" s="7"/>
      <c r="B31380" s="7"/>
      <c r="M31380" s="9" t="s">
        <v>30</v>
      </c>
    </row>
    <row r="31381" ht="15.75" customHeight="1">
      <c r="A31381" s="7"/>
      <c r="B31381" s="7"/>
      <c r="M31381" s="9" t="s">
        <v>25</v>
      </c>
    </row>
    <row r="31382" ht="15.75" customHeight="1">
      <c r="A31382" s="7"/>
      <c r="B31382" s="7"/>
      <c r="M31382" s="9" t="s">
        <v>22</v>
      </c>
    </row>
    <row r="31383" ht="15.75" customHeight="1">
      <c r="A31383" s="7"/>
      <c r="B31383" s="7"/>
      <c r="M31383" s="9" t="s">
        <v>24</v>
      </c>
    </row>
    <row r="31384" ht="15.75" customHeight="1">
      <c r="A31384" s="7"/>
      <c r="B31384" s="7"/>
      <c r="M31384" s="9" t="s">
        <v>20</v>
      </c>
    </row>
    <row r="31385" ht="15.75" customHeight="1">
      <c r="A31385" s="7"/>
      <c r="B31385" s="7"/>
      <c r="M31385" s="9" t="s">
        <v>21</v>
      </c>
    </row>
    <row r="31386" ht="15.75" customHeight="1">
      <c r="A31386" s="7"/>
      <c r="B31386" s="7"/>
      <c r="M31386" s="9" t="s">
        <v>26</v>
      </c>
    </row>
    <row r="31387" ht="15.75" customHeight="1">
      <c r="A31387" s="7"/>
      <c r="B31387" s="7"/>
      <c r="M31387" s="9" t="s">
        <v>24</v>
      </c>
    </row>
    <row r="31388" ht="15.75" customHeight="1">
      <c r="A31388" s="7"/>
      <c r="B31388" s="7"/>
      <c r="M31388" s="9" t="s">
        <v>21</v>
      </c>
    </row>
    <row r="31389" ht="15.75" customHeight="1">
      <c r="A31389" s="7"/>
      <c r="B31389" s="7"/>
      <c r="M31389" s="9" t="s">
        <v>27</v>
      </c>
    </row>
    <row r="31390" ht="15.75" customHeight="1">
      <c r="A31390" s="7"/>
      <c r="B31390" s="7"/>
      <c r="M31390" s="9" t="s">
        <v>24</v>
      </c>
    </row>
    <row r="31391" ht="15.75" customHeight="1">
      <c r="A31391" s="7"/>
      <c r="B31391" s="7"/>
      <c r="M31391" s="9" t="s">
        <v>20</v>
      </c>
    </row>
    <row r="31392" ht="15.75" customHeight="1">
      <c r="A31392" s="7"/>
      <c r="B31392" s="7"/>
      <c r="M31392" s="9" t="s">
        <v>21</v>
      </c>
    </row>
    <row r="31393" ht="15.75" customHeight="1">
      <c r="A31393" s="7"/>
      <c r="B31393" s="7"/>
      <c r="M31393" s="9" t="s">
        <v>33</v>
      </c>
    </row>
    <row r="31394" ht="15.75" customHeight="1">
      <c r="A31394" s="7"/>
      <c r="B31394" s="7"/>
      <c r="M31394" s="9" t="s">
        <v>30</v>
      </c>
    </row>
    <row r="31395" ht="15.75" customHeight="1">
      <c r="A31395" s="7"/>
      <c r="B31395" s="7"/>
      <c r="M31395" s="9" t="s">
        <v>26</v>
      </c>
    </row>
    <row r="31396" ht="15.75" customHeight="1">
      <c r="A31396" s="7"/>
      <c r="B31396" s="7"/>
      <c r="M31396" s="9" t="s">
        <v>24</v>
      </c>
    </row>
    <row r="31397" ht="15.75" customHeight="1">
      <c r="A31397" s="7"/>
      <c r="B31397" s="7"/>
      <c r="M31397" s="9" t="s">
        <v>21</v>
      </c>
    </row>
    <row r="31398" ht="15.75" customHeight="1">
      <c r="A31398" s="7"/>
      <c r="B31398" s="7"/>
      <c r="M31398" s="9" t="s">
        <v>22</v>
      </c>
    </row>
    <row r="31399" ht="15.75" customHeight="1">
      <c r="A31399" s="7"/>
      <c r="B31399" s="7"/>
      <c r="M31399" s="9" t="s">
        <v>35</v>
      </c>
    </row>
    <row r="31400" ht="15.75" customHeight="1">
      <c r="A31400" s="7"/>
      <c r="B31400" s="7"/>
      <c r="M31400" s="9" t="s">
        <v>38</v>
      </c>
    </row>
    <row r="31401" ht="15.75" customHeight="1">
      <c r="A31401" s="7"/>
      <c r="B31401" s="7"/>
      <c r="M31401" s="9" t="s">
        <v>25</v>
      </c>
    </row>
    <row r="31402" ht="15.75" customHeight="1">
      <c r="A31402" s="7"/>
      <c r="B31402" s="7"/>
      <c r="M31402" s="9" t="s">
        <v>23</v>
      </c>
    </row>
    <row r="31403" ht="15.75" customHeight="1">
      <c r="A31403" s="7"/>
      <c r="B31403" s="7"/>
      <c r="M31403" s="9" t="s">
        <v>24</v>
      </c>
    </row>
    <row r="31404" ht="15.75" customHeight="1">
      <c r="A31404" s="7"/>
      <c r="B31404" s="7"/>
      <c r="M31404" s="9" t="s">
        <v>20</v>
      </c>
    </row>
    <row r="31405" ht="15.75" customHeight="1">
      <c r="A31405" s="7"/>
      <c r="B31405" s="7"/>
      <c r="M31405" s="9" t="s">
        <v>21</v>
      </c>
    </row>
    <row r="31406" ht="15.75" customHeight="1">
      <c r="A31406" s="7"/>
      <c r="B31406" s="7"/>
      <c r="M31406" s="9" t="s">
        <v>37</v>
      </c>
    </row>
    <row r="31407" ht="15.75" customHeight="1">
      <c r="A31407" s="7"/>
      <c r="B31407" s="7"/>
      <c r="M31407" s="9" t="s">
        <v>29</v>
      </c>
    </row>
    <row r="31408" ht="15.75" customHeight="1">
      <c r="A31408" s="7"/>
      <c r="B31408" s="7"/>
      <c r="M31408" s="9" t="s">
        <v>27</v>
      </c>
    </row>
    <row r="31409" ht="15.75" customHeight="1">
      <c r="A31409" s="7"/>
      <c r="B31409" s="7"/>
      <c r="M31409" s="9" t="s">
        <v>28</v>
      </c>
    </row>
    <row r="31410" ht="15.75" customHeight="1">
      <c r="A31410" s="7"/>
      <c r="B31410" s="7"/>
      <c r="M31410" s="9" t="s">
        <v>34</v>
      </c>
    </row>
    <row r="31411" ht="15.75" customHeight="1">
      <c r="A31411" s="7"/>
      <c r="B31411" s="7"/>
      <c r="M31411" s="9" t="s">
        <v>35</v>
      </c>
    </row>
    <row r="31412" ht="15.75" customHeight="1">
      <c r="A31412" s="7"/>
      <c r="B31412" s="7"/>
      <c r="M31412" s="9" t="s">
        <v>30</v>
      </c>
    </row>
    <row r="31413" ht="15.75" customHeight="1">
      <c r="A31413" s="7"/>
      <c r="B31413" s="7"/>
      <c r="M31413" s="9" t="s">
        <v>22</v>
      </c>
    </row>
    <row r="31414" ht="15.75" customHeight="1">
      <c r="A31414" s="7"/>
      <c r="B31414" s="7"/>
      <c r="M31414" s="9" t="s">
        <v>47</v>
      </c>
    </row>
    <row r="31415" ht="15.75" customHeight="1">
      <c r="A31415" s="7"/>
      <c r="B31415" s="7"/>
      <c r="M31415" s="9" t="s">
        <v>20</v>
      </c>
    </row>
    <row r="31416" ht="15.75" customHeight="1">
      <c r="A31416" s="7"/>
      <c r="B31416" s="7"/>
      <c r="M31416" s="9" t="s">
        <v>21</v>
      </c>
    </row>
    <row r="31417" ht="15.75" customHeight="1">
      <c r="A31417" s="7"/>
      <c r="B31417" s="7"/>
      <c r="M31417" s="9" t="s">
        <v>22</v>
      </c>
    </row>
    <row r="31418" ht="15.75" customHeight="1">
      <c r="A31418" s="7"/>
      <c r="B31418" s="7"/>
      <c r="M31418" s="9" t="s">
        <v>30</v>
      </c>
    </row>
    <row r="31419" ht="15.75" customHeight="1">
      <c r="A31419" s="7"/>
      <c r="B31419" s="7"/>
      <c r="M31419" s="9" t="s">
        <v>24</v>
      </c>
    </row>
    <row r="31420" ht="15.75" customHeight="1">
      <c r="A31420" s="7"/>
      <c r="B31420" s="7"/>
      <c r="M31420" s="9" t="s">
        <v>20</v>
      </c>
    </row>
    <row r="31421" ht="15.75" customHeight="1">
      <c r="A31421" s="7"/>
      <c r="B31421" s="7"/>
      <c r="M31421" s="9" t="s">
        <v>21</v>
      </c>
    </row>
    <row r="31422" ht="15.75" customHeight="1">
      <c r="A31422" s="7"/>
      <c r="B31422" s="7"/>
      <c r="M31422" s="9" t="s">
        <v>24</v>
      </c>
    </row>
    <row r="31423" ht="15.75" customHeight="1">
      <c r="A31423" s="7"/>
      <c r="B31423" s="7"/>
      <c r="M31423" s="9" t="s">
        <v>20</v>
      </c>
    </row>
    <row r="31424" ht="15.75" customHeight="1">
      <c r="A31424" s="7"/>
      <c r="B31424" s="7"/>
      <c r="M31424" s="9" t="s">
        <v>21</v>
      </c>
    </row>
    <row r="31425" ht="15.75" customHeight="1">
      <c r="A31425" s="7"/>
      <c r="B31425" s="7"/>
      <c r="M31425" s="9" t="s">
        <v>47</v>
      </c>
    </row>
    <row r="31426" ht="15.75" customHeight="1">
      <c r="A31426" s="7"/>
      <c r="B31426" s="7"/>
      <c r="M31426" s="9" t="s">
        <v>24</v>
      </c>
    </row>
    <row r="31427" ht="15.75" customHeight="1">
      <c r="A31427" s="7"/>
      <c r="B31427" s="7"/>
      <c r="M31427" s="9" t="s">
        <v>20</v>
      </c>
    </row>
    <row r="31428" ht="15.75" customHeight="1">
      <c r="A31428" s="7"/>
      <c r="B31428" s="7"/>
      <c r="M31428" s="9" t="s">
        <v>21</v>
      </c>
    </row>
    <row r="31429" ht="15.75" customHeight="1">
      <c r="A31429" s="7"/>
      <c r="B31429" s="7"/>
      <c r="M31429" s="9" t="s">
        <v>37</v>
      </c>
    </row>
    <row r="31430" ht="15.75" customHeight="1">
      <c r="A31430" s="7"/>
      <c r="B31430" s="7"/>
      <c r="M31430" s="9" t="s">
        <v>22</v>
      </c>
    </row>
    <row r="31431" ht="15.75" customHeight="1">
      <c r="A31431" s="7"/>
      <c r="B31431" s="7"/>
      <c r="M31431" s="9" t="s">
        <v>30</v>
      </c>
    </row>
    <row r="31432" ht="15.75" customHeight="1">
      <c r="A31432" s="7"/>
      <c r="B31432" s="7"/>
      <c r="M31432" s="9" t="s">
        <v>24</v>
      </c>
    </row>
    <row r="31433" ht="15.75" customHeight="1">
      <c r="A31433" s="7"/>
      <c r="B31433" s="7"/>
      <c r="M31433" s="9" t="s">
        <v>21</v>
      </c>
    </row>
    <row r="31434" ht="15.75" customHeight="1">
      <c r="A31434" s="7"/>
      <c r="B31434" s="7"/>
      <c r="M31434" s="9" t="s">
        <v>22</v>
      </c>
    </row>
    <row r="31435" ht="15.75" customHeight="1">
      <c r="A31435" s="7"/>
      <c r="B31435" s="7"/>
      <c r="M31435" s="9" t="s">
        <v>27</v>
      </c>
    </row>
    <row r="31436" ht="15.75" customHeight="1">
      <c r="A31436" s="7"/>
      <c r="B31436" s="7"/>
      <c r="M31436" s="9" t="s">
        <v>25</v>
      </c>
    </row>
    <row r="31437" ht="15.75" customHeight="1">
      <c r="A31437" s="7"/>
      <c r="B31437" s="7"/>
      <c r="M31437" s="9" t="s">
        <v>24</v>
      </c>
    </row>
    <row r="31438" ht="15.75" customHeight="1">
      <c r="A31438" s="7"/>
      <c r="B31438" s="7"/>
      <c r="M31438" s="9" t="s">
        <v>21</v>
      </c>
    </row>
    <row r="31439" ht="15.75" customHeight="1">
      <c r="A31439" s="7"/>
      <c r="B31439" s="7"/>
      <c r="M31439" s="9" t="s">
        <v>22</v>
      </c>
    </row>
    <row r="31440" ht="15.75" customHeight="1">
      <c r="A31440" s="7"/>
      <c r="B31440" s="7"/>
      <c r="M31440" s="9" t="s">
        <v>30</v>
      </c>
    </row>
    <row r="31441" ht="15.75" customHeight="1">
      <c r="A31441" s="7"/>
      <c r="B31441" s="7"/>
      <c r="M31441" s="9" t="s">
        <v>23</v>
      </c>
    </row>
    <row r="31442" ht="15.75" customHeight="1">
      <c r="A31442" s="7"/>
      <c r="B31442" s="7"/>
      <c r="M31442" s="9" t="s">
        <v>26</v>
      </c>
    </row>
    <row r="31443" ht="15.75" customHeight="1">
      <c r="A31443" s="7"/>
      <c r="B31443" s="7"/>
      <c r="M31443" s="9" t="s">
        <v>36</v>
      </c>
    </row>
    <row r="31444" ht="15.75" customHeight="1">
      <c r="A31444" s="7"/>
      <c r="B31444" s="7"/>
      <c r="M31444" s="9" t="s">
        <v>24</v>
      </c>
    </row>
    <row r="31445" ht="15.75" customHeight="1">
      <c r="A31445" s="7"/>
      <c r="B31445" s="7"/>
      <c r="M31445" s="9" t="s">
        <v>21</v>
      </c>
    </row>
    <row r="31446" ht="15.75" customHeight="1">
      <c r="A31446" s="7"/>
      <c r="B31446" s="7"/>
      <c r="M31446" s="9" t="s">
        <v>22</v>
      </c>
    </row>
    <row r="31447" ht="15.75" customHeight="1">
      <c r="A31447" s="7"/>
      <c r="B31447" s="7"/>
      <c r="M31447" s="9" t="s">
        <v>27</v>
      </c>
    </row>
    <row r="31448" ht="15.75" customHeight="1">
      <c r="A31448" s="7"/>
      <c r="B31448" s="7"/>
      <c r="M31448" s="9" t="s">
        <v>35</v>
      </c>
    </row>
    <row r="31449" ht="15.75" customHeight="1">
      <c r="A31449" s="7"/>
      <c r="B31449" s="7"/>
      <c r="M31449" s="9" t="s">
        <v>30</v>
      </c>
    </row>
    <row r="31450" ht="15.75" customHeight="1">
      <c r="A31450" s="7"/>
      <c r="B31450" s="7"/>
      <c r="M31450" s="9" t="s">
        <v>26</v>
      </c>
    </row>
    <row r="31451" ht="15.75" customHeight="1">
      <c r="A31451" s="7"/>
      <c r="B31451" s="7"/>
      <c r="M31451" s="9" t="s">
        <v>24</v>
      </c>
    </row>
    <row r="31452" ht="15.75" customHeight="1">
      <c r="A31452" s="7"/>
      <c r="B31452" s="7"/>
      <c r="M31452" s="9" t="s">
        <v>21</v>
      </c>
    </row>
    <row r="31453" ht="15.75" customHeight="1">
      <c r="A31453" s="7"/>
      <c r="B31453" s="7"/>
      <c r="M31453" s="9" t="s">
        <v>37</v>
      </c>
    </row>
    <row r="31454" ht="15.75" customHeight="1">
      <c r="A31454" s="7"/>
      <c r="B31454" s="7"/>
      <c r="M31454" s="9" t="s">
        <v>27</v>
      </c>
    </row>
    <row r="31455" ht="15.75" customHeight="1">
      <c r="A31455" s="7"/>
      <c r="B31455" s="7"/>
      <c r="M31455" s="9" t="s">
        <v>40</v>
      </c>
    </row>
    <row r="31456" ht="15.75" customHeight="1">
      <c r="A31456" s="7"/>
      <c r="B31456" s="7"/>
      <c r="M31456" s="9" t="s">
        <v>25</v>
      </c>
    </row>
    <row r="31457" ht="15.75" customHeight="1">
      <c r="A31457" s="7"/>
      <c r="B31457" s="7"/>
      <c r="M31457" s="9" t="s">
        <v>23</v>
      </c>
    </row>
    <row r="31458" ht="15.75" customHeight="1">
      <c r="A31458" s="7"/>
      <c r="B31458" s="7"/>
      <c r="M31458" s="9" t="s">
        <v>26</v>
      </c>
    </row>
    <row r="31459" ht="15.75" customHeight="1">
      <c r="A31459" s="7"/>
      <c r="B31459" s="7"/>
      <c r="M31459" s="9" t="s">
        <v>24</v>
      </c>
    </row>
    <row r="31460" ht="15.75" customHeight="1">
      <c r="A31460" s="7"/>
      <c r="B31460" s="7"/>
      <c r="M31460" s="9" t="s">
        <v>37</v>
      </c>
    </row>
    <row r="31461" ht="15.75" customHeight="1">
      <c r="A31461" s="7"/>
      <c r="B31461" s="7"/>
      <c r="M31461" s="9" t="s">
        <v>25</v>
      </c>
    </row>
    <row r="31462" ht="15.75" customHeight="1">
      <c r="A31462" s="7"/>
      <c r="B31462" s="7"/>
      <c r="M31462" s="9" t="s">
        <v>24</v>
      </c>
    </row>
    <row r="31463" ht="15.75" customHeight="1">
      <c r="A31463" s="7"/>
      <c r="B31463" s="7"/>
      <c r="M31463" s="9" t="s">
        <v>20</v>
      </c>
    </row>
    <row r="31464" ht="15.75" customHeight="1">
      <c r="A31464" s="7"/>
      <c r="B31464" s="7"/>
      <c r="M31464" s="9" t="s">
        <v>21</v>
      </c>
    </row>
    <row r="31465" ht="15.75" customHeight="1">
      <c r="A31465" s="7"/>
      <c r="B31465" s="7"/>
      <c r="M31465" s="9" t="s">
        <v>22</v>
      </c>
    </row>
    <row r="31466" ht="15.75" customHeight="1">
      <c r="A31466" s="7"/>
      <c r="B31466" s="7"/>
      <c r="M31466" s="9" t="s">
        <v>29</v>
      </c>
    </row>
    <row r="31467" ht="15.75" customHeight="1">
      <c r="A31467" s="7"/>
      <c r="B31467" s="7"/>
      <c r="M31467" s="9" t="s">
        <v>33</v>
      </c>
    </row>
    <row r="31468" ht="15.75" customHeight="1">
      <c r="A31468" s="7"/>
      <c r="B31468" s="7"/>
      <c r="M31468" s="9" t="s">
        <v>20</v>
      </c>
    </row>
    <row r="31469" ht="15.75" customHeight="1">
      <c r="A31469" s="7"/>
      <c r="B31469" s="7"/>
      <c r="M31469" s="9" t="s">
        <v>30</v>
      </c>
    </row>
    <row r="31470" ht="15.75" customHeight="1">
      <c r="A31470" s="7"/>
      <c r="B31470" s="7"/>
      <c r="M31470" s="9" t="s">
        <v>23</v>
      </c>
    </row>
    <row r="31471" ht="15.75" customHeight="1">
      <c r="A31471" s="7"/>
      <c r="B31471" s="7"/>
      <c r="M31471" s="9" t="s">
        <v>24</v>
      </c>
    </row>
    <row r="31472" ht="15.75" customHeight="1">
      <c r="A31472" s="7"/>
      <c r="B31472" s="7"/>
      <c r="M31472" s="9" t="s">
        <v>20</v>
      </c>
    </row>
    <row r="31473" ht="15.75" customHeight="1">
      <c r="A31473" s="7"/>
      <c r="B31473" s="7"/>
      <c r="M31473" s="9" t="s">
        <v>22</v>
      </c>
    </row>
    <row r="31474" ht="15.75" customHeight="1">
      <c r="A31474" s="7"/>
      <c r="B31474" s="7"/>
      <c r="M31474" s="9" t="s">
        <v>30</v>
      </c>
    </row>
    <row r="31475" ht="15.75" customHeight="1">
      <c r="A31475" s="7"/>
      <c r="B31475" s="7"/>
      <c r="M31475" s="9" t="s">
        <v>24</v>
      </c>
    </row>
    <row r="31476" ht="15.75" customHeight="1">
      <c r="A31476" s="7"/>
      <c r="B31476" s="7"/>
      <c r="M31476" s="9" t="s">
        <v>21</v>
      </c>
    </row>
    <row r="31477" ht="15.75" customHeight="1">
      <c r="A31477" s="7"/>
      <c r="B31477" s="7"/>
      <c r="M31477" s="9" t="s">
        <v>41</v>
      </c>
    </row>
    <row r="31478" ht="15.75" customHeight="1">
      <c r="A31478" s="7"/>
      <c r="B31478" s="7"/>
      <c r="M31478" s="9" t="s">
        <v>37</v>
      </c>
    </row>
    <row r="31479" ht="15.75" customHeight="1">
      <c r="A31479" s="7"/>
      <c r="B31479" s="7"/>
      <c r="M31479" s="9" t="s">
        <v>30</v>
      </c>
    </row>
    <row r="31480" ht="15.75" customHeight="1">
      <c r="A31480" s="7"/>
      <c r="B31480" s="7"/>
      <c r="M31480" s="9" t="s">
        <v>24</v>
      </c>
    </row>
    <row r="31481" ht="15.75" customHeight="1">
      <c r="A31481" s="7"/>
      <c r="B31481" s="7"/>
      <c r="M31481" s="9" t="s">
        <v>20</v>
      </c>
    </row>
    <row r="31482" ht="15.75" customHeight="1">
      <c r="A31482" s="7"/>
      <c r="B31482" s="7"/>
      <c r="M31482" s="9" t="s">
        <v>21</v>
      </c>
    </row>
    <row r="31483" ht="15.75" customHeight="1">
      <c r="A31483" s="7"/>
      <c r="B31483" s="7"/>
      <c r="M31483" s="9" t="s">
        <v>22</v>
      </c>
    </row>
    <row r="31484" ht="15.75" customHeight="1">
      <c r="A31484" s="7"/>
      <c r="B31484" s="7"/>
      <c r="M31484" s="9" t="s">
        <v>27</v>
      </c>
    </row>
    <row r="31485" ht="15.75" customHeight="1">
      <c r="A31485" s="7"/>
      <c r="B31485" s="7"/>
      <c r="M31485" s="9" t="s">
        <v>25</v>
      </c>
    </row>
    <row r="31486" ht="15.75" customHeight="1">
      <c r="A31486" s="7"/>
      <c r="B31486" s="7"/>
      <c r="M31486" s="9" t="s">
        <v>23</v>
      </c>
    </row>
    <row r="31487" ht="15.75" customHeight="1">
      <c r="A31487" s="7"/>
      <c r="B31487" s="7"/>
      <c r="M31487" s="9" t="s">
        <v>26</v>
      </c>
    </row>
    <row r="31488" ht="15.75" customHeight="1">
      <c r="A31488" s="7"/>
      <c r="B31488" s="7"/>
      <c r="M31488" s="9" t="s">
        <v>24</v>
      </c>
    </row>
    <row r="31489" ht="15.75" customHeight="1">
      <c r="A31489" s="7"/>
      <c r="B31489" s="7"/>
      <c r="M31489" s="9" t="s">
        <v>20</v>
      </c>
    </row>
    <row r="31490" ht="15.75" customHeight="1">
      <c r="A31490" s="7"/>
      <c r="B31490" s="7"/>
      <c r="M31490" s="9" t="s">
        <v>21</v>
      </c>
    </row>
    <row r="31491" ht="15.75" customHeight="1">
      <c r="A31491" s="7"/>
      <c r="B31491" s="7"/>
      <c r="M31491" s="9" t="s">
        <v>39</v>
      </c>
    </row>
    <row r="31492" ht="15.75" customHeight="1">
      <c r="A31492" s="7"/>
      <c r="B31492" s="7"/>
      <c r="M31492" s="9" t="s">
        <v>37</v>
      </c>
    </row>
    <row r="31493" ht="15.75" customHeight="1">
      <c r="A31493" s="7"/>
      <c r="B31493" s="7"/>
      <c r="M31493" s="9" t="s">
        <v>22</v>
      </c>
    </row>
    <row r="31494" ht="15.75" customHeight="1">
      <c r="A31494" s="7"/>
      <c r="B31494" s="7"/>
      <c r="M31494" s="9" t="s">
        <v>27</v>
      </c>
    </row>
    <row r="31495" ht="15.75" customHeight="1">
      <c r="A31495" s="7"/>
      <c r="B31495" s="7"/>
      <c r="M31495" s="9" t="s">
        <v>28</v>
      </c>
    </row>
    <row r="31496" ht="15.75" customHeight="1">
      <c r="A31496" s="7"/>
      <c r="B31496" s="7"/>
      <c r="M31496" s="9" t="s">
        <v>30</v>
      </c>
    </row>
    <row r="31497" ht="15.75" customHeight="1">
      <c r="A31497" s="7"/>
      <c r="B31497" s="7"/>
      <c r="M31497" s="9" t="s">
        <v>44</v>
      </c>
    </row>
    <row r="31498" ht="15.75" customHeight="1">
      <c r="A31498" s="7"/>
      <c r="B31498" s="7"/>
      <c r="M31498" s="9" t="s">
        <v>43</v>
      </c>
    </row>
    <row r="31499" ht="15.75" customHeight="1">
      <c r="A31499" s="7"/>
      <c r="B31499" s="7"/>
      <c r="M31499" s="9" t="s">
        <v>36</v>
      </c>
    </row>
    <row r="31500" ht="15.75" customHeight="1">
      <c r="A31500" s="7"/>
      <c r="B31500" s="7"/>
      <c r="M31500" s="9" t="s">
        <v>24</v>
      </c>
    </row>
    <row r="31501" ht="15.75" customHeight="1">
      <c r="A31501" s="7"/>
      <c r="B31501" s="7"/>
      <c r="M31501" s="9" t="s">
        <v>21</v>
      </c>
    </row>
    <row r="31502" ht="15.75" customHeight="1">
      <c r="A31502" s="7"/>
      <c r="B31502" s="7"/>
      <c r="M31502" s="9" t="s">
        <v>22</v>
      </c>
    </row>
    <row r="31503" ht="15.75" customHeight="1">
      <c r="A31503" s="7"/>
      <c r="B31503" s="7"/>
      <c r="M31503" s="9" t="s">
        <v>30</v>
      </c>
    </row>
    <row r="31504" ht="15.75" customHeight="1">
      <c r="A31504" s="7"/>
      <c r="B31504" s="7"/>
      <c r="M31504" s="9" t="s">
        <v>20</v>
      </c>
    </row>
    <row r="31505" ht="15.75" customHeight="1">
      <c r="A31505" s="7"/>
      <c r="B31505" s="7"/>
      <c r="M31505" s="9" t="s">
        <v>21</v>
      </c>
    </row>
    <row r="31506" ht="15.75" customHeight="1">
      <c r="A31506" s="7"/>
      <c r="B31506" s="7"/>
      <c r="M31506" s="9" t="s">
        <v>37</v>
      </c>
    </row>
    <row r="31507" ht="15.75" customHeight="1">
      <c r="A31507" s="7"/>
      <c r="B31507" s="7"/>
      <c r="M31507" s="9" t="s">
        <v>22</v>
      </c>
    </row>
    <row r="31508" ht="15.75" customHeight="1">
      <c r="A31508" s="7"/>
      <c r="B31508" s="7"/>
      <c r="M31508" s="9" t="s">
        <v>46</v>
      </c>
    </row>
    <row r="31509" ht="15.75" customHeight="1">
      <c r="A31509" s="7"/>
      <c r="B31509" s="7"/>
      <c r="M31509" s="9" t="s">
        <v>27</v>
      </c>
    </row>
    <row r="31510" ht="15.75" customHeight="1">
      <c r="A31510" s="7"/>
      <c r="B31510" s="7"/>
      <c r="M31510" s="9" t="s">
        <v>25</v>
      </c>
    </row>
    <row r="31511" ht="15.75" customHeight="1">
      <c r="A31511" s="7"/>
      <c r="B31511" s="7"/>
      <c r="M31511" s="9" t="s">
        <v>23</v>
      </c>
    </row>
    <row r="31512" ht="15.75" customHeight="1">
      <c r="A31512" s="7"/>
      <c r="B31512" s="7"/>
      <c r="M31512" s="9" t="s">
        <v>24</v>
      </c>
    </row>
    <row r="31513" ht="15.75" customHeight="1">
      <c r="A31513" s="7"/>
      <c r="B31513" s="7"/>
      <c r="M31513" s="9" t="s">
        <v>21</v>
      </c>
    </row>
    <row r="31514" ht="15.75" customHeight="1">
      <c r="A31514" s="7"/>
      <c r="B31514" s="7"/>
      <c r="M31514" s="9" t="s">
        <v>37</v>
      </c>
    </row>
    <row r="31515" ht="15.75" customHeight="1">
      <c r="A31515" s="7"/>
      <c r="B31515" s="7"/>
      <c r="M31515" s="9" t="s">
        <v>27</v>
      </c>
    </row>
    <row r="31516" ht="15.75" customHeight="1">
      <c r="A31516" s="7"/>
      <c r="B31516" s="7"/>
      <c r="M31516" s="9" t="s">
        <v>33</v>
      </c>
    </row>
    <row r="31517" ht="15.75" customHeight="1">
      <c r="A31517" s="7"/>
      <c r="B31517" s="7"/>
      <c r="M31517" s="9" t="s">
        <v>36</v>
      </c>
    </row>
    <row r="31518" ht="15.75" customHeight="1">
      <c r="A31518" s="7"/>
      <c r="B31518" s="7"/>
      <c r="M31518" s="9" t="s">
        <v>20</v>
      </c>
    </row>
    <row r="31519" ht="15.75" customHeight="1">
      <c r="A31519" s="7"/>
      <c r="B31519" s="7"/>
      <c r="M31519" s="9" t="s">
        <v>30</v>
      </c>
    </row>
    <row r="31520" ht="15.75" customHeight="1">
      <c r="A31520" s="7"/>
      <c r="B31520" s="7"/>
      <c r="M31520" s="9" t="s">
        <v>23</v>
      </c>
    </row>
    <row r="31521" ht="15.75" customHeight="1">
      <c r="A31521" s="7"/>
      <c r="B31521" s="7"/>
      <c r="M31521" s="9" t="s">
        <v>24</v>
      </c>
    </row>
    <row r="31522" ht="15.75" customHeight="1">
      <c r="A31522" s="7"/>
      <c r="B31522" s="7"/>
      <c r="M31522" s="9" t="s">
        <v>20</v>
      </c>
    </row>
    <row r="31523" ht="15.75" customHeight="1">
      <c r="A31523" s="7"/>
      <c r="B31523" s="7"/>
      <c r="M31523" s="9" t="s">
        <v>21</v>
      </c>
    </row>
    <row r="31524" ht="15.75" customHeight="1">
      <c r="A31524" s="7"/>
      <c r="B31524" s="7"/>
      <c r="M31524" s="9" t="s">
        <v>22</v>
      </c>
    </row>
    <row r="31525" ht="15.75" customHeight="1">
      <c r="A31525" s="7"/>
      <c r="B31525" s="7"/>
      <c r="M31525" s="9" t="s">
        <v>27</v>
      </c>
    </row>
    <row r="31526" ht="15.75" customHeight="1">
      <c r="A31526" s="7"/>
      <c r="B31526" s="7"/>
      <c r="M31526" s="9" t="s">
        <v>35</v>
      </c>
    </row>
    <row r="31527" ht="15.75" customHeight="1">
      <c r="A31527" s="7"/>
      <c r="B31527" s="7"/>
      <c r="M31527" s="9" t="s">
        <v>36</v>
      </c>
    </row>
    <row r="31528" ht="15.75" customHeight="1">
      <c r="A31528" s="7"/>
      <c r="B31528" s="7"/>
      <c r="M31528" s="9" t="s">
        <v>20</v>
      </c>
    </row>
    <row r="31529" ht="15.75" customHeight="1">
      <c r="A31529" s="7"/>
      <c r="B31529" s="7"/>
      <c r="M31529" s="9" t="s">
        <v>22</v>
      </c>
    </row>
    <row r="31530" ht="15.75" customHeight="1">
      <c r="A31530" s="7"/>
      <c r="B31530" s="7"/>
      <c r="M31530" s="9" t="s">
        <v>24</v>
      </c>
    </row>
    <row r="31531" ht="15.75" customHeight="1">
      <c r="A31531" s="7"/>
      <c r="B31531" s="7"/>
      <c r="M31531" s="9" t="s">
        <v>21</v>
      </c>
    </row>
    <row r="31532" ht="15.75" customHeight="1">
      <c r="A31532" s="7"/>
      <c r="B31532" s="7"/>
      <c r="M31532" s="9" t="s">
        <v>30</v>
      </c>
    </row>
    <row r="31533" ht="15.75" customHeight="1">
      <c r="A31533" s="7"/>
      <c r="B31533" s="7"/>
      <c r="M31533" s="9" t="s">
        <v>24</v>
      </c>
    </row>
    <row r="31534" ht="15.75" customHeight="1">
      <c r="A31534" s="7"/>
      <c r="B31534" s="7"/>
      <c r="M31534" s="9" t="s">
        <v>20</v>
      </c>
    </row>
    <row r="31535" ht="15.75" customHeight="1">
      <c r="A31535" s="7"/>
      <c r="B31535" s="7"/>
      <c r="M31535" s="9" t="s">
        <v>21</v>
      </c>
    </row>
    <row r="31536" ht="15.75" customHeight="1">
      <c r="A31536" s="7"/>
      <c r="B31536" s="7"/>
      <c r="M31536" s="9" t="s">
        <v>41</v>
      </c>
    </row>
    <row r="31537" ht="15.75" customHeight="1">
      <c r="A31537" s="7"/>
      <c r="B31537" s="7"/>
      <c r="M31537" s="9" t="s">
        <v>27</v>
      </c>
    </row>
    <row r="31538" ht="15.75" customHeight="1">
      <c r="A31538" s="7"/>
      <c r="B31538" s="7"/>
      <c r="M31538" s="9" t="s">
        <v>40</v>
      </c>
    </row>
    <row r="31539" ht="15.75" customHeight="1">
      <c r="A31539" s="7"/>
      <c r="B31539" s="7"/>
      <c r="M31539" s="9" t="s">
        <v>30</v>
      </c>
    </row>
    <row r="31540" ht="15.75" customHeight="1">
      <c r="A31540" s="7"/>
      <c r="B31540" s="7"/>
      <c r="M31540" s="9" t="s">
        <v>25</v>
      </c>
    </row>
    <row r="31541" ht="15.75" customHeight="1">
      <c r="A31541" s="7"/>
      <c r="B31541" s="7"/>
      <c r="M31541" s="9" t="s">
        <v>20</v>
      </c>
    </row>
    <row r="31542" ht="15.75" customHeight="1">
      <c r="A31542" s="7"/>
      <c r="B31542" s="7"/>
      <c r="M31542" s="9" t="s">
        <v>22</v>
      </c>
    </row>
    <row r="31543" ht="15.75" customHeight="1">
      <c r="A31543" s="7"/>
      <c r="B31543" s="7"/>
      <c r="M31543" s="9" t="s">
        <v>23</v>
      </c>
    </row>
    <row r="31544" ht="15.75" customHeight="1">
      <c r="A31544" s="7"/>
      <c r="B31544" s="7"/>
      <c r="M31544" s="9" t="s">
        <v>21</v>
      </c>
    </row>
    <row r="31545" ht="15.75" customHeight="1">
      <c r="A31545" s="7"/>
      <c r="B31545" s="7"/>
      <c r="M31545" s="9" t="s">
        <v>40</v>
      </c>
    </row>
    <row r="31546" ht="15.75" customHeight="1">
      <c r="A31546" s="7"/>
      <c r="B31546" s="7"/>
      <c r="M31546" s="9" t="s">
        <v>25</v>
      </c>
    </row>
    <row r="31547" ht="15.75" customHeight="1">
      <c r="A31547" s="7"/>
      <c r="B31547" s="7"/>
      <c r="M31547" s="9" t="s">
        <v>23</v>
      </c>
    </row>
    <row r="31548" ht="15.75" customHeight="1">
      <c r="A31548" s="7"/>
      <c r="B31548" s="7"/>
      <c r="M31548" s="9" t="s">
        <v>24</v>
      </c>
    </row>
    <row r="31549" ht="15.75" customHeight="1">
      <c r="A31549" s="7"/>
      <c r="B31549" s="7"/>
      <c r="M31549" s="9" t="s">
        <v>20</v>
      </c>
    </row>
    <row r="31550" ht="15.75" customHeight="1">
      <c r="A31550" s="7"/>
      <c r="B31550" s="7"/>
      <c r="M31550" s="9" t="s">
        <v>21</v>
      </c>
    </row>
    <row r="31551" ht="15.75" customHeight="1">
      <c r="A31551" s="7"/>
      <c r="B31551" s="7"/>
      <c r="M31551" s="9" t="s">
        <v>22</v>
      </c>
    </row>
    <row r="31552" ht="15.75" customHeight="1">
      <c r="A31552" s="7"/>
      <c r="B31552" s="7"/>
      <c r="M31552" s="9" t="s">
        <v>27</v>
      </c>
    </row>
    <row r="31553" ht="15.75" customHeight="1">
      <c r="A31553" s="7"/>
      <c r="B31553" s="7"/>
      <c r="M31553" s="9" t="s">
        <v>26</v>
      </c>
    </row>
    <row r="31554" ht="15.75" customHeight="1">
      <c r="A31554" s="7"/>
      <c r="B31554" s="7"/>
      <c r="M31554" s="9" t="s">
        <v>24</v>
      </c>
    </row>
    <row r="31555" ht="15.75" customHeight="1">
      <c r="A31555" s="7"/>
      <c r="B31555" s="7"/>
      <c r="M31555" s="9" t="s">
        <v>21</v>
      </c>
    </row>
    <row r="31556" ht="15.75" customHeight="1">
      <c r="A31556" s="7"/>
      <c r="B31556" s="7"/>
      <c r="M31556" s="9" t="s">
        <v>27</v>
      </c>
    </row>
    <row r="31557" ht="15.75" customHeight="1">
      <c r="A31557" s="7"/>
      <c r="B31557" s="7"/>
      <c r="M31557" s="9" t="s">
        <v>25</v>
      </c>
    </row>
    <row r="31558" ht="15.75" customHeight="1">
      <c r="A31558" s="7"/>
      <c r="B31558" s="7"/>
      <c r="M31558" s="9" t="s">
        <v>23</v>
      </c>
    </row>
    <row r="31559" ht="15.75" customHeight="1">
      <c r="A31559" s="7"/>
      <c r="B31559" s="7"/>
      <c r="M31559" s="9" t="s">
        <v>26</v>
      </c>
    </row>
    <row r="31560" ht="15.75" customHeight="1">
      <c r="A31560" s="7"/>
      <c r="B31560" s="7"/>
      <c r="M31560" s="9" t="s">
        <v>20</v>
      </c>
    </row>
    <row r="31561" ht="15.75" customHeight="1">
      <c r="A31561" s="7"/>
      <c r="B31561" s="7"/>
      <c r="M31561" s="9" t="s">
        <v>37</v>
      </c>
    </row>
    <row r="31562" ht="15.75" customHeight="1">
      <c r="A31562" s="7"/>
      <c r="B31562" s="7"/>
      <c r="M31562" s="9" t="s">
        <v>23</v>
      </c>
    </row>
    <row r="31563" ht="15.75" customHeight="1">
      <c r="A31563" s="7"/>
      <c r="B31563" s="7"/>
      <c r="M31563" s="9" t="s">
        <v>24</v>
      </c>
    </row>
    <row r="31564" ht="15.75" customHeight="1">
      <c r="A31564" s="7"/>
      <c r="B31564" s="7"/>
      <c r="M31564" s="9" t="s">
        <v>22</v>
      </c>
    </row>
    <row r="31565" ht="15.75" customHeight="1">
      <c r="A31565" s="7"/>
      <c r="B31565" s="7"/>
      <c r="M31565" s="9" t="s">
        <v>27</v>
      </c>
    </row>
    <row r="31566" ht="15.75" customHeight="1">
      <c r="A31566" s="7"/>
      <c r="B31566" s="7"/>
      <c r="M31566" s="9" t="s">
        <v>30</v>
      </c>
    </row>
    <row r="31567" ht="15.75" customHeight="1">
      <c r="A31567" s="7"/>
      <c r="B31567" s="7"/>
      <c r="M31567" s="9" t="s">
        <v>24</v>
      </c>
    </row>
    <row r="31568" ht="15.75" customHeight="1">
      <c r="A31568" s="7"/>
      <c r="B31568" s="7"/>
      <c r="M31568" s="9" t="s">
        <v>21</v>
      </c>
    </row>
    <row r="31569" ht="15.75" customHeight="1">
      <c r="A31569" s="7"/>
      <c r="B31569" s="7"/>
      <c r="M31569" s="9" t="s">
        <v>37</v>
      </c>
    </row>
    <row r="31570" ht="15.75" customHeight="1">
      <c r="A31570" s="7"/>
      <c r="B31570" s="7"/>
      <c r="M31570" s="9" t="s">
        <v>22</v>
      </c>
    </row>
    <row r="31571" ht="15.75" customHeight="1">
      <c r="A31571" s="7"/>
      <c r="B31571" s="7"/>
      <c r="M31571" s="9" t="s">
        <v>27</v>
      </c>
    </row>
    <row r="31572" ht="15.75" customHeight="1">
      <c r="A31572" s="7"/>
      <c r="B31572" s="7"/>
      <c r="M31572" s="9" t="s">
        <v>33</v>
      </c>
    </row>
    <row r="31573" ht="15.75" customHeight="1">
      <c r="A31573" s="7"/>
      <c r="B31573" s="7"/>
      <c r="M31573" s="9" t="s">
        <v>23</v>
      </c>
    </row>
    <row r="31574" ht="15.75" customHeight="1">
      <c r="A31574" s="7"/>
      <c r="B31574" s="7"/>
      <c r="M31574" s="9" t="s">
        <v>20</v>
      </c>
    </row>
    <row r="31575" ht="15.75" customHeight="1">
      <c r="A31575" s="7"/>
      <c r="B31575" s="7"/>
      <c r="M31575" s="9" t="s">
        <v>39</v>
      </c>
    </row>
    <row r="31576" ht="15.75" customHeight="1">
      <c r="A31576" s="7"/>
      <c r="B31576" s="7"/>
      <c r="M31576" s="9" t="s">
        <v>20</v>
      </c>
    </row>
    <row r="31577" ht="15.75" customHeight="1">
      <c r="A31577" s="7"/>
      <c r="B31577" s="7"/>
      <c r="M31577" s="9" t="s">
        <v>41</v>
      </c>
    </row>
    <row r="31578" ht="15.75" customHeight="1">
      <c r="A31578" s="7"/>
      <c r="B31578" s="7"/>
      <c r="M31578" s="9" t="s">
        <v>40</v>
      </c>
    </row>
    <row r="31579" ht="15.75" customHeight="1">
      <c r="A31579" s="7"/>
      <c r="B31579" s="7"/>
      <c r="M31579" s="9" t="s">
        <v>23</v>
      </c>
    </row>
    <row r="31580" ht="15.75" customHeight="1">
      <c r="A31580" s="7"/>
      <c r="B31580" s="7"/>
      <c r="M31580" s="9" t="s">
        <v>24</v>
      </c>
    </row>
    <row r="31581" ht="15.75" customHeight="1">
      <c r="A31581" s="7"/>
      <c r="B31581" s="7"/>
      <c r="M31581" s="9" t="s">
        <v>20</v>
      </c>
    </row>
    <row r="31582" ht="15.75" customHeight="1">
      <c r="A31582" s="7"/>
      <c r="B31582" s="7"/>
      <c r="M31582" s="9" t="s">
        <v>21</v>
      </c>
    </row>
    <row r="31583" ht="15.75" customHeight="1">
      <c r="A31583" s="7"/>
      <c r="B31583" s="7"/>
      <c r="M31583" s="9" t="s">
        <v>22</v>
      </c>
    </row>
    <row r="31584" ht="15.75" customHeight="1">
      <c r="A31584" s="7"/>
      <c r="B31584" s="7"/>
      <c r="M31584" s="9" t="s">
        <v>21</v>
      </c>
    </row>
    <row r="31585" ht="15.75" customHeight="1">
      <c r="A31585" s="7"/>
      <c r="B31585" s="7"/>
      <c r="M31585" s="9" t="s">
        <v>39</v>
      </c>
    </row>
    <row r="31586" ht="15.75" customHeight="1">
      <c r="A31586" s="7"/>
      <c r="B31586" s="7"/>
      <c r="M31586" s="9" t="s">
        <v>37</v>
      </c>
    </row>
    <row r="31587" ht="15.75" customHeight="1">
      <c r="A31587" s="7"/>
      <c r="B31587" s="7"/>
      <c r="M31587" s="9" t="s">
        <v>22</v>
      </c>
    </row>
    <row r="31588" ht="15.75" customHeight="1">
      <c r="A31588" s="7"/>
      <c r="B31588" s="7"/>
      <c r="M31588" s="9" t="s">
        <v>29</v>
      </c>
    </row>
    <row r="31589" ht="15.75" customHeight="1">
      <c r="A31589" s="7"/>
      <c r="B31589" s="7"/>
      <c r="M31589" s="9" t="s">
        <v>30</v>
      </c>
    </row>
    <row r="31590" ht="15.75" customHeight="1">
      <c r="A31590" s="7"/>
      <c r="B31590" s="7"/>
      <c r="M31590" s="9" t="s">
        <v>24</v>
      </c>
    </row>
    <row r="31591" ht="15.75" customHeight="1">
      <c r="A31591" s="7"/>
      <c r="B31591" s="7"/>
      <c r="M31591" s="9" t="s">
        <v>20</v>
      </c>
    </row>
    <row r="31592" ht="15.75" customHeight="1">
      <c r="A31592" s="7"/>
      <c r="B31592" s="7"/>
      <c r="M31592" s="9" t="s">
        <v>21</v>
      </c>
    </row>
    <row r="31593" ht="15.75" customHeight="1">
      <c r="A31593" s="7"/>
      <c r="B31593" s="7"/>
      <c r="M31593" s="9" t="s">
        <v>22</v>
      </c>
    </row>
    <row r="31594" ht="15.75" customHeight="1">
      <c r="A31594" s="7"/>
      <c r="B31594" s="7"/>
      <c r="M31594" s="9" t="s">
        <v>27</v>
      </c>
    </row>
    <row r="31595" ht="15.75" customHeight="1">
      <c r="A31595" s="7"/>
      <c r="B31595" s="7"/>
      <c r="M31595" s="9" t="s">
        <v>33</v>
      </c>
    </row>
    <row r="31596" ht="15.75" customHeight="1">
      <c r="A31596" s="7"/>
      <c r="B31596" s="7"/>
      <c r="M31596" s="9" t="s">
        <v>25</v>
      </c>
    </row>
    <row r="31597" ht="15.75" customHeight="1">
      <c r="A31597" s="7"/>
      <c r="B31597" s="7"/>
      <c r="M31597" s="9" t="s">
        <v>23</v>
      </c>
    </row>
    <row r="31598" ht="15.75" customHeight="1">
      <c r="A31598" s="7"/>
      <c r="B31598" s="7"/>
      <c r="M31598" s="9" t="s">
        <v>24</v>
      </c>
    </row>
    <row r="31599" ht="15.75" customHeight="1">
      <c r="A31599" s="7"/>
      <c r="B31599" s="7"/>
      <c r="M31599" s="9" t="s">
        <v>20</v>
      </c>
    </row>
    <row r="31600" ht="15.75" customHeight="1">
      <c r="A31600" s="7"/>
      <c r="B31600" s="7"/>
      <c r="M31600" s="9" t="s">
        <v>37</v>
      </c>
    </row>
    <row r="31601" ht="15.75" customHeight="1">
      <c r="A31601" s="7"/>
      <c r="B31601" s="7"/>
      <c r="M31601" s="9" t="s">
        <v>27</v>
      </c>
    </row>
    <row r="31602" ht="15.75" customHeight="1">
      <c r="A31602" s="7"/>
      <c r="B31602" s="7"/>
      <c r="M31602" s="9" t="s">
        <v>36</v>
      </c>
    </row>
    <row r="31603" ht="15.75" customHeight="1">
      <c r="A31603" s="7"/>
      <c r="B31603" s="7"/>
      <c r="M31603" s="9" t="s">
        <v>24</v>
      </c>
    </row>
    <row r="31604" ht="15.75" customHeight="1">
      <c r="A31604" s="7"/>
      <c r="B31604" s="7"/>
      <c r="M31604" s="9" t="s">
        <v>21</v>
      </c>
    </row>
    <row r="31605" ht="15.75" customHeight="1">
      <c r="A31605" s="7"/>
      <c r="B31605" s="7"/>
      <c r="M31605" s="9" t="s">
        <v>33</v>
      </c>
    </row>
    <row r="31606" ht="15.75" customHeight="1">
      <c r="A31606" s="7"/>
      <c r="B31606" s="7"/>
      <c r="M31606" s="9" t="s">
        <v>26</v>
      </c>
    </row>
    <row r="31607" ht="15.75" customHeight="1">
      <c r="A31607" s="7"/>
      <c r="B31607" s="7"/>
      <c r="M31607" s="9" t="s">
        <v>24</v>
      </c>
    </row>
    <row r="31608" ht="15.75" customHeight="1">
      <c r="A31608" s="7"/>
      <c r="B31608" s="7"/>
      <c r="M31608" s="9" t="s">
        <v>21</v>
      </c>
    </row>
    <row r="31609" ht="15.75" customHeight="1">
      <c r="A31609" s="7"/>
      <c r="B31609" s="7"/>
      <c r="M31609" s="9" t="s">
        <v>22</v>
      </c>
    </row>
    <row r="31610" ht="15.75" customHeight="1">
      <c r="A31610" s="7"/>
      <c r="B31610" s="7"/>
      <c r="M31610" s="9" t="s">
        <v>27</v>
      </c>
    </row>
    <row r="31611" ht="15.75" customHeight="1">
      <c r="A31611" s="7"/>
      <c r="B31611" s="7"/>
      <c r="M31611" s="9" t="s">
        <v>38</v>
      </c>
    </row>
    <row r="31612" ht="15.75" customHeight="1">
      <c r="A31612" s="7"/>
      <c r="B31612" s="7"/>
      <c r="M31612" s="9" t="s">
        <v>25</v>
      </c>
    </row>
    <row r="31613" ht="15.75" customHeight="1">
      <c r="A31613" s="7"/>
      <c r="B31613" s="7"/>
      <c r="M31613" s="9" t="s">
        <v>23</v>
      </c>
    </row>
    <row r="31614" ht="15.75" customHeight="1">
      <c r="A31614" s="7"/>
      <c r="B31614" s="7"/>
      <c r="M31614" s="9" t="s">
        <v>24</v>
      </c>
    </row>
    <row r="31615" ht="15.75" customHeight="1">
      <c r="A31615" s="7"/>
      <c r="B31615" s="7"/>
      <c r="M31615" s="9" t="s">
        <v>21</v>
      </c>
    </row>
    <row r="31616" ht="15.75" customHeight="1">
      <c r="A31616" s="7"/>
      <c r="B31616" s="7"/>
      <c r="M31616" s="9" t="s">
        <v>22</v>
      </c>
    </row>
    <row r="31617" ht="15.75" customHeight="1">
      <c r="A31617" s="7"/>
      <c r="B31617" s="7"/>
      <c r="M31617" s="9" t="s">
        <v>31</v>
      </c>
    </row>
    <row r="31618" ht="15.75" customHeight="1">
      <c r="A31618" s="7"/>
      <c r="B31618" s="7"/>
      <c r="M31618" s="9" t="s">
        <v>32</v>
      </c>
    </row>
    <row r="31619" ht="15.75" customHeight="1">
      <c r="A31619" s="7"/>
      <c r="B31619" s="7"/>
      <c r="M31619" s="9" t="s">
        <v>27</v>
      </c>
    </row>
    <row r="31620" ht="15.75" customHeight="1">
      <c r="A31620" s="7"/>
      <c r="B31620" s="7"/>
      <c r="M31620" s="9" t="s">
        <v>30</v>
      </c>
    </row>
    <row r="31621" ht="15.75" customHeight="1">
      <c r="A31621" s="7"/>
      <c r="B31621" s="7"/>
      <c r="M31621" s="9" t="s">
        <v>26</v>
      </c>
    </row>
    <row r="31622" ht="15.75" customHeight="1">
      <c r="A31622" s="7"/>
      <c r="B31622" s="7"/>
      <c r="M31622" s="9" t="s">
        <v>24</v>
      </c>
    </row>
    <row r="31623" ht="15.75" customHeight="1">
      <c r="A31623" s="7"/>
      <c r="B31623" s="7"/>
      <c r="M31623" s="9" t="s">
        <v>20</v>
      </c>
    </row>
    <row r="31624" ht="15.75" customHeight="1">
      <c r="A31624" s="7"/>
      <c r="B31624" s="7"/>
      <c r="M31624" s="9" t="s">
        <v>21</v>
      </c>
    </row>
    <row r="31625" ht="15.75" customHeight="1">
      <c r="A31625" s="7"/>
      <c r="B31625" s="7"/>
      <c r="M31625" s="9" t="s">
        <v>22</v>
      </c>
    </row>
    <row r="31626" ht="15.75" customHeight="1">
      <c r="A31626" s="7"/>
      <c r="B31626" s="7"/>
      <c r="M31626" s="9" t="s">
        <v>31</v>
      </c>
    </row>
    <row r="31627" ht="15.75" customHeight="1">
      <c r="A31627" s="7"/>
      <c r="B31627" s="7"/>
      <c r="M31627" s="9" t="s">
        <v>27</v>
      </c>
    </row>
    <row r="31628" ht="15.75" customHeight="1">
      <c r="A31628" s="7"/>
      <c r="B31628" s="7"/>
      <c r="M31628" s="9" t="s">
        <v>30</v>
      </c>
    </row>
    <row r="31629" ht="15.75" customHeight="1">
      <c r="A31629" s="7"/>
      <c r="B31629" s="7"/>
      <c r="M31629" s="9" t="s">
        <v>42</v>
      </c>
    </row>
    <row r="31630" ht="15.75" customHeight="1">
      <c r="A31630" s="7"/>
      <c r="B31630" s="7"/>
      <c r="M31630" s="9" t="s">
        <v>24</v>
      </c>
    </row>
    <row r="31631" ht="15.75" customHeight="1">
      <c r="A31631" s="7"/>
      <c r="B31631" s="7"/>
      <c r="M31631" s="9" t="s">
        <v>20</v>
      </c>
    </row>
    <row r="31632" ht="15.75" customHeight="1">
      <c r="A31632" s="7"/>
      <c r="B31632" s="7"/>
      <c r="M31632" s="9" t="s">
        <v>21</v>
      </c>
    </row>
    <row r="31633" ht="15.75" customHeight="1">
      <c r="A31633" s="7"/>
      <c r="B31633" s="7"/>
      <c r="M31633" s="9" t="s">
        <v>37</v>
      </c>
    </row>
    <row r="31634" ht="15.75" customHeight="1">
      <c r="A31634" s="7"/>
      <c r="B31634" s="7"/>
      <c r="M31634" s="9" t="s">
        <v>22</v>
      </c>
    </row>
    <row r="31635" ht="15.75" customHeight="1">
      <c r="A31635" s="7"/>
      <c r="B31635" s="7"/>
      <c r="M31635" s="9" t="s">
        <v>27</v>
      </c>
    </row>
    <row r="31636" ht="15.75" customHeight="1">
      <c r="A31636" s="7"/>
      <c r="B31636" s="7"/>
      <c r="M31636" s="9" t="s">
        <v>40</v>
      </c>
    </row>
    <row r="31637" ht="15.75" customHeight="1">
      <c r="A31637" s="7"/>
      <c r="B31637" s="7"/>
      <c r="M31637" s="9" t="s">
        <v>28</v>
      </c>
    </row>
    <row r="31638" ht="15.75" customHeight="1">
      <c r="A31638" s="7"/>
      <c r="B31638" s="7"/>
      <c r="M31638" s="9" t="s">
        <v>30</v>
      </c>
    </row>
    <row r="31639" ht="15.75" customHeight="1">
      <c r="A31639" s="7"/>
      <c r="B31639" s="7"/>
      <c r="M31639" s="9" t="s">
        <v>24</v>
      </c>
    </row>
    <row r="31640" ht="15.75" customHeight="1">
      <c r="A31640" s="7"/>
      <c r="B31640" s="7"/>
      <c r="M31640" s="9" t="s">
        <v>41</v>
      </c>
    </row>
    <row r="31641" ht="15.75" customHeight="1">
      <c r="A31641" s="7"/>
      <c r="B31641" s="7"/>
      <c r="M31641" s="9" t="s">
        <v>22</v>
      </c>
    </row>
    <row r="31642" ht="15.75" customHeight="1">
      <c r="A31642" s="7"/>
      <c r="B31642" s="7"/>
      <c r="M31642" s="9" t="s">
        <v>40</v>
      </c>
    </row>
    <row r="31643" ht="15.75" customHeight="1">
      <c r="A31643" s="7"/>
      <c r="B31643" s="7"/>
      <c r="M31643" s="9" t="s">
        <v>30</v>
      </c>
    </row>
    <row r="31644" ht="15.75" customHeight="1">
      <c r="A31644" s="7"/>
      <c r="B31644" s="7"/>
      <c r="M31644" s="9" t="s">
        <v>26</v>
      </c>
    </row>
    <row r="31645" ht="15.75" customHeight="1">
      <c r="A31645" s="7"/>
      <c r="B31645" s="7"/>
      <c r="M31645" s="9" t="s">
        <v>24</v>
      </c>
    </row>
    <row r="31646" ht="15.75" customHeight="1">
      <c r="A31646" s="7"/>
      <c r="B31646" s="7"/>
      <c r="M31646" s="9" t="s">
        <v>21</v>
      </c>
    </row>
    <row r="31647" ht="15.75" customHeight="1">
      <c r="A31647" s="7"/>
      <c r="B31647" s="7"/>
      <c r="M31647" s="9" t="s">
        <v>33</v>
      </c>
    </row>
    <row r="31648" ht="15.75" customHeight="1">
      <c r="A31648" s="7"/>
      <c r="B31648" s="7"/>
      <c r="M31648" s="9" t="s">
        <v>20</v>
      </c>
    </row>
    <row r="31649" ht="15.75" customHeight="1">
      <c r="A31649" s="7"/>
      <c r="B31649" s="7"/>
      <c r="M31649" s="9" t="s">
        <v>21</v>
      </c>
    </row>
    <row r="31650" ht="15.75" customHeight="1">
      <c r="A31650" s="7"/>
      <c r="B31650" s="7"/>
      <c r="M31650" s="9" t="s">
        <v>37</v>
      </c>
    </row>
    <row r="31651" ht="15.75" customHeight="1">
      <c r="A31651" s="7"/>
      <c r="B31651" s="7"/>
      <c r="M31651" s="9" t="s">
        <v>24</v>
      </c>
    </row>
    <row r="31652" ht="15.75" customHeight="1">
      <c r="A31652" s="7"/>
      <c r="B31652" s="7"/>
      <c r="M31652" s="9" t="s">
        <v>20</v>
      </c>
    </row>
    <row r="31653" ht="15.75" customHeight="1">
      <c r="A31653" s="7"/>
      <c r="B31653" s="7"/>
      <c r="M31653" s="9" t="s">
        <v>21</v>
      </c>
    </row>
    <row r="31654" ht="15.75" customHeight="1">
      <c r="A31654" s="7"/>
      <c r="B31654" s="7"/>
      <c r="M31654" s="9" t="s">
        <v>37</v>
      </c>
    </row>
    <row r="31655" ht="15.75" customHeight="1">
      <c r="A31655" s="7"/>
      <c r="B31655" s="7"/>
      <c r="M31655" s="9" t="s">
        <v>22</v>
      </c>
    </row>
    <row r="31656" ht="15.75" customHeight="1">
      <c r="A31656" s="7"/>
      <c r="B31656" s="7"/>
      <c r="M31656" s="9" t="s">
        <v>27</v>
      </c>
    </row>
    <row r="31657" ht="15.75" customHeight="1">
      <c r="A31657" s="7"/>
      <c r="B31657" s="7"/>
      <c r="M31657" s="9" t="s">
        <v>25</v>
      </c>
    </row>
    <row r="31658" ht="15.75" customHeight="1">
      <c r="A31658" s="7"/>
      <c r="B31658" s="7"/>
      <c r="M31658" s="9" t="s">
        <v>24</v>
      </c>
    </row>
    <row r="31659" ht="15.75" customHeight="1">
      <c r="A31659" s="7"/>
      <c r="B31659" s="7"/>
      <c r="M31659" s="9" t="s">
        <v>20</v>
      </c>
    </row>
    <row r="31660" ht="15.75" customHeight="1">
      <c r="A31660" s="7"/>
      <c r="B31660" s="7"/>
      <c r="M31660" s="9" t="s">
        <v>38</v>
      </c>
    </row>
    <row r="31661" ht="15.75" customHeight="1">
      <c r="A31661" s="7"/>
      <c r="B31661" s="7"/>
      <c r="M31661" s="9" t="s">
        <v>30</v>
      </c>
    </row>
    <row r="31662" ht="15.75" customHeight="1">
      <c r="A31662" s="7"/>
      <c r="B31662" s="7"/>
      <c r="M31662" s="9" t="s">
        <v>25</v>
      </c>
    </row>
    <row r="31663" ht="15.75" customHeight="1">
      <c r="A31663" s="7"/>
      <c r="B31663" s="7"/>
      <c r="M31663" s="9" t="s">
        <v>23</v>
      </c>
    </row>
    <row r="31664" ht="15.75" customHeight="1">
      <c r="A31664" s="7"/>
      <c r="B31664" s="7"/>
      <c r="M31664" s="9" t="s">
        <v>24</v>
      </c>
    </row>
    <row r="31665" ht="15.75" customHeight="1">
      <c r="A31665" s="7"/>
      <c r="B31665" s="7"/>
      <c r="M31665" s="9" t="s">
        <v>20</v>
      </c>
    </row>
    <row r="31666" ht="15.75" customHeight="1">
      <c r="A31666" s="7"/>
      <c r="B31666" s="7"/>
      <c r="M31666" s="9" t="s">
        <v>21</v>
      </c>
    </row>
    <row r="31667" ht="15.75" customHeight="1">
      <c r="A31667" s="7"/>
      <c r="B31667" s="7"/>
      <c r="M31667" s="9" t="s">
        <v>37</v>
      </c>
    </row>
    <row r="31668" ht="15.75" customHeight="1">
      <c r="A31668" s="7"/>
      <c r="B31668" s="7"/>
      <c r="M31668" s="9" t="s">
        <v>22</v>
      </c>
    </row>
    <row r="31669" ht="15.75" customHeight="1">
      <c r="A31669" s="7"/>
      <c r="B31669" s="7"/>
      <c r="M31669" s="9" t="s">
        <v>27</v>
      </c>
    </row>
    <row r="31670" ht="15.75" customHeight="1">
      <c r="A31670" s="7"/>
      <c r="B31670" s="7"/>
      <c r="M31670" s="9" t="s">
        <v>26</v>
      </c>
    </row>
    <row r="31671" ht="15.75" customHeight="1">
      <c r="A31671" s="7"/>
      <c r="B31671" s="7"/>
      <c r="M31671" s="9" t="s">
        <v>21</v>
      </c>
    </row>
    <row r="31672" ht="15.75" customHeight="1">
      <c r="A31672" s="7"/>
      <c r="B31672" s="7"/>
      <c r="M31672" s="9" t="s">
        <v>27</v>
      </c>
    </row>
    <row r="31673" ht="15.75" customHeight="1">
      <c r="A31673" s="7"/>
      <c r="B31673" s="7"/>
      <c r="M31673" s="9" t="s">
        <v>35</v>
      </c>
    </row>
    <row r="31674" ht="15.75" customHeight="1">
      <c r="A31674" s="7"/>
      <c r="B31674" s="7"/>
      <c r="M31674" s="9" t="s">
        <v>38</v>
      </c>
    </row>
    <row r="31675" ht="15.75" customHeight="1">
      <c r="A31675" s="7"/>
      <c r="B31675" s="7"/>
      <c r="M31675" s="9" t="s">
        <v>25</v>
      </c>
    </row>
    <row r="31676" ht="15.75" customHeight="1">
      <c r="A31676" s="7"/>
      <c r="B31676" s="7"/>
      <c r="M31676" s="9" t="s">
        <v>42</v>
      </c>
    </row>
    <row r="31677" ht="15.75" customHeight="1">
      <c r="A31677" s="7"/>
      <c r="B31677" s="7"/>
      <c r="M31677" s="9" t="s">
        <v>36</v>
      </c>
    </row>
    <row r="31678" ht="15.75" customHeight="1">
      <c r="A31678" s="7"/>
      <c r="B31678" s="7"/>
      <c r="M31678" s="9" t="s">
        <v>20</v>
      </c>
    </row>
    <row r="31679" ht="15.75" customHeight="1">
      <c r="A31679" s="7"/>
      <c r="B31679" s="7"/>
      <c r="M31679" s="9" t="s">
        <v>21</v>
      </c>
    </row>
    <row r="31680" ht="15.75" customHeight="1">
      <c r="A31680" s="7"/>
      <c r="B31680" s="7"/>
      <c r="M31680" s="9" t="s">
        <v>37</v>
      </c>
    </row>
    <row r="31681" ht="15.75" customHeight="1">
      <c r="A31681" s="7"/>
      <c r="B31681" s="7"/>
      <c r="M31681" s="9" t="s">
        <v>22</v>
      </c>
    </row>
    <row r="31682" ht="15.75" customHeight="1">
      <c r="A31682" s="7"/>
      <c r="B31682" s="7"/>
      <c r="M31682" s="9" t="s">
        <v>32</v>
      </c>
    </row>
    <row r="31683" ht="15.75" customHeight="1">
      <c r="A31683" s="7"/>
      <c r="B31683" s="7"/>
      <c r="M31683" s="9" t="s">
        <v>33</v>
      </c>
    </row>
    <row r="31684" ht="15.75" customHeight="1">
      <c r="A31684" s="7"/>
      <c r="B31684" s="7"/>
      <c r="M31684" s="9" t="s">
        <v>30</v>
      </c>
    </row>
    <row r="31685" ht="15.75" customHeight="1">
      <c r="A31685" s="7"/>
      <c r="B31685" s="7"/>
      <c r="M31685" s="9" t="s">
        <v>24</v>
      </c>
    </row>
    <row r="31686" ht="15.75" customHeight="1">
      <c r="A31686" s="7"/>
      <c r="B31686" s="7"/>
      <c r="M31686" s="9" t="s">
        <v>22</v>
      </c>
    </row>
    <row r="31687" ht="15.75" customHeight="1">
      <c r="A31687" s="7"/>
      <c r="B31687" s="7"/>
      <c r="M31687" s="9" t="s">
        <v>32</v>
      </c>
    </row>
    <row r="31688" ht="15.75" customHeight="1">
      <c r="A31688" s="7"/>
      <c r="B31688" s="7"/>
      <c r="M31688" s="9" t="s">
        <v>24</v>
      </c>
    </row>
    <row r="31689" ht="15.75" customHeight="1">
      <c r="A31689" s="7"/>
      <c r="B31689" s="7"/>
      <c r="M31689" s="9" t="s">
        <v>21</v>
      </c>
    </row>
    <row r="31690" ht="15.75" customHeight="1">
      <c r="A31690" s="7"/>
      <c r="B31690" s="7"/>
      <c r="M31690" s="9" t="s">
        <v>33</v>
      </c>
    </row>
    <row r="31691" ht="15.75" customHeight="1">
      <c r="A31691" s="7"/>
      <c r="B31691" s="7"/>
      <c r="M31691" s="9" t="s">
        <v>38</v>
      </c>
    </row>
    <row r="31692" ht="15.75" customHeight="1">
      <c r="A31692" s="7"/>
      <c r="B31692" s="7"/>
      <c r="M31692" s="9" t="s">
        <v>22</v>
      </c>
    </row>
    <row r="31693" ht="15.75" customHeight="1">
      <c r="A31693" s="7"/>
      <c r="B31693" s="7"/>
      <c r="M31693" s="9" t="s">
        <v>25</v>
      </c>
    </row>
    <row r="31694" ht="15.75" customHeight="1">
      <c r="A31694" s="7"/>
      <c r="B31694" s="7"/>
      <c r="M31694" s="9" t="s">
        <v>23</v>
      </c>
    </row>
    <row r="31695" ht="15.75" customHeight="1">
      <c r="A31695" s="7"/>
      <c r="B31695" s="7"/>
      <c r="M31695" s="9" t="s">
        <v>26</v>
      </c>
    </row>
    <row r="31696" ht="15.75" customHeight="1">
      <c r="A31696" s="7"/>
      <c r="B31696" s="7"/>
      <c r="M31696" s="9" t="s">
        <v>20</v>
      </c>
    </row>
    <row r="31697" ht="15.75" customHeight="1">
      <c r="A31697" s="7"/>
      <c r="B31697" s="7"/>
      <c r="M31697" s="9" t="s">
        <v>21</v>
      </c>
    </row>
    <row r="31698" ht="15.75" customHeight="1">
      <c r="A31698" s="7"/>
      <c r="B31698" s="7"/>
      <c r="M31698" s="9" t="s">
        <v>39</v>
      </c>
    </row>
    <row r="31699" ht="15.75" customHeight="1">
      <c r="A31699" s="7"/>
      <c r="B31699" s="7"/>
      <c r="M31699" s="9" t="s">
        <v>41</v>
      </c>
    </row>
    <row r="31700" ht="15.75" customHeight="1">
      <c r="A31700" s="7"/>
      <c r="B31700" s="7"/>
      <c r="M31700" s="9" t="s">
        <v>37</v>
      </c>
    </row>
    <row r="31701" ht="15.75" customHeight="1">
      <c r="A31701" s="7"/>
      <c r="B31701" s="7"/>
      <c r="M31701" s="9" t="s">
        <v>22</v>
      </c>
    </row>
    <row r="31702" ht="15.75" customHeight="1">
      <c r="A31702" s="7"/>
      <c r="B31702" s="7"/>
      <c r="M31702" s="9" t="s">
        <v>31</v>
      </c>
    </row>
    <row r="31703" ht="15.75" customHeight="1">
      <c r="A31703" s="7"/>
      <c r="B31703" s="7"/>
      <c r="M31703" s="9" t="s">
        <v>27</v>
      </c>
    </row>
    <row r="31704" ht="15.75" customHeight="1">
      <c r="A31704" s="7"/>
      <c r="B31704" s="7"/>
      <c r="M31704" s="9" t="s">
        <v>40</v>
      </c>
    </row>
    <row r="31705" ht="15.75" customHeight="1">
      <c r="A31705" s="7"/>
      <c r="B31705" s="7"/>
      <c r="M31705" s="9" t="s">
        <v>30</v>
      </c>
    </row>
    <row r="31706" ht="15.75" customHeight="1">
      <c r="A31706" s="7"/>
      <c r="B31706" s="7"/>
      <c r="M31706" s="9" t="s">
        <v>25</v>
      </c>
    </row>
    <row r="31707" ht="15.75" customHeight="1">
      <c r="A31707" s="7"/>
      <c r="B31707" s="7"/>
      <c r="M31707" s="9" t="s">
        <v>23</v>
      </c>
    </row>
    <row r="31708" ht="15.75" customHeight="1">
      <c r="A31708" s="7"/>
      <c r="B31708" s="7"/>
      <c r="M31708" s="9" t="s">
        <v>47</v>
      </c>
    </row>
    <row r="31709" ht="15.75" customHeight="1">
      <c r="A31709" s="7"/>
      <c r="B31709" s="7"/>
      <c r="M31709" s="9" t="s">
        <v>45</v>
      </c>
    </row>
    <row r="31710" ht="15.75" customHeight="1">
      <c r="A31710" s="7"/>
      <c r="B31710" s="7"/>
      <c r="M31710" s="9" t="s">
        <v>36</v>
      </c>
    </row>
    <row r="31711" ht="15.75" customHeight="1">
      <c r="A31711" s="7"/>
      <c r="B31711" s="7"/>
      <c r="M31711" s="9" t="s">
        <v>24</v>
      </c>
    </row>
    <row r="31712" ht="15.75" customHeight="1">
      <c r="A31712" s="7"/>
      <c r="B31712" s="7"/>
      <c r="M31712" s="9" t="s">
        <v>20</v>
      </c>
    </row>
    <row r="31713" ht="15.75" customHeight="1">
      <c r="A31713" s="7"/>
      <c r="B31713" s="7"/>
      <c r="M31713" s="9" t="s">
        <v>21</v>
      </c>
    </row>
    <row r="31714" ht="15.75" customHeight="1">
      <c r="A31714" s="7"/>
      <c r="B31714" s="7"/>
      <c r="M31714" s="9" t="s">
        <v>39</v>
      </c>
    </row>
    <row r="31715" ht="15.75" customHeight="1">
      <c r="A31715" s="7"/>
      <c r="B31715" s="7"/>
      <c r="M31715" s="9" t="s">
        <v>22</v>
      </c>
    </row>
    <row r="31716" ht="15.75" customHeight="1">
      <c r="A31716" s="7"/>
      <c r="B31716" s="7"/>
      <c r="M31716" s="9" t="s">
        <v>27</v>
      </c>
    </row>
    <row r="31717" ht="15.75" customHeight="1">
      <c r="A31717" s="7"/>
      <c r="B31717" s="7"/>
      <c r="M31717" s="9" t="s">
        <v>27</v>
      </c>
    </row>
    <row r="31718" ht="15.75" customHeight="1">
      <c r="A31718" s="7"/>
      <c r="B31718" s="7"/>
      <c r="M31718" s="9" t="s">
        <v>28</v>
      </c>
    </row>
    <row r="31719" ht="15.75" customHeight="1">
      <c r="A31719" s="7"/>
      <c r="B31719" s="7"/>
      <c r="M31719" s="9" t="s">
        <v>20</v>
      </c>
    </row>
    <row r="31720" ht="15.75" customHeight="1">
      <c r="A31720" s="7"/>
      <c r="B31720" s="7"/>
      <c r="M31720" s="9" t="s">
        <v>39</v>
      </c>
    </row>
    <row r="31721" ht="15.75" customHeight="1">
      <c r="A31721" s="7"/>
      <c r="B31721" s="7"/>
      <c r="M31721" s="9" t="s">
        <v>22</v>
      </c>
    </row>
    <row r="31722" ht="15.75" customHeight="1">
      <c r="A31722" s="7"/>
      <c r="B31722" s="7"/>
      <c r="M31722" s="9" t="s">
        <v>38</v>
      </c>
    </row>
    <row r="31723" ht="15.75" customHeight="1">
      <c r="A31723" s="7"/>
      <c r="B31723" s="7"/>
      <c r="M31723" s="9" t="s">
        <v>30</v>
      </c>
    </row>
    <row r="31724" ht="15.75" customHeight="1">
      <c r="A31724" s="7"/>
      <c r="B31724" s="7"/>
      <c r="M31724" s="9" t="s">
        <v>25</v>
      </c>
    </row>
    <row r="31725" ht="15.75" customHeight="1">
      <c r="A31725" s="7"/>
      <c r="B31725" s="7"/>
      <c r="M31725" s="9" t="s">
        <v>23</v>
      </c>
    </row>
    <row r="31726" ht="15.75" customHeight="1">
      <c r="A31726" s="7"/>
      <c r="B31726" s="7"/>
      <c r="M31726" s="9" t="s">
        <v>44</v>
      </c>
    </row>
    <row r="31727" ht="15.75" customHeight="1">
      <c r="A31727" s="7"/>
      <c r="B31727" s="7"/>
      <c r="M31727" s="9" t="s">
        <v>36</v>
      </c>
    </row>
    <row r="31728" ht="15.75" customHeight="1">
      <c r="A31728" s="7"/>
      <c r="B31728" s="7"/>
      <c r="M31728" s="9" t="s">
        <v>24</v>
      </c>
    </row>
    <row r="31729" ht="15.75" customHeight="1">
      <c r="A31729" s="7"/>
      <c r="B31729" s="7"/>
      <c r="M31729" s="9" t="s">
        <v>20</v>
      </c>
    </row>
    <row r="31730" ht="15.75" customHeight="1">
      <c r="A31730" s="7"/>
      <c r="B31730" s="7"/>
      <c r="M31730" s="9" t="s">
        <v>22</v>
      </c>
    </row>
    <row r="31731" ht="15.75" customHeight="1">
      <c r="A31731" s="7"/>
      <c r="B31731" s="7"/>
      <c r="M31731" s="9" t="s">
        <v>25</v>
      </c>
    </row>
    <row r="31732" ht="15.75" customHeight="1">
      <c r="A31732" s="7"/>
      <c r="B31732" s="7"/>
      <c r="M31732" s="9" t="s">
        <v>23</v>
      </c>
    </row>
    <row r="31733" ht="15.75" customHeight="1">
      <c r="A31733" s="7"/>
      <c r="B31733" s="7"/>
      <c r="M31733" s="9" t="s">
        <v>26</v>
      </c>
    </row>
    <row r="31734" ht="15.75" customHeight="1">
      <c r="A31734" s="7"/>
      <c r="B31734" s="7"/>
      <c r="M31734" s="9" t="s">
        <v>24</v>
      </c>
    </row>
    <row r="31735" ht="15.75" customHeight="1">
      <c r="A31735" s="7"/>
      <c r="B31735" s="7"/>
      <c r="M31735" s="9" t="s">
        <v>39</v>
      </c>
    </row>
    <row r="31736" ht="15.75" customHeight="1">
      <c r="A31736" s="7"/>
      <c r="B31736" s="7"/>
      <c r="M31736" s="9" t="s">
        <v>37</v>
      </c>
    </row>
    <row r="31737" ht="15.75" customHeight="1">
      <c r="A31737" s="7"/>
      <c r="B31737" s="7"/>
      <c r="M31737" s="9" t="s">
        <v>22</v>
      </c>
    </row>
    <row r="31738" ht="15.75" customHeight="1">
      <c r="A31738" s="7"/>
      <c r="B31738" s="7"/>
      <c r="M31738" s="9" t="s">
        <v>24</v>
      </c>
    </row>
    <row r="31739" ht="15.75" customHeight="1">
      <c r="A31739" s="7"/>
      <c r="B31739" s="7"/>
      <c r="M31739" s="9" t="s">
        <v>20</v>
      </c>
    </row>
    <row r="31740" ht="15.75" customHeight="1">
      <c r="A31740" s="7"/>
      <c r="B31740" s="7"/>
      <c r="M31740" s="9" t="s">
        <v>21</v>
      </c>
    </row>
    <row r="31741" ht="15.75" customHeight="1">
      <c r="A31741" s="7"/>
      <c r="B31741" s="7"/>
      <c r="M31741" s="9" t="s">
        <v>37</v>
      </c>
    </row>
    <row r="31742" ht="15.75" customHeight="1">
      <c r="A31742" s="7"/>
      <c r="B31742" s="7"/>
      <c r="M31742" s="9" t="s">
        <v>22</v>
      </c>
    </row>
    <row r="31743" ht="15.75" customHeight="1">
      <c r="A31743" s="7"/>
      <c r="B31743" s="7"/>
      <c r="M31743" s="9" t="s">
        <v>22</v>
      </c>
    </row>
    <row r="31744" ht="15.75" customHeight="1">
      <c r="A31744" s="7"/>
      <c r="B31744" s="7"/>
      <c r="M31744" s="9" t="s">
        <v>27</v>
      </c>
    </row>
    <row r="31745" ht="15.75" customHeight="1">
      <c r="A31745" s="7"/>
      <c r="B31745" s="7"/>
      <c r="M31745" s="9" t="s">
        <v>24</v>
      </c>
    </row>
    <row r="31746" ht="15.75" customHeight="1">
      <c r="A31746" s="7"/>
      <c r="B31746" s="7"/>
      <c r="M31746" s="9" t="s">
        <v>20</v>
      </c>
    </row>
    <row r="31747" ht="15.75" customHeight="1">
      <c r="A31747" s="7"/>
      <c r="B31747" s="7"/>
      <c r="M31747" s="9" t="s">
        <v>21</v>
      </c>
    </row>
    <row r="31748" ht="15.75" customHeight="1">
      <c r="A31748" s="7"/>
      <c r="B31748" s="7"/>
      <c r="M31748" s="9" t="s">
        <v>35</v>
      </c>
    </row>
    <row r="31749" ht="15.75" customHeight="1">
      <c r="A31749" s="7"/>
      <c r="B31749" s="7"/>
      <c r="M31749" s="9" t="s">
        <v>23</v>
      </c>
    </row>
    <row r="31750" ht="15.75" customHeight="1">
      <c r="A31750" s="7"/>
      <c r="B31750" s="7"/>
      <c r="M31750" s="9" t="s">
        <v>37</v>
      </c>
    </row>
    <row r="31751" ht="15.75" customHeight="1">
      <c r="A31751" s="7"/>
      <c r="B31751" s="7"/>
      <c r="M31751" s="9" t="s">
        <v>30</v>
      </c>
    </row>
    <row r="31752" ht="15.75" customHeight="1">
      <c r="A31752" s="7"/>
      <c r="B31752" s="7"/>
      <c r="M31752" s="9" t="s">
        <v>24</v>
      </c>
    </row>
    <row r="31753" ht="15.75" customHeight="1">
      <c r="A31753" s="7"/>
      <c r="B31753" s="7"/>
      <c r="M31753" s="9" t="s">
        <v>20</v>
      </c>
    </row>
    <row r="31754" ht="15.75" customHeight="1">
      <c r="A31754" s="7"/>
      <c r="B31754" s="7"/>
      <c r="M31754" s="9" t="s">
        <v>21</v>
      </c>
    </row>
    <row r="31755" ht="15.75" customHeight="1">
      <c r="A31755" s="7"/>
      <c r="B31755" s="7"/>
      <c r="M31755" s="9" t="s">
        <v>27</v>
      </c>
    </row>
    <row r="31756" ht="15.75" customHeight="1">
      <c r="A31756" s="7"/>
      <c r="B31756" s="7"/>
      <c r="M31756" s="9" t="s">
        <v>35</v>
      </c>
    </row>
    <row r="31757" ht="15.75" customHeight="1">
      <c r="A31757" s="7"/>
      <c r="B31757" s="7"/>
      <c r="M31757" s="9" t="s">
        <v>30</v>
      </c>
    </row>
    <row r="31758" ht="15.75" customHeight="1">
      <c r="A31758" s="7"/>
      <c r="B31758" s="7"/>
      <c r="M31758" s="9" t="s">
        <v>23</v>
      </c>
    </row>
    <row r="31759" ht="15.75" customHeight="1">
      <c r="A31759" s="7"/>
      <c r="B31759" s="7"/>
      <c r="M31759" s="9" t="s">
        <v>22</v>
      </c>
    </row>
    <row r="31760" ht="15.75" customHeight="1">
      <c r="A31760" s="7"/>
      <c r="B31760" s="7"/>
      <c r="M31760" s="9" t="s">
        <v>29</v>
      </c>
    </row>
    <row r="31761" ht="15.75" customHeight="1">
      <c r="A31761" s="7"/>
      <c r="B31761" s="7"/>
      <c r="M31761" s="9" t="s">
        <v>30</v>
      </c>
    </row>
    <row r="31762" ht="15.75" customHeight="1">
      <c r="A31762" s="7"/>
      <c r="B31762" s="7"/>
      <c r="M31762" s="9" t="s">
        <v>23</v>
      </c>
    </row>
    <row r="31763" ht="15.75" customHeight="1">
      <c r="A31763" s="7"/>
      <c r="B31763" s="7"/>
      <c r="M31763" s="9" t="s">
        <v>24</v>
      </c>
    </row>
    <row r="31764" ht="15.75" customHeight="1">
      <c r="A31764" s="7"/>
      <c r="B31764" s="7"/>
      <c r="M31764" s="9" t="s">
        <v>20</v>
      </c>
    </row>
    <row r="31765" ht="15.75" customHeight="1">
      <c r="A31765" s="7"/>
      <c r="B31765" s="7"/>
      <c r="M31765" s="9" t="s">
        <v>21</v>
      </c>
    </row>
    <row r="31766" ht="15.75" customHeight="1">
      <c r="A31766" s="7"/>
      <c r="B31766" s="7"/>
      <c r="M31766" s="9" t="s">
        <v>37</v>
      </c>
    </row>
    <row r="31767" ht="15.75" customHeight="1">
      <c r="A31767" s="7"/>
      <c r="B31767" s="7"/>
      <c r="M31767" s="9" t="s">
        <v>22</v>
      </c>
    </row>
    <row r="31768" ht="15.75" customHeight="1">
      <c r="A31768" s="7"/>
      <c r="B31768" s="7"/>
      <c r="M31768" s="9" t="s">
        <v>22</v>
      </c>
    </row>
    <row r="31769" ht="15.75" customHeight="1">
      <c r="A31769" s="7"/>
      <c r="B31769" s="7"/>
      <c r="M31769" s="9" t="s">
        <v>35</v>
      </c>
    </row>
    <row r="31770" ht="15.75" customHeight="1">
      <c r="A31770" s="7"/>
      <c r="B31770" s="7"/>
      <c r="M31770" s="9" t="s">
        <v>20</v>
      </c>
    </row>
    <row r="31771" ht="15.75" customHeight="1">
      <c r="A31771" s="7"/>
      <c r="B31771" s="7"/>
      <c r="M31771" s="9" t="s">
        <v>27</v>
      </c>
    </row>
    <row r="31772" ht="15.75" customHeight="1">
      <c r="A31772" s="7"/>
      <c r="B31772" s="7"/>
      <c r="M31772" s="9" t="s">
        <v>23</v>
      </c>
    </row>
    <row r="31773" ht="15.75" customHeight="1">
      <c r="A31773" s="7"/>
      <c r="B31773" s="7"/>
      <c r="M31773" s="9" t="s">
        <v>26</v>
      </c>
    </row>
    <row r="31774" ht="15.75" customHeight="1">
      <c r="A31774" s="7"/>
      <c r="B31774" s="7"/>
      <c r="M31774" s="9" t="s">
        <v>27</v>
      </c>
    </row>
    <row r="31775" ht="15.75" customHeight="1">
      <c r="A31775" s="7"/>
      <c r="B31775" s="7"/>
      <c r="M31775" s="9" t="s">
        <v>26</v>
      </c>
    </row>
    <row r="31776" ht="15.75" customHeight="1">
      <c r="A31776" s="7"/>
      <c r="B31776" s="7"/>
      <c r="M31776" s="9" t="s">
        <v>24</v>
      </c>
    </row>
    <row r="31777" ht="15.75" customHeight="1">
      <c r="A31777" s="7"/>
      <c r="B31777" s="7"/>
      <c r="M31777" s="9" t="s">
        <v>37</v>
      </c>
    </row>
    <row r="31778" ht="15.75" customHeight="1">
      <c r="A31778" s="7"/>
      <c r="B31778" s="7"/>
      <c r="M31778" s="9" t="s">
        <v>35</v>
      </c>
    </row>
    <row r="31779" ht="15.75" customHeight="1">
      <c r="A31779" s="7"/>
      <c r="B31779" s="7"/>
      <c r="M31779" s="9" t="s">
        <v>30</v>
      </c>
    </row>
    <row r="31780" ht="15.75" customHeight="1">
      <c r="A31780" s="7"/>
      <c r="B31780" s="7"/>
      <c r="M31780" s="9" t="s">
        <v>26</v>
      </c>
    </row>
    <row r="31781" ht="15.75" customHeight="1">
      <c r="A31781" s="7"/>
      <c r="B31781" s="7"/>
      <c r="M31781" s="9" t="s">
        <v>24</v>
      </c>
    </row>
    <row r="31782" ht="15.75" customHeight="1">
      <c r="A31782" s="7"/>
      <c r="B31782" s="7"/>
      <c r="M31782" s="9" t="s">
        <v>21</v>
      </c>
    </row>
    <row r="31783" ht="15.75" customHeight="1">
      <c r="A31783" s="7"/>
      <c r="B31783" s="7"/>
      <c r="M31783" s="9" t="s">
        <v>37</v>
      </c>
    </row>
    <row r="31784" ht="15.75" customHeight="1">
      <c r="A31784" s="7"/>
      <c r="B31784" s="7"/>
      <c r="M31784" s="9" t="s">
        <v>27</v>
      </c>
    </row>
    <row r="31785" ht="15.75" customHeight="1">
      <c r="A31785" s="7"/>
      <c r="B31785" s="7"/>
      <c r="M31785" s="9" t="s">
        <v>28</v>
      </c>
    </row>
    <row r="31786" ht="15.75" customHeight="1">
      <c r="A31786" s="7"/>
      <c r="B31786" s="7"/>
      <c r="M31786" s="9" t="s">
        <v>23</v>
      </c>
    </row>
    <row r="31787" ht="15.75" customHeight="1">
      <c r="A31787" s="7"/>
      <c r="B31787" s="7"/>
      <c r="M31787" s="9" t="s">
        <v>26</v>
      </c>
    </row>
    <row r="31788" ht="15.75" customHeight="1">
      <c r="A31788" s="7"/>
      <c r="B31788" s="7"/>
      <c r="M31788" s="9" t="s">
        <v>35</v>
      </c>
    </row>
    <row r="31789" ht="15.75" customHeight="1">
      <c r="A31789" s="7"/>
      <c r="B31789" s="7"/>
      <c r="M31789" s="9" t="s">
        <v>30</v>
      </c>
    </row>
    <row r="31790" ht="15.75" customHeight="1">
      <c r="A31790" s="7"/>
      <c r="B31790" s="7"/>
      <c r="M31790" s="9" t="s">
        <v>25</v>
      </c>
    </row>
    <row r="31791" ht="15.75" customHeight="1">
      <c r="A31791" s="7"/>
      <c r="B31791" s="7"/>
      <c r="M31791" s="9" t="s">
        <v>26</v>
      </c>
    </row>
    <row r="31792" ht="15.75" customHeight="1">
      <c r="A31792" s="7"/>
      <c r="B31792" s="7"/>
      <c r="M31792" s="9" t="s">
        <v>24</v>
      </c>
    </row>
    <row r="31793" ht="15.75" customHeight="1">
      <c r="A31793" s="7"/>
      <c r="B31793" s="7"/>
      <c r="M31793" s="9" t="s">
        <v>20</v>
      </c>
    </row>
    <row r="31794" ht="15.75" customHeight="1">
      <c r="A31794" s="7"/>
      <c r="B31794" s="7"/>
      <c r="M31794" s="9" t="s">
        <v>21</v>
      </c>
    </row>
    <row r="31795" ht="15.75" customHeight="1">
      <c r="A31795" s="7"/>
      <c r="B31795" s="7"/>
      <c r="M31795" s="9" t="s">
        <v>37</v>
      </c>
    </row>
    <row r="31796" ht="15.75" customHeight="1">
      <c r="A31796" s="7"/>
      <c r="B31796" s="7"/>
      <c r="M31796" s="9" t="s">
        <v>22</v>
      </c>
    </row>
    <row r="31797" ht="15.75" customHeight="1">
      <c r="A31797" s="7"/>
      <c r="B31797" s="7"/>
      <c r="M31797" s="9" t="s">
        <v>27</v>
      </c>
    </row>
    <row r="31798" ht="15.75" customHeight="1">
      <c r="A31798" s="7"/>
      <c r="B31798" s="7"/>
      <c r="M31798" s="9" t="s">
        <v>28</v>
      </c>
    </row>
    <row r="31799" ht="15.75" customHeight="1">
      <c r="A31799" s="7"/>
      <c r="B31799" s="7"/>
      <c r="M31799" s="9" t="s">
        <v>30</v>
      </c>
    </row>
    <row r="31800" ht="15.75" customHeight="1">
      <c r="A31800" s="7"/>
      <c r="B31800" s="7"/>
      <c r="M31800" s="9" t="s">
        <v>24</v>
      </c>
    </row>
    <row r="31801" ht="15.75" customHeight="1">
      <c r="A31801" s="7"/>
      <c r="B31801" s="7"/>
      <c r="M31801" s="9" t="s">
        <v>20</v>
      </c>
    </row>
    <row r="31802" ht="15.75" customHeight="1">
      <c r="A31802" s="7"/>
      <c r="B31802" s="7"/>
      <c r="M31802" s="9" t="s">
        <v>21</v>
      </c>
    </row>
    <row r="31803" ht="15.75" customHeight="1">
      <c r="A31803" s="7"/>
      <c r="B31803" s="7"/>
      <c r="M31803" s="9" t="s">
        <v>39</v>
      </c>
    </row>
    <row r="31804" ht="15.75" customHeight="1">
      <c r="A31804" s="7"/>
      <c r="B31804" s="7"/>
      <c r="M31804" s="9" t="s">
        <v>22</v>
      </c>
    </row>
    <row r="31805" ht="15.75" customHeight="1">
      <c r="A31805" s="7"/>
      <c r="B31805" s="7"/>
      <c r="M31805" s="9" t="s">
        <v>27</v>
      </c>
    </row>
    <row r="31806" ht="15.75" customHeight="1">
      <c r="A31806" s="7"/>
      <c r="B31806" s="7"/>
      <c r="M31806" s="9" t="s">
        <v>33</v>
      </c>
    </row>
    <row r="31807" ht="15.75" customHeight="1">
      <c r="A31807" s="7"/>
      <c r="B31807" s="7"/>
      <c r="M31807" s="9" t="s">
        <v>23</v>
      </c>
    </row>
    <row r="31808" ht="15.75" customHeight="1">
      <c r="A31808" s="7"/>
      <c r="B31808" s="7"/>
      <c r="M31808" s="9" t="s">
        <v>22</v>
      </c>
    </row>
    <row r="31809" ht="15.75" customHeight="1">
      <c r="A31809" s="7"/>
      <c r="B31809" s="7"/>
      <c r="M31809" s="9" t="s">
        <v>24</v>
      </c>
    </row>
    <row r="31810" ht="15.75" customHeight="1">
      <c r="A31810" s="7"/>
      <c r="B31810" s="7"/>
      <c r="M31810" s="9" t="s">
        <v>21</v>
      </c>
    </row>
    <row r="31811" ht="15.75" customHeight="1">
      <c r="A31811" s="7"/>
      <c r="B31811" s="7"/>
      <c r="M31811" s="9" t="s">
        <v>37</v>
      </c>
    </row>
    <row r="31812" ht="15.75" customHeight="1">
      <c r="A31812" s="7"/>
      <c r="B31812" s="7"/>
      <c r="M31812" s="9" t="s">
        <v>22</v>
      </c>
    </row>
    <row r="31813" ht="15.75" customHeight="1">
      <c r="A31813" s="7"/>
      <c r="B31813" s="7"/>
      <c r="M31813" s="9" t="s">
        <v>20</v>
      </c>
    </row>
    <row r="31814" ht="15.75" customHeight="1">
      <c r="A31814" s="7"/>
      <c r="B31814" s="7"/>
      <c r="M31814" s="9" t="s">
        <v>39</v>
      </c>
    </row>
    <row r="31815" ht="15.75" customHeight="1">
      <c r="A31815" s="7"/>
      <c r="B31815" s="7"/>
      <c r="M31815" s="9" t="s">
        <v>25</v>
      </c>
    </row>
    <row r="31816" ht="15.75" customHeight="1">
      <c r="A31816" s="7"/>
      <c r="B31816" s="7"/>
      <c r="M31816" s="9" t="s">
        <v>23</v>
      </c>
    </row>
    <row r="31817" ht="15.75" customHeight="1">
      <c r="A31817" s="7"/>
      <c r="B31817" s="7"/>
      <c r="M31817" s="9" t="s">
        <v>24</v>
      </c>
    </row>
    <row r="31818" ht="15.75" customHeight="1">
      <c r="A31818" s="7"/>
      <c r="B31818" s="7"/>
      <c r="M31818" s="9" t="s">
        <v>20</v>
      </c>
    </row>
    <row r="31819" ht="15.75" customHeight="1">
      <c r="A31819" s="7"/>
      <c r="B31819" s="7"/>
      <c r="M31819" s="9" t="s">
        <v>37</v>
      </c>
    </row>
    <row r="31820" ht="15.75" customHeight="1">
      <c r="A31820" s="7"/>
      <c r="B31820" s="7"/>
      <c r="M31820" s="9" t="s">
        <v>30</v>
      </c>
    </row>
    <row r="31821" ht="15.75" customHeight="1">
      <c r="A31821" s="7"/>
      <c r="B31821" s="7"/>
      <c r="M31821" s="9" t="s">
        <v>36</v>
      </c>
    </row>
    <row r="31822" ht="15.75" customHeight="1">
      <c r="A31822" s="7"/>
      <c r="B31822" s="7"/>
      <c r="M31822" s="9" t="s">
        <v>24</v>
      </c>
    </row>
    <row r="31823" ht="15.75" customHeight="1">
      <c r="A31823" s="7"/>
      <c r="B31823" s="7"/>
      <c r="M31823" s="9" t="s">
        <v>20</v>
      </c>
    </row>
    <row r="31824" ht="15.75" customHeight="1">
      <c r="A31824" s="7"/>
      <c r="B31824" s="7"/>
      <c r="M31824" s="9" t="s">
        <v>21</v>
      </c>
    </row>
    <row r="31825" ht="15.75" customHeight="1">
      <c r="A31825" s="7"/>
      <c r="B31825" s="7"/>
      <c r="M31825" s="9" t="s">
        <v>37</v>
      </c>
    </row>
    <row r="31826" ht="15.75" customHeight="1">
      <c r="A31826" s="7"/>
      <c r="B31826" s="7"/>
      <c r="M31826" s="9" t="s">
        <v>22</v>
      </c>
    </row>
    <row r="31827" ht="15.75" customHeight="1">
      <c r="A31827" s="7"/>
      <c r="B31827" s="7"/>
      <c r="M31827" s="9" t="s">
        <v>31</v>
      </c>
    </row>
    <row r="31828" ht="15.75" customHeight="1">
      <c r="A31828" s="7"/>
      <c r="B31828" s="7"/>
      <c r="M31828" s="9" t="s">
        <v>27</v>
      </c>
    </row>
    <row r="31829" ht="15.75" customHeight="1">
      <c r="A31829" s="7"/>
      <c r="B31829" s="7"/>
      <c r="M31829" s="9" t="s">
        <v>27</v>
      </c>
    </row>
    <row r="31830" ht="15.75" customHeight="1">
      <c r="A31830" s="7"/>
      <c r="B31830" s="7"/>
      <c r="M31830" s="9" t="s">
        <v>30</v>
      </c>
    </row>
    <row r="31831" ht="15.75" customHeight="1">
      <c r="A31831" s="7"/>
      <c r="B31831" s="7"/>
      <c r="M31831" s="9" t="s">
        <v>25</v>
      </c>
    </row>
    <row r="31832" ht="15.75" customHeight="1">
      <c r="A31832" s="7"/>
      <c r="B31832" s="7"/>
      <c r="M31832" s="9" t="s">
        <v>23</v>
      </c>
    </row>
    <row r="31833" ht="15.75" customHeight="1">
      <c r="A31833" s="7"/>
      <c r="B31833" s="7"/>
      <c r="M31833" s="9" t="s">
        <v>26</v>
      </c>
    </row>
    <row r="31834" ht="15.75" customHeight="1">
      <c r="A31834" s="7"/>
      <c r="B31834" s="7"/>
      <c r="M31834" s="9" t="s">
        <v>24</v>
      </c>
    </row>
    <row r="31835" ht="15.75" customHeight="1">
      <c r="A31835" s="7"/>
      <c r="B31835" s="7"/>
      <c r="M31835" s="9" t="s">
        <v>20</v>
      </c>
    </row>
    <row r="31836" ht="15.75" customHeight="1">
      <c r="A31836" s="7"/>
      <c r="B31836" s="7"/>
      <c r="M31836" s="9" t="s">
        <v>21</v>
      </c>
    </row>
    <row r="31837" ht="15.75" customHeight="1">
      <c r="A31837" s="7"/>
      <c r="B31837" s="7"/>
      <c r="M31837" s="9" t="s">
        <v>41</v>
      </c>
    </row>
    <row r="31838" ht="15.75" customHeight="1">
      <c r="A31838" s="7"/>
      <c r="B31838" s="7"/>
      <c r="M31838" s="9" t="s">
        <v>37</v>
      </c>
    </row>
    <row r="31839" ht="15.75" customHeight="1">
      <c r="A31839" s="7"/>
      <c r="B31839" s="7"/>
      <c r="M31839" s="9" t="s">
        <v>22</v>
      </c>
    </row>
    <row r="31840" ht="15.75" customHeight="1">
      <c r="A31840" s="7"/>
      <c r="B31840" s="7"/>
      <c r="M31840" s="9" t="s">
        <v>27</v>
      </c>
    </row>
    <row r="31841" ht="15.75" customHeight="1">
      <c r="A31841" s="7"/>
      <c r="B31841" s="7"/>
      <c r="M31841" s="9" t="s">
        <v>30</v>
      </c>
    </row>
    <row r="31842" ht="15.75" customHeight="1">
      <c r="A31842" s="7"/>
      <c r="B31842" s="7"/>
      <c r="M31842" s="9" t="s">
        <v>23</v>
      </c>
    </row>
    <row r="31843" ht="15.75" customHeight="1">
      <c r="A31843" s="7"/>
      <c r="B31843" s="7"/>
      <c r="M31843" s="9" t="s">
        <v>26</v>
      </c>
    </row>
    <row r="31844" ht="15.75" customHeight="1">
      <c r="A31844" s="7"/>
      <c r="B31844" s="7"/>
      <c r="M31844" s="9" t="s">
        <v>24</v>
      </c>
    </row>
    <row r="31845" ht="15.75" customHeight="1">
      <c r="A31845" s="7"/>
      <c r="B31845" s="7"/>
      <c r="M31845" s="9" t="s">
        <v>20</v>
      </c>
    </row>
    <row r="31846" ht="15.75" customHeight="1">
      <c r="A31846" s="7"/>
      <c r="B31846" s="7"/>
      <c r="M31846" s="9" t="s">
        <v>21</v>
      </c>
    </row>
    <row r="31847" ht="15.75" customHeight="1">
      <c r="A31847" s="7"/>
      <c r="B31847" s="7"/>
      <c r="M31847" s="9" t="s">
        <v>27</v>
      </c>
    </row>
    <row r="31848" ht="15.75" customHeight="1">
      <c r="A31848" s="7"/>
      <c r="B31848" s="7"/>
      <c r="M31848" s="9" t="s">
        <v>30</v>
      </c>
    </row>
    <row r="31849" ht="15.75" customHeight="1">
      <c r="A31849" s="7"/>
      <c r="B31849" s="7"/>
      <c r="M31849" s="9" t="s">
        <v>20</v>
      </c>
    </row>
    <row r="31850" ht="15.75" customHeight="1">
      <c r="A31850" s="7"/>
      <c r="B31850" s="7"/>
      <c r="M31850" s="9" t="s">
        <v>21</v>
      </c>
    </row>
    <row r="31851" ht="15.75" customHeight="1">
      <c r="A31851" s="7"/>
      <c r="B31851" s="7"/>
      <c r="M31851" s="9" t="s">
        <v>31</v>
      </c>
    </row>
    <row r="31852" ht="15.75" customHeight="1">
      <c r="A31852" s="7"/>
      <c r="B31852" s="7"/>
      <c r="M31852" s="9" t="s">
        <v>20</v>
      </c>
    </row>
    <row r="31853" ht="15.75" customHeight="1">
      <c r="A31853" s="7"/>
      <c r="B31853" s="7"/>
      <c r="M31853" s="9" t="s">
        <v>21</v>
      </c>
    </row>
    <row r="31854" ht="15.75" customHeight="1">
      <c r="A31854" s="7"/>
      <c r="B31854" s="7"/>
      <c r="M31854" s="9" t="s">
        <v>22</v>
      </c>
    </row>
    <row r="31855" ht="15.75" customHeight="1">
      <c r="A31855" s="7"/>
      <c r="B31855" s="7"/>
      <c r="M31855" s="9" t="s">
        <v>27</v>
      </c>
    </row>
    <row r="31856" ht="15.75" customHeight="1">
      <c r="A31856" s="7"/>
      <c r="B31856" s="7"/>
      <c r="M31856" s="9" t="s">
        <v>25</v>
      </c>
    </row>
    <row r="31857" ht="15.75" customHeight="1">
      <c r="A31857" s="7"/>
      <c r="B31857" s="7"/>
      <c r="M31857" s="9" t="s">
        <v>24</v>
      </c>
    </row>
    <row r="31858" ht="15.75" customHeight="1">
      <c r="A31858" s="7"/>
      <c r="B31858" s="7"/>
      <c r="M31858" s="9" t="s">
        <v>20</v>
      </c>
    </row>
    <row r="31859" ht="15.75" customHeight="1">
      <c r="A31859" s="7"/>
      <c r="B31859" s="7"/>
      <c r="M31859" s="9" t="s">
        <v>21</v>
      </c>
    </row>
    <row r="31860" ht="15.75" customHeight="1">
      <c r="A31860" s="7"/>
      <c r="B31860" s="7"/>
      <c r="M31860" s="9" t="s">
        <v>22</v>
      </c>
    </row>
    <row r="31861" ht="15.75" customHeight="1">
      <c r="A31861" s="7"/>
      <c r="B31861" s="7"/>
      <c r="M31861" s="9" t="s">
        <v>29</v>
      </c>
    </row>
    <row r="31862" ht="15.75" customHeight="1">
      <c r="A31862" s="7"/>
      <c r="B31862" s="7"/>
      <c r="M31862" s="9" t="s">
        <v>27</v>
      </c>
    </row>
    <row r="31863" ht="15.75" customHeight="1">
      <c r="A31863" s="7"/>
      <c r="B31863" s="7"/>
      <c r="M31863" s="9" t="s">
        <v>30</v>
      </c>
    </row>
    <row r="31864" ht="15.75" customHeight="1">
      <c r="A31864" s="7"/>
      <c r="B31864" s="7"/>
      <c r="M31864" s="9" t="s">
        <v>25</v>
      </c>
    </row>
    <row r="31865" ht="15.75" customHeight="1">
      <c r="A31865" s="7"/>
      <c r="B31865" s="7"/>
      <c r="M31865" s="9" t="s">
        <v>23</v>
      </c>
    </row>
    <row r="31866" ht="15.75" customHeight="1">
      <c r="A31866" s="7"/>
      <c r="B31866" s="7"/>
      <c r="M31866" s="9" t="s">
        <v>24</v>
      </c>
    </row>
    <row r="31867" ht="15.75" customHeight="1">
      <c r="A31867" s="7"/>
      <c r="B31867" s="7"/>
      <c r="M31867" s="9" t="s">
        <v>21</v>
      </c>
    </row>
    <row r="31868" ht="15.75" customHeight="1">
      <c r="A31868" s="7"/>
      <c r="B31868" s="7"/>
      <c r="M31868" s="9" t="s">
        <v>37</v>
      </c>
    </row>
    <row r="31869" ht="15.75" customHeight="1">
      <c r="A31869" s="7"/>
      <c r="B31869" s="7"/>
      <c r="M31869" s="9" t="s">
        <v>29</v>
      </c>
    </row>
    <row r="31870" ht="15.75" customHeight="1">
      <c r="A31870" s="7"/>
      <c r="B31870" s="7"/>
      <c r="M31870" s="9" t="s">
        <v>27</v>
      </c>
    </row>
    <row r="31871" ht="15.75" customHeight="1">
      <c r="A31871" s="7"/>
      <c r="B31871" s="7"/>
      <c r="M31871" s="9" t="s">
        <v>35</v>
      </c>
    </row>
    <row r="31872" ht="15.75" customHeight="1">
      <c r="A31872" s="7"/>
      <c r="B31872" s="7"/>
      <c r="M31872" s="9" t="s">
        <v>30</v>
      </c>
    </row>
    <row r="31873" ht="15.75" customHeight="1">
      <c r="A31873" s="7"/>
      <c r="B31873" s="7"/>
      <c r="M31873" s="9" t="s">
        <v>25</v>
      </c>
    </row>
    <row r="31874" ht="15.75" customHeight="1">
      <c r="A31874" s="7"/>
      <c r="B31874" s="7"/>
      <c r="M31874" s="9" t="s">
        <v>23</v>
      </c>
    </row>
    <row r="31875" ht="15.75" customHeight="1">
      <c r="A31875" s="7"/>
      <c r="B31875" s="7"/>
      <c r="M31875" s="9" t="s">
        <v>20</v>
      </c>
    </row>
    <row r="31876" ht="15.75" customHeight="1">
      <c r="A31876" s="7"/>
      <c r="B31876" s="7"/>
      <c r="M31876" s="9" t="s">
        <v>21</v>
      </c>
    </row>
    <row r="31877" ht="15.75" customHeight="1">
      <c r="A31877" s="7"/>
      <c r="B31877" s="7"/>
      <c r="M31877" s="9" t="s">
        <v>37</v>
      </c>
    </row>
    <row r="31878" ht="15.75" customHeight="1">
      <c r="A31878" s="7"/>
      <c r="B31878" s="7"/>
      <c r="M31878" s="9" t="s">
        <v>22</v>
      </c>
    </row>
    <row r="31879" ht="15.75" customHeight="1">
      <c r="A31879" s="7"/>
      <c r="B31879" s="7"/>
      <c r="M31879" s="9" t="s">
        <v>32</v>
      </c>
    </row>
    <row r="31880" ht="15.75" customHeight="1">
      <c r="A31880" s="7"/>
      <c r="B31880" s="7"/>
      <c r="M31880" s="9" t="s">
        <v>27</v>
      </c>
    </row>
    <row r="31881" ht="15.75" customHeight="1">
      <c r="A31881" s="7"/>
      <c r="B31881" s="7"/>
      <c r="M31881" s="9" t="s">
        <v>30</v>
      </c>
    </row>
    <row r="31882" ht="15.75" customHeight="1">
      <c r="A31882" s="7"/>
      <c r="B31882" s="7"/>
      <c r="M31882" s="9" t="s">
        <v>24</v>
      </c>
    </row>
    <row r="31883" ht="15.75" customHeight="1">
      <c r="A31883" s="7"/>
      <c r="B31883" s="7"/>
      <c r="M31883" s="9" t="s">
        <v>21</v>
      </c>
    </row>
    <row r="31884" ht="15.75" customHeight="1">
      <c r="A31884" s="7"/>
      <c r="B31884" s="7"/>
      <c r="M31884" s="9" t="s">
        <v>37</v>
      </c>
    </row>
    <row r="31885" ht="15.75" customHeight="1">
      <c r="A31885" s="7"/>
      <c r="B31885" s="7"/>
      <c r="M31885" s="9" t="s">
        <v>22</v>
      </c>
    </row>
    <row r="31886" ht="15.75" customHeight="1">
      <c r="A31886" s="7"/>
      <c r="B31886" s="7"/>
      <c r="M31886" s="9" t="s">
        <v>27</v>
      </c>
    </row>
    <row r="31887" ht="15.75" customHeight="1">
      <c r="A31887" s="7"/>
      <c r="B31887" s="7"/>
      <c r="M31887" s="9" t="s">
        <v>30</v>
      </c>
    </row>
    <row r="31888" ht="15.75" customHeight="1">
      <c r="A31888" s="7"/>
      <c r="B31888" s="7"/>
      <c r="M31888" s="9" t="s">
        <v>25</v>
      </c>
    </row>
    <row r="31889" ht="15.75" customHeight="1">
      <c r="A31889" s="7"/>
      <c r="B31889" s="7"/>
      <c r="M31889" s="9" t="s">
        <v>23</v>
      </c>
    </row>
    <row r="31890" ht="15.75" customHeight="1">
      <c r="A31890" s="7"/>
      <c r="B31890" s="7"/>
      <c r="M31890" s="9" t="s">
        <v>20</v>
      </c>
    </row>
    <row r="31891" ht="15.75" customHeight="1">
      <c r="A31891" s="7"/>
      <c r="B31891" s="7"/>
      <c r="M31891" s="9" t="s">
        <v>37</v>
      </c>
    </row>
    <row r="31892" ht="15.75" customHeight="1">
      <c r="A31892" s="7"/>
      <c r="B31892" s="7"/>
      <c r="M31892" s="9" t="s">
        <v>27</v>
      </c>
    </row>
    <row r="31893" ht="15.75" customHeight="1">
      <c r="A31893" s="7"/>
      <c r="B31893" s="7"/>
      <c r="M31893" s="9" t="s">
        <v>30</v>
      </c>
    </row>
    <row r="31894" ht="15.75" customHeight="1">
      <c r="A31894" s="7"/>
      <c r="B31894" s="7"/>
      <c r="M31894" s="9" t="s">
        <v>36</v>
      </c>
    </row>
    <row r="31895" ht="15.75" customHeight="1">
      <c r="A31895" s="7"/>
      <c r="B31895" s="7"/>
      <c r="M31895" s="9" t="s">
        <v>24</v>
      </c>
    </row>
    <row r="31896" ht="15.75" customHeight="1">
      <c r="A31896" s="7"/>
      <c r="B31896" s="7"/>
      <c r="M31896" s="9" t="s">
        <v>21</v>
      </c>
    </row>
    <row r="31897" ht="15.75" customHeight="1">
      <c r="A31897" s="7"/>
      <c r="B31897" s="7"/>
      <c r="M31897" s="9" t="s">
        <v>22</v>
      </c>
    </row>
    <row r="31898" ht="15.75" customHeight="1">
      <c r="A31898" s="7"/>
      <c r="B31898" s="7"/>
      <c r="M31898" s="9" t="s">
        <v>33</v>
      </c>
    </row>
    <row r="31899" ht="15.75" customHeight="1">
      <c r="A31899" s="7"/>
      <c r="B31899" s="7"/>
      <c r="M31899" s="9" t="s">
        <v>30</v>
      </c>
    </row>
    <row r="31900" ht="15.75" customHeight="1">
      <c r="A31900" s="7"/>
      <c r="B31900" s="7"/>
      <c r="M31900" s="9" t="s">
        <v>25</v>
      </c>
    </row>
    <row r="31901" ht="15.75" customHeight="1">
      <c r="A31901" s="7"/>
      <c r="B31901" s="7"/>
      <c r="M31901" s="9" t="s">
        <v>23</v>
      </c>
    </row>
    <row r="31902" ht="15.75" customHeight="1">
      <c r="A31902" s="7"/>
      <c r="B31902" s="7"/>
      <c r="M31902" s="9" t="s">
        <v>24</v>
      </c>
    </row>
    <row r="31903" ht="15.75" customHeight="1">
      <c r="A31903" s="7"/>
      <c r="B31903" s="7"/>
      <c r="M31903" s="9" t="s">
        <v>20</v>
      </c>
    </row>
    <row r="31904" ht="15.75" customHeight="1">
      <c r="A31904" s="7"/>
      <c r="B31904" s="7"/>
      <c r="M31904" s="9" t="s">
        <v>21</v>
      </c>
    </row>
    <row r="31905" ht="15.75" customHeight="1">
      <c r="A31905" s="7"/>
      <c r="B31905" s="7"/>
      <c r="M31905" s="9" t="s">
        <v>37</v>
      </c>
    </row>
    <row r="31906" ht="15.75" customHeight="1">
      <c r="A31906" s="7"/>
      <c r="B31906" s="7"/>
      <c r="M31906" s="9" t="s">
        <v>33</v>
      </c>
    </row>
    <row r="31907" ht="15.75" customHeight="1">
      <c r="A31907" s="7"/>
      <c r="B31907" s="7"/>
      <c r="M31907" s="9" t="s">
        <v>40</v>
      </c>
    </row>
    <row r="31908" ht="15.75" customHeight="1">
      <c r="A31908" s="7"/>
      <c r="B31908" s="7"/>
      <c r="M31908" s="9" t="s">
        <v>24</v>
      </c>
    </row>
    <row r="31909" ht="15.75" customHeight="1">
      <c r="A31909" s="7"/>
      <c r="B31909" s="7"/>
      <c r="M31909" s="9" t="s">
        <v>21</v>
      </c>
    </row>
    <row r="31910" ht="15.75" customHeight="1">
      <c r="A31910" s="7"/>
      <c r="B31910" s="7"/>
      <c r="M31910" s="9" t="s">
        <v>37</v>
      </c>
    </row>
    <row r="31911" ht="15.75" customHeight="1">
      <c r="A31911" s="7"/>
      <c r="B31911" s="7"/>
      <c r="M31911" s="9" t="s">
        <v>30</v>
      </c>
    </row>
    <row r="31912" ht="15.75" customHeight="1">
      <c r="A31912" s="7"/>
      <c r="B31912" s="7"/>
      <c r="M31912" s="9" t="s">
        <v>24</v>
      </c>
    </row>
    <row r="31913" ht="15.75" customHeight="1">
      <c r="A31913" s="7"/>
      <c r="B31913" s="7"/>
      <c r="M31913" s="9" t="s">
        <v>20</v>
      </c>
    </row>
    <row r="31914" ht="15.75" customHeight="1">
      <c r="A31914" s="7"/>
      <c r="B31914" s="7"/>
      <c r="M31914" s="9" t="s">
        <v>21</v>
      </c>
    </row>
    <row r="31915" ht="15.75" customHeight="1">
      <c r="A31915" s="7"/>
      <c r="B31915" s="7"/>
      <c r="M31915" s="9" t="s">
        <v>39</v>
      </c>
    </row>
    <row r="31916" ht="15.75" customHeight="1">
      <c r="A31916" s="7"/>
      <c r="B31916" s="7"/>
      <c r="M31916" s="9" t="s">
        <v>41</v>
      </c>
    </row>
    <row r="31917" ht="15.75" customHeight="1">
      <c r="A31917" s="7"/>
      <c r="B31917" s="7"/>
      <c r="M31917" s="9" t="s">
        <v>37</v>
      </c>
    </row>
    <row r="31918" ht="15.75" customHeight="1">
      <c r="A31918" s="7"/>
      <c r="B31918" s="7"/>
      <c r="M31918" s="9" t="s">
        <v>22</v>
      </c>
    </row>
    <row r="31919" ht="15.75" customHeight="1">
      <c r="A31919" s="7"/>
      <c r="B31919" s="7"/>
      <c r="M31919" s="9" t="s">
        <v>29</v>
      </c>
    </row>
    <row r="31920" ht="15.75" customHeight="1">
      <c r="A31920" s="7"/>
      <c r="B31920" s="7"/>
      <c r="M31920" s="9" t="s">
        <v>27</v>
      </c>
    </row>
    <row r="31921" ht="15.75" customHeight="1">
      <c r="A31921" s="7"/>
      <c r="B31921" s="7"/>
      <c r="M31921" s="9" t="s">
        <v>40</v>
      </c>
    </row>
    <row r="31922" ht="15.75" customHeight="1">
      <c r="A31922" s="7"/>
      <c r="B31922" s="7"/>
      <c r="M31922" s="9" t="s">
        <v>28</v>
      </c>
    </row>
    <row r="31923" ht="15.75" customHeight="1">
      <c r="A31923" s="7"/>
      <c r="B31923" s="7"/>
      <c r="M31923" s="9" t="s">
        <v>38</v>
      </c>
    </row>
    <row r="31924" ht="15.75" customHeight="1">
      <c r="A31924" s="7"/>
      <c r="B31924" s="7"/>
      <c r="M31924" s="9" t="s">
        <v>23</v>
      </c>
    </row>
    <row r="31925" ht="15.75" customHeight="1">
      <c r="A31925" s="7"/>
      <c r="B31925" s="7"/>
      <c r="M31925" s="9" t="s">
        <v>26</v>
      </c>
    </row>
    <row r="31926" ht="15.75" customHeight="1">
      <c r="A31926" s="7"/>
      <c r="B31926" s="7"/>
      <c r="M31926" s="9" t="s">
        <v>24</v>
      </c>
    </row>
    <row r="31927" ht="15.75" customHeight="1">
      <c r="A31927" s="7"/>
      <c r="B31927" s="7"/>
      <c r="M31927" s="9" t="s">
        <v>20</v>
      </c>
    </row>
    <row r="31928" ht="15.75" customHeight="1">
      <c r="A31928" s="7"/>
      <c r="B31928" s="7"/>
      <c r="M31928" s="9" t="s">
        <v>21</v>
      </c>
    </row>
    <row r="31929" ht="15.75" customHeight="1">
      <c r="A31929" s="7"/>
      <c r="B31929" s="7"/>
      <c r="M31929" s="9" t="s">
        <v>37</v>
      </c>
    </row>
    <row r="31930" ht="15.75" customHeight="1">
      <c r="A31930" s="7"/>
      <c r="B31930" s="7"/>
      <c r="M31930" s="9" t="s">
        <v>22</v>
      </c>
    </row>
    <row r="31931" ht="15.75" customHeight="1">
      <c r="A31931" s="7"/>
      <c r="B31931" s="7"/>
      <c r="M31931" s="9" t="s">
        <v>27</v>
      </c>
    </row>
    <row r="31932" ht="15.75" customHeight="1">
      <c r="A31932" s="7"/>
      <c r="B31932" s="7"/>
      <c r="M31932" s="9" t="s">
        <v>30</v>
      </c>
    </row>
    <row r="31933" ht="15.75" customHeight="1">
      <c r="A31933" s="7"/>
      <c r="B31933" s="7"/>
      <c r="M31933" s="9" t="s">
        <v>26</v>
      </c>
    </row>
    <row r="31934" ht="15.75" customHeight="1">
      <c r="A31934" s="7"/>
      <c r="B31934" s="7"/>
      <c r="M31934" s="9" t="s">
        <v>24</v>
      </c>
    </row>
    <row r="31935" ht="15.75" customHeight="1">
      <c r="A31935" s="7"/>
      <c r="B31935" s="7"/>
      <c r="M31935" s="9" t="s">
        <v>21</v>
      </c>
    </row>
    <row r="31936" ht="15.75" customHeight="1">
      <c r="A31936" s="7"/>
      <c r="B31936" s="7"/>
      <c r="M31936" s="9" t="s">
        <v>37</v>
      </c>
    </row>
    <row r="31937" ht="15.75" customHeight="1">
      <c r="A31937" s="7"/>
      <c r="B31937" s="7"/>
      <c r="M31937" s="9" t="s">
        <v>27</v>
      </c>
    </row>
    <row r="31938" ht="15.75" customHeight="1">
      <c r="A31938" s="7"/>
      <c r="B31938" s="7"/>
      <c r="M31938" s="9" t="s">
        <v>33</v>
      </c>
    </row>
    <row r="31939" ht="15.75" customHeight="1">
      <c r="A31939" s="7"/>
      <c r="B31939" s="7"/>
      <c r="M31939" s="9" t="s">
        <v>28</v>
      </c>
    </row>
    <row r="31940" ht="15.75" customHeight="1">
      <c r="A31940" s="7"/>
      <c r="B31940" s="7"/>
      <c r="M31940" s="9" t="s">
        <v>26</v>
      </c>
    </row>
    <row r="31941" ht="15.75" customHeight="1">
      <c r="A31941" s="7"/>
      <c r="B31941" s="7"/>
      <c r="M31941" s="9" t="s">
        <v>24</v>
      </c>
    </row>
    <row r="31942" ht="15.75" customHeight="1">
      <c r="A31942" s="7"/>
      <c r="B31942" s="7"/>
      <c r="M31942" s="9" t="s">
        <v>21</v>
      </c>
    </row>
    <row r="31943" ht="15.75" customHeight="1">
      <c r="A31943" s="7"/>
      <c r="B31943" s="7"/>
      <c r="M31943" s="9" t="s">
        <v>22</v>
      </c>
    </row>
    <row r="31944" ht="15.75" customHeight="1">
      <c r="A31944" s="7"/>
      <c r="B31944" s="7"/>
      <c r="M31944" s="9" t="s">
        <v>27</v>
      </c>
    </row>
    <row r="31945" ht="15.75" customHeight="1">
      <c r="A31945" s="7"/>
      <c r="B31945" s="7"/>
      <c r="M31945" s="9" t="s">
        <v>33</v>
      </c>
    </row>
    <row r="31946" ht="15.75" customHeight="1">
      <c r="A31946" s="7"/>
      <c r="B31946" s="7"/>
      <c r="M31946" s="9" t="s">
        <v>25</v>
      </c>
    </row>
    <row r="31947" ht="15.75" customHeight="1">
      <c r="A31947" s="7"/>
      <c r="B31947" s="7"/>
      <c r="M31947" s="9" t="s">
        <v>23</v>
      </c>
    </row>
    <row r="31948" ht="15.75" customHeight="1">
      <c r="A31948" s="7"/>
      <c r="B31948" s="7"/>
      <c r="M31948" s="9" t="s">
        <v>26</v>
      </c>
    </row>
    <row r="31949" ht="15.75" customHeight="1">
      <c r="A31949" s="7"/>
      <c r="B31949" s="7"/>
      <c r="M31949" s="9" t="s">
        <v>27</v>
      </c>
    </row>
    <row r="31950" ht="15.75" customHeight="1">
      <c r="A31950" s="7"/>
      <c r="B31950" s="7"/>
      <c r="M31950" s="9" t="s">
        <v>24</v>
      </c>
    </row>
    <row r="31951" ht="15.75" customHeight="1">
      <c r="A31951" s="7"/>
      <c r="B31951" s="7"/>
      <c r="M31951" s="9" t="s">
        <v>21</v>
      </c>
    </row>
    <row r="31952" ht="15.75" customHeight="1">
      <c r="A31952" s="7"/>
      <c r="B31952" s="7"/>
      <c r="M31952" s="9" t="s">
        <v>30</v>
      </c>
    </row>
    <row r="31953" ht="15.75" customHeight="1">
      <c r="A31953" s="7"/>
      <c r="B31953" s="7"/>
      <c r="M31953" s="9" t="s">
        <v>25</v>
      </c>
    </row>
    <row r="31954" ht="15.75" customHeight="1">
      <c r="A31954" s="7"/>
      <c r="B31954" s="7"/>
      <c r="M31954" s="9" t="s">
        <v>20</v>
      </c>
    </row>
    <row r="31955" ht="15.75" customHeight="1">
      <c r="A31955" s="7"/>
      <c r="B31955" s="7"/>
      <c r="M31955" s="9" t="s">
        <v>21</v>
      </c>
    </row>
    <row r="31956" ht="15.75" customHeight="1">
      <c r="A31956" s="7"/>
      <c r="B31956" s="7"/>
      <c r="M31956" s="9" t="s">
        <v>22</v>
      </c>
    </row>
    <row r="31957" ht="15.75" customHeight="1">
      <c r="A31957" s="7"/>
      <c r="B31957" s="7"/>
      <c r="M31957" s="9" t="s">
        <v>31</v>
      </c>
    </row>
    <row r="31958" ht="15.75" customHeight="1">
      <c r="A31958" s="7"/>
      <c r="B31958" s="7"/>
      <c r="M31958" s="9" t="s">
        <v>32</v>
      </c>
    </row>
    <row r="31959" ht="15.75" customHeight="1">
      <c r="A31959" s="7"/>
      <c r="B31959" s="7"/>
      <c r="M31959" s="9" t="s">
        <v>46</v>
      </c>
    </row>
    <row r="31960" ht="15.75" customHeight="1">
      <c r="A31960" s="7"/>
      <c r="B31960" s="7"/>
      <c r="M31960" s="9" t="s">
        <v>27</v>
      </c>
    </row>
    <row r="31961" ht="15.75" customHeight="1">
      <c r="A31961" s="7"/>
      <c r="B31961" s="7"/>
      <c r="M31961" s="9" t="s">
        <v>36</v>
      </c>
    </row>
    <row r="31962" ht="15.75" customHeight="1">
      <c r="A31962" s="7"/>
      <c r="B31962" s="7"/>
      <c r="M31962" s="9" t="s">
        <v>24</v>
      </c>
    </row>
    <row r="31963" ht="15.75" customHeight="1">
      <c r="A31963" s="7"/>
      <c r="B31963" s="7"/>
      <c r="M31963" s="9" t="s">
        <v>20</v>
      </c>
    </row>
    <row r="31964" ht="15.75" customHeight="1">
      <c r="A31964" s="7"/>
      <c r="B31964" s="7"/>
      <c r="M31964" s="9" t="s">
        <v>21</v>
      </c>
    </row>
    <row r="31965" ht="15.75" customHeight="1">
      <c r="A31965" s="7"/>
      <c r="B31965" s="7"/>
      <c r="M31965" s="9" t="s">
        <v>39</v>
      </c>
    </row>
    <row r="31966" ht="15.75" customHeight="1">
      <c r="A31966" s="7"/>
      <c r="B31966" s="7"/>
      <c r="M31966" s="9" t="s">
        <v>22</v>
      </c>
    </row>
    <row r="31967" ht="15.75" customHeight="1">
      <c r="A31967" s="7"/>
      <c r="B31967" s="7"/>
      <c r="M31967" s="9" t="s">
        <v>27</v>
      </c>
    </row>
    <row r="31968" ht="15.75" customHeight="1">
      <c r="A31968" s="7"/>
      <c r="B31968" s="7"/>
      <c r="M31968" s="9" t="s">
        <v>30</v>
      </c>
    </row>
    <row r="31969" ht="15.75" customHeight="1">
      <c r="A31969" s="7"/>
      <c r="B31969" s="7"/>
      <c r="M31969" s="9" t="s">
        <v>25</v>
      </c>
    </row>
    <row r="31970" ht="15.75" customHeight="1">
      <c r="A31970" s="7"/>
      <c r="B31970" s="7"/>
      <c r="M31970" s="9" t="s">
        <v>23</v>
      </c>
    </row>
    <row r="31971" ht="15.75" customHeight="1">
      <c r="A31971" s="7"/>
      <c r="B31971" s="7"/>
      <c r="M31971" s="9" t="s">
        <v>24</v>
      </c>
    </row>
    <row r="31972" ht="15.75" customHeight="1">
      <c r="A31972" s="7"/>
      <c r="B31972" s="7"/>
      <c r="M31972" s="9" t="s">
        <v>21</v>
      </c>
    </row>
    <row r="31973" ht="15.75" customHeight="1">
      <c r="A31973" s="7"/>
      <c r="B31973" s="7"/>
      <c r="M31973" s="9" t="s">
        <v>22</v>
      </c>
    </row>
    <row r="31974" ht="15.75" customHeight="1">
      <c r="A31974" s="7"/>
      <c r="B31974" s="7"/>
      <c r="M31974" s="9" t="s">
        <v>27</v>
      </c>
    </row>
    <row r="31975" ht="15.75" customHeight="1">
      <c r="A31975" s="7"/>
      <c r="B31975" s="7"/>
      <c r="M31975" s="9" t="s">
        <v>35</v>
      </c>
    </row>
    <row r="31976" ht="15.75" customHeight="1">
      <c r="A31976" s="7"/>
      <c r="B31976" s="7"/>
      <c r="M31976" s="9" t="s">
        <v>20</v>
      </c>
    </row>
    <row r="31977" ht="15.75" customHeight="1">
      <c r="A31977" s="7"/>
      <c r="B31977" s="7"/>
      <c r="M31977" s="9" t="s">
        <v>26</v>
      </c>
    </row>
    <row r="31978" ht="15.75" customHeight="1">
      <c r="A31978" s="7"/>
      <c r="B31978" s="7"/>
      <c r="M31978" s="9" t="s">
        <v>24</v>
      </c>
    </row>
    <row r="31979" ht="15.75" customHeight="1">
      <c r="A31979" s="7"/>
      <c r="B31979" s="7"/>
      <c r="M31979" s="9" t="s">
        <v>21</v>
      </c>
    </row>
    <row r="31980" ht="15.75" customHeight="1">
      <c r="A31980" s="7"/>
      <c r="B31980" s="7"/>
      <c r="M31980" s="9" t="s">
        <v>40</v>
      </c>
    </row>
    <row r="31981" ht="15.75" customHeight="1">
      <c r="A31981" s="7"/>
      <c r="B31981" s="7"/>
      <c r="M31981" s="9" t="s">
        <v>24</v>
      </c>
    </row>
    <row r="31982" ht="15.75" customHeight="1">
      <c r="A31982" s="7"/>
      <c r="B31982" s="7"/>
      <c r="M31982" s="9" t="s">
        <v>20</v>
      </c>
    </row>
    <row r="31983" ht="15.75" customHeight="1">
      <c r="A31983" s="7"/>
      <c r="B31983" s="7"/>
      <c r="M31983" s="9" t="s">
        <v>21</v>
      </c>
    </row>
    <row r="31984" ht="15.75" customHeight="1">
      <c r="A31984" s="7"/>
      <c r="B31984" s="7"/>
      <c r="M31984" s="9" t="s">
        <v>27</v>
      </c>
    </row>
    <row r="31985" ht="15.75" customHeight="1">
      <c r="A31985" s="7"/>
      <c r="B31985" s="7"/>
      <c r="M31985" s="9" t="s">
        <v>33</v>
      </c>
    </row>
    <row r="31986" ht="15.75" customHeight="1">
      <c r="A31986" s="7"/>
      <c r="B31986" s="7"/>
      <c r="M31986" s="9" t="s">
        <v>30</v>
      </c>
    </row>
    <row r="31987" ht="15.75" customHeight="1">
      <c r="A31987" s="7"/>
      <c r="B31987" s="7"/>
      <c r="M31987" s="9" t="s">
        <v>21</v>
      </c>
    </row>
    <row r="31988" ht="15.75" customHeight="1">
      <c r="A31988" s="7"/>
      <c r="B31988" s="7"/>
      <c r="M31988" s="9" t="s">
        <v>33</v>
      </c>
    </row>
    <row r="31989" ht="15.75" customHeight="1">
      <c r="A31989" s="7"/>
      <c r="B31989" s="7"/>
      <c r="M31989" s="9" t="s">
        <v>26</v>
      </c>
    </row>
    <row r="31990" ht="15.75" customHeight="1">
      <c r="A31990" s="7"/>
      <c r="B31990" s="7"/>
      <c r="M31990" s="9" t="s">
        <v>24</v>
      </c>
    </row>
    <row r="31991" ht="15.75" customHeight="1">
      <c r="A31991" s="7"/>
      <c r="B31991" s="7"/>
      <c r="M31991" s="9" t="s">
        <v>21</v>
      </c>
    </row>
    <row r="31992" ht="15.75" customHeight="1">
      <c r="A31992" s="7"/>
      <c r="B31992" s="7"/>
      <c r="M31992" s="9" t="s">
        <v>25</v>
      </c>
    </row>
    <row r="31993" ht="15.75" customHeight="1">
      <c r="A31993" s="7"/>
      <c r="B31993" s="7"/>
      <c r="M31993" s="9" t="s">
        <v>23</v>
      </c>
    </row>
    <row r="31994" ht="15.75" customHeight="1">
      <c r="A31994" s="7"/>
      <c r="B31994" s="7"/>
      <c r="M31994" s="9" t="s">
        <v>22</v>
      </c>
    </row>
    <row r="31995" ht="15.75" customHeight="1">
      <c r="A31995" s="7"/>
      <c r="B31995" s="7"/>
      <c r="M31995" s="9" t="s">
        <v>29</v>
      </c>
    </row>
    <row r="31996" ht="15.75" customHeight="1">
      <c r="A31996" s="7"/>
      <c r="B31996" s="7"/>
      <c r="M31996" s="9" t="s">
        <v>27</v>
      </c>
    </row>
    <row r="31997" ht="15.75" customHeight="1">
      <c r="A31997" s="7"/>
      <c r="B31997" s="7"/>
      <c r="M31997" s="9" t="s">
        <v>24</v>
      </c>
    </row>
    <row r="31998" ht="15.75" customHeight="1">
      <c r="A31998" s="7"/>
      <c r="B31998" s="7"/>
      <c r="M31998" s="9" t="s">
        <v>20</v>
      </c>
    </row>
    <row r="31999" ht="15.75" customHeight="1">
      <c r="A31999" s="7"/>
      <c r="B31999" s="7"/>
      <c r="M31999" s="9" t="s">
        <v>21</v>
      </c>
    </row>
    <row r="32000" ht="15.75" customHeight="1">
      <c r="A32000" s="7"/>
      <c r="B32000" s="7"/>
      <c r="M32000" s="9" t="s">
        <v>37</v>
      </c>
    </row>
    <row r="32001" ht="15.75" customHeight="1">
      <c r="A32001" s="7"/>
      <c r="B32001" s="7"/>
      <c r="M32001" s="9" t="s">
        <v>30</v>
      </c>
    </row>
    <row r="32002" ht="15.75" customHeight="1">
      <c r="A32002" s="7"/>
      <c r="B32002" s="7"/>
      <c r="M32002" s="9" t="s">
        <v>45</v>
      </c>
    </row>
    <row r="32003" ht="15.75" customHeight="1">
      <c r="A32003" s="7"/>
      <c r="B32003" s="7"/>
      <c r="M32003" s="9" t="s">
        <v>37</v>
      </c>
    </row>
    <row r="32004" ht="15.75" customHeight="1">
      <c r="A32004" s="7"/>
      <c r="B32004" s="7"/>
      <c r="M32004" s="9" t="s">
        <v>27</v>
      </c>
    </row>
    <row r="32005" ht="15.75" customHeight="1">
      <c r="A32005" s="7"/>
      <c r="B32005" s="7"/>
      <c r="M32005" s="9" t="s">
        <v>30</v>
      </c>
    </row>
    <row r="32006" ht="15.75" customHeight="1">
      <c r="A32006" s="7"/>
      <c r="B32006" s="7"/>
      <c r="M32006" s="9" t="s">
        <v>26</v>
      </c>
    </row>
    <row r="32007" ht="15.75" customHeight="1">
      <c r="A32007" s="7"/>
      <c r="B32007" s="7"/>
      <c r="M32007" s="9" t="s">
        <v>24</v>
      </c>
    </row>
    <row r="32008" ht="15.75" customHeight="1">
      <c r="A32008" s="7"/>
      <c r="B32008" s="7"/>
      <c r="M32008" s="9" t="s">
        <v>20</v>
      </c>
    </row>
    <row r="32009" ht="15.75" customHeight="1">
      <c r="A32009" s="7"/>
      <c r="B32009" s="7"/>
      <c r="M32009" s="9" t="s">
        <v>39</v>
      </c>
    </row>
    <row r="32010" ht="15.75" customHeight="1">
      <c r="A32010" s="7"/>
      <c r="B32010" s="7"/>
      <c r="M32010" s="9" t="s">
        <v>22</v>
      </c>
    </row>
    <row r="32011" ht="15.75" customHeight="1">
      <c r="A32011" s="7"/>
      <c r="B32011" s="7"/>
      <c r="M32011" s="9" t="s">
        <v>27</v>
      </c>
    </row>
    <row r="32012" ht="15.75" customHeight="1">
      <c r="A32012" s="7"/>
      <c r="B32012" s="7"/>
      <c r="M32012" s="9" t="s">
        <v>33</v>
      </c>
    </row>
    <row r="32013" ht="15.75" customHeight="1">
      <c r="A32013" s="7"/>
      <c r="B32013" s="7"/>
      <c r="M32013" s="9" t="s">
        <v>26</v>
      </c>
    </row>
    <row r="32014" ht="15.75" customHeight="1">
      <c r="A32014" s="7"/>
      <c r="B32014" s="7"/>
      <c r="M32014" s="9" t="s">
        <v>43</v>
      </c>
    </row>
    <row r="32015" ht="15.75" customHeight="1">
      <c r="A32015" s="7"/>
      <c r="B32015" s="7"/>
      <c r="M32015" s="9" t="s">
        <v>24</v>
      </c>
    </row>
    <row r="32016" ht="15.75" customHeight="1">
      <c r="A32016" s="7"/>
      <c r="B32016" s="7"/>
      <c r="M32016" s="9" t="s">
        <v>20</v>
      </c>
    </row>
    <row r="32017" ht="15.75" customHeight="1">
      <c r="A32017" s="7"/>
      <c r="B32017" s="7"/>
      <c r="M32017" s="9" t="s">
        <v>21</v>
      </c>
    </row>
    <row r="32018" ht="15.75" customHeight="1">
      <c r="A32018" s="7"/>
      <c r="B32018" s="7"/>
      <c r="M32018" s="9" t="s">
        <v>27</v>
      </c>
    </row>
    <row r="32019" ht="15.75" customHeight="1">
      <c r="A32019" s="7"/>
      <c r="B32019" s="7"/>
      <c r="M32019" s="9" t="s">
        <v>30</v>
      </c>
    </row>
    <row r="32020" ht="15.75" customHeight="1">
      <c r="A32020" s="7"/>
      <c r="B32020" s="7"/>
      <c r="M32020" s="9" t="s">
        <v>23</v>
      </c>
    </row>
    <row r="32021" ht="15.75" customHeight="1">
      <c r="A32021" s="7"/>
      <c r="B32021" s="7"/>
      <c r="M32021" s="9" t="s">
        <v>26</v>
      </c>
    </row>
    <row r="32022" ht="15.75" customHeight="1">
      <c r="A32022" s="7"/>
      <c r="B32022" s="7"/>
      <c r="M32022" s="9" t="s">
        <v>24</v>
      </c>
    </row>
    <row r="32023" ht="15.75" customHeight="1">
      <c r="A32023" s="7"/>
      <c r="B32023" s="7"/>
      <c r="M32023" s="9" t="s">
        <v>20</v>
      </c>
    </row>
    <row r="32024" ht="15.75" customHeight="1">
      <c r="A32024" s="7"/>
      <c r="B32024" s="7"/>
      <c r="M32024" s="9" t="s">
        <v>21</v>
      </c>
    </row>
    <row r="32025" ht="15.75" customHeight="1">
      <c r="A32025" s="7"/>
      <c r="B32025" s="7"/>
      <c r="M32025" s="9" t="s">
        <v>27</v>
      </c>
    </row>
    <row r="32026" ht="15.75" customHeight="1">
      <c r="A32026" s="7"/>
      <c r="B32026" s="7"/>
      <c r="M32026" s="9" t="s">
        <v>35</v>
      </c>
    </row>
    <row r="32027" ht="15.75" customHeight="1">
      <c r="A32027" s="7"/>
      <c r="B32027" s="7"/>
      <c r="M32027" s="9" t="s">
        <v>30</v>
      </c>
    </row>
    <row r="32028" ht="15.75" customHeight="1">
      <c r="A32028" s="7"/>
      <c r="B32028" s="7"/>
      <c r="M32028" s="9" t="s">
        <v>37</v>
      </c>
    </row>
    <row r="32029" ht="15.75" customHeight="1">
      <c r="A32029" s="7"/>
      <c r="B32029" s="7"/>
      <c r="M32029" s="9" t="s">
        <v>22</v>
      </c>
    </row>
    <row r="32030" ht="15.75" customHeight="1">
      <c r="A32030" s="7"/>
      <c r="B32030" s="7"/>
      <c r="M32030" s="9" t="s">
        <v>29</v>
      </c>
    </row>
    <row r="32031" ht="15.75" customHeight="1">
      <c r="A32031" s="7"/>
      <c r="B32031" s="7"/>
      <c r="M32031" s="9" t="s">
        <v>27</v>
      </c>
    </row>
    <row r="32032" ht="15.75" customHeight="1">
      <c r="A32032" s="7"/>
      <c r="B32032" s="7"/>
      <c r="M32032" s="9" t="s">
        <v>35</v>
      </c>
    </row>
    <row r="32033" ht="15.75" customHeight="1">
      <c r="A32033" s="7"/>
      <c r="B32033" s="7"/>
      <c r="M32033" s="9" t="s">
        <v>30</v>
      </c>
    </row>
    <row r="32034" ht="15.75" customHeight="1">
      <c r="A32034" s="7"/>
      <c r="B32034" s="7"/>
      <c r="M32034" s="9" t="s">
        <v>24</v>
      </c>
    </row>
    <row r="32035" ht="15.75" customHeight="1">
      <c r="A32035" s="7"/>
      <c r="B32035" s="7"/>
      <c r="M32035" s="9" t="s">
        <v>20</v>
      </c>
    </row>
    <row r="32036" ht="15.75" customHeight="1">
      <c r="A32036" s="7"/>
      <c r="B32036" s="7"/>
      <c r="M32036" s="9" t="s">
        <v>21</v>
      </c>
    </row>
    <row r="32037" ht="15.75" customHeight="1">
      <c r="A32037" s="7"/>
      <c r="B32037" s="7"/>
      <c r="M32037" s="9" t="s">
        <v>37</v>
      </c>
    </row>
    <row r="32038" ht="15.75" customHeight="1">
      <c r="A32038" s="7"/>
      <c r="B32038" s="7"/>
      <c r="M32038" s="9" t="s">
        <v>30</v>
      </c>
    </row>
    <row r="32039" ht="15.75" customHeight="1">
      <c r="A32039" s="7"/>
      <c r="B32039" s="7"/>
      <c r="M32039" s="9" t="s">
        <v>20</v>
      </c>
    </row>
    <row r="32040" ht="15.75" customHeight="1">
      <c r="A32040" s="7"/>
      <c r="B32040" s="7"/>
      <c r="M32040" s="9" t="s">
        <v>21</v>
      </c>
    </row>
    <row r="32041" ht="15.75" customHeight="1">
      <c r="A32041" s="7"/>
      <c r="B32041" s="7"/>
      <c r="M32041" s="9" t="s">
        <v>39</v>
      </c>
    </row>
    <row r="32042" ht="15.75" customHeight="1">
      <c r="A32042" s="7"/>
      <c r="B32042" s="7"/>
      <c r="M32042" s="9" t="s">
        <v>35</v>
      </c>
    </row>
    <row r="32043" ht="15.75" customHeight="1">
      <c r="A32043" s="7"/>
      <c r="B32043" s="7"/>
      <c r="M32043" s="9" t="s">
        <v>24</v>
      </c>
    </row>
    <row r="32044" ht="15.75" customHeight="1">
      <c r="A32044" s="7"/>
      <c r="B32044" s="7"/>
      <c r="M32044" s="9" t="s">
        <v>21</v>
      </c>
    </row>
    <row r="32045" ht="15.75" customHeight="1">
      <c r="A32045" s="7"/>
      <c r="B32045" s="7"/>
      <c r="M32045" s="9" t="s">
        <v>22</v>
      </c>
    </row>
    <row r="32046" ht="15.75" customHeight="1">
      <c r="A32046" s="7"/>
      <c r="B32046" s="7"/>
      <c r="M32046" s="9" t="s">
        <v>31</v>
      </c>
    </row>
    <row r="32047" ht="15.75" customHeight="1">
      <c r="A32047" s="7"/>
      <c r="B32047" s="7"/>
      <c r="M32047" s="9" t="s">
        <v>27</v>
      </c>
    </row>
    <row r="32048" ht="15.75" customHeight="1">
      <c r="A32048" s="7"/>
      <c r="B32048" s="7"/>
      <c r="M32048" s="9" t="s">
        <v>25</v>
      </c>
    </row>
    <row r="32049" ht="15.75" customHeight="1">
      <c r="A32049" s="7"/>
      <c r="B32049" s="7"/>
      <c r="M32049" s="9" t="s">
        <v>24</v>
      </c>
    </row>
    <row r="32050" ht="15.75" customHeight="1">
      <c r="A32050" s="7"/>
      <c r="B32050" s="7"/>
      <c r="M32050" s="9" t="s">
        <v>20</v>
      </c>
    </row>
    <row r="32051" ht="15.75" customHeight="1">
      <c r="A32051" s="7"/>
      <c r="B32051" s="7"/>
      <c r="M32051" s="9" t="s">
        <v>26</v>
      </c>
    </row>
    <row r="32052" ht="15.75" customHeight="1">
      <c r="A32052" s="7"/>
      <c r="B32052" s="7"/>
      <c r="M32052" s="9" t="s">
        <v>24</v>
      </c>
    </row>
    <row r="32053" ht="15.75" customHeight="1">
      <c r="A32053" s="7"/>
      <c r="B32053" s="7"/>
      <c r="M32053" s="9" t="s">
        <v>27</v>
      </c>
    </row>
    <row r="32054" ht="15.75" customHeight="1">
      <c r="A32054" s="7"/>
      <c r="B32054" s="7"/>
      <c r="M32054" s="9" t="s">
        <v>38</v>
      </c>
    </row>
    <row r="32055" ht="15.75" customHeight="1">
      <c r="A32055" s="7"/>
      <c r="B32055" s="7"/>
      <c r="M32055" s="9" t="s">
        <v>20</v>
      </c>
    </row>
    <row r="32056" ht="15.75" customHeight="1">
      <c r="A32056" s="7"/>
      <c r="B32056" s="7"/>
      <c r="M32056" s="9" t="s">
        <v>30</v>
      </c>
    </row>
    <row r="32057" ht="15.75" customHeight="1">
      <c r="A32057" s="7"/>
      <c r="B32057" s="7"/>
      <c r="M32057" s="9" t="s">
        <v>24</v>
      </c>
    </row>
    <row r="32058" ht="15.75" customHeight="1">
      <c r="A32058" s="7"/>
      <c r="B32058" s="7"/>
      <c r="M32058" s="9" t="s">
        <v>20</v>
      </c>
    </row>
    <row r="32059" ht="15.75" customHeight="1">
      <c r="A32059" s="7"/>
      <c r="B32059" s="7"/>
      <c r="M32059" s="9" t="s">
        <v>21</v>
      </c>
    </row>
    <row r="32060" ht="15.75" customHeight="1">
      <c r="A32060" s="7"/>
      <c r="B32060" s="7"/>
      <c r="M32060" s="9" t="s">
        <v>22</v>
      </c>
    </row>
    <row r="32061" ht="15.75" customHeight="1">
      <c r="A32061" s="7"/>
      <c r="B32061" s="7"/>
      <c r="M32061" s="9" t="s">
        <v>30</v>
      </c>
    </row>
    <row r="32062" ht="15.75" customHeight="1">
      <c r="A32062" s="7"/>
      <c r="B32062" s="7"/>
      <c r="M32062" s="9" t="s">
        <v>23</v>
      </c>
    </row>
    <row r="32063" ht="15.75" customHeight="1">
      <c r="A32063" s="7"/>
      <c r="B32063" s="7"/>
      <c r="M32063" s="9" t="s">
        <v>36</v>
      </c>
    </row>
    <row r="32064" ht="15.75" customHeight="1">
      <c r="A32064" s="7"/>
      <c r="B32064" s="7"/>
      <c r="M32064" s="9" t="s">
        <v>20</v>
      </c>
    </row>
    <row r="32065" ht="15.75" customHeight="1">
      <c r="A32065" s="7"/>
      <c r="B32065" s="7"/>
      <c r="M32065" s="9" t="s">
        <v>22</v>
      </c>
    </row>
    <row r="32066" ht="15.75" customHeight="1">
      <c r="A32066" s="7"/>
      <c r="B32066" s="7"/>
      <c r="M32066" s="9" t="s">
        <v>27</v>
      </c>
    </row>
    <row r="32067" ht="15.75" customHeight="1">
      <c r="A32067" s="7"/>
      <c r="B32067" s="7"/>
      <c r="M32067" s="9" t="s">
        <v>30</v>
      </c>
    </row>
    <row r="32068" ht="15.75" customHeight="1">
      <c r="A32068" s="7"/>
      <c r="B32068" s="7"/>
      <c r="M32068" s="9" t="s">
        <v>24</v>
      </c>
    </row>
    <row r="32069" ht="15.75" customHeight="1">
      <c r="A32069" s="7"/>
      <c r="B32069" s="7"/>
      <c r="M32069" s="9" t="s">
        <v>21</v>
      </c>
    </row>
    <row r="32070" ht="15.75" customHeight="1">
      <c r="A32070" s="7"/>
      <c r="B32070" s="7"/>
      <c r="M32070" s="9" t="s">
        <v>22</v>
      </c>
    </row>
    <row r="32071" ht="15.75" customHeight="1">
      <c r="A32071" s="7"/>
      <c r="B32071" s="7"/>
      <c r="M32071" s="9" t="s">
        <v>30</v>
      </c>
    </row>
    <row r="32072" ht="15.75" customHeight="1">
      <c r="A32072" s="7"/>
      <c r="B32072" s="7"/>
      <c r="M32072" s="9" t="s">
        <v>25</v>
      </c>
    </row>
    <row r="32073" ht="15.75" customHeight="1">
      <c r="A32073" s="7"/>
      <c r="B32073" s="7"/>
      <c r="M32073" s="9" t="s">
        <v>37</v>
      </c>
    </row>
    <row r="32074" ht="15.75" customHeight="1">
      <c r="A32074" s="7"/>
      <c r="B32074" s="7"/>
      <c r="M32074" s="9" t="s">
        <v>22</v>
      </c>
    </row>
    <row r="32075" ht="15.75" customHeight="1">
      <c r="A32075" s="7"/>
      <c r="B32075" s="7"/>
      <c r="M32075" s="9" t="s">
        <v>25</v>
      </c>
    </row>
    <row r="32076" ht="15.75" customHeight="1">
      <c r="A32076" s="7"/>
      <c r="B32076" s="7"/>
      <c r="M32076" s="9" t="s">
        <v>23</v>
      </c>
    </row>
    <row r="32077" ht="15.75" customHeight="1">
      <c r="A32077" s="7"/>
      <c r="B32077" s="7"/>
      <c r="M32077" s="9" t="s">
        <v>26</v>
      </c>
    </row>
    <row r="32078" ht="15.75" customHeight="1">
      <c r="A32078" s="7"/>
      <c r="B32078" s="7"/>
      <c r="M32078" s="9" t="s">
        <v>21</v>
      </c>
    </row>
    <row r="32079" ht="15.75" customHeight="1">
      <c r="A32079" s="7"/>
      <c r="B32079" s="7"/>
      <c r="M32079" s="9" t="s">
        <v>37</v>
      </c>
    </row>
    <row r="32080" ht="15.75" customHeight="1">
      <c r="A32080" s="7"/>
      <c r="B32080" s="7"/>
      <c r="M32080" s="9" t="s">
        <v>27</v>
      </c>
    </row>
    <row r="32081" ht="15.75" customHeight="1">
      <c r="A32081" s="7"/>
      <c r="B32081" s="7"/>
      <c r="M32081" s="9" t="s">
        <v>30</v>
      </c>
    </row>
    <row r="32082" ht="15.75" customHeight="1">
      <c r="A32082" s="7"/>
      <c r="B32082" s="7"/>
      <c r="M32082" s="9" t="s">
        <v>24</v>
      </c>
    </row>
    <row r="32083" ht="15.75" customHeight="1">
      <c r="A32083" s="7"/>
      <c r="B32083" s="7"/>
      <c r="M32083" s="9" t="s">
        <v>21</v>
      </c>
    </row>
    <row r="32084" ht="15.75" customHeight="1">
      <c r="A32084" s="7"/>
      <c r="B32084" s="7"/>
      <c r="M32084" s="9" t="s">
        <v>31</v>
      </c>
    </row>
    <row r="32085" ht="15.75" customHeight="1">
      <c r="A32085" s="7"/>
      <c r="B32085" s="7"/>
      <c r="M32085" s="9" t="s">
        <v>27</v>
      </c>
    </row>
    <row r="32086" ht="15.75" customHeight="1">
      <c r="A32086" s="7"/>
      <c r="B32086" s="7"/>
      <c r="M32086" s="9" t="s">
        <v>33</v>
      </c>
    </row>
    <row r="32087" ht="15.75" customHeight="1">
      <c r="A32087" s="7"/>
      <c r="B32087" s="7"/>
      <c r="M32087" s="9" t="s">
        <v>24</v>
      </c>
    </row>
    <row r="32088" ht="15.75" customHeight="1">
      <c r="A32088" s="7"/>
      <c r="B32088" s="7"/>
      <c r="M32088" s="9" t="s">
        <v>20</v>
      </c>
    </row>
    <row r="32089" ht="15.75" customHeight="1">
      <c r="A32089" s="7"/>
      <c r="B32089" s="7"/>
      <c r="M32089" s="9" t="s">
        <v>30</v>
      </c>
    </row>
    <row r="32090" ht="15.75" customHeight="1">
      <c r="A32090" s="7"/>
      <c r="B32090" s="7"/>
      <c r="M32090" s="9" t="s">
        <v>25</v>
      </c>
    </row>
    <row r="32091" ht="15.75" customHeight="1">
      <c r="A32091" s="7"/>
      <c r="B32091" s="7"/>
      <c r="M32091" s="9" t="s">
        <v>24</v>
      </c>
    </row>
    <row r="32092" ht="15.75" customHeight="1">
      <c r="A32092" s="7"/>
      <c r="B32092" s="7"/>
      <c r="M32092" s="9" t="s">
        <v>20</v>
      </c>
    </row>
    <row r="32093" ht="15.75" customHeight="1">
      <c r="A32093" s="7"/>
      <c r="B32093" s="7"/>
      <c r="M32093" s="9" t="s">
        <v>21</v>
      </c>
    </row>
    <row r="32094" ht="15.75" customHeight="1">
      <c r="A32094" s="7"/>
      <c r="B32094" s="7"/>
      <c r="M32094" s="9" t="s">
        <v>30</v>
      </c>
    </row>
    <row r="32095" ht="15.75" customHeight="1">
      <c r="A32095" s="7"/>
      <c r="B32095" s="7"/>
      <c r="M32095" s="9" t="s">
        <v>36</v>
      </c>
    </row>
    <row r="32096" ht="15.75" customHeight="1">
      <c r="A32096" s="7"/>
      <c r="B32096" s="7"/>
      <c r="M32096" s="9" t="s">
        <v>24</v>
      </c>
    </row>
    <row r="32097" ht="15.75" customHeight="1">
      <c r="A32097" s="7"/>
      <c r="B32097" s="7"/>
      <c r="M32097" s="9" t="s">
        <v>21</v>
      </c>
    </row>
    <row r="32098" ht="15.75" customHeight="1">
      <c r="A32098" s="7"/>
      <c r="B32098" s="7"/>
      <c r="M32098" s="9" t="s">
        <v>37</v>
      </c>
    </row>
    <row r="32099" ht="15.75" customHeight="1">
      <c r="A32099" s="7"/>
      <c r="B32099" s="7"/>
      <c r="M32099" s="9" t="s">
        <v>22</v>
      </c>
    </row>
    <row r="32100" ht="15.75" customHeight="1">
      <c r="A32100" s="7"/>
      <c r="B32100" s="7"/>
      <c r="M32100" s="9" t="s">
        <v>32</v>
      </c>
    </row>
    <row r="32101" ht="15.75" customHeight="1">
      <c r="A32101" s="7"/>
      <c r="B32101" s="7"/>
      <c r="M32101" s="9" t="s">
        <v>25</v>
      </c>
    </row>
    <row r="32102" ht="15.75" customHeight="1">
      <c r="A32102" s="7"/>
      <c r="B32102" s="7"/>
      <c r="M32102" s="9" t="s">
        <v>23</v>
      </c>
    </row>
    <row r="32103" ht="15.75" customHeight="1">
      <c r="A32103" s="7"/>
      <c r="B32103" s="7"/>
      <c r="M32103" s="9" t="s">
        <v>26</v>
      </c>
    </row>
    <row r="32104" ht="15.75" customHeight="1">
      <c r="A32104" s="7"/>
      <c r="B32104" s="7"/>
      <c r="M32104" s="9" t="s">
        <v>24</v>
      </c>
    </row>
    <row r="32105" ht="15.75" customHeight="1">
      <c r="A32105" s="7"/>
      <c r="B32105" s="7"/>
      <c r="M32105" s="9" t="s">
        <v>20</v>
      </c>
    </row>
    <row r="32106" ht="15.75" customHeight="1">
      <c r="A32106" s="7"/>
      <c r="B32106" s="7"/>
      <c r="M32106" s="9" t="s">
        <v>21</v>
      </c>
    </row>
    <row r="32107" ht="15.75" customHeight="1">
      <c r="A32107" s="7"/>
      <c r="B32107" s="7"/>
      <c r="M32107" s="9" t="s">
        <v>39</v>
      </c>
    </row>
    <row r="32108" ht="15.75" customHeight="1">
      <c r="A32108" s="7"/>
      <c r="B32108" s="7"/>
      <c r="M32108" s="9" t="s">
        <v>37</v>
      </c>
    </row>
    <row r="32109" ht="15.75" customHeight="1">
      <c r="A32109" s="7"/>
      <c r="B32109" s="7"/>
      <c r="M32109" s="9" t="s">
        <v>22</v>
      </c>
    </row>
    <row r="32110" ht="15.75" customHeight="1">
      <c r="A32110" s="7"/>
      <c r="B32110" s="7"/>
      <c r="M32110" s="9" t="s">
        <v>40</v>
      </c>
    </row>
    <row r="32111" ht="15.75" customHeight="1">
      <c r="A32111" s="7"/>
      <c r="B32111" s="7"/>
      <c r="M32111" s="9" t="s">
        <v>38</v>
      </c>
    </row>
    <row r="32112" ht="15.75" customHeight="1">
      <c r="A32112" s="7"/>
      <c r="B32112" s="7"/>
      <c r="M32112" s="9" t="s">
        <v>30</v>
      </c>
    </row>
    <row r="32113" ht="15.75" customHeight="1">
      <c r="A32113" s="7"/>
      <c r="B32113" s="7"/>
      <c r="M32113" s="9" t="s">
        <v>25</v>
      </c>
    </row>
    <row r="32114" ht="15.75" customHeight="1">
      <c r="A32114" s="7"/>
      <c r="B32114" s="7"/>
      <c r="M32114" s="9" t="s">
        <v>23</v>
      </c>
    </row>
    <row r="32115" ht="15.75" customHeight="1">
      <c r="A32115" s="7"/>
      <c r="B32115" s="7"/>
      <c r="M32115" s="9" t="s">
        <v>26</v>
      </c>
    </row>
    <row r="32116" ht="15.75" customHeight="1">
      <c r="A32116" s="7"/>
      <c r="B32116" s="7"/>
      <c r="M32116" s="9" t="s">
        <v>36</v>
      </c>
    </row>
    <row r="32117" ht="15.75" customHeight="1">
      <c r="A32117" s="7"/>
      <c r="B32117" s="7"/>
      <c r="M32117" s="9" t="s">
        <v>21</v>
      </c>
    </row>
    <row r="32118" ht="15.75" customHeight="1">
      <c r="A32118" s="7"/>
      <c r="B32118" s="7"/>
      <c r="M32118" s="9" t="s">
        <v>22</v>
      </c>
    </row>
    <row r="32119" ht="15.75" customHeight="1">
      <c r="A32119" s="7"/>
      <c r="B32119" s="7"/>
      <c r="M32119" s="9" t="s">
        <v>35</v>
      </c>
    </row>
    <row r="32120" ht="15.75" customHeight="1">
      <c r="A32120" s="7"/>
      <c r="B32120" s="7"/>
      <c r="M32120" s="9" t="s">
        <v>30</v>
      </c>
    </row>
    <row r="32121" ht="15.75" customHeight="1">
      <c r="A32121" s="7"/>
      <c r="B32121" s="7"/>
      <c r="M32121" s="9" t="s">
        <v>26</v>
      </c>
    </row>
    <row r="32122" ht="15.75" customHeight="1">
      <c r="A32122" s="7"/>
      <c r="B32122" s="7"/>
      <c r="M32122" s="9" t="s">
        <v>24</v>
      </c>
    </row>
    <row r="32123" ht="15.75" customHeight="1">
      <c r="A32123" s="7"/>
      <c r="B32123" s="7"/>
      <c r="M32123" s="9" t="s">
        <v>21</v>
      </c>
    </row>
    <row r="32124" ht="15.75" customHeight="1">
      <c r="A32124" s="7"/>
      <c r="B32124" s="7"/>
      <c r="M32124" s="9" t="s">
        <v>41</v>
      </c>
    </row>
    <row r="32125" ht="15.75" customHeight="1">
      <c r="A32125" s="7"/>
      <c r="B32125" s="7"/>
      <c r="M32125" s="9" t="s">
        <v>37</v>
      </c>
    </row>
    <row r="32126" ht="15.75" customHeight="1">
      <c r="A32126" s="7"/>
      <c r="B32126" s="7"/>
      <c r="M32126" s="9" t="s">
        <v>22</v>
      </c>
    </row>
    <row r="32127" ht="15.75" customHeight="1">
      <c r="A32127" s="7"/>
      <c r="B32127" s="7"/>
      <c r="M32127" s="9" t="s">
        <v>31</v>
      </c>
    </row>
    <row r="32128" ht="15.75" customHeight="1">
      <c r="A32128" s="7"/>
      <c r="B32128" s="7"/>
      <c r="M32128" s="9" t="s">
        <v>27</v>
      </c>
    </row>
    <row r="32129" ht="15.75" customHeight="1">
      <c r="A32129" s="7"/>
      <c r="B32129" s="7"/>
      <c r="M32129" s="9" t="s">
        <v>33</v>
      </c>
    </row>
    <row r="32130" ht="15.75" customHeight="1">
      <c r="A32130" s="7"/>
      <c r="B32130" s="7"/>
      <c r="M32130" s="9" t="s">
        <v>36</v>
      </c>
    </row>
    <row r="32131" ht="15.75" customHeight="1">
      <c r="A32131" s="7"/>
      <c r="B32131" s="7"/>
      <c r="M32131" s="9" t="s">
        <v>22</v>
      </c>
    </row>
    <row r="32132" ht="15.75" customHeight="1">
      <c r="A32132" s="7"/>
      <c r="B32132" s="7"/>
      <c r="M32132" s="9" t="s">
        <v>24</v>
      </c>
    </row>
    <row r="32133" ht="15.75" customHeight="1">
      <c r="A32133" s="7"/>
      <c r="B32133" s="7"/>
      <c r="M32133" s="9" t="s">
        <v>21</v>
      </c>
    </row>
    <row r="32134" ht="15.75" customHeight="1">
      <c r="A32134" s="7"/>
      <c r="B32134" s="7"/>
      <c r="M32134" s="9" t="s">
        <v>37</v>
      </c>
    </row>
    <row r="32135" ht="15.75" customHeight="1">
      <c r="A32135" s="7"/>
      <c r="B32135" s="7"/>
      <c r="M32135" s="9" t="s">
        <v>24</v>
      </c>
    </row>
    <row r="32136" ht="15.75" customHeight="1">
      <c r="A32136" s="7"/>
      <c r="B32136" s="7"/>
      <c r="M32136" s="9" t="s">
        <v>37</v>
      </c>
    </row>
    <row r="32137" ht="15.75" customHeight="1">
      <c r="A32137" s="7"/>
      <c r="B32137" s="7"/>
      <c r="M32137" s="9" t="s">
        <v>26</v>
      </c>
    </row>
    <row r="32138" ht="15.75" customHeight="1">
      <c r="A32138" s="7"/>
      <c r="B32138" s="7"/>
      <c r="M32138" s="9" t="s">
        <v>24</v>
      </c>
    </row>
    <row r="32139" ht="15.75" customHeight="1">
      <c r="A32139" s="7"/>
      <c r="B32139" s="7"/>
      <c r="M32139" s="9" t="s">
        <v>21</v>
      </c>
    </row>
    <row r="32140" ht="15.75" customHeight="1">
      <c r="A32140" s="7"/>
      <c r="B32140" s="7"/>
      <c r="M32140" s="9" t="s">
        <v>20</v>
      </c>
    </row>
    <row r="32141" ht="15.75" customHeight="1">
      <c r="A32141" s="7"/>
      <c r="B32141" s="7"/>
      <c r="M32141" s="9" t="s">
        <v>39</v>
      </c>
    </row>
    <row r="32142" ht="15.75" customHeight="1">
      <c r="A32142" s="7"/>
      <c r="B32142" s="7"/>
      <c r="M32142" s="9" t="s">
        <v>37</v>
      </c>
    </row>
    <row r="32143" ht="15.75" customHeight="1">
      <c r="A32143" s="7"/>
      <c r="B32143" s="7"/>
      <c r="M32143" s="9" t="s">
        <v>24</v>
      </c>
    </row>
    <row r="32144" ht="15.75" customHeight="1">
      <c r="A32144" s="7"/>
      <c r="B32144" s="7"/>
      <c r="M32144" s="9" t="s">
        <v>20</v>
      </c>
    </row>
    <row r="32145" ht="15.75" customHeight="1">
      <c r="A32145" s="7"/>
      <c r="B32145" s="7"/>
      <c r="M32145" s="9" t="s">
        <v>21</v>
      </c>
    </row>
    <row r="32146" ht="15.75" customHeight="1">
      <c r="A32146" s="7"/>
      <c r="B32146" s="7"/>
      <c r="M32146" s="9" t="s">
        <v>27</v>
      </c>
    </row>
    <row r="32147" ht="15.75" customHeight="1">
      <c r="A32147" s="7"/>
      <c r="B32147" s="7"/>
      <c r="M32147" s="9" t="s">
        <v>35</v>
      </c>
    </row>
    <row r="32148" ht="15.75" customHeight="1">
      <c r="A32148" s="7"/>
      <c r="B32148" s="7"/>
      <c r="M32148" s="9" t="s">
        <v>30</v>
      </c>
    </row>
    <row r="32149" ht="15.75" customHeight="1">
      <c r="A32149" s="7"/>
      <c r="B32149" s="7"/>
      <c r="M32149" s="9" t="s">
        <v>25</v>
      </c>
    </row>
    <row r="32150" ht="15.75" customHeight="1">
      <c r="A32150" s="7"/>
      <c r="B32150" s="7"/>
      <c r="M32150" s="9" t="s">
        <v>24</v>
      </c>
    </row>
    <row r="32151" ht="15.75" customHeight="1">
      <c r="A32151" s="7"/>
      <c r="B32151" s="7"/>
      <c r="M32151" s="9" t="s">
        <v>21</v>
      </c>
    </row>
    <row r="32152" ht="15.75" customHeight="1">
      <c r="A32152" s="7"/>
      <c r="B32152" s="7"/>
      <c r="M32152" s="9" t="s">
        <v>37</v>
      </c>
    </row>
    <row r="32153" ht="15.75" customHeight="1">
      <c r="A32153" s="7"/>
      <c r="B32153" s="7"/>
      <c r="M32153" s="9" t="s">
        <v>22</v>
      </c>
    </row>
    <row r="32154" ht="15.75" customHeight="1">
      <c r="A32154" s="7"/>
      <c r="B32154" s="7"/>
      <c r="M32154" s="9" t="s">
        <v>27</v>
      </c>
    </row>
    <row r="32155" ht="15.75" customHeight="1">
      <c r="A32155" s="7"/>
      <c r="B32155" s="7"/>
      <c r="M32155" s="9" t="s">
        <v>33</v>
      </c>
    </row>
    <row r="32156" ht="15.75" customHeight="1">
      <c r="A32156" s="7"/>
      <c r="B32156" s="7"/>
      <c r="M32156" s="9" t="s">
        <v>35</v>
      </c>
    </row>
    <row r="32157" ht="15.75" customHeight="1">
      <c r="A32157" s="7"/>
      <c r="B32157" s="7"/>
      <c r="M32157" s="9" t="s">
        <v>24</v>
      </c>
    </row>
    <row r="32158" ht="15.75" customHeight="1">
      <c r="A32158" s="7"/>
      <c r="B32158" s="7"/>
      <c r="M32158" s="9" t="s">
        <v>20</v>
      </c>
    </row>
    <row r="32159" ht="15.75" customHeight="1">
      <c r="A32159" s="7"/>
      <c r="B32159" s="7"/>
      <c r="M32159" s="9" t="s">
        <v>21</v>
      </c>
    </row>
    <row r="32160" ht="15.75" customHeight="1">
      <c r="A32160" s="7"/>
      <c r="B32160" s="7"/>
      <c r="M32160" s="9" t="s">
        <v>41</v>
      </c>
    </row>
    <row r="32161" ht="15.75" customHeight="1">
      <c r="A32161" s="7"/>
      <c r="B32161" s="7"/>
      <c r="M32161" s="9" t="s">
        <v>40</v>
      </c>
    </row>
    <row r="32162" ht="15.75" customHeight="1">
      <c r="A32162" s="7"/>
      <c r="B32162" s="7"/>
      <c r="M32162" s="9" t="s">
        <v>33</v>
      </c>
    </row>
    <row r="32163" ht="15.75" customHeight="1">
      <c r="A32163" s="7"/>
      <c r="B32163" s="7"/>
      <c r="M32163" s="9" t="s">
        <v>30</v>
      </c>
    </row>
    <row r="32164" ht="15.75" customHeight="1">
      <c r="A32164" s="7"/>
      <c r="B32164" s="7"/>
      <c r="M32164" s="9" t="s">
        <v>36</v>
      </c>
    </row>
    <row r="32165" ht="15.75" customHeight="1">
      <c r="A32165" s="7"/>
      <c r="B32165" s="7"/>
      <c r="M32165" s="9" t="s">
        <v>24</v>
      </c>
    </row>
    <row r="32166" ht="15.75" customHeight="1">
      <c r="A32166" s="7"/>
      <c r="B32166" s="7"/>
      <c r="M32166" s="9" t="s">
        <v>20</v>
      </c>
    </row>
    <row r="32167" ht="15.75" customHeight="1">
      <c r="A32167" s="7"/>
      <c r="B32167" s="7"/>
      <c r="M32167" s="9" t="s">
        <v>21</v>
      </c>
    </row>
    <row r="32168" ht="15.75" customHeight="1">
      <c r="A32168" s="7"/>
      <c r="B32168" s="7"/>
      <c r="M32168" s="9" t="s">
        <v>39</v>
      </c>
    </row>
    <row r="32169" ht="15.75" customHeight="1">
      <c r="A32169" s="7"/>
      <c r="B32169" s="7"/>
      <c r="M32169" s="9" t="s">
        <v>37</v>
      </c>
    </row>
    <row r="32170" ht="15.75" customHeight="1">
      <c r="A32170" s="7"/>
      <c r="B32170" s="7"/>
      <c r="M32170" s="9" t="s">
        <v>22</v>
      </c>
    </row>
    <row r="32171" ht="15.75" customHeight="1">
      <c r="A32171" s="7"/>
      <c r="B32171" s="7"/>
      <c r="M32171" s="9" t="s">
        <v>31</v>
      </c>
    </row>
    <row r="32172" ht="15.75" customHeight="1">
      <c r="A32172" s="7"/>
      <c r="B32172" s="7"/>
      <c r="M32172" s="9" t="s">
        <v>27</v>
      </c>
    </row>
    <row r="32173" ht="15.75" customHeight="1">
      <c r="A32173" s="7"/>
      <c r="B32173" s="7"/>
      <c r="M32173" s="9" t="s">
        <v>20</v>
      </c>
    </row>
    <row r="32174" ht="15.75" customHeight="1">
      <c r="A32174" s="7"/>
      <c r="B32174" s="7"/>
      <c r="M32174" s="9" t="s">
        <v>39</v>
      </c>
    </row>
    <row r="32175" ht="15.75" customHeight="1">
      <c r="A32175" s="7"/>
      <c r="B32175" s="7"/>
      <c r="M32175" s="9" t="s">
        <v>24</v>
      </c>
    </row>
    <row r="32176" ht="15.75" customHeight="1">
      <c r="A32176" s="7"/>
      <c r="B32176" s="7"/>
      <c r="M32176" s="9" t="s">
        <v>20</v>
      </c>
    </row>
    <row r="32177" ht="15.75" customHeight="1">
      <c r="A32177" s="7"/>
      <c r="B32177" s="7"/>
      <c r="M32177" s="9" t="s">
        <v>21</v>
      </c>
    </row>
    <row r="32178" ht="15.75" customHeight="1">
      <c r="A32178" s="7"/>
      <c r="B32178" s="7"/>
      <c r="M32178" s="9" t="s">
        <v>27</v>
      </c>
    </row>
    <row r="32179" ht="15.75" customHeight="1">
      <c r="A32179" s="7"/>
      <c r="B32179" s="7"/>
      <c r="M32179" s="9" t="s">
        <v>30</v>
      </c>
    </row>
    <row r="32180" ht="15.75" customHeight="1">
      <c r="A32180" s="7"/>
      <c r="B32180" s="7"/>
      <c r="M32180" s="9" t="s">
        <v>20</v>
      </c>
    </row>
    <row r="32181" ht="15.75" customHeight="1">
      <c r="A32181" s="7"/>
      <c r="B32181" s="7"/>
      <c r="M32181" s="9" t="s">
        <v>21</v>
      </c>
    </row>
    <row r="32182" ht="15.75" customHeight="1">
      <c r="A32182" s="7"/>
      <c r="B32182" s="7"/>
      <c r="M32182" s="9" t="s">
        <v>27</v>
      </c>
    </row>
    <row r="32183" ht="15.75" customHeight="1">
      <c r="A32183" s="7"/>
      <c r="B32183" s="7"/>
      <c r="M32183" s="9" t="s">
        <v>36</v>
      </c>
    </row>
    <row r="32184" ht="15.75" customHeight="1">
      <c r="A32184" s="7"/>
      <c r="B32184" s="7"/>
      <c r="M32184" s="9" t="s">
        <v>24</v>
      </c>
    </row>
    <row r="32185" ht="15.75" customHeight="1">
      <c r="A32185" s="7"/>
      <c r="B32185" s="7"/>
      <c r="M32185" s="9" t="s">
        <v>20</v>
      </c>
    </row>
    <row r="32186" ht="15.75" customHeight="1">
      <c r="A32186" s="7"/>
      <c r="B32186" s="7"/>
      <c r="M32186" s="9" t="s">
        <v>21</v>
      </c>
    </row>
    <row r="32187" ht="15.75" customHeight="1">
      <c r="A32187" s="7"/>
      <c r="B32187" s="7"/>
      <c r="M32187" s="9" t="s">
        <v>37</v>
      </c>
    </row>
    <row r="32188" ht="15.75" customHeight="1">
      <c r="A32188" s="7"/>
      <c r="B32188" s="7"/>
      <c r="M32188" s="9" t="s">
        <v>26</v>
      </c>
    </row>
    <row r="32189" ht="15.75" customHeight="1">
      <c r="A32189" s="7"/>
      <c r="B32189" s="7"/>
      <c r="M32189" s="9" t="s">
        <v>24</v>
      </c>
    </row>
    <row r="32190" ht="15.75" customHeight="1">
      <c r="A32190" s="7"/>
      <c r="B32190" s="7"/>
      <c r="M32190" s="9" t="s">
        <v>20</v>
      </c>
    </row>
    <row r="32191" ht="15.75" customHeight="1">
      <c r="A32191" s="7"/>
      <c r="B32191" s="7"/>
      <c r="M32191" s="9" t="s">
        <v>21</v>
      </c>
    </row>
    <row r="32192" ht="15.75" customHeight="1">
      <c r="A32192" s="7"/>
      <c r="B32192" s="7"/>
      <c r="M32192" s="9" t="s">
        <v>26</v>
      </c>
    </row>
    <row r="32193" ht="15.75" customHeight="1">
      <c r="A32193" s="7"/>
      <c r="B32193" s="7"/>
      <c r="M32193" s="9" t="s">
        <v>24</v>
      </c>
    </row>
    <row r="32194" ht="15.75" customHeight="1">
      <c r="A32194" s="7"/>
      <c r="B32194" s="7"/>
      <c r="M32194" s="9" t="s">
        <v>29</v>
      </c>
    </row>
    <row r="32195" ht="15.75" customHeight="1">
      <c r="A32195" s="7"/>
      <c r="B32195" s="7"/>
      <c r="M32195" s="9" t="s">
        <v>26</v>
      </c>
    </row>
    <row r="32196" ht="15.75" customHeight="1">
      <c r="A32196" s="7"/>
      <c r="B32196" s="7"/>
      <c r="M32196" s="9" t="s">
        <v>20</v>
      </c>
    </row>
    <row r="32197" ht="15.75" customHeight="1">
      <c r="A32197" s="7"/>
      <c r="B32197" s="7"/>
      <c r="M32197" s="9" t="s">
        <v>21</v>
      </c>
    </row>
    <row r="32198" ht="15.75" customHeight="1">
      <c r="A32198" s="7"/>
      <c r="B32198" s="7"/>
      <c r="M32198" s="9" t="s">
        <v>22</v>
      </c>
    </row>
    <row r="32199" ht="15.75" customHeight="1">
      <c r="A32199" s="7"/>
      <c r="B32199" s="7"/>
      <c r="M32199" s="9" t="s">
        <v>33</v>
      </c>
    </row>
    <row r="32200" ht="15.75" customHeight="1">
      <c r="A32200" s="7"/>
      <c r="B32200" s="7"/>
      <c r="M32200" s="9" t="s">
        <v>24</v>
      </c>
    </row>
    <row r="32201" ht="15.75" customHeight="1">
      <c r="A32201" s="7"/>
      <c r="B32201" s="7"/>
      <c r="M32201" s="9" t="s">
        <v>21</v>
      </c>
    </row>
    <row r="32202" ht="15.75" customHeight="1">
      <c r="A32202" s="7"/>
      <c r="B32202" s="7"/>
      <c r="M32202" s="9" t="s">
        <v>37</v>
      </c>
    </row>
    <row r="32203" ht="15.75" customHeight="1">
      <c r="A32203" s="7"/>
      <c r="B32203" s="7"/>
      <c r="M32203" s="9" t="s">
        <v>30</v>
      </c>
    </row>
    <row r="32204" ht="15.75" customHeight="1">
      <c r="A32204" s="7"/>
      <c r="B32204" s="7"/>
      <c r="M32204" s="9" t="s">
        <v>25</v>
      </c>
    </row>
    <row r="32205" ht="15.75" customHeight="1">
      <c r="A32205" s="7"/>
      <c r="B32205" s="7"/>
      <c r="M32205" s="9" t="s">
        <v>23</v>
      </c>
    </row>
    <row r="32206" ht="15.75" customHeight="1">
      <c r="A32206" s="7"/>
      <c r="B32206" s="7"/>
      <c r="M32206" s="9" t="s">
        <v>24</v>
      </c>
    </row>
    <row r="32207" ht="15.75" customHeight="1">
      <c r="A32207" s="7"/>
      <c r="B32207" s="7"/>
      <c r="M32207" s="9" t="s">
        <v>21</v>
      </c>
    </row>
    <row r="32208" ht="15.75" customHeight="1">
      <c r="A32208" s="7"/>
      <c r="B32208" s="7"/>
      <c r="M32208" s="9" t="s">
        <v>22</v>
      </c>
    </row>
    <row r="32209" ht="15.75" customHeight="1">
      <c r="A32209" s="7"/>
      <c r="B32209" s="7"/>
      <c r="M32209" s="9" t="s">
        <v>35</v>
      </c>
    </row>
    <row r="32210" ht="15.75" customHeight="1">
      <c r="A32210" s="7"/>
      <c r="B32210" s="7"/>
      <c r="M32210" s="9" t="s">
        <v>22</v>
      </c>
    </row>
    <row r="32211" ht="15.75" customHeight="1">
      <c r="A32211" s="7"/>
      <c r="B32211" s="7"/>
      <c r="M32211" s="9" t="s">
        <v>33</v>
      </c>
    </row>
    <row r="32212" ht="15.75" customHeight="1">
      <c r="A32212" s="7"/>
      <c r="B32212" s="7"/>
      <c r="M32212" s="9" t="s">
        <v>26</v>
      </c>
    </row>
    <row r="32213" ht="15.75" customHeight="1">
      <c r="A32213" s="7"/>
      <c r="B32213" s="7"/>
      <c r="M32213" s="9" t="s">
        <v>24</v>
      </c>
    </row>
    <row r="32214" ht="15.75" customHeight="1">
      <c r="A32214" s="7"/>
      <c r="B32214" s="7"/>
      <c r="M32214" s="9" t="s">
        <v>21</v>
      </c>
    </row>
    <row r="32215" ht="15.75" customHeight="1">
      <c r="A32215" s="7"/>
      <c r="B32215" s="7"/>
      <c r="M32215" s="9" t="s">
        <v>27</v>
      </c>
    </row>
    <row r="32216" ht="15.75" customHeight="1">
      <c r="A32216" s="7"/>
      <c r="B32216" s="7"/>
      <c r="M32216" s="9" t="s">
        <v>33</v>
      </c>
    </row>
    <row r="32217" ht="15.75" customHeight="1">
      <c r="A32217" s="7"/>
      <c r="B32217" s="7"/>
      <c r="M32217" s="9" t="s">
        <v>26</v>
      </c>
    </row>
    <row r="32218" ht="15.75" customHeight="1">
      <c r="A32218" s="7"/>
      <c r="B32218" s="7"/>
      <c r="M32218" s="9" t="s">
        <v>24</v>
      </c>
    </row>
    <row r="32219" ht="15.75" customHeight="1">
      <c r="A32219" s="7"/>
      <c r="B32219" s="7"/>
      <c r="M32219" s="9" t="s">
        <v>21</v>
      </c>
    </row>
    <row r="32220" ht="15.75" customHeight="1">
      <c r="A32220" s="7"/>
      <c r="B32220" s="7"/>
      <c r="M32220" s="9" t="s">
        <v>27</v>
      </c>
    </row>
    <row r="32221" ht="15.75" customHeight="1">
      <c r="A32221" s="7"/>
      <c r="B32221" s="7"/>
      <c r="M32221" s="9" t="s">
        <v>30</v>
      </c>
    </row>
    <row r="32222" ht="15.75" customHeight="1">
      <c r="A32222" s="7"/>
      <c r="B32222" s="7"/>
      <c r="M32222" s="9" t="s">
        <v>36</v>
      </c>
    </row>
    <row r="32223" ht="15.75" customHeight="1">
      <c r="A32223" s="7"/>
      <c r="B32223" s="7"/>
      <c r="M32223" s="9" t="s">
        <v>24</v>
      </c>
    </row>
    <row r="32224" ht="15.75" customHeight="1">
      <c r="A32224" s="7"/>
      <c r="B32224" s="7"/>
      <c r="M32224" s="9" t="s">
        <v>21</v>
      </c>
    </row>
    <row r="32225" ht="15.75" customHeight="1">
      <c r="A32225" s="7"/>
      <c r="B32225" s="7"/>
      <c r="M32225" s="9" t="s">
        <v>22</v>
      </c>
    </row>
    <row r="32226" ht="15.75" customHeight="1">
      <c r="A32226" s="7"/>
      <c r="B32226" s="7"/>
      <c r="M32226" s="9" t="s">
        <v>29</v>
      </c>
    </row>
    <row r="32227" ht="15.75" customHeight="1">
      <c r="A32227" s="7"/>
      <c r="B32227" s="7"/>
      <c r="M32227" s="9" t="s">
        <v>27</v>
      </c>
    </row>
    <row r="32228" ht="15.75" customHeight="1">
      <c r="A32228" s="7"/>
      <c r="B32228" s="7"/>
      <c r="M32228" s="9" t="s">
        <v>30</v>
      </c>
    </row>
    <row r="32229" ht="15.75" customHeight="1">
      <c r="A32229" s="7"/>
      <c r="B32229" s="7"/>
      <c r="M32229" s="9" t="s">
        <v>24</v>
      </c>
    </row>
    <row r="32230" ht="15.75" customHeight="1">
      <c r="A32230" s="7"/>
      <c r="B32230" s="7"/>
      <c r="M32230" s="9" t="s">
        <v>21</v>
      </c>
    </row>
    <row r="32231" ht="15.75" customHeight="1">
      <c r="A32231" s="7"/>
      <c r="B32231" s="7"/>
      <c r="M32231" s="9" t="s">
        <v>33</v>
      </c>
    </row>
    <row r="32232" ht="15.75" customHeight="1">
      <c r="A32232" s="7"/>
      <c r="B32232" s="7"/>
      <c r="M32232" s="9" t="s">
        <v>24</v>
      </c>
    </row>
    <row r="32233" ht="15.75" customHeight="1">
      <c r="A32233" s="7"/>
      <c r="B32233" s="7"/>
      <c r="M32233" s="9" t="s">
        <v>21</v>
      </c>
    </row>
    <row r="32234" ht="15.75" customHeight="1">
      <c r="A32234" s="7"/>
      <c r="B32234" s="7"/>
      <c r="M32234" s="9" t="s">
        <v>37</v>
      </c>
    </row>
    <row r="32235" ht="15.75" customHeight="1">
      <c r="A32235" s="7"/>
      <c r="B32235" s="7"/>
      <c r="M32235" s="9" t="s">
        <v>27</v>
      </c>
    </row>
    <row r="32236" ht="15.75" customHeight="1">
      <c r="A32236" s="7"/>
      <c r="B32236" s="7"/>
      <c r="M32236" s="9" t="s">
        <v>30</v>
      </c>
    </row>
    <row r="32237" ht="15.75" customHeight="1">
      <c r="A32237" s="7"/>
      <c r="B32237" s="7"/>
      <c r="M32237" s="9" t="s">
        <v>26</v>
      </c>
    </row>
    <row r="32238" ht="15.75" customHeight="1">
      <c r="A32238" s="7"/>
      <c r="B32238" s="7"/>
      <c r="M32238" s="9" t="s">
        <v>39</v>
      </c>
    </row>
    <row r="32239" ht="15.75" customHeight="1">
      <c r="A32239" s="7"/>
      <c r="B32239" s="7"/>
      <c r="M32239" s="9" t="s">
        <v>40</v>
      </c>
    </row>
    <row r="32240" ht="15.75" customHeight="1">
      <c r="A32240" s="7"/>
      <c r="B32240" s="7"/>
      <c r="M32240" s="9" t="s">
        <v>25</v>
      </c>
    </row>
    <row r="32241" ht="15.75" customHeight="1">
      <c r="A32241" s="7"/>
      <c r="B32241" s="7"/>
      <c r="M32241" s="9" t="s">
        <v>23</v>
      </c>
    </row>
    <row r="32242" ht="15.75" customHeight="1">
      <c r="A32242" s="7"/>
      <c r="B32242" s="7"/>
      <c r="M32242" s="9" t="s">
        <v>24</v>
      </c>
    </row>
    <row r="32243" ht="15.75" customHeight="1">
      <c r="A32243" s="7"/>
      <c r="B32243" s="7"/>
      <c r="M32243" s="9" t="s">
        <v>21</v>
      </c>
    </row>
    <row r="32244" ht="15.75" customHeight="1">
      <c r="A32244" s="7"/>
      <c r="B32244" s="7"/>
      <c r="M32244" s="9" t="s">
        <v>41</v>
      </c>
    </row>
    <row r="32245" ht="15.75" customHeight="1">
      <c r="A32245" s="7"/>
      <c r="B32245" s="7"/>
      <c r="M32245" s="9" t="s">
        <v>40</v>
      </c>
    </row>
    <row r="32246" ht="15.75" customHeight="1">
      <c r="A32246" s="7"/>
      <c r="B32246" s="7"/>
      <c r="M32246" s="9" t="s">
        <v>26</v>
      </c>
    </row>
    <row r="32247" ht="15.75" customHeight="1">
      <c r="A32247" s="7"/>
      <c r="B32247" s="7"/>
      <c r="M32247" s="9" t="s">
        <v>24</v>
      </c>
    </row>
    <row r="32248" ht="15.75" customHeight="1">
      <c r="A32248" s="7"/>
      <c r="B32248" s="7"/>
      <c r="M32248" s="9" t="s">
        <v>21</v>
      </c>
    </row>
    <row r="32249" ht="15.75" customHeight="1">
      <c r="A32249" s="7"/>
      <c r="B32249" s="7"/>
      <c r="M32249" s="9" t="s">
        <v>37</v>
      </c>
    </row>
    <row r="32250" ht="15.75" customHeight="1">
      <c r="A32250" s="7"/>
      <c r="B32250" s="7"/>
      <c r="M32250" s="9" t="s">
        <v>22</v>
      </c>
    </row>
    <row r="32251" ht="15.75" customHeight="1">
      <c r="A32251" s="7"/>
      <c r="B32251" s="7"/>
      <c r="M32251" s="9" t="s">
        <v>27</v>
      </c>
    </row>
    <row r="32252" ht="15.75" customHeight="1">
      <c r="A32252" s="7"/>
      <c r="B32252" s="7"/>
      <c r="M32252" s="9" t="s">
        <v>28</v>
      </c>
    </row>
    <row r="32253" ht="15.75" customHeight="1">
      <c r="A32253" s="7"/>
      <c r="B32253" s="7"/>
      <c r="M32253" s="9" t="s">
        <v>26</v>
      </c>
    </row>
    <row r="32254" ht="15.75" customHeight="1">
      <c r="A32254" s="7"/>
      <c r="B32254" s="7"/>
      <c r="M32254" s="9" t="s">
        <v>24</v>
      </c>
    </row>
    <row r="32255" ht="15.75" customHeight="1">
      <c r="A32255" s="7"/>
      <c r="B32255" s="7"/>
      <c r="M32255" s="9" t="s">
        <v>21</v>
      </c>
    </row>
    <row r="32256" ht="15.75" customHeight="1">
      <c r="A32256" s="7"/>
      <c r="B32256" s="7"/>
      <c r="M32256" s="9" t="s">
        <v>27</v>
      </c>
    </row>
    <row r="32257" ht="15.75" customHeight="1">
      <c r="A32257" s="7"/>
      <c r="B32257" s="7"/>
      <c r="M32257" s="9" t="s">
        <v>26</v>
      </c>
    </row>
    <row r="32258" ht="15.75" customHeight="1">
      <c r="A32258" s="7"/>
      <c r="B32258" s="7"/>
      <c r="M32258" s="9" t="s">
        <v>24</v>
      </c>
    </row>
    <row r="32259" ht="15.75" customHeight="1">
      <c r="A32259" s="7"/>
      <c r="B32259" s="7"/>
      <c r="M32259" s="9" t="s">
        <v>20</v>
      </c>
    </row>
    <row r="32260" ht="15.75" customHeight="1">
      <c r="A32260" s="7"/>
      <c r="B32260" s="7"/>
      <c r="M32260" s="9" t="s">
        <v>21</v>
      </c>
    </row>
    <row r="32261" ht="15.75" customHeight="1">
      <c r="A32261" s="7"/>
      <c r="B32261" s="7"/>
      <c r="M32261" s="9" t="s">
        <v>24</v>
      </c>
    </row>
    <row r="32262" ht="15.75" customHeight="1">
      <c r="A32262" s="7"/>
      <c r="B32262" s="7"/>
      <c r="M32262" s="9" t="s">
        <v>21</v>
      </c>
    </row>
    <row r="32263" ht="15.75" customHeight="1">
      <c r="A32263" s="7"/>
      <c r="B32263" s="7"/>
      <c r="M32263" s="9" t="s">
        <v>37</v>
      </c>
    </row>
    <row r="32264" ht="15.75" customHeight="1">
      <c r="A32264" s="7"/>
      <c r="B32264" s="7"/>
      <c r="M32264" s="9" t="s">
        <v>27</v>
      </c>
    </row>
    <row r="32265" ht="15.75" customHeight="1">
      <c r="A32265" s="7"/>
      <c r="B32265" s="7"/>
      <c r="M32265" s="9" t="s">
        <v>25</v>
      </c>
    </row>
    <row r="32266" ht="15.75" customHeight="1">
      <c r="A32266" s="7"/>
      <c r="B32266" s="7"/>
      <c r="M32266" s="9" t="s">
        <v>26</v>
      </c>
    </row>
    <row r="32267" ht="15.75" customHeight="1">
      <c r="A32267" s="7"/>
      <c r="B32267" s="7"/>
      <c r="M32267" s="9" t="s">
        <v>24</v>
      </c>
    </row>
    <row r="32268" ht="15.75" customHeight="1">
      <c r="A32268" s="7"/>
      <c r="B32268" s="7"/>
      <c r="M32268" s="9" t="s">
        <v>21</v>
      </c>
    </row>
    <row r="32269" ht="15.75" customHeight="1">
      <c r="A32269" s="7"/>
      <c r="B32269" s="7"/>
      <c r="M32269" s="9" t="s">
        <v>27</v>
      </c>
    </row>
    <row r="32270" ht="15.75" customHeight="1">
      <c r="A32270" s="7"/>
      <c r="B32270" s="7"/>
      <c r="M32270" s="9" t="s">
        <v>33</v>
      </c>
    </row>
    <row r="32271" ht="15.75" customHeight="1">
      <c r="A32271" s="7"/>
      <c r="B32271" s="7"/>
      <c r="M32271" s="9" t="s">
        <v>30</v>
      </c>
    </row>
    <row r="32272" ht="15.75" customHeight="1">
      <c r="A32272" s="7"/>
      <c r="B32272" s="7"/>
      <c r="M32272" s="9" t="s">
        <v>26</v>
      </c>
    </row>
    <row r="32273" ht="15.75" customHeight="1">
      <c r="A32273" s="7"/>
      <c r="B32273" s="7"/>
      <c r="M32273" s="9" t="s">
        <v>24</v>
      </c>
    </row>
    <row r="32274" ht="15.75" customHeight="1">
      <c r="A32274" s="7"/>
      <c r="B32274" s="7"/>
      <c r="M32274" s="9" t="s">
        <v>21</v>
      </c>
    </row>
    <row r="32275" ht="15.75" customHeight="1">
      <c r="A32275" s="7"/>
      <c r="B32275" s="7"/>
      <c r="M32275" s="9" t="s">
        <v>27</v>
      </c>
    </row>
    <row r="32276" ht="15.75" customHeight="1">
      <c r="A32276" s="7"/>
      <c r="B32276" s="7"/>
      <c r="M32276" s="9" t="s">
        <v>33</v>
      </c>
    </row>
    <row r="32277" ht="15.75" customHeight="1">
      <c r="A32277" s="7"/>
      <c r="B32277" s="7"/>
      <c r="M32277" s="9" t="s">
        <v>30</v>
      </c>
    </row>
    <row r="32278" ht="15.75" customHeight="1">
      <c r="A32278" s="7"/>
      <c r="B32278" s="7"/>
      <c r="M32278" s="9" t="s">
        <v>25</v>
      </c>
    </row>
    <row r="32279" ht="15.75" customHeight="1">
      <c r="A32279" s="7"/>
      <c r="B32279" s="7"/>
      <c r="M32279" s="9" t="s">
        <v>23</v>
      </c>
    </row>
    <row r="32280" ht="15.75" customHeight="1">
      <c r="A32280" s="7"/>
      <c r="B32280" s="7"/>
      <c r="M32280" s="9" t="s">
        <v>26</v>
      </c>
    </row>
    <row r="32281" ht="15.75" customHeight="1">
      <c r="A32281" s="7"/>
      <c r="B32281" s="7"/>
      <c r="M32281" s="9" t="s">
        <v>42</v>
      </c>
    </row>
    <row r="32282" ht="15.75" customHeight="1">
      <c r="A32282" s="7"/>
      <c r="B32282" s="7"/>
      <c r="M32282" s="9" t="s">
        <v>43</v>
      </c>
    </row>
    <row r="32283" ht="15.75" customHeight="1">
      <c r="A32283" s="7"/>
      <c r="B32283" s="7"/>
      <c r="M32283" s="9" t="s">
        <v>36</v>
      </c>
    </row>
    <row r="32284" ht="15.75" customHeight="1">
      <c r="A32284" s="7"/>
      <c r="B32284" s="7"/>
      <c r="M32284" s="9" t="s">
        <v>20</v>
      </c>
    </row>
    <row r="32285" ht="15.75" customHeight="1">
      <c r="A32285" s="7"/>
      <c r="B32285" s="7"/>
      <c r="M32285" s="9" t="s">
        <v>21</v>
      </c>
    </row>
    <row r="32286" ht="15.75" customHeight="1">
      <c r="A32286" s="7"/>
      <c r="B32286" s="7"/>
      <c r="M32286" s="9" t="s">
        <v>39</v>
      </c>
    </row>
    <row r="32287" ht="15.75" customHeight="1">
      <c r="A32287" s="7"/>
      <c r="B32287" s="7"/>
      <c r="M32287" s="9" t="s">
        <v>41</v>
      </c>
    </row>
    <row r="32288" ht="15.75" customHeight="1">
      <c r="A32288" s="7"/>
      <c r="B32288" s="7"/>
      <c r="M32288" s="9" t="s">
        <v>22</v>
      </c>
    </row>
    <row r="32289" ht="15.75" customHeight="1">
      <c r="A32289" s="7"/>
      <c r="B32289" s="7"/>
      <c r="M32289" s="9" t="s">
        <v>46</v>
      </c>
    </row>
    <row r="32290" ht="15.75" customHeight="1">
      <c r="A32290" s="7"/>
      <c r="B32290" s="7"/>
      <c r="M32290" s="9" t="s">
        <v>27</v>
      </c>
    </row>
    <row r="32291" ht="15.75" customHeight="1">
      <c r="A32291" s="7"/>
      <c r="B32291" s="7"/>
      <c r="M32291" s="9" t="s">
        <v>40</v>
      </c>
    </row>
    <row r="32292" ht="15.75" customHeight="1">
      <c r="A32292" s="7"/>
      <c r="B32292" s="7"/>
      <c r="M32292" s="9" t="s">
        <v>33</v>
      </c>
    </row>
    <row r="32293" ht="15.75" customHeight="1">
      <c r="A32293" s="7"/>
      <c r="B32293" s="7"/>
      <c r="M32293" s="9" t="s">
        <v>30</v>
      </c>
    </row>
    <row r="32294" ht="15.75" customHeight="1">
      <c r="A32294" s="7"/>
      <c r="B32294" s="7"/>
      <c r="M32294" s="9" t="s">
        <v>23</v>
      </c>
    </row>
    <row r="32295" ht="15.75" customHeight="1">
      <c r="A32295" s="7"/>
      <c r="B32295" s="7"/>
      <c r="M32295" s="9" t="s">
        <v>24</v>
      </c>
    </row>
    <row r="32296" ht="15.75" customHeight="1">
      <c r="A32296" s="7"/>
      <c r="B32296" s="7"/>
      <c r="M32296" s="9" t="s">
        <v>21</v>
      </c>
    </row>
    <row r="32297" ht="15.75" customHeight="1">
      <c r="A32297" s="7"/>
      <c r="B32297" s="7"/>
      <c r="M32297" s="9" t="s">
        <v>37</v>
      </c>
    </row>
    <row r="32298" ht="15.75" customHeight="1">
      <c r="A32298" s="7"/>
      <c r="B32298" s="7"/>
      <c r="M32298" s="9" t="s">
        <v>22</v>
      </c>
    </row>
    <row r="32299" ht="15.75" customHeight="1">
      <c r="A32299" s="7"/>
      <c r="B32299" s="7"/>
      <c r="M32299" s="9" t="s">
        <v>27</v>
      </c>
    </row>
    <row r="32300" ht="15.75" customHeight="1">
      <c r="A32300" s="7"/>
      <c r="B32300" s="7"/>
      <c r="M32300" s="9" t="s">
        <v>23</v>
      </c>
    </row>
    <row r="32301" ht="15.75" customHeight="1">
      <c r="A32301" s="7"/>
      <c r="B32301" s="7"/>
      <c r="M32301" s="9" t="s">
        <v>24</v>
      </c>
    </row>
    <row r="32302" ht="15.75" customHeight="1">
      <c r="A32302" s="7"/>
      <c r="B32302" s="7"/>
      <c r="M32302" s="9" t="s">
        <v>20</v>
      </c>
    </row>
    <row r="32303" ht="15.75" customHeight="1">
      <c r="A32303" s="7"/>
      <c r="B32303" s="7"/>
      <c r="M32303" s="9" t="s">
        <v>21</v>
      </c>
    </row>
    <row r="32304" ht="15.75" customHeight="1">
      <c r="A32304" s="7"/>
      <c r="B32304" s="7"/>
      <c r="M32304" s="9" t="s">
        <v>37</v>
      </c>
    </row>
    <row r="32305" ht="15.75" customHeight="1">
      <c r="A32305" s="7"/>
      <c r="B32305" s="7"/>
      <c r="M32305" s="9" t="s">
        <v>22</v>
      </c>
    </row>
    <row r="32306" ht="15.75" customHeight="1">
      <c r="A32306" s="7"/>
      <c r="B32306" s="7"/>
      <c r="M32306" s="9" t="s">
        <v>20</v>
      </c>
    </row>
    <row r="32307" ht="15.75" customHeight="1">
      <c r="A32307" s="7"/>
      <c r="B32307" s="7"/>
      <c r="M32307" s="9" t="s">
        <v>30</v>
      </c>
    </row>
    <row r="32308" ht="15.75" customHeight="1">
      <c r="A32308" s="7"/>
      <c r="B32308" s="7"/>
      <c r="M32308" s="9" t="s">
        <v>20</v>
      </c>
    </row>
    <row r="32309" ht="15.75" customHeight="1">
      <c r="A32309" s="7"/>
      <c r="B32309" s="7"/>
      <c r="M32309" s="9" t="s">
        <v>21</v>
      </c>
    </row>
    <row r="32310" ht="15.75" customHeight="1">
      <c r="A32310" s="7"/>
      <c r="B32310" s="7"/>
      <c r="M32310" s="9" t="s">
        <v>33</v>
      </c>
    </row>
    <row r="32311" ht="15.75" customHeight="1">
      <c r="A32311" s="7"/>
      <c r="B32311" s="7"/>
      <c r="M32311" s="9" t="s">
        <v>26</v>
      </c>
    </row>
    <row r="32312" ht="15.75" customHeight="1">
      <c r="A32312" s="7"/>
      <c r="B32312" s="7"/>
      <c r="M32312" s="9" t="s">
        <v>24</v>
      </c>
    </row>
    <row r="32313" ht="15.75" customHeight="1">
      <c r="A32313" s="7"/>
      <c r="B32313" s="7"/>
      <c r="M32313" s="9" t="s">
        <v>21</v>
      </c>
    </row>
    <row r="32314" ht="15.75" customHeight="1">
      <c r="A32314" s="7"/>
      <c r="B32314" s="7"/>
      <c r="M32314" s="9" t="s">
        <v>27</v>
      </c>
    </row>
    <row r="32315" ht="15.75" customHeight="1">
      <c r="A32315" s="7"/>
      <c r="B32315" s="7"/>
      <c r="M32315" s="9" t="s">
        <v>24</v>
      </c>
    </row>
    <row r="32316" ht="15.75" customHeight="1">
      <c r="A32316" s="7"/>
      <c r="B32316" s="7"/>
      <c r="M32316" s="9" t="s">
        <v>22</v>
      </c>
    </row>
    <row r="32317" ht="15.75" customHeight="1">
      <c r="A32317" s="7"/>
      <c r="B32317" s="7"/>
      <c r="M32317" s="9" t="s">
        <v>27</v>
      </c>
    </row>
    <row r="32318" ht="15.75" customHeight="1">
      <c r="A32318" s="7"/>
      <c r="B32318" s="7"/>
      <c r="M32318" s="9" t="s">
        <v>24</v>
      </c>
    </row>
    <row r="32319" ht="15.75" customHeight="1">
      <c r="A32319" s="7"/>
      <c r="B32319" s="7"/>
      <c r="M32319" s="9" t="s">
        <v>20</v>
      </c>
    </row>
    <row r="32320" ht="15.75" customHeight="1">
      <c r="A32320" s="7"/>
      <c r="B32320" s="7"/>
      <c r="M32320" s="9" t="s">
        <v>21</v>
      </c>
    </row>
    <row r="32321" ht="15.75" customHeight="1">
      <c r="A32321" s="7"/>
      <c r="B32321" s="7"/>
      <c r="M32321" s="9" t="s">
        <v>27</v>
      </c>
    </row>
    <row r="32322" ht="15.75" customHeight="1">
      <c r="A32322" s="7"/>
      <c r="B32322" s="7"/>
      <c r="M32322" s="9" t="s">
        <v>33</v>
      </c>
    </row>
    <row r="32323" ht="15.75" customHeight="1">
      <c r="A32323" s="7"/>
      <c r="B32323" s="7"/>
      <c r="M32323" s="9" t="s">
        <v>30</v>
      </c>
    </row>
    <row r="32324" ht="15.75" customHeight="1">
      <c r="A32324" s="7"/>
      <c r="B32324" s="7"/>
      <c r="M32324" s="9" t="s">
        <v>24</v>
      </c>
    </row>
    <row r="32325" ht="15.75" customHeight="1">
      <c r="A32325" s="7"/>
      <c r="B32325" s="7"/>
      <c r="M32325" s="9" t="s">
        <v>21</v>
      </c>
    </row>
    <row r="32326" ht="15.75" customHeight="1">
      <c r="A32326" s="7"/>
      <c r="B32326" s="7"/>
      <c r="M32326" s="9" t="s">
        <v>22</v>
      </c>
    </row>
    <row r="32327" ht="15.75" customHeight="1">
      <c r="A32327" s="7"/>
      <c r="B32327" s="7"/>
      <c r="M32327" s="9" t="s">
        <v>27</v>
      </c>
    </row>
    <row r="32328" ht="15.75" customHeight="1">
      <c r="A32328" s="7"/>
      <c r="B32328" s="7"/>
      <c r="M32328" s="9" t="s">
        <v>26</v>
      </c>
    </row>
    <row r="32329" ht="15.75" customHeight="1">
      <c r="A32329" s="7"/>
      <c r="B32329" s="7"/>
      <c r="M32329" s="9" t="s">
        <v>24</v>
      </c>
    </row>
    <row r="32330" ht="15.75" customHeight="1">
      <c r="A32330" s="7"/>
      <c r="B32330" s="7"/>
      <c r="M32330" s="9" t="s">
        <v>21</v>
      </c>
    </row>
    <row r="32331" ht="15.75" customHeight="1">
      <c r="A32331" s="7"/>
      <c r="B32331" s="7"/>
      <c r="M32331" s="9" t="s">
        <v>41</v>
      </c>
    </row>
    <row r="32332" ht="15.75" customHeight="1">
      <c r="A32332" s="7"/>
      <c r="B32332" s="7"/>
      <c r="M32332" s="9" t="s">
        <v>31</v>
      </c>
    </row>
    <row r="32333" ht="15.75" customHeight="1">
      <c r="A32333" s="7"/>
      <c r="B32333" s="7"/>
      <c r="M32333" s="9" t="s">
        <v>27</v>
      </c>
    </row>
    <row r="32334" ht="15.75" customHeight="1">
      <c r="A32334" s="7"/>
      <c r="B32334" s="7"/>
      <c r="M32334" s="9" t="s">
        <v>20</v>
      </c>
    </row>
    <row r="32335" ht="15.75" customHeight="1">
      <c r="A32335" s="7"/>
      <c r="B32335" s="7"/>
      <c r="M32335" s="9" t="s">
        <v>24</v>
      </c>
    </row>
    <row r="32336" ht="15.75" customHeight="1">
      <c r="A32336" s="7"/>
      <c r="B32336" s="7"/>
      <c r="M32336" s="9" t="s">
        <v>21</v>
      </c>
    </row>
    <row r="32337" ht="15.75" customHeight="1">
      <c r="A32337" s="7"/>
      <c r="B32337" s="7"/>
      <c r="M32337" s="9" t="s">
        <v>22</v>
      </c>
    </row>
    <row r="32338" ht="15.75" customHeight="1">
      <c r="A32338" s="7"/>
      <c r="B32338" s="7"/>
      <c r="M32338" s="9" t="s">
        <v>24</v>
      </c>
    </row>
    <row r="32339" ht="15.75" customHeight="1">
      <c r="A32339" s="7"/>
      <c r="B32339" s="7"/>
      <c r="M32339" s="9" t="s">
        <v>21</v>
      </c>
    </row>
    <row r="32340" ht="15.75" customHeight="1">
      <c r="A32340" s="7"/>
      <c r="B32340" s="7"/>
      <c r="M32340" s="9" t="s">
        <v>37</v>
      </c>
    </row>
    <row r="32341" ht="15.75" customHeight="1">
      <c r="A32341" s="7"/>
      <c r="B32341" s="7"/>
      <c r="M32341" s="9" t="s">
        <v>27</v>
      </c>
    </row>
    <row r="32342" ht="15.75" customHeight="1">
      <c r="A32342" s="7"/>
      <c r="B32342" s="7"/>
      <c r="M32342" s="9" t="s">
        <v>26</v>
      </c>
    </row>
    <row r="32343" ht="15.75" customHeight="1">
      <c r="A32343" s="7"/>
      <c r="B32343" s="7"/>
      <c r="M32343" s="9" t="s">
        <v>24</v>
      </c>
    </row>
    <row r="32344" ht="15.75" customHeight="1">
      <c r="A32344" s="7"/>
      <c r="B32344" s="7"/>
      <c r="M32344" s="9" t="s">
        <v>20</v>
      </c>
    </row>
    <row r="32345" ht="15.75" customHeight="1">
      <c r="A32345" s="7"/>
      <c r="B32345" s="7"/>
      <c r="M32345" s="9" t="s">
        <v>21</v>
      </c>
    </row>
    <row r="32346" ht="15.75" customHeight="1">
      <c r="A32346" s="7"/>
      <c r="B32346" s="7"/>
      <c r="M32346" s="9" t="s">
        <v>39</v>
      </c>
    </row>
    <row r="32347" ht="15.75" customHeight="1">
      <c r="A32347" s="7"/>
      <c r="B32347" s="7"/>
      <c r="M32347" s="9" t="s">
        <v>22</v>
      </c>
    </row>
    <row r="32348" ht="15.75" customHeight="1">
      <c r="A32348" s="7"/>
      <c r="B32348" s="7"/>
      <c r="M32348" s="9" t="s">
        <v>46</v>
      </c>
    </row>
    <row r="32349" ht="15.75" customHeight="1">
      <c r="A32349" s="7"/>
      <c r="B32349" s="7"/>
      <c r="M32349" s="9" t="s">
        <v>27</v>
      </c>
    </row>
    <row r="32350" ht="15.75" customHeight="1">
      <c r="A32350" s="7"/>
      <c r="B32350" s="7"/>
      <c r="M32350" s="9" t="s">
        <v>26</v>
      </c>
    </row>
    <row r="32351" ht="15.75" customHeight="1">
      <c r="A32351" s="7"/>
      <c r="B32351" s="7"/>
      <c r="M32351" s="9" t="s">
        <v>24</v>
      </c>
    </row>
    <row r="32352" ht="15.75" customHeight="1">
      <c r="A32352" s="7"/>
      <c r="B32352" s="7"/>
      <c r="M32352" s="9" t="s">
        <v>20</v>
      </c>
    </row>
    <row r="32353" ht="15.75" customHeight="1">
      <c r="A32353" s="7"/>
      <c r="B32353" s="7"/>
      <c r="M32353" s="9" t="s">
        <v>21</v>
      </c>
    </row>
    <row r="32354" ht="15.75" customHeight="1">
      <c r="A32354" s="7"/>
      <c r="B32354" s="7"/>
      <c r="M32354" s="9" t="s">
        <v>22</v>
      </c>
    </row>
    <row r="32355" ht="15.75" customHeight="1">
      <c r="A32355" s="7"/>
      <c r="B32355" s="7"/>
      <c r="M32355" s="9" t="s">
        <v>27</v>
      </c>
    </row>
    <row r="32356" ht="15.75" customHeight="1">
      <c r="A32356" s="7"/>
      <c r="B32356" s="7"/>
      <c r="M32356" s="9" t="s">
        <v>24</v>
      </c>
    </row>
    <row r="32357" ht="15.75" customHeight="1">
      <c r="A32357" s="7"/>
      <c r="B32357" s="7"/>
      <c r="M32357" s="9" t="s">
        <v>20</v>
      </c>
    </row>
    <row r="32358" ht="15.75" customHeight="1">
      <c r="A32358" s="7"/>
      <c r="B32358" s="7"/>
      <c r="M32358" s="9" t="s">
        <v>21</v>
      </c>
    </row>
    <row r="32359" ht="15.75" customHeight="1">
      <c r="A32359" s="7"/>
      <c r="B32359" s="7"/>
      <c r="M32359" s="9" t="s">
        <v>27</v>
      </c>
    </row>
    <row r="32360" ht="15.75" customHeight="1">
      <c r="A32360" s="7"/>
      <c r="B32360" s="7"/>
      <c r="M32360" s="9" t="s">
        <v>21</v>
      </c>
    </row>
    <row r="32361" ht="15.75" customHeight="1">
      <c r="A32361" s="7"/>
      <c r="B32361" s="7"/>
      <c r="M32361" s="9" t="s">
        <v>27</v>
      </c>
    </row>
    <row r="32362" ht="15.75" customHeight="1">
      <c r="A32362" s="7"/>
      <c r="B32362" s="7"/>
      <c r="M32362" s="9" t="s">
        <v>33</v>
      </c>
    </row>
    <row r="32363" ht="15.75" customHeight="1">
      <c r="A32363" s="7"/>
      <c r="B32363" s="7"/>
      <c r="M32363" s="9" t="s">
        <v>24</v>
      </c>
    </row>
    <row r="32364" ht="15.75" customHeight="1">
      <c r="A32364" s="7"/>
      <c r="B32364" s="7"/>
      <c r="M32364" s="9" t="s">
        <v>21</v>
      </c>
    </row>
    <row r="32365" ht="15.75" customHeight="1">
      <c r="A32365" s="7"/>
      <c r="B32365" s="7"/>
      <c r="M32365" s="9" t="s">
        <v>37</v>
      </c>
    </row>
    <row r="32366" ht="15.75" customHeight="1">
      <c r="A32366" s="7"/>
      <c r="B32366" s="7"/>
      <c r="M32366" s="9" t="s">
        <v>30</v>
      </c>
    </row>
    <row r="32367" ht="15.75" customHeight="1">
      <c r="A32367" s="7"/>
      <c r="B32367" s="7"/>
      <c r="M32367" s="9" t="s">
        <v>26</v>
      </c>
    </row>
    <row r="32368" ht="15.75" customHeight="1">
      <c r="A32368" s="7"/>
      <c r="B32368" s="7"/>
      <c r="M32368" s="9" t="s">
        <v>24</v>
      </c>
    </row>
    <row r="32369" ht="15.75" customHeight="1">
      <c r="A32369" s="7"/>
      <c r="B32369" s="7"/>
      <c r="M32369" s="9" t="s">
        <v>20</v>
      </c>
    </row>
    <row r="32370" ht="15.75" customHeight="1">
      <c r="A32370" s="7"/>
      <c r="B32370" s="7"/>
      <c r="M32370" s="9" t="s">
        <v>21</v>
      </c>
    </row>
    <row r="32371" ht="15.75" customHeight="1">
      <c r="A32371" s="7"/>
      <c r="B32371" s="7"/>
      <c r="M32371" s="9" t="s">
        <v>37</v>
      </c>
    </row>
    <row r="32372" ht="15.75" customHeight="1">
      <c r="A32372" s="7"/>
      <c r="B32372" s="7"/>
      <c r="M32372" s="9" t="s">
        <v>46</v>
      </c>
    </row>
    <row r="32373" ht="15.75" customHeight="1">
      <c r="A32373" s="7"/>
      <c r="B32373" s="7"/>
      <c r="M32373" s="9" t="s">
        <v>33</v>
      </c>
    </row>
    <row r="32374" ht="15.75" customHeight="1">
      <c r="A32374" s="7"/>
      <c r="B32374" s="7"/>
      <c r="M32374" s="9" t="s">
        <v>25</v>
      </c>
    </row>
    <row r="32375" ht="15.75" customHeight="1">
      <c r="A32375" s="7"/>
      <c r="B32375" s="7"/>
      <c r="M32375" s="9" t="s">
        <v>23</v>
      </c>
    </row>
    <row r="32376" ht="15.75" customHeight="1">
      <c r="A32376" s="7"/>
      <c r="B32376" s="7"/>
      <c r="M32376" s="9" t="s">
        <v>22</v>
      </c>
    </row>
    <row r="32377" ht="15.75" customHeight="1">
      <c r="A32377" s="7"/>
      <c r="B32377" s="7"/>
      <c r="M32377" s="9" t="s">
        <v>35</v>
      </c>
    </row>
    <row r="32378" ht="15.75" customHeight="1">
      <c r="A32378" s="7"/>
      <c r="B32378" s="7"/>
      <c r="M32378" s="9" t="s">
        <v>26</v>
      </c>
    </row>
    <row r="32379" ht="15.75" customHeight="1">
      <c r="A32379" s="7"/>
      <c r="B32379" s="7"/>
      <c r="M32379" s="9" t="s">
        <v>24</v>
      </c>
    </row>
    <row r="32380" ht="15.75" customHeight="1">
      <c r="A32380" s="7"/>
      <c r="B32380" s="7"/>
      <c r="M32380" s="9" t="s">
        <v>20</v>
      </c>
    </row>
    <row r="32381" ht="15.75" customHeight="1">
      <c r="A32381" s="7"/>
      <c r="B32381" s="7"/>
      <c r="M32381" s="9" t="s">
        <v>21</v>
      </c>
    </row>
    <row r="32382" ht="15.75" customHeight="1">
      <c r="A32382" s="7"/>
      <c r="B32382" s="7"/>
      <c r="M32382" s="9" t="s">
        <v>37</v>
      </c>
    </row>
    <row r="32383" ht="15.75" customHeight="1">
      <c r="A32383" s="7"/>
      <c r="B32383" s="7"/>
      <c r="M32383" s="9" t="s">
        <v>22</v>
      </c>
    </row>
    <row r="32384" ht="15.75" customHeight="1">
      <c r="A32384" s="7"/>
      <c r="B32384" s="7"/>
      <c r="M32384" s="9" t="s">
        <v>27</v>
      </c>
    </row>
    <row r="32385" ht="15.75" customHeight="1">
      <c r="A32385" s="7"/>
      <c r="B32385" s="7"/>
      <c r="M32385" s="9" t="s">
        <v>30</v>
      </c>
    </row>
    <row r="32386" ht="15.75" customHeight="1">
      <c r="A32386" s="7"/>
      <c r="B32386" s="7"/>
      <c r="M32386" s="9" t="s">
        <v>25</v>
      </c>
    </row>
    <row r="32387" ht="15.75" customHeight="1">
      <c r="A32387" s="7"/>
      <c r="B32387" s="7"/>
      <c r="M32387" s="9" t="s">
        <v>23</v>
      </c>
    </row>
    <row r="32388" ht="15.75" customHeight="1">
      <c r="A32388" s="7"/>
      <c r="B32388" s="7"/>
      <c r="M32388" s="9" t="s">
        <v>24</v>
      </c>
    </row>
    <row r="32389" ht="15.75" customHeight="1">
      <c r="A32389" s="7"/>
      <c r="B32389" s="7"/>
      <c r="M32389" s="9" t="s">
        <v>22</v>
      </c>
    </row>
    <row r="32390" ht="15.75" customHeight="1">
      <c r="A32390" s="7"/>
      <c r="B32390" s="7"/>
      <c r="M32390" s="9" t="s">
        <v>27</v>
      </c>
    </row>
    <row r="32391" ht="15.75" customHeight="1">
      <c r="A32391" s="7"/>
      <c r="B32391" s="7"/>
      <c r="M32391" s="9" t="s">
        <v>24</v>
      </c>
    </row>
    <row r="32392" ht="15.75" customHeight="1">
      <c r="A32392" s="7"/>
      <c r="B32392" s="7"/>
      <c r="M32392" s="9" t="s">
        <v>20</v>
      </c>
    </row>
    <row r="32393" ht="15.75" customHeight="1">
      <c r="A32393" s="7"/>
      <c r="B32393" s="7"/>
      <c r="M32393" s="9" t="s">
        <v>37</v>
      </c>
    </row>
    <row r="32394" ht="15.75" customHeight="1">
      <c r="A32394" s="7"/>
      <c r="B32394" s="7"/>
      <c r="M32394" s="9" t="s">
        <v>27</v>
      </c>
    </row>
    <row r="32395" ht="15.75" customHeight="1">
      <c r="A32395" s="7"/>
      <c r="B32395" s="7"/>
      <c r="M32395" s="9" t="s">
        <v>33</v>
      </c>
    </row>
    <row r="32396" ht="15.75" customHeight="1">
      <c r="A32396" s="7"/>
      <c r="B32396" s="7"/>
      <c r="M32396" s="9" t="s">
        <v>20</v>
      </c>
    </row>
    <row r="32397" ht="15.75" customHeight="1">
      <c r="A32397" s="7"/>
      <c r="B32397" s="7"/>
      <c r="M32397" s="9" t="s">
        <v>21</v>
      </c>
    </row>
    <row r="32398" ht="15.75" customHeight="1">
      <c r="A32398" s="7"/>
      <c r="B32398" s="7"/>
      <c r="M32398" s="9" t="s">
        <v>39</v>
      </c>
    </row>
    <row r="32399" ht="15.75" customHeight="1">
      <c r="A32399" s="7"/>
      <c r="B32399" s="7"/>
      <c r="M32399" s="9" t="s">
        <v>27</v>
      </c>
    </row>
    <row r="32400" ht="15.75" customHeight="1">
      <c r="A32400" s="7"/>
      <c r="B32400" s="7"/>
      <c r="M32400" s="9" t="s">
        <v>30</v>
      </c>
    </row>
    <row r="32401" ht="15.75" customHeight="1">
      <c r="A32401" s="7"/>
      <c r="B32401" s="7"/>
      <c r="M32401" s="9" t="s">
        <v>20</v>
      </c>
    </row>
    <row r="32402" ht="15.75" customHeight="1">
      <c r="A32402" s="7"/>
      <c r="B32402" s="7"/>
      <c r="M32402" s="9" t="s">
        <v>21</v>
      </c>
    </row>
    <row r="32403" ht="15.75" customHeight="1">
      <c r="A32403" s="7"/>
      <c r="B32403" s="7"/>
      <c r="M32403" s="9" t="s">
        <v>22</v>
      </c>
    </row>
    <row r="32404" ht="15.75" customHeight="1">
      <c r="A32404" s="7"/>
      <c r="B32404" s="7"/>
      <c r="M32404" s="9" t="s">
        <v>35</v>
      </c>
    </row>
    <row r="32405" ht="15.75" customHeight="1">
      <c r="A32405" s="7"/>
      <c r="B32405" s="7"/>
      <c r="M32405" s="9" t="s">
        <v>26</v>
      </c>
    </row>
    <row r="32406" ht="15.75" customHeight="1">
      <c r="A32406" s="7"/>
      <c r="B32406" s="7"/>
      <c r="M32406" s="9" t="s">
        <v>24</v>
      </c>
    </row>
    <row r="32407" ht="15.75" customHeight="1">
      <c r="A32407" s="7"/>
      <c r="B32407" s="7"/>
      <c r="M32407" s="9" t="s">
        <v>21</v>
      </c>
    </row>
    <row r="32408" ht="15.75" customHeight="1">
      <c r="A32408" s="7"/>
      <c r="B32408" s="7"/>
      <c r="M32408" s="9" t="s">
        <v>27</v>
      </c>
    </row>
    <row r="32409" ht="15.75" customHeight="1">
      <c r="A32409" s="7"/>
      <c r="B32409" s="7"/>
      <c r="M32409" s="9" t="s">
        <v>33</v>
      </c>
    </row>
    <row r="32410" ht="15.75" customHeight="1">
      <c r="A32410" s="7"/>
      <c r="B32410" s="7"/>
      <c r="M32410" s="9" t="s">
        <v>30</v>
      </c>
    </row>
    <row r="32411" ht="15.75" customHeight="1">
      <c r="A32411" s="7"/>
      <c r="B32411" s="7"/>
      <c r="M32411" s="9" t="s">
        <v>24</v>
      </c>
    </row>
    <row r="32412" ht="15.75" customHeight="1">
      <c r="A32412" s="7"/>
      <c r="B32412" s="7"/>
      <c r="M32412" s="9" t="s">
        <v>21</v>
      </c>
    </row>
    <row r="32413" ht="15.75" customHeight="1">
      <c r="A32413" s="7"/>
      <c r="B32413" s="7"/>
      <c r="M32413" s="9" t="s">
        <v>27</v>
      </c>
    </row>
    <row r="32414" ht="15.75" customHeight="1">
      <c r="A32414" s="7"/>
      <c r="B32414" s="7"/>
      <c r="M32414" s="9" t="s">
        <v>35</v>
      </c>
    </row>
    <row r="32415" ht="15.75" customHeight="1">
      <c r="A32415" s="7"/>
      <c r="B32415" s="7"/>
      <c r="M32415" s="9" t="s">
        <v>30</v>
      </c>
    </row>
    <row r="32416" ht="15.75" customHeight="1">
      <c r="A32416" s="7"/>
      <c r="B32416" s="7"/>
      <c r="M32416" s="9" t="s">
        <v>24</v>
      </c>
    </row>
    <row r="32417" ht="15.75" customHeight="1">
      <c r="A32417" s="7"/>
      <c r="B32417" s="7"/>
      <c r="M32417" s="9" t="s">
        <v>21</v>
      </c>
    </row>
    <row r="32418" ht="15.75" customHeight="1">
      <c r="A32418" s="7"/>
      <c r="B32418" s="7"/>
      <c r="M32418" s="9" t="s">
        <v>37</v>
      </c>
    </row>
    <row r="32419" ht="15.75" customHeight="1">
      <c r="A32419" s="7"/>
      <c r="B32419" s="7"/>
      <c r="M32419" s="9" t="s">
        <v>22</v>
      </c>
    </row>
    <row r="32420" ht="15.75" customHeight="1">
      <c r="A32420" s="7"/>
      <c r="B32420" s="7"/>
      <c r="M32420" s="9" t="s">
        <v>33</v>
      </c>
    </row>
    <row r="32421" ht="15.75" customHeight="1">
      <c r="A32421" s="7"/>
      <c r="B32421" s="7"/>
      <c r="M32421" s="9" t="s">
        <v>37</v>
      </c>
    </row>
    <row r="32422" ht="15.75" customHeight="1">
      <c r="A32422" s="7"/>
      <c r="B32422" s="7"/>
      <c r="M32422" s="9" t="s">
        <v>26</v>
      </c>
    </row>
    <row r="32423" ht="15.75" customHeight="1">
      <c r="A32423" s="7"/>
      <c r="B32423" s="7"/>
      <c r="M32423" s="9" t="s">
        <v>24</v>
      </c>
    </row>
    <row r="32424" ht="15.75" customHeight="1">
      <c r="A32424" s="7"/>
      <c r="B32424" s="7"/>
      <c r="M32424" s="9" t="s">
        <v>21</v>
      </c>
    </row>
    <row r="32425" ht="15.75" customHeight="1">
      <c r="A32425" s="7"/>
      <c r="B32425" s="7"/>
      <c r="M32425" s="9" t="s">
        <v>37</v>
      </c>
    </row>
    <row r="32426" ht="15.75" customHeight="1">
      <c r="A32426" s="7"/>
      <c r="B32426" s="7"/>
      <c r="M32426" s="9" t="s">
        <v>27</v>
      </c>
    </row>
    <row r="32427" ht="15.75" customHeight="1">
      <c r="A32427" s="7"/>
      <c r="B32427" s="7"/>
      <c r="M32427" s="9" t="s">
        <v>30</v>
      </c>
    </row>
    <row r="32428" ht="15.75" customHeight="1">
      <c r="A32428" s="7"/>
      <c r="B32428" s="7"/>
      <c r="M32428" s="9" t="s">
        <v>20</v>
      </c>
    </row>
    <row r="32429" ht="15.75" customHeight="1">
      <c r="A32429" s="7"/>
      <c r="B32429" s="7"/>
      <c r="M32429" s="9" t="s">
        <v>44</v>
      </c>
    </row>
    <row r="32430" ht="15.75" customHeight="1">
      <c r="A32430" s="7"/>
      <c r="B32430" s="7"/>
      <c r="M32430" s="9" t="s">
        <v>24</v>
      </c>
    </row>
    <row r="32431" ht="15.75" customHeight="1">
      <c r="A32431" s="7"/>
      <c r="B32431" s="7"/>
      <c r="M32431" s="9" t="s">
        <v>20</v>
      </c>
    </row>
    <row r="32432" ht="15.75" customHeight="1">
      <c r="A32432" s="7"/>
      <c r="B32432" s="7"/>
      <c r="M32432" s="9" t="s">
        <v>21</v>
      </c>
    </row>
    <row r="32433" ht="15.75" customHeight="1">
      <c r="A32433" s="7"/>
      <c r="B32433" s="7"/>
      <c r="M32433" s="9" t="s">
        <v>39</v>
      </c>
    </row>
    <row r="32434" ht="15.75" customHeight="1">
      <c r="A32434" s="7"/>
      <c r="B32434" s="7"/>
      <c r="M32434" s="9" t="s">
        <v>22</v>
      </c>
    </row>
    <row r="32435" ht="15.75" customHeight="1">
      <c r="A32435" s="7"/>
      <c r="B32435" s="7"/>
      <c r="M32435" s="9" t="s">
        <v>27</v>
      </c>
    </row>
    <row r="32436" ht="15.75" customHeight="1">
      <c r="A32436" s="7"/>
      <c r="B32436" s="7"/>
      <c r="M32436" s="9" t="s">
        <v>33</v>
      </c>
    </row>
    <row r="32437" ht="15.75" customHeight="1">
      <c r="A32437" s="7"/>
      <c r="B32437" s="7"/>
      <c r="M32437" s="9" t="s">
        <v>26</v>
      </c>
    </row>
    <row r="32438" ht="15.75" customHeight="1">
      <c r="A32438" s="7"/>
      <c r="B32438" s="7"/>
      <c r="M32438" s="9" t="s">
        <v>23</v>
      </c>
    </row>
    <row r="32439" ht="15.75" customHeight="1">
      <c r="A32439" s="7"/>
      <c r="B32439" s="7"/>
      <c r="M32439" s="9" t="s">
        <v>24</v>
      </c>
    </row>
    <row r="32440" ht="15.75" customHeight="1">
      <c r="A32440" s="7"/>
      <c r="B32440" s="7"/>
      <c r="M32440" s="9" t="s">
        <v>20</v>
      </c>
    </row>
    <row r="32441" ht="15.75" customHeight="1">
      <c r="A32441" s="7"/>
      <c r="B32441" s="7"/>
      <c r="M32441" s="9" t="s">
        <v>26</v>
      </c>
    </row>
    <row r="32442" ht="15.75" customHeight="1">
      <c r="A32442" s="7"/>
      <c r="B32442" s="7"/>
      <c r="M32442" s="9" t="s">
        <v>24</v>
      </c>
    </row>
    <row r="32443" ht="15.75" customHeight="1">
      <c r="A32443" s="7"/>
      <c r="B32443" s="7"/>
      <c r="M32443" s="9" t="s">
        <v>21</v>
      </c>
    </row>
    <row r="32444" ht="15.75" customHeight="1">
      <c r="A32444" s="7"/>
      <c r="B32444" s="7"/>
      <c r="M32444" s="9" t="s">
        <v>35</v>
      </c>
    </row>
    <row r="32445" ht="15.75" customHeight="1">
      <c r="A32445" s="7"/>
      <c r="B32445" s="7"/>
      <c r="M32445" s="9" t="s">
        <v>43</v>
      </c>
    </row>
    <row r="32446" ht="15.75" customHeight="1">
      <c r="A32446" s="7"/>
      <c r="B32446" s="7"/>
      <c r="M32446" s="9" t="s">
        <v>24</v>
      </c>
    </row>
    <row r="32447" ht="15.75" customHeight="1">
      <c r="A32447" s="7"/>
      <c r="B32447" s="7"/>
      <c r="M32447" s="9" t="s">
        <v>20</v>
      </c>
    </row>
    <row r="32448" ht="15.75" customHeight="1">
      <c r="A32448" s="7"/>
      <c r="B32448" s="7"/>
      <c r="M32448" s="9" t="s">
        <v>21</v>
      </c>
    </row>
    <row r="32449" ht="15.75" customHeight="1">
      <c r="A32449" s="7"/>
      <c r="B32449" s="7"/>
      <c r="M32449" s="9" t="s">
        <v>22</v>
      </c>
    </row>
    <row r="32450" ht="15.75" customHeight="1">
      <c r="A32450" s="7"/>
      <c r="B32450" s="7"/>
      <c r="M32450" s="9" t="s">
        <v>27</v>
      </c>
    </row>
    <row r="32451" ht="15.75" customHeight="1">
      <c r="A32451" s="7"/>
      <c r="B32451" s="7"/>
      <c r="M32451" s="9" t="s">
        <v>30</v>
      </c>
    </row>
    <row r="32452" ht="15.75" customHeight="1">
      <c r="A32452" s="7"/>
      <c r="B32452" s="7"/>
      <c r="M32452" s="9" t="s">
        <v>22</v>
      </c>
    </row>
    <row r="32453" ht="15.75" customHeight="1">
      <c r="A32453" s="7"/>
      <c r="B32453" s="7"/>
      <c r="M32453" s="9" t="s">
        <v>24</v>
      </c>
    </row>
    <row r="32454" ht="15.75" customHeight="1">
      <c r="A32454" s="7"/>
      <c r="B32454" s="7"/>
      <c r="M32454" s="9" t="s">
        <v>20</v>
      </c>
    </row>
    <row r="32455" ht="15.75" customHeight="1">
      <c r="A32455" s="7"/>
      <c r="B32455" s="7"/>
      <c r="M32455" s="9" t="s">
        <v>21</v>
      </c>
    </row>
    <row r="32456" ht="15.75" customHeight="1">
      <c r="A32456" s="7"/>
      <c r="B32456" s="7"/>
      <c r="M32456" s="9" t="s">
        <v>41</v>
      </c>
    </row>
    <row r="32457" ht="15.75" customHeight="1">
      <c r="A32457" s="7"/>
      <c r="B32457" s="7"/>
      <c r="M32457" s="9" t="s">
        <v>37</v>
      </c>
    </row>
    <row r="32458" ht="15.75" customHeight="1">
      <c r="A32458" s="7"/>
      <c r="B32458" s="7"/>
      <c r="M32458" s="9" t="s">
        <v>22</v>
      </c>
    </row>
    <row r="32459" ht="15.75" customHeight="1">
      <c r="A32459" s="7"/>
      <c r="B32459" s="7"/>
      <c r="M32459" s="9" t="s">
        <v>27</v>
      </c>
    </row>
    <row r="32460" ht="15.75" customHeight="1">
      <c r="A32460" s="7"/>
      <c r="B32460" s="7"/>
      <c r="M32460" s="9" t="s">
        <v>40</v>
      </c>
    </row>
    <row r="32461" ht="15.75" customHeight="1">
      <c r="A32461" s="7"/>
      <c r="B32461" s="7"/>
      <c r="M32461" s="9" t="s">
        <v>30</v>
      </c>
    </row>
    <row r="32462" ht="15.75" customHeight="1">
      <c r="A32462" s="7"/>
      <c r="B32462" s="7"/>
      <c r="M32462" s="9" t="s">
        <v>25</v>
      </c>
    </row>
    <row r="32463" ht="15.75" customHeight="1">
      <c r="A32463" s="7"/>
      <c r="B32463" s="7"/>
      <c r="M32463" s="9" t="s">
        <v>23</v>
      </c>
    </row>
    <row r="32464" ht="15.75" customHeight="1">
      <c r="A32464" s="7"/>
      <c r="B32464" s="7"/>
      <c r="M32464" s="9" t="s">
        <v>20</v>
      </c>
    </row>
    <row r="32465" ht="15.75" customHeight="1">
      <c r="A32465" s="7"/>
      <c r="B32465" s="7"/>
      <c r="M32465" s="9" t="s">
        <v>21</v>
      </c>
    </row>
    <row r="32466" ht="15.75" customHeight="1">
      <c r="A32466" s="7"/>
      <c r="B32466" s="7"/>
      <c r="M32466" s="9" t="s">
        <v>22</v>
      </c>
    </row>
    <row r="32467" ht="15.75" customHeight="1">
      <c r="A32467" s="7"/>
      <c r="B32467" s="7"/>
      <c r="M32467" s="9" t="s">
        <v>25</v>
      </c>
    </row>
    <row r="32468" ht="15.75" customHeight="1">
      <c r="A32468" s="7"/>
      <c r="B32468" s="7"/>
      <c r="M32468" s="9" t="s">
        <v>23</v>
      </c>
    </row>
    <row r="32469" ht="15.75" customHeight="1">
      <c r="A32469" s="7"/>
      <c r="B32469" s="7"/>
      <c r="M32469" s="9" t="s">
        <v>37</v>
      </c>
    </row>
    <row r="32470" ht="15.75" customHeight="1">
      <c r="A32470" s="7"/>
      <c r="B32470" s="7"/>
      <c r="M32470" s="9" t="s">
        <v>22</v>
      </c>
    </row>
    <row r="32471" ht="15.75" customHeight="1">
      <c r="A32471" s="7"/>
      <c r="B32471" s="7"/>
      <c r="M32471" s="9" t="s">
        <v>20</v>
      </c>
    </row>
    <row r="32472" ht="15.75" customHeight="1">
      <c r="A32472" s="7"/>
      <c r="B32472" s="7"/>
      <c r="M32472" s="9" t="s">
        <v>39</v>
      </c>
    </row>
    <row r="32473" ht="15.75" customHeight="1">
      <c r="A32473" s="7"/>
      <c r="B32473" s="7"/>
      <c r="M32473" s="9" t="s">
        <v>27</v>
      </c>
    </row>
    <row r="32474" ht="15.75" customHeight="1">
      <c r="A32474" s="7"/>
      <c r="B32474" s="7"/>
      <c r="M32474" s="9" t="s">
        <v>30</v>
      </c>
    </row>
    <row r="32475" ht="15.75" customHeight="1">
      <c r="A32475" s="7"/>
      <c r="B32475" s="7"/>
      <c r="M32475" s="9" t="s">
        <v>25</v>
      </c>
    </row>
    <row r="32476" ht="15.75" customHeight="1">
      <c r="A32476" s="7"/>
      <c r="B32476" s="7"/>
      <c r="M32476" s="9" t="s">
        <v>23</v>
      </c>
    </row>
    <row r="32477" ht="15.75" customHeight="1">
      <c r="A32477" s="7"/>
      <c r="B32477" s="7"/>
      <c r="M32477" s="9" t="s">
        <v>20</v>
      </c>
    </row>
    <row r="32478" ht="15.75" customHeight="1">
      <c r="A32478" s="7"/>
      <c r="B32478" s="7"/>
      <c r="M32478" s="9" t="s">
        <v>22</v>
      </c>
    </row>
    <row r="32479" ht="15.75" customHeight="1">
      <c r="A32479" s="7"/>
      <c r="B32479" s="7"/>
      <c r="M32479" s="9" t="s">
        <v>24</v>
      </c>
    </row>
    <row r="32480" ht="15.75" customHeight="1">
      <c r="A32480" s="7"/>
      <c r="B32480" s="7"/>
      <c r="M32480" s="9" t="s">
        <v>21</v>
      </c>
    </row>
    <row r="32481" ht="15.75" customHeight="1">
      <c r="A32481" s="7"/>
      <c r="B32481" s="7"/>
      <c r="M32481" s="9" t="s">
        <v>37</v>
      </c>
    </row>
    <row r="32482" ht="15.75" customHeight="1">
      <c r="A32482" s="7"/>
      <c r="B32482" s="7"/>
      <c r="M32482" s="9" t="s">
        <v>27</v>
      </c>
    </row>
    <row r="32483" ht="15.75" customHeight="1">
      <c r="A32483" s="7"/>
      <c r="B32483" s="7"/>
      <c r="M32483" s="9" t="s">
        <v>24</v>
      </c>
    </row>
    <row r="32484" ht="15.75" customHeight="1">
      <c r="A32484" s="7"/>
      <c r="B32484" s="7"/>
      <c r="M32484" s="9" t="s">
        <v>20</v>
      </c>
    </row>
    <row r="32485" ht="15.75" customHeight="1">
      <c r="A32485" s="7"/>
      <c r="B32485" s="7"/>
      <c r="M32485" s="9" t="s">
        <v>21</v>
      </c>
    </row>
    <row r="32486" ht="15.75" customHeight="1">
      <c r="A32486" s="7"/>
      <c r="B32486" s="7"/>
      <c r="M32486" s="9" t="s">
        <v>37</v>
      </c>
    </row>
    <row r="32487" ht="15.75" customHeight="1">
      <c r="A32487" s="7"/>
      <c r="B32487" s="7"/>
      <c r="M32487" s="9" t="s">
        <v>31</v>
      </c>
    </row>
    <row r="32488" ht="15.75" customHeight="1">
      <c r="A32488" s="7"/>
      <c r="B32488" s="7"/>
      <c r="M32488" s="9" t="s">
        <v>27</v>
      </c>
    </row>
    <row r="32489" ht="15.75" customHeight="1">
      <c r="A32489" s="7"/>
      <c r="B32489" s="7"/>
      <c r="M32489" s="9" t="s">
        <v>37</v>
      </c>
    </row>
    <row r="32490" ht="15.75" customHeight="1">
      <c r="A32490" s="7"/>
      <c r="B32490" s="7"/>
      <c r="M32490" s="9" t="s">
        <v>27</v>
      </c>
    </row>
    <row r="32491" ht="15.75" customHeight="1">
      <c r="A32491" s="7"/>
      <c r="B32491" s="7"/>
      <c r="M32491" s="9" t="s">
        <v>35</v>
      </c>
    </row>
    <row r="32492" ht="15.75" customHeight="1">
      <c r="A32492" s="7"/>
      <c r="B32492" s="7"/>
      <c r="M32492" s="9" t="s">
        <v>30</v>
      </c>
    </row>
    <row r="32493" ht="15.75" customHeight="1">
      <c r="A32493" s="7"/>
      <c r="B32493" s="7"/>
      <c r="M32493" s="9" t="s">
        <v>26</v>
      </c>
    </row>
    <row r="32494" ht="15.75" customHeight="1">
      <c r="A32494" s="7"/>
      <c r="B32494" s="7"/>
      <c r="M32494" s="9" t="s">
        <v>24</v>
      </c>
    </row>
    <row r="32495" ht="15.75" customHeight="1">
      <c r="A32495" s="7"/>
      <c r="B32495" s="7"/>
      <c r="M32495" s="9" t="s">
        <v>21</v>
      </c>
    </row>
    <row r="32496" ht="15.75" customHeight="1">
      <c r="A32496" s="7"/>
      <c r="B32496" s="7"/>
      <c r="M32496" s="9" t="s">
        <v>22</v>
      </c>
    </row>
    <row r="32497" ht="15.75" customHeight="1">
      <c r="A32497" s="7"/>
      <c r="B32497" s="7"/>
      <c r="M32497" s="9" t="s">
        <v>27</v>
      </c>
    </row>
    <row r="32498" ht="15.75" customHeight="1">
      <c r="A32498" s="7"/>
      <c r="B32498" s="7"/>
      <c r="M32498" s="9" t="s">
        <v>33</v>
      </c>
    </row>
    <row r="32499" ht="15.75" customHeight="1">
      <c r="A32499" s="7"/>
      <c r="B32499" s="7"/>
      <c r="M32499" s="9" t="s">
        <v>38</v>
      </c>
    </row>
    <row r="32500" ht="15.75" customHeight="1">
      <c r="A32500" s="7"/>
      <c r="B32500" s="7"/>
      <c r="M32500" s="9" t="s">
        <v>30</v>
      </c>
    </row>
    <row r="32501" ht="15.75" customHeight="1">
      <c r="A32501" s="7"/>
      <c r="B32501" s="7"/>
      <c r="M32501" s="9" t="s">
        <v>25</v>
      </c>
    </row>
    <row r="32502" ht="15.75" customHeight="1">
      <c r="A32502" s="7"/>
      <c r="B32502" s="7"/>
      <c r="M32502" s="9" t="s">
        <v>24</v>
      </c>
    </row>
    <row r="32503" ht="15.75" customHeight="1">
      <c r="A32503" s="7"/>
      <c r="B32503" s="7"/>
      <c r="M32503" s="9" t="s">
        <v>20</v>
      </c>
    </row>
    <row r="32504" ht="15.75" customHeight="1">
      <c r="A32504" s="7"/>
      <c r="B32504" s="7"/>
      <c r="M32504" s="9" t="s">
        <v>21</v>
      </c>
    </row>
    <row r="32505" ht="15.75" customHeight="1">
      <c r="A32505" s="7"/>
      <c r="B32505" s="7"/>
      <c r="M32505" s="9" t="s">
        <v>37</v>
      </c>
    </row>
    <row r="32506" ht="15.75" customHeight="1">
      <c r="A32506" s="7"/>
      <c r="B32506" s="7"/>
      <c r="M32506" s="9" t="s">
        <v>29</v>
      </c>
    </row>
    <row r="32507" ht="15.75" customHeight="1">
      <c r="A32507" s="7"/>
      <c r="B32507" s="7"/>
      <c r="M32507" s="9" t="s">
        <v>27</v>
      </c>
    </row>
    <row r="32508" ht="15.75" customHeight="1">
      <c r="A32508" s="7"/>
      <c r="B32508" s="7"/>
      <c r="M32508" s="9" t="s">
        <v>28</v>
      </c>
    </row>
    <row r="32509" ht="15.75" customHeight="1">
      <c r="A32509" s="7"/>
      <c r="B32509" s="7"/>
      <c r="M32509" s="9" t="s">
        <v>30</v>
      </c>
    </row>
    <row r="32510" ht="15.75" customHeight="1">
      <c r="A32510" s="7"/>
      <c r="B32510" s="7"/>
      <c r="M32510" s="9" t="s">
        <v>26</v>
      </c>
    </row>
    <row r="32511" ht="15.75" customHeight="1">
      <c r="A32511" s="7"/>
      <c r="B32511" s="7"/>
      <c r="M32511" s="9" t="s">
        <v>24</v>
      </c>
    </row>
    <row r="32512" ht="15.75" customHeight="1">
      <c r="A32512" s="7"/>
      <c r="B32512" s="7"/>
      <c r="M32512" s="9" t="s">
        <v>21</v>
      </c>
    </row>
    <row r="32513" ht="15.75" customHeight="1">
      <c r="A32513" s="7"/>
      <c r="B32513" s="7"/>
      <c r="M32513" s="9" t="s">
        <v>27</v>
      </c>
    </row>
    <row r="32514" ht="15.75" customHeight="1">
      <c r="A32514" s="7"/>
      <c r="B32514" s="7"/>
      <c r="M32514" s="9" t="s">
        <v>33</v>
      </c>
    </row>
    <row r="32515" ht="15.75" customHeight="1">
      <c r="A32515" s="7"/>
      <c r="B32515" s="7"/>
      <c r="M32515" s="9" t="s">
        <v>24</v>
      </c>
    </row>
    <row r="32516" ht="15.75" customHeight="1">
      <c r="A32516" s="7"/>
      <c r="B32516" s="7"/>
      <c r="M32516" s="9" t="s">
        <v>21</v>
      </c>
    </row>
    <row r="32517" ht="15.75" customHeight="1">
      <c r="A32517" s="7"/>
      <c r="B32517" s="7"/>
      <c r="M32517" s="9" t="s">
        <v>37</v>
      </c>
    </row>
    <row r="32518" ht="15.75" customHeight="1">
      <c r="A32518" s="7"/>
      <c r="B32518" s="7"/>
      <c r="M32518" s="9" t="s">
        <v>31</v>
      </c>
    </row>
    <row r="32519" ht="15.75" customHeight="1">
      <c r="A32519" s="7"/>
      <c r="B32519" s="7"/>
      <c r="M32519" s="9" t="s">
        <v>27</v>
      </c>
    </row>
    <row r="32520" ht="15.75" customHeight="1">
      <c r="A32520" s="7"/>
      <c r="B32520" s="7"/>
      <c r="M32520" s="9" t="s">
        <v>30</v>
      </c>
    </row>
    <row r="32521" ht="15.75" customHeight="1">
      <c r="A32521" s="7"/>
      <c r="B32521" s="7"/>
      <c r="M32521" s="9" t="s">
        <v>36</v>
      </c>
    </row>
    <row r="32522" ht="15.75" customHeight="1">
      <c r="A32522" s="7"/>
      <c r="B32522" s="7"/>
      <c r="M32522" s="9" t="s">
        <v>24</v>
      </c>
    </row>
    <row r="32523" ht="15.75" customHeight="1">
      <c r="A32523" s="7"/>
      <c r="B32523" s="7"/>
      <c r="M32523" s="9" t="s">
        <v>21</v>
      </c>
    </row>
    <row r="32524" ht="15.75" customHeight="1">
      <c r="A32524" s="7"/>
      <c r="B32524" s="7"/>
      <c r="M32524" s="9" t="s">
        <v>22</v>
      </c>
    </row>
    <row r="32525" ht="15.75" customHeight="1">
      <c r="A32525" s="7"/>
      <c r="B32525" s="7"/>
      <c r="M32525" s="9" t="s">
        <v>33</v>
      </c>
    </row>
    <row r="32526" ht="15.75" customHeight="1">
      <c r="A32526" s="7"/>
      <c r="B32526" s="7"/>
      <c r="M32526" s="9" t="s">
        <v>24</v>
      </c>
    </row>
    <row r="32527" ht="15.75" customHeight="1">
      <c r="A32527" s="7"/>
      <c r="B32527" s="7"/>
      <c r="M32527" s="9" t="s">
        <v>20</v>
      </c>
    </row>
    <row r="32528" ht="15.75" customHeight="1">
      <c r="A32528" s="7"/>
      <c r="B32528" s="7"/>
      <c r="M32528" s="9" t="s">
        <v>21</v>
      </c>
    </row>
    <row r="32529" ht="15.75" customHeight="1">
      <c r="A32529" s="7"/>
      <c r="B32529" s="7"/>
      <c r="M32529" s="9" t="s">
        <v>37</v>
      </c>
    </row>
    <row r="32530" ht="15.75" customHeight="1">
      <c r="A32530" s="7"/>
      <c r="B32530" s="7"/>
      <c r="M32530" s="9" t="s">
        <v>27</v>
      </c>
    </row>
    <row r="32531" ht="15.75" customHeight="1">
      <c r="A32531" s="7"/>
      <c r="B32531" s="7"/>
      <c r="M32531" s="9" t="s">
        <v>33</v>
      </c>
    </row>
    <row r="32532" ht="15.75" customHeight="1">
      <c r="A32532" s="7"/>
      <c r="B32532" s="7"/>
      <c r="M32532" s="9" t="s">
        <v>23</v>
      </c>
    </row>
    <row r="32533" ht="15.75" customHeight="1">
      <c r="A32533" s="7"/>
      <c r="B32533" s="7"/>
      <c r="M32533" s="9" t="s">
        <v>20</v>
      </c>
    </row>
    <row r="32534" ht="15.75" customHeight="1">
      <c r="A32534" s="7"/>
      <c r="B32534" s="7"/>
      <c r="M32534" s="9" t="s">
        <v>37</v>
      </c>
    </row>
    <row r="32535" ht="15.75" customHeight="1">
      <c r="A32535" s="7"/>
      <c r="B32535" s="7"/>
      <c r="M32535" s="9" t="s">
        <v>30</v>
      </c>
    </row>
    <row r="32536" ht="15.75" customHeight="1">
      <c r="A32536" s="7"/>
      <c r="B32536" s="7"/>
      <c r="M32536" s="9" t="s">
        <v>24</v>
      </c>
    </row>
    <row r="32537" ht="15.75" customHeight="1">
      <c r="A32537" s="7"/>
      <c r="B32537" s="7"/>
      <c r="M32537" s="9" t="s">
        <v>20</v>
      </c>
    </row>
    <row r="32538" ht="15.75" customHeight="1">
      <c r="A32538" s="7"/>
      <c r="B32538" s="7"/>
      <c r="M32538" s="9" t="s">
        <v>21</v>
      </c>
    </row>
    <row r="32539" ht="15.75" customHeight="1">
      <c r="A32539" s="7"/>
      <c r="B32539" s="7"/>
      <c r="M32539" s="9" t="s">
        <v>27</v>
      </c>
    </row>
    <row r="32540" ht="15.75" customHeight="1">
      <c r="A32540" s="7"/>
      <c r="B32540" s="7"/>
      <c r="M32540" s="9" t="s">
        <v>25</v>
      </c>
    </row>
    <row r="32541" ht="15.75" customHeight="1">
      <c r="A32541" s="7"/>
      <c r="B32541" s="7"/>
      <c r="M32541" s="9" t="s">
        <v>23</v>
      </c>
    </row>
    <row r="32542" ht="15.75" customHeight="1">
      <c r="A32542" s="7"/>
      <c r="B32542" s="7"/>
      <c r="M32542" s="9" t="s">
        <v>26</v>
      </c>
    </row>
    <row r="32543" ht="15.75" customHeight="1">
      <c r="A32543" s="7"/>
      <c r="B32543" s="7"/>
      <c r="M32543" s="9" t="s">
        <v>24</v>
      </c>
    </row>
    <row r="32544" ht="15.75" customHeight="1">
      <c r="A32544" s="7"/>
      <c r="B32544" s="7"/>
      <c r="M32544" s="9" t="s">
        <v>21</v>
      </c>
    </row>
    <row r="32545" ht="15.75" customHeight="1">
      <c r="A32545" s="7"/>
      <c r="B32545" s="7"/>
      <c r="M32545" s="9" t="s">
        <v>33</v>
      </c>
    </row>
    <row r="32546" ht="15.75" customHeight="1">
      <c r="A32546" s="7"/>
      <c r="B32546" s="7"/>
      <c r="M32546" s="9" t="s">
        <v>26</v>
      </c>
    </row>
    <row r="32547" ht="15.75" customHeight="1">
      <c r="A32547" s="7"/>
      <c r="B32547" s="7"/>
      <c r="M32547" s="9" t="s">
        <v>24</v>
      </c>
    </row>
    <row r="32548" ht="15.75" customHeight="1">
      <c r="A32548" s="7"/>
      <c r="B32548" s="7"/>
      <c r="M32548" s="9" t="s">
        <v>21</v>
      </c>
    </row>
    <row r="32549" ht="15.75" customHeight="1">
      <c r="A32549" s="7"/>
      <c r="B32549" s="7"/>
      <c r="M32549" s="9" t="s">
        <v>27</v>
      </c>
    </row>
    <row r="32550" ht="15.75" customHeight="1">
      <c r="A32550" s="7"/>
      <c r="B32550" s="7"/>
      <c r="M32550" s="9" t="s">
        <v>35</v>
      </c>
    </row>
    <row r="32551" ht="15.75" customHeight="1">
      <c r="A32551" s="7"/>
      <c r="B32551" s="7"/>
      <c r="M32551" s="9" t="s">
        <v>30</v>
      </c>
    </row>
    <row r="32552" ht="15.75" customHeight="1">
      <c r="A32552" s="7"/>
      <c r="B32552" s="7"/>
      <c r="M32552" s="9" t="s">
        <v>26</v>
      </c>
    </row>
    <row r="32553" ht="15.75" customHeight="1">
      <c r="A32553" s="7"/>
      <c r="B32553" s="7"/>
      <c r="M32553" s="9" t="s">
        <v>24</v>
      </c>
    </row>
    <row r="32554" ht="15.75" customHeight="1">
      <c r="A32554" s="7"/>
      <c r="B32554" s="7"/>
      <c r="M32554" s="9" t="s">
        <v>21</v>
      </c>
    </row>
    <row r="32555" ht="15.75" customHeight="1">
      <c r="A32555" s="7"/>
      <c r="B32555" s="7"/>
      <c r="M32555" s="9" t="s">
        <v>22</v>
      </c>
    </row>
    <row r="32556" ht="15.75" customHeight="1">
      <c r="A32556" s="7"/>
      <c r="B32556" s="7"/>
      <c r="M32556" s="9" t="s">
        <v>40</v>
      </c>
    </row>
    <row r="32557" ht="15.75" customHeight="1">
      <c r="A32557" s="7"/>
      <c r="B32557" s="7"/>
      <c r="M32557" s="9" t="s">
        <v>30</v>
      </c>
    </row>
    <row r="32558" ht="15.75" customHeight="1">
      <c r="A32558" s="7"/>
      <c r="B32558" s="7"/>
      <c r="M32558" s="9" t="s">
        <v>24</v>
      </c>
    </row>
    <row r="32559" ht="15.75" customHeight="1">
      <c r="A32559" s="7"/>
      <c r="B32559" s="7"/>
      <c r="M32559" s="9" t="s">
        <v>21</v>
      </c>
    </row>
    <row r="32560" ht="15.75" customHeight="1">
      <c r="A32560" s="7"/>
      <c r="B32560" s="7"/>
      <c r="M32560" s="9" t="s">
        <v>22</v>
      </c>
    </row>
    <row r="32561" ht="15.75" customHeight="1">
      <c r="A32561" s="7"/>
      <c r="B32561" s="7"/>
      <c r="M32561" s="9" t="s">
        <v>27</v>
      </c>
    </row>
    <row r="32562" ht="15.75" customHeight="1">
      <c r="A32562" s="7"/>
      <c r="B32562" s="7"/>
      <c r="M32562" s="9" t="s">
        <v>30</v>
      </c>
    </row>
    <row r="32563" ht="15.75" customHeight="1">
      <c r="A32563" s="7"/>
      <c r="B32563" s="7"/>
      <c r="M32563" s="9" t="s">
        <v>21</v>
      </c>
    </row>
    <row r="32564" ht="15.75" customHeight="1">
      <c r="A32564" s="7"/>
      <c r="B32564" s="7"/>
      <c r="M32564" s="9" t="s">
        <v>37</v>
      </c>
    </row>
    <row r="32565" ht="15.75" customHeight="1">
      <c r="A32565" s="7"/>
      <c r="B32565" s="7"/>
      <c r="M32565" s="9" t="s">
        <v>27</v>
      </c>
    </row>
    <row r="32566" ht="15.75" customHeight="1">
      <c r="A32566" s="7"/>
      <c r="B32566" s="7"/>
      <c r="M32566" s="9" t="s">
        <v>30</v>
      </c>
    </row>
    <row r="32567" ht="15.75" customHeight="1">
      <c r="A32567" s="7"/>
      <c r="B32567" s="7"/>
      <c r="M32567" s="9" t="s">
        <v>47</v>
      </c>
    </row>
    <row r="32568" ht="15.75" customHeight="1">
      <c r="A32568" s="7"/>
      <c r="B32568" s="7"/>
      <c r="M32568" s="9" t="s">
        <v>24</v>
      </c>
    </row>
    <row r="32569" ht="15.75" customHeight="1">
      <c r="A32569" s="7"/>
      <c r="B32569" s="7"/>
      <c r="M32569" s="9" t="s">
        <v>20</v>
      </c>
    </row>
    <row r="32570" ht="15.75" customHeight="1">
      <c r="A32570" s="7"/>
      <c r="B32570" s="7"/>
      <c r="M32570" s="9" t="s">
        <v>21</v>
      </c>
    </row>
    <row r="32571" ht="15.75" customHeight="1">
      <c r="A32571" s="7"/>
      <c r="B32571" s="7"/>
      <c r="M32571" s="9" t="s">
        <v>37</v>
      </c>
    </row>
    <row r="32572" ht="15.75" customHeight="1">
      <c r="A32572" s="7"/>
      <c r="B32572" s="7"/>
      <c r="M32572" s="9" t="s">
        <v>22</v>
      </c>
    </row>
    <row r="32573" ht="15.75" customHeight="1">
      <c r="A32573" s="7"/>
      <c r="B32573" s="7"/>
      <c r="M32573" s="9" t="s">
        <v>27</v>
      </c>
    </row>
    <row r="32574" ht="15.75" customHeight="1">
      <c r="A32574" s="7"/>
      <c r="B32574" s="7"/>
      <c r="M32574" s="9" t="s">
        <v>33</v>
      </c>
    </row>
    <row r="32575" ht="15.75" customHeight="1">
      <c r="A32575" s="7"/>
      <c r="B32575" s="7"/>
      <c r="M32575" s="9" t="s">
        <v>22</v>
      </c>
    </row>
    <row r="32576" ht="15.75" customHeight="1">
      <c r="A32576" s="7"/>
      <c r="B32576" s="7"/>
      <c r="M32576" s="9" t="s">
        <v>28</v>
      </c>
    </row>
    <row r="32577" ht="15.75" customHeight="1">
      <c r="A32577" s="7"/>
      <c r="B32577" s="7"/>
      <c r="M32577" s="9" t="s">
        <v>26</v>
      </c>
    </row>
    <row r="32578" ht="15.75" customHeight="1">
      <c r="A32578" s="7"/>
      <c r="B32578" s="7"/>
      <c r="M32578" s="9" t="s">
        <v>45</v>
      </c>
    </row>
    <row r="32579" ht="15.75" customHeight="1">
      <c r="A32579" s="7"/>
      <c r="B32579" s="7"/>
      <c r="M32579" s="9" t="s">
        <v>22</v>
      </c>
    </row>
    <row r="32580" ht="15.75" customHeight="1">
      <c r="A32580" s="7"/>
      <c r="B32580" s="7"/>
      <c r="M32580" s="9" t="s">
        <v>30</v>
      </c>
    </row>
    <row r="32581" ht="15.75" customHeight="1">
      <c r="A32581" s="7"/>
      <c r="B32581" s="7"/>
      <c r="M32581" s="9" t="s">
        <v>25</v>
      </c>
    </row>
    <row r="32582" ht="15.75" customHeight="1">
      <c r="A32582" s="7"/>
      <c r="B32582" s="7"/>
      <c r="M32582" s="9" t="s">
        <v>23</v>
      </c>
    </row>
    <row r="32583" ht="15.75" customHeight="1">
      <c r="A32583" s="7"/>
      <c r="B32583" s="7"/>
      <c r="M32583" s="9" t="s">
        <v>36</v>
      </c>
    </row>
    <row r="32584" ht="15.75" customHeight="1">
      <c r="A32584" s="7"/>
      <c r="B32584" s="7"/>
      <c r="M32584" s="9" t="s">
        <v>22</v>
      </c>
    </row>
    <row r="32585" ht="15.75" customHeight="1">
      <c r="A32585" s="7"/>
      <c r="B32585" s="7"/>
      <c r="M32585" s="9" t="s">
        <v>30</v>
      </c>
    </row>
    <row r="32586" ht="15.75" customHeight="1">
      <c r="A32586" s="7"/>
      <c r="B32586" s="7"/>
      <c r="M32586" s="9" t="s">
        <v>25</v>
      </c>
    </row>
    <row r="32587" ht="15.75" customHeight="1">
      <c r="A32587" s="7"/>
      <c r="B32587" s="7"/>
      <c r="M32587" s="9" t="s">
        <v>24</v>
      </c>
    </row>
    <row r="32588" ht="15.75" customHeight="1">
      <c r="A32588" s="7"/>
      <c r="B32588" s="7"/>
      <c r="M32588" s="9" t="s">
        <v>20</v>
      </c>
    </row>
    <row r="32589" ht="15.75" customHeight="1">
      <c r="A32589" s="7"/>
      <c r="B32589" s="7"/>
      <c r="M32589" s="9" t="s">
        <v>21</v>
      </c>
    </row>
    <row r="32590" ht="15.75" customHeight="1">
      <c r="A32590" s="7"/>
      <c r="B32590" s="7"/>
      <c r="M32590" s="9" t="s">
        <v>37</v>
      </c>
    </row>
    <row r="32591" ht="15.75" customHeight="1">
      <c r="A32591" s="7"/>
      <c r="B32591" s="7"/>
      <c r="M32591" s="9" t="s">
        <v>38</v>
      </c>
    </row>
    <row r="32592" ht="15.75" customHeight="1">
      <c r="A32592" s="7"/>
      <c r="B32592" s="7"/>
      <c r="M32592" s="9" t="s">
        <v>30</v>
      </c>
    </row>
    <row r="32593" ht="15.75" customHeight="1">
      <c r="A32593" s="7"/>
      <c r="B32593" s="7"/>
      <c r="M32593" s="9" t="s">
        <v>25</v>
      </c>
    </row>
    <row r="32594" ht="15.75" customHeight="1">
      <c r="A32594" s="7"/>
      <c r="B32594" s="7"/>
      <c r="M32594" s="9" t="s">
        <v>24</v>
      </c>
    </row>
    <row r="32595" ht="15.75" customHeight="1">
      <c r="A32595" s="7"/>
      <c r="B32595" s="7"/>
      <c r="M32595" s="9" t="s">
        <v>20</v>
      </c>
    </row>
    <row r="32596" ht="15.75" customHeight="1">
      <c r="A32596" s="7"/>
      <c r="B32596" s="7"/>
      <c r="M32596" s="9" t="s">
        <v>21</v>
      </c>
    </row>
    <row r="32597" ht="15.75" customHeight="1">
      <c r="A32597" s="7"/>
      <c r="B32597" s="7"/>
      <c r="M32597" s="9" t="s">
        <v>33</v>
      </c>
    </row>
    <row r="32598" ht="15.75" customHeight="1">
      <c r="A32598" s="7"/>
      <c r="B32598" s="7"/>
      <c r="M32598" s="9" t="s">
        <v>30</v>
      </c>
    </row>
    <row r="32599" ht="15.75" customHeight="1">
      <c r="A32599" s="7"/>
      <c r="B32599" s="7"/>
      <c r="M32599" s="9" t="s">
        <v>36</v>
      </c>
    </row>
    <row r="32600" ht="15.75" customHeight="1">
      <c r="A32600" s="7"/>
      <c r="B32600" s="7"/>
      <c r="M32600" s="9" t="s">
        <v>20</v>
      </c>
    </row>
    <row r="32601" ht="15.75" customHeight="1">
      <c r="A32601" s="7"/>
      <c r="B32601" s="7"/>
      <c r="M32601" s="9" t="s">
        <v>22</v>
      </c>
    </row>
    <row r="32602" ht="15.75" customHeight="1">
      <c r="A32602" s="7"/>
      <c r="B32602" s="7"/>
      <c r="M32602" s="9" t="s">
        <v>27</v>
      </c>
    </row>
    <row r="32603" ht="15.75" customHeight="1">
      <c r="A32603" s="7"/>
      <c r="B32603" s="7"/>
      <c r="M32603" s="9" t="s">
        <v>30</v>
      </c>
    </row>
    <row r="32604" ht="15.75" customHeight="1">
      <c r="A32604" s="7"/>
      <c r="B32604" s="7"/>
      <c r="M32604" s="9" t="s">
        <v>24</v>
      </c>
    </row>
    <row r="32605" ht="15.75" customHeight="1">
      <c r="A32605" s="7"/>
      <c r="B32605" s="7"/>
      <c r="M32605" s="9" t="s">
        <v>21</v>
      </c>
    </row>
    <row r="32606" ht="15.75" customHeight="1">
      <c r="A32606" s="7"/>
      <c r="B32606" s="7"/>
      <c r="M32606" s="9" t="s">
        <v>27</v>
      </c>
    </row>
    <row r="32607" ht="15.75" customHeight="1">
      <c r="A32607" s="7"/>
      <c r="B32607" s="7"/>
      <c r="M32607" s="9" t="s">
        <v>33</v>
      </c>
    </row>
    <row r="32608" ht="15.75" customHeight="1">
      <c r="A32608" s="7"/>
      <c r="B32608" s="7"/>
      <c r="M32608" s="9" t="s">
        <v>26</v>
      </c>
    </row>
    <row r="32609" ht="15.75" customHeight="1">
      <c r="A32609" s="7"/>
      <c r="B32609" s="7"/>
      <c r="M32609" s="9" t="s">
        <v>22</v>
      </c>
    </row>
    <row r="32610" ht="15.75" customHeight="1">
      <c r="A32610" s="7"/>
      <c r="B32610" s="7"/>
      <c r="M32610" s="9" t="s">
        <v>33</v>
      </c>
    </row>
    <row r="32611" ht="15.75" customHeight="1">
      <c r="A32611" s="7"/>
      <c r="B32611" s="7"/>
      <c r="M32611" s="9" t="s">
        <v>24</v>
      </c>
    </row>
    <row r="32612" ht="15.75" customHeight="1">
      <c r="A32612" s="7"/>
      <c r="B32612" s="7"/>
      <c r="M32612" s="9" t="s">
        <v>20</v>
      </c>
    </row>
    <row r="32613" ht="15.75" customHeight="1">
      <c r="A32613" s="7"/>
      <c r="B32613" s="7"/>
      <c r="M32613" s="9" t="s">
        <v>21</v>
      </c>
    </row>
    <row r="32614" ht="15.75" customHeight="1">
      <c r="A32614" s="7"/>
      <c r="B32614" s="7"/>
      <c r="M32614" s="9" t="s">
        <v>27</v>
      </c>
    </row>
    <row r="32615" ht="15.75" customHeight="1">
      <c r="A32615" s="7"/>
      <c r="B32615" s="7"/>
      <c r="M32615" s="9" t="s">
        <v>33</v>
      </c>
    </row>
    <row r="32616" ht="15.75" customHeight="1">
      <c r="A32616" s="7"/>
      <c r="B32616" s="7"/>
      <c r="M32616" s="9" t="s">
        <v>24</v>
      </c>
    </row>
    <row r="32617" ht="15.75" customHeight="1">
      <c r="A32617" s="7"/>
      <c r="B32617" s="7"/>
      <c r="M32617" s="9" t="s">
        <v>20</v>
      </c>
    </row>
    <row r="32618" ht="15.75" customHeight="1">
      <c r="A32618" s="7"/>
      <c r="B32618" s="7"/>
      <c r="M32618" s="9" t="s">
        <v>21</v>
      </c>
    </row>
    <row r="32619" ht="15.75" customHeight="1">
      <c r="A32619" s="7"/>
      <c r="B32619" s="7"/>
      <c r="M32619" s="9" t="s">
        <v>37</v>
      </c>
    </row>
    <row r="32620" ht="15.75" customHeight="1">
      <c r="A32620" s="7"/>
      <c r="B32620" s="7"/>
      <c r="M32620" s="9" t="s">
        <v>27</v>
      </c>
    </row>
    <row r="32621" ht="15.75" customHeight="1">
      <c r="A32621" s="7"/>
      <c r="B32621" s="7"/>
      <c r="M32621" s="9" t="s">
        <v>33</v>
      </c>
    </row>
    <row r="32622" ht="15.75" customHeight="1">
      <c r="A32622" s="7"/>
      <c r="B32622" s="7"/>
      <c r="M32622" s="9" t="s">
        <v>44</v>
      </c>
    </row>
    <row r="32623" ht="15.75" customHeight="1">
      <c r="A32623" s="7"/>
      <c r="B32623" s="7"/>
      <c r="M32623" s="9" t="s">
        <v>20</v>
      </c>
    </row>
    <row r="32624" ht="15.75" customHeight="1">
      <c r="A32624" s="7"/>
      <c r="B32624" s="7"/>
      <c r="M32624" s="9" t="s">
        <v>38</v>
      </c>
    </row>
    <row r="32625" ht="15.75" customHeight="1">
      <c r="A32625" s="7"/>
      <c r="B32625" s="7"/>
      <c r="M32625" s="9" t="s">
        <v>25</v>
      </c>
    </row>
    <row r="32626" ht="15.75" customHeight="1">
      <c r="A32626" s="7"/>
      <c r="B32626" s="7"/>
      <c r="M32626" s="9" t="s">
        <v>26</v>
      </c>
    </row>
    <row r="32627" ht="15.75" customHeight="1">
      <c r="A32627" s="7"/>
      <c r="B32627" s="7"/>
      <c r="M32627" s="9" t="s">
        <v>20</v>
      </c>
    </row>
    <row r="32628" ht="15.75" customHeight="1">
      <c r="A32628" s="7"/>
      <c r="B32628" s="7"/>
      <c r="M32628" s="9" t="s">
        <v>21</v>
      </c>
    </row>
    <row r="32629" ht="15.75" customHeight="1">
      <c r="A32629" s="7"/>
      <c r="B32629" s="7"/>
      <c r="M32629" s="9" t="s">
        <v>37</v>
      </c>
    </row>
    <row r="32630" ht="15.75" customHeight="1">
      <c r="A32630" s="7"/>
      <c r="B32630" s="7"/>
      <c r="M32630" s="9" t="s">
        <v>22</v>
      </c>
    </row>
    <row r="32631" ht="15.75" customHeight="1">
      <c r="A32631" s="7"/>
      <c r="B32631" s="7"/>
      <c r="M32631" s="9" t="s">
        <v>27</v>
      </c>
    </row>
    <row r="32632" ht="15.75" customHeight="1">
      <c r="A32632" s="7"/>
      <c r="B32632" s="7"/>
      <c r="M32632" s="9" t="s">
        <v>30</v>
      </c>
    </row>
    <row r="32633" ht="15.75" customHeight="1">
      <c r="A32633" s="7"/>
      <c r="B32633" s="7"/>
      <c r="M32633" s="9" t="s">
        <v>25</v>
      </c>
    </row>
    <row r="32634" ht="15.75" customHeight="1">
      <c r="A32634" s="7"/>
      <c r="B32634" s="7"/>
      <c r="M32634" s="9" t="s">
        <v>23</v>
      </c>
    </row>
    <row r="32635" ht="15.75" customHeight="1">
      <c r="A32635" s="7"/>
      <c r="B32635" s="7"/>
      <c r="M32635" s="9" t="s">
        <v>22</v>
      </c>
    </row>
    <row r="32636" ht="15.75" customHeight="1">
      <c r="A32636" s="7"/>
      <c r="B32636" s="7"/>
      <c r="M32636" s="9" t="s">
        <v>26</v>
      </c>
    </row>
    <row r="32637" ht="15.75" customHeight="1">
      <c r="A32637" s="7"/>
      <c r="B32637" s="7"/>
      <c r="M32637" s="9" t="s">
        <v>42</v>
      </c>
    </row>
    <row r="32638" ht="15.75" customHeight="1">
      <c r="A32638" s="7"/>
      <c r="B32638" s="7"/>
      <c r="M32638" s="9" t="s">
        <v>21</v>
      </c>
    </row>
    <row r="32639" ht="15.75" customHeight="1">
      <c r="A32639" s="7"/>
      <c r="B32639" s="7"/>
      <c r="M32639" s="9" t="s">
        <v>33</v>
      </c>
    </row>
    <row r="32640" ht="15.75" customHeight="1">
      <c r="A32640" s="7"/>
      <c r="B32640" s="7"/>
      <c r="M32640" s="9" t="s">
        <v>23</v>
      </c>
    </row>
    <row r="32641" ht="15.75" customHeight="1">
      <c r="A32641" s="7"/>
      <c r="B32641" s="7"/>
      <c r="M32641" s="9" t="s">
        <v>26</v>
      </c>
    </row>
    <row r="32642" ht="15.75" customHeight="1">
      <c r="A32642" s="7"/>
      <c r="B32642" s="7"/>
      <c r="M32642" s="9" t="s">
        <v>20</v>
      </c>
    </row>
    <row r="32643" ht="15.75" customHeight="1">
      <c r="A32643" s="7"/>
      <c r="B32643" s="7"/>
      <c r="M32643" s="9" t="s">
        <v>25</v>
      </c>
    </row>
    <row r="32644" ht="15.75" customHeight="1">
      <c r="A32644" s="7"/>
      <c r="B32644" s="7"/>
      <c r="M32644" s="9" t="s">
        <v>26</v>
      </c>
    </row>
    <row r="32645" ht="15.75" customHeight="1">
      <c r="A32645" s="7"/>
      <c r="B32645" s="7"/>
      <c r="M32645" s="9" t="s">
        <v>24</v>
      </c>
    </row>
    <row r="32646" ht="15.75" customHeight="1">
      <c r="A32646" s="7"/>
      <c r="B32646" s="7"/>
      <c r="M32646" s="9" t="s">
        <v>20</v>
      </c>
    </row>
    <row r="32647" ht="15.75" customHeight="1">
      <c r="A32647" s="7"/>
      <c r="B32647" s="7"/>
      <c r="M32647" s="9" t="s">
        <v>21</v>
      </c>
    </row>
    <row r="32648" ht="15.75" customHeight="1">
      <c r="A32648" s="7"/>
      <c r="B32648" s="7"/>
      <c r="M32648" s="9" t="s">
        <v>37</v>
      </c>
    </row>
    <row r="32649" ht="15.75" customHeight="1">
      <c r="A32649" s="7"/>
      <c r="B32649" s="7"/>
      <c r="M32649" s="9" t="s">
        <v>22</v>
      </c>
    </row>
    <row r="32650" ht="15.75" customHeight="1">
      <c r="A32650" s="7"/>
      <c r="B32650" s="7"/>
      <c r="M32650" s="9" t="s">
        <v>27</v>
      </c>
    </row>
    <row r="32651" ht="15.75" customHeight="1">
      <c r="A32651" s="7"/>
      <c r="B32651" s="7"/>
      <c r="M32651" s="9" t="s">
        <v>47</v>
      </c>
    </row>
    <row r="32652" ht="15.75" customHeight="1">
      <c r="A32652" s="7"/>
      <c r="B32652" s="7"/>
      <c r="M32652" s="9" t="s">
        <v>24</v>
      </c>
    </row>
    <row r="32653" ht="15.75" customHeight="1">
      <c r="A32653" s="7"/>
      <c r="B32653" s="7"/>
      <c r="M32653" s="9" t="s">
        <v>20</v>
      </c>
    </row>
    <row r="32654" ht="15.75" customHeight="1">
      <c r="A32654" s="7"/>
      <c r="B32654" s="7"/>
      <c r="M32654" s="9" t="s">
        <v>21</v>
      </c>
    </row>
    <row r="32655" ht="15.75" customHeight="1">
      <c r="A32655" s="7"/>
      <c r="B32655" s="7"/>
      <c r="M32655" s="9" t="s">
        <v>37</v>
      </c>
    </row>
    <row r="32656" ht="15.75" customHeight="1">
      <c r="A32656" s="7"/>
      <c r="B32656" s="7"/>
      <c r="M32656" s="9" t="s">
        <v>27</v>
      </c>
    </row>
    <row r="32657" ht="15.75" customHeight="1">
      <c r="A32657" s="7"/>
      <c r="B32657" s="7"/>
      <c r="M32657" s="9" t="s">
        <v>38</v>
      </c>
    </row>
    <row r="32658" ht="15.75" customHeight="1">
      <c r="A32658" s="7"/>
      <c r="B32658" s="7"/>
      <c r="M32658" s="9" t="s">
        <v>24</v>
      </c>
    </row>
    <row r="32659" ht="15.75" customHeight="1">
      <c r="A32659" s="7"/>
      <c r="B32659" s="7"/>
      <c r="M32659" s="9" t="s">
        <v>20</v>
      </c>
    </row>
    <row r="32660" ht="15.75" customHeight="1">
      <c r="A32660" s="7"/>
      <c r="B32660" s="7"/>
      <c r="M32660" s="9" t="s">
        <v>21</v>
      </c>
    </row>
    <row r="32661" ht="15.75" customHeight="1">
      <c r="A32661" s="7"/>
      <c r="B32661" s="7"/>
      <c r="M32661" s="9" t="s">
        <v>37</v>
      </c>
    </row>
    <row r="32662" ht="15.75" customHeight="1">
      <c r="A32662" s="7"/>
      <c r="B32662" s="7"/>
      <c r="M32662" s="9" t="s">
        <v>27</v>
      </c>
    </row>
    <row r="32663" ht="15.75" customHeight="1">
      <c r="A32663" s="7"/>
      <c r="B32663" s="7"/>
      <c r="M32663" s="9" t="s">
        <v>28</v>
      </c>
    </row>
    <row r="32664" ht="15.75" customHeight="1">
      <c r="A32664" s="7"/>
      <c r="B32664" s="7"/>
      <c r="M32664" s="9" t="s">
        <v>34</v>
      </c>
    </row>
    <row r="32665" ht="15.75" customHeight="1">
      <c r="A32665" s="7"/>
      <c r="B32665" s="7"/>
      <c r="M32665" s="9" t="s">
        <v>25</v>
      </c>
    </row>
    <row r="32666" ht="15.75" customHeight="1">
      <c r="A32666" s="7"/>
      <c r="B32666" s="7"/>
      <c r="M32666" s="9" t="s">
        <v>23</v>
      </c>
    </row>
    <row r="32667" ht="15.75" customHeight="1">
      <c r="A32667" s="7"/>
      <c r="B32667" s="7"/>
      <c r="M32667" s="9" t="s">
        <v>24</v>
      </c>
    </row>
    <row r="32668" ht="15.75" customHeight="1">
      <c r="A32668" s="7"/>
      <c r="B32668" s="7"/>
      <c r="M32668" s="9" t="s">
        <v>21</v>
      </c>
    </row>
    <row r="32669" ht="15.75" customHeight="1">
      <c r="A32669" s="7"/>
      <c r="B32669" s="7"/>
      <c r="M32669" s="9" t="s">
        <v>22</v>
      </c>
    </row>
    <row r="32670" ht="15.75" customHeight="1">
      <c r="A32670" s="7"/>
      <c r="B32670" s="7"/>
      <c r="M32670" s="9" t="s">
        <v>27</v>
      </c>
    </row>
    <row r="32671" ht="15.75" customHeight="1">
      <c r="A32671" s="7"/>
      <c r="B32671" s="7"/>
      <c r="M32671" s="9" t="s">
        <v>30</v>
      </c>
    </row>
    <row r="32672" ht="15.75" customHeight="1">
      <c r="A32672" s="7"/>
      <c r="B32672" s="7"/>
      <c r="M32672" s="9" t="s">
        <v>24</v>
      </c>
    </row>
    <row r="32673" ht="15.75" customHeight="1">
      <c r="A32673" s="7"/>
      <c r="B32673" s="7"/>
      <c r="M32673" s="9" t="s">
        <v>20</v>
      </c>
    </row>
    <row r="32674" ht="15.75" customHeight="1">
      <c r="A32674" s="7"/>
      <c r="B32674" s="7"/>
      <c r="M32674" s="9" t="s">
        <v>21</v>
      </c>
    </row>
    <row r="32675" ht="15.75" customHeight="1">
      <c r="A32675" s="7"/>
      <c r="B32675" s="7"/>
      <c r="M32675" s="9" t="s">
        <v>22</v>
      </c>
    </row>
    <row r="32676" ht="15.75" customHeight="1">
      <c r="A32676" s="7"/>
      <c r="B32676" s="7"/>
      <c r="M32676" s="9" t="s">
        <v>27</v>
      </c>
    </row>
    <row r="32677" ht="15.75" customHeight="1">
      <c r="A32677" s="7"/>
      <c r="B32677" s="7"/>
      <c r="M32677" s="9" t="s">
        <v>28</v>
      </c>
    </row>
    <row r="32678" ht="15.75" customHeight="1">
      <c r="A32678" s="7"/>
      <c r="B32678" s="7"/>
      <c r="M32678" s="9" t="s">
        <v>26</v>
      </c>
    </row>
    <row r="32679" ht="15.75" customHeight="1">
      <c r="A32679" s="7"/>
      <c r="B32679" s="7"/>
      <c r="M32679" s="9" t="s">
        <v>24</v>
      </c>
    </row>
    <row r="32680" ht="15.75" customHeight="1">
      <c r="A32680" s="7"/>
      <c r="B32680" s="7"/>
      <c r="M32680" s="9" t="s">
        <v>20</v>
      </c>
    </row>
    <row r="32681" ht="15.75" customHeight="1">
      <c r="A32681" s="7"/>
      <c r="B32681" s="7"/>
      <c r="M32681" s="9" t="s">
        <v>27</v>
      </c>
    </row>
    <row r="32682" ht="15.75" customHeight="1">
      <c r="A32682" s="7"/>
      <c r="B32682" s="7"/>
      <c r="M32682" s="9" t="s">
        <v>35</v>
      </c>
    </row>
    <row r="32683" ht="15.75" customHeight="1">
      <c r="A32683" s="7"/>
      <c r="B32683" s="7"/>
      <c r="M32683" s="9" t="s">
        <v>20</v>
      </c>
    </row>
    <row r="32684" ht="15.75" customHeight="1">
      <c r="A32684" s="7"/>
      <c r="B32684" s="7"/>
      <c r="M32684" s="9" t="s">
        <v>21</v>
      </c>
    </row>
    <row r="32685" ht="15.75" customHeight="1">
      <c r="A32685" s="7"/>
      <c r="B32685" s="7"/>
      <c r="M32685" s="9" t="s">
        <v>22</v>
      </c>
    </row>
    <row r="32686" ht="15.75" customHeight="1">
      <c r="A32686" s="7"/>
      <c r="B32686" s="7"/>
      <c r="M32686" s="9" t="s">
        <v>26</v>
      </c>
    </row>
    <row r="32687" ht="15.75" customHeight="1">
      <c r="A32687" s="7"/>
      <c r="B32687" s="7"/>
      <c r="M32687" s="9" t="s">
        <v>26</v>
      </c>
    </row>
    <row r="32688" ht="15.75" customHeight="1">
      <c r="A32688" s="7"/>
      <c r="B32688" s="7"/>
      <c r="M32688" s="9" t="s">
        <v>27</v>
      </c>
    </row>
    <row r="32689" ht="15.75" customHeight="1">
      <c r="A32689" s="7"/>
      <c r="B32689" s="7"/>
      <c r="M32689" s="9" t="s">
        <v>20</v>
      </c>
    </row>
    <row r="32690" ht="15.75" customHeight="1">
      <c r="A32690" s="7"/>
      <c r="B32690" s="7"/>
      <c r="M32690" s="9" t="s">
        <v>21</v>
      </c>
    </row>
    <row r="32691" ht="15.75" customHeight="1">
      <c r="A32691" s="7"/>
      <c r="B32691" s="7"/>
      <c r="M32691" s="9" t="s">
        <v>27</v>
      </c>
    </row>
    <row r="32692" ht="15.75" customHeight="1">
      <c r="A32692" s="7"/>
      <c r="B32692" s="7"/>
      <c r="M32692" s="9" t="s">
        <v>26</v>
      </c>
    </row>
    <row r="32693" ht="15.75" customHeight="1">
      <c r="A32693" s="7"/>
      <c r="B32693" s="7"/>
      <c r="M32693" s="9" t="s">
        <v>24</v>
      </c>
    </row>
    <row r="32694" ht="15.75" customHeight="1">
      <c r="A32694" s="7"/>
      <c r="B32694" s="7"/>
      <c r="M32694" s="9" t="s">
        <v>20</v>
      </c>
    </row>
    <row r="32695" ht="15.75" customHeight="1">
      <c r="A32695" s="7"/>
      <c r="B32695" s="7"/>
      <c r="M32695" s="9" t="s">
        <v>21</v>
      </c>
    </row>
    <row r="32696" ht="15.75" customHeight="1">
      <c r="A32696" s="7"/>
      <c r="B32696" s="7"/>
      <c r="M32696" s="9" t="s">
        <v>37</v>
      </c>
    </row>
    <row r="32697" ht="15.75" customHeight="1">
      <c r="A32697" s="7"/>
      <c r="B32697" s="7"/>
      <c r="M32697" s="9" t="s">
        <v>27</v>
      </c>
    </row>
    <row r="32698" ht="15.75" customHeight="1">
      <c r="A32698" s="7"/>
      <c r="B32698" s="7"/>
      <c r="M32698" s="9" t="s">
        <v>35</v>
      </c>
    </row>
    <row r="32699" ht="15.75" customHeight="1">
      <c r="A32699" s="7"/>
      <c r="B32699" s="7"/>
      <c r="M32699" s="9" t="s">
        <v>26</v>
      </c>
    </row>
    <row r="32700" ht="15.75" customHeight="1">
      <c r="A32700" s="7"/>
      <c r="B32700" s="7"/>
      <c r="M32700" s="9" t="s">
        <v>24</v>
      </c>
    </row>
    <row r="32701" ht="15.75" customHeight="1">
      <c r="A32701" s="7"/>
      <c r="B32701" s="7"/>
      <c r="M32701" s="9" t="s">
        <v>21</v>
      </c>
    </row>
    <row r="32702" ht="15.75" customHeight="1">
      <c r="A32702" s="7"/>
      <c r="B32702" s="7"/>
      <c r="M32702" s="9" t="s">
        <v>37</v>
      </c>
    </row>
    <row r="32703" ht="15.75" customHeight="1">
      <c r="A32703" s="7"/>
      <c r="B32703" s="7"/>
      <c r="M32703" s="9" t="s">
        <v>27</v>
      </c>
    </row>
    <row r="32704" ht="15.75" customHeight="1">
      <c r="A32704" s="7"/>
      <c r="B32704" s="7"/>
      <c r="M32704" s="9" t="s">
        <v>33</v>
      </c>
    </row>
    <row r="32705" ht="15.75" customHeight="1">
      <c r="A32705" s="7"/>
      <c r="B32705" s="7"/>
      <c r="M32705" s="9" t="s">
        <v>24</v>
      </c>
    </row>
    <row r="32706" ht="15.75" customHeight="1">
      <c r="A32706" s="7"/>
      <c r="B32706" s="7"/>
      <c r="M32706" s="9" t="s">
        <v>21</v>
      </c>
    </row>
    <row r="32707" ht="15.75" customHeight="1">
      <c r="A32707" s="7"/>
      <c r="B32707" s="7"/>
      <c r="M32707" s="9" t="s">
        <v>22</v>
      </c>
    </row>
    <row r="32708" ht="15.75" customHeight="1">
      <c r="A32708" s="7"/>
      <c r="B32708" s="7"/>
      <c r="M32708" s="9" t="s">
        <v>28</v>
      </c>
    </row>
    <row r="32709" ht="15.75" customHeight="1">
      <c r="A32709" s="7"/>
      <c r="B32709" s="7"/>
      <c r="M32709" s="9" t="s">
        <v>21</v>
      </c>
    </row>
    <row r="32710" ht="15.75" customHeight="1">
      <c r="A32710" s="7"/>
      <c r="B32710" s="7"/>
      <c r="M32710" s="9" t="s">
        <v>22</v>
      </c>
    </row>
    <row r="32711" ht="15.75" customHeight="1">
      <c r="A32711" s="7"/>
      <c r="B32711" s="7"/>
      <c r="M32711" s="9" t="s">
        <v>31</v>
      </c>
    </row>
    <row r="32712" ht="15.75" customHeight="1">
      <c r="A32712" s="7"/>
      <c r="B32712" s="7"/>
      <c r="M32712" s="9" t="s">
        <v>25</v>
      </c>
    </row>
    <row r="32713" ht="15.75" customHeight="1">
      <c r="A32713" s="7"/>
      <c r="B32713" s="7"/>
      <c r="M32713" s="9" t="s">
        <v>23</v>
      </c>
    </row>
    <row r="32714" ht="15.75" customHeight="1">
      <c r="A32714" s="7"/>
      <c r="B32714" s="7"/>
      <c r="M32714" s="9" t="s">
        <v>26</v>
      </c>
    </row>
    <row r="32715" ht="15.75" customHeight="1">
      <c r="A32715" s="7"/>
      <c r="B32715" s="7"/>
      <c r="M32715" s="9" t="s">
        <v>20</v>
      </c>
    </row>
    <row r="32716" ht="15.75" customHeight="1">
      <c r="A32716" s="7"/>
      <c r="B32716" s="7"/>
      <c r="M32716" s="9" t="s">
        <v>22</v>
      </c>
    </row>
    <row r="32717" ht="15.75" customHeight="1">
      <c r="A32717" s="7"/>
      <c r="B32717" s="7"/>
      <c r="M32717" s="9" t="s">
        <v>25</v>
      </c>
    </row>
    <row r="32718" ht="15.75" customHeight="1">
      <c r="A32718" s="7"/>
      <c r="B32718" s="7"/>
      <c r="M32718" s="9" t="s">
        <v>23</v>
      </c>
    </row>
    <row r="32719" ht="15.75" customHeight="1">
      <c r="A32719" s="7"/>
      <c r="B32719" s="7"/>
      <c r="M32719" s="9" t="s">
        <v>26</v>
      </c>
    </row>
    <row r="32720" ht="15.75" customHeight="1">
      <c r="A32720" s="7"/>
      <c r="B32720" s="7"/>
      <c r="M32720" s="9" t="s">
        <v>24</v>
      </c>
    </row>
    <row r="32721" ht="15.75" customHeight="1">
      <c r="A32721" s="7"/>
      <c r="B32721" s="7"/>
      <c r="M32721" s="9" t="s">
        <v>21</v>
      </c>
    </row>
    <row r="32722" ht="15.75" customHeight="1">
      <c r="A32722" s="7"/>
      <c r="B32722" s="7"/>
      <c r="M32722" s="9" t="s">
        <v>33</v>
      </c>
    </row>
    <row r="32723" ht="15.75" customHeight="1">
      <c r="A32723" s="7"/>
      <c r="B32723" s="7"/>
      <c r="M32723" s="9" t="s">
        <v>20</v>
      </c>
    </row>
    <row r="32724" ht="15.75" customHeight="1">
      <c r="A32724" s="7"/>
      <c r="B32724" s="7"/>
      <c r="M32724" s="9" t="s">
        <v>27</v>
      </c>
    </row>
    <row r="32725" ht="15.75" customHeight="1">
      <c r="A32725" s="7"/>
      <c r="B32725" s="7"/>
      <c r="M32725" s="9" t="s">
        <v>26</v>
      </c>
    </row>
    <row r="32726" ht="15.75" customHeight="1">
      <c r="A32726" s="7"/>
      <c r="B32726" s="7"/>
      <c r="M32726" s="9" t="s">
        <v>22</v>
      </c>
    </row>
    <row r="32727" ht="15.75" customHeight="1">
      <c r="A32727" s="7"/>
      <c r="B32727" s="7"/>
      <c r="M32727" s="9" t="s">
        <v>21</v>
      </c>
    </row>
    <row r="32728" ht="15.75" customHeight="1">
      <c r="A32728" s="7"/>
      <c r="B32728" s="7"/>
      <c r="M32728" s="9" t="s">
        <v>37</v>
      </c>
    </row>
    <row r="32729" ht="15.75" customHeight="1">
      <c r="A32729" s="7"/>
      <c r="B32729" s="7"/>
      <c r="M32729" s="9" t="s">
        <v>30</v>
      </c>
    </row>
    <row r="32730" ht="15.75" customHeight="1">
      <c r="A32730" s="7"/>
      <c r="B32730" s="7"/>
      <c r="M32730" s="9" t="s">
        <v>26</v>
      </c>
    </row>
    <row r="32731" ht="15.75" customHeight="1">
      <c r="A32731" s="7"/>
      <c r="B32731" s="7"/>
      <c r="M32731" s="9" t="s">
        <v>24</v>
      </c>
    </row>
    <row r="32732" ht="15.75" customHeight="1">
      <c r="A32732" s="7"/>
      <c r="B32732" s="7"/>
      <c r="M32732" s="9" t="s">
        <v>22</v>
      </c>
    </row>
    <row r="32733" ht="15.75" customHeight="1">
      <c r="A32733" s="7"/>
      <c r="B32733" s="7"/>
      <c r="M32733" s="9" t="s">
        <v>29</v>
      </c>
    </row>
    <row r="32734" ht="15.75" customHeight="1">
      <c r="A32734" s="7"/>
      <c r="B32734" s="7"/>
      <c r="M32734" s="9" t="s">
        <v>27</v>
      </c>
    </row>
    <row r="32735" ht="15.75" customHeight="1">
      <c r="A32735" s="7"/>
      <c r="B32735" s="7"/>
      <c r="M32735" s="9" t="s">
        <v>25</v>
      </c>
    </row>
    <row r="32736" ht="15.75" customHeight="1">
      <c r="A32736" s="7"/>
      <c r="B32736" s="7"/>
      <c r="M32736" s="9" t="s">
        <v>24</v>
      </c>
    </row>
    <row r="32737" ht="15.75" customHeight="1">
      <c r="A32737" s="7"/>
      <c r="B32737" s="7"/>
      <c r="M32737" s="9" t="s">
        <v>20</v>
      </c>
    </row>
    <row r="32738" ht="15.75" customHeight="1">
      <c r="A32738" s="7"/>
      <c r="B32738" s="7"/>
      <c r="M32738" s="9" t="s">
        <v>21</v>
      </c>
    </row>
    <row r="32739" ht="15.75" customHeight="1">
      <c r="A32739" s="7"/>
      <c r="B32739" s="7"/>
      <c r="M32739" s="9" t="s">
        <v>40</v>
      </c>
    </row>
    <row r="32740" ht="15.75" customHeight="1">
      <c r="A32740" s="7"/>
      <c r="B32740" s="7"/>
      <c r="M32740" s="9" t="s">
        <v>42</v>
      </c>
    </row>
    <row r="32741" ht="15.75" customHeight="1">
      <c r="A32741" s="7"/>
      <c r="B32741" s="7"/>
      <c r="M32741" s="9" t="s">
        <v>43</v>
      </c>
    </row>
    <row r="32742" ht="15.75" customHeight="1">
      <c r="A32742" s="7"/>
      <c r="B32742" s="7"/>
      <c r="M32742" s="9" t="s">
        <v>36</v>
      </c>
    </row>
    <row r="32743" ht="15.75" customHeight="1">
      <c r="A32743" s="7"/>
      <c r="B32743" s="7"/>
      <c r="M32743" s="9" t="s">
        <v>24</v>
      </c>
    </row>
    <row r="32744" ht="15.75" customHeight="1">
      <c r="A32744" s="7"/>
      <c r="B32744" s="7"/>
      <c r="M32744" s="9" t="s">
        <v>21</v>
      </c>
    </row>
    <row r="32745" ht="15.75" customHeight="1">
      <c r="A32745" s="7"/>
      <c r="B32745" s="7"/>
      <c r="M32745" s="9" t="s">
        <v>22</v>
      </c>
    </row>
    <row r="32746" ht="15.75" customHeight="1">
      <c r="A32746" s="7"/>
      <c r="B32746" s="7"/>
      <c r="M32746" s="9" t="s">
        <v>33</v>
      </c>
    </row>
    <row r="32747" ht="15.75" customHeight="1">
      <c r="A32747" s="7"/>
      <c r="B32747" s="7"/>
      <c r="M32747" s="9" t="s">
        <v>47</v>
      </c>
    </row>
    <row r="32748" ht="15.75" customHeight="1">
      <c r="A32748" s="7"/>
      <c r="B32748" s="7"/>
      <c r="M32748" s="9" t="s">
        <v>24</v>
      </c>
    </row>
    <row r="32749" ht="15.75" customHeight="1">
      <c r="A32749" s="7"/>
      <c r="B32749" s="7"/>
      <c r="M32749" s="9" t="s">
        <v>21</v>
      </c>
    </row>
    <row r="32750" ht="15.75" customHeight="1">
      <c r="A32750" s="7"/>
      <c r="B32750" s="7"/>
      <c r="M32750" s="9" t="s">
        <v>39</v>
      </c>
    </row>
    <row r="32751" ht="15.75" customHeight="1">
      <c r="A32751" s="7"/>
      <c r="B32751" s="7"/>
      <c r="M32751" s="9" t="s">
        <v>33</v>
      </c>
    </row>
    <row r="32752" ht="15.75" customHeight="1">
      <c r="A32752" s="7"/>
      <c r="B32752" s="7"/>
      <c r="M32752" s="9" t="s">
        <v>30</v>
      </c>
    </row>
    <row r="32753" ht="15.75" customHeight="1">
      <c r="A32753" s="7"/>
      <c r="B32753" s="7"/>
      <c r="M32753" s="9" t="s">
        <v>24</v>
      </c>
    </row>
    <row r="32754" ht="15.75" customHeight="1">
      <c r="A32754" s="7"/>
      <c r="B32754" s="7"/>
      <c r="M32754" s="9" t="s">
        <v>29</v>
      </c>
    </row>
    <row r="32755" ht="15.75" customHeight="1">
      <c r="A32755" s="7"/>
      <c r="B32755" s="7"/>
      <c r="M32755" s="9" t="s">
        <v>31</v>
      </c>
    </row>
    <row r="32756" ht="15.75" customHeight="1">
      <c r="A32756" s="7"/>
      <c r="B32756" s="7"/>
      <c r="M32756" s="9" t="s">
        <v>27</v>
      </c>
    </row>
    <row r="32757" ht="15.75" customHeight="1">
      <c r="A32757" s="7"/>
      <c r="B32757" s="7"/>
      <c r="M32757" s="9" t="s">
        <v>20</v>
      </c>
    </row>
    <row r="32758" ht="15.75" customHeight="1">
      <c r="A32758" s="7"/>
      <c r="B32758" s="7"/>
      <c r="M32758" s="9" t="s">
        <v>31</v>
      </c>
    </row>
    <row r="32759" ht="15.75" customHeight="1">
      <c r="A32759" s="7"/>
      <c r="B32759" s="7"/>
      <c r="M32759" s="9" t="s">
        <v>46</v>
      </c>
    </row>
    <row r="32760" ht="15.75" customHeight="1">
      <c r="A32760" s="7"/>
      <c r="B32760" s="7"/>
      <c r="M32760" s="9" t="s">
        <v>27</v>
      </c>
    </row>
    <row r="32761" ht="15.75" customHeight="1">
      <c r="A32761" s="7"/>
      <c r="B32761" s="7"/>
      <c r="M32761" s="9" t="s">
        <v>25</v>
      </c>
    </row>
    <row r="32762" ht="15.75" customHeight="1">
      <c r="A32762" s="7"/>
      <c r="B32762" s="7"/>
      <c r="M32762" s="9" t="s">
        <v>41</v>
      </c>
    </row>
    <row r="32763" ht="15.75" customHeight="1">
      <c r="A32763" s="7"/>
      <c r="B32763" s="7"/>
      <c r="M32763" s="9" t="s">
        <v>35</v>
      </c>
    </row>
    <row r="32764" ht="15.75" customHeight="1">
      <c r="A32764" s="7"/>
      <c r="B32764" s="7"/>
      <c r="M32764" s="9" t="s">
        <v>24</v>
      </c>
    </row>
    <row r="32765" ht="15.75" customHeight="1">
      <c r="A32765" s="7"/>
      <c r="B32765" s="7"/>
      <c r="M32765" s="9" t="s">
        <v>20</v>
      </c>
    </row>
    <row r="32766" ht="15.75" customHeight="1">
      <c r="A32766" s="7"/>
      <c r="B32766" s="7"/>
      <c r="M32766" s="9" t="s">
        <v>23</v>
      </c>
    </row>
    <row r="32767" ht="15.75" customHeight="1">
      <c r="A32767" s="7"/>
      <c r="B32767" s="7"/>
      <c r="M32767" s="9" t="s">
        <v>26</v>
      </c>
    </row>
    <row r="32768" ht="15.75" customHeight="1">
      <c r="A32768" s="7"/>
      <c r="B32768" s="7"/>
      <c r="M32768" s="9" t="s">
        <v>24</v>
      </c>
    </row>
    <row r="32769" ht="15.75" customHeight="1">
      <c r="A32769" s="7"/>
      <c r="B32769" s="7"/>
      <c r="M32769" s="9" t="s">
        <v>20</v>
      </c>
    </row>
    <row r="32770" ht="15.75" customHeight="1">
      <c r="A32770" s="7"/>
      <c r="B32770" s="7"/>
      <c r="M32770" s="9" t="s">
        <v>21</v>
      </c>
    </row>
    <row r="32771" ht="15.75" customHeight="1">
      <c r="A32771" s="7"/>
      <c r="B32771" s="7"/>
      <c r="M32771" s="9" t="s">
        <v>27</v>
      </c>
    </row>
    <row r="32772" ht="15.75" customHeight="1">
      <c r="A32772" s="7"/>
      <c r="B32772" s="7"/>
      <c r="M32772" s="9" t="s">
        <v>23</v>
      </c>
    </row>
    <row r="32773" ht="15.75" customHeight="1">
      <c r="A32773" s="7"/>
      <c r="B32773" s="7"/>
      <c r="M32773" s="9" t="s">
        <v>22</v>
      </c>
    </row>
    <row r="32774" ht="15.75" customHeight="1">
      <c r="A32774" s="7"/>
      <c r="B32774" s="7"/>
      <c r="M32774" s="9" t="s">
        <v>25</v>
      </c>
    </row>
    <row r="32775" ht="15.75" customHeight="1">
      <c r="A32775" s="7"/>
      <c r="B32775" s="7"/>
      <c r="M32775" s="9" t="s">
        <v>20</v>
      </c>
    </row>
    <row r="32776" ht="15.75" customHeight="1">
      <c r="A32776" s="7"/>
      <c r="B32776" s="7"/>
      <c r="M32776" s="9" t="s">
        <v>22</v>
      </c>
    </row>
    <row r="32777" ht="15.75" customHeight="1">
      <c r="A32777" s="7"/>
      <c r="B32777" s="7"/>
      <c r="M32777" s="9" t="s">
        <v>26</v>
      </c>
    </row>
    <row r="32778" ht="15.75" customHeight="1">
      <c r="A32778" s="7"/>
      <c r="B32778" s="7"/>
      <c r="M32778" s="9" t="s">
        <v>21</v>
      </c>
    </row>
    <row r="32779" ht="15.75" customHeight="1">
      <c r="A32779" s="7"/>
      <c r="B32779" s="7"/>
      <c r="M32779" s="9" t="s">
        <v>37</v>
      </c>
    </row>
    <row r="32780" ht="15.75" customHeight="1">
      <c r="A32780" s="7"/>
      <c r="B32780" s="7"/>
      <c r="M32780" s="9" t="s">
        <v>25</v>
      </c>
    </row>
    <row r="32781" ht="15.75" customHeight="1">
      <c r="A32781" s="7"/>
      <c r="B32781" s="7"/>
      <c r="M32781" s="9" t="s">
        <v>23</v>
      </c>
    </row>
    <row r="32782" ht="15.75" customHeight="1">
      <c r="A32782" s="7"/>
      <c r="B32782" s="7"/>
      <c r="M32782" s="9" t="s">
        <v>26</v>
      </c>
    </row>
    <row r="32783" ht="15.75" customHeight="1">
      <c r="A32783" s="7"/>
      <c r="B32783" s="7"/>
      <c r="M32783" s="9" t="s">
        <v>20</v>
      </c>
    </row>
    <row r="32784" ht="15.75" customHeight="1">
      <c r="A32784" s="7"/>
      <c r="B32784" s="7"/>
      <c r="M32784" s="9" t="s">
        <v>30</v>
      </c>
    </row>
    <row r="32785" ht="15.75" customHeight="1">
      <c r="A32785" s="7"/>
      <c r="B32785" s="7"/>
      <c r="M32785" s="9" t="s">
        <v>24</v>
      </c>
    </row>
    <row r="32786" ht="15.75" customHeight="1">
      <c r="A32786" s="7"/>
      <c r="B32786" s="7"/>
      <c r="M32786" s="9" t="s">
        <v>20</v>
      </c>
    </row>
    <row r="32787" ht="15.75" customHeight="1">
      <c r="A32787" s="7"/>
      <c r="B32787" s="7"/>
      <c r="M32787" s="9" t="s">
        <v>21</v>
      </c>
    </row>
    <row r="32788" ht="15.75" customHeight="1">
      <c r="A32788" s="7"/>
      <c r="B32788" s="7"/>
      <c r="M32788" s="9" t="s">
        <v>39</v>
      </c>
    </row>
    <row r="32789" ht="15.75" customHeight="1">
      <c r="A32789" s="7"/>
      <c r="B32789" s="7"/>
      <c r="M32789" s="9" t="s">
        <v>22</v>
      </c>
    </row>
    <row r="32790" ht="15.75" customHeight="1">
      <c r="A32790" s="7"/>
      <c r="B32790" s="7"/>
      <c r="M32790" s="9" t="s">
        <v>27</v>
      </c>
    </row>
    <row r="32791" ht="15.75" customHeight="1">
      <c r="A32791" s="7"/>
      <c r="B32791" s="7"/>
      <c r="M32791" s="9" t="s">
        <v>24</v>
      </c>
    </row>
    <row r="32792" ht="15.75" customHeight="1">
      <c r="A32792" s="7"/>
      <c r="B32792" s="7"/>
      <c r="M32792" s="9" t="s">
        <v>20</v>
      </c>
    </row>
    <row r="32793" ht="15.75" customHeight="1">
      <c r="A32793" s="7"/>
      <c r="B32793" s="7"/>
      <c r="M32793" s="9" t="s">
        <v>21</v>
      </c>
    </row>
    <row r="32794" ht="15.75" customHeight="1">
      <c r="A32794" s="7"/>
      <c r="B32794" s="7"/>
      <c r="M32794" s="9" t="s">
        <v>27</v>
      </c>
    </row>
    <row r="32795" ht="15.75" customHeight="1">
      <c r="A32795" s="7"/>
      <c r="B32795" s="7"/>
      <c r="M32795" s="9" t="s">
        <v>30</v>
      </c>
    </row>
    <row r="32796" ht="15.75" customHeight="1">
      <c r="A32796" s="7"/>
      <c r="B32796" s="7"/>
      <c r="M32796" s="9" t="s">
        <v>25</v>
      </c>
    </row>
    <row r="32797" ht="15.75" customHeight="1">
      <c r="A32797" s="7"/>
      <c r="B32797" s="7"/>
      <c r="M32797" s="9" t="s">
        <v>23</v>
      </c>
    </row>
    <row r="32798" ht="15.75" customHeight="1">
      <c r="A32798" s="7"/>
      <c r="B32798" s="7"/>
      <c r="M32798" s="9" t="s">
        <v>26</v>
      </c>
    </row>
    <row r="32799" ht="15.75" customHeight="1">
      <c r="A32799" s="7"/>
      <c r="B32799" s="7"/>
      <c r="M32799" s="9" t="s">
        <v>24</v>
      </c>
    </row>
    <row r="32800" ht="15.75" customHeight="1">
      <c r="A32800" s="7"/>
      <c r="B32800" s="7"/>
      <c r="M32800" s="9" t="s">
        <v>20</v>
      </c>
    </row>
    <row r="32801" ht="15.75" customHeight="1">
      <c r="A32801" s="7"/>
      <c r="B32801" s="7"/>
      <c r="M32801" s="9" t="s">
        <v>21</v>
      </c>
    </row>
    <row r="32802" ht="15.75" customHeight="1">
      <c r="A32802" s="7"/>
      <c r="B32802" s="7"/>
      <c r="M32802" s="9" t="s">
        <v>22</v>
      </c>
    </row>
    <row r="32803" ht="15.75" customHeight="1">
      <c r="A32803" s="7"/>
      <c r="B32803" s="7"/>
      <c r="M32803" s="9" t="s">
        <v>27</v>
      </c>
    </row>
    <row r="32804" ht="15.75" customHeight="1">
      <c r="A32804" s="7"/>
      <c r="B32804" s="7"/>
      <c r="M32804" s="9" t="s">
        <v>33</v>
      </c>
    </row>
    <row r="32805" ht="15.75" customHeight="1">
      <c r="A32805" s="7"/>
      <c r="B32805" s="7"/>
      <c r="M32805" s="9" t="s">
        <v>25</v>
      </c>
    </row>
    <row r="32806" ht="15.75" customHeight="1">
      <c r="A32806" s="7"/>
      <c r="B32806" s="7"/>
      <c r="M32806" s="9" t="s">
        <v>35</v>
      </c>
    </row>
    <row r="32807" ht="15.75" customHeight="1">
      <c r="A32807" s="7"/>
      <c r="B32807" s="7"/>
      <c r="M32807" s="9" t="s">
        <v>30</v>
      </c>
    </row>
    <row r="32808" ht="15.75" customHeight="1">
      <c r="A32808" s="7"/>
      <c r="B32808" s="7"/>
      <c r="M32808" s="9" t="s">
        <v>24</v>
      </c>
    </row>
    <row r="32809" ht="15.75" customHeight="1">
      <c r="A32809" s="7"/>
      <c r="B32809" s="7"/>
      <c r="M32809" s="9" t="s">
        <v>21</v>
      </c>
    </row>
    <row r="32810" ht="15.75" customHeight="1">
      <c r="A32810" s="7"/>
      <c r="B32810" s="7"/>
      <c r="M32810" s="9" t="s">
        <v>33</v>
      </c>
    </row>
    <row r="32811" ht="15.75" customHeight="1">
      <c r="A32811" s="7"/>
      <c r="B32811" s="7"/>
      <c r="M32811" s="9" t="s">
        <v>30</v>
      </c>
    </row>
    <row r="32812" ht="15.75" customHeight="1">
      <c r="A32812" s="7"/>
      <c r="B32812" s="7"/>
      <c r="M32812" s="9" t="s">
        <v>25</v>
      </c>
    </row>
    <row r="32813" ht="15.75" customHeight="1">
      <c r="A32813" s="7"/>
      <c r="B32813" s="7"/>
      <c r="M32813" s="9" t="s">
        <v>35</v>
      </c>
    </row>
    <row r="32814" ht="15.75" customHeight="1">
      <c r="A32814" s="7"/>
      <c r="B32814" s="7"/>
      <c r="M32814" s="9" t="s">
        <v>23</v>
      </c>
    </row>
    <row r="32815" ht="15.75" customHeight="1">
      <c r="A32815" s="7"/>
      <c r="B32815" s="7"/>
      <c r="M32815" s="9" t="s">
        <v>26</v>
      </c>
    </row>
    <row r="32816" ht="15.75" customHeight="1">
      <c r="A32816" s="7"/>
      <c r="B32816" s="7"/>
      <c r="M32816" s="9" t="s">
        <v>24</v>
      </c>
    </row>
    <row r="32817" ht="15.75" customHeight="1">
      <c r="A32817" s="7"/>
      <c r="B32817" s="7"/>
      <c r="M32817" s="9" t="s">
        <v>20</v>
      </c>
    </row>
    <row r="32818" ht="15.75" customHeight="1">
      <c r="A32818" s="7"/>
      <c r="B32818" s="7"/>
      <c r="M32818" s="9" t="s">
        <v>21</v>
      </c>
    </row>
    <row r="32819" ht="15.75" customHeight="1">
      <c r="A32819" s="7"/>
      <c r="B32819" s="7"/>
      <c r="M32819" s="9" t="s">
        <v>37</v>
      </c>
    </row>
    <row r="32820" ht="15.75" customHeight="1">
      <c r="A32820" s="7"/>
      <c r="B32820" s="7"/>
      <c r="M32820" s="9" t="s">
        <v>27</v>
      </c>
    </row>
    <row r="32821" ht="15.75" customHeight="1">
      <c r="A32821" s="7"/>
      <c r="B32821" s="7"/>
      <c r="M32821" s="9" t="s">
        <v>28</v>
      </c>
    </row>
    <row r="32822" ht="15.75" customHeight="1">
      <c r="A32822" s="7"/>
      <c r="B32822" s="7"/>
      <c r="M32822" s="9" t="s">
        <v>30</v>
      </c>
    </row>
    <row r="32823" ht="15.75" customHeight="1">
      <c r="A32823" s="7"/>
      <c r="B32823" s="7"/>
      <c r="M32823" s="9" t="s">
        <v>26</v>
      </c>
    </row>
    <row r="32824" ht="15.75" customHeight="1">
      <c r="A32824" s="7"/>
      <c r="B32824" s="7"/>
      <c r="M32824" s="9" t="s">
        <v>24</v>
      </c>
    </row>
    <row r="32825" ht="15.75" customHeight="1">
      <c r="A32825" s="7"/>
      <c r="B32825" s="7"/>
      <c r="M32825" s="9" t="s">
        <v>21</v>
      </c>
    </row>
    <row r="32826" ht="15.75" customHeight="1">
      <c r="A32826" s="7"/>
      <c r="B32826" s="7"/>
      <c r="M32826" s="9" t="s">
        <v>37</v>
      </c>
    </row>
    <row r="32827" ht="15.75" customHeight="1">
      <c r="A32827" s="7"/>
      <c r="B32827" s="7"/>
      <c r="M32827" s="9" t="s">
        <v>27</v>
      </c>
    </row>
    <row r="32828" ht="15.75" customHeight="1">
      <c r="A32828" s="7"/>
      <c r="B32828" s="7"/>
      <c r="M32828" s="9" t="s">
        <v>33</v>
      </c>
    </row>
    <row r="32829" ht="15.75" customHeight="1">
      <c r="A32829" s="7"/>
      <c r="B32829" s="7"/>
      <c r="M32829" s="9" t="s">
        <v>30</v>
      </c>
    </row>
    <row r="32830" ht="15.75" customHeight="1">
      <c r="A32830" s="7"/>
      <c r="B32830" s="7"/>
      <c r="M32830" s="9" t="s">
        <v>26</v>
      </c>
    </row>
    <row r="32831" ht="15.75" customHeight="1">
      <c r="A32831" s="7"/>
      <c r="B32831" s="7"/>
      <c r="M32831" s="9" t="s">
        <v>21</v>
      </c>
    </row>
    <row r="32832" ht="15.75" customHeight="1">
      <c r="A32832" s="7"/>
      <c r="B32832" s="7"/>
      <c r="M32832" s="9" t="s">
        <v>27</v>
      </c>
    </row>
    <row r="32833" ht="15.75" customHeight="1">
      <c r="A32833" s="7"/>
      <c r="B32833" s="7"/>
      <c r="M32833" s="9" t="s">
        <v>33</v>
      </c>
    </row>
    <row r="32834" ht="15.75" customHeight="1">
      <c r="A32834" s="7"/>
      <c r="B32834" s="7"/>
      <c r="M32834" s="9" t="s">
        <v>34</v>
      </c>
    </row>
    <row r="32835" ht="15.75" customHeight="1">
      <c r="A32835" s="7"/>
      <c r="B32835" s="7"/>
      <c r="M32835" s="9" t="s">
        <v>38</v>
      </c>
    </row>
    <row r="32836" ht="15.75" customHeight="1">
      <c r="A32836" s="7"/>
      <c r="B32836" s="7"/>
      <c r="M32836" s="9" t="s">
        <v>25</v>
      </c>
    </row>
    <row r="32837" ht="15.75" customHeight="1">
      <c r="A32837" s="7"/>
      <c r="B32837" s="7"/>
      <c r="M32837" s="9" t="s">
        <v>20</v>
      </c>
    </row>
    <row r="32838" ht="15.75" customHeight="1">
      <c r="A32838" s="7"/>
      <c r="B32838" s="7"/>
      <c r="M32838" s="9" t="s">
        <v>30</v>
      </c>
    </row>
    <row r="32839" ht="15.75" customHeight="1">
      <c r="A32839" s="7"/>
      <c r="B32839" s="7"/>
      <c r="M32839" s="9" t="s">
        <v>24</v>
      </c>
    </row>
    <row r="32840" ht="15.75" customHeight="1">
      <c r="A32840" s="7"/>
      <c r="B32840" s="7"/>
      <c r="M32840" s="9" t="s">
        <v>20</v>
      </c>
    </row>
    <row r="32841" ht="15.75" customHeight="1">
      <c r="A32841" s="7"/>
      <c r="B32841" s="7"/>
      <c r="M32841" s="9" t="s">
        <v>21</v>
      </c>
    </row>
    <row r="32842" ht="15.75" customHeight="1">
      <c r="A32842" s="7"/>
      <c r="B32842" s="7"/>
      <c r="M32842" s="9" t="s">
        <v>27</v>
      </c>
    </row>
    <row r="32843" ht="15.75" customHeight="1">
      <c r="A32843" s="7"/>
      <c r="B32843" s="7"/>
      <c r="M32843" s="9" t="s">
        <v>22</v>
      </c>
    </row>
    <row r="32844" ht="15.75" customHeight="1">
      <c r="A32844" s="7"/>
      <c r="B32844" s="7"/>
      <c r="M32844" s="9" t="s">
        <v>26</v>
      </c>
    </row>
    <row r="32845" ht="15.75" customHeight="1">
      <c r="A32845" s="7"/>
      <c r="B32845" s="7"/>
      <c r="M32845" s="9" t="s">
        <v>24</v>
      </c>
    </row>
    <row r="32846" ht="15.75" customHeight="1">
      <c r="A32846" s="7"/>
      <c r="B32846" s="7"/>
      <c r="M32846" s="9" t="s">
        <v>21</v>
      </c>
    </row>
    <row r="32847" ht="15.75" customHeight="1">
      <c r="A32847" s="7"/>
      <c r="B32847" s="7"/>
      <c r="M32847" s="9" t="s">
        <v>27</v>
      </c>
    </row>
    <row r="32848" ht="15.75" customHeight="1">
      <c r="A32848" s="7"/>
      <c r="B32848" s="7"/>
      <c r="M32848" s="9" t="s">
        <v>33</v>
      </c>
    </row>
    <row r="32849" ht="15.75" customHeight="1">
      <c r="A32849" s="7"/>
      <c r="B32849" s="7"/>
      <c r="M32849" s="9" t="s">
        <v>30</v>
      </c>
    </row>
    <row r="32850" ht="15.75" customHeight="1">
      <c r="A32850" s="7"/>
      <c r="B32850" s="7"/>
      <c r="M32850" s="9" t="s">
        <v>23</v>
      </c>
    </row>
    <row r="32851" ht="15.75" customHeight="1">
      <c r="A32851" s="7"/>
      <c r="B32851" s="7"/>
      <c r="M32851" s="9" t="s">
        <v>26</v>
      </c>
    </row>
    <row r="32852" ht="15.75" customHeight="1">
      <c r="A32852" s="7"/>
      <c r="B32852" s="7"/>
      <c r="M32852" s="9" t="s">
        <v>24</v>
      </c>
    </row>
    <row r="32853" ht="15.75" customHeight="1">
      <c r="A32853" s="7"/>
      <c r="B32853" s="7"/>
      <c r="M32853" s="9" t="s">
        <v>20</v>
      </c>
    </row>
    <row r="32854" ht="15.75" customHeight="1">
      <c r="A32854" s="7"/>
      <c r="B32854" s="7"/>
      <c r="M32854" s="9" t="s">
        <v>21</v>
      </c>
    </row>
    <row r="32855" ht="15.75" customHeight="1">
      <c r="A32855" s="7"/>
      <c r="B32855" s="7"/>
      <c r="M32855" s="9" t="s">
        <v>22</v>
      </c>
    </row>
    <row r="32856" ht="15.75" customHeight="1">
      <c r="A32856" s="7"/>
      <c r="B32856" s="7"/>
      <c r="M32856" s="9" t="s">
        <v>33</v>
      </c>
    </row>
    <row r="32857" ht="15.75" customHeight="1">
      <c r="A32857" s="7"/>
      <c r="B32857" s="7"/>
      <c r="M32857" s="9" t="s">
        <v>30</v>
      </c>
    </row>
    <row r="32858" ht="15.75" customHeight="1">
      <c r="A32858" s="7"/>
      <c r="B32858" s="7"/>
      <c r="M32858" s="9" t="s">
        <v>25</v>
      </c>
    </row>
    <row r="32859" ht="15.75" customHeight="1">
      <c r="A32859" s="7"/>
      <c r="B32859" s="7"/>
      <c r="M32859" s="9" t="s">
        <v>23</v>
      </c>
    </row>
    <row r="32860" ht="15.75" customHeight="1">
      <c r="A32860" s="7"/>
      <c r="B32860" s="7"/>
      <c r="M32860" s="9" t="s">
        <v>26</v>
      </c>
    </row>
    <row r="32861" ht="15.75" customHeight="1">
      <c r="A32861" s="7"/>
      <c r="B32861" s="7"/>
      <c r="M32861" s="9" t="s">
        <v>24</v>
      </c>
    </row>
    <row r="32862" ht="15.75" customHeight="1">
      <c r="A32862" s="7"/>
      <c r="B32862" s="7"/>
      <c r="M32862" s="9" t="s">
        <v>20</v>
      </c>
    </row>
    <row r="32863" ht="15.75" customHeight="1">
      <c r="A32863" s="7"/>
      <c r="B32863" s="7"/>
      <c r="M32863" s="9" t="s">
        <v>21</v>
      </c>
    </row>
    <row r="32864" ht="15.75" customHeight="1">
      <c r="A32864" s="7"/>
      <c r="B32864" s="7"/>
      <c r="M32864" s="9" t="s">
        <v>37</v>
      </c>
    </row>
    <row r="32865" ht="15.75" customHeight="1">
      <c r="A32865" s="7"/>
      <c r="B32865" s="7"/>
      <c r="M32865" s="9" t="s">
        <v>22</v>
      </c>
    </row>
    <row r="32866" ht="15.75" customHeight="1">
      <c r="A32866" s="7"/>
      <c r="B32866" s="7"/>
      <c r="M32866" s="9" t="s">
        <v>27</v>
      </c>
    </row>
    <row r="32867" ht="15.75" customHeight="1">
      <c r="A32867" s="7"/>
      <c r="B32867" s="7"/>
      <c r="M32867" s="9" t="s">
        <v>40</v>
      </c>
    </row>
    <row r="32868" ht="15.75" customHeight="1">
      <c r="A32868" s="7"/>
      <c r="B32868" s="7"/>
      <c r="M32868" s="9" t="s">
        <v>24</v>
      </c>
    </row>
    <row r="32869" ht="15.75" customHeight="1">
      <c r="A32869" s="7"/>
      <c r="B32869" s="7"/>
      <c r="M32869" s="9" t="s">
        <v>21</v>
      </c>
    </row>
    <row r="32870" ht="15.75" customHeight="1">
      <c r="A32870" s="7"/>
      <c r="B32870" s="7"/>
      <c r="M32870" s="9" t="s">
        <v>35</v>
      </c>
    </row>
    <row r="32871" ht="15.75" customHeight="1">
      <c r="A32871" s="7"/>
      <c r="B32871" s="7"/>
      <c r="M32871" s="9" t="s">
        <v>20</v>
      </c>
    </row>
    <row r="32872" ht="15.75" customHeight="1">
      <c r="A32872" s="7"/>
      <c r="B32872" s="7"/>
      <c r="M32872" s="9" t="s">
        <v>22</v>
      </c>
    </row>
    <row r="32873" ht="15.75" customHeight="1">
      <c r="A32873" s="7"/>
      <c r="B32873" s="7"/>
      <c r="M32873" s="9" t="s">
        <v>30</v>
      </c>
    </row>
    <row r="32874" ht="15.75" customHeight="1">
      <c r="A32874" s="7"/>
      <c r="B32874" s="7"/>
      <c r="M32874" s="9" t="s">
        <v>24</v>
      </c>
    </row>
    <row r="32875" ht="15.75" customHeight="1">
      <c r="A32875" s="7"/>
      <c r="B32875" s="7"/>
      <c r="M32875" s="9" t="s">
        <v>20</v>
      </c>
    </row>
    <row r="32876" ht="15.75" customHeight="1">
      <c r="A32876" s="7"/>
      <c r="B32876" s="7"/>
      <c r="M32876" s="9" t="s">
        <v>37</v>
      </c>
    </row>
    <row r="32877" ht="15.75" customHeight="1">
      <c r="A32877" s="7"/>
      <c r="B32877" s="7"/>
      <c r="M32877" s="9" t="s">
        <v>22</v>
      </c>
    </row>
    <row r="32878" ht="15.75" customHeight="1">
      <c r="A32878" s="7"/>
      <c r="B32878" s="7"/>
      <c r="M32878" s="9" t="s">
        <v>27</v>
      </c>
    </row>
    <row r="32879" ht="15.75" customHeight="1">
      <c r="A32879" s="7"/>
      <c r="B32879" s="7"/>
      <c r="M32879" s="9" t="s">
        <v>30</v>
      </c>
    </row>
    <row r="32880" ht="15.75" customHeight="1">
      <c r="A32880" s="7"/>
      <c r="B32880" s="7"/>
      <c r="M32880" s="9" t="s">
        <v>22</v>
      </c>
    </row>
    <row r="32881" ht="15.75" customHeight="1">
      <c r="A32881" s="7"/>
      <c r="B32881" s="7"/>
      <c r="M32881" s="9" t="s">
        <v>29</v>
      </c>
    </row>
    <row r="32882" ht="15.75" customHeight="1">
      <c r="A32882" s="7"/>
      <c r="B32882" s="7"/>
      <c r="M32882" s="9" t="s">
        <v>27</v>
      </c>
    </row>
    <row r="32883" ht="15.75" customHeight="1">
      <c r="A32883" s="7"/>
      <c r="B32883" s="7"/>
      <c r="M32883" s="9" t="s">
        <v>28</v>
      </c>
    </row>
    <row r="32884" ht="15.75" customHeight="1">
      <c r="A32884" s="7"/>
      <c r="B32884" s="7"/>
      <c r="M32884" s="9" t="s">
        <v>30</v>
      </c>
    </row>
    <row r="32885" ht="15.75" customHeight="1">
      <c r="A32885" s="7"/>
      <c r="B32885" s="7"/>
      <c r="M32885" s="9" t="s">
        <v>26</v>
      </c>
    </row>
    <row r="32886" ht="15.75" customHeight="1">
      <c r="A32886" s="7"/>
      <c r="B32886" s="7"/>
      <c r="M32886" s="9" t="s">
        <v>21</v>
      </c>
    </row>
    <row r="32887" ht="15.75" customHeight="1">
      <c r="A32887" s="7"/>
      <c r="B32887" s="7"/>
      <c r="M32887" s="9" t="s">
        <v>22</v>
      </c>
    </row>
    <row r="32888" ht="15.75" customHeight="1">
      <c r="A32888" s="7"/>
      <c r="B32888" s="7"/>
      <c r="M32888" s="9" t="s">
        <v>27</v>
      </c>
    </row>
    <row r="32889" ht="15.75" customHeight="1">
      <c r="A32889" s="7"/>
      <c r="B32889" s="7"/>
      <c r="M32889" s="9" t="s">
        <v>33</v>
      </c>
    </row>
    <row r="32890" ht="15.75" customHeight="1">
      <c r="A32890" s="7"/>
      <c r="B32890" s="7"/>
      <c r="M32890" s="9" t="s">
        <v>26</v>
      </c>
    </row>
    <row r="32891" ht="15.75" customHeight="1">
      <c r="A32891" s="7"/>
      <c r="B32891" s="7"/>
      <c r="M32891" s="9" t="s">
        <v>24</v>
      </c>
    </row>
    <row r="32892" ht="15.75" customHeight="1">
      <c r="A32892" s="7"/>
      <c r="B32892" s="7"/>
      <c r="M32892" s="9" t="s">
        <v>21</v>
      </c>
    </row>
    <row r="32893" ht="15.75" customHeight="1">
      <c r="A32893" s="7"/>
      <c r="B32893" s="7"/>
      <c r="M32893" s="9" t="s">
        <v>27</v>
      </c>
    </row>
    <row r="32894" ht="15.75" customHeight="1">
      <c r="A32894" s="7"/>
      <c r="B32894" s="7"/>
      <c r="M32894" s="9" t="s">
        <v>28</v>
      </c>
    </row>
    <row r="32895" ht="15.75" customHeight="1">
      <c r="A32895" s="7"/>
      <c r="B32895" s="7"/>
      <c r="M32895" s="9" t="s">
        <v>30</v>
      </c>
    </row>
    <row r="32896" ht="15.75" customHeight="1">
      <c r="A32896" s="7"/>
      <c r="B32896" s="7"/>
      <c r="M32896" s="9" t="s">
        <v>21</v>
      </c>
    </row>
    <row r="32897" ht="15.75" customHeight="1">
      <c r="A32897" s="7"/>
      <c r="B32897" s="7"/>
      <c r="M32897" s="9" t="s">
        <v>37</v>
      </c>
    </row>
    <row r="32898" ht="15.75" customHeight="1">
      <c r="A32898" s="7"/>
      <c r="B32898" s="7"/>
      <c r="M32898" s="9" t="s">
        <v>31</v>
      </c>
    </row>
    <row r="32899" ht="15.75" customHeight="1">
      <c r="A32899" s="7"/>
      <c r="B32899" s="7"/>
      <c r="M32899" s="9" t="s">
        <v>46</v>
      </c>
    </row>
    <row r="32900" ht="15.75" customHeight="1">
      <c r="A32900" s="7"/>
      <c r="B32900" s="7"/>
      <c r="M32900" s="9" t="s">
        <v>27</v>
      </c>
    </row>
    <row r="32901" ht="15.75" customHeight="1">
      <c r="A32901" s="7"/>
      <c r="B32901" s="7"/>
      <c r="M32901" s="9" t="s">
        <v>33</v>
      </c>
    </row>
    <row r="32902" ht="15.75" customHeight="1">
      <c r="A32902" s="7"/>
      <c r="B32902" s="7"/>
      <c r="M32902" s="9" t="s">
        <v>25</v>
      </c>
    </row>
    <row r="32903" ht="15.75" customHeight="1">
      <c r="A32903" s="7"/>
      <c r="B32903" s="7"/>
      <c r="M32903" s="9" t="s">
        <v>24</v>
      </c>
    </row>
    <row r="32904" ht="15.75" customHeight="1">
      <c r="A32904" s="7"/>
      <c r="B32904" s="7"/>
      <c r="M32904" s="9" t="s">
        <v>20</v>
      </c>
    </row>
    <row r="32905" ht="15.75" customHeight="1">
      <c r="A32905" s="7"/>
      <c r="B32905" s="7"/>
      <c r="M32905" s="9" t="s">
        <v>21</v>
      </c>
    </row>
    <row r="32906" ht="15.75" customHeight="1">
      <c r="A32906" s="7"/>
      <c r="B32906" s="7"/>
      <c r="M32906" s="9" t="s">
        <v>22</v>
      </c>
    </row>
    <row r="32907" ht="15.75" customHeight="1">
      <c r="A32907" s="7"/>
      <c r="B32907" s="7"/>
      <c r="M32907" s="9" t="s">
        <v>31</v>
      </c>
    </row>
    <row r="32908" ht="15.75" customHeight="1">
      <c r="A32908" s="7"/>
      <c r="B32908" s="7"/>
      <c r="M32908" s="9" t="s">
        <v>24</v>
      </c>
    </row>
    <row r="32909" ht="15.75" customHeight="1">
      <c r="A32909" s="7"/>
      <c r="B32909" s="7"/>
      <c r="M32909" s="9" t="s">
        <v>21</v>
      </c>
    </row>
    <row r="32910" ht="15.75" customHeight="1">
      <c r="A32910" s="7"/>
      <c r="B32910" s="7"/>
      <c r="M32910" s="9" t="s">
        <v>33</v>
      </c>
    </row>
    <row r="32911" ht="15.75" customHeight="1">
      <c r="A32911" s="7"/>
      <c r="B32911" s="7"/>
      <c r="M32911" s="9" t="s">
        <v>30</v>
      </c>
    </row>
    <row r="32912" ht="15.75" customHeight="1">
      <c r="A32912" s="7"/>
      <c r="B32912" s="7"/>
      <c r="M32912" s="9" t="s">
        <v>24</v>
      </c>
    </row>
    <row r="32913" ht="15.75" customHeight="1">
      <c r="A32913" s="7"/>
      <c r="B32913" s="7"/>
      <c r="M32913" s="9" t="s">
        <v>20</v>
      </c>
    </row>
    <row r="32914" ht="15.75" customHeight="1">
      <c r="A32914" s="7"/>
      <c r="B32914" s="7"/>
      <c r="M32914" s="9" t="s">
        <v>21</v>
      </c>
    </row>
    <row r="32915" ht="15.75" customHeight="1">
      <c r="A32915" s="7"/>
      <c r="B32915" s="7"/>
      <c r="M32915" s="9" t="s">
        <v>22</v>
      </c>
    </row>
    <row r="32916" ht="15.75" customHeight="1">
      <c r="A32916" s="7"/>
      <c r="B32916" s="7"/>
      <c r="M32916" s="9" t="s">
        <v>32</v>
      </c>
    </row>
    <row r="32917" ht="15.75" customHeight="1">
      <c r="A32917" s="7"/>
      <c r="B32917" s="7"/>
      <c r="M32917" s="9" t="s">
        <v>27</v>
      </c>
    </row>
    <row r="32918" ht="15.75" customHeight="1">
      <c r="A32918" s="7"/>
      <c r="B32918" s="7"/>
      <c r="M32918" s="9" t="s">
        <v>30</v>
      </c>
    </row>
    <row r="32919" ht="15.75" customHeight="1">
      <c r="A32919" s="7"/>
      <c r="B32919" s="7"/>
      <c r="M32919" s="9" t="s">
        <v>24</v>
      </c>
    </row>
    <row r="32920" ht="15.75" customHeight="1">
      <c r="A32920" s="7"/>
      <c r="B32920" s="7"/>
      <c r="M32920" s="9" t="s">
        <v>20</v>
      </c>
    </row>
    <row r="32921" ht="15.75" customHeight="1">
      <c r="A32921" s="7"/>
      <c r="B32921" s="7"/>
      <c r="M32921" s="9" t="s">
        <v>21</v>
      </c>
    </row>
    <row r="32922" ht="15.75" customHeight="1">
      <c r="A32922" s="7"/>
      <c r="B32922" s="7"/>
      <c r="M32922" s="9" t="s">
        <v>22</v>
      </c>
    </row>
    <row r="32923" ht="15.75" customHeight="1">
      <c r="A32923" s="7"/>
      <c r="B32923" s="7"/>
      <c r="M32923" s="9" t="s">
        <v>31</v>
      </c>
    </row>
    <row r="32924" ht="15.75" customHeight="1">
      <c r="A32924" s="7"/>
      <c r="B32924" s="7"/>
      <c r="M32924" s="9" t="s">
        <v>27</v>
      </c>
    </row>
    <row r="32925" ht="15.75" customHeight="1">
      <c r="A32925" s="7"/>
      <c r="B32925" s="7"/>
      <c r="M32925" s="9" t="s">
        <v>24</v>
      </c>
    </row>
    <row r="32926" ht="15.75" customHeight="1">
      <c r="A32926" s="7"/>
      <c r="B32926" s="7"/>
      <c r="M32926" s="9" t="s">
        <v>20</v>
      </c>
    </row>
    <row r="32927" ht="15.75" customHeight="1">
      <c r="A32927" s="7"/>
      <c r="B32927" s="7"/>
      <c r="M32927" s="9" t="s">
        <v>21</v>
      </c>
    </row>
    <row r="32928" ht="15.75" customHeight="1">
      <c r="A32928" s="7"/>
      <c r="B32928" s="7"/>
      <c r="M32928" s="9" t="s">
        <v>27</v>
      </c>
    </row>
    <row r="32929" ht="15.75" customHeight="1">
      <c r="A32929" s="7"/>
      <c r="B32929" s="7"/>
      <c r="M32929" s="9" t="s">
        <v>38</v>
      </c>
    </row>
    <row r="32930" ht="15.75" customHeight="1">
      <c r="A32930" s="7"/>
      <c r="B32930" s="7"/>
      <c r="M32930" s="9" t="s">
        <v>30</v>
      </c>
    </row>
    <row r="32931" ht="15.75" customHeight="1">
      <c r="A32931" s="7"/>
      <c r="B32931" s="7"/>
      <c r="M32931" s="9" t="s">
        <v>25</v>
      </c>
    </row>
    <row r="32932" ht="15.75" customHeight="1">
      <c r="A32932" s="7"/>
      <c r="B32932" s="7"/>
      <c r="M32932" s="9" t="s">
        <v>23</v>
      </c>
    </row>
    <row r="32933" ht="15.75" customHeight="1">
      <c r="A32933" s="7"/>
      <c r="B32933" s="7"/>
      <c r="M32933" s="9" t="s">
        <v>22</v>
      </c>
    </row>
    <row r="32934" ht="15.75" customHeight="1">
      <c r="A32934" s="7"/>
      <c r="B32934" s="7"/>
      <c r="M32934" s="9" t="s">
        <v>24</v>
      </c>
    </row>
    <row r="32935" ht="15.75" customHeight="1">
      <c r="A32935" s="7"/>
      <c r="B32935" s="7"/>
      <c r="M32935" s="9" t="s">
        <v>21</v>
      </c>
    </row>
    <row r="32936" ht="15.75" customHeight="1">
      <c r="A32936" s="7"/>
      <c r="B32936" s="7"/>
      <c r="M32936" s="9" t="s">
        <v>27</v>
      </c>
    </row>
    <row r="32937" ht="15.75" customHeight="1">
      <c r="A32937" s="7"/>
      <c r="B32937" s="7"/>
      <c r="M32937" s="9" t="s">
        <v>40</v>
      </c>
    </row>
    <row r="32938" ht="15.75" customHeight="1">
      <c r="A32938" s="7"/>
      <c r="B32938" s="7"/>
      <c r="M32938" s="9" t="s">
        <v>44</v>
      </c>
    </row>
    <row r="32939" ht="15.75" customHeight="1">
      <c r="A32939" s="7"/>
      <c r="B32939" s="7"/>
      <c r="M32939" s="9" t="s">
        <v>21</v>
      </c>
    </row>
    <row r="32940" ht="15.75" customHeight="1">
      <c r="A32940" s="7"/>
      <c r="B32940" s="7"/>
      <c r="M32940" s="9" t="s">
        <v>25</v>
      </c>
    </row>
    <row r="32941" ht="15.75" customHeight="1">
      <c r="A32941" s="7"/>
      <c r="B32941" s="7"/>
      <c r="M32941" s="9" t="s">
        <v>24</v>
      </c>
    </row>
    <row r="32942" ht="15.75" customHeight="1">
      <c r="A32942" s="7"/>
      <c r="B32942" s="7"/>
      <c r="M32942" s="9" t="s">
        <v>20</v>
      </c>
    </row>
    <row r="32943" ht="15.75" customHeight="1">
      <c r="A32943" s="7"/>
      <c r="B32943" s="7"/>
      <c r="M32943" s="9" t="s">
        <v>22</v>
      </c>
    </row>
    <row r="32944" ht="15.75" customHeight="1">
      <c r="A32944" s="7"/>
      <c r="B32944" s="7"/>
      <c r="M32944" s="9" t="s">
        <v>29</v>
      </c>
    </row>
    <row r="32945" ht="15.75" customHeight="1">
      <c r="A32945" s="7"/>
      <c r="B32945" s="7"/>
      <c r="M32945" s="9" t="s">
        <v>27</v>
      </c>
    </row>
    <row r="32946" ht="15.75" customHeight="1">
      <c r="A32946" s="7"/>
      <c r="B32946" s="7"/>
      <c r="M32946" s="9" t="s">
        <v>20</v>
      </c>
    </row>
    <row r="32947" ht="15.75" customHeight="1">
      <c r="A32947" s="7"/>
      <c r="B32947" s="7"/>
      <c r="M32947" s="9" t="s">
        <v>27</v>
      </c>
    </row>
    <row r="32948" ht="15.75" customHeight="1">
      <c r="A32948" s="7"/>
      <c r="B32948" s="7"/>
      <c r="M32948" s="9" t="s">
        <v>30</v>
      </c>
    </row>
    <row r="32949" ht="15.75" customHeight="1">
      <c r="A32949" s="7"/>
      <c r="B32949" s="7"/>
      <c r="M32949" s="9" t="s">
        <v>24</v>
      </c>
    </row>
    <row r="32950" ht="15.75" customHeight="1">
      <c r="A32950" s="7"/>
      <c r="B32950" s="7"/>
      <c r="M32950" s="9" t="s">
        <v>20</v>
      </c>
    </row>
    <row r="32951" ht="15.75" customHeight="1">
      <c r="A32951" s="7"/>
      <c r="B32951" s="7"/>
      <c r="M32951" s="9" t="s">
        <v>21</v>
      </c>
    </row>
    <row r="32952" ht="15.75" customHeight="1">
      <c r="A32952" s="7"/>
      <c r="B32952" s="7"/>
      <c r="M32952" s="9" t="s">
        <v>37</v>
      </c>
    </row>
    <row r="32953" ht="15.75" customHeight="1">
      <c r="A32953" s="7"/>
      <c r="B32953" s="7"/>
      <c r="M32953" s="9" t="s">
        <v>27</v>
      </c>
    </row>
    <row r="32954" ht="15.75" customHeight="1">
      <c r="A32954" s="7"/>
      <c r="B32954" s="7"/>
      <c r="M32954" s="9" t="s">
        <v>40</v>
      </c>
    </row>
    <row r="32955" ht="15.75" customHeight="1">
      <c r="A32955" s="7"/>
      <c r="B32955" s="7"/>
      <c r="M32955" s="9" t="s">
        <v>33</v>
      </c>
    </row>
    <row r="32956" ht="15.75" customHeight="1">
      <c r="A32956" s="7"/>
      <c r="B32956" s="7"/>
      <c r="M32956" s="9" t="s">
        <v>30</v>
      </c>
    </row>
    <row r="32957" ht="15.75" customHeight="1">
      <c r="A32957" s="7"/>
      <c r="B32957" s="7"/>
      <c r="M32957" s="9" t="s">
        <v>24</v>
      </c>
    </row>
    <row r="32958" ht="15.75" customHeight="1">
      <c r="A32958" s="7"/>
      <c r="B32958" s="7"/>
      <c r="M32958" s="9" t="s">
        <v>20</v>
      </c>
    </row>
    <row r="32959" ht="15.75" customHeight="1">
      <c r="A32959" s="7"/>
      <c r="B32959" s="7"/>
      <c r="M32959" s="9" t="s">
        <v>39</v>
      </c>
    </row>
    <row r="32960" ht="15.75" customHeight="1">
      <c r="A32960" s="7"/>
      <c r="B32960" s="7"/>
      <c r="M32960" s="9" t="s">
        <v>41</v>
      </c>
    </row>
    <row r="32961" ht="15.75" customHeight="1">
      <c r="A32961" s="7"/>
      <c r="B32961" s="7"/>
      <c r="M32961" s="9" t="s">
        <v>37</v>
      </c>
    </row>
    <row r="32962" ht="15.75" customHeight="1">
      <c r="A32962" s="7"/>
      <c r="B32962" s="7"/>
      <c r="M32962" s="9" t="s">
        <v>22</v>
      </c>
    </row>
    <row r="32963" ht="15.75" customHeight="1">
      <c r="A32963" s="7"/>
      <c r="B32963" s="7"/>
      <c r="M32963" s="9" t="s">
        <v>31</v>
      </c>
    </row>
    <row r="32964" ht="15.75" customHeight="1">
      <c r="A32964" s="7"/>
      <c r="B32964" s="7"/>
      <c r="M32964" s="9" t="s">
        <v>46</v>
      </c>
    </row>
    <row r="32965" ht="15.75" customHeight="1">
      <c r="A32965" s="7"/>
      <c r="B32965" s="7"/>
      <c r="M32965" s="9" t="s">
        <v>27</v>
      </c>
    </row>
    <row r="32966" ht="15.75" customHeight="1">
      <c r="A32966" s="7"/>
      <c r="B32966" s="7"/>
      <c r="M32966" s="9" t="s">
        <v>40</v>
      </c>
    </row>
    <row r="32967" ht="15.75" customHeight="1">
      <c r="A32967" s="7"/>
      <c r="B32967" s="7"/>
      <c r="M32967" s="9" t="s">
        <v>22</v>
      </c>
    </row>
    <row r="32968" ht="15.75" customHeight="1">
      <c r="A32968" s="7"/>
      <c r="B32968" s="7"/>
      <c r="M32968" s="9" t="s">
        <v>27</v>
      </c>
    </row>
    <row r="32969" ht="15.75" customHeight="1">
      <c r="A32969" s="7"/>
      <c r="B32969" s="7"/>
      <c r="M32969" s="9" t="s">
        <v>26</v>
      </c>
    </row>
    <row r="32970" ht="15.75" customHeight="1">
      <c r="A32970" s="7"/>
      <c r="B32970" s="7"/>
      <c r="M32970" s="9" t="s">
        <v>21</v>
      </c>
    </row>
    <row r="32971" ht="15.75" customHeight="1">
      <c r="A32971" s="7"/>
      <c r="B32971" s="7"/>
      <c r="M32971" s="9" t="s">
        <v>27</v>
      </c>
    </row>
    <row r="32972" ht="15.75" customHeight="1">
      <c r="A32972" s="7"/>
      <c r="B32972" s="7"/>
      <c r="M32972" s="9" t="s">
        <v>30</v>
      </c>
    </row>
    <row r="32973" ht="15.75" customHeight="1">
      <c r="A32973" s="7"/>
      <c r="B32973" s="7"/>
      <c r="M32973" s="9" t="s">
        <v>24</v>
      </c>
    </row>
    <row r="32974" ht="15.75" customHeight="1">
      <c r="A32974" s="7"/>
      <c r="B32974" s="7"/>
      <c r="M32974" s="9" t="s">
        <v>21</v>
      </c>
    </row>
    <row r="32975" ht="15.75" customHeight="1">
      <c r="A32975" s="7"/>
      <c r="B32975" s="7"/>
      <c r="M32975" s="9" t="s">
        <v>37</v>
      </c>
    </row>
    <row r="32976" ht="15.75" customHeight="1">
      <c r="A32976" s="7"/>
      <c r="B32976" s="7"/>
      <c r="M32976" s="9" t="s">
        <v>22</v>
      </c>
    </row>
    <row r="32977" ht="15.75" customHeight="1">
      <c r="A32977" s="7"/>
      <c r="B32977" s="7"/>
      <c r="M32977" s="9" t="s">
        <v>29</v>
      </c>
    </row>
    <row r="32978" ht="15.75" customHeight="1">
      <c r="A32978" s="7"/>
      <c r="B32978" s="7"/>
      <c r="M32978" s="9" t="s">
        <v>27</v>
      </c>
    </row>
    <row r="32979" ht="15.75" customHeight="1">
      <c r="A32979" s="7"/>
      <c r="B32979" s="7"/>
      <c r="M32979" s="9" t="s">
        <v>38</v>
      </c>
    </row>
    <row r="32980" ht="15.75" customHeight="1">
      <c r="A32980" s="7"/>
      <c r="B32980" s="7"/>
      <c r="M32980" s="9" t="s">
        <v>30</v>
      </c>
    </row>
    <row r="32981" ht="15.75" customHeight="1">
      <c r="A32981" s="7"/>
      <c r="B32981" s="7"/>
      <c r="M32981" s="9" t="s">
        <v>25</v>
      </c>
    </row>
    <row r="32982" ht="15.75" customHeight="1">
      <c r="A32982" s="7"/>
      <c r="B32982" s="7"/>
      <c r="M32982" s="9" t="s">
        <v>23</v>
      </c>
    </row>
    <row r="32983" ht="15.75" customHeight="1">
      <c r="A32983" s="7"/>
      <c r="B32983" s="7"/>
      <c r="M32983" s="9" t="s">
        <v>26</v>
      </c>
    </row>
    <row r="32984" ht="15.75" customHeight="1">
      <c r="A32984" s="7"/>
      <c r="B32984" s="7"/>
      <c r="M32984" s="9" t="s">
        <v>24</v>
      </c>
    </row>
    <row r="32985" ht="15.75" customHeight="1">
      <c r="A32985" s="7"/>
      <c r="B32985" s="7"/>
      <c r="M32985" s="9" t="s">
        <v>20</v>
      </c>
    </row>
    <row r="32986" ht="15.75" customHeight="1">
      <c r="A32986" s="7"/>
      <c r="B32986" s="7"/>
      <c r="M32986" s="9" t="s">
        <v>21</v>
      </c>
    </row>
    <row r="32987" ht="15.75" customHeight="1">
      <c r="A32987" s="7"/>
      <c r="B32987" s="7"/>
      <c r="M32987" s="9" t="s">
        <v>37</v>
      </c>
    </row>
    <row r="32988" ht="15.75" customHeight="1">
      <c r="A32988" s="7"/>
      <c r="B32988" s="7"/>
      <c r="M32988" s="9" t="s">
        <v>22</v>
      </c>
    </row>
    <row r="32989" ht="15.75" customHeight="1">
      <c r="A32989" s="7"/>
      <c r="B32989" s="7"/>
      <c r="M32989" s="9" t="s">
        <v>31</v>
      </c>
    </row>
    <row r="32990" ht="15.75" customHeight="1">
      <c r="A32990" s="7"/>
      <c r="B32990" s="7"/>
      <c r="M32990" s="9" t="s">
        <v>46</v>
      </c>
    </row>
    <row r="32991" ht="15.75" customHeight="1">
      <c r="A32991" s="7"/>
      <c r="B32991" s="7"/>
      <c r="M32991" s="9" t="s">
        <v>27</v>
      </c>
    </row>
    <row r="32992" ht="15.75" customHeight="1">
      <c r="A32992" s="7"/>
      <c r="B32992" s="7"/>
      <c r="M32992" s="9" t="s">
        <v>33</v>
      </c>
    </row>
    <row r="32993" ht="15.75" customHeight="1">
      <c r="A32993" s="7"/>
      <c r="B32993" s="7"/>
      <c r="M32993" s="9" t="s">
        <v>28</v>
      </c>
    </row>
    <row r="32994" ht="15.75" customHeight="1">
      <c r="A32994" s="7"/>
      <c r="B32994" s="7"/>
      <c r="M32994" s="9" t="s">
        <v>35</v>
      </c>
    </row>
    <row r="32995" ht="15.75" customHeight="1">
      <c r="A32995" s="7"/>
      <c r="B32995" s="7"/>
      <c r="M32995" s="9" t="s">
        <v>38</v>
      </c>
    </row>
    <row r="32996" ht="15.75" customHeight="1">
      <c r="A32996" s="7"/>
      <c r="B32996" s="7"/>
      <c r="M32996" s="9" t="s">
        <v>24</v>
      </c>
    </row>
    <row r="32997" ht="15.75" customHeight="1">
      <c r="A32997" s="7"/>
      <c r="B32997" s="7"/>
      <c r="M32997" s="9" t="s">
        <v>22</v>
      </c>
    </row>
    <row r="32998" ht="15.75" customHeight="1">
      <c r="A32998" s="7"/>
      <c r="B32998" s="7"/>
      <c r="M32998" s="9" t="s">
        <v>30</v>
      </c>
    </row>
    <row r="32999" ht="15.75" customHeight="1">
      <c r="A32999" s="7"/>
      <c r="B32999" s="7"/>
      <c r="M32999" s="9" t="s">
        <v>25</v>
      </c>
    </row>
    <row r="33000" ht="15.75" customHeight="1">
      <c r="A33000" s="7"/>
      <c r="B33000" s="7"/>
      <c r="M33000" s="9" t="s">
        <v>23</v>
      </c>
    </row>
    <row r="33001" ht="15.75" customHeight="1">
      <c r="A33001" s="7"/>
      <c r="B33001" s="7"/>
      <c r="M33001" s="9" t="s">
        <v>42</v>
      </c>
    </row>
    <row r="33002" ht="15.75" customHeight="1">
      <c r="A33002" s="7"/>
      <c r="B33002" s="7"/>
      <c r="M33002" s="9" t="s">
        <v>43</v>
      </c>
    </row>
    <row r="33003" ht="15.75" customHeight="1">
      <c r="A33003" s="7"/>
      <c r="B33003" s="7"/>
      <c r="M33003" s="9" t="s">
        <v>36</v>
      </c>
    </row>
    <row r="33004" ht="15.75" customHeight="1">
      <c r="A33004" s="7"/>
      <c r="B33004" s="7"/>
      <c r="M33004" s="9" t="s">
        <v>21</v>
      </c>
    </row>
    <row r="33005" ht="15.75" customHeight="1">
      <c r="A33005" s="7"/>
      <c r="B33005" s="7"/>
      <c r="M33005" s="9" t="s">
        <v>22</v>
      </c>
    </row>
    <row r="33006" ht="15.75" customHeight="1">
      <c r="A33006" s="7"/>
      <c r="B33006" s="7"/>
      <c r="M33006" s="9" t="s">
        <v>29</v>
      </c>
    </row>
    <row r="33007" ht="15.75" customHeight="1">
      <c r="A33007" s="7"/>
      <c r="B33007" s="7"/>
      <c r="M33007" s="9" t="s">
        <v>31</v>
      </c>
    </row>
    <row r="33008" ht="15.75" customHeight="1">
      <c r="A33008" s="7"/>
      <c r="B33008" s="7"/>
      <c r="M33008" s="9" t="s">
        <v>32</v>
      </c>
    </row>
    <row r="33009" ht="15.75" customHeight="1">
      <c r="A33009" s="7"/>
      <c r="B33009" s="7"/>
      <c r="M33009" s="9" t="s">
        <v>27</v>
      </c>
    </row>
    <row r="33010" ht="15.75" customHeight="1">
      <c r="A33010" s="7"/>
      <c r="B33010" s="7"/>
      <c r="M33010" s="9" t="s">
        <v>30</v>
      </c>
    </row>
    <row r="33011" ht="15.75" customHeight="1">
      <c r="A33011" s="7"/>
      <c r="B33011" s="7"/>
      <c r="M33011" s="9" t="s">
        <v>25</v>
      </c>
    </row>
    <row r="33012" ht="15.75" customHeight="1">
      <c r="A33012" s="7"/>
      <c r="B33012" s="7"/>
      <c r="M33012" s="9" t="s">
        <v>23</v>
      </c>
    </row>
    <row r="33013" ht="15.75" customHeight="1">
      <c r="A33013" s="7"/>
      <c r="B33013" s="7"/>
      <c r="M33013" s="9" t="s">
        <v>24</v>
      </c>
    </row>
    <row r="33014" ht="15.75" customHeight="1">
      <c r="A33014" s="7"/>
      <c r="B33014" s="7"/>
      <c r="M33014" s="9" t="s">
        <v>20</v>
      </c>
    </row>
    <row r="33015" ht="15.75" customHeight="1">
      <c r="A33015" s="7"/>
      <c r="B33015" s="7"/>
      <c r="M33015" s="9" t="s">
        <v>21</v>
      </c>
    </row>
    <row r="33016" ht="15.75" customHeight="1">
      <c r="A33016" s="7"/>
      <c r="B33016" s="7"/>
      <c r="M33016" s="9" t="s">
        <v>37</v>
      </c>
    </row>
    <row r="33017" ht="15.75" customHeight="1">
      <c r="A33017" s="7"/>
      <c r="B33017" s="7"/>
      <c r="M33017" s="9" t="s">
        <v>30</v>
      </c>
    </row>
    <row r="33018" ht="15.75" customHeight="1">
      <c r="A33018" s="7"/>
      <c r="B33018" s="7"/>
      <c r="M33018" s="9" t="s">
        <v>24</v>
      </c>
    </row>
    <row r="33019" ht="15.75" customHeight="1">
      <c r="A33019" s="7"/>
      <c r="B33019" s="7"/>
      <c r="M33019" s="9" t="s">
        <v>21</v>
      </c>
    </row>
    <row r="33020" ht="15.75" customHeight="1">
      <c r="A33020" s="7"/>
      <c r="B33020" s="7"/>
      <c r="M33020" s="9" t="s">
        <v>27</v>
      </c>
    </row>
    <row r="33021" ht="15.75" customHeight="1">
      <c r="A33021" s="7"/>
      <c r="B33021" s="7"/>
      <c r="M33021" s="9" t="s">
        <v>33</v>
      </c>
    </row>
    <row r="33022" ht="15.75" customHeight="1">
      <c r="A33022" s="7"/>
      <c r="B33022" s="7"/>
      <c r="M33022" s="9" t="s">
        <v>24</v>
      </c>
    </row>
    <row r="33023" ht="15.75" customHeight="1">
      <c r="A33023" s="7"/>
      <c r="B33023" s="7"/>
      <c r="M33023" s="9" t="s">
        <v>21</v>
      </c>
    </row>
    <row r="33024" ht="15.75" customHeight="1">
      <c r="A33024" s="7"/>
      <c r="B33024" s="7"/>
      <c r="M33024" s="9" t="s">
        <v>37</v>
      </c>
    </row>
    <row r="33025" ht="15.75" customHeight="1">
      <c r="A33025" s="7"/>
      <c r="B33025" s="7"/>
      <c r="M33025" s="9" t="s">
        <v>22</v>
      </c>
    </row>
    <row r="33026" ht="15.75" customHeight="1">
      <c r="A33026" s="7"/>
      <c r="B33026" s="7"/>
      <c r="M33026" s="9" t="s">
        <v>27</v>
      </c>
    </row>
    <row r="33027" ht="15.75" customHeight="1">
      <c r="A33027" s="7"/>
      <c r="B33027" s="7"/>
      <c r="M33027" s="9" t="s">
        <v>24</v>
      </c>
    </row>
    <row r="33028" ht="15.75" customHeight="1">
      <c r="A33028" s="7"/>
      <c r="B33028" s="7"/>
      <c r="M33028" s="9" t="s">
        <v>21</v>
      </c>
    </row>
    <row r="33029" ht="15.75" customHeight="1">
      <c r="A33029" s="7"/>
      <c r="B33029" s="7"/>
      <c r="M33029" s="9" t="s">
        <v>37</v>
      </c>
    </row>
    <row r="33030" ht="15.75" customHeight="1">
      <c r="A33030" s="7"/>
      <c r="B33030" s="7"/>
      <c r="M33030" s="9" t="s">
        <v>27</v>
      </c>
    </row>
    <row r="33031" ht="15.75" customHeight="1">
      <c r="A33031" s="7"/>
      <c r="B33031" s="7"/>
      <c r="M33031" s="9" t="s">
        <v>33</v>
      </c>
    </row>
    <row r="33032" ht="15.75" customHeight="1">
      <c r="A33032" s="7"/>
      <c r="B33032" s="7"/>
      <c r="M33032" s="9" t="s">
        <v>35</v>
      </c>
    </row>
    <row r="33033" ht="15.75" customHeight="1">
      <c r="A33033" s="7"/>
      <c r="B33033" s="7"/>
      <c r="M33033" s="9" t="s">
        <v>24</v>
      </c>
    </row>
    <row r="33034" ht="15.75" customHeight="1">
      <c r="A33034" s="7"/>
      <c r="B33034" s="7"/>
      <c r="M33034" s="9" t="s">
        <v>21</v>
      </c>
    </row>
    <row r="33035" ht="15.75" customHeight="1">
      <c r="A33035" s="7"/>
      <c r="B33035" s="7"/>
      <c r="M33035" s="9" t="s">
        <v>24</v>
      </c>
    </row>
    <row r="33036" ht="15.75" customHeight="1">
      <c r="A33036" s="7"/>
      <c r="B33036" s="7"/>
      <c r="M33036" s="9" t="s">
        <v>21</v>
      </c>
    </row>
    <row r="33037" ht="15.75" customHeight="1">
      <c r="A33037" s="7"/>
      <c r="B33037" s="7"/>
      <c r="M33037" s="9" t="s">
        <v>31</v>
      </c>
    </row>
    <row r="33038" ht="15.75" customHeight="1">
      <c r="A33038" s="7"/>
      <c r="B33038" s="7"/>
      <c r="M33038" s="9" t="s">
        <v>26</v>
      </c>
    </row>
    <row r="33039" ht="15.75" customHeight="1">
      <c r="A33039" s="7"/>
      <c r="B33039" s="7"/>
      <c r="M33039" s="9" t="s">
        <v>24</v>
      </c>
    </row>
    <row r="33040" ht="15.75" customHeight="1">
      <c r="A33040" s="7"/>
      <c r="B33040" s="7"/>
      <c r="M33040" s="9" t="s">
        <v>20</v>
      </c>
    </row>
    <row r="33041" ht="15.75" customHeight="1">
      <c r="A33041" s="7"/>
      <c r="B33041" s="7"/>
      <c r="M33041" s="9" t="s">
        <v>21</v>
      </c>
    </row>
    <row r="33042" ht="15.75" customHeight="1">
      <c r="A33042" s="7"/>
      <c r="B33042" s="7"/>
      <c r="M33042" s="9" t="s">
        <v>37</v>
      </c>
    </row>
    <row r="33043" ht="15.75" customHeight="1">
      <c r="A33043" s="7"/>
      <c r="B33043" s="7"/>
      <c r="M33043" s="9" t="s">
        <v>27</v>
      </c>
    </row>
    <row r="33044" ht="15.75" customHeight="1">
      <c r="A33044" s="7"/>
      <c r="B33044" s="7"/>
      <c r="M33044" s="9" t="s">
        <v>23</v>
      </c>
    </row>
    <row r="33045" ht="15.75" customHeight="1">
      <c r="A33045" s="7"/>
      <c r="B33045" s="7"/>
      <c r="M33045" s="9" t="s">
        <v>26</v>
      </c>
    </row>
    <row r="33046" ht="15.75" customHeight="1">
      <c r="A33046" s="7"/>
      <c r="B33046" s="7"/>
      <c r="M33046" s="9" t="s">
        <v>24</v>
      </c>
    </row>
    <row r="33047" ht="15.75" customHeight="1">
      <c r="A33047" s="7"/>
      <c r="B33047" s="7"/>
      <c r="M33047" s="9" t="s">
        <v>20</v>
      </c>
    </row>
    <row r="33048" ht="15.75" customHeight="1">
      <c r="A33048" s="7"/>
      <c r="B33048" s="7"/>
      <c r="M33048" s="9" t="s">
        <v>37</v>
      </c>
    </row>
    <row r="33049" ht="15.75" customHeight="1">
      <c r="A33049" s="7"/>
      <c r="B33049" s="7"/>
      <c r="M33049" s="9" t="s">
        <v>27</v>
      </c>
    </row>
    <row r="33050" ht="15.75" customHeight="1">
      <c r="A33050" s="7"/>
      <c r="B33050" s="7"/>
      <c r="M33050" s="9" t="s">
        <v>28</v>
      </c>
    </row>
    <row r="33051" ht="15.75" customHeight="1">
      <c r="A33051" s="7"/>
      <c r="B33051" s="7"/>
      <c r="M33051" s="9" t="s">
        <v>30</v>
      </c>
    </row>
    <row r="33052" ht="15.75" customHeight="1">
      <c r="A33052" s="7"/>
      <c r="B33052" s="7"/>
      <c r="M33052" s="9" t="s">
        <v>21</v>
      </c>
    </row>
    <row r="33053" ht="15.75" customHeight="1">
      <c r="A33053" s="7"/>
      <c r="B33053" s="7"/>
      <c r="M33053" s="9" t="s">
        <v>37</v>
      </c>
    </row>
    <row r="33054" ht="15.75" customHeight="1">
      <c r="A33054" s="7"/>
      <c r="B33054" s="7"/>
      <c r="M33054" s="9" t="s">
        <v>27</v>
      </c>
    </row>
    <row r="33055" ht="15.75" customHeight="1">
      <c r="A33055" s="7"/>
      <c r="B33055" s="7"/>
      <c r="M33055" s="9" t="s">
        <v>30</v>
      </c>
    </row>
    <row r="33056" ht="15.75" customHeight="1">
      <c r="A33056" s="7"/>
      <c r="B33056" s="7"/>
      <c r="M33056" s="9" t="s">
        <v>26</v>
      </c>
    </row>
    <row r="33057" ht="15.75" customHeight="1">
      <c r="A33057" s="7"/>
      <c r="B33057" s="7"/>
      <c r="M33057" s="9" t="s">
        <v>27</v>
      </c>
    </row>
    <row r="33058" ht="15.75" customHeight="1">
      <c r="A33058" s="7"/>
      <c r="B33058" s="7"/>
      <c r="M33058" s="9" t="s">
        <v>23</v>
      </c>
    </row>
    <row r="33059" ht="15.75" customHeight="1">
      <c r="A33059" s="7"/>
      <c r="B33059" s="7"/>
      <c r="M33059" s="9" t="s">
        <v>24</v>
      </c>
    </row>
    <row r="33060" ht="15.75" customHeight="1">
      <c r="A33060" s="7"/>
      <c r="B33060" s="7"/>
      <c r="M33060" s="9" t="s">
        <v>21</v>
      </c>
    </row>
    <row r="33061" ht="15.75" customHeight="1">
      <c r="A33061" s="7"/>
      <c r="B33061" s="7"/>
      <c r="M33061" s="9" t="s">
        <v>41</v>
      </c>
    </row>
    <row r="33062" ht="15.75" customHeight="1">
      <c r="A33062" s="7"/>
      <c r="B33062" s="7"/>
      <c r="M33062" s="9" t="s">
        <v>22</v>
      </c>
    </row>
    <row r="33063" ht="15.75" customHeight="1">
      <c r="A33063" s="7"/>
      <c r="B33063" s="7"/>
      <c r="M33063" s="9" t="s">
        <v>30</v>
      </c>
    </row>
    <row r="33064" ht="15.75" customHeight="1">
      <c r="A33064" s="7"/>
      <c r="B33064" s="7"/>
      <c r="M33064" s="9" t="s">
        <v>24</v>
      </c>
    </row>
    <row r="33065" ht="15.75" customHeight="1">
      <c r="A33065" s="7"/>
      <c r="B33065" s="7"/>
      <c r="M33065" s="9" t="s">
        <v>21</v>
      </c>
    </row>
    <row r="33066" ht="15.75" customHeight="1">
      <c r="A33066" s="7"/>
      <c r="B33066" s="7"/>
      <c r="M33066" s="9" t="s">
        <v>22</v>
      </c>
    </row>
    <row r="33067" ht="15.75" customHeight="1">
      <c r="A33067" s="7"/>
      <c r="B33067" s="7"/>
      <c r="M33067" s="9" t="s">
        <v>27</v>
      </c>
    </row>
    <row r="33068" ht="15.75" customHeight="1">
      <c r="A33068" s="7"/>
      <c r="B33068" s="7"/>
      <c r="M33068" s="9" t="s">
        <v>24</v>
      </c>
    </row>
    <row r="33069" ht="15.75" customHeight="1">
      <c r="A33069" s="7"/>
      <c r="B33069" s="7"/>
      <c r="M33069" s="9" t="s">
        <v>21</v>
      </c>
    </row>
    <row r="33070" ht="15.75" customHeight="1">
      <c r="A33070" s="7"/>
      <c r="B33070" s="7"/>
      <c r="M33070" s="9" t="s">
        <v>31</v>
      </c>
    </row>
    <row r="33071" ht="15.75" customHeight="1">
      <c r="A33071" s="7"/>
      <c r="B33071" s="7"/>
      <c r="M33071" s="9" t="s">
        <v>27</v>
      </c>
    </row>
    <row r="33072" ht="15.75" customHeight="1">
      <c r="A33072" s="7"/>
      <c r="B33072" s="7"/>
      <c r="M33072" s="9" t="s">
        <v>21</v>
      </c>
    </row>
    <row r="33073" ht="15.75" customHeight="1">
      <c r="A33073" s="7"/>
      <c r="B33073" s="7"/>
      <c r="M33073" s="9" t="s">
        <v>33</v>
      </c>
    </row>
    <row r="33074" ht="15.75" customHeight="1">
      <c r="A33074" s="7"/>
      <c r="B33074" s="7"/>
      <c r="M33074" s="9" t="s">
        <v>36</v>
      </c>
    </row>
    <row r="33075" ht="15.75" customHeight="1">
      <c r="A33075" s="7"/>
      <c r="B33075" s="7"/>
      <c r="M33075" s="9" t="s">
        <v>22</v>
      </c>
    </row>
    <row r="33076" ht="15.75" customHeight="1">
      <c r="A33076" s="7"/>
      <c r="B33076" s="7"/>
      <c r="M33076" s="9" t="s">
        <v>29</v>
      </c>
    </row>
    <row r="33077" ht="15.75" customHeight="1">
      <c r="A33077" s="7"/>
      <c r="B33077" s="7"/>
      <c r="M33077" s="9" t="s">
        <v>30</v>
      </c>
    </row>
    <row r="33078" ht="15.75" customHeight="1">
      <c r="A33078" s="7"/>
      <c r="B33078" s="7"/>
      <c r="M33078" s="9" t="s">
        <v>35</v>
      </c>
    </row>
    <row r="33079" ht="15.75" customHeight="1">
      <c r="A33079" s="7"/>
      <c r="B33079" s="7"/>
      <c r="M33079" s="9" t="s">
        <v>24</v>
      </c>
    </row>
    <row r="33080" ht="15.75" customHeight="1">
      <c r="A33080" s="7"/>
      <c r="B33080" s="7"/>
      <c r="M33080" s="9" t="s">
        <v>21</v>
      </c>
    </row>
    <row r="33081" ht="15.75" customHeight="1">
      <c r="A33081" s="7"/>
      <c r="B33081" s="7"/>
      <c r="M33081" s="9" t="s">
        <v>35</v>
      </c>
    </row>
    <row r="33082" ht="15.75" customHeight="1">
      <c r="A33082" s="7"/>
      <c r="B33082" s="7"/>
      <c r="M33082" s="9" t="s">
        <v>30</v>
      </c>
    </row>
    <row r="33083" ht="15.75" customHeight="1">
      <c r="A33083" s="7"/>
      <c r="B33083" s="7"/>
      <c r="M33083" s="9" t="s">
        <v>47</v>
      </c>
    </row>
    <row r="33084" ht="15.75" customHeight="1">
      <c r="A33084" s="7"/>
      <c r="B33084" s="7"/>
      <c r="M33084" s="9" t="s">
        <v>24</v>
      </c>
    </row>
    <row r="33085" ht="15.75" customHeight="1">
      <c r="A33085" s="7"/>
      <c r="B33085" s="7"/>
      <c r="M33085" s="9" t="s">
        <v>21</v>
      </c>
    </row>
    <row r="33086" ht="15.75" customHeight="1">
      <c r="A33086" s="7"/>
      <c r="B33086" s="7"/>
      <c r="M33086" s="9" t="s">
        <v>37</v>
      </c>
    </row>
    <row r="33087" ht="15.75" customHeight="1">
      <c r="A33087" s="7"/>
      <c r="B33087" s="7"/>
      <c r="M33087" s="9" t="s">
        <v>33</v>
      </c>
    </row>
    <row r="33088" ht="15.75" customHeight="1">
      <c r="A33088" s="7"/>
      <c r="B33088" s="7"/>
      <c r="M33088" s="9" t="s">
        <v>29</v>
      </c>
    </row>
    <row r="33089" ht="15.75" customHeight="1">
      <c r="A33089" s="7"/>
      <c r="B33089" s="7"/>
      <c r="M33089" s="9" t="s">
        <v>27</v>
      </c>
    </row>
    <row r="33090" ht="15.75" customHeight="1">
      <c r="A33090" s="7"/>
      <c r="B33090" s="7"/>
      <c r="M33090" s="9" t="s">
        <v>28</v>
      </c>
    </row>
    <row r="33091" ht="15.75" customHeight="1">
      <c r="A33091" s="7"/>
      <c r="B33091" s="7"/>
      <c r="M33091" s="9" t="s">
        <v>25</v>
      </c>
    </row>
    <row r="33092" ht="15.75" customHeight="1">
      <c r="A33092" s="7"/>
      <c r="B33092" s="7"/>
      <c r="M33092" s="9" t="s">
        <v>24</v>
      </c>
    </row>
    <row r="33093" ht="15.75" customHeight="1">
      <c r="A33093" s="7"/>
      <c r="B33093" s="7"/>
      <c r="M33093" s="9" t="s">
        <v>20</v>
      </c>
    </row>
    <row r="33094" ht="15.75" customHeight="1">
      <c r="A33094" s="7"/>
      <c r="B33094" s="7"/>
      <c r="M33094" s="9" t="s">
        <v>21</v>
      </c>
    </row>
    <row r="33095" ht="15.75" customHeight="1">
      <c r="A33095" s="7"/>
      <c r="B33095" s="7"/>
      <c r="M33095" s="9" t="s">
        <v>37</v>
      </c>
    </row>
    <row r="33096" ht="15.75" customHeight="1">
      <c r="A33096" s="7"/>
      <c r="B33096" s="7"/>
      <c r="M33096" s="9" t="s">
        <v>22</v>
      </c>
    </row>
    <row r="33097" ht="15.75" customHeight="1">
      <c r="A33097" s="7"/>
      <c r="B33097" s="7"/>
      <c r="M33097" s="9" t="s">
        <v>31</v>
      </c>
    </row>
    <row r="33098" ht="15.75" customHeight="1">
      <c r="A33098" s="7"/>
      <c r="B33098" s="7"/>
      <c r="M33098" s="9" t="s">
        <v>27</v>
      </c>
    </row>
    <row r="33099" ht="15.75" customHeight="1">
      <c r="A33099" s="7"/>
      <c r="B33099" s="7"/>
      <c r="M33099" s="9" t="s">
        <v>24</v>
      </c>
    </row>
    <row r="33100" ht="15.75" customHeight="1">
      <c r="A33100" s="7"/>
      <c r="B33100" s="7"/>
      <c r="M33100" s="9" t="s">
        <v>21</v>
      </c>
    </row>
    <row r="33101" ht="15.75" customHeight="1">
      <c r="A33101" s="7"/>
      <c r="B33101" s="7"/>
      <c r="M33101" s="9" t="s">
        <v>37</v>
      </c>
    </row>
    <row r="33102" ht="15.75" customHeight="1">
      <c r="A33102" s="7"/>
      <c r="B33102" s="7"/>
      <c r="M33102" s="9" t="s">
        <v>22</v>
      </c>
    </row>
    <row r="33103" ht="15.75" customHeight="1">
      <c r="A33103" s="7"/>
      <c r="B33103" s="7"/>
      <c r="M33103" s="9" t="s">
        <v>27</v>
      </c>
    </row>
    <row r="33104" ht="15.75" customHeight="1">
      <c r="A33104" s="7"/>
      <c r="B33104" s="7"/>
      <c r="M33104" s="9" t="s">
        <v>33</v>
      </c>
    </row>
    <row r="33105" ht="15.75" customHeight="1">
      <c r="A33105" s="7"/>
      <c r="B33105" s="7"/>
      <c r="M33105" s="9" t="s">
        <v>23</v>
      </c>
    </row>
    <row r="33106" ht="15.75" customHeight="1">
      <c r="A33106" s="7"/>
      <c r="B33106" s="7"/>
      <c r="M33106" s="9" t="s">
        <v>21</v>
      </c>
    </row>
    <row r="33107" ht="15.75" customHeight="1">
      <c r="A33107" s="7"/>
      <c r="B33107" s="7"/>
      <c r="M33107" s="9" t="s">
        <v>32</v>
      </c>
    </row>
    <row r="33108" ht="15.75" customHeight="1">
      <c r="A33108" s="7"/>
      <c r="B33108" s="7"/>
      <c r="M33108" s="9" t="s">
        <v>27</v>
      </c>
    </row>
    <row r="33109" ht="15.75" customHeight="1">
      <c r="A33109" s="7"/>
      <c r="B33109" s="7"/>
      <c r="M33109" s="9" t="s">
        <v>33</v>
      </c>
    </row>
    <row r="33110" ht="15.75" customHeight="1">
      <c r="A33110" s="7"/>
      <c r="B33110" s="7"/>
      <c r="M33110" s="9" t="s">
        <v>24</v>
      </c>
    </row>
    <row r="33111" ht="15.75" customHeight="1">
      <c r="A33111" s="7"/>
      <c r="B33111" s="7"/>
      <c r="M33111" s="9" t="s">
        <v>21</v>
      </c>
    </row>
    <row r="33112" ht="15.75" customHeight="1">
      <c r="A33112" s="7"/>
      <c r="B33112" s="7"/>
      <c r="M33112" s="9" t="s">
        <v>27</v>
      </c>
    </row>
    <row r="33113" ht="15.75" customHeight="1">
      <c r="A33113" s="7"/>
      <c r="B33113" s="7"/>
      <c r="M33113" s="9" t="s">
        <v>35</v>
      </c>
    </row>
    <row r="33114" ht="15.75" customHeight="1">
      <c r="A33114" s="7"/>
      <c r="B33114" s="7"/>
      <c r="M33114" s="9" t="s">
        <v>22</v>
      </c>
    </row>
    <row r="33115" ht="15.75" customHeight="1">
      <c r="A33115" s="7"/>
      <c r="B33115" s="7"/>
      <c r="M33115" s="9" t="s">
        <v>23</v>
      </c>
    </row>
    <row r="33116" ht="15.75" customHeight="1">
      <c r="A33116" s="7"/>
      <c r="B33116" s="7"/>
      <c r="M33116" s="9" t="s">
        <v>24</v>
      </c>
    </row>
    <row r="33117" ht="15.75" customHeight="1">
      <c r="A33117" s="7"/>
      <c r="B33117" s="7"/>
      <c r="M33117" s="9" t="s">
        <v>20</v>
      </c>
    </row>
    <row r="33118" ht="15.75" customHeight="1">
      <c r="A33118" s="7"/>
      <c r="B33118" s="7"/>
      <c r="M33118" s="9" t="s">
        <v>21</v>
      </c>
    </row>
    <row r="33119" ht="15.75" customHeight="1">
      <c r="A33119" s="7"/>
      <c r="B33119" s="7"/>
      <c r="M33119" s="9" t="s">
        <v>37</v>
      </c>
    </row>
    <row r="33120" ht="15.75" customHeight="1">
      <c r="A33120" s="7"/>
      <c r="B33120" s="7"/>
      <c r="M33120" s="9" t="s">
        <v>22</v>
      </c>
    </row>
    <row r="33121" ht="15.75" customHeight="1">
      <c r="A33121" s="7"/>
      <c r="B33121" s="7"/>
      <c r="M33121" s="9" t="s">
        <v>27</v>
      </c>
    </row>
    <row r="33122" ht="15.75" customHeight="1">
      <c r="A33122" s="7"/>
      <c r="B33122" s="7"/>
      <c r="M33122" s="9" t="s">
        <v>22</v>
      </c>
    </row>
    <row r="33123" ht="15.75" customHeight="1">
      <c r="A33123" s="7"/>
      <c r="B33123" s="7"/>
      <c r="M33123" s="9" t="s">
        <v>24</v>
      </c>
    </row>
    <row r="33124" ht="15.75" customHeight="1">
      <c r="A33124" s="7"/>
      <c r="B33124" s="7"/>
      <c r="M33124" s="9" t="s">
        <v>21</v>
      </c>
    </row>
    <row r="33125" ht="15.75" customHeight="1">
      <c r="A33125" s="7"/>
      <c r="B33125" s="7"/>
      <c r="M33125" s="9" t="s">
        <v>37</v>
      </c>
    </row>
    <row r="33126" ht="15.75" customHeight="1">
      <c r="A33126" s="7"/>
      <c r="B33126" s="7"/>
      <c r="M33126" s="9" t="s">
        <v>26</v>
      </c>
    </row>
    <row r="33127" ht="15.75" customHeight="1">
      <c r="A33127" s="7"/>
      <c r="B33127" s="7"/>
      <c r="M33127" s="9" t="s">
        <v>22</v>
      </c>
    </row>
    <row r="33128" ht="15.75" customHeight="1">
      <c r="A33128" s="7"/>
      <c r="B33128" s="7"/>
      <c r="M33128" s="9" t="s">
        <v>35</v>
      </c>
    </row>
    <row r="33129" ht="15.75" customHeight="1">
      <c r="A33129" s="7"/>
      <c r="B33129" s="7"/>
      <c r="M33129" s="9" t="s">
        <v>30</v>
      </c>
    </row>
    <row r="33130" ht="15.75" customHeight="1">
      <c r="A33130" s="7"/>
      <c r="B33130" s="7"/>
      <c r="M33130" s="9" t="s">
        <v>26</v>
      </c>
    </row>
    <row r="33131" ht="15.75" customHeight="1">
      <c r="A33131" s="7"/>
      <c r="B33131" s="7"/>
      <c r="M33131" s="9" t="s">
        <v>20</v>
      </c>
    </row>
    <row r="33132" ht="15.75" customHeight="1">
      <c r="A33132" s="7"/>
      <c r="B33132" s="7"/>
      <c r="M33132" s="9" t="s">
        <v>20</v>
      </c>
    </row>
    <row r="33133" ht="15.75" customHeight="1">
      <c r="A33133" s="7"/>
      <c r="B33133" s="7"/>
      <c r="M33133" s="9" t="s">
        <v>21</v>
      </c>
    </row>
    <row r="33134" ht="15.75" customHeight="1">
      <c r="A33134" s="7"/>
      <c r="B33134" s="7"/>
      <c r="M33134" s="9" t="s">
        <v>39</v>
      </c>
    </row>
    <row r="33135" ht="15.75" customHeight="1">
      <c r="A33135" s="7"/>
      <c r="B33135" s="7"/>
      <c r="M33135" s="9" t="s">
        <v>27</v>
      </c>
    </row>
    <row r="33136" ht="15.75" customHeight="1">
      <c r="A33136" s="7"/>
      <c r="B33136" s="7"/>
      <c r="M33136" s="9" t="s">
        <v>30</v>
      </c>
    </row>
    <row r="33137" ht="15.75" customHeight="1">
      <c r="A33137" s="7"/>
      <c r="B33137" s="7"/>
      <c r="M33137" s="9" t="s">
        <v>24</v>
      </c>
    </row>
    <row r="33138" ht="15.75" customHeight="1">
      <c r="A33138" s="7"/>
      <c r="B33138" s="7"/>
      <c r="M33138" s="9" t="s">
        <v>20</v>
      </c>
    </row>
    <row r="33139" ht="15.75" customHeight="1">
      <c r="A33139" s="7"/>
      <c r="B33139" s="7"/>
      <c r="M33139" s="9" t="s">
        <v>21</v>
      </c>
    </row>
    <row r="33140" ht="15.75" customHeight="1">
      <c r="A33140" s="7"/>
      <c r="B33140" s="7"/>
      <c r="M33140" s="9" t="s">
        <v>37</v>
      </c>
    </row>
    <row r="33141" ht="15.75" customHeight="1">
      <c r="A33141" s="7"/>
      <c r="B33141" s="7"/>
      <c r="M33141" s="9" t="s">
        <v>22</v>
      </c>
    </row>
    <row r="33142" ht="15.75" customHeight="1">
      <c r="A33142" s="7"/>
      <c r="B33142" s="7"/>
      <c r="M33142" s="9" t="s">
        <v>38</v>
      </c>
    </row>
    <row r="33143" ht="15.75" customHeight="1">
      <c r="A33143" s="7"/>
      <c r="B33143" s="7"/>
      <c r="M33143" s="9" t="s">
        <v>30</v>
      </c>
    </row>
    <row r="33144" ht="15.75" customHeight="1">
      <c r="A33144" s="7"/>
      <c r="B33144" s="7"/>
      <c r="M33144" s="9" t="s">
        <v>25</v>
      </c>
    </row>
    <row r="33145" ht="15.75" customHeight="1">
      <c r="A33145" s="7"/>
      <c r="B33145" s="7"/>
      <c r="M33145" s="9" t="s">
        <v>23</v>
      </c>
    </row>
    <row r="33146" ht="15.75" customHeight="1">
      <c r="A33146" s="7"/>
      <c r="B33146" s="7"/>
      <c r="M33146" s="9" t="s">
        <v>24</v>
      </c>
    </row>
    <row r="33147" ht="15.75" customHeight="1">
      <c r="A33147" s="7"/>
      <c r="B33147" s="7"/>
      <c r="M33147" s="9" t="s">
        <v>21</v>
      </c>
    </row>
    <row r="33148" ht="15.75" customHeight="1">
      <c r="A33148" s="7"/>
      <c r="B33148" s="7"/>
      <c r="M33148" s="9" t="s">
        <v>37</v>
      </c>
    </row>
    <row r="33149" ht="15.75" customHeight="1">
      <c r="A33149" s="7"/>
      <c r="B33149" s="7"/>
      <c r="M33149" s="9" t="s">
        <v>22</v>
      </c>
    </row>
    <row r="33150" ht="15.75" customHeight="1">
      <c r="A33150" s="7"/>
      <c r="B33150" s="7"/>
      <c r="M33150" s="9" t="s">
        <v>27</v>
      </c>
    </row>
    <row r="33151" ht="15.75" customHeight="1">
      <c r="A33151" s="7"/>
      <c r="B33151" s="7"/>
      <c r="M33151" s="9" t="s">
        <v>21</v>
      </c>
    </row>
    <row r="33152" ht="15.75" customHeight="1">
      <c r="A33152" s="7"/>
      <c r="B33152" s="7"/>
      <c r="M33152" s="9" t="s">
        <v>37</v>
      </c>
    </row>
    <row r="33153" ht="15.75" customHeight="1">
      <c r="A33153" s="7"/>
      <c r="B33153" s="7"/>
      <c r="M33153" s="9" t="s">
        <v>27</v>
      </c>
    </row>
    <row r="33154" ht="15.75" customHeight="1">
      <c r="A33154" s="7"/>
      <c r="B33154" s="7"/>
      <c r="M33154" s="9" t="s">
        <v>24</v>
      </c>
    </row>
    <row r="33155" ht="15.75" customHeight="1">
      <c r="A33155" s="7"/>
      <c r="B33155" s="7"/>
      <c r="M33155" s="9" t="s">
        <v>21</v>
      </c>
    </row>
    <row r="33156" ht="15.75" customHeight="1">
      <c r="A33156" s="7"/>
      <c r="B33156" s="7"/>
      <c r="M33156" s="9" t="s">
        <v>27</v>
      </c>
    </row>
    <row r="33157" ht="15.75" customHeight="1">
      <c r="A33157" s="7"/>
      <c r="B33157" s="7"/>
      <c r="M33157" s="9" t="s">
        <v>30</v>
      </c>
    </row>
    <row r="33158" ht="15.75" customHeight="1">
      <c r="A33158" s="7"/>
      <c r="B33158" s="7"/>
      <c r="M33158" s="9" t="s">
        <v>23</v>
      </c>
    </row>
    <row r="33159" ht="15.75" customHeight="1">
      <c r="A33159" s="7"/>
      <c r="B33159" s="7"/>
      <c r="M33159" s="9" t="s">
        <v>24</v>
      </c>
    </row>
    <row r="33160" ht="15.75" customHeight="1">
      <c r="A33160" s="7"/>
      <c r="B33160" s="7"/>
      <c r="M33160" s="9" t="s">
        <v>20</v>
      </c>
    </row>
    <row r="33161" ht="15.75" customHeight="1">
      <c r="A33161" s="7"/>
      <c r="B33161" s="7"/>
      <c r="M33161" s="9" t="s">
        <v>21</v>
      </c>
    </row>
    <row r="33162" ht="15.75" customHeight="1">
      <c r="A33162" s="7"/>
      <c r="B33162" s="7"/>
      <c r="M33162" s="9" t="s">
        <v>39</v>
      </c>
    </row>
    <row r="33163" ht="15.75" customHeight="1">
      <c r="A33163" s="7"/>
      <c r="B33163" s="7"/>
      <c r="M33163" s="9" t="s">
        <v>41</v>
      </c>
    </row>
    <row r="33164" ht="15.75" customHeight="1">
      <c r="A33164" s="7"/>
      <c r="B33164" s="7"/>
      <c r="M33164" s="9" t="s">
        <v>22</v>
      </c>
    </row>
    <row r="33165" ht="15.75" customHeight="1">
      <c r="A33165" s="7"/>
      <c r="B33165" s="7"/>
      <c r="M33165" s="9" t="s">
        <v>27</v>
      </c>
    </row>
    <row r="33166" ht="15.75" customHeight="1">
      <c r="A33166" s="7"/>
      <c r="B33166" s="7"/>
      <c r="M33166" s="9" t="s">
        <v>40</v>
      </c>
    </row>
    <row r="33167" ht="15.75" customHeight="1">
      <c r="A33167" s="7"/>
      <c r="B33167" s="7"/>
      <c r="M33167" s="9" t="s">
        <v>30</v>
      </c>
    </row>
    <row r="33168" ht="15.75" customHeight="1">
      <c r="A33168" s="7"/>
      <c r="B33168" s="7"/>
      <c r="M33168" s="9" t="s">
        <v>26</v>
      </c>
    </row>
    <row r="33169" ht="15.75" customHeight="1">
      <c r="A33169" s="7"/>
      <c r="B33169" s="7"/>
      <c r="M33169" s="9" t="s">
        <v>24</v>
      </c>
    </row>
    <row r="33170" ht="15.75" customHeight="1">
      <c r="A33170" s="7"/>
      <c r="B33170" s="7"/>
      <c r="M33170" s="9" t="s">
        <v>21</v>
      </c>
    </row>
    <row r="33171" ht="15.75" customHeight="1">
      <c r="A33171" s="7"/>
      <c r="B33171" s="7"/>
      <c r="M33171" s="9" t="s">
        <v>27</v>
      </c>
    </row>
    <row r="33172" ht="15.75" customHeight="1">
      <c r="A33172" s="7"/>
      <c r="B33172" s="7"/>
      <c r="M33172" s="9" t="s">
        <v>33</v>
      </c>
    </row>
    <row r="33173" ht="15.75" customHeight="1">
      <c r="A33173" s="7"/>
      <c r="B33173" s="7"/>
      <c r="M33173" s="9" t="s">
        <v>26</v>
      </c>
    </row>
    <row r="33174" ht="15.75" customHeight="1">
      <c r="A33174" s="7"/>
      <c r="B33174" s="7"/>
      <c r="M33174" s="9" t="s">
        <v>24</v>
      </c>
    </row>
    <row r="33175" ht="15.75" customHeight="1">
      <c r="A33175" s="7"/>
      <c r="B33175" s="7"/>
      <c r="M33175" s="9" t="s">
        <v>21</v>
      </c>
    </row>
    <row r="33176" ht="15.75" customHeight="1">
      <c r="A33176" s="7"/>
      <c r="B33176" s="7"/>
      <c r="M33176" s="9" t="s">
        <v>27</v>
      </c>
    </row>
    <row r="33177" ht="15.75" customHeight="1">
      <c r="A33177" s="7"/>
      <c r="B33177" s="7"/>
      <c r="M33177" s="9" t="s">
        <v>33</v>
      </c>
    </row>
    <row r="33178" ht="15.75" customHeight="1">
      <c r="A33178" s="7"/>
      <c r="B33178" s="7"/>
      <c r="M33178" s="9" t="s">
        <v>30</v>
      </c>
    </row>
    <row r="33179" ht="15.75" customHeight="1">
      <c r="A33179" s="7"/>
      <c r="B33179" s="7"/>
      <c r="M33179" s="9" t="s">
        <v>25</v>
      </c>
    </row>
    <row r="33180" ht="15.75" customHeight="1">
      <c r="A33180" s="7"/>
      <c r="B33180" s="7"/>
      <c r="M33180" s="9" t="s">
        <v>23</v>
      </c>
    </row>
    <row r="33181" ht="15.75" customHeight="1">
      <c r="A33181" s="7"/>
      <c r="B33181" s="7"/>
      <c r="M33181" s="9" t="s">
        <v>24</v>
      </c>
    </row>
    <row r="33182" ht="15.75" customHeight="1">
      <c r="A33182" s="7"/>
      <c r="B33182" s="7"/>
      <c r="M33182" s="9" t="s">
        <v>20</v>
      </c>
    </row>
    <row r="33183" ht="15.75" customHeight="1">
      <c r="A33183" s="7"/>
      <c r="B33183" s="7"/>
      <c r="M33183" s="9" t="s">
        <v>21</v>
      </c>
    </row>
    <row r="33184" ht="15.75" customHeight="1">
      <c r="A33184" s="7"/>
      <c r="B33184" s="7"/>
      <c r="M33184" s="9" t="s">
        <v>22</v>
      </c>
    </row>
    <row r="33185" ht="15.75" customHeight="1">
      <c r="A33185" s="7"/>
      <c r="B33185" s="7"/>
      <c r="M33185" s="9" t="s">
        <v>29</v>
      </c>
    </row>
    <row r="33186" ht="15.75" customHeight="1">
      <c r="A33186" s="7"/>
      <c r="B33186" s="7"/>
      <c r="M33186" s="9" t="s">
        <v>46</v>
      </c>
    </row>
    <row r="33187" ht="15.75" customHeight="1">
      <c r="A33187" s="7"/>
      <c r="B33187" s="7"/>
      <c r="M33187" s="9" t="s">
        <v>27</v>
      </c>
    </row>
    <row r="33188" ht="15.75" customHeight="1">
      <c r="A33188" s="7"/>
      <c r="B33188" s="7"/>
      <c r="M33188" s="9" t="s">
        <v>35</v>
      </c>
    </row>
    <row r="33189" ht="15.75" customHeight="1">
      <c r="A33189" s="7"/>
      <c r="B33189" s="7"/>
      <c r="M33189" s="9" t="s">
        <v>30</v>
      </c>
    </row>
    <row r="33190" ht="15.75" customHeight="1">
      <c r="A33190" s="7"/>
      <c r="B33190" s="7"/>
      <c r="M33190" s="9" t="s">
        <v>25</v>
      </c>
    </row>
    <row r="33191" ht="15.75" customHeight="1">
      <c r="A33191" s="7"/>
      <c r="B33191" s="7"/>
      <c r="M33191" s="9" t="s">
        <v>41</v>
      </c>
    </row>
    <row r="33192" ht="15.75" customHeight="1">
      <c r="A33192" s="7"/>
      <c r="B33192" s="7"/>
      <c r="M33192" s="9" t="s">
        <v>37</v>
      </c>
    </row>
    <row r="33193" ht="15.75" customHeight="1">
      <c r="A33193" s="7"/>
      <c r="B33193" s="7"/>
      <c r="M33193" s="9" t="s">
        <v>40</v>
      </c>
    </row>
    <row r="33194" ht="15.75" customHeight="1">
      <c r="A33194" s="7"/>
      <c r="B33194" s="7"/>
      <c r="M33194" s="9" t="s">
        <v>38</v>
      </c>
    </row>
    <row r="33195" ht="15.75" customHeight="1">
      <c r="A33195" s="7"/>
      <c r="B33195" s="7"/>
      <c r="M33195" s="9" t="s">
        <v>25</v>
      </c>
    </row>
    <row r="33196" ht="15.75" customHeight="1">
      <c r="A33196" s="7"/>
      <c r="B33196" s="7"/>
      <c r="M33196" s="9" t="s">
        <v>23</v>
      </c>
    </row>
    <row r="33197" ht="15.75" customHeight="1">
      <c r="A33197" s="7"/>
      <c r="B33197" s="7"/>
      <c r="M33197" s="9" t="s">
        <v>26</v>
      </c>
    </row>
    <row r="33198" ht="15.75" customHeight="1">
      <c r="A33198" s="7"/>
      <c r="B33198" s="7"/>
      <c r="M33198" s="9" t="s">
        <v>24</v>
      </c>
    </row>
    <row r="33199" ht="15.75" customHeight="1">
      <c r="A33199" s="7"/>
      <c r="B33199" s="7"/>
      <c r="M33199" s="9" t="s">
        <v>20</v>
      </c>
    </row>
    <row r="33200" ht="15.75" customHeight="1">
      <c r="A33200" s="7"/>
      <c r="B33200" s="7"/>
      <c r="M33200" s="9" t="s">
        <v>21</v>
      </c>
    </row>
    <row r="33201" ht="15.75" customHeight="1">
      <c r="A33201" s="7"/>
      <c r="B33201" s="7"/>
      <c r="M33201" s="9" t="s">
        <v>22</v>
      </c>
    </row>
    <row r="33202" ht="15.75" customHeight="1">
      <c r="A33202" s="7"/>
      <c r="B33202" s="7"/>
      <c r="M33202" s="9" t="s">
        <v>27</v>
      </c>
    </row>
    <row r="33203" ht="15.75" customHeight="1">
      <c r="A33203" s="7"/>
      <c r="B33203" s="7"/>
      <c r="M33203" s="9" t="s">
        <v>30</v>
      </c>
    </row>
    <row r="33204" ht="15.75" customHeight="1">
      <c r="A33204" s="7"/>
      <c r="B33204" s="7"/>
      <c r="M33204" s="9" t="s">
        <v>25</v>
      </c>
    </row>
    <row r="33205" ht="15.75" customHeight="1">
      <c r="A33205" s="7"/>
      <c r="B33205" s="7"/>
      <c r="M33205" s="9" t="s">
        <v>23</v>
      </c>
    </row>
    <row r="33206" ht="15.75" customHeight="1">
      <c r="A33206" s="7"/>
      <c r="B33206" s="7"/>
      <c r="M33206" s="9" t="s">
        <v>24</v>
      </c>
    </row>
    <row r="33207" ht="15.75" customHeight="1">
      <c r="A33207" s="7"/>
      <c r="B33207" s="7"/>
      <c r="M33207" s="9" t="s">
        <v>37</v>
      </c>
    </row>
    <row r="33208" ht="15.75" customHeight="1">
      <c r="A33208" s="7"/>
      <c r="B33208" s="7"/>
      <c r="M33208" s="9" t="s">
        <v>22</v>
      </c>
    </row>
    <row r="33209" ht="15.75" customHeight="1">
      <c r="A33209" s="7"/>
      <c r="B33209" s="7"/>
      <c r="M33209" s="9" t="s">
        <v>31</v>
      </c>
    </row>
    <row r="33210" ht="15.75" customHeight="1">
      <c r="A33210" s="7"/>
      <c r="B33210" s="7"/>
      <c r="M33210" s="9" t="s">
        <v>27</v>
      </c>
    </row>
    <row r="33211" ht="15.75" customHeight="1">
      <c r="A33211" s="7"/>
      <c r="B33211" s="7"/>
      <c r="M33211" s="9" t="s">
        <v>23</v>
      </c>
    </row>
    <row r="33212" ht="15.75" customHeight="1">
      <c r="A33212" s="7"/>
      <c r="B33212" s="7"/>
      <c r="M33212" s="9" t="s">
        <v>24</v>
      </c>
    </row>
    <row r="33213" ht="15.75" customHeight="1">
      <c r="A33213" s="7"/>
      <c r="B33213" s="7"/>
      <c r="M33213" s="9" t="s">
        <v>20</v>
      </c>
    </row>
    <row r="33214" ht="15.75" customHeight="1">
      <c r="A33214" s="7"/>
      <c r="B33214" s="7"/>
      <c r="M33214" s="9" t="s">
        <v>27</v>
      </c>
    </row>
    <row r="33215" ht="15.75" customHeight="1">
      <c r="A33215" s="7"/>
      <c r="B33215" s="7"/>
      <c r="M33215" s="9" t="s">
        <v>38</v>
      </c>
    </row>
    <row r="33216" ht="15.75" customHeight="1">
      <c r="A33216" s="7"/>
      <c r="B33216" s="7"/>
      <c r="M33216" s="9" t="s">
        <v>30</v>
      </c>
    </row>
    <row r="33217" ht="15.75" customHeight="1">
      <c r="A33217" s="7"/>
      <c r="B33217" s="7"/>
      <c r="M33217" s="9" t="s">
        <v>25</v>
      </c>
    </row>
    <row r="33218" ht="15.75" customHeight="1">
      <c r="A33218" s="7"/>
      <c r="B33218" s="7"/>
      <c r="M33218" s="9" t="s">
        <v>23</v>
      </c>
    </row>
    <row r="33219" ht="15.75" customHeight="1">
      <c r="A33219" s="7"/>
      <c r="B33219" s="7"/>
      <c r="M33219" s="9" t="s">
        <v>20</v>
      </c>
    </row>
    <row r="33220" ht="15.75" customHeight="1">
      <c r="A33220" s="7"/>
      <c r="B33220" s="7"/>
      <c r="M33220" s="9" t="s">
        <v>26</v>
      </c>
    </row>
    <row r="33221" ht="15.75" customHeight="1">
      <c r="A33221" s="7"/>
      <c r="B33221" s="7"/>
      <c r="M33221" s="9" t="s">
        <v>47</v>
      </c>
    </row>
    <row r="33222" ht="15.75" customHeight="1">
      <c r="A33222" s="7"/>
      <c r="B33222" s="7"/>
      <c r="M33222" s="9" t="s">
        <v>45</v>
      </c>
    </row>
    <row r="33223" ht="15.75" customHeight="1">
      <c r="A33223" s="7"/>
      <c r="B33223" s="7"/>
      <c r="M33223" s="9" t="s">
        <v>24</v>
      </c>
    </row>
    <row r="33224" ht="15.75" customHeight="1">
      <c r="A33224" s="7"/>
      <c r="B33224" s="7"/>
      <c r="M33224" s="9" t="s">
        <v>21</v>
      </c>
    </row>
    <row r="33225" ht="15.75" customHeight="1">
      <c r="A33225" s="7"/>
      <c r="B33225" s="7"/>
      <c r="M33225" s="9" t="s">
        <v>37</v>
      </c>
    </row>
    <row r="33226" ht="15.75" customHeight="1">
      <c r="A33226" s="7"/>
      <c r="B33226" s="7"/>
      <c r="M33226" s="9" t="s">
        <v>27</v>
      </c>
    </row>
    <row r="33227" ht="15.75" customHeight="1">
      <c r="A33227" s="7"/>
      <c r="B33227" s="7"/>
      <c r="M33227" s="9" t="s">
        <v>34</v>
      </c>
    </row>
    <row r="33228" ht="15.75" customHeight="1">
      <c r="A33228" s="7"/>
      <c r="B33228" s="7"/>
      <c r="M33228" s="9" t="s">
        <v>24</v>
      </c>
    </row>
    <row r="33229" ht="15.75" customHeight="1">
      <c r="A33229" s="7"/>
      <c r="B33229" s="7"/>
      <c r="M33229" s="9" t="s">
        <v>21</v>
      </c>
    </row>
    <row r="33230" ht="15.75" customHeight="1">
      <c r="A33230" s="7"/>
      <c r="B33230" s="7"/>
      <c r="M33230" s="9" t="s">
        <v>37</v>
      </c>
    </row>
    <row r="33231" ht="15.75" customHeight="1">
      <c r="A33231" s="7"/>
      <c r="B33231" s="7"/>
      <c r="M33231" s="9" t="s">
        <v>27</v>
      </c>
    </row>
    <row r="33232" ht="15.75" customHeight="1">
      <c r="A33232" s="7"/>
      <c r="B33232" s="7"/>
      <c r="M33232" s="9" t="s">
        <v>30</v>
      </c>
    </row>
    <row r="33233" ht="15.75" customHeight="1">
      <c r="A33233" s="7"/>
      <c r="B33233" s="7"/>
      <c r="M33233" s="9" t="s">
        <v>31</v>
      </c>
    </row>
    <row r="33234" ht="15.75" customHeight="1">
      <c r="A33234" s="7"/>
      <c r="B33234" s="7"/>
      <c r="M33234" s="9" t="s">
        <v>27</v>
      </c>
    </row>
    <row r="33235" ht="15.75" customHeight="1">
      <c r="A33235" s="7"/>
      <c r="B33235" s="7"/>
      <c r="M33235" s="9" t="s">
        <v>30</v>
      </c>
    </row>
    <row r="33236" ht="15.75" customHeight="1">
      <c r="A33236" s="7"/>
      <c r="B33236" s="7"/>
      <c r="M33236" s="9" t="s">
        <v>25</v>
      </c>
    </row>
    <row r="33237" ht="15.75" customHeight="1">
      <c r="A33237" s="7"/>
      <c r="B33237" s="7"/>
      <c r="M33237" s="9" t="s">
        <v>23</v>
      </c>
    </row>
    <row r="33238" ht="15.75" customHeight="1">
      <c r="A33238" s="7"/>
      <c r="B33238" s="7"/>
      <c r="M33238" s="9" t="s">
        <v>41</v>
      </c>
    </row>
    <row r="33239" ht="15.75" customHeight="1">
      <c r="A33239" s="7"/>
      <c r="B33239" s="7"/>
      <c r="M33239" s="9" t="s">
        <v>22</v>
      </c>
    </row>
    <row r="33240" ht="15.75" customHeight="1">
      <c r="A33240" s="7"/>
      <c r="B33240" s="7"/>
      <c r="M33240" s="9" t="s">
        <v>40</v>
      </c>
    </row>
    <row r="33241" ht="15.75" customHeight="1">
      <c r="A33241" s="7"/>
      <c r="B33241" s="7"/>
      <c r="M33241" s="9" t="s">
        <v>47</v>
      </c>
    </row>
    <row r="33242" ht="15.75" customHeight="1">
      <c r="A33242" s="7"/>
      <c r="B33242" s="7"/>
      <c r="M33242" s="9" t="s">
        <v>20</v>
      </c>
    </row>
    <row r="33243" ht="15.75" customHeight="1">
      <c r="A33243" s="7"/>
      <c r="B33243" s="7"/>
      <c r="M33243" s="9" t="s">
        <v>39</v>
      </c>
    </row>
    <row r="33244" ht="15.75" customHeight="1">
      <c r="A33244" s="7"/>
      <c r="B33244" s="7"/>
      <c r="M33244" s="9" t="s">
        <v>30</v>
      </c>
    </row>
    <row r="33245" ht="15.75" customHeight="1">
      <c r="A33245" s="7"/>
      <c r="B33245" s="7"/>
      <c r="M33245" s="9" t="s">
        <v>23</v>
      </c>
    </row>
    <row r="33246" ht="15.75" customHeight="1">
      <c r="A33246" s="7"/>
      <c r="B33246" s="7"/>
      <c r="M33246" s="9" t="s">
        <v>26</v>
      </c>
    </row>
    <row r="33247" ht="15.75" customHeight="1">
      <c r="A33247" s="7"/>
      <c r="B33247" s="7"/>
      <c r="M33247" s="9" t="s">
        <v>24</v>
      </c>
    </row>
    <row r="33248" ht="15.75" customHeight="1">
      <c r="A33248" s="7"/>
      <c r="B33248" s="7"/>
      <c r="M33248" s="9" t="s">
        <v>41</v>
      </c>
    </row>
    <row r="33249" ht="15.75" customHeight="1">
      <c r="A33249" s="7"/>
      <c r="B33249" s="7"/>
      <c r="M33249" s="9" t="s">
        <v>40</v>
      </c>
    </row>
    <row r="33250" ht="15.75" customHeight="1">
      <c r="A33250" s="7"/>
      <c r="B33250" s="7"/>
      <c r="M33250" s="9" t="s">
        <v>30</v>
      </c>
    </row>
    <row r="33251" ht="15.75" customHeight="1">
      <c r="A33251" s="7"/>
      <c r="B33251" s="7"/>
      <c r="M33251" s="9" t="s">
        <v>25</v>
      </c>
    </row>
    <row r="33252" ht="15.75" customHeight="1">
      <c r="A33252" s="7"/>
      <c r="B33252" s="7"/>
      <c r="M33252" s="9" t="s">
        <v>20</v>
      </c>
    </row>
    <row r="33253" ht="15.75" customHeight="1">
      <c r="A33253" s="7"/>
      <c r="B33253" s="7"/>
      <c r="M33253" s="9" t="s">
        <v>22</v>
      </c>
    </row>
    <row r="33254" ht="15.75" customHeight="1">
      <c r="A33254" s="7"/>
      <c r="B33254" s="7"/>
      <c r="M33254" s="9" t="s">
        <v>40</v>
      </c>
    </row>
    <row r="33255" ht="15.75" customHeight="1">
      <c r="A33255" s="7"/>
      <c r="B33255" s="7"/>
      <c r="M33255" s="9" t="s">
        <v>30</v>
      </c>
    </row>
    <row r="33256" ht="15.75" customHeight="1">
      <c r="A33256" s="7"/>
      <c r="B33256" s="7"/>
      <c r="M33256" s="9" t="s">
        <v>44</v>
      </c>
    </row>
    <row r="33257" ht="15.75" customHeight="1">
      <c r="A33257" s="7"/>
      <c r="B33257" s="7"/>
      <c r="M33257" s="9" t="s">
        <v>42</v>
      </c>
    </row>
    <row r="33258" ht="15.75" customHeight="1">
      <c r="A33258" s="7"/>
      <c r="B33258" s="7"/>
      <c r="M33258" s="9" t="s">
        <v>43</v>
      </c>
    </row>
    <row r="33259" ht="15.75" customHeight="1">
      <c r="A33259" s="7"/>
      <c r="B33259" s="7"/>
      <c r="M33259" s="9" t="s">
        <v>36</v>
      </c>
    </row>
    <row r="33260" ht="15.75" customHeight="1">
      <c r="A33260" s="7"/>
      <c r="B33260" s="7"/>
      <c r="M33260" s="9" t="s">
        <v>20</v>
      </c>
    </row>
    <row r="33261" ht="15.75" customHeight="1">
      <c r="A33261" s="7"/>
      <c r="B33261" s="7"/>
      <c r="M33261" s="9" t="s">
        <v>39</v>
      </c>
    </row>
    <row r="33262" ht="15.75" customHeight="1">
      <c r="A33262" s="7"/>
      <c r="B33262" s="7"/>
      <c r="M33262" s="9" t="s">
        <v>31</v>
      </c>
    </row>
    <row r="33263" ht="15.75" customHeight="1">
      <c r="A33263" s="7"/>
      <c r="B33263" s="7"/>
      <c r="M33263" s="9" t="s">
        <v>32</v>
      </c>
    </row>
    <row r="33264" ht="15.75" customHeight="1">
      <c r="A33264" s="7"/>
      <c r="B33264" s="7"/>
      <c r="M33264" s="9" t="s">
        <v>46</v>
      </c>
    </row>
    <row r="33265" ht="15.75" customHeight="1">
      <c r="A33265" s="7"/>
      <c r="B33265" s="7"/>
      <c r="M33265" s="9" t="s">
        <v>30</v>
      </c>
    </row>
    <row r="33266" ht="15.75" customHeight="1">
      <c r="A33266" s="7"/>
      <c r="B33266" s="7"/>
      <c r="M33266" s="9" t="s">
        <v>24</v>
      </c>
    </row>
    <row r="33267" ht="15.75" customHeight="1">
      <c r="A33267" s="7"/>
      <c r="B33267" s="7"/>
      <c r="M33267" s="9" t="s">
        <v>21</v>
      </c>
    </row>
    <row r="33268" ht="15.75" customHeight="1">
      <c r="A33268" s="7"/>
      <c r="B33268" s="7"/>
      <c r="M33268" s="9" t="s">
        <v>31</v>
      </c>
    </row>
    <row r="33269" ht="15.75" customHeight="1">
      <c r="A33269" s="7"/>
      <c r="B33269" s="7"/>
      <c r="M33269" s="9" t="s">
        <v>27</v>
      </c>
    </row>
    <row r="33270" ht="15.75" customHeight="1">
      <c r="A33270" s="7"/>
      <c r="B33270" s="7"/>
      <c r="M33270" s="9" t="s">
        <v>30</v>
      </c>
    </row>
    <row r="33271" ht="15.75" customHeight="1">
      <c r="A33271" s="7"/>
      <c r="B33271" s="7"/>
      <c r="M33271" s="9" t="s">
        <v>24</v>
      </c>
    </row>
    <row r="33272" ht="15.75" customHeight="1">
      <c r="A33272" s="7"/>
      <c r="B33272" s="7"/>
      <c r="M33272" s="9" t="s">
        <v>20</v>
      </c>
    </row>
    <row r="33273" ht="15.75" customHeight="1">
      <c r="A33273" s="7"/>
      <c r="B33273" s="7"/>
      <c r="M33273" s="9" t="s">
        <v>21</v>
      </c>
    </row>
    <row r="33274" ht="15.75" customHeight="1">
      <c r="A33274" s="7"/>
      <c r="B33274" s="7"/>
      <c r="M33274" s="9" t="s">
        <v>37</v>
      </c>
    </row>
    <row r="33275" ht="15.75" customHeight="1">
      <c r="A33275" s="7"/>
      <c r="B33275" s="7"/>
      <c r="M33275" s="9" t="s">
        <v>22</v>
      </c>
    </row>
    <row r="33276" ht="15.75" customHeight="1">
      <c r="A33276" s="7"/>
      <c r="B33276" s="7"/>
      <c r="M33276" s="9" t="s">
        <v>27</v>
      </c>
    </row>
    <row r="33277" ht="15.75" customHeight="1">
      <c r="A33277" s="7"/>
      <c r="B33277" s="7"/>
      <c r="M33277" s="9" t="s">
        <v>40</v>
      </c>
    </row>
    <row r="33278" ht="15.75" customHeight="1">
      <c r="A33278" s="7"/>
      <c r="B33278" s="7"/>
      <c r="M33278" s="9" t="s">
        <v>35</v>
      </c>
    </row>
    <row r="33279" ht="15.75" customHeight="1">
      <c r="A33279" s="7"/>
      <c r="B33279" s="7"/>
      <c r="M33279" s="9" t="s">
        <v>38</v>
      </c>
    </row>
    <row r="33280" ht="15.75" customHeight="1">
      <c r="A33280" s="7"/>
      <c r="B33280" s="7"/>
      <c r="M33280" s="9" t="s">
        <v>25</v>
      </c>
    </row>
    <row r="33281" ht="15.75" customHeight="1">
      <c r="A33281" s="7"/>
      <c r="B33281" s="7"/>
      <c r="M33281" s="9" t="s">
        <v>23</v>
      </c>
    </row>
    <row r="33282" ht="15.75" customHeight="1">
      <c r="A33282" s="7"/>
      <c r="B33282" s="7"/>
      <c r="M33282" s="9" t="s">
        <v>20</v>
      </c>
    </row>
    <row r="33283" ht="15.75" customHeight="1">
      <c r="A33283" s="7"/>
      <c r="B33283" s="7"/>
      <c r="M33283" s="9" t="s">
        <v>27</v>
      </c>
    </row>
    <row r="33284" ht="15.75" customHeight="1">
      <c r="A33284" s="7"/>
      <c r="B33284" s="7"/>
      <c r="M33284" s="9" t="s">
        <v>30</v>
      </c>
    </row>
    <row r="33285" ht="15.75" customHeight="1">
      <c r="A33285" s="7"/>
      <c r="B33285" s="7"/>
      <c r="M33285" s="9" t="s">
        <v>21</v>
      </c>
    </row>
    <row r="33286" ht="15.75" customHeight="1">
      <c r="A33286" s="7"/>
      <c r="B33286" s="7"/>
      <c r="M33286" s="9" t="s">
        <v>35</v>
      </c>
    </row>
    <row r="33287" ht="15.75" customHeight="1">
      <c r="A33287" s="7"/>
      <c r="B33287" s="7"/>
      <c r="M33287" s="9" t="s">
        <v>36</v>
      </c>
    </row>
    <row r="33288" ht="15.75" customHeight="1">
      <c r="A33288" s="7"/>
      <c r="B33288" s="7"/>
      <c r="M33288" s="9" t="s">
        <v>24</v>
      </c>
    </row>
    <row r="33289" ht="15.75" customHeight="1">
      <c r="A33289" s="7"/>
      <c r="B33289" s="7"/>
      <c r="M33289" s="9" t="s">
        <v>21</v>
      </c>
    </row>
    <row r="33290" ht="15.75" customHeight="1">
      <c r="A33290" s="7"/>
      <c r="B33290" s="7"/>
      <c r="M33290" s="9" t="s">
        <v>32</v>
      </c>
    </row>
    <row r="33291" ht="15.75" customHeight="1">
      <c r="A33291" s="7"/>
      <c r="B33291" s="7"/>
      <c r="M33291" s="9" t="s">
        <v>27</v>
      </c>
    </row>
    <row r="33292" ht="15.75" customHeight="1">
      <c r="A33292" s="7"/>
      <c r="B33292" s="7"/>
      <c r="M33292" s="9" t="s">
        <v>38</v>
      </c>
    </row>
    <row r="33293" ht="15.75" customHeight="1">
      <c r="A33293" s="7"/>
      <c r="B33293" s="7"/>
      <c r="M33293" s="9" t="s">
        <v>26</v>
      </c>
    </row>
    <row r="33294" ht="15.75" customHeight="1">
      <c r="A33294" s="7"/>
      <c r="B33294" s="7"/>
      <c r="M33294" s="9" t="s">
        <v>24</v>
      </c>
    </row>
    <row r="33295" ht="15.75" customHeight="1">
      <c r="A33295" s="7"/>
      <c r="B33295" s="7"/>
      <c r="M33295" s="9" t="s">
        <v>21</v>
      </c>
    </row>
    <row r="33296" ht="15.75" customHeight="1">
      <c r="A33296" s="7"/>
      <c r="B33296" s="7"/>
      <c r="M33296" s="9" t="s">
        <v>22</v>
      </c>
    </row>
    <row r="33297" ht="15.75" customHeight="1">
      <c r="A33297" s="7"/>
      <c r="B33297" s="7"/>
      <c r="M33297" s="9" t="s">
        <v>27</v>
      </c>
    </row>
    <row r="33298" ht="15.75" customHeight="1">
      <c r="A33298" s="7"/>
      <c r="B33298" s="7"/>
      <c r="M33298" s="9" t="s">
        <v>30</v>
      </c>
    </row>
    <row r="33299" ht="15.75" customHeight="1">
      <c r="A33299" s="7"/>
      <c r="B33299" s="7"/>
      <c r="M33299" s="9" t="s">
        <v>42</v>
      </c>
    </row>
    <row r="33300" ht="15.75" customHeight="1">
      <c r="A33300" s="7"/>
      <c r="B33300" s="7"/>
      <c r="M33300" s="9" t="s">
        <v>43</v>
      </c>
    </row>
    <row r="33301" ht="15.75" customHeight="1">
      <c r="A33301" s="7"/>
      <c r="B33301" s="7"/>
      <c r="M33301" s="9" t="s">
        <v>24</v>
      </c>
    </row>
    <row r="33302" ht="15.75" customHeight="1">
      <c r="A33302" s="7"/>
      <c r="B33302" s="7"/>
      <c r="M33302" s="9" t="s">
        <v>21</v>
      </c>
    </row>
    <row r="33303" ht="15.75" customHeight="1">
      <c r="A33303" s="7"/>
      <c r="B33303" s="7"/>
      <c r="M33303" s="9" t="s">
        <v>22</v>
      </c>
    </row>
    <row r="33304" ht="15.75" customHeight="1">
      <c r="A33304" s="7"/>
      <c r="B33304" s="7"/>
      <c r="M33304" s="9" t="s">
        <v>31</v>
      </c>
    </row>
    <row r="33305" ht="15.75" customHeight="1">
      <c r="A33305" s="7"/>
      <c r="B33305" s="7"/>
      <c r="M33305" s="9" t="s">
        <v>32</v>
      </c>
    </row>
    <row r="33306" ht="15.75" customHeight="1">
      <c r="A33306" s="7"/>
      <c r="B33306" s="7"/>
      <c r="M33306" s="9" t="s">
        <v>30</v>
      </c>
    </row>
    <row r="33307" ht="15.75" customHeight="1">
      <c r="A33307" s="7"/>
      <c r="B33307" s="7"/>
      <c r="M33307" s="9" t="s">
        <v>24</v>
      </c>
    </row>
    <row r="33308" ht="15.75" customHeight="1">
      <c r="A33308" s="7"/>
      <c r="B33308" s="7"/>
      <c r="M33308" s="9" t="s">
        <v>20</v>
      </c>
    </row>
    <row r="33309" ht="15.75" customHeight="1">
      <c r="A33309" s="7"/>
      <c r="B33309" s="7"/>
      <c r="M33309" s="9" t="s">
        <v>30</v>
      </c>
    </row>
    <row r="33310" ht="15.75" customHeight="1">
      <c r="A33310" s="7"/>
      <c r="B33310" s="7"/>
      <c r="M33310" s="9" t="s">
        <v>24</v>
      </c>
    </row>
    <row r="33311" ht="15.75" customHeight="1">
      <c r="A33311" s="7"/>
      <c r="B33311" s="7"/>
      <c r="M33311" s="9" t="s">
        <v>21</v>
      </c>
    </row>
    <row r="33312" ht="15.75" customHeight="1">
      <c r="A33312" s="7"/>
      <c r="B33312" s="7"/>
      <c r="M33312" s="9" t="s">
        <v>27</v>
      </c>
    </row>
    <row r="33313" ht="15.75" customHeight="1">
      <c r="A33313" s="7"/>
      <c r="B33313" s="7"/>
      <c r="M33313" s="9" t="s">
        <v>30</v>
      </c>
    </row>
    <row r="33314" ht="15.75" customHeight="1">
      <c r="A33314" s="7"/>
      <c r="B33314" s="7"/>
      <c r="M33314" s="9" t="s">
        <v>23</v>
      </c>
    </row>
    <row r="33315" ht="15.75" customHeight="1">
      <c r="A33315" s="7"/>
      <c r="B33315" s="7"/>
      <c r="M33315" s="9" t="s">
        <v>26</v>
      </c>
    </row>
    <row r="33316" ht="15.75" customHeight="1">
      <c r="A33316" s="7"/>
      <c r="B33316" s="7"/>
      <c r="M33316" s="9" t="s">
        <v>24</v>
      </c>
    </row>
    <row r="33317" ht="15.75" customHeight="1">
      <c r="A33317" s="7"/>
      <c r="B33317" s="7"/>
      <c r="M33317" s="9" t="s">
        <v>21</v>
      </c>
    </row>
    <row r="33318" ht="15.75" customHeight="1">
      <c r="A33318" s="7"/>
      <c r="B33318" s="7"/>
      <c r="M33318" s="9" t="s">
        <v>27</v>
      </c>
    </row>
    <row r="33319" ht="15.75" customHeight="1">
      <c r="A33319" s="7"/>
      <c r="B33319" s="7"/>
      <c r="M33319" s="9" t="s">
        <v>35</v>
      </c>
    </row>
    <row r="33320" ht="15.75" customHeight="1">
      <c r="A33320" s="7"/>
      <c r="B33320" s="7"/>
      <c r="M33320" s="9" t="s">
        <v>24</v>
      </c>
    </row>
    <row r="33321" ht="15.75" customHeight="1">
      <c r="A33321" s="7"/>
      <c r="B33321" s="7"/>
      <c r="M33321" s="9" t="s">
        <v>20</v>
      </c>
    </row>
    <row r="33322" ht="15.75" customHeight="1">
      <c r="A33322" s="7"/>
      <c r="B33322" s="7"/>
      <c r="M33322" s="9" t="s">
        <v>21</v>
      </c>
    </row>
    <row r="33323" ht="15.75" customHeight="1">
      <c r="A33323" s="7"/>
      <c r="B33323" s="7"/>
      <c r="M33323" s="9" t="s">
        <v>27</v>
      </c>
    </row>
    <row r="33324" ht="15.75" customHeight="1">
      <c r="A33324" s="7"/>
      <c r="B33324" s="7"/>
      <c r="M33324" s="9" t="s">
        <v>33</v>
      </c>
    </row>
    <row r="33325" ht="15.75" customHeight="1">
      <c r="A33325" s="7"/>
      <c r="B33325" s="7"/>
      <c r="M33325" s="9" t="s">
        <v>38</v>
      </c>
    </row>
    <row r="33326" ht="15.75" customHeight="1">
      <c r="A33326" s="7"/>
      <c r="B33326" s="7"/>
      <c r="M33326" s="9" t="s">
        <v>30</v>
      </c>
    </row>
    <row r="33327" ht="15.75" customHeight="1">
      <c r="A33327" s="7"/>
      <c r="B33327" s="7"/>
      <c r="M33327" s="9" t="s">
        <v>25</v>
      </c>
    </row>
    <row r="33328" ht="15.75" customHeight="1">
      <c r="A33328" s="7"/>
      <c r="B33328" s="7"/>
      <c r="M33328" s="9" t="s">
        <v>26</v>
      </c>
    </row>
    <row r="33329" ht="15.75" customHeight="1">
      <c r="A33329" s="7"/>
      <c r="B33329" s="7"/>
      <c r="M33329" s="9" t="s">
        <v>47</v>
      </c>
    </row>
    <row r="33330" ht="15.75" customHeight="1">
      <c r="A33330" s="7"/>
      <c r="B33330" s="7"/>
      <c r="M33330" s="9" t="s">
        <v>42</v>
      </c>
    </row>
    <row r="33331" ht="15.75" customHeight="1">
      <c r="A33331" s="7"/>
      <c r="B33331" s="7"/>
      <c r="M33331" s="9" t="s">
        <v>36</v>
      </c>
    </row>
    <row r="33332" ht="15.75" customHeight="1">
      <c r="A33332" s="7"/>
      <c r="B33332" s="7"/>
      <c r="M33332" s="9" t="s">
        <v>24</v>
      </c>
    </row>
    <row r="33333" ht="15.75" customHeight="1">
      <c r="A33333" s="7"/>
      <c r="B33333" s="7"/>
      <c r="M33333" s="9" t="s">
        <v>20</v>
      </c>
    </row>
    <row r="33334" ht="15.75" customHeight="1">
      <c r="A33334" s="7"/>
      <c r="B33334" s="7"/>
      <c r="M33334" s="9" t="s">
        <v>21</v>
      </c>
    </row>
    <row r="33335" ht="15.75" customHeight="1">
      <c r="A33335" s="7"/>
      <c r="B33335" s="7"/>
      <c r="M33335" s="9" t="s">
        <v>22</v>
      </c>
    </row>
    <row r="33336" ht="15.75" customHeight="1">
      <c r="A33336" s="7"/>
      <c r="B33336" s="7"/>
      <c r="M33336" s="9" t="s">
        <v>32</v>
      </c>
    </row>
    <row r="33337" ht="15.75" customHeight="1">
      <c r="A33337" s="7"/>
      <c r="B33337" s="7"/>
      <c r="M33337" s="9" t="s">
        <v>30</v>
      </c>
    </row>
    <row r="33338" ht="15.75" customHeight="1">
      <c r="A33338" s="7"/>
      <c r="B33338" s="7"/>
      <c r="M33338" s="9" t="s">
        <v>24</v>
      </c>
    </row>
    <row r="33339" ht="15.75" customHeight="1">
      <c r="A33339" s="7"/>
      <c r="B33339" s="7"/>
      <c r="M33339" s="9" t="s">
        <v>21</v>
      </c>
    </row>
    <row r="33340" ht="15.75" customHeight="1">
      <c r="A33340" s="7"/>
      <c r="B33340" s="7"/>
      <c r="M33340" s="9" t="s">
        <v>33</v>
      </c>
    </row>
    <row r="33341" ht="15.75" customHeight="1">
      <c r="A33341" s="7"/>
      <c r="B33341" s="7"/>
      <c r="M33341" s="9" t="s">
        <v>24</v>
      </c>
    </row>
    <row r="33342" ht="15.75" customHeight="1">
      <c r="A33342" s="7"/>
      <c r="B33342" s="7"/>
      <c r="M33342" s="9" t="s">
        <v>20</v>
      </c>
    </row>
    <row r="33343" ht="15.75" customHeight="1">
      <c r="A33343" s="7"/>
      <c r="B33343" s="7"/>
      <c r="M33343" s="9" t="s">
        <v>21</v>
      </c>
    </row>
    <row r="33344" ht="15.75" customHeight="1">
      <c r="A33344" s="7"/>
      <c r="B33344" s="7"/>
      <c r="M33344" s="9" t="s">
        <v>37</v>
      </c>
    </row>
    <row r="33345" ht="15.75" customHeight="1">
      <c r="A33345" s="7"/>
      <c r="B33345" s="7"/>
      <c r="M33345" s="9" t="s">
        <v>27</v>
      </c>
    </row>
    <row r="33346" ht="15.75" customHeight="1">
      <c r="A33346" s="7"/>
      <c r="B33346" s="7"/>
      <c r="M33346" s="9" t="s">
        <v>24</v>
      </c>
    </row>
    <row r="33347" ht="15.75" customHeight="1">
      <c r="A33347" s="7"/>
      <c r="B33347" s="7"/>
      <c r="M33347" s="9" t="s">
        <v>21</v>
      </c>
    </row>
    <row r="33348" ht="15.75" customHeight="1">
      <c r="A33348" s="7"/>
      <c r="B33348" s="7"/>
      <c r="M33348" s="9" t="s">
        <v>37</v>
      </c>
    </row>
    <row r="33349" ht="15.75" customHeight="1">
      <c r="A33349" s="7"/>
      <c r="B33349" s="7"/>
      <c r="M33349" s="9" t="s">
        <v>27</v>
      </c>
    </row>
    <row r="33350" ht="15.75" customHeight="1">
      <c r="A33350" s="7"/>
      <c r="B33350" s="7"/>
      <c r="M33350" s="9" t="s">
        <v>30</v>
      </c>
    </row>
    <row r="33351" ht="15.75" customHeight="1">
      <c r="A33351" s="7"/>
      <c r="B33351" s="7"/>
      <c r="M33351" s="9" t="s">
        <v>26</v>
      </c>
    </row>
    <row r="33352" ht="15.75" customHeight="1">
      <c r="A33352" s="7"/>
      <c r="B33352" s="7"/>
      <c r="M33352" s="9" t="s">
        <v>24</v>
      </c>
    </row>
    <row r="33353" ht="15.75" customHeight="1">
      <c r="A33353" s="7"/>
      <c r="B33353" s="7"/>
      <c r="M33353" s="9" t="s">
        <v>21</v>
      </c>
    </row>
    <row r="33354" ht="15.75" customHeight="1">
      <c r="A33354" s="7"/>
      <c r="B33354" s="7"/>
      <c r="M33354" s="9" t="s">
        <v>31</v>
      </c>
    </row>
    <row r="33355" ht="15.75" customHeight="1">
      <c r="A33355" s="7"/>
      <c r="B33355" s="7"/>
      <c r="M33355" s="9" t="s">
        <v>27</v>
      </c>
    </row>
    <row r="33356" ht="15.75" customHeight="1">
      <c r="A33356" s="7"/>
      <c r="B33356" s="7"/>
      <c r="M33356" s="9" t="s">
        <v>33</v>
      </c>
    </row>
    <row r="33357" ht="15.75" customHeight="1">
      <c r="A33357" s="7"/>
      <c r="B33357" s="7"/>
      <c r="M33357" s="9" t="s">
        <v>30</v>
      </c>
    </row>
    <row r="33358" ht="15.75" customHeight="1">
      <c r="A33358" s="7"/>
      <c r="B33358" s="7"/>
      <c r="M33358" s="9" t="s">
        <v>20</v>
      </c>
    </row>
    <row r="33359" ht="15.75" customHeight="1">
      <c r="A33359" s="7"/>
      <c r="B33359" s="7"/>
      <c r="M33359" s="9" t="s">
        <v>46</v>
      </c>
    </row>
    <row r="33360" ht="15.75" customHeight="1">
      <c r="A33360" s="7"/>
      <c r="B33360" s="7"/>
      <c r="M33360" s="9" t="s">
        <v>24</v>
      </c>
    </row>
    <row r="33361" ht="15.75" customHeight="1">
      <c r="A33361" s="7"/>
      <c r="B33361" s="7"/>
      <c r="M33361" s="9" t="s">
        <v>37</v>
      </c>
    </row>
    <row r="33362" ht="15.75" customHeight="1">
      <c r="A33362" s="7"/>
      <c r="B33362" s="7"/>
      <c r="M33362" s="9" t="s">
        <v>22</v>
      </c>
    </row>
    <row r="33363" ht="15.75" customHeight="1">
      <c r="A33363" s="7"/>
      <c r="B33363" s="7"/>
      <c r="M33363" s="9" t="s">
        <v>27</v>
      </c>
    </row>
    <row r="33364" ht="15.75" customHeight="1">
      <c r="A33364" s="7"/>
      <c r="B33364" s="7"/>
      <c r="M33364" s="9" t="s">
        <v>30</v>
      </c>
    </row>
    <row r="33365" ht="15.75" customHeight="1">
      <c r="A33365" s="7"/>
      <c r="B33365" s="7"/>
      <c r="M33365" s="9" t="s">
        <v>26</v>
      </c>
    </row>
    <row r="33366" ht="15.75" customHeight="1">
      <c r="A33366" s="7"/>
      <c r="B33366" s="7"/>
      <c r="M33366" s="9" t="s">
        <v>21</v>
      </c>
    </row>
    <row r="33367" ht="15.75" customHeight="1">
      <c r="A33367" s="7"/>
      <c r="B33367" s="7"/>
      <c r="M33367" s="9" t="s">
        <v>22</v>
      </c>
    </row>
    <row r="33368" ht="15.75" customHeight="1">
      <c r="A33368" s="7"/>
      <c r="B33368" s="7"/>
      <c r="M33368" s="9" t="s">
        <v>24</v>
      </c>
    </row>
    <row r="33369" ht="15.75" customHeight="1">
      <c r="A33369" s="7"/>
      <c r="B33369" s="7"/>
      <c r="M33369" s="9" t="s">
        <v>20</v>
      </c>
    </row>
    <row r="33370" ht="15.75" customHeight="1">
      <c r="A33370" s="7"/>
      <c r="B33370" s="7"/>
      <c r="M33370" s="9" t="s">
        <v>21</v>
      </c>
    </row>
    <row r="33371" ht="15.75" customHeight="1">
      <c r="A33371" s="7"/>
      <c r="B33371" s="7"/>
      <c r="M33371" s="9" t="s">
        <v>27</v>
      </c>
    </row>
    <row r="33372" ht="15.75" customHeight="1">
      <c r="A33372" s="7"/>
      <c r="B33372" s="7"/>
      <c r="M33372" s="9" t="s">
        <v>20</v>
      </c>
    </row>
    <row r="33373" ht="15.75" customHeight="1">
      <c r="A33373" s="7"/>
      <c r="B33373" s="7"/>
      <c r="M33373" s="9" t="s">
        <v>25</v>
      </c>
    </row>
    <row r="33374" ht="15.75" customHeight="1">
      <c r="A33374" s="7"/>
      <c r="B33374" s="7"/>
      <c r="M33374" s="9" t="s">
        <v>23</v>
      </c>
    </row>
    <row r="33375" ht="15.75" customHeight="1">
      <c r="A33375" s="7"/>
      <c r="B33375" s="7"/>
      <c r="M33375" s="9" t="s">
        <v>26</v>
      </c>
    </row>
    <row r="33376" ht="15.75" customHeight="1">
      <c r="A33376" s="7"/>
      <c r="B33376" s="7"/>
      <c r="M33376" s="9" t="s">
        <v>24</v>
      </c>
    </row>
    <row r="33377" ht="15.75" customHeight="1">
      <c r="A33377" s="7"/>
      <c r="B33377" s="7"/>
      <c r="M33377" s="9" t="s">
        <v>20</v>
      </c>
    </row>
    <row r="33378" ht="15.75" customHeight="1">
      <c r="A33378" s="7"/>
      <c r="B33378" s="7"/>
      <c r="M33378" s="9" t="s">
        <v>37</v>
      </c>
    </row>
    <row r="33379" ht="15.75" customHeight="1">
      <c r="A33379" s="7"/>
      <c r="B33379" s="7"/>
      <c r="M33379" s="9" t="s">
        <v>27</v>
      </c>
    </row>
    <row r="33380" ht="15.75" customHeight="1">
      <c r="A33380" s="7"/>
      <c r="B33380" s="7"/>
      <c r="M33380" s="9" t="s">
        <v>26</v>
      </c>
    </row>
    <row r="33381" ht="15.75" customHeight="1">
      <c r="A33381" s="7"/>
      <c r="B33381" s="7"/>
      <c r="M33381" s="9" t="s">
        <v>30</v>
      </c>
    </row>
    <row r="33382" ht="15.75" customHeight="1">
      <c r="A33382" s="7"/>
      <c r="B33382" s="7"/>
      <c r="M33382" s="9" t="s">
        <v>24</v>
      </c>
    </row>
    <row r="33383" ht="15.75" customHeight="1">
      <c r="A33383" s="7"/>
      <c r="B33383" s="7"/>
      <c r="M33383" s="9" t="s">
        <v>20</v>
      </c>
    </row>
    <row r="33384" ht="15.75" customHeight="1">
      <c r="A33384" s="7"/>
      <c r="B33384" s="7"/>
      <c r="M33384" s="9" t="s">
        <v>21</v>
      </c>
    </row>
    <row r="33385" ht="15.75" customHeight="1">
      <c r="A33385" s="7"/>
      <c r="B33385" s="7"/>
      <c r="M33385" s="9" t="s">
        <v>22</v>
      </c>
    </row>
    <row r="33386" ht="15.75" customHeight="1">
      <c r="A33386" s="7"/>
      <c r="B33386" s="7"/>
      <c r="M33386" s="9" t="s">
        <v>20</v>
      </c>
    </row>
    <row r="33387" ht="15.75" customHeight="1">
      <c r="A33387" s="7"/>
      <c r="B33387" s="7"/>
      <c r="M33387" s="9" t="s">
        <v>22</v>
      </c>
    </row>
    <row r="33388" ht="15.75" customHeight="1">
      <c r="A33388" s="7"/>
      <c r="B33388" s="7"/>
      <c r="M33388" s="9" t="s">
        <v>22</v>
      </c>
    </row>
    <row r="33389" ht="15.75" customHeight="1">
      <c r="A33389" s="7"/>
      <c r="B33389" s="7"/>
      <c r="M33389" s="9" t="s">
        <v>28</v>
      </c>
    </row>
    <row r="33390" ht="15.75" customHeight="1">
      <c r="A33390" s="7"/>
      <c r="B33390" s="7"/>
      <c r="M33390" s="9" t="s">
        <v>23</v>
      </c>
    </row>
    <row r="33391" ht="15.75" customHeight="1">
      <c r="A33391" s="7"/>
      <c r="B33391" s="7"/>
      <c r="M33391" s="9" t="s">
        <v>26</v>
      </c>
    </row>
    <row r="33392" ht="15.75" customHeight="1">
      <c r="A33392" s="7"/>
      <c r="B33392" s="7"/>
      <c r="M33392" s="9" t="s">
        <v>24</v>
      </c>
    </row>
    <row r="33393" ht="15.75" customHeight="1">
      <c r="A33393" s="7"/>
      <c r="B33393" s="7"/>
      <c r="M33393" s="9" t="s">
        <v>21</v>
      </c>
    </row>
    <row r="33394" ht="15.75" customHeight="1">
      <c r="A33394" s="7"/>
      <c r="B33394" s="7"/>
      <c r="M33394" s="9" t="s">
        <v>27</v>
      </c>
    </row>
    <row r="33395" ht="15.75" customHeight="1">
      <c r="A33395" s="7"/>
      <c r="B33395" s="7"/>
      <c r="M33395" s="9" t="s">
        <v>33</v>
      </c>
    </row>
    <row r="33396" ht="15.75" customHeight="1">
      <c r="A33396" s="7"/>
      <c r="B33396" s="7"/>
      <c r="M33396" s="9" t="s">
        <v>30</v>
      </c>
    </row>
    <row r="33397" ht="15.75" customHeight="1">
      <c r="A33397" s="7"/>
      <c r="B33397" s="7"/>
      <c r="M33397" s="9" t="s">
        <v>24</v>
      </c>
    </row>
    <row r="33398" ht="15.75" customHeight="1">
      <c r="A33398" s="7"/>
      <c r="B33398" s="7"/>
      <c r="M33398" s="9" t="s">
        <v>21</v>
      </c>
    </row>
    <row r="33399" ht="15.75" customHeight="1">
      <c r="A33399" s="7"/>
      <c r="B33399" s="7"/>
      <c r="M33399" s="9" t="s">
        <v>37</v>
      </c>
    </row>
    <row r="33400" ht="15.75" customHeight="1">
      <c r="A33400" s="7"/>
      <c r="B33400" s="7"/>
      <c r="M33400" s="9" t="s">
        <v>31</v>
      </c>
    </row>
    <row r="33401" ht="15.75" customHeight="1">
      <c r="A33401" s="7"/>
      <c r="B33401" s="7"/>
      <c r="M33401" s="9" t="s">
        <v>27</v>
      </c>
    </row>
    <row r="33402" ht="15.75" customHeight="1">
      <c r="A33402" s="7"/>
      <c r="B33402" s="7"/>
      <c r="M33402" s="9" t="s">
        <v>38</v>
      </c>
    </row>
    <row r="33403" ht="15.75" customHeight="1">
      <c r="A33403" s="7"/>
      <c r="B33403" s="7"/>
      <c r="M33403" s="9" t="s">
        <v>30</v>
      </c>
    </row>
    <row r="33404" ht="15.75" customHeight="1">
      <c r="A33404" s="7"/>
      <c r="B33404" s="7"/>
      <c r="M33404" s="9" t="s">
        <v>26</v>
      </c>
    </row>
    <row r="33405" ht="15.75" customHeight="1">
      <c r="A33405" s="7"/>
      <c r="B33405" s="7"/>
      <c r="M33405" s="9" t="s">
        <v>36</v>
      </c>
    </row>
    <row r="33406" ht="15.75" customHeight="1">
      <c r="A33406" s="7"/>
      <c r="B33406" s="7"/>
      <c r="M33406" s="9" t="s">
        <v>24</v>
      </c>
    </row>
    <row r="33407" ht="15.75" customHeight="1">
      <c r="A33407" s="7"/>
      <c r="B33407" s="7"/>
      <c r="M33407" s="9" t="s">
        <v>20</v>
      </c>
    </row>
    <row r="33408" ht="15.75" customHeight="1">
      <c r="A33408" s="7"/>
      <c r="B33408" s="7"/>
      <c r="M33408" s="9" t="s">
        <v>21</v>
      </c>
    </row>
    <row r="33409" ht="15.75" customHeight="1">
      <c r="A33409" s="7"/>
      <c r="B33409" s="7"/>
      <c r="M33409" s="9" t="s">
        <v>39</v>
      </c>
    </row>
    <row r="33410" ht="15.75" customHeight="1">
      <c r="A33410" s="7"/>
      <c r="B33410" s="7"/>
      <c r="M33410" s="9" t="s">
        <v>37</v>
      </c>
    </row>
    <row r="33411" ht="15.75" customHeight="1">
      <c r="A33411" s="7"/>
      <c r="B33411" s="7"/>
      <c r="M33411" s="9" t="s">
        <v>22</v>
      </c>
    </row>
    <row r="33412" ht="15.75" customHeight="1">
      <c r="A33412" s="7"/>
      <c r="B33412" s="7"/>
      <c r="M33412" s="9" t="s">
        <v>27</v>
      </c>
    </row>
    <row r="33413" ht="15.75" customHeight="1">
      <c r="A33413" s="7"/>
      <c r="B33413" s="7"/>
      <c r="M33413" s="9" t="s">
        <v>30</v>
      </c>
    </row>
    <row r="33414" ht="15.75" customHeight="1">
      <c r="A33414" s="7"/>
      <c r="B33414" s="7"/>
      <c r="M33414" s="9" t="s">
        <v>26</v>
      </c>
    </row>
    <row r="33415" ht="15.75" customHeight="1">
      <c r="A33415" s="7"/>
      <c r="B33415" s="7"/>
      <c r="M33415" s="9" t="s">
        <v>24</v>
      </c>
    </row>
    <row r="33416" ht="15.75" customHeight="1">
      <c r="A33416" s="7"/>
      <c r="B33416" s="7"/>
      <c r="M33416" s="9" t="s">
        <v>21</v>
      </c>
    </row>
    <row r="33417" ht="15.75" customHeight="1">
      <c r="A33417" s="7"/>
      <c r="B33417" s="7"/>
      <c r="M33417" s="9" t="s">
        <v>22</v>
      </c>
    </row>
    <row r="33418" ht="15.75" customHeight="1">
      <c r="A33418" s="7"/>
      <c r="B33418" s="7"/>
      <c r="M33418" s="9" t="s">
        <v>27</v>
      </c>
    </row>
    <row r="33419" ht="15.75" customHeight="1">
      <c r="A33419" s="7"/>
      <c r="B33419" s="7"/>
      <c r="M33419" s="9" t="s">
        <v>33</v>
      </c>
    </row>
    <row r="33420" ht="15.75" customHeight="1">
      <c r="A33420" s="7"/>
      <c r="B33420" s="7"/>
      <c r="M33420" s="9" t="s">
        <v>24</v>
      </c>
    </row>
    <row r="33421" ht="15.75" customHeight="1">
      <c r="A33421" s="7"/>
      <c r="B33421" s="7"/>
      <c r="M33421" s="9" t="s">
        <v>21</v>
      </c>
    </row>
    <row r="33422" ht="15.75" customHeight="1">
      <c r="A33422" s="7"/>
      <c r="B33422" s="7"/>
      <c r="M33422" s="9" t="s">
        <v>37</v>
      </c>
    </row>
    <row r="33423" ht="15.75" customHeight="1">
      <c r="A33423" s="7"/>
      <c r="B33423" s="7"/>
      <c r="M33423" s="9" t="s">
        <v>27</v>
      </c>
    </row>
    <row r="33424" ht="15.75" customHeight="1">
      <c r="A33424" s="7"/>
      <c r="B33424" s="7"/>
      <c r="M33424" s="9" t="s">
        <v>38</v>
      </c>
    </row>
    <row r="33425" ht="15.75" customHeight="1">
      <c r="A33425" s="7"/>
      <c r="B33425" s="7"/>
      <c r="M33425" s="9" t="s">
        <v>25</v>
      </c>
    </row>
    <row r="33426" ht="15.75" customHeight="1">
      <c r="A33426" s="7"/>
      <c r="B33426" s="7"/>
      <c r="M33426" s="9" t="s">
        <v>23</v>
      </c>
    </row>
    <row r="33427" ht="15.75" customHeight="1">
      <c r="A33427" s="7"/>
      <c r="B33427" s="7"/>
      <c r="M33427" s="9" t="s">
        <v>26</v>
      </c>
    </row>
    <row r="33428" ht="15.75" customHeight="1">
      <c r="A33428" s="7"/>
      <c r="B33428" s="7"/>
      <c r="M33428" s="9" t="s">
        <v>20</v>
      </c>
    </row>
    <row r="33429" ht="15.75" customHeight="1">
      <c r="A33429" s="7"/>
      <c r="B33429" s="7"/>
      <c r="M33429" s="9" t="s">
        <v>22</v>
      </c>
    </row>
    <row r="33430" ht="15.75" customHeight="1">
      <c r="A33430" s="7"/>
      <c r="B33430" s="7"/>
      <c r="M33430" s="9" t="s">
        <v>27</v>
      </c>
    </row>
    <row r="33431" ht="15.75" customHeight="1">
      <c r="A33431" s="7"/>
      <c r="B33431" s="7"/>
      <c r="M33431" s="9" t="s">
        <v>24</v>
      </c>
    </row>
    <row r="33432" ht="15.75" customHeight="1">
      <c r="A33432" s="7"/>
      <c r="B33432" s="7"/>
      <c r="M33432" s="9" t="s">
        <v>21</v>
      </c>
    </row>
    <row r="33433" ht="15.75" customHeight="1">
      <c r="A33433" s="7"/>
      <c r="B33433" s="7"/>
      <c r="M33433" s="9" t="s">
        <v>37</v>
      </c>
    </row>
    <row r="33434" ht="15.75" customHeight="1">
      <c r="A33434" s="7"/>
      <c r="B33434" s="7"/>
      <c r="M33434" s="9" t="s">
        <v>27</v>
      </c>
    </row>
    <row r="33435" ht="15.75" customHeight="1">
      <c r="A33435" s="7"/>
      <c r="B33435" s="7"/>
      <c r="M33435" s="9" t="s">
        <v>33</v>
      </c>
    </row>
    <row r="33436" ht="15.75" customHeight="1">
      <c r="A33436" s="7"/>
      <c r="B33436" s="7"/>
      <c r="M33436" s="9" t="s">
        <v>30</v>
      </c>
    </row>
    <row r="33437" ht="15.75" customHeight="1">
      <c r="A33437" s="7"/>
      <c r="B33437" s="7"/>
      <c r="M33437" s="9" t="s">
        <v>26</v>
      </c>
    </row>
    <row r="33438" ht="15.75" customHeight="1">
      <c r="A33438" s="7"/>
      <c r="B33438" s="7"/>
      <c r="M33438" s="9" t="s">
        <v>24</v>
      </c>
    </row>
    <row r="33439" ht="15.75" customHeight="1">
      <c r="A33439" s="7"/>
      <c r="B33439" s="7"/>
      <c r="M33439" s="9" t="s">
        <v>21</v>
      </c>
    </row>
    <row r="33440" ht="15.75" customHeight="1">
      <c r="A33440" s="7"/>
      <c r="B33440" s="7"/>
      <c r="M33440" s="9" t="s">
        <v>27</v>
      </c>
    </row>
    <row r="33441" ht="15.75" customHeight="1">
      <c r="A33441" s="7"/>
      <c r="B33441" s="7"/>
      <c r="M33441" s="9" t="s">
        <v>30</v>
      </c>
    </row>
    <row r="33442" ht="15.75" customHeight="1">
      <c r="A33442" s="7"/>
      <c r="B33442" s="7"/>
      <c r="M33442" s="9" t="s">
        <v>26</v>
      </c>
    </row>
    <row r="33443" ht="15.75" customHeight="1">
      <c r="A33443" s="7"/>
      <c r="B33443" s="7"/>
      <c r="M33443" s="9" t="s">
        <v>36</v>
      </c>
    </row>
    <row r="33444" ht="15.75" customHeight="1">
      <c r="A33444" s="7"/>
      <c r="B33444" s="7"/>
      <c r="M33444" s="9" t="s">
        <v>24</v>
      </c>
    </row>
    <row r="33445" ht="15.75" customHeight="1">
      <c r="A33445" s="7"/>
      <c r="B33445" s="7"/>
      <c r="M33445" s="9" t="s">
        <v>20</v>
      </c>
    </row>
    <row r="33446" ht="15.75" customHeight="1">
      <c r="A33446" s="7"/>
      <c r="B33446" s="7"/>
      <c r="M33446" s="9" t="s">
        <v>21</v>
      </c>
    </row>
    <row r="33447" ht="15.75" customHeight="1">
      <c r="A33447" s="7"/>
      <c r="B33447" s="7"/>
      <c r="M33447" s="9" t="s">
        <v>22</v>
      </c>
    </row>
    <row r="33448" ht="15.75" customHeight="1">
      <c r="A33448" s="7"/>
      <c r="B33448" s="7"/>
      <c r="M33448" s="9" t="s">
        <v>27</v>
      </c>
    </row>
    <row r="33449" ht="15.75" customHeight="1">
      <c r="A33449" s="7"/>
      <c r="B33449" s="7"/>
      <c r="M33449" s="9" t="s">
        <v>33</v>
      </c>
    </row>
    <row r="33450" ht="15.75" customHeight="1">
      <c r="A33450" s="7"/>
      <c r="B33450" s="7"/>
      <c r="M33450" s="9" t="s">
        <v>24</v>
      </c>
    </row>
    <row r="33451" ht="15.75" customHeight="1">
      <c r="A33451" s="7"/>
      <c r="B33451" s="7"/>
      <c r="M33451" s="9" t="s">
        <v>20</v>
      </c>
    </row>
    <row r="33452" ht="15.75" customHeight="1">
      <c r="A33452" s="7"/>
      <c r="B33452" s="7"/>
      <c r="M33452" s="9" t="s">
        <v>21</v>
      </c>
    </row>
    <row r="33453" ht="15.75" customHeight="1">
      <c r="A33453" s="7"/>
      <c r="B33453" s="7"/>
      <c r="M33453" s="9" t="s">
        <v>22</v>
      </c>
    </row>
    <row r="33454" ht="15.75" customHeight="1">
      <c r="A33454" s="7"/>
      <c r="B33454" s="7"/>
      <c r="M33454" s="9" t="s">
        <v>27</v>
      </c>
    </row>
    <row r="33455" ht="15.75" customHeight="1">
      <c r="A33455" s="7"/>
      <c r="B33455" s="7"/>
      <c r="M33455" s="9" t="s">
        <v>30</v>
      </c>
    </row>
    <row r="33456" ht="15.75" customHeight="1">
      <c r="A33456" s="7"/>
      <c r="B33456" s="7"/>
      <c r="M33456" s="9" t="s">
        <v>24</v>
      </c>
    </row>
    <row r="33457" ht="15.75" customHeight="1">
      <c r="A33457" s="7"/>
      <c r="B33457" s="7"/>
      <c r="M33457" s="9" t="s">
        <v>21</v>
      </c>
    </row>
    <row r="33458" ht="15.75" customHeight="1">
      <c r="A33458" s="7"/>
      <c r="B33458" s="7"/>
      <c r="M33458" s="9" t="s">
        <v>27</v>
      </c>
    </row>
    <row r="33459" ht="15.75" customHeight="1">
      <c r="A33459" s="7"/>
      <c r="B33459" s="7"/>
      <c r="M33459" s="9" t="s">
        <v>40</v>
      </c>
    </row>
    <row r="33460" ht="15.75" customHeight="1">
      <c r="A33460" s="7"/>
      <c r="B33460" s="7"/>
      <c r="M33460" s="9" t="s">
        <v>26</v>
      </c>
    </row>
    <row r="33461" ht="15.75" customHeight="1">
      <c r="A33461" s="7"/>
      <c r="B33461" s="7"/>
      <c r="M33461" s="9" t="s">
        <v>27</v>
      </c>
    </row>
    <row r="33462" ht="15.75" customHeight="1">
      <c r="A33462" s="7"/>
      <c r="B33462" s="7"/>
      <c r="M33462" s="9" t="s">
        <v>26</v>
      </c>
    </row>
    <row r="33463" ht="15.75" customHeight="1">
      <c r="A33463" s="7"/>
      <c r="B33463" s="7"/>
      <c r="M33463" s="9" t="s">
        <v>24</v>
      </c>
    </row>
    <row r="33464" ht="15.75" customHeight="1">
      <c r="A33464" s="7"/>
      <c r="B33464" s="7"/>
      <c r="M33464" s="9" t="s">
        <v>21</v>
      </c>
    </row>
    <row r="33465" ht="15.75" customHeight="1">
      <c r="A33465" s="7"/>
      <c r="B33465" s="7"/>
      <c r="M33465" s="9" t="s">
        <v>27</v>
      </c>
    </row>
    <row r="33466" ht="15.75" customHeight="1">
      <c r="A33466" s="7"/>
      <c r="B33466" s="7"/>
      <c r="M33466" s="9" t="s">
        <v>26</v>
      </c>
    </row>
    <row r="33467" ht="15.75" customHeight="1">
      <c r="A33467" s="7"/>
      <c r="B33467" s="7"/>
      <c r="M33467" s="9" t="s">
        <v>24</v>
      </c>
    </row>
    <row r="33468" ht="15.75" customHeight="1">
      <c r="A33468" s="7"/>
      <c r="B33468" s="7"/>
      <c r="M33468" s="9" t="s">
        <v>21</v>
      </c>
    </row>
    <row r="33469" ht="15.75" customHeight="1">
      <c r="A33469" s="7"/>
      <c r="B33469" s="7"/>
      <c r="M33469" s="9" t="s">
        <v>22</v>
      </c>
    </row>
    <row r="33470" ht="15.75" customHeight="1">
      <c r="A33470" s="7"/>
      <c r="B33470" s="7"/>
      <c r="M33470" s="9" t="s">
        <v>27</v>
      </c>
    </row>
    <row r="33471" ht="15.75" customHeight="1">
      <c r="A33471" s="7"/>
      <c r="B33471" s="7"/>
      <c r="M33471" s="9" t="s">
        <v>33</v>
      </c>
    </row>
    <row r="33472" ht="15.75" customHeight="1">
      <c r="A33472" s="7"/>
      <c r="B33472" s="7"/>
      <c r="M33472" s="9" t="s">
        <v>30</v>
      </c>
    </row>
    <row r="33473" ht="15.75" customHeight="1">
      <c r="A33473" s="7"/>
      <c r="B33473" s="7"/>
      <c r="M33473" s="9" t="s">
        <v>25</v>
      </c>
    </row>
    <row r="33474" ht="15.75" customHeight="1">
      <c r="A33474" s="7"/>
      <c r="B33474" s="7"/>
      <c r="M33474" s="9" t="s">
        <v>24</v>
      </c>
    </row>
    <row r="33475" ht="15.75" customHeight="1">
      <c r="A33475" s="7"/>
      <c r="B33475" s="7"/>
      <c r="M33475" s="9" t="s">
        <v>20</v>
      </c>
    </row>
    <row r="33476" ht="15.75" customHeight="1">
      <c r="A33476" s="7"/>
      <c r="B33476" s="7"/>
      <c r="M33476" s="9" t="s">
        <v>21</v>
      </c>
    </row>
    <row r="33477" ht="15.75" customHeight="1">
      <c r="A33477" s="7"/>
      <c r="B33477" s="7"/>
      <c r="M33477" s="9" t="s">
        <v>22</v>
      </c>
    </row>
    <row r="33478" ht="15.75" customHeight="1">
      <c r="A33478" s="7"/>
      <c r="B33478" s="7"/>
      <c r="M33478" s="9" t="s">
        <v>26</v>
      </c>
    </row>
    <row r="33479" ht="15.75" customHeight="1">
      <c r="A33479" s="7"/>
      <c r="B33479" s="7"/>
      <c r="M33479" s="9" t="s">
        <v>24</v>
      </c>
    </row>
    <row r="33480" ht="15.75" customHeight="1">
      <c r="A33480" s="7"/>
      <c r="B33480" s="7"/>
      <c r="M33480" s="9" t="s">
        <v>27</v>
      </c>
    </row>
    <row r="33481" ht="15.75" customHeight="1">
      <c r="A33481" s="7"/>
      <c r="B33481" s="7"/>
      <c r="M33481" s="9" t="s">
        <v>33</v>
      </c>
    </row>
    <row r="33482" ht="15.75" customHeight="1">
      <c r="A33482" s="7"/>
      <c r="B33482" s="7"/>
      <c r="M33482" s="9" t="s">
        <v>30</v>
      </c>
    </row>
    <row r="33483" ht="15.75" customHeight="1">
      <c r="A33483" s="7"/>
      <c r="B33483" s="7"/>
      <c r="M33483" s="9" t="s">
        <v>36</v>
      </c>
    </row>
    <row r="33484" ht="15.75" customHeight="1">
      <c r="A33484" s="7"/>
      <c r="B33484" s="7"/>
      <c r="M33484" s="9" t="s">
        <v>20</v>
      </c>
    </row>
    <row r="33485" ht="15.75" customHeight="1">
      <c r="A33485" s="7"/>
      <c r="B33485" s="7"/>
      <c r="M33485" s="9" t="s">
        <v>22</v>
      </c>
    </row>
    <row r="33486" ht="15.75" customHeight="1">
      <c r="A33486" s="7"/>
      <c r="B33486" s="7"/>
      <c r="M33486" s="9" t="s">
        <v>25</v>
      </c>
    </row>
    <row r="33487" ht="15.75" customHeight="1">
      <c r="A33487" s="7"/>
      <c r="B33487" s="7"/>
      <c r="M33487" s="9" t="s">
        <v>23</v>
      </c>
    </row>
    <row r="33488" ht="15.75" customHeight="1">
      <c r="A33488" s="7"/>
      <c r="B33488" s="7"/>
      <c r="M33488" s="9" t="s">
        <v>44</v>
      </c>
    </row>
    <row r="33489" ht="15.75" customHeight="1">
      <c r="A33489" s="7"/>
      <c r="B33489" s="7"/>
      <c r="M33489" s="9" t="s">
        <v>24</v>
      </c>
    </row>
    <row r="33490" ht="15.75" customHeight="1">
      <c r="A33490" s="7"/>
      <c r="B33490" s="7"/>
      <c r="M33490" s="9" t="s">
        <v>20</v>
      </c>
    </row>
    <row r="33491" ht="15.75" customHeight="1">
      <c r="A33491" s="7"/>
      <c r="B33491" s="7"/>
      <c r="M33491" s="9" t="s">
        <v>21</v>
      </c>
    </row>
    <row r="33492" ht="15.75" customHeight="1">
      <c r="A33492" s="7"/>
      <c r="B33492" s="7"/>
      <c r="M33492" s="9" t="s">
        <v>39</v>
      </c>
    </row>
    <row r="33493" ht="15.75" customHeight="1">
      <c r="A33493" s="7"/>
      <c r="B33493" s="7"/>
      <c r="M33493" s="9" t="s">
        <v>37</v>
      </c>
    </row>
    <row r="33494" ht="15.75" customHeight="1">
      <c r="A33494" s="7"/>
      <c r="B33494" s="7"/>
      <c r="M33494" s="9" t="s">
        <v>22</v>
      </c>
    </row>
    <row r="33495" ht="15.75" customHeight="1">
      <c r="A33495" s="7"/>
      <c r="B33495" s="7"/>
      <c r="M33495" s="9" t="s">
        <v>29</v>
      </c>
    </row>
    <row r="33496" ht="15.75" customHeight="1">
      <c r="A33496" s="7"/>
      <c r="B33496" s="7"/>
      <c r="M33496" s="9" t="s">
        <v>31</v>
      </c>
    </row>
    <row r="33497" ht="15.75" customHeight="1">
      <c r="A33497" s="7"/>
      <c r="B33497" s="7"/>
      <c r="M33497" s="9" t="s">
        <v>27</v>
      </c>
    </row>
    <row r="33498" ht="15.75" customHeight="1">
      <c r="A33498" s="7"/>
      <c r="B33498" s="7"/>
      <c r="M33498" s="9" t="s">
        <v>33</v>
      </c>
    </row>
    <row r="33499" ht="15.75" customHeight="1">
      <c r="A33499" s="7"/>
      <c r="B33499" s="7"/>
      <c r="M33499" s="9" t="s">
        <v>26</v>
      </c>
    </row>
    <row r="33500" ht="15.75" customHeight="1">
      <c r="A33500" s="7"/>
      <c r="B33500" s="7"/>
      <c r="M33500" s="9" t="s">
        <v>24</v>
      </c>
    </row>
    <row r="33501" ht="15.75" customHeight="1">
      <c r="A33501" s="7"/>
      <c r="B33501" s="7"/>
      <c r="M33501" s="9" t="s">
        <v>21</v>
      </c>
    </row>
    <row r="33502" ht="15.75" customHeight="1">
      <c r="A33502" s="7"/>
      <c r="B33502" s="7"/>
      <c r="M33502" s="9" t="s">
        <v>33</v>
      </c>
    </row>
    <row r="33503" ht="15.75" customHeight="1">
      <c r="A33503" s="7"/>
      <c r="B33503" s="7"/>
      <c r="M33503" s="9" t="s">
        <v>38</v>
      </c>
    </row>
    <row r="33504" ht="15.75" customHeight="1">
      <c r="A33504" s="7"/>
      <c r="B33504" s="7"/>
      <c r="M33504" s="9" t="s">
        <v>30</v>
      </c>
    </row>
    <row r="33505" ht="15.75" customHeight="1">
      <c r="A33505" s="7"/>
      <c r="B33505" s="7"/>
      <c r="M33505" s="9" t="s">
        <v>25</v>
      </c>
    </row>
    <row r="33506" ht="15.75" customHeight="1">
      <c r="A33506" s="7"/>
      <c r="B33506" s="7"/>
      <c r="M33506" s="9" t="s">
        <v>23</v>
      </c>
    </row>
    <row r="33507" ht="15.75" customHeight="1">
      <c r="A33507" s="7"/>
      <c r="B33507" s="7"/>
      <c r="M33507" s="9" t="s">
        <v>26</v>
      </c>
    </row>
    <row r="33508" ht="15.75" customHeight="1">
      <c r="A33508" s="7"/>
      <c r="B33508" s="7"/>
      <c r="M33508" s="9" t="s">
        <v>24</v>
      </c>
    </row>
    <row r="33509" ht="15.75" customHeight="1">
      <c r="A33509" s="7"/>
      <c r="B33509" s="7"/>
      <c r="M33509" s="9" t="s">
        <v>20</v>
      </c>
    </row>
    <row r="33510" ht="15.75" customHeight="1">
      <c r="A33510" s="7"/>
      <c r="B33510" s="7"/>
      <c r="M33510" s="9" t="s">
        <v>21</v>
      </c>
    </row>
    <row r="33511" ht="15.75" customHeight="1">
      <c r="A33511" s="7"/>
      <c r="B33511" s="7"/>
      <c r="M33511" s="9" t="s">
        <v>41</v>
      </c>
    </row>
    <row r="33512" ht="15.75" customHeight="1">
      <c r="A33512" s="7"/>
      <c r="B33512" s="7"/>
      <c r="M33512" s="9" t="s">
        <v>37</v>
      </c>
    </row>
    <row r="33513" ht="15.75" customHeight="1">
      <c r="A33513" s="7"/>
      <c r="B33513" s="7"/>
      <c r="M33513" s="9" t="s">
        <v>22</v>
      </c>
    </row>
    <row r="33514" ht="15.75" customHeight="1">
      <c r="A33514" s="7"/>
      <c r="B33514" s="7"/>
      <c r="M33514" s="9" t="s">
        <v>31</v>
      </c>
    </row>
    <row r="33515" ht="15.75" customHeight="1">
      <c r="A33515" s="7"/>
      <c r="B33515" s="7"/>
      <c r="M33515" s="9" t="s">
        <v>27</v>
      </c>
    </row>
    <row r="33516" ht="15.75" customHeight="1">
      <c r="A33516" s="7"/>
      <c r="B33516" s="7"/>
      <c r="M33516" s="9" t="s">
        <v>40</v>
      </c>
    </row>
    <row r="33517" ht="15.75" customHeight="1">
      <c r="A33517" s="7"/>
      <c r="B33517" s="7"/>
      <c r="M33517" s="9" t="s">
        <v>28</v>
      </c>
    </row>
    <row r="33518" ht="15.75" customHeight="1">
      <c r="A33518" s="7"/>
      <c r="B33518" s="7"/>
      <c r="M33518" s="9" t="s">
        <v>30</v>
      </c>
    </row>
    <row r="33519" ht="15.75" customHeight="1">
      <c r="A33519" s="7"/>
      <c r="B33519" s="7"/>
      <c r="M33519" s="9" t="s">
        <v>24</v>
      </c>
    </row>
    <row r="33520" ht="15.75" customHeight="1">
      <c r="A33520" s="7"/>
      <c r="B33520" s="7"/>
      <c r="M33520" s="9" t="s">
        <v>21</v>
      </c>
    </row>
    <row r="33521" ht="15.75" customHeight="1">
      <c r="A33521" s="7"/>
      <c r="B33521" s="7"/>
      <c r="M33521" s="9" t="s">
        <v>37</v>
      </c>
    </row>
    <row r="33522" ht="15.75" customHeight="1">
      <c r="A33522" s="7"/>
      <c r="B33522" s="7"/>
      <c r="M33522" s="9" t="s">
        <v>27</v>
      </c>
    </row>
    <row r="33523" ht="15.75" customHeight="1">
      <c r="A33523" s="7"/>
      <c r="B33523" s="7"/>
      <c r="M33523" s="9" t="s">
        <v>36</v>
      </c>
    </row>
    <row r="33524" ht="15.75" customHeight="1">
      <c r="A33524" s="7"/>
      <c r="B33524" s="7"/>
      <c r="M33524" s="9" t="s">
        <v>24</v>
      </c>
    </row>
    <row r="33525" ht="15.75" customHeight="1">
      <c r="A33525" s="7"/>
      <c r="B33525" s="7"/>
      <c r="M33525" s="9" t="s">
        <v>21</v>
      </c>
    </row>
    <row r="33526" ht="15.75" customHeight="1">
      <c r="A33526" s="7"/>
      <c r="B33526" s="7"/>
      <c r="M33526" s="9" t="s">
        <v>22</v>
      </c>
    </row>
    <row r="33527" ht="15.75" customHeight="1">
      <c r="A33527" s="7"/>
      <c r="B33527" s="7"/>
      <c r="M33527" s="9" t="s">
        <v>33</v>
      </c>
    </row>
    <row r="33528" ht="15.75" customHeight="1">
      <c r="A33528" s="7"/>
      <c r="B33528" s="7"/>
      <c r="M33528" s="9" t="s">
        <v>24</v>
      </c>
    </row>
    <row r="33529" ht="15.75" customHeight="1">
      <c r="A33529" s="7"/>
      <c r="B33529" s="7"/>
      <c r="M33529" s="9" t="s">
        <v>20</v>
      </c>
    </row>
    <row r="33530" ht="15.75" customHeight="1">
      <c r="A33530" s="7"/>
      <c r="B33530" s="7"/>
      <c r="M33530" s="9" t="s">
        <v>21</v>
      </c>
    </row>
    <row r="33531" ht="15.75" customHeight="1">
      <c r="A33531" s="7"/>
      <c r="B33531" s="7"/>
      <c r="M33531" s="9" t="s">
        <v>33</v>
      </c>
    </row>
    <row r="33532" ht="15.75" customHeight="1">
      <c r="A33532" s="7"/>
      <c r="B33532" s="7"/>
      <c r="M33532" s="9" t="s">
        <v>24</v>
      </c>
    </row>
    <row r="33533" ht="15.75" customHeight="1">
      <c r="A33533" s="7"/>
      <c r="B33533" s="7"/>
      <c r="M33533" s="9" t="s">
        <v>21</v>
      </c>
    </row>
    <row r="33534" ht="15.75" customHeight="1">
      <c r="A33534" s="7"/>
      <c r="B33534" s="7"/>
      <c r="M33534" s="9" t="s">
        <v>33</v>
      </c>
    </row>
    <row r="33535" ht="15.75" customHeight="1">
      <c r="A33535" s="7"/>
      <c r="B33535" s="7"/>
      <c r="M33535" s="9" t="s">
        <v>26</v>
      </c>
    </row>
    <row r="33536" ht="15.75" customHeight="1">
      <c r="A33536" s="7"/>
      <c r="B33536" s="7"/>
      <c r="M33536" s="9" t="s">
        <v>24</v>
      </c>
    </row>
    <row r="33537" ht="15.75" customHeight="1">
      <c r="A33537" s="7"/>
      <c r="B33537" s="7"/>
      <c r="M33537" s="9" t="s">
        <v>30</v>
      </c>
    </row>
    <row r="33538" ht="15.75" customHeight="1">
      <c r="A33538" s="7"/>
      <c r="B33538" s="7"/>
      <c r="M33538" s="9" t="s">
        <v>26</v>
      </c>
    </row>
    <row r="33539" ht="15.75" customHeight="1">
      <c r="A33539" s="7"/>
      <c r="B33539" s="7"/>
      <c r="M33539" s="9" t="s">
        <v>36</v>
      </c>
    </row>
    <row r="33540" ht="15.75" customHeight="1">
      <c r="A33540" s="7"/>
      <c r="B33540" s="7"/>
      <c r="M33540" s="9" t="s">
        <v>24</v>
      </c>
    </row>
    <row r="33541" ht="15.75" customHeight="1">
      <c r="A33541" s="7"/>
      <c r="B33541" s="7"/>
      <c r="M33541" s="9" t="s">
        <v>20</v>
      </c>
    </row>
    <row r="33542" ht="15.75" customHeight="1">
      <c r="A33542" s="7"/>
      <c r="B33542" s="7"/>
      <c r="M33542" s="9" t="s">
        <v>21</v>
      </c>
    </row>
    <row r="33543" ht="15.75" customHeight="1">
      <c r="A33543" s="7"/>
      <c r="B33543" s="7"/>
      <c r="M33543" s="9" t="s">
        <v>37</v>
      </c>
    </row>
    <row r="33544" ht="15.75" customHeight="1">
      <c r="A33544" s="7"/>
      <c r="B33544" s="7"/>
      <c r="M33544" s="9" t="s">
        <v>22</v>
      </c>
    </row>
    <row r="33545" ht="15.75" customHeight="1">
      <c r="A33545" s="7"/>
      <c r="B33545" s="7"/>
      <c r="M33545" s="9" t="s">
        <v>31</v>
      </c>
    </row>
    <row r="33546" ht="15.75" customHeight="1">
      <c r="A33546" s="7"/>
      <c r="B33546" s="7"/>
      <c r="M33546" s="9" t="s">
        <v>46</v>
      </c>
    </row>
    <row r="33547" ht="15.75" customHeight="1">
      <c r="A33547" s="7"/>
      <c r="B33547" s="7"/>
      <c r="M33547" s="9" t="s">
        <v>33</v>
      </c>
    </row>
    <row r="33548" ht="15.75" customHeight="1">
      <c r="A33548" s="7"/>
      <c r="B33548" s="7"/>
      <c r="M33548" s="9" t="s">
        <v>26</v>
      </c>
    </row>
    <row r="33549" ht="15.75" customHeight="1">
      <c r="A33549" s="7"/>
      <c r="B33549" s="7"/>
      <c r="M33549" s="9" t="s">
        <v>24</v>
      </c>
    </row>
    <row r="33550" ht="15.75" customHeight="1">
      <c r="A33550" s="7"/>
      <c r="B33550" s="7"/>
      <c r="M33550" s="9" t="s">
        <v>21</v>
      </c>
    </row>
    <row r="33551" ht="15.75" customHeight="1">
      <c r="A33551" s="7"/>
      <c r="B33551" s="7"/>
      <c r="M33551" s="9" t="s">
        <v>37</v>
      </c>
    </row>
    <row r="33552" ht="15.75" customHeight="1">
      <c r="A33552" s="7"/>
      <c r="B33552" s="7"/>
      <c r="M33552" s="9" t="s">
        <v>27</v>
      </c>
    </row>
    <row r="33553" ht="15.75" customHeight="1">
      <c r="A33553" s="7"/>
      <c r="B33553" s="7"/>
      <c r="M33553" s="9" t="s">
        <v>24</v>
      </c>
    </row>
    <row r="33554" ht="15.75" customHeight="1">
      <c r="A33554" s="7"/>
      <c r="B33554" s="7"/>
      <c r="M33554" s="9" t="s">
        <v>20</v>
      </c>
    </row>
    <row r="33555" ht="15.75" customHeight="1">
      <c r="A33555" s="7"/>
      <c r="B33555" s="7"/>
      <c r="M33555" s="9" t="s">
        <v>21</v>
      </c>
    </row>
    <row r="33556" ht="15.75" customHeight="1">
      <c r="A33556" s="7"/>
      <c r="B33556" s="7"/>
      <c r="M33556" s="9" t="s">
        <v>27</v>
      </c>
    </row>
    <row r="33557" ht="15.75" customHeight="1">
      <c r="A33557" s="7"/>
      <c r="B33557" s="7"/>
      <c r="M33557" s="9" t="s">
        <v>24</v>
      </c>
    </row>
    <row r="33558" ht="15.75" customHeight="1">
      <c r="A33558" s="7"/>
      <c r="B33558" s="7"/>
      <c r="M33558" s="9" t="s">
        <v>20</v>
      </c>
    </row>
    <row r="33559" ht="15.75" customHeight="1">
      <c r="A33559" s="7"/>
      <c r="B33559" s="7"/>
      <c r="M33559" s="9" t="s">
        <v>21</v>
      </c>
    </row>
    <row r="33560" ht="15.75" customHeight="1">
      <c r="A33560" s="7"/>
      <c r="B33560" s="7"/>
      <c r="M33560" s="9" t="s">
        <v>25</v>
      </c>
    </row>
    <row r="33561" ht="15.75" customHeight="1">
      <c r="A33561" s="7"/>
      <c r="B33561" s="7"/>
      <c r="M33561" s="9" t="s">
        <v>24</v>
      </c>
    </row>
    <row r="33562" ht="15.75" customHeight="1">
      <c r="A33562" s="7"/>
      <c r="B33562" s="7"/>
      <c r="M33562" s="9" t="s">
        <v>37</v>
      </c>
    </row>
    <row r="33563" ht="15.75" customHeight="1">
      <c r="A33563" s="7"/>
      <c r="B33563" s="7"/>
      <c r="M33563" s="9" t="s">
        <v>22</v>
      </c>
    </row>
    <row r="33564" ht="15.75" customHeight="1">
      <c r="A33564" s="7"/>
      <c r="B33564" s="7"/>
      <c r="M33564" s="9" t="s">
        <v>24</v>
      </c>
    </row>
    <row r="33565" ht="15.75" customHeight="1">
      <c r="A33565" s="7"/>
      <c r="B33565" s="7"/>
      <c r="M33565" s="9" t="s">
        <v>20</v>
      </c>
    </row>
    <row r="33566" ht="15.75" customHeight="1">
      <c r="A33566" s="7"/>
      <c r="B33566" s="7"/>
      <c r="M33566" s="9" t="s">
        <v>21</v>
      </c>
    </row>
    <row r="33567" ht="15.75" customHeight="1">
      <c r="A33567" s="7"/>
      <c r="B33567" s="7"/>
      <c r="M33567" s="9" t="s">
        <v>22</v>
      </c>
    </row>
    <row r="33568" ht="15.75" customHeight="1">
      <c r="A33568" s="7"/>
      <c r="B33568" s="7"/>
      <c r="M33568" s="9" t="s">
        <v>24</v>
      </c>
    </row>
    <row r="33569" ht="15.75" customHeight="1">
      <c r="A33569" s="7"/>
      <c r="B33569" s="7"/>
      <c r="M33569" s="9" t="s">
        <v>21</v>
      </c>
    </row>
    <row r="33570" ht="15.75" customHeight="1">
      <c r="A33570" s="7"/>
      <c r="B33570" s="7"/>
      <c r="M33570" s="9" t="s">
        <v>41</v>
      </c>
    </row>
    <row r="33571" ht="15.75" customHeight="1">
      <c r="A33571" s="7"/>
      <c r="B33571" s="7"/>
      <c r="M33571" s="9" t="s">
        <v>37</v>
      </c>
    </row>
    <row r="33572" ht="15.75" customHeight="1">
      <c r="A33572" s="7"/>
      <c r="B33572" s="7"/>
      <c r="M33572" s="9" t="s">
        <v>27</v>
      </c>
    </row>
    <row r="33573" ht="15.75" customHeight="1">
      <c r="A33573" s="7"/>
      <c r="B33573" s="7"/>
      <c r="M33573" s="9" t="s">
        <v>40</v>
      </c>
    </row>
    <row r="33574" ht="15.75" customHeight="1">
      <c r="A33574" s="7"/>
      <c r="B33574" s="7"/>
      <c r="M33574" s="9" t="s">
        <v>33</v>
      </c>
    </row>
    <row r="33575" ht="15.75" customHeight="1">
      <c r="A33575" s="7"/>
      <c r="B33575" s="7"/>
      <c r="M33575" s="9" t="s">
        <v>25</v>
      </c>
    </row>
    <row r="33576" ht="15.75" customHeight="1">
      <c r="A33576" s="7"/>
      <c r="B33576" s="7"/>
      <c r="M33576" s="9" t="s">
        <v>22</v>
      </c>
    </row>
    <row r="33577" ht="15.75" customHeight="1">
      <c r="A33577" s="7"/>
      <c r="B33577" s="7"/>
      <c r="M33577" s="9" t="s">
        <v>28</v>
      </c>
    </row>
    <row r="33578" ht="15.75" customHeight="1">
      <c r="A33578" s="7"/>
      <c r="B33578" s="7"/>
      <c r="M33578" s="9" t="s">
        <v>30</v>
      </c>
    </row>
    <row r="33579" ht="15.75" customHeight="1">
      <c r="A33579" s="7"/>
      <c r="B33579" s="7"/>
      <c r="M33579" s="9" t="s">
        <v>26</v>
      </c>
    </row>
    <row r="33580" ht="15.75" customHeight="1">
      <c r="A33580" s="7"/>
      <c r="B33580" s="7"/>
      <c r="M33580" s="9" t="s">
        <v>24</v>
      </c>
    </row>
    <row r="33581" ht="15.75" customHeight="1">
      <c r="A33581" s="7"/>
      <c r="B33581" s="7"/>
      <c r="M33581" s="9" t="s">
        <v>21</v>
      </c>
    </row>
    <row r="33582" ht="15.75" customHeight="1">
      <c r="A33582" s="7"/>
      <c r="B33582" s="7"/>
      <c r="M33582" s="9" t="s">
        <v>22</v>
      </c>
    </row>
    <row r="33583" ht="15.75" customHeight="1">
      <c r="A33583" s="7"/>
      <c r="B33583" s="7"/>
      <c r="M33583" s="9" t="s">
        <v>27</v>
      </c>
    </row>
    <row r="33584" ht="15.75" customHeight="1">
      <c r="A33584" s="7"/>
      <c r="B33584" s="7"/>
      <c r="M33584" s="9" t="s">
        <v>38</v>
      </c>
    </row>
    <row r="33585" ht="15.75" customHeight="1">
      <c r="A33585" s="7"/>
      <c r="B33585" s="7"/>
      <c r="M33585" s="9" t="s">
        <v>30</v>
      </c>
    </row>
    <row r="33586" ht="15.75" customHeight="1">
      <c r="A33586" s="7"/>
      <c r="B33586" s="7"/>
      <c r="M33586" s="9" t="s">
        <v>23</v>
      </c>
    </row>
    <row r="33587" ht="15.75" customHeight="1">
      <c r="A33587" s="7"/>
      <c r="B33587" s="7"/>
      <c r="M33587" s="9" t="s">
        <v>26</v>
      </c>
    </row>
    <row r="33588" ht="15.75" customHeight="1">
      <c r="A33588" s="7"/>
      <c r="B33588" s="7"/>
      <c r="M33588" s="9" t="s">
        <v>36</v>
      </c>
    </row>
    <row r="33589" ht="15.75" customHeight="1">
      <c r="A33589" s="7"/>
      <c r="B33589" s="7"/>
      <c r="M33589" s="9" t="s">
        <v>24</v>
      </c>
    </row>
    <row r="33590" ht="15.75" customHeight="1">
      <c r="A33590" s="7"/>
      <c r="B33590" s="7"/>
      <c r="M33590" s="9" t="s">
        <v>20</v>
      </c>
    </row>
    <row r="33591" ht="15.75" customHeight="1">
      <c r="A33591" s="7"/>
      <c r="B33591" s="7"/>
      <c r="M33591" s="9" t="s">
        <v>21</v>
      </c>
    </row>
    <row r="33592" ht="15.75" customHeight="1">
      <c r="A33592" s="7"/>
      <c r="B33592" s="7"/>
      <c r="M33592" s="9" t="s">
        <v>41</v>
      </c>
    </row>
    <row r="33593" ht="15.75" customHeight="1">
      <c r="A33593" s="7"/>
      <c r="B33593" s="7"/>
      <c r="M33593" s="9" t="s">
        <v>31</v>
      </c>
    </row>
    <row r="33594" ht="15.75" customHeight="1">
      <c r="A33594" s="7"/>
      <c r="B33594" s="7"/>
      <c r="M33594" s="9" t="s">
        <v>33</v>
      </c>
    </row>
    <row r="33595" ht="15.75" customHeight="1">
      <c r="A33595" s="7"/>
      <c r="B33595" s="7"/>
      <c r="M33595" s="9" t="s">
        <v>21</v>
      </c>
    </row>
    <row r="33596" ht="15.75" customHeight="1">
      <c r="A33596" s="7"/>
      <c r="B33596" s="7"/>
      <c r="M33596" s="9" t="s">
        <v>37</v>
      </c>
    </row>
    <row r="33597" ht="15.75" customHeight="1">
      <c r="A33597" s="7"/>
      <c r="B33597" s="7"/>
      <c r="M33597" s="9" t="s">
        <v>27</v>
      </c>
    </row>
    <row r="33598" ht="15.75" customHeight="1">
      <c r="A33598" s="7"/>
      <c r="B33598" s="7"/>
      <c r="M33598" s="9" t="s">
        <v>25</v>
      </c>
    </row>
    <row r="33599" ht="15.75" customHeight="1">
      <c r="A33599" s="7"/>
      <c r="B33599" s="7"/>
      <c r="M33599" s="9" t="s">
        <v>23</v>
      </c>
    </row>
    <row r="33600" ht="15.75" customHeight="1">
      <c r="A33600" s="7"/>
      <c r="B33600" s="7"/>
      <c r="M33600" s="9" t="s">
        <v>26</v>
      </c>
    </row>
    <row r="33601" ht="15.75" customHeight="1">
      <c r="A33601" s="7"/>
      <c r="B33601" s="7"/>
      <c r="M33601" s="9" t="s">
        <v>24</v>
      </c>
    </row>
    <row r="33602" ht="15.75" customHeight="1">
      <c r="A33602" s="7"/>
      <c r="B33602" s="7"/>
      <c r="M33602" s="9" t="s">
        <v>21</v>
      </c>
    </row>
    <row r="33603" ht="15.75" customHeight="1">
      <c r="A33603" s="7"/>
      <c r="B33603" s="7"/>
      <c r="M33603" s="9" t="s">
        <v>22</v>
      </c>
    </row>
    <row r="33604" ht="15.75" customHeight="1">
      <c r="A33604" s="7"/>
      <c r="B33604" s="7"/>
      <c r="M33604" s="9" t="s">
        <v>27</v>
      </c>
    </row>
    <row r="33605" ht="15.75" customHeight="1">
      <c r="A33605" s="7"/>
      <c r="B33605" s="7"/>
      <c r="M33605" s="9" t="s">
        <v>33</v>
      </c>
    </row>
    <row r="33606" ht="15.75" customHeight="1">
      <c r="A33606" s="7"/>
      <c r="B33606" s="7"/>
      <c r="M33606" s="9" t="s">
        <v>25</v>
      </c>
    </row>
    <row r="33607" ht="15.75" customHeight="1">
      <c r="A33607" s="7"/>
      <c r="B33607" s="7"/>
      <c r="M33607" s="9" t="s">
        <v>23</v>
      </c>
    </row>
    <row r="33608" ht="15.75" customHeight="1">
      <c r="A33608" s="7"/>
      <c r="B33608" s="7"/>
      <c r="M33608" s="9" t="s">
        <v>24</v>
      </c>
    </row>
    <row r="33609" ht="15.75" customHeight="1">
      <c r="A33609" s="7"/>
      <c r="B33609" s="7"/>
      <c r="M33609" s="9" t="s">
        <v>20</v>
      </c>
    </row>
    <row r="33610" ht="15.75" customHeight="1">
      <c r="A33610" s="7"/>
      <c r="B33610" s="7"/>
      <c r="M33610" s="9" t="s">
        <v>21</v>
      </c>
    </row>
    <row r="33611" ht="15.75" customHeight="1">
      <c r="A33611" s="7"/>
      <c r="B33611" s="7"/>
      <c r="M33611" s="9" t="s">
        <v>22</v>
      </c>
    </row>
    <row r="33612" ht="15.75" customHeight="1">
      <c r="A33612" s="7"/>
      <c r="B33612" s="7"/>
      <c r="M33612" s="9" t="s">
        <v>27</v>
      </c>
    </row>
    <row r="33613" ht="15.75" customHeight="1">
      <c r="A33613" s="7"/>
      <c r="B33613" s="7"/>
      <c r="M33613" s="9" t="s">
        <v>24</v>
      </c>
    </row>
    <row r="33614" ht="15.75" customHeight="1">
      <c r="A33614" s="7"/>
      <c r="B33614" s="7"/>
      <c r="M33614" s="9" t="s">
        <v>21</v>
      </c>
    </row>
    <row r="33615" ht="15.75" customHeight="1">
      <c r="A33615" s="7"/>
      <c r="B33615" s="7"/>
      <c r="M33615" s="9" t="s">
        <v>37</v>
      </c>
    </row>
    <row r="33616" ht="15.75" customHeight="1">
      <c r="A33616" s="7"/>
      <c r="B33616" s="7"/>
      <c r="M33616" s="9" t="s">
        <v>22</v>
      </c>
    </row>
    <row r="33617" ht="15.75" customHeight="1">
      <c r="A33617" s="7"/>
      <c r="B33617" s="7"/>
      <c r="M33617" s="9" t="s">
        <v>27</v>
      </c>
    </row>
    <row r="33618" ht="15.75" customHeight="1">
      <c r="A33618" s="7"/>
      <c r="B33618" s="7"/>
      <c r="M33618" s="9" t="s">
        <v>28</v>
      </c>
    </row>
    <row r="33619" ht="15.75" customHeight="1">
      <c r="A33619" s="7"/>
      <c r="B33619" s="7"/>
      <c r="M33619" s="9" t="s">
        <v>30</v>
      </c>
    </row>
    <row r="33620" ht="15.75" customHeight="1">
      <c r="A33620" s="7"/>
      <c r="B33620" s="7"/>
      <c r="M33620" s="9" t="s">
        <v>36</v>
      </c>
    </row>
    <row r="33621" ht="15.75" customHeight="1">
      <c r="A33621" s="7"/>
      <c r="B33621" s="7"/>
      <c r="M33621" s="9" t="s">
        <v>24</v>
      </c>
    </row>
    <row r="33622" ht="15.75" customHeight="1">
      <c r="A33622" s="7"/>
      <c r="B33622" s="7"/>
      <c r="M33622" s="9" t="s">
        <v>21</v>
      </c>
    </row>
    <row r="33623" ht="15.75" customHeight="1">
      <c r="A33623" s="7"/>
      <c r="B33623" s="7"/>
      <c r="M33623" s="9" t="s">
        <v>22</v>
      </c>
    </row>
    <row r="33624" ht="15.75" customHeight="1">
      <c r="A33624" s="7"/>
      <c r="B33624" s="7"/>
      <c r="M33624" s="9" t="s">
        <v>31</v>
      </c>
    </row>
    <row r="33625" ht="15.75" customHeight="1">
      <c r="A33625" s="7"/>
      <c r="B33625" s="7"/>
      <c r="M33625" s="9" t="s">
        <v>27</v>
      </c>
    </row>
    <row r="33626" ht="15.75" customHeight="1">
      <c r="A33626" s="7"/>
      <c r="B33626" s="7"/>
      <c r="M33626" s="9" t="s">
        <v>24</v>
      </c>
    </row>
    <row r="33627" ht="15.75" customHeight="1">
      <c r="A33627" s="7"/>
      <c r="B33627" s="7"/>
      <c r="M33627" s="9" t="s">
        <v>21</v>
      </c>
    </row>
    <row r="33628" ht="15.75" customHeight="1">
      <c r="A33628" s="7"/>
      <c r="B33628" s="7"/>
      <c r="M33628" s="9" t="s">
        <v>37</v>
      </c>
    </row>
    <row r="33629" ht="15.75" customHeight="1">
      <c r="A33629" s="7"/>
      <c r="B33629" s="7"/>
      <c r="M33629" s="9" t="s">
        <v>26</v>
      </c>
    </row>
    <row r="33630" ht="15.75" customHeight="1">
      <c r="A33630" s="7"/>
      <c r="B33630" s="7"/>
      <c r="M33630" s="9" t="s">
        <v>24</v>
      </c>
    </row>
    <row r="33631" ht="15.75" customHeight="1">
      <c r="A33631" s="7"/>
      <c r="B33631" s="7"/>
      <c r="M33631" s="9" t="s">
        <v>20</v>
      </c>
    </row>
    <row r="33632" ht="15.75" customHeight="1">
      <c r="A33632" s="7"/>
      <c r="B33632" s="7"/>
      <c r="M33632" s="9" t="s">
        <v>21</v>
      </c>
    </row>
    <row r="33633" ht="15.75" customHeight="1">
      <c r="A33633" s="7"/>
      <c r="B33633" s="7"/>
      <c r="M33633" s="9" t="s">
        <v>37</v>
      </c>
    </row>
    <row r="33634" ht="15.75" customHeight="1">
      <c r="A33634" s="7"/>
      <c r="B33634" s="7"/>
      <c r="M33634" s="9" t="s">
        <v>22</v>
      </c>
    </row>
    <row r="33635" ht="15.75" customHeight="1">
      <c r="A33635" s="7"/>
      <c r="B33635" s="7"/>
      <c r="M33635" s="9" t="s">
        <v>27</v>
      </c>
    </row>
    <row r="33636" ht="15.75" customHeight="1">
      <c r="A33636" s="7"/>
      <c r="B33636" s="7"/>
      <c r="M33636" s="9" t="s">
        <v>40</v>
      </c>
    </row>
    <row r="33637" ht="15.75" customHeight="1">
      <c r="A33637" s="7"/>
      <c r="B33637" s="7"/>
      <c r="M33637" s="9" t="s">
        <v>24</v>
      </c>
    </row>
    <row r="33638" ht="15.75" customHeight="1">
      <c r="A33638" s="7"/>
      <c r="B33638" s="7"/>
      <c r="M33638" s="9" t="s">
        <v>21</v>
      </c>
    </row>
    <row r="33639" ht="15.75" customHeight="1">
      <c r="A33639" s="7"/>
      <c r="B33639" s="7"/>
      <c r="M33639" s="9" t="s">
        <v>37</v>
      </c>
    </row>
    <row r="33640" ht="15.75" customHeight="1">
      <c r="A33640" s="7"/>
      <c r="B33640" s="7"/>
      <c r="M33640" s="9" t="s">
        <v>22</v>
      </c>
    </row>
    <row r="33641" ht="15.75" customHeight="1">
      <c r="A33641" s="7"/>
      <c r="B33641" s="7"/>
      <c r="M33641" s="9" t="s">
        <v>33</v>
      </c>
    </row>
    <row r="33642" ht="15.75" customHeight="1">
      <c r="A33642" s="7"/>
      <c r="B33642" s="7"/>
      <c r="M33642" s="9" t="s">
        <v>47</v>
      </c>
    </row>
    <row r="33643" ht="15.75" customHeight="1">
      <c r="A33643" s="7"/>
      <c r="B33643" s="7"/>
      <c r="M33643" s="9" t="s">
        <v>20</v>
      </c>
    </row>
    <row r="33644" ht="15.75" customHeight="1">
      <c r="A33644" s="7"/>
      <c r="B33644" s="7"/>
      <c r="M33644" s="9" t="s">
        <v>27</v>
      </c>
    </row>
    <row r="33645" ht="15.75" customHeight="1">
      <c r="A33645" s="7"/>
      <c r="B33645" s="7"/>
      <c r="M33645" s="9" t="s">
        <v>30</v>
      </c>
    </row>
    <row r="33646" ht="15.75" customHeight="1">
      <c r="A33646" s="7"/>
      <c r="B33646" s="7"/>
      <c r="M33646" s="9" t="s">
        <v>26</v>
      </c>
    </row>
    <row r="33647" ht="15.75" customHeight="1">
      <c r="A33647" s="7"/>
      <c r="B33647" s="7"/>
      <c r="M33647" s="9" t="s">
        <v>24</v>
      </c>
    </row>
    <row r="33648" ht="15.75" customHeight="1">
      <c r="A33648" s="7"/>
      <c r="B33648" s="7"/>
      <c r="M33648" s="9" t="s">
        <v>20</v>
      </c>
    </row>
    <row r="33649" ht="15.75" customHeight="1">
      <c r="A33649" s="7"/>
      <c r="B33649" s="7"/>
      <c r="M33649" s="9" t="s">
        <v>21</v>
      </c>
    </row>
    <row r="33650" ht="15.75" customHeight="1">
      <c r="A33650" s="7"/>
      <c r="B33650" s="7"/>
      <c r="M33650" s="9" t="s">
        <v>37</v>
      </c>
    </row>
    <row r="33651" ht="15.75" customHeight="1">
      <c r="A33651" s="7"/>
      <c r="B33651" s="7"/>
      <c r="M33651" s="9" t="s">
        <v>22</v>
      </c>
    </row>
    <row r="33652" ht="15.75" customHeight="1">
      <c r="A33652" s="7"/>
      <c r="B33652" s="7"/>
      <c r="M33652" s="9" t="s">
        <v>27</v>
      </c>
    </row>
    <row r="33653" ht="15.75" customHeight="1">
      <c r="A33653" s="7"/>
      <c r="B33653" s="7"/>
      <c r="M33653" s="9" t="s">
        <v>36</v>
      </c>
    </row>
    <row r="33654" ht="15.75" customHeight="1">
      <c r="A33654" s="7"/>
      <c r="B33654" s="7"/>
      <c r="M33654" s="9" t="s">
        <v>39</v>
      </c>
    </row>
    <row r="33655" ht="15.75" customHeight="1">
      <c r="A33655" s="7"/>
      <c r="B33655" s="7"/>
      <c r="M33655" s="9" t="s">
        <v>22</v>
      </c>
    </row>
    <row r="33656" ht="15.75" customHeight="1">
      <c r="A33656" s="7"/>
      <c r="B33656" s="7"/>
      <c r="M33656" s="9" t="s">
        <v>31</v>
      </c>
    </row>
    <row r="33657" ht="15.75" customHeight="1">
      <c r="A33657" s="7"/>
      <c r="B33657" s="7"/>
      <c r="M33657" s="9" t="s">
        <v>23</v>
      </c>
    </row>
    <row r="33658" ht="15.75" customHeight="1">
      <c r="A33658" s="7"/>
      <c r="B33658" s="7"/>
      <c r="M33658" s="9" t="s">
        <v>26</v>
      </c>
    </row>
    <row r="33659" ht="15.75" customHeight="1">
      <c r="A33659" s="7"/>
      <c r="B33659" s="7"/>
      <c r="M33659" s="9" t="s">
        <v>42</v>
      </c>
    </row>
    <row r="33660" ht="15.75" customHeight="1">
      <c r="A33660" s="7"/>
      <c r="B33660" s="7"/>
      <c r="M33660" s="9" t="s">
        <v>36</v>
      </c>
    </row>
    <row r="33661" ht="15.75" customHeight="1">
      <c r="A33661" s="7"/>
      <c r="B33661" s="7"/>
      <c r="M33661" s="9" t="s">
        <v>24</v>
      </c>
    </row>
    <row r="33662" ht="15.75" customHeight="1">
      <c r="A33662" s="7"/>
      <c r="B33662" s="7"/>
      <c r="M33662" s="9" t="s">
        <v>20</v>
      </c>
    </row>
    <row r="33663" ht="15.75" customHeight="1">
      <c r="A33663" s="7"/>
      <c r="B33663" s="7"/>
      <c r="M33663" s="9" t="s">
        <v>21</v>
      </c>
    </row>
    <row r="33664" ht="15.75" customHeight="1">
      <c r="A33664" s="7"/>
      <c r="B33664" s="7"/>
      <c r="M33664" s="9" t="s">
        <v>39</v>
      </c>
    </row>
    <row r="33665" ht="15.75" customHeight="1">
      <c r="A33665" s="7"/>
      <c r="B33665" s="7"/>
      <c r="M33665" s="9" t="s">
        <v>37</v>
      </c>
    </row>
    <row r="33666" ht="15.75" customHeight="1">
      <c r="A33666" s="7"/>
      <c r="B33666" s="7"/>
      <c r="M33666" s="9" t="s">
        <v>22</v>
      </c>
    </row>
    <row r="33667" ht="15.75" customHeight="1">
      <c r="A33667" s="7"/>
      <c r="B33667" s="7"/>
      <c r="M33667" s="9" t="s">
        <v>29</v>
      </c>
    </row>
    <row r="33668" ht="15.75" customHeight="1">
      <c r="A33668" s="7"/>
      <c r="B33668" s="7"/>
      <c r="M33668" s="9" t="s">
        <v>27</v>
      </c>
    </row>
    <row r="33669" ht="15.75" customHeight="1">
      <c r="A33669" s="7"/>
      <c r="B33669" s="7"/>
      <c r="M33669" s="9" t="s">
        <v>33</v>
      </c>
    </row>
    <row r="33670" ht="15.75" customHeight="1">
      <c r="A33670" s="7"/>
      <c r="B33670" s="7"/>
      <c r="M33670" s="9" t="s">
        <v>20</v>
      </c>
    </row>
    <row r="33671" ht="15.75" customHeight="1">
      <c r="A33671" s="7"/>
      <c r="B33671" s="7"/>
      <c r="M33671" s="9" t="s">
        <v>27</v>
      </c>
    </row>
    <row r="33672" ht="15.75" customHeight="1">
      <c r="A33672" s="7"/>
      <c r="B33672" s="7"/>
      <c r="M33672" s="9" t="s">
        <v>30</v>
      </c>
    </row>
    <row r="33673" ht="15.75" customHeight="1">
      <c r="A33673" s="7"/>
      <c r="B33673" s="7"/>
      <c r="M33673" s="9" t="s">
        <v>26</v>
      </c>
    </row>
    <row r="33674" ht="15.75" customHeight="1">
      <c r="A33674" s="7"/>
      <c r="B33674" s="7"/>
      <c r="M33674" s="9" t="s">
        <v>27</v>
      </c>
    </row>
    <row r="33675" ht="15.75" customHeight="1">
      <c r="A33675" s="7"/>
      <c r="B33675" s="7"/>
      <c r="M33675" s="9" t="s">
        <v>30</v>
      </c>
    </row>
    <row r="33676" ht="15.75" customHeight="1">
      <c r="A33676" s="7"/>
      <c r="B33676" s="7"/>
      <c r="M33676" s="9" t="s">
        <v>26</v>
      </c>
    </row>
    <row r="33677" ht="15.75" customHeight="1">
      <c r="A33677" s="7"/>
      <c r="B33677" s="7"/>
      <c r="M33677" s="9" t="s">
        <v>36</v>
      </c>
    </row>
    <row r="33678" ht="15.75" customHeight="1">
      <c r="A33678" s="7"/>
      <c r="B33678" s="7"/>
      <c r="M33678" s="9" t="s">
        <v>20</v>
      </c>
    </row>
    <row r="33679" ht="15.75" customHeight="1">
      <c r="A33679" s="7"/>
      <c r="B33679" s="7"/>
      <c r="M33679" s="9" t="s">
        <v>21</v>
      </c>
    </row>
    <row r="33680" ht="15.75" customHeight="1">
      <c r="A33680" s="7"/>
      <c r="B33680" s="7"/>
      <c r="M33680" s="9" t="s">
        <v>22</v>
      </c>
    </row>
    <row r="33681" ht="15.75" customHeight="1">
      <c r="A33681" s="7"/>
      <c r="B33681" s="7"/>
      <c r="M33681" s="9" t="s">
        <v>27</v>
      </c>
    </row>
    <row r="33682" ht="15.75" customHeight="1">
      <c r="A33682" s="7"/>
      <c r="B33682" s="7"/>
      <c r="M33682" s="9" t="s">
        <v>33</v>
      </c>
    </row>
    <row r="33683" ht="15.75" customHeight="1">
      <c r="A33683" s="7"/>
      <c r="B33683" s="7"/>
      <c r="M33683" s="9" t="s">
        <v>26</v>
      </c>
    </row>
    <row r="33684" ht="15.75" customHeight="1">
      <c r="A33684" s="7"/>
      <c r="B33684" s="7"/>
      <c r="M33684" s="9" t="s">
        <v>21</v>
      </c>
    </row>
    <row r="33685" ht="15.75" customHeight="1">
      <c r="A33685" s="7"/>
      <c r="B33685" s="7"/>
      <c r="M33685" s="9" t="s">
        <v>27</v>
      </c>
    </row>
    <row r="33686" ht="15.75" customHeight="1">
      <c r="A33686" s="7"/>
      <c r="B33686" s="7"/>
      <c r="M33686" s="9" t="s">
        <v>33</v>
      </c>
    </row>
    <row r="33687" ht="15.75" customHeight="1">
      <c r="A33687" s="7"/>
      <c r="B33687" s="7"/>
      <c r="M33687" s="9" t="s">
        <v>30</v>
      </c>
    </row>
    <row r="33688" ht="15.75" customHeight="1">
      <c r="A33688" s="7"/>
      <c r="B33688" s="7"/>
      <c r="M33688" s="9" t="s">
        <v>20</v>
      </c>
    </row>
    <row r="33689" ht="15.75" customHeight="1">
      <c r="A33689" s="7"/>
      <c r="B33689" s="7"/>
      <c r="M33689" s="9" t="s">
        <v>27</v>
      </c>
    </row>
    <row r="33690" ht="15.75" customHeight="1">
      <c r="A33690" s="7"/>
      <c r="B33690" s="7"/>
      <c r="M33690" s="9" t="s">
        <v>26</v>
      </c>
    </row>
    <row r="33691" ht="15.75" customHeight="1">
      <c r="A33691" s="7"/>
      <c r="B33691" s="7"/>
      <c r="M33691" s="9" t="s">
        <v>24</v>
      </c>
    </row>
    <row r="33692" ht="15.75" customHeight="1">
      <c r="A33692" s="7"/>
      <c r="B33692" s="7"/>
      <c r="M33692" s="9" t="s">
        <v>33</v>
      </c>
    </row>
    <row r="33693" ht="15.75" customHeight="1">
      <c r="A33693" s="7"/>
      <c r="B33693" s="7"/>
      <c r="M33693" s="9" t="s">
        <v>24</v>
      </c>
    </row>
    <row r="33694" ht="15.75" customHeight="1">
      <c r="A33694" s="7"/>
      <c r="B33694" s="7"/>
      <c r="M33694" s="9" t="s">
        <v>21</v>
      </c>
    </row>
    <row r="33695" ht="15.75" customHeight="1">
      <c r="A33695" s="7"/>
      <c r="B33695" s="7"/>
      <c r="M33695" s="9" t="s">
        <v>27</v>
      </c>
    </row>
    <row r="33696" ht="15.75" customHeight="1">
      <c r="A33696" s="7"/>
      <c r="B33696" s="7"/>
      <c r="M33696" s="9" t="s">
        <v>35</v>
      </c>
    </row>
    <row r="33697" ht="15.75" customHeight="1">
      <c r="A33697" s="7"/>
      <c r="B33697" s="7"/>
      <c r="M33697" s="9" t="s">
        <v>25</v>
      </c>
    </row>
    <row r="33698" ht="15.75" customHeight="1">
      <c r="A33698" s="7"/>
      <c r="B33698" s="7"/>
      <c r="M33698" s="9" t="s">
        <v>44</v>
      </c>
    </row>
    <row r="33699" ht="15.75" customHeight="1">
      <c r="A33699" s="7"/>
      <c r="B33699" s="7"/>
      <c r="M33699" s="9" t="s">
        <v>24</v>
      </c>
    </row>
    <row r="33700" ht="15.75" customHeight="1">
      <c r="A33700" s="7"/>
      <c r="B33700" s="7"/>
      <c r="M33700" s="9" t="s">
        <v>37</v>
      </c>
    </row>
    <row r="33701" ht="15.75" customHeight="1">
      <c r="A33701" s="7"/>
      <c r="B33701" s="7"/>
      <c r="M33701" s="9" t="s">
        <v>22</v>
      </c>
    </row>
    <row r="33702" ht="15.75" customHeight="1">
      <c r="A33702" s="7"/>
      <c r="B33702" s="7"/>
      <c r="M33702" s="9" t="s">
        <v>27</v>
      </c>
    </row>
    <row r="33703" ht="15.75" customHeight="1">
      <c r="A33703" s="7"/>
      <c r="B33703" s="7"/>
      <c r="M33703" s="9" t="s">
        <v>38</v>
      </c>
    </row>
    <row r="33704" ht="15.75" customHeight="1">
      <c r="A33704" s="7"/>
      <c r="B33704" s="7"/>
      <c r="M33704" s="9" t="s">
        <v>30</v>
      </c>
    </row>
    <row r="33705" ht="15.75" customHeight="1">
      <c r="A33705" s="7"/>
      <c r="B33705" s="7"/>
      <c r="M33705" s="9" t="s">
        <v>25</v>
      </c>
    </row>
    <row r="33706" ht="15.75" customHeight="1">
      <c r="A33706" s="7"/>
      <c r="B33706" s="7"/>
      <c r="M33706" s="9" t="s">
        <v>23</v>
      </c>
    </row>
    <row r="33707" ht="15.75" customHeight="1">
      <c r="A33707" s="7"/>
      <c r="B33707" s="7"/>
      <c r="M33707" s="9" t="s">
        <v>24</v>
      </c>
    </row>
    <row r="33708" ht="15.75" customHeight="1">
      <c r="A33708" s="7"/>
      <c r="B33708" s="7"/>
      <c r="M33708" s="9" t="s">
        <v>20</v>
      </c>
    </row>
    <row r="33709" ht="15.75" customHeight="1">
      <c r="A33709" s="7"/>
      <c r="B33709" s="7"/>
      <c r="M33709" s="9" t="s">
        <v>21</v>
      </c>
    </row>
    <row r="33710" ht="15.75" customHeight="1">
      <c r="A33710" s="7"/>
      <c r="B33710" s="7"/>
      <c r="M33710" s="9" t="s">
        <v>41</v>
      </c>
    </row>
    <row r="33711" ht="15.75" customHeight="1">
      <c r="A33711" s="7"/>
      <c r="B33711" s="7"/>
      <c r="M33711" s="9" t="s">
        <v>37</v>
      </c>
    </row>
    <row r="33712" ht="15.75" customHeight="1">
      <c r="A33712" s="7"/>
      <c r="B33712" s="7"/>
      <c r="M33712" s="9" t="s">
        <v>22</v>
      </c>
    </row>
    <row r="33713" ht="15.75" customHeight="1">
      <c r="A33713" s="7"/>
      <c r="B33713" s="7"/>
      <c r="M33713" s="9" t="s">
        <v>27</v>
      </c>
    </row>
    <row r="33714" ht="15.75" customHeight="1">
      <c r="A33714" s="7"/>
      <c r="B33714" s="7"/>
      <c r="M33714" s="9" t="s">
        <v>40</v>
      </c>
    </row>
    <row r="33715" ht="15.75" customHeight="1">
      <c r="A33715" s="7"/>
      <c r="B33715" s="7"/>
      <c r="M33715" s="9" t="s">
        <v>20</v>
      </c>
    </row>
    <row r="33716" ht="15.75" customHeight="1">
      <c r="A33716" s="7"/>
      <c r="B33716" s="7"/>
      <c r="M33716" s="9" t="s">
        <v>22</v>
      </c>
    </row>
    <row r="33717" ht="15.75" customHeight="1">
      <c r="A33717" s="7"/>
      <c r="B33717" s="7"/>
      <c r="M33717" s="9" t="s">
        <v>30</v>
      </c>
    </row>
    <row r="33718" ht="15.75" customHeight="1">
      <c r="A33718" s="7"/>
      <c r="B33718" s="7"/>
      <c r="M33718" s="9" t="s">
        <v>20</v>
      </c>
    </row>
    <row r="33719" ht="15.75" customHeight="1">
      <c r="A33719" s="7"/>
      <c r="B33719" s="7"/>
      <c r="M33719" s="9" t="s">
        <v>27</v>
      </c>
    </row>
    <row r="33720" ht="15.75" customHeight="1">
      <c r="A33720" s="7"/>
      <c r="B33720" s="7"/>
      <c r="M33720" s="9" t="s">
        <v>35</v>
      </c>
    </row>
    <row r="33721" ht="15.75" customHeight="1">
      <c r="A33721" s="7"/>
      <c r="B33721" s="7"/>
      <c r="M33721" s="9" t="s">
        <v>24</v>
      </c>
    </row>
    <row r="33722" ht="15.75" customHeight="1">
      <c r="A33722" s="7"/>
      <c r="B33722" s="7"/>
      <c r="M33722" s="9" t="s">
        <v>21</v>
      </c>
    </row>
    <row r="33723" ht="15.75" customHeight="1">
      <c r="A33723" s="7"/>
      <c r="B33723" s="7"/>
      <c r="M33723" s="9" t="s">
        <v>37</v>
      </c>
    </row>
    <row r="33724" ht="15.75" customHeight="1">
      <c r="A33724" s="7"/>
      <c r="B33724" s="7"/>
      <c r="M33724" s="9" t="s">
        <v>27</v>
      </c>
    </row>
    <row r="33725" ht="15.75" customHeight="1">
      <c r="A33725" s="7"/>
      <c r="B33725" s="7"/>
      <c r="M33725" s="9" t="s">
        <v>40</v>
      </c>
    </row>
    <row r="33726" ht="15.75" customHeight="1">
      <c r="A33726" s="7"/>
      <c r="B33726" s="7"/>
      <c r="M33726" s="9" t="s">
        <v>38</v>
      </c>
    </row>
    <row r="33727" ht="15.75" customHeight="1">
      <c r="A33727" s="7"/>
      <c r="B33727" s="7"/>
      <c r="M33727" s="9" t="s">
        <v>25</v>
      </c>
    </row>
    <row r="33728" ht="15.75" customHeight="1">
      <c r="A33728" s="7"/>
      <c r="B33728" s="7"/>
      <c r="M33728" s="9" t="s">
        <v>23</v>
      </c>
    </row>
    <row r="33729" ht="15.75" customHeight="1">
      <c r="A33729" s="7"/>
      <c r="B33729" s="7"/>
      <c r="M33729" s="9" t="s">
        <v>24</v>
      </c>
    </row>
    <row r="33730" ht="15.75" customHeight="1">
      <c r="A33730" s="7"/>
      <c r="B33730" s="7"/>
      <c r="M33730" s="9" t="s">
        <v>20</v>
      </c>
    </row>
    <row r="33731" ht="15.75" customHeight="1">
      <c r="A33731" s="7"/>
      <c r="B33731" s="7"/>
      <c r="M33731" s="9" t="s">
        <v>21</v>
      </c>
    </row>
    <row r="33732" ht="15.75" customHeight="1">
      <c r="A33732" s="7"/>
      <c r="B33732" s="7"/>
      <c r="M33732" s="9" t="s">
        <v>37</v>
      </c>
    </row>
    <row r="33733" ht="15.75" customHeight="1">
      <c r="A33733" s="7"/>
      <c r="B33733" s="7"/>
      <c r="M33733" s="9" t="s">
        <v>22</v>
      </c>
    </row>
    <row r="33734" ht="15.75" customHeight="1">
      <c r="A33734" s="7"/>
      <c r="B33734" s="7"/>
      <c r="M33734" s="9" t="s">
        <v>31</v>
      </c>
    </row>
    <row r="33735" ht="15.75" customHeight="1">
      <c r="A33735" s="7"/>
      <c r="B33735" s="7"/>
      <c r="M33735" s="9" t="s">
        <v>27</v>
      </c>
    </row>
    <row r="33736" ht="15.75" customHeight="1">
      <c r="A33736" s="7"/>
      <c r="B33736" s="7"/>
      <c r="M33736" s="9" t="s">
        <v>25</v>
      </c>
    </row>
    <row r="33737" ht="15.75" customHeight="1">
      <c r="A33737" s="7"/>
      <c r="B33737" s="7"/>
      <c r="M33737" s="9" t="s">
        <v>23</v>
      </c>
    </row>
    <row r="33738" ht="15.75" customHeight="1">
      <c r="A33738" s="7"/>
      <c r="B33738" s="7"/>
      <c r="M33738" s="9" t="s">
        <v>26</v>
      </c>
    </row>
    <row r="33739" ht="15.75" customHeight="1">
      <c r="A33739" s="7"/>
      <c r="B33739" s="7"/>
      <c r="M33739" s="9" t="s">
        <v>24</v>
      </c>
    </row>
    <row r="33740" ht="15.75" customHeight="1">
      <c r="A33740" s="7"/>
      <c r="B33740" s="7"/>
      <c r="M33740" s="9" t="s">
        <v>21</v>
      </c>
    </row>
    <row r="33741" ht="15.75" customHeight="1">
      <c r="A33741" s="7"/>
      <c r="B33741" s="7"/>
      <c r="M33741" s="9" t="s">
        <v>22</v>
      </c>
    </row>
    <row r="33742" ht="15.75" customHeight="1">
      <c r="A33742" s="7"/>
      <c r="B33742" s="7"/>
      <c r="M33742" s="9" t="s">
        <v>26</v>
      </c>
    </row>
    <row r="33743" ht="15.75" customHeight="1">
      <c r="A33743" s="7"/>
      <c r="B33743" s="7"/>
      <c r="M33743" s="9" t="s">
        <v>24</v>
      </c>
    </row>
    <row r="33744" ht="15.75" customHeight="1">
      <c r="A33744" s="7"/>
      <c r="B33744" s="7"/>
      <c r="M33744" s="9" t="s">
        <v>21</v>
      </c>
    </row>
    <row r="33745" ht="15.75" customHeight="1">
      <c r="A33745" s="7"/>
      <c r="B33745" s="7"/>
      <c r="M33745" s="9" t="s">
        <v>27</v>
      </c>
    </row>
    <row r="33746" ht="15.75" customHeight="1">
      <c r="A33746" s="7"/>
      <c r="B33746" s="7"/>
      <c r="M33746" s="9" t="s">
        <v>33</v>
      </c>
    </row>
    <row r="33747" ht="15.75" customHeight="1">
      <c r="A33747" s="7"/>
      <c r="B33747" s="7"/>
      <c r="M33747" s="9" t="s">
        <v>24</v>
      </c>
    </row>
    <row r="33748" ht="15.75" customHeight="1">
      <c r="A33748" s="7"/>
      <c r="B33748" s="7"/>
      <c r="M33748" s="9" t="s">
        <v>21</v>
      </c>
    </row>
    <row r="33749" ht="15.75" customHeight="1">
      <c r="A33749" s="7"/>
      <c r="B33749" s="7"/>
      <c r="M33749" s="9" t="s">
        <v>37</v>
      </c>
    </row>
    <row r="33750" ht="15.75" customHeight="1">
      <c r="A33750" s="7"/>
      <c r="B33750" s="7"/>
      <c r="M33750" s="9" t="s">
        <v>27</v>
      </c>
    </row>
    <row r="33751" ht="15.75" customHeight="1">
      <c r="A33751" s="7"/>
      <c r="B33751" s="7"/>
      <c r="M33751" s="9" t="s">
        <v>21</v>
      </c>
    </row>
    <row r="33752" ht="15.75" customHeight="1">
      <c r="A33752" s="7"/>
      <c r="B33752" s="7"/>
      <c r="M33752" s="9" t="s">
        <v>24</v>
      </c>
    </row>
    <row r="33753" ht="15.75" customHeight="1">
      <c r="A33753" s="7"/>
      <c r="B33753" s="7"/>
      <c r="M33753" s="9" t="s">
        <v>21</v>
      </c>
    </row>
    <row r="33754" ht="15.75" customHeight="1">
      <c r="A33754" s="7"/>
      <c r="B33754" s="7"/>
      <c r="M33754" s="9" t="s">
        <v>37</v>
      </c>
    </row>
    <row r="33755" ht="15.75" customHeight="1">
      <c r="A33755" s="7"/>
      <c r="B33755" s="7"/>
      <c r="M33755" s="9" t="s">
        <v>21</v>
      </c>
    </row>
    <row r="33756" ht="15.75" customHeight="1">
      <c r="A33756" s="7"/>
      <c r="B33756" s="7"/>
      <c r="M33756" s="9" t="s">
        <v>22</v>
      </c>
    </row>
    <row r="33757" ht="15.75" customHeight="1">
      <c r="A33757" s="7"/>
      <c r="B33757" s="7"/>
      <c r="M33757" s="9" t="s">
        <v>35</v>
      </c>
    </row>
    <row r="33758" ht="15.75" customHeight="1">
      <c r="A33758" s="7"/>
      <c r="B33758" s="7"/>
      <c r="M33758" s="9" t="s">
        <v>38</v>
      </c>
    </row>
    <row r="33759" ht="15.75" customHeight="1">
      <c r="A33759" s="7"/>
      <c r="B33759" s="7"/>
      <c r="M33759" s="9" t="s">
        <v>25</v>
      </c>
    </row>
    <row r="33760" ht="15.75" customHeight="1">
      <c r="A33760" s="7"/>
      <c r="B33760" s="7"/>
      <c r="M33760" s="9" t="s">
        <v>23</v>
      </c>
    </row>
    <row r="33761" ht="15.75" customHeight="1">
      <c r="A33761" s="7"/>
      <c r="B33761" s="7"/>
      <c r="M33761" s="9" t="s">
        <v>47</v>
      </c>
    </row>
    <row r="33762" ht="15.75" customHeight="1">
      <c r="A33762" s="7"/>
      <c r="B33762" s="7"/>
      <c r="M33762" s="9" t="s">
        <v>20</v>
      </c>
    </row>
    <row r="33763" ht="15.75" customHeight="1">
      <c r="A33763" s="7"/>
      <c r="B33763" s="7"/>
      <c r="M33763" s="9" t="s">
        <v>21</v>
      </c>
    </row>
    <row r="33764" ht="15.75" customHeight="1">
      <c r="A33764" s="7"/>
      <c r="B33764" s="7"/>
      <c r="M33764" s="9" t="s">
        <v>39</v>
      </c>
    </row>
    <row r="33765" ht="15.75" customHeight="1">
      <c r="A33765" s="7"/>
      <c r="B33765" s="7"/>
      <c r="M33765" s="9" t="s">
        <v>40</v>
      </c>
    </row>
    <row r="33766" ht="15.75" customHeight="1">
      <c r="A33766" s="7"/>
      <c r="B33766" s="7"/>
      <c r="M33766" s="9" t="s">
        <v>24</v>
      </c>
    </row>
    <row r="33767" ht="15.75" customHeight="1">
      <c r="A33767" s="7"/>
      <c r="B33767" s="7"/>
      <c r="M33767" s="9" t="s">
        <v>21</v>
      </c>
    </row>
    <row r="33768" ht="15.75" customHeight="1">
      <c r="A33768" s="7"/>
      <c r="B33768" s="7"/>
      <c r="M33768" s="9" t="s">
        <v>37</v>
      </c>
    </row>
    <row r="33769" ht="15.75" customHeight="1">
      <c r="A33769" s="7"/>
      <c r="B33769" s="7"/>
      <c r="M33769" s="9" t="s">
        <v>27</v>
      </c>
    </row>
    <row r="33770" ht="15.75" customHeight="1">
      <c r="A33770" s="7"/>
      <c r="B33770" s="7"/>
      <c r="M33770" s="9" t="s">
        <v>22</v>
      </c>
    </row>
    <row r="33771" ht="15.75" customHeight="1">
      <c r="A33771" s="7"/>
      <c r="B33771" s="7"/>
      <c r="M33771" s="9" t="s">
        <v>25</v>
      </c>
    </row>
    <row r="33772" ht="15.75" customHeight="1">
      <c r="A33772" s="7"/>
      <c r="B33772" s="7"/>
      <c r="M33772" s="9" t="s">
        <v>26</v>
      </c>
    </row>
    <row r="33773" ht="15.75" customHeight="1">
      <c r="A33773" s="7"/>
      <c r="B33773" s="7"/>
      <c r="M33773" s="9" t="s">
        <v>24</v>
      </c>
    </row>
    <row r="33774" ht="15.75" customHeight="1">
      <c r="A33774" s="7"/>
      <c r="B33774" s="7"/>
      <c r="M33774" s="9" t="s">
        <v>20</v>
      </c>
    </row>
    <row r="33775" ht="15.75" customHeight="1">
      <c r="A33775" s="7"/>
      <c r="B33775" s="7"/>
      <c r="M33775" s="9" t="s">
        <v>22</v>
      </c>
    </row>
    <row r="33776" ht="15.75" customHeight="1">
      <c r="A33776" s="7"/>
      <c r="B33776" s="7"/>
      <c r="M33776" s="9" t="s">
        <v>23</v>
      </c>
    </row>
    <row r="33777" ht="15.75" customHeight="1">
      <c r="A33777" s="7"/>
      <c r="B33777" s="7"/>
      <c r="M33777" s="9" t="s">
        <v>26</v>
      </c>
    </row>
    <row r="33778" ht="15.75" customHeight="1">
      <c r="A33778" s="7"/>
      <c r="B33778" s="7"/>
      <c r="M33778" s="9" t="s">
        <v>24</v>
      </c>
    </row>
    <row r="33779" ht="15.75" customHeight="1">
      <c r="A33779" s="7"/>
      <c r="B33779" s="7"/>
      <c r="M33779" s="9" t="s">
        <v>20</v>
      </c>
    </row>
    <row r="33780" ht="15.75" customHeight="1">
      <c r="A33780" s="7"/>
      <c r="B33780" s="7"/>
      <c r="M33780" s="9" t="s">
        <v>27</v>
      </c>
    </row>
    <row r="33781" ht="15.75" customHeight="1">
      <c r="A33781" s="7"/>
      <c r="B33781" s="7"/>
      <c r="M33781" s="9" t="s">
        <v>33</v>
      </c>
    </row>
    <row r="33782" ht="15.75" customHeight="1">
      <c r="A33782" s="7"/>
      <c r="B33782" s="7"/>
      <c r="M33782" s="9" t="s">
        <v>38</v>
      </c>
    </row>
    <row r="33783" ht="15.75" customHeight="1">
      <c r="A33783" s="7"/>
      <c r="B33783" s="7"/>
      <c r="M33783" s="9" t="s">
        <v>30</v>
      </c>
    </row>
    <row r="33784" ht="15.75" customHeight="1">
      <c r="A33784" s="7"/>
      <c r="B33784" s="7"/>
      <c r="M33784" s="9" t="s">
        <v>25</v>
      </c>
    </row>
    <row r="33785" ht="15.75" customHeight="1">
      <c r="A33785" s="7"/>
      <c r="B33785" s="7"/>
      <c r="M33785" s="9" t="s">
        <v>23</v>
      </c>
    </row>
    <row r="33786" ht="15.75" customHeight="1">
      <c r="A33786" s="7"/>
      <c r="B33786" s="7"/>
      <c r="M33786" s="9" t="s">
        <v>26</v>
      </c>
    </row>
    <row r="33787" ht="15.75" customHeight="1">
      <c r="A33787" s="7"/>
      <c r="B33787" s="7"/>
      <c r="M33787" s="9" t="s">
        <v>24</v>
      </c>
    </row>
    <row r="33788" ht="15.75" customHeight="1">
      <c r="A33788" s="7"/>
      <c r="B33788" s="7"/>
      <c r="M33788" s="9" t="s">
        <v>20</v>
      </c>
    </row>
    <row r="33789" ht="15.75" customHeight="1">
      <c r="A33789" s="7"/>
      <c r="B33789" s="7"/>
      <c r="M33789" s="9" t="s">
        <v>21</v>
      </c>
    </row>
    <row r="33790" ht="15.75" customHeight="1">
      <c r="A33790" s="7"/>
      <c r="B33790" s="7"/>
      <c r="M33790" s="9" t="s">
        <v>37</v>
      </c>
    </row>
    <row r="33791" ht="15.75" customHeight="1">
      <c r="A33791" s="7"/>
      <c r="B33791" s="7"/>
      <c r="M33791" s="9" t="s">
        <v>27</v>
      </c>
    </row>
    <row r="33792" ht="15.75" customHeight="1">
      <c r="A33792" s="7"/>
      <c r="B33792" s="7"/>
      <c r="M33792" s="9" t="s">
        <v>28</v>
      </c>
    </row>
    <row r="33793" ht="15.75" customHeight="1">
      <c r="A33793" s="7"/>
      <c r="B33793" s="7"/>
      <c r="M33793" s="9" t="s">
        <v>21</v>
      </c>
    </row>
    <row r="33794" ht="15.75" customHeight="1">
      <c r="A33794" s="7"/>
      <c r="B33794" s="7"/>
      <c r="M33794" s="9" t="s">
        <v>26</v>
      </c>
    </row>
    <row r="33795" ht="15.75" customHeight="1">
      <c r="A33795" s="7"/>
      <c r="B33795" s="7"/>
      <c r="M33795" s="9" t="s">
        <v>45</v>
      </c>
    </row>
    <row r="33796" ht="15.75" customHeight="1">
      <c r="A33796" s="7"/>
      <c r="B33796" s="7"/>
      <c r="M33796" s="9" t="s">
        <v>24</v>
      </c>
    </row>
    <row r="33797" ht="15.75" customHeight="1">
      <c r="A33797" s="7"/>
      <c r="B33797" s="7"/>
      <c r="M33797" s="9" t="s">
        <v>20</v>
      </c>
    </row>
    <row r="33798" ht="15.75" customHeight="1">
      <c r="A33798" s="7"/>
      <c r="B33798" s="7"/>
      <c r="M33798" s="9" t="s">
        <v>21</v>
      </c>
    </row>
    <row r="33799" ht="15.75" customHeight="1">
      <c r="A33799" s="7"/>
      <c r="B33799" s="7"/>
      <c r="M33799" s="9" t="s">
        <v>22</v>
      </c>
    </row>
    <row r="33800" ht="15.75" customHeight="1">
      <c r="A33800" s="7"/>
      <c r="B33800" s="7"/>
      <c r="M33800" s="9" t="s">
        <v>35</v>
      </c>
    </row>
    <row r="33801" ht="15.75" customHeight="1">
      <c r="A33801" s="7"/>
      <c r="B33801" s="7"/>
      <c r="M33801" s="9" t="s">
        <v>25</v>
      </c>
    </row>
    <row r="33802" ht="15.75" customHeight="1">
      <c r="A33802" s="7"/>
      <c r="B33802" s="7"/>
      <c r="M33802" s="9" t="s">
        <v>23</v>
      </c>
    </row>
    <row r="33803" ht="15.75" customHeight="1">
      <c r="A33803" s="7"/>
      <c r="B33803" s="7"/>
      <c r="M33803" s="9" t="s">
        <v>24</v>
      </c>
    </row>
    <row r="33804" ht="15.75" customHeight="1">
      <c r="A33804" s="7"/>
      <c r="B33804" s="7"/>
      <c r="M33804" s="9" t="s">
        <v>20</v>
      </c>
    </row>
    <row r="33805" ht="15.75" customHeight="1">
      <c r="A33805" s="7"/>
      <c r="B33805" s="7"/>
      <c r="M33805" s="9" t="s">
        <v>21</v>
      </c>
    </row>
    <row r="33806" ht="15.75" customHeight="1">
      <c r="A33806" s="7"/>
      <c r="B33806" s="7"/>
      <c r="M33806" s="9" t="s">
        <v>22</v>
      </c>
    </row>
    <row r="33807" ht="15.75" customHeight="1">
      <c r="A33807" s="7"/>
      <c r="B33807" s="7"/>
      <c r="M33807" s="9" t="s">
        <v>27</v>
      </c>
    </row>
    <row r="33808" ht="15.75" customHeight="1">
      <c r="A33808" s="7"/>
      <c r="B33808" s="7"/>
      <c r="M33808" s="9" t="s">
        <v>38</v>
      </c>
    </row>
    <row r="33809" ht="15.75" customHeight="1">
      <c r="A33809" s="7"/>
      <c r="B33809" s="7"/>
      <c r="M33809" s="9" t="s">
        <v>30</v>
      </c>
    </row>
    <row r="33810" ht="15.75" customHeight="1">
      <c r="A33810" s="7"/>
      <c r="B33810" s="7"/>
      <c r="M33810" s="9" t="s">
        <v>25</v>
      </c>
    </row>
    <row r="33811" ht="15.75" customHeight="1">
      <c r="A33811" s="7"/>
      <c r="B33811" s="7"/>
      <c r="M33811" s="9" t="s">
        <v>26</v>
      </c>
    </row>
    <row r="33812" ht="15.75" customHeight="1">
      <c r="A33812" s="7"/>
      <c r="B33812" s="7"/>
      <c r="M33812" s="9" t="s">
        <v>36</v>
      </c>
    </row>
    <row r="33813" ht="15.75" customHeight="1">
      <c r="A33813" s="7"/>
      <c r="B33813" s="7"/>
      <c r="M33813" s="9" t="s">
        <v>24</v>
      </c>
    </row>
    <row r="33814" ht="15.75" customHeight="1">
      <c r="A33814" s="7"/>
      <c r="B33814" s="7"/>
      <c r="M33814" s="9" t="s">
        <v>20</v>
      </c>
    </row>
    <row r="33815" ht="15.75" customHeight="1">
      <c r="A33815" s="7"/>
      <c r="B33815" s="7"/>
      <c r="M33815" s="9" t="s">
        <v>21</v>
      </c>
    </row>
    <row r="33816" ht="15.75" customHeight="1">
      <c r="A33816" s="7"/>
      <c r="B33816" s="7"/>
      <c r="M33816" s="9" t="s">
        <v>37</v>
      </c>
    </row>
    <row r="33817" ht="15.75" customHeight="1">
      <c r="A33817" s="7"/>
      <c r="B33817" s="7"/>
      <c r="M33817" s="9" t="s">
        <v>22</v>
      </c>
    </row>
    <row r="33818" ht="15.75" customHeight="1">
      <c r="A33818" s="7"/>
      <c r="B33818" s="7"/>
      <c r="M33818" s="9" t="s">
        <v>29</v>
      </c>
    </row>
    <row r="33819" ht="15.75" customHeight="1">
      <c r="A33819" s="7"/>
      <c r="B33819" s="7"/>
      <c r="M33819" s="9" t="s">
        <v>31</v>
      </c>
    </row>
    <row r="33820" ht="15.75" customHeight="1">
      <c r="A33820" s="7"/>
      <c r="B33820" s="7"/>
      <c r="M33820" s="9" t="s">
        <v>46</v>
      </c>
    </row>
    <row r="33821" ht="15.75" customHeight="1">
      <c r="A33821" s="7"/>
      <c r="B33821" s="7"/>
      <c r="M33821" s="9" t="s">
        <v>27</v>
      </c>
    </row>
    <row r="33822" ht="15.75" customHeight="1">
      <c r="A33822" s="7"/>
      <c r="B33822" s="7"/>
      <c r="M33822" s="9" t="s">
        <v>24</v>
      </c>
    </row>
    <row r="33823" ht="15.75" customHeight="1">
      <c r="A33823" s="7"/>
      <c r="B33823" s="7"/>
      <c r="M33823" s="9" t="s">
        <v>21</v>
      </c>
    </row>
    <row r="33824" ht="15.75" customHeight="1">
      <c r="A33824" s="7"/>
      <c r="B33824" s="7"/>
      <c r="M33824" s="9" t="s">
        <v>37</v>
      </c>
    </row>
    <row r="33825" ht="15.75" customHeight="1">
      <c r="A33825" s="7"/>
      <c r="B33825" s="7"/>
      <c r="M33825" s="9" t="s">
        <v>26</v>
      </c>
    </row>
    <row r="33826" ht="15.75" customHeight="1">
      <c r="A33826" s="7"/>
      <c r="B33826" s="7"/>
      <c r="M33826" s="9" t="s">
        <v>21</v>
      </c>
    </row>
    <row r="33827" ht="15.75" customHeight="1">
      <c r="A33827" s="7"/>
      <c r="B33827" s="7"/>
      <c r="M33827" s="9" t="s">
        <v>41</v>
      </c>
    </row>
    <row r="33828" ht="15.75" customHeight="1">
      <c r="A33828" s="7"/>
      <c r="B33828" s="7"/>
      <c r="M33828" s="9" t="s">
        <v>40</v>
      </c>
    </row>
    <row r="33829" ht="15.75" customHeight="1">
      <c r="A33829" s="7"/>
      <c r="B33829" s="7"/>
      <c r="M33829" s="9" t="s">
        <v>25</v>
      </c>
    </row>
    <row r="33830" ht="15.75" customHeight="1">
      <c r="A33830" s="7"/>
      <c r="B33830" s="7"/>
      <c r="M33830" s="9" t="s">
        <v>23</v>
      </c>
    </row>
    <row r="33831" ht="15.75" customHeight="1">
      <c r="A33831" s="7"/>
      <c r="B33831" s="7"/>
      <c r="M33831" s="9" t="s">
        <v>21</v>
      </c>
    </row>
    <row r="33832" ht="15.75" customHeight="1">
      <c r="A33832" s="7"/>
      <c r="B33832" s="7"/>
      <c r="M33832" s="9" t="s">
        <v>22</v>
      </c>
    </row>
    <row r="33833" ht="15.75" customHeight="1">
      <c r="A33833" s="7"/>
      <c r="B33833" s="7"/>
      <c r="M33833" s="9" t="s">
        <v>31</v>
      </c>
    </row>
    <row r="33834" ht="15.75" customHeight="1">
      <c r="A33834" s="7"/>
      <c r="B33834" s="7"/>
      <c r="M33834" s="9" t="s">
        <v>32</v>
      </c>
    </row>
    <row r="33835" ht="15.75" customHeight="1">
      <c r="A33835" s="7"/>
      <c r="B33835" s="7"/>
      <c r="M33835" s="9" t="s">
        <v>27</v>
      </c>
    </row>
    <row r="33836" ht="15.75" customHeight="1">
      <c r="A33836" s="7"/>
      <c r="B33836" s="7"/>
      <c r="M33836" s="9" t="s">
        <v>23</v>
      </c>
    </row>
    <row r="33837" ht="15.75" customHeight="1">
      <c r="A33837" s="7"/>
      <c r="B33837" s="7"/>
      <c r="M33837" s="9" t="s">
        <v>26</v>
      </c>
    </row>
    <row r="33838" ht="15.75" customHeight="1">
      <c r="A33838" s="7"/>
      <c r="B33838" s="7"/>
      <c r="M33838" s="9" t="s">
        <v>24</v>
      </c>
    </row>
    <row r="33839" ht="15.75" customHeight="1">
      <c r="A33839" s="7"/>
      <c r="B33839" s="7"/>
      <c r="M33839" s="9" t="s">
        <v>20</v>
      </c>
    </row>
    <row r="33840" ht="15.75" customHeight="1">
      <c r="A33840" s="7"/>
      <c r="B33840" s="7"/>
      <c r="M33840" s="9" t="s">
        <v>21</v>
      </c>
    </row>
    <row r="33841" ht="15.75" customHeight="1">
      <c r="A33841" s="7"/>
      <c r="B33841" s="7"/>
      <c r="M33841" s="9" t="s">
        <v>41</v>
      </c>
    </row>
    <row r="33842" ht="15.75" customHeight="1">
      <c r="A33842" s="7"/>
      <c r="B33842" s="7"/>
      <c r="M33842" s="9" t="s">
        <v>27</v>
      </c>
    </row>
    <row r="33843" ht="15.75" customHeight="1">
      <c r="A33843" s="7"/>
      <c r="B33843" s="7"/>
      <c r="M33843" s="9" t="s">
        <v>40</v>
      </c>
    </row>
    <row r="33844" ht="15.75" customHeight="1">
      <c r="A33844" s="7"/>
      <c r="B33844" s="7"/>
      <c r="M33844" s="9" t="s">
        <v>33</v>
      </c>
    </row>
    <row r="33845" ht="15.75" customHeight="1">
      <c r="A33845" s="7"/>
      <c r="B33845" s="7"/>
      <c r="M33845" s="9" t="s">
        <v>20</v>
      </c>
    </row>
    <row r="33846" ht="15.75" customHeight="1">
      <c r="A33846" s="7"/>
      <c r="B33846" s="7"/>
      <c r="M33846" s="9" t="s">
        <v>21</v>
      </c>
    </row>
    <row r="33847" ht="15.75" customHeight="1">
      <c r="A33847" s="7"/>
      <c r="B33847" s="7"/>
      <c r="M33847" s="9" t="s">
        <v>30</v>
      </c>
    </row>
    <row r="33848" ht="15.75" customHeight="1">
      <c r="A33848" s="7"/>
      <c r="B33848" s="7"/>
      <c r="M33848" s="9" t="s">
        <v>25</v>
      </c>
    </row>
    <row r="33849" ht="15.75" customHeight="1">
      <c r="A33849" s="7"/>
      <c r="B33849" s="7"/>
      <c r="M33849" s="9" t="s">
        <v>36</v>
      </c>
    </row>
    <row r="33850" ht="15.75" customHeight="1">
      <c r="A33850" s="7"/>
      <c r="B33850" s="7"/>
      <c r="M33850" s="9" t="s">
        <v>24</v>
      </c>
    </row>
    <row r="33851" ht="15.75" customHeight="1">
      <c r="A33851" s="7"/>
      <c r="B33851" s="7"/>
      <c r="M33851" s="9" t="s">
        <v>20</v>
      </c>
    </row>
    <row r="33852" ht="15.75" customHeight="1">
      <c r="A33852" s="7"/>
      <c r="B33852" s="7"/>
      <c r="M33852" s="9" t="s">
        <v>21</v>
      </c>
    </row>
    <row r="33853" ht="15.75" customHeight="1">
      <c r="A33853" s="7"/>
      <c r="B33853" s="7"/>
      <c r="M33853" s="9" t="s">
        <v>22</v>
      </c>
    </row>
    <row r="33854" ht="15.75" customHeight="1">
      <c r="A33854" s="7"/>
      <c r="B33854" s="7"/>
      <c r="M33854" s="9" t="s">
        <v>27</v>
      </c>
    </row>
    <row r="33855" ht="15.75" customHeight="1">
      <c r="A33855" s="7"/>
      <c r="B33855" s="7"/>
      <c r="M33855" s="9" t="s">
        <v>26</v>
      </c>
    </row>
    <row r="33856" ht="15.75" customHeight="1">
      <c r="A33856" s="7"/>
      <c r="B33856" s="7"/>
      <c r="M33856" s="9" t="s">
        <v>24</v>
      </c>
    </row>
    <row r="33857" ht="15.75" customHeight="1">
      <c r="A33857" s="7"/>
      <c r="B33857" s="7"/>
      <c r="M33857" s="9" t="s">
        <v>21</v>
      </c>
    </row>
    <row r="33858" ht="15.75" customHeight="1">
      <c r="A33858" s="7"/>
      <c r="B33858" s="7"/>
      <c r="M33858" s="9" t="s">
        <v>27</v>
      </c>
    </row>
    <row r="33859" ht="15.75" customHeight="1">
      <c r="A33859" s="7"/>
      <c r="B33859" s="7"/>
      <c r="M33859" s="9" t="s">
        <v>33</v>
      </c>
    </row>
    <row r="33860" ht="15.75" customHeight="1">
      <c r="A33860" s="7"/>
      <c r="B33860" s="7"/>
      <c r="M33860" s="9" t="s">
        <v>24</v>
      </c>
    </row>
    <row r="33861" ht="15.75" customHeight="1">
      <c r="A33861" s="7"/>
      <c r="B33861" s="7"/>
      <c r="M33861" s="9" t="s">
        <v>21</v>
      </c>
    </row>
    <row r="33862" ht="15.75" customHeight="1">
      <c r="A33862" s="7"/>
      <c r="B33862" s="7"/>
      <c r="M33862" s="9" t="s">
        <v>33</v>
      </c>
    </row>
    <row r="33863" ht="15.75" customHeight="1">
      <c r="A33863" s="7"/>
      <c r="B33863" s="7"/>
      <c r="M33863" s="9" t="s">
        <v>24</v>
      </c>
    </row>
    <row r="33864" ht="15.75" customHeight="1">
      <c r="A33864" s="7"/>
      <c r="B33864" s="7"/>
      <c r="M33864" s="9" t="s">
        <v>21</v>
      </c>
    </row>
    <row r="33865" ht="15.75" customHeight="1">
      <c r="A33865" s="7"/>
      <c r="B33865" s="7"/>
      <c r="M33865" s="9" t="s">
        <v>37</v>
      </c>
    </row>
    <row r="33866" ht="15.75" customHeight="1">
      <c r="A33866" s="7"/>
      <c r="B33866" s="7"/>
      <c r="M33866" s="9" t="s">
        <v>27</v>
      </c>
    </row>
    <row r="33867" ht="15.75" customHeight="1">
      <c r="A33867" s="7"/>
      <c r="B33867" s="7"/>
      <c r="M33867" s="9" t="s">
        <v>42</v>
      </c>
    </row>
    <row r="33868" ht="15.75" customHeight="1">
      <c r="A33868" s="7"/>
      <c r="B33868" s="7"/>
      <c r="M33868" s="9" t="s">
        <v>21</v>
      </c>
    </row>
    <row r="33869" ht="15.75" customHeight="1">
      <c r="A33869" s="7"/>
      <c r="B33869" s="7"/>
      <c r="M33869" s="9" t="s">
        <v>31</v>
      </c>
    </row>
    <row r="33870" ht="15.75" customHeight="1">
      <c r="A33870" s="7"/>
      <c r="B33870" s="7"/>
      <c r="M33870" s="9" t="s">
        <v>27</v>
      </c>
    </row>
    <row r="33871" ht="15.75" customHeight="1">
      <c r="A33871" s="7"/>
      <c r="B33871" s="7"/>
      <c r="M33871" s="9" t="s">
        <v>24</v>
      </c>
    </row>
    <row r="33872" ht="15.75" customHeight="1">
      <c r="A33872" s="7"/>
      <c r="B33872" s="7"/>
      <c r="M33872" s="9" t="s">
        <v>20</v>
      </c>
    </row>
    <row r="33873" ht="15.75" customHeight="1">
      <c r="A33873" s="7"/>
      <c r="B33873" s="7"/>
      <c r="M33873" s="9" t="s">
        <v>21</v>
      </c>
    </row>
    <row r="33874" ht="15.75" customHeight="1">
      <c r="A33874" s="7"/>
      <c r="B33874" s="7"/>
      <c r="M33874" s="9" t="s">
        <v>37</v>
      </c>
    </row>
    <row r="33875" ht="15.75" customHeight="1">
      <c r="A33875" s="7"/>
      <c r="B33875" s="7"/>
      <c r="M33875" s="9" t="s">
        <v>22</v>
      </c>
    </row>
    <row r="33876" ht="15.75" customHeight="1">
      <c r="A33876" s="7"/>
      <c r="B33876" s="7"/>
      <c r="M33876" s="9" t="s">
        <v>27</v>
      </c>
    </row>
    <row r="33877" ht="15.75" customHeight="1">
      <c r="A33877" s="7"/>
      <c r="B33877" s="7"/>
      <c r="M33877" s="9" t="s">
        <v>24</v>
      </c>
    </row>
    <row r="33878" ht="15.75" customHeight="1">
      <c r="A33878" s="7"/>
      <c r="B33878" s="7"/>
      <c r="M33878" s="9" t="s">
        <v>21</v>
      </c>
    </row>
    <row r="33879" ht="15.75" customHeight="1">
      <c r="A33879" s="7"/>
      <c r="B33879" s="7"/>
      <c r="M33879" s="9" t="s">
        <v>22</v>
      </c>
    </row>
    <row r="33880" ht="15.75" customHeight="1">
      <c r="A33880" s="7"/>
      <c r="B33880" s="7"/>
      <c r="M33880" s="9" t="s">
        <v>30</v>
      </c>
    </row>
    <row r="33881" ht="15.75" customHeight="1">
      <c r="A33881" s="7"/>
      <c r="B33881" s="7"/>
      <c r="M33881" s="9" t="s">
        <v>23</v>
      </c>
    </row>
    <row r="33882" ht="15.75" customHeight="1">
      <c r="A33882" s="7"/>
      <c r="B33882" s="7"/>
      <c r="M33882" s="9" t="s">
        <v>36</v>
      </c>
    </row>
    <row r="33883" ht="15.75" customHeight="1">
      <c r="A33883" s="7"/>
      <c r="B33883" s="7"/>
      <c r="M33883" s="9" t="s">
        <v>20</v>
      </c>
    </row>
    <row r="33884" ht="15.75" customHeight="1">
      <c r="A33884" s="7"/>
      <c r="B33884" s="7"/>
      <c r="M33884" s="9" t="s">
        <v>21</v>
      </c>
    </row>
    <row r="33885" ht="15.75" customHeight="1">
      <c r="A33885" s="7"/>
      <c r="B33885" s="7"/>
      <c r="M33885" s="9" t="s">
        <v>32</v>
      </c>
    </row>
    <row r="33886" ht="15.75" customHeight="1">
      <c r="A33886" s="7"/>
      <c r="B33886" s="7"/>
      <c r="M33886" s="9" t="s">
        <v>33</v>
      </c>
    </row>
    <row r="33887" ht="15.75" customHeight="1">
      <c r="A33887" s="7"/>
      <c r="B33887" s="7"/>
      <c r="M33887" s="9" t="s">
        <v>35</v>
      </c>
    </row>
    <row r="33888" ht="15.75" customHeight="1">
      <c r="A33888" s="7"/>
      <c r="B33888" s="7"/>
      <c r="M33888" s="9" t="s">
        <v>38</v>
      </c>
    </row>
    <row r="33889" ht="15.75" customHeight="1">
      <c r="A33889" s="7"/>
      <c r="B33889" s="7"/>
      <c r="M33889" s="9" t="s">
        <v>30</v>
      </c>
    </row>
    <row r="33890" ht="15.75" customHeight="1">
      <c r="A33890" s="7"/>
      <c r="B33890" s="7"/>
      <c r="M33890" s="9" t="s">
        <v>25</v>
      </c>
    </row>
    <row r="33891" ht="15.75" customHeight="1">
      <c r="A33891" s="7"/>
      <c r="B33891" s="7"/>
      <c r="M33891" s="9" t="s">
        <v>24</v>
      </c>
    </row>
    <row r="33892" ht="15.75" customHeight="1">
      <c r="A33892" s="7"/>
      <c r="B33892" s="7"/>
      <c r="M33892" s="9" t="s">
        <v>20</v>
      </c>
    </row>
    <row r="33893" ht="15.75" customHeight="1">
      <c r="A33893" s="7"/>
      <c r="B33893" s="7"/>
      <c r="M33893" s="9" t="s">
        <v>21</v>
      </c>
    </row>
    <row r="33894" ht="15.75" customHeight="1">
      <c r="A33894" s="7"/>
      <c r="B33894" s="7"/>
      <c r="M33894" s="9" t="s">
        <v>22</v>
      </c>
    </row>
    <row r="33895" ht="15.75" customHeight="1">
      <c r="A33895" s="7"/>
      <c r="B33895" s="7"/>
      <c r="M33895" s="9" t="s">
        <v>27</v>
      </c>
    </row>
    <row r="33896" ht="15.75" customHeight="1">
      <c r="A33896" s="7"/>
      <c r="B33896" s="7"/>
      <c r="M33896" s="9" t="s">
        <v>33</v>
      </c>
    </row>
    <row r="33897" ht="15.75" customHeight="1">
      <c r="A33897" s="7"/>
      <c r="B33897" s="7"/>
      <c r="M33897" s="9" t="s">
        <v>26</v>
      </c>
    </row>
    <row r="33898" ht="15.75" customHeight="1">
      <c r="A33898" s="7"/>
      <c r="B33898" s="7"/>
      <c r="M33898" s="9" t="s">
        <v>21</v>
      </c>
    </row>
    <row r="33899" ht="15.75" customHeight="1">
      <c r="A33899" s="7"/>
      <c r="B33899" s="7"/>
      <c r="M33899" s="9" t="s">
        <v>22</v>
      </c>
    </row>
    <row r="33900" ht="15.75" customHeight="1">
      <c r="A33900" s="7"/>
      <c r="B33900" s="7"/>
      <c r="M33900" s="9" t="s">
        <v>27</v>
      </c>
    </row>
    <row r="33901" ht="15.75" customHeight="1">
      <c r="A33901" s="7"/>
      <c r="B33901" s="7"/>
      <c r="M33901" s="9" t="s">
        <v>25</v>
      </c>
    </row>
    <row r="33902" ht="15.75" customHeight="1">
      <c r="A33902" s="7"/>
      <c r="B33902" s="7"/>
      <c r="M33902" s="9" t="s">
        <v>23</v>
      </c>
    </row>
    <row r="33903" ht="15.75" customHeight="1">
      <c r="A33903" s="7"/>
      <c r="B33903" s="7"/>
      <c r="M33903" s="9" t="s">
        <v>26</v>
      </c>
    </row>
    <row r="33904" ht="15.75" customHeight="1">
      <c r="A33904" s="7"/>
      <c r="B33904" s="7"/>
      <c r="M33904" s="9" t="s">
        <v>24</v>
      </c>
    </row>
    <row r="33905" ht="15.75" customHeight="1">
      <c r="A33905" s="7"/>
      <c r="B33905" s="7"/>
      <c r="M33905" s="9" t="s">
        <v>21</v>
      </c>
    </row>
    <row r="33906" ht="15.75" customHeight="1">
      <c r="A33906" s="7"/>
      <c r="B33906" s="7"/>
      <c r="M33906" s="9" t="s">
        <v>22</v>
      </c>
    </row>
    <row r="33907" ht="15.75" customHeight="1">
      <c r="A33907" s="7"/>
      <c r="B33907" s="7"/>
      <c r="M33907" s="9" t="s">
        <v>30</v>
      </c>
    </row>
    <row r="33908" ht="15.75" customHeight="1">
      <c r="A33908" s="7"/>
      <c r="B33908" s="7"/>
      <c r="M33908" s="9" t="s">
        <v>24</v>
      </c>
    </row>
    <row r="33909" ht="15.75" customHeight="1">
      <c r="A33909" s="7"/>
      <c r="B33909" s="7"/>
      <c r="M33909" s="9" t="s">
        <v>20</v>
      </c>
    </row>
    <row r="33910" ht="15.75" customHeight="1">
      <c r="A33910" s="7"/>
      <c r="B33910" s="7"/>
      <c r="M33910" s="9" t="s">
        <v>21</v>
      </c>
    </row>
    <row r="33911" ht="15.75" customHeight="1">
      <c r="A33911" s="7"/>
      <c r="B33911" s="7"/>
      <c r="M33911" s="9" t="s">
        <v>39</v>
      </c>
    </row>
    <row r="33912" ht="15.75" customHeight="1">
      <c r="A33912" s="7"/>
      <c r="B33912" s="7"/>
      <c r="M33912" s="9" t="s">
        <v>27</v>
      </c>
    </row>
    <row r="33913" ht="15.75" customHeight="1">
      <c r="A33913" s="7"/>
      <c r="B33913" s="7"/>
      <c r="M33913" s="9" t="s">
        <v>24</v>
      </c>
    </row>
    <row r="33914" ht="15.75" customHeight="1">
      <c r="A33914" s="7"/>
      <c r="B33914" s="7"/>
      <c r="M33914" s="9" t="s">
        <v>20</v>
      </c>
    </row>
    <row r="33915" ht="15.75" customHeight="1">
      <c r="A33915" s="7"/>
      <c r="B33915" s="7"/>
      <c r="M33915" s="9" t="s">
        <v>39</v>
      </c>
    </row>
    <row r="33916" ht="15.75" customHeight="1">
      <c r="A33916" s="7"/>
      <c r="B33916" s="7"/>
      <c r="M33916" s="9" t="s">
        <v>37</v>
      </c>
    </row>
    <row r="33917" ht="15.75" customHeight="1">
      <c r="A33917" s="7"/>
      <c r="B33917" s="7"/>
      <c r="M33917" s="9" t="s">
        <v>22</v>
      </c>
    </row>
    <row r="33918" ht="15.75" customHeight="1">
      <c r="A33918" s="7"/>
      <c r="B33918" s="7"/>
      <c r="M33918" s="9" t="s">
        <v>29</v>
      </c>
    </row>
    <row r="33919" ht="15.75" customHeight="1">
      <c r="A33919" s="7"/>
      <c r="B33919" s="7"/>
      <c r="M33919" s="9" t="s">
        <v>38</v>
      </c>
    </row>
    <row r="33920" ht="15.75" customHeight="1">
      <c r="A33920" s="7"/>
      <c r="B33920" s="7"/>
      <c r="M33920" s="9" t="s">
        <v>30</v>
      </c>
    </row>
    <row r="33921" ht="15.75" customHeight="1">
      <c r="A33921" s="7"/>
      <c r="B33921" s="7"/>
      <c r="M33921" s="9" t="s">
        <v>25</v>
      </c>
    </row>
    <row r="33922" ht="15.75" customHeight="1">
      <c r="A33922" s="7"/>
      <c r="B33922" s="7"/>
      <c r="M33922" s="9" t="s">
        <v>23</v>
      </c>
    </row>
    <row r="33923" ht="15.75" customHeight="1">
      <c r="A33923" s="7"/>
      <c r="B33923" s="7"/>
      <c r="M33923" s="9" t="s">
        <v>36</v>
      </c>
    </row>
    <row r="33924" ht="15.75" customHeight="1">
      <c r="A33924" s="7"/>
      <c r="B33924" s="7"/>
      <c r="M33924" s="9" t="s">
        <v>24</v>
      </c>
    </row>
    <row r="33925" ht="15.75" customHeight="1">
      <c r="A33925" s="7"/>
      <c r="B33925" s="7"/>
      <c r="M33925" s="9" t="s">
        <v>21</v>
      </c>
    </row>
    <row r="33926" ht="15.75" customHeight="1">
      <c r="A33926" s="7"/>
      <c r="B33926" s="7"/>
      <c r="M33926" s="9" t="s">
        <v>22</v>
      </c>
    </row>
    <row r="33927" ht="15.75" customHeight="1">
      <c r="A33927" s="7"/>
      <c r="B33927" s="7"/>
      <c r="M33927" s="9" t="s">
        <v>33</v>
      </c>
    </row>
    <row r="33928" ht="15.75" customHeight="1">
      <c r="A33928" s="7"/>
      <c r="B33928" s="7"/>
      <c r="M33928" s="9" t="s">
        <v>26</v>
      </c>
    </row>
    <row r="33929" ht="15.75" customHeight="1">
      <c r="A33929" s="7"/>
      <c r="B33929" s="7"/>
      <c r="M33929" s="9" t="s">
        <v>24</v>
      </c>
    </row>
    <row r="33930" ht="15.75" customHeight="1">
      <c r="A33930" s="7"/>
      <c r="B33930" s="7"/>
      <c r="M33930" s="9" t="s">
        <v>21</v>
      </c>
    </row>
    <row r="33931" ht="15.75" customHeight="1">
      <c r="A33931" s="7"/>
      <c r="B33931" s="7"/>
      <c r="M33931" s="9" t="s">
        <v>27</v>
      </c>
    </row>
    <row r="33932" ht="15.75" customHeight="1">
      <c r="A33932" s="7"/>
      <c r="B33932" s="7"/>
      <c r="M33932" s="9" t="s">
        <v>33</v>
      </c>
    </row>
    <row r="33933" ht="15.75" customHeight="1">
      <c r="A33933" s="7"/>
      <c r="B33933" s="7"/>
      <c r="M33933" s="9" t="s">
        <v>30</v>
      </c>
    </row>
    <row r="33934" ht="15.75" customHeight="1">
      <c r="A33934" s="7"/>
      <c r="B33934" s="7"/>
      <c r="M33934" s="9" t="s">
        <v>20</v>
      </c>
    </row>
    <row r="33935" ht="15.75" customHeight="1">
      <c r="A33935" s="7"/>
      <c r="B33935" s="7"/>
      <c r="M33935" s="9" t="s">
        <v>21</v>
      </c>
    </row>
    <row r="33936" ht="15.75" customHeight="1">
      <c r="A33936" s="7"/>
      <c r="B33936" s="7"/>
      <c r="M33936" s="9" t="s">
        <v>22</v>
      </c>
    </row>
    <row r="33937" ht="15.75" customHeight="1">
      <c r="A33937" s="7"/>
      <c r="B33937" s="7"/>
      <c r="M33937" s="9" t="s">
        <v>46</v>
      </c>
    </row>
    <row r="33938" ht="15.75" customHeight="1">
      <c r="A33938" s="7"/>
      <c r="B33938" s="7"/>
      <c r="M33938" s="9" t="s">
        <v>33</v>
      </c>
    </row>
    <row r="33939" ht="15.75" customHeight="1">
      <c r="A33939" s="7"/>
      <c r="B33939" s="7"/>
      <c r="M33939" s="9" t="s">
        <v>38</v>
      </c>
    </row>
    <row r="33940" ht="15.75" customHeight="1">
      <c r="A33940" s="7"/>
      <c r="B33940" s="7"/>
      <c r="M33940" s="9" t="s">
        <v>30</v>
      </c>
    </row>
    <row r="33941" ht="15.75" customHeight="1">
      <c r="A33941" s="7"/>
      <c r="B33941" s="7"/>
      <c r="M33941" s="9" t="s">
        <v>25</v>
      </c>
    </row>
    <row r="33942" ht="15.75" customHeight="1">
      <c r="A33942" s="7"/>
      <c r="B33942" s="7"/>
      <c r="M33942" s="9" t="s">
        <v>23</v>
      </c>
    </row>
    <row r="33943" ht="15.75" customHeight="1">
      <c r="A33943" s="7"/>
      <c r="B33943" s="7"/>
      <c r="M33943" s="9" t="s">
        <v>26</v>
      </c>
    </row>
    <row r="33944" ht="15.75" customHeight="1">
      <c r="A33944" s="7"/>
      <c r="B33944" s="7"/>
      <c r="M33944" s="9" t="s">
        <v>47</v>
      </c>
    </row>
    <row r="33945" ht="15.75" customHeight="1">
      <c r="A33945" s="7"/>
      <c r="B33945" s="7"/>
      <c r="M33945" s="9" t="s">
        <v>45</v>
      </c>
    </row>
    <row r="33946" ht="15.75" customHeight="1">
      <c r="A33946" s="7"/>
      <c r="B33946" s="7"/>
      <c r="M33946" s="9" t="s">
        <v>36</v>
      </c>
    </row>
    <row r="33947" ht="15.75" customHeight="1">
      <c r="A33947" s="7"/>
      <c r="B33947" s="7"/>
      <c r="M33947" s="9" t="s">
        <v>24</v>
      </c>
    </row>
    <row r="33948" ht="15.75" customHeight="1">
      <c r="A33948" s="7"/>
      <c r="B33948" s="7"/>
      <c r="M33948" s="9" t="s">
        <v>20</v>
      </c>
    </row>
    <row r="33949" ht="15.75" customHeight="1">
      <c r="A33949" s="7"/>
      <c r="B33949" s="7"/>
      <c r="M33949" s="9" t="s">
        <v>21</v>
      </c>
    </row>
    <row r="33950" ht="15.75" customHeight="1">
      <c r="A33950" s="7"/>
      <c r="B33950" s="7"/>
      <c r="M33950" s="9" t="s">
        <v>39</v>
      </c>
    </row>
    <row r="33951" ht="15.75" customHeight="1">
      <c r="A33951" s="7"/>
      <c r="B33951" s="7"/>
      <c r="M33951" s="9" t="s">
        <v>22</v>
      </c>
    </row>
    <row r="33952" ht="15.75" customHeight="1">
      <c r="A33952" s="7"/>
      <c r="B33952" s="7"/>
      <c r="M33952" s="9" t="s">
        <v>27</v>
      </c>
    </row>
    <row r="33953" ht="15.75" customHeight="1">
      <c r="A33953" s="7"/>
      <c r="B33953" s="7"/>
      <c r="M33953" s="9" t="s">
        <v>33</v>
      </c>
    </row>
    <row r="33954" ht="15.75" customHeight="1">
      <c r="A33954" s="7"/>
      <c r="B33954" s="7"/>
      <c r="M33954" s="9" t="s">
        <v>35</v>
      </c>
    </row>
    <row r="33955" ht="15.75" customHeight="1">
      <c r="A33955" s="7"/>
      <c r="B33955" s="7"/>
      <c r="M33955" s="9" t="s">
        <v>30</v>
      </c>
    </row>
    <row r="33956" ht="15.75" customHeight="1">
      <c r="A33956" s="7"/>
      <c r="B33956" s="7"/>
      <c r="M33956" s="9" t="s">
        <v>24</v>
      </c>
    </row>
    <row r="33957" ht="15.75" customHeight="1">
      <c r="A33957" s="7"/>
      <c r="B33957" s="7"/>
      <c r="M33957" s="9" t="s">
        <v>20</v>
      </c>
    </row>
    <row r="33958" ht="15.75" customHeight="1">
      <c r="A33958" s="7"/>
      <c r="B33958" s="7"/>
      <c r="M33958" s="9" t="s">
        <v>21</v>
      </c>
    </row>
    <row r="33959" ht="15.75" customHeight="1">
      <c r="A33959" s="7"/>
      <c r="B33959" s="7"/>
      <c r="M33959" s="9" t="s">
        <v>27</v>
      </c>
    </row>
    <row r="33960" ht="15.75" customHeight="1">
      <c r="A33960" s="7"/>
      <c r="B33960" s="7"/>
      <c r="M33960" s="9" t="s">
        <v>35</v>
      </c>
    </row>
    <row r="33961" ht="15.75" customHeight="1">
      <c r="A33961" s="7"/>
      <c r="B33961" s="7"/>
      <c r="M33961" s="9" t="s">
        <v>30</v>
      </c>
    </row>
    <row r="33962" ht="15.75" customHeight="1">
      <c r="A33962" s="7"/>
      <c r="B33962" s="7"/>
      <c r="M33962" s="9" t="s">
        <v>21</v>
      </c>
    </row>
    <row r="33963" ht="15.75" customHeight="1">
      <c r="A33963" s="7"/>
      <c r="B33963" s="7"/>
      <c r="M33963" s="9" t="s">
        <v>22</v>
      </c>
    </row>
    <row r="33964" ht="15.75" customHeight="1">
      <c r="A33964" s="7"/>
      <c r="B33964" s="7"/>
      <c r="M33964" s="9" t="s">
        <v>32</v>
      </c>
    </row>
    <row r="33965" ht="15.75" customHeight="1">
      <c r="A33965" s="7"/>
      <c r="B33965" s="7"/>
      <c r="M33965" s="9" t="s">
        <v>27</v>
      </c>
    </row>
    <row r="33966" ht="15.75" customHeight="1">
      <c r="A33966" s="7"/>
      <c r="B33966" s="7"/>
      <c r="M33966" s="9" t="s">
        <v>35</v>
      </c>
    </row>
    <row r="33967" ht="15.75" customHeight="1">
      <c r="A33967" s="7"/>
      <c r="B33967" s="7"/>
      <c r="M33967" s="9" t="s">
        <v>30</v>
      </c>
    </row>
    <row r="33968" ht="15.75" customHeight="1">
      <c r="A33968" s="7"/>
      <c r="B33968" s="7"/>
      <c r="M33968" s="9" t="s">
        <v>26</v>
      </c>
    </row>
    <row r="33969" ht="15.75" customHeight="1">
      <c r="A33969" s="7"/>
      <c r="B33969" s="7"/>
      <c r="M33969" s="9" t="s">
        <v>24</v>
      </c>
    </row>
    <row r="33970" ht="15.75" customHeight="1">
      <c r="A33970" s="7"/>
      <c r="B33970" s="7"/>
      <c r="M33970" s="9" t="s">
        <v>21</v>
      </c>
    </row>
    <row r="33971" ht="15.75" customHeight="1">
      <c r="A33971" s="7"/>
      <c r="B33971" s="7"/>
      <c r="M33971" s="9" t="s">
        <v>27</v>
      </c>
    </row>
    <row r="33972" ht="15.75" customHeight="1">
      <c r="A33972" s="7"/>
      <c r="B33972" s="7"/>
      <c r="M33972" s="9" t="s">
        <v>26</v>
      </c>
    </row>
    <row r="33973" ht="15.75" customHeight="1">
      <c r="A33973" s="7"/>
      <c r="B33973" s="7"/>
      <c r="M33973" s="9" t="s">
        <v>24</v>
      </c>
    </row>
    <row r="33974" ht="15.75" customHeight="1">
      <c r="A33974" s="7"/>
      <c r="B33974" s="7"/>
      <c r="M33974" s="9" t="s">
        <v>20</v>
      </c>
    </row>
    <row r="33975" ht="15.75" customHeight="1">
      <c r="A33975" s="7"/>
      <c r="B33975" s="7"/>
      <c r="M33975" s="9" t="s">
        <v>21</v>
      </c>
    </row>
    <row r="33976" ht="15.75" customHeight="1">
      <c r="A33976" s="7"/>
      <c r="B33976" s="7"/>
      <c r="M33976" s="9" t="s">
        <v>27</v>
      </c>
    </row>
    <row r="33977" ht="15.75" customHeight="1">
      <c r="A33977" s="7"/>
      <c r="B33977" s="7"/>
      <c r="M33977" s="9" t="s">
        <v>34</v>
      </c>
    </row>
    <row r="33978" ht="15.75" customHeight="1">
      <c r="A33978" s="7"/>
      <c r="B33978" s="7"/>
      <c r="M33978" s="9" t="s">
        <v>26</v>
      </c>
    </row>
    <row r="33979" ht="15.75" customHeight="1">
      <c r="A33979" s="7"/>
      <c r="B33979" s="7"/>
      <c r="M33979" s="9" t="s">
        <v>24</v>
      </c>
    </row>
    <row r="33980" ht="15.75" customHeight="1">
      <c r="A33980" s="7"/>
      <c r="B33980" s="7"/>
      <c r="M33980" s="9" t="s">
        <v>21</v>
      </c>
    </row>
    <row r="33981" ht="15.75" customHeight="1">
      <c r="A33981" s="7"/>
      <c r="B33981" s="7"/>
      <c r="M33981" s="9" t="s">
        <v>22</v>
      </c>
    </row>
    <row r="33982" ht="15.75" customHeight="1">
      <c r="A33982" s="7"/>
      <c r="B33982" s="7"/>
      <c r="M33982" s="9" t="s">
        <v>27</v>
      </c>
    </row>
    <row r="33983" ht="15.75" customHeight="1">
      <c r="A33983" s="7"/>
      <c r="B33983" s="7"/>
      <c r="M33983" s="9" t="s">
        <v>30</v>
      </c>
    </row>
    <row r="33984" ht="15.75" customHeight="1">
      <c r="A33984" s="7"/>
      <c r="B33984" s="7"/>
      <c r="M33984" s="9" t="s">
        <v>24</v>
      </c>
    </row>
    <row r="33985" ht="15.75" customHeight="1">
      <c r="A33985" s="7"/>
      <c r="B33985" s="7"/>
      <c r="M33985" s="9" t="s">
        <v>20</v>
      </c>
    </row>
    <row r="33986" ht="15.75" customHeight="1">
      <c r="A33986" s="7"/>
      <c r="B33986" s="7"/>
      <c r="M33986" s="9" t="s">
        <v>21</v>
      </c>
    </row>
    <row r="33987" ht="15.75" customHeight="1">
      <c r="A33987" s="7"/>
      <c r="B33987" s="7"/>
      <c r="M33987" s="9" t="s">
        <v>37</v>
      </c>
    </row>
    <row r="33988" ht="15.75" customHeight="1">
      <c r="A33988" s="7"/>
      <c r="B33988" s="7"/>
      <c r="M33988" s="9" t="s">
        <v>29</v>
      </c>
    </row>
    <row r="33989" ht="15.75" customHeight="1">
      <c r="A33989" s="7"/>
      <c r="B33989" s="7"/>
      <c r="M33989" s="9" t="s">
        <v>27</v>
      </c>
    </row>
    <row r="33990" ht="15.75" customHeight="1">
      <c r="A33990" s="7"/>
      <c r="B33990" s="7"/>
      <c r="M33990" s="9" t="s">
        <v>28</v>
      </c>
    </row>
    <row r="33991" ht="15.75" customHeight="1">
      <c r="A33991" s="7"/>
      <c r="B33991" s="7"/>
      <c r="M33991" s="9" t="s">
        <v>25</v>
      </c>
    </row>
    <row r="33992" ht="15.75" customHeight="1">
      <c r="A33992" s="7"/>
      <c r="B33992" s="7"/>
      <c r="M33992" s="9" t="s">
        <v>23</v>
      </c>
    </row>
    <row r="33993" ht="15.75" customHeight="1">
      <c r="A33993" s="7"/>
      <c r="B33993" s="7"/>
      <c r="M33993" s="9" t="s">
        <v>24</v>
      </c>
    </row>
    <row r="33994" ht="15.75" customHeight="1">
      <c r="A33994" s="7"/>
      <c r="B33994" s="7"/>
      <c r="M33994" s="9" t="s">
        <v>20</v>
      </c>
    </row>
    <row r="33995" ht="15.75" customHeight="1">
      <c r="A33995" s="7"/>
      <c r="B33995" s="7"/>
      <c r="M33995" s="9" t="s">
        <v>21</v>
      </c>
    </row>
    <row r="33996" ht="15.75" customHeight="1">
      <c r="A33996" s="7"/>
      <c r="B33996" s="7"/>
      <c r="M33996" s="9" t="s">
        <v>37</v>
      </c>
    </row>
    <row r="33997" ht="15.75" customHeight="1">
      <c r="A33997" s="7"/>
      <c r="B33997" s="7"/>
      <c r="M33997" s="9" t="s">
        <v>22</v>
      </c>
    </row>
    <row r="33998" ht="15.75" customHeight="1">
      <c r="A33998" s="7"/>
      <c r="B33998" s="7"/>
      <c r="M33998" s="9" t="s">
        <v>29</v>
      </c>
    </row>
    <row r="33999" ht="15.75" customHeight="1">
      <c r="A33999" s="7"/>
      <c r="B33999" s="7"/>
      <c r="M33999" s="9" t="s">
        <v>27</v>
      </c>
    </row>
    <row r="34000" ht="15.75" customHeight="1">
      <c r="A34000" s="7"/>
      <c r="B34000" s="7"/>
      <c r="M34000" s="9" t="s">
        <v>25</v>
      </c>
    </row>
    <row r="34001" ht="15.75" customHeight="1">
      <c r="A34001" s="7"/>
      <c r="B34001" s="7"/>
      <c r="M34001" s="9" t="s">
        <v>23</v>
      </c>
    </row>
    <row r="34002" ht="15.75" customHeight="1">
      <c r="A34002" s="7"/>
      <c r="B34002" s="7"/>
      <c r="M34002" s="9" t="s">
        <v>20</v>
      </c>
    </row>
    <row r="34003" ht="15.75" customHeight="1">
      <c r="A34003" s="7"/>
      <c r="B34003" s="7"/>
      <c r="M34003" s="9" t="s">
        <v>22</v>
      </c>
    </row>
    <row r="34004" ht="15.75" customHeight="1">
      <c r="A34004" s="7"/>
      <c r="B34004" s="7"/>
      <c r="M34004" s="9" t="s">
        <v>30</v>
      </c>
    </row>
    <row r="34005" ht="15.75" customHeight="1">
      <c r="A34005" s="7"/>
      <c r="B34005" s="7"/>
      <c r="M34005" s="9" t="s">
        <v>26</v>
      </c>
    </row>
    <row r="34006" ht="15.75" customHeight="1">
      <c r="A34006" s="7"/>
      <c r="B34006" s="7"/>
      <c r="M34006" s="9" t="s">
        <v>24</v>
      </c>
    </row>
    <row r="34007" ht="15.75" customHeight="1">
      <c r="A34007" s="7"/>
      <c r="B34007" s="7"/>
      <c r="M34007" s="9" t="s">
        <v>21</v>
      </c>
    </row>
    <row r="34008" ht="15.75" customHeight="1">
      <c r="A34008" s="7"/>
      <c r="B34008" s="7"/>
      <c r="M34008" s="9" t="s">
        <v>37</v>
      </c>
    </row>
    <row r="34009" ht="15.75" customHeight="1">
      <c r="A34009" s="7"/>
      <c r="B34009" s="7"/>
      <c r="M34009" s="9" t="s">
        <v>22</v>
      </c>
    </row>
    <row r="34010" ht="15.75" customHeight="1">
      <c r="A34010" s="7"/>
      <c r="B34010" s="7"/>
      <c r="M34010" s="9" t="s">
        <v>27</v>
      </c>
    </row>
    <row r="34011" ht="15.75" customHeight="1">
      <c r="A34011" s="7"/>
      <c r="B34011" s="7"/>
      <c r="M34011" s="9" t="s">
        <v>33</v>
      </c>
    </row>
    <row r="34012" ht="15.75" customHeight="1">
      <c r="A34012" s="7"/>
      <c r="B34012" s="7"/>
      <c r="M34012" s="9" t="s">
        <v>23</v>
      </c>
    </row>
    <row r="34013" ht="15.75" customHeight="1">
      <c r="A34013" s="7"/>
      <c r="B34013" s="7"/>
      <c r="M34013" s="9" t="s">
        <v>22</v>
      </c>
    </row>
    <row r="34014" ht="15.75" customHeight="1">
      <c r="A34014" s="7"/>
      <c r="B34014" s="7"/>
      <c r="M34014" s="9" t="s">
        <v>40</v>
      </c>
    </row>
    <row r="34015" ht="15.75" customHeight="1">
      <c r="A34015" s="7"/>
      <c r="B34015" s="7"/>
      <c r="M34015" s="9" t="s">
        <v>35</v>
      </c>
    </row>
    <row r="34016" ht="15.75" customHeight="1">
      <c r="A34016" s="7"/>
      <c r="B34016" s="7"/>
      <c r="M34016" s="9" t="s">
        <v>30</v>
      </c>
    </row>
    <row r="34017" ht="15.75" customHeight="1">
      <c r="A34017" s="7"/>
      <c r="B34017" s="7"/>
      <c r="M34017" s="9" t="s">
        <v>26</v>
      </c>
    </row>
    <row r="34018" ht="15.75" customHeight="1">
      <c r="A34018" s="7"/>
      <c r="B34018" s="7"/>
      <c r="M34018" s="9" t="s">
        <v>24</v>
      </c>
    </row>
    <row r="34019" ht="15.75" customHeight="1">
      <c r="A34019" s="7"/>
      <c r="B34019" s="7"/>
      <c r="M34019" s="9" t="s">
        <v>21</v>
      </c>
    </row>
    <row r="34020" ht="15.75" customHeight="1">
      <c r="A34020" s="7"/>
      <c r="B34020" s="7"/>
      <c r="M34020" s="9" t="s">
        <v>27</v>
      </c>
    </row>
    <row r="34021" ht="15.75" customHeight="1">
      <c r="A34021" s="7"/>
      <c r="B34021" s="7"/>
      <c r="M34021" s="9" t="s">
        <v>33</v>
      </c>
    </row>
    <row r="34022" ht="15.75" customHeight="1">
      <c r="A34022" s="7"/>
      <c r="B34022" s="7"/>
      <c r="M34022" s="9" t="s">
        <v>26</v>
      </c>
    </row>
    <row r="34023" ht="15.75" customHeight="1">
      <c r="A34023" s="7"/>
      <c r="B34023" s="7"/>
      <c r="M34023" s="9" t="s">
        <v>24</v>
      </c>
    </row>
    <row r="34024" ht="15.75" customHeight="1">
      <c r="A34024" s="7"/>
      <c r="B34024" s="7"/>
      <c r="M34024" s="9" t="s">
        <v>21</v>
      </c>
    </row>
    <row r="34025" ht="15.75" customHeight="1">
      <c r="A34025" s="7"/>
      <c r="B34025" s="7"/>
      <c r="M34025" s="9" t="s">
        <v>27</v>
      </c>
    </row>
    <row r="34026" ht="15.75" customHeight="1">
      <c r="A34026" s="7"/>
      <c r="B34026" s="7"/>
      <c r="M34026" s="9" t="s">
        <v>33</v>
      </c>
    </row>
    <row r="34027" ht="15.75" customHeight="1">
      <c r="A34027" s="7"/>
      <c r="B34027" s="7"/>
      <c r="M34027" s="9" t="s">
        <v>30</v>
      </c>
    </row>
    <row r="34028" ht="15.75" customHeight="1">
      <c r="A34028" s="7"/>
      <c r="B34028" s="7"/>
      <c r="M34028" s="9" t="s">
        <v>25</v>
      </c>
    </row>
    <row r="34029" ht="15.75" customHeight="1">
      <c r="A34029" s="7"/>
      <c r="B34029" s="7"/>
      <c r="M34029" s="9" t="s">
        <v>23</v>
      </c>
    </row>
    <row r="34030" ht="15.75" customHeight="1">
      <c r="A34030" s="7"/>
      <c r="B34030" s="7"/>
      <c r="M34030" s="9" t="s">
        <v>26</v>
      </c>
    </row>
    <row r="34031" ht="15.75" customHeight="1">
      <c r="A34031" s="7"/>
      <c r="B34031" s="7"/>
      <c r="M34031" s="9" t="s">
        <v>45</v>
      </c>
    </row>
    <row r="34032" ht="15.75" customHeight="1">
      <c r="A34032" s="7"/>
      <c r="B34032" s="7"/>
      <c r="M34032" s="9" t="s">
        <v>21</v>
      </c>
    </row>
    <row r="34033" ht="15.75" customHeight="1">
      <c r="A34033" s="7"/>
      <c r="B34033" s="7"/>
      <c r="M34033" s="9" t="s">
        <v>27</v>
      </c>
    </row>
    <row r="34034" ht="15.75" customHeight="1">
      <c r="A34034" s="7"/>
      <c r="B34034" s="7"/>
      <c r="M34034" s="9" t="s">
        <v>24</v>
      </c>
    </row>
    <row r="34035" ht="15.75" customHeight="1">
      <c r="A34035" s="7"/>
      <c r="B34035" s="7"/>
      <c r="M34035" s="9" t="s">
        <v>20</v>
      </c>
    </row>
    <row r="34036" ht="15.75" customHeight="1">
      <c r="A34036" s="7"/>
      <c r="B34036" s="7"/>
      <c r="M34036" s="9" t="s">
        <v>37</v>
      </c>
    </row>
    <row r="34037" ht="15.75" customHeight="1">
      <c r="A34037" s="7"/>
      <c r="B34037" s="7"/>
      <c r="M34037" s="9" t="s">
        <v>27</v>
      </c>
    </row>
    <row r="34038" ht="15.75" customHeight="1">
      <c r="A34038" s="7"/>
      <c r="B34038" s="7"/>
      <c r="M34038" s="9" t="s">
        <v>30</v>
      </c>
    </row>
    <row r="34039" ht="15.75" customHeight="1">
      <c r="A34039" s="7"/>
      <c r="B34039" s="7"/>
      <c r="M34039" s="9" t="s">
        <v>25</v>
      </c>
    </row>
    <row r="34040" ht="15.75" customHeight="1">
      <c r="A34040" s="7"/>
      <c r="B34040" s="7"/>
      <c r="M34040" s="9" t="s">
        <v>23</v>
      </c>
    </row>
    <row r="34041" ht="15.75" customHeight="1">
      <c r="A34041" s="7"/>
      <c r="B34041" s="7"/>
      <c r="M34041" s="9" t="s">
        <v>26</v>
      </c>
    </row>
    <row r="34042" ht="15.75" customHeight="1">
      <c r="A34042" s="7"/>
      <c r="B34042" s="7"/>
      <c r="M34042" s="9" t="s">
        <v>36</v>
      </c>
    </row>
    <row r="34043" ht="15.75" customHeight="1">
      <c r="A34043" s="7"/>
      <c r="B34043" s="7"/>
      <c r="M34043" s="9" t="s">
        <v>24</v>
      </c>
    </row>
    <row r="34044" ht="15.75" customHeight="1">
      <c r="A34044" s="7"/>
      <c r="B34044" s="7"/>
      <c r="M34044" s="9" t="s">
        <v>20</v>
      </c>
    </row>
    <row r="34045" ht="15.75" customHeight="1">
      <c r="A34045" s="7"/>
      <c r="B34045" s="7"/>
      <c r="M34045" s="9" t="s">
        <v>21</v>
      </c>
    </row>
    <row r="34046" ht="15.75" customHeight="1">
      <c r="A34046" s="7"/>
      <c r="B34046" s="7"/>
      <c r="M34046" s="9" t="s">
        <v>22</v>
      </c>
    </row>
    <row r="34047" ht="15.75" customHeight="1">
      <c r="A34047" s="7"/>
      <c r="B34047" s="7"/>
      <c r="M34047" s="9" t="s">
        <v>27</v>
      </c>
    </row>
    <row r="34048" ht="15.75" customHeight="1">
      <c r="A34048" s="7"/>
      <c r="B34048" s="7"/>
      <c r="M34048" s="9" t="s">
        <v>33</v>
      </c>
    </row>
    <row r="34049" ht="15.75" customHeight="1">
      <c r="A34049" s="7"/>
      <c r="B34049" s="7"/>
      <c r="M34049" s="9" t="s">
        <v>26</v>
      </c>
    </row>
    <row r="34050" ht="15.75" customHeight="1">
      <c r="A34050" s="7"/>
      <c r="B34050" s="7"/>
      <c r="M34050" s="9" t="s">
        <v>24</v>
      </c>
    </row>
    <row r="34051" ht="15.75" customHeight="1">
      <c r="A34051" s="7"/>
      <c r="B34051" s="7"/>
      <c r="M34051" s="9" t="s">
        <v>20</v>
      </c>
    </row>
    <row r="34052" ht="15.75" customHeight="1">
      <c r="A34052" s="7"/>
      <c r="B34052" s="7"/>
      <c r="M34052" s="9" t="s">
        <v>21</v>
      </c>
    </row>
    <row r="34053" ht="15.75" customHeight="1">
      <c r="A34053" s="7"/>
      <c r="B34053" s="7"/>
      <c r="M34053" s="9" t="s">
        <v>39</v>
      </c>
    </row>
    <row r="34054" ht="15.75" customHeight="1">
      <c r="A34054" s="7"/>
      <c r="B34054" s="7"/>
      <c r="M34054" s="9" t="s">
        <v>22</v>
      </c>
    </row>
    <row r="34055" ht="15.75" customHeight="1">
      <c r="A34055" s="7"/>
      <c r="B34055" s="7"/>
      <c r="M34055" s="9" t="s">
        <v>27</v>
      </c>
    </row>
    <row r="34056" ht="15.75" customHeight="1">
      <c r="A34056" s="7"/>
      <c r="B34056" s="7"/>
      <c r="M34056" s="9" t="s">
        <v>25</v>
      </c>
    </row>
    <row r="34057" ht="15.75" customHeight="1">
      <c r="A34057" s="7"/>
      <c r="B34057" s="7"/>
      <c r="M34057" s="9" t="s">
        <v>23</v>
      </c>
    </row>
    <row r="34058" ht="15.75" customHeight="1">
      <c r="A34058" s="7"/>
      <c r="B34058" s="7"/>
      <c r="M34058" s="9" t="s">
        <v>26</v>
      </c>
    </row>
    <row r="34059" ht="15.75" customHeight="1">
      <c r="A34059" s="7"/>
      <c r="B34059" s="7"/>
      <c r="M34059" s="9" t="s">
        <v>24</v>
      </c>
    </row>
    <row r="34060" ht="15.75" customHeight="1">
      <c r="A34060" s="7"/>
      <c r="B34060" s="7"/>
      <c r="M34060" s="9" t="s">
        <v>21</v>
      </c>
    </row>
    <row r="34061" ht="15.75" customHeight="1">
      <c r="A34061" s="7"/>
      <c r="B34061" s="7"/>
      <c r="M34061" s="9" t="s">
        <v>27</v>
      </c>
    </row>
    <row r="34062" ht="15.75" customHeight="1">
      <c r="A34062" s="7"/>
      <c r="B34062" s="7"/>
      <c r="M34062" s="9" t="s">
        <v>28</v>
      </c>
    </row>
    <row r="34063" ht="15.75" customHeight="1">
      <c r="A34063" s="7"/>
      <c r="B34063" s="7"/>
      <c r="M34063" s="9" t="s">
        <v>26</v>
      </c>
    </row>
    <row r="34064" ht="15.75" customHeight="1">
      <c r="A34064" s="7"/>
      <c r="B34064" s="7"/>
      <c r="M34064" s="9" t="s">
        <v>24</v>
      </c>
    </row>
    <row r="34065" ht="15.75" customHeight="1">
      <c r="A34065" s="7"/>
      <c r="B34065" s="7"/>
      <c r="M34065" s="9" t="s">
        <v>21</v>
      </c>
    </row>
    <row r="34066" ht="15.75" customHeight="1">
      <c r="A34066" s="7"/>
      <c r="B34066" s="7"/>
      <c r="M34066" s="9" t="s">
        <v>27</v>
      </c>
    </row>
    <row r="34067" ht="15.75" customHeight="1">
      <c r="A34067" s="7"/>
      <c r="B34067" s="7"/>
      <c r="M34067" s="9" t="s">
        <v>30</v>
      </c>
    </row>
    <row r="34068" ht="15.75" customHeight="1">
      <c r="A34068" s="7"/>
      <c r="B34068" s="7"/>
      <c r="M34068" s="9" t="s">
        <v>23</v>
      </c>
    </row>
    <row r="34069" ht="15.75" customHeight="1">
      <c r="A34069" s="7"/>
      <c r="B34069" s="7"/>
      <c r="M34069" s="9" t="s">
        <v>36</v>
      </c>
    </row>
    <row r="34070" ht="15.75" customHeight="1">
      <c r="A34070" s="7"/>
      <c r="B34070" s="7"/>
      <c r="M34070" s="9" t="s">
        <v>24</v>
      </c>
    </row>
    <row r="34071" ht="15.75" customHeight="1">
      <c r="A34071" s="7"/>
      <c r="B34071" s="7"/>
      <c r="M34071" s="9" t="s">
        <v>20</v>
      </c>
    </row>
    <row r="34072" ht="15.75" customHeight="1">
      <c r="A34072" s="7"/>
      <c r="B34072" s="7"/>
      <c r="M34072" s="9" t="s">
        <v>21</v>
      </c>
    </row>
    <row r="34073" ht="15.75" customHeight="1">
      <c r="A34073" s="7"/>
      <c r="B34073" s="7"/>
      <c r="M34073" s="9" t="s">
        <v>37</v>
      </c>
    </row>
    <row r="34074" ht="15.75" customHeight="1">
      <c r="A34074" s="7"/>
      <c r="B34074" s="7"/>
      <c r="M34074" s="9" t="s">
        <v>22</v>
      </c>
    </row>
    <row r="34075" ht="15.75" customHeight="1">
      <c r="A34075" s="7"/>
      <c r="B34075" s="7"/>
      <c r="M34075" s="9" t="s">
        <v>29</v>
      </c>
    </row>
    <row r="34076" ht="15.75" customHeight="1">
      <c r="A34076" s="7"/>
      <c r="B34076" s="7"/>
      <c r="M34076" s="9" t="s">
        <v>27</v>
      </c>
    </row>
    <row r="34077" ht="15.75" customHeight="1">
      <c r="A34077" s="7"/>
      <c r="B34077" s="7"/>
      <c r="M34077" s="9" t="s">
        <v>40</v>
      </c>
    </row>
    <row r="34078" ht="15.75" customHeight="1">
      <c r="A34078" s="7"/>
      <c r="B34078" s="7"/>
      <c r="M34078" s="9" t="s">
        <v>30</v>
      </c>
    </row>
    <row r="34079" ht="15.75" customHeight="1">
      <c r="A34079" s="7"/>
      <c r="B34079" s="7"/>
      <c r="M34079" s="9" t="s">
        <v>26</v>
      </c>
    </row>
    <row r="34080" ht="15.75" customHeight="1">
      <c r="A34080" s="7"/>
      <c r="B34080" s="7"/>
      <c r="M34080" s="9" t="s">
        <v>24</v>
      </c>
    </row>
    <row r="34081" ht="15.75" customHeight="1">
      <c r="A34081" s="7"/>
      <c r="B34081" s="7"/>
      <c r="M34081" s="9" t="s">
        <v>21</v>
      </c>
    </row>
    <row r="34082" ht="15.75" customHeight="1">
      <c r="A34082" s="7"/>
      <c r="B34082" s="7"/>
      <c r="M34082" s="9" t="s">
        <v>33</v>
      </c>
    </row>
    <row r="34083" ht="15.75" customHeight="1">
      <c r="A34083" s="7"/>
      <c r="B34083" s="7"/>
      <c r="M34083" s="9" t="s">
        <v>35</v>
      </c>
    </row>
    <row r="34084" ht="15.75" customHeight="1">
      <c r="A34084" s="7"/>
      <c r="B34084" s="7"/>
      <c r="M34084" s="9" t="s">
        <v>24</v>
      </c>
    </row>
    <row r="34085" ht="15.75" customHeight="1">
      <c r="A34085" s="7"/>
      <c r="B34085" s="7"/>
      <c r="M34085" s="9" t="s">
        <v>21</v>
      </c>
    </row>
    <row r="34086" ht="15.75" customHeight="1">
      <c r="A34086" s="7"/>
      <c r="B34086" s="7"/>
      <c r="M34086" s="9" t="s">
        <v>22</v>
      </c>
    </row>
    <row r="34087" ht="15.75" customHeight="1">
      <c r="A34087" s="7"/>
      <c r="B34087" s="7"/>
      <c r="M34087" s="9" t="s">
        <v>32</v>
      </c>
    </row>
    <row r="34088" ht="15.75" customHeight="1">
      <c r="A34088" s="7"/>
      <c r="B34088" s="7"/>
      <c r="M34088" s="9" t="s">
        <v>24</v>
      </c>
    </row>
    <row r="34089" ht="15.75" customHeight="1">
      <c r="A34089" s="7"/>
      <c r="B34089" s="7"/>
      <c r="M34089" s="9" t="s">
        <v>21</v>
      </c>
    </row>
    <row r="34090" ht="15.75" customHeight="1">
      <c r="A34090" s="7"/>
      <c r="B34090" s="7"/>
      <c r="M34090" s="9" t="s">
        <v>23</v>
      </c>
    </row>
    <row r="34091" ht="15.75" customHeight="1">
      <c r="A34091" s="7"/>
      <c r="B34091" s="7"/>
      <c r="M34091" s="9" t="s">
        <v>20</v>
      </c>
    </row>
    <row r="34092" ht="15.75" customHeight="1">
      <c r="A34092" s="7"/>
      <c r="B34092" s="7"/>
      <c r="M34092" s="9" t="s">
        <v>22</v>
      </c>
    </row>
    <row r="34093" ht="15.75" customHeight="1">
      <c r="A34093" s="7"/>
      <c r="B34093" s="7"/>
      <c r="M34093" s="9" t="s">
        <v>32</v>
      </c>
    </row>
    <row r="34094" ht="15.75" customHeight="1">
      <c r="A34094" s="7"/>
      <c r="B34094" s="7"/>
      <c r="M34094" s="9" t="s">
        <v>23</v>
      </c>
    </row>
    <row r="34095" ht="15.75" customHeight="1">
      <c r="A34095" s="7"/>
      <c r="B34095" s="7"/>
      <c r="M34095" s="9" t="s">
        <v>26</v>
      </c>
    </row>
    <row r="34096" ht="15.75" customHeight="1">
      <c r="A34096" s="7"/>
      <c r="B34096" s="7"/>
      <c r="M34096" s="9" t="s">
        <v>24</v>
      </c>
    </row>
    <row r="34097" ht="15.75" customHeight="1">
      <c r="A34097" s="7"/>
      <c r="B34097" s="7"/>
      <c r="M34097" s="9" t="s">
        <v>20</v>
      </c>
    </row>
    <row r="34098" ht="15.75" customHeight="1">
      <c r="A34098" s="7"/>
      <c r="B34098" s="7"/>
      <c r="M34098" s="9" t="s">
        <v>21</v>
      </c>
    </row>
    <row r="34099" ht="15.75" customHeight="1">
      <c r="A34099" s="7"/>
      <c r="B34099" s="7"/>
      <c r="M34099" s="9" t="s">
        <v>39</v>
      </c>
    </row>
    <row r="34100" ht="15.75" customHeight="1">
      <c r="A34100" s="7"/>
      <c r="B34100" s="7"/>
      <c r="M34100" s="9" t="s">
        <v>37</v>
      </c>
    </row>
    <row r="34101" ht="15.75" customHeight="1">
      <c r="A34101" s="7"/>
      <c r="B34101" s="7"/>
      <c r="M34101" s="9" t="s">
        <v>27</v>
      </c>
    </row>
    <row r="34102" ht="15.75" customHeight="1">
      <c r="A34102" s="7"/>
      <c r="B34102" s="7"/>
      <c r="M34102" s="9" t="s">
        <v>28</v>
      </c>
    </row>
    <row r="34103" ht="15.75" customHeight="1">
      <c r="A34103" s="7"/>
      <c r="B34103" s="7"/>
      <c r="M34103" s="9" t="s">
        <v>30</v>
      </c>
    </row>
    <row r="34104" ht="15.75" customHeight="1">
      <c r="A34104" s="7"/>
      <c r="B34104" s="7"/>
      <c r="M34104" s="9" t="s">
        <v>25</v>
      </c>
    </row>
    <row r="34105" ht="15.75" customHeight="1">
      <c r="A34105" s="7"/>
      <c r="B34105" s="7"/>
      <c r="M34105" s="9" t="s">
        <v>23</v>
      </c>
    </row>
    <row r="34106" ht="15.75" customHeight="1">
      <c r="A34106" s="7"/>
      <c r="B34106" s="7"/>
      <c r="M34106" s="9" t="s">
        <v>26</v>
      </c>
    </row>
    <row r="34107" ht="15.75" customHeight="1">
      <c r="A34107" s="7"/>
      <c r="B34107" s="7"/>
      <c r="M34107" s="9" t="s">
        <v>24</v>
      </c>
    </row>
    <row r="34108" ht="15.75" customHeight="1">
      <c r="A34108" s="7"/>
      <c r="B34108" s="7"/>
      <c r="M34108" s="9" t="s">
        <v>20</v>
      </c>
    </row>
    <row r="34109" ht="15.75" customHeight="1">
      <c r="A34109" s="7"/>
      <c r="B34109" s="7"/>
      <c r="M34109" s="9" t="s">
        <v>21</v>
      </c>
    </row>
    <row r="34110" ht="15.75" customHeight="1">
      <c r="A34110" s="7"/>
      <c r="B34110" s="7"/>
      <c r="M34110" s="9" t="s">
        <v>22</v>
      </c>
    </row>
    <row r="34111" ht="15.75" customHeight="1">
      <c r="A34111" s="7"/>
      <c r="B34111" s="7"/>
      <c r="M34111" s="9" t="s">
        <v>28</v>
      </c>
    </row>
    <row r="34112" ht="15.75" customHeight="1">
      <c r="A34112" s="7"/>
      <c r="B34112" s="7"/>
      <c r="M34112" s="9" t="s">
        <v>30</v>
      </c>
    </row>
    <row r="34113" ht="15.75" customHeight="1">
      <c r="A34113" s="7"/>
      <c r="B34113" s="7"/>
      <c r="M34113" s="9" t="s">
        <v>36</v>
      </c>
    </row>
    <row r="34114" ht="15.75" customHeight="1">
      <c r="A34114" s="7"/>
      <c r="B34114" s="7"/>
      <c r="M34114" s="9" t="s">
        <v>20</v>
      </c>
    </row>
    <row r="34115" ht="15.75" customHeight="1">
      <c r="A34115" s="7"/>
      <c r="B34115" s="7"/>
      <c r="M34115" s="9" t="s">
        <v>41</v>
      </c>
    </row>
    <row r="34116" ht="15.75" customHeight="1">
      <c r="A34116" s="7"/>
      <c r="B34116" s="7"/>
      <c r="M34116" s="9" t="s">
        <v>31</v>
      </c>
    </row>
    <row r="34117" ht="15.75" customHeight="1">
      <c r="A34117" s="7"/>
      <c r="B34117" s="7"/>
      <c r="M34117" s="9" t="s">
        <v>30</v>
      </c>
    </row>
    <row r="34118" ht="15.75" customHeight="1">
      <c r="A34118" s="7"/>
      <c r="B34118" s="7"/>
      <c r="M34118" s="9" t="s">
        <v>26</v>
      </c>
    </row>
    <row r="34119" ht="15.75" customHeight="1">
      <c r="A34119" s="7"/>
      <c r="B34119" s="7"/>
      <c r="M34119" s="9" t="s">
        <v>24</v>
      </c>
    </row>
    <row r="34120" ht="15.75" customHeight="1">
      <c r="A34120" s="7"/>
      <c r="B34120" s="7"/>
      <c r="M34120" s="9" t="s">
        <v>21</v>
      </c>
    </row>
    <row r="34121" ht="15.75" customHeight="1">
      <c r="A34121" s="7"/>
      <c r="B34121" s="7"/>
      <c r="M34121" s="9" t="s">
        <v>31</v>
      </c>
    </row>
    <row r="34122" ht="15.75" customHeight="1">
      <c r="A34122" s="7"/>
      <c r="B34122" s="7"/>
      <c r="M34122" s="9" t="s">
        <v>27</v>
      </c>
    </row>
    <row r="34123" ht="15.75" customHeight="1">
      <c r="A34123" s="7"/>
      <c r="B34123" s="7"/>
      <c r="M34123" s="9" t="s">
        <v>20</v>
      </c>
    </row>
    <row r="34124" ht="15.75" customHeight="1">
      <c r="A34124" s="7"/>
      <c r="B34124" s="7"/>
      <c r="M34124" s="9" t="s">
        <v>39</v>
      </c>
    </row>
    <row r="34125" ht="15.75" customHeight="1">
      <c r="A34125" s="7"/>
      <c r="B34125" s="7"/>
      <c r="M34125" s="9" t="s">
        <v>30</v>
      </c>
    </row>
    <row r="34126" ht="15.75" customHeight="1">
      <c r="A34126" s="7"/>
      <c r="B34126" s="7"/>
      <c r="M34126" s="9" t="s">
        <v>24</v>
      </c>
    </row>
    <row r="34127" ht="15.75" customHeight="1">
      <c r="A34127" s="7"/>
      <c r="B34127" s="7"/>
      <c r="M34127" s="9" t="s">
        <v>20</v>
      </c>
    </row>
    <row r="34128" ht="15.75" customHeight="1">
      <c r="A34128" s="7"/>
      <c r="B34128" s="7"/>
      <c r="M34128" s="9" t="s">
        <v>21</v>
      </c>
    </row>
    <row r="34129" ht="15.75" customHeight="1">
      <c r="A34129" s="7"/>
      <c r="B34129" s="7"/>
      <c r="M34129" s="9" t="s">
        <v>27</v>
      </c>
    </row>
    <row r="34130" ht="15.75" customHeight="1">
      <c r="A34130" s="7"/>
      <c r="B34130" s="7"/>
      <c r="M34130" s="9" t="s">
        <v>20</v>
      </c>
    </row>
    <row r="34131" ht="15.75" customHeight="1">
      <c r="A34131" s="7"/>
      <c r="B34131" s="7"/>
      <c r="M34131" s="9" t="s">
        <v>26</v>
      </c>
    </row>
    <row r="34132" ht="15.75" customHeight="1">
      <c r="A34132" s="7"/>
      <c r="B34132" s="7"/>
      <c r="M34132" s="9" t="s">
        <v>24</v>
      </c>
    </row>
    <row r="34133" ht="15.75" customHeight="1">
      <c r="A34133" s="7"/>
      <c r="B34133" s="7"/>
      <c r="M34133" s="9" t="s">
        <v>21</v>
      </c>
    </row>
    <row r="34134" ht="15.75" customHeight="1">
      <c r="A34134" s="7"/>
      <c r="B34134" s="7"/>
      <c r="M34134" s="9" t="s">
        <v>27</v>
      </c>
    </row>
    <row r="34135" ht="15.75" customHeight="1">
      <c r="A34135" s="7"/>
      <c r="B34135" s="7"/>
      <c r="M34135" s="9" t="s">
        <v>33</v>
      </c>
    </row>
    <row r="34136" ht="15.75" customHeight="1">
      <c r="A34136" s="7"/>
      <c r="B34136" s="7"/>
      <c r="M34136" s="9" t="s">
        <v>24</v>
      </c>
    </row>
    <row r="34137" ht="15.75" customHeight="1">
      <c r="A34137" s="7"/>
      <c r="B34137" s="7"/>
      <c r="M34137" s="9" t="s">
        <v>21</v>
      </c>
    </row>
    <row r="34138" ht="15.75" customHeight="1">
      <c r="A34138" s="7"/>
      <c r="B34138" s="7"/>
      <c r="M34138" s="9" t="s">
        <v>37</v>
      </c>
    </row>
    <row r="34139" ht="15.75" customHeight="1">
      <c r="A34139" s="7"/>
      <c r="B34139" s="7"/>
      <c r="M34139" s="9" t="s">
        <v>22</v>
      </c>
    </row>
    <row r="34140" ht="15.75" customHeight="1">
      <c r="A34140" s="7"/>
      <c r="B34140" s="7"/>
      <c r="M34140" s="9" t="s">
        <v>27</v>
      </c>
    </row>
    <row r="34141" ht="15.75" customHeight="1">
      <c r="A34141" s="7"/>
      <c r="B34141" s="7"/>
      <c r="M34141" s="9" t="s">
        <v>20</v>
      </c>
    </row>
    <row r="34142" ht="15.75" customHeight="1">
      <c r="A34142" s="7"/>
      <c r="B34142" s="7"/>
      <c r="M34142" s="9" t="s">
        <v>24</v>
      </c>
    </row>
    <row r="34143" ht="15.75" customHeight="1">
      <c r="A34143" s="7"/>
      <c r="B34143" s="7"/>
      <c r="M34143" s="9" t="s">
        <v>20</v>
      </c>
    </row>
    <row r="34144" ht="15.75" customHeight="1">
      <c r="A34144" s="7"/>
      <c r="B34144" s="7"/>
      <c r="M34144" s="9" t="s">
        <v>21</v>
      </c>
    </row>
    <row r="34145" ht="15.75" customHeight="1">
      <c r="A34145" s="7"/>
      <c r="B34145" s="7"/>
      <c r="M34145" s="9" t="s">
        <v>37</v>
      </c>
    </row>
    <row r="34146" ht="15.75" customHeight="1">
      <c r="A34146" s="7"/>
      <c r="B34146" s="7"/>
      <c r="M34146" s="9" t="s">
        <v>27</v>
      </c>
    </row>
    <row r="34147" ht="15.75" customHeight="1">
      <c r="A34147" s="7"/>
      <c r="B34147" s="7"/>
      <c r="M34147" s="9" t="s">
        <v>24</v>
      </c>
    </row>
    <row r="34148" ht="15.75" customHeight="1">
      <c r="A34148" s="7"/>
      <c r="B34148" s="7"/>
      <c r="M34148" s="9" t="s">
        <v>21</v>
      </c>
    </row>
    <row r="34149" ht="15.75" customHeight="1">
      <c r="A34149" s="7"/>
      <c r="B34149" s="7"/>
      <c r="M34149" s="9" t="s">
        <v>37</v>
      </c>
    </row>
    <row r="34150" ht="15.75" customHeight="1">
      <c r="A34150" s="7"/>
      <c r="B34150" s="7"/>
      <c r="M34150" s="9" t="s">
        <v>22</v>
      </c>
    </row>
    <row r="34151" ht="15.75" customHeight="1">
      <c r="A34151" s="7"/>
      <c r="B34151" s="7"/>
      <c r="M34151" s="9" t="s">
        <v>23</v>
      </c>
    </row>
    <row r="34152" ht="15.75" customHeight="1">
      <c r="A34152" s="7"/>
      <c r="B34152" s="7"/>
      <c r="M34152" s="9" t="s">
        <v>20</v>
      </c>
    </row>
    <row r="34153" ht="15.75" customHeight="1">
      <c r="A34153" s="7"/>
      <c r="B34153" s="7"/>
      <c r="M34153" s="9" t="s">
        <v>39</v>
      </c>
    </row>
    <row r="34154" ht="15.75" customHeight="1">
      <c r="A34154" s="7"/>
      <c r="B34154" s="7"/>
      <c r="M34154" s="9" t="s">
        <v>22</v>
      </c>
    </row>
    <row r="34155" ht="15.75" customHeight="1">
      <c r="A34155" s="7"/>
      <c r="B34155" s="7"/>
      <c r="M34155" s="9" t="s">
        <v>35</v>
      </c>
    </row>
    <row r="34156" ht="15.75" customHeight="1">
      <c r="A34156" s="7"/>
      <c r="B34156" s="7"/>
      <c r="M34156" s="9" t="s">
        <v>24</v>
      </c>
    </row>
    <row r="34157" ht="15.75" customHeight="1">
      <c r="A34157" s="7"/>
      <c r="B34157" s="7"/>
      <c r="M34157" s="9" t="s">
        <v>21</v>
      </c>
    </row>
    <row r="34158" ht="15.75" customHeight="1">
      <c r="A34158" s="7"/>
      <c r="B34158" s="7"/>
      <c r="M34158" s="9" t="s">
        <v>31</v>
      </c>
    </row>
    <row r="34159" ht="15.75" customHeight="1">
      <c r="A34159" s="7"/>
      <c r="B34159" s="7"/>
      <c r="M34159" s="9" t="s">
        <v>24</v>
      </c>
    </row>
    <row r="34160" ht="15.75" customHeight="1">
      <c r="A34160" s="7"/>
      <c r="B34160" s="7"/>
      <c r="M34160" s="9" t="s">
        <v>20</v>
      </c>
    </row>
    <row r="34161" ht="15.75" customHeight="1">
      <c r="A34161" s="7"/>
      <c r="B34161" s="7"/>
      <c r="M34161" s="9" t="s">
        <v>21</v>
      </c>
    </row>
    <row r="34162" ht="15.75" customHeight="1">
      <c r="A34162" s="7"/>
      <c r="B34162" s="7"/>
      <c r="M34162" s="9" t="s">
        <v>37</v>
      </c>
    </row>
    <row r="34163" ht="15.75" customHeight="1">
      <c r="A34163" s="7"/>
      <c r="B34163" s="7"/>
      <c r="M34163" s="9" t="s">
        <v>22</v>
      </c>
    </row>
    <row r="34164" ht="15.75" customHeight="1">
      <c r="A34164" s="7"/>
      <c r="B34164" s="7"/>
      <c r="M34164" s="9" t="s">
        <v>27</v>
      </c>
    </row>
    <row r="34165" ht="15.75" customHeight="1">
      <c r="A34165" s="7"/>
      <c r="B34165" s="7"/>
      <c r="M34165" s="9" t="s">
        <v>30</v>
      </c>
    </row>
    <row r="34166" ht="15.75" customHeight="1">
      <c r="A34166" s="7"/>
      <c r="B34166" s="7"/>
      <c r="M34166" s="9" t="s">
        <v>25</v>
      </c>
    </row>
    <row r="34167" ht="15.75" customHeight="1">
      <c r="A34167" s="7"/>
      <c r="B34167" s="7"/>
      <c r="M34167" s="9" t="s">
        <v>23</v>
      </c>
    </row>
    <row r="34168" ht="15.75" customHeight="1">
      <c r="A34168" s="7"/>
      <c r="B34168" s="7"/>
      <c r="M34168" s="9" t="s">
        <v>24</v>
      </c>
    </row>
    <row r="34169" ht="15.75" customHeight="1">
      <c r="A34169" s="7"/>
      <c r="B34169" s="7"/>
      <c r="M34169" s="9" t="s">
        <v>20</v>
      </c>
    </row>
    <row r="34170" ht="15.75" customHeight="1">
      <c r="A34170" s="7"/>
      <c r="B34170" s="7"/>
      <c r="M34170" s="9" t="s">
        <v>21</v>
      </c>
    </row>
    <row r="34171" ht="15.75" customHeight="1">
      <c r="A34171" s="7"/>
      <c r="B34171" s="7"/>
      <c r="M34171" s="9" t="s">
        <v>37</v>
      </c>
    </row>
    <row r="34172" ht="15.75" customHeight="1">
      <c r="A34172" s="7"/>
      <c r="B34172" s="7"/>
      <c r="M34172" s="9" t="s">
        <v>27</v>
      </c>
    </row>
    <row r="34173" ht="15.75" customHeight="1">
      <c r="A34173" s="7"/>
      <c r="B34173" s="7"/>
      <c r="M34173" s="9" t="s">
        <v>24</v>
      </c>
    </row>
    <row r="34174" ht="15.75" customHeight="1">
      <c r="A34174" s="7"/>
      <c r="B34174" s="7"/>
      <c r="M34174" s="9" t="s">
        <v>20</v>
      </c>
    </row>
    <row r="34175" ht="15.75" customHeight="1">
      <c r="A34175" s="7"/>
      <c r="B34175" s="7"/>
      <c r="M34175" s="9" t="s">
        <v>21</v>
      </c>
    </row>
    <row r="34176" ht="15.75" customHeight="1">
      <c r="A34176" s="7"/>
      <c r="B34176" s="7"/>
      <c r="M34176" s="9" t="s">
        <v>22</v>
      </c>
    </row>
    <row r="34177" ht="15.75" customHeight="1">
      <c r="A34177" s="7"/>
      <c r="B34177" s="7"/>
      <c r="M34177" s="9" t="s">
        <v>27</v>
      </c>
    </row>
    <row r="34178" ht="15.75" customHeight="1">
      <c r="A34178" s="7"/>
      <c r="B34178" s="7"/>
      <c r="M34178" s="9" t="s">
        <v>30</v>
      </c>
    </row>
    <row r="34179" ht="15.75" customHeight="1">
      <c r="A34179" s="7"/>
      <c r="B34179" s="7"/>
      <c r="M34179" s="9" t="s">
        <v>25</v>
      </c>
    </row>
    <row r="34180" ht="15.75" customHeight="1">
      <c r="A34180" s="7"/>
      <c r="B34180" s="7"/>
      <c r="M34180" s="9" t="s">
        <v>23</v>
      </c>
    </row>
    <row r="34181" ht="15.75" customHeight="1">
      <c r="A34181" s="7"/>
      <c r="B34181" s="7"/>
      <c r="M34181" s="9" t="s">
        <v>36</v>
      </c>
    </row>
    <row r="34182" ht="15.75" customHeight="1">
      <c r="A34182" s="7"/>
      <c r="B34182" s="7"/>
      <c r="M34182" s="9" t="s">
        <v>24</v>
      </c>
    </row>
    <row r="34183" ht="15.75" customHeight="1">
      <c r="A34183" s="7"/>
      <c r="B34183" s="7"/>
      <c r="M34183" s="9" t="s">
        <v>20</v>
      </c>
    </row>
    <row r="34184" ht="15.75" customHeight="1">
      <c r="A34184" s="7"/>
      <c r="B34184" s="7"/>
      <c r="M34184" s="9" t="s">
        <v>21</v>
      </c>
    </row>
    <row r="34185" ht="15.75" customHeight="1">
      <c r="A34185" s="7"/>
      <c r="B34185" s="7"/>
      <c r="M34185" s="9" t="s">
        <v>22</v>
      </c>
    </row>
    <row r="34186" ht="15.75" customHeight="1">
      <c r="A34186" s="7"/>
      <c r="B34186" s="7"/>
      <c r="M34186" s="9" t="s">
        <v>32</v>
      </c>
    </row>
    <row r="34187" ht="15.75" customHeight="1">
      <c r="A34187" s="7"/>
      <c r="B34187" s="7"/>
      <c r="M34187" s="9" t="s">
        <v>27</v>
      </c>
    </row>
    <row r="34188" ht="15.75" customHeight="1">
      <c r="A34188" s="7"/>
      <c r="B34188" s="7"/>
      <c r="M34188" s="9" t="s">
        <v>34</v>
      </c>
    </row>
    <row r="34189" ht="15.75" customHeight="1">
      <c r="A34189" s="7"/>
      <c r="B34189" s="7"/>
      <c r="M34189" s="9" t="s">
        <v>38</v>
      </c>
    </row>
    <row r="34190" ht="15.75" customHeight="1">
      <c r="A34190" s="7"/>
      <c r="B34190" s="7"/>
      <c r="M34190" s="9" t="s">
        <v>25</v>
      </c>
    </row>
    <row r="34191" ht="15.75" customHeight="1">
      <c r="A34191" s="7"/>
      <c r="B34191" s="7"/>
      <c r="M34191" s="9" t="s">
        <v>20</v>
      </c>
    </row>
    <row r="34192" ht="15.75" customHeight="1">
      <c r="A34192" s="7"/>
      <c r="B34192" s="7"/>
      <c r="M34192" s="9" t="s">
        <v>22</v>
      </c>
    </row>
    <row r="34193" ht="15.75" customHeight="1">
      <c r="A34193" s="7"/>
      <c r="B34193" s="7"/>
      <c r="M34193" s="9" t="s">
        <v>26</v>
      </c>
    </row>
    <row r="34194" ht="15.75" customHeight="1">
      <c r="A34194" s="7"/>
      <c r="B34194" s="7"/>
      <c r="M34194" s="9" t="s">
        <v>24</v>
      </c>
    </row>
    <row r="34195" ht="15.75" customHeight="1">
      <c r="A34195" s="7"/>
      <c r="B34195" s="7"/>
      <c r="M34195" s="9" t="s">
        <v>21</v>
      </c>
    </row>
    <row r="34196" ht="15.75" customHeight="1">
      <c r="A34196" s="7"/>
      <c r="B34196" s="7"/>
      <c r="M34196" s="9" t="s">
        <v>22</v>
      </c>
    </row>
    <row r="34197" ht="15.75" customHeight="1">
      <c r="A34197" s="7"/>
      <c r="B34197" s="7"/>
      <c r="M34197" s="9" t="s">
        <v>33</v>
      </c>
    </row>
    <row r="34198" ht="15.75" customHeight="1">
      <c r="A34198" s="7"/>
      <c r="B34198" s="7"/>
      <c r="M34198" s="9" t="s">
        <v>30</v>
      </c>
    </row>
    <row r="34199" ht="15.75" customHeight="1">
      <c r="A34199" s="7"/>
      <c r="B34199" s="7"/>
      <c r="M34199" s="9" t="s">
        <v>36</v>
      </c>
    </row>
    <row r="34200" ht="15.75" customHeight="1">
      <c r="A34200" s="7"/>
      <c r="B34200" s="7"/>
      <c r="M34200" s="9" t="s">
        <v>24</v>
      </c>
    </row>
    <row r="34201" ht="15.75" customHeight="1">
      <c r="A34201" s="7"/>
      <c r="B34201" s="7"/>
      <c r="M34201" s="9" t="s">
        <v>20</v>
      </c>
    </row>
    <row r="34202" ht="15.75" customHeight="1">
      <c r="A34202" s="7"/>
      <c r="B34202" s="7"/>
      <c r="M34202" s="9" t="s">
        <v>21</v>
      </c>
    </row>
    <row r="34203" ht="15.75" customHeight="1">
      <c r="A34203" s="7"/>
      <c r="B34203" s="7"/>
      <c r="M34203" s="9" t="s">
        <v>22</v>
      </c>
    </row>
    <row r="34204" ht="15.75" customHeight="1">
      <c r="A34204" s="7"/>
      <c r="B34204" s="7"/>
      <c r="M34204" s="9" t="s">
        <v>31</v>
      </c>
    </row>
    <row r="34205" ht="15.75" customHeight="1">
      <c r="A34205" s="7"/>
      <c r="B34205" s="7"/>
      <c r="M34205" s="9" t="s">
        <v>46</v>
      </c>
    </row>
    <row r="34206" ht="15.75" customHeight="1">
      <c r="A34206" s="7"/>
      <c r="B34206" s="7"/>
      <c r="M34206" s="9" t="s">
        <v>27</v>
      </c>
    </row>
    <row r="34207" ht="15.75" customHeight="1">
      <c r="A34207" s="7"/>
      <c r="B34207" s="7"/>
      <c r="M34207" s="9" t="s">
        <v>33</v>
      </c>
    </row>
    <row r="34208" ht="15.75" customHeight="1">
      <c r="A34208" s="7"/>
      <c r="B34208" s="7"/>
      <c r="M34208" s="9" t="s">
        <v>35</v>
      </c>
    </row>
    <row r="34209" ht="15.75" customHeight="1">
      <c r="A34209" s="7"/>
      <c r="B34209" s="7"/>
      <c r="M34209" s="9" t="s">
        <v>29</v>
      </c>
    </row>
    <row r="34210" ht="15.75" customHeight="1">
      <c r="A34210" s="7"/>
      <c r="B34210" s="7"/>
      <c r="M34210" s="9" t="s">
        <v>27</v>
      </c>
    </row>
    <row r="34211" ht="15.75" customHeight="1">
      <c r="A34211" s="7"/>
      <c r="B34211" s="7"/>
      <c r="M34211" s="9" t="s">
        <v>38</v>
      </c>
    </row>
    <row r="34212" ht="15.75" customHeight="1">
      <c r="A34212" s="7"/>
      <c r="B34212" s="7"/>
      <c r="M34212" s="9" t="s">
        <v>30</v>
      </c>
    </row>
    <row r="34213" ht="15.75" customHeight="1">
      <c r="A34213" s="7"/>
      <c r="B34213" s="7"/>
      <c r="M34213" s="9" t="s">
        <v>25</v>
      </c>
    </row>
    <row r="34214" ht="15.75" customHeight="1">
      <c r="A34214" s="7"/>
      <c r="B34214" s="7"/>
      <c r="M34214" s="9" t="s">
        <v>36</v>
      </c>
    </row>
    <row r="34215" ht="15.75" customHeight="1">
      <c r="A34215" s="7"/>
      <c r="B34215" s="7"/>
      <c r="M34215" s="9" t="s">
        <v>24</v>
      </c>
    </row>
    <row r="34216" ht="15.75" customHeight="1">
      <c r="A34216" s="7"/>
      <c r="B34216" s="7"/>
      <c r="M34216" s="9" t="s">
        <v>20</v>
      </c>
    </row>
    <row r="34217" ht="15.75" customHeight="1">
      <c r="A34217" s="7"/>
      <c r="B34217" s="7"/>
      <c r="M34217" s="9" t="s">
        <v>21</v>
      </c>
    </row>
    <row r="34218" ht="15.75" customHeight="1">
      <c r="A34218" s="7"/>
      <c r="B34218" s="7"/>
      <c r="M34218" s="9" t="s">
        <v>22</v>
      </c>
    </row>
    <row r="34219" ht="15.75" customHeight="1">
      <c r="A34219" s="7"/>
      <c r="B34219" s="7"/>
      <c r="M34219" s="9" t="s">
        <v>31</v>
      </c>
    </row>
    <row r="34220" ht="15.75" customHeight="1">
      <c r="A34220" s="7"/>
      <c r="B34220" s="7"/>
      <c r="M34220" s="9" t="s">
        <v>27</v>
      </c>
    </row>
    <row r="34221" ht="15.75" customHeight="1">
      <c r="A34221" s="7"/>
      <c r="B34221" s="7"/>
      <c r="M34221" s="9" t="s">
        <v>33</v>
      </c>
    </row>
    <row r="34222" ht="15.75" customHeight="1">
      <c r="A34222" s="7"/>
      <c r="B34222" s="7"/>
      <c r="M34222" s="9" t="s">
        <v>24</v>
      </c>
    </row>
    <row r="34223" ht="15.75" customHeight="1">
      <c r="A34223" s="7"/>
      <c r="B34223" s="7"/>
      <c r="M34223" s="9" t="s">
        <v>20</v>
      </c>
    </row>
    <row r="34224" ht="15.75" customHeight="1">
      <c r="A34224" s="7"/>
      <c r="B34224" s="7"/>
      <c r="M34224" s="9" t="s">
        <v>21</v>
      </c>
    </row>
    <row r="34225" ht="15.75" customHeight="1">
      <c r="A34225" s="7"/>
      <c r="B34225" s="7"/>
      <c r="M34225" s="9" t="s">
        <v>27</v>
      </c>
    </row>
    <row r="34226" ht="15.75" customHeight="1">
      <c r="A34226" s="7"/>
      <c r="B34226" s="7"/>
      <c r="M34226" s="9" t="s">
        <v>36</v>
      </c>
    </row>
    <row r="34227" ht="15.75" customHeight="1">
      <c r="A34227" s="7"/>
      <c r="B34227" s="7"/>
      <c r="M34227" s="9" t="s">
        <v>24</v>
      </c>
    </row>
    <row r="34228" ht="15.75" customHeight="1">
      <c r="A34228" s="7"/>
      <c r="B34228" s="7"/>
      <c r="M34228" s="9" t="s">
        <v>21</v>
      </c>
    </row>
    <row r="34229" ht="15.75" customHeight="1">
      <c r="A34229" s="7"/>
      <c r="B34229" s="7"/>
      <c r="M34229" s="9" t="s">
        <v>31</v>
      </c>
    </row>
    <row r="34230" ht="15.75" customHeight="1">
      <c r="A34230" s="7"/>
      <c r="B34230" s="7"/>
      <c r="M34230" s="9" t="s">
        <v>33</v>
      </c>
    </row>
    <row r="34231" ht="15.75" customHeight="1">
      <c r="A34231" s="7"/>
      <c r="B34231" s="7"/>
      <c r="M34231" s="9" t="s">
        <v>24</v>
      </c>
    </row>
    <row r="34232" ht="15.75" customHeight="1">
      <c r="A34232" s="7"/>
      <c r="B34232" s="7"/>
      <c r="M34232" s="9" t="s">
        <v>21</v>
      </c>
    </row>
    <row r="34233" ht="15.75" customHeight="1">
      <c r="A34233" s="7"/>
      <c r="B34233" s="7"/>
      <c r="M34233" s="9" t="s">
        <v>37</v>
      </c>
    </row>
    <row r="34234" ht="15.75" customHeight="1">
      <c r="A34234" s="7"/>
      <c r="B34234" s="7"/>
      <c r="M34234" s="9" t="s">
        <v>33</v>
      </c>
    </row>
    <row r="34235" ht="15.75" customHeight="1">
      <c r="A34235" s="7"/>
      <c r="B34235" s="7"/>
      <c r="M34235" s="9" t="s">
        <v>30</v>
      </c>
    </row>
    <row r="34236" ht="15.75" customHeight="1">
      <c r="A34236" s="7"/>
      <c r="B34236" s="7"/>
      <c r="M34236" s="9" t="s">
        <v>24</v>
      </c>
    </row>
    <row r="34237" ht="15.75" customHeight="1">
      <c r="A34237" s="7"/>
      <c r="B34237" s="7"/>
      <c r="M34237" s="9" t="s">
        <v>21</v>
      </c>
    </row>
    <row r="34238" ht="15.75" customHeight="1">
      <c r="A34238" s="7"/>
      <c r="B34238" s="7"/>
      <c r="M34238" s="9" t="s">
        <v>37</v>
      </c>
    </row>
    <row r="34239" ht="15.75" customHeight="1">
      <c r="A34239" s="7"/>
      <c r="B34239" s="7"/>
      <c r="M34239" s="9" t="s">
        <v>22</v>
      </c>
    </row>
    <row r="34240" ht="15.75" customHeight="1">
      <c r="A34240" s="7"/>
      <c r="B34240" s="7"/>
      <c r="M34240" s="9" t="s">
        <v>27</v>
      </c>
    </row>
    <row r="34241" ht="15.75" customHeight="1">
      <c r="A34241" s="7"/>
      <c r="B34241" s="7"/>
      <c r="M34241" s="9" t="s">
        <v>33</v>
      </c>
    </row>
    <row r="34242" ht="15.75" customHeight="1">
      <c r="A34242" s="7"/>
      <c r="B34242" s="7"/>
      <c r="M34242" s="9" t="s">
        <v>26</v>
      </c>
    </row>
    <row r="34243" ht="15.75" customHeight="1">
      <c r="A34243" s="7"/>
      <c r="B34243" s="7"/>
      <c r="M34243" s="9" t="s">
        <v>24</v>
      </c>
    </row>
    <row r="34244" ht="15.75" customHeight="1">
      <c r="A34244" s="7"/>
      <c r="B34244" s="7"/>
      <c r="M34244" s="9" t="s">
        <v>21</v>
      </c>
    </row>
    <row r="34245" ht="15.75" customHeight="1">
      <c r="A34245" s="7"/>
      <c r="B34245" s="7"/>
      <c r="M34245" s="9" t="s">
        <v>37</v>
      </c>
    </row>
    <row r="34246" ht="15.75" customHeight="1">
      <c r="A34246" s="7"/>
      <c r="B34246" s="7"/>
      <c r="M34246" s="9" t="s">
        <v>33</v>
      </c>
    </row>
    <row r="34247" ht="15.75" customHeight="1">
      <c r="A34247" s="7"/>
      <c r="B34247" s="7"/>
      <c r="M34247" s="9" t="s">
        <v>25</v>
      </c>
    </row>
    <row r="34248" ht="15.75" customHeight="1">
      <c r="A34248" s="7"/>
      <c r="B34248" s="7"/>
      <c r="M34248" s="9" t="s">
        <v>23</v>
      </c>
    </row>
    <row r="34249" ht="15.75" customHeight="1">
      <c r="A34249" s="7"/>
      <c r="B34249" s="7"/>
      <c r="M34249" s="9" t="s">
        <v>26</v>
      </c>
    </row>
    <row r="34250" ht="15.75" customHeight="1">
      <c r="A34250" s="7"/>
      <c r="B34250" s="7"/>
      <c r="M34250" s="9" t="s">
        <v>24</v>
      </c>
    </row>
    <row r="34251" ht="15.75" customHeight="1">
      <c r="A34251" s="7"/>
      <c r="B34251" s="7"/>
      <c r="M34251" s="9" t="s">
        <v>20</v>
      </c>
    </row>
    <row r="34252" ht="15.75" customHeight="1">
      <c r="A34252" s="7"/>
      <c r="B34252" s="7"/>
      <c r="M34252" s="9" t="s">
        <v>21</v>
      </c>
    </row>
    <row r="34253" ht="15.75" customHeight="1">
      <c r="A34253" s="7"/>
      <c r="B34253" s="7"/>
      <c r="M34253" s="9" t="s">
        <v>37</v>
      </c>
    </row>
    <row r="34254" ht="15.75" customHeight="1">
      <c r="A34254" s="7"/>
      <c r="B34254" s="7"/>
      <c r="M34254" s="9" t="s">
        <v>27</v>
      </c>
    </row>
    <row r="34255" ht="15.75" customHeight="1">
      <c r="A34255" s="7"/>
      <c r="B34255" s="7"/>
      <c r="M34255" s="9" t="s">
        <v>30</v>
      </c>
    </row>
    <row r="34256" ht="15.75" customHeight="1">
      <c r="A34256" s="7"/>
      <c r="B34256" s="7"/>
      <c r="M34256" s="9" t="s">
        <v>24</v>
      </c>
    </row>
    <row r="34257" ht="15.75" customHeight="1">
      <c r="A34257" s="7"/>
      <c r="B34257" s="7"/>
      <c r="M34257" s="9" t="s">
        <v>21</v>
      </c>
    </row>
    <row r="34258" ht="15.75" customHeight="1">
      <c r="A34258" s="7"/>
      <c r="B34258" s="7"/>
      <c r="M34258" s="9" t="s">
        <v>37</v>
      </c>
    </row>
    <row r="34259" ht="15.75" customHeight="1">
      <c r="A34259" s="7"/>
      <c r="B34259" s="7"/>
      <c r="M34259" s="9" t="s">
        <v>31</v>
      </c>
    </row>
    <row r="34260" ht="15.75" customHeight="1">
      <c r="A34260" s="7"/>
      <c r="B34260" s="7"/>
      <c r="M34260" s="9" t="s">
        <v>27</v>
      </c>
    </row>
    <row r="34261" ht="15.75" customHeight="1">
      <c r="A34261" s="7"/>
      <c r="B34261" s="7"/>
      <c r="M34261" s="9" t="s">
        <v>30</v>
      </c>
    </row>
    <row r="34262" ht="15.75" customHeight="1">
      <c r="A34262" s="7"/>
      <c r="B34262" s="7"/>
      <c r="M34262" s="9" t="s">
        <v>26</v>
      </c>
    </row>
    <row r="34263" ht="15.75" customHeight="1">
      <c r="A34263" s="7"/>
      <c r="B34263" s="7"/>
      <c r="M34263" s="9" t="s">
        <v>24</v>
      </c>
    </row>
    <row r="34264" ht="15.75" customHeight="1">
      <c r="A34264" s="7"/>
      <c r="B34264" s="7"/>
      <c r="M34264" s="9" t="s">
        <v>21</v>
      </c>
    </row>
    <row r="34265" ht="15.75" customHeight="1">
      <c r="A34265" s="7"/>
      <c r="B34265" s="7"/>
      <c r="M34265" s="9" t="s">
        <v>22</v>
      </c>
    </row>
    <row r="34266" ht="15.75" customHeight="1">
      <c r="A34266" s="7"/>
      <c r="B34266" s="7"/>
      <c r="M34266" s="9" t="s">
        <v>29</v>
      </c>
    </row>
    <row r="34267" ht="15.75" customHeight="1">
      <c r="A34267" s="7"/>
      <c r="B34267" s="7"/>
      <c r="M34267" s="9" t="s">
        <v>27</v>
      </c>
    </row>
    <row r="34268" ht="15.75" customHeight="1">
      <c r="A34268" s="7"/>
      <c r="B34268" s="7"/>
      <c r="M34268" s="9" t="s">
        <v>33</v>
      </c>
    </row>
    <row r="34269" ht="15.75" customHeight="1">
      <c r="A34269" s="7"/>
      <c r="B34269" s="7"/>
      <c r="M34269" s="9" t="s">
        <v>30</v>
      </c>
    </row>
    <row r="34270" ht="15.75" customHeight="1">
      <c r="A34270" s="7"/>
      <c r="B34270" s="7"/>
      <c r="M34270" s="9" t="s">
        <v>25</v>
      </c>
    </row>
    <row r="34271" ht="15.75" customHeight="1">
      <c r="A34271" s="7"/>
      <c r="B34271" s="7"/>
      <c r="M34271" s="9" t="s">
        <v>24</v>
      </c>
    </row>
    <row r="34272" ht="15.75" customHeight="1">
      <c r="A34272" s="7"/>
      <c r="B34272" s="7"/>
      <c r="M34272" s="9" t="s">
        <v>20</v>
      </c>
    </row>
    <row r="34273" ht="15.75" customHeight="1">
      <c r="A34273" s="7"/>
      <c r="B34273" s="7"/>
      <c r="M34273" s="9" t="s">
        <v>21</v>
      </c>
    </row>
    <row r="34274" ht="15.75" customHeight="1">
      <c r="A34274" s="7"/>
      <c r="B34274" s="7"/>
      <c r="M34274" s="9" t="s">
        <v>22</v>
      </c>
    </row>
    <row r="34275" ht="15.75" customHeight="1">
      <c r="A34275" s="7"/>
      <c r="B34275" s="7"/>
      <c r="M34275" s="9" t="s">
        <v>27</v>
      </c>
    </row>
    <row r="34276" ht="15.75" customHeight="1">
      <c r="A34276" s="7"/>
      <c r="B34276" s="7"/>
      <c r="M34276" s="9" t="s">
        <v>30</v>
      </c>
    </row>
    <row r="34277" ht="15.75" customHeight="1">
      <c r="A34277" s="7"/>
      <c r="B34277" s="7"/>
      <c r="M34277" s="9" t="s">
        <v>20</v>
      </c>
    </row>
    <row r="34278" ht="15.75" customHeight="1">
      <c r="A34278" s="7"/>
      <c r="B34278" s="7"/>
      <c r="M34278" s="9" t="s">
        <v>27</v>
      </c>
    </row>
    <row r="34279" ht="15.75" customHeight="1">
      <c r="A34279" s="7"/>
      <c r="B34279" s="7"/>
      <c r="M34279" s="9" t="s">
        <v>23</v>
      </c>
    </row>
    <row r="34280" ht="15.75" customHeight="1">
      <c r="A34280" s="7"/>
      <c r="B34280" s="7"/>
      <c r="M34280" s="9" t="s">
        <v>26</v>
      </c>
    </row>
    <row r="34281" ht="15.75" customHeight="1">
      <c r="A34281" s="7"/>
      <c r="B34281" s="7"/>
      <c r="M34281" s="9" t="s">
        <v>24</v>
      </c>
    </row>
    <row r="34282" ht="15.75" customHeight="1">
      <c r="A34282" s="7"/>
      <c r="B34282" s="7"/>
      <c r="M34282" s="9" t="s">
        <v>20</v>
      </c>
    </row>
    <row r="34283" ht="15.75" customHeight="1">
      <c r="A34283" s="7"/>
      <c r="B34283" s="7"/>
      <c r="M34283" s="9" t="s">
        <v>21</v>
      </c>
    </row>
    <row r="34284" ht="15.75" customHeight="1">
      <c r="A34284" s="7"/>
      <c r="B34284" s="7"/>
      <c r="M34284" s="9" t="s">
        <v>37</v>
      </c>
    </row>
    <row r="34285" ht="15.75" customHeight="1">
      <c r="A34285" s="7"/>
      <c r="B34285" s="7"/>
      <c r="M34285" s="9" t="s">
        <v>22</v>
      </c>
    </row>
    <row r="34286" ht="15.75" customHeight="1">
      <c r="A34286" s="7"/>
      <c r="B34286" s="7"/>
      <c r="M34286" s="9" t="s">
        <v>27</v>
      </c>
    </row>
    <row r="34287" ht="15.75" customHeight="1">
      <c r="A34287" s="7"/>
      <c r="B34287" s="7"/>
      <c r="M34287" s="9" t="s">
        <v>30</v>
      </c>
    </row>
    <row r="34288" ht="15.75" customHeight="1">
      <c r="A34288" s="7"/>
      <c r="B34288" s="7"/>
      <c r="M34288" s="9" t="s">
        <v>26</v>
      </c>
    </row>
    <row r="34289" ht="15.75" customHeight="1">
      <c r="A34289" s="7"/>
      <c r="B34289" s="7"/>
      <c r="M34289" s="9" t="s">
        <v>24</v>
      </c>
    </row>
    <row r="34290" ht="15.75" customHeight="1">
      <c r="A34290" s="7"/>
      <c r="B34290" s="7"/>
      <c r="M34290" s="9" t="s">
        <v>20</v>
      </c>
    </row>
    <row r="34291" ht="15.75" customHeight="1">
      <c r="A34291" s="7"/>
      <c r="B34291" s="7"/>
      <c r="M34291" s="9" t="s">
        <v>21</v>
      </c>
    </row>
    <row r="34292" ht="15.75" customHeight="1">
      <c r="A34292" s="7"/>
      <c r="B34292" s="7"/>
      <c r="M34292" s="9" t="s">
        <v>37</v>
      </c>
    </row>
    <row r="34293" ht="15.75" customHeight="1">
      <c r="A34293" s="7"/>
      <c r="B34293" s="7"/>
      <c r="M34293" s="9" t="s">
        <v>22</v>
      </c>
    </row>
    <row r="34294" ht="15.75" customHeight="1">
      <c r="A34294" s="7"/>
      <c r="B34294" s="7"/>
      <c r="M34294" s="9" t="s">
        <v>27</v>
      </c>
    </row>
    <row r="34295" ht="15.75" customHeight="1">
      <c r="A34295" s="7"/>
      <c r="B34295" s="7"/>
      <c r="M34295" s="9" t="s">
        <v>33</v>
      </c>
    </row>
    <row r="34296" ht="15.75" customHeight="1">
      <c r="A34296" s="7"/>
      <c r="B34296" s="7"/>
      <c r="M34296" s="9" t="s">
        <v>28</v>
      </c>
    </row>
    <row r="34297" ht="15.75" customHeight="1">
      <c r="A34297" s="7"/>
      <c r="B34297" s="7"/>
      <c r="M34297" s="9" t="s">
        <v>38</v>
      </c>
    </row>
    <row r="34298" ht="15.75" customHeight="1">
      <c r="A34298" s="7"/>
      <c r="B34298" s="7"/>
      <c r="M34298" s="9" t="s">
        <v>23</v>
      </c>
    </row>
    <row r="34299" ht="15.75" customHeight="1">
      <c r="A34299" s="7"/>
      <c r="B34299" s="7"/>
      <c r="M34299" s="9" t="s">
        <v>26</v>
      </c>
    </row>
    <row r="34300" ht="15.75" customHeight="1">
      <c r="A34300" s="7"/>
      <c r="B34300" s="7"/>
      <c r="M34300" s="9" t="s">
        <v>30</v>
      </c>
    </row>
    <row r="34301" ht="15.75" customHeight="1">
      <c r="A34301" s="7"/>
      <c r="B34301" s="7"/>
      <c r="M34301" s="9" t="s">
        <v>25</v>
      </c>
    </row>
    <row r="34302" ht="15.75" customHeight="1">
      <c r="A34302" s="7"/>
      <c r="B34302" s="7"/>
      <c r="M34302" s="9" t="s">
        <v>20</v>
      </c>
    </row>
    <row r="34303" ht="15.75" customHeight="1">
      <c r="A34303" s="7"/>
      <c r="B34303" s="7"/>
      <c r="M34303" s="9" t="s">
        <v>21</v>
      </c>
    </row>
    <row r="34304" ht="15.75" customHeight="1">
      <c r="A34304" s="7"/>
      <c r="B34304" s="7"/>
      <c r="M34304" s="9" t="s">
        <v>29</v>
      </c>
    </row>
    <row r="34305" ht="15.75" customHeight="1">
      <c r="A34305" s="7"/>
      <c r="B34305" s="7"/>
      <c r="M34305" s="9" t="s">
        <v>27</v>
      </c>
    </row>
    <row r="34306" ht="15.75" customHeight="1">
      <c r="A34306" s="7"/>
      <c r="B34306" s="7"/>
      <c r="M34306" s="9" t="s">
        <v>40</v>
      </c>
    </row>
    <row r="34307" ht="15.75" customHeight="1">
      <c r="A34307" s="7"/>
      <c r="B34307" s="7"/>
      <c r="M34307" s="9" t="s">
        <v>38</v>
      </c>
    </row>
    <row r="34308" ht="15.75" customHeight="1">
      <c r="A34308" s="7"/>
      <c r="B34308" s="7"/>
      <c r="M34308" s="9" t="s">
        <v>25</v>
      </c>
    </row>
    <row r="34309" ht="15.75" customHeight="1">
      <c r="A34309" s="7"/>
      <c r="B34309" s="7"/>
      <c r="M34309" s="9" t="s">
        <v>24</v>
      </c>
    </row>
    <row r="34310" ht="15.75" customHeight="1">
      <c r="A34310" s="7"/>
      <c r="B34310" s="7"/>
      <c r="M34310" s="9" t="s">
        <v>20</v>
      </c>
    </row>
    <row r="34311" ht="15.75" customHeight="1">
      <c r="A34311" s="7"/>
      <c r="B34311" s="7"/>
      <c r="M34311" s="9" t="s">
        <v>21</v>
      </c>
    </row>
    <row r="34312" ht="15.75" customHeight="1">
      <c r="A34312" s="7"/>
      <c r="B34312" s="7"/>
      <c r="M34312" s="9" t="s">
        <v>27</v>
      </c>
    </row>
    <row r="34313" ht="15.75" customHeight="1">
      <c r="A34313" s="7"/>
      <c r="B34313" s="7"/>
      <c r="M34313" s="9" t="s">
        <v>30</v>
      </c>
    </row>
    <row r="34314" ht="15.75" customHeight="1">
      <c r="A34314" s="7"/>
      <c r="B34314" s="7"/>
      <c r="M34314" s="9" t="s">
        <v>24</v>
      </c>
    </row>
    <row r="34315" ht="15.75" customHeight="1">
      <c r="A34315" s="7"/>
      <c r="B34315" s="7"/>
      <c r="M34315" s="9" t="s">
        <v>21</v>
      </c>
    </row>
    <row r="34316" ht="15.75" customHeight="1">
      <c r="A34316" s="7"/>
      <c r="B34316" s="7"/>
      <c r="M34316" s="9" t="s">
        <v>33</v>
      </c>
    </row>
    <row r="34317" ht="15.75" customHeight="1">
      <c r="A34317" s="7"/>
      <c r="B34317" s="7"/>
      <c r="M34317" s="9" t="s">
        <v>38</v>
      </c>
    </row>
    <row r="34318" ht="15.75" customHeight="1">
      <c r="A34318" s="7"/>
      <c r="B34318" s="7"/>
      <c r="M34318" s="9" t="s">
        <v>30</v>
      </c>
    </row>
    <row r="34319" ht="15.75" customHeight="1">
      <c r="A34319" s="7"/>
      <c r="B34319" s="7"/>
      <c r="M34319" s="9" t="s">
        <v>25</v>
      </c>
    </row>
    <row r="34320" ht="15.75" customHeight="1">
      <c r="A34320" s="7"/>
      <c r="B34320" s="7"/>
      <c r="M34320" s="9" t="s">
        <v>23</v>
      </c>
    </row>
    <row r="34321" ht="15.75" customHeight="1">
      <c r="A34321" s="7"/>
      <c r="B34321" s="7"/>
      <c r="M34321" s="9" t="s">
        <v>26</v>
      </c>
    </row>
    <row r="34322" ht="15.75" customHeight="1">
      <c r="A34322" s="7"/>
      <c r="B34322" s="7"/>
      <c r="M34322" s="9" t="s">
        <v>24</v>
      </c>
    </row>
    <row r="34323" ht="15.75" customHeight="1">
      <c r="A34323" s="7"/>
      <c r="B34323" s="7"/>
      <c r="M34323" s="9" t="s">
        <v>20</v>
      </c>
    </row>
    <row r="34324" ht="15.75" customHeight="1">
      <c r="A34324" s="7"/>
      <c r="B34324" s="7"/>
      <c r="M34324" s="9" t="s">
        <v>21</v>
      </c>
    </row>
    <row r="34325" ht="15.75" customHeight="1">
      <c r="A34325" s="7"/>
      <c r="B34325" s="7"/>
      <c r="M34325" s="9" t="s">
        <v>22</v>
      </c>
    </row>
    <row r="34326" ht="15.75" customHeight="1">
      <c r="A34326" s="7"/>
      <c r="B34326" s="7"/>
      <c r="M34326" s="9" t="s">
        <v>27</v>
      </c>
    </row>
    <row r="34327" ht="15.75" customHeight="1">
      <c r="A34327" s="7"/>
      <c r="B34327" s="7"/>
      <c r="M34327" s="9" t="s">
        <v>28</v>
      </c>
    </row>
    <row r="34328" ht="15.75" customHeight="1">
      <c r="A34328" s="7"/>
      <c r="B34328" s="7"/>
      <c r="M34328" s="9" t="s">
        <v>25</v>
      </c>
    </row>
    <row r="34329" ht="15.75" customHeight="1">
      <c r="A34329" s="7"/>
      <c r="B34329" s="7"/>
      <c r="M34329" s="9" t="s">
        <v>23</v>
      </c>
    </row>
    <row r="34330" ht="15.75" customHeight="1">
      <c r="A34330" s="7"/>
      <c r="B34330" s="7"/>
      <c r="M34330" s="9" t="s">
        <v>22</v>
      </c>
    </row>
    <row r="34331" ht="15.75" customHeight="1">
      <c r="A34331" s="7"/>
      <c r="B34331" s="7"/>
      <c r="M34331" s="9" t="s">
        <v>30</v>
      </c>
    </row>
    <row r="34332" ht="15.75" customHeight="1">
      <c r="A34332" s="7"/>
      <c r="B34332" s="7"/>
      <c r="M34332" s="9" t="s">
        <v>26</v>
      </c>
    </row>
    <row r="34333" ht="15.75" customHeight="1">
      <c r="A34333" s="7"/>
      <c r="B34333" s="7"/>
      <c r="M34333" s="9" t="s">
        <v>24</v>
      </c>
    </row>
    <row r="34334" ht="15.75" customHeight="1">
      <c r="A34334" s="7"/>
      <c r="B34334" s="7"/>
      <c r="M34334" s="9" t="s">
        <v>21</v>
      </c>
    </row>
    <row r="34335" ht="15.75" customHeight="1">
      <c r="A34335" s="7"/>
      <c r="B34335" s="7"/>
      <c r="M34335" s="9" t="s">
        <v>37</v>
      </c>
    </row>
    <row r="34336" ht="15.75" customHeight="1">
      <c r="A34336" s="7"/>
      <c r="B34336" s="7"/>
      <c r="M34336" s="9" t="s">
        <v>27</v>
      </c>
    </row>
    <row r="34337" ht="15.75" customHeight="1">
      <c r="A34337" s="7"/>
      <c r="B34337" s="7"/>
      <c r="M34337" s="9" t="s">
        <v>38</v>
      </c>
    </row>
    <row r="34338" ht="15.75" customHeight="1">
      <c r="A34338" s="7"/>
      <c r="B34338" s="7"/>
      <c r="M34338" s="9" t="s">
        <v>25</v>
      </c>
    </row>
    <row r="34339" ht="15.75" customHeight="1">
      <c r="A34339" s="7"/>
      <c r="B34339" s="7"/>
      <c r="M34339" s="9" t="s">
        <v>24</v>
      </c>
    </row>
    <row r="34340" ht="15.75" customHeight="1">
      <c r="A34340" s="7"/>
      <c r="B34340" s="7"/>
      <c r="M34340" s="9" t="s">
        <v>21</v>
      </c>
    </row>
    <row r="34341" ht="15.75" customHeight="1">
      <c r="A34341" s="7"/>
      <c r="B34341" s="7"/>
      <c r="M34341" s="9" t="s">
        <v>37</v>
      </c>
    </row>
    <row r="34342" ht="15.75" customHeight="1">
      <c r="A34342" s="7"/>
      <c r="B34342" s="7"/>
      <c r="M34342" s="9" t="s">
        <v>30</v>
      </c>
    </row>
    <row r="34343" ht="15.75" customHeight="1">
      <c r="A34343" s="7"/>
      <c r="B34343" s="7"/>
      <c r="M34343" s="9" t="s">
        <v>25</v>
      </c>
    </row>
    <row r="34344" ht="15.75" customHeight="1">
      <c r="A34344" s="7"/>
      <c r="B34344" s="7"/>
      <c r="M34344" s="9" t="s">
        <v>23</v>
      </c>
    </row>
    <row r="34345" ht="15.75" customHeight="1">
      <c r="A34345" s="7"/>
      <c r="B34345" s="7"/>
      <c r="M34345" s="9" t="s">
        <v>26</v>
      </c>
    </row>
    <row r="34346" ht="15.75" customHeight="1">
      <c r="A34346" s="7"/>
      <c r="B34346" s="7"/>
      <c r="M34346" s="9" t="s">
        <v>24</v>
      </c>
    </row>
    <row r="34347" ht="15.75" customHeight="1">
      <c r="A34347" s="7"/>
      <c r="B34347" s="7"/>
      <c r="M34347" s="9" t="s">
        <v>20</v>
      </c>
    </row>
    <row r="34348" ht="15.75" customHeight="1">
      <c r="A34348" s="7"/>
      <c r="B34348" s="7"/>
      <c r="M34348" s="9" t="s">
        <v>21</v>
      </c>
    </row>
    <row r="34349" ht="15.75" customHeight="1">
      <c r="A34349" s="7"/>
      <c r="B34349" s="7"/>
      <c r="M34349" s="9" t="s">
        <v>22</v>
      </c>
    </row>
    <row r="34350" ht="15.75" customHeight="1">
      <c r="A34350" s="7"/>
      <c r="B34350" s="7"/>
      <c r="M34350" s="9" t="s">
        <v>27</v>
      </c>
    </row>
    <row r="34351" ht="15.75" customHeight="1">
      <c r="A34351" s="7"/>
      <c r="B34351" s="7"/>
      <c r="M34351" s="9" t="s">
        <v>33</v>
      </c>
    </row>
    <row r="34352" ht="15.75" customHeight="1">
      <c r="A34352" s="7"/>
      <c r="B34352" s="7"/>
      <c r="M34352" s="9" t="s">
        <v>24</v>
      </c>
    </row>
    <row r="34353" ht="15.75" customHeight="1">
      <c r="A34353" s="7"/>
      <c r="B34353" s="7"/>
      <c r="M34353" s="9" t="s">
        <v>21</v>
      </c>
    </row>
    <row r="34354" ht="15.75" customHeight="1">
      <c r="A34354" s="7"/>
      <c r="B34354" s="7"/>
      <c r="M34354" s="9" t="s">
        <v>30</v>
      </c>
    </row>
    <row r="34355" ht="15.75" customHeight="1">
      <c r="A34355" s="7"/>
      <c r="B34355" s="7"/>
      <c r="M34355" s="9" t="s">
        <v>24</v>
      </c>
    </row>
    <row r="34356" ht="15.75" customHeight="1">
      <c r="A34356" s="7"/>
      <c r="B34356" s="7"/>
      <c r="M34356" s="9" t="s">
        <v>20</v>
      </c>
    </row>
    <row r="34357" ht="15.75" customHeight="1">
      <c r="A34357" s="7"/>
      <c r="B34357" s="7"/>
      <c r="M34357" s="9" t="s">
        <v>21</v>
      </c>
    </row>
    <row r="34358" ht="15.75" customHeight="1">
      <c r="A34358" s="7"/>
      <c r="B34358" s="7"/>
      <c r="M34358" s="9" t="s">
        <v>39</v>
      </c>
    </row>
    <row r="34359" ht="15.75" customHeight="1">
      <c r="A34359" s="7"/>
      <c r="B34359" s="7"/>
      <c r="M34359" s="9" t="s">
        <v>37</v>
      </c>
    </row>
    <row r="34360" ht="15.75" customHeight="1">
      <c r="A34360" s="7"/>
      <c r="B34360" s="7"/>
      <c r="M34360" s="9" t="s">
        <v>22</v>
      </c>
    </row>
    <row r="34361" ht="15.75" customHeight="1">
      <c r="A34361" s="7"/>
      <c r="B34361" s="7"/>
      <c r="M34361" s="9" t="s">
        <v>27</v>
      </c>
    </row>
    <row r="34362" ht="15.75" customHeight="1">
      <c r="A34362" s="7"/>
      <c r="B34362" s="7"/>
      <c r="M34362" s="9" t="s">
        <v>33</v>
      </c>
    </row>
    <row r="34363" ht="15.75" customHeight="1">
      <c r="A34363" s="7"/>
      <c r="B34363" s="7"/>
      <c r="M34363" s="9" t="s">
        <v>30</v>
      </c>
    </row>
    <row r="34364" ht="15.75" customHeight="1">
      <c r="A34364" s="7"/>
      <c r="B34364" s="7"/>
      <c r="M34364" s="9" t="s">
        <v>24</v>
      </c>
    </row>
    <row r="34365" ht="15.75" customHeight="1">
      <c r="A34365" s="7"/>
      <c r="B34365" s="7"/>
      <c r="M34365" s="9" t="s">
        <v>21</v>
      </c>
    </row>
    <row r="34366" ht="15.75" customHeight="1">
      <c r="A34366" s="7"/>
      <c r="B34366" s="7"/>
      <c r="M34366" s="9" t="s">
        <v>37</v>
      </c>
    </row>
    <row r="34367" ht="15.75" customHeight="1">
      <c r="A34367" s="7"/>
      <c r="B34367" s="7"/>
      <c r="M34367" s="9" t="s">
        <v>27</v>
      </c>
    </row>
    <row r="34368" ht="15.75" customHeight="1">
      <c r="A34368" s="7"/>
      <c r="B34368" s="7"/>
      <c r="M34368" s="9" t="s">
        <v>24</v>
      </c>
    </row>
    <row r="34369" ht="15.75" customHeight="1">
      <c r="A34369" s="7"/>
      <c r="B34369" s="7"/>
      <c r="M34369" s="9" t="s">
        <v>20</v>
      </c>
    </row>
    <row r="34370" ht="15.75" customHeight="1">
      <c r="A34370" s="7"/>
      <c r="B34370" s="7"/>
      <c r="M34370" s="9" t="s">
        <v>21</v>
      </c>
    </row>
    <row r="34371" ht="15.75" customHeight="1">
      <c r="A34371" s="7"/>
      <c r="B34371" s="7"/>
      <c r="M34371" s="9" t="s">
        <v>25</v>
      </c>
    </row>
    <row r="34372" ht="15.75" customHeight="1">
      <c r="A34372" s="7"/>
      <c r="B34372" s="7"/>
      <c r="M34372" s="9" t="s">
        <v>27</v>
      </c>
    </row>
    <row r="34373" ht="15.75" customHeight="1">
      <c r="A34373" s="7"/>
      <c r="B34373" s="7"/>
      <c r="M34373" s="9" t="s">
        <v>35</v>
      </c>
    </row>
    <row r="34374" ht="15.75" customHeight="1">
      <c r="A34374" s="7"/>
      <c r="B34374" s="7"/>
      <c r="M34374" s="9" t="s">
        <v>30</v>
      </c>
    </row>
    <row r="34375" ht="15.75" customHeight="1">
      <c r="A34375" s="7"/>
      <c r="B34375" s="7"/>
      <c r="M34375" s="9" t="s">
        <v>23</v>
      </c>
    </row>
    <row r="34376" ht="15.75" customHeight="1">
      <c r="A34376" s="7"/>
      <c r="B34376" s="7"/>
      <c r="M34376" s="9" t="s">
        <v>26</v>
      </c>
    </row>
    <row r="34377" ht="15.75" customHeight="1">
      <c r="A34377" s="7"/>
      <c r="B34377" s="7"/>
      <c r="M34377" s="9" t="s">
        <v>36</v>
      </c>
    </row>
    <row r="34378" ht="15.75" customHeight="1">
      <c r="A34378" s="7"/>
      <c r="B34378" s="7"/>
      <c r="M34378" s="9" t="s">
        <v>21</v>
      </c>
    </row>
    <row r="34379" ht="15.75" customHeight="1">
      <c r="A34379" s="7"/>
      <c r="B34379" s="7"/>
      <c r="M34379" s="9" t="s">
        <v>32</v>
      </c>
    </row>
    <row r="34380" ht="15.75" customHeight="1">
      <c r="A34380" s="7"/>
      <c r="B34380" s="7"/>
      <c r="M34380" s="9" t="s">
        <v>27</v>
      </c>
    </row>
    <row r="34381" ht="15.75" customHeight="1">
      <c r="A34381" s="7"/>
      <c r="B34381" s="7"/>
      <c r="M34381" s="9" t="s">
        <v>21</v>
      </c>
    </row>
    <row r="34382" ht="15.75" customHeight="1">
      <c r="A34382" s="7"/>
      <c r="B34382" s="7"/>
      <c r="M34382" s="9" t="s">
        <v>22</v>
      </c>
    </row>
    <row r="34383" ht="15.75" customHeight="1">
      <c r="A34383" s="7"/>
      <c r="B34383" s="7"/>
      <c r="M34383" s="9" t="s">
        <v>31</v>
      </c>
    </row>
    <row r="34384" ht="15.75" customHeight="1">
      <c r="A34384" s="7"/>
      <c r="B34384" s="7"/>
      <c r="M34384" s="9" t="s">
        <v>40</v>
      </c>
    </row>
    <row r="34385" ht="15.75" customHeight="1">
      <c r="A34385" s="7"/>
      <c r="B34385" s="7"/>
      <c r="M34385" s="9" t="s">
        <v>30</v>
      </c>
    </row>
    <row r="34386" ht="15.75" customHeight="1">
      <c r="A34386" s="7"/>
      <c r="B34386" s="7"/>
      <c r="M34386" s="9" t="s">
        <v>24</v>
      </c>
    </row>
    <row r="34387" ht="15.75" customHeight="1">
      <c r="A34387" s="7"/>
      <c r="B34387" s="7"/>
      <c r="M34387" s="9" t="s">
        <v>21</v>
      </c>
    </row>
    <row r="34388" ht="15.75" customHeight="1">
      <c r="A34388" s="7"/>
      <c r="B34388" s="7"/>
      <c r="M34388" s="9" t="s">
        <v>37</v>
      </c>
    </row>
    <row r="34389" ht="15.75" customHeight="1">
      <c r="A34389" s="7"/>
      <c r="B34389" s="7"/>
      <c r="M34389" s="9" t="s">
        <v>22</v>
      </c>
    </row>
    <row r="34390" ht="15.75" customHeight="1">
      <c r="A34390" s="7"/>
      <c r="B34390" s="7"/>
      <c r="M34390" s="9" t="s">
        <v>27</v>
      </c>
    </row>
    <row r="34391" ht="15.75" customHeight="1">
      <c r="A34391" s="7"/>
      <c r="B34391" s="7"/>
      <c r="M34391" s="9" t="s">
        <v>33</v>
      </c>
    </row>
    <row r="34392" ht="15.75" customHeight="1">
      <c r="A34392" s="7"/>
      <c r="B34392" s="7"/>
      <c r="M34392" s="9" t="s">
        <v>22</v>
      </c>
    </row>
    <row r="34393" ht="15.75" customHeight="1">
      <c r="A34393" s="7"/>
      <c r="B34393" s="7"/>
      <c r="M34393" s="9" t="s">
        <v>27</v>
      </c>
    </row>
    <row r="34394" ht="15.75" customHeight="1">
      <c r="A34394" s="7"/>
      <c r="B34394" s="7"/>
      <c r="M34394" s="9" t="s">
        <v>35</v>
      </c>
    </row>
    <row r="34395" ht="15.75" customHeight="1">
      <c r="A34395" s="7"/>
      <c r="B34395" s="7"/>
      <c r="M34395" s="9" t="s">
        <v>38</v>
      </c>
    </row>
    <row r="34396" ht="15.75" customHeight="1">
      <c r="A34396" s="7"/>
      <c r="B34396" s="7"/>
      <c r="M34396" s="9" t="s">
        <v>30</v>
      </c>
    </row>
    <row r="34397" ht="15.75" customHeight="1">
      <c r="A34397" s="7"/>
      <c r="B34397" s="7"/>
      <c r="M34397" s="9" t="s">
        <v>25</v>
      </c>
    </row>
    <row r="34398" ht="15.75" customHeight="1">
      <c r="A34398" s="7"/>
      <c r="B34398" s="7"/>
      <c r="M34398" s="9" t="s">
        <v>23</v>
      </c>
    </row>
    <row r="34399" ht="15.75" customHeight="1">
      <c r="A34399" s="7"/>
      <c r="B34399" s="7"/>
      <c r="M34399" s="9" t="s">
        <v>26</v>
      </c>
    </row>
    <row r="34400" ht="15.75" customHeight="1">
      <c r="A34400" s="7"/>
      <c r="B34400" s="7"/>
      <c r="M34400" s="9" t="s">
        <v>24</v>
      </c>
    </row>
    <row r="34401" ht="15.75" customHeight="1">
      <c r="A34401" s="7"/>
      <c r="B34401" s="7"/>
      <c r="M34401" s="9" t="s">
        <v>20</v>
      </c>
    </row>
    <row r="34402" ht="15.75" customHeight="1">
      <c r="A34402" s="7"/>
      <c r="B34402" s="7"/>
      <c r="M34402" s="9" t="s">
        <v>21</v>
      </c>
    </row>
    <row r="34403" ht="15.75" customHeight="1">
      <c r="A34403" s="7"/>
      <c r="B34403" s="7"/>
      <c r="M34403" s="9" t="s">
        <v>37</v>
      </c>
    </row>
    <row r="34404" ht="15.75" customHeight="1">
      <c r="A34404" s="7"/>
      <c r="B34404" s="7"/>
      <c r="M34404" s="9" t="s">
        <v>22</v>
      </c>
    </row>
    <row r="34405" ht="15.75" customHeight="1">
      <c r="A34405" s="7"/>
      <c r="B34405" s="7"/>
      <c r="M34405" s="9" t="s">
        <v>27</v>
      </c>
    </row>
    <row r="34406" ht="15.75" customHeight="1">
      <c r="A34406" s="7"/>
      <c r="B34406" s="7"/>
      <c r="M34406" s="9" t="s">
        <v>28</v>
      </c>
    </row>
    <row r="34407" ht="15.75" customHeight="1">
      <c r="A34407" s="7"/>
      <c r="B34407" s="7"/>
      <c r="M34407" s="9" t="s">
        <v>35</v>
      </c>
    </row>
    <row r="34408" ht="15.75" customHeight="1">
      <c r="A34408" s="7"/>
      <c r="B34408" s="7"/>
      <c r="M34408" s="9" t="s">
        <v>20</v>
      </c>
    </row>
    <row r="34409" ht="15.75" customHeight="1">
      <c r="A34409" s="7"/>
      <c r="B34409" s="7"/>
      <c r="M34409" s="9" t="s">
        <v>42</v>
      </c>
    </row>
    <row r="34410" ht="15.75" customHeight="1">
      <c r="A34410" s="7"/>
      <c r="B34410" s="7"/>
      <c r="M34410" s="9" t="s">
        <v>24</v>
      </c>
    </row>
    <row r="34411" ht="15.75" customHeight="1">
      <c r="A34411" s="7"/>
      <c r="B34411" s="7"/>
      <c r="M34411" s="9" t="s">
        <v>21</v>
      </c>
    </row>
    <row r="34412" ht="15.75" customHeight="1">
      <c r="A34412" s="7"/>
      <c r="B34412" s="7"/>
      <c r="M34412" s="9" t="s">
        <v>27</v>
      </c>
    </row>
    <row r="34413" ht="15.75" customHeight="1">
      <c r="A34413" s="7"/>
      <c r="B34413" s="7"/>
      <c r="M34413" s="9" t="s">
        <v>41</v>
      </c>
    </row>
    <row r="34414" ht="15.75" customHeight="1">
      <c r="A34414" s="7"/>
      <c r="B34414" s="7"/>
      <c r="M34414" s="9" t="s">
        <v>40</v>
      </c>
    </row>
    <row r="34415" ht="15.75" customHeight="1">
      <c r="A34415" s="7"/>
      <c r="B34415" s="7"/>
      <c r="M34415" s="9" t="s">
        <v>30</v>
      </c>
    </row>
    <row r="34416" ht="15.75" customHeight="1">
      <c r="A34416" s="7"/>
      <c r="B34416" s="7"/>
      <c r="M34416" s="9" t="s">
        <v>36</v>
      </c>
    </row>
    <row r="34417" ht="15.75" customHeight="1">
      <c r="A34417" s="7"/>
      <c r="B34417" s="7"/>
      <c r="M34417" s="9" t="s">
        <v>24</v>
      </c>
    </row>
    <row r="34418" ht="15.75" customHeight="1">
      <c r="A34418" s="7"/>
      <c r="B34418" s="7"/>
      <c r="M34418" s="9" t="s">
        <v>21</v>
      </c>
    </row>
    <row r="34419" ht="15.75" customHeight="1">
      <c r="A34419" s="7"/>
      <c r="B34419" s="7"/>
      <c r="M34419" s="9" t="s">
        <v>34</v>
      </c>
    </row>
    <row r="34420" ht="15.75" customHeight="1">
      <c r="A34420" s="7"/>
      <c r="B34420" s="7"/>
      <c r="M34420" s="9" t="s">
        <v>23</v>
      </c>
    </row>
    <row r="34421" ht="15.75" customHeight="1">
      <c r="A34421" s="7"/>
      <c r="B34421" s="7"/>
      <c r="M34421" s="9" t="s">
        <v>26</v>
      </c>
    </row>
    <row r="34422" ht="15.75" customHeight="1">
      <c r="A34422" s="7"/>
      <c r="B34422" s="7"/>
      <c r="M34422" s="9" t="s">
        <v>21</v>
      </c>
    </row>
    <row r="34423" ht="15.75" customHeight="1">
      <c r="A34423" s="7"/>
      <c r="B34423" s="7"/>
      <c r="M34423" s="9" t="s">
        <v>30</v>
      </c>
    </row>
    <row r="34424" ht="15.75" customHeight="1">
      <c r="A34424" s="7"/>
      <c r="B34424" s="7"/>
      <c r="M34424" s="9" t="s">
        <v>36</v>
      </c>
    </row>
    <row r="34425" ht="15.75" customHeight="1">
      <c r="A34425" s="7"/>
      <c r="B34425" s="7"/>
      <c r="M34425" s="9" t="s">
        <v>20</v>
      </c>
    </row>
    <row r="34426" ht="15.75" customHeight="1">
      <c r="A34426" s="7"/>
      <c r="B34426" s="7"/>
      <c r="M34426" s="9" t="s">
        <v>21</v>
      </c>
    </row>
    <row r="34427" ht="15.75" customHeight="1">
      <c r="A34427" s="7"/>
      <c r="B34427" s="7"/>
      <c r="M34427" s="9" t="s">
        <v>22</v>
      </c>
    </row>
    <row r="34428" ht="15.75" customHeight="1">
      <c r="A34428" s="7"/>
      <c r="B34428" s="7"/>
      <c r="M34428" s="9" t="s">
        <v>27</v>
      </c>
    </row>
    <row r="34429" ht="15.75" customHeight="1">
      <c r="A34429" s="7"/>
      <c r="B34429" s="7"/>
      <c r="M34429" s="9" t="s">
        <v>33</v>
      </c>
    </row>
    <row r="34430" ht="15.75" customHeight="1">
      <c r="A34430" s="7"/>
      <c r="B34430" s="7"/>
      <c r="M34430" s="9" t="s">
        <v>21</v>
      </c>
    </row>
    <row r="34431" ht="15.75" customHeight="1">
      <c r="A34431" s="7"/>
      <c r="B34431" s="7"/>
      <c r="M34431" s="9" t="s">
        <v>37</v>
      </c>
    </row>
    <row r="34432" ht="15.75" customHeight="1">
      <c r="A34432" s="7"/>
      <c r="B34432" s="7"/>
      <c r="M34432" s="9" t="s">
        <v>22</v>
      </c>
    </row>
    <row r="34433" ht="15.75" customHeight="1">
      <c r="A34433" s="7"/>
      <c r="B34433" s="7"/>
      <c r="M34433" s="9" t="s">
        <v>27</v>
      </c>
    </row>
    <row r="34434" ht="15.75" customHeight="1">
      <c r="A34434" s="7"/>
      <c r="B34434" s="7"/>
      <c r="M34434" s="9" t="s">
        <v>33</v>
      </c>
    </row>
    <row r="34435" ht="15.75" customHeight="1">
      <c r="A34435" s="7"/>
      <c r="B34435" s="7"/>
      <c r="M34435" s="9" t="s">
        <v>38</v>
      </c>
    </row>
    <row r="34436" ht="15.75" customHeight="1">
      <c r="A34436" s="7"/>
      <c r="B34436" s="7"/>
      <c r="M34436" s="9" t="s">
        <v>30</v>
      </c>
    </row>
    <row r="34437" ht="15.75" customHeight="1">
      <c r="A34437" s="7"/>
      <c r="B34437" s="7"/>
      <c r="M34437" s="9" t="s">
        <v>25</v>
      </c>
    </row>
    <row r="34438" ht="15.75" customHeight="1">
      <c r="A34438" s="7"/>
      <c r="B34438" s="7"/>
      <c r="M34438" s="9" t="s">
        <v>23</v>
      </c>
    </row>
    <row r="34439" ht="15.75" customHeight="1">
      <c r="A34439" s="7"/>
      <c r="B34439" s="7"/>
      <c r="M34439" s="9" t="s">
        <v>26</v>
      </c>
    </row>
    <row r="34440" ht="15.75" customHeight="1">
      <c r="A34440" s="7"/>
      <c r="B34440" s="7"/>
      <c r="M34440" s="9" t="s">
        <v>24</v>
      </c>
    </row>
    <row r="34441" ht="15.75" customHeight="1">
      <c r="A34441" s="7"/>
      <c r="B34441" s="7"/>
      <c r="M34441" s="9" t="s">
        <v>20</v>
      </c>
    </row>
    <row r="34442" ht="15.75" customHeight="1">
      <c r="A34442" s="7"/>
      <c r="B34442" s="7"/>
      <c r="M34442" s="9" t="s">
        <v>27</v>
      </c>
    </row>
    <row r="34443" ht="15.75" customHeight="1">
      <c r="A34443" s="7"/>
      <c r="B34443" s="7"/>
      <c r="M34443" s="9" t="s">
        <v>23</v>
      </c>
    </row>
    <row r="34444" ht="15.75" customHeight="1">
      <c r="A34444" s="7"/>
      <c r="B34444" s="7"/>
      <c r="M34444" s="9" t="s">
        <v>42</v>
      </c>
    </row>
    <row r="34445" ht="15.75" customHeight="1">
      <c r="A34445" s="7"/>
      <c r="B34445" s="7"/>
      <c r="M34445" s="9" t="s">
        <v>24</v>
      </c>
    </row>
    <row r="34446" ht="15.75" customHeight="1">
      <c r="A34446" s="7"/>
      <c r="B34446" s="7"/>
      <c r="M34446" s="9" t="s">
        <v>20</v>
      </c>
    </row>
    <row r="34447" ht="15.75" customHeight="1">
      <c r="A34447" s="7"/>
      <c r="B34447" s="7"/>
      <c r="M34447" s="9" t="s">
        <v>21</v>
      </c>
    </row>
    <row r="34448" ht="15.75" customHeight="1">
      <c r="A34448" s="7"/>
      <c r="B34448" s="7"/>
      <c r="M34448" s="9" t="s">
        <v>39</v>
      </c>
    </row>
    <row r="34449" ht="15.75" customHeight="1">
      <c r="A34449" s="7"/>
      <c r="B34449" s="7"/>
      <c r="M34449" s="9" t="s">
        <v>22</v>
      </c>
    </row>
    <row r="34450" ht="15.75" customHeight="1">
      <c r="A34450" s="7"/>
      <c r="B34450" s="7"/>
      <c r="M34450" s="9" t="s">
        <v>31</v>
      </c>
    </row>
    <row r="34451" ht="15.75" customHeight="1">
      <c r="A34451" s="7"/>
      <c r="B34451" s="7"/>
      <c r="M34451" s="9" t="s">
        <v>27</v>
      </c>
    </row>
    <row r="34452" ht="15.75" customHeight="1">
      <c r="A34452" s="7"/>
      <c r="B34452" s="7"/>
      <c r="M34452" s="9" t="s">
        <v>33</v>
      </c>
    </row>
    <row r="34453" ht="15.75" customHeight="1">
      <c r="A34453" s="7"/>
      <c r="B34453" s="7"/>
      <c r="M34453" s="9" t="s">
        <v>25</v>
      </c>
    </row>
    <row r="34454" ht="15.75" customHeight="1">
      <c r="A34454" s="7"/>
      <c r="B34454" s="7"/>
      <c r="M34454" s="9" t="s">
        <v>20</v>
      </c>
    </row>
    <row r="34455" ht="15.75" customHeight="1">
      <c r="A34455" s="7"/>
      <c r="B34455" s="7"/>
      <c r="M34455" s="9" t="s">
        <v>31</v>
      </c>
    </row>
    <row r="34456" ht="15.75" customHeight="1">
      <c r="A34456" s="7"/>
      <c r="B34456" s="7"/>
      <c r="M34456" s="9" t="s">
        <v>37</v>
      </c>
    </row>
    <row r="34457" ht="15.75" customHeight="1">
      <c r="A34457" s="7"/>
      <c r="B34457" s="7"/>
      <c r="M34457" s="9" t="s">
        <v>27</v>
      </c>
    </row>
    <row r="34458" ht="15.75" customHeight="1">
      <c r="A34458" s="7"/>
      <c r="B34458" s="7"/>
      <c r="M34458" s="9" t="s">
        <v>30</v>
      </c>
    </row>
    <row r="34459" ht="15.75" customHeight="1">
      <c r="A34459" s="7"/>
      <c r="B34459" s="7"/>
      <c r="M34459" s="9" t="s">
        <v>24</v>
      </c>
    </row>
    <row r="34460" ht="15.75" customHeight="1">
      <c r="A34460" s="7"/>
      <c r="B34460" s="7"/>
      <c r="M34460" s="9" t="s">
        <v>21</v>
      </c>
    </row>
    <row r="34461" ht="15.75" customHeight="1">
      <c r="A34461" s="7"/>
      <c r="B34461" s="7"/>
      <c r="M34461" s="9" t="s">
        <v>22</v>
      </c>
    </row>
    <row r="34462" ht="15.75" customHeight="1">
      <c r="A34462" s="7"/>
      <c r="B34462" s="7"/>
      <c r="M34462" s="9" t="s">
        <v>22</v>
      </c>
    </row>
    <row r="34463" ht="15.75" customHeight="1">
      <c r="A34463" s="7"/>
      <c r="B34463" s="7"/>
      <c r="M34463" s="9" t="s">
        <v>46</v>
      </c>
    </row>
    <row r="34464" ht="15.75" customHeight="1">
      <c r="A34464" s="7"/>
      <c r="B34464" s="7"/>
      <c r="M34464" s="9" t="s">
        <v>20</v>
      </c>
    </row>
    <row r="34465" ht="15.75" customHeight="1">
      <c r="A34465" s="7"/>
      <c r="B34465" s="7"/>
      <c r="M34465" s="9" t="s">
        <v>46</v>
      </c>
    </row>
    <row r="34466" ht="15.75" customHeight="1">
      <c r="A34466" s="7"/>
      <c r="B34466" s="7"/>
      <c r="M34466" s="9" t="s">
        <v>30</v>
      </c>
    </row>
    <row r="34467" ht="15.75" customHeight="1">
      <c r="A34467" s="7"/>
      <c r="B34467" s="7"/>
      <c r="M34467" s="9" t="s">
        <v>24</v>
      </c>
    </row>
    <row r="34468" ht="15.75" customHeight="1">
      <c r="A34468" s="7"/>
      <c r="B34468" s="7"/>
      <c r="M34468" s="9" t="s">
        <v>21</v>
      </c>
    </row>
    <row r="34469" ht="15.75" customHeight="1">
      <c r="A34469" s="7"/>
      <c r="B34469" s="7"/>
      <c r="M34469" s="9" t="s">
        <v>35</v>
      </c>
    </row>
    <row r="34470" ht="15.75" customHeight="1">
      <c r="A34470" s="7"/>
      <c r="B34470" s="7"/>
      <c r="M34470" s="9" t="s">
        <v>26</v>
      </c>
    </row>
    <row r="34471" ht="15.75" customHeight="1">
      <c r="A34471" s="7"/>
      <c r="B34471" s="7"/>
      <c r="M34471" s="9" t="s">
        <v>24</v>
      </c>
    </row>
    <row r="34472" ht="15.75" customHeight="1">
      <c r="A34472" s="7"/>
      <c r="B34472" s="7"/>
      <c r="M34472" s="9" t="s">
        <v>21</v>
      </c>
    </row>
    <row r="34473" ht="15.75" customHeight="1">
      <c r="A34473" s="7"/>
      <c r="B34473" s="7"/>
      <c r="M34473" s="9" t="s">
        <v>27</v>
      </c>
    </row>
    <row r="34474" ht="15.75" customHeight="1">
      <c r="A34474" s="7"/>
      <c r="B34474" s="7"/>
      <c r="M34474" s="9" t="s">
        <v>33</v>
      </c>
    </row>
    <row r="34475" ht="15.75" customHeight="1">
      <c r="A34475" s="7"/>
      <c r="B34475" s="7"/>
      <c r="M34475" s="9" t="s">
        <v>28</v>
      </c>
    </row>
    <row r="34476" ht="15.75" customHeight="1">
      <c r="A34476" s="7"/>
      <c r="B34476" s="7"/>
      <c r="M34476" s="9" t="s">
        <v>30</v>
      </c>
    </row>
    <row r="34477" ht="15.75" customHeight="1">
      <c r="A34477" s="7"/>
      <c r="B34477" s="7"/>
      <c r="M34477" s="9" t="s">
        <v>36</v>
      </c>
    </row>
    <row r="34478" ht="15.75" customHeight="1">
      <c r="A34478" s="7"/>
      <c r="B34478" s="7"/>
      <c r="M34478" s="9" t="s">
        <v>24</v>
      </c>
    </row>
    <row r="34479" ht="15.75" customHeight="1">
      <c r="A34479" s="7"/>
      <c r="B34479" s="7"/>
      <c r="M34479" s="9" t="s">
        <v>20</v>
      </c>
    </row>
    <row r="34480" ht="15.75" customHeight="1">
      <c r="A34480" s="7"/>
      <c r="B34480" s="7"/>
      <c r="M34480" s="9" t="s">
        <v>21</v>
      </c>
    </row>
    <row r="34481" ht="15.75" customHeight="1">
      <c r="A34481" s="7"/>
      <c r="B34481" s="7"/>
      <c r="M34481" s="9" t="s">
        <v>37</v>
      </c>
    </row>
    <row r="34482" ht="15.75" customHeight="1">
      <c r="A34482" s="7"/>
      <c r="B34482" s="7"/>
      <c r="M34482" s="9" t="s">
        <v>27</v>
      </c>
    </row>
    <row r="34483" ht="15.75" customHeight="1">
      <c r="A34483" s="7"/>
      <c r="B34483" s="7"/>
      <c r="M34483" s="9" t="s">
        <v>25</v>
      </c>
    </row>
    <row r="34484" ht="15.75" customHeight="1">
      <c r="A34484" s="7"/>
      <c r="B34484" s="7"/>
      <c r="M34484" s="9" t="s">
        <v>23</v>
      </c>
    </row>
    <row r="34485" ht="15.75" customHeight="1">
      <c r="A34485" s="7"/>
      <c r="B34485" s="7"/>
      <c r="M34485" s="9" t="s">
        <v>26</v>
      </c>
    </row>
    <row r="34486" ht="15.75" customHeight="1">
      <c r="A34486" s="7"/>
      <c r="B34486" s="7"/>
      <c r="M34486" s="9" t="s">
        <v>24</v>
      </c>
    </row>
    <row r="34487" ht="15.75" customHeight="1">
      <c r="A34487" s="7"/>
      <c r="B34487" s="7"/>
      <c r="M34487" s="9" t="s">
        <v>21</v>
      </c>
    </row>
    <row r="34488" ht="15.75" customHeight="1">
      <c r="A34488" s="7"/>
      <c r="B34488" s="7"/>
      <c r="M34488" s="9" t="s">
        <v>37</v>
      </c>
    </row>
    <row r="34489" ht="15.75" customHeight="1">
      <c r="A34489" s="7"/>
      <c r="B34489" s="7"/>
      <c r="M34489" s="9" t="s">
        <v>27</v>
      </c>
    </row>
    <row r="34490" ht="15.75" customHeight="1">
      <c r="A34490" s="7"/>
      <c r="B34490" s="7"/>
      <c r="M34490" s="9" t="s">
        <v>38</v>
      </c>
    </row>
    <row r="34491" ht="15.75" customHeight="1">
      <c r="A34491" s="7"/>
      <c r="B34491" s="7"/>
      <c r="M34491" s="9" t="s">
        <v>25</v>
      </c>
    </row>
    <row r="34492" ht="15.75" customHeight="1">
      <c r="A34492" s="7"/>
      <c r="B34492" s="7"/>
      <c r="M34492" s="9" t="s">
        <v>23</v>
      </c>
    </row>
    <row r="34493" ht="15.75" customHeight="1">
      <c r="A34493" s="7"/>
      <c r="B34493" s="7"/>
      <c r="M34493" s="9" t="s">
        <v>26</v>
      </c>
    </row>
    <row r="34494" ht="15.75" customHeight="1">
      <c r="A34494" s="7"/>
      <c r="B34494" s="7"/>
      <c r="M34494" s="9" t="s">
        <v>24</v>
      </c>
    </row>
    <row r="34495" ht="15.75" customHeight="1">
      <c r="A34495" s="7"/>
      <c r="B34495" s="7"/>
      <c r="M34495" s="9" t="s">
        <v>20</v>
      </c>
    </row>
    <row r="34496" ht="15.75" customHeight="1">
      <c r="A34496" s="7"/>
      <c r="B34496" s="7"/>
      <c r="M34496" s="9" t="s">
        <v>21</v>
      </c>
    </row>
    <row r="34497" ht="15.75" customHeight="1">
      <c r="A34497" s="7"/>
      <c r="B34497" s="7"/>
      <c r="M34497" s="9" t="s">
        <v>37</v>
      </c>
    </row>
    <row r="34498" ht="15.75" customHeight="1">
      <c r="A34498" s="7"/>
      <c r="B34498" s="7"/>
      <c r="M34498" s="9" t="s">
        <v>27</v>
      </c>
    </row>
    <row r="34499" ht="15.75" customHeight="1">
      <c r="A34499" s="7"/>
      <c r="B34499" s="7"/>
      <c r="M34499" s="9" t="s">
        <v>24</v>
      </c>
    </row>
    <row r="34500" ht="15.75" customHeight="1">
      <c r="A34500" s="7"/>
      <c r="B34500" s="7"/>
      <c r="M34500" s="9" t="s">
        <v>20</v>
      </c>
    </row>
    <row r="34501" ht="15.75" customHeight="1">
      <c r="A34501" s="7"/>
      <c r="B34501" s="7"/>
      <c r="M34501" s="9" t="s">
        <v>21</v>
      </c>
    </row>
    <row r="34502" ht="15.75" customHeight="1">
      <c r="A34502" s="7"/>
      <c r="B34502" s="7"/>
      <c r="M34502" s="9" t="s">
        <v>22</v>
      </c>
    </row>
    <row r="34503" ht="15.75" customHeight="1">
      <c r="A34503" s="7"/>
      <c r="B34503" s="7"/>
      <c r="M34503" s="9" t="s">
        <v>27</v>
      </c>
    </row>
    <row r="34504" ht="15.75" customHeight="1">
      <c r="A34504" s="7"/>
      <c r="B34504" s="7"/>
      <c r="M34504" s="9" t="s">
        <v>33</v>
      </c>
    </row>
    <row r="34505" ht="15.75" customHeight="1">
      <c r="A34505" s="7"/>
      <c r="B34505" s="7"/>
      <c r="M34505" s="9" t="s">
        <v>21</v>
      </c>
    </row>
    <row r="34506" ht="15.75" customHeight="1">
      <c r="A34506" s="7"/>
      <c r="B34506" s="7"/>
      <c r="M34506" s="9" t="s">
        <v>31</v>
      </c>
    </row>
    <row r="34507" ht="15.75" customHeight="1">
      <c r="A34507" s="7"/>
      <c r="B34507" s="7"/>
      <c r="M34507" s="9" t="s">
        <v>30</v>
      </c>
    </row>
    <row r="34508" ht="15.75" customHeight="1">
      <c r="A34508" s="7"/>
      <c r="B34508" s="7"/>
      <c r="M34508" s="9" t="s">
        <v>25</v>
      </c>
    </row>
    <row r="34509" ht="15.75" customHeight="1">
      <c r="A34509" s="7"/>
      <c r="B34509" s="7"/>
      <c r="M34509" s="9" t="s">
        <v>23</v>
      </c>
    </row>
    <row r="34510" ht="15.75" customHeight="1">
      <c r="A34510" s="7"/>
      <c r="B34510" s="7"/>
      <c r="M34510" s="9" t="s">
        <v>24</v>
      </c>
    </row>
    <row r="34511" ht="15.75" customHeight="1">
      <c r="A34511" s="7"/>
      <c r="B34511" s="7"/>
      <c r="M34511" s="9" t="s">
        <v>21</v>
      </c>
    </row>
    <row r="34512" ht="15.75" customHeight="1">
      <c r="A34512" s="7"/>
      <c r="B34512" s="7"/>
      <c r="M34512" s="9" t="s">
        <v>37</v>
      </c>
    </row>
    <row r="34513" ht="15.75" customHeight="1">
      <c r="A34513" s="7"/>
      <c r="B34513" s="7"/>
      <c r="M34513" s="9" t="s">
        <v>22</v>
      </c>
    </row>
    <row r="34514" ht="15.75" customHeight="1">
      <c r="A34514" s="7"/>
      <c r="B34514" s="7"/>
      <c r="M34514" s="9" t="s">
        <v>31</v>
      </c>
    </row>
    <row r="34515" ht="15.75" customHeight="1">
      <c r="A34515" s="7"/>
      <c r="B34515" s="7"/>
      <c r="M34515" s="9" t="s">
        <v>27</v>
      </c>
    </row>
    <row r="34516" ht="15.75" customHeight="1">
      <c r="A34516" s="7"/>
      <c r="B34516" s="7"/>
      <c r="M34516" s="9" t="s">
        <v>40</v>
      </c>
    </row>
    <row r="34517" ht="15.75" customHeight="1">
      <c r="A34517" s="7"/>
      <c r="B34517" s="7"/>
      <c r="M34517" s="9" t="s">
        <v>33</v>
      </c>
    </row>
    <row r="34518" ht="15.75" customHeight="1">
      <c r="A34518" s="7"/>
      <c r="B34518" s="7"/>
      <c r="M34518" s="9" t="s">
        <v>35</v>
      </c>
    </row>
    <row r="34519" ht="15.75" customHeight="1">
      <c r="A34519" s="7"/>
      <c r="B34519" s="7"/>
      <c r="M34519" s="9" t="s">
        <v>26</v>
      </c>
    </row>
    <row r="34520" ht="15.75" customHeight="1">
      <c r="A34520" s="7"/>
      <c r="B34520" s="7"/>
      <c r="M34520" s="9" t="s">
        <v>26</v>
      </c>
    </row>
    <row r="34521" ht="15.75" customHeight="1">
      <c r="A34521" s="7"/>
      <c r="B34521" s="7"/>
      <c r="M34521" s="9" t="s">
        <v>24</v>
      </c>
    </row>
    <row r="34522" ht="15.75" customHeight="1">
      <c r="A34522" s="7"/>
      <c r="B34522" s="7"/>
      <c r="M34522" s="9" t="s">
        <v>21</v>
      </c>
    </row>
    <row r="34523" ht="15.75" customHeight="1">
      <c r="A34523" s="7"/>
      <c r="B34523" s="7"/>
      <c r="M34523" s="9" t="s">
        <v>33</v>
      </c>
    </row>
    <row r="34524" ht="15.75" customHeight="1">
      <c r="A34524" s="7"/>
      <c r="B34524" s="7"/>
      <c r="M34524" s="9" t="s">
        <v>30</v>
      </c>
    </row>
    <row r="34525" ht="15.75" customHeight="1">
      <c r="A34525" s="7"/>
      <c r="B34525" s="7"/>
      <c r="M34525" s="9" t="s">
        <v>24</v>
      </c>
    </row>
    <row r="34526" ht="15.75" customHeight="1">
      <c r="A34526" s="7"/>
      <c r="B34526" s="7"/>
      <c r="M34526" s="9" t="s">
        <v>21</v>
      </c>
    </row>
    <row r="34527" ht="15.75" customHeight="1">
      <c r="A34527" s="7"/>
      <c r="B34527" s="7"/>
      <c r="M34527" s="9" t="s">
        <v>37</v>
      </c>
    </row>
    <row r="34528" ht="15.75" customHeight="1">
      <c r="A34528" s="7"/>
      <c r="B34528" s="7"/>
      <c r="M34528" s="9" t="s">
        <v>27</v>
      </c>
    </row>
    <row r="34529" ht="15.75" customHeight="1">
      <c r="A34529" s="7"/>
      <c r="B34529" s="7"/>
      <c r="M34529" s="9" t="s">
        <v>20</v>
      </c>
    </row>
    <row r="34530" ht="15.75" customHeight="1">
      <c r="A34530" s="7"/>
      <c r="B34530" s="7"/>
      <c r="M34530" s="9" t="s">
        <v>21</v>
      </c>
    </row>
    <row r="34531" ht="15.75" customHeight="1">
      <c r="A34531" s="7"/>
      <c r="B34531" s="7"/>
      <c r="M34531" s="9" t="s">
        <v>27</v>
      </c>
    </row>
    <row r="34532" ht="15.75" customHeight="1">
      <c r="A34532" s="7"/>
      <c r="B34532" s="7"/>
      <c r="M34532" s="9" t="s">
        <v>23</v>
      </c>
    </row>
    <row r="34533" ht="15.75" customHeight="1">
      <c r="A34533" s="7"/>
      <c r="B34533" s="7"/>
      <c r="M34533" s="9" t="s">
        <v>24</v>
      </c>
    </row>
    <row r="34534" ht="15.75" customHeight="1">
      <c r="A34534" s="7"/>
      <c r="B34534" s="7"/>
      <c r="M34534" s="9" t="s">
        <v>20</v>
      </c>
    </row>
    <row r="34535" ht="15.75" customHeight="1">
      <c r="A34535" s="7"/>
      <c r="B34535" s="7"/>
      <c r="M34535" s="9" t="s">
        <v>21</v>
      </c>
    </row>
    <row r="34536" ht="15.75" customHeight="1">
      <c r="A34536" s="7"/>
      <c r="B34536" s="7"/>
      <c r="M34536" s="9" t="s">
        <v>41</v>
      </c>
    </row>
    <row r="34537" ht="15.75" customHeight="1">
      <c r="A34537" s="7"/>
      <c r="B34537" s="7"/>
      <c r="M34537" s="9" t="s">
        <v>22</v>
      </c>
    </row>
    <row r="34538" ht="15.75" customHeight="1">
      <c r="A34538" s="7"/>
      <c r="B34538" s="7"/>
      <c r="M34538" s="9" t="s">
        <v>31</v>
      </c>
    </row>
    <row r="34539" ht="15.75" customHeight="1">
      <c r="A34539" s="7"/>
      <c r="B34539" s="7"/>
      <c r="M34539" s="9" t="s">
        <v>40</v>
      </c>
    </row>
    <row r="34540" ht="15.75" customHeight="1">
      <c r="A34540" s="7"/>
      <c r="B34540" s="7"/>
      <c r="M34540" s="9" t="s">
        <v>33</v>
      </c>
    </row>
    <row r="34541" ht="15.75" customHeight="1">
      <c r="A34541" s="7"/>
      <c r="B34541" s="7"/>
      <c r="M34541" s="9" t="s">
        <v>26</v>
      </c>
    </row>
    <row r="34542" ht="15.75" customHeight="1">
      <c r="A34542" s="7"/>
      <c r="B34542" s="7"/>
      <c r="M34542" s="9" t="s">
        <v>45</v>
      </c>
    </row>
    <row r="34543" ht="15.75" customHeight="1">
      <c r="A34543" s="7"/>
      <c r="B34543" s="7"/>
      <c r="M34543" s="9" t="s">
        <v>24</v>
      </c>
    </row>
    <row r="34544" ht="15.75" customHeight="1">
      <c r="A34544" s="7"/>
      <c r="B34544" s="7"/>
      <c r="M34544" s="9" t="s">
        <v>21</v>
      </c>
    </row>
    <row r="34545" ht="15.75" customHeight="1">
      <c r="A34545" s="7"/>
      <c r="B34545" s="7"/>
      <c r="M34545" s="9" t="s">
        <v>27</v>
      </c>
    </row>
    <row r="34546" ht="15.75" customHeight="1">
      <c r="A34546" s="7"/>
      <c r="B34546" s="7"/>
      <c r="M34546" s="9" t="s">
        <v>33</v>
      </c>
    </row>
    <row r="34547" ht="15.75" customHeight="1">
      <c r="A34547" s="7"/>
      <c r="B34547" s="7"/>
      <c r="M34547" s="9" t="s">
        <v>30</v>
      </c>
    </row>
    <row r="34548" ht="15.75" customHeight="1">
      <c r="A34548" s="7"/>
      <c r="B34548" s="7"/>
      <c r="M34548" s="9" t="s">
        <v>26</v>
      </c>
    </row>
    <row r="34549" ht="15.75" customHeight="1">
      <c r="A34549" s="7"/>
      <c r="B34549" s="7"/>
      <c r="M34549" s="9" t="s">
        <v>22</v>
      </c>
    </row>
    <row r="34550" ht="15.75" customHeight="1">
      <c r="A34550" s="7"/>
      <c r="B34550" s="7"/>
      <c r="M34550" s="9" t="s">
        <v>22</v>
      </c>
    </row>
    <row r="34551" ht="15.75" customHeight="1">
      <c r="A34551" s="7"/>
      <c r="B34551" s="7"/>
      <c r="M34551" s="9" t="s">
        <v>29</v>
      </c>
    </row>
    <row r="34552" ht="15.75" customHeight="1">
      <c r="A34552" s="7"/>
      <c r="B34552" s="7"/>
      <c r="M34552" s="9" t="s">
        <v>27</v>
      </c>
    </row>
    <row r="34553" ht="15.75" customHeight="1">
      <c r="A34553" s="7"/>
      <c r="B34553" s="7"/>
      <c r="M34553" s="9" t="s">
        <v>26</v>
      </c>
    </row>
    <row r="34554" ht="15.75" customHeight="1">
      <c r="A34554" s="7"/>
      <c r="B34554" s="7"/>
      <c r="M34554" s="9" t="s">
        <v>24</v>
      </c>
    </row>
    <row r="34555" ht="15.75" customHeight="1">
      <c r="A34555" s="7"/>
      <c r="B34555" s="7"/>
      <c r="M34555" s="9" t="s">
        <v>21</v>
      </c>
    </row>
    <row r="34556" ht="15.75" customHeight="1">
      <c r="A34556" s="7"/>
      <c r="B34556" s="7"/>
      <c r="M34556" s="9" t="s">
        <v>37</v>
      </c>
    </row>
    <row r="34557" ht="15.75" customHeight="1">
      <c r="A34557" s="7"/>
      <c r="B34557" s="7"/>
      <c r="M34557" s="9" t="s">
        <v>27</v>
      </c>
    </row>
    <row r="34558" ht="15.75" customHeight="1">
      <c r="A34558" s="7"/>
      <c r="B34558" s="7"/>
      <c r="M34558" s="9" t="s">
        <v>36</v>
      </c>
    </row>
    <row r="34559" ht="15.75" customHeight="1">
      <c r="A34559" s="7"/>
      <c r="B34559" s="7"/>
      <c r="M34559" s="9" t="s">
        <v>24</v>
      </c>
    </row>
    <row r="34560" ht="15.75" customHeight="1">
      <c r="A34560" s="7"/>
      <c r="B34560" s="7"/>
      <c r="M34560" s="9" t="s">
        <v>21</v>
      </c>
    </row>
    <row r="34561" ht="15.75" customHeight="1">
      <c r="A34561" s="7"/>
      <c r="B34561" s="7"/>
      <c r="M34561" s="9" t="s">
        <v>22</v>
      </c>
    </row>
    <row r="34562" ht="15.75" customHeight="1">
      <c r="A34562" s="7"/>
      <c r="B34562" s="7"/>
      <c r="M34562" s="9" t="s">
        <v>32</v>
      </c>
    </row>
    <row r="34563" ht="15.75" customHeight="1">
      <c r="A34563" s="7"/>
      <c r="B34563" s="7"/>
      <c r="M34563" s="9" t="s">
        <v>34</v>
      </c>
    </row>
    <row r="34564" ht="15.75" customHeight="1">
      <c r="A34564" s="7"/>
      <c r="B34564" s="7"/>
      <c r="M34564" s="9" t="s">
        <v>26</v>
      </c>
    </row>
    <row r="34565" ht="15.75" customHeight="1">
      <c r="A34565" s="7"/>
      <c r="B34565" s="7"/>
      <c r="M34565" s="9" t="s">
        <v>21</v>
      </c>
    </row>
    <row r="34566" ht="15.75" customHeight="1">
      <c r="A34566" s="7"/>
      <c r="B34566" s="7"/>
      <c r="M34566" s="9" t="s">
        <v>26</v>
      </c>
    </row>
    <row r="34567" ht="15.75" customHeight="1">
      <c r="A34567" s="7"/>
      <c r="B34567" s="7"/>
      <c r="M34567" s="9" t="s">
        <v>24</v>
      </c>
    </row>
    <row r="34568" ht="15.75" customHeight="1">
      <c r="A34568" s="7"/>
      <c r="B34568" s="7"/>
      <c r="M34568" s="9" t="s">
        <v>21</v>
      </c>
    </row>
    <row r="34569" ht="15.75" customHeight="1">
      <c r="A34569" s="7"/>
      <c r="B34569" s="7"/>
      <c r="M34569" s="9" t="s">
        <v>27</v>
      </c>
    </row>
    <row r="34570" ht="15.75" customHeight="1">
      <c r="A34570" s="7"/>
      <c r="B34570" s="7"/>
      <c r="M34570" s="9" t="s">
        <v>30</v>
      </c>
    </row>
    <row r="34571" ht="15.75" customHeight="1">
      <c r="A34571" s="7"/>
      <c r="B34571" s="7"/>
      <c r="M34571" s="9" t="s">
        <v>37</v>
      </c>
    </row>
    <row r="34572" ht="15.75" customHeight="1">
      <c r="A34572" s="7"/>
      <c r="B34572" s="7"/>
      <c r="M34572" s="9" t="s">
        <v>30</v>
      </c>
    </row>
    <row r="34573" ht="15.75" customHeight="1">
      <c r="A34573" s="7"/>
      <c r="B34573" s="7"/>
      <c r="M34573" s="9" t="s">
        <v>47</v>
      </c>
    </row>
    <row r="34574" ht="15.75" customHeight="1">
      <c r="A34574" s="7"/>
      <c r="B34574" s="7"/>
      <c r="M34574" s="9" t="s">
        <v>24</v>
      </c>
    </row>
    <row r="34575" ht="15.75" customHeight="1">
      <c r="A34575" s="7"/>
      <c r="B34575" s="7"/>
      <c r="M34575" s="9" t="s">
        <v>21</v>
      </c>
    </row>
    <row r="34576" ht="15.75" customHeight="1">
      <c r="A34576" s="7"/>
      <c r="B34576" s="7"/>
      <c r="M34576" s="9" t="s">
        <v>37</v>
      </c>
    </row>
    <row r="34577" ht="15.75" customHeight="1">
      <c r="A34577" s="7"/>
      <c r="B34577" s="7"/>
      <c r="M34577" s="9" t="s">
        <v>27</v>
      </c>
    </row>
    <row r="34578" ht="15.75" customHeight="1">
      <c r="A34578" s="7"/>
      <c r="B34578" s="7"/>
      <c r="M34578" s="9" t="s">
        <v>23</v>
      </c>
    </row>
    <row r="34579" ht="15.75" customHeight="1">
      <c r="A34579" s="7"/>
      <c r="B34579" s="7"/>
      <c r="M34579" s="9" t="s">
        <v>26</v>
      </c>
    </row>
    <row r="34580" ht="15.75" customHeight="1">
      <c r="A34580" s="7"/>
      <c r="B34580" s="7"/>
      <c r="M34580" s="9" t="s">
        <v>27</v>
      </c>
    </row>
    <row r="34581" ht="15.75" customHeight="1">
      <c r="A34581" s="7"/>
      <c r="B34581" s="7"/>
      <c r="M34581" s="9" t="s">
        <v>28</v>
      </c>
    </row>
    <row r="34582" ht="15.75" customHeight="1">
      <c r="A34582" s="7"/>
      <c r="B34582" s="7"/>
      <c r="M34582" s="9" t="s">
        <v>30</v>
      </c>
    </row>
    <row r="34583" ht="15.75" customHeight="1">
      <c r="A34583" s="7"/>
      <c r="B34583" s="7"/>
      <c r="M34583" s="9" t="s">
        <v>25</v>
      </c>
    </row>
    <row r="34584" ht="15.75" customHeight="1">
      <c r="A34584" s="7"/>
      <c r="B34584" s="7"/>
      <c r="M34584" s="9" t="s">
        <v>26</v>
      </c>
    </row>
    <row r="34585" ht="15.75" customHeight="1">
      <c r="A34585" s="7"/>
      <c r="B34585" s="7"/>
      <c r="M34585" s="9" t="s">
        <v>24</v>
      </c>
    </row>
    <row r="34586" ht="15.75" customHeight="1">
      <c r="A34586" s="7"/>
      <c r="B34586" s="7"/>
      <c r="M34586" s="9" t="s">
        <v>20</v>
      </c>
    </row>
    <row r="34587" ht="15.75" customHeight="1">
      <c r="A34587" s="7"/>
      <c r="B34587" s="7"/>
      <c r="M34587" s="9" t="s">
        <v>21</v>
      </c>
    </row>
    <row r="34588" ht="15.75" customHeight="1">
      <c r="A34588" s="7"/>
      <c r="B34588" s="7"/>
      <c r="M34588" s="9" t="s">
        <v>37</v>
      </c>
    </row>
    <row r="34589" ht="15.75" customHeight="1">
      <c r="A34589" s="7"/>
      <c r="B34589" s="7"/>
      <c r="M34589" s="9" t="s">
        <v>22</v>
      </c>
    </row>
    <row r="34590" ht="15.75" customHeight="1">
      <c r="A34590" s="7"/>
      <c r="B34590" s="7"/>
      <c r="M34590" s="9" t="s">
        <v>27</v>
      </c>
    </row>
    <row r="34591" ht="15.75" customHeight="1">
      <c r="A34591" s="7"/>
      <c r="B34591" s="7"/>
      <c r="M34591" s="9" t="s">
        <v>30</v>
      </c>
    </row>
    <row r="34592" ht="15.75" customHeight="1">
      <c r="A34592" s="7"/>
      <c r="B34592" s="7"/>
      <c r="M34592" s="9" t="s">
        <v>25</v>
      </c>
    </row>
    <row r="34593" ht="15.75" customHeight="1">
      <c r="A34593" s="7"/>
      <c r="B34593" s="7"/>
      <c r="M34593" s="9" t="s">
        <v>23</v>
      </c>
    </row>
    <row r="34594" ht="15.75" customHeight="1">
      <c r="A34594" s="7"/>
      <c r="B34594" s="7"/>
      <c r="M34594" s="9" t="s">
        <v>26</v>
      </c>
    </row>
    <row r="34595" ht="15.75" customHeight="1">
      <c r="A34595" s="7"/>
      <c r="B34595" s="7"/>
      <c r="M34595" s="9" t="s">
        <v>24</v>
      </c>
    </row>
    <row r="34596" ht="15.75" customHeight="1">
      <c r="A34596" s="7"/>
      <c r="B34596" s="7"/>
      <c r="M34596" s="9" t="s">
        <v>20</v>
      </c>
    </row>
    <row r="34597" ht="15.75" customHeight="1">
      <c r="A34597" s="7"/>
      <c r="B34597" s="7"/>
      <c r="M34597" s="9" t="s">
        <v>21</v>
      </c>
    </row>
    <row r="34598" ht="15.75" customHeight="1">
      <c r="A34598" s="7"/>
      <c r="B34598" s="7"/>
      <c r="M34598" s="9" t="s">
        <v>22</v>
      </c>
    </row>
    <row r="34599" ht="15.75" customHeight="1">
      <c r="A34599" s="7"/>
      <c r="B34599" s="7"/>
      <c r="M34599" s="9" t="s">
        <v>27</v>
      </c>
    </row>
    <row r="34600" ht="15.75" customHeight="1">
      <c r="A34600" s="7"/>
      <c r="B34600" s="7"/>
      <c r="M34600" s="9" t="s">
        <v>33</v>
      </c>
    </row>
    <row r="34601" ht="15.75" customHeight="1">
      <c r="A34601" s="7"/>
      <c r="B34601" s="7"/>
      <c r="M34601" s="9" t="s">
        <v>30</v>
      </c>
    </row>
    <row r="34602" ht="15.75" customHeight="1">
      <c r="A34602" s="7"/>
      <c r="B34602" s="7"/>
      <c r="M34602" s="9" t="s">
        <v>24</v>
      </c>
    </row>
    <row r="34603" ht="15.75" customHeight="1">
      <c r="A34603" s="7"/>
      <c r="B34603" s="7"/>
      <c r="M34603" s="9" t="s">
        <v>21</v>
      </c>
    </row>
    <row r="34604" ht="15.75" customHeight="1">
      <c r="A34604" s="7"/>
      <c r="B34604" s="7"/>
      <c r="M34604" s="9" t="s">
        <v>37</v>
      </c>
    </row>
    <row r="34605" ht="15.75" customHeight="1">
      <c r="A34605" s="7"/>
      <c r="B34605" s="7"/>
      <c r="M34605" s="9" t="s">
        <v>27</v>
      </c>
    </row>
    <row r="34606" ht="15.75" customHeight="1">
      <c r="A34606" s="7"/>
      <c r="B34606" s="7"/>
      <c r="M34606" s="9" t="s">
        <v>30</v>
      </c>
    </row>
    <row r="34607" ht="15.75" customHeight="1">
      <c r="A34607" s="7"/>
      <c r="B34607" s="7"/>
      <c r="M34607" s="9" t="s">
        <v>36</v>
      </c>
    </row>
    <row r="34608" ht="15.75" customHeight="1">
      <c r="A34608" s="7"/>
      <c r="B34608" s="7"/>
      <c r="M34608" s="9" t="s">
        <v>24</v>
      </c>
    </row>
    <row r="34609" ht="15.75" customHeight="1">
      <c r="A34609" s="7"/>
      <c r="B34609" s="7"/>
      <c r="M34609" s="9" t="s">
        <v>21</v>
      </c>
    </row>
    <row r="34610" ht="15.75" customHeight="1">
      <c r="A34610" s="7"/>
      <c r="B34610" s="7"/>
      <c r="M34610" s="9" t="s">
        <v>37</v>
      </c>
    </row>
    <row r="34611" ht="15.75" customHeight="1">
      <c r="A34611" s="7"/>
      <c r="B34611" s="7"/>
      <c r="M34611" s="9" t="s">
        <v>27</v>
      </c>
    </row>
    <row r="34612" ht="15.75" customHeight="1">
      <c r="A34612" s="7"/>
      <c r="B34612" s="7"/>
      <c r="M34612" s="9" t="s">
        <v>30</v>
      </c>
    </row>
    <row r="34613" ht="15.75" customHeight="1">
      <c r="A34613" s="7"/>
      <c r="B34613" s="7"/>
      <c r="M34613" s="9" t="s">
        <v>25</v>
      </c>
    </row>
    <row r="34614" ht="15.75" customHeight="1">
      <c r="A34614" s="7"/>
      <c r="B34614" s="7"/>
      <c r="M34614" s="9" t="s">
        <v>23</v>
      </c>
    </row>
    <row r="34615" ht="15.75" customHeight="1">
      <c r="A34615" s="7"/>
      <c r="B34615" s="7"/>
      <c r="M34615" s="9" t="s">
        <v>26</v>
      </c>
    </row>
    <row r="34616" ht="15.75" customHeight="1">
      <c r="A34616" s="7"/>
      <c r="B34616" s="7"/>
      <c r="M34616" s="9" t="s">
        <v>42</v>
      </c>
    </row>
    <row r="34617" ht="15.75" customHeight="1">
      <c r="A34617" s="7"/>
      <c r="B34617" s="7"/>
      <c r="M34617" s="9" t="s">
        <v>43</v>
      </c>
    </row>
    <row r="34618" ht="15.75" customHeight="1">
      <c r="A34618" s="7"/>
      <c r="B34618" s="7"/>
      <c r="M34618" s="9" t="s">
        <v>36</v>
      </c>
    </row>
    <row r="34619" ht="15.75" customHeight="1">
      <c r="A34619" s="7"/>
      <c r="B34619" s="7"/>
      <c r="M34619" s="9" t="s">
        <v>24</v>
      </c>
    </row>
    <row r="34620" ht="15.75" customHeight="1">
      <c r="A34620" s="7"/>
      <c r="B34620" s="7"/>
      <c r="M34620" s="9" t="s">
        <v>20</v>
      </c>
    </row>
    <row r="34621" ht="15.75" customHeight="1">
      <c r="A34621" s="7"/>
      <c r="B34621" s="7"/>
      <c r="M34621" s="9" t="s">
        <v>21</v>
      </c>
    </row>
    <row r="34622" ht="15.75" customHeight="1">
      <c r="A34622" s="7"/>
      <c r="B34622" s="7"/>
      <c r="M34622" s="9" t="s">
        <v>39</v>
      </c>
    </row>
    <row r="34623" ht="15.75" customHeight="1">
      <c r="A34623" s="7"/>
      <c r="B34623" s="7"/>
      <c r="M34623" s="9" t="s">
        <v>41</v>
      </c>
    </row>
    <row r="34624" ht="15.75" customHeight="1">
      <c r="A34624" s="7"/>
      <c r="B34624" s="7"/>
      <c r="M34624" s="9" t="s">
        <v>22</v>
      </c>
    </row>
    <row r="34625" ht="15.75" customHeight="1">
      <c r="A34625" s="7"/>
      <c r="B34625" s="7"/>
      <c r="M34625" s="9" t="s">
        <v>29</v>
      </c>
    </row>
    <row r="34626" ht="15.75" customHeight="1">
      <c r="A34626" s="7"/>
      <c r="B34626" s="7"/>
      <c r="M34626" s="9" t="s">
        <v>40</v>
      </c>
    </row>
    <row r="34627" ht="15.75" customHeight="1">
      <c r="A34627" s="7"/>
      <c r="B34627" s="7"/>
      <c r="M34627" s="9" t="s">
        <v>33</v>
      </c>
    </row>
    <row r="34628" ht="15.75" customHeight="1">
      <c r="A34628" s="7"/>
      <c r="B34628" s="7"/>
      <c r="M34628" s="9" t="s">
        <v>21</v>
      </c>
    </row>
    <row r="34629" ht="15.75" customHeight="1">
      <c r="A34629" s="7"/>
      <c r="B34629" s="7"/>
      <c r="M34629" s="9" t="s">
        <v>31</v>
      </c>
    </row>
    <row r="34630" ht="15.75" customHeight="1">
      <c r="A34630" s="7"/>
      <c r="B34630" s="7"/>
      <c r="M34630" s="9" t="s">
        <v>33</v>
      </c>
    </row>
    <row r="34631" ht="15.75" customHeight="1">
      <c r="A34631" s="7"/>
      <c r="B34631" s="7"/>
      <c r="M34631" s="9" t="s">
        <v>25</v>
      </c>
    </row>
    <row r="34632" ht="15.75" customHeight="1">
      <c r="A34632" s="7"/>
      <c r="B34632" s="7"/>
      <c r="M34632" s="9" t="s">
        <v>23</v>
      </c>
    </row>
    <row r="34633" ht="15.75" customHeight="1">
      <c r="A34633" s="7"/>
      <c r="B34633" s="7"/>
      <c r="M34633" s="9" t="s">
        <v>26</v>
      </c>
    </row>
    <row r="34634" ht="15.75" customHeight="1">
      <c r="A34634" s="7"/>
      <c r="B34634" s="7"/>
      <c r="M34634" s="9" t="s">
        <v>24</v>
      </c>
    </row>
    <row r="34635" ht="15.75" customHeight="1">
      <c r="A34635" s="7"/>
      <c r="B34635" s="7"/>
      <c r="M34635" s="9" t="s">
        <v>20</v>
      </c>
    </row>
    <row r="34636" ht="15.75" customHeight="1">
      <c r="A34636" s="7"/>
      <c r="B34636" s="7"/>
      <c r="M34636" s="9" t="s">
        <v>21</v>
      </c>
    </row>
    <row r="34637" ht="15.75" customHeight="1">
      <c r="A34637" s="7"/>
      <c r="B34637" s="7"/>
      <c r="M34637" s="9" t="s">
        <v>27</v>
      </c>
    </row>
    <row r="34638" ht="15.75" customHeight="1">
      <c r="A34638" s="7"/>
      <c r="B34638" s="7"/>
      <c r="M34638" s="9" t="s">
        <v>33</v>
      </c>
    </row>
    <row r="34639" ht="15.75" customHeight="1">
      <c r="A34639" s="7"/>
      <c r="B34639" s="7"/>
      <c r="M34639" s="9" t="s">
        <v>30</v>
      </c>
    </row>
    <row r="34640" ht="15.75" customHeight="1">
      <c r="A34640" s="7"/>
      <c r="B34640" s="7"/>
      <c r="M34640" s="9" t="s">
        <v>23</v>
      </c>
    </row>
    <row r="34641" ht="15.75" customHeight="1">
      <c r="A34641" s="7"/>
      <c r="B34641" s="7"/>
      <c r="M34641" s="9" t="s">
        <v>26</v>
      </c>
    </row>
    <row r="34642" ht="15.75" customHeight="1">
      <c r="A34642" s="7"/>
      <c r="B34642" s="7"/>
      <c r="M34642" s="9" t="s">
        <v>47</v>
      </c>
    </row>
    <row r="34643" ht="15.75" customHeight="1">
      <c r="A34643" s="7"/>
      <c r="B34643" s="7"/>
      <c r="M34643" s="9" t="s">
        <v>24</v>
      </c>
    </row>
    <row r="34644" ht="15.75" customHeight="1">
      <c r="A34644" s="7"/>
      <c r="B34644" s="7"/>
      <c r="M34644" s="9" t="s">
        <v>20</v>
      </c>
    </row>
    <row r="34645" ht="15.75" customHeight="1">
      <c r="A34645" s="7"/>
      <c r="B34645" s="7"/>
      <c r="M34645" s="9" t="s">
        <v>21</v>
      </c>
    </row>
    <row r="34646" ht="15.75" customHeight="1">
      <c r="A34646" s="7"/>
      <c r="B34646" s="7"/>
      <c r="M34646" s="9" t="s">
        <v>37</v>
      </c>
    </row>
    <row r="34647" ht="15.75" customHeight="1">
      <c r="A34647" s="7"/>
      <c r="B34647" s="7"/>
      <c r="M34647" s="9" t="s">
        <v>22</v>
      </c>
    </row>
    <row r="34648" ht="15.75" customHeight="1">
      <c r="A34648" s="7"/>
      <c r="B34648" s="7"/>
      <c r="M34648" s="9" t="s">
        <v>27</v>
      </c>
    </row>
    <row r="34649" ht="15.75" customHeight="1">
      <c r="A34649" s="7"/>
      <c r="B34649" s="7"/>
      <c r="M34649" s="9" t="s">
        <v>33</v>
      </c>
    </row>
    <row r="34650" ht="15.75" customHeight="1">
      <c r="A34650" s="7"/>
      <c r="B34650" s="7"/>
      <c r="M34650" s="9" t="s">
        <v>38</v>
      </c>
    </row>
    <row r="34651" ht="15.75" customHeight="1">
      <c r="A34651" s="7"/>
      <c r="B34651" s="7"/>
      <c r="M34651" s="9" t="s">
        <v>30</v>
      </c>
    </row>
    <row r="34652" ht="15.75" customHeight="1">
      <c r="A34652" s="7"/>
      <c r="B34652" s="7"/>
      <c r="M34652" s="9" t="s">
        <v>25</v>
      </c>
    </row>
    <row r="34653" ht="15.75" customHeight="1">
      <c r="A34653" s="7"/>
      <c r="B34653" s="7"/>
      <c r="M34653" s="9" t="s">
        <v>26</v>
      </c>
    </row>
    <row r="34654" ht="15.75" customHeight="1">
      <c r="A34654" s="7"/>
      <c r="B34654" s="7"/>
      <c r="M34654" s="9" t="s">
        <v>24</v>
      </c>
    </row>
    <row r="34655" ht="15.75" customHeight="1">
      <c r="A34655" s="7"/>
      <c r="B34655" s="7"/>
      <c r="M34655" s="9" t="s">
        <v>31</v>
      </c>
    </row>
    <row r="34656" ht="15.75" customHeight="1">
      <c r="A34656" s="7"/>
      <c r="B34656" s="7"/>
      <c r="M34656" s="9" t="s">
        <v>27</v>
      </c>
    </row>
    <row r="34657" ht="15.75" customHeight="1">
      <c r="A34657" s="7"/>
      <c r="B34657" s="7"/>
      <c r="M34657" s="9" t="s">
        <v>33</v>
      </c>
    </row>
    <row r="34658" ht="15.75" customHeight="1">
      <c r="A34658" s="7"/>
      <c r="B34658" s="7"/>
      <c r="M34658" s="9" t="s">
        <v>21</v>
      </c>
    </row>
    <row r="34659" ht="15.75" customHeight="1">
      <c r="A34659" s="7"/>
      <c r="B34659" s="7"/>
      <c r="M34659" s="9" t="s">
        <v>26</v>
      </c>
    </row>
    <row r="34660" ht="15.75" customHeight="1">
      <c r="A34660" s="7"/>
      <c r="B34660" s="7"/>
      <c r="M34660" s="9" t="s">
        <v>20</v>
      </c>
    </row>
    <row r="34661" ht="15.75" customHeight="1">
      <c r="A34661" s="7"/>
      <c r="B34661" s="7"/>
      <c r="M34661" s="9" t="s">
        <v>21</v>
      </c>
    </row>
    <row r="34662" ht="15.75" customHeight="1">
      <c r="A34662" s="7"/>
      <c r="B34662" s="7"/>
      <c r="M34662" s="9" t="s">
        <v>27</v>
      </c>
    </row>
    <row r="34663" ht="15.75" customHeight="1">
      <c r="A34663" s="7"/>
      <c r="B34663" s="7"/>
      <c r="M34663" s="9" t="s">
        <v>30</v>
      </c>
    </row>
    <row r="34664" ht="15.75" customHeight="1">
      <c r="A34664" s="7"/>
      <c r="B34664" s="7"/>
      <c r="M34664" s="9" t="s">
        <v>24</v>
      </c>
    </row>
    <row r="34665" ht="15.75" customHeight="1">
      <c r="A34665" s="7"/>
      <c r="B34665" s="7"/>
      <c r="M34665" s="9" t="s">
        <v>21</v>
      </c>
    </row>
    <row r="34666" ht="15.75" customHeight="1">
      <c r="A34666" s="7"/>
      <c r="B34666" s="7"/>
      <c r="M34666" s="9" t="s">
        <v>37</v>
      </c>
    </row>
    <row r="34667" ht="15.75" customHeight="1">
      <c r="A34667" s="7"/>
      <c r="B34667" s="7"/>
      <c r="M34667" s="9" t="s">
        <v>27</v>
      </c>
    </row>
    <row r="34668" ht="15.75" customHeight="1">
      <c r="A34668" s="7"/>
      <c r="B34668" s="7"/>
      <c r="M34668" s="9" t="s">
        <v>25</v>
      </c>
    </row>
    <row r="34669" ht="15.75" customHeight="1">
      <c r="A34669" s="7"/>
      <c r="B34669" s="7"/>
      <c r="M34669" s="9" t="s">
        <v>23</v>
      </c>
    </row>
    <row r="34670" ht="15.75" customHeight="1">
      <c r="A34670" s="7"/>
      <c r="B34670" s="7"/>
      <c r="M34670" s="9" t="s">
        <v>26</v>
      </c>
    </row>
    <row r="34671" ht="15.75" customHeight="1">
      <c r="A34671" s="7"/>
      <c r="B34671" s="7"/>
      <c r="M34671" s="9" t="s">
        <v>24</v>
      </c>
    </row>
    <row r="34672" ht="15.75" customHeight="1">
      <c r="A34672" s="7"/>
      <c r="B34672" s="7"/>
      <c r="M34672" s="9" t="s">
        <v>20</v>
      </c>
    </row>
    <row r="34673" ht="15.75" customHeight="1">
      <c r="A34673" s="7"/>
      <c r="B34673" s="7"/>
      <c r="M34673" s="9" t="s">
        <v>24</v>
      </c>
    </row>
    <row r="34674" ht="15.75" customHeight="1">
      <c r="A34674" s="7"/>
      <c r="B34674" s="7"/>
      <c r="M34674" s="9" t="s">
        <v>20</v>
      </c>
    </row>
    <row r="34675" ht="15.75" customHeight="1">
      <c r="A34675" s="7"/>
      <c r="B34675" s="7"/>
      <c r="M34675" s="9" t="s">
        <v>21</v>
      </c>
    </row>
    <row r="34676" ht="15.75" customHeight="1">
      <c r="A34676" s="7"/>
      <c r="B34676" s="7"/>
      <c r="M34676" s="9" t="s">
        <v>27</v>
      </c>
    </row>
    <row r="34677" ht="15.75" customHeight="1">
      <c r="A34677" s="7"/>
      <c r="B34677" s="7"/>
      <c r="M34677" s="9" t="s">
        <v>26</v>
      </c>
    </row>
    <row r="34678" ht="15.75" customHeight="1">
      <c r="A34678" s="7"/>
      <c r="B34678" s="7"/>
      <c r="M34678" s="9" t="s">
        <v>24</v>
      </c>
    </row>
    <row r="34679" ht="15.75" customHeight="1">
      <c r="A34679" s="7"/>
      <c r="B34679" s="7"/>
      <c r="M34679" s="9" t="s">
        <v>21</v>
      </c>
    </row>
    <row r="34680" ht="15.75" customHeight="1">
      <c r="A34680" s="7"/>
      <c r="B34680" s="7"/>
      <c r="M34680" s="9" t="s">
        <v>37</v>
      </c>
    </row>
    <row r="34681" ht="15.75" customHeight="1">
      <c r="A34681" s="7"/>
      <c r="B34681" s="7"/>
      <c r="M34681" s="9" t="s">
        <v>27</v>
      </c>
    </row>
    <row r="34682" ht="15.75" customHeight="1">
      <c r="A34682" s="7"/>
      <c r="B34682" s="7"/>
      <c r="M34682" s="9" t="s">
        <v>38</v>
      </c>
    </row>
    <row r="34683" ht="15.75" customHeight="1">
      <c r="A34683" s="7"/>
      <c r="B34683" s="7"/>
      <c r="M34683" s="9" t="s">
        <v>26</v>
      </c>
    </row>
    <row r="34684" ht="15.75" customHeight="1">
      <c r="A34684" s="7"/>
      <c r="B34684" s="7"/>
      <c r="M34684" s="9" t="s">
        <v>24</v>
      </c>
    </row>
    <row r="34685" ht="15.75" customHeight="1">
      <c r="A34685" s="7"/>
      <c r="B34685" s="7"/>
      <c r="M34685" s="9" t="s">
        <v>21</v>
      </c>
    </row>
    <row r="34686" ht="15.75" customHeight="1">
      <c r="A34686" s="7"/>
      <c r="B34686" s="7"/>
      <c r="M34686" s="9" t="s">
        <v>27</v>
      </c>
    </row>
    <row r="34687" ht="15.75" customHeight="1">
      <c r="A34687" s="7"/>
      <c r="B34687" s="7"/>
      <c r="M34687" s="9" t="s">
        <v>30</v>
      </c>
    </row>
    <row r="34688" ht="15.75" customHeight="1">
      <c r="A34688" s="7"/>
      <c r="B34688" s="7"/>
      <c r="M34688" s="9" t="s">
        <v>23</v>
      </c>
    </row>
    <row r="34689" ht="15.75" customHeight="1">
      <c r="A34689" s="7"/>
      <c r="B34689" s="7"/>
      <c r="M34689" s="9" t="s">
        <v>26</v>
      </c>
    </row>
    <row r="34690" ht="15.75" customHeight="1">
      <c r="A34690" s="7"/>
      <c r="B34690" s="7"/>
      <c r="M34690" s="9" t="s">
        <v>24</v>
      </c>
    </row>
    <row r="34691" ht="15.75" customHeight="1">
      <c r="A34691" s="7"/>
      <c r="B34691" s="7"/>
      <c r="M34691" s="9" t="s">
        <v>20</v>
      </c>
    </row>
    <row r="34692" ht="15.75" customHeight="1">
      <c r="A34692" s="7"/>
      <c r="B34692" s="7"/>
      <c r="M34692" s="9" t="s">
        <v>21</v>
      </c>
    </row>
    <row r="34693" ht="15.75" customHeight="1">
      <c r="A34693" s="7"/>
      <c r="B34693" s="7"/>
      <c r="M34693" s="9" t="s">
        <v>37</v>
      </c>
    </row>
    <row r="34694" ht="15.75" customHeight="1">
      <c r="A34694" s="7"/>
      <c r="B34694" s="7"/>
      <c r="M34694" s="9" t="s">
        <v>27</v>
      </c>
    </row>
    <row r="34695" ht="15.75" customHeight="1">
      <c r="A34695" s="7"/>
      <c r="B34695" s="7"/>
      <c r="M34695" s="9" t="s">
        <v>28</v>
      </c>
    </row>
    <row r="34696" ht="15.75" customHeight="1">
      <c r="A34696" s="7"/>
      <c r="B34696" s="7"/>
      <c r="M34696" s="9" t="s">
        <v>26</v>
      </c>
    </row>
    <row r="34697" ht="15.75" customHeight="1">
      <c r="A34697" s="7"/>
      <c r="B34697" s="7"/>
      <c r="M34697" s="9" t="s">
        <v>30</v>
      </c>
    </row>
    <row r="34698" ht="15.75" customHeight="1">
      <c r="A34698" s="7"/>
      <c r="B34698" s="7"/>
      <c r="M34698" s="9" t="s">
        <v>24</v>
      </c>
    </row>
    <row r="34699" ht="15.75" customHeight="1">
      <c r="A34699" s="7"/>
      <c r="B34699" s="7"/>
      <c r="M34699" s="9" t="s">
        <v>21</v>
      </c>
    </row>
    <row r="34700" ht="15.75" customHeight="1">
      <c r="A34700" s="7"/>
      <c r="B34700" s="7"/>
      <c r="M34700" s="9" t="s">
        <v>37</v>
      </c>
    </row>
    <row r="34701" ht="15.75" customHeight="1">
      <c r="A34701" s="7"/>
      <c r="B34701" s="7"/>
      <c r="M34701" s="9" t="s">
        <v>27</v>
      </c>
    </row>
    <row r="34702" ht="15.75" customHeight="1">
      <c r="A34702" s="7"/>
      <c r="B34702" s="7"/>
      <c r="M34702" s="9" t="s">
        <v>20</v>
      </c>
    </row>
    <row r="34703" ht="15.75" customHeight="1">
      <c r="A34703" s="7"/>
      <c r="B34703" s="7"/>
      <c r="M34703" s="9" t="s">
        <v>39</v>
      </c>
    </row>
    <row r="34704" ht="15.75" customHeight="1">
      <c r="A34704" s="7"/>
      <c r="B34704" s="7"/>
      <c r="M34704" s="9" t="s">
        <v>36</v>
      </c>
    </row>
    <row r="34705" ht="15.75" customHeight="1">
      <c r="A34705" s="7"/>
      <c r="B34705" s="7"/>
      <c r="M34705" s="9" t="s">
        <v>24</v>
      </c>
    </row>
    <row r="34706" ht="15.75" customHeight="1">
      <c r="A34706" s="7"/>
      <c r="B34706" s="7"/>
      <c r="M34706" s="9" t="s">
        <v>20</v>
      </c>
    </row>
    <row r="34707" ht="15.75" customHeight="1">
      <c r="A34707" s="7"/>
      <c r="B34707" s="7"/>
      <c r="M34707" s="9" t="s">
        <v>21</v>
      </c>
    </row>
    <row r="34708" ht="15.75" customHeight="1">
      <c r="A34708" s="7"/>
      <c r="B34708" s="7"/>
      <c r="M34708" s="9" t="s">
        <v>37</v>
      </c>
    </row>
    <row r="34709" ht="15.75" customHeight="1">
      <c r="A34709" s="7"/>
      <c r="B34709" s="7"/>
      <c r="M34709" s="9" t="s">
        <v>22</v>
      </c>
    </row>
    <row r="34710" ht="15.75" customHeight="1">
      <c r="A34710" s="7"/>
      <c r="B34710" s="7"/>
      <c r="M34710" s="9" t="s">
        <v>46</v>
      </c>
    </row>
    <row r="34711" ht="15.75" customHeight="1">
      <c r="A34711" s="7"/>
      <c r="B34711" s="7"/>
      <c r="M34711" s="9" t="s">
        <v>27</v>
      </c>
    </row>
    <row r="34712" ht="15.75" customHeight="1">
      <c r="A34712" s="7"/>
      <c r="B34712" s="7"/>
      <c r="M34712" s="9" t="s">
        <v>33</v>
      </c>
    </row>
    <row r="34713" ht="15.75" customHeight="1">
      <c r="A34713" s="7"/>
      <c r="B34713" s="7"/>
      <c r="M34713" s="9" t="s">
        <v>30</v>
      </c>
    </row>
    <row r="34714" ht="15.75" customHeight="1">
      <c r="A34714" s="7"/>
      <c r="B34714" s="7"/>
      <c r="M34714" s="9" t="s">
        <v>21</v>
      </c>
    </row>
    <row r="34715" ht="15.75" customHeight="1">
      <c r="A34715" s="7"/>
      <c r="B34715" s="7"/>
      <c r="M34715" s="9" t="s">
        <v>22</v>
      </c>
    </row>
    <row r="34716" ht="15.75" customHeight="1">
      <c r="A34716" s="7"/>
      <c r="B34716" s="7"/>
      <c r="M34716" s="9" t="s">
        <v>46</v>
      </c>
    </row>
    <row r="34717" ht="15.75" customHeight="1">
      <c r="A34717" s="7"/>
      <c r="B34717" s="7"/>
      <c r="M34717" s="9" t="s">
        <v>27</v>
      </c>
    </row>
    <row r="34718" ht="15.75" customHeight="1">
      <c r="A34718" s="7"/>
      <c r="B34718" s="7"/>
      <c r="M34718" s="9" t="s">
        <v>26</v>
      </c>
    </row>
    <row r="34719" ht="15.75" customHeight="1">
      <c r="A34719" s="7"/>
      <c r="B34719" s="7"/>
      <c r="M34719" s="9" t="s">
        <v>24</v>
      </c>
    </row>
    <row r="34720" ht="15.75" customHeight="1">
      <c r="A34720" s="7"/>
      <c r="B34720" s="7"/>
      <c r="M34720" s="9" t="s">
        <v>20</v>
      </c>
    </row>
    <row r="34721" ht="15.75" customHeight="1">
      <c r="A34721" s="7"/>
      <c r="B34721" s="7"/>
      <c r="M34721" s="9" t="s">
        <v>21</v>
      </c>
    </row>
    <row r="34722" ht="15.75" customHeight="1">
      <c r="A34722" s="7"/>
      <c r="B34722" s="7"/>
      <c r="M34722" s="9" t="s">
        <v>41</v>
      </c>
    </row>
    <row r="34723" ht="15.75" customHeight="1">
      <c r="A34723" s="7"/>
      <c r="B34723" s="7"/>
      <c r="M34723" s="9" t="s">
        <v>27</v>
      </c>
    </row>
    <row r="34724" ht="15.75" customHeight="1">
      <c r="A34724" s="7"/>
      <c r="B34724" s="7"/>
      <c r="M34724" s="9" t="s">
        <v>33</v>
      </c>
    </row>
    <row r="34725" ht="15.75" customHeight="1">
      <c r="A34725" s="7"/>
      <c r="B34725" s="7"/>
      <c r="M34725" s="9" t="s">
        <v>30</v>
      </c>
    </row>
    <row r="34726" ht="15.75" customHeight="1">
      <c r="A34726" s="7"/>
      <c r="B34726" s="7"/>
      <c r="M34726" s="9" t="s">
        <v>25</v>
      </c>
    </row>
    <row r="34727" ht="15.75" customHeight="1">
      <c r="A34727" s="7"/>
      <c r="B34727" s="7"/>
      <c r="M34727" s="9" t="s">
        <v>26</v>
      </c>
    </row>
    <row r="34728" ht="15.75" customHeight="1">
      <c r="A34728" s="7"/>
      <c r="B34728" s="7"/>
      <c r="M34728" s="9" t="s">
        <v>24</v>
      </c>
    </row>
    <row r="34729" ht="15.75" customHeight="1">
      <c r="A34729" s="7"/>
      <c r="B34729" s="7"/>
      <c r="M34729" s="9" t="s">
        <v>20</v>
      </c>
    </row>
    <row r="34730" ht="15.75" customHeight="1">
      <c r="A34730" s="7"/>
      <c r="B34730" s="7"/>
      <c r="M34730" s="9" t="s">
        <v>21</v>
      </c>
    </row>
    <row r="34731" ht="15.75" customHeight="1">
      <c r="A34731" s="7"/>
      <c r="B34731" s="7"/>
      <c r="M34731" s="9" t="s">
        <v>22</v>
      </c>
    </row>
    <row r="34732" ht="15.75" customHeight="1">
      <c r="A34732" s="7"/>
      <c r="B34732" s="7"/>
      <c r="M34732" s="9" t="s">
        <v>27</v>
      </c>
    </row>
    <row r="34733" ht="15.75" customHeight="1">
      <c r="A34733" s="7"/>
      <c r="B34733" s="7"/>
      <c r="M34733" s="9" t="s">
        <v>33</v>
      </c>
    </row>
    <row r="34734" ht="15.75" customHeight="1">
      <c r="A34734" s="7"/>
      <c r="B34734" s="7"/>
      <c r="M34734" s="9" t="s">
        <v>30</v>
      </c>
    </row>
    <row r="34735" ht="15.75" customHeight="1">
      <c r="A34735" s="7"/>
      <c r="B34735" s="7"/>
      <c r="M34735" s="9" t="s">
        <v>25</v>
      </c>
    </row>
    <row r="34736" ht="15.75" customHeight="1">
      <c r="A34736" s="7"/>
      <c r="B34736" s="7"/>
      <c r="M34736" s="9" t="s">
        <v>23</v>
      </c>
    </row>
    <row r="34737" ht="15.75" customHeight="1">
      <c r="A34737" s="7"/>
      <c r="B34737" s="7"/>
      <c r="M34737" s="9" t="s">
        <v>26</v>
      </c>
    </row>
    <row r="34738" ht="15.75" customHeight="1">
      <c r="A34738" s="7"/>
      <c r="B34738" s="7"/>
      <c r="M34738" s="9" t="s">
        <v>24</v>
      </c>
    </row>
    <row r="34739" ht="15.75" customHeight="1">
      <c r="A34739" s="7"/>
      <c r="B34739" s="7"/>
      <c r="M34739" s="9" t="s">
        <v>20</v>
      </c>
    </row>
    <row r="34740" ht="15.75" customHeight="1">
      <c r="A34740" s="7"/>
      <c r="B34740" s="7"/>
      <c r="M34740" s="9" t="s">
        <v>21</v>
      </c>
    </row>
    <row r="34741" ht="15.75" customHeight="1">
      <c r="A34741" s="7"/>
      <c r="B34741" s="7"/>
      <c r="M34741" s="9" t="s">
        <v>37</v>
      </c>
    </row>
    <row r="34742" ht="15.75" customHeight="1">
      <c r="A34742" s="7"/>
      <c r="B34742" s="7"/>
      <c r="M34742" s="9" t="s">
        <v>22</v>
      </c>
    </row>
    <row r="34743" ht="15.75" customHeight="1">
      <c r="A34743" s="7"/>
      <c r="B34743" s="7"/>
      <c r="M34743" s="9" t="s">
        <v>27</v>
      </c>
    </row>
    <row r="34744" ht="15.75" customHeight="1">
      <c r="A34744" s="7"/>
      <c r="B34744" s="7"/>
      <c r="M34744" s="9" t="s">
        <v>47</v>
      </c>
    </row>
    <row r="34745" ht="15.75" customHeight="1">
      <c r="A34745" s="7"/>
      <c r="B34745" s="7"/>
      <c r="M34745" s="9" t="s">
        <v>24</v>
      </c>
    </row>
    <row r="34746" ht="15.75" customHeight="1">
      <c r="A34746" s="7"/>
      <c r="B34746" s="7"/>
      <c r="M34746" s="9" t="s">
        <v>21</v>
      </c>
    </row>
    <row r="34747" ht="15.75" customHeight="1">
      <c r="A34747" s="7"/>
      <c r="B34747" s="7"/>
      <c r="M34747" s="9" t="s">
        <v>22</v>
      </c>
    </row>
    <row r="34748" ht="15.75" customHeight="1">
      <c r="A34748" s="7"/>
      <c r="B34748" s="7"/>
      <c r="M34748" s="9" t="s">
        <v>31</v>
      </c>
    </row>
    <row r="34749" ht="15.75" customHeight="1">
      <c r="A34749" s="7"/>
      <c r="B34749" s="7"/>
      <c r="M34749" s="9" t="s">
        <v>27</v>
      </c>
    </row>
    <row r="34750" ht="15.75" customHeight="1">
      <c r="A34750" s="7"/>
      <c r="B34750" s="7"/>
      <c r="M34750" s="9" t="s">
        <v>33</v>
      </c>
    </row>
    <row r="34751" ht="15.75" customHeight="1">
      <c r="A34751" s="7"/>
      <c r="B34751" s="7"/>
      <c r="M34751" s="9" t="s">
        <v>24</v>
      </c>
    </row>
    <row r="34752" ht="15.75" customHeight="1">
      <c r="A34752" s="7"/>
      <c r="B34752" s="7"/>
      <c r="M34752" s="9" t="s">
        <v>21</v>
      </c>
    </row>
    <row r="34753" ht="15.75" customHeight="1">
      <c r="A34753" s="7"/>
      <c r="B34753" s="7"/>
      <c r="M34753" s="9" t="s">
        <v>30</v>
      </c>
    </row>
    <row r="34754" ht="15.75" customHeight="1">
      <c r="A34754" s="7"/>
      <c r="B34754" s="7"/>
      <c r="M34754" s="9" t="s">
        <v>26</v>
      </c>
    </row>
    <row r="34755" ht="15.75" customHeight="1">
      <c r="A34755" s="7"/>
      <c r="B34755" s="7"/>
      <c r="M34755" s="9" t="s">
        <v>24</v>
      </c>
    </row>
    <row r="34756" ht="15.75" customHeight="1">
      <c r="A34756" s="7"/>
      <c r="B34756" s="7"/>
      <c r="M34756" s="9" t="s">
        <v>21</v>
      </c>
    </row>
    <row r="34757" ht="15.75" customHeight="1">
      <c r="A34757" s="7"/>
      <c r="B34757" s="7"/>
      <c r="M34757" s="9" t="s">
        <v>37</v>
      </c>
    </row>
    <row r="34758" ht="15.75" customHeight="1">
      <c r="A34758" s="7"/>
      <c r="B34758" s="7"/>
      <c r="M34758" s="9" t="s">
        <v>22</v>
      </c>
    </row>
    <row r="34759" ht="15.75" customHeight="1">
      <c r="A34759" s="7"/>
      <c r="B34759" s="7"/>
      <c r="M34759" s="9" t="s">
        <v>46</v>
      </c>
    </row>
    <row r="34760" ht="15.75" customHeight="1">
      <c r="A34760" s="7"/>
      <c r="B34760" s="7"/>
      <c r="M34760" s="9" t="s">
        <v>27</v>
      </c>
    </row>
    <row r="34761" ht="15.75" customHeight="1">
      <c r="A34761" s="7"/>
      <c r="B34761" s="7"/>
      <c r="M34761" s="9" t="s">
        <v>23</v>
      </c>
    </row>
    <row r="34762" ht="15.75" customHeight="1">
      <c r="A34762" s="7"/>
      <c r="B34762" s="7"/>
      <c r="M34762" s="9" t="s">
        <v>24</v>
      </c>
    </row>
    <row r="34763" ht="15.75" customHeight="1">
      <c r="A34763" s="7"/>
      <c r="B34763" s="7"/>
      <c r="M34763" s="9" t="s">
        <v>20</v>
      </c>
    </row>
    <row r="34764" ht="15.75" customHeight="1">
      <c r="A34764" s="7"/>
      <c r="B34764" s="7"/>
      <c r="M34764" s="9" t="s">
        <v>21</v>
      </c>
    </row>
    <row r="34765" ht="15.75" customHeight="1">
      <c r="A34765" s="7"/>
      <c r="B34765" s="7"/>
      <c r="M34765" s="9" t="s">
        <v>22</v>
      </c>
    </row>
    <row r="34766" ht="15.75" customHeight="1">
      <c r="A34766" s="7"/>
      <c r="B34766" s="7"/>
      <c r="M34766" s="9" t="s">
        <v>33</v>
      </c>
    </row>
    <row r="34767" ht="15.75" customHeight="1">
      <c r="A34767" s="7"/>
      <c r="B34767" s="7"/>
      <c r="M34767" s="9" t="s">
        <v>26</v>
      </c>
    </row>
    <row r="34768" ht="15.75" customHeight="1">
      <c r="A34768" s="7"/>
      <c r="B34768" s="7"/>
      <c r="M34768" s="9" t="s">
        <v>24</v>
      </c>
    </row>
    <row r="34769" ht="15.75" customHeight="1">
      <c r="A34769" s="7"/>
      <c r="B34769" s="7"/>
      <c r="M34769" s="9" t="s">
        <v>21</v>
      </c>
    </row>
    <row r="34770" ht="15.75" customHeight="1">
      <c r="A34770" s="7"/>
      <c r="B34770" s="7"/>
      <c r="M34770" s="9" t="s">
        <v>27</v>
      </c>
    </row>
    <row r="34771" ht="15.75" customHeight="1">
      <c r="A34771" s="7"/>
      <c r="B34771" s="7"/>
      <c r="M34771" s="9" t="s">
        <v>38</v>
      </c>
    </row>
    <row r="34772" ht="15.75" customHeight="1">
      <c r="A34772" s="7"/>
      <c r="B34772" s="7"/>
      <c r="M34772" s="9" t="s">
        <v>30</v>
      </c>
    </row>
    <row r="34773" ht="15.75" customHeight="1">
      <c r="A34773" s="7"/>
      <c r="B34773" s="7"/>
      <c r="M34773" s="9" t="s">
        <v>23</v>
      </c>
    </row>
    <row r="34774" ht="15.75" customHeight="1">
      <c r="A34774" s="7"/>
      <c r="B34774" s="7"/>
      <c r="M34774" s="9" t="s">
        <v>24</v>
      </c>
    </row>
    <row r="34775" ht="15.75" customHeight="1">
      <c r="A34775" s="7"/>
      <c r="B34775" s="7"/>
      <c r="M34775" s="9" t="s">
        <v>20</v>
      </c>
    </row>
    <row r="34776" ht="15.75" customHeight="1">
      <c r="A34776" s="7"/>
      <c r="B34776" s="7"/>
      <c r="M34776" s="9" t="s">
        <v>21</v>
      </c>
    </row>
    <row r="34777" ht="15.75" customHeight="1">
      <c r="A34777" s="7"/>
      <c r="B34777" s="7"/>
      <c r="M34777" s="9" t="s">
        <v>22</v>
      </c>
    </row>
    <row r="34778" ht="15.75" customHeight="1">
      <c r="A34778" s="7"/>
      <c r="B34778" s="7"/>
      <c r="M34778" s="9" t="s">
        <v>35</v>
      </c>
    </row>
    <row r="34779" ht="15.75" customHeight="1">
      <c r="A34779" s="7"/>
      <c r="B34779" s="7"/>
      <c r="M34779" s="9" t="s">
        <v>30</v>
      </c>
    </row>
    <row r="34780" ht="15.75" customHeight="1">
      <c r="A34780" s="7"/>
      <c r="B34780" s="7"/>
      <c r="M34780" s="9" t="s">
        <v>26</v>
      </c>
    </row>
    <row r="34781" ht="15.75" customHeight="1">
      <c r="A34781" s="7"/>
      <c r="B34781" s="7"/>
      <c r="M34781" s="9" t="s">
        <v>24</v>
      </c>
    </row>
    <row r="34782" ht="15.75" customHeight="1">
      <c r="A34782" s="7"/>
      <c r="B34782" s="7"/>
      <c r="M34782" s="9" t="s">
        <v>21</v>
      </c>
    </row>
    <row r="34783" ht="15.75" customHeight="1">
      <c r="A34783" s="7"/>
      <c r="B34783" s="7"/>
      <c r="M34783" s="9" t="s">
        <v>37</v>
      </c>
    </row>
    <row r="34784" ht="15.75" customHeight="1">
      <c r="A34784" s="7"/>
      <c r="B34784" s="7"/>
      <c r="M34784" s="9" t="s">
        <v>27</v>
      </c>
    </row>
    <row r="34785" ht="15.75" customHeight="1">
      <c r="A34785" s="7"/>
      <c r="B34785" s="7"/>
      <c r="M34785" s="9" t="s">
        <v>33</v>
      </c>
    </row>
    <row r="34786" ht="15.75" customHeight="1">
      <c r="A34786" s="7"/>
      <c r="B34786" s="7"/>
      <c r="M34786" s="9" t="s">
        <v>28</v>
      </c>
    </row>
    <row r="34787" ht="15.75" customHeight="1">
      <c r="A34787" s="7"/>
      <c r="B34787" s="7"/>
      <c r="M34787" s="9" t="s">
        <v>38</v>
      </c>
    </row>
    <row r="34788" ht="15.75" customHeight="1">
      <c r="A34788" s="7"/>
      <c r="B34788" s="7"/>
      <c r="M34788" s="9" t="s">
        <v>30</v>
      </c>
    </row>
    <row r="34789" ht="15.75" customHeight="1">
      <c r="A34789" s="7"/>
      <c r="B34789" s="7"/>
      <c r="M34789" s="9" t="s">
        <v>25</v>
      </c>
    </row>
    <row r="34790" ht="15.75" customHeight="1">
      <c r="A34790" s="7"/>
      <c r="B34790" s="7"/>
      <c r="M34790" s="9" t="s">
        <v>22</v>
      </c>
    </row>
    <row r="34791" ht="15.75" customHeight="1">
      <c r="A34791" s="7"/>
      <c r="B34791" s="7"/>
      <c r="M34791" s="9" t="s">
        <v>30</v>
      </c>
    </row>
    <row r="34792" ht="15.75" customHeight="1">
      <c r="A34792" s="7"/>
      <c r="B34792" s="7"/>
      <c r="M34792" s="9" t="s">
        <v>25</v>
      </c>
    </row>
    <row r="34793" ht="15.75" customHeight="1">
      <c r="A34793" s="7"/>
      <c r="B34793" s="7"/>
      <c r="M34793" s="9" t="s">
        <v>26</v>
      </c>
    </row>
    <row r="34794" ht="15.75" customHeight="1">
      <c r="A34794" s="7"/>
      <c r="B34794" s="7"/>
      <c r="M34794" s="9" t="s">
        <v>24</v>
      </c>
    </row>
    <row r="34795" ht="15.75" customHeight="1">
      <c r="A34795" s="7"/>
      <c r="B34795" s="7"/>
      <c r="M34795" s="9" t="s">
        <v>20</v>
      </c>
    </row>
    <row r="34796" ht="15.75" customHeight="1">
      <c r="A34796" s="7"/>
      <c r="B34796" s="7"/>
      <c r="M34796" s="9" t="s">
        <v>21</v>
      </c>
    </row>
    <row r="34797" ht="15.75" customHeight="1">
      <c r="A34797" s="7"/>
      <c r="B34797" s="7"/>
      <c r="M34797" s="9" t="s">
        <v>22</v>
      </c>
    </row>
    <row r="34798" ht="15.75" customHeight="1">
      <c r="A34798" s="7"/>
      <c r="B34798" s="7"/>
      <c r="M34798" s="9" t="s">
        <v>29</v>
      </c>
    </row>
    <row r="34799" ht="15.75" customHeight="1">
      <c r="A34799" s="7"/>
      <c r="B34799" s="7"/>
      <c r="M34799" s="9" t="s">
        <v>27</v>
      </c>
    </row>
    <row r="34800" ht="15.75" customHeight="1">
      <c r="A34800" s="7"/>
      <c r="B34800" s="7"/>
      <c r="M34800" s="9" t="s">
        <v>30</v>
      </c>
    </row>
    <row r="34801" ht="15.75" customHeight="1">
      <c r="A34801" s="7"/>
      <c r="B34801" s="7"/>
      <c r="M34801" s="9" t="s">
        <v>25</v>
      </c>
    </row>
    <row r="34802" ht="15.75" customHeight="1">
      <c r="A34802" s="7"/>
      <c r="B34802" s="7"/>
      <c r="M34802" s="9" t="s">
        <v>24</v>
      </c>
    </row>
    <row r="34803" ht="15.75" customHeight="1">
      <c r="A34803" s="7"/>
      <c r="B34803" s="7"/>
      <c r="M34803" s="9" t="s">
        <v>20</v>
      </c>
    </row>
    <row r="34804" ht="15.75" customHeight="1">
      <c r="A34804" s="7"/>
      <c r="B34804" s="7"/>
      <c r="M34804" s="9" t="s">
        <v>21</v>
      </c>
    </row>
    <row r="34805" ht="15.75" customHeight="1">
      <c r="A34805" s="7"/>
      <c r="B34805" s="7"/>
      <c r="M34805" s="9" t="s">
        <v>37</v>
      </c>
    </row>
    <row r="34806" ht="15.75" customHeight="1">
      <c r="A34806" s="7"/>
      <c r="B34806" s="7"/>
      <c r="M34806" s="9" t="s">
        <v>22</v>
      </c>
    </row>
    <row r="34807" ht="15.75" customHeight="1">
      <c r="A34807" s="7"/>
      <c r="B34807" s="7"/>
      <c r="M34807" s="9" t="s">
        <v>23</v>
      </c>
    </row>
    <row r="34808" ht="15.75" customHeight="1">
      <c r="A34808" s="7"/>
      <c r="B34808" s="7"/>
      <c r="M34808" s="9" t="s">
        <v>20</v>
      </c>
    </row>
    <row r="34809" ht="15.75" customHeight="1">
      <c r="A34809" s="7"/>
      <c r="B34809" s="7"/>
      <c r="M34809" s="9" t="s">
        <v>21</v>
      </c>
    </row>
    <row r="34810" ht="15.75" customHeight="1">
      <c r="A34810" s="7"/>
      <c r="B34810" s="7"/>
      <c r="M34810" s="9" t="s">
        <v>39</v>
      </c>
    </row>
    <row r="34811" ht="15.75" customHeight="1">
      <c r="A34811" s="7"/>
      <c r="B34811" s="7"/>
      <c r="M34811" s="9" t="s">
        <v>41</v>
      </c>
    </row>
    <row r="34812" ht="15.75" customHeight="1">
      <c r="A34812" s="7"/>
      <c r="B34812" s="7"/>
      <c r="M34812" s="9" t="s">
        <v>22</v>
      </c>
    </row>
    <row r="34813" ht="15.75" customHeight="1">
      <c r="A34813" s="7"/>
      <c r="B34813" s="7"/>
      <c r="M34813" s="9" t="s">
        <v>40</v>
      </c>
    </row>
    <row r="34814" ht="15.75" customHeight="1">
      <c r="A34814" s="7"/>
      <c r="B34814" s="7"/>
      <c r="M34814" s="9" t="s">
        <v>22</v>
      </c>
    </row>
    <row r="34815" ht="15.75" customHeight="1">
      <c r="A34815" s="7"/>
      <c r="B34815" s="7"/>
      <c r="M34815" s="9" t="s">
        <v>27</v>
      </c>
    </row>
    <row r="34816" ht="15.75" customHeight="1">
      <c r="A34816" s="7"/>
      <c r="B34816" s="7"/>
      <c r="M34816" s="9" t="s">
        <v>30</v>
      </c>
    </row>
    <row r="34817" ht="15.75" customHeight="1">
      <c r="A34817" s="7"/>
      <c r="B34817" s="7"/>
      <c r="M34817" s="9" t="s">
        <v>24</v>
      </c>
    </row>
    <row r="34818" ht="15.75" customHeight="1">
      <c r="A34818" s="7"/>
      <c r="B34818" s="7"/>
      <c r="M34818" s="9" t="s">
        <v>20</v>
      </c>
    </row>
    <row r="34819" ht="15.75" customHeight="1">
      <c r="A34819" s="7"/>
      <c r="B34819" s="7"/>
      <c r="M34819" s="9" t="s">
        <v>21</v>
      </c>
    </row>
    <row r="34820" ht="15.75" customHeight="1">
      <c r="A34820" s="7"/>
      <c r="B34820" s="7"/>
      <c r="M34820" s="9" t="s">
        <v>37</v>
      </c>
    </row>
    <row r="34821" ht="15.75" customHeight="1">
      <c r="A34821" s="7"/>
      <c r="B34821" s="7"/>
      <c r="M34821" s="9" t="s">
        <v>30</v>
      </c>
    </row>
    <row r="34822" ht="15.75" customHeight="1">
      <c r="A34822" s="7"/>
      <c r="B34822" s="7"/>
      <c r="M34822" s="9" t="s">
        <v>36</v>
      </c>
    </row>
    <row r="34823" ht="15.75" customHeight="1">
      <c r="A34823" s="7"/>
      <c r="B34823" s="7"/>
      <c r="M34823" s="9" t="s">
        <v>24</v>
      </c>
    </row>
    <row r="34824" ht="15.75" customHeight="1">
      <c r="A34824" s="7"/>
      <c r="B34824" s="7"/>
      <c r="M34824" s="9" t="s">
        <v>24</v>
      </c>
    </row>
    <row r="34825" ht="15.75" customHeight="1">
      <c r="A34825" s="7"/>
      <c r="B34825" s="7"/>
      <c r="M34825" s="9" t="s">
        <v>21</v>
      </c>
    </row>
    <row r="34826" ht="15.75" customHeight="1">
      <c r="A34826" s="7"/>
      <c r="B34826" s="7"/>
      <c r="M34826" s="9" t="s">
        <v>26</v>
      </c>
    </row>
    <row r="34827" ht="15.75" customHeight="1">
      <c r="A34827" s="7"/>
      <c r="B34827" s="7"/>
      <c r="M34827" s="9" t="s">
        <v>24</v>
      </c>
    </row>
    <row r="34828" ht="15.75" customHeight="1">
      <c r="A34828" s="7"/>
      <c r="B34828" s="7"/>
      <c r="M34828" s="9" t="s">
        <v>21</v>
      </c>
    </row>
    <row r="34829" ht="15.75" customHeight="1">
      <c r="A34829" s="7"/>
      <c r="B34829" s="7"/>
      <c r="M34829" s="9" t="s">
        <v>27</v>
      </c>
    </row>
    <row r="34830" ht="15.75" customHeight="1">
      <c r="A34830" s="7"/>
      <c r="B34830" s="7"/>
      <c r="M34830" s="9" t="s">
        <v>28</v>
      </c>
    </row>
    <row r="34831" ht="15.75" customHeight="1">
      <c r="A34831" s="7"/>
      <c r="B34831" s="7"/>
      <c r="M34831" s="9" t="s">
        <v>26</v>
      </c>
    </row>
    <row r="34832" ht="15.75" customHeight="1">
      <c r="A34832" s="7"/>
      <c r="B34832" s="7"/>
      <c r="M34832" s="9" t="s">
        <v>24</v>
      </c>
    </row>
    <row r="34833" ht="15.75" customHeight="1">
      <c r="A34833" s="7"/>
      <c r="B34833" s="7"/>
      <c r="M34833" s="9" t="s">
        <v>21</v>
      </c>
    </row>
    <row r="34834" ht="15.75" customHeight="1">
      <c r="A34834" s="7"/>
      <c r="B34834" s="7"/>
      <c r="M34834" s="9" t="s">
        <v>37</v>
      </c>
    </row>
    <row r="34835" ht="15.75" customHeight="1">
      <c r="A34835" s="7"/>
      <c r="B34835" s="7"/>
      <c r="M34835" s="9" t="s">
        <v>22</v>
      </c>
    </row>
    <row r="34836" ht="15.75" customHeight="1">
      <c r="A34836" s="7"/>
      <c r="B34836" s="7"/>
      <c r="M34836" s="9" t="s">
        <v>31</v>
      </c>
    </row>
    <row r="34837" ht="15.75" customHeight="1">
      <c r="A34837" s="7"/>
      <c r="B34837" s="7"/>
      <c r="M34837" s="9" t="s">
        <v>27</v>
      </c>
    </row>
    <row r="34838" ht="15.75" customHeight="1">
      <c r="A34838" s="7"/>
      <c r="B34838" s="7"/>
      <c r="M34838" s="9" t="s">
        <v>33</v>
      </c>
    </row>
    <row r="34839" ht="15.75" customHeight="1">
      <c r="A34839" s="7"/>
      <c r="B34839" s="7"/>
      <c r="M34839" s="9" t="s">
        <v>28</v>
      </c>
    </row>
    <row r="34840" ht="15.75" customHeight="1">
      <c r="A34840" s="7"/>
      <c r="B34840" s="7"/>
      <c r="M34840" s="9" t="s">
        <v>24</v>
      </c>
    </row>
    <row r="34841" ht="15.75" customHeight="1">
      <c r="A34841" s="7"/>
      <c r="B34841" s="7"/>
      <c r="M34841" s="9" t="s">
        <v>21</v>
      </c>
    </row>
    <row r="34842" ht="15.75" customHeight="1">
      <c r="A34842" s="7"/>
      <c r="B34842" s="7"/>
      <c r="M34842" s="9" t="s">
        <v>37</v>
      </c>
    </row>
    <row r="34843" ht="15.75" customHeight="1">
      <c r="A34843" s="7"/>
      <c r="B34843" s="7"/>
      <c r="M34843" s="9" t="s">
        <v>27</v>
      </c>
    </row>
    <row r="34844" ht="15.75" customHeight="1">
      <c r="A34844" s="7"/>
      <c r="B34844" s="7"/>
      <c r="M34844" s="9" t="s">
        <v>24</v>
      </c>
    </row>
    <row r="34845" ht="15.75" customHeight="1">
      <c r="A34845" s="7"/>
      <c r="B34845" s="7"/>
      <c r="M34845" s="9" t="s">
        <v>21</v>
      </c>
    </row>
    <row r="34846" ht="15.75" customHeight="1">
      <c r="A34846" s="7"/>
      <c r="B34846" s="7"/>
      <c r="M34846" s="9" t="s">
        <v>24</v>
      </c>
    </row>
    <row r="34847" ht="15.75" customHeight="1">
      <c r="A34847" s="7"/>
      <c r="B34847" s="7"/>
      <c r="M34847" s="9" t="s">
        <v>21</v>
      </c>
    </row>
    <row r="34848" ht="15.75" customHeight="1">
      <c r="A34848" s="7"/>
      <c r="B34848" s="7"/>
      <c r="M34848" s="9" t="s">
        <v>39</v>
      </c>
    </row>
    <row r="34849" ht="15.75" customHeight="1">
      <c r="A34849" s="7"/>
      <c r="B34849" s="7"/>
      <c r="M34849" s="9" t="s">
        <v>37</v>
      </c>
    </row>
    <row r="34850" ht="15.75" customHeight="1">
      <c r="A34850" s="7"/>
      <c r="B34850" s="7"/>
      <c r="M34850" s="9" t="s">
        <v>22</v>
      </c>
    </row>
    <row r="34851" ht="15.75" customHeight="1">
      <c r="A34851" s="7"/>
      <c r="B34851" s="7"/>
      <c r="M34851" s="9" t="s">
        <v>27</v>
      </c>
    </row>
    <row r="34852" ht="15.75" customHeight="1">
      <c r="A34852" s="7"/>
      <c r="B34852" s="7"/>
      <c r="M34852" s="9" t="s">
        <v>26</v>
      </c>
    </row>
    <row r="34853" ht="15.75" customHeight="1">
      <c r="A34853" s="7"/>
      <c r="B34853" s="7"/>
      <c r="M34853" s="9" t="s">
        <v>24</v>
      </c>
    </row>
    <row r="34854" ht="15.75" customHeight="1">
      <c r="A34854" s="7"/>
      <c r="B34854" s="7"/>
      <c r="M34854" s="9" t="s">
        <v>21</v>
      </c>
    </row>
    <row r="34855" ht="15.75" customHeight="1">
      <c r="A34855" s="7"/>
      <c r="B34855" s="7"/>
      <c r="M34855" s="9" t="s">
        <v>24</v>
      </c>
    </row>
    <row r="34856" ht="15.75" customHeight="1">
      <c r="A34856" s="7"/>
      <c r="B34856" s="7"/>
      <c r="M34856" s="9" t="s">
        <v>21</v>
      </c>
    </row>
    <row r="34857" ht="15.75" customHeight="1">
      <c r="A34857" s="7"/>
      <c r="B34857" s="7"/>
      <c r="M34857" s="9" t="s">
        <v>37</v>
      </c>
    </row>
    <row r="34858" ht="15.75" customHeight="1">
      <c r="A34858" s="7"/>
      <c r="B34858" s="7"/>
      <c r="M34858" s="9" t="s">
        <v>32</v>
      </c>
    </row>
    <row r="34859" ht="15.75" customHeight="1">
      <c r="A34859" s="7"/>
      <c r="B34859" s="7"/>
      <c r="M34859" s="9" t="s">
        <v>27</v>
      </c>
    </row>
    <row r="34860" ht="15.75" customHeight="1">
      <c r="A34860" s="7"/>
      <c r="B34860" s="7"/>
      <c r="M34860" s="9" t="s">
        <v>38</v>
      </c>
    </row>
    <row r="34861" ht="15.75" customHeight="1">
      <c r="A34861" s="7"/>
      <c r="B34861" s="7"/>
      <c r="M34861" s="9" t="s">
        <v>30</v>
      </c>
    </row>
    <row r="34862" ht="15.75" customHeight="1">
      <c r="A34862" s="7"/>
      <c r="B34862" s="7"/>
      <c r="M34862" s="9" t="s">
        <v>23</v>
      </c>
    </row>
    <row r="34863" ht="15.75" customHeight="1">
      <c r="A34863" s="7"/>
      <c r="B34863" s="7"/>
      <c r="M34863" s="9" t="s">
        <v>26</v>
      </c>
    </row>
    <row r="34864" ht="15.75" customHeight="1">
      <c r="A34864" s="7"/>
      <c r="B34864" s="7"/>
      <c r="M34864" s="9" t="s">
        <v>25</v>
      </c>
    </row>
    <row r="34865" ht="15.75" customHeight="1">
      <c r="A34865" s="7"/>
      <c r="B34865" s="7"/>
      <c r="M34865" s="9" t="s">
        <v>23</v>
      </c>
    </row>
    <row r="34866" ht="15.75" customHeight="1">
      <c r="A34866" s="7"/>
      <c r="B34866" s="7"/>
      <c r="M34866" s="9" t="s">
        <v>26</v>
      </c>
    </row>
    <row r="34867" ht="15.75" customHeight="1">
      <c r="A34867" s="7"/>
      <c r="B34867" s="7"/>
      <c r="M34867" s="9" t="s">
        <v>24</v>
      </c>
    </row>
    <row r="34868" ht="15.75" customHeight="1">
      <c r="A34868" s="7"/>
      <c r="B34868" s="7"/>
      <c r="M34868" s="9" t="s">
        <v>20</v>
      </c>
    </row>
    <row r="34869" ht="15.75" customHeight="1">
      <c r="A34869" s="7"/>
      <c r="B34869" s="7"/>
      <c r="M34869" s="9" t="s">
        <v>21</v>
      </c>
    </row>
    <row r="34870" ht="15.75" customHeight="1">
      <c r="A34870" s="7"/>
      <c r="B34870" s="7"/>
      <c r="M34870" s="9" t="s">
        <v>37</v>
      </c>
    </row>
    <row r="34871" ht="15.75" customHeight="1">
      <c r="A34871" s="7"/>
      <c r="B34871" s="7"/>
      <c r="M34871" s="9" t="s">
        <v>22</v>
      </c>
    </row>
    <row r="34872" ht="15.75" customHeight="1">
      <c r="A34872" s="7"/>
      <c r="B34872" s="7"/>
      <c r="M34872" s="9" t="s">
        <v>27</v>
      </c>
    </row>
    <row r="34873" ht="15.75" customHeight="1">
      <c r="A34873" s="7"/>
      <c r="B34873" s="7"/>
      <c r="M34873" s="9" t="s">
        <v>40</v>
      </c>
    </row>
    <row r="34874" ht="15.75" customHeight="1">
      <c r="A34874" s="7"/>
      <c r="B34874" s="7"/>
      <c r="M34874" s="9" t="s">
        <v>30</v>
      </c>
    </row>
    <row r="34875" ht="15.75" customHeight="1">
      <c r="A34875" s="7"/>
      <c r="B34875" s="7"/>
      <c r="M34875" s="9" t="s">
        <v>26</v>
      </c>
    </row>
    <row r="34876" ht="15.75" customHeight="1">
      <c r="A34876" s="7"/>
      <c r="B34876" s="7"/>
      <c r="M34876" s="9" t="s">
        <v>24</v>
      </c>
    </row>
    <row r="34877" ht="15.75" customHeight="1">
      <c r="A34877" s="7"/>
      <c r="B34877" s="7"/>
      <c r="M34877" s="9" t="s">
        <v>21</v>
      </c>
    </row>
    <row r="34878" ht="15.75" customHeight="1">
      <c r="A34878" s="7"/>
      <c r="B34878" s="7"/>
      <c r="M34878" s="9" t="s">
        <v>27</v>
      </c>
    </row>
    <row r="34879" ht="15.75" customHeight="1">
      <c r="A34879" s="7"/>
      <c r="B34879" s="7"/>
      <c r="M34879" s="9" t="s">
        <v>33</v>
      </c>
    </row>
    <row r="34880" ht="15.75" customHeight="1">
      <c r="A34880" s="7"/>
      <c r="B34880" s="7"/>
      <c r="M34880" s="9" t="s">
        <v>30</v>
      </c>
    </row>
    <row r="34881" ht="15.75" customHeight="1">
      <c r="A34881" s="7"/>
      <c r="B34881" s="7"/>
      <c r="M34881" s="9" t="s">
        <v>24</v>
      </c>
    </row>
    <row r="34882" ht="15.75" customHeight="1">
      <c r="A34882" s="7"/>
      <c r="B34882" s="7"/>
      <c r="M34882" s="9" t="s">
        <v>20</v>
      </c>
    </row>
    <row r="34883" ht="15.75" customHeight="1">
      <c r="A34883" s="7"/>
      <c r="B34883" s="7"/>
      <c r="M34883" s="9" t="s">
        <v>21</v>
      </c>
    </row>
    <row r="34884" ht="15.75" customHeight="1">
      <c r="A34884" s="7"/>
      <c r="B34884" s="7"/>
      <c r="M34884" s="9" t="s">
        <v>27</v>
      </c>
    </row>
    <row r="34885" ht="15.75" customHeight="1">
      <c r="A34885" s="7"/>
      <c r="B34885" s="7"/>
      <c r="M34885" s="9" t="s">
        <v>30</v>
      </c>
    </row>
    <row r="34886" ht="15.75" customHeight="1">
      <c r="A34886" s="7"/>
      <c r="B34886" s="7"/>
      <c r="M34886" s="9" t="s">
        <v>36</v>
      </c>
    </row>
    <row r="34887" ht="15.75" customHeight="1">
      <c r="A34887" s="7"/>
      <c r="B34887" s="7"/>
      <c r="M34887" s="9" t="s">
        <v>24</v>
      </c>
    </row>
    <row r="34888" ht="15.75" customHeight="1">
      <c r="A34888" s="7"/>
      <c r="B34888" s="7"/>
      <c r="M34888" s="9" t="s">
        <v>20</v>
      </c>
    </row>
    <row r="34889" ht="15.75" customHeight="1">
      <c r="A34889" s="7"/>
      <c r="B34889" s="7"/>
      <c r="M34889" s="9" t="s">
        <v>21</v>
      </c>
    </row>
    <row r="34890" ht="15.75" customHeight="1">
      <c r="A34890" s="7"/>
      <c r="B34890" s="7"/>
      <c r="M34890" s="9" t="s">
        <v>37</v>
      </c>
    </row>
    <row r="34891" ht="15.75" customHeight="1">
      <c r="A34891" s="7"/>
      <c r="B34891" s="7"/>
      <c r="M34891" s="9" t="s">
        <v>27</v>
      </c>
    </row>
    <row r="34892" ht="15.75" customHeight="1">
      <c r="A34892" s="7"/>
      <c r="B34892" s="7"/>
      <c r="M34892" s="9" t="s">
        <v>30</v>
      </c>
    </row>
    <row r="34893" ht="15.75" customHeight="1">
      <c r="A34893" s="7"/>
      <c r="B34893" s="7"/>
      <c r="M34893" s="9" t="s">
        <v>23</v>
      </c>
    </row>
    <row r="34894" ht="15.75" customHeight="1">
      <c r="A34894" s="7"/>
      <c r="B34894" s="7"/>
      <c r="M34894" s="9" t="s">
        <v>26</v>
      </c>
    </row>
    <row r="34895" ht="15.75" customHeight="1">
      <c r="A34895" s="7"/>
      <c r="B34895" s="7"/>
      <c r="M34895" s="9" t="s">
        <v>24</v>
      </c>
    </row>
    <row r="34896" ht="15.75" customHeight="1">
      <c r="A34896" s="7"/>
      <c r="B34896" s="7"/>
      <c r="M34896" s="9" t="s">
        <v>20</v>
      </c>
    </row>
    <row r="34897" ht="15.75" customHeight="1">
      <c r="A34897" s="7"/>
      <c r="B34897" s="7"/>
      <c r="M34897" s="9" t="s">
        <v>21</v>
      </c>
    </row>
    <row r="34898" ht="15.75" customHeight="1">
      <c r="A34898" s="7"/>
      <c r="B34898" s="7"/>
      <c r="M34898" s="9" t="s">
        <v>39</v>
      </c>
    </row>
    <row r="34899" ht="15.75" customHeight="1">
      <c r="A34899" s="7"/>
      <c r="B34899" s="7"/>
      <c r="M34899" s="9" t="s">
        <v>22</v>
      </c>
    </row>
    <row r="34900" ht="15.75" customHeight="1">
      <c r="A34900" s="7"/>
      <c r="B34900" s="7"/>
      <c r="M34900" s="9" t="s">
        <v>27</v>
      </c>
    </row>
    <row r="34901" ht="15.75" customHeight="1">
      <c r="A34901" s="7"/>
      <c r="B34901" s="7"/>
      <c r="M34901" s="9" t="s">
        <v>30</v>
      </c>
    </row>
    <row r="34902" ht="15.75" customHeight="1">
      <c r="A34902" s="7"/>
      <c r="B34902" s="7"/>
      <c r="M34902" s="9" t="s">
        <v>24</v>
      </c>
    </row>
    <row r="34903" ht="15.75" customHeight="1">
      <c r="A34903" s="7"/>
      <c r="B34903" s="7"/>
      <c r="M34903" s="9" t="s">
        <v>21</v>
      </c>
    </row>
    <row r="34904" ht="15.75" customHeight="1">
      <c r="A34904" s="7"/>
      <c r="B34904" s="7"/>
      <c r="M34904" s="9" t="s">
        <v>22</v>
      </c>
    </row>
    <row r="34905" ht="15.75" customHeight="1">
      <c r="A34905" s="7"/>
      <c r="B34905" s="7"/>
      <c r="M34905" s="9" t="s">
        <v>29</v>
      </c>
    </row>
    <row r="34906" ht="15.75" customHeight="1">
      <c r="A34906" s="7"/>
      <c r="B34906" s="7"/>
      <c r="M34906" s="9" t="s">
        <v>31</v>
      </c>
    </row>
    <row r="34907" ht="15.75" customHeight="1">
      <c r="A34907" s="7"/>
      <c r="B34907" s="7"/>
      <c r="M34907" s="9" t="s">
        <v>27</v>
      </c>
    </row>
    <row r="34908" ht="15.75" customHeight="1">
      <c r="A34908" s="7"/>
      <c r="B34908" s="7"/>
      <c r="M34908" s="9" t="s">
        <v>26</v>
      </c>
    </row>
    <row r="34909" ht="15.75" customHeight="1">
      <c r="A34909" s="7"/>
      <c r="B34909" s="7"/>
      <c r="M34909" s="9" t="s">
        <v>24</v>
      </c>
    </row>
    <row r="34910" ht="15.75" customHeight="1">
      <c r="A34910" s="7"/>
      <c r="B34910" s="7"/>
      <c r="M34910" s="9" t="s">
        <v>21</v>
      </c>
    </row>
    <row r="34911" ht="15.75" customHeight="1">
      <c r="A34911" s="7"/>
      <c r="B34911" s="7"/>
      <c r="M34911" s="9" t="s">
        <v>27</v>
      </c>
    </row>
    <row r="34912" ht="15.75" customHeight="1">
      <c r="A34912" s="7"/>
      <c r="B34912" s="7"/>
      <c r="M34912" s="9" t="s">
        <v>33</v>
      </c>
    </row>
    <row r="34913" ht="15.75" customHeight="1">
      <c r="A34913" s="7"/>
      <c r="B34913" s="7"/>
      <c r="M34913" s="9" t="s">
        <v>38</v>
      </c>
    </row>
    <row r="34914" ht="15.75" customHeight="1">
      <c r="A34914" s="7"/>
      <c r="B34914" s="7"/>
      <c r="M34914" s="9" t="s">
        <v>30</v>
      </c>
    </row>
    <row r="34915" ht="15.75" customHeight="1">
      <c r="A34915" s="7"/>
      <c r="B34915" s="7"/>
      <c r="M34915" s="9" t="s">
        <v>25</v>
      </c>
    </row>
    <row r="34916" ht="15.75" customHeight="1">
      <c r="A34916" s="7"/>
      <c r="B34916" s="7"/>
      <c r="M34916" s="9" t="s">
        <v>23</v>
      </c>
    </row>
    <row r="34917" ht="15.75" customHeight="1">
      <c r="A34917" s="7"/>
      <c r="B34917" s="7"/>
      <c r="M34917" s="9" t="s">
        <v>20</v>
      </c>
    </row>
    <row r="34918" ht="15.75" customHeight="1">
      <c r="A34918" s="7"/>
      <c r="B34918" s="7"/>
      <c r="M34918" s="9" t="s">
        <v>21</v>
      </c>
    </row>
    <row r="34919" ht="15.75" customHeight="1">
      <c r="A34919" s="7"/>
      <c r="B34919" s="7"/>
      <c r="M34919" s="9" t="s">
        <v>22</v>
      </c>
    </row>
    <row r="34920" ht="15.75" customHeight="1">
      <c r="A34920" s="7"/>
      <c r="B34920" s="7"/>
      <c r="M34920" s="9" t="s">
        <v>27</v>
      </c>
    </row>
    <row r="34921" ht="15.75" customHeight="1">
      <c r="A34921" s="7"/>
      <c r="B34921" s="7"/>
      <c r="M34921" s="9" t="s">
        <v>24</v>
      </c>
    </row>
    <row r="34922" ht="15.75" customHeight="1">
      <c r="A34922" s="7"/>
      <c r="B34922" s="7"/>
      <c r="M34922" s="9" t="s">
        <v>21</v>
      </c>
    </row>
    <row r="34923" ht="15.75" customHeight="1">
      <c r="A34923" s="7"/>
      <c r="B34923" s="7"/>
      <c r="M34923" s="9" t="s">
        <v>37</v>
      </c>
    </row>
    <row r="34924" ht="15.75" customHeight="1">
      <c r="A34924" s="7"/>
      <c r="B34924" s="7"/>
      <c r="M34924" s="9" t="s">
        <v>31</v>
      </c>
    </row>
    <row r="34925" ht="15.75" customHeight="1">
      <c r="A34925" s="7"/>
      <c r="B34925" s="7"/>
      <c r="M34925" s="9" t="s">
        <v>22</v>
      </c>
    </row>
    <row r="34926" ht="15.75" customHeight="1">
      <c r="A34926" s="7"/>
      <c r="B34926" s="7"/>
      <c r="M34926" s="9" t="s">
        <v>30</v>
      </c>
    </row>
    <row r="34927" ht="15.75" customHeight="1">
      <c r="A34927" s="7"/>
      <c r="B34927" s="7"/>
      <c r="M34927" s="9" t="s">
        <v>24</v>
      </c>
    </row>
    <row r="34928" ht="15.75" customHeight="1">
      <c r="A34928" s="7"/>
      <c r="B34928" s="7"/>
      <c r="M34928" s="9" t="s">
        <v>21</v>
      </c>
    </row>
    <row r="34929" ht="15.75" customHeight="1">
      <c r="A34929" s="7"/>
      <c r="B34929" s="7"/>
      <c r="M34929" s="9" t="s">
        <v>31</v>
      </c>
    </row>
    <row r="34930" ht="15.75" customHeight="1">
      <c r="A34930" s="7"/>
      <c r="B34930" s="7"/>
      <c r="M34930" s="9" t="s">
        <v>27</v>
      </c>
    </row>
    <row r="34931" ht="15.75" customHeight="1">
      <c r="A34931" s="7"/>
      <c r="B34931" s="7"/>
      <c r="M34931" s="9" t="s">
        <v>26</v>
      </c>
    </row>
    <row r="34932" ht="15.75" customHeight="1">
      <c r="A34932" s="7"/>
      <c r="B34932" s="7"/>
      <c r="M34932" s="9" t="s">
        <v>30</v>
      </c>
    </row>
    <row r="34933" ht="15.75" customHeight="1">
      <c r="A34933" s="7"/>
      <c r="B34933" s="7"/>
      <c r="M34933" s="9" t="s">
        <v>24</v>
      </c>
    </row>
    <row r="34934" ht="15.75" customHeight="1">
      <c r="A34934" s="7"/>
      <c r="B34934" s="7"/>
      <c r="M34934" s="9" t="s">
        <v>21</v>
      </c>
    </row>
    <row r="34935" ht="15.75" customHeight="1">
      <c r="A34935" s="7"/>
      <c r="B34935" s="7"/>
      <c r="M34935" s="9" t="s">
        <v>37</v>
      </c>
    </row>
    <row r="34936" ht="15.75" customHeight="1">
      <c r="A34936" s="7"/>
      <c r="B34936" s="7"/>
      <c r="M34936" s="9" t="s">
        <v>27</v>
      </c>
    </row>
    <row r="34937" ht="15.75" customHeight="1">
      <c r="A34937" s="7"/>
      <c r="B34937" s="7"/>
      <c r="M34937" s="9" t="s">
        <v>30</v>
      </c>
    </row>
    <row r="34938" ht="15.75" customHeight="1">
      <c r="A34938" s="7"/>
      <c r="B34938" s="7"/>
      <c r="M34938" s="9" t="s">
        <v>24</v>
      </c>
    </row>
    <row r="34939" ht="15.75" customHeight="1">
      <c r="A34939" s="7"/>
      <c r="B34939" s="7"/>
      <c r="M34939" s="9" t="s">
        <v>20</v>
      </c>
    </row>
    <row r="34940" ht="15.75" customHeight="1">
      <c r="A34940" s="7"/>
      <c r="B34940" s="7"/>
      <c r="M34940" s="9" t="s">
        <v>21</v>
      </c>
    </row>
    <row r="34941" ht="15.75" customHeight="1">
      <c r="A34941" s="7"/>
      <c r="B34941" s="7"/>
      <c r="M34941" s="9" t="s">
        <v>37</v>
      </c>
    </row>
    <row r="34942" ht="15.75" customHeight="1">
      <c r="A34942" s="7"/>
      <c r="B34942" s="7"/>
      <c r="M34942" s="9" t="s">
        <v>27</v>
      </c>
    </row>
    <row r="34943" ht="15.75" customHeight="1">
      <c r="A34943" s="7"/>
      <c r="B34943" s="7"/>
      <c r="M34943" s="9" t="s">
        <v>30</v>
      </c>
    </row>
    <row r="34944" ht="15.75" customHeight="1">
      <c r="A34944" s="7"/>
      <c r="B34944" s="7"/>
      <c r="M34944" s="9" t="s">
        <v>24</v>
      </c>
    </row>
    <row r="34945" ht="15.75" customHeight="1">
      <c r="A34945" s="7"/>
      <c r="B34945" s="7"/>
      <c r="M34945" s="9" t="s">
        <v>21</v>
      </c>
    </row>
    <row r="34946" ht="15.75" customHeight="1">
      <c r="A34946" s="7"/>
      <c r="B34946" s="7"/>
      <c r="M34946" s="9" t="s">
        <v>22</v>
      </c>
    </row>
    <row r="34947" ht="15.75" customHeight="1">
      <c r="A34947" s="7"/>
      <c r="B34947" s="7"/>
      <c r="M34947" s="9" t="s">
        <v>25</v>
      </c>
    </row>
    <row r="34948" ht="15.75" customHeight="1">
      <c r="A34948" s="7"/>
      <c r="B34948" s="7"/>
      <c r="M34948" s="9" t="s">
        <v>23</v>
      </c>
    </row>
    <row r="34949" ht="15.75" customHeight="1">
      <c r="A34949" s="7"/>
      <c r="B34949" s="7"/>
      <c r="M34949" s="9" t="s">
        <v>36</v>
      </c>
    </row>
    <row r="34950" ht="15.75" customHeight="1">
      <c r="A34950" s="7"/>
      <c r="B34950" s="7"/>
      <c r="M34950" s="9" t="s">
        <v>24</v>
      </c>
    </row>
    <row r="34951" ht="15.75" customHeight="1">
      <c r="A34951" s="7"/>
      <c r="B34951" s="7"/>
      <c r="M34951" s="9" t="s">
        <v>21</v>
      </c>
    </row>
    <row r="34952" ht="15.75" customHeight="1">
      <c r="A34952" s="7"/>
      <c r="B34952" s="7"/>
      <c r="M34952" s="9" t="s">
        <v>37</v>
      </c>
    </row>
    <row r="34953" ht="15.75" customHeight="1">
      <c r="A34953" s="7"/>
      <c r="B34953" s="7"/>
      <c r="M34953" s="9" t="s">
        <v>27</v>
      </c>
    </row>
    <row r="34954" ht="15.75" customHeight="1">
      <c r="A34954" s="7"/>
      <c r="B34954" s="7"/>
      <c r="M34954" s="9" t="s">
        <v>30</v>
      </c>
    </row>
    <row r="34955" ht="15.75" customHeight="1">
      <c r="A34955" s="7"/>
      <c r="B34955" s="7"/>
      <c r="M34955" s="9" t="s">
        <v>24</v>
      </c>
    </row>
    <row r="34956" ht="15.75" customHeight="1">
      <c r="A34956" s="7"/>
      <c r="B34956" s="7"/>
      <c r="M34956" s="9" t="s">
        <v>20</v>
      </c>
    </row>
    <row r="34957" ht="15.75" customHeight="1">
      <c r="A34957" s="7"/>
      <c r="B34957" s="7"/>
      <c r="M34957" s="9" t="s">
        <v>21</v>
      </c>
    </row>
    <row r="34958" ht="15.75" customHeight="1">
      <c r="A34958" s="7"/>
      <c r="B34958" s="7"/>
      <c r="M34958" s="9" t="s">
        <v>39</v>
      </c>
    </row>
    <row r="34959" ht="15.75" customHeight="1">
      <c r="A34959" s="7"/>
      <c r="B34959" s="7"/>
      <c r="M34959" s="9" t="s">
        <v>22</v>
      </c>
    </row>
    <row r="34960" ht="15.75" customHeight="1">
      <c r="A34960" s="7"/>
      <c r="B34960" s="7"/>
      <c r="M34960" s="9" t="s">
        <v>29</v>
      </c>
    </row>
    <row r="34961" ht="15.75" customHeight="1">
      <c r="A34961" s="7"/>
      <c r="B34961" s="7"/>
      <c r="M34961" s="9" t="s">
        <v>33</v>
      </c>
    </row>
    <row r="34962" ht="15.75" customHeight="1">
      <c r="A34962" s="7"/>
      <c r="B34962" s="7"/>
      <c r="M34962" s="9" t="s">
        <v>22</v>
      </c>
    </row>
    <row r="34963" ht="15.75" customHeight="1">
      <c r="A34963" s="7"/>
      <c r="B34963" s="7"/>
      <c r="M34963" s="9" t="s">
        <v>29</v>
      </c>
    </row>
    <row r="34964" ht="15.75" customHeight="1">
      <c r="A34964" s="7"/>
      <c r="B34964" s="7"/>
      <c r="M34964" s="9" t="s">
        <v>30</v>
      </c>
    </row>
    <row r="34965" ht="15.75" customHeight="1">
      <c r="A34965" s="7"/>
      <c r="B34965" s="7"/>
      <c r="M34965" s="9" t="s">
        <v>24</v>
      </c>
    </row>
    <row r="34966" ht="15.75" customHeight="1">
      <c r="A34966" s="7"/>
      <c r="B34966" s="7"/>
      <c r="M34966" s="9" t="s">
        <v>20</v>
      </c>
    </row>
    <row r="34967" ht="15.75" customHeight="1">
      <c r="A34967" s="7"/>
      <c r="B34967" s="7"/>
      <c r="M34967" s="9" t="s">
        <v>37</v>
      </c>
    </row>
    <row r="34968" ht="15.75" customHeight="1">
      <c r="A34968" s="7"/>
      <c r="B34968" s="7"/>
      <c r="M34968" s="9" t="s">
        <v>27</v>
      </c>
    </row>
    <row r="34969" ht="15.75" customHeight="1">
      <c r="A34969" s="7"/>
      <c r="B34969" s="7"/>
      <c r="M34969" s="9" t="s">
        <v>26</v>
      </c>
    </row>
    <row r="34970" ht="15.75" customHeight="1">
      <c r="A34970" s="7"/>
      <c r="B34970" s="7"/>
      <c r="M34970" s="9" t="s">
        <v>22</v>
      </c>
    </row>
    <row r="34971" ht="15.75" customHeight="1">
      <c r="A34971" s="7"/>
      <c r="B34971" s="7"/>
      <c r="M34971" s="9" t="s">
        <v>24</v>
      </c>
    </row>
    <row r="34972" ht="15.75" customHeight="1">
      <c r="A34972" s="7"/>
      <c r="B34972" s="7"/>
      <c r="M34972" s="9" t="s">
        <v>20</v>
      </c>
    </row>
    <row r="34973" ht="15.75" customHeight="1">
      <c r="A34973" s="7"/>
      <c r="B34973" s="7"/>
      <c r="M34973" s="9" t="s">
        <v>21</v>
      </c>
    </row>
    <row r="34974" ht="15.75" customHeight="1">
      <c r="A34974" s="7"/>
      <c r="B34974" s="7"/>
      <c r="M34974" s="9" t="s">
        <v>27</v>
      </c>
    </row>
    <row r="34975" ht="15.75" customHeight="1">
      <c r="A34975" s="7"/>
      <c r="B34975" s="7"/>
      <c r="M34975" s="9" t="s">
        <v>33</v>
      </c>
    </row>
    <row r="34976" ht="15.75" customHeight="1">
      <c r="A34976" s="7"/>
      <c r="B34976" s="7"/>
      <c r="M34976" s="9" t="s">
        <v>30</v>
      </c>
    </row>
    <row r="34977" ht="15.75" customHeight="1">
      <c r="A34977" s="7"/>
      <c r="B34977" s="7"/>
      <c r="M34977" s="9" t="s">
        <v>26</v>
      </c>
    </row>
    <row r="34978" ht="15.75" customHeight="1">
      <c r="A34978" s="7"/>
      <c r="B34978" s="7"/>
      <c r="M34978" s="9" t="s">
        <v>24</v>
      </c>
    </row>
    <row r="34979" ht="15.75" customHeight="1">
      <c r="A34979" s="7"/>
      <c r="B34979" s="7"/>
      <c r="M34979" s="9" t="s">
        <v>21</v>
      </c>
    </row>
    <row r="34980" ht="15.75" customHeight="1">
      <c r="A34980" s="7"/>
      <c r="B34980" s="7"/>
      <c r="M34980" s="9" t="s">
        <v>27</v>
      </c>
    </row>
    <row r="34981" ht="15.75" customHeight="1">
      <c r="A34981" s="7"/>
      <c r="B34981" s="7"/>
      <c r="M34981" s="9" t="s">
        <v>33</v>
      </c>
    </row>
    <row r="34982" ht="15.75" customHeight="1">
      <c r="A34982" s="7"/>
      <c r="B34982" s="7"/>
      <c r="M34982" s="9" t="s">
        <v>30</v>
      </c>
    </row>
    <row r="34983" ht="15.75" customHeight="1">
      <c r="A34983" s="7"/>
      <c r="B34983" s="7"/>
      <c r="M34983" s="9" t="s">
        <v>23</v>
      </c>
    </row>
    <row r="34984" ht="15.75" customHeight="1">
      <c r="A34984" s="7"/>
      <c r="B34984" s="7"/>
      <c r="M34984" s="9" t="s">
        <v>24</v>
      </c>
    </row>
    <row r="34985" ht="15.75" customHeight="1">
      <c r="A34985" s="7"/>
      <c r="B34985" s="7"/>
      <c r="M34985" s="9" t="s">
        <v>21</v>
      </c>
    </row>
    <row r="34986" ht="15.75" customHeight="1">
      <c r="A34986" s="7"/>
      <c r="B34986" s="7"/>
      <c r="M34986" s="9" t="s">
        <v>22</v>
      </c>
    </row>
    <row r="34987" ht="15.75" customHeight="1">
      <c r="A34987" s="7"/>
      <c r="B34987" s="7"/>
      <c r="M34987" s="9" t="s">
        <v>27</v>
      </c>
    </row>
    <row r="34988" ht="15.75" customHeight="1">
      <c r="A34988" s="7"/>
      <c r="B34988" s="7"/>
      <c r="M34988" s="9" t="s">
        <v>26</v>
      </c>
    </row>
    <row r="34989" ht="15.75" customHeight="1">
      <c r="A34989" s="7"/>
      <c r="B34989" s="7"/>
      <c r="M34989" s="9" t="s">
        <v>22</v>
      </c>
    </row>
    <row r="34990" ht="15.75" customHeight="1">
      <c r="A34990" s="7"/>
      <c r="B34990" s="7"/>
      <c r="M34990" s="9" t="s">
        <v>20</v>
      </c>
    </row>
    <row r="34991" ht="15.75" customHeight="1">
      <c r="A34991" s="7"/>
      <c r="B34991" s="7"/>
      <c r="M34991" s="9" t="s">
        <v>21</v>
      </c>
    </row>
    <row r="34992" ht="15.75" customHeight="1">
      <c r="A34992" s="7"/>
      <c r="B34992" s="7"/>
      <c r="M34992" s="9" t="s">
        <v>33</v>
      </c>
    </row>
    <row r="34993" ht="15.75" customHeight="1">
      <c r="A34993" s="7"/>
      <c r="B34993" s="7"/>
      <c r="M34993" s="9" t="s">
        <v>35</v>
      </c>
    </row>
    <row r="34994" ht="15.75" customHeight="1">
      <c r="A34994" s="7"/>
      <c r="B34994" s="7"/>
      <c r="M34994" s="9" t="s">
        <v>26</v>
      </c>
    </row>
    <row r="34995" ht="15.75" customHeight="1">
      <c r="A34995" s="7"/>
      <c r="B34995" s="7"/>
      <c r="M34995" s="9" t="s">
        <v>24</v>
      </c>
    </row>
    <row r="34996" ht="15.75" customHeight="1">
      <c r="A34996" s="7"/>
      <c r="B34996" s="7"/>
      <c r="M34996" s="9" t="s">
        <v>27</v>
      </c>
    </row>
    <row r="34997" ht="15.75" customHeight="1">
      <c r="A34997" s="7"/>
      <c r="B34997" s="7"/>
      <c r="M34997" s="9" t="s">
        <v>33</v>
      </c>
    </row>
    <row r="34998" ht="15.75" customHeight="1">
      <c r="A34998" s="7"/>
      <c r="B34998" s="7"/>
      <c r="M34998" s="9" t="s">
        <v>30</v>
      </c>
    </row>
    <row r="34999" ht="15.75" customHeight="1">
      <c r="A34999" s="7"/>
      <c r="B34999" s="7"/>
      <c r="M34999" s="9" t="s">
        <v>26</v>
      </c>
    </row>
    <row r="35000" ht="15.75" customHeight="1">
      <c r="A35000" s="7"/>
      <c r="B35000" s="7"/>
      <c r="M35000" s="9" t="s">
        <v>21</v>
      </c>
    </row>
    <row r="35001" ht="15.75" customHeight="1">
      <c r="A35001" s="7"/>
      <c r="B35001" s="7"/>
      <c r="M35001" s="9" t="s">
        <v>22</v>
      </c>
    </row>
    <row r="35002" ht="15.75" customHeight="1">
      <c r="A35002" s="7"/>
      <c r="B35002" s="7"/>
      <c r="M35002" s="9" t="s">
        <v>27</v>
      </c>
    </row>
    <row r="35003" ht="15.75" customHeight="1">
      <c r="A35003" s="7"/>
      <c r="B35003" s="7"/>
      <c r="M35003" s="9" t="s">
        <v>30</v>
      </c>
    </row>
    <row r="35004" ht="15.75" customHeight="1">
      <c r="A35004" s="7"/>
      <c r="B35004" s="7"/>
      <c r="M35004" s="9" t="s">
        <v>26</v>
      </c>
    </row>
    <row r="35005" ht="15.75" customHeight="1">
      <c r="A35005" s="7"/>
      <c r="B35005" s="7"/>
      <c r="M35005" s="9" t="s">
        <v>24</v>
      </c>
    </row>
    <row r="35006" ht="15.75" customHeight="1">
      <c r="A35006" s="7"/>
      <c r="B35006" s="7"/>
      <c r="M35006" s="9" t="s">
        <v>21</v>
      </c>
    </row>
    <row r="35007" ht="15.75" customHeight="1">
      <c r="A35007" s="7"/>
      <c r="B35007" s="7"/>
      <c r="M35007" s="9" t="s">
        <v>37</v>
      </c>
    </row>
    <row r="35008" ht="15.75" customHeight="1">
      <c r="A35008" s="7"/>
      <c r="B35008" s="7"/>
      <c r="M35008" s="9" t="s">
        <v>27</v>
      </c>
    </row>
    <row r="35009" ht="15.75" customHeight="1">
      <c r="A35009" s="7"/>
      <c r="B35009" s="7"/>
      <c r="M35009" s="9" t="s">
        <v>26</v>
      </c>
    </row>
    <row r="35010" ht="15.75" customHeight="1">
      <c r="A35010" s="7"/>
      <c r="B35010" s="7"/>
      <c r="M35010" s="9" t="s">
        <v>24</v>
      </c>
    </row>
    <row r="35011" ht="15.75" customHeight="1">
      <c r="A35011" s="7"/>
      <c r="B35011" s="7"/>
      <c r="M35011" s="9" t="s">
        <v>21</v>
      </c>
    </row>
    <row r="35012" ht="15.75" customHeight="1">
      <c r="A35012" s="7"/>
      <c r="B35012" s="7"/>
      <c r="M35012" s="9" t="s">
        <v>27</v>
      </c>
    </row>
    <row r="35013" ht="15.75" customHeight="1">
      <c r="A35013" s="7"/>
      <c r="B35013" s="7"/>
      <c r="M35013" s="9" t="s">
        <v>26</v>
      </c>
    </row>
    <row r="35014" ht="15.75" customHeight="1">
      <c r="A35014" s="7"/>
      <c r="B35014" s="7"/>
      <c r="M35014" s="9" t="s">
        <v>20</v>
      </c>
    </row>
    <row r="35015" ht="15.75" customHeight="1">
      <c r="A35015" s="7"/>
      <c r="B35015" s="7"/>
      <c r="M35015" s="9" t="s">
        <v>39</v>
      </c>
    </row>
    <row r="35016" ht="15.75" customHeight="1">
      <c r="A35016" s="7"/>
      <c r="B35016" s="7"/>
      <c r="M35016" s="9" t="s">
        <v>22</v>
      </c>
    </row>
    <row r="35017" ht="15.75" customHeight="1">
      <c r="A35017" s="7"/>
      <c r="B35017" s="7"/>
      <c r="M35017" s="9" t="s">
        <v>27</v>
      </c>
    </row>
    <row r="35018" ht="15.75" customHeight="1">
      <c r="A35018" s="7"/>
      <c r="B35018" s="7"/>
      <c r="M35018" s="9" t="s">
        <v>30</v>
      </c>
    </row>
    <row r="35019" ht="15.75" customHeight="1">
      <c r="A35019" s="7"/>
      <c r="B35019" s="7"/>
      <c r="M35019" s="9" t="s">
        <v>23</v>
      </c>
    </row>
    <row r="35020" ht="15.75" customHeight="1">
      <c r="A35020" s="7"/>
      <c r="B35020" s="7"/>
      <c r="M35020" s="9" t="s">
        <v>24</v>
      </c>
    </row>
    <row r="35021" ht="15.75" customHeight="1">
      <c r="A35021" s="7"/>
      <c r="B35021" s="7"/>
      <c r="M35021" s="9" t="s">
        <v>37</v>
      </c>
    </row>
    <row r="35022" ht="15.75" customHeight="1">
      <c r="A35022" s="7"/>
      <c r="B35022" s="7"/>
      <c r="M35022" s="9" t="s">
        <v>27</v>
      </c>
    </row>
    <row r="35023" ht="15.75" customHeight="1">
      <c r="A35023" s="7"/>
      <c r="B35023" s="7"/>
      <c r="M35023" s="9" t="s">
        <v>23</v>
      </c>
    </row>
    <row r="35024" ht="15.75" customHeight="1">
      <c r="A35024" s="7"/>
      <c r="B35024" s="7"/>
      <c r="M35024" s="9" t="s">
        <v>24</v>
      </c>
    </row>
    <row r="35025" ht="15.75" customHeight="1">
      <c r="A35025" s="7"/>
      <c r="B35025" s="7"/>
      <c r="M35025" s="9" t="s">
        <v>20</v>
      </c>
    </row>
    <row r="35026" ht="15.75" customHeight="1">
      <c r="A35026" s="7"/>
      <c r="B35026" s="7"/>
      <c r="M35026" s="9" t="s">
        <v>21</v>
      </c>
    </row>
    <row r="35027" ht="15.75" customHeight="1">
      <c r="A35027" s="7"/>
      <c r="B35027" s="7"/>
      <c r="M35027" s="9" t="s">
        <v>37</v>
      </c>
    </row>
    <row r="35028" ht="15.75" customHeight="1">
      <c r="A35028" s="7"/>
      <c r="B35028" s="7"/>
      <c r="M35028" s="9" t="s">
        <v>27</v>
      </c>
    </row>
    <row r="35029" ht="15.75" customHeight="1">
      <c r="A35029" s="7"/>
      <c r="B35029" s="7"/>
      <c r="M35029" s="9" t="s">
        <v>31</v>
      </c>
    </row>
    <row r="35030" ht="15.75" customHeight="1">
      <c r="A35030" s="7"/>
      <c r="B35030" s="7"/>
      <c r="M35030" s="9" t="s">
        <v>30</v>
      </c>
    </row>
    <row r="35031" ht="15.75" customHeight="1">
      <c r="A35031" s="7"/>
      <c r="B35031" s="7"/>
      <c r="M35031" s="9" t="s">
        <v>47</v>
      </c>
    </row>
    <row r="35032" ht="15.75" customHeight="1">
      <c r="A35032" s="7"/>
      <c r="B35032" s="7"/>
      <c r="M35032" s="9" t="s">
        <v>36</v>
      </c>
    </row>
    <row r="35033" ht="15.75" customHeight="1">
      <c r="A35033" s="7"/>
      <c r="B35033" s="7"/>
      <c r="M35033" s="9" t="s">
        <v>21</v>
      </c>
    </row>
    <row r="35034" ht="15.75" customHeight="1">
      <c r="A35034" s="7"/>
      <c r="B35034" s="7"/>
      <c r="M35034" s="9" t="s">
        <v>22</v>
      </c>
    </row>
    <row r="35035" ht="15.75" customHeight="1">
      <c r="A35035" s="7"/>
      <c r="B35035" s="7"/>
      <c r="M35035" s="9" t="s">
        <v>31</v>
      </c>
    </row>
    <row r="35036" ht="15.75" customHeight="1">
      <c r="A35036" s="7"/>
      <c r="B35036" s="7"/>
      <c r="M35036" s="9" t="s">
        <v>33</v>
      </c>
    </row>
    <row r="35037" ht="15.75" customHeight="1">
      <c r="A35037" s="7"/>
      <c r="B35037" s="7"/>
      <c r="M35037" s="9" t="s">
        <v>24</v>
      </c>
    </row>
    <row r="35038" ht="15.75" customHeight="1">
      <c r="A35038" s="7"/>
      <c r="B35038" s="7"/>
      <c r="M35038" s="9" t="s">
        <v>21</v>
      </c>
    </row>
    <row r="35039" ht="15.75" customHeight="1">
      <c r="A35039" s="7"/>
      <c r="B35039" s="7"/>
      <c r="M35039" s="9" t="s">
        <v>37</v>
      </c>
    </row>
    <row r="35040" ht="15.75" customHeight="1">
      <c r="A35040" s="7"/>
      <c r="B35040" s="7"/>
      <c r="M35040" s="9" t="s">
        <v>27</v>
      </c>
    </row>
    <row r="35041" ht="15.75" customHeight="1">
      <c r="A35041" s="7"/>
      <c r="B35041" s="7"/>
      <c r="M35041" s="9" t="s">
        <v>24</v>
      </c>
    </row>
    <row r="35042" ht="15.75" customHeight="1">
      <c r="A35042" s="7"/>
      <c r="B35042" s="7"/>
      <c r="M35042" s="9" t="s">
        <v>20</v>
      </c>
    </row>
    <row r="35043" ht="15.75" customHeight="1">
      <c r="A35043" s="7"/>
      <c r="B35043" s="7"/>
      <c r="M35043" s="9" t="s">
        <v>21</v>
      </c>
    </row>
    <row r="35044" ht="15.75" customHeight="1">
      <c r="A35044" s="7"/>
      <c r="B35044" s="7"/>
      <c r="M35044" s="9" t="s">
        <v>27</v>
      </c>
    </row>
    <row r="35045" ht="15.75" customHeight="1">
      <c r="A35045" s="7"/>
      <c r="B35045" s="7"/>
      <c r="M35045" s="9" t="s">
        <v>24</v>
      </c>
    </row>
    <row r="35046" ht="15.75" customHeight="1">
      <c r="A35046" s="7"/>
      <c r="B35046" s="7"/>
      <c r="M35046" s="9" t="s">
        <v>21</v>
      </c>
    </row>
    <row r="35047" ht="15.75" customHeight="1">
      <c r="A35047" s="7"/>
      <c r="B35047" s="7"/>
      <c r="M35047" s="9" t="s">
        <v>35</v>
      </c>
    </row>
    <row r="35048" ht="15.75" customHeight="1">
      <c r="A35048" s="7"/>
      <c r="B35048" s="7"/>
      <c r="M35048" s="9" t="s">
        <v>27</v>
      </c>
    </row>
    <row r="35049" ht="15.75" customHeight="1">
      <c r="A35049" s="7"/>
      <c r="B35049" s="7"/>
      <c r="M35049" s="9" t="s">
        <v>30</v>
      </c>
    </row>
    <row r="35050" ht="15.75" customHeight="1">
      <c r="A35050" s="7"/>
      <c r="B35050" s="7"/>
      <c r="M35050" s="9" t="s">
        <v>24</v>
      </c>
    </row>
    <row r="35051" ht="15.75" customHeight="1">
      <c r="A35051" s="7"/>
      <c r="B35051" s="7"/>
      <c r="M35051" s="9" t="s">
        <v>21</v>
      </c>
    </row>
    <row r="35052" ht="15.75" customHeight="1">
      <c r="A35052" s="7"/>
      <c r="B35052" s="7"/>
      <c r="M35052" s="9" t="s">
        <v>22</v>
      </c>
    </row>
    <row r="35053" ht="15.75" customHeight="1">
      <c r="A35053" s="7"/>
      <c r="B35053" s="7"/>
      <c r="M35053" s="9" t="s">
        <v>29</v>
      </c>
    </row>
    <row r="35054" ht="15.75" customHeight="1">
      <c r="A35054" s="7"/>
      <c r="B35054" s="7"/>
      <c r="M35054" s="9" t="s">
        <v>31</v>
      </c>
    </row>
    <row r="35055" ht="15.75" customHeight="1">
      <c r="A35055" s="7"/>
      <c r="B35055" s="7"/>
      <c r="M35055" s="9" t="s">
        <v>27</v>
      </c>
    </row>
    <row r="35056" ht="15.75" customHeight="1">
      <c r="A35056" s="7"/>
      <c r="B35056" s="7"/>
      <c r="M35056" s="9" t="s">
        <v>41</v>
      </c>
    </row>
    <row r="35057" ht="15.75" customHeight="1">
      <c r="A35057" s="7"/>
      <c r="B35057" s="7"/>
      <c r="M35057" s="9" t="s">
        <v>40</v>
      </c>
    </row>
    <row r="35058" ht="15.75" customHeight="1">
      <c r="A35058" s="7"/>
      <c r="B35058" s="7"/>
      <c r="M35058" s="9" t="s">
        <v>23</v>
      </c>
    </row>
    <row r="35059" ht="15.75" customHeight="1">
      <c r="A35059" s="7"/>
      <c r="B35059" s="7"/>
      <c r="M35059" s="9" t="s">
        <v>24</v>
      </c>
    </row>
    <row r="35060" ht="15.75" customHeight="1">
      <c r="A35060" s="7"/>
      <c r="B35060" s="7"/>
      <c r="M35060" s="9" t="s">
        <v>21</v>
      </c>
    </row>
    <row r="35061" ht="15.75" customHeight="1">
      <c r="A35061" s="7"/>
      <c r="B35061" s="7"/>
      <c r="M35061" s="9" t="s">
        <v>22</v>
      </c>
    </row>
    <row r="35062" ht="15.75" customHeight="1">
      <c r="A35062" s="7"/>
      <c r="B35062" s="7"/>
      <c r="M35062" s="9" t="s">
        <v>30</v>
      </c>
    </row>
    <row r="35063" ht="15.75" customHeight="1">
      <c r="A35063" s="7"/>
      <c r="B35063" s="7"/>
      <c r="M35063" s="9" t="s">
        <v>24</v>
      </c>
    </row>
    <row r="35064" ht="15.75" customHeight="1">
      <c r="A35064" s="7"/>
      <c r="B35064" s="7"/>
      <c r="M35064" s="9" t="s">
        <v>21</v>
      </c>
    </row>
    <row r="35065" ht="15.75" customHeight="1">
      <c r="A35065" s="7"/>
      <c r="B35065" s="7"/>
      <c r="M35065" s="9" t="s">
        <v>37</v>
      </c>
    </row>
    <row r="35066" ht="15.75" customHeight="1">
      <c r="A35066" s="7"/>
      <c r="B35066" s="7"/>
      <c r="M35066" s="9" t="s">
        <v>27</v>
      </c>
    </row>
    <row r="35067" ht="15.75" customHeight="1">
      <c r="A35067" s="7"/>
      <c r="B35067" s="7"/>
      <c r="M35067" s="9" t="s">
        <v>33</v>
      </c>
    </row>
    <row r="35068" ht="15.75" customHeight="1">
      <c r="A35068" s="7"/>
      <c r="B35068" s="7"/>
      <c r="M35068" s="9" t="s">
        <v>30</v>
      </c>
    </row>
    <row r="35069" ht="15.75" customHeight="1">
      <c r="A35069" s="7"/>
      <c r="B35069" s="7"/>
      <c r="M35069" s="9" t="s">
        <v>26</v>
      </c>
    </row>
    <row r="35070" ht="15.75" customHeight="1">
      <c r="A35070" s="7"/>
      <c r="B35070" s="7"/>
      <c r="M35070" s="9" t="s">
        <v>24</v>
      </c>
    </row>
    <row r="35071" ht="15.75" customHeight="1">
      <c r="A35071" s="7"/>
      <c r="B35071" s="7"/>
      <c r="M35071" s="9" t="s">
        <v>21</v>
      </c>
    </row>
    <row r="35072" ht="15.75" customHeight="1">
      <c r="A35072" s="7"/>
      <c r="B35072" s="7"/>
      <c r="M35072" s="9" t="s">
        <v>27</v>
      </c>
    </row>
    <row r="35073" ht="15.75" customHeight="1">
      <c r="A35073" s="7"/>
      <c r="B35073" s="7"/>
      <c r="M35073" s="9" t="s">
        <v>34</v>
      </c>
    </row>
    <row r="35074" ht="15.75" customHeight="1">
      <c r="A35074" s="7"/>
      <c r="B35074" s="7"/>
      <c r="M35074" s="9" t="s">
        <v>24</v>
      </c>
    </row>
    <row r="35075" ht="15.75" customHeight="1">
      <c r="A35075" s="7"/>
      <c r="B35075" s="7"/>
      <c r="M35075" s="9" t="s">
        <v>20</v>
      </c>
    </row>
    <row r="35076" ht="15.75" customHeight="1">
      <c r="A35076" s="7"/>
      <c r="B35076" s="7"/>
      <c r="M35076" s="9" t="s">
        <v>21</v>
      </c>
    </row>
    <row r="35077" ht="15.75" customHeight="1">
      <c r="A35077" s="7"/>
      <c r="B35077" s="7"/>
      <c r="M35077" s="9" t="s">
        <v>28</v>
      </c>
    </row>
    <row r="35078" ht="15.75" customHeight="1">
      <c r="A35078" s="7"/>
      <c r="B35078" s="7"/>
      <c r="M35078" s="9" t="s">
        <v>24</v>
      </c>
    </row>
    <row r="35079" ht="15.75" customHeight="1">
      <c r="A35079" s="7"/>
      <c r="B35079" s="7"/>
      <c r="M35079" s="9" t="s">
        <v>21</v>
      </c>
    </row>
    <row r="35080" ht="15.75" customHeight="1">
      <c r="A35080" s="7"/>
      <c r="B35080" s="7"/>
      <c r="M35080" s="9" t="s">
        <v>22</v>
      </c>
    </row>
    <row r="35081" ht="15.75" customHeight="1">
      <c r="A35081" s="7"/>
      <c r="B35081" s="7"/>
      <c r="M35081" s="9" t="s">
        <v>30</v>
      </c>
    </row>
    <row r="35082" ht="15.75" customHeight="1">
      <c r="A35082" s="7"/>
      <c r="B35082" s="7"/>
      <c r="M35082" s="9" t="s">
        <v>26</v>
      </c>
    </row>
    <row r="35083" ht="15.75" customHeight="1">
      <c r="A35083" s="7"/>
      <c r="B35083" s="7"/>
      <c r="M35083" s="9" t="s">
        <v>24</v>
      </c>
    </row>
    <row r="35084" ht="15.75" customHeight="1">
      <c r="A35084" s="7"/>
      <c r="B35084" s="7"/>
      <c r="M35084" s="9" t="s">
        <v>21</v>
      </c>
    </row>
    <row r="35085" ht="15.75" customHeight="1">
      <c r="A35085" s="7"/>
      <c r="B35085" s="7"/>
      <c r="M35085" s="9" t="s">
        <v>27</v>
      </c>
    </row>
    <row r="35086" ht="15.75" customHeight="1">
      <c r="A35086" s="7"/>
      <c r="B35086" s="7"/>
      <c r="M35086" s="9" t="s">
        <v>30</v>
      </c>
    </row>
    <row r="35087" ht="15.75" customHeight="1">
      <c r="A35087" s="7"/>
      <c r="B35087" s="7"/>
      <c r="M35087" s="9" t="s">
        <v>24</v>
      </c>
    </row>
    <row r="35088" ht="15.75" customHeight="1">
      <c r="A35088" s="7"/>
      <c r="B35088" s="7"/>
      <c r="M35088" s="9" t="s">
        <v>20</v>
      </c>
    </row>
    <row r="35089" ht="15.75" customHeight="1">
      <c r="A35089" s="7"/>
      <c r="B35089" s="7"/>
      <c r="M35089" s="9" t="s">
        <v>21</v>
      </c>
    </row>
    <row r="35090" ht="15.75" customHeight="1">
      <c r="A35090" s="7"/>
      <c r="B35090" s="7"/>
      <c r="M35090" s="9" t="s">
        <v>27</v>
      </c>
    </row>
    <row r="35091" ht="15.75" customHeight="1">
      <c r="A35091" s="7"/>
      <c r="B35091" s="7"/>
      <c r="M35091" s="9" t="s">
        <v>25</v>
      </c>
    </row>
    <row r="35092" ht="15.75" customHeight="1">
      <c r="A35092" s="7"/>
      <c r="B35092" s="7"/>
      <c r="M35092" s="9" t="s">
        <v>24</v>
      </c>
    </row>
    <row r="35093" ht="15.75" customHeight="1">
      <c r="A35093" s="7"/>
      <c r="B35093" s="7"/>
      <c r="M35093" s="9" t="s">
        <v>20</v>
      </c>
    </row>
    <row r="35094" ht="15.75" customHeight="1">
      <c r="A35094" s="7"/>
      <c r="B35094" s="7"/>
      <c r="M35094" s="9" t="s">
        <v>21</v>
      </c>
    </row>
    <row r="35095" ht="15.75" customHeight="1">
      <c r="A35095" s="7"/>
      <c r="B35095" s="7"/>
      <c r="M35095" s="9" t="s">
        <v>27</v>
      </c>
    </row>
    <row r="35096" ht="15.75" customHeight="1">
      <c r="A35096" s="7"/>
      <c r="B35096" s="7"/>
      <c r="M35096" s="9" t="s">
        <v>30</v>
      </c>
    </row>
    <row r="35097" ht="15.75" customHeight="1">
      <c r="A35097" s="7"/>
      <c r="B35097" s="7"/>
      <c r="M35097" s="9" t="s">
        <v>26</v>
      </c>
    </row>
    <row r="35098" ht="15.75" customHeight="1">
      <c r="A35098" s="7"/>
      <c r="B35098" s="7"/>
      <c r="M35098" s="9" t="s">
        <v>36</v>
      </c>
    </row>
    <row r="35099" ht="15.75" customHeight="1">
      <c r="A35099" s="7"/>
      <c r="B35099" s="7"/>
      <c r="M35099" s="9" t="s">
        <v>24</v>
      </c>
    </row>
    <row r="35100" ht="15.75" customHeight="1">
      <c r="A35100" s="7"/>
      <c r="B35100" s="7"/>
      <c r="M35100" s="9" t="s">
        <v>21</v>
      </c>
    </row>
    <row r="35101" ht="15.75" customHeight="1">
      <c r="A35101" s="7"/>
      <c r="B35101" s="7"/>
      <c r="M35101" s="9" t="s">
        <v>29</v>
      </c>
    </row>
    <row r="35102" ht="15.75" customHeight="1">
      <c r="A35102" s="7"/>
      <c r="B35102" s="7"/>
      <c r="M35102" s="9" t="s">
        <v>27</v>
      </c>
    </row>
    <row r="35103" ht="15.75" customHeight="1">
      <c r="A35103" s="7"/>
      <c r="B35103" s="7"/>
      <c r="M35103" s="9" t="s">
        <v>34</v>
      </c>
    </row>
    <row r="35104" ht="15.75" customHeight="1">
      <c r="A35104" s="7"/>
      <c r="B35104" s="7"/>
      <c r="M35104" s="9" t="s">
        <v>20</v>
      </c>
    </row>
    <row r="35105" ht="15.75" customHeight="1">
      <c r="A35105" s="7"/>
      <c r="B35105" s="7"/>
      <c r="M35105" s="9" t="s">
        <v>26</v>
      </c>
    </row>
    <row r="35106" ht="15.75" customHeight="1">
      <c r="A35106" s="7"/>
      <c r="B35106" s="7"/>
      <c r="M35106" s="9" t="s">
        <v>24</v>
      </c>
    </row>
    <row r="35107" ht="15.75" customHeight="1">
      <c r="A35107" s="7"/>
      <c r="B35107" s="7"/>
      <c r="M35107" s="9" t="s">
        <v>20</v>
      </c>
    </row>
    <row r="35108" ht="15.75" customHeight="1">
      <c r="A35108" s="7"/>
      <c r="B35108" s="7"/>
      <c r="M35108" s="9" t="s">
        <v>21</v>
      </c>
    </row>
    <row r="35109" ht="15.75" customHeight="1">
      <c r="A35109" s="7"/>
      <c r="B35109" s="7"/>
      <c r="M35109" s="9" t="s">
        <v>37</v>
      </c>
    </row>
    <row r="35110" ht="15.75" customHeight="1">
      <c r="A35110" s="7"/>
      <c r="B35110" s="7"/>
      <c r="M35110" s="9" t="s">
        <v>22</v>
      </c>
    </row>
    <row r="35111" ht="15.75" customHeight="1">
      <c r="A35111" s="7"/>
      <c r="B35111" s="7"/>
      <c r="M35111" s="9" t="s">
        <v>33</v>
      </c>
    </row>
    <row r="35112" ht="15.75" customHeight="1">
      <c r="A35112" s="7"/>
      <c r="B35112" s="7"/>
      <c r="M35112" s="9" t="s">
        <v>30</v>
      </c>
    </row>
    <row r="35113" ht="15.75" customHeight="1">
      <c r="A35113" s="7"/>
      <c r="B35113" s="7"/>
      <c r="M35113" s="9" t="s">
        <v>26</v>
      </c>
    </row>
    <row r="35114" ht="15.75" customHeight="1">
      <c r="A35114" s="7"/>
      <c r="B35114" s="7"/>
      <c r="M35114" s="9" t="s">
        <v>24</v>
      </c>
    </row>
    <row r="35115" ht="15.75" customHeight="1">
      <c r="A35115" s="7"/>
      <c r="B35115" s="7"/>
      <c r="M35115" s="9" t="s">
        <v>20</v>
      </c>
    </row>
    <row r="35116" ht="15.75" customHeight="1">
      <c r="A35116" s="7"/>
      <c r="B35116" s="7"/>
      <c r="M35116" s="9" t="s">
        <v>21</v>
      </c>
    </row>
    <row r="35117" ht="15.75" customHeight="1">
      <c r="A35117" s="7"/>
      <c r="B35117" s="7"/>
      <c r="M35117" s="9" t="s">
        <v>37</v>
      </c>
    </row>
    <row r="35118" ht="15.75" customHeight="1">
      <c r="A35118" s="7"/>
      <c r="B35118" s="7"/>
      <c r="M35118" s="9" t="s">
        <v>22</v>
      </c>
    </row>
    <row r="35119" ht="15.75" customHeight="1">
      <c r="A35119" s="7"/>
      <c r="B35119" s="7"/>
      <c r="M35119" s="9" t="s">
        <v>29</v>
      </c>
    </row>
    <row r="35120" ht="15.75" customHeight="1">
      <c r="A35120" s="7"/>
      <c r="B35120" s="7"/>
      <c r="M35120" s="9" t="s">
        <v>31</v>
      </c>
    </row>
    <row r="35121" ht="15.75" customHeight="1">
      <c r="A35121" s="7"/>
      <c r="B35121" s="7"/>
      <c r="M35121" s="9" t="s">
        <v>27</v>
      </c>
    </row>
    <row r="35122" ht="15.75" customHeight="1">
      <c r="A35122" s="7"/>
      <c r="B35122" s="7"/>
      <c r="M35122" s="9" t="s">
        <v>28</v>
      </c>
    </row>
    <row r="35123" ht="15.75" customHeight="1">
      <c r="A35123" s="7"/>
      <c r="B35123" s="7"/>
      <c r="M35123" s="9" t="s">
        <v>30</v>
      </c>
    </row>
    <row r="35124" ht="15.75" customHeight="1">
      <c r="A35124" s="7"/>
      <c r="B35124" s="7"/>
      <c r="M35124" s="9" t="s">
        <v>25</v>
      </c>
    </row>
    <row r="35125" ht="15.75" customHeight="1">
      <c r="A35125" s="7"/>
      <c r="B35125" s="7"/>
      <c r="M35125" s="9" t="s">
        <v>23</v>
      </c>
    </row>
    <row r="35126" ht="15.75" customHeight="1">
      <c r="A35126" s="7"/>
      <c r="B35126" s="7"/>
      <c r="M35126" s="9" t="s">
        <v>26</v>
      </c>
    </row>
    <row r="35127" ht="15.75" customHeight="1">
      <c r="A35127" s="7"/>
      <c r="B35127" s="7"/>
      <c r="M35127" s="9" t="s">
        <v>24</v>
      </c>
    </row>
    <row r="35128" ht="15.75" customHeight="1">
      <c r="A35128" s="7"/>
      <c r="B35128" s="7"/>
      <c r="M35128" s="9" t="s">
        <v>21</v>
      </c>
    </row>
    <row r="35129" ht="15.75" customHeight="1">
      <c r="A35129" s="7"/>
      <c r="B35129" s="7"/>
      <c r="M35129" s="9" t="s">
        <v>33</v>
      </c>
    </row>
    <row r="35130" ht="15.75" customHeight="1">
      <c r="A35130" s="7"/>
      <c r="B35130" s="7"/>
      <c r="M35130" s="9" t="s">
        <v>26</v>
      </c>
    </row>
    <row r="35131" ht="15.75" customHeight="1">
      <c r="A35131" s="7"/>
      <c r="B35131" s="7"/>
      <c r="M35131" s="9" t="s">
        <v>24</v>
      </c>
    </row>
    <row r="35132" ht="15.75" customHeight="1">
      <c r="A35132" s="7"/>
      <c r="B35132" s="7"/>
      <c r="M35132" s="9" t="s">
        <v>20</v>
      </c>
    </row>
    <row r="35133" ht="15.75" customHeight="1">
      <c r="A35133" s="7"/>
      <c r="B35133" s="7"/>
      <c r="M35133" s="9" t="s">
        <v>21</v>
      </c>
    </row>
    <row r="35134" ht="15.75" customHeight="1">
      <c r="A35134" s="7"/>
      <c r="B35134" s="7"/>
      <c r="M35134" s="9" t="s">
        <v>27</v>
      </c>
    </row>
    <row r="35135" ht="15.75" customHeight="1">
      <c r="A35135" s="7"/>
      <c r="B35135" s="7"/>
      <c r="M35135" s="9" t="s">
        <v>28</v>
      </c>
    </row>
    <row r="35136" ht="15.75" customHeight="1">
      <c r="A35136" s="7"/>
      <c r="B35136" s="7"/>
      <c r="M35136" s="9" t="s">
        <v>26</v>
      </c>
    </row>
    <row r="35137" ht="15.75" customHeight="1">
      <c r="A35137" s="7"/>
      <c r="B35137" s="7"/>
      <c r="M35137" s="9" t="s">
        <v>24</v>
      </c>
    </row>
    <row r="35138" ht="15.75" customHeight="1">
      <c r="A35138" s="7"/>
      <c r="B35138" s="7"/>
      <c r="M35138" s="9" t="s">
        <v>21</v>
      </c>
    </row>
    <row r="35139" ht="15.75" customHeight="1">
      <c r="A35139" s="7"/>
      <c r="B35139" s="7"/>
      <c r="M35139" s="9" t="s">
        <v>37</v>
      </c>
    </row>
    <row r="35140" ht="15.75" customHeight="1">
      <c r="A35140" s="7"/>
      <c r="B35140" s="7"/>
      <c r="M35140" s="9" t="s">
        <v>27</v>
      </c>
    </row>
    <row r="35141" ht="15.75" customHeight="1">
      <c r="A35141" s="7"/>
      <c r="B35141" s="7"/>
      <c r="M35141" s="9" t="s">
        <v>33</v>
      </c>
    </row>
    <row r="35142" ht="15.75" customHeight="1">
      <c r="A35142" s="7"/>
      <c r="B35142" s="7"/>
      <c r="M35142" s="9" t="s">
        <v>30</v>
      </c>
    </row>
    <row r="35143" ht="15.75" customHeight="1">
      <c r="A35143" s="7"/>
      <c r="B35143" s="7"/>
      <c r="M35143" s="9" t="s">
        <v>24</v>
      </c>
    </row>
    <row r="35144" ht="15.75" customHeight="1">
      <c r="A35144" s="7"/>
      <c r="B35144" s="7"/>
      <c r="M35144" s="9" t="s">
        <v>20</v>
      </c>
    </row>
    <row r="35145" ht="15.75" customHeight="1">
      <c r="A35145" s="7"/>
      <c r="B35145" s="7"/>
      <c r="M35145" s="9" t="s">
        <v>21</v>
      </c>
    </row>
    <row r="35146" ht="15.75" customHeight="1">
      <c r="A35146" s="7"/>
      <c r="B35146" s="7"/>
      <c r="M35146" s="9" t="s">
        <v>27</v>
      </c>
    </row>
    <row r="35147" ht="15.75" customHeight="1">
      <c r="A35147" s="7"/>
      <c r="B35147" s="7"/>
      <c r="M35147" s="9" t="s">
        <v>25</v>
      </c>
    </row>
    <row r="35148" ht="15.75" customHeight="1">
      <c r="A35148" s="7"/>
      <c r="B35148" s="7"/>
      <c r="M35148" s="9" t="s">
        <v>23</v>
      </c>
    </row>
    <row r="35149" ht="15.75" customHeight="1">
      <c r="A35149" s="7"/>
      <c r="B35149" s="7"/>
      <c r="M35149" s="9" t="s">
        <v>22</v>
      </c>
    </row>
    <row r="35150" ht="15.75" customHeight="1">
      <c r="A35150" s="7"/>
      <c r="B35150" s="7"/>
      <c r="M35150" s="9" t="s">
        <v>30</v>
      </c>
    </row>
    <row r="35151" ht="15.75" customHeight="1">
      <c r="A35151" s="7"/>
      <c r="B35151" s="7"/>
      <c r="M35151" s="9" t="s">
        <v>24</v>
      </c>
    </row>
    <row r="35152" ht="15.75" customHeight="1">
      <c r="A35152" s="7"/>
      <c r="B35152" s="7"/>
      <c r="M35152" s="9" t="s">
        <v>21</v>
      </c>
    </row>
    <row r="35153" ht="15.75" customHeight="1">
      <c r="A35153" s="7"/>
      <c r="B35153" s="7"/>
      <c r="M35153" s="9" t="s">
        <v>37</v>
      </c>
    </row>
    <row r="35154" ht="15.75" customHeight="1">
      <c r="A35154" s="7"/>
      <c r="B35154" s="7"/>
      <c r="M35154" s="9" t="s">
        <v>27</v>
      </c>
    </row>
    <row r="35155" ht="15.75" customHeight="1">
      <c r="A35155" s="7"/>
      <c r="B35155" s="7"/>
      <c r="M35155" s="9" t="s">
        <v>33</v>
      </c>
    </row>
    <row r="35156" ht="15.75" customHeight="1">
      <c r="A35156" s="7"/>
      <c r="B35156" s="7"/>
      <c r="M35156" s="9" t="s">
        <v>24</v>
      </c>
    </row>
    <row r="35157" ht="15.75" customHeight="1">
      <c r="A35157" s="7"/>
      <c r="B35157" s="7"/>
      <c r="M35157" s="9" t="s">
        <v>21</v>
      </c>
    </row>
    <row r="35158" ht="15.75" customHeight="1">
      <c r="A35158" s="7"/>
      <c r="B35158" s="7"/>
      <c r="M35158" s="9" t="s">
        <v>37</v>
      </c>
    </row>
    <row r="35159" ht="15.75" customHeight="1">
      <c r="A35159" s="7"/>
      <c r="B35159" s="7"/>
      <c r="M35159" s="9" t="s">
        <v>27</v>
      </c>
    </row>
    <row r="35160" ht="15.75" customHeight="1">
      <c r="A35160" s="7"/>
      <c r="B35160" s="7"/>
      <c r="M35160" s="9" t="s">
        <v>24</v>
      </c>
    </row>
    <row r="35161" ht="15.75" customHeight="1">
      <c r="A35161" s="7"/>
      <c r="B35161" s="7"/>
      <c r="M35161" s="9" t="s">
        <v>37</v>
      </c>
    </row>
    <row r="35162" ht="15.75" customHeight="1">
      <c r="A35162" s="7"/>
      <c r="B35162" s="7"/>
      <c r="M35162" s="9" t="s">
        <v>29</v>
      </c>
    </row>
    <row r="35163" ht="15.75" customHeight="1">
      <c r="A35163" s="7"/>
      <c r="B35163" s="7"/>
      <c r="M35163" s="9" t="s">
        <v>35</v>
      </c>
    </row>
    <row r="35164" ht="15.75" customHeight="1">
      <c r="A35164" s="7"/>
      <c r="B35164" s="7"/>
      <c r="M35164" s="9" t="s">
        <v>30</v>
      </c>
    </row>
    <row r="35165" ht="15.75" customHeight="1">
      <c r="A35165" s="7"/>
      <c r="B35165" s="7"/>
      <c r="M35165" s="9" t="s">
        <v>25</v>
      </c>
    </row>
    <row r="35166" ht="15.75" customHeight="1">
      <c r="A35166" s="7"/>
      <c r="B35166" s="7"/>
      <c r="M35166" s="9" t="s">
        <v>24</v>
      </c>
    </row>
    <row r="35167" ht="15.75" customHeight="1">
      <c r="A35167" s="7"/>
      <c r="B35167" s="7"/>
      <c r="M35167" s="9" t="s">
        <v>21</v>
      </c>
    </row>
    <row r="35168" ht="15.75" customHeight="1">
      <c r="A35168" s="7"/>
      <c r="B35168" s="7"/>
      <c r="M35168" s="9" t="s">
        <v>37</v>
      </c>
    </row>
    <row r="35169" ht="15.75" customHeight="1">
      <c r="A35169" s="7"/>
      <c r="B35169" s="7"/>
      <c r="M35169" s="9" t="s">
        <v>27</v>
      </c>
    </row>
    <row r="35170" ht="15.75" customHeight="1">
      <c r="A35170" s="7"/>
      <c r="B35170" s="7"/>
      <c r="M35170" s="9" t="s">
        <v>30</v>
      </c>
    </row>
    <row r="35171" ht="15.75" customHeight="1">
      <c r="A35171" s="7"/>
      <c r="B35171" s="7"/>
      <c r="M35171" s="9" t="s">
        <v>20</v>
      </c>
    </row>
    <row r="35172" ht="15.75" customHeight="1">
      <c r="A35172" s="7"/>
      <c r="B35172" s="7"/>
      <c r="M35172" s="9" t="s">
        <v>46</v>
      </c>
    </row>
    <row r="35173" ht="15.75" customHeight="1">
      <c r="A35173" s="7"/>
      <c r="B35173" s="7"/>
      <c r="M35173" s="9" t="s">
        <v>27</v>
      </c>
    </row>
    <row r="35174" ht="15.75" customHeight="1">
      <c r="A35174" s="7"/>
      <c r="B35174" s="7"/>
      <c r="M35174" s="9" t="s">
        <v>26</v>
      </c>
    </row>
    <row r="35175" ht="15.75" customHeight="1">
      <c r="A35175" s="7"/>
      <c r="B35175" s="7"/>
      <c r="M35175" s="9" t="s">
        <v>27</v>
      </c>
    </row>
    <row r="35176" ht="15.75" customHeight="1">
      <c r="A35176" s="7"/>
      <c r="B35176" s="7"/>
      <c r="M35176" s="9" t="s">
        <v>22</v>
      </c>
    </row>
    <row r="35177" ht="15.75" customHeight="1">
      <c r="A35177" s="7"/>
      <c r="B35177" s="7"/>
      <c r="M35177" s="9" t="s">
        <v>25</v>
      </c>
    </row>
    <row r="35178" ht="15.75" customHeight="1">
      <c r="A35178" s="7"/>
      <c r="B35178" s="7"/>
      <c r="M35178" s="9" t="s">
        <v>23</v>
      </c>
    </row>
    <row r="35179" ht="15.75" customHeight="1">
      <c r="A35179" s="7"/>
      <c r="B35179" s="7"/>
      <c r="M35179" s="9" t="s">
        <v>26</v>
      </c>
    </row>
    <row r="35180" ht="15.75" customHeight="1">
      <c r="A35180" s="7"/>
      <c r="B35180" s="7"/>
      <c r="M35180" s="9" t="s">
        <v>24</v>
      </c>
    </row>
    <row r="35181" ht="15.75" customHeight="1">
      <c r="A35181" s="7"/>
      <c r="B35181" s="7"/>
      <c r="M35181" s="9" t="s">
        <v>21</v>
      </c>
    </row>
    <row r="35182" ht="15.75" customHeight="1">
      <c r="A35182" s="7"/>
      <c r="B35182" s="7"/>
      <c r="M35182" s="9" t="s">
        <v>37</v>
      </c>
    </row>
    <row r="35183" ht="15.75" customHeight="1">
      <c r="A35183" s="7"/>
      <c r="B35183" s="7"/>
      <c r="M35183" s="9" t="s">
        <v>27</v>
      </c>
    </row>
    <row r="35184" ht="15.75" customHeight="1">
      <c r="A35184" s="7"/>
      <c r="B35184" s="7"/>
      <c r="M35184" s="9" t="s">
        <v>33</v>
      </c>
    </row>
    <row r="35185" ht="15.75" customHeight="1">
      <c r="A35185" s="7"/>
      <c r="B35185" s="7"/>
      <c r="M35185" s="9" t="s">
        <v>26</v>
      </c>
    </row>
    <row r="35186" ht="15.75" customHeight="1">
      <c r="A35186" s="7"/>
      <c r="B35186" s="7"/>
      <c r="M35186" s="9" t="s">
        <v>24</v>
      </c>
    </row>
    <row r="35187" ht="15.75" customHeight="1">
      <c r="A35187" s="7"/>
      <c r="B35187" s="7"/>
      <c r="M35187" s="9" t="s">
        <v>21</v>
      </c>
    </row>
    <row r="35188" ht="15.75" customHeight="1">
      <c r="A35188" s="7"/>
      <c r="B35188" s="7"/>
      <c r="M35188" s="9" t="s">
        <v>27</v>
      </c>
    </row>
    <row r="35189" ht="15.75" customHeight="1">
      <c r="A35189" s="7"/>
      <c r="B35189" s="7"/>
      <c r="M35189" s="9" t="s">
        <v>33</v>
      </c>
    </row>
    <row r="35190" ht="15.75" customHeight="1">
      <c r="A35190" s="7"/>
      <c r="B35190" s="7"/>
      <c r="M35190" s="9" t="s">
        <v>23</v>
      </c>
    </row>
    <row r="35191" ht="15.75" customHeight="1">
      <c r="A35191" s="7"/>
      <c r="B35191" s="7"/>
      <c r="M35191" s="9" t="s">
        <v>30</v>
      </c>
    </row>
    <row r="35192" ht="15.75" customHeight="1">
      <c r="A35192" s="7"/>
      <c r="B35192" s="7"/>
      <c r="M35192" s="9" t="s">
        <v>24</v>
      </c>
    </row>
    <row r="35193" ht="15.75" customHeight="1">
      <c r="A35193" s="7"/>
      <c r="B35193" s="7"/>
      <c r="M35193" s="9" t="s">
        <v>20</v>
      </c>
    </row>
    <row r="35194" ht="15.75" customHeight="1">
      <c r="A35194" s="7"/>
      <c r="B35194" s="7"/>
      <c r="M35194" s="9" t="s">
        <v>21</v>
      </c>
    </row>
    <row r="35195" ht="15.75" customHeight="1">
      <c r="A35195" s="7"/>
      <c r="B35195" s="7"/>
      <c r="M35195" s="9" t="s">
        <v>22</v>
      </c>
    </row>
    <row r="35196" ht="15.75" customHeight="1">
      <c r="A35196" s="7"/>
      <c r="B35196" s="7"/>
      <c r="M35196" s="9" t="s">
        <v>27</v>
      </c>
    </row>
    <row r="35197" ht="15.75" customHeight="1">
      <c r="A35197" s="7"/>
      <c r="B35197" s="7"/>
      <c r="M35197" s="9" t="s">
        <v>24</v>
      </c>
    </row>
    <row r="35198" ht="15.75" customHeight="1">
      <c r="A35198" s="7"/>
      <c r="B35198" s="7"/>
      <c r="M35198" s="9" t="s">
        <v>21</v>
      </c>
    </row>
    <row r="35199" ht="15.75" customHeight="1">
      <c r="A35199" s="7"/>
      <c r="B35199" s="7"/>
      <c r="M35199" s="9" t="s">
        <v>37</v>
      </c>
    </row>
    <row r="35200" ht="15.75" customHeight="1">
      <c r="A35200" s="7"/>
      <c r="B35200" s="7"/>
      <c r="M35200" s="9" t="s">
        <v>27</v>
      </c>
    </row>
    <row r="35201" ht="15.75" customHeight="1">
      <c r="A35201" s="7"/>
      <c r="B35201" s="7"/>
      <c r="M35201" s="9" t="s">
        <v>25</v>
      </c>
    </row>
    <row r="35202" ht="15.75" customHeight="1">
      <c r="A35202" s="7"/>
      <c r="B35202" s="7"/>
      <c r="M35202" s="9" t="s">
        <v>23</v>
      </c>
    </row>
    <row r="35203" ht="15.75" customHeight="1">
      <c r="A35203" s="7"/>
      <c r="B35203" s="7"/>
      <c r="M35203" s="9" t="s">
        <v>20</v>
      </c>
    </row>
    <row r="35204" ht="15.75" customHeight="1">
      <c r="A35204" s="7"/>
      <c r="B35204" s="7"/>
      <c r="M35204" s="9" t="s">
        <v>21</v>
      </c>
    </row>
    <row r="35205" ht="15.75" customHeight="1">
      <c r="A35205" s="7"/>
      <c r="B35205" s="7"/>
      <c r="M35205" s="9" t="s">
        <v>22</v>
      </c>
    </row>
    <row r="35206" ht="15.75" customHeight="1">
      <c r="A35206" s="7"/>
      <c r="B35206" s="7"/>
      <c r="M35206" s="9" t="s">
        <v>24</v>
      </c>
    </row>
    <row r="35207" ht="15.75" customHeight="1">
      <c r="A35207" s="7"/>
      <c r="B35207" s="7"/>
      <c r="M35207" s="9" t="s">
        <v>21</v>
      </c>
    </row>
    <row r="35208" ht="15.75" customHeight="1">
      <c r="A35208" s="7"/>
      <c r="B35208" s="7"/>
      <c r="M35208" s="9" t="s">
        <v>26</v>
      </c>
    </row>
    <row r="35209" ht="15.75" customHeight="1">
      <c r="A35209" s="7"/>
      <c r="B35209" s="7"/>
      <c r="M35209" s="9" t="s">
        <v>21</v>
      </c>
    </row>
    <row r="35210" ht="15.75" customHeight="1">
      <c r="A35210" s="7"/>
      <c r="B35210" s="7"/>
      <c r="M35210" s="9" t="s">
        <v>37</v>
      </c>
    </row>
    <row r="35211" ht="15.75" customHeight="1">
      <c r="A35211" s="7"/>
      <c r="B35211" s="7"/>
      <c r="M35211" s="9" t="s">
        <v>27</v>
      </c>
    </row>
    <row r="35212" ht="15.75" customHeight="1">
      <c r="A35212" s="7"/>
      <c r="B35212" s="7"/>
      <c r="M35212" s="9" t="s">
        <v>30</v>
      </c>
    </row>
    <row r="35213" ht="15.75" customHeight="1">
      <c r="A35213" s="7"/>
      <c r="B35213" s="7"/>
      <c r="M35213" s="9" t="s">
        <v>26</v>
      </c>
    </row>
    <row r="35214" ht="15.75" customHeight="1">
      <c r="A35214" s="7"/>
      <c r="B35214" s="7"/>
      <c r="M35214" s="9" t="s">
        <v>24</v>
      </c>
    </row>
    <row r="35215" ht="15.75" customHeight="1">
      <c r="A35215" s="7"/>
      <c r="B35215" s="7"/>
      <c r="M35215" s="9" t="s">
        <v>21</v>
      </c>
    </row>
    <row r="35216" ht="15.75" customHeight="1">
      <c r="A35216" s="7"/>
      <c r="B35216" s="7"/>
      <c r="M35216" s="9" t="s">
        <v>27</v>
      </c>
    </row>
    <row r="35217" ht="15.75" customHeight="1">
      <c r="A35217" s="7"/>
      <c r="B35217" s="7"/>
      <c r="M35217" s="9" t="s">
        <v>33</v>
      </c>
    </row>
    <row r="35218" ht="15.75" customHeight="1">
      <c r="A35218" s="7"/>
      <c r="B35218" s="7"/>
      <c r="M35218" s="9" t="s">
        <v>28</v>
      </c>
    </row>
    <row r="35219" ht="15.75" customHeight="1">
      <c r="A35219" s="7"/>
      <c r="B35219" s="7"/>
      <c r="M35219" s="9" t="s">
        <v>30</v>
      </c>
    </row>
    <row r="35220" ht="15.75" customHeight="1">
      <c r="A35220" s="7"/>
      <c r="B35220" s="7"/>
      <c r="M35220" s="9" t="s">
        <v>25</v>
      </c>
    </row>
    <row r="35221" ht="15.75" customHeight="1">
      <c r="A35221" s="7"/>
      <c r="B35221" s="7"/>
      <c r="M35221" s="9" t="s">
        <v>23</v>
      </c>
    </row>
    <row r="35222" ht="15.75" customHeight="1">
      <c r="A35222" s="7"/>
      <c r="B35222" s="7"/>
      <c r="M35222" s="9" t="s">
        <v>20</v>
      </c>
    </row>
    <row r="35223" ht="15.75" customHeight="1">
      <c r="A35223" s="7"/>
      <c r="B35223" s="7"/>
      <c r="M35223" s="9" t="s">
        <v>30</v>
      </c>
    </row>
    <row r="35224" ht="15.75" customHeight="1">
      <c r="A35224" s="7"/>
      <c r="B35224" s="7"/>
      <c r="M35224" s="9" t="s">
        <v>20</v>
      </c>
    </row>
    <row r="35225" ht="15.75" customHeight="1">
      <c r="A35225" s="7"/>
      <c r="B35225" s="7"/>
      <c r="M35225" s="9" t="s">
        <v>21</v>
      </c>
    </row>
    <row r="35226" ht="15.75" customHeight="1">
      <c r="A35226" s="7"/>
      <c r="B35226" s="7"/>
      <c r="M35226" s="9" t="s">
        <v>30</v>
      </c>
    </row>
    <row r="35227" ht="15.75" customHeight="1">
      <c r="A35227" s="7"/>
      <c r="B35227" s="7"/>
      <c r="M35227" s="9" t="s">
        <v>24</v>
      </c>
    </row>
    <row r="35228" ht="15.75" customHeight="1">
      <c r="A35228" s="7"/>
      <c r="B35228" s="7"/>
      <c r="M35228" s="9" t="s">
        <v>21</v>
      </c>
    </row>
    <row r="35229" ht="15.75" customHeight="1">
      <c r="A35229" s="7"/>
      <c r="B35229" s="7"/>
      <c r="M35229" s="9" t="s">
        <v>37</v>
      </c>
    </row>
    <row r="35230" ht="15.75" customHeight="1">
      <c r="A35230" s="7"/>
      <c r="B35230" s="7"/>
      <c r="M35230" s="9" t="s">
        <v>30</v>
      </c>
    </row>
    <row r="35231" ht="15.75" customHeight="1">
      <c r="A35231" s="7"/>
      <c r="B35231" s="7"/>
      <c r="M35231" s="9" t="s">
        <v>26</v>
      </c>
    </row>
    <row r="35232" ht="15.75" customHeight="1">
      <c r="A35232" s="7"/>
      <c r="B35232" s="7"/>
      <c r="M35232" s="9" t="s">
        <v>24</v>
      </c>
    </row>
    <row r="35233" ht="15.75" customHeight="1">
      <c r="A35233" s="7"/>
      <c r="B35233" s="7"/>
      <c r="M35233" s="9" t="s">
        <v>21</v>
      </c>
    </row>
    <row r="35234" ht="15.75" customHeight="1">
      <c r="A35234" s="7"/>
      <c r="B35234" s="7"/>
      <c r="M35234" s="9" t="s">
        <v>37</v>
      </c>
    </row>
    <row r="35235" ht="15.75" customHeight="1">
      <c r="A35235" s="7"/>
      <c r="B35235" s="7"/>
      <c r="M35235" s="9" t="s">
        <v>27</v>
      </c>
    </row>
    <row r="35236" ht="15.75" customHeight="1">
      <c r="A35236" s="7"/>
      <c r="B35236" s="7"/>
      <c r="M35236" s="9" t="s">
        <v>26</v>
      </c>
    </row>
    <row r="35237" ht="15.75" customHeight="1">
      <c r="A35237" s="7"/>
      <c r="B35237" s="7"/>
      <c r="M35237" s="9" t="s">
        <v>24</v>
      </c>
    </row>
    <row r="35238" ht="15.75" customHeight="1">
      <c r="A35238" s="7"/>
      <c r="B35238" s="7"/>
      <c r="M35238" s="9" t="s">
        <v>21</v>
      </c>
    </row>
    <row r="35239" ht="15.75" customHeight="1">
      <c r="A35239" s="7"/>
      <c r="B35239" s="7"/>
      <c r="M35239" s="9" t="s">
        <v>22</v>
      </c>
    </row>
    <row r="35240" ht="15.75" customHeight="1">
      <c r="A35240" s="7"/>
      <c r="B35240" s="7"/>
      <c r="M35240" s="9" t="s">
        <v>30</v>
      </c>
    </row>
    <row r="35241" ht="15.75" customHeight="1">
      <c r="A35241" s="7"/>
      <c r="B35241" s="7"/>
      <c r="M35241" s="9" t="s">
        <v>26</v>
      </c>
    </row>
    <row r="35242" ht="15.75" customHeight="1">
      <c r="A35242" s="7"/>
      <c r="B35242" s="7"/>
      <c r="M35242" s="9" t="s">
        <v>24</v>
      </c>
    </row>
    <row r="35243" ht="15.75" customHeight="1">
      <c r="A35243" s="7"/>
      <c r="B35243" s="7"/>
      <c r="M35243" s="9" t="s">
        <v>21</v>
      </c>
    </row>
    <row r="35244" ht="15.75" customHeight="1">
      <c r="A35244" s="7"/>
      <c r="B35244" s="7"/>
      <c r="M35244" s="9" t="s">
        <v>27</v>
      </c>
    </row>
    <row r="35245" ht="15.75" customHeight="1">
      <c r="A35245" s="7"/>
      <c r="B35245" s="7"/>
      <c r="M35245" s="9" t="s">
        <v>33</v>
      </c>
    </row>
    <row r="35246" ht="15.75" customHeight="1">
      <c r="A35246" s="7"/>
      <c r="B35246" s="7"/>
      <c r="M35246" s="9" t="s">
        <v>34</v>
      </c>
    </row>
    <row r="35247" ht="15.75" customHeight="1">
      <c r="A35247" s="7"/>
      <c r="B35247" s="7"/>
      <c r="M35247" s="9" t="s">
        <v>38</v>
      </c>
    </row>
    <row r="35248" ht="15.75" customHeight="1">
      <c r="A35248" s="7"/>
      <c r="B35248" s="7"/>
      <c r="M35248" s="9" t="s">
        <v>25</v>
      </c>
    </row>
    <row r="35249" ht="15.75" customHeight="1">
      <c r="A35249" s="7"/>
      <c r="B35249" s="7"/>
      <c r="M35249" s="9" t="s">
        <v>47</v>
      </c>
    </row>
    <row r="35250" ht="15.75" customHeight="1">
      <c r="A35250" s="7"/>
      <c r="B35250" s="7"/>
      <c r="M35250" s="9" t="s">
        <v>21</v>
      </c>
    </row>
    <row r="35251" ht="15.75" customHeight="1">
      <c r="A35251" s="7"/>
      <c r="B35251" s="7"/>
      <c r="M35251" s="9" t="s">
        <v>35</v>
      </c>
    </row>
    <row r="35252" ht="15.75" customHeight="1">
      <c r="A35252" s="7"/>
      <c r="B35252" s="7"/>
      <c r="M35252" s="9" t="s">
        <v>38</v>
      </c>
    </row>
    <row r="35253" ht="15.75" customHeight="1">
      <c r="A35253" s="7"/>
      <c r="B35253" s="7"/>
      <c r="M35253" s="9" t="s">
        <v>30</v>
      </c>
    </row>
    <row r="35254" ht="15.75" customHeight="1">
      <c r="A35254" s="7"/>
      <c r="B35254" s="7"/>
      <c r="M35254" s="9" t="s">
        <v>23</v>
      </c>
    </row>
    <row r="35255" ht="15.75" customHeight="1">
      <c r="A35255" s="7"/>
      <c r="B35255" s="7"/>
      <c r="M35255" s="9" t="s">
        <v>24</v>
      </c>
    </row>
    <row r="35256" ht="15.75" customHeight="1">
      <c r="A35256" s="7"/>
      <c r="B35256" s="7"/>
      <c r="M35256" s="9" t="s">
        <v>20</v>
      </c>
    </row>
    <row r="35257" ht="15.75" customHeight="1">
      <c r="A35257" s="7"/>
      <c r="B35257" s="7"/>
      <c r="M35257" s="9" t="s">
        <v>21</v>
      </c>
    </row>
    <row r="35258" ht="15.75" customHeight="1">
      <c r="A35258" s="7"/>
      <c r="B35258" s="7"/>
      <c r="M35258" s="9" t="s">
        <v>22</v>
      </c>
    </row>
    <row r="35259" ht="15.75" customHeight="1">
      <c r="A35259" s="7"/>
      <c r="B35259" s="7"/>
      <c r="M35259" s="9" t="s">
        <v>31</v>
      </c>
    </row>
    <row r="35260" ht="15.75" customHeight="1">
      <c r="A35260" s="7"/>
      <c r="B35260" s="7"/>
      <c r="M35260" s="9" t="s">
        <v>38</v>
      </c>
    </row>
    <row r="35261" ht="15.75" customHeight="1">
      <c r="A35261" s="7"/>
      <c r="B35261" s="7"/>
      <c r="M35261" s="9" t="s">
        <v>36</v>
      </c>
    </row>
    <row r="35262" ht="15.75" customHeight="1">
      <c r="A35262" s="7"/>
      <c r="B35262" s="7"/>
      <c r="M35262" s="9" t="s">
        <v>20</v>
      </c>
    </row>
    <row r="35263" ht="15.75" customHeight="1">
      <c r="A35263" s="7"/>
      <c r="B35263" s="7"/>
      <c r="M35263" s="9" t="s">
        <v>32</v>
      </c>
    </row>
    <row r="35264" ht="15.75" customHeight="1">
      <c r="A35264" s="7"/>
      <c r="B35264" s="7"/>
      <c r="M35264" s="9" t="s">
        <v>23</v>
      </c>
    </row>
    <row r="35265" ht="15.75" customHeight="1">
      <c r="A35265" s="7"/>
      <c r="B35265" s="7"/>
      <c r="M35265" s="9" t="s">
        <v>24</v>
      </c>
    </row>
    <row r="35266" ht="15.75" customHeight="1">
      <c r="A35266" s="7"/>
      <c r="B35266" s="7"/>
      <c r="M35266" s="9" t="s">
        <v>20</v>
      </c>
    </row>
    <row r="35267" ht="15.75" customHeight="1">
      <c r="A35267" s="7"/>
      <c r="B35267" s="7"/>
      <c r="M35267" s="9" t="s">
        <v>21</v>
      </c>
    </row>
    <row r="35268" ht="15.75" customHeight="1">
      <c r="A35268" s="7"/>
      <c r="B35268" s="7"/>
      <c r="M35268" s="9" t="s">
        <v>27</v>
      </c>
    </row>
    <row r="35269" ht="15.75" customHeight="1">
      <c r="A35269" s="7"/>
      <c r="B35269" s="7"/>
      <c r="M35269" s="9" t="s">
        <v>30</v>
      </c>
    </row>
    <row r="35270" ht="15.75" customHeight="1">
      <c r="A35270" s="7"/>
      <c r="B35270" s="7"/>
      <c r="M35270" s="9" t="s">
        <v>25</v>
      </c>
    </row>
    <row r="35271" ht="15.75" customHeight="1">
      <c r="A35271" s="7"/>
      <c r="B35271" s="7"/>
      <c r="M35271" s="9" t="s">
        <v>23</v>
      </c>
    </row>
    <row r="35272" ht="15.75" customHeight="1">
      <c r="A35272" s="7"/>
      <c r="B35272" s="7"/>
      <c r="M35272" s="9" t="s">
        <v>43</v>
      </c>
    </row>
    <row r="35273" ht="15.75" customHeight="1">
      <c r="A35273" s="7"/>
      <c r="B35273" s="7"/>
      <c r="M35273" s="9" t="s">
        <v>36</v>
      </c>
    </row>
    <row r="35274" ht="15.75" customHeight="1">
      <c r="A35274" s="7"/>
      <c r="B35274" s="7"/>
      <c r="M35274" s="9" t="s">
        <v>20</v>
      </c>
    </row>
    <row r="35275" ht="15.75" customHeight="1">
      <c r="A35275" s="7"/>
      <c r="B35275" s="7"/>
      <c r="M35275" s="9" t="s">
        <v>21</v>
      </c>
    </row>
    <row r="35276" ht="15.75" customHeight="1">
      <c r="A35276" s="7"/>
      <c r="B35276" s="7"/>
      <c r="M35276" s="9" t="s">
        <v>22</v>
      </c>
    </row>
    <row r="35277" ht="15.75" customHeight="1">
      <c r="A35277" s="7"/>
      <c r="B35277" s="7"/>
      <c r="M35277" s="9" t="s">
        <v>29</v>
      </c>
    </row>
    <row r="35278" ht="15.75" customHeight="1">
      <c r="A35278" s="7"/>
      <c r="B35278" s="7"/>
      <c r="M35278" s="9" t="s">
        <v>32</v>
      </c>
    </row>
    <row r="35279" ht="15.75" customHeight="1">
      <c r="A35279" s="7"/>
      <c r="B35279" s="7"/>
      <c r="M35279" s="9" t="s">
        <v>46</v>
      </c>
    </row>
    <row r="35280" ht="15.75" customHeight="1">
      <c r="A35280" s="7"/>
      <c r="B35280" s="7"/>
      <c r="M35280" s="9" t="s">
        <v>27</v>
      </c>
    </row>
    <row r="35281" ht="15.75" customHeight="1">
      <c r="A35281" s="7"/>
      <c r="B35281" s="7"/>
      <c r="M35281" s="9" t="s">
        <v>33</v>
      </c>
    </row>
    <row r="35282" ht="15.75" customHeight="1">
      <c r="A35282" s="7"/>
      <c r="B35282" s="7"/>
      <c r="M35282" s="9" t="s">
        <v>25</v>
      </c>
    </row>
    <row r="35283" ht="15.75" customHeight="1">
      <c r="A35283" s="7"/>
      <c r="B35283" s="7"/>
      <c r="M35283" s="9" t="s">
        <v>23</v>
      </c>
    </row>
    <row r="35284" ht="15.75" customHeight="1">
      <c r="A35284" s="7"/>
      <c r="B35284" s="7"/>
      <c r="M35284" s="9" t="s">
        <v>36</v>
      </c>
    </row>
    <row r="35285" ht="15.75" customHeight="1">
      <c r="A35285" s="7"/>
      <c r="B35285" s="7"/>
      <c r="M35285" s="9" t="s">
        <v>24</v>
      </c>
    </row>
    <row r="35286" ht="15.75" customHeight="1">
      <c r="A35286" s="7"/>
      <c r="B35286" s="7"/>
      <c r="M35286" s="9" t="s">
        <v>20</v>
      </c>
    </row>
    <row r="35287" ht="15.75" customHeight="1">
      <c r="A35287" s="7"/>
      <c r="B35287" s="7"/>
      <c r="M35287" s="9" t="s">
        <v>21</v>
      </c>
    </row>
    <row r="35288" ht="15.75" customHeight="1">
      <c r="A35288" s="7"/>
      <c r="B35288" s="7"/>
      <c r="M35288" s="9" t="s">
        <v>22</v>
      </c>
    </row>
    <row r="35289" ht="15.75" customHeight="1">
      <c r="A35289" s="7"/>
      <c r="B35289" s="7"/>
      <c r="M35289" s="9" t="s">
        <v>27</v>
      </c>
    </row>
    <row r="35290" ht="15.75" customHeight="1">
      <c r="A35290" s="7"/>
      <c r="B35290" s="7"/>
      <c r="M35290" s="9" t="s">
        <v>38</v>
      </c>
    </row>
    <row r="35291" ht="15.75" customHeight="1">
      <c r="A35291" s="7"/>
      <c r="B35291" s="7"/>
      <c r="M35291" s="9" t="s">
        <v>25</v>
      </c>
    </row>
    <row r="35292" ht="15.75" customHeight="1">
      <c r="A35292" s="7"/>
      <c r="B35292" s="7"/>
      <c r="M35292" s="9" t="s">
        <v>23</v>
      </c>
    </row>
    <row r="35293" ht="15.75" customHeight="1">
      <c r="A35293" s="7"/>
      <c r="B35293" s="7"/>
      <c r="M35293" s="9" t="s">
        <v>26</v>
      </c>
    </row>
    <row r="35294" ht="15.75" customHeight="1">
      <c r="A35294" s="7"/>
      <c r="B35294" s="7"/>
      <c r="M35294" s="9" t="s">
        <v>24</v>
      </c>
    </row>
    <row r="35295" ht="15.75" customHeight="1">
      <c r="A35295" s="7"/>
      <c r="B35295" s="7"/>
      <c r="M35295" s="9" t="s">
        <v>20</v>
      </c>
    </row>
    <row r="35296" ht="15.75" customHeight="1">
      <c r="A35296" s="7"/>
      <c r="B35296" s="7"/>
      <c r="M35296" s="9" t="s">
        <v>21</v>
      </c>
    </row>
    <row r="35297" ht="15.75" customHeight="1">
      <c r="A35297" s="7"/>
      <c r="B35297" s="7"/>
      <c r="M35297" s="9" t="s">
        <v>41</v>
      </c>
    </row>
    <row r="35298" ht="15.75" customHeight="1">
      <c r="A35298" s="7"/>
      <c r="B35298" s="7"/>
      <c r="M35298" s="9" t="s">
        <v>22</v>
      </c>
    </row>
    <row r="35299" ht="15.75" customHeight="1">
      <c r="A35299" s="7"/>
      <c r="B35299" s="7"/>
      <c r="M35299" s="9" t="s">
        <v>27</v>
      </c>
    </row>
    <row r="35300" ht="15.75" customHeight="1">
      <c r="A35300" s="7"/>
      <c r="B35300" s="7"/>
      <c r="M35300" s="9" t="s">
        <v>28</v>
      </c>
    </row>
    <row r="35301" ht="15.75" customHeight="1">
      <c r="A35301" s="7"/>
      <c r="B35301" s="7"/>
      <c r="M35301" s="9" t="s">
        <v>30</v>
      </c>
    </row>
    <row r="35302" ht="15.75" customHeight="1">
      <c r="A35302" s="7"/>
      <c r="B35302" s="7"/>
      <c r="M35302" s="9" t="s">
        <v>26</v>
      </c>
    </row>
    <row r="35303" ht="15.75" customHeight="1">
      <c r="A35303" s="7"/>
      <c r="B35303" s="7"/>
      <c r="M35303" s="9" t="s">
        <v>24</v>
      </c>
    </row>
    <row r="35304" ht="15.75" customHeight="1">
      <c r="A35304" s="7"/>
      <c r="B35304" s="7"/>
      <c r="M35304" s="9" t="s">
        <v>20</v>
      </c>
    </row>
    <row r="35305" ht="15.75" customHeight="1">
      <c r="A35305" s="7"/>
      <c r="B35305" s="7"/>
      <c r="M35305" s="9" t="s">
        <v>21</v>
      </c>
    </row>
    <row r="35306" ht="15.75" customHeight="1">
      <c r="A35306" s="7"/>
      <c r="B35306" s="7"/>
      <c r="M35306" s="9" t="s">
        <v>22</v>
      </c>
    </row>
    <row r="35307" ht="15.75" customHeight="1">
      <c r="A35307" s="7"/>
      <c r="B35307" s="7"/>
      <c r="M35307" s="9" t="s">
        <v>27</v>
      </c>
    </row>
    <row r="35308" ht="15.75" customHeight="1">
      <c r="A35308" s="7"/>
      <c r="B35308" s="7"/>
      <c r="M35308" s="9" t="s">
        <v>26</v>
      </c>
    </row>
    <row r="35309" ht="15.75" customHeight="1">
      <c r="A35309" s="7"/>
      <c r="B35309" s="7"/>
      <c r="M35309" s="9" t="s">
        <v>21</v>
      </c>
    </row>
    <row r="35310" ht="15.75" customHeight="1">
      <c r="A35310" s="7"/>
      <c r="B35310" s="7"/>
      <c r="M35310" s="9" t="s">
        <v>33</v>
      </c>
    </row>
    <row r="35311" ht="15.75" customHeight="1">
      <c r="A35311" s="7"/>
      <c r="B35311" s="7"/>
      <c r="M35311" s="9" t="s">
        <v>25</v>
      </c>
    </row>
    <row r="35312" ht="15.75" customHeight="1">
      <c r="A35312" s="7"/>
      <c r="B35312" s="7"/>
      <c r="M35312" s="9" t="s">
        <v>23</v>
      </c>
    </row>
    <row r="35313" ht="15.75" customHeight="1">
      <c r="A35313" s="7"/>
      <c r="B35313" s="7"/>
      <c r="M35313" s="9" t="s">
        <v>26</v>
      </c>
    </row>
    <row r="35314" ht="15.75" customHeight="1">
      <c r="A35314" s="7"/>
      <c r="B35314" s="7"/>
      <c r="M35314" s="9" t="s">
        <v>24</v>
      </c>
    </row>
    <row r="35315" ht="15.75" customHeight="1">
      <c r="A35315" s="7"/>
      <c r="B35315" s="7"/>
      <c r="M35315" s="9" t="s">
        <v>20</v>
      </c>
    </row>
    <row r="35316" ht="15.75" customHeight="1">
      <c r="A35316" s="7"/>
      <c r="B35316" s="7"/>
      <c r="M35316" s="9" t="s">
        <v>21</v>
      </c>
    </row>
    <row r="35317" ht="15.75" customHeight="1">
      <c r="A35317" s="7"/>
      <c r="B35317" s="7"/>
      <c r="M35317" s="9" t="s">
        <v>37</v>
      </c>
    </row>
    <row r="35318" ht="15.75" customHeight="1">
      <c r="A35318" s="7"/>
      <c r="B35318" s="7"/>
      <c r="M35318" s="9" t="s">
        <v>27</v>
      </c>
    </row>
    <row r="35319" ht="15.75" customHeight="1">
      <c r="A35319" s="7"/>
      <c r="B35319" s="7"/>
      <c r="M35319" s="9" t="s">
        <v>24</v>
      </c>
    </row>
    <row r="35320" ht="15.75" customHeight="1">
      <c r="A35320" s="7"/>
      <c r="B35320" s="7"/>
      <c r="M35320" s="9" t="s">
        <v>21</v>
      </c>
    </row>
    <row r="35321" ht="15.75" customHeight="1">
      <c r="A35321" s="7"/>
      <c r="B35321" s="7"/>
      <c r="M35321" s="9" t="s">
        <v>22</v>
      </c>
    </row>
    <row r="35322" ht="15.75" customHeight="1">
      <c r="A35322" s="7"/>
      <c r="B35322" s="7"/>
      <c r="M35322" s="9" t="s">
        <v>30</v>
      </c>
    </row>
    <row r="35323" ht="15.75" customHeight="1">
      <c r="A35323" s="7"/>
      <c r="B35323" s="7"/>
      <c r="M35323" s="9" t="s">
        <v>26</v>
      </c>
    </row>
    <row r="35324" ht="15.75" customHeight="1">
      <c r="A35324" s="7"/>
      <c r="B35324" s="7"/>
      <c r="M35324" s="9" t="s">
        <v>27</v>
      </c>
    </row>
    <row r="35325" ht="15.75" customHeight="1">
      <c r="A35325" s="7"/>
      <c r="B35325" s="7"/>
      <c r="M35325" s="9" t="s">
        <v>28</v>
      </c>
    </row>
    <row r="35326" ht="15.75" customHeight="1">
      <c r="A35326" s="7"/>
      <c r="B35326" s="7"/>
      <c r="M35326" s="9" t="s">
        <v>23</v>
      </c>
    </row>
    <row r="35327" ht="15.75" customHeight="1">
      <c r="A35327" s="7"/>
      <c r="B35327" s="7"/>
      <c r="M35327" s="9" t="s">
        <v>26</v>
      </c>
    </row>
    <row r="35328" ht="15.75" customHeight="1">
      <c r="A35328" s="7"/>
      <c r="B35328" s="7"/>
      <c r="M35328" s="9" t="s">
        <v>24</v>
      </c>
    </row>
    <row r="35329" ht="15.75" customHeight="1">
      <c r="A35329" s="7"/>
      <c r="B35329" s="7"/>
      <c r="M35329" s="9" t="s">
        <v>21</v>
      </c>
    </row>
    <row r="35330" ht="15.75" customHeight="1">
      <c r="A35330" s="7"/>
      <c r="B35330" s="7"/>
      <c r="M35330" s="9" t="s">
        <v>37</v>
      </c>
    </row>
    <row r="35331" ht="15.75" customHeight="1">
      <c r="A35331" s="7"/>
      <c r="B35331" s="7"/>
      <c r="M35331" s="9" t="s">
        <v>22</v>
      </c>
    </row>
    <row r="35332" ht="15.75" customHeight="1">
      <c r="A35332" s="7"/>
      <c r="B35332" s="7"/>
      <c r="M35332" s="9" t="s">
        <v>27</v>
      </c>
    </row>
    <row r="35333" ht="15.75" customHeight="1">
      <c r="A35333" s="7"/>
      <c r="B35333" s="7"/>
      <c r="M35333" s="9" t="s">
        <v>40</v>
      </c>
    </row>
    <row r="35334" ht="15.75" customHeight="1">
      <c r="A35334" s="7"/>
      <c r="B35334" s="7"/>
      <c r="M35334" s="9" t="s">
        <v>28</v>
      </c>
    </row>
    <row r="35335" ht="15.75" customHeight="1">
      <c r="A35335" s="7"/>
      <c r="B35335" s="7"/>
      <c r="M35335" s="9" t="s">
        <v>30</v>
      </c>
    </row>
    <row r="35336" ht="15.75" customHeight="1">
      <c r="A35336" s="7"/>
      <c r="B35336" s="7"/>
      <c r="M35336" s="9" t="s">
        <v>36</v>
      </c>
    </row>
    <row r="35337" ht="15.75" customHeight="1">
      <c r="A35337" s="7"/>
      <c r="B35337" s="7"/>
      <c r="M35337" s="9" t="s">
        <v>24</v>
      </c>
    </row>
    <row r="35338" ht="15.75" customHeight="1">
      <c r="A35338" s="7"/>
      <c r="B35338" s="7"/>
      <c r="M35338" s="9" t="s">
        <v>21</v>
      </c>
    </row>
    <row r="35339" ht="15.75" customHeight="1">
      <c r="A35339" s="7"/>
      <c r="B35339" s="7"/>
      <c r="M35339" s="9" t="s">
        <v>22</v>
      </c>
    </row>
    <row r="35340" ht="15.75" customHeight="1">
      <c r="A35340" s="7"/>
      <c r="B35340" s="7"/>
      <c r="M35340" s="9" t="s">
        <v>27</v>
      </c>
    </row>
    <row r="35341" ht="15.75" customHeight="1">
      <c r="A35341" s="7"/>
      <c r="B35341" s="7"/>
      <c r="M35341" s="9" t="s">
        <v>30</v>
      </c>
    </row>
    <row r="35342" ht="15.75" customHeight="1">
      <c r="A35342" s="7"/>
      <c r="B35342" s="7"/>
      <c r="M35342" s="9" t="s">
        <v>25</v>
      </c>
    </row>
    <row r="35343" ht="15.75" customHeight="1">
      <c r="A35343" s="7"/>
      <c r="B35343" s="7"/>
      <c r="M35343" s="9" t="s">
        <v>23</v>
      </c>
    </row>
    <row r="35344" ht="15.75" customHeight="1">
      <c r="A35344" s="7"/>
      <c r="B35344" s="7"/>
      <c r="M35344" s="9" t="s">
        <v>36</v>
      </c>
    </row>
    <row r="35345" ht="15.75" customHeight="1">
      <c r="A35345" s="7"/>
      <c r="B35345" s="7"/>
      <c r="M35345" s="9" t="s">
        <v>24</v>
      </c>
    </row>
    <row r="35346" ht="15.75" customHeight="1">
      <c r="A35346" s="7"/>
      <c r="B35346" s="7"/>
      <c r="M35346" s="9" t="s">
        <v>20</v>
      </c>
    </row>
    <row r="35347" ht="15.75" customHeight="1">
      <c r="A35347" s="7"/>
      <c r="B35347" s="7"/>
      <c r="M35347" s="9" t="s">
        <v>21</v>
      </c>
    </row>
    <row r="35348" ht="15.75" customHeight="1">
      <c r="A35348" s="7"/>
      <c r="B35348" s="7"/>
      <c r="M35348" s="9" t="s">
        <v>41</v>
      </c>
    </row>
    <row r="35349" ht="15.75" customHeight="1">
      <c r="A35349" s="7"/>
      <c r="B35349" s="7"/>
      <c r="M35349" s="9" t="s">
        <v>22</v>
      </c>
    </row>
    <row r="35350" ht="15.75" customHeight="1">
      <c r="A35350" s="7"/>
      <c r="B35350" s="7"/>
      <c r="M35350" s="9" t="s">
        <v>46</v>
      </c>
    </row>
    <row r="35351" ht="15.75" customHeight="1">
      <c r="A35351" s="7"/>
      <c r="B35351" s="7"/>
      <c r="M35351" s="9" t="s">
        <v>40</v>
      </c>
    </row>
    <row r="35352" ht="15.75" customHeight="1">
      <c r="A35352" s="7"/>
      <c r="B35352" s="7"/>
      <c r="M35352" s="9" t="s">
        <v>34</v>
      </c>
    </row>
    <row r="35353" ht="15.75" customHeight="1">
      <c r="A35353" s="7"/>
      <c r="B35353" s="7"/>
      <c r="M35353" s="9" t="s">
        <v>42</v>
      </c>
    </row>
    <row r="35354" ht="15.75" customHeight="1">
      <c r="A35354" s="7"/>
      <c r="B35354" s="7"/>
      <c r="M35354" s="9" t="s">
        <v>22</v>
      </c>
    </row>
    <row r="35355" ht="15.75" customHeight="1">
      <c r="A35355" s="7"/>
      <c r="B35355" s="7"/>
      <c r="M35355" s="9" t="s">
        <v>26</v>
      </c>
    </row>
    <row r="35356" ht="15.75" customHeight="1">
      <c r="A35356" s="7"/>
      <c r="B35356" s="7"/>
      <c r="M35356" s="9" t="s">
        <v>26</v>
      </c>
    </row>
    <row r="35357" ht="15.75" customHeight="1">
      <c r="A35357" s="7"/>
      <c r="B35357" s="7"/>
      <c r="M35357" s="9" t="s">
        <v>24</v>
      </c>
    </row>
    <row r="35358" ht="15.75" customHeight="1">
      <c r="A35358" s="7"/>
      <c r="B35358" s="7"/>
      <c r="M35358" s="9" t="s">
        <v>21</v>
      </c>
    </row>
    <row r="35359" ht="15.75" customHeight="1">
      <c r="A35359" s="7"/>
      <c r="B35359" s="7"/>
      <c r="M35359" s="9" t="s">
        <v>22</v>
      </c>
    </row>
    <row r="35360" ht="15.75" customHeight="1">
      <c r="A35360" s="7"/>
      <c r="B35360" s="7"/>
      <c r="M35360" s="9" t="s">
        <v>27</v>
      </c>
    </row>
    <row r="35361" ht="15.75" customHeight="1">
      <c r="A35361" s="7"/>
      <c r="B35361" s="7"/>
      <c r="M35361" s="9" t="s">
        <v>33</v>
      </c>
    </row>
    <row r="35362" ht="15.75" customHeight="1">
      <c r="A35362" s="7"/>
      <c r="B35362" s="7"/>
      <c r="M35362" s="9" t="s">
        <v>21</v>
      </c>
    </row>
    <row r="35363" ht="15.75" customHeight="1">
      <c r="A35363" s="7"/>
      <c r="B35363" s="7"/>
      <c r="M35363" s="9" t="s">
        <v>22</v>
      </c>
    </row>
    <row r="35364" ht="15.75" customHeight="1">
      <c r="A35364" s="7"/>
      <c r="B35364" s="7"/>
      <c r="M35364" s="9" t="s">
        <v>30</v>
      </c>
    </row>
    <row r="35365" ht="15.75" customHeight="1">
      <c r="A35365" s="7"/>
      <c r="B35365" s="7"/>
      <c r="M35365" s="9" t="s">
        <v>25</v>
      </c>
    </row>
    <row r="35366" ht="15.75" customHeight="1">
      <c r="A35366" s="7"/>
      <c r="B35366" s="7"/>
      <c r="M35366" s="9" t="s">
        <v>23</v>
      </c>
    </row>
    <row r="35367" ht="15.75" customHeight="1">
      <c r="A35367" s="7"/>
      <c r="B35367" s="7"/>
      <c r="M35367" s="9" t="s">
        <v>20</v>
      </c>
    </row>
    <row r="35368" ht="15.75" customHeight="1">
      <c r="A35368" s="7"/>
      <c r="B35368" s="7"/>
      <c r="M35368" s="9" t="s">
        <v>21</v>
      </c>
    </row>
    <row r="35369" ht="15.75" customHeight="1">
      <c r="A35369" s="7"/>
      <c r="B35369" s="7"/>
      <c r="M35369" s="9" t="s">
        <v>37</v>
      </c>
    </row>
    <row r="35370" ht="15.75" customHeight="1">
      <c r="A35370" s="7"/>
      <c r="B35370" s="7"/>
      <c r="M35370" s="9" t="s">
        <v>27</v>
      </c>
    </row>
    <row r="35371" ht="15.75" customHeight="1">
      <c r="A35371" s="7"/>
      <c r="B35371" s="7"/>
      <c r="M35371" s="9" t="s">
        <v>33</v>
      </c>
    </row>
    <row r="35372" ht="15.75" customHeight="1">
      <c r="A35372" s="7"/>
      <c r="B35372" s="7"/>
      <c r="M35372" s="9" t="s">
        <v>38</v>
      </c>
    </row>
    <row r="35373" ht="15.75" customHeight="1">
      <c r="A35373" s="7"/>
      <c r="B35373" s="7"/>
      <c r="M35373" s="9" t="s">
        <v>25</v>
      </c>
    </row>
    <row r="35374" ht="15.75" customHeight="1">
      <c r="A35374" s="7"/>
      <c r="B35374" s="7"/>
      <c r="M35374" s="9" t="s">
        <v>23</v>
      </c>
    </row>
    <row r="35375" ht="15.75" customHeight="1">
      <c r="A35375" s="7"/>
      <c r="B35375" s="7"/>
      <c r="M35375" s="9" t="s">
        <v>24</v>
      </c>
    </row>
    <row r="35376" ht="15.75" customHeight="1">
      <c r="A35376" s="7"/>
      <c r="B35376" s="7"/>
      <c r="M35376" s="9" t="s">
        <v>21</v>
      </c>
    </row>
    <row r="35377" ht="15.75" customHeight="1">
      <c r="A35377" s="7"/>
      <c r="B35377" s="7"/>
      <c r="M35377" s="9" t="s">
        <v>37</v>
      </c>
    </row>
    <row r="35378" ht="15.75" customHeight="1">
      <c r="A35378" s="7"/>
      <c r="B35378" s="7"/>
      <c r="M35378" s="9" t="s">
        <v>27</v>
      </c>
    </row>
    <row r="35379" ht="15.75" customHeight="1">
      <c r="A35379" s="7"/>
      <c r="B35379" s="7"/>
      <c r="M35379" s="9" t="s">
        <v>24</v>
      </c>
    </row>
    <row r="35380" ht="15.75" customHeight="1">
      <c r="A35380" s="7"/>
      <c r="B35380" s="7"/>
      <c r="M35380" s="9" t="s">
        <v>21</v>
      </c>
    </row>
    <row r="35381" ht="15.75" customHeight="1">
      <c r="A35381" s="7"/>
      <c r="B35381" s="7"/>
      <c r="M35381" s="9" t="s">
        <v>37</v>
      </c>
    </row>
    <row r="35382" ht="15.75" customHeight="1">
      <c r="A35382" s="7"/>
      <c r="B35382" s="7"/>
      <c r="M35382" s="9" t="s">
        <v>24</v>
      </c>
    </row>
    <row r="35383" ht="15.75" customHeight="1">
      <c r="A35383" s="7"/>
      <c r="B35383" s="7"/>
      <c r="M35383" s="9" t="s">
        <v>20</v>
      </c>
    </row>
    <row r="35384" ht="15.75" customHeight="1">
      <c r="A35384" s="7"/>
      <c r="B35384" s="7"/>
      <c r="M35384" s="9" t="s">
        <v>21</v>
      </c>
    </row>
    <row r="35385" ht="15.75" customHeight="1">
      <c r="A35385" s="7"/>
      <c r="B35385" s="7"/>
      <c r="M35385" s="9" t="s">
        <v>22</v>
      </c>
    </row>
    <row r="35386" ht="15.75" customHeight="1">
      <c r="A35386" s="7"/>
      <c r="B35386" s="7"/>
      <c r="M35386" s="9" t="s">
        <v>27</v>
      </c>
    </row>
    <row r="35387" ht="15.75" customHeight="1">
      <c r="A35387" s="7"/>
      <c r="B35387" s="7"/>
      <c r="M35387" s="9" t="s">
        <v>20</v>
      </c>
    </row>
    <row r="35388" ht="15.75" customHeight="1">
      <c r="A35388" s="7"/>
      <c r="B35388" s="7"/>
      <c r="M35388" s="9" t="s">
        <v>30</v>
      </c>
    </row>
    <row r="35389" ht="15.75" customHeight="1">
      <c r="A35389" s="7"/>
      <c r="B35389" s="7"/>
      <c r="M35389" s="9" t="s">
        <v>26</v>
      </c>
    </row>
    <row r="35390" ht="15.75" customHeight="1">
      <c r="A35390" s="7"/>
      <c r="B35390" s="7"/>
      <c r="M35390" s="9" t="s">
        <v>24</v>
      </c>
    </row>
    <row r="35391" ht="15.75" customHeight="1">
      <c r="A35391" s="7"/>
      <c r="B35391" s="7"/>
      <c r="M35391" s="9" t="s">
        <v>20</v>
      </c>
    </row>
    <row r="35392" ht="15.75" customHeight="1">
      <c r="A35392" s="7"/>
      <c r="B35392" s="7"/>
      <c r="M35392" s="9" t="s">
        <v>21</v>
      </c>
    </row>
    <row r="35393" ht="15.75" customHeight="1">
      <c r="A35393" s="7"/>
      <c r="B35393" s="7"/>
      <c r="M35393" s="9" t="s">
        <v>27</v>
      </c>
    </row>
    <row r="35394" ht="15.75" customHeight="1">
      <c r="A35394" s="7"/>
      <c r="B35394" s="7"/>
      <c r="M35394" s="9" t="s">
        <v>38</v>
      </c>
    </row>
    <row r="35395" ht="15.75" customHeight="1">
      <c r="A35395" s="7"/>
      <c r="B35395" s="7"/>
      <c r="M35395" s="9" t="s">
        <v>30</v>
      </c>
    </row>
    <row r="35396" ht="15.75" customHeight="1">
      <c r="A35396" s="7"/>
      <c r="B35396" s="7"/>
      <c r="M35396" s="9" t="s">
        <v>25</v>
      </c>
    </row>
    <row r="35397" ht="15.75" customHeight="1">
      <c r="A35397" s="7"/>
      <c r="B35397" s="7"/>
      <c r="M35397" s="9" t="s">
        <v>23</v>
      </c>
    </row>
    <row r="35398" ht="15.75" customHeight="1">
      <c r="A35398" s="7"/>
      <c r="B35398" s="7"/>
      <c r="M35398" s="9" t="s">
        <v>26</v>
      </c>
    </row>
    <row r="35399" ht="15.75" customHeight="1">
      <c r="A35399" s="7"/>
      <c r="B35399" s="7"/>
      <c r="M35399" s="9" t="s">
        <v>44</v>
      </c>
    </row>
    <row r="35400" ht="15.75" customHeight="1">
      <c r="A35400" s="7"/>
      <c r="B35400" s="7"/>
      <c r="M35400" s="9" t="s">
        <v>47</v>
      </c>
    </row>
    <row r="35401" ht="15.75" customHeight="1">
      <c r="A35401" s="7"/>
      <c r="B35401" s="7"/>
      <c r="M35401" s="9" t="s">
        <v>42</v>
      </c>
    </row>
    <row r="35402" ht="15.75" customHeight="1">
      <c r="A35402" s="7"/>
      <c r="B35402" s="7"/>
      <c r="M35402" s="9" t="s">
        <v>34</v>
      </c>
    </row>
    <row r="35403" ht="15.75" customHeight="1">
      <c r="A35403" s="7"/>
      <c r="B35403" s="7"/>
      <c r="M35403" s="9" t="s">
        <v>35</v>
      </c>
    </row>
    <row r="35404" ht="15.75" customHeight="1">
      <c r="A35404" s="7"/>
      <c r="B35404" s="7"/>
      <c r="M35404" s="9" t="s">
        <v>30</v>
      </c>
    </row>
    <row r="35405" ht="15.75" customHeight="1">
      <c r="A35405" s="7"/>
      <c r="B35405" s="7"/>
      <c r="M35405" s="9" t="s">
        <v>26</v>
      </c>
    </row>
    <row r="35406" ht="15.75" customHeight="1">
      <c r="A35406" s="7"/>
      <c r="B35406" s="7"/>
      <c r="M35406" s="9" t="s">
        <v>21</v>
      </c>
    </row>
    <row r="35407" ht="15.75" customHeight="1">
      <c r="A35407" s="7"/>
      <c r="B35407" s="7"/>
      <c r="M35407" s="9" t="s">
        <v>22</v>
      </c>
    </row>
    <row r="35408" ht="15.75" customHeight="1">
      <c r="A35408" s="7"/>
      <c r="B35408" s="7"/>
      <c r="M35408" s="9" t="s">
        <v>27</v>
      </c>
    </row>
    <row r="35409" ht="15.75" customHeight="1">
      <c r="A35409" s="7"/>
      <c r="B35409" s="7"/>
      <c r="M35409" s="9" t="s">
        <v>33</v>
      </c>
    </row>
    <row r="35410" ht="15.75" customHeight="1">
      <c r="A35410" s="7"/>
      <c r="B35410" s="7"/>
      <c r="M35410" s="9" t="s">
        <v>26</v>
      </c>
    </row>
    <row r="35411" ht="15.75" customHeight="1">
      <c r="A35411" s="7"/>
      <c r="B35411" s="7"/>
      <c r="M35411" s="9" t="s">
        <v>36</v>
      </c>
    </row>
    <row r="35412" ht="15.75" customHeight="1">
      <c r="A35412" s="7"/>
      <c r="B35412" s="7"/>
      <c r="M35412" s="9" t="s">
        <v>24</v>
      </c>
    </row>
    <row r="35413" ht="15.75" customHeight="1">
      <c r="A35413" s="7"/>
      <c r="B35413" s="7"/>
      <c r="M35413" s="9" t="s">
        <v>20</v>
      </c>
    </row>
    <row r="35414" ht="15.75" customHeight="1">
      <c r="A35414" s="7"/>
      <c r="B35414" s="7"/>
      <c r="M35414" s="9" t="s">
        <v>21</v>
      </c>
    </row>
    <row r="35415" ht="15.75" customHeight="1">
      <c r="A35415" s="7"/>
      <c r="B35415" s="7"/>
      <c r="M35415" s="9" t="s">
        <v>22</v>
      </c>
    </row>
    <row r="35416" ht="15.75" customHeight="1">
      <c r="A35416" s="7"/>
      <c r="B35416" s="7"/>
      <c r="M35416" s="9" t="s">
        <v>32</v>
      </c>
    </row>
    <row r="35417" ht="15.75" customHeight="1">
      <c r="A35417" s="7"/>
      <c r="B35417" s="7"/>
      <c r="M35417" s="9" t="s">
        <v>27</v>
      </c>
    </row>
    <row r="35418" ht="15.75" customHeight="1">
      <c r="A35418" s="7"/>
      <c r="B35418" s="7"/>
      <c r="M35418" s="9" t="s">
        <v>33</v>
      </c>
    </row>
    <row r="35419" ht="15.75" customHeight="1">
      <c r="A35419" s="7"/>
      <c r="B35419" s="7"/>
      <c r="M35419" s="9" t="s">
        <v>30</v>
      </c>
    </row>
    <row r="35420" ht="15.75" customHeight="1">
      <c r="A35420" s="7"/>
      <c r="B35420" s="7"/>
      <c r="M35420" s="9" t="s">
        <v>20</v>
      </c>
    </row>
    <row r="35421" ht="15.75" customHeight="1">
      <c r="A35421" s="7"/>
      <c r="B35421" s="7"/>
      <c r="M35421" s="9" t="s">
        <v>21</v>
      </c>
    </row>
    <row r="35422" ht="15.75" customHeight="1">
      <c r="A35422" s="7"/>
      <c r="B35422" s="7"/>
      <c r="M35422" s="9" t="s">
        <v>22</v>
      </c>
    </row>
    <row r="35423" ht="15.75" customHeight="1">
      <c r="A35423" s="7"/>
      <c r="B35423" s="7"/>
      <c r="M35423" s="9" t="s">
        <v>46</v>
      </c>
    </row>
    <row r="35424" ht="15.75" customHeight="1">
      <c r="A35424" s="7"/>
      <c r="B35424" s="7"/>
      <c r="M35424" s="9" t="s">
        <v>24</v>
      </c>
    </row>
    <row r="35425" ht="15.75" customHeight="1">
      <c r="A35425" s="7"/>
      <c r="B35425" s="7"/>
      <c r="M35425" s="9" t="s">
        <v>20</v>
      </c>
    </row>
    <row r="35426" ht="15.75" customHeight="1">
      <c r="A35426" s="7"/>
      <c r="B35426" s="7"/>
      <c r="M35426" s="9" t="s">
        <v>27</v>
      </c>
    </row>
    <row r="35427" ht="15.75" customHeight="1">
      <c r="A35427" s="7"/>
      <c r="B35427" s="7"/>
      <c r="M35427" s="9" t="s">
        <v>21</v>
      </c>
    </row>
    <row r="35428" ht="15.75" customHeight="1">
      <c r="A35428" s="7"/>
      <c r="B35428" s="7"/>
      <c r="M35428" s="9" t="s">
        <v>37</v>
      </c>
    </row>
    <row r="35429" ht="15.75" customHeight="1">
      <c r="A35429" s="7"/>
      <c r="B35429" s="7"/>
      <c r="M35429" s="9" t="s">
        <v>22</v>
      </c>
    </row>
    <row r="35430" ht="15.75" customHeight="1">
      <c r="A35430" s="7"/>
      <c r="B35430" s="7"/>
      <c r="M35430" s="9" t="s">
        <v>27</v>
      </c>
    </row>
    <row r="35431" ht="15.75" customHeight="1">
      <c r="A35431" s="7"/>
      <c r="B35431" s="7"/>
      <c r="M35431" s="9" t="s">
        <v>30</v>
      </c>
    </row>
    <row r="35432" ht="15.75" customHeight="1">
      <c r="A35432" s="7"/>
      <c r="B35432" s="7"/>
      <c r="M35432" s="9" t="s">
        <v>26</v>
      </c>
    </row>
    <row r="35433" ht="15.75" customHeight="1">
      <c r="A35433" s="7"/>
      <c r="B35433" s="7"/>
      <c r="M35433" s="9" t="s">
        <v>24</v>
      </c>
    </row>
    <row r="35434" ht="15.75" customHeight="1">
      <c r="A35434" s="7"/>
      <c r="B35434" s="7"/>
      <c r="M35434" s="9" t="s">
        <v>21</v>
      </c>
    </row>
    <row r="35435" ht="15.75" customHeight="1">
      <c r="A35435" s="7"/>
      <c r="B35435" s="7"/>
      <c r="M35435" s="9" t="s">
        <v>27</v>
      </c>
    </row>
    <row r="35436" ht="15.75" customHeight="1">
      <c r="A35436" s="7"/>
      <c r="B35436" s="7"/>
      <c r="M35436" s="9" t="s">
        <v>33</v>
      </c>
    </row>
    <row r="35437" ht="15.75" customHeight="1">
      <c r="A35437" s="7"/>
      <c r="B35437" s="7"/>
      <c r="M35437" s="9" t="s">
        <v>26</v>
      </c>
    </row>
    <row r="35438" ht="15.75" customHeight="1">
      <c r="A35438" s="7"/>
      <c r="B35438" s="7"/>
      <c r="M35438" s="9" t="s">
        <v>21</v>
      </c>
    </row>
    <row r="35439" ht="15.75" customHeight="1">
      <c r="A35439" s="7"/>
      <c r="B35439" s="7"/>
      <c r="M35439" s="9" t="s">
        <v>31</v>
      </c>
    </row>
    <row r="35440" ht="15.75" customHeight="1">
      <c r="A35440" s="7"/>
      <c r="B35440" s="7"/>
      <c r="M35440" s="9" t="s">
        <v>32</v>
      </c>
    </row>
    <row r="35441" ht="15.75" customHeight="1">
      <c r="A35441" s="7"/>
      <c r="B35441" s="7"/>
      <c r="M35441" s="9" t="s">
        <v>30</v>
      </c>
    </row>
    <row r="35442" ht="15.75" customHeight="1">
      <c r="A35442" s="7"/>
      <c r="B35442" s="7"/>
      <c r="M35442" s="9" t="s">
        <v>26</v>
      </c>
    </row>
    <row r="35443" ht="15.75" customHeight="1">
      <c r="A35443" s="7"/>
      <c r="B35443" s="7"/>
      <c r="M35443" s="9" t="s">
        <v>45</v>
      </c>
    </row>
    <row r="35444" ht="15.75" customHeight="1">
      <c r="A35444" s="7"/>
      <c r="B35444" s="7"/>
      <c r="M35444" s="9" t="s">
        <v>27</v>
      </c>
    </row>
    <row r="35445" ht="15.75" customHeight="1">
      <c r="A35445" s="7"/>
      <c r="B35445" s="7"/>
      <c r="M35445" s="9" t="s">
        <v>30</v>
      </c>
    </row>
    <row r="35446" ht="15.75" customHeight="1">
      <c r="A35446" s="7"/>
      <c r="B35446" s="7"/>
      <c r="M35446" s="9" t="s">
        <v>25</v>
      </c>
    </row>
    <row r="35447" ht="15.75" customHeight="1">
      <c r="A35447" s="7"/>
      <c r="B35447" s="7"/>
      <c r="M35447" s="9" t="s">
        <v>24</v>
      </c>
    </row>
    <row r="35448" ht="15.75" customHeight="1">
      <c r="A35448" s="7"/>
      <c r="B35448" s="7"/>
      <c r="M35448" s="9" t="s">
        <v>20</v>
      </c>
    </row>
    <row r="35449" ht="15.75" customHeight="1">
      <c r="A35449" s="7"/>
      <c r="B35449" s="7"/>
      <c r="M35449" s="9" t="s">
        <v>21</v>
      </c>
    </row>
    <row r="35450" ht="15.75" customHeight="1">
      <c r="A35450" s="7"/>
      <c r="B35450" s="7"/>
      <c r="M35450" s="9" t="s">
        <v>22</v>
      </c>
    </row>
    <row r="35451" ht="15.75" customHeight="1">
      <c r="A35451" s="7"/>
      <c r="B35451" s="7"/>
      <c r="M35451" s="9" t="s">
        <v>27</v>
      </c>
    </row>
    <row r="35452" ht="15.75" customHeight="1">
      <c r="A35452" s="7"/>
      <c r="B35452" s="7"/>
      <c r="M35452" s="9" t="s">
        <v>33</v>
      </c>
    </row>
    <row r="35453" ht="15.75" customHeight="1">
      <c r="A35453" s="7"/>
      <c r="B35453" s="7"/>
      <c r="M35453" s="9" t="s">
        <v>23</v>
      </c>
    </row>
    <row r="35454" ht="15.75" customHeight="1">
      <c r="A35454" s="7"/>
      <c r="B35454" s="7"/>
      <c r="M35454" s="9" t="s">
        <v>20</v>
      </c>
    </row>
    <row r="35455" ht="15.75" customHeight="1">
      <c r="A35455" s="7"/>
      <c r="B35455" s="7"/>
      <c r="M35455" s="9" t="s">
        <v>41</v>
      </c>
    </row>
    <row r="35456" ht="15.75" customHeight="1">
      <c r="A35456" s="7"/>
      <c r="B35456" s="7"/>
      <c r="M35456" s="9" t="s">
        <v>22</v>
      </c>
    </row>
    <row r="35457" ht="15.75" customHeight="1">
      <c r="A35457" s="7"/>
      <c r="B35457" s="7"/>
      <c r="M35457" s="9" t="s">
        <v>32</v>
      </c>
    </row>
    <row r="35458" ht="15.75" customHeight="1">
      <c r="A35458" s="7"/>
      <c r="B35458" s="7"/>
      <c r="M35458" s="9" t="s">
        <v>24</v>
      </c>
    </row>
    <row r="35459" ht="15.75" customHeight="1">
      <c r="A35459" s="7"/>
      <c r="B35459" s="7"/>
      <c r="M35459" s="9" t="s">
        <v>21</v>
      </c>
    </row>
    <row r="35460" ht="15.75" customHeight="1">
      <c r="A35460" s="7"/>
      <c r="B35460" s="7"/>
      <c r="M35460" s="9" t="s">
        <v>41</v>
      </c>
    </row>
    <row r="35461" ht="15.75" customHeight="1">
      <c r="A35461" s="7"/>
      <c r="B35461" s="7"/>
      <c r="M35461" s="9" t="s">
        <v>37</v>
      </c>
    </row>
    <row r="35462" ht="15.75" customHeight="1">
      <c r="A35462" s="7"/>
      <c r="B35462" s="7"/>
      <c r="M35462" s="9" t="s">
        <v>27</v>
      </c>
    </row>
    <row r="35463" ht="15.75" customHeight="1">
      <c r="A35463" s="7"/>
      <c r="B35463" s="7"/>
      <c r="M35463" s="9" t="s">
        <v>38</v>
      </c>
    </row>
    <row r="35464" ht="15.75" customHeight="1">
      <c r="A35464" s="7"/>
      <c r="B35464" s="7"/>
      <c r="M35464" s="9" t="s">
        <v>30</v>
      </c>
    </row>
    <row r="35465" ht="15.75" customHeight="1">
      <c r="A35465" s="7"/>
      <c r="B35465" s="7"/>
      <c r="M35465" s="9" t="s">
        <v>25</v>
      </c>
    </row>
    <row r="35466" ht="15.75" customHeight="1">
      <c r="A35466" s="7"/>
      <c r="B35466" s="7"/>
      <c r="M35466" s="9" t="s">
        <v>26</v>
      </c>
    </row>
    <row r="35467" ht="15.75" customHeight="1">
      <c r="A35467" s="7"/>
      <c r="B35467" s="7"/>
      <c r="M35467" s="9" t="s">
        <v>20</v>
      </c>
    </row>
    <row r="35468" ht="15.75" customHeight="1">
      <c r="A35468" s="7"/>
      <c r="B35468" s="7"/>
      <c r="M35468" s="9" t="s">
        <v>21</v>
      </c>
    </row>
    <row r="35469" ht="15.75" customHeight="1">
      <c r="A35469" s="7"/>
      <c r="B35469" s="7"/>
      <c r="M35469" s="9" t="s">
        <v>22</v>
      </c>
    </row>
    <row r="35470" ht="15.75" customHeight="1">
      <c r="A35470" s="7"/>
      <c r="B35470" s="7"/>
      <c r="M35470" s="9" t="s">
        <v>27</v>
      </c>
    </row>
    <row r="35471" ht="15.75" customHeight="1">
      <c r="A35471" s="7"/>
      <c r="B35471" s="7"/>
      <c r="M35471" s="9" t="s">
        <v>30</v>
      </c>
    </row>
    <row r="35472" ht="15.75" customHeight="1">
      <c r="A35472" s="7"/>
      <c r="B35472" s="7"/>
      <c r="M35472" s="9" t="s">
        <v>44</v>
      </c>
    </row>
    <row r="35473" ht="15.75" customHeight="1">
      <c r="A35473" s="7"/>
      <c r="B35473" s="7"/>
      <c r="M35473" s="9" t="s">
        <v>24</v>
      </c>
    </row>
    <row r="35474" ht="15.75" customHeight="1">
      <c r="A35474" s="7"/>
      <c r="B35474" s="7"/>
      <c r="M35474" s="9" t="s">
        <v>20</v>
      </c>
    </row>
    <row r="35475" ht="15.75" customHeight="1">
      <c r="A35475" s="7"/>
      <c r="B35475" s="7"/>
      <c r="M35475" s="9" t="s">
        <v>21</v>
      </c>
    </row>
    <row r="35476" ht="15.75" customHeight="1">
      <c r="A35476" s="7"/>
      <c r="B35476" s="7"/>
      <c r="M35476" s="9" t="s">
        <v>39</v>
      </c>
    </row>
    <row r="35477" ht="15.75" customHeight="1">
      <c r="A35477" s="7"/>
      <c r="B35477" s="7"/>
      <c r="M35477" s="9" t="s">
        <v>27</v>
      </c>
    </row>
    <row r="35478" ht="15.75" customHeight="1">
      <c r="A35478" s="7"/>
      <c r="B35478" s="7"/>
      <c r="M35478" s="9" t="s">
        <v>23</v>
      </c>
    </row>
    <row r="35479" ht="15.75" customHeight="1">
      <c r="A35479" s="7"/>
      <c r="B35479" s="7"/>
      <c r="M35479" s="9" t="s">
        <v>36</v>
      </c>
    </row>
    <row r="35480" ht="15.75" customHeight="1">
      <c r="A35480" s="7"/>
      <c r="B35480" s="7"/>
      <c r="M35480" s="9" t="s">
        <v>30</v>
      </c>
    </row>
    <row r="35481" ht="15.75" customHeight="1">
      <c r="A35481" s="7"/>
      <c r="B35481" s="7"/>
      <c r="M35481" s="9" t="s">
        <v>25</v>
      </c>
    </row>
    <row r="35482" ht="15.75" customHeight="1">
      <c r="A35482" s="7"/>
      <c r="B35482" s="7"/>
      <c r="M35482" s="9" t="s">
        <v>23</v>
      </c>
    </row>
    <row r="35483" ht="15.75" customHeight="1">
      <c r="A35483" s="7"/>
      <c r="B35483" s="7"/>
      <c r="M35483" s="9" t="s">
        <v>26</v>
      </c>
    </row>
    <row r="35484" ht="15.75" customHeight="1">
      <c r="A35484" s="7"/>
      <c r="B35484" s="7"/>
      <c r="M35484" s="9" t="s">
        <v>24</v>
      </c>
    </row>
    <row r="35485" ht="15.75" customHeight="1">
      <c r="A35485" s="7"/>
      <c r="B35485" s="7"/>
      <c r="M35485" s="9" t="s">
        <v>21</v>
      </c>
    </row>
    <row r="35486" ht="15.75" customHeight="1">
      <c r="A35486" s="7"/>
      <c r="B35486" s="7"/>
      <c r="M35486" s="9" t="s">
        <v>37</v>
      </c>
    </row>
    <row r="35487" ht="15.75" customHeight="1">
      <c r="A35487" s="7"/>
      <c r="B35487" s="7"/>
      <c r="M35487" s="9" t="s">
        <v>27</v>
      </c>
    </row>
    <row r="35488" ht="15.75" customHeight="1">
      <c r="A35488" s="7"/>
      <c r="B35488" s="7"/>
      <c r="M35488" s="9" t="s">
        <v>20</v>
      </c>
    </row>
    <row r="35489" ht="15.75" customHeight="1">
      <c r="A35489" s="7"/>
      <c r="B35489" s="7"/>
      <c r="M35489" s="9" t="s">
        <v>21</v>
      </c>
    </row>
    <row r="35490" ht="15.75" customHeight="1">
      <c r="A35490" s="7"/>
      <c r="B35490" s="7"/>
      <c r="M35490" s="9" t="s">
        <v>39</v>
      </c>
    </row>
    <row r="35491" ht="15.75" customHeight="1">
      <c r="A35491" s="7"/>
      <c r="B35491" s="7"/>
      <c r="M35491" s="9" t="s">
        <v>31</v>
      </c>
    </row>
    <row r="35492" ht="15.75" customHeight="1">
      <c r="A35492" s="7"/>
      <c r="B35492" s="7"/>
      <c r="M35492" s="9" t="s">
        <v>24</v>
      </c>
    </row>
    <row r="35493" ht="15.75" customHeight="1">
      <c r="A35493" s="7"/>
      <c r="B35493" s="7"/>
      <c r="M35493" s="9" t="s">
        <v>20</v>
      </c>
    </row>
    <row r="35494" ht="15.75" customHeight="1">
      <c r="A35494" s="7"/>
      <c r="B35494" s="7"/>
      <c r="M35494" s="9" t="s">
        <v>21</v>
      </c>
    </row>
    <row r="35495" ht="15.75" customHeight="1">
      <c r="A35495" s="7"/>
      <c r="B35495" s="7"/>
      <c r="M35495" s="9" t="s">
        <v>39</v>
      </c>
    </row>
    <row r="35496" ht="15.75" customHeight="1">
      <c r="A35496" s="7"/>
      <c r="B35496" s="7"/>
      <c r="M35496" s="9" t="s">
        <v>20</v>
      </c>
    </row>
    <row r="35497" ht="15.75" customHeight="1">
      <c r="A35497" s="7"/>
      <c r="B35497" s="7"/>
      <c r="M35497" s="9" t="s">
        <v>37</v>
      </c>
    </row>
    <row r="35498" ht="15.75" customHeight="1">
      <c r="A35498" s="7"/>
      <c r="B35498" s="7"/>
      <c r="M35498" s="9" t="s">
        <v>27</v>
      </c>
    </row>
    <row r="35499" ht="15.75" customHeight="1">
      <c r="A35499" s="7"/>
      <c r="B35499" s="7"/>
      <c r="M35499" s="9" t="s">
        <v>24</v>
      </c>
    </row>
    <row r="35500" ht="15.75" customHeight="1">
      <c r="A35500" s="7"/>
      <c r="B35500" s="7"/>
      <c r="M35500" s="9" t="s">
        <v>21</v>
      </c>
    </row>
    <row r="35501" ht="15.75" customHeight="1">
      <c r="A35501" s="7"/>
      <c r="B35501" s="7"/>
      <c r="M35501" s="9" t="s">
        <v>37</v>
      </c>
    </row>
    <row r="35502" ht="15.75" customHeight="1">
      <c r="A35502" s="7"/>
      <c r="B35502" s="7"/>
      <c r="M35502" s="9" t="s">
        <v>27</v>
      </c>
    </row>
    <row r="35503" ht="15.75" customHeight="1">
      <c r="A35503" s="7"/>
      <c r="B35503" s="7"/>
      <c r="M35503" s="9" t="s">
        <v>30</v>
      </c>
    </row>
    <row r="35504" ht="15.75" customHeight="1">
      <c r="A35504" s="7"/>
      <c r="B35504" s="7"/>
      <c r="M35504" s="9" t="s">
        <v>44</v>
      </c>
    </row>
    <row r="35505" ht="15.75" customHeight="1">
      <c r="A35505" s="7"/>
      <c r="B35505" s="7"/>
      <c r="M35505" s="9" t="s">
        <v>24</v>
      </c>
    </row>
    <row r="35506" ht="15.75" customHeight="1">
      <c r="A35506" s="7"/>
      <c r="B35506" s="7"/>
      <c r="M35506" s="9" t="s">
        <v>21</v>
      </c>
    </row>
    <row r="35507" ht="15.75" customHeight="1">
      <c r="A35507" s="7"/>
      <c r="B35507" s="7"/>
      <c r="M35507" s="9" t="s">
        <v>24</v>
      </c>
    </row>
    <row r="35508" ht="15.75" customHeight="1">
      <c r="A35508" s="7"/>
      <c r="B35508" s="7"/>
      <c r="M35508" s="9" t="s">
        <v>20</v>
      </c>
    </row>
    <row r="35509" ht="15.75" customHeight="1">
      <c r="A35509" s="7"/>
      <c r="B35509" s="7"/>
      <c r="M35509" s="9" t="s">
        <v>21</v>
      </c>
    </row>
    <row r="35510" ht="15.75" customHeight="1">
      <c r="A35510" s="7"/>
      <c r="B35510" s="7"/>
      <c r="M35510" s="9" t="s">
        <v>27</v>
      </c>
    </row>
    <row r="35511" ht="15.75" customHeight="1">
      <c r="A35511" s="7"/>
      <c r="B35511" s="7"/>
      <c r="M35511" s="9" t="s">
        <v>24</v>
      </c>
    </row>
    <row r="35512" ht="15.75" customHeight="1">
      <c r="A35512" s="7"/>
      <c r="B35512" s="7"/>
      <c r="M35512" s="9" t="s">
        <v>21</v>
      </c>
    </row>
    <row r="35513" ht="15.75" customHeight="1">
      <c r="A35513" s="7"/>
      <c r="B35513" s="7"/>
      <c r="M35513" s="9" t="s">
        <v>28</v>
      </c>
    </row>
    <row r="35514" ht="15.75" customHeight="1">
      <c r="A35514" s="7"/>
      <c r="B35514" s="7"/>
      <c r="M35514" s="9" t="s">
        <v>30</v>
      </c>
    </row>
    <row r="35515" ht="15.75" customHeight="1">
      <c r="A35515" s="7"/>
      <c r="B35515" s="7"/>
      <c r="M35515" s="9" t="s">
        <v>26</v>
      </c>
    </row>
    <row r="35516" ht="15.75" customHeight="1">
      <c r="A35516" s="7"/>
      <c r="B35516" s="7"/>
      <c r="M35516" s="9" t="s">
        <v>24</v>
      </c>
    </row>
    <row r="35517" ht="15.75" customHeight="1">
      <c r="A35517" s="7"/>
      <c r="B35517" s="7"/>
      <c r="M35517" s="9" t="s">
        <v>21</v>
      </c>
    </row>
    <row r="35518" ht="15.75" customHeight="1">
      <c r="A35518" s="7"/>
      <c r="B35518" s="7"/>
      <c r="M35518" s="9" t="s">
        <v>37</v>
      </c>
    </row>
    <row r="35519" ht="15.75" customHeight="1">
      <c r="A35519" s="7"/>
      <c r="B35519" s="7"/>
      <c r="M35519" s="9" t="s">
        <v>27</v>
      </c>
    </row>
    <row r="35520" ht="15.75" customHeight="1">
      <c r="A35520" s="7"/>
      <c r="B35520" s="7"/>
      <c r="M35520" s="9" t="s">
        <v>24</v>
      </c>
    </row>
    <row r="35521" ht="15.75" customHeight="1">
      <c r="A35521" s="7"/>
      <c r="B35521" s="7"/>
      <c r="M35521" s="9" t="s">
        <v>20</v>
      </c>
    </row>
    <row r="35522" ht="15.75" customHeight="1">
      <c r="A35522" s="7"/>
      <c r="B35522" s="7"/>
      <c r="M35522" s="9" t="s">
        <v>21</v>
      </c>
    </row>
    <row r="35523" ht="15.75" customHeight="1">
      <c r="A35523" s="7"/>
      <c r="B35523" s="7"/>
      <c r="M35523" s="9" t="s">
        <v>22</v>
      </c>
    </row>
    <row r="35524" ht="15.75" customHeight="1">
      <c r="A35524" s="7"/>
      <c r="B35524" s="7"/>
      <c r="M35524" s="9" t="s">
        <v>27</v>
      </c>
    </row>
    <row r="35525" ht="15.75" customHeight="1">
      <c r="A35525" s="7"/>
      <c r="B35525" s="7"/>
      <c r="M35525" s="9" t="s">
        <v>33</v>
      </c>
    </row>
    <row r="35526" ht="15.75" customHeight="1">
      <c r="A35526" s="7"/>
      <c r="B35526" s="7"/>
      <c r="M35526" s="9" t="s">
        <v>37</v>
      </c>
    </row>
    <row r="35527" ht="15.75" customHeight="1">
      <c r="A35527" s="7"/>
      <c r="B35527" s="7"/>
      <c r="M35527" s="9" t="s">
        <v>31</v>
      </c>
    </row>
    <row r="35528" ht="15.75" customHeight="1">
      <c r="A35528" s="7"/>
      <c r="B35528" s="7"/>
      <c r="M35528" s="9" t="s">
        <v>30</v>
      </c>
    </row>
    <row r="35529" ht="15.75" customHeight="1">
      <c r="A35529" s="7"/>
      <c r="B35529" s="7"/>
      <c r="M35529" s="9" t="s">
        <v>26</v>
      </c>
    </row>
    <row r="35530" ht="15.75" customHeight="1">
      <c r="A35530" s="7"/>
      <c r="B35530" s="7"/>
      <c r="M35530" s="9" t="s">
        <v>24</v>
      </c>
    </row>
    <row r="35531" ht="15.75" customHeight="1">
      <c r="A35531" s="7"/>
      <c r="B35531" s="7"/>
      <c r="M35531" s="9" t="s">
        <v>21</v>
      </c>
    </row>
    <row r="35532" ht="15.75" customHeight="1">
      <c r="A35532" s="7"/>
      <c r="B35532" s="7"/>
      <c r="M35532" s="9" t="s">
        <v>27</v>
      </c>
    </row>
    <row r="35533" ht="15.75" customHeight="1">
      <c r="A35533" s="7"/>
      <c r="B35533" s="7"/>
      <c r="M35533" s="9" t="s">
        <v>21</v>
      </c>
    </row>
    <row r="35534" ht="15.75" customHeight="1">
      <c r="A35534" s="7"/>
      <c r="B35534" s="7"/>
      <c r="M35534" s="9" t="s">
        <v>46</v>
      </c>
    </row>
    <row r="35535" ht="15.75" customHeight="1">
      <c r="A35535" s="7"/>
      <c r="B35535" s="7"/>
      <c r="M35535" s="9" t="s">
        <v>33</v>
      </c>
    </row>
    <row r="35536" ht="15.75" customHeight="1">
      <c r="A35536" s="7"/>
      <c r="B35536" s="7"/>
      <c r="M35536" s="9" t="s">
        <v>25</v>
      </c>
    </row>
    <row r="35537" ht="15.75" customHeight="1">
      <c r="A35537" s="7"/>
      <c r="B35537" s="7"/>
      <c r="M35537" s="9" t="s">
        <v>24</v>
      </c>
    </row>
    <row r="35538" ht="15.75" customHeight="1">
      <c r="A35538" s="7"/>
      <c r="B35538" s="7"/>
      <c r="M35538" s="9" t="s">
        <v>20</v>
      </c>
    </row>
    <row r="35539" ht="15.75" customHeight="1">
      <c r="A35539" s="7"/>
      <c r="B35539" s="7"/>
      <c r="M35539" s="9" t="s">
        <v>21</v>
      </c>
    </row>
    <row r="35540" ht="15.75" customHeight="1">
      <c r="A35540" s="7"/>
      <c r="B35540" s="7"/>
      <c r="M35540" s="9" t="s">
        <v>41</v>
      </c>
    </row>
    <row r="35541" ht="15.75" customHeight="1">
      <c r="A35541" s="7"/>
      <c r="B35541" s="7"/>
      <c r="M35541" s="9" t="s">
        <v>37</v>
      </c>
    </row>
    <row r="35542" ht="15.75" customHeight="1">
      <c r="A35542" s="7"/>
      <c r="B35542" s="7"/>
      <c r="M35542" s="9" t="s">
        <v>22</v>
      </c>
    </row>
    <row r="35543" ht="15.75" customHeight="1">
      <c r="A35543" s="7"/>
      <c r="B35543" s="7"/>
      <c r="M35543" s="9" t="s">
        <v>46</v>
      </c>
    </row>
    <row r="35544" ht="15.75" customHeight="1">
      <c r="A35544" s="7"/>
      <c r="B35544" s="7"/>
      <c r="M35544" s="9" t="s">
        <v>40</v>
      </c>
    </row>
    <row r="35545" ht="15.75" customHeight="1">
      <c r="A35545" s="7"/>
      <c r="B35545" s="7"/>
      <c r="M35545" s="9" t="s">
        <v>24</v>
      </c>
    </row>
    <row r="35546" ht="15.75" customHeight="1">
      <c r="A35546" s="7"/>
      <c r="B35546" s="7"/>
      <c r="M35546" s="9" t="s">
        <v>21</v>
      </c>
    </row>
    <row r="35547" ht="15.75" customHeight="1">
      <c r="A35547" s="7"/>
      <c r="B35547" s="7"/>
      <c r="M35547" s="9" t="s">
        <v>30</v>
      </c>
    </row>
    <row r="35548" ht="15.75" customHeight="1">
      <c r="A35548" s="7"/>
      <c r="B35548" s="7"/>
      <c r="M35548" s="9" t="s">
        <v>36</v>
      </c>
    </row>
    <row r="35549" ht="15.75" customHeight="1">
      <c r="A35549" s="7"/>
      <c r="B35549" s="7"/>
      <c r="M35549" s="9" t="s">
        <v>24</v>
      </c>
    </row>
    <row r="35550" ht="15.75" customHeight="1">
      <c r="A35550" s="7"/>
      <c r="B35550" s="7"/>
      <c r="M35550" s="9" t="s">
        <v>21</v>
      </c>
    </row>
    <row r="35551" ht="15.75" customHeight="1">
      <c r="A35551" s="7"/>
      <c r="B35551" s="7"/>
      <c r="M35551" s="9" t="s">
        <v>22</v>
      </c>
    </row>
    <row r="35552" ht="15.75" customHeight="1">
      <c r="A35552" s="7"/>
      <c r="B35552" s="7"/>
      <c r="M35552" s="9" t="s">
        <v>27</v>
      </c>
    </row>
    <row r="35553" ht="15.75" customHeight="1">
      <c r="A35553" s="7"/>
      <c r="B35553" s="7"/>
      <c r="M35553" s="9" t="s">
        <v>35</v>
      </c>
    </row>
    <row r="35554" ht="15.75" customHeight="1">
      <c r="A35554" s="7"/>
      <c r="B35554" s="7"/>
      <c r="M35554" s="9" t="s">
        <v>30</v>
      </c>
    </row>
    <row r="35555" ht="15.75" customHeight="1">
      <c r="A35555" s="7"/>
      <c r="B35555" s="7"/>
      <c r="M35555" s="9" t="s">
        <v>24</v>
      </c>
    </row>
    <row r="35556" ht="15.75" customHeight="1">
      <c r="A35556" s="7"/>
      <c r="B35556" s="7"/>
      <c r="M35556" s="9" t="s">
        <v>21</v>
      </c>
    </row>
    <row r="35557" ht="15.75" customHeight="1">
      <c r="A35557" s="7"/>
      <c r="B35557" s="7"/>
      <c r="M35557" s="9" t="s">
        <v>37</v>
      </c>
    </row>
    <row r="35558" ht="15.75" customHeight="1">
      <c r="A35558" s="7"/>
      <c r="B35558" s="7"/>
      <c r="M35558" s="9" t="s">
        <v>30</v>
      </c>
    </row>
    <row r="35559" ht="15.75" customHeight="1">
      <c r="A35559" s="7"/>
      <c r="B35559" s="7"/>
      <c r="M35559" s="9" t="s">
        <v>24</v>
      </c>
    </row>
    <row r="35560" ht="15.75" customHeight="1">
      <c r="A35560" s="7"/>
      <c r="B35560" s="7"/>
      <c r="M35560" s="9" t="s">
        <v>20</v>
      </c>
    </row>
    <row r="35561" ht="15.75" customHeight="1">
      <c r="A35561" s="7"/>
      <c r="B35561" s="7"/>
      <c r="M35561" s="9" t="s">
        <v>21</v>
      </c>
    </row>
    <row r="35562" ht="15.75" customHeight="1">
      <c r="A35562" s="7"/>
      <c r="B35562" s="7"/>
      <c r="M35562" s="9" t="s">
        <v>22</v>
      </c>
    </row>
    <row r="35563" ht="15.75" customHeight="1">
      <c r="A35563" s="7"/>
      <c r="B35563" s="7"/>
      <c r="M35563" s="9" t="s">
        <v>31</v>
      </c>
    </row>
    <row r="35564" ht="15.75" customHeight="1">
      <c r="A35564" s="7"/>
      <c r="B35564" s="7"/>
      <c r="M35564" s="9" t="s">
        <v>47</v>
      </c>
    </row>
    <row r="35565" ht="15.75" customHeight="1">
      <c r="A35565" s="7"/>
      <c r="B35565" s="7"/>
      <c r="M35565" s="9" t="s">
        <v>42</v>
      </c>
    </row>
    <row r="35566" ht="15.75" customHeight="1">
      <c r="A35566" s="7"/>
      <c r="B35566" s="7"/>
      <c r="M35566" s="9" t="s">
        <v>36</v>
      </c>
    </row>
    <row r="35567" ht="15.75" customHeight="1">
      <c r="A35567" s="7"/>
      <c r="B35567" s="7"/>
      <c r="M35567" s="9" t="s">
        <v>24</v>
      </c>
    </row>
    <row r="35568" ht="15.75" customHeight="1">
      <c r="A35568" s="7"/>
      <c r="B35568" s="7"/>
      <c r="M35568" s="9" t="s">
        <v>21</v>
      </c>
    </row>
    <row r="35569" ht="15.75" customHeight="1">
      <c r="A35569" s="7"/>
      <c r="B35569" s="7"/>
      <c r="M35569" s="9" t="s">
        <v>32</v>
      </c>
    </row>
    <row r="35570" ht="15.75" customHeight="1">
      <c r="A35570" s="7"/>
      <c r="B35570" s="7"/>
      <c r="M35570" s="9" t="s">
        <v>27</v>
      </c>
    </row>
    <row r="35571" ht="15.75" customHeight="1">
      <c r="A35571" s="7"/>
      <c r="B35571" s="7"/>
      <c r="M35571" s="9" t="s">
        <v>33</v>
      </c>
    </row>
    <row r="35572" ht="15.75" customHeight="1">
      <c r="A35572" s="7"/>
      <c r="B35572" s="7"/>
      <c r="M35572" s="9" t="s">
        <v>35</v>
      </c>
    </row>
    <row r="35573" ht="15.75" customHeight="1">
      <c r="A35573" s="7"/>
      <c r="B35573" s="7"/>
      <c r="M35573" s="9" t="s">
        <v>30</v>
      </c>
    </row>
    <row r="35574" ht="15.75" customHeight="1">
      <c r="A35574" s="7"/>
      <c r="B35574" s="7"/>
      <c r="M35574" s="9" t="s">
        <v>25</v>
      </c>
    </row>
    <row r="35575" ht="15.75" customHeight="1">
      <c r="A35575" s="7"/>
      <c r="B35575" s="7"/>
      <c r="M35575" s="9" t="s">
        <v>23</v>
      </c>
    </row>
    <row r="35576" ht="15.75" customHeight="1">
      <c r="A35576" s="7"/>
      <c r="B35576" s="7"/>
      <c r="M35576" s="9" t="s">
        <v>36</v>
      </c>
    </row>
    <row r="35577" ht="15.75" customHeight="1">
      <c r="A35577" s="7"/>
      <c r="B35577" s="7"/>
      <c r="M35577" s="9" t="s">
        <v>24</v>
      </c>
    </row>
    <row r="35578" ht="15.75" customHeight="1">
      <c r="A35578" s="7"/>
      <c r="B35578" s="7"/>
      <c r="M35578" s="9" t="s">
        <v>20</v>
      </c>
    </row>
    <row r="35579" ht="15.75" customHeight="1">
      <c r="A35579" s="7"/>
      <c r="B35579" s="7"/>
      <c r="M35579" s="9" t="s">
        <v>21</v>
      </c>
    </row>
    <row r="35580" ht="15.75" customHeight="1">
      <c r="A35580" s="7"/>
      <c r="B35580" s="7"/>
      <c r="M35580" s="9" t="s">
        <v>27</v>
      </c>
    </row>
    <row r="35581" ht="15.75" customHeight="1">
      <c r="A35581" s="7"/>
      <c r="B35581" s="7"/>
      <c r="M35581" s="9" t="s">
        <v>24</v>
      </c>
    </row>
    <row r="35582" ht="15.75" customHeight="1">
      <c r="A35582" s="7"/>
      <c r="B35582" s="7"/>
      <c r="M35582" s="9" t="s">
        <v>21</v>
      </c>
    </row>
    <row r="35583" ht="15.75" customHeight="1">
      <c r="A35583" s="7"/>
      <c r="B35583" s="7"/>
      <c r="M35583" s="9" t="s">
        <v>37</v>
      </c>
    </row>
    <row r="35584" ht="15.75" customHeight="1">
      <c r="A35584" s="7"/>
      <c r="B35584" s="7"/>
      <c r="M35584" s="9" t="s">
        <v>22</v>
      </c>
    </row>
    <row r="35585" ht="15.75" customHeight="1">
      <c r="A35585" s="7"/>
      <c r="B35585" s="7"/>
      <c r="M35585" s="9" t="s">
        <v>27</v>
      </c>
    </row>
    <row r="35586" ht="15.75" customHeight="1">
      <c r="A35586" s="7"/>
      <c r="B35586" s="7"/>
      <c r="M35586" s="9" t="s">
        <v>33</v>
      </c>
    </row>
    <row r="35587" ht="15.75" customHeight="1">
      <c r="A35587" s="7"/>
      <c r="B35587" s="7"/>
      <c r="M35587" s="9" t="s">
        <v>25</v>
      </c>
    </row>
    <row r="35588" ht="15.75" customHeight="1">
      <c r="A35588" s="7"/>
      <c r="B35588" s="7"/>
      <c r="M35588" s="9" t="s">
        <v>36</v>
      </c>
    </row>
    <row r="35589" ht="15.75" customHeight="1">
      <c r="A35589" s="7"/>
      <c r="B35589" s="7"/>
      <c r="M35589" s="9" t="s">
        <v>24</v>
      </c>
    </row>
    <row r="35590" ht="15.75" customHeight="1">
      <c r="A35590" s="7"/>
      <c r="B35590" s="7"/>
      <c r="M35590" s="9" t="s">
        <v>21</v>
      </c>
    </row>
    <row r="35591" ht="15.75" customHeight="1">
      <c r="A35591" s="7"/>
      <c r="B35591" s="7"/>
      <c r="M35591" s="9" t="s">
        <v>37</v>
      </c>
    </row>
    <row r="35592" ht="15.75" customHeight="1">
      <c r="A35592" s="7"/>
      <c r="B35592" s="7"/>
      <c r="M35592" s="9" t="s">
        <v>22</v>
      </c>
    </row>
    <row r="35593" ht="15.75" customHeight="1">
      <c r="A35593" s="7"/>
      <c r="B35593" s="7"/>
      <c r="M35593" s="9" t="s">
        <v>27</v>
      </c>
    </row>
    <row r="35594" ht="15.75" customHeight="1">
      <c r="A35594" s="7"/>
      <c r="B35594" s="7"/>
      <c r="M35594" s="9" t="s">
        <v>35</v>
      </c>
    </row>
    <row r="35595" ht="15.75" customHeight="1">
      <c r="A35595" s="7"/>
      <c r="B35595" s="7"/>
      <c r="M35595" s="9" t="s">
        <v>21</v>
      </c>
    </row>
    <row r="35596" ht="15.75" customHeight="1">
      <c r="A35596" s="7"/>
      <c r="B35596" s="7"/>
      <c r="M35596" s="9" t="s">
        <v>37</v>
      </c>
    </row>
    <row r="35597" ht="15.75" customHeight="1">
      <c r="A35597" s="7"/>
      <c r="B35597" s="7"/>
      <c r="M35597" s="9" t="s">
        <v>27</v>
      </c>
    </row>
    <row r="35598" ht="15.75" customHeight="1">
      <c r="A35598" s="7"/>
      <c r="B35598" s="7"/>
      <c r="M35598" s="9" t="s">
        <v>33</v>
      </c>
    </row>
    <row r="35599" ht="15.75" customHeight="1">
      <c r="A35599" s="7"/>
      <c r="B35599" s="7"/>
      <c r="M35599" s="9" t="s">
        <v>22</v>
      </c>
    </row>
    <row r="35600" ht="15.75" customHeight="1">
      <c r="A35600" s="7"/>
      <c r="B35600" s="7"/>
      <c r="M35600" s="9" t="s">
        <v>30</v>
      </c>
    </row>
    <row r="35601" ht="15.75" customHeight="1">
      <c r="A35601" s="7"/>
      <c r="B35601" s="7"/>
      <c r="M35601" s="9" t="s">
        <v>24</v>
      </c>
    </row>
    <row r="35602" ht="15.75" customHeight="1">
      <c r="A35602" s="7"/>
      <c r="B35602" s="7"/>
      <c r="M35602" s="9" t="s">
        <v>21</v>
      </c>
    </row>
    <row r="35603" ht="15.75" customHeight="1">
      <c r="A35603" s="7"/>
      <c r="B35603" s="7"/>
      <c r="M35603" s="9" t="s">
        <v>39</v>
      </c>
    </row>
    <row r="35604" ht="15.75" customHeight="1">
      <c r="A35604" s="7"/>
      <c r="B35604" s="7"/>
      <c r="M35604" s="9" t="s">
        <v>37</v>
      </c>
    </row>
    <row r="35605" ht="15.75" customHeight="1">
      <c r="A35605" s="7"/>
      <c r="B35605" s="7"/>
      <c r="M35605" s="9" t="s">
        <v>22</v>
      </c>
    </row>
    <row r="35606" ht="15.75" customHeight="1">
      <c r="A35606" s="7"/>
      <c r="B35606" s="7"/>
      <c r="M35606" s="9" t="s">
        <v>27</v>
      </c>
    </row>
    <row r="35607" ht="15.75" customHeight="1">
      <c r="A35607" s="7"/>
      <c r="B35607" s="7"/>
      <c r="M35607" s="9" t="s">
        <v>33</v>
      </c>
    </row>
    <row r="35608" ht="15.75" customHeight="1">
      <c r="A35608" s="7"/>
      <c r="B35608" s="7"/>
      <c r="M35608" s="9" t="s">
        <v>35</v>
      </c>
    </row>
    <row r="35609" ht="15.75" customHeight="1">
      <c r="A35609" s="7"/>
      <c r="B35609" s="7"/>
      <c r="M35609" s="9" t="s">
        <v>24</v>
      </c>
    </row>
    <row r="35610" ht="15.75" customHeight="1">
      <c r="A35610" s="7"/>
      <c r="B35610" s="7"/>
      <c r="M35610" s="9" t="s">
        <v>21</v>
      </c>
    </row>
    <row r="35611" ht="15.75" customHeight="1">
      <c r="A35611" s="7"/>
      <c r="B35611" s="7"/>
      <c r="M35611" s="9" t="s">
        <v>37</v>
      </c>
    </row>
    <row r="35612" ht="15.75" customHeight="1">
      <c r="A35612" s="7"/>
      <c r="B35612" s="7"/>
      <c r="M35612" s="9" t="s">
        <v>24</v>
      </c>
    </row>
    <row r="35613" ht="15.75" customHeight="1">
      <c r="A35613" s="7"/>
      <c r="B35613" s="7"/>
      <c r="M35613" s="9" t="s">
        <v>20</v>
      </c>
    </row>
    <row r="35614" ht="15.75" customHeight="1">
      <c r="A35614" s="7"/>
      <c r="B35614" s="7"/>
      <c r="M35614" s="9" t="s">
        <v>21</v>
      </c>
    </row>
    <row r="35615" ht="15.75" customHeight="1">
      <c r="A35615" s="7"/>
      <c r="B35615" s="7"/>
      <c r="M35615" s="9" t="s">
        <v>37</v>
      </c>
    </row>
    <row r="35616" ht="15.75" customHeight="1">
      <c r="A35616" s="7"/>
      <c r="B35616" s="7"/>
      <c r="M35616" s="9" t="s">
        <v>22</v>
      </c>
    </row>
    <row r="35617" ht="15.75" customHeight="1">
      <c r="A35617" s="7"/>
      <c r="B35617" s="7"/>
      <c r="M35617" s="9" t="s">
        <v>36</v>
      </c>
    </row>
    <row r="35618" ht="15.75" customHeight="1">
      <c r="A35618" s="7"/>
      <c r="B35618" s="7"/>
      <c r="M35618" s="9" t="s">
        <v>20</v>
      </c>
    </row>
    <row r="35619" ht="15.75" customHeight="1">
      <c r="A35619" s="7"/>
      <c r="B35619" s="7"/>
      <c r="M35619" s="9" t="s">
        <v>37</v>
      </c>
    </row>
    <row r="35620" ht="15.75" customHeight="1">
      <c r="A35620" s="7"/>
      <c r="B35620" s="7"/>
      <c r="M35620" s="9" t="s">
        <v>46</v>
      </c>
    </row>
    <row r="35621" ht="15.75" customHeight="1">
      <c r="A35621" s="7"/>
      <c r="B35621" s="7"/>
      <c r="M35621" s="9" t="s">
        <v>27</v>
      </c>
    </row>
    <row r="35622" ht="15.75" customHeight="1">
      <c r="A35622" s="7"/>
      <c r="B35622" s="7"/>
      <c r="M35622" s="9" t="s">
        <v>30</v>
      </c>
    </row>
    <row r="35623" ht="15.75" customHeight="1">
      <c r="A35623" s="7"/>
      <c r="B35623" s="7"/>
      <c r="M35623" s="9" t="s">
        <v>27</v>
      </c>
    </row>
    <row r="35624" ht="15.75" customHeight="1">
      <c r="A35624" s="7"/>
      <c r="B35624" s="7"/>
      <c r="M35624" s="9" t="s">
        <v>38</v>
      </c>
    </row>
    <row r="35625" ht="15.75" customHeight="1">
      <c r="A35625" s="7"/>
      <c r="B35625" s="7"/>
      <c r="M35625" s="9" t="s">
        <v>23</v>
      </c>
    </row>
    <row r="35626" ht="15.75" customHeight="1">
      <c r="A35626" s="7"/>
      <c r="B35626" s="7"/>
      <c r="M35626" s="9" t="s">
        <v>20</v>
      </c>
    </row>
    <row r="35627" ht="15.75" customHeight="1">
      <c r="A35627" s="7"/>
      <c r="B35627" s="7"/>
      <c r="M35627" s="9" t="s">
        <v>22</v>
      </c>
    </row>
    <row r="35628" ht="15.75" customHeight="1">
      <c r="A35628" s="7"/>
      <c r="B35628" s="7"/>
      <c r="M35628" s="9" t="s">
        <v>30</v>
      </c>
    </row>
    <row r="35629" ht="15.75" customHeight="1">
      <c r="A35629" s="7"/>
      <c r="B35629" s="7"/>
      <c r="M35629" s="9" t="s">
        <v>23</v>
      </c>
    </row>
    <row r="35630" ht="15.75" customHeight="1">
      <c r="A35630" s="7"/>
      <c r="B35630" s="7"/>
      <c r="M35630" s="9" t="s">
        <v>26</v>
      </c>
    </row>
    <row r="35631" ht="15.75" customHeight="1">
      <c r="A35631" s="7"/>
      <c r="B35631" s="7"/>
      <c r="M35631" s="9" t="s">
        <v>24</v>
      </c>
    </row>
    <row r="35632" ht="15.75" customHeight="1">
      <c r="A35632" s="7"/>
      <c r="B35632" s="7"/>
      <c r="M35632" s="9" t="s">
        <v>21</v>
      </c>
    </row>
    <row r="35633" ht="15.75" customHeight="1">
      <c r="A35633" s="7"/>
      <c r="B35633" s="7"/>
      <c r="M35633" s="9" t="s">
        <v>27</v>
      </c>
    </row>
    <row r="35634" ht="15.75" customHeight="1">
      <c r="A35634" s="7"/>
      <c r="B35634" s="7"/>
      <c r="M35634" s="9" t="s">
        <v>30</v>
      </c>
    </row>
    <row r="35635" ht="15.75" customHeight="1">
      <c r="A35635" s="7"/>
      <c r="B35635" s="7"/>
      <c r="M35635" s="9" t="s">
        <v>22</v>
      </c>
    </row>
    <row r="35636" ht="15.75" customHeight="1">
      <c r="A35636" s="7"/>
      <c r="B35636" s="7"/>
      <c r="M35636" s="9" t="s">
        <v>29</v>
      </c>
    </row>
    <row r="35637" ht="15.75" customHeight="1">
      <c r="A35637" s="7"/>
      <c r="B35637" s="7"/>
      <c r="M35637" s="9" t="s">
        <v>27</v>
      </c>
    </row>
    <row r="35638" ht="15.75" customHeight="1">
      <c r="A35638" s="7"/>
      <c r="B35638" s="7"/>
      <c r="M35638" s="9" t="s">
        <v>35</v>
      </c>
    </row>
    <row r="35639" ht="15.75" customHeight="1">
      <c r="A35639" s="7"/>
      <c r="B35639" s="7"/>
      <c r="M35639" s="9" t="s">
        <v>38</v>
      </c>
    </row>
    <row r="35640" ht="15.75" customHeight="1">
      <c r="A35640" s="7"/>
      <c r="B35640" s="7"/>
      <c r="M35640" s="9" t="s">
        <v>30</v>
      </c>
    </row>
    <row r="35641" ht="15.75" customHeight="1">
      <c r="A35641" s="7"/>
      <c r="B35641" s="7"/>
      <c r="M35641" s="9" t="s">
        <v>25</v>
      </c>
    </row>
    <row r="35642" ht="15.75" customHeight="1">
      <c r="A35642" s="7"/>
      <c r="B35642" s="7"/>
      <c r="M35642" s="9" t="s">
        <v>24</v>
      </c>
    </row>
    <row r="35643" ht="15.75" customHeight="1">
      <c r="A35643" s="7"/>
      <c r="B35643" s="7"/>
      <c r="M35643" s="9" t="s">
        <v>20</v>
      </c>
    </row>
    <row r="35644" ht="15.75" customHeight="1">
      <c r="A35644" s="7"/>
      <c r="B35644" s="7"/>
      <c r="M35644" s="9" t="s">
        <v>21</v>
      </c>
    </row>
    <row r="35645" ht="15.75" customHeight="1">
      <c r="A35645" s="7"/>
      <c r="B35645" s="7"/>
      <c r="M35645" s="9" t="s">
        <v>22</v>
      </c>
    </row>
    <row r="35646" ht="15.75" customHeight="1">
      <c r="A35646" s="7"/>
      <c r="B35646" s="7"/>
      <c r="M35646" s="9" t="s">
        <v>46</v>
      </c>
    </row>
    <row r="35647" ht="15.75" customHeight="1">
      <c r="A35647" s="7"/>
      <c r="B35647" s="7"/>
      <c r="M35647" s="9" t="s">
        <v>27</v>
      </c>
    </row>
    <row r="35648" ht="15.75" customHeight="1">
      <c r="A35648" s="7"/>
      <c r="B35648" s="7"/>
      <c r="M35648" s="9" t="s">
        <v>24</v>
      </c>
    </row>
    <row r="35649" ht="15.75" customHeight="1">
      <c r="A35649" s="7"/>
      <c r="B35649" s="7"/>
      <c r="M35649" s="9" t="s">
        <v>20</v>
      </c>
    </row>
    <row r="35650" ht="15.75" customHeight="1">
      <c r="A35650" s="7"/>
      <c r="B35650" s="7"/>
      <c r="M35650" s="9" t="s">
        <v>21</v>
      </c>
    </row>
    <row r="35651" ht="15.75" customHeight="1">
      <c r="A35651" s="7"/>
      <c r="B35651" s="7"/>
      <c r="M35651" s="9" t="s">
        <v>37</v>
      </c>
    </row>
    <row r="35652" ht="15.75" customHeight="1">
      <c r="A35652" s="7"/>
      <c r="B35652" s="7"/>
      <c r="M35652" s="9" t="s">
        <v>22</v>
      </c>
    </row>
    <row r="35653" ht="15.75" customHeight="1">
      <c r="A35653" s="7"/>
      <c r="B35653" s="7"/>
      <c r="M35653" s="9" t="s">
        <v>27</v>
      </c>
    </row>
    <row r="35654" ht="15.75" customHeight="1">
      <c r="A35654" s="7"/>
      <c r="B35654" s="7"/>
      <c r="M35654" s="9" t="s">
        <v>24</v>
      </c>
    </row>
    <row r="35655" ht="15.75" customHeight="1">
      <c r="A35655" s="7"/>
      <c r="B35655" s="7"/>
      <c r="M35655" s="9" t="s">
        <v>21</v>
      </c>
    </row>
    <row r="35656" ht="15.75" customHeight="1">
      <c r="A35656" s="7"/>
      <c r="B35656" s="7"/>
      <c r="M35656" s="9" t="s">
        <v>33</v>
      </c>
    </row>
    <row r="35657" ht="15.75" customHeight="1">
      <c r="A35657" s="7"/>
      <c r="B35657" s="7"/>
      <c r="M35657" s="9" t="s">
        <v>30</v>
      </c>
    </row>
    <row r="35658" ht="15.75" customHeight="1">
      <c r="A35658" s="7"/>
      <c r="B35658" s="7"/>
      <c r="M35658" s="9" t="s">
        <v>25</v>
      </c>
    </row>
    <row r="35659" ht="15.75" customHeight="1">
      <c r="A35659" s="7"/>
      <c r="B35659" s="7"/>
      <c r="M35659" s="9" t="s">
        <v>36</v>
      </c>
    </row>
    <row r="35660" ht="15.75" customHeight="1">
      <c r="A35660" s="7"/>
      <c r="B35660" s="7"/>
      <c r="M35660" s="9" t="s">
        <v>24</v>
      </c>
    </row>
    <row r="35661" ht="15.75" customHeight="1">
      <c r="A35661" s="7"/>
      <c r="B35661" s="7"/>
      <c r="M35661" s="9" t="s">
        <v>20</v>
      </c>
    </row>
    <row r="35662" ht="15.75" customHeight="1">
      <c r="A35662" s="7"/>
      <c r="B35662" s="7"/>
      <c r="M35662" s="9" t="s">
        <v>21</v>
      </c>
    </row>
    <row r="35663" ht="15.75" customHeight="1">
      <c r="A35663" s="7"/>
      <c r="B35663" s="7"/>
      <c r="M35663" s="9" t="s">
        <v>37</v>
      </c>
    </row>
    <row r="35664" ht="15.75" customHeight="1">
      <c r="A35664" s="7"/>
      <c r="B35664" s="7"/>
      <c r="M35664" s="9" t="s">
        <v>22</v>
      </c>
    </row>
    <row r="35665" ht="15.75" customHeight="1">
      <c r="A35665" s="7"/>
      <c r="B35665" s="7"/>
      <c r="M35665" s="9" t="s">
        <v>27</v>
      </c>
    </row>
    <row r="35666" ht="15.75" customHeight="1">
      <c r="A35666" s="7"/>
      <c r="B35666" s="7"/>
      <c r="M35666" s="9" t="s">
        <v>24</v>
      </c>
    </row>
    <row r="35667" ht="15.75" customHeight="1">
      <c r="A35667" s="7"/>
      <c r="B35667" s="7"/>
      <c r="M35667" s="9" t="s">
        <v>20</v>
      </c>
    </row>
    <row r="35668" ht="15.75" customHeight="1">
      <c r="A35668" s="7"/>
      <c r="B35668" s="7"/>
      <c r="M35668" s="9" t="s">
        <v>21</v>
      </c>
    </row>
    <row r="35669" ht="15.75" customHeight="1">
      <c r="A35669" s="7"/>
      <c r="B35669" s="7"/>
      <c r="M35669" s="9" t="s">
        <v>27</v>
      </c>
    </row>
    <row r="35670" ht="15.75" customHeight="1">
      <c r="A35670" s="7"/>
      <c r="B35670" s="7"/>
      <c r="M35670" s="9" t="s">
        <v>33</v>
      </c>
    </row>
    <row r="35671" ht="15.75" customHeight="1">
      <c r="A35671" s="7"/>
      <c r="B35671" s="7"/>
      <c r="M35671" s="9" t="s">
        <v>26</v>
      </c>
    </row>
    <row r="35672" ht="15.75" customHeight="1">
      <c r="A35672" s="7"/>
      <c r="B35672" s="7"/>
      <c r="M35672" s="9" t="s">
        <v>36</v>
      </c>
    </row>
    <row r="35673" ht="15.75" customHeight="1">
      <c r="A35673" s="7"/>
      <c r="B35673" s="7"/>
      <c r="M35673" s="9" t="s">
        <v>24</v>
      </c>
    </row>
    <row r="35674" ht="15.75" customHeight="1">
      <c r="A35674" s="7"/>
      <c r="B35674" s="7"/>
      <c r="M35674" s="9" t="s">
        <v>20</v>
      </c>
    </row>
    <row r="35675" ht="15.75" customHeight="1">
      <c r="A35675" s="7"/>
      <c r="B35675" s="7"/>
      <c r="M35675" s="9" t="s">
        <v>21</v>
      </c>
    </row>
    <row r="35676" ht="15.75" customHeight="1">
      <c r="A35676" s="7"/>
      <c r="B35676" s="7"/>
      <c r="M35676" s="9" t="s">
        <v>39</v>
      </c>
    </row>
    <row r="35677" ht="15.75" customHeight="1">
      <c r="A35677" s="7"/>
      <c r="B35677" s="7"/>
      <c r="M35677" s="9" t="s">
        <v>37</v>
      </c>
    </row>
    <row r="35678" ht="15.75" customHeight="1">
      <c r="A35678" s="7"/>
      <c r="B35678" s="7"/>
      <c r="M35678" s="9" t="s">
        <v>22</v>
      </c>
    </row>
    <row r="35679" ht="15.75" customHeight="1">
      <c r="A35679" s="7"/>
      <c r="B35679" s="7"/>
      <c r="M35679" s="9" t="s">
        <v>27</v>
      </c>
    </row>
    <row r="35680" ht="15.75" customHeight="1">
      <c r="A35680" s="7"/>
      <c r="B35680" s="7"/>
      <c r="M35680" s="9" t="s">
        <v>24</v>
      </c>
    </row>
    <row r="35681" ht="15.75" customHeight="1">
      <c r="A35681" s="7"/>
      <c r="B35681" s="7"/>
      <c r="M35681" s="9" t="s">
        <v>20</v>
      </c>
    </row>
    <row r="35682" ht="15.75" customHeight="1">
      <c r="A35682" s="7"/>
      <c r="B35682" s="7"/>
      <c r="M35682" s="9" t="s">
        <v>21</v>
      </c>
    </row>
    <row r="35683" ht="15.75" customHeight="1">
      <c r="A35683" s="7"/>
      <c r="B35683" s="7"/>
      <c r="M35683" s="9" t="s">
        <v>31</v>
      </c>
    </row>
    <row r="35684" ht="15.75" customHeight="1">
      <c r="A35684" s="7"/>
      <c r="B35684" s="7"/>
      <c r="M35684" s="9" t="s">
        <v>24</v>
      </c>
    </row>
    <row r="35685" ht="15.75" customHeight="1">
      <c r="A35685" s="7"/>
      <c r="B35685" s="7"/>
      <c r="M35685" s="9" t="s">
        <v>20</v>
      </c>
    </row>
    <row r="35686" ht="15.75" customHeight="1">
      <c r="A35686" s="7"/>
      <c r="B35686" s="7"/>
      <c r="M35686" s="9" t="s">
        <v>21</v>
      </c>
    </row>
    <row r="35687" ht="15.75" customHeight="1">
      <c r="A35687" s="7"/>
      <c r="B35687" s="7"/>
      <c r="M35687" s="9" t="s">
        <v>20</v>
      </c>
    </row>
    <row r="35688" ht="15.75" customHeight="1">
      <c r="A35688" s="7"/>
      <c r="B35688" s="7"/>
      <c r="M35688" s="9" t="s">
        <v>27</v>
      </c>
    </row>
    <row r="35689" ht="15.75" customHeight="1">
      <c r="A35689" s="7"/>
      <c r="B35689" s="7"/>
      <c r="M35689" s="9" t="s">
        <v>26</v>
      </c>
    </row>
    <row r="35690" ht="15.75" customHeight="1">
      <c r="A35690" s="7"/>
      <c r="B35690" s="7"/>
      <c r="M35690" s="9" t="s">
        <v>24</v>
      </c>
    </row>
    <row r="35691" ht="15.75" customHeight="1">
      <c r="A35691" s="7"/>
      <c r="B35691" s="7"/>
      <c r="M35691" s="9" t="s">
        <v>21</v>
      </c>
    </row>
    <row r="35692" ht="15.75" customHeight="1">
      <c r="A35692" s="7"/>
      <c r="B35692" s="7"/>
      <c r="M35692" s="9" t="s">
        <v>33</v>
      </c>
    </row>
    <row r="35693" ht="15.75" customHeight="1">
      <c r="A35693" s="7"/>
      <c r="B35693" s="7"/>
      <c r="M35693" s="9" t="s">
        <v>26</v>
      </c>
    </row>
    <row r="35694" ht="15.75" customHeight="1">
      <c r="A35694" s="7"/>
      <c r="B35694" s="7"/>
      <c r="M35694" s="9" t="s">
        <v>27</v>
      </c>
    </row>
    <row r="35695" ht="15.75" customHeight="1">
      <c r="A35695" s="7"/>
      <c r="B35695" s="7"/>
      <c r="M35695" s="9" t="s">
        <v>30</v>
      </c>
    </row>
    <row r="35696" ht="15.75" customHeight="1">
      <c r="A35696" s="7"/>
      <c r="B35696" s="7"/>
      <c r="M35696" s="9" t="s">
        <v>25</v>
      </c>
    </row>
    <row r="35697" ht="15.75" customHeight="1">
      <c r="A35697" s="7"/>
      <c r="B35697" s="7"/>
      <c r="M35697" s="9" t="s">
        <v>23</v>
      </c>
    </row>
    <row r="35698" ht="15.75" customHeight="1">
      <c r="A35698" s="7"/>
      <c r="B35698" s="7"/>
      <c r="M35698" s="9" t="s">
        <v>26</v>
      </c>
    </row>
    <row r="35699" ht="15.75" customHeight="1">
      <c r="A35699" s="7"/>
      <c r="B35699" s="7"/>
      <c r="M35699" s="9" t="s">
        <v>24</v>
      </c>
    </row>
    <row r="35700" ht="15.75" customHeight="1">
      <c r="A35700" s="7"/>
      <c r="B35700" s="7"/>
      <c r="M35700" s="9" t="s">
        <v>20</v>
      </c>
    </row>
    <row r="35701" ht="15.75" customHeight="1">
      <c r="A35701" s="7"/>
      <c r="B35701" s="7"/>
      <c r="M35701" s="9" t="s">
        <v>21</v>
      </c>
    </row>
    <row r="35702" ht="15.75" customHeight="1">
      <c r="A35702" s="7"/>
      <c r="B35702" s="7"/>
      <c r="M35702" s="9" t="s">
        <v>37</v>
      </c>
    </row>
    <row r="35703" ht="15.75" customHeight="1">
      <c r="A35703" s="7"/>
      <c r="B35703" s="7"/>
      <c r="M35703" s="9" t="s">
        <v>27</v>
      </c>
    </row>
    <row r="35704" ht="15.75" customHeight="1">
      <c r="A35704" s="7"/>
      <c r="B35704" s="7"/>
      <c r="M35704" s="9" t="s">
        <v>35</v>
      </c>
    </row>
    <row r="35705" ht="15.75" customHeight="1">
      <c r="A35705" s="7"/>
      <c r="B35705" s="7"/>
      <c r="M35705" s="9" t="s">
        <v>21</v>
      </c>
    </row>
    <row r="35706" ht="15.75" customHeight="1">
      <c r="A35706" s="7"/>
      <c r="B35706" s="7"/>
      <c r="M35706" s="9" t="s">
        <v>22</v>
      </c>
    </row>
    <row r="35707" ht="15.75" customHeight="1">
      <c r="A35707" s="7"/>
      <c r="B35707" s="7"/>
      <c r="M35707" s="9" t="s">
        <v>27</v>
      </c>
    </row>
    <row r="35708" ht="15.75" customHeight="1">
      <c r="A35708" s="7"/>
      <c r="B35708" s="7"/>
      <c r="M35708" s="9" t="s">
        <v>30</v>
      </c>
    </row>
    <row r="35709" ht="15.75" customHeight="1">
      <c r="A35709" s="7"/>
      <c r="B35709" s="7"/>
      <c r="M35709" s="9" t="s">
        <v>24</v>
      </c>
    </row>
    <row r="35710" ht="15.75" customHeight="1">
      <c r="A35710" s="7"/>
      <c r="B35710" s="7"/>
      <c r="M35710" s="9" t="s">
        <v>21</v>
      </c>
    </row>
    <row r="35711" ht="15.75" customHeight="1">
      <c r="A35711" s="7"/>
      <c r="B35711" s="7"/>
      <c r="M35711" s="9" t="s">
        <v>37</v>
      </c>
    </row>
    <row r="35712" ht="15.75" customHeight="1">
      <c r="A35712" s="7"/>
      <c r="B35712" s="7"/>
      <c r="M35712" s="9" t="s">
        <v>31</v>
      </c>
    </row>
    <row r="35713" ht="15.75" customHeight="1">
      <c r="A35713" s="7"/>
      <c r="B35713" s="7"/>
      <c r="M35713" s="9" t="s">
        <v>40</v>
      </c>
    </row>
    <row r="35714" ht="15.75" customHeight="1">
      <c r="A35714" s="7"/>
      <c r="B35714" s="7"/>
      <c r="M35714" s="9" t="s">
        <v>33</v>
      </c>
    </row>
    <row r="35715" ht="15.75" customHeight="1">
      <c r="A35715" s="7"/>
      <c r="B35715" s="7"/>
      <c r="M35715" s="9" t="s">
        <v>40</v>
      </c>
    </row>
    <row r="35716" ht="15.75" customHeight="1">
      <c r="A35716" s="7"/>
      <c r="B35716" s="7"/>
      <c r="M35716" s="9" t="s">
        <v>26</v>
      </c>
    </row>
    <row r="35717" ht="15.75" customHeight="1">
      <c r="A35717" s="7"/>
      <c r="B35717" s="7"/>
      <c r="M35717" s="9" t="s">
        <v>24</v>
      </c>
    </row>
    <row r="35718" ht="15.75" customHeight="1">
      <c r="A35718" s="7"/>
      <c r="B35718" s="7"/>
      <c r="M35718" s="9" t="s">
        <v>21</v>
      </c>
    </row>
    <row r="35719" ht="15.75" customHeight="1">
      <c r="A35719" s="7"/>
      <c r="B35719" s="7"/>
      <c r="M35719" s="9" t="s">
        <v>27</v>
      </c>
    </row>
    <row r="35720" ht="15.75" customHeight="1">
      <c r="A35720" s="7"/>
      <c r="B35720" s="7"/>
      <c r="M35720" s="9" t="s">
        <v>41</v>
      </c>
    </row>
    <row r="35721" ht="15.75" customHeight="1">
      <c r="A35721" s="7"/>
      <c r="B35721" s="7"/>
      <c r="M35721" s="9" t="s">
        <v>22</v>
      </c>
    </row>
    <row r="35722" ht="15.75" customHeight="1">
      <c r="A35722" s="7"/>
      <c r="B35722" s="7"/>
      <c r="M35722" s="9" t="s">
        <v>40</v>
      </c>
    </row>
    <row r="35723" ht="15.75" customHeight="1">
      <c r="A35723" s="7"/>
      <c r="B35723" s="7"/>
      <c r="M35723" s="9" t="s">
        <v>21</v>
      </c>
    </row>
    <row r="35724" ht="15.75" customHeight="1">
      <c r="A35724" s="7"/>
      <c r="B35724" s="7"/>
      <c r="M35724" s="9" t="s">
        <v>37</v>
      </c>
    </row>
    <row r="35725" ht="15.75" customHeight="1">
      <c r="A35725" s="7"/>
      <c r="B35725" s="7"/>
      <c r="M35725" s="9" t="s">
        <v>27</v>
      </c>
    </row>
    <row r="35726" ht="15.75" customHeight="1">
      <c r="A35726" s="7"/>
      <c r="B35726" s="7"/>
      <c r="M35726" s="9" t="s">
        <v>35</v>
      </c>
    </row>
    <row r="35727" ht="15.75" customHeight="1">
      <c r="A35727" s="7"/>
      <c r="B35727" s="7"/>
      <c r="M35727" s="9" t="s">
        <v>38</v>
      </c>
    </row>
    <row r="35728" ht="15.75" customHeight="1">
      <c r="A35728" s="7"/>
      <c r="B35728" s="7"/>
      <c r="M35728" s="9" t="s">
        <v>30</v>
      </c>
    </row>
    <row r="35729" ht="15.75" customHeight="1">
      <c r="A35729" s="7"/>
      <c r="B35729" s="7"/>
      <c r="M35729" s="9" t="s">
        <v>25</v>
      </c>
    </row>
    <row r="35730" ht="15.75" customHeight="1">
      <c r="A35730" s="7"/>
      <c r="B35730" s="7"/>
      <c r="M35730" s="9" t="s">
        <v>23</v>
      </c>
    </row>
    <row r="35731" ht="15.75" customHeight="1">
      <c r="A35731" s="7"/>
      <c r="B35731" s="7"/>
      <c r="M35731" s="9" t="s">
        <v>26</v>
      </c>
    </row>
    <row r="35732" ht="15.75" customHeight="1">
      <c r="A35732" s="7"/>
      <c r="B35732" s="7"/>
      <c r="M35732" s="9" t="s">
        <v>22</v>
      </c>
    </row>
    <row r="35733" ht="15.75" customHeight="1">
      <c r="A35733" s="7"/>
      <c r="B35733" s="7"/>
      <c r="M35733" s="9" t="s">
        <v>46</v>
      </c>
    </row>
    <row r="35734" ht="15.75" customHeight="1">
      <c r="A35734" s="7"/>
      <c r="B35734" s="7"/>
      <c r="M35734" s="9" t="s">
        <v>27</v>
      </c>
    </row>
    <row r="35735" ht="15.75" customHeight="1">
      <c r="A35735" s="7"/>
      <c r="B35735" s="7"/>
      <c r="M35735" s="9" t="s">
        <v>30</v>
      </c>
    </row>
    <row r="35736" ht="15.75" customHeight="1">
      <c r="A35736" s="7"/>
      <c r="B35736" s="7"/>
      <c r="M35736" s="9" t="s">
        <v>25</v>
      </c>
    </row>
    <row r="35737" ht="15.75" customHeight="1">
      <c r="A35737" s="7"/>
      <c r="B35737" s="7"/>
      <c r="M35737" s="9" t="s">
        <v>23</v>
      </c>
    </row>
    <row r="35738" ht="15.75" customHeight="1">
      <c r="A35738" s="7"/>
      <c r="B35738" s="7"/>
      <c r="M35738" s="9" t="s">
        <v>24</v>
      </c>
    </row>
    <row r="35739" ht="15.75" customHeight="1">
      <c r="A35739" s="7"/>
      <c r="B35739" s="7"/>
      <c r="M35739" s="9" t="s">
        <v>20</v>
      </c>
    </row>
    <row r="35740" ht="15.75" customHeight="1">
      <c r="A35740" s="7"/>
      <c r="B35740" s="7"/>
      <c r="M35740" s="9" t="s">
        <v>21</v>
      </c>
    </row>
    <row r="35741" ht="15.75" customHeight="1">
      <c r="A35741" s="7"/>
      <c r="B35741" s="7"/>
      <c r="M35741" s="9" t="s">
        <v>37</v>
      </c>
    </row>
    <row r="35742" ht="15.75" customHeight="1">
      <c r="A35742" s="7"/>
      <c r="B35742" s="7"/>
      <c r="M35742" s="9" t="s">
        <v>22</v>
      </c>
    </row>
    <row r="35743" ht="15.75" customHeight="1">
      <c r="A35743" s="7"/>
      <c r="B35743" s="7"/>
      <c r="M35743" s="9" t="s">
        <v>29</v>
      </c>
    </row>
    <row r="35744" ht="15.75" customHeight="1">
      <c r="A35744" s="7"/>
      <c r="B35744" s="7"/>
      <c r="M35744" s="9" t="s">
        <v>27</v>
      </c>
    </row>
    <row r="35745" ht="15.75" customHeight="1">
      <c r="A35745" s="7"/>
      <c r="B35745" s="7"/>
      <c r="M35745" s="9" t="s">
        <v>28</v>
      </c>
    </row>
    <row r="35746" ht="15.75" customHeight="1">
      <c r="A35746" s="7"/>
      <c r="B35746" s="7"/>
      <c r="M35746" s="9" t="s">
        <v>38</v>
      </c>
    </row>
    <row r="35747" ht="15.75" customHeight="1">
      <c r="A35747" s="7"/>
      <c r="B35747" s="7"/>
      <c r="M35747" s="9" t="s">
        <v>30</v>
      </c>
    </row>
    <row r="35748" ht="15.75" customHeight="1">
      <c r="A35748" s="7"/>
      <c r="B35748" s="7"/>
      <c r="M35748" s="9" t="s">
        <v>25</v>
      </c>
    </row>
    <row r="35749" ht="15.75" customHeight="1">
      <c r="A35749" s="7"/>
      <c r="B35749" s="7"/>
      <c r="M35749" s="9" t="s">
        <v>23</v>
      </c>
    </row>
    <row r="35750" ht="15.75" customHeight="1">
      <c r="A35750" s="7"/>
      <c r="B35750" s="7"/>
      <c r="M35750" s="9" t="s">
        <v>20</v>
      </c>
    </row>
    <row r="35751" ht="15.75" customHeight="1">
      <c r="A35751" s="7"/>
      <c r="B35751" s="7"/>
      <c r="M35751" s="9" t="s">
        <v>39</v>
      </c>
    </row>
    <row r="35752" ht="15.75" customHeight="1">
      <c r="A35752" s="7"/>
      <c r="B35752" s="7"/>
      <c r="M35752" s="9" t="s">
        <v>22</v>
      </c>
    </row>
    <row r="35753" ht="15.75" customHeight="1">
      <c r="A35753" s="7"/>
      <c r="B35753" s="7"/>
      <c r="M35753" s="9" t="s">
        <v>30</v>
      </c>
    </row>
    <row r="35754" ht="15.75" customHeight="1">
      <c r="A35754" s="7"/>
      <c r="B35754" s="7"/>
      <c r="M35754" s="9" t="s">
        <v>24</v>
      </c>
    </row>
    <row r="35755" ht="15.75" customHeight="1">
      <c r="A35755" s="7"/>
      <c r="B35755" s="7"/>
      <c r="M35755" s="9" t="s">
        <v>21</v>
      </c>
    </row>
    <row r="35756" ht="15.75" customHeight="1">
      <c r="A35756" s="7"/>
      <c r="B35756" s="7"/>
      <c r="M35756" s="9" t="s">
        <v>24</v>
      </c>
    </row>
    <row r="35757" ht="15.75" customHeight="1">
      <c r="A35757" s="7"/>
      <c r="B35757" s="7"/>
      <c r="M35757" s="9" t="s">
        <v>20</v>
      </c>
    </row>
    <row r="35758" ht="15.75" customHeight="1">
      <c r="A35758" s="7"/>
      <c r="B35758" s="7"/>
      <c r="M35758" s="9" t="s">
        <v>21</v>
      </c>
    </row>
    <row r="35759" ht="15.75" customHeight="1">
      <c r="A35759" s="7"/>
      <c r="B35759" s="7"/>
      <c r="M35759" s="9" t="s">
        <v>37</v>
      </c>
    </row>
    <row r="35760" ht="15.75" customHeight="1">
      <c r="A35760" s="7"/>
      <c r="B35760" s="7"/>
      <c r="M35760" s="9" t="s">
        <v>27</v>
      </c>
    </row>
    <row r="35761" ht="15.75" customHeight="1">
      <c r="A35761" s="7"/>
      <c r="B35761" s="7"/>
      <c r="M35761" s="9" t="s">
        <v>20</v>
      </c>
    </row>
    <row r="35762" ht="15.75" customHeight="1">
      <c r="A35762" s="7"/>
      <c r="B35762" s="7"/>
      <c r="M35762" s="9" t="s">
        <v>22</v>
      </c>
    </row>
    <row r="35763" ht="15.75" customHeight="1">
      <c r="A35763" s="7"/>
      <c r="B35763" s="7"/>
      <c r="M35763" s="9" t="s">
        <v>26</v>
      </c>
    </row>
    <row r="35764" ht="15.75" customHeight="1">
      <c r="A35764" s="7"/>
      <c r="B35764" s="7"/>
      <c r="M35764" s="9" t="s">
        <v>24</v>
      </c>
    </row>
    <row r="35765" ht="15.75" customHeight="1">
      <c r="A35765" s="7"/>
      <c r="B35765" s="7"/>
      <c r="M35765" s="9" t="s">
        <v>20</v>
      </c>
    </row>
    <row r="35766" ht="15.75" customHeight="1">
      <c r="A35766" s="7"/>
      <c r="B35766" s="7"/>
      <c r="M35766" s="9" t="s">
        <v>21</v>
      </c>
    </row>
    <row r="35767" ht="15.75" customHeight="1">
      <c r="A35767" s="7"/>
      <c r="B35767" s="7"/>
      <c r="M35767" s="9" t="s">
        <v>39</v>
      </c>
    </row>
    <row r="35768" ht="15.75" customHeight="1">
      <c r="A35768" s="7"/>
      <c r="B35768" s="7"/>
      <c r="M35768" s="9" t="s">
        <v>27</v>
      </c>
    </row>
    <row r="35769" ht="15.75" customHeight="1">
      <c r="A35769" s="7"/>
      <c r="B35769" s="7"/>
      <c r="M35769" s="9" t="s">
        <v>24</v>
      </c>
    </row>
    <row r="35770" ht="15.75" customHeight="1">
      <c r="A35770" s="7"/>
      <c r="B35770" s="7"/>
      <c r="M35770" s="9" t="s">
        <v>20</v>
      </c>
    </row>
    <row r="35771" ht="15.75" customHeight="1">
      <c r="A35771" s="7"/>
      <c r="B35771" s="7"/>
      <c r="M35771" s="9" t="s">
        <v>21</v>
      </c>
    </row>
    <row r="35772" ht="15.75" customHeight="1">
      <c r="A35772" s="7"/>
      <c r="B35772" s="7"/>
      <c r="M35772" s="9" t="s">
        <v>27</v>
      </c>
    </row>
    <row r="35773" ht="15.75" customHeight="1">
      <c r="A35773" s="7"/>
      <c r="B35773" s="7"/>
      <c r="M35773" s="9" t="s">
        <v>30</v>
      </c>
    </row>
    <row r="35774" ht="15.75" customHeight="1">
      <c r="A35774" s="7"/>
      <c r="B35774" s="7"/>
      <c r="M35774" s="9" t="s">
        <v>26</v>
      </c>
    </row>
    <row r="35775" ht="15.75" customHeight="1">
      <c r="A35775" s="7"/>
      <c r="B35775" s="7"/>
      <c r="M35775" s="9" t="s">
        <v>24</v>
      </c>
    </row>
    <row r="35776" ht="15.75" customHeight="1">
      <c r="A35776" s="7"/>
      <c r="B35776" s="7"/>
      <c r="M35776" s="9" t="s">
        <v>21</v>
      </c>
    </row>
    <row r="35777" ht="15.75" customHeight="1">
      <c r="A35777" s="7"/>
      <c r="B35777" s="7"/>
      <c r="M35777" s="9" t="s">
        <v>33</v>
      </c>
    </row>
    <row r="35778" ht="15.75" customHeight="1">
      <c r="A35778" s="7"/>
      <c r="B35778" s="7"/>
      <c r="M35778" s="9" t="s">
        <v>30</v>
      </c>
    </row>
    <row r="35779" ht="15.75" customHeight="1">
      <c r="A35779" s="7"/>
      <c r="B35779" s="7"/>
      <c r="M35779" s="9" t="s">
        <v>36</v>
      </c>
    </row>
    <row r="35780" ht="15.75" customHeight="1">
      <c r="A35780" s="7"/>
      <c r="B35780" s="7"/>
      <c r="M35780" s="9" t="s">
        <v>24</v>
      </c>
    </row>
    <row r="35781" ht="15.75" customHeight="1">
      <c r="A35781" s="7"/>
      <c r="B35781" s="7"/>
      <c r="M35781" s="9" t="s">
        <v>21</v>
      </c>
    </row>
    <row r="35782" ht="15.75" customHeight="1">
      <c r="A35782" s="7"/>
      <c r="B35782" s="7"/>
      <c r="M35782" s="9" t="s">
        <v>31</v>
      </c>
    </row>
    <row r="35783" ht="15.75" customHeight="1">
      <c r="A35783" s="7"/>
      <c r="B35783" s="7"/>
      <c r="M35783" s="9" t="s">
        <v>26</v>
      </c>
    </row>
    <row r="35784" ht="15.75" customHeight="1">
      <c r="A35784" s="7"/>
      <c r="B35784" s="7"/>
      <c r="M35784" s="9" t="s">
        <v>20</v>
      </c>
    </row>
    <row r="35785" ht="15.75" customHeight="1">
      <c r="A35785" s="7"/>
      <c r="B35785" s="7"/>
      <c r="M35785" s="9" t="s">
        <v>21</v>
      </c>
    </row>
    <row r="35786" ht="15.75" customHeight="1">
      <c r="A35786" s="7"/>
      <c r="B35786" s="7"/>
      <c r="M35786" s="9" t="s">
        <v>28</v>
      </c>
    </row>
    <row r="35787" ht="15.75" customHeight="1">
      <c r="A35787" s="7"/>
      <c r="B35787" s="7"/>
      <c r="M35787" s="9" t="s">
        <v>23</v>
      </c>
    </row>
    <row r="35788" ht="15.75" customHeight="1">
      <c r="A35788" s="7"/>
      <c r="B35788" s="7"/>
      <c r="M35788" s="9" t="s">
        <v>29</v>
      </c>
    </row>
    <row r="35789" ht="15.75" customHeight="1">
      <c r="A35789" s="7"/>
      <c r="B35789" s="7"/>
      <c r="M35789" s="9" t="s">
        <v>26</v>
      </c>
    </row>
    <row r="35790" ht="15.75" customHeight="1">
      <c r="A35790" s="7"/>
      <c r="B35790" s="7"/>
      <c r="M35790" s="9" t="s">
        <v>24</v>
      </c>
    </row>
    <row r="35791" ht="15.75" customHeight="1">
      <c r="A35791" s="7"/>
      <c r="B35791" s="7"/>
      <c r="M35791" s="9" t="s">
        <v>21</v>
      </c>
    </row>
    <row r="35792" ht="15.75" customHeight="1">
      <c r="A35792" s="7"/>
      <c r="B35792" s="7"/>
      <c r="M35792" s="9" t="s">
        <v>27</v>
      </c>
    </row>
    <row r="35793" ht="15.75" customHeight="1">
      <c r="A35793" s="7"/>
      <c r="B35793" s="7"/>
      <c r="M35793" s="9" t="s">
        <v>33</v>
      </c>
    </row>
    <row r="35794" ht="15.75" customHeight="1">
      <c r="A35794" s="7"/>
      <c r="B35794" s="7"/>
      <c r="M35794" s="9" t="s">
        <v>23</v>
      </c>
    </row>
    <row r="35795" ht="15.75" customHeight="1">
      <c r="A35795" s="7"/>
      <c r="B35795" s="7"/>
      <c r="M35795" s="9" t="s">
        <v>24</v>
      </c>
    </row>
    <row r="35796" ht="15.75" customHeight="1">
      <c r="A35796" s="7"/>
      <c r="B35796" s="7"/>
      <c r="M35796" s="9" t="s">
        <v>21</v>
      </c>
    </row>
    <row r="35797" ht="15.75" customHeight="1">
      <c r="A35797" s="7"/>
      <c r="B35797" s="7"/>
      <c r="M35797" s="9" t="s">
        <v>37</v>
      </c>
    </row>
    <row r="35798" ht="15.75" customHeight="1">
      <c r="A35798" s="7"/>
      <c r="B35798" s="7"/>
      <c r="M35798" s="9" t="s">
        <v>27</v>
      </c>
    </row>
    <row r="35799" ht="15.75" customHeight="1">
      <c r="A35799" s="7"/>
      <c r="B35799" s="7"/>
      <c r="M35799" s="9" t="s">
        <v>33</v>
      </c>
    </row>
    <row r="35800" ht="15.75" customHeight="1">
      <c r="A35800" s="7"/>
      <c r="B35800" s="7"/>
      <c r="M35800" s="9" t="s">
        <v>30</v>
      </c>
    </row>
    <row r="35801" ht="15.75" customHeight="1">
      <c r="A35801" s="7"/>
      <c r="B35801" s="7"/>
      <c r="M35801" s="9" t="s">
        <v>47</v>
      </c>
    </row>
    <row r="35802" ht="15.75" customHeight="1">
      <c r="A35802" s="7"/>
      <c r="B35802" s="7"/>
      <c r="M35802" s="9" t="s">
        <v>24</v>
      </c>
    </row>
    <row r="35803" ht="15.75" customHeight="1">
      <c r="A35803" s="7"/>
      <c r="B35803" s="7"/>
      <c r="M35803" s="9" t="s">
        <v>21</v>
      </c>
    </row>
    <row r="35804" ht="15.75" customHeight="1">
      <c r="A35804" s="7"/>
      <c r="B35804" s="7"/>
      <c r="M35804" s="9" t="s">
        <v>22</v>
      </c>
    </row>
    <row r="35805" ht="15.75" customHeight="1">
      <c r="A35805" s="7"/>
      <c r="B35805" s="7"/>
      <c r="M35805" s="9" t="s">
        <v>31</v>
      </c>
    </row>
    <row r="35806" ht="15.75" customHeight="1">
      <c r="A35806" s="7"/>
      <c r="B35806" s="7"/>
      <c r="M35806" s="9" t="s">
        <v>23</v>
      </c>
    </row>
    <row r="35807" ht="15.75" customHeight="1">
      <c r="A35807" s="7"/>
      <c r="B35807" s="7"/>
      <c r="M35807" s="9" t="s">
        <v>26</v>
      </c>
    </row>
    <row r="35808" ht="15.75" customHeight="1">
      <c r="A35808" s="7"/>
      <c r="B35808" s="7"/>
      <c r="M35808" s="9" t="s">
        <v>24</v>
      </c>
    </row>
    <row r="35809" ht="15.75" customHeight="1">
      <c r="A35809" s="7"/>
      <c r="B35809" s="7"/>
      <c r="M35809" s="9" t="s">
        <v>21</v>
      </c>
    </row>
    <row r="35810" ht="15.75" customHeight="1">
      <c r="A35810" s="7"/>
      <c r="B35810" s="7"/>
      <c r="M35810" s="9" t="s">
        <v>37</v>
      </c>
    </row>
    <row r="35811" ht="15.75" customHeight="1">
      <c r="A35811" s="7"/>
      <c r="B35811" s="7"/>
      <c r="M35811" s="9" t="s">
        <v>22</v>
      </c>
    </row>
    <row r="35812" ht="15.75" customHeight="1">
      <c r="A35812" s="7"/>
      <c r="B35812" s="7"/>
      <c r="M35812" s="9" t="s">
        <v>27</v>
      </c>
    </row>
    <row r="35813" ht="15.75" customHeight="1">
      <c r="A35813" s="7"/>
      <c r="B35813" s="7"/>
      <c r="M35813" s="9" t="s">
        <v>35</v>
      </c>
    </row>
    <row r="35814" ht="15.75" customHeight="1">
      <c r="A35814" s="7"/>
      <c r="B35814" s="7"/>
      <c r="M35814" s="9" t="s">
        <v>21</v>
      </c>
    </row>
    <row r="35815" ht="15.75" customHeight="1">
      <c r="A35815" s="7"/>
      <c r="B35815" s="7"/>
      <c r="M35815" s="9" t="s">
        <v>37</v>
      </c>
    </row>
    <row r="35816" ht="15.75" customHeight="1">
      <c r="A35816" s="7"/>
      <c r="B35816" s="7"/>
      <c r="M35816" s="9" t="s">
        <v>22</v>
      </c>
    </row>
    <row r="35817" ht="15.75" customHeight="1">
      <c r="A35817" s="7"/>
      <c r="B35817" s="7"/>
      <c r="M35817" s="9" t="s">
        <v>27</v>
      </c>
    </row>
    <row r="35818" ht="15.75" customHeight="1">
      <c r="A35818" s="7"/>
      <c r="B35818" s="7"/>
      <c r="M35818" s="9" t="s">
        <v>33</v>
      </c>
    </row>
    <row r="35819" ht="15.75" customHeight="1">
      <c r="A35819" s="7"/>
      <c r="B35819" s="7"/>
      <c r="M35819" s="9" t="s">
        <v>20</v>
      </c>
    </row>
    <row r="35820" ht="15.75" customHeight="1">
      <c r="A35820" s="7"/>
      <c r="B35820" s="7"/>
      <c r="M35820" s="9" t="s">
        <v>21</v>
      </c>
    </row>
    <row r="35821" ht="15.75" customHeight="1">
      <c r="A35821" s="7"/>
      <c r="B35821" s="7"/>
      <c r="M35821" s="9" t="s">
        <v>27</v>
      </c>
    </row>
    <row r="35822" ht="15.75" customHeight="1">
      <c r="A35822" s="7"/>
      <c r="B35822" s="7"/>
      <c r="M35822" s="9" t="s">
        <v>24</v>
      </c>
    </row>
    <row r="35823" ht="15.75" customHeight="1">
      <c r="A35823" s="7"/>
      <c r="B35823" s="7"/>
      <c r="M35823" s="9" t="s">
        <v>21</v>
      </c>
    </row>
    <row r="35824" ht="15.75" customHeight="1">
      <c r="A35824" s="7"/>
      <c r="B35824" s="7"/>
      <c r="M35824" s="9" t="s">
        <v>37</v>
      </c>
    </row>
    <row r="35825" ht="15.75" customHeight="1">
      <c r="A35825" s="7"/>
      <c r="B35825" s="7"/>
      <c r="M35825" s="9" t="s">
        <v>27</v>
      </c>
    </row>
    <row r="35826" ht="15.75" customHeight="1">
      <c r="A35826" s="7"/>
      <c r="B35826" s="7"/>
      <c r="M35826" s="9" t="s">
        <v>33</v>
      </c>
    </row>
    <row r="35827" ht="15.75" customHeight="1">
      <c r="A35827" s="7"/>
      <c r="B35827" s="7"/>
      <c r="M35827" s="9" t="s">
        <v>25</v>
      </c>
    </row>
    <row r="35828" ht="15.75" customHeight="1">
      <c r="A35828" s="7"/>
      <c r="B35828" s="7"/>
      <c r="M35828" s="9" t="s">
        <v>23</v>
      </c>
    </row>
    <row r="35829" ht="15.75" customHeight="1">
      <c r="A35829" s="7"/>
      <c r="B35829" s="7"/>
      <c r="M35829" s="9" t="s">
        <v>36</v>
      </c>
    </row>
    <row r="35830" ht="15.75" customHeight="1">
      <c r="A35830" s="7"/>
      <c r="B35830" s="7"/>
      <c r="M35830" s="9" t="s">
        <v>20</v>
      </c>
    </row>
    <row r="35831" ht="15.75" customHeight="1">
      <c r="A35831" s="7"/>
      <c r="B35831" s="7"/>
      <c r="M35831" s="9" t="s">
        <v>21</v>
      </c>
    </row>
    <row r="35832" ht="15.75" customHeight="1">
      <c r="A35832" s="7"/>
      <c r="B35832" s="7"/>
      <c r="M35832" s="9" t="s">
        <v>22</v>
      </c>
    </row>
    <row r="35833" ht="15.75" customHeight="1">
      <c r="A35833" s="7"/>
      <c r="B35833" s="7"/>
      <c r="M35833" s="9" t="s">
        <v>27</v>
      </c>
    </row>
    <row r="35834" ht="15.75" customHeight="1">
      <c r="A35834" s="7"/>
      <c r="B35834" s="7"/>
      <c r="M35834" s="9" t="s">
        <v>35</v>
      </c>
    </row>
    <row r="35835" ht="15.75" customHeight="1">
      <c r="A35835" s="7"/>
      <c r="B35835" s="7"/>
      <c r="M35835" s="9" t="s">
        <v>25</v>
      </c>
    </row>
    <row r="35836" ht="15.75" customHeight="1">
      <c r="A35836" s="7"/>
      <c r="B35836" s="7"/>
      <c r="M35836" s="9" t="s">
        <v>23</v>
      </c>
    </row>
    <row r="35837" ht="15.75" customHeight="1">
      <c r="A35837" s="7"/>
      <c r="B35837" s="7"/>
      <c r="M35837" s="9" t="s">
        <v>20</v>
      </c>
    </row>
    <row r="35838" ht="15.75" customHeight="1">
      <c r="A35838" s="7"/>
      <c r="B35838" s="7"/>
      <c r="M35838" s="9" t="s">
        <v>27</v>
      </c>
    </row>
    <row r="35839" ht="15.75" customHeight="1">
      <c r="A35839" s="7"/>
      <c r="B35839" s="7"/>
      <c r="M35839" s="9" t="s">
        <v>24</v>
      </c>
    </row>
    <row r="35840" ht="15.75" customHeight="1">
      <c r="A35840" s="7"/>
      <c r="B35840" s="7"/>
      <c r="M35840" s="9" t="s">
        <v>20</v>
      </c>
    </row>
    <row r="35841" ht="15.75" customHeight="1">
      <c r="A35841" s="7"/>
      <c r="B35841" s="7"/>
      <c r="M35841" s="9" t="s">
        <v>21</v>
      </c>
    </row>
    <row r="35842" ht="15.75" customHeight="1">
      <c r="A35842" s="7"/>
      <c r="B35842" s="7"/>
      <c r="M35842" s="9" t="s">
        <v>27</v>
      </c>
    </row>
    <row r="35843" ht="15.75" customHeight="1">
      <c r="A35843" s="7"/>
      <c r="B35843" s="7"/>
      <c r="M35843" s="9" t="s">
        <v>26</v>
      </c>
    </row>
    <row r="35844" ht="15.75" customHeight="1">
      <c r="A35844" s="7"/>
      <c r="B35844" s="7"/>
      <c r="M35844" s="9" t="s">
        <v>36</v>
      </c>
    </row>
    <row r="35845" ht="15.75" customHeight="1">
      <c r="A35845" s="7"/>
      <c r="B35845" s="7"/>
      <c r="M35845" s="9" t="s">
        <v>24</v>
      </c>
    </row>
    <row r="35846" ht="15.75" customHeight="1">
      <c r="A35846" s="7"/>
      <c r="B35846" s="7"/>
      <c r="M35846" s="9" t="s">
        <v>21</v>
      </c>
    </row>
    <row r="35847" ht="15.75" customHeight="1">
      <c r="A35847" s="7"/>
      <c r="B35847" s="7"/>
      <c r="M35847" s="9" t="s">
        <v>39</v>
      </c>
    </row>
    <row r="35848" ht="15.75" customHeight="1">
      <c r="A35848" s="7"/>
      <c r="B35848" s="7"/>
      <c r="M35848" s="9" t="s">
        <v>22</v>
      </c>
    </row>
    <row r="35849" ht="15.75" customHeight="1">
      <c r="A35849" s="7"/>
      <c r="B35849" s="7"/>
      <c r="M35849" s="9" t="s">
        <v>31</v>
      </c>
    </row>
    <row r="35850" ht="15.75" customHeight="1">
      <c r="A35850" s="7"/>
      <c r="B35850" s="7"/>
      <c r="M35850" s="9" t="s">
        <v>27</v>
      </c>
    </row>
    <row r="35851" ht="15.75" customHeight="1">
      <c r="A35851" s="7"/>
      <c r="B35851" s="7"/>
      <c r="M35851" s="9" t="s">
        <v>33</v>
      </c>
    </row>
    <row r="35852" ht="15.75" customHeight="1">
      <c r="A35852" s="7"/>
      <c r="B35852" s="7"/>
      <c r="M35852" s="9" t="s">
        <v>26</v>
      </c>
    </row>
    <row r="35853" ht="15.75" customHeight="1">
      <c r="A35853" s="7"/>
      <c r="B35853" s="7"/>
      <c r="M35853" s="9" t="s">
        <v>24</v>
      </c>
    </row>
    <row r="35854" ht="15.75" customHeight="1">
      <c r="A35854" s="7"/>
      <c r="B35854" s="7"/>
      <c r="M35854" s="9" t="s">
        <v>20</v>
      </c>
    </row>
    <row r="35855" ht="15.75" customHeight="1">
      <c r="A35855" s="7"/>
      <c r="B35855" s="7"/>
      <c r="M35855" s="9" t="s">
        <v>21</v>
      </c>
    </row>
    <row r="35856" ht="15.75" customHeight="1">
      <c r="A35856" s="7"/>
      <c r="B35856" s="7"/>
      <c r="M35856" s="9" t="s">
        <v>27</v>
      </c>
    </row>
    <row r="35857" ht="15.75" customHeight="1">
      <c r="A35857" s="7"/>
      <c r="B35857" s="7"/>
      <c r="M35857" s="9" t="s">
        <v>28</v>
      </c>
    </row>
    <row r="35858" ht="15.75" customHeight="1">
      <c r="A35858" s="7"/>
      <c r="B35858" s="7"/>
      <c r="M35858" s="9" t="s">
        <v>20</v>
      </c>
    </row>
    <row r="35859" ht="15.75" customHeight="1">
      <c r="A35859" s="7"/>
      <c r="B35859" s="7"/>
      <c r="M35859" s="9" t="s">
        <v>21</v>
      </c>
    </row>
    <row r="35860" ht="15.75" customHeight="1">
      <c r="A35860" s="7"/>
      <c r="B35860" s="7"/>
      <c r="M35860" s="9" t="s">
        <v>35</v>
      </c>
    </row>
    <row r="35861" ht="15.75" customHeight="1">
      <c r="A35861" s="7"/>
      <c r="B35861" s="7"/>
      <c r="M35861" s="9" t="s">
        <v>30</v>
      </c>
    </row>
    <row r="35862" ht="15.75" customHeight="1">
      <c r="A35862" s="7"/>
      <c r="B35862" s="7"/>
      <c r="M35862" s="9" t="s">
        <v>26</v>
      </c>
    </row>
    <row r="35863" ht="15.75" customHeight="1">
      <c r="A35863" s="7"/>
      <c r="B35863" s="7"/>
      <c r="M35863" s="9" t="s">
        <v>36</v>
      </c>
    </row>
    <row r="35864" ht="15.75" customHeight="1">
      <c r="A35864" s="7"/>
      <c r="B35864" s="7"/>
      <c r="M35864" s="9" t="s">
        <v>24</v>
      </c>
    </row>
    <row r="35865" ht="15.75" customHeight="1">
      <c r="A35865" s="7"/>
      <c r="B35865" s="7"/>
      <c r="M35865" s="9" t="s">
        <v>21</v>
      </c>
    </row>
    <row r="35866" ht="15.75" customHeight="1">
      <c r="A35866" s="7"/>
      <c r="B35866" s="7"/>
      <c r="M35866" s="9" t="s">
        <v>31</v>
      </c>
    </row>
    <row r="35867" ht="15.75" customHeight="1">
      <c r="A35867" s="7"/>
      <c r="B35867" s="7"/>
      <c r="M35867" s="9" t="s">
        <v>27</v>
      </c>
    </row>
    <row r="35868" ht="15.75" customHeight="1">
      <c r="A35868" s="7"/>
      <c r="B35868" s="7"/>
      <c r="M35868" s="9" t="s">
        <v>33</v>
      </c>
    </row>
    <row r="35869" ht="15.75" customHeight="1">
      <c r="A35869" s="7"/>
      <c r="B35869" s="7"/>
      <c r="M35869" s="9" t="s">
        <v>35</v>
      </c>
    </row>
    <row r="35870" ht="15.75" customHeight="1">
      <c r="A35870" s="7"/>
      <c r="B35870" s="7"/>
      <c r="M35870" s="9" t="s">
        <v>25</v>
      </c>
    </row>
    <row r="35871" ht="15.75" customHeight="1">
      <c r="A35871" s="7"/>
      <c r="B35871" s="7"/>
      <c r="M35871" s="9" t="s">
        <v>23</v>
      </c>
    </row>
    <row r="35872" ht="15.75" customHeight="1">
      <c r="A35872" s="7"/>
      <c r="B35872" s="7"/>
      <c r="M35872" s="9" t="s">
        <v>24</v>
      </c>
    </row>
    <row r="35873" ht="15.75" customHeight="1">
      <c r="A35873" s="7"/>
      <c r="B35873" s="7"/>
      <c r="M35873" s="9" t="s">
        <v>20</v>
      </c>
    </row>
    <row r="35874" ht="15.75" customHeight="1">
      <c r="A35874" s="7"/>
      <c r="B35874" s="7"/>
      <c r="M35874" s="9" t="s">
        <v>21</v>
      </c>
    </row>
    <row r="35875" ht="15.75" customHeight="1">
      <c r="A35875" s="7"/>
      <c r="B35875" s="7"/>
      <c r="M35875" s="9" t="s">
        <v>37</v>
      </c>
    </row>
    <row r="35876" ht="15.75" customHeight="1">
      <c r="A35876" s="7"/>
      <c r="B35876" s="7"/>
      <c r="M35876" s="9" t="s">
        <v>22</v>
      </c>
    </row>
    <row r="35877" ht="15.75" customHeight="1">
      <c r="A35877" s="7"/>
      <c r="B35877" s="7"/>
      <c r="M35877" s="9" t="s">
        <v>28</v>
      </c>
    </row>
    <row r="35878" ht="15.75" customHeight="1">
      <c r="A35878" s="7"/>
      <c r="B35878" s="7"/>
      <c r="M35878" s="9" t="s">
        <v>24</v>
      </c>
    </row>
    <row r="35879" ht="15.75" customHeight="1">
      <c r="A35879" s="7"/>
      <c r="B35879" s="7"/>
      <c r="M35879" s="9" t="s">
        <v>21</v>
      </c>
    </row>
    <row r="35880" ht="15.75" customHeight="1">
      <c r="A35880" s="7"/>
      <c r="B35880" s="7"/>
      <c r="M35880" s="9" t="s">
        <v>27</v>
      </c>
    </row>
    <row r="35881" ht="15.75" customHeight="1">
      <c r="A35881" s="7"/>
      <c r="B35881" s="7"/>
      <c r="M35881" s="9" t="s">
        <v>33</v>
      </c>
    </row>
    <row r="35882" ht="15.75" customHeight="1">
      <c r="A35882" s="7"/>
      <c r="B35882" s="7"/>
      <c r="M35882" s="9" t="s">
        <v>30</v>
      </c>
    </row>
    <row r="35883" ht="15.75" customHeight="1">
      <c r="A35883" s="7"/>
      <c r="B35883" s="7"/>
      <c r="M35883" s="9" t="s">
        <v>25</v>
      </c>
    </row>
    <row r="35884" ht="15.75" customHeight="1">
      <c r="A35884" s="7"/>
      <c r="B35884" s="7"/>
      <c r="M35884" s="9" t="s">
        <v>24</v>
      </c>
    </row>
    <row r="35885" ht="15.75" customHeight="1">
      <c r="A35885" s="7"/>
      <c r="B35885" s="7"/>
      <c r="M35885" s="9" t="s">
        <v>21</v>
      </c>
    </row>
    <row r="35886" ht="15.75" customHeight="1">
      <c r="A35886" s="7"/>
      <c r="B35886" s="7"/>
      <c r="M35886" s="9" t="s">
        <v>37</v>
      </c>
    </row>
    <row r="35887" ht="15.75" customHeight="1">
      <c r="A35887" s="7"/>
      <c r="B35887" s="7"/>
      <c r="M35887" s="9" t="s">
        <v>31</v>
      </c>
    </row>
    <row r="35888" ht="15.75" customHeight="1">
      <c r="A35888" s="7"/>
      <c r="B35888" s="7"/>
      <c r="M35888" s="9" t="s">
        <v>27</v>
      </c>
    </row>
    <row r="35889" ht="15.75" customHeight="1">
      <c r="A35889" s="7"/>
      <c r="B35889" s="7"/>
      <c r="M35889" s="9" t="s">
        <v>35</v>
      </c>
    </row>
    <row r="35890" ht="15.75" customHeight="1">
      <c r="A35890" s="7"/>
      <c r="B35890" s="7"/>
      <c r="M35890" s="9" t="s">
        <v>20</v>
      </c>
    </row>
    <row r="35891" ht="15.75" customHeight="1">
      <c r="A35891" s="7"/>
      <c r="B35891" s="7"/>
      <c r="M35891" s="9" t="s">
        <v>29</v>
      </c>
    </row>
    <row r="35892" ht="15.75" customHeight="1">
      <c r="A35892" s="7"/>
      <c r="B35892" s="7"/>
      <c r="M35892" s="9" t="s">
        <v>22</v>
      </c>
    </row>
    <row r="35893" ht="15.75" customHeight="1">
      <c r="A35893" s="7"/>
      <c r="B35893" s="7"/>
      <c r="M35893" s="9" t="s">
        <v>29</v>
      </c>
    </row>
    <row r="35894" ht="15.75" customHeight="1">
      <c r="A35894" s="7"/>
      <c r="B35894" s="7"/>
      <c r="M35894" s="9" t="s">
        <v>28</v>
      </c>
    </row>
    <row r="35895" ht="15.75" customHeight="1">
      <c r="A35895" s="7"/>
      <c r="B35895" s="7"/>
      <c r="M35895" s="9" t="s">
        <v>30</v>
      </c>
    </row>
    <row r="35896" ht="15.75" customHeight="1">
      <c r="A35896" s="7"/>
      <c r="B35896" s="7"/>
      <c r="M35896" s="9" t="s">
        <v>23</v>
      </c>
    </row>
    <row r="35897" ht="15.75" customHeight="1">
      <c r="A35897" s="7"/>
      <c r="B35897" s="7"/>
      <c r="M35897" s="9" t="s">
        <v>26</v>
      </c>
    </row>
    <row r="35898" ht="15.75" customHeight="1">
      <c r="A35898" s="7"/>
      <c r="B35898" s="7"/>
      <c r="M35898" s="9" t="s">
        <v>24</v>
      </c>
    </row>
    <row r="35899" ht="15.75" customHeight="1">
      <c r="A35899" s="7"/>
      <c r="B35899" s="7"/>
      <c r="M35899" s="9" t="s">
        <v>21</v>
      </c>
    </row>
    <row r="35900" ht="15.75" customHeight="1">
      <c r="A35900" s="7"/>
      <c r="B35900" s="7"/>
      <c r="M35900" s="9" t="s">
        <v>37</v>
      </c>
    </row>
    <row r="35901" ht="15.75" customHeight="1">
      <c r="A35901" s="7"/>
      <c r="B35901" s="7"/>
      <c r="M35901" s="9" t="s">
        <v>27</v>
      </c>
    </row>
    <row r="35902" ht="15.75" customHeight="1">
      <c r="A35902" s="7"/>
      <c r="B35902" s="7"/>
      <c r="M35902" s="9" t="s">
        <v>40</v>
      </c>
    </row>
    <row r="35903" ht="15.75" customHeight="1">
      <c r="A35903" s="7"/>
      <c r="B35903" s="7"/>
      <c r="M35903" s="9" t="s">
        <v>33</v>
      </c>
    </row>
    <row r="35904" ht="15.75" customHeight="1">
      <c r="A35904" s="7"/>
      <c r="B35904" s="7"/>
      <c r="M35904" s="9" t="s">
        <v>24</v>
      </c>
    </row>
    <row r="35905" ht="15.75" customHeight="1">
      <c r="A35905" s="7"/>
      <c r="B35905" s="7"/>
      <c r="M35905" s="9" t="s">
        <v>20</v>
      </c>
    </row>
    <row r="35906" ht="15.75" customHeight="1">
      <c r="A35906" s="7"/>
      <c r="B35906" s="7"/>
      <c r="M35906" s="9" t="s">
        <v>21</v>
      </c>
    </row>
    <row r="35907" ht="15.75" customHeight="1">
      <c r="A35907" s="7"/>
      <c r="B35907" s="7"/>
      <c r="M35907" s="9" t="s">
        <v>37</v>
      </c>
    </row>
    <row r="35908" ht="15.75" customHeight="1">
      <c r="A35908" s="7"/>
      <c r="B35908" s="7"/>
      <c r="M35908" s="9" t="s">
        <v>27</v>
      </c>
    </row>
    <row r="35909" ht="15.75" customHeight="1">
      <c r="A35909" s="7"/>
      <c r="B35909" s="7"/>
      <c r="M35909" s="9" t="s">
        <v>30</v>
      </c>
    </row>
    <row r="35910" ht="15.75" customHeight="1">
      <c r="A35910" s="7"/>
      <c r="B35910" s="7"/>
      <c r="M35910" s="9" t="s">
        <v>25</v>
      </c>
    </row>
    <row r="35911" ht="15.75" customHeight="1">
      <c r="A35911" s="7"/>
      <c r="B35911" s="7"/>
      <c r="M35911" s="9" t="s">
        <v>23</v>
      </c>
    </row>
    <row r="35912" ht="15.75" customHeight="1">
      <c r="A35912" s="7"/>
      <c r="B35912" s="7"/>
      <c r="M35912" s="9" t="s">
        <v>26</v>
      </c>
    </row>
    <row r="35913" ht="15.75" customHeight="1">
      <c r="A35913" s="7"/>
      <c r="B35913" s="7"/>
      <c r="M35913" s="9" t="s">
        <v>36</v>
      </c>
    </row>
    <row r="35914" ht="15.75" customHeight="1">
      <c r="A35914" s="7"/>
      <c r="B35914" s="7"/>
      <c r="M35914" s="9" t="s">
        <v>24</v>
      </c>
    </row>
    <row r="35915" ht="15.75" customHeight="1">
      <c r="A35915" s="7"/>
      <c r="B35915" s="7"/>
      <c r="M35915" s="9" t="s">
        <v>20</v>
      </c>
    </row>
    <row r="35916" ht="15.75" customHeight="1">
      <c r="A35916" s="7"/>
      <c r="B35916" s="7"/>
      <c r="M35916" s="9" t="s">
        <v>21</v>
      </c>
    </row>
    <row r="35917" ht="15.75" customHeight="1">
      <c r="A35917" s="7"/>
      <c r="B35917" s="7"/>
      <c r="M35917" s="9" t="s">
        <v>39</v>
      </c>
    </row>
    <row r="35918" ht="15.75" customHeight="1">
      <c r="A35918" s="7"/>
      <c r="B35918" s="7"/>
      <c r="M35918" s="9" t="s">
        <v>37</v>
      </c>
    </row>
    <row r="35919" ht="15.75" customHeight="1">
      <c r="A35919" s="7"/>
      <c r="B35919" s="7"/>
      <c r="M35919" s="9" t="s">
        <v>22</v>
      </c>
    </row>
    <row r="35920" ht="15.75" customHeight="1">
      <c r="A35920" s="7"/>
      <c r="B35920" s="7"/>
      <c r="M35920" s="9" t="s">
        <v>29</v>
      </c>
    </row>
    <row r="35921" ht="15.75" customHeight="1">
      <c r="A35921" s="7"/>
      <c r="B35921" s="7"/>
      <c r="M35921" s="9" t="s">
        <v>31</v>
      </c>
    </row>
    <row r="35922" ht="15.75" customHeight="1">
      <c r="A35922" s="7"/>
      <c r="B35922" s="7"/>
      <c r="M35922" s="9" t="s">
        <v>46</v>
      </c>
    </row>
    <row r="35923" ht="15.75" customHeight="1">
      <c r="A35923" s="7"/>
      <c r="B35923" s="7"/>
      <c r="M35923" s="9" t="s">
        <v>27</v>
      </c>
    </row>
    <row r="35924" ht="15.75" customHeight="1">
      <c r="A35924" s="7"/>
      <c r="B35924" s="7"/>
      <c r="M35924" s="9" t="s">
        <v>24</v>
      </c>
    </row>
    <row r="35925" ht="15.75" customHeight="1">
      <c r="A35925" s="7"/>
      <c r="B35925" s="7"/>
      <c r="M35925" s="9" t="s">
        <v>21</v>
      </c>
    </row>
    <row r="35926" ht="15.75" customHeight="1">
      <c r="A35926" s="7"/>
      <c r="B35926" s="7"/>
      <c r="M35926" s="9" t="s">
        <v>37</v>
      </c>
    </row>
    <row r="35927" ht="15.75" customHeight="1">
      <c r="A35927" s="7"/>
      <c r="B35927" s="7"/>
      <c r="M35927" s="9" t="s">
        <v>30</v>
      </c>
    </row>
    <row r="35928" ht="15.75" customHeight="1">
      <c r="A35928" s="7"/>
      <c r="B35928" s="7"/>
      <c r="M35928" s="9" t="s">
        <v>23</v>
      </c>
    </row>
    <row r="35929" ht="15.75" customHeight="1">
      <c r="A35929" s="7"/>
      <c r="B35929" s="7"/>
      <c r="M35929" s="9" t="s">
        <v>22</v>
      </c>
    </row>
    <row r="35930" ht="15.75" customHeight="1">
      <c r="A35930" s="7"/>
      <c r="B35930" s="7"/>
      <c r="M35930" s="9" t="s">
        <v>20</v>
      </c>
    </row>
    <row r="35931" ht="15.75" customHeight="1">
      <c r="A35931" s="7"/>
      <c r="B35931" s="7"/>
      <c r="M35931" s="9" t="s">
        <v>39</v>
      </c>
    </row>
    <row r="35932" ht="15.75" customHeight="1">
      <c r="A35932" s="7"/>
      <c r="B35932" s="7"/>
      <c r="M35932" s="9" t="s">
        <v>31</v>
      </c>
    </row>
    <row r="35933" ht="15.75" customHeight="1">
      <c r="A35933" s="7"/>
      <c r="B35933" s="7"/>
      <c r="M35933" s="9" t="s">
        <v>26</v>
      </c>
    </row>
    <row r="35934" ht="15.75" customHeight="1">
      <c r="A35934" s="7"/>
      <c r="B35934" s="7"/>
      <c r="M35934" s="9" t="s">
        <v>24</v>
      </c>
    </row>
    <row r="35935" ht="15.75" customHeight="1">
      <c r="A35935" s="7"/>
      <c r="B35935" s="7"/>
      <c r="M35935" s="9" t="s">
        <v>21</v>
      </c>
    </row>
    <row r="35936" ht="15.75" customHeight="1">
      <c r="A35936" s="7"/>
      <c r="B35936" s="7"/>
      <c r="M35936" s="9" t="s">
        <v>25</v>
      </c>
    </row>
    <row r="35937" ht="15.75" customHeight="1">
      <c r="A35937" s="7"/>
      <c r="B35937" s="7"/>
      <c r="M35937" s="9" t="s">
        <v>23</v>
      </c>
    </row>
    <row r="35938" ht="15.75" customHeight="1">
      <c r="A35938" s="7"/>
      <c r="B35938" s="7"/>
      <c r="M35938" s="9" t="s">
        <v>21</v>
      </c>
    </row>
    <row r="35939" ht="15.75" customHeight="1">
      <c r="A35939" s="7"/>
      <c r="B35939" s="7"/>
      <c r="M35939" s="9" t="s">
        <v>22</v>
      </c>
    </row>
    <row r="35940" ht="15.75" customHeight="1">
      <c r="A35940" s="7"/>
      <c r="B35940" s="7"/>
      <c r="M35940" s="9" t="s">
        <v>33</v>
      </c>
    </row>
    <row r="35941" ht="15.75" customHeight="1">
      <c r="A35941" s="7"/>
      <c r="B35941" s="7"/>
      <c r="M35941" s="9" t="s">
        <v>26</v>
      </c>
    </row>
    <row r="35942" ht="15.75" customHeight="1">
      <c r="A35942" s="7"/>
      <c r="B35942" s="7"/>
      <c r="M35942" s="9" t="s">
        <v>24</v>
      </c>
    </row>
    <row r="35943" ht="15.75" customHeight="1">
      <c r="A35943" s="7"/>
      <c r="B35943" s="7"/>
      <c r="M35943" s="9" t="s">
        <v>20</v>
      </c>
    </row>
    <row r="35944" ht="15.75" customHeight="1">
      <c r="A35944" s="7"/>
      <c r="B35944" s="7"/>
      <c r="M35944" s="9" t="s">
        <v>21</v>
      </c>
    </row>
    <row r="35945" ht="15.75" customHeight="1">
      <c r="A35945" s="7"/>
      <c r="B35945" s="7"/>
      <c r="M35945" s="9" t="s">
        <v>27</v>
      </c>
    </row>
    <row r="35946" ht="15.75" customHeight="1">
      <c r="A35946" s="7"/>
      <c r="B35946" s="7"/>
      <c r="M35946" s="9" t="s">
        <v>30</v>
      </c>
    </row>
    <row r="35947" ht="15.75" customHeight="1">
      <c r="A35947" s="7"/>
      <c r="B35947" s="7"/>
      <c r="M35947" s="9" t="s">
        <v>47</v>
      </c>
    </row>
    <row r="35948" ht="15.75" customHeight="1">
      <c r="A35948" s="7"/>
      <c r="B35948" s="7"/>
      <c r="M35948" s="9" t="s">
        <v>36</v>
      </c>
    </row>
    <row r="35949" ht="15.75" customHeight="1">
      <c r="A35949" s="7"/>
      <c r="B35949" s="7"/>
      <c r="M35949" s="9" t="s">
        <v>24</v>
      </c>
    </row>
    <row r="35950" ht="15.75" customHeight="1">
      <c r="A35950" s="7"/>
      <c r="B35950" s="7"/>
      <c r="M35950" s="9" t="s">
        <v>20</v>
      </c>
    </row>
    <row r="35951" ht="15.75" customHeight="1">
      <c r="A35951" s="7"/>
      <c r="B35951" s="7"/>
      <c r="M35951" s="9" t="s">
        <v>21</v>
      </c>
    </row>
    <row r="35952" ht="15.75" customHeight="1">
      <c r="A35952" s="7"/>
      <c r="B35952" s="7"/>
      <c r="M35952" s="9" t="s">
        <v>39</v>
      </c>
    </row>
    <row r="35953" ht="15.75" customHeight="1">
      <c r="A35953" s="7"/>
      <c r="B35953" s="7"/>
      <c r="M35953" s="9" t="s">
        <v>40</v>
      </c>
    </row>
    <row r="35954" ht="15.75" customHeight="1">
      <c r="A35954" s="7"/>
      <c r="B35954" s="7"/>
      <c r="M35954" s="9" t="s">
        <v>23</v>
      </c>
    </row>
    <row r="35955" ht="15.75" customHeight="1">
      <c r="A35955" s="7"/>
      <c r="B35955" s="7"/>
      <c r="M35955" s="9" t="s">
        <v>26</v>
      </c>
    </row>
    <row r="35956" ht="15.75" customHeight="1">
      <c r="A35956" s="7"/>
      <c r="B35956" s="7"/>
      <c r="M35956" s="9" t="s">
        <v>24</v>
      </c>
    </row>
    <row r="35957" ht="15.75" customHeight="1">
      <c r="A35957" s="7"/>
      <c r="B35957" s="7"/>
      <c r="M35957" s="9" t="s">
        <v>21</v>
      </c>
    </row>
    <row r="35958" ht="15.75" customHeight="1">
      <c r="A35958" s="7"/>
      <c r="B35958" s="7"/>
      <c r="M35958" s="9" t="s">
        <v>22</v>
      </c>
    </row>
    <row r="35959" ht="15.75" customHeight="1">
      <c r="A35959" s="7"/>
      <c r="B35959" s="7"/>
      <c r="M35959" s="9" t="s">
        <v>33</v>
      </c>
    </row>
    <row r="35960" ht="15.75" customHeight="1">
      <c r="A35960" s="7"/>
      <c r="B35960" s="7"/>
      <c r="M35960" s="9" t="s">
        <v>30</v>
      </c>
    </row>
    <row r="35961" ht="15.75" customHeight="1">
      <c r="A35961" s="7"/>
      <c r="B35961" s="7"/>
      <c r="M35961" s="9" t="s">
        <v>24</v>
      </c>
    </row>
    <row r="35962" ht="15.75" customHeight="1">
      <c r="A35962" s="7"/>
      <c r="B35962" s="7"/>
      <c r="M35962" s="9" t="s">
        <v>20</v>
      </c>
    </row>
    <row r="35963" ht="15.75" customHeight="1">
      <c r="A35963" s="7"/>
      <c r="B35963" s="7"/>
      <c r="M35963" s="9" t="s">
        <v>21</v>
      </c>
    </row>
    <row r="35964" ht="15.75" customHeight="1">
      <c r="A35964" s="7"/>
      <c r="B35964" s="7"/>
      <c r="M35964" s="9" t="s">
        <v>41</v>
      </c>
    </row>
    <row r="35965" ht="15.75" customHeight="1">
      <c r="A35965" s="7"/>
      <c r="B35965" s="7"/>
      <c r="M35965" s="9" t="s">
        <v>37</v>
      </c>
    </row>
    <row r="35966" ht="15.75" customHeight="1">
      <c r="A35966" s="7"/>
      <c r="B35966" s="7"/>
      <c r="M35966" s="9" t="s">
        <v>27</v>
      </c>
    </row>
    <row r="35967" ht="15.75" customHeight="1">
      <c r="A35967" s="7"/>
      <c r="B35967" s="7"/>
      <c r="M35967" s="9" t="s">
        <v>24</v>
      </c>
    </row>
    <row r="35968" ht="15.75" customHeight="1">
      <c r="A35968" s="7"/>
      <c r="B35968" s="7"/>
      <c r="M35968" s="9" t="s">
        <v>21</v>
      </c>
    </row>
    <row r="35969" ht="15.75" customHeight="1">
      <c r="A35969" s="7"/>
      <c r="B35969" s="7"/>
      <c r="M35969" s="9" t="s">
        <v>37</v>
      </c>
    </row>
    <row r="35970" ht="15.75" customHeight="1">
      <c r="A35970" s="7"/>
      <c r="B35970" s="7"/>
      <c r="M35970" s="9" t="s">
        <v>27</v>
      </c>
    </row>
    <row r="35971" ht="15.75" customHeight="1">
      <c r="A35971" s="7"/>
      <c r="B35971" s="7"/>
      <c r="M35971" s="9" t="s">
        <v>24</v>
      </c>
    </row>
    <row r="35972" ht="15.75" customHeight="1">
      <c r="A35972" s="7"/>
      <c r="B35972" s="7"/>
      <c r="M35972" s="9" t="s">
        <v>20</v>
      </c>
    </row>
    <row r="35973" ht="15.75" customHeight="1">
      <c r="A35973" s="7"/>
      <c r="B35973" s="7"/>
      <c r="M35973" s="9" t="s">
        <v>21</v>
      </c>
    </row>
    <row r="35974" ht="15.75" customHeight="1">
      <c r="A35974" s="7"/>
      <c r="B35974" s="7"/>
      <c r="M35974" s="9" t="s">
        <v>37</v>
      </c>
    </row>
    <row r="35975" ht="15.75" customHeight="1">
      <c r="A35975" s="7"/>
      <c r="B35975" s="7"/>
      <c r="M35975" s="9" t="s">
        <v>25</v>
      </c>
    </row>
    <row r="35976" ht="15.75" customHeight="1">
      <c r="A35976" s="7"/>
      <c r="B35976" s="7"/>
      <c r="M35976" s="9" t="s">
        <v>24</v>
      </c>
    </row>
    <row r="35977" ht="15.75" customHeight="1">
      <c r="A35977" s="7"/>
      <c r="B35977" s="7"/>
      <c r="M35977" s="9" t="s">
        <v>20</v>
      </c>
    </row>
    <row r="35978" ht="15.75" customHeight="1">
      <c r="A35978" s="7"/>
      <c r="B35978" s="7"/>
      <c r="M35978" s="9" t="s">
        <v>21</v>
      </c>
    </row>
    <row r="35979" ht="15.75" customHeight="1">
      <c r="A35979" s="7"/>
      <c r="B35979" s="7"/>
      <c r="M35979" s="9" t="s">
        <v>37</v>
      </c>
    </row>
    <row r="35980" ht="15.75" customHeight="1">
      <c r="A35980" s="7"/>
      <c r="B35980" s="7"/>
      <c r="M35980" s="9" t="s">
        <v>22</v>
      </c>
    </row>
    <row r="35981" ht="15.75" customHeight="1">
      <c r="A35981" s="7"/>
      <c r="B35981" s="7"/>
      <c r="M35981" s="9" t="s">
        <v>25</v>
      </c>
    </row>
    <row r="35982" ht="15.75" customHeight="1">
      <c r="A35982" s="7"/>
      <c r="B35982" s="7"/>
      <c r="M35982" s="9" t="s">
        <v>23</v>
      </c>
    </row>
    <row r="35983" ht="15.75" customHeight="1">
      <c r="A35983" s="7"/>
      <c r="B35983" s="7"/>
      <c r="M35983" s="9" t="s">
        <v>26</v>
      </c>
    </row>
    <row r="35984" ht="15.75" customHeight="1">
      <c r="A35984" s="7"/>
      <c r="B35984" s="7"/>
      <c r="M35984" s="9" t="s">
        <v>24</v>
      </c>
    </row>
    <row r="35985" ht="15.75" customHeight="1">
      <c r="A35985" s="7"/>
      <c r="B35985" s="7"/>
      <c r="M35985" s="9" t="s">
        <v>21</v>
      </c>
    </row>
    <row r="35986" ht="15.75" customHeight="1">
      <c r="A35986" s="7"/>
      <c r="B35986" s="7"/>
      <c r="M35986" s="9" t="s">
        <v>22</v>
      </c>
    </row>
    <row r="35987" ht="15.75" customHeight="1">
      <c r="A35987" s="7"/>
      <c r="B35987" s="7"/>
      <c r="M35987" s="9" t="s">
        <v>31</v>
      </c>
    </row>
    <row r="35988" ht="15.75" customHeight="1">
      <c r="A35988" s="7"/>
      <c r="B35988" s="7"/>
      <c r="M35988" s="9" t="s">
        <v>27</v>
      </c>
    </row>
    <row r="35989" ht="15.75" customHeight="1">
      <c r="A35989" s="7"/>
      <c r="B35989" s="7"/>
      <c r="M35989" s="9" t="s">
        <v>35</v>
      </c>
    </row>
    <row r="35990" ht="15.75" customHeight="1">
      <c r="A35990" s="7"/>
      <c r="B35990" s="7"/>
      <c r="M35990" s="9" t="s">
        <v>36</v>
      </c>
    </row>
    <row r="35991" ht="15.75" customHeight="1">
      <c r="A35991" s="7"/>
      <c r="B35991" s="7"/>
      <c r="M35991" s="9" t="s">
        <v>24</v>
      </c>
    </row>
    <row r="35992" ht="15.75" customHeight="1">
      <c r="A35992" s="7"/>
      <c r="B35992" s="7"/>
      <c r="M35992" s="9" t="s">
        <v>21</v>
      </c>
    </row>
    <row r="35993" ht="15.75" customHeight="1">
      <c r="A35993" s="7"/>
      <c r="B35993" s="7"/>
      <c r="M35993" s="9" t="s">
        <v>37</v>
      </c>
    </row>
    <row r="35994" ht="15.75" customHeight="1">
      <c r="A35994" s="7"/>
      <c r="B35994" s="7"/>
      <c r="M35994" s="9" t="s">
        <v>27</v>
      </c>
    </row>
    <row r="35995" ht="15.75" customHeight="1">
      <c r="A35995" s="7"/>
      <c r="B35995" s="7"/>
      <c r="M35995" s="9" t="s">
        <v>24</v>
      </c>
    </row>
    <row r="35996" ht="15.75" customHeight="1">
      <c r="A35996" s="7"/>
      <c r="B35996" s="7"/>
      <c r="M35996" s="9" t="s">
        <v>20</v>
      </c>
    </row>
    <row r="35997" ht="15.75" customHeight="1">
      <c r="A35997" s="7"/>
      <c r="B35997" s="7"/>
      <c r="M35997" s="9" t="s">
        <v>21</v>
      </c>
    </row>
    <row r="35998" ht="15.75" customHeight="1">
      <c r="A35998" s="7"/>
      <c r="B35998" s="7"/>
      <c r="M35998" s="9" t="s">
        <v>37</v>
      </c>
    </row>
    <row r="35999" ht="15.75" customHeight="1">
      <c r="A35999" s="7"/>
      <c r="B35999" s="7"/>
      <c r="M35999" s="9" t="s">
        <v>22</v>
      </c>
    </row>
    <row r="36000" ht="15.75" customHeight="1">
      <c r="A36000" s="7"/>
      <c r="B36000" s="7"/>
      <c r="M36000" s="9" t="s">
        <v>27</v>
      </c>
    </row>
    <row r="36001" ht="15.75" customHeight="1">
      <c r="A36001" s="7"/>
      <c r="B36001" s="7"/>
      <c r="M36001" s="9" t="s">
        <v>25</v>
      </c>
    </row>
    <row r="36002" ht="15.75" customHeight="1">
      <c r="A36002" s="7"/>
      <c r="B36002" s="7"/>
      <c r="M36002" s="9" t="s">
        <v>23</v>
      </c>
    </row>
    <row r="36003" ht="15.75" customHeight="1">
      <c r="A36003" s="7"/>
      <c r="B36003" s="7"/>
      <c r="M36003" s="9" t="s">
        <v>26</v>
      </c>
    </row>
    <row r="36004" ht="15.75" customHeight="1">
      <c r="A36004" s="7"/>
      <c r="B36004" s="7"/>
      <c r="M36004" s="9" t="s">
        <v>23</v>
      </c>
    </row>
    <row r="36005" ht="15.75" customHeight="1">
      <c r="A36005" s="7"/>
      <c r="B36005" s="7"/>
      <c r="M36005" s="9" t="s">
        <v>25</v>
      </c>
    </row>
    <row r="36006" ht="15.75" customHeight="1">
      <c r="A36006" s="7"/>
      <c r="B36006" s="7"/>
      <c r="M36006" s="9" t="s">
        <v>23</v>
      </c>
    </row>
    <row r="36007" ht="15.75" customHeight="1">
      <c r="A36007" s="7"/>
      <c r="B36007" s="7"/>
      <c r="M36007" s="9" t="s">
        <v>26</v>
      </c>
    </row>
    <row r="36008" ht="15.75" customHeight="1">
      <c r="A36008" s="7"/>
      <c r="B36008" s="7"/>
      <c r="M36008" s="9" t="s">
        <v>21</v>
      </c>
    </row>
    <row r="36009" ht="15.75" customHeight="1">
      <c r="A36009" s="7"/>
      <c r="B36009" s="7"/>
      <c r="M36009" s="9" t="s">
        <v>22</v>
      </c>
    </row>
    <row r="36010" ht="15.75" customHeight="1">
      <c r="A36010" s="7"/>
      <c r="B36010" s="7"/>
      <c r="M36010" s="9" t="s">
        <v>24</v>
      </c>
    </row>
    <row r="36011" ht="15.75" customHeight="1">
      <c r="A36011" s="7"/>
      <c r="B36011" s="7"/>
      <c r="M36011" s="9" t="s">
        <v>20</v>
      </c>
    </row>
    <row r="36012" ht="15.75" customHeight="1">
      <c r="A36012" s="7"/>
      <c r="B36012" s="7"/>
      <c r="M36012" s="9" t="s">
        <v>21</v>
      </c>
    </row>
    <row r="36013" ht="15.75" customHeight="1">
      <c r="A36013" s="7"/>
      <c r="B36013" s="7"/>
      <c r="M36013" s="9" t="s">
        <v>37</v>
      </c>
    </row>
    <row r="36014" ht="15.75" customHeight="1">
      <c r="A36014" s="7"/>
      <c r="B36014" s="7"/>
      <c r="M36014" s="9" t="s">
        <v>31</v>
      </c>
    </row>
    <row r="36015" ht="15.75" customHeight="1">
      <c r="A36015" s="7"/>
      <c r="B36015" s="7"/>
      <c r="M36015" s="9" t="s">
        <v>27</v>
      </c>
    </row>
    <row r="36016" ht="15.75" customHeight="1">
      <c r="A36016" s="7"/>
      <c r="B36016" s="7"/>
      <c r="M36016" s="9" t="s">
        <v>30</v>
      </c>
    </row>
    <row r="36017" ht="15.75" customHeight="1">
      <c r="A36017" s="7"/>
      <c r="B36017" s="7"/>
      <c r="M36017" s="9" t="s">
        <v>20</v>
      </c>
    </row>
    <row r="36018" ht="15.75" customHeight="1">
      <c r="A36018" s="7"/>
      <c r="B36018" s="7"/>
      <c r="M36018" s="9" t="s">
        <v>21</v>
      </c>
    </row>
    <row r="36019" ht="15.75" customHeight="1">
      <c r="A36019" s="7"/>
      <c r="B36019" s="7"/>
      <c r="M36019" s="9" t="s">
        <v>22</v>
      </c>
    </row>
    <row r="36020" ht="15.75" customHeight="1">
      <c r="A36020" s="7"/>
      <c r="B36020" s="7"/>
      <c r="M36020" s="9" t="s">
        <v>46</v>
      </c>
    </row>
    <row r="36021" ht="15.75" customHeight="1">
      <c r="A36021" s="7"/>
      <c r="B36021" s="7"/>
      <c r="M36021" s="9" t="s">
        <v>27</v>
      </c>
    </row>
    <row r="36022" ht="15.75" customHeight="1">
      <c r="A36022" s="7"/>
      <c r="B36022" s="7"/>
      <c r="M36022" s="9" t="s">
        <v>24</v>
      </c>
    </row>
    <row r="36023" ht="15.75" customHeight="1">
      <c r="A36023" s="7"/>
      <c r="B36023" s="7"/>
      <c r="M36023" s="9" t="s">
        <v>21</v>
      </c>
    </row>
    <row r="36024" ht="15.75" customHeight="1">
      <c r="A36024" s="7"/>
      <c r="B36024" s="7"/>
      <c r="M36024" s="9" t="s">
        <v>22</v>
      </c>
    </row>
    <row r="36025" ht="15.75" customHeight="1">
      <c r="A36025" s="7"/>
      <c r="B36025" s="7"/>
      <c r="M36025" s="9" t="s">
        <v>27</v>
      </c>
    </row>
    <row r="36026" ht="15.75" customHeight="1">
      <c r="A36026" s="7"/>
      <c r="B36026" s="7"/>
      <c r="M36026" s="9" t="s">
        <v>24</v>
      </c>
    </row>
    <row r="36027" ht="15.75" customHeight="1">
      <c r="A36027" s="7"/>
      <c r="B36027" s="7"/>
      <c r="M36027" s="9" t="s">
        <v>21</v>
      </c>
    </row>
    <row r="36028" ht="15.75" customHeight="1">
      <c r="A36028" s="7"/>
      <c r="B36028" s="7"/>
      <c r="M36028" s="9" t="s">
        <v>22</v>
      </c>
    </row>
    <row r="36029" ht="15.75" customHeight="1">
      <c r="A36029" s="7"/>
      <c r="B36029" s="7"/>
      <c r="M36029" s="9" t="s">
        <v>27</v>
      </c>
    </row>
    <row r="36030" ht="15.75" customHeight="1">
      <c r="A36030" s="7"/>
      <c r="B36030" s="7"/>
      <c r="M36030" s="9" t="s">
        <v>26</v>
      </c>
    </row>
    <row r="36031" ht="15.75" customHeight="1">
      <c r="A36031" s="7"/>
      <c r="B36031" s="7"/>
      <c r="M36031" s="9" t="s">
        <v>24</v>
      </c>
    </row>
    <row r="36032" ht="15.75" customHeight="1">
      <c r="A36032" s="7"/>
      <c r="B36032" s="7"/>
      <c r="M36032" s="9" t="s">
        <v>21</v>
      </c>
    </row>
    <row r="36033" ht="15.75" customHeight="1">
      <c r="A36033" s="7"/>
      <c r="B36033" s="7"/>
      <c r="M36033" s="9" t="s">
        <v>27</v>
      </c>
    </row>
    <row r="36034" ht="15.75" customHeight="1">
      <c r="A36034" s="7"/>
      <c r="B36034" s="7"/>
      <c r="M36034" s="9" t="s">
        <v>28</v>
      </c>
    </row>
    <row r="36035" ht="15.75" customHeight="1">
      <c r="A36035" s="7"/>
      <c r="B36035" s="7"/>
      <c r="M36035" s="9" t="s">
        <v>26</v>
      </c>
    </row>
    <row r="36036" ht="15.75" customHeight="1">
      <c r="A36036" s="7"/>
      <c r="B36036" s="7"/>
      <c r="M36036" s="9" t="s">
        <v>47</v>
      </c>
    </row>
    <row r="36037" ht="15.75" customHeight="1">
      <c r="A36037" s="7"/>
      <c r="B36037" s="7"/>
      <c r="M36037" s="9" t="s">
        <v>45</v>
      </c>
    </row>
    <row r="36038" ht="15.75" customHeight="1">
      <c r="A36038" s="7"/>
      <c r="B36038" s="7"/>
      <c r="M36038" s="9" t="s">
        <v>24</v>
      </c>
    </row>
    <row r="36039" ht="15.75" customHeight="1">
      <c r="A36039" s="7"/>
      <c r="B36039" s="7"/>
      <c r="M36039" s="9" t="s">
        <v>21</v>
      </c>
    </row>
    <row r="36040" ht="15.75" customHeight="1">
      <c r="A36040" s="7"/>
      <c r="B36040" s="7"/>
      <c r="M36040" s="9" t="s">
        <v>37</v>
      </c>
    </row>
    <row r="36041" ht="15.75" customHeight="1">
      <c r="A36041" s="7"/>
      <c r="B36041" s="7"/>
      <c r="M36041" s="9" t="s">
        <v>22</v>
      </c>
    </row>
    <row r="36042" ht="15.75" customHeight="1">
      <c r="A36042" s="7"/>
      <c r="B36042" s="7"/>
      <c r="M36042" s="9" t="s">
        <v>29</v>
      </c>
    </row>
    <row r="36043" ht="15.75" customHeight="1">
      <c r="A36043" s="7"/>
      <c r="B36043" s="7"/>
      <c r="M36043" s="9" t="s">
        <v>27</v>
      </c>
    </row>
    <row r="36044" ht="15.75" customHeight="1">
      <c r="A36044" s="7"/>
      <c r="B36044" s="7"/>
      <c r="M36044" s="9" t="s">
        <v>28</v>
      </c>
    </row>
    <row r="36045" ht="15.75" customHeight="1">
      <c r="A36045" s="7"/>
      <c r="B36045" s="7"/>
      <c r="M36045" s="9" t="s">
        <v>24</v>
      </c>
    </row>
    <row r="36046" ht="15.75" customHeight="1">
      <c r="A36046" s="7"/>
      <c r="B36046" s="7"/>
      <c r="M36046" s="9" t="s">
        <v>20</v>
      </c>
    </row>
    <row r="36047" ht="15.75" customHeight="1">
      <c r="A36047" s="7"/>
      <c r="B36047" s="7"/>
      <c r="M36047" s="9" t="s">
        <v>21</v>
      </c>
    </row>
    <row r="36048" ht="15.75" customHeight="1">
      <c r="A36048" s="7"/>
      <c r="B36048" s="7"/>
      <c r="M36048" s="9" t="s">
        <v>27</v>
      </c>
    </row>
    <row r="36049" ht="15.75" customHeight="1">
      <c r="A36049" s="7"/>
      <c r="B36049" s="7"/>
      <c r="M36049" s="9" t="s">
        <v>30</v>
      </c>
    </row>
    <row r="36050" ht="15.75" customHeight="1">
      <c r="A36050" s="7"/>
      <c r="B36050" s="7"/>
      <c r="M36050" s="9" t="s">
        <v>23</v>
      </c>
    </row>
    <row r="36051" ht="15.75" customHeight="1">
      <c r="A36051" s="7"/>
      <c r="B36051" s="7"/>
      <c r="M36051" s="9" t="s">
        <v>21</v>
      </c>
    </row>
    <row r="36052" ht="15.75" customHeight="1">
      <c r="A36052" s="7"/>
      <c r="B36052" s="7"/>
      <c r="M36052" s="9" t="s">
        <v>22</v>
      </c>
    </row>
    <row r="36053" ht="15.75" customHeight="1">
      <c r="A36053" s="7"/>
      <c r="B36053" s="7"/>
      <c r="M36053" s="9" t="s">
        <v>33</v>
      </c>
    </row>
    <row r="36054" ht="15.75" customHeight="1">
      <c r="A36054" s="7"/>
      <c r="B36054" s="7"/>
      <c r="M36054" s="9" t="s">
        <v>30</v>
      </c>
    </row>
    <row r="36055" ht="15.75" customHeight="1">
      <c r="A36055" s="7"/>
      <c r="B36055" s="7"/>
      <c r="M36055" s="9" t="s">
        <v>36</v>
      </c>
    </row>
    <row r="36056" ht="15.75" customHeight="1">
      <c r="A36056" s="7"/>
      <c r="B36056" s="7"/>
      <c r="M36056" s="9" t="s">
        <v>24</v>
      </c>
    </row>
    <row r="36057" ht="15.75" customHeight="1">
      <c r="A36057" s="7"/>
      <c r="B36057" s="7"/>
      <c r="M36057" s="9" t="s">
        <v>21</v>
      </c>
    </row>
    <row r="36058" ht="15.75" customHeight="1">
      <c r="A36058" s="7"/>
      <c r="B36058" s="7"/>
      <c r="M36058" s="9" t="s">
        <v>31</v>
      </c>
    </row>
    <row r="36059" ht="15.75" customHeight="1">
      <c r="A36059" s="7"/>
      <c r="B36059" s="7"/>
      <c r="M36059" s="9" t="s">
        <v>33</v>
      </c>
    </row>
    <row r="36060" ht="15.75" customHeight="1">
      <c r="A36060" s="7"/>
      <c r="B36060" s="7"/>
      <c r="M36060" s="9" t="s">
        <v>25</v>
      </c>
    </row>
    <row r="36061" ht="15.75" customHeight="1">
      <c r="A36061" s="7"/>
      <c r="B36061" s="7"/>
      <c r="M36061" s="9" t="s">
        <v>24</v>
      </c>
    </row>
    <row r="36062" ht="15.75" customHeight="1">
      <c r="A36062" s="7"/>
      <c r="B36062" s="7"/>
      <c r="M36062" s="9" t="s">
        <v>21</v>
      </c>
    </row>
    <row r="36063" ht="15.75" customHeight="1">
      <c r="A36063" s="7"/>
      <c r="B36063" s="7"/>
      <c r="M36063" s="9" t="s">
        <v>30</v>
      </c>
    </row>
    <row r="36064" ht="15.75" customHeight="1">
      <c r="A36064" s="7"/>
      <c r="B36064" s="7"/>
      <c r="M36064" s="9" t="s">
        <v>25</v>
      </c>
    </row>
    <row r="36065" ht="15.75" customHeight="1">
      <c r="A36065" s="7"/>
      <c r="B36065" s="7"/>
      <c r="M36065" s="9" t="s">
        <v>23</v>
      </c>
    </row>
    <row r="36066" ht="15.75" customHeight="1">
      <c r="A36066" s="7"/>
      <c r="B36066" s="7"/>
      <c r="M36066" s="9" t="s">
        <v>26</v>
      </c>
    </row>
    <row r="36067" ht="15.75" customHeight="1">
      <c r="A36067" s="7"/>
      <c r="B36067" s="7"/>
      <c r="M36067" s="9" t="s">
        <v>24</v>
      </c>
    </row>
    <row r="36068" ht="15.75" customHeight="1">
      <c r="A36068" s="7"/>
      <c r="B36068" s="7"/>
      <c r="M36068" s="9" t="s">
        <v>20</v>
      </c>
    </row>
    <row r="36069" ht="15.75" customHeight="1">
      <c r="A36069" s="7"/>
      <c r="B36069" s="7"/>
      <c r="M36069" s="9" t="s">
        <v>21</v>
      </c>
    </row>
    <row r="36070" ht="15.75" customHeight="1">
      <c r="A36070" s="7"/>
      <c r="B36070" s="7"/>
      <c r="M36070" s="9" t="s">
        <v>22</v>
      </c>
    </row>
    <row r="36071" ht="15.75" customHeight="1">
      <c r="A36071" s="7"/>
      <c r="B36071" s="7"/>
      <c r="M36071" s="9" t="s">
        <v>29</v>
      </c>
    </row>
    <row r="36072" ht="15.75" customHeight="1">
      <c r="A36072" s="7"/>
      <c r="B36072" s="7"/>
      <c r="M36072" s="9" t="s">
        <v>27</v>
      </c>
    </row>
    <row r="36073" ht="15.75" customHeight="1">
      <c r="A36073" s="7"/>
      <c r="B36073" s="7"/>
      <c r="M36073" s="9" t="s">
        <v>28</v>
      </c>
    </row>
    <row r="36074" ht="15.75" customHeight="1">
      <c r="A36074" s="7"/>
      <c r="B36074" s="7"/>
      <c r="M36074" s="9" t="s">
        <v>38</v>
      </c>
    </row>
    <row r="36075" ht="15.75" customHeight="1">
      <c r="A36075" s="7"/>
      <c r="B36075" s="7"/>
      <c r="M36075" s="9" t="s">
        <v>25</v>
      </c>
    </row>
    <row r="36076" ht="15.75" customHeight="1">
      <c r="A36076" s="7"/>
      <c r="B36076" s="7"/>
      <c r="M36076" s="9" t="s">
        <v>23</v>
      </c>
    </row>
    <row r="36077" ht="15.75" customHeight="1">
      <c r="A36077" s="7"/>
      <c r="B36077" s="7"/>
      <c r="M36077" s="9" t="s">
        <v>36</v>
      </c>
    </row>
    <row r="36078" ht="15.75" customHeight="1">
      <c r="A36078" s="7"/>
      <c r="B36078" s="7"/>
      <c r="M36078" s="9" t="s">
        <v>24</v>
      </c>
    </row>
    <row r="36079" ht="15.75" customHeight="1">
      <c r="A36079" s="7"/>
      <c r="B36079" s="7"/>
      <c r="M36079" s="9" t="s">
        <v>20</v>
      </c>
    </row>
    <row r="36080" ht="15.75" customHeight="1">
      <c r="A36080" s="7"/>
      <c r="B36080" s="7"/>
      <c r="M36080" s="9" t="s">
        <v>21</v>
      </c>
    </row>
    <row r="36081" ht="15.75" customHeight="1">
      <c r="A36081" s="7"/>
      <c r="B36081" s="7"/>
      <c r="M36081" s="9" t="s">
        <v>37</v>
      </c>
    </row>
    <row r="36082" ht="15.75" customHeight="1">
      <c r="A36082" s="7"/>
      <c r="B36082" s="7"/>
      <c r="M36082" s="9" t="s">
        <v>22</v>
      </c>
    </row>
    <row r="36083" ht="15.75" customHeight="1">
      <c r="A36083" s="7"/>
      <c r="B36083" s="7"/>
      <c r="M36083" s="9" t="s">
        <v>32</v>
      </c>
    </row>
    <row r="36084" ht="15.75" customHeight="1">
      <c r="A36084" s="7"/>
      <c r="B36084" s="7"/>
      <c r="M36084" s="9" t="s">
        <v>24</v>
      </c>
    </row>
    <row r="36085" ht="15.75" customHeight="1">
      <c r="A36085" s="7"/>
      <c r="B36085" s="7"/>
      <c r="M36085" s="9" t="s">
        <v>21</v>
      </c>
    </row>
    <row r="36086" ht="15.75" customHeight="1">
      <c r="A36086" s="7"/>
      <c r="B36086" s="7"/>
      <c r="M36086" s="9" t="s">
        <v>37</v>
      </c>
    </row>
    <row r="36087" ht="15.75" customHeight="1">
      <c r="A36087" s="7"/>
      <c r="B36087" s="7"/>
      <c r="M36087" s="9" t="s">
        <v>25</v>
      </c>
    </row>
    <row r="36088" ht="15.75" customHeight="1">
      <c r="A36088" s="7"/>
      <c r="B36088" s="7"/>
      <c r="M36088" s="9" t="s">
        <v>23</v>
      </c>
    </row>
    <row r="36089" ht="15.75" customHeight="1">
      <c r="A36089" s="7"/>
      <c r="B36089" s="7"/>
      <c r="M36089" s="9" t="s">
        <v>26</v>
      </c>
    </row>
    <row r="36090" ht="15.75" customHeight="1">
      <c r="A36090" s="7"/>
      <c r="B36090" s="7"/>
      <c r="M36090" s="9" t="s">
        <v>37</v>
      </c>
    </row>
    <row r="36091" ht="15.75" customHeight="1">
      <c r="A36091" s="7"/>
      <c r="B36091" s="7"/>
      <c r="M36091" s="9" t="s">
        <v>27</v>
      </c>
    </row>
    <row r="36092" ht="15.75" customHeight="1">
      <c r="A36092" s="7"/>
      <c r="B36092" s="7"/>
      <c r="M36092" s="9" t="s">
        <v>24</v>
      </c>
    </row>
    <row r="36093" ht="15.75" customHeight="1">
      <c r="A36093" s="7"/>
      <c r="B36093" s="7"/>
      <c r="M36093" s="9" t="s">
        <v>20</v>
      </c>
    </row>
    <row r="36094" ht="15.75" customHeight="1">
      <c r="A36094" s="7"/>
      <c r="B36094" s="7"/>
      <c r="M36094" s="9" t="s">
        <v>21</v>
      </c>
    </row>
    <row r="36095" ht="15.75" customHeight="1">
      <c r="A36095" s="7"/>
      <c r="B36095" s="7"/>
      <c r="M36095" s="9" t="s">
        <v>37</v>
      </c>
    </row>
    <row r="36096" ht="15.75" customHeight="1">
      <c r="A36096" s="7"/>
      <c r="B36096" s="7"/>
      <c r="M36096" s="9" t="s">
        <v>22</v>
      </c>
    </row>
    <row r="36097" ht="15.75" customHeight="1">
      <c r="A36097" s="7"/>
      <c r="B36097" s="7"/>
      <c r="M36097" s="9" t="s">
        <v>31</v>
      </c>
    </row>
    <row r="36098" ht="15.75" customHeight="1">
      <c r="A36098" s="7"/>
      <c r="B36098" s="7"/>
      <c r="M36098" s="9" t="s">
        <v>27</v>
      </c>
    </row>
    <row r="36099" ht="15.75" customHeight="1">
      <c r="A36099" s="7"/>
      <c r="B36099" s="7"/>
      <c r="M36099" s="9" t="s">
        <v>25</v>
      </c>
    </row>
    <row r="36100" ht="15.75" customHeight="1">
      <c r="A36100" s="7"/>
      <c r="B36100" s="7"/>
      <c r="M36100" s="9" t="s">
        <v>23</v>
      </c>
    </row>
    <row r="36101" ht="15.75" customHeight="1">
      <c r="A36101" s="7"/>
      <c r="B36101" s="7"/>
      <c r="M36101" s="9" t="s">
        <v>24</v>
      </c>
    </row>
    <row r="36102" ht="15.75" customHeight="1">
      <c r="A36102" s="7"/>
      <c r="B36102" s="7"/>
      <c r="M36102" s="9" t="s">
        <v>21</v>
      </c>
    </row>
    <row r="36103" ht="15.75" customHeight="1">
      <c r="A36103" s="7"/>
      <c r="B36103" s="7"/>
      <c r="M36103" s="9" t="s">
        <v>22</v>
      </c>
    </row>
    <row r="36104" ht="15.75" customHeight="1">
      <c r="A36104" s="7"/>
      <c r="B36104" s="7"/>
      <c r="M36104" s="9" t="s">
        <v>38</v>
      </c>
    </row>
    <row r="36105" ht="15.75" customHeight="1">
      <c r="A36105" s="7"/>
      <c r="B36105" s="7"/>
      <c r="M36105" s="9" t="s">
        <v>24</v>
      </c>
    </row>
    <row r="36106" ht="15.75" customHeight="1">
      <c r="A36106" s="7"/>
      <c r="B36106" s="7"/>
      <c r="M36106" s="9" t="s">
        <v>21</v>
      </c>
    </row>
    <row r="36107" ht="15.75" customHeight="1">
      <c r="A36107" s="7"/>
      <c r="B36107" s="7"/>
      <c r="M36107" s="9" t="s">
        <v>22</v>
      </c>
    </row>
    <row r="36108" ht="15.75" customHeight="1">
      <c r="A36108" s="7"/>
      <c r="B36108" s="7"/>
      <c r="M36108" s="9" t="s">
        <v>33</v>
      </c>
    </row>
    <row r="36109" ht="15.75" customHeight="1">
      <c r="A36109" s="7"/>
      <c r="B36109" s="7"/>
      <c r="M36109" s="9" t="s">
        <v>24</v>
      </c>
    </row>
    <row r="36110" ht="15.75" customHeight="1">
      <c r="A36110" s="7"/>
      <c r="B36110" s="7"/>
      <c r="M36110" s="9" t="s">
        <v>20</v>
      </c>
    </row>
    <row r="36111" ht="15.75" customHeight="1">
      <c r="A36111" s="7"/>
      <c r="B36111" s="7"/>
      <c r="M36111" s="9" t="s">
        <v>21</v>
      </c>
    </row>
    <row r="36112" ht="15.75" customHeight="1">
      <c r="A36112" s="7"/>
      <c r="B36112" s="7"/>
      <c r="M36112" s="9" t="s">
        <v>22</v>
      </c>
    </row>
    <row r="36113" ht="15.75" customHeight="1">
      <c r="A36113" s="7"/>
      <c r="B36113" s="7"/>
      <c r="M36113" s="9" t="s">
        <v>33</v>
      </c>
    </row>
    <row r="36114" ht="15.75" customHeight="1">
      <c r="A36114" s="7"/>
      <c r="B36114" s="7"/>
      <c r="M36114" s="9" t="s">
        <v>26</v>
      </c>
    </row>
    <row r="36115" ht="15.75" customHeight="1">
      <c r="A36115" s="7"/>
      <c r="B36115" s="7"/>
      <c r="M36115" s="9" t="s">
        <v>44</v>
      </c>
    </row>
    <row r="36116" ht="15.75" customHeight="1">
      <c r="A36116" s="7"/>
      <c r="B36116" s="7"/>
      <c r="M36116" s="9" t="s">
        <v>21</v>
      </c>
    </row>
    <row r="36117" ht="15.75" customHeight="1">
      <c r="A36117" s="7"/>
      <c r="B36117" s="7"/>
      <c r="M36117" s="9" t="s">
        <v>41</v>
      </c>
    </row>
    <row r="36118" ht="15.75" customHeight="1">
      <c r="A36118" s="7"/>
      <c r="B36118" s="7"/>
      <c r="M36118" s="9" t="s">
        <v>27</v>
      </c>
    </row>
    <row r="36119" ht="15.75" customHeight="1">
      <c r="A36119" s="7"/>
      <c r="B36119" s="7"/>
      <c r="M36119" s="9" t="s">
        <v>25</v>
      </c>
    </row>
    <row r="36120" ht="15.75" customHeight="1">
      <c r="A36120" s="7"/>
      <c r="B36120" s="7"/>
      <c r="M36120" s="9" t="s">
        <v>23</v>
      </c>
    </row>
    <row r="36121" ht="15.75" customHeight="1">
      <c r="A36121" s="7"/>
      <c r="B36121" s="7"/>
      <c r="M36121" s="9" t="s">
        <v>26</v>
      </c>
    </row>
    <row r="36122" ht="15.75" customHeight="1">
      <c r="A36122" s="7"/>
      <c r="B36122" s="7"/>
      <c r="M36122" s="9" t="s">
        <v>20</v>
      </c>
    </row>
    <row r="36123" ht="15.75" customHeight="1">
      <c r="A36123" s="7"/>
      <c r="B36123" s="7"/>
      <c r="M36123" s="9" t="s">
        <v>37</v>
      </c>
    </row>
    <row r="36124" ht="15.75" customHeight="1">
      <c r="A36124" s="7"/>
      <c r="B36124" s="7"/>
      <c r="M36124" s="9" t="s">
        <v>27</v>
      </c>
    </row>
    <row r="36125" ht="15.75" customHeight="1">
      <c r="A36125" s="7"/>
      <c r="B36125" s="7"/>
      <c r="M36125" s="9" t="s">
        <v>30</v>
      </c>
    </row>
    <row r="36126" ht="15.75" customHeight="1">
      <c r="A36126" s="7"/>
      <c r="B36126" s="7"/>
      <c r="M36126" s="9" t="s">
        <v>36</v>
      </c>
    </row>
    <row r="36127" ht="15.75" customHeight="1">
      <c r="A36127" s="7"/>
      <c r="B36127" s="7"/>
      <c r="M36127" s="9" t="s">
        <v>24</v>
      </c>
    </row>
    <row r="36128" ht="15.75" customHeight="1">
      <c r="A36128" s="7"/>
      <c r="B36128" s="7"/>
      <c r="M36128" s="9" t="s">
        <v>20</v>
      </c>
    </row>
    <row r="36129" ht="15.75" customHeight="1">
      <c r="A36129" s="7"/>
      <c r="B36129" s="7"/>
      <c r="M36129" s="9" t="s">
        <v>22</v>
      </c>
    </row>
    <row r="36130" ht="15.75" customHeight="1">
      <c r="A36130" s="7"/>
      <c r="B36130" s="7"/>
      <c r="M36130" s="9" t="s">
        <v>31</v>
      </c>
    </row>
    <row r="36131" ht="15.75" customHeight="1">
      <c r="A36131" s="7"/>
      <c r="B36131" s="7"/>
      <c r="M36131" s="9" t="s">
        <v>25</v>
      </c>
    </row>
    <row r="36132" ht="15.75" customHeight="1">
      <c r="A36132" s="7"/>
      <c r="B36132" s="7"/>
      <c r="M36132" s="9" t="s">
        <v>26</v>
      </c>
    </row>
    <row r="36133" ht="15.75" customHeight="1">
      <c r="A36133" s="7"/>
      <c r="B36133" s="7"/>
      <c r="M36133" s="9" t="s">
        <v>24</v>
      </c>
    </row>
    <row r="36134" ht="15.75" customHeight="1">
      <c r="A36134" s="7"/>
      <c r="B36134" s="7"/>
      <c r="M36134" s="9" t="s">
        <v>20</v>
      </c>
    </row>
    <row r="36135" ht="15.75" customHeight="1">
      <c r="A36135" s="7"/>
      <c r="B36135" s="7"/>
      <c r="M36135" s="9" t="s">
        <v>21</v>
      </c>
    </row>
    <row r="36136" ht="15.75" customHeight="1">
      <c r="A36136" s="7"/>
      <c r="B36136" s="7"/>
      <c r="M36136" s="9" t="s">
        <v>22</v>
      </c>
    </row>
    <row r="36137" ht="15.75" customHeight="1">
      <c r="A36137" s="7"/>
      <c r="B36137" s="7"/>
      <c r="M36137" s="9" t="s">
        <v>27</v>
      </c>
    </row>
    <row r="36138" ht="15.75" customHeight="1">
      <c r="A36138" s="7"/>
      <c r="B36138" s="7"/>
      <c r="M36138" s="9" t="s">
        <v>33</v>
      </c>
    </row>
    <row r="36139" ht="15.75" customHeight="1">
      <c r="A36139" s="7"/>
      <c r="B36139" s="7"/>
      <c r="M36139" s="9" t="s">
        <v>30</v>
      </c>
    </row>
    <row r="36140" ht="15.75" customHeight="1">
      <c r="A36140" s="7"/>
      <c r="B36140" s="7"/>
      <c r="M36140" s="9" t="s">
        <v>25</v>
      </c>
    </row>
    <row r="36141" ht="15.75" customHeight="1">
      <c r="A36141" s="7"/>
      <c r="B36141" s="7"/>
      <c r="M36141" s="9" t="s">
        <v>23</v>
      </c>
    </row>
    <row r="36142" ht="15.75" customHeight="1">
      <c r="A36142" s="7"/>
      <c r="B36142" s="7"/>
      <c r="M36142" s="9" t="s">
        <v>24</v>
      </c>
    </row>
    <row r="36143" ht="15.75" customHeight="1">
      <c r="A36143" s="7"/>
      <c r="B36143" s="7"/>
      <c r="M36143" s="9" t="s">
        <v>20</v>
      </c>
    </row>
    <row r="36144" ht="15.75" customHeight="1">
      <c r="A36144" s="7"/>
      <c r="B36144" s="7"/>
      <c r="M36144" s="9" t="s">
        <v>21</v>
      </c>
    </row>
    <row r="36145" ht="15.75" customHeight="1">
      <c r="A36145" s="7"/>
      <c r="B36145" s="7"/>
      <c r="M36145" s="9" t="s">
        <v>39</v>
      </c>
    </row>
    <row r="36146" ht="15.75" customHeight="1">
      <c r="A36146" s="7"/>
      <c r="B36146" s="7"/>
      <c r="M36146" s="9" t="s">
        <v>22</v>
      </c>
    </row>
    <row r="36147" ht="15.75" customHeight="1">
      <c r="A36147" s="7"/>
      <c r="B36147" s="7"/>
      <c r="M36147" s="9" t="s">
        <v>27</v>
      </c>
    </row>
    <row r="36148" ht="15.75" customHeight="1">
      <c r="A36148" s="7"/>
      <c r="B36148" s="7"/>
      <c r="M36148" s="9" t="s">
        <v>30</v>
      </c>
    </row>
    <row r="36149" ht="15.75" customHeight="1">
      <c r="A36149" s="7"/>
      <c r="B36149" s="7"/>
      <c r="M36149" s="9" t="s">
        <v>24</v>
      </c>
    </row>
    <row r="36150" ht="15.75" customHeight="1">
      <c r="A36150" s="7"/>
      <c r="B36150" s="7"/>
      <c r="M36150" s="9" t="s">
        <v>20</v>
      </c>
    </row>
    <row r="36151" ht="15.75" customHeight="1">
      <c r="A36151" s="7"/>
      <c r="B36151" s="7"/>
      <c r="M36151" s="9" t="s">
        <v>21</v>
      </c>
    </row>
    <row r="36152" ht="15.75" customHeight="1">
      <c r="A36152" s="7"/>
      <c r="B36152" s="7"/>
      <c r="M36152" s="9" t="s">
        <v>27</v>
      </c>
    </row>
    <row r="36153" ht="15.75" customHeight="1">
      <c r="A36153" s="7"/>
      <c r="B36153" s="7"/>
      <c r="M36153" s="9" t="s">
        <v>30</v>
      </c>
    </row>
    <row r="36154" ht="15.75" customHeight="1">
      <c r="A36154" s="7"/>
      <c r="B36154" s="7"/>
      <c r="M36154" s="9" t="s">
        <v>25</v>
      </c>
    </row>
    <row r="36155" ht="15.75" customHeight="1">
      <c r="A36155" s="7"/>
      <c r="B36155" s="7"/>
      <c r="M36155" s="9" t="s">
        <v>26</v>
      </c>
    </row>
    <row r="36156" ht="15.75" customHeight="1">
      <c r="A36156" s="7"/>
      <c r="B36156" s="7"/>
      <c r="M36156" s="9" t="s">
        <v>30</v>
      </c>
    </row>
    <row r="36157" ht="15.75" customHeight="1">
      <c r="A36157" s="7"/>
      <c r="B36157" s="7"/>
      <c r="M36157" s="9" t="s">
        <v>36</v>
      </c>
    </row>
    <row r="36158" ht="15.75" customHeight="1">
      <c r="A36158" s="7"/>
      <c r="B36158" s="7"/>
      <c r="M36158" s="9" t="s">
        <v>24</v>
      </c>
    </row>
    <row r="36159" ht="15.75" customHeight="1">
      <c r="A36159" s="7"/>
      <c r="B36159" s="7"/>
      <c r="M36159" s="9" t="s">
        <v>20</v>
      </c>
    </row>
    <row r="36160" ht="15.75" customHeight="1">
      <c r="A36160" s="7"/>
      <c r="B36160" s="7"/>
      <c r="M36160" s="9" t="s">
        <v>21</v>
      </c>
    </row>
    <row r="36161" ht="15.75" customHeight="1">
      <c r="A36161" s="7"/>
      <c r="B36161" s="7"/>
      <c r="M36161" s="9" t="s">
        <v>22</v>
      </c>
    </row>
    <row r="36162" ht="15.75" customHeight="1">
      <c r="A36162" s="7"/>
      <c r="B36162" s="7"/>
      <c r="M36162" s="9" t="s">
        <v>27</v>
      </c>
    </row>
    <row r="36163" ht="15.75" customHeight="1">
      <c r="A36163" s="7"/>
      <c r="B36163" s="7"/>
      <c r="M36163" s="9" t="s">
        <v>33</v>
      </c>
    </row>
    <row r="36164" ht="15.75" customHeight="1">
      <c r="A36164" s="7"/>
      <c r="B36164" s="7"/>
      <c r="M36164" s="9" t="s">
        <v>24</v>
      </c>
    </row>
    <row r="36165" ht="15.75" customHeight="1">
      <c r="A36165" s="7"/>
      <c r="B36165" s="7"/>
      <c r="M36165" s="9" t="s">
        <v>21</v>
      </c>
    </row>
    <row r="36166" ht="15.75" customHeight="1">
      <c r="A36166" s="7"/>
      <c r="B36166" s="7"/>
      <c r="M36166" s="9" t="s">
        <v>37</v>
      </c>
    </row>
    <row r="36167" ht="15.75" customHeight="1">
      <c r="A36167" s="7"/>
      <c r="B36167" s="7"/>
      <c r="M36167" s="9" t="s">
        <v>33</v>
      </c>
    </row>
    <row r="36168" ht="15.75" customHeight="1">
      <c r="A36168" s="7"/>
      <c r="B36168" s="7"/>
      <c r="M36168" s="9" t="s">
        <v>30</v>
      </c>
    </row>
    <row r="36169" ht="15.75" customHeight="1">
      <c r="A36169" s="7"/>
      <c r="B36169" s="7"/>
      <c r="M36169" s="9" t="s">
        <v>24</v>
      </c>
    </row>
    <row r="36170" ht="15.75" customHeight="1">
      <c r="A36170" s="7"/>
      <c r="B36170" s="7"/>
      <c r="M36170" s="9" t="s">
        <v>21</v>
      </c>
    </row>
    <row r="36171" ht="15.75" customHeight="1">
      <c r="A36171" s="7"/>
      <c r="B36171" s="7"/>
      <c r="M36171" s="9" t="s">
        <v>22</v>
      </c>
    </row>
    <row r="36172" ht="15.75" customHeight="1">
      <c r="A36172" s="7"/>
      <c r="B36172" s="7"/>
      <c r="M36172" s="9" t="s">
        <v>46</v>
      </c>
    </row>
    <row r="36173" ht="15.75" customHeight="1">
      <c r="A36173" s="7"/>
      <c r="B36173" s="7"/>
      <c r="M36173" s="9" t="s">
        <v>27</v>
      </c>
    </row>
    <row r="36174" ht="15.75" customHeight="1">
      <c r="A36174" s="7"/>
      <c r="B36174" s="7"/>
      <c r="M36174" s="9" t="s">
        <v>38</v>
      </c>
    </row>
    <row r="36175" ht="15.75" customHeight="1">
      <c r="A36175" s="7"/>
      <c r="B36175" s="7"/>
      <c r="M36175" s="9" t="s">
        <v>25</v>
      </c>
    </row>
    <row r="36176" ht="15.75" customHeight="1">
      <c r="A36176" s="7"/>
      <c r="B36176" s="7"/>
      <c r="M36176" s="9" t="s">
        <v>23</v>
      </c>
    </row>
    <row r="36177" ht="15.75" customHeight="1">
      <c r="A36177" s="7"/>
      <c r="B36177" s="7"/>
      <c r="M36177" s="9" t="s">
        <v>24</v>
      </c>
    </row>
    <row r="36178" ht="15.75" customHeight="1">
      <c r="A36178" s="7"/>
      <c r="B36178" s="7"/>
      <c r="M36178" s="9" t="s">
        <v>20</v>
      </c>
    </row>
    <row r="36179" ht="15.75" customHeight="1">
      <c r="A36179" s="7"/>
      <c r="B36179" s="7"/>
      <c r="M36179" s="9" t="s">
        <v>21</v>
      </c>
    </row>
    <row r="36180" ht="15.75" customHeight="1">
      <c r="A36180" s="7"/>
      <c r="B36180" s="7"/>
      <c r="M36180" s="9" t="s">
        <v>27</v>
      </c>
    </row>
    <row r="36181" ht="15.75" customHeight="1">
      <c r="A36181" s="7"/>
      <c r="B36181" s="7"/>
      <c r="M36181" s="9" t="s">
        <v>24</v>
      </c>
    </row>
    <row r="36182" ht="15.75" customHeight="1">
      <c r="A36182" s="7"/>
      <c r="B36182" s="7"/>
      <c r="M36182" s="9" t="s">
        <v>20</v>
      </c>
    </row>
    <row r="36183" ht="15.75" customHeight="1">
      <c r="A36183" s="7"/>
      <c r="B36183" s="7"/>
      <c r="M36183" s="9" t="s">
        <v>21</v>
      </c>
    </row>
    <row r="36184" ht="15.75" customHeight="1">
      <c r="A36184" s="7"/>
      <c r="B36184" s="7"/>
      <c r="M36184" s="9" t="s">
        <v>27</v>
      </c>
    </row>
    <row r="36185" ht="15.75" customHeight="1">
      <c r="A36185" s="7"/>
      <c r="B36185" s="7"/>
      <c r="M36185" s="9" t="s">
        <v>33</v>
      </c>
    </row>
    <row r="36186" ht="15.75" customHeight="1">
      <c r="A36186" s="7"/>
      <c r="B36186" s="7"/>
      <c r="M36186" s="9" t="s">
        <v>24</v>
      </c>
    </row>
    <row r="36187" ht="15.75" customHeight="1">
      <c r="A36187" s="7"/>
      <c r="B36187" s="7"/>
      <c r="M36187" s="9" t="s">
        <v>20</v>
      </c>
    </row>
    <row r="36188" ht="15.75" customHeight="1">
      <c r="A36188" s="7"/>
      <c r="B36188" s="7"/>
      <c r="M36188" s="9" t="s">
        <v>21</v>
      </c>
    </row>
    <row r="36189" ht="15.75" customHeight="1">
      <c r="A36189" s="7"/>
      <c r="B36189" s="7"/>
      <c r="M36189" s="9" t="s">
        <v>27</v>
      </c>
    </row>
    <row r="36190" ht="15.75" customHeight="1">
      <c r="A36190" s="7"/>
      <c r="B36190" s="7"/>
      <c r="M36190" s="9" t="s">
        <v>30</v>
      </c>
    </row>
    <row r="36191" ht="15.75" customHeight="1">
      <c r="A36191" s="7"/>
      <c r="B36191" s="7"/>
      <c r="M36191" s="9" t="s">
        <v>24</v>
      </c>
    </row>
    <row r="36192" ht="15.75" customHeight="1">
      <c r="A36192" s="7"/>
      <c r="B36192" s="7"/>
      <c r="M36192" s="9" t="s">
        <v>21</v>
      </c>
    </row>
    <row r="36193" ht="15.75" customHeight="1">
      <c r="A36193" s="7"/>
      <c r="B36193" s="7"/>
      <c r="M36193" s="9" t="s">
        <v>37</v>
      </c>
    </row>
    <row r="36194" ht="15.75" customHeight="1">
      <c r="A36194" s="7"/>
      <c r="B36194" s="7"/>
      <c r="M36194" s="9" t="s">
        <v>27</v>
      </c>
    </row>
    <row r="36195" ht="15.75" customHeight="1">
      <c r="A36195" s="7"/>
      <c r="B36195" s="7"/>
      <c r="M36195" s="9" t="s">
        <v>25</v>
      </c>
    </row>
    <row r="36196" ht="15.75" customHeight="1">
      <c r="A36196" s="7"/>
      <c r="B36196" s="7"/>
      <c r="M36196" s="9" t="s">
        <v>24</v>
      </c>
    </row>
    <row r="36197" ht="15.75" customHeight="1">
      <c r="A36197" s="7"/>
      <c r="B36197" s="7"/>
      <c r="M36197" s="9" t="s">
        <v>21</v>
      </c>
    </row>
    <row r="36198" ht="15.75" customHeight="1">
      <c r="A36198" s="7"/>
      <c r="B36198" s="7"/>
      <c r="M36198" s="9" t="s">
        <v>37</v>
      </c>
    </row>
    <row r="36199" ht="15.75" customHeight="1">
      <c r="A36199" s="7"/>
      <c r="B36199" s="7"/>
      <c r="M36199" s="9" t="s">
        <v>27</v>
      </c>
    </row>
    <row r="36200" ht="15.75" customHeight="1">
      <c r="A36200" s="7"/>
      <c r="B36200" s="7"/>
      <c r="M36200" s="9" t="s">
        <v>35</v>
      </c>
    </row>
    <row r="36201" ht="15.75" customHeight="1">
      <c r="A36201" s="7"/>
      <c r="B36201" s="7"/>
      <c r="M36201" s="9" t="s">
        <v>38</v>
      </c>
    </row>
    <row r="36202" ht="15.75" customHeight="1">
      <c r="A36202" s="7"/>
      <c r="B36202" s="7"/>
      <c r="M36202" s="9" t="s">
        <v>30</v>
      </c>
    </row>
    <row r="36203" ht="15.75" customHeight="1">
      <c r="A36203" s="7"/>
      <c r="B36203" s="7"/>
      <c r="M36203" s="9" t="s">
        <v>26</v>
      </c>
    </row>
    <row r="36204" ht="15.75" customHeight="1">
      <c r="A36204" s="7"/>
      <c r="B36204" s="7"/>
      <c r="M36204" s="9" t="s">
        <v>24</v>
      </c>
    </row>
    <row r="36205" ht="15.75" customHeight="1">
      <c r="A36205" s="7"/>
      <c r="B36205" s="7"/>
      <c r="M36205" s="9" t="s">
        <v>21</v>
      </c>
    </row>
    <row r="36206" ht="15.75" customHeight="1">
      <c r="A36206" s="7"/>
      <c r="B36206" s="7"/>
      <c r="M36206" s="9" t="s">
        <v>22</v>
      </c>
    </row>
    <row r="36207" ht="15.75" customHeight="1">
      <c r="A36207" s="7"/>
      <c r="B36207" s="7"/>
      <c r="M36207" s="9" t="s">
        <v>31</v>
      </c>
    </row>
    <row r="36208" ht="15.75" customHeight="1">
      <c r="A36208" s="7"/>
      <c r="B36208" s="7"/>
      <c r="M36208" s="9" t="s">
        <v>27</v>
      </c>
    </row>
    <row r="36209" ht="15.75" customHeight="1">
      <c r="A36209" s="7"/>
      <c r="B36209" s="7"/>
      <c r="M36209" s="9" t="s">
        <v>30</v>
      </c>
    </row>
    <row r="36210" ht="15.75" customHeight="1">
      <c r="A36210" s="7"/>
      <c r="B36210" s="7"/>
      <c r="M36210" s="9" t="s">
        <v>26</v>
      </c>
    </row>
    <row r="36211" ht="15.75" customHeight="1">
      <c r="A36211" s="7"/>
      <c r="B36211" s="7"/>
      <c r="M36211" s="9" t="s">
        <v>24</v>
      </c>
    </row>
    <row r="36212" ht="15.75" customHeight="1">
      <c r="A36212" s="7"/>
      <c r="B36212" s="7"/>
      <c r="M36212" s="9" t="s">
        <v>21</v>
      </c>
    </row>
    <row r="36213" ht="15.75" customHeight="1">
      <c r="A36213" s="7"/>
      <c r="B36213" s="7"/>
      <c r="M36213" s="9" t="s">
        <v>27</v>
      </c>
    </row>
    <row r="36214" ht="15.75" customHeight="1">
      <c r="A36214" s="7"/>
      <c r="B36214" s="7"/>
      <c r="M36214" s="9" t="s">
        <v>33</v>
      </c>
    </row>
    <row r="36215" ht="15.75" customHeight="1">
      <c r="A36215" s="7"/>
      <c r="B36215" s="7"/>
      <c r="M36215" s="9" t="s">
        <v>30</v>
      </c>
    </row>
    <row r="36216" ht="15.75" customHeight="1">
      <c r="A36216" s="7"/>
      <c r="B36216" s="7"/>
      <c r="M36216" s="9" t="s">
        <v>23</v>
      </c>
    </row>
    <row r="36217" ht="15.75" customHeight="1">
      <c r="A36217" s="7"/>
      <c r="B36217" s="7"/>
      <c r="M36217" s="9" t="s">
        <v>24</v>
      </c>
    </row>
    <row r="36218" ht="15.75" customHeight="1">
      <c r="A36218" s="7"/>
      <c r="B36218" s="7"/>
      <c r="M36218" s="9" t="s">
        <v>20</v>
      </c>
    </row>
    <row r="36219" ht="15.75" customHeight="1">
      <c r="A36219" s="7"/>
      <c r="B36219" s="7"/>
      <c r="M36219" s="9" t="s">
        <v>22</v>
      </c>
    </row>
    <row r="36220" ht="15.75" customHeight="1">
      <c r="A36220" s="7"/>
      <c r="B36220" s="7"/>
      <c r="M36220" s="9" t="s">
        <v>29</v>
      </c>
    </row>
    <row r="36221" ht="15.75" customHeight="1">
      <c r="A36221" s="7"/>
      <c r="B36221" s="7"/>
      <c r="M36221" s="9" t="s">
        <v>27</v>
      </c>
    </row>
    <row r="36222" ht="15.75" customHeight="1">
      <c r="A36222" s="7"/>
      <c r="B36222" s="7"/>
      <c r="M36222" s="9" t="s">
        <v>38</v>
      </c>
    </row>
    <row r="36223" ht="15.75" customHeight="1">
      <c r="A36223" s="7"/>
      <c r="B36223" s="7"/>
      <c r="M36223" s="9" t="s">
        <v>30</v>
      </c>
    </row>
    <row r="36224" ht="15.75" customHeight="1">
      <c r="A36224" s="7"/>
      <c r="B36224" s="7"/>
      <c r="M36224" s="9" t="s">
        <v>25</v>
      </c>
    </row>
    <row r="36225" ht="15.75" customHeight="1">
      <c r="A36225" s="7"/>
      <c r="B36225" s="7"/>
      <c r="M36225" s="9" t="s">
        <v>23</v>
      </c>
    </row>
    <row r="36226" ht="15.75" customHeight="1">
      <c r="A36226" s="7"/>
      <c r="B36226" s="7"/>
      <c r="M36226" s="9" t="s">
        <v>26</v>
      </c>
    </row>
    <row r="36227" ht="15.75" customHeight="1">
      <c r="A36227" s="7"/>
      <c r="B36227" s="7"/>
      <c r="M36227" s="9" t="s">
        <v>21</v>
      </c>
    </row>
    <row r="36228" ht="15.75" customHeight="1">
      <c r="A36228" s="7"/>
      <c r="B36228" s="7"/>
      <c r="M36228" s="9" t="s">
        <v>22</v>
      </c>
    </row>
    <row r="36229" ht="15.75" customHeight="1">
      <c r="A36229" s="7"/>
      <c r="B36229" s="7"/>
      <c r="M36229" s="9" t="s">
        <v>27</v>
      </c>
    </row>
    <row r="36230" ht="15.75" customHeight="1">
      <c r="A36230" s="7"/>
      <c r="B36230" s="7"/>
      <c r="M36230" s="9" t="s">
        <v>28</v>
      </c>
    </row>
    <row r="36231" ht="15.75" customHeight="1">
      <c r="A36231" s="7"/>
      <c r="B36231" s="7"/>
      <c r="M36231" s="9" t="s">
        <v>22</v>
      </c>
    </row>
    <row r="36232" ht="15.75" customHeight="1">
      <c r="A36232" s="7"/>
      <c r="B36232" s="7"/>
      <c r="M36232" s="9" t="s">
        <v>27</v>
      </c>
    </row>
    <row r="36233" ht="15.75" customHeight="1">
      <c r="A36233" s="7"/>
      <c r="B36233" s="7"/>
      <c r="M36233" s="9" t="s">
        <v>35</v>
      </c>
    </row>
    <row r="36234" ht="15.75" customHeight="1">
      <c r="A36234" s="7"/>
      <c r="B36234" s="7"/>
      <c r="M36234" s="9" t="s">
        <v>22</v>
      </c>
    </row>
    <row r="36235" ht="15.75" customHeight="1">
      <c r="A36235" s="7"/>
      <c r="B36235" s="7"/>
      <c r="M36235" s="9" t="s">
        <v>30</v>
      </c>
    </row>
    <row r="36236" ht="15.75" customHeight="1">
      <c r="A36236" s="7"/>
      <c r="B36236" s="7"/>
      <c r="M36236" s="9" t="s">
        <v>41</v>
      </c>
    </row>
    <row r="36237" ht="15.75" customHeight="1">
      <c r="A36237" s="7"/>
      <c r="B36237" s="7"/>
      <c r="M36237" s="9" t="s">
        <v>40</v>
      </c>
    </row>
    <row r="36238" ht="15.75" customHeight="1">
      <c r="A36238" s="7"/>
      <c r="B36238" s="7"/>
      <c r="M36238" s="9" t="s">
        <v>35</v>
      </c>
    </row>
    <row r="36239" ht="15.75" customHeight="1">
      <c r="A36239" s="7"/>
      <c r="B36239" s="7"/>
      <c r="M36239" s="9" t="s">
        <v>25</v>
      </c>
    </row>
    <row r="36240" ht="15.75" customHeight="1">
      <c r="A36240" s="7"/>
      <c r="B36240" s="7"/>
      <c r="M36240" s="9" t="s">
        <v>23</v>
      </c>
    </row>
    <row r="36241" ht="15.75" customHeight="1">
      <c r="A36241" s="7"/>
      <c r="B36241" s="7"/>
      <c r="M36241" s="9" t="s">
        <v>26</v>
      </c>
    </row>
    <row r="36242" ht="15.75" customHeight="1">
      <c r="A36242" s="7"/>
      <c r="B36242" s="7"/>
      <c r="M36242" s="9" t="s">
        <v>42</v>
      </c>
    </row>
    <row r="36243" ht="15.75" customHeight="1">
      <c r="A36243" s="7"/>
      <c r="B36243" s="7"/>
      <c r="M36243" s="9" t="s">
        <v>24</v>
      </c>
    </row>
    <row r="36244" ht="15.75" customHeight="1">
      <c r="A36244" s="7"/>
      <c r="B36244" s="7"/>
      <c r="M36244" s="9" t="s">
        <v>21</v>
      </c>
    </row>
    <row r="36245" ht="15.75" customHeight="1">
      <c r="A36245" s="7"/>
      <c r="B36245" s="7"/>
      <c r="M36245" s="9" t="s">
        <v>37</v>
      </c>
    </row>
    <row r="36246" ht="15.75" customHeight="1">
      <c r="A36246" s="7"/>
      <c r="B36246" s="7"/>
      <c r="M36246" s="9" t="s">
        <v>27</v>
      </c>
    </row>
    <row r="36247" ht="15.75" customHeight="1">
      <c r="A36247" s="7"/>
      <c r="B36247" s="7"/>
      <c r="M36247" s="9" t="s">
        <v>38</v>
      </c>
    </row>
    <row r="36248" ht="15.75" customHeight="1">
      <c r="A36248" s="7"/>
      <c r="B36248" s="7"/>
      <c r="M36248" s="9" t="s">
        <v>30</v>
      </c>
    </row>
    <row r="36249" ht="15.75" customHeight="1">
      <c r="A36249" s="7"/>
      <c r="B36249" s="7"/>
      <c r="M36249" s="9" t="s">
        <v>25</v>
      </c>
    </row>
    <row r="36250" ht="15.75" customHeight="1">
      <c r="A36250" s="7"/>
      <c r="B36250" s="7"/>
      <c r="M36250" s="9" t="s">
        <v>23</v>
      </c>
    </row>
    <row r="36251" ht="15.75" customHeight="1">
      <c r="A36251" s="7"/>
      <c r="B36251" s="7"/>
      <c r="M36251" s="9" t="s">
        <v>24</v>
      </c>
    </row>
    <row r="36252" ht="15.75" customHeight="1">
      <c r="A36252" s="7"/>
      <c r="B36252" s="7"/>
      <c r="M36252" s="9" t="s">
        <v>20</v>
      </c>
    </row>
    <row r="36253" ht="15.75" customHeight="1">
      <c r="A36253" s="7"/>
      <c r="B36253" s="7"/>
      <c r="M36253" s="9" t="s">
        <v>21</v>
      </c>
    </row>
    <row r="36254" ht="15.75" customHeight="1">
      <c r="A36254" s="7"/>
      <c r="B36254" s="7"/>
      <c r="M36254" s="9" t="s">
        <v>39</v>
      </c>
    </row>
    <row r="36255" ht="15.75" customHeight="1">
      <c r="A36255" s="7"/>
      <c r="B36255" s="7"/>
      <c r="M36255" s="9" t="s">
        <v>37</v>
      </c>
    </row>
    <row r="36256" ht="15.75" customHeight="1">
      <c r="A36256" s="7"/>
      <c r="B36256" s="7"/>
      <c r="M36256" s="9" t="s">
        <v>22</v>
      </c>
    </row>
    <row r="36257" ht="15.75" customHeight="1">
      <c r="A36257" s="7"/>
      <c r="B36257" s="7"/>
      <c r="M36257" s="9" t="s">
        <v>27</v>
      </c>
    </row>
    <row r="36258" ht="15.75" customHeight="1">
      <c r="A36258" s="7"/>
      <c r="B36258" s="7"/>
      <c r="M36258" s="9" t="s">
        <v>24</v>
      </c>
    </row>
    <row r="36259" ht="15.75" customHeight="1">
      <c r="A36259" s="7"/>
      <c r="B36259" s="7"/>
      <c r="M36259" s="9" t="s">
        <v>21</v>
      </c>
    </row>
    <row r="36260" ht="15.75" customHeight="1">
      <c r="A36260" s="7"/>
      <c r="B36260" s="7"/>
      <c r="M36260" s="9" t="s">
        <v>22</v>
      </c>
    </row>
    <row r="36261" ht="15.75" customHeight="1">
      <c r="A36261" s="7"/>
      <c r="B36261" s="7"/>
      <c r="M36261" s="9" t="s">
        <v>31</v>
      </c>
    </row>
    <row r="36262" ht="15.75" customHeight="1">
      <c r="A36262" s="7"/>
      <c r="B36262" s="7"/>
      <c r="M36262" s="9" t="s">
        <v>27</v>
      </c>
    </row>
    <row r="36263" ht="15.75" customHeight="1">
      <c r="A36263" s="7"/>
      <c r="B36263" s="7"/>
      <c r="M36263" s="9" t="s">
        <v>40</v>
      </c>
    </row>
    <row r="36264" ht="15.75" customHeight="1">
      <c r="A36264" s="7"/>
      <c r="B36264" s="7"/>
      <c r="M36264" s="9" t="s">
        <v>24</v>
      </c>
    </row>
    <row r="36265" ht="15.75" customHeight="1">
      <c r="A36265" s="7"/>
      <c r="B36265" s="7"/>
      <c r="M36265" s="9" t="s">
        <v>22</v>
      </c>
    </row>
    <row r="36266" ht="15.75" customHeight="1">
      <c r="A36266" s="7"/>
      <c r="B36266" s="7"/>
      <c r="M36266" s="9" t="s">
        <v>25</v>
      </c>
    </row>
    <row r="36267" ht="15.75" customHeight="1">
      <c r="A36267" s="7"/>
      <c r="B36267" s="7"/>
      <c r="M36267" s="9" t="s">
        <v>23</v>
      </c>
    </row>
    <row r="36268" ht="15.75" customHeight="1">
      <c r="A36268" s="7"/>
      <c r="B36268" s="7"/>
      <c r="M36268" s="9" t="s">
        <v>26</v>
      </c>
    </row>
    <row r="36269" ht="15.75" customHeight="1">
      <c r="A36269" s="7"/>
      <c r="B36269" s="7"/>
      <c r="M36269" s="9" t="s">
        <v>24</v>
      </c>
    </row>
    <row r="36270" ht="15.75" customHeight="1">
      <c r="A36270" s="7"/>
      <c r="B36270" s="7"/>
      <c r="M36270" s="9" t="s">
        <v>20</v>
      </c>
    </row>
    <row r="36271" ht="15.75" customHeight="1">
      <c r="A36271" s="7"/>
      <c r="B36271" s="7"/>
      <c r="M36271" s="9" t="s">
        <v>21</v>
      </c>
    </row>
    <row r="36272" ht="15.75" customHeight="1">
      <c r="A36272" s="7"/>
      <c r="B36272" s="7"/>
      <c r="M36272" s="9" t="s">
        <v>37</v>
      </c>
    </row>
    <row r="36273" ht="15.75" customHeight="1">
      <c r="A36273" s="7"/>
      <c r="B36273" s="7"/>
      <c r="M36273" s="9" t="s">
        <v>22</v>
      </c>
    </row>
    <row r="36274" ht="15.75" customHeight="1">
      <c r="A36274" s="7"/>
      <c r="B36274" s="7"/>
      <c r="M36274" s="9" t="s">
        <v>31</v>
      </c>
    </row>
    <row r="36275" ht="15.75" customHeight="1">
      <c r="A36275" s="7"/>
      <c r="B36275" s="7"/>
      <c r="M36275" s="9" t="s">
        <v>27</v>
      </c>
    </row>
    <row r="36276" ht="15.75" customHeight="1">
      <c r="A36276" s="7"/>
      <c r="B36276" s="7"/>
      <c r="M36276" s="9" t="s">
        <v>40</v>
      </c>
    </row>
    <row r="36277" ht="15.75" customHeight="1">
      <c r="A36277" s="7"/>
      <c r="B36277" s="7"/>
      <c r="M36277" s="9" t="s">
        <v>33</v>
      </c>
    </row>
    <row r="36278" ht="15.75" customHeight="1">
      <c r="A36278" s="7"/>
      <c r="B36278" s="7"/>
      <c r="M36278" s="9" t="s">
        <v>30</v>
      </c>
    </row>
    <row r="36279" ht="15.75" customHeight="1">
      <c r="A36279" s="7"/>
      <c r="B36279" s="7"/>
      <c r="M36279" s="9" t="s">
        <v>25</v>
      </c>
    </row>
    <row r="36280" ht="15.75" customHeight="1">
      <c r="A36280" s="7"/>
      <c r="B36280" s="7"/>
      <c r="M36280" s="9" t="s">
        <v>24</v>
      </c>
    </row>
    <row r="36281" ht="15.75" customHeight="1">
      <c r="A36281" s="7"/>
      <c r="B36281" s="7"/>
      <c r="M36281" s="9" t="s">
        <v>31</v>
      </c>
    </row>
    <row r="36282" ht="15.75" customHeight="1">
      <c r="A36282" s="7"/>
      <c r="B36282" s="7"/>
      <c r="M36282" s="9" t="s">
        <v>23</v>
      </c>
    </row>
    <row r="36283" ht="15.75" customHeight="1">
      <c r="A36283" s="7"/>
      <c r="B36283" s="7"/>
      <c r="M36283" s="9" t="s">
        <v>26</v>
      </c>
    </row>
    <row r="36284" ht="15.75" customHeight="1">
      <c r="A36284" s="7"/>
      <c r="B36284" s="7"/>
      <c r="M36284" s="9" t="s">
        <v>24</v>
      </c>
    </row>
    <row r="36285" ht="15.75" customHeight="1">
      <c r="A36285" s="7"/>
      <c r="B36285" s="7"/>
      <c r="M36285" s="9" t="s">
        <v>20</v>
      </c>
    </row>
    <row r="36286" ht="15.75" customHeight="1">
      <c r="A36286" s="7"/>
      <c r="B36286" s="7"/>
      <c r="M36286" s="9" t="s">
        <v>21</v>
      </c>
    </row>
    <row r="36287" ht="15.75" customHeight="1">
      <c r="A36287" s="7"/>
      <c r="B36287" s="7"/>
      <c r="M36287" s="9" t="s">
        <v>27</v>
      </c>
    </row>
    <row r="36288" ht="15.75" customHeight="1">
      <c r="A36288" s="7"/>
      <c r="B36288" s="7"/>
      <c r="M36288" s="9" t="s">
        <v>40</v>
      </c>
    </row>
    <row r="36289" ht="15.75" customHeight="1">
      <c r="A36289" s="7"/>
      <c r="B36289" s="7"/>
      <c r="M36289" s="9" t="s">
        <v>28</v>
      </c>
    </row>
    <row r="36290" ht="15.75" customHeight="1">
      <c r="A36290" s="7"/>
      <c r="B36290" s="7"/>
      <c r="M36290" s="9" t="s">
        <v>23</v>
      </c>
    </row>
    <row r="36291" ht="15.75" customHeight="1">
      <c r="A36291" s="7"/>
      <c r="B36291" s="7"/>
      <c r="M36291" s="9" t="s">
        <v>22</v>
      </c>
    </row>
    <row r="36292" ht="15.75" customHeight="1">
      <c r="A36292" s="7"/>
      <c r="B36292" s="7"/>
      <c r="M36292" s="9" t="s">
        <v>46</v>
      </c>
    </row>
    <row r="36293" ht="15.75" customHeight="1">
      <c r="A36293" s="7"/>
      <c r="B36293" s="7"/>
      <c r="M36293" s="9" t="s">
        <v>27</v>
      </c>
    </row>
    <row r="36294" ht="15.75" customHeight="1">
      <c r="A36294" s="7"/>
      <c r="B36294" s="7"/>
      <c r="M36294" s="9" t="s">
        <v>38</v>
      </c>
    </row>
    <row r="36295" ht="15.75" customHeight="1">
      <c r="A36295" s="7"/>
      <c r="B36295" s="7"/>
      <c r="M36295" s="9" t="s">
        <v>30</v>
      </c>
    </row>
    <row r="36296" ht="15.75" customHeight="1">
      <c r="A36296" s="7"/>
      <c r="B36296" s="7"/>
      <c r="M36296" s="9" t="s">
        <v>25</v>
      </c>
    </row>
    <row r="36297" ht="15.75" customHeight="1">
      <c r="A36297" s="7"/>
      <c r="B36297" s="7"/>
      <c r="M36297" s="9" t="s">
        <v>23</v>
      </c>
    </row>
    <row r="36298" ht="15.75" customHeight="1">
      <c r="A36298" s="7"/>
      <c r="B36298" s="7"/>
      <c r="M36298" s="9" t="s">
        <v>26</v>
      </c>
    </row>
    <row r="36299" ht="15.75" customHeight="1">
      <c r="A36299" s="7"/>
      <c r="B36299" s="7"/>
      <c r="M36299" s="9" t="s">
        <v>24</v>
      </c>
    </row>
    <row r="36300" ht="15.75" customHeight="1">
      <c r="A36300" s="7"/>
      <c r="B36300" s="7"/>
      <c r="M36300" s="9" t="s">
        <v>20</v>
      </c>
    </row>
    <row r="36301" ht="15.75" customHeight="1">
      <c r="A36301" s="7"/>
      <c r="B36301" s="7"/>
      <c r="M36301" s="9" t="s">
        <v>21</v>
      </c>
    </row>
    <row r="36302" ht="15.75" customHeight="1">
      <c r="A36302" s="7"/>
      <c r="B36302" s="7"/>
      <c r="M36302" s="9" t="s">
        <v>41</v>
      </c>
    </row>
    <row r="36303" ht="15.75" customHeight="1">
      <c r="A36303" s="7"/>
      <c r="B36303" s="7"/>
      <c r="M36303" s="9" t="s">
        <v>37</v>
      </c>
    </row>
    <row r="36304" ht="15.75" customHeight="1">
      <c r="A36304" s="7"/>
      <c r="B36304" s="7"/>
      <c r="M36304" s="9" t="s">
        <v>22</v>
      </c>
    </row>
    <row r="36305" ht="15.75" customHeight="1">
      <c r="A36305" s="7"/>
      <c r="B36305" s="7"/>
      <c r="M36305" s="9" t="s">
        <v>29</v>
      </c>
    </row>
    <row r="36306" ht="15.75" customHeight="1">
      <c r="A36306" s="7"/>
      <c r="B36306" s="7"/>
      <c r="M36306" s="9" t="s">
        <v>27</v>
      </c>
    </row>
    <row r="36307" ht="15.75" customHeight="1">
      <c r="A36307" s="7"/>
      <c r="B36307" s="7"/>
      <c r="M36307" s="9" t="s">
        <v>35</v>
      </c>
    </row>
    <row r="36308" ht="15.75" customHeight="1">
      <c r="A36308" s="7"/>
      <c r="B36308" s="7"/>
      <c r="M36308" s="9" t="s">
        <v>25</v>
      </c>
    </row>
    <row r="36309" ht="15.75" customHeight="1">
      <c r="A36309" s="7"/>
      <c r="B36309" s="7"/>
      <c r="M36309" s="9" t="s">
        <v>23</v>
      </c>
    </row>
    <row r="36310" ht="15.75" customHeight="1">
      <c r="A36310" s="7"/>
      <c r="B36310" s="7"/>
      <c r="M36310" s="9" t="s">
        <v>20</v>
      </c>
    </row>
    <row r="36311" ht="15.75" customHeight="1">
      <c r="A36311" s="7"/>
      <c r="B36311" s="7"/>
      <c r="M36311" s="9" t="s">
        <v>27</v>
      </c>
    </row>
    <row r="36312" ht="15.75" customHeight="1">
      <c r="A36312" s="7"/>
      <c r="B36312" s="7"/>
      <c r="M36312" s="9" t="s">
        <v>24</v>
      </c>
    </row>
    <row r="36313" ht="15.75" customHeight="1">
      <c r="A36313" s="7"/>
      <c r="B36313" s="7"/>
      <c r="M36313" s="9" t="s">
        <v>21</v>
      </c>
    </row>
    <row r="36314" ht="15.75" customHeight="1">
      <c r="A36314" s="7"/>
      <c r="B36314" s="7"/>
      <c r="M36314" s="9" t="s">
        <v>22</v>
      </c>
    </row>
    <row r="36315" ht="15.75" customHeight="1">
      <c r="A36315" s="7"/>
      <c r="B36315" s="7"/>
      <c r="M36315" s="9" t="s">
        <v>24</v>
      </c>
    </row>
    <row r="36316" ht="15.75" customHeight="1">
      <c r="A36316" s="7"/>
      <c r="B36316" s="7"/>
      <c r="M36316" s="9" t="s">
        <v>21</v>
      </c>
    </row>
    <row r="36317" ht="15.75" customHeight="1">
      <c r="A36317" s="7"/>
      <c r="B36317" s="7"/>
      <c r="M36317" s="9" t="s">
        <v>33</v>
      </c>
    </row>
    <row r="36318" ht="15.75" customHeight="1">
      <c r="A36318" s="7"/>
      <c r="B36318" s="7"/>
      <c r="M36318" s="9" t="s">
        <v>30</v>
      </c>
    </row>
    <row r="36319" ht="15.75" customHeight="1">
      <c r="A36319" s="7"/>
      <c r="B36319" s="7"/>
      <c r="M36319" s="9" t="s">
        <v>26</v>
      </c>
    </row>
    <row r="36320" ht="15.75" customHeight="1">
      <c r="A36320" s="7"/>
      <c r="B36320" s="7"/>
      <c r="M36320" s="9" t="s">
        <v>24</v>
      </c>
    </row>
    <row r="36321" ht="15.75" customHeight="1">
      <c r="A36321" s="7"/>
      <c r="B36321" s="7"/>
      <c r="M36321" s="9" t="s">
        <v>21</v>
      </c>
    </row>
    <row r="36322" ht="15.75" customHeight="1">
      <c r="A36322" s="7"/>
      <c r="B36322" s="7"/>
      <c r="M36322" s="9" t="s">
        <v>37</v>
      </c>
    </row>
    <row r="36323" ht="15.75" customHeight="1">
      <c r="A36323" s="7"/>
      <c r="B36323" s="7"/>
      <c r="M36323" s="9" t="s">
        <v>22</v>
      </c>
    </row>
    <row r="36324" ht="15.75" customHeight="1">
      <c r="A36324" s="7"/>
      <c r="B36324" s="7"/>
      <c r="M36324" s="9" t="s">
        <v>27</v>
      </c>
    </row>
    <row r="36325" ht="15.75" customHeight="1">
      <c r="A36325" s="7"/>
      <c r="B36325" s="7"/>
      <c r="M36325" s="9" t="s">
        <v>38</v>
      </c>
    </row>
    <row r="36326" ht="15.75" customHeight="1">
      <c r="A36326" s="7"/>
      <c r="B36326" s="7"/>
      <c r="M36326" s="9" t="s">
        <v>30</v>
      </c>
    </row>
    <row r="36327" ht="15.75" customHeight="1">
      <c r="A36327" s="7"/>
      <c r="B36327" s="7"/>
      <c r="M36327" s="9" t="s">
        <v>25</v>
      </c>
    </row>
    <row r="36328" ht="15.75" customHeight="1">
      <c r="A36328" s="7"/>
      <c r="B36328" s="7"/>
      <c r="M36328" s="9" t="s">
        <v>23</v>
      </c>
    </row>
    <row r="36329" ht="15.75" customHeight="1">
      <c r="A36329" s="7"/>
      <c r="B36329" s="7"/>
      <c r="M36329" s="9" t="s">
        <v>26</v>
      </c>
    </row>
    <row r="36330" ht="15.75" customHeight="1">
      <c r="A36330" s="7"/>
      <c r="B36330" s="7"/>
      <c r="M36330" s="9" t="s">
        <v>24</v>
      </c>
    </row>
    <row r="36331" ht="15.75" customHeight="1">
      <c r="A36331" s="7"/>
      <c r="B36331" s="7"/>
      <c r="M36331" s="9" t="s">
        <v>20</v>
      </c>
    </row>
    <row r="36332" ht="15.75" customHeight="1">
      <c r="A36332" s="7"/>
      <c r="B36332" s="7"/>
      <c r="M36332" s="9" t="s">
        <v>21</v>
      </c>
    </row>
    <row r="36333" ht="15.75" customHeight="1">
      <c r="A36333" s="7"/>
      <c r="B36333" s="7"/>
      <c r="M36333" s="9" t="s">
        <v>37</v>
      </c>
    </row>
    <row r="36334" ht="15.75" customHeight="1">
      <c r="A36334" s="7"/>
      <c r="B36334" s="7"/>
      <c r="M36334" s="9" t="s">
        <v>27</v>
      </c>
    </row>
    <row r="36335" ht="15.75" customHeight="1">
      <c r="A36335" s="7"/>
      <c r="B36335" s="7"/>
      <c r="M36335" s="9" t="s">
        <v>28</v>
      </c>
    </row>
    <row r="36336" ht="15.75" customHeight="1">
      <c r="A36336" s="7"/>
      <c r="B36336" s="7"/>
      <c r="M36336" s="9" t="s">
        <v>35</v>
      </c>
    </row>
    <row r="36337" ht="15.75" customHeight="1">
      <c r="A36337" s="7"/>
      <c r="B36337" s="7"/>
      <c r="M36337" s="9" t="s">
        <v>20</v>
      </c>
    </row>
    <row r="36338" ht="15.75" customHeight="1">
      <c r="A36338" s="7"/>
      <c r="B36338" s="7"/>
      <c r="M36338" s="9" t="s">
        <v>26</v>
      </c>
    </row>
    <row r="36339" ht="15.75" customHeight="1">
      <c r="A36339" s="7"/>
      <c r="B36339" s="7"/>
      <c r="M36339" s="9" t="s">
        <v>24</v>
      </c>
    </row>
    <row r="36340" ht="15.75" customHeight="1">
      <c r="A36340" s="7"/>
      <c r="B36340" s="7"/>
      <c r="M36340" s="9" t="s">
        <v>21</v>
      </c>
    </row>
    <row r="36341" ht="15.75" customHeight="1">
      <c r="A36341" s="7"/>
      <c r="B36341" s="7"/>
      <c r="M36341" s="9" t="s">
        <v>27</v>
      </c>
    </row>
    <row r="36342" ht="15.75" customHeight="1">
      <c r="A36342" s="7"/>
      <c r="B36342" s="7"/>
      <c r="M36342" s="9" t="s">
        <v>25</v>
      </c>
    </row>
    <row r="36343" ht="15.75" customHeight="1">
      <c r="A36343" s="7"/>
      <c r="B36343" s="7"/>
      <c r="M36343" s="9" t="s">
        <v>23</v>
      </c>
    </row>
    <row r="36344" ht="15.75" customHeight="1">
      <c r="A36344" s="7"/>
      <c r="B36344" s="7"/>
      <c r="M36344" s="9" t="s">
        <v>21</v>
      </c>
    </row>
    <row r="36345" ht="15.75" customHeight="1">
      <c r="A36345" s="7"/>
      <c r="B36345" s="7"/>
      <c r="M36345" s="9" t="s">
        <v>32</v>
      </c>
    </row>
    <row r="36346" ht="15.75" customHeight="1">
      <c r="A36346" s="7"/>
      <c r="B36346" s="7"/>
      <c r="M36346" s="9" t="s">
        <v>30</v>
      </c>
    </row>
    <row r="36347" ht="15.75" customHeight="1">
      <c r="A36347" s="7"/>
      <c r="B36347" s="7"/>
      <c r="M36347" s="9" t="s">
        <v>24</v>
      </c>
    </row>
    <row r="36348" ht="15.75" customHeight="1">
      <c r="A36348" s="7"/>
      <c r="B36348" s="7"/>
      <c r="M36348" s="9" t="s">
        <v>20</v>
      </c>
    </row>
    <row r="36349" ht="15.75" customHeight="1">
      <c r="A36349" s="7"/>
      <c r="B36349" s="7"/>
      <c r="M36349" s="9" t="s">
        <v>21</v>
      </c>
    </row>
    <row r="36350" ht="15.75" customHeight="1">
      <c r="A36350" s="7"/>
      <c r="B36350" s="7"/>
      <c r="M36350" s="9" t="s">
        <v>22</v>
      </c>
    </row>
    <row r="36351" ht="15.75" customHeight="1">
      <c r="A36351" s="7"/>
      <c r="B36351" s="7"/>
      <c r="M36351" s="9" t="s">
        <v>24</v>
      </c>
    </row>
    <row r="36352" ht="15.75" customHeight="1">
      <c r="A36352" s="7"/>
      <c r="B36352" s="7"/>
      <c r="M36352" s="9" t="s">
        <v>21</v>
      </c>
    </row>
    <row r="36353" ht="15.75" customHeight="1">
      <c r="A36353" s="7"/>
      <c r="B36353" s="7"/>
      <c r="M36353" s="9" t="s">
        <v>37</v>
      </c>
    </row>
    <row r="36354" ht="15.75" customHeight="1">
      <c r="A36354" s="7"/>
      <c r="B36354" s="7"/>
      <c r="M36354" s="9" t="s">
        <v>25</v>
      </c>
    </row>
    <row r="36355" ht="15.75" customHeight="1">
      <c r="A36355" s="7"/>
      <c r="B36355" s="7"/>
      <c r="M36355" s="9" t="s">
        <v>23</v>
      </c>
    </row>
    <row r="36356" ht="15.75" customHeight="1">
      <c r="A36356" s="7"/>
      <c r="B36356" s="7"/>
      <c r="M36356" s="9" t="s">
        <v>20</v>
      </c>
    </row>
    <row r="36357" ht="15.75" customHeight="1">
      <c r="A36357" s="7"/>
      <c r="B36357" s="7"/>
      <c r="M36357" s="9" t="s">
        <v>21</v>
      </c>
    </row>
    <row r="36358" ht="15.75" customHeight="1">
      <c r="A36358" s="7"/>
      <c r="B36358" s="7"/>
      <c r="M36358" s="9" t="s">
        <v>27</v>
      </c>
    </row>
    <row r="36359" ht="15.75" customHeight="1">
      <c r="A36359" s="7"/>
      <c r="B36359" s="7"/>
      <c r="M36359" s="9" t="s">
        <v>22</v>
      </c>
    </row>
    <row r="36360" ht="15.75" customHeight="1">
      <c r="A36360" s="7"/>
      <c r="B36360" s="7"/>
      <c r="M36360" s="9" t="s">
        <v>25</v>
      </c>
    </row>
    <row r="36361" ht="15.75" customHeight="1">
      <c r="A36361" s="7"/>
      <c r="B36361" s="7"/>
      <c r="M36361" s="9" t="s">
        <v>23</v>
      </c>
    </row>
    <row r="36362" ht="15.75" customHeight="1">
      <c r="A36362" s="7"/>
      <c r="B36362" s="7"/>
      <c r="M36362" s="9" t="s">
        <v>24</v>
      </c>
    </row>
    <row r="36363" ht="15.75" customHeight="1">
      <c r="A36363" s="7"/>
      <c r="B36363" s="7"/>
      <c r="M36363" s="9" t="s">
        <v>20</v>
      </c>
    </row>
    <row r="36364" ht="15.75" customHeight="1">
      <c r="A36364" s="7"/>
      <c r="B36364" s="7"/>
      <c r="M36364" s="9" t="s">
        <v>21</v>
      </c>
    </row>
    <row r="36365" ht="15.75" customHeight="1">
      <c r="A36365" s="7"/>
      <c r="B36365" s="7"/>
      <c r="M36365" s="9" t="s">
        <v>27</v>
      </c>
    </row>
    <row r="36366" ht="15.75" customHeight="1">
      <c r="A36366" s="7"/>
      <c r="B36366" s="7"/>
      <c r="M36366" s="9" t="s">
        <v>22</v>
      </c>
    </row>
    <row r="36367" ht="15.75" customHeight="1">
      <c r="A36367" s="7"/>
      <c r="B36367" s="7"/>
      <c r="M36367" s="9" t="s">
        <v>30</v>
      </c>
    </row>
    <row r="36368" ht="15.75" customHeight="1">
      <c r="A36368" s="7"/>
      <c r="B36368" s="7"/>
      <c r="M36368" s="9" t="s">
        <v>24</v>
      </c>
    </row>
    <row r="36369" ht="15.75" customHeight="1">
      <c r="A36369" s="7"/>
      <c r="B36369" s="7"/>
      <c r="M36369" s="9" t="s">
        <v>20</v>
      </c>
    </row>
    <row r="36370" ht="15.75" customHeight="1">
      <c r="A36370" s="7"/>
      <c r="B36370" s="7"/>
      <c r="M36370" s="9" t="s">
        <v>22</v>
      </c>
    </row>
    <row r="36371" ht="15.75" customHeight="1">
      <c r="A36371" s="7"/>
      <c r="B36371" s="7"/>
      <c r="M36371" s="9" t="s">
        <v>27</v>
      </c>
    </row>
    <row r="36372" ht="15.75" customHeight="1">
      <c r="A36372" s="7"/>
      <c r="B36372" s="7"/>
      <c r="M36372" s="9" t="s">
        <v>25</v>
      </c>
    </row>
    <row r="36373" ht="15.75" customHeight="1">
      <c r="A36373" s="7"/>
      <c r="B36373" s="7"/>
      <c r="M36373" s="9" t="s">
        <v>23</v>
      </c>
    </row>
    <row r="36374" ht="15.75" customHeight="1">
      <c r="A36374" s="7"/>
      <c r="B36374" s="7"/>
      <c r="M36374" s="9" t="s">
        <v>26</v>
      </c>
    </row>
    <row r="36375" ht="15.75" customHeight="1">
      <c r="A36375" s="7"/>
      <c r="B36375" s="7"/>
      <c r="M36375" s="9" t="s">
        <v>38</v>
      </c>
    </row>
    <row r="36376" ht="15.75" customHeight="1">
      <c r="A36376" s="7"/>
      <c r="B36376" s="7"/>
      <c r="M36376" s="9" t="s">
        <v>30</v>
      </c>
    </row>
    <row r="36377" ht="15.75" customHeight="1">
      <c r="A36377" s="7"/>
      <c r="B36377" s="7"/>
      <c r="M36377" s="9" t="s">
        <v>25</v>
      </c>
    </row>
    <row r="36378" ht="15.75" customHeight="1">
      <c r="A36378" s="7"/>
      <c r="B36378" s="7"/>
      <c r="M36378" s="9" t="s">
        <v>24</v>
      </c>
    </row>
    <row r="36379" ht="15.75" customHeight="1">
      <c r="A36379" s="7"/>
      <c r="B36379" s="7"/>
      <c r="M36379" s="9" t="s">
        <v>30</v>
      </c>
    </row>
    <row r="36380" ht="15.75" customHeight="1">
      <c r="A36380" s="7"/>
      <c r="B36380" s="7"/>
      <c r="M36380" s="9" t="s">
        <v>26</v>
      </c>
    </row>
    <row r="36381" ht="15.75" customHeight="1">
      <c r="A36381" s="7"/>
      <c r="B36381" s="7"/>
      <c r="M36381" s="9" t="s">
        <v>24</v>
      </c>
    </row>
    <row r="36382" ht="15.75" customHeight="1">
      <c r="A36382" s="7"/>
      <c r="B36382" s="7"/>
      <c r="M36382" s="9" t="s">
        <v>21</v>
      </c>
    </row>
    <row r="36383" ht="15.75" customHeight="1">
      <c r="A36383" s="7"/>
      <c r="B36383" s="7"/>
      <c r="M36383" s="9" t="s">
        <v>27</v>
      </c>
    </row>
    <row r="36384" ht="15.75" customHeight="1">
      <c r="A36384" s="7"/>
      <c r="B36384" s="7"/>
      <c r="M36384" s="9" t="s">
        <v>20</v>
      </c>
    </row>
    <row r="36385" ht="15.75" customHeight="1">
      <c r="A36385" s="7"/>
      <c r="B36385" s="7"/>
      <c r="M36385" s="9" t="s">
        <v>30</v>
      </c>
    </row>
    <row r="36386" ht="15.75" customHeight="1">
      <c r="A36386" s="7"/>
      <c r="B36386" s="7"/>
      <c r="M36386" s="9" t="s">
        <v>26</v>
      </c>
    </row>
    <row r="36387" ht="15.75" customHeight="1">
      <c r="A36387" s="7"/>
      <c r="B36387" s="7"/>
      <c r="M36387" s="9" t="s">
        <v>24</v>
      </c>
    </row>
    <row r="36388" ht="15.75" customHeight="1">
      <c r="A36388" s="7"/>
      <c r="B36388" s="7"/>
      <c r="M36388" s="9" t="s">
        <v>21</v>
      </c>
    </row>
    <row r="36389" ht="15.75" customHeight="1">
      <c r="A36389" s="7"/>
      <c r="B36389" s="7"/>
      <c r="M36389" s="9" t="s">
        <v>27</v>
      </c>
    </row>
    <row r="36390" ht="15.75" customHeight="1">
      <c r="A36390" s="7"/>
      <c r="B36390" s="7"/>
      <c r="M36390" s="9" t="s">
        <v>22</v>
      </c>
    </row>
    <row r="36391" ht="15.75" customHeight="1">
      <c r="A36391" s="7"/>
      <c r="B36391" s="7"/>
      <c r="M36391" s="9" t="s">
        <v>30</v>
      </c>
    </row>
    <row r="36392" ht="15.75" customHeight="1">
      <c r="A36392" s="7"/>
      <c r="B36392" s="7"/>
      <c r="M36392" s="9" t="s">
        <v>24</v>
      </c>
    </row>
    <row r="36393" ht="15.75" customHeight="1">
      <c r="A36393" s="7"/>
      <c r="B36393" s="7"/>
      <c r="M36393" s="9" t="s">
        <v>21</v>
      </c>
    </row>
    <row r="36394" ht="15.75" customHeight="1">
      <c r="A36394" s="7"/>
      <c r="B36394" s="7"/>
      <c r="M36394" s="9" t="s">
        <v>37</v>
      </c>
    </row>
    <row r="36395" ht="15.75" customHeight="1">
      <c r="A36395" s="7"/>
      <c r="B36395" s="7"/>
      <c r="M36395" s="9" t="s">
        <v>26</v>
      </c>
    </row>
    <row r="36396" ht="15.75" customHeight="1">
      <c r="A36396" s="7"/>
      <c r="B36396" s="7"/>
      <c r="M36396" s="9" t="s">
        <v>20</v>
      </c>
    </row>
    <row r="36397" ht="15.75" customHeight="1">
      <c r="A36397" s="7"/>
      <c r="B36397" s="7"/>
      <c r="M36397" s="9" t="s">
        <v>38</v>
      </c>
    </row>
    <row r="36398" ht="15.75" customHeight="1">
      <c r="A36398" s="7"/>
      <c r="B36398" s="7"/>
      <c r="M36398" s="9" t="s">
        <v>20</v>
      </c>
    </row>
    <row r="36399" ht="15.75" customHeight="1">
      <c r="A36399" s="7"/>
      <c r="B36399" s="7"/>
      <c r="M36399" s="9" t="s">
        <v>30</v>
      </c>
    </row>
    <row r="36400" ht="15.75" customHeight="1">
      <c r="A36400" s="7"/>
      <c r="B36400" s="7"/>
      <c r="M36400" s="9" t="s">
        <v>36</v>
      </c>
    </row>
    <row r="36401" ht="15.75" customHeight="1">
      <c r="A36401" s="7"/>
      <c r="B36401" s="7"/>
      <c r="M36401" s="9" t="s">
        <v>21</v>
      </c>
    </row>
    <row r="36402" ht="15.75" customHeight="1">
      <c r="A36402" s="7"/>
      <c r="B36402" s="7"/>
      <c r="M36402" s="9" t="s">
        <v>27</v>
      </c>
    </row>
    <row r="36403" ht="15.75" customHeight="1">
      <c r="A36403" s="7"/>
      <c r="B36403" s="7"/>
      <c r="M36403" s="9" t="s">
        <v>25</v>
      </c>
    </row>
    <row r="36404" ht="15.75" customHeight="1">
      <c r="A36404" s="7"/>
      <c r="B36404" s="7"/>
      <c r="M36404" s="9" t="s">
        <v>23</v>
      </c>
    </row>
    <row r="36405" ht="15.75" customHeight="1">
      <c r="A36405" s="7"/>
      <c r="B36405" s="7"/>
      <c r="M36405" s="9" t="s">
        <v>26</v>
      </c>
    </row>
    <row r="36406" ht="15.75" customHeight="1">
      <c r="A36406" s="7"/>
      <c r="B36406" s="7"/>
      <c r="M36406" s="9" t="s">
        <v>20</v>
      </c>
    </row>
    <row r="36407" ht="15.75" customHeight="1">
      <c r="A36407" s="7"/>
      <c r="B36407" s="7"/>
      <c r="M36407" s="9" t="s">
        <v>27</v>
      </c>
    </row>
    <row r="36408" ht="15.75" customHeight="1">
      <c r="A36408" s="7"/>
      <c r="B36408" s="7"/>
      <c r="M36408" s="9" t="s">
        <v>22</v>
      </c>
    </row>
    <row r="36409" ht="15.75" customHeight="1">
      <c r="A36409" s="7"/>
      <c r="B36409" s="7"/>
      <c r="M36409" s="9" t="s">
        <v>35</v>
      </c>
    </row>
    <row r="36410" ht="15.75" customHeight="1">
      <c r="A36410" s="7"/>
      <c r="B36410" s="7"/>
      <c r="M36410" s="9" t="s">
        <v>30</v>
      </c>
    </row>
    <row r="36411" ht="15.75" customHeight="1">
      <c r="A36411" s="7"/>
      <c r="B36411" s="7"/>
      <c r="M36411" s="9" t="s">
        <v>25</v>
      </c>
    </row>
    <row r="36412" ht="15.75" customHeight="1">
      <c r="A36412" s="7"/>
      <c r="B36412" s="7"/>
      <c r="M36412" s="9" t="s">
        <v>23</v>
      </c>
    </row>
    <row r="36413" ht="15.75" customHeight="1">
      <c r="A36413" s="7"/>
      <c r="B36413" s="7"/>
      <c r="M36413" s="9" t="s">
        <v>26</v>
      </c>
    </row>
    <row r="36414" ht="15.75" customHeight="1">
      <c r="A36414" s="7"/>
      <c r="B36414" s="7"/>
      <c r="M36414" s="9" t="s">
        <v>24</v>
      </c>
    </row>
    <row r="36415" ht="15.75" customHeight="1">
      <c r="A36415" s="7"/>
      <c r="B36415" s="7"/>
      <c r="M36415" s="9" t="s">
        <v>20</v>
      </c>
    </row>
    <row r="36416" ht="15.75" customHeight="1">
      <c r="A36416" s="7"/>
      <c r="B36416" s="7"/>
      <c r="M36416" s="9" t="s">
        <v>21</v>
      </c>
    </row>
    <row r="36417" ht="15.75" customHeight="1">
      <c r="A36417" s="7"/>
      <c r="B36417" s="7"/>
      <c r="M36417" s="9" t="s">
        <v>37</v>
      </c>
    </row>
    <row r="36418" ht="15.75" customHeight="1">
      <c r="A36418" s="7"/>
      <c r="B36418" s="7"/>
      <c r="M36418" s="9" t="s">
        <v>22</v>
      </c>
    </row>
    <row r="36419" ht="15.75" customHeight="1">
      <c r="A36419" s="7"/>
      <c r="B36419" s="7"/>
      <c r="M36419" s="9" t="s">
        <v>29</v>
      </c>
    </row>
    <row r="36420" ht="15.75" customHeight="1">
      <c r="A36420" s="7"/>
      <c r="B36420" s="7"/>
      <c r="M36420" s="9" t="s">
        <v>28</v>
      </c>
    </row>
    <row r="36421" ht="15.75" customHeight="1">
      <c r="A36421" s="7"/>
      <c r="B36421" s="7"/>
      <c r="M36421" s="9" t="s">
        <v>30</v>
      </c>
    </row>
    <row r="36422" ht="15.75" customHeight="1">
      <c r="A36422" s="7"/>
      <c r="B36422" s="7"/>
      <c r="M36422" s="9" t="s">
        <v>36</v>
      </c>
    </row>
    <row r="36423" ht="15.75" customHeight="1">
      <c r="A36423" s="7"/>
      <c r="B36423" s="7"/>
      <c r="M36423" s="9" t="s">
        <v>24</v>
      </c>
    </row>
    <row r="36424" ht="15.75" customHeight="1">
      <c r="A36424" s="7"/>
      <c r="B36424" s="7"/>
      <c r="M36424" s="9" t="s">
        <v>20</v>
      </c>
    </row>
    <row r="36425" ht="15.75" customHeight="1">
      <c r="A36425" s="7"/>
      <c r="B36425" s="7"/>
      <c r="M36425" s="9" t="s">
        <v>22</v>
      </c>
    </row>
    <row r="36426" ht="15.75" customHeight="1">
      <c r="A36426" s="7"/>
      <c r="B36426" s="7"/>
      <c r="M36426" s="9" t="s">
        <v>27</v>
      </c>
    </row>
    <row r="36427" ht="15.75" customHeight="1">
      <c r="A36427" s="7"/>
      <c r="B36427" s="7"/>
      <c r="M36427" s="9" t="s">
        <v>33</v>
      </c>
    </row>
    <row r="36428" ht="15.75" customHeight="1">
      <c r="A36428" s="7"/>
      <c r="B36428" s="7"/>
      <c r="M36428" s="9" t="s">
        <v>24</v>
      </c>
    </row>
    <row r="36429" ht="15.75" customHeight="1">
      <c r="A36429" s="7"/>
      <c r="B36429" s="7"/>
      <c r="M36429" s="9" t="s">
        <v>20</v>
      </c>
    </row>
    <row r="36430" ht="15.75" customHeight="1">
      <c r="A36430" s="7"/>
      <c r="B36430" s="7"/>
      <c r="M36430" s="9" t="s">
        <v>21</v>
      </c>
    </row>
    <row r="36431" ht="15.75" customHeight="1">
      <c r="A36431" s="7"/>
      <c r="B36431" s="7"/>
      <c r="M36431" s="9" t="s">
        <v>22</v>
      </c>
    </row>
    <row r="36432" ht="15.75" customHeight="1">
      <c r="A36432" s="7"/>
      <c r="B36432" s="7"/>
      <c r="M36432" s="9" t="s">
        <v>27</v>
      </c>
    </row>
    <row r="36433" ht="15.75" customHeight="1">
      <c r="A36433" s="7"/>
      <c r="B36433" s="7"/>
      <c r="M36433" s="9" t="s">
        <v>33</v>
      </c>
    </row>
    <row r="36434" ht="15.75" customHeight="1">
      <c r="A36434" s="7"/>
      <c r="B36434" s="7"/>
      <c r="M36434" s="9" t="s">
        <v>30</v>
      </c>
    </row>
    <row r="36435" ht="15.75" customHeight="1">
      <c r="A36435" s="7"/>
      <c r="B36435" s="7"/>
      <c r="M36435" s="9" t="s">
        <v>24</v>
      </c>
    </row>
    <row r="36436" ht="15.75" customHeight="1">
      <c r="A36436" s="7"/>
      <c r="B36436" s="7"/>
      <c r="M36436" s="9" t="s">
        <v>20</v>
      </c>
    </row>
    <row r="36437" ht="15.75" customHeight="1">
      <c r="A36437" s="7"/>
      <c r="B36437" s="7"/>
      <c r="M36437" s="9" t="s">
        <v>21</v>
      </c>
    </row>
    <row r="36438" ht="15.75" customHeight="1">
      <c r="A36438" s="7"/>
      <c r="B36438" s="7"/>
      <c r="M36438" s="9" t="s">
        <v>27</v>
      </c>
    </row>
    <row r="36439" ht="15.75" customHeight="1">
      <c r="A36439" s="7"/>
      <c r="B36439" s="7"/>
      <c r="M36439" s="9" t="s">
        <v>44</v>
      </c>
    </row>
    <row r="36440" ht="15.75" customHeight="1">
      <c r="A36440" s="7"/>
      <c r="B36440" s="7"/>
      <c r="M36440" s="9" t="s">
        <v>33</v>
      </c>
    </row>
    <row r="36441" ht="15.75" customHeight="1">
      <c r="A36441" s="7"/>
      <c r="B36441" s="7"/>
      <c r="M36441" s="9" t="s">
        <v>35</v>
      </c>
    </row>
    <row r="36442" ht="15.75" customHeight="1">
      <c r="A36442" s="7"/>
      <c r="B36442" s="7"/>
      <c r="M36442" s="9" t="s">
        <v>24</v>
      </c>
    </row>
    <row r="36443" ht="15.75" customHeight="1">
      <c r="A36443" s="7"/>
      <c r="B36443" s="7"/>
      <c r="M36443" s="9" t="s">
        <v>21</v>
      </c>
    </row>
    <row r="36444" ht="15.75" customHeight="1">
      <c r="A36444" s="7"/>
      <c r="B36444" s="7"/>
      <c r="M36444" s="9" t="s">
        <v>37</v>
      </c>
    </row>
    <row r="36445" ht="15.75" customHeight="1">
      <c r="A36445" s="7"/>
      <c r="B36445" s="7"/>
      <c r="M36445" s="9" t="s">
        <v>22</v>
      </c>
    </row>
    <row r="36446" ht="15.75" customHeight="1">
      <c r="A36446" s="7"/>
      <c r="B36446" s="7"/>
      <c r="M36446" s="9" t="s">
        <v>27</v>
      </c>
    </row>
    <row r="36447" ht="15.75" customHeight="1">
      <c r="A36447" s="7"/>
      <c r="B36447" s="7"/>
      <c r="M36447" s="9" t="s">
        <v>38</v>
      </c>
    </row>
    <row r="36448" ht="15.75" customHeight="1">
      <c r="A36448" s="7"/>
      <c r="B36448" s="7"/>
      <c r="M36448" s="9" t="s">
        <v>25</v>
      </c>
    </row>
    <row r="36449" ht="15.75" customHeight="1">
      <c r="A36449" s="7"/>
      <c r="B36449" s="7"/>
      <c r="M36449" s="9" t="s">
        <v>23</v>
      </c>
    </row>
    <row r="36450" ht="15.75" customHeight="1">
      <c r="A36450" s="7"/>
      <c r="B36450" s="7"/>
      <c r="M36450" s="9" t="s">
        <v>26</v>
      </c>
    </row>
    <row r="36451" ht="15.75" customHeight="1">
      <c r="A36451" s="7"/>
      <c r="B36451" s="7"/>
      <c r="M36451" s="9" t="s">
        <v>24</v>
      </c>
    </row>
    <row r="36452" ht="15.75" customHeight="1">
      <c r="A36452" s="7"/>
      <c r="B36452" s="7"/>
      <c r="M36452" s="9" t="s">
        <v>21</v>
      </c>
    </row>
    <row r="36453" ht="15.75" customHeight="1">
      <c r="A36453" s="7"/>
      <c r="B36453" s="7"/>
      <c r="M36453" s="9" t="s">
        <v>37</v>
      </c>
    </row>
    <row r="36454" ht="15.75" customHeight="1">
      <c r="A36454" s="7"/>
      <c r="B36454" s="7"/>
      <c r="M36454" s="9" t="s">
        <v>22</v>
      </c>
    </row>
    <row r="36455" ht="15.75" customHeight="1">
      <c r="A36455" s="7"/>
      <c r="B36455" s="7"/>
      <c r="M36455" s="9" t="s">
        <v>27</v>
      </c>
    </row>
    <row r="36456" ht="15.75" customHeight="1">
      <c r="A36456" s="7"/>
      <c r="B36456" s="7"/>
      <c r="M36456" s="9" t="s">
        <v>24</v>
      </c>
    </row>
    <row r="36457" ht="15.75" customHeight="1">
      <c r="A36457" s="7"/>
      <c r="B36457" s="7"/>
      <c r="M36457" s="9" t="s">
        <v>20</v>
      </c>
    </row>
    <row r="36458" ht="15.75" customHeight="1">
      <c r="A36458" s="7"/>
      <c r="B36458" s="7"/>
      <c r="M36458" s="9" t="s">
        <v>21</v>
      </c>
    </row>
    <row r="36459" ht="15.75" customHeight="1">
      <c r="A36459" s="7"/>
      <c r="B36459" s="7"/>
      <c r="M36459" s="9" t="s">
        <v>22</v>
      </c>
    </row>
    <row r="36460" ht="15.75" customHeight="1">
      <c r="A36460" s="7"/>
      <c r="B36460" s="7"/>
      <c r="M36460" s="9" t="s">
        <v>27</v>
      </c>
    </row>
    <row r="36461" ht="15.75" customHeight="1">
      <c r="A36461" s="7"/>
      <c r="B36461" s="7"/>
      <c r="M36461" s="9" t="s">
        <v>30</v>
      </c>
    </row>
    <row r="36462" ht="15.75" customHeight="1">
      <c r="A36462" s="7"/>
      <c r="B36462" s="7"/>
      <c r="M36462" s="9" t="s">
        <v>24</v>
      </c>
    </row>
    <row r="36463" ht="15.75" customHeight="1">
      <c r="A36463" s="7"/>
      <c r="B36463" s="7"/>
      <c r="M36463" s="9" t="s">
        <v>21</v>
      </c>
    </row>
    <row r="36464" ht="15.75" customHeight="1">
      <c r="A36464" s="7"/>
      <c r="B36464" s="7"/>
      <c r="M36464" s="9" t="s">
        <v>22</v>
      </c>
    </row>
    <row r="36465" ht="15.75" customHeight="1">
      <c r="A36465" s="7"/>
      <c r="B36465" s="7"/>
      <c r="M36465" s="9" t="s">
        <v>38</v>
      </c>
    </row>
    <row r="36466" ht="15.75" customHeight="1">
      <c r="A36466" s="7"/>
      <c r="B36466" s="7"/>
      <c r="M36466" s="9" t="s">
        <v>25</v>
      </c>
    </row>
    <row r="36467" ht="15.75" customHeight="1">
      <c r="A36467" s="7"/>
      <c r="B36467" s="7"/>
      <c r="M36467" s="9" t="s">
        <v>23</v>
      </c>
    </row>
    <row r="36468" ht="15.75" customHeight="1">
      <c r="A36468" s="7"/>
      <c r="B36468" s="7"/>
      <c r="M36468" s="9" t="s">
        <v>26</v>
      </c>
    </row>
    <row r="36469" ht="15.75" customHeight="1">
      <c r="A36469" s="7"/>
      <c r="B36469" s="7"/>
      <c r="M36469" s="9" t="s">
        <v>36</v>
      </c>
    </row>
    <row r="36470" ht="15.75" customHeight="1">
      <c r="A36470" s="7"/>
      <c r="B36470" s="7"/>
      <c r="M36470" s="9" t="s">
        <v>24</v>
      </c>
    </row>
    <row r="36471" ht="15.75" customHeight="1">
      <c r="A36471" s="7"/>
      <c r="B36471" s="7"/>
      <c r="M36471" s="9" t="s">
        <v>20</v>
      </c>
    </row>
    <row r="36472" ht="15.75" customHeight="1">
      <c r="A36472" s="7"/>
      <c r="B36472" s="7"/>
      <c r="M36472" s="9" t="s">
        <v>21</v>
      </c>
    </row>
    <row r="36473" ht="15.75" customHeight="1">
      <c r="A36473" s="7"/>
      <c r="B36473" s="7"/>
      <c r="M36473" s="9" t="s">
        <v>37</v>
      </c>
    </row>
    <row r="36474" ht="15.75" customHeight="1">
      <c r="A36474" s="7"/>
      <c r="B36474" s="7"/>
      <c r="M36474" s="9" t="s">
        <v>27</v>
      </c>
    </row>
    <row r="36475" ht="15.75" customHeight="1">
      <c r="A36475" s="7"/>
      <c r="B36475" s="7"/>
      <c r="M36475" s="9" t="s">
        <v>33</v>
      </c>
    </row>
    <row r="36476" ht="15.75" customHeight="1">
      <c r="A36476" s="7"/>
      <c r="B36476" s="7"/>
      <c r="M36476" s="9" t="s">
        <v>30</v>
      </c>
    </row>
    <row r="36477" ht="15.75" customHeight="1">
      <c r="A36477" s="7"/>
      <c r="B36477" s="7"/>
      <c r="M36477" s="9" t="s">
        <v>20</v>
      </c>
    </row>
    <row r="36478" ht="15.75" customHeight="1">
      <c r="A36478" s="7"/>
      <c r="B36478" s="7"/>
      <c r="M36478" s="9" t="s">
        <v>21</v>
      </c>
    </row>
    <row r="36479" ht="15.75" customHeight="1">
      <c r="A36479" s="7"/>
      <c r="B36479" s="7"/>
      <c r="M36479" s="9" t="s">
        <v>27</v>
      </c>
    </row>
    <row r="36480" ht="15.75" customHeight="1">
      <c r="A36480" s="7"/>
      <c r="B36480" s="7"/>
      <c r="M36480" s="9" t="s">
        <v>36</v>
      </c>
    </row>
    <row r="36481" ht="15.75" customHeight="1">
      <c r="A36481" s="7"/>
      <c r="B36481" s="7"/>
      <c r="M36481" s="9" t="s">
        <v>21</v>
      </c>
    </row>
    <row r="36482" ht="15.75" customHeight="1">
      <c r="A36482" s="7"/>
      <c r="B36482" s="7"/>
      <c r="M36482" s="9" t="s">
        <v>24</v>
      </c>
    </row>
    <row r="36483" ht="15.75" customHeight="1">
      <c r="A36483" s="7"/>
      <c r="B36483" s="7"/>
      <c r="M36483" s="9" t="s">
        <v>20</v>
      </c>
    </row>
    <row r="36484" ht="15.75" customHeight="1">
      <c r="A36484" s="7"/>
      <c r="B36484" s="7"/>
      <c r="M36484" s="9" t="s">
        <v>21</v>
      </c>
    </row>
    <row r="36485" ht="15.75" customHeight="1">
      <c r="A36485" s="7"/>
      <c r="B36485" s="7"/>
      <c r="M36485" s="9" t="s">
        <v>37</v>
      </c>
    </row>
    <row r="36486" ht="15.75" customHeight="1">
      <c r="A36486" s="7"/>
      <c r="B36486" s="7"/>
      <c r="M36486" s="9" t="s">
        <v>31</v>
      </c>
    </row>
    <row r="36487" ht="15.75" customHeight="1">
      <c r="A36487" s="7"/>
      <c r="B36487" s="7"/>
      <c r="M36487" s="9" t="s">
        <v>27</v>
      </c>
    </row>
    <row r="36488" ht="15.75" customHeight="1">
      <c r="A36488" s="7"/>
      <c r="B36488" s="7"/>
      <c r="M36488" s="9" t="s">
        <v>24</v>
      </c>
    </row>
    <row r="36489" ht="15.75" customHeight="1">
      <c r="A36489" s="7"/>
      <c r="B36489" s="7"/>
      <c r="M36489" s="9" t="s">
        <v>21</v>
      </c>
    </row>
    <row r="36490" ht="15.75" customHeight="1">
      <c r="A36490" s="7"/>
      <c r="B36490" s="7"/>
      <c r="M36490" s="9" t="s">
        <v>22</v>
      </c>
    </row>
    <row r="36491" ht="15.75" customHeight="1">
      <c r="A36491" s="7"/>
      <c r="B36491" s="7"/>
      <c r="M36491" s="9" t="s">
        <v>33</v>
      </c>
    </row>
    <row r="36492" ht="15.75" customHeight="1">
      <c r="A36492" s="7"/>
      <c r="B36492" s="7"/>
      <c r="M36492" s="9" t="s">
        <v>24</v>
      </c>
    </row>
    <row r="36493" ht="15.75" customHeight="1">
      <c r="A36493" s="7"/>
      <c r="B36493" s="7"/>
      <c r="M36493" s="9" t="s">
        <v>20</v>
      </c>
    </row>
    <row r="36494" ht="15.75" customHeight="1">
      <c r="A36494" s="7"/>
      <c r="B36494" s="7"/>
      <c r="M36494" s="9" t="s">
        <v>21</v>
      </c>
    </row>
    <row r="36495" ht="15.75" customHeight="1">
      <c r="A36495" s="7"/>
      <c r="B36495" s="7"/>
      <c r="M36495" s="9" t="s">
        <v>27</v>
      </c>
    </row>
    <row r="36496" ht="15.75" customHeight="1">
      <c r="A36496" s="7"/>
      <c r="B36496" s="7"/>
      <c r="M36496" s="9" t="s">
        <v>30</v>
      </c>
    </row>
    <row r="36497" ht="15.75" customHeight="1">
      <c r="A36497" s="7"/>
      <c r="B36497" s="7"/>
      <c r="M36497" s="9" t="s">
        <v>25</v>
      </c>
    </row>
    <row r="36498" ht="15.75" customHeight="1">
      <c r="A36498" s="7"/>
      <c r="B36498" s="7"/>
      <c r="M36498" s="9" t="s">
        <v>24</v>
      </c>
    </row>
    <row r="36499" ht="15.75" customHeight="1">
      <c r="A36499" s="7"/>
      <c r="B36499" s="7"/>
      <c r="M36499" s="9" t="s">
        <v>21</v>
      </c>
    </row>
    <row r="36500" ht="15.75" customHeight="1">
      <c r="A36500" s="7"/>
      <c r="B36500" s="7"/>
      <c r="M36500" s="9" t="s">
        <v>22</v>
      </c>
    </row>
    <row r="36501" ht="15.75" customHeight="1">
      <c r="A36501" s="7"/>
      <c r="B36501" s="7"/>
      <c r="M36501" s="9" t="s">
        <v>31</v>
      </c>
    </row>
    <row r="36502" ht="15.75" customHeight="1">
      <c r="A36502" s="7"/>
      <c r="B36502" s="7"/>
      <c r="M36502" s="9" t="s">
        <v>32</v>
      </c>
    </row>
    <row r="36503" ht="15.75" customHeight="1">
      <c r="A36503" s="7"/>
      <c r="B36503" s="7"/>
      <c r="M36503" s="9" t="s">
        <v>40</v>
      </c>
    </row>
    <row r="36504" ht="15.75" customHeight="1">
      <c r="A36504" s="7"/>
      <c r="B36504" s="7"/>
      <c r="M36504" s="9" t="s">
        <v>26</v>
      </c>
    </row>
    <row r="36505" ht="15.75" customHeight="1">
      <c r="A36505" s="7"/>
      <c r="B36505" s="7"/>
      <c r="M36505" s="9" t="s">
        <v>24</v>
      </c>
    </row>
    <row r="36506" ht="15.75" customHeight="1">
      <c r="A36506" s="7"/>
      <c r="B36506" s="7"/>
      <c r="M36506" s="9" t="s">
        <v>21</v>
      </c>
    </row>
    <row r="36507" ht="15.75" customHeight="1">
      <c r="A36507" s="7"/>
      <c r="B36507" s="7"/>
      <c r="M36507" s="9" t="s">
        <v>26</v>
      </c>
    </row>
    <row r="36508" ht="15.75" customHeight="1">
      <c r="A36508" s="7"/>
      <c r="B36508" s="7"/>
      <c r="M36508" s="9" t="s">
        <v>21</v>
      </c>
    </row>
    <row r="36509" ht="15.75" customHeight="1">
      <c r="A36509" s="7"/>
      <c r="B36509" s="7"/>
      <c r="M36509" s="9" t="s">
        <v>33</v>
      </c>
    </row>
    <row r="36510" ht="15.75" customHeight="1">
      <c r="A36510" s="7"/>
      <c r="B36510" s="7"/>
      <c r="M36510" s="9" t="s">
        <v>23</v>
      </c>
    </row>
    <row r="36511" ht="15.75" customHeight="1">
      <c r="A36511" s="7"/>
      <c r="B36511" s="7"/>
      <c r="M36511" s="9" t="s">
        <v>26</v>
      </c>
    </row>
    <row r="36512" ht="15.75" customHeight="1">
      <c r="A36512" s="7"/>
      <c r="B36512" s="7"/>
      <c r="M36512" s="9" t="s">
        <v>36</v>
      </c>
    </row>
    <row r="36513" ht="15.75" customHeight="1">
      <c r="A36513" s="7"/>
      <c r="B36513" s="7"/>
      <c r="M36513" s="9" t="s">
        <v>24</v>
      </c>
    </row>
    <row r="36514" ht="15.75" customHeight="1">
      <c r="A36514" s="7"/>
      <c r="B36514" s="7"/>
      <c r="M36514" s="9" t="s">
        <v>20</v>
      </c>
    </row>
    <row r="36515" ht="15.75" customHeight="1">
      <c r="A36515" s="7"/>
      <c r="B36515" s="7"/>
      <c r="M36515" s="9" t="s">
        <v>21</v>
      </c>
    </row>
    <row r="36516" ht="15.75" customHeight="1">
      <c r="A36516" s="7"/>
      <c r="B36516" s="7"/>
      <c r="M36516" s="9" t="s">
        <v>27</v>
      </c>
    </row>
    <row r="36517" ht="15.75" customHeight="1">
      <c r="A36517" s="7"/>
      <c r="B36517" s="7"/>
      <c r="M36517" s="9" t="s">
        <v>21</v>
      </c>
    </row>
    <row r="36518" ht="15.75" customHeight="1">
      <c r="A36518" s="7"/>
      <c r="B36518" s="7"/>
      <c r="M36518" s="9" t="s">
        <v>24</v>
      </c>
    </row>
    <row r="36519" ht="15.75" customHeight="1">
      <c r="A36519" s="7"/>
      <c r="B36519" s="7"/>
      <c r="M36519" s="9" t="s">
        <v>21</v>
      </c>
    </row>
    <row r="36520" ht="15.75" customHeight="1">
      <c r="A36520" s="7"/>
      <c r="B36520" s="7"/>
      <c r="M36520" s="9" t="s">
        <v>41</v>
      </c>
    </row>
    <row r="36521" ht="15.75" customHeight="1">
      <c r="A36521" s="7"/>
      <c r="B36521" s="7"/>
      <c r="M36521" s="9" t="s">
        <v>40</v>
      </c>
    </row>
    <row r="36522" ht="15.75" customHeight="1">
      <c r="A36522" s="7"/>
      <c r="B36522" s="7"/>
      <c r="M36522" s="9" t="s">
        <v>30</v>
      </c>
    </row>
    <row r="36523" ht="15.75" customHeight="1">
      <c r="A36523" s="7"/>
      <c r="B36523" s="7"/>
      <c r="M36523" s="9" t="s">
        <v>24</v>
      </c>
    </row>
    <row r="36524" ht="15.75" customHeight="1">
      <c r="A36524" s="7"/>
      <c r="B36524" s="7"/>
      <c r="M36524" s="9" t="s">
        <v>20</v>
      </c>
    </row>
    <row r="36525" ht="15.75" customHeight="1">
      <c r="A36525" s="7"/>
      <c r="B36525" s="7"/>
      <c r="M36525" s="9" t="s">
        <v>21</v>
      </c>
    </row>
    <row r="36526" ht="15.75" customHeight="1">
      <c r="A36526" s="7"/>
      <c r="B36526" s="7"/>
      <c r="M36526" s="9" t="s">
        <v>37</v>
      </c>
    </row>
    <row r="36527" ht="15.75" customHeight="1">
      <c r="A36527" s="7"/>
      <c r="B36527" s="7"/>
      <c r="M36527" s="9" t="s">
        <v>22</v>
      </c>
    </row>
    <row r="36528" ht="15.75" customHeight="1">
      <c r="A36528" s="7"/>
      <c r="B36528" s="7"/>
      <c r="M36528" s="9" t="s">
        <v>31</v>
      </c>
    </row>
    <row r="36529" ht="15.75" customHeight="1">
      <c r="A36529" s="7"/>
      <c r="B36529" s="7"/>
      <c r="M36529" s="9" t="s">
        <v>27</v>
      </c>
    </row>
    <row r="36530" ht="15.75" customHeight="1">
      <c r="A36530" s="7"/>
      <c r="B36530" s="7"/>
      <c r="M36530" s="9" t="s">
        <v>33</v>
      </c>
    </row>
    <row r="36531" ht="15.75" customHeight="1">
      <c r="A36531" s="7"/>
      <c r="B36531" s="7"/>
      <c r="M36531" s="9" t="s">
        <v>34</v>
      </c>
    </row>
    <row r="36532" ht="15.75" customHeight="1">
      <c r="A36532" s="7"/>
      <c r="B36532" s="7"/>
      <c r="M36532" s="9" t="s">
        <v>30</v>
      </c>
    </row>
    <row r="36533" ht="15.75" customHeight="1">
      <c r="A36533" s="7"/>
      <c r="B36533" s="7"/>
      <c r="M36533" s="9" t="s">
        <v>26</v>
      </c>
    </row>
    <row r="36534" ht="15.75" customHeight="1">
      <c r="A36534" s="7"/>
      <c r="B36534" s="7"/>
      <c r="M36534" s="9" t="s">
        <v>24</v>
      </c>
    </row>
    <row r="36535" ht="15.75" customHeight="1">
      <c r="A36535" s="7"/>
      <c r="B36535" s="7"/>
      <c r="M36535" s="9" t="s">
        <v>21</v>
      </c>
    </row>
    <row r="36536" ht="15.75" customHeight="1">
      <c r="A36536" s="7"/>
      <c r="B36536" s="7"/>
      <c r="M36536" s="9" t="s">
        <v>22</v>
      </c>
    </row>
    <row r="36537" ht="15.75" customHeight="1">
      <c r="A36537" s="7"/>
      <c r="B36537" s="7"/>
      <c r="M36537" s="9" t="s">
        <v>27</v>
      </c>
    </row>
    <row r="36538" ht="15.75" customHeight="1">
      <c r="A36538" s="7"/>
      <c r="B36538" s="7"/>
      <c r="M36538" s="9" t="s">
        <v>33</v>
      </c>
    </row>
    <row r="36539" ht="15.75" customHeight="1">
      <c r="A36539" s="7"/>
      <c r="B36539" s="7"/>
      <c r="M36539" s="9" t="s">
        <v>25</v>
      </c>
    </row>
    <row r="36540" ht="15.75" customHeight="1">
      <c r="A36540" s="7"/>
      <c r="B36540" s="7"/>
      <c r="M36540" s="9" t="s">
        <v>24</v>
      </c>
    </row>
    <row r="36541" ht="15.75" customHeight="1">
      <c r="A36541" s="7"/>
      <c r="B36541" s="7"/>
      <c r="M36541" s="9" t="s">
        <v>21</v>
      </c>
    </row>
    <row r="36542" ht="15.75" customHeight="1">
      <c r="A36542" s="7"/>
      <c r="B36542" s="7"/>
      <c r="M36542" s="9" t="s">
        <v>22</v>
      </c>
    </row>
    <row r="36543" ht="15.75" customHeight="1">
      <c r="A36543" s="7"/>
      <c r="B36543" s="7"/>
      <c r="M36543" s="9" t="s">
        <v>25</v>
      </c>
    </row>
    <row r="36544" ht="15.75" customHeight="1">
      <c r="A36544" s="7"/>
      <c r="B36544" s="7"/>
      <c r="M36544" s="9" t="s">
        <v>23</v>
      </c>
    </row>
    <row r="36545" ht="15.75" customHeight="1">
      <c r="A36545" s="7"/>
      <c r="B36545" s="7"/>
      <c r="M36545" s="9" t="s">
        <v>24</v>
      </c>
    </row>
    <row r="36546" ht="15.75" customHeight="1">
      <c r="A36546" s="7"/>
      <c r="B36546" s="7"/>
      <c r="M36546" s="9" t="s">
        <v>21</v>
      </c>
    </row>
    <row r="36547" ht="15.75" customHeight="1">
      <c r="A36547" s="7"/>
      <c r="B36547" s="7"/>
      <c r="M36547" s="9" t="s">
        <v>37</v>
      </c>
    </row>
    <row r="36548" ht="15.75" customHeight="1">
      <c r="A36548" s="7"/>
      <c r="B36548" s="7"/>
      <c r="M36548" s="9" t="s">
        <v>22</v>
      </c>
    </row>
    <row r="36549" ht="15.75" customHeight="1">
      <c r="A36549" s="7"/>
      <c r="B36549" s="7"/>
      <c r="M36549" s="9" t="s">
        <v>27</v>
      </c>
    </row>
    <row r="36550" ht="15.75" customHeight="1">
      <c r="A36550" s="7"/>
      <c r="B36550" s="7"/>
      <c r="M36550" s="9" t="s">
        <v>33</v>
      </c>
    </row>
    <row r="36551" ht="15.75" customHeight="1">
      <c r="A36551" s="7"/>
      <c r="B36551" s="7"/>
      <c r="M36551" s="9" t="s">
        <v>30</v>
      </c>
    </row>
    <row r="36552" ht="15.75" customHeight="1">
      <c r="A36552" s="7"/>
      <c r="B36552" s="7"/>
      <c r="M36552" s="9" t="s">
        <v>23</v>
      </c>
    </row>
    <row r="36553" ht="15.75" customHeight="1">
      <c r="A36553" s="7"/>
      <c r="B36553" s="7"/>
      <c r="M36553" s="9" t="s">
        <v>24</v>
      </c>
    </row>
    <row r="36554" ht="15.75" customHeight="1">
      <c r="A36554" s="7"/>
      <c r="B36554" s="7"/>
      <c r="M36554" s="9" t="s">
        <v>20</v>
      </c>
    </row>
    <row r="36555" ht="15.75" customHeight="1">
      <c r="A36555" s="7"/>
      <c r="B36555" s="7"/>
      <c r="M36555" s="9" t="s">
        <v>21</v>
      </c>
    </row>
    <row r="36556" ht="15.75" customHeight="1">
      <c r="A36556" s="7"/>
      <c r="B36556" s="7"/>
      <c r="M36556" s="9" t="s">
        <v>27</v>
      </c>
    </row>
    <row r="36557" ht="15.75" customHeight="1">
      <c r="A36557" s="7"/>
      <c r="B36557" s="7"/>
      <c r="M36557" s="9" t="s">
        <v>35</v>
      </c>
    </row>
    <row r="36558" ht="15.75" customHeight="1">
      <c r="A36558" s="7"/>
      <c r="B36558" s="7"/>
      <c r="M36558" s="9" t="s">
        <v>30</v>
      </c>
    </row>
    <row r="36559" ht="15.75" customHeight="1">
      <c r="A36559" s="7"/>
      <c r="B36559" s="7"/>
      <c r="M36559" s="9" t="s">
        <v>23</v>
      </c>
    </row>
    <row r="36560" ht="15.75" customHeight="1">
      <c r="A36560" s="7"/>
      <c r="B36560" s="7"/>
      <c r="M36560" s="9" t="s">
        <v>26</v>
      </c>
    </row>
    <row r="36561" ht="15.75" customHeight="1">
      <c r="A36561" s="7"/>
      <c r="B36561" s="7"/>
      <c r="M36561" s="9" t="s">
        <v>24</v>
      </c>
    </row>
    <row r="36562" ht="15.75" customHeight="1">
      <c r="A36562" s="7"/>
      <c r="B36562" s="7"/>
      <c r="M36562" s="9" t="s">
        <v>20</v>
      </c>
    </row>
    <row r="36563" ht="15.75" customHeight="1">
      <c r="A36563" s="7"/>
      <c r="B36563" s="7"/>
      <c r="M36563" s="9" t="s">
        <v>21</v>
      </c>
    </row>
    <row r="36564" ht="15.75" customHeight="1">
      <c r="A36564" s="7"/>
      <c r="B36564" s="7"/>
      <c r="M36564" s="9" t="s">
        <v>27</v>
      </c>
    </row>
    <row r="36565" ht="15.75" customHeight="1">
      <c r="A36565" s="7"/>
      <c r="B36565" s="7"/>
      <c r="M36565" s="9" t="s">
        <v>30</v>
      </c>
    </row>
    <row r="36566" ht="15.75" customHeight="1">
      <c r="A36566" s="7"/>
      <c r="B36566" s="7"/>
      <c r="M36566" s="9" t="s">
        <v>24</v>
      </c>
    </row>
    <row r="36567" ht="15.75" customHeight="1">
      <c r="A36567" s="7"/>
      <c r="B36567" s="7"/>
      <c r="M36567" s="9" t="s">
        <v>21</v>
      </c>
    </row>
    <row r="36568" ht="15.75" customHeight="1">
      <c r="A36568" s="7"/>
      <c r="B36568" s="7"/>
      <c r="M36568" s="9" t="s">
        <v>37</v>
      </c>
    </row>
    <row r="36569" ht="15.75" customHeight="1">
      <c r="A36569" s="7"/>
      <c r="B36569" s="7"/>
      <c r="M36569" s="9" t="s">
        <v>22</v>
      </c>
    </row>
    <row r="36570" ht="15.75" customHeight="1">
      <c r="A36570" s="7"/>
      <c r="B36570" s="7"/>
      <c r="M36570" s="9" t="s">
        <v>27</v>
      </c>
    </row>
    <row r="36571" ht="15.75" customHeight="1">
      <c r="A36571" s="7"/>
      <c r="B36571" s="7"/>
      <c r="M36571" s="9" t="s">
        <v>30</v>
      </c>
    </row>
    <row r="36572" ht="15.75" customHeight="1">
      <c r="A36572" s="7"/>
      <c r="B36572" s="7"/>
      <c r="M36572" s="9" t="s">
        <v>26</v>
      </c>
    </row>
    <row r="36573" ht="15.75" customHeight="1">
      <c r="A36573" s="7"/>
      <c r="B36573" s="7"/>
      <c r="M36573" s="9" t="s">
        <v>22</v>
      </c>
    </row>
    <row r="36574" ht="15.75" customHeight="1">
      <c r="A36574" s="7"/>
      <c r="B36574" s="7"/>
      <c r="M36574" s="9" t="s">
        <v>27</v>
      </c>
    </row>
    <row r="36575" ht="15.75" customHeight="1">
      <c r="A36575" s="7"/>
      <c r="B36575" s="7"/>
      <c r="M36575" s="9" t="s">
        <v>28</v>
      </c>
    </row>
    <row r="36576" ht="15.75" customHeight="1">
      <c r="A36576" s="7"/>
      <c r="B36576" s="7"/>
      <c r="M36576" s="9" t="s">
        <v>24</v>
      </c>
    </row>
    <row r="36577" ht="15.75" customHeight="1">
      <c r="A36577" s="7"/>
      <c r="B36577" s="7"/>
      <c r="M36577" s="9" t="s">
        <v>21</v>
      </c>
    </row>
    <row r="36578" ht="15.75" customHeight="1">
      <c r="A36578" s="7"/>
      <c r="B36578" s="7"/>
      <c r="M36578" s="9" t="s">
        <v>37</v>
      </c>
    </row>
    <row r="36579" ht="15.75" customHeight="1">
      <c r="A36579" s="7"/>
      <c r="B36579" s="7"/>
      <c r="M36579" s="9" t="s">
        <v>31</v>
      </c>
    </row>
    <row r="36580" ht="15.75" customHeight="1">
      <c r="A36580" s="7"/>
      <c r="B36580" s="7"/>
      <c r="M36580" s="9" t="s">
        <v>27</v>
      </c>
    </row>
    <row r="36581" ht="15.75" customHeight="1">
      <c r="A36581" s="7"/>
      <c r="B36581" s="7"/>
      <c r="M36581" s="9" t="s">
        <v>33</v>
      </c>
    </row>
    <row r="36582" ht="15.75" customHeight="1">
      <c r="A36582" s="7"/>
      <c r="B36582" s="7"/>
      <c r="M36582" s="9" t="s">
        <v>25</v>
      </c>
    </row>
    <row r="36583" ht="15.75" customHeight="1">
      <c r="A36583" s="7"/>
      <c r="B36583" s="7"/>
      <c r="M36583" s="9" t="s">
        <v>23</v>
      </c>
    </row>
    <row r="36584" ht="15.75" customHeight="1">
      <c r="A36584" s="7"/>
      <c r="B36584" s="7"/>
      <c r="M36584" s="9" t="s">
        <v>26</v>
      </c>
    </row>
    <row r="36585" ht="15.75" customHeight="1">
      <c r="A36585" s="7"/>
      <c r="B36585" s="7"/>
      <c r="M36585" s="9" t="s">
        <v>24</v>
      </c>
    </row>
    <row r="36586" ht="15.75" customHeight="1">
      <c r="A36586" s="7"/>
      <c r="B36586" s="7"/>
      <c r="M36586" s="9" t="s">
        <v>22</v>
      </c>
    </row>
    <row r="36587" ht="15.75" customHeight="1">
      <c r="A36587" s="7"/>
      <c r="B36587" s="7"/>
      <c r="M36587" s="9" t="s">
        <v>27</v>
      </c>
    </row>
    <row r="36588" ht="15.75" customHeight="1">
      <c r="A36588" s="7"/>
      <c r="B36588" s="7"/>
      <c r="M36588" s="9" t="s">
        <v>23</v>
      </c>
    </row>
    <row r="36589" ht="15.75" customHeight="1">
      <c r="A36589" s="7"/>
      <c r="B36589" s="7"/>
      <c r="M36589" s="9" t="s">
        <v>44</v>
      </c>
    </row>
    <row r="36590" ht="15.75" customHeight="1">
      <c r="A36590" s="7"/>
      <c r="B36590" s="7"/>
      <c r="M36590" s="9" t="s">
        <v>20</v>
      </c>
    </row>
    <row r="36591" ht="15.75" customHeight="1">
      <c r="A36591" s="7"/>
      <c r="B36591" s="7"/>
      <c r="M36591" s="9" t="s">
        <v>39</v>
      </c>
    </row>
    <row r="36592" ht="15.75" customHeight="1">
      <c r="A36592" s="7"/>
      <c r="B36592" s="7"/>
      <c r="M36592" s="9" t="s">
        <v>37</v>
      </c>
    </row>
    <row r="36593" ht="15.75" customHeight="1">
      <c r="A36593" s="7"/>
      <c r="B36593" s="7"/>
      <c r="M36593" s="9" t="s">
        <v>22</v>
      </c>
    </row>
    <row r="36594" ht="15.75" customHeight="1">
      <c r="A36594" s="7"/>
      <c r="B36594" s="7"/>
      <c r="M36594" s="9" t="s">
        <v>31</v>
      </c>
    </row>
    <row r="36595" ht="15.75" customHeight="1">
      <c r="A36595" s="7"/>
      <c r="B36595" s="7"/>
      <c r="M36595" s="9" t="s">
        <v>25</v>
      </c>
    </row>
    <row r="36596" ht="15.75" customHeight="1">
      <c r="A36596" s="7"/>
      <c r="B36596" s="7"/>
      <c r="M36596" s="9" t="s">
        <v>23</v>
      </c>
    </row>
    <row r="36597" ht="15.75" customHeight="1">
      <c r="A36597" s="7"/>
      <c r="B36597" s="7"/>
      <c r="M36597" s="9" t="s">
        <v>24</v>
      </c>
    </row>
    <row r="36598" ht="15.75" customHeight="1">
      <c r="A36598" s="7"/>
      <c r="B36598" s="7"/>
      <c r="M36598" s="9" t="s">
        <v>20</v>
      </c>
    </row>
    <row r="36599" ht="15.75" customHeight="1">
      <c r="A36599" s="7"/>
      <c r="B36599" s="7"/>
      <c r="M36599" s="9" t="s">
        <v>21</v>
      </c>
    </row>
    <row r="36600" ht="15.75" customHeight="1">
      <c r="A36600" s="7"/>
      <c r="B36600" s="7"/>
      <c r="M36600" s="9" t="s">
        <v>22</v>
      </c>
    </row>
    <row r="36601" ht="15.75" customHeight="1">
      <c r="A36601" s="7"/>
      <c r="B36601" s="7"/>
      <c r="M36601" s="9" t="s">
        <v>44</v>
      </c>
    </row>
    <row r="36602" ht="15.75" customHeight="1">
      <c r="A36602" s="7"/>
      <c r="B36602" s="7"/>
      <c r="M36602" s="9" t="s">
        <v>26</v>
      </c>
    </row>
    <row r="36603" ht="15.75" customHeight="1">
      <c r="A36603" s="7"/>
      <c r="B36603" s="7"/>
      <c r="M36603" s="9" t="s">
        <v>24</v>
      </c>
    </row>
    <row r="36604" ht="15.75" customHeight="1">
      <c r="A36604" s="7"/>
      <c r="B36604" s="7"/>
      <c r="M36604" s="9" t="s">
        <v>21</v>
      </c>
    </row>
    <row r="36605" ht="15.75" customHeight="1">
      <c r="A36605" s="7"/>
      <c r="B36605" s="7"/>
      <c r="M36605" s="9" t="s">
        <v>27</v>
      </c>
    </row>
    <row r="36606" ht="15.75" customHeight="1">
      <c r="A36606" s="7"/>
      <c r="B36606" s="7"/>
      <c r="M36606" s="9" t="s">
        <v>26</v>
      </c>
    </row>
    <row r="36607" ht="15.75" customHeight="1">
      <c r="A36607" s="7"/>
      <c r="B36607" s="7"/>
      <c r="M36607" s="9" t="s">
        <v>24</v>
      </c>
    </row>
    <row r="36608" ht="15.75" customHeight="1">
      <c r="A36608" s="7"/>
      <c r="B36608" s="7"/>
      <c r="M36608" s="9" t="s">
        <v>21</v>
      </c>
    </row>
    <row r="36609" ht="15.75" customHeight="1">
      <c r="A36609" s="7"/>
      <c r="B36609" s="7"/>
      <c r="M36609" s="9" t="s">
        <v>31</v>
      </c>
    </row>
    <row r="36610" ht="15.75" customHeight="1">
      <c r="A36610" s="7"/>
      <c r="B36610" s="7"/>
      <c r="M36610" s="9" t="s">
        <v>33</v>
      </c>
    </row>
    <row r="36611" ht="15.75" customHeight="1">
      <c r="A36611" s="7"/>
      <c r="B36611" s="7"/>
      <c r="M36611" s="9" t="s">
        <v>23</v>
      </c>
    </row>
    <row r="36612" ht="15.75" customHeight="1">
      <c r="A36612" s="7"/>
      <c r="B36612" s="7"/>
      <c r="M36612" s="9" t="s">
        <v>36</v>
      </c>
    </row>
    <row r="36613" ht="15.75" customHeight="1">
      <c r="A36613" s="7"/>
      <c r="B36613" s="7"/>
      <c r="M36613" s="9" t="s">
        <v>20</v>
      </c>
    </row>
    <row r="36614" ht="15.75" customHeight="1">
      <c r="A36614" s="7"/>
      <c r="B36614" s="7"/>
      <c r="M36614" s="9" t="s">
        <v>21</v>
      </c>
    </row>
    <row r="36615" ht="15.75" customHeight="1">
      <c r="A36615" s="7"/>
      <c r="B36615" s="7"/>
      <c r="M36615" s="9" t="s">
        <v>22</v>
      </c>
    </row>
    <row r="36616" ht="15.75" customHeight="1">
      <c r="A36616" s="7"/>
      <c r="B36616" s="7"/>
      <c r="M36616" s="9" t="s">
        <v>29</v>
      </c>
    </row>
    <row r="36617" ht="15.75" customHeight="1">
      <c r="A36617" s="7"/>
      <c r="B36617" s="7"/>
      <c r="M36617" s="9" t="s">
        <v>28</v>
      </c>
    </row>
    <row r="36618" ht="15.75" customHeight="1">
      <c r="A36618" s="7"/>
      <c r="B36618" s="7"/>
      <c r="M36618" s="9" t="s">
        <v>30</v>
      </c>
    </row>
    <row r="36619" ht="15.75" customHeight="1">
      <c r="A36619" s="7"/>
      <c r="B36619" s="7"/>
      <c r="M36619" s="9" t="s">
        <v>26</v>
      </c>
    </row>
    <row r="36620" ht="15.75" customHeight="1">
      <c r="A36620" s="7"/>
      <c r="B36620" s="7"/>
      <c r="M36620" s="9" t="s">
        <v>45</v>
      </c>
    </row>
    <row r="36621" ht="15.75" customHeight="1">
      <c r="A36621" s="7"/>
      <c r="B36621" s="7"/>
      <c r="M36621" s="9" t="s">
        <v>24</v>
      </c>
    </row>
    <row r="36622" ht="15.75" customHeight="1">
      <c r="A36622" s="7"/>
      <c r="B36622" s="7"/>
      <c r="M36622" s="9" t="s">
        <v>21</v>
      </c>
    </row>
    <row r="36623" ht="15.75" customHeight="1">
      <c r="A36623" s="7"/>
      <c r="B36623" s="7"/>
      <c r="M36623" s="9" t="s">
        <v>37</v>
      </c>
    </row>
    <row r="36624" ht="15.75" customHeight="1">
      <c r="A36624" s="7"/>
      <c r="B36624" s="7"/>
      <c r="M36624" s="9" t="s">
        <v>22</v>
      </c>
    </row>
    <row r="36625" ht="15.75" customHeight="1">
      <c r="A36625" s="7"/>
      <c r="B36625" s="7"/>
      <c r="M36625" s="9" t="s">
        <v>33</v>
      </c>
    </row>
    <row r="36626" ht="15.75" customHeight="1">
      <c r="A36626" s="7"/>
      <c r="B36626" s="7"/>
      <c r="M36626" s="9" t="s">
        <v>35</v>
      </c>
    </row>
    <row r="36627" ht="15.75" customHeight="1">
      <c r="A36627" s="7"/>
      <c r="B36627" s="7"/>
      <c r="M36627" s="9" t="s">
        <v>23</v>
      </c>
    </row>
    <row r="36628" ht="15.75" customHeight="1">
      <c r="A36628" s="7"/>
      <c r="B36628" s="7"/>
      <c r="M36628" s="9" t="s">
        <v>21</v>
      </c>
    </row>
    <row r="36629" ht="15.75" customHeight="1">
      <c r="A36629" s="7"/>
      <c r="B36629" s="7"/>
      <c r="M36629" s="9" t="s">
        <v>22</v>
      </c>
    </row>
    <row r="36630" ht="15.75" customHeight="1">
      <c r="A36630" s="7"/>
      <c r="B36630" s="7"/>
      <c r="M36630" s="9" t="s">
        <v>27</v>
      </c>
    </row>
    <row r="36631" ht="15.75" customHeight="1">
      <c r="A36631" s="7"/>
      <c r="B36631" s="7"/>
      <c r="M36631" s="9" t="s">
        <v>23</v>
      </c>
    </row>
    <row r="36632" ht="15.75" customHeight="1">
      <c r="A36632" s="7"/>
      <c r="B36632" s="7"/>
      <c r="M36632" s="9" t="s">
        <v>26</v>
      </c>
    </row>
    <row r="36633" ht="15.75" customHeight="1">
      <c r="A36633" s="7"/>
      <c r="B36633" s="7"/>
      <c r="M36633" s="9" t="s">
        <v>24</v>
      </c>
    </row>
    <row r="36634" ht="15.75" customHeight="1">
      <c r="A36634" s="7"/>
      <c r="B36634" s="7"/>
      <c r="M36634" s="9" t="s">
        <v>20</v>
      </c>
    </row>
    <row r="36635" ht="15.75" customHeight="1">
      <c r="A36635" s="7"/>
      <c r="B36635" s="7"/>
      <c r="M36635" s="9" t="s">
        <v>21</v>
      </c>
    </row>
    <row r="36636" ht="15.75" customHeight="1">
      <c r="A36636" s="7"/>
      <c r="B36636" s="7"/>
      <c r="M36636" s="9" t="s">
        <v>27</v>
      </c>
    </row>
    <row r="36637" ht="15.75" customHeight="1">
      <c r="A36637" s="7"/>
      <c r="B36637" s="7"/>
      <c r="M36637" s="9" t="s">
        <v>26</v>
      </c>
    </row>
    <row r="36638" ht="15.75" customHeight="1">
      <c r="A36638" s="7"/>
      <c r="B36638" s="7"/>
      <c r="M36638" s="9" t="s">
        <v>24</v>
      </c>
    </row>
    <row r="36639" ht="15.75" customHeight="1">
      <c r="A36639" s="7"/>
      <c r="B36639" s="7"/>
      <c r="M36639" s="9" t="s">
        <v>21</v>
      </c>
    </row>
    <row r="36640" ht="15.75" customHeight="1">
      <c r="A36640" s="7"/>
      <c r="B36640" s="7"/>
      <c r="M36640" s="9" t="s">
        <v>27</v>
      </c>
    </row>
    <row r="36641" ht="15.75" customHeight="1">
      <c r="A36641" s="7"/>
      <c r="B36641" s="7"/>
      <c r="M36641" s="9" t="s">
        <v>27</v>
      </c>
    </row>
    <row r="36642" ht="15.75" customHeight="1">
      <c r="A36642" s="7"/>
      <c r="B36642" s="7"/>
      <c r="M36642" s="9" t="s">
        <v>24</v>
      </c>
    </row>
    <row r="36643" ht="15.75" customHeight="1">
      <c r="A36643" s="7"/>
      <c r="B36643" s="7"/>
      <c r="M36643" s="9" t="s">
        <v>21</v>
      </c>
    </row>
    <row r="36644" ht="15.75" customHeight="1">
      <c r="A36644" s="7"/>
      <c r="B36644" s="7"/>
      <c r="M36644" s="9" t="s">
        <v>22</v>
      </c>
    </row>
    <row r="36645" ht="15.75" customHeight="1">
      <c r="A36645" s="7"/>
      <c r="B36645" s="7"/>
      <c r="M36645" s="9" t="s">
        <v>20</v>
      </c>
    </row>
    <row r="36646" ht="15.75" customHeight="1">
      <c r="A36646" s="7"/>
      <c r="B36646" s="7"/>
      <c r="M36646" s="9" t="s">
        <v>30</v>
      </c>
    </row>
    <row r="36647" ht="15.75" customHeight="1">
      <c r="A36647" s="7"/>
      <c r="B36647" s="7"/>
      <c r="M36647" s="9" t="s">
        <v>25</v>
      </c>
    </row>
    <row r="36648" ht="15.75" customHeight="1">
      <c r="A36648" s="7"/>
      <c r="B36648" s="7"/>
      <c r="M36648" s="9" t="s">
        <v>24</v>
      </c>
    </row>
    <row r="36649" ht="15.75" customHeight="1">
      <c r="A36649" s="7"/>
      <c r="B36649" s="7"/>
      <c r="M36649" s="9" t="s">
        <v>21</v>
      </c>
    </row>
    <row r="36650" ht="15.75" customHeight="1">
      <c r="A36650" s="7"/>
      <c r="B36650" s="7"/>
      <c r="M36650" s="9" t="s">
        <v>22</v>
      </c>
    </row>
    <row r="36651" ht="15.75" customHeight="1">
      <c r="A36651" s="7"/>
      <c r="B36651" s="7"/>
      <c r="M36651" s="9" t="s">
        <v>27</v>
      </c>
    </row>
    <row r="36652" ht="15.75" customHeight="1">
      <c r="A36652" s="7"/>
      <c r="B36652" s="7"/>
      <c r="M36652" s="9" t="s">
        <v>35</v>
      </c>
    </row>
    <row r="36653" ht="15.75" customHeight="1">
      <c r="A36653" s="7"/>
      <c r="B36653" s="7"/>
      <c r="M36653" s="9" t="s">
        <v>26</v>
      </c>
    </row>
    <row r="36654" ht="15.75" customHeight="1">
      <c r="A36654" s="7"/>
      <c r="B36654" s="7"/>
      <c r="M36654" s="9" t="s">
        <v>35</v>
      </c>
    </row>
    <row r="36655" ht="15.75" customHeight="1">
      <c r="A36655" s="7"/>
      <c r="B36655" s="7"/>
      <c r="M36655" s="9" t="s">
        <v>24</v>
      </c>
    </row>
    <row r="36656" ht="15.75" customHeight="1">
      <c r="A36656" s="7"/>
      <c r="B36656" s="7"/>
      <c r="M36656" s="9" t="s">
        <v>20</v>
      </c>
    </row>
    <row r="36657" ht="15.75" customHeight="1">
      <c r="A36657" s="7"/>
      <c r="B36657" s="7"/>
      <c r="M36657" s="9" t="s">
        <v>21</v>
      </c>
    </row>
    <row r="36658" ht="15.75" customHeight="1">
      <c r="A36658" s="7"/>
      <c r="B36658" s="7"/>
      <c r="M36658" s="9" t="s">
        <v>37</v>
      </c>
    </row>
    <row r="36659" ht="15.75" customHeight="1">
      <c r="A36659" s="7"/>
      <c r="B36659" s="7"/>
      <c r="M36659" s="9" t="s">
        <v>27</v>
      </c>
    </row>
    <row r="36660" ht="15.75" customHeight="1">
      <c r="A36660" s="7"/>
      <c r="B36660" s="7"/>
      <c r="M36660" s="9" t="s">
        <v>24</v>
      </c>
    </row>
    <row r="36661" ht="15.75" customHeight="1">
      <c r="A36661" s="7"/>
      <c r="B36661" s="7"/>
      <c r="M36661" s="9" t="s">
        <v>20</v>
      </c>
    </row>
    <row r="36662" ht="15.75" customHeight="1">
      <c r="A36662" s="7"/>
      <c r="B36662" s="7"/>
      <c r="M36662" s="9" t="s">
        <v>21</v>
      </c>
    </row>
    <row r="36663" ht="15.75" customHeight="1">
      <c r="A36663" s="7"/>
      <c r="B36663" s="7"/>
      <c r="M36663" s="9" t="s">
        <v>27</v>
      </c>
    </row>
    <row r="36664" ht="15.75" customHeight="1">
      <c r="A36664" s="7"/>
      <c r="B36664" s="7"/>
      <c r="M36664" s="9" t="s">
        <v>20</v>
      </c>
    </row>
    <row r="36665" ht="15.75" customHeight="1">
      <c r="A36665" s="7"/>
      <c r="B36665" s="7"/>
      <c r="M36665" s="9" t="s">
        <v>39</v>
      </c>
    </row>
    <row r="36666" ht="15.75" customHeight="1">
      <c r="A36666" s="7"/>
      <c r="B36666" s="7"/>
      <c r="M36666" s="9" t="s">
        <v>40</v>
      </c>
    </row>
    <row r="36667" ht="15.75" customHeight="1">
      <c r="A36667" s="7"/>
      <c r="B36667" s="7"/>
      <c r="M36667" s="9" t="s">
        <v>30</v>
      </c>
    </row>
    <row r="36668" ht="15.75" customHeight="1">
      <c r="A36668" s="7"/>
      <c r="B36668" s="7"/>
      <c r="M36668" s="9" t="s">
        <v>24</v>
      </c>
    </row>
    <row r="36669" ht="15.75" customHeight="1">
      <c r="A36669" s="7"/>
      <c r="B36669" s="7"/>
      <c r="M36669" s="9" t="s">
        <v>21</v>
      </c>
    </row>
    <row r="36670" ht="15.75" customHeight="1">
      <c r="A36670" s="7"/>
      <c r="B36670" s="7"/>
      <c r="M36670" s="9" t="s">
        <v>22</v>
      </c>
    </row>
    <row r="36671" ht="15.75" customHeight="1">
      <c r="A36671" s="7"/>
      <c r="B36671" s="7"/>
      <c r="M36671" s="9" t="s">
        <v>27</v>
      </c>
    </row>
    <row r="36672" ht="15.75" customHeight="1">
      <c r="A36672" s="7"/>
      <c r="B36672" s="7"/>
      <c r="M36672" s="9" t="s">
        <v>33</v>
      </c>
    </row>
    <row r="36673" ht="15.75" customHeight="1">
      <c r="A36673" s="7"/>
      <c r="B36673" s="7"/>
      <c r="M36673" s="9" t="s">
        <v>26</v>
      </c>
    </row>
    <row r="36674" ht="15.75" customHeight="1">
      <c r="A36674" s="7"/>
      <c r="B36674" s="7"/>
      <c r="M36674" s="9" t="s">
        <v>30</v>
      </c>
    </row>
    <row r="36675" ht="15.75" customHeight="1">
      <c r="A36675" s="7"/>
      <c r="B36675" s="7"/>
      <c r="M36675" s="9" t="s">
        <v>25</v>
      </c>
    </row>
    <row r="36676" ht="15.75" customHeight="1">
      <c r="A36676" s="7"/>
      <c r="B36676" s="7"/>
      <c r="M36676" s="9" t="s">
        <v>23</v>
      </c>
    </row>
    <row r="36677" ht="15.75" customHeight="1">
      <c r="A36677" s="7"/>
      <c r="B36677" s="7"/>
      <c r="M36677" s="9" t="s">
        <v>36</v>
      </c>
    </row>
    <row r="36678" ht="15.75" customHeight="1">
      <c r="A36678" s="7"/>
      <c r="B36678" s="7"/>
      <c r="M36678" s="9" t="s">
        <v>24</v>
      </c>
    </row>
    <row r="36679" ht="15.75" customHeight="1">
      <c r="A36679" s="7"/>
      <c r="B36679" s="7"/>
      <c r="M36679" s="9" t="s">
        <v>21</v>
      </c>
    </row>
    <row r="36680" ht="15.75" customHeight="1">
      <c r="A36680" s="7"/>
      <c r="B36680" s="7"/>
      <c r="M36680" s="9" t="s">
        <v>37</v>
      </c>
    </row>
    <row r="36681" ht="15.75" customHeight="1">
      <c r="A36681" s="7"/>
      <c r="B36681" s="7"/>
      <c r="M36681" s="9" t="s">
        <v>22</v>
      </c>
    </row>
    <row r="36682" ht="15.75" customHeight="1">
      <c r="A36682" s="7"/>
      <c r="B36682" s="7"/>
      <c r="M36682" s="9" t="s">
        <v>29</v>
      </c>
    </row>
    <row r="36683" ht="15.75" customHeight="1">
      <c r="A36683" s="7"/>
      <c r="B36683" s="7"/>
      <c r="M36683" s="9" t="s">
        <v>32</v>
      </c>
    </row>
    <row r="36684" ht="15.75" customHeight="1">
      <c r="A36684" s="7"/>
      <c r="B36684" s="7"/>
      <c r="M36684" s="9" t="s">
        <v>27</v>
      </c>
    </row>
    <row r="36685" ht="15.75" customHeight="1">
      <c r="A36685" s="7"/>
      <c r="B36685" s="7"/>
      <c r="M36685" s="9" t="s">
        <v>35</v>
      </c>
    </row>
    <row r="36686" ht="15.75" customHeight="1">
      <c r="A36686" s="7"/>
      <c r="B36686" s="7"/>
      <c r="M36686" s="9" t="s">
        <v>30</v>
      </c>
    </row>
    <row r="36687" ht="15.75" customHeight="1">
      <c r="A36687" s="7"/>
      <c r="B36687" s="7"/>
      <c r="M36687" s="9" t="s">
        <v>24</v>
      </c>
    </row>
    <row r="36688" ht="15.75" customHeight="1">
      <c r="A36688" s="7"/>
      <c r="B36688" s="7"/>
      <c r="M36688" s="9" t="s">
        <v>27</v>
      </c>
    </row>
    <row r="36689" ht="15.75" customHeight="1">
      <c r="A36689" s="7"/>
      <c r="B36689" s="7"/>
      <c r="M36689" s="9" t="s">
        <v>28</v>
      </c>
    </row>
    <row r="36690" ht="15.75" customHeight="1">
      <c r="A36690" s="7"/>
      <c r="B36690" s="7"/>
      <c r="M36690" s="9" t="s">
        <v>30</v>
      </c>
    </row>
    <row r="36691" ht="15.75" customHeight="1">
      <c r="A36691" s="7"/>
      <c r="B36691" s="7"/>
      <c r="M36691" s="9" t="s">
        <v>31</v>
      </c>
    </row>
    <row r="36692" ht="15.75" customHeight="1">
      <c r="A36692" s="7"/>
      <c r="B36692" s="7"/>
      <c r="M36692" s="9" t="s">
        <v>27</v>
      </c>
    </row>
    <row r="36693" ht="15.75" customHeight="1">
      <c r="A36693" s="7"/>
      <c r="B36693" s="7"/>
      <c r="M36693" s="9" t="s">
        <v>21</v>
      </c>
    </row>
    <row r="36694" ht="15.75" customHeight="1">
      <c r="A36694" s="7"/>
      <c r="B36694" s="7"/>
      <c r="M36694" s="9" t="s">
        <v>41</v>
      </c>
    </row>
    <row r="36695" ht="15.75" customHeight="1">
      <c r="A36695" s="7"/>
      <c r="B36695" s="7"/>
      <c r="M36695" s="9" t="s">
        <v>27</v>
      </c>
    </row>
    <row r="36696" ht="15.75" customHeight="1">
      <c r="A36696" s="7"/>
      <c r="B36696" s="7"/>
      <c r="M36696" s="9" t="s">
        <v>40</v>
      </c>
    </row>
    <row r="36697" ht="15.75" customHeight="1">
      <c r="A36697" s="7"/>
      <c r="B36697" s="7"/>
      <c r="M36697" s="9" t="s">
        <v>30</v>
      </c>
    </row>
    <row r="36698" ht="15.75" customHeight="1">
      <c r="A36698" s="7"/>
      <c r="B36698" s="7"/>
      <c r="M36698" s="9" t="s">
        <v>25</v>
      </c>
    </row>
    <row r="36699" ht="15.75" customHeight="1">
      <c r="A36699" s="7"/>
      <c r="B36699" s="7"/>
      <c r="M36699" s="9" t="s">
        <v>23</v>
      </c>
    </row>
    <row r="36700" ht="15.75" customHeight="1">
      <c r="A36700" s="7"/>
      <c r="B36700" s="7"/>
      <c r="M36700" s="9" t="s">
        <v>26</v>
      </c>
    </row>
    <row r="36701" ht="15.75" customHeight="1">
      <c r="A36701" s="7"/>
      <c r="B36701" s="7"/>
      <c r="M36701" s="9" t="s">
        <v>24</v>
      </c>
    </row>
    <row r="36702" ht="15.75" customHeight="1">
      <c r="A36702" s="7"/>
      <c r="B36702" s="7"/>
      <c r="M36702" s="9" t="s">
        <v>21</v>
      </c>
    </row>
    <row r="36703" ht="15.75" customHeight="1">
      <c r="A36703" s="7"/>
      <c r="B36703" s="7"/>
      <c r="M36703" s="9" t="s">
        <v>33</v>
      </c>
    </row>
    <row r="36704" ht="15.75" customHeight="1">
      <c r="A36704" s="7"/>
      <c r="B36704" s="7"/>
      <c r="M36704" s="9" t="s">
        <v>25</v>
      </c>
    </row>
    <row r="36705" ht="15.75" customHeight="1">
      <c r="A36705" s="7"/>
      <c r="B36705" s="7"/>
      <c r="M36705" s="9" t="s">
        <v>24</v>
      </c>
    </row>
    <row r="36706" ht="15.75" customHeight="1">
      <c r="A36706" s="7"/>
      <c r="B36706" s="7"/>
      <c r="M36706" s="9" t="s">
        <v>20</v>
      </c>
    </row>
    <row r="36707" ht="15.75" customHeight="1">
      <c r="A36707" s="7"/>
      <c r="B36707" s="7"/>
      <c r="M36707" s="9" t="s">
        <v>21</v>
      </c>
    </row>
    <row r="36708" ht="15.75" customHeight="1">
      <c r="A36708" s="7"/>
      <c r="B36708" s="7"/>
      <c r="M36708" s="9" t="s">
        <v>37</v>
      </c>
    </row>
    <row r="36709" ht="15.75" customHeight="1">
      <c r="A36709" s="7"/>
      <c r="B36709" s="7"/>
      <c r="M36709" s="9" t="s">
        <v>22</v>
      </c>
    </row>
    <row r="36710" ht="15.75" customHeight="1">
      <c r="A36710" s="7"/>
      <c r="B36710" s="7"/>
      <c r="M36710" s="9" t="s">
        <v>29</v>
      </c>
    </row>
    <row r="36711" ht="15.75" customHeight="1">
      <c r="A36711" s="7"/>
      <c r="B36711" s="7"/>
      <c r="M36711" s="9" t="s">
        <v>31</v>
      </c>
    </row>
    <row r="36712" ht="15.75" customHeight="1">
      <c r="A36712" s="7"/>
      <c r="B36712" s="7"/>
      <c r="M36712" s="9" t="s">
        <v>33</v>
      </c>
    </row>
    <row r="36713" ht="15.75" customHeight="1">
      <c r="A36713" s="7"/>
      <c r="B36713" s="7"/>
      <c r="M36713" s="9" t="s">
        <v>23</v>
      </c>
    </row>
    <row r="36714" ht="15.75" customHeight="1">
      <c r="A36714" s="7"/>
      <c r="B36714" s="7"/>
      <c r="M36714" s="9" t="s">
        <v>24</v>
      </c>
    </row>
    <row r="36715" ht="15.75" customHeight="1">
      <c r="A36715" s="7"/>
      <c r="B36715" s="7"/>
      <c r="M36715" s="9" t="s">
        <v>20</v>
      </c>
    </row>
    <row r="36716" ht="15.75" customHeight="1">
      <c r="A36716" s="7"/>
      <c r="B36716" s="7"/>
      <c r="M36716" s="9" t="s">
        <v>21</v>
      </c>
    </row>
    <row r="36717" ht="15.75" customHeight="1">
      <c r="A36717" s="7"/>
      <c r="B36717" s="7"/>
      <c r="M36717" s="9" t="s">
        <v>39</v>
      </c>
    </row>
    <row r="36718" ht="15.75" customHeight="1">
      <c r="A36718" s="7"/>
      <c r="B36718" s="7"/>
      <c r="M36718" s="9" t="s">
        <v>37</v>
      </c>
    </row>
    <row r="36719" ht="15.75" customHeight="1">
      <c r="A36719" s="7"/>
      <c r="B36719" s="7"/>
      <c r="M36719" s="9" t="s">
        <v>22</v>
      </c>
    </row>
    <row r="36720" ht="15.75" customHeight="1">
      <c r="A36720" s="7"/>
      <c r="B36720" s="7"/>
      <c r="M36720" s="9" t="s">
        <v>27</v>
      </c>
    </row>
    <row r="36721" ht="15.75" customHeight="1">
      <c r="A36721" s="7"/>
      <c r="B36721" s="7"/>
      <c r="M36721" s="9" t="s">
        <v>24</v>
      </c>
    </row>
    <row r="36722" ht="15.75" customHeight="1">
      <c r="A36722" s="7"/>
      <c r="B36722" s="7"/>
      <c r="M36722" s="9" t="s">
        <v>20</v>
      </c>
    </row>
    <row r="36723" ht="15.75" customHeight="1">
      <c r="A36723" s="7"/>
      <c r="B36723" s="7"/>
      <c r="M36723" s="9" t="s">
        <v>21</v>
      </c>
    </row>
    <row r="36724" ht="15.75" customHeight="1">
      <c r="A36724" s="7"/>
      <c r="B36724" s="7"/>
      <c r="M36724" s="9" t="s">
        <v>27</v>
      </c>
    </row>
    <row r="36725" ht="15.75" customHeight="1">
      <c r="A36725" s="7"/>
      <c r="B36725" s="7"/>
      <c r="M36725" s="9" t="s">
        <v>33</v>
      </c>
    </row>
    <row r="36726" ht="15.75" customHeight="1">
      <c r="A36726" s="7"/>
      <c r="B36726" s="7"/>
      <c r="M36726" s="9" t="s">
        <v>27</v>
      </c>
    </row>
    <row r="36727" ht="15.75" customHeight="1">
      <c r="A36727" s="7"/>
      <c r="B36727" s="7"/>
      <c r="M36727" s="9" t="s">
        <v>35</v>
      </c>
    </row>
    <row r="36728" ht="15.75" customHeight="1">
      <c r="A36728" s="7"/>
      <c r="B36728" s="7"/>
      <c r="M36728" s="9" t="s">
        <v>25</v>
      </c>
    </row>
    <row r="36729" ht="15.75" customHeight="1">
      <c r="A36729" s="7"/>
      <c r="B36729" s="7"/>
      <c r="M36729" s="9" t="s">
        <v>23</v>
      </c>
    </row>
    <row r="36730" ht="15.75" customHeight="1">
      <c r="A36730" s="7"/>
      <c r="B36730" s="7"/>
      <c r="M36730" s="9" t="s">
        <v>41</v>
      </c>
    </row>
    <row r="36731" ht="15.75" customHeight="1">
      <c r="A36731" s="7"/>
      <c r="B36731" s="7"/>
      <c r="M36731" s="9" t="s">
        <v>24</v>
      </c>
    </row>
    <row r="36732" ht="15.75" customHeight="1">
      <c r="A36732" s="7"/>
      <c r="B36732" s="7"/>
      <c r="M36732" s="9" t="s">
        <v>21</v>
      </c>
    </row>
    <row r="36733" ht="15.75" customHeight="1">
      <c r="A36733" s="7"/>
      <c r="B36733" s="7"/>
      <c r="M36733" s="9" t="s">
        <v>37</v>
      </c>
    </row>
    <row r="36734" ht="15.75" customHeight="1">
      <c r="A36734" s="7"/>
      <c r="B36734" s="7"/>
      <c r="M36734" s="9" t="s">
        <v>27</v>
      </c>
    </row>
    <row r="36735" ht="15.75" customHeight="1">
      <c r="A36735" s="7"/>
      <c r="B36735" s="7"/>
      <c r="M36735" s="9" t="s">
        <v>38</v>
      </c>
    </row>
    <row r="36736" ht="15.75" customHeight="1">
      <c r="A36736" s="7"/>
      <c r="B36736" s="7"/>
      <c r="M36736" s="9" t="s">
        <v>25</v>
      </c>
    </row>
    <row r="36737" ht="15.75" customHeight="1">
      <c r="A36737" s="7"/>
      <c r="B36737" s="7"/>
      <c r="M36737" s="9" t="s">
        <v>44</v>
      </c>
    </row>
    <row r="36738" ht="15.75" customHeight="1">
      <c r="A36738" s="7"/>
      <c r="B36738" s="7"/>
      <c r="M36738" s="9" t="s">
        <v>43</v>
      </c>
    </row>
    <row r="36739" ht="15.75" customHeight="1">
      <c r="A36739" s="7"/>
      <c r="B36739" s="7"/>
      <c r="M36739" s="9" t="s">
        <v>20</v>
      </c>
    </row>
    <row r="36740" ht="15.75" customHeight="1">
      <c r="A36740" s="7"/>
      <c r="B36740" s="7"/>
      <c r="M36740" s="9" t="s">
        <v>29</v>
      </c>
    </row>
    <row r="36741" ht="15.75" customHeight="1">
      <c r="A36741" s="7"/>
      <c r="B36741" s="7"/>
      <c r="M36741" s="9" t="s">
        <v>31</v>
      </c>
    </row>
    <row r="36742" ht="15.75" customHeight="1">
      <c r="A36742" s="7"/>
      <c r="B36742" s="7"/>
      <c r="M36742" s="9" t="s">
        <v>32</v>
      </c>
    </row>
    <row r="36743" ht="15.75" customHeight="1">
      <c r="A36743" s="7"/>
      <c r="B36743" s="7"/>
      <c r="M36743" s="9" t="s">
        <v>34</v>
      </c>
    </row>
    <row r="36744" ht="15.75" customHeight="1">
      <c r="A36744" s="7"/>
      <c r="B36744" s="7"/>
      <c r="M36744" s="9" t="s">
        <v>35</v>
      </c>
    </row>
    <row r="36745" ht="15.75" customHeight="1">
      <c r="A36745" s="7"/>
      <c r="B36745" s="7"/>
      <c r="M36745" s="9" t="s">
        <v>23</v>
      </c>
    </row>
    <row r="36746" ht="15.75" customHeight="1">
      <c r="A36746" s="7"/>
      <c r="B36746" s="7"/>
      <c r="M36746" s="9" t="s">
        <v>26</v>
      </c>
    </row>
    <row r="36747" ht="15.75" customHeight="1">
      <c r="A36747" s="7"/>
      <c r="B36747" s="7"/>
      <c r="M36747" s="9" t="s">
        <v>36</v>
      </c>
    </row>
    <row r="36748" ht="15.75" customHeight="1">
      <c r="A36748" s="7"/>
      <c r="B36748" s="7"/>
      <c r="M36748" s="9" t="s">
        <v>24</v>
      </c>
    </row>
    <row r="36749" ht="15.75" customHeight="1">
      <c r="A36749" s="7"/>
      <c r="B36749" s="7"/>
      <c r="M36749" s="9" t="s">
        <v>21</v>
      </c>
    </row>
    <row r="36750" ht="15.75" customHeight="1">
      <c r="A36750" s="7"/>
      <c r="B36750" s="7"/>
      <c r="M36750" s="9" t="s">
        <v>33</v>
      </c>
    </row>
    <row r="36751" ht="15.75" customHeight="1">
      <c r="A36751" s="7"/>
      <c r="B36751" s="7"/>
      <c r="M36751" s="9" t="s">
        <v>24</v>
      </c>
    </row>
    <row r="36752" ht="15.75" customHeight="1">
      <c r="A36752" s="7"/>
      <c r="B36752" s="7"/>
      <c r="M36752" s="9" t="s">
        <v>20</v>
      </c>
    </row>
    <row r="36753" ht="15.75" customHeight="1">
      <c r="A36753" s="7"/>
      <c r="B36753" s="7"/>
      <c r="M36753" s="9" t="s">
        <v>21</v>
      </c>
    </row>
    <row r="36754" ht="15.75" customHeight="1">
      <c r="A36754" s="7"/>
      <c r="B36754" s="7"/>
      <c r="M36754" s="9" t="s">
        <v>27</v>
      </c>
    </row>
    <row r="36755" ht="15.75" customHeight="1">
      <c r="A36755" s="7"/>
      <c r="B36755" s="7"/>
      <c r="M36755" s="9" t="s">
        <v>35</v>
      </c>
    </row>
    <row r="36756" ht="15.75" customHeight="1">
      <c r="A36756" s="7"/>
      <c r="B36756" s="7"/>
      <c r="M36756" s="9" t="s">
        <v>24</v>
      </c>
    </row>
    <row r="36757" ht="15.75" customHeight="1">
      <c r="A36757" s="7"/>
      <c r="B36757" s="7"/>
      <c r="M36757" s="9" t="s">
        <v>21</v>
      </c>
    </row>
    <row r="36758" ht="15.75" customHeight="1">
      <c r="A36758" s="7"/>
      <c r="B36758" s="7"/>
      <c r="M36758" s="9" t="s">
        <v>20</v>
      </c>
    </row>
    <row r="36759" ht="15.75" customHeight="1">
      <c r="A36759" s="7"/>
      <c r="B36759" s="7"/>
      <c r="M36759" s="9" t="s">
        <v>20</v>
      </c>
    </row>
    <row r="36760" ht="15.75" customHeight="1">
      <c r="A36760" s="7"/>
      <c r="B36760" s="7"/>
      <c r="M36760" s="9" t="s">
        <v>27</v>
      </c>
    </row>
    <row r="36761" ht="15.75" customHeight="1">
      <c r="A36761" s="7"/>
      <c r="B36761" s="7"/>
      <c r="M36761" s="9" t="s">
        <v>20</v>
      </c>
    </row>
    <row r="36762" ht="15.75" customHeight="1">
      <c r="A36762" s="7"/>
      <c r="B36762" s="7"/>
      <c r="M36762" s="9" t="s">
        <v>22</v>
      </c>
    </row>
    <row r="36763" ht="15.75" customHeight="1">
      <c r="A36763" s="7"/>
      <c r="B36763" s="7"/>
      <c r="M36763" s="9" t="s">
        <v>35</v>
      </c>
    </row>
    <row r="36764" ht="15.75" customHeight="1">
      <c r="A36764" s="7"/>
      <c r="B36764" s="7"/>
      <c r="M36764" s="9" t="s">
        <v>24</v>
      </c>
    </row>
    <row r="36765" ht="15.75" customHeight="1">
      <c r="A36765" s="7"/>
      <c r="B36765" s="7"/>
      <c r="M36765" s="9" t="s">
        <v>20</v>
      </c>
    </row>
    <row r="36766" ht="15.75" customHeight="1">
      <c r="A36766" s="7"/>
      <c r="B36766" s="7"/>
      <c r="M36766" s="9" t="s">
        <v>21</v>
      </c>
    </row>
    <row r="36767" ht="15.75" customHeight="1">
      <c r="A36767" s="7"/>
      <c r="B36767" s="7"/>
      <c r="M36767" s="9" t="s">
        <v>37</v>
      </c>
    </row>
    <row r="36768" ht="15.75" customHeight="1">
      <c r="A36768" s="7"/>
      <c r="B36768" s="7"/>
      <c r="M36768" s="9" t="s">
        <v>27</v>
      </c>
    </row>
    <row r="36769" ht="15.75" customHeight="1">
      <c r="A36769" s="7"/>
      <c r="B36769" s="7"/>
      <c r="M36769" s="9" t="s">
        <v>26</v>
      </c>
    </row>
    <row r="36770" ht="15.75" customHeight="1">
      <c r="A36770" s="7"/>
      <c r="B36770" s="7"/>
      <c r="M36770" s="9" t="s">
        <v>24</v>
      </c>
    </row>
    <row r="36771" ht="15.75" customHeight="1">
      <c r="A36771" s="7"/>
      <c r="B36771" s="7"/>
      <c r="M36771" s="9" t="s">
        <v>21</v>
      </c>
    </row>
    <row r="36772" ht="15.75" customHeight="1">
      <c r="A36772" s="7"/>
      <c r="B36772" s="7"/>
      <c r="M36772" s="9" t="s">
        <v>37</v>
      </c>
    </row>
    <row r="36773" ht="15.75" customHeight="1">
      <c r="A36773" s="7"/>
      <c r="B36773" s="7"/>
      <c r="M36773" s="9" t="s">
        <v>27</v>
      </c>
    </row>
    <row r="36774" ht="15.75" customHeight="1">
      <c r="A36774" s="7"/>
      <c r="B36774" s="7"/>
      <c r="M36774" s="9" t="s">
        <v>33</v>
      </c>
    </row>
    <row r="36775" ht="15.75" customHeight="1">
      <c r="A36775" s="7"/>
      <c r="B36775" s="7"/>
      <c r="M36775" s="9" t="s">
        <v>30</v>
      </c>
    </row>
    <row r="36776" ht="15.75" customHeight="1">
      <c r="A36776" s="7"/>
      <c r="B36776" s="7"/>
      <c r="M36776" s="9" t="s">
        <v>23</v>
      </c>
    </row>
    <row r="36777" ht="15.75" customHeight="1">
      <c r="A36777" s="7"/>
      <c r="B36777" s="7"/>
      <c r="M36777" s="9" t="s">
        <v>24</v>
      </c>
    </row>
    <row r="36778" ht="15.75" customHeight="1">
      <c r="A36778" s="7"/>
      <c r="B36778" s="7"/>
      <c r="M36778" s="9" t="s">
        <v>21</v>
      </c>
    </row>
    <row r="36779" ht="15.75" customHeight="1">
      <c r="A36779" s="7"/>
      <c r="B36779" s="7"/>
      <c r="M36779" s="9" t="s">
        <v>22</v>
      </c>
    </row>
    <row r="36780" ht="15.75" customHeight="1">
      <c r="A36780" s="7"/>
      <c r="B36780" s="7"/>
      <c r="M36780" s="9" t="s">
        <v>27</v>
      </c>
    </row>
    <row r="36781" ht="15.75" customHeight="1">
      <c r="A36781" s="7"/>
      <c r="B36781" s="7"/>
      <c r="M36781" s="9" t="s">
        <v>24</v>
      </c>
    </row>
    <row r="36782" ht="15.75" customHeight="1">
      <c r="A36782" s="7"/>
      <c r="B36782" s="7"/>
      <c r="M36782" s="9" t="s">
        <v>21</v>
      </c>
    </row>
    <row r="36783" ht="15.75" customHeight="1">
      <c r="A36783" s="7"/>
      <c r="B36783" s="7"/>
      <c r="M36783" s="9" t="s">
        <v>22</v>
      </c>
    </row>
    <row r="36784" ht="15.75" customHeight="1">
      <c r="A36784" s="7"/>
      <c r="B36784" s="7"/>
      <c r="M36784" s="9" t="s">
        <v>29</v>
      </c>
    </row>
    <row r="36785" ht="15.75" customHeight="1">
      <c r="A36785" s="7"/>
      <c r="B36785" s="7"/>
      <c r="M36785" s="9" t="s">
        <v>27</v>
      </c>
    </row>
    <row r="36786" ht="15.75" customHeight="1">
      <c r="A36786" s="7"/>
      <c r="B36786" s="7"/>
      <c r="M36786" s="9" t="s">
        <v>28</v>
      </c>
    </row>
    <row r="36787" ht="15.75" customHeight="1">
      <c r="A36787" s="7"/>
      <c r="B36787" s="7"/>
      <c r="M36787" s="9" t="s">
        <v>24</v>
      </c>
    </row>
    <row r="36788" ht="15.75" customHeight="1">
      <c r="A36788" s="7"/>
      <c r="B36788" s="7"/>
      <c r="M36788" s="9" t="s">
        <v>21</v>
      </c>
    </row>
    <row r="36789" ht="15.75" customHeight="1">
      <c r="A36789" s="7"/>
      <c r="B36789" s="7"/>
      <c r="M36789" s="9" t="s">
        <v>22</v>
      </c>
    </row>
    <row r="36790" ht="15.75" customHeight="1">
      <c r="A36790" s="7"/>
      <c r="B36790" s="7"/>
      <c r="M36790" s="9" t="s">
        <v>29</v>
      </c>
    </row>
    <row r="36791" ht="15.75" customHeight="1">
      <c r="A36791" s="7"/>
      <c r="B36791" s="7"/>
      <c r="M36791" s="9" t="s">
        <v>30</v>
      </c>
    </row>
    <row r="36792" ht="15.75" customHeight="1">
      <c r="A36792" s="7"/>
      <c r="B36792" s="7"/>
      <c r="M36792" s="9" t="s">
        <v>25</v>
      </c>
    </row>
    <row r="36793" ht="15.75" customHeight="1">
      <c r="A36793" s="7"/>
      <c r="B36793" s="7"/>
      <c r="M36793" s="9" t="s">
        <v>24</v>
      </c>
    </row>
    <row r="36794" ht="15.75" customHeight="1">
      <c r="A36794" s="7"/>
      <c r="B36794" s="7"/>
      <c r="M36794" s="9" t="s">
        <v>20</v>
      </c>
    </row>
    <row r="36795" ht="15.75" customHeight="1">
      <c r="A36795" s="7"/>
      <c r="B36795" s="7"/>
      <c r="M36795" s="9" t="s">
        <v>21</v>
      </c>
    </row>
    <row r="36796" ht="15.75" customHeight="1">
      <c r="A36796" s="7"/>
      <c r="B36796" s="7"/>
      <c r="M36796" s="9" t="s">
        <v>37</v>
      </c>
    </row>
    <row r="36797" ht="15.75" customHeight="1">
      <c r="A36797" s="7"/>
      <c r="B36797" s="7"/>
      <c r="M36797" s="9" t="s">
        <v>27</v>
      </c>
    </row>
    <row r="36798" ht="15.75" customHeight="1">
      <c r="A36798" s="7"/>
      <c r="B36798" s="7"/>
      <c r="M36798" s="9" t="s">
        <v>35</v>
      </c>
    </row>
    <row r="36799" ht="15.75" customHeight="1">
      <c r="A36799" s="7"/>
      <c r="B36799" s="7"/>
      <c r="M36799" s="9" t="s">
        <v>30</v>
      </c>
    </row>
    <row r="36800" ht="15.75" customHeight="1">
      <c r="A36800" s="7"/>
      <c r="B36800" s="7"/>
      <c r="M36800" s="9" t="s">
        <v>24</v>
      </c>
    </row>
    <row r="36801" ht="15.75" customHeight="1">
      <c r="A36801" s="7"/>
      <c r="B36801" s="7"/>
      <c r="M36801" s="9" t="s">
        <v>21</v>
      </c>
    </row>
    <row r="36802" ht="15.75" customHeight="1">
      <c r="A36802" s="7"/>
      <c r="B36802" s="7"/>
      <c r="M36802" s="9" t="s">
        <v>37</v>
      </c>
    </row>
    <row r="36803" ht="15.75" customHeight="1">
      <c r="A36803" s="7"/>
      <c r="B36803" s="7"/>
      <c r="M36803" s="9" t="s">
        <v>22</v>
      </c>
    </row>
    <row r="36804" ht="15.75" customHeight="1">
      <c r="A36804" s="7"/>
      <c r="B36804" s="7"/>
      <c r="M36804" s="9" t="s">
        <v>27</v>
      </c>
    </row>
    <row r="36805" ht="15.75" customHeight="1">
      <c r="A36805" s="7"/>
      <c r="B36805" s="7"/>
      <c r="M36805" s="9" t="s">
        <v>35</v>
      </c>
    </row>
    <row r="36806" ht="15.75" customHeight="1">
      <c r="A36806" s="7"/>
      <c r="B36806" s="7"/>
      <c r="M36806" s="9" t="s">
        <v>26</v>
      </c>
    </row>
    <row r="36807" ht="15.75" customHeight="1">
      <c r="A36807" s="7"/>
      <c r="B36807" s="7"/>
      <c r="M36807" s="9" t="s">
        <v>24</v>
      </c>
    </row>
    <row r="36808" ht="15.75" customHeight="1">
      <c r="A36808" s="7"/>
      <c r="B36808" s="7"/>
      <c r="M36808" s="9" t="s">
        <v>21</v>
      </c>
    </row>
    <row r="36809" ht="15.75" customHeight="1">
      <c r="A36809" s="7"/>
      <c r="B36809" s="7"/>
      <c r="M36809" s="9" t="s">
        <v>27</v>
      </c>
    </row>
    <row r="36810" ht="15.75" customHeight="1">
      <c r="A36810" s="7"/>
      <c r="B36810" s="7"/>
      <c r="M36810" s="9" t="s">
        <v>30</v>
      </c>
    </row>
    <row r="36811" ht="15.75" customHeight="1">
      <c r="A36811" s="7"/>
      <c r="B36811" s="7"/>
      <c r="M36811" s="9" t="s">
        <v>23</v>
      </c>
    </row>
    <row r="36812" ht="15.75" customHeight="1">
      <c r="A36812" s="7"/>
      <c r="B36812" s="7"/>
      <c r="M36812" s="9" t="s">
        <v>26</v>
      </c>
    </row>
    <row r="36813" ht="15.75" customHeight="1">
      <c r="A36813" s="7"/>
      <c r="B36813" s="7"/>
      <c r="M36813" s="9" t="s">
        <v>24</v>
      </c>
    </row>
    <row r="36814" ht="15.75" customHeight="1">
      <c r="A36814" s="7"/>
      <c r="B36814" s="7"/>
      <c r="M36814" s="9" t="s">
        <v>21</v>
      </c>
    </row>
    <row r="36815" ht="15.75" customHeight="1">
      <c r="A36815" s="7"/>
      <c r="B36815" s="7"/>
      <c r="M36815" s="9" t="s">
        <v>37</v>
      </c>
    </row>
    <row r="36816" ht="15.75" customHeight="1">
      <c r="A36816" s="7"/>
      <c r="B36816" s="7"/>
      <c r="M36816" s="9" t="s">
        <v>29</v>
      </c>
    </row>
    <row r="36817" ht="15.75" customHeight="1">
      <c r="A36817" s="7"/>
      <c r="B36817" s="7"/>
      <c r="M36817" s="9" t="s">
        <v>27</v>
      </c>
    </row>
    <row r="36818" ht="15.75" customHeight="1">
      <c r="A36818" s="7"/>
      <c r="B36818" s="7"/>
      <c r="M36818" s="9" t="s">
        <v>26</v>
      </c>
    </row>
    <row r="36819" ht="15.75" customHeight="1">
      <c r="A36819" s="7"/>
      <c r="B36819" s="7"/>
      <c r="M36819" s="9" t="s">
        <v>24</v>
      </c>
    </row>
    <row r="36820" ht="15.75" customHeight="1">
      <c r="A36820" s="7"/>
      <c r="B36820" s="7"/>
      <c r="M36820" s="9" t="s">
        <v>21</v>
      </c>
    </row>
    <row r="36821" ht="15.75" customHeight="1">
      <c r="A36821" s="7"/>
      <c r="B36821" s="7"/>
      <c r="M36821" s="9" t="s">
        <v>27</v>
      </c>
    </row>
    <row r="36822" ht="15.75" customHeight="1">
      <c r="A36822" s="7"/>
      <c r="B36822" s="7"/>
      <c r="M36822" s="9" t="s">
        <v>30</v>
      </c>
    </row>
    <row r="36823" ht="15.75" customHeight="1">
      <c r="A36823" s="7"/>
      <c r="B36823" s="7"/>
      <c r="M36823" s="9" t="s">
        <v>25</v>
      </c>
    </row>
    <row r="36824" ht="15.75" customHeight="1">
      <c r="A36824" s="7"/>
      <c r="B36824" s="7"/>
      <c r="M36824" s="9" t="s">
        <v>23</v>
      </c>
    </row>
    <row r="36825" ht="15.75" customHeight="1">
      <c r="A36825" s="7"/>
      <c r="B36825" s="7"/>
      <c r="M36825" s="9" t="s">
        <v>29</v>
      </c>
    </row>
    <row r="36826" ht="15.75" customHeight="1">
      <c r="A36826" s="7"/>
      <c r="B36826" s="7"/>
      <c r="M36826" s="9" t="s">
        <v>27</v>
      </c>
    </row>
    <row r="36827" ht="15.75" customHeight="1">
      <c r="A36827" s="7"/>
      <c r="B36827" s="7"/>
      <c r="M36827" s="9" t="s">
        <v>30</v>
      </c>
    </row>
    <row r="36828" ht="15.75" customHeight="1">
      <c r="A36828" s="7"/>
      <c r="B36828" s="7"/>
      <c r="M36828" s="9" t="s">
        <v>36</v>
      </c>
    </row>
    <row r="36829" ht="15.75" customHeight="1">
      <c r="A36829" s="7"/>
      <c r="B36829" s="7"/>
      <c r="M36829" s="9" t="s">
        <v>20</v>
      </c>
    </row>
    <row r="36830" ht="15.75" customHeight="1">
      <c r="A36830" s="7"/>
      <c r="B36830" s="7"/>
      <c r="M36830" s="9" t="s">
        <v>22</v>
      </c>
    </row>
    <row r="36831" ht="15.75" customHeight="1">
      <c r="A36831" s="7"/>
      <c r="B36831" s="7"/>
      <c r="M36831" s="9" t="s">
        <v>29</v>
      </c>
    </row>
    <row r="36832" ht="15.75" customHeight="1">
      <c r="A36832" s="7"/>
      <c r="B36832" s="7"/>
      <c r="M36832" s="9" t="s">
        <v>46</v>
      </c>
    </row>
    <row r="36833" ht="15.75" customHeight="1">
      <c r="A36833" s="7"/>
      <c r="B36833" s="7"/>
      <c r="M36833" s="9" t="s">
        <v>27</v>
      </c>
    </row>
    <row r="36834" ht="15.75" customHeight="1">
      <c r="A36834" s="7"/>
      <c r="B36834" s="7"/>
      <c r="M36834" s="9" t="s">
        <v>28</v>
      </c>
    </row>
    <row r="36835" ht="15.75" customHeight="1">
      <c r="A36835" s="7"/>
      <c r="B36835" s="7"/>
      <c r="M36835" s="9" t="s">
        <v>30</v>
      </c>
    </row>
    <row r="36836" ht="15.75" customHeight="1">
      <c r="A36836" s="7"/>
      <c r="B36836" s="7"/>
      <c r="M36836" s="9" t="s">
        <v>25</v>
      </c>
    </row>
    <row r="36837" ht="15.75" customHeight="1">
      <c r="A36837" s="7"/>
      <c r="B36837" s="7"/>
      <c r="M36837" s="9" t="s">
        <v>23</v>
      </c>
    </row>
    <row r="36838" ht="15.75" customHeight="1">
      <c r="A36838" s="7"/>
      <c r="B36838" s="7"/>
      <c r="M36838" s="9" t="s">
        <v>26</v>
      </c>
    </row>
    <row r="36839" ht="15.75" customHeight="1">
      <c r="A36839" s="7"/>
      <c r="B36839" s="7"/>
      <c r="M36839" s="9" t="s">
        <v>24</v>
      </c>
    </row>
    <row r="36840" ht="15.75" customHeight="1">
      <c r="A36840" s="7"/>
      <c r="B36840" s="7"/>
      <c r="M36840" s="9" t="s">
        <v>20</v>
      </c>
    </row>
    <row r="36841" ht="15.75" customHeight="1">
      <c r="A36841" s="7"/>
      <c r="B36841" s="7"/>
      <c r="M36841" s="9" t="s">
        <v>21</v>
      </c>
    </row>
    <row r="36842" ht="15.75" customHeight="1">
      <c r="A36842" s="7"/>
      <c r="B36842" s="7"/>
      <c r="M36842" s="9" t="s">
        <v>41</v>
      </c>
    </row>
    <row r="36843" ht="15.75" customHeight="1">
      <c r="A36843" s="7"/>
      <c r="B36843" s="7"/>
      <c r="M36843" s="9" t="s">
        <v>22</v>
      </c>
    </row>
    <row r="36844" ht="15.75" customHeight="1">
      <c r="A36844" s="7"/>
      <c r="B36844" s="7"/>
      <c r="M36844" s="9" t="s">
        <v>27</v>
      </c>
    </row>
    <row r="36845" ht="15.75" customHeight="1">
      <c r="A36845" s="7"/>
      <c r="B36845" s="7"/>
      <c r="M36845" s="9" t="s">
        <v>24</v>
      </c>
    </row>
    <row r="36846" ht="15.75" customHeight="1">
      <c r="A36846" s="7"/>
      <c r="B36846" s="7"/>
      <c r="M36846" s="9" t="s">
        <v>21</v>
      </c>
    </row>
    <row r="36847" ht="15.75" customHeight="1">
      <c r="A36847" s="7"/>
      <c r="B36847" s="7"/>
      <c r="M36847" s="9" t="s">
        <v>31</v>
      </c>
    </row>
    <row r="36848" ht="15.75" customHeight="1">
      <c r="A36848" s="7"/>
      <c r="B36848" s="7"/>
      <c r="M36848" s="9" t="s">
        <v>27</v>
      </c>
    </row>
    <row r="36849" ht="15.75" customHeight="1">
      <c r="A36849" s="7"/>
      <c r="B36849" s="7"/>
      <c r="M36849" s="9" t="s">
        <v>26</v>
      </c>
    </row>
    <row r="36850" ht="15.75" customHeight="1">
      <c r="A36850" s="7"/>
      <c r="B36850" s="7"/>
      <c r="M36850" s="9" t="s">
        <v>24</v>
      </c>
    </row>
    <row r="36851" ht="15.75" customHeight="1">
      <c r="A36851" s="7"/>
      <c r="B36851" s="7"/>
      <c r="M36851" s="9" t="s">
        <v>21</v>
      </c>
    </row>
    <row r="36852" ht="15.75" customHeight="1">
      <c r="A36852" s="7"/>
      <c r="B36852" s="7"/>
      <c r="M36852" s="9" t="s">
        <v>22</v>
      </c>
    </row>
    <row r="36853" ht="15.75" customHeight="1">
      <c r="A36853" s="7"/>
      <c r="B36853" s="7"/>
      <c r="M36853" s="9" t="s">
        <v>27</v>
      </c>
    </row>
    <row r="36854" ht="15.75" customHeight="1">
      <c r="A36854" s="7"/>
      <c r="B36854" s="7"/>
      <c r="M36854" s="9" t="s">
        <v>33</v>
      </c>
    </row>
    <row r="36855" ht="15.75" customHeight="1">
      <c r="A36855" s="7"/>
      <c r="B36855" s="7"/>
      <c r="M36855" s="9" t="s">
        <v>24</v>
      </c>
    </row>
    <row r="36856" ht="15.75" customHeight="1">
      <c r="A36856" s="7"/>
      <c r="B36856" s="7"/>
      <c r="M36856" s="9" t="s">
        <v>20</v>
      </c>
    </row>
    <row r="36857" ht="15.75" customHeight="1">
      <c r="A36857" s="7"/>
      <c r="B36857" s="7"/>
      <c r="M36857" s="9" t="s">
        <v>39</v>
      </c>
    </row>
    <row r="36858" ht="15.75" customHeight="1">
      <c r="A36858" s="7"/>
      <c r="B36858" s="7"/>
      <c r="M36858" s="9" t="s">
        <v>30</v>
      </c>
    </row>
    <row r="36859" ht="15.75" customHeight="1">
      <c r="A36859" s="7"/>
      <c r="B36859" s="7"/>
      <c r="M36859" s="9" t="s">
        <v>26</v>
      </c>
    </row>
    <row r="36860" ht="15.75" customHeight="1">
      <c r="A36860" s="7"/>
      <c r="B36860" s="7"/>
      <c r="M36860" s="9" t="s">
        <v>47</v>
      </c>
    </row>
    <row r="36861" ht="15.75" customHeight="1">
      <c r="A36861" s="7"/>
      <c r="B36861" s="7"/>
      <c r="M36861" s="9" t="s">
        <v>24</v>
      </c>
    </row>
    <row r="36862" ht="15.75" customHeight="1">
      <c r="A36862" s="7"/>
      <c r="B36862" s="7"/>
      <c r="M36862" s="9" t="s">
        <v>22</v>
      </c>
    </row>
    <row r="36863" ht="15.75" customHeight="1">
      <c r="A36863" s="7"/>
      <c r="B36863" s="7"/>
      <c r="M36863" s="9" t="s">
        <v>27</v>
      </c>
    </row>
    <row r="36864" ht="15.75" customHeight="1">
      <c r="A36864" s="7"/>
      <c r="B36864" s="7"/>
      <c r="M36864" s="9" t="s">
        <v>33</v>
      </c>
    </row>
    <row r="36865" ht="15.75" customHeight="1">
      <c r="A36865" s="7"/>
      <c r="B36865" s="7"/>
      <c r="M36865" s="9" t="s">
        <v>35</v>
      </c>
    </row>
    <row r="36866" ht="15.75" customHeight="1">
      <c r="A36866" s="7"/>
      <c r="B36866" s="7"/>
      <c r="M36866" s="9" t="s">
        <v>24</v>
      </c>
    </row>
    <row r="36867" ht="15.75" customHeight="1">
      <c r="A36867" s="7"/>
      <c r="B36867" s="7"/>
      <c r="M36867" s="9" t="s">
        <v>20</v>
      </c>
    </row>
    <row r="36868" ht="15.75" customHeight="1">
      <c r="A36868" s="7"/>
      <c r="B36868" s="7"/>
      <c r="M36868" s="9" t="s">
        <v>21</v>
      </c>
    </row>
    <row r="36869" ht="15.75" customHeight="1">
      <c r="A36869" s="7"/>
      <c r="B36869" s="7"/>
      <c r="M36869" s="9" t="s">
        <v>25</v>
      </c>
    </row>
    <row r="36870" ht="15.75" customHeight="1">
      <c r="A36870" s="7"/>
      <c r="B36870" s="7"/>
      <c r="M36870" s="9" t="s">
        <v>26</v>
      </c>
    </row>
    <row r="36871" ht="15.75" customHeight="1">
      <c r="A36871" s="7"/>
      <c r="B36871" s="7"/>
      <c r="M36871" s="9" t="s">
        <v>21</v>
      </c>
    </row>
    <row r="36872" ht="15.75" customHeight="1">
      <c r="A36872" s="7"/>
      <c r="B36872" s="7"/>
      <c r="M36872" s="9" t="s">
        <v>28</v>
      </c>
    </row>
    <row r="36873" ht="15.75" customHeight="1">
      <c r="A36873" s="7"/>
      <c r="B36873" s="7"/>
      <c r="M36873" s="9" t="s">
        <v>20</v>
      </c>
    </row>
    <row r="36874" ht="15.75" customHeight="1">
      <c r="A36874" s="7"/>
      <c r="B36874" s="7"/>
      <c r="M36874" s="9" t="s">
        <v>21</v>
      </c>
    </row>
    <row r="36875" ht="15.75" customHeight="1">
      <c r="A36875" s="7"/>
      <c r="B36875" s="7"/>
      <c r="M36875" s="9" t="s">
        <v>27</v>
      </c>
    </row>
    <row r="36876" ht="15.75" customHeight="1">
      <c r="A36876" s="7"/>
      <c r="B36876" s="7"/>
      <c r="M36876" s="9" t="s">
        <v>26</v>
      </c>
    </row>
    <row r="36877" ht="15.75" customHeight="1">
      <c r="A36877" s="7"/>
      <c r="B36877" s="7"/>
      <c r="M36877" s="9" t="s">
        <v>25</v>
      </c>
    </row>
    <row r="36878" ht="15.75" customHeight="1">
      <c r="A36878" s="7"/>
      <c r="B36878" s="7"/>
      <c r="M36878" s="9" t="s">
        <v>23</v>
      </c>
    </row>
    <row r="36879" ht="15.75" customHeight="1">
      <c r="A36879" s="7"/>
      <c r="B36879" s="7"/>
      <c r="M36879" s="9" t="s">
        <v>36</v>
      </c>
    </row>
    <row r="36880" ht="15.75" customHeight="1">
      <c r="A36880" s="7"/>
      <c r="B36880" s="7"/>
      <c r="M36880" s="9" t="s">
        <v>24</v>
      </c>
    </row>
    <row r="36881" ht="15.75" customHeight="1">
      <c r="A36881" s="7"/>
      <c r="B36881" s="7"/>
      <c r="M36881" s="9" t="s">
        <v>20</v>
      </c>
    </row>
    <row r="36882" ht="15.75" customHeight="1">
      <c r="A36882" s="7"/>
      <c r="B36882" s="7"/>
      <c r="M36882" s="9" t="s">
        <v>22</v>
      </c>
    </row>
    <row r="36883" ht="15.75" customHeight="1">
      <c r="A36883" s="7"/>
      <c r="B36883" s="7"/>
      <c r="M36883" s="9" t="s">
        <v>26</v>
      </c>
    </row>
    <row r="36884" ht="15.75" customHeight="1">
      <c r="A36884" s="7"/>
      <c r="B36884" s="7"/>
      <c r="M36884" s="9" t="s">
        <v>47</v>
      </c>
    </row>
    <row r="36885" ht="15.75" customHeight="1">
      <c r="A36885" s="7"/>
      <c r="B36885" s="7"/>
      <c r="M36885" s="9" t="s">
        <v>24</v>
      </c>
    </row>
    <row r="36886" ht="15.75" customHeight="1">
      <c r="A36886" s="7"/>
      <c r="B36886" s="7"/>
      <c r="M36886" s="9" t="s">
        <v>20</v>
      </c>
    </row>
    <row r="36887" ht="15.75" customHeight="1">
      <c r="A36887" s="7"/>
      <c r="B36887" s="7"/>
      <c r="M36887" s="9" t="s">
        <v>21</v>
      </c>
    </row>
    <row r="36888" ht="15.75" customHeight="1">
      <c r="A36888" s="7"/>
      <c r="B36888" s="7"/>
      <c r="M36888" s="9" t="s">
        <v>33</v>
      </c>
    </row>
    <row r="36889" ht="15.75" customHeight="1">
      <c r="A36889" s="7"/>
      <c r="B36889" s="7"/>
      <c r="M36889" s="9" t="s">
        <v>30</v>
      </c>
    </row>
    <row r="36890" ht="15.75" customHeight="1">
      <c r="A36890" s="7"/>
      <c r="B36890" s="7"/>
      <c r="M36890" s="9" t="s">
        <v>24</v>
      </c>
    </row>
    <row r="36891" ht="15.75" customHeight="1">
      <c r="A36891" s="7"/>
      <c r="B36891" s="7"/>
      <c r="M36891" s="9" t="s">
        <v>21</v>
      </c>
    </row>
    <row r="36892" ht="15.75" customHeight="1">
      <c r="A36892" s="7"/>
      <c r="B36892" s="7"/>
      <c r="M36892" s="9" t="s">
        <v>22</v>
      </c>
    </row>
    <row r="36893" ht="15.75" customHeight="1">
      <c r="A36893" s="7"/>
      <c r="B36893" s="7"/>
      <c r="M36893" s="9" t="s">
        <v>23</v>
      </c>
    </row>
    <row r="36894" ht="15.75" customHeight="1">
      <c r="A36894" s="7"/>
      <c r="B36894" s="7"/>
      <c r="M36894" s="9" t="s">
        <v>20</v>
      </c>
    </row>
    <row r="36895" ht="15.75" customHeight="1">
      <c r="A36895" s="7"/>
      <c r="B36895" s="7"/>
      <c r="M36895" s="9" t="s">
        <v>39</v>
      </c>
    </row>
    <row r="36896" ht="15.75" customHeight="1">
      <c r="A36896" s="7"/>
      <c r="B36896" s="7"/>
      <c r="M36896" s="9" t="s">
        <v>33</v>
      </c>
    </row>
    <row r="36897" ht="15.75" customHeight="1">
      <c r="A36897" s="7"/>
      <c r="B36897" s="7"/>
      <c r="M36897" s="9" t="s">
        <v>24</v>
      </c>
    </row>
    <row r="36898" ht="15.75" customHeight="1">
      <c r="A36898" s="7"/>
      <c r="B36898" s="7"/>
      <c r="M36898" s="9" t="s">
        <v>21</v>
      </c>
    </row>
    <row r="36899" ht="15.75" customHeight="1">
      <c r="A36899" s="7"/>
      <c r="B36899" s="7"/>
      <c r="M36899" s="9" t="s">
        <v>37</v>
      </c>
    </row>
    <row r="36900" ht="15.75" customHeight="1">
      <c r="A36900" s="7"/>
      <c r="B36900" s="7"/>
      <c r="M36900" s="9" t="s">
        <v>30</v>
      </c>
    </row>
    <row r="36901" ht="15.75" customHeight="1">
      <c r="A36901" s="7"/>
      <c r="B36901" s="7"/>
      <c r="M36901" s="9" t="s">
        <v>24</v>
      </c>
    </row>
    <row r="36902" ht="15.75" customHeight="1">
      <c r="A36902" s="7"/>
      <c r="B36902" s="7"/>
      <c r="M36902" s="9" t="s">
        <v>21</v>
      </c>
    </row>
    <row r="36903" ht="15.75" customHeight="1">
      <c r="A36903" s="7"/>
      <c r="B36903" s="7"/>
      <c r="M36903" s="9" t="s">
        <v>37</v>
      </c>
    </row>
    <row r="36904" ht="15.75" customHeight="1">
      <c r="A36904" s="7"/>
      <c r="B36904" s="7"/>
      <c r="M36904" s="9" t="s">
        <v>27</v>
      </c>
    </row>
    <row r="36905" ht="15.75" customHeight="1">
      <c r="A36905" s="7"/>
      <c r="B36905" s="7"/>
      <c r="M36905" s="9" t="s">
        <v>33</v>
      </c>
    </row>
    <row r="36906" ht="15.75" customHeight="1">
      <c r="A36906" s="7"/>
      <c r="B36906" s="7"/>
      <c r="M36906" s="9" t="s">
        <v>35</v>
      </c>
    </row>
    <row r="36907" ht="15.75" customHeight="1">
      <c r="A36907" s="7"/>
      <c r="B36907" s="7"/>
      <c r="M36907" s="9" t="s">
        <v>44</v>
      </c>
    </row>
    <row r="36908" ht="15.75" customHeight="1">
      <c r="A36908" s="7"/>
      <c r="B36908" s="7"/>
      <c r="M36908" s="9" t="s">
        <v>20</v>
      </c>
    </row>
    <row r="36909" ht="15.75" customHeight="1">
      <c r="A36909" s="7"/>
      <c r="B36909" s="7"/>
      <c r="M36909" s="9" t="s">
        <v>20</v>
      </c>
    </row>
    <row r="36910" ht="15.75" customHeight="1">
      <c r="A36910" s="7"/>
      <c r="B36910" s="7"/>
      <c r="M36910" s="9" t="s">
        <v>21</v>
      </c>
    </row>
    <row r="36911" ht="15.75" customHeight="1">
      <c r="A36911" s="7"/>
      <c r="B36911" s="7"/>
      <c r="M36911" s="9" t="s">
        <v>22</v>
      </c>
    </row>
    <row r="36912" ht="15.75" customHeight="1">
      <c r="A36912" s="7"/>
      <c r="B36912" s="7"/>
      <c r="M36912" s="9" t="s">
        <v>27</v>
      </c>
    </row>
    <row r="36913" ht="15.75" customHeight="1">
      <c r="A36913" s="7"/>
      <c r="B36913" s="7"/>
      <c r="M36913" s="9" t="s">
        <v>23</v>
      </c>
    </row>
    <row r="36914" ht="15.75" customHeight="1">
      <c r="A36914" s="7"/>
      <c r="B36914" s="7"/>
      <c r="M36914" s="9" t="s">
        <v>22</v>
      </c>
    </row>
    <row r="36915" ht="15.75" customHeight="1">
      <c r="A36915" s="7"/>
      <c r="B36915" s="7"/>
      <c r="M36915" s="9" t="s">
        <v>38</v>
      </c>
    </row>
    <row r="36916" ht="15.75" customHeight="1">
      <c r="A36916" s="7"/>
      <c r="B36916" s="7"/>
      <c r="M36916" s="9" t="s">
        <v>26</v>
      </c>
    </row>
    <row r="36917" ht="15.75" customHeight="1">
      <c r="A36917" s="7"/>
      <c r="B36917" s="7"/>
      <c r="M36917" s="9" t="s">
        <v>44</v>
      </c>
    </row>
    <row r="36918" ht="15.75" customHeight="1">
      <c r="A36918" s="7"/>
      <c r="B36918" s="7"/>
      <c r="M36918" s="9" t="s">
        <v>24</v>
      </c>
    </row>
    <row r="36919" ht="15.75" customHeight="1">
      <c r="A36919" s="7"/>
      <c r="B36919" s="7"/>
      <c r="M36919" s="9" t="s">
        <v>20</v>
      </c>
    </row>
    <row r="36920" ht="15.75" customHeight="1">
      <c r="A36920" s="7"/>
      <c r="B36920" s="7"/>
      <c r="M36920" s="9" t="s">
        <v>21</v>
      </c>
    </row>
    <row r="36921" ht="15.75" customHeight="1">
      <c r="A36921" s="7"/>
      <c r="B36921" s="7"/>
      <c r="M36921" s="9" t="s">
        <v>39</v>
      </c>
    </row>
    <row r="36922" ht="15.75" customHeight="1">
      <c r="A36922" s="7"/>
      <c r="B36922" s="7"/>
      <c r="M36922" s="9" t="s">
        <v>37</v>
      </c>
    </row>
    <row r="36923" ht="15.75" customHeight="1">
      <c r="A36923" s="7"/>
      <c r="B36923" s="7"/>
      <c r="M36923" s="9" t="s">
        <v>40</v>
      </c>
    </row>
    <row r="36924" ht="15.75" customHeight="1">
      <c r="A36924" s="7"/>
      <c r="B36924" s="7"/>
      <c r="M36924" s="9" t="s">
        <v>33</v>
      </c>
    </row>
    <row r="36925" ht="15.75" customHeight="1">
      <c r="A36925" s="7"/>
      <c r="B36925" s="7"/>
      <c r="M36925" s="9" t="s">
        <v>24</v>
      </c>
    </row>
    <row r="36926" ht="15.75" customHeight="1">
      <c r="A36926" s="7"/>
      <c r="B36926" s="7"/>
      <c r="M36926" s="9" t="s">
        <v>21</v>
      </c>
    </row>
    <row r="36927" ht="15.75" customHeight="1">
      <c r="A36927" s="7"/>
      <c r="B36927" s="7"/>
      <c r="M36927" s="9" t="s">
        <v>30</v>
      </c>
    </row>
    <row r="36928" ht="15.75" customHeight="1">
      <c r="A36928" s="7"/>
      <c r="B36928" s="7"/>
      <c r="M36928" s="9" t="s">
        <v>25</v>
      </c>
    </row>
    <row r="36929" ht="15.75" customHeight="1">
      <c r="A36929" s="7"/>
      <c r="B36929" s="7"/>
      <c r="M36929" s="9" t="s">
        <v>26</v>
      </c>
    </row>
    <row r="36930" ht="15.75" customHeight="1">
      <c r="A36930" s="7"/>
      <c r="B36930" s="7"/>
      <c r="M36930" s="9" t="s">
        <v>24</v>
      </c>
    </row>
    <row r="36931" ht="15.75" customHeight="1">
      <c r="A36931" s="7"/>
      <c r="B36931" s="7"/>
      <c r="M36931" s="9" t="s">
        <v>37</v>
      </c>
    </row>
    <row r="36932" ht="15.75" customHeight="1">
      <c r="A36932" s="7"/>
      <c r="B36932" s="7"/>
      <c r="M36932" s="9" t="s">
        <v>22</v>
      </c>
    </row>
    <row r="36933" ht="15.75" customHeight="1">
      <c r="A36933" s="7"/>
      <c r="B36933" s="7"/>
      <c r="M36933" s="9" t="s">
        <v>31</v>
      </c>
    </row>
    <row r="36934" ht="15.75" customHeight="1">
      <c r="A36934" s="7"/>
      <c r="B36934" s="7"/>
      <c r="M36934" s="9" t="s">
        <v>32</v>
      </c>
    </row>
    <row r="36935" ht="15.75" customHeight="1">
      <c r="A36935" s="7"/>
      <c r="B36935" s="7"/>
      <c r="M36935" s="9" t="s">
        <v>27</v>
      </c>
    </row>
    <row r="36936" ht="15.75" customHeight="1">
      <c r="A36936" s="7"/>
      <c r="B36936" s="7"/>
      <c r="M36936" s="9" t="s">
        <v>28</v>
      </c>
    </row>
    <row r="36937" ht="15.75" customHeight="1">
      <c r="A36937" s="7"/>
      <c r="B36937" s="7"/>
      <c r="M36937" s="9" t="s">
        <v>24</v>
      </c>
    </row>
    <row r="36938" ht="15.75" customHeight="1">
      <c r="A36938" s="7"/>
      <c r="B36938" s="7"/>
      <c r="M36938" s="9" t="s">
        <v>20</v>
      </c>
    </row>
    <row r="36939" ht="15.75" customHeight="1">
      <c r="A36939" s="7"/>
      <c r="B36939" s="7"/>
      <c r="M36939" s="9" t="s">
        <v>21</v>
      </c>
    </row>
    <row r="36940" ht="15.75" customHeight="1">
      <c r="A36940" s="7"/>
      <c r="B36940" s="7"/>
      <c r="M36940" s="9" t="s">
        <v>27</v>
      </c>
    </row>
    <row r="36941" ht="15.75" customHeight="1">
      <c r="A36941" s="7"/>
      <c r="B36941" s="7"/>
      <c r="M36941" s="9" t="s">
        <v>33</v>
      </c>
    </row>
    <row r="36942" ht="15.75" customHeight="1">
      <c r="A36942" s="7"/>
      <c r="B36942" s="7"/>
      <c r="M36942" s="9" t="s">
        <v>20</v>
      </c>
    </row>
    <row r="36943" ht="15.75" customHeight="1">
      <c r="A36943" s="7"/>
      <c r="B36943" s="7"/>
      <c r="M36943" s="9" t="s">
        <v>39</v>
      </c>
    </row>
    <row r="36944" ht="15.75" customHeight="1">
      <c r="A36944" s="7"/>
      <c r="B36944" s="7"/>
      <c r="M36944" s="9" t="s">
        <v>22</v>
      </c>
    </row>
    <row r="36945" ht="15.75" customHeight="1">
      <c r="A36945" s="7"/>
      <c r="B36945" s="7"/>
      <c r="M36945" s="9" t="s">
        <v>31</v>
      </c>
    </row>
    <row r="36946" ht="15.75" customHeight="1">
      <c r="A36946" s="7"/>
      <c r="B36946" s="7"/>
      <c r="M36946" s="9" t="s">
        <v>27</v>
      </c>
    </row>
    <row r="36947" ht="15.75" customHeight="1">
      <c r="A36947" s="7"/>
      <c r="B36947" s="7"/>
      <c r="M36947" s="9" t="s">
        <v>26</v>
      </c>
    </row>
    <row r="36948" ht="15.75" customHeight="1">
      <c r="A36948" s="7"/>
      <c r="B36948" s="7"/>
      <c r="M36948" s="9" t="s">
        <v>21</v>
      </c>
    </row>
    <row r="36949" ht="15.75" customHeight="1">
      <c r="A36949" s="7"/>
      <c r="B36949" s="7"/>
      <c r="M36949" s="9" t="s">
        <v>24</v>
      </c>
    </row>
    <row r="36950" ht="15.75" customHeight="1">
      <c r="A36950" s="7"/>
      <c r="B36950" s="7"/>
      <c r="M36950" s="9" t="s">
        <v>20</v>
      </c>
    </row>
    <row r="36951" ht="15.75" customHeight="1">
      <c r="A36951" s="7"/>
      <c r="B36951" s="7"/>
      <c r="M36951" s="9" t="s">
        <v>21</v>
      </c>
    </row>
    <row r="36952" ht="15.75" customHeight="1">
      <c r="A36952" s="7"/>
      <c r="B36952" s="7"/>
      <c r="M36952" s="9" t="s">
        <v>37</v>
      </c>
    </row>
    <row r="36953" ht="15.75" customHeight="1">
      <c r="A36953" s="7"/>
      <c r="B36953" s="7"/>
      <c r="M36953" s="9" t="s">
        <v>22</v>
      </c>
    </row>
    <row r="36954" ht="15.75" customHeight="1">
      <c r="A36954" s="7"/>
      <c r="B36954" s="7"/>
      <c r="M36954" s="9" t="s">
        <v>27</v>
      </c>
    </row>
    <row r="36955" ht="15.75" customHeight="1">
      <c r="A36955" s="7"/>
      <c r="B36955" s="7"/>
      <c r="M36955" s="9" t="s">
        <v>20</v>
      </c>
    </row>
    <row r="36956" ht="15.75" customHeight="1">
      <c r="A36956" s="7"/>
      <c r="B36956" s="7"/>
      <c r="M36956" s="9" t="s">
        <v>22</v>
      </c>
    </row>
    <row r="36957" ht="15.75" customHeight="1">
      <c r="A36957" s="7"/>
      <c r="B36957" s="7"/>
      <c r="M36957" s="9" t="s">
        <v>31</v>
      </c>
    </row>
    <row r="36958" ht="15.75" customHeight="1">
      <c r="A36958" s="7"/>
      <c r="B36958" s="7"/>
      <c r="M36958" s="9" t="s">
        <v>27</v>
      </c>
    </row>
    <row r="36959" ht="15.75" customHeight="1">
      <c r="A36959" s="7"/>
      <c r="B36959" s="7"/>
      <c r="M36959" s="9" t="s">
        <v>24</v>
      </c>
    </row>
    <row r="36960" ht="15.75" customHeight="1">
      <c r="A36960" s="7"/>
      <c r="B36960" s="7"/>
      <c r="M36960" s="9" t="s">
        <v>21</v>
      </c>
    </row>
    <row r="36961" ht="15.75" customHeight="1">
      <c r="A36961" s="7"/>
      <c r="B36961" s="7"/>
      <c r="M36961" s="9" t="s">
        <v>31</v>
      </c>
    </row>
    <row r="36962" ht="15.75" customHeight="1">
      <c r="A36962" s="7"/>
      <c r="B36962" s="7"/>
      <c r="M36962" s="9" t="s">
        <v>27</v>
      </c>
    </row>
    <row r="36963" ht="15.75" customHeight="1">
      <c r="A36963" s="7"/>
      <c r="B36963" s="7"/>
      <c r="M36963" s="9" t="s">
        <v>26</v>
      </c>
    </row>
    <row r="36964" ht="15.75" customHeight="1">
      <c r="A36964" s="7"/>
      <c r="B36964" s="7"/>
      <c r="M36964" s="9" t="s">
        <v>32</v>
      </c>
    </row>
    <row r="36965" ht="15.75" customHeight="1">
      <c r="A36965" s="7"/>
      <c r="B36965" s="7"/>
      <c r="M36965" s="9" t="s">
        <v>27</v>
      </c>
    </row>
    <row r="36966" ht="15.75" customHeight="1">
      <c r="A36966" s="7"/>
      <c r="B36966" s="7"/>
      <c r="M36966" s="9" t="s">
        <v>21</v>
      </c>
    </row>
    <row r="36967" ht="15.75" customHeight="1">
      <c r="A36967" s="7"/>
      <c r="B36967" s="7"/>
      <c r="M36967" s="9" t="s">
        <v>37</v>
      </c>
    </row>
    <row r="36968" ht="15.75" customHeight="1">
      <c r="A36968" s="7"/>
      <c r="B36968" s="7"/>
      <c r="M36968" s="9" t="s">
        <v>30</v>
      </c>
    </row>
    <row r="36969" ht="15.75" customHeight="1">
      <c r="A36969" s="7"/>
      <c r="B36969" s="7"/>
      <c r="M36969" s="9" t="s">
        <v>36</v>
      </c>
    </row>
    <row r="36970" ht="15.75" customHeight="1">
      <c r="A36970" s="7"/>
      <c r="B36970" s="7"/>
      <c r="M36970" s="9" t="s">
        <v>24</v>
      </c>
    </row>
    <row r="36971" ht="15.75" customHeight="1">
      <c r="A36971" s="7"/>
      <c r="B36971" s="7"/>
      <c r="M36971" s="9" t="s">
        <v>21</v>
      </c>
    </row>
    <row r="36972" ht="15.75" customHeight="1">
      <c r="A36972" s="7"/>
      <c r="B36972" s="7"/>
      <c r="M36972" s="9" t="s">
        <v>37</v>
      </c>
    </row>
    <row r="36973" ht="15.75" customHeight="1">
      <c r="A36973" s="7"/>
      <c r="B36973" s="7"/>
      <c r="M36973" s="9" t="s">
        <v>27</v>
      </c>
    </row>
    <row r="36974" ht="15.75" customHeight="1">
      <c r="A36974" s="7"/>
      <c r="B36974" s="7"/>
      <c r="M36974" s="9" t="s">
        <v>20</v>
      </c>
    </row>
    <row r="36975" ht="15.75" customHeight="1">
      <c r="A36975" s="7"/>
      <c r="B36975" s="7"/>
      <c r="M36975" s="9" t="s">
        <v>21</v>
      </c>
    </row>
    <row r="36976" ht="15.75" customHeight="1">
      <c r="A36976" s="7"/>
      <c r="B36976" s="7"/>
      <c r="M36976" s="9" t="s">
        <v>33</v>
      </c>
    </row>
    <row r="36977" ht="15.75" customHeight="1">
      <c r="A36977" s="7"/>
      <c r="B36977" s="7"/>
      <c r="M36977" s="9" t="s">
        <v>24</v>
      </c>
    </row>
    <row r="36978" ht="15.75" customHeight="1">
      <c r="A36978" s="7"/>
      <c r="B36978" s="7"/>
      <c r="M36978" s="9" t="s">
        <v>20</v>
      </c>
    </row>
    <row r="36979" ht="15.75" customHeight="1">
      <c r="A36979" s="7"/>
      <c r="B36979" s="7"/>
      <c r="M36979" s="9" t="s">
        <v>22</v>
      </c>
    </row>
    <row r="36980" ht="15.75" customHeight="1">
      <c r="A36980" s="7"/>
      <c r="B36980" s="7"/>
      <c r="M36980" s="9" t="s">
        <v>30</v>
      </c>
    </row>
    <row r="36981" ht="15.75" customHeight="1">
      <c r="A36981" s="7"/>
      <c r="B36981" s="7"/>
      <c r="M36981" s="9" t="s">
        <v>36</v>
      </c>
    </row>
    <row r="36982" ht="15.75" customHeight="1">
      <c r="A36982" s="7"/>
      <c r="B36982" s="7"/>
      <c r="M36982" s="9" t="s">
        <v>20</v>
      </c>
    </row>
    <row r="36983" ht="15.75" customHeight="1">
      <c r="A36983" s="7"/>
      <c r="B36983" s="7"/>
      <c r="M36983" s="9" t="s">
        <v>22</v>
      </c>
    </row>
    <row r="36984" ht="15.75" customHeight="1">
      <c r="A36984" s="7"/>
      <c r="B36984" s="7"/>
      <c r="M36984" s="9" t="s">
        <v>30</v>
      </c>
    </row>
    <row r="36985" ht="15.75" customHeight="1">
      <c r="A36985" s="7"/>
      <c r="B36985" s="7"/>
      <c r="M36985" s="9" t="s">
        <v>36</v>
      </c>
    </row>
    <row r="36986" ht="15.75" customHeight="1">
      <c r="A36986" s="7"/>
      <c r="B36986" s="7"/>
      <c r="M36986" s="9" t="s">
        <v>22</v>
      </c>
    </row>
    <row r="36987" ht="15.75" customHeight="1">
      <c r="A36987" s="7"/>
      <c r="B36987" s="7"/>
      <c r="M36987" s="9" t="s">
        <v>31</v>
      </c>
    </row>
    <row r="36988" ht="15.75" customHeight="1">
      <c r="A36988" s="7"/>
      <c r="B36988" s="7"/>
      <c r="M36988" s="9" t="s">
        <v>35</v>
      </c>
    </row>
    <row r="36989" ht="15.75" customHeight="1">
      <c r="A36989" s="7"/>
      <c r="B36989" s="7"/>
      <c r="M36989" s="9" t="s">
        <v>24</v>
      </c>
    </row>
    <row r="36990" ht="15.75" customHeight="1">
      <c r="A36990" s="7"/>
      <c r="B36990" s="7"/>
      <c r="M36990" s="9" t="s">
        <v>21</v>
      </c>
    </row>
    <row r="36991" ht="15.75" customHeight="1">
      <c r="A36991" s="7"/>
      <c r="B36991" s="7"/>
      <c r="M36991" s="9" t="s">
        <v>37</v>
      </c>
    </row>
    <row r="36992" ht="15.75" customHeight="1">
      <c r="A36992" s="7"/>
      <c r="B36992" s="7"/>
      <c r="M36992" s="9" t="s">
        <v>27</v>
      </c>
    </row>
    <row r="36993" ht="15.75" customHeight="1">
      <c r="A36993" s="7"/>
      <c r="B36993" s="7"/>
      <c r="M36993" s="9" t="s">
        <v>38</v>
      </c>
    </row>
    <row r="36994" ht="15.75" customHeight="1">
      <c r="A36994" s="7"/>
      <c r="B36994" s="7"/>
      <c r="M36994" s="9" t="s">
        <v>30</v>
      </c>
    </row>
    <row r="36995" ht="15.75" customHeight="1">
      <c r="A36995" s="7"/>
      <c r="B36995" s="7"/>
      <c r="M36995" s="9" t="s">
        <v>25</v>
      </c>
    </row>
    <row r="36996" ht="15.75" customHeight="1">
      <c r="A36996" s="7"/>
      <c r="B36996" s="7"/>
      <c r="M36996" s="9" t="s">
        <v>23</v>
      </c>
    </row>
    <row r="36997" ht="15.75" customHeight="1">
      <c r="A36997" s="7"/>
      <c r="B36997" s="7"/>
      <c r="M36997" s="9" t="s">
        <v>24</v>
      </c>
    </row>
    <row r="36998" ht="15.75" customHeight="1">
      <c r="A36998" s="7"/>
      <c r="B36998" s="7"/>
      <c r="M36998" s="9" t="s">
        <v>21</v>
      </c>
    </row>
    <row r="36999" ht="15.75" customHeight="1">
      <c r="A36999" s="7"/>
      <c r="B36999" s="7"/>
      <c r="M36999" s="9" t="s">
        <v>37</v>
      </c>
    </row>
    <row r="37000" ht="15.75" customHeight="1">
      <c r="A37000" s="7"/>
      <c r="B37000" s="7"/>
      <c r="M37000" s="9" t="s">
        <v>22</v>
      </c>
    </row>
    <row r="37001" ht="15.75" customHeight="1">
      <c r="A37001" s="7"/>
      <c r="B37001" s="7"/>
      <c r="M37001" s="9" t="s">
        <v>27</v>
      </c>
    </row>
    <row r="37002" ht="15.75" customHeight="1">
      <c r="A37002" s="7"/>
      <c r="B37002" s="7"/>
      <c r="M37002" s="9" t="s">
        <v>24</v>
      </c>
    </row>
    <row r="37003" ht="15.75" customHeight="1">
      <c r="A37003" s="7"/>
      <c r="B37003" s="7"/>
      <c r="M37003" s="9" t="s">
        <v>21</v>
      </c>
    </row>
    <row r="37004" ht="15.75" customHeight="1">
      <c r="A37004" s="7"/>
      <c r="B37004" s="7"/>
      <c r="M37004" s="9" t="s">
        <v>37</v>
      </c>
    </row>
    <row r="37005" ht="15.75" customHeight="1">
      <c r="A37005" s="7"/>
      <c r="B37005" s="7"/>
      <c r="M37005" s="9" t="s">
        <v>27</v>
      </c>
    </row>
    <row r="37006" ht="15.75" customHeight="1">
      <c r="A37006" s="7"/>
      <c r="B37006" s="7"/>
      <c r="M37006" s="9" t="s">
        <v>25</v>
      </c>
    </row>
    <row r="37007" ht="15.75" customHeight="1">
      <c r="A37007" s="7"/>
      <c r="B37007" s="7"/>
      <c r="M37007" s="9" t="s">
        <v>23</v>
      </c>
    </row>
    <row r="37008" ht="15.75" customHeight="1">
      <c r="A37008" s="7"/>
      <c r="B37008" s="7"/>
      <c r="M37008" s="9" t="s">
        <v>24</v>
      </c>
    </row>
    <row r="37009" ht="15.75" customHeight="1">
      <c r="A37009" s="7"/>
      <c r="B37009" s="7"/>
      <c r="M37009" s="9" t="s">
        <v>20</v>
      </c>
    </row>
    <row r="37010" ht="15.75" customHeight="1">
      <c r="A37010" s="7"/>
      <c r="B37010" s="7"/>
      <c r="M37010" s="9" t="s">
        <v>21</v>
      </c>
    </row>
    <row r="37011" ht="15.75" customHeight="1">
      <c r="A37011" s="7"/>
      <c r="B37011" s="7"/>
      <c r="M37011" s="9" t="s">
        <v>37</v>
      </c>
    </row>
    <row r="37012" ht="15.75" customHeight="1">
      <c r="A37012" s="7"/>
      <c r="B37012" s="7"/>
      <c r="M37012" s="9" t="s">
        <v>40</v>
      </c>
    </row>
    <row r="37013" ht="15.75" customHeight="1">
      <c r="A37013" s="7"/>
      <c r="B37013" s="7"/>
      <c r="M37013" s="9" t="s">
        <v>28</v>
      </c>
    </row>
    <row r="37014" ht="15.75" customHeight="1">
      <c r="A37014" s="7"/>
      <c r="B37014" s="7"/>
      <c r="M37014" s="9" t="s">
        <v>24</v>
      </c>
    </row>
    <row r="37015" ht="15.75" customHeight="1">
      <c r="A37015" s="7"/>
      <c r="B37015" s="7"/>
      <c r="M37015" s="9" t="s">
        <v>21</v>
      </c>
    </row>
    <row r="37016" ht="15.75" customHeight="1">
      <c r="A37016" s="7"/>
      <c r="B37016" s="7"/>
      <c r="M37016" s="9" t="s">
        <v>37</v>
      </c>
    </row>
    <row r="37017" ht="15.75" customHeight="1">
      <c r="A37017" s="7"/>
      <c r="B37017" s="7"/>
      <c r="M37017" s="9" t="s">
        <v>26</v>
      </c>
    </row>
    <row r="37018" ht="15.75" customHeight="1">
      <c r="A37018" s="7"/>
      <c r="B37018" s="7"/>
      <c r="M37018" s="9" t="s">
        <v>36</v>
      </c>
    </row>
    <row r="37019" ht="15.75" customHeight="1">
      <c r="A37019" s="7"/>
      <c r="B37019" s="7"/>
      <c r="M37019" s="9" t="s">
        <v>24</v>
      </c>
    </row>
    <row r="37020" ht="15.75" customHeight="1">
      <c r="A37020" s="7"/>
      <c r="B37020" s="7"/>
      <c r="M37020" s="9" t="s">
        <v>20</v>
      </c>
    </row>
    <row r="37021" ht="15.75" customHeight="1">
      <c r="A37021" s="7"/>
      <c r="B37021" s="7"/>
      <c r="M37021" s="9" t="s">
        <v>37</v>
      </c>
    </row>
    <row r="37022" ht="15.75" customHeight="1">
      <c r="A37022" s="7"/>
      <c r="B37022" s="7"/>
      <c r="M37022" s="9" t="s">
        <v>27</v>
      </c>
    </row>
    <row r="37023" ht="15.75" customHeight="1">
      <c r="A37023" s="7"/>
      <c r="B37023" s="7"/>
      <c r="M37023" s="9" t="s">
        <v>36</v>
      </c>
    </row>
    <row r="37024" ht="15.75" customHeight="1">
      <c r="A37024" s="7"/>
      <c r="B37024" s="7"/>
      <c r="M37024" s="9" t="s">
        <v>27</v>
      </c>
    </row>
    <row r="37025" ht="15.75" customHeight="1">
      <c r="A37025" s="7"/>
      <c r="B37025" s="7"/>
      <c r="M37025" s="9" t="s">
        <v>23</v>
      </c>
    </row>
    <row r="37026" ht="15.75" customHeight="1">
      <c r="A37026" s="7"/>
      <c r="B37026" s="7"/>
      <c r="M37026" s="9" t="s">
        <v>20</v>
      </c>
    </row>
    <row r="37027" ht="15.75" customHeight="1">
      <c r="A37027" s="7"/>
      <c r="B37027" s="7"/>
      <c r="M37027" s="9" t="s">
        <v>21</v>
      </c>
    </row>
    <row r="37028" ht="15.75" customHeight="1">
      <c r="A37028" s="7"/>
      <c r="B37028" s="7"/>
      <c r="M37028" s="9" t="s">
        <v>39</v>
      </c>
    </row>
    <row r="37029" ht="15.75" customHeight="1">
      <c r="A37029" s="7"/>
      <c r="B37029" s="7"/>
      <c r="M37029" s="9" t="s">
        <v>41</v>
      </c>
    </row>
    <row r="37030" ht="15.75" customHeight="1">
      <c r="A37030" s="7"/>
      <c r="B37030" s="7"/>
      <c r="M37030" s="9" t="s">
        <v>22</v>
      </c>
    </row>
    <row r="37031" ht="15.75" customHeight="1">
      <c r="A37031" s="7"/>
      <c r="B37031" s="7"/>
      <c r="M37031" s="9" t="s">
        <v>40</v>
      </c>
    </row>
    <row r="37032" ht="15.75" customHeight="1">
      <c r="A37032" s="7"/>
      <c r="B37032" s="7"/>
      <c r="M37032" s="9" t="s">
        <v>30</v>
      </c>
    </row>
    <row r="37033" ht="15.75" customHeight="1">
      <c r="A37033" s="7"/>
      <c r="B37033" s="7"/>
      <c r="M37033" s="9" t="s">
        <v>24</v>
      </c>
    </row>
    <row r="37034" ht="15.75" customHeight="1">
      <c r="A37034" s="7"/>
      <c r="B37034" s="7"/>
      <c r="M37034" s="9" t="s">
        <v>21</v>
      </c>
    </row>
    <row r="37035" ht="15.75" customHeight="1">
      <c r="A37035" s="7"/>
      <c r="B37035" s="7"/>
      <c r="M37035" s="9" t="s">
        <v>22</v>
      </c>
    </row>
    <row r="37036" ht="15.75" customHeight="1">
      <c r="A37036" s="7"/>
      <c r="B37036" s="7"/>
      <c r="M37036" s="9" t="s">
        <v>27</v>
      </c>
    </row>
    <row r="37037" ht="15.75" customHeight="1">
      <c r="A37037" s="7"/>
      <c r="B37037" s="7"/>
      <c r="M37037" s="9" t="s">
        <v>26</v>
      </c>
    </row>
    <row r="37038" ht="15.75" customHeight="1">
      <c r="A37038" s="7"/>
      <c r="B37038" s="7"/>
      <c r="M37038" s="9" t="s">
        <v>27</v>
      </c>
    </row>
    <row r="37039" ht="15.75" customHeight="1">
      <c r="A37039" s="7"/>
      <c r="B37039" s="7"/>
      <c r="M37039" s="9" t="s">
        <v>30</v>
      </c>
    </row>
    <row r="37040" ht="15.75" customHeight="1">
      <c r="A37040" s="7"/>
      <c r="B37040" s="7"/>
      <c r="M37040" s="9" t="s">
        <v>24</v>
      </c>
    </row>
    <row r="37041" ht="15.75" customHeight="1">
      <c r="A37041" s="7"/>
      <c r="B37041" s="7"/>
      <c r="M37041" s="9" t="s">
        <v>20</v>
      </c>
    </row>
    <row r="37042" ht="15.75" customHeight="1">
      <c r="A37042" s="7"/>
      <c r="B37042" s="7"/>
      <c r="M37042" s="9" t="s">
        <v>21</v>
      </c>
    </row>
    <row r="37043" ht="15.75" customHeight="1">
      <c r="A37043" s="7"/>
      <c r="B37043" s="7"/>
      <c r="M37043" s="9" t="s">
        <v>46</v>
      </c>
    </row>
    <row r="37044" ht="15.75" customHeight="1">
      <c r="A37044" s="7"/>
      <c r="B37044" s="7"/>
      <c r="M37044" s="9" t="s">
        <v>35</v>
      </c>
    </row>
    <row r="37045" ht="15.75" customHeight="1">
      <c r="A37045" s="7"/>
      <c r="B37045" s="7"/>
      <c r="M37045" s="9" t="s">
        <v>23</v>
      </c>
    </row>
    <row r="37046" ht="15.75" customHeight="1">
      <c r="A37046" s="7"/>
      <c r="B37046" s="7"/>
      <c r="M37046" s="9" t="s">
        <v>25</v>
      </c>
    </row>
    <row r="37047" ht="15.75" customHeight="1">
      <c r="A37047" s="7"/>
      <c r="B37047" s="7"/>
      <c r="M37047" s="9" t="s">
        <v>23</v>
      </c>
    </row>
    <row r="37048" ht="15.75" customHeight="1">
      <c r="A37048" s="7"/>
      <c r="B37048" s="7"/>
      <c r="M37048" s="9" t="s">
        <v>26</v>
      </c>
    </row>
    <row r="37049" ht="15.75" customHeight="1">
      <c r="A37049" s="7"/>
      <c r="B37049" s="7"/>
      <c r="M37049" s="9" t="s">
        <v>24</v>
      </c>
    </row>
    <row r="37050" ht="15.75" customHeight="1">
      <c r="A37050" s="7"/>
      <c r="B37050" s="7"/>
      <c r="M37050" s="9" t="s">
        <v>21</v>
      </c>
    </row>
    <row r="37051" ht="15.75" customHeight="1">
      <c r="A37051" s="7"/>
      <c r="B37051" s="7"/>
      <c r="M37051" s="9" t="s">
        <v>30</v>
      </c>
    </row>
    <row r="37052" ht="15.75" customHeight="1">
      <c r="A37052" s="7"/>
      <c r="B37052" s="7"/>
      <c r="M37052" s="9" t="s">
        <v>26</v>
      </c>
    </row>
    <row r="37053" ht="15.75" customHeight="1">
      <c r="A37053" s="7"/>
      <c r="B37053" s="7"/>
      <c r="M37053" s="9" t="s">
        <v>24</v>
      </c>
    </row>
    <row r="37054" ht="15.75" customHeight="1">
      <c r="A37054" s="7"/>
      <c r="B37054" s="7"/>
      <c r="M37054" s="9" t="s">
        <v>21</v>
      </c>
    </row>
    <row r="37055" ht="15.75" customHeight="1">
      <c r="A37055" s="7"/>
      <c r="B37055" s="7"/>
      <c r="M37055" s="9" t="s">
        <v>35</v>
      </c>
    </row>
    <row r="37056" ht="15.75" customHeight="1">
      <c r="A37056" s="7"/>
      <c r="B37056" s="7"/>
      <c r="M37056" s="9" t="s">
        <v>30</v>
      </c>
    </row>
    <row r="37057" ht="15.75" customHeight="1">
      <c r="A37057" s="7"/>
      <c r="B37057" s="7"/>
      <c r="M37057" s="9" t="s">
        <v>24</v>
      </c>
    </row>
    <row r="37058" ht="15.75" customHeight="1">
      <c r="A37058" s="7"/>
      <c r="B37058" s="7"/>
      <c r="M37058" s="9" t="s">
        <v>21</v>
      </c>
    </row>
    <row r="37059" ht="15.75" customHeight="1">
      <c r="A37059" s="7"/>
      <c r="B37059" s="7"/>
      <c r="M37059" s="9" t="s">
        <v>41</v>
      </c>
    </row>
    <row r="37060" ht="15.75" customHeight="1">
      <c r="A37060" s="7"/>
      <c r="B37060" s="7"/>
      <c r="M37060" s="9" t="s">
        <v>31</v>
      </c>
    </row>
    <row r="37061" ht="15.75" customHeight="1">
      <c r="A37061" s="7"/>
      <c r="B37061" s="7"/>
      <c r="M37061" s="9" t="s">
        <v>40</v>
      </c>
    </row>
    <row r="37062" ht="15.75" customHeight="1">
      <c r="A37062" s="7"/>
      <c r="B37062" s="7"/>
      <c r="M37062" s="9" t="s">
        <v>23</v>
      </c>
    </row>
    <row r="37063" ht="15.75" customHeight="1">
      <c r="A37063" s="7"/>
      <c r="B37063" s="7"/>
      <c r="M37063" s="9" t="s">
        <v>29</v>
      </c>
    </row>
    <row r="37064" ht="15.75" customHeight="1">
      <c r="A37064" s="7"/>
      <c r="B37064" s="7"/>
      <c r="M37064" s="9" t="s">
        <v>25</v>
      </c>
    </row>
    <row r="37065" ht="15.75" customHeight="1">
      <c r="A37065" s="7"/>
      <c r="B37065" s="7"/>
      <c r="M37065" s="9" t="s">
        <v>23</v>
      </c>
    </row>
    <row r="37066" ht="15.75" customHeight="1">
      <c r="A37066" s="7"/>
      <c r="B37066" s="7"/>
      <c r="M37066" s="9" t="s">
        <v>24</v>
      </c>
    </row>
    <row r="37067" ht="15.75" customHeight="1">
      <c r="A37067" s="7"/>
      <c r="B37067" s="7"/>
      <c r="M37067" s="9" t="s">
        <v>21</v>
      </c>
    </row>
    <row r="37068" ht="15.75" customHeight="1">
      <c r="A37068" s="7"/>
      <c r="B37068" s="7"/>
      <c r="M37068" s="9" t="s">
        <v>22</v>
      </c>
    </row>
    <row r="37069" ht="15.75" customHeight="1">
      <c r="A37069" s="7"/>
      <c r="B37069" s="7"/>
      <c r="M37069" s="9" t="s">
        <v>29</v>
      </c>
    </row>
    <row r="37070" ht="15.75" customHeight="1">
      <c r="A37070" s="7"/>
      <c r="B37070" s="7"/>
      <c r="M37070" s="9" t="s">
        <v>26</v>
      </c>
    </row>
    <row r="37071" ht="15.75" customHeight="1">
      <c r="A37071" s="7"/>
      <c r="B37071" s="7"/>
      <c r="M37071" s="9" t="s">
        <v>24</v>
      </c>
    </row>
    <row r="37072" ht="15.75" customHeight="1">
      <c r="A37072" s="7"/>
      <c r="B37072" s="7"/>
      <c r="M37072" s="9" t="s">
        <v>21</v>
      </c>
    </row>
    <row r="37073" ht="15.75" customHeight="1">
      <c r="A37073" s="7"/>
      <c r="B37073" s="7"/>
      <c r="M37073" s="9" t="s">
        <v>27</v>
      </c>
    </row>
    <row r="37074" ht="15.75" customHeight="1">
      <c r="A37074" s="7"/>
      <c r="B37074" s="7"/>
      <c r="M37074" s="9" t="s">
        <v>30</v>
      </c>
    </row>
    <row r="37075" ht="15.75" customHeight="1">
      <c r="A37075" s="7"/>
      <c r="B37075" s="7"/>
      <c r="M37075" s="9" t="s">
        <v>26</v>
      </c>
    </row>
    <row r="37076" ht="15.75" customHeight="1">
      <c r="A37076" s="7"/>
      <c r="B37076" s="7"/>
      <c r="M37076" s="9" t="s">
        <v>24</v>
      </c>
    </row>
    <row r="37077" ht="15.75" customHeight="1">
      <c r="A37077" s="7"/>
      <c r="B37077" s="7"/>
      <c r="M37077" s="9" t="s">
        <v>20</v>
      </c>
    </row>
    <row r="37078" ht="15.75" customHeight="1">
      <c r="A37078" s="7"/>
      <c r="B37078" s="7"/>
      <c r="M37078" s="9" t="s">
        <v>21</v>
      </c>
    </row>
    <row r="37079" ht="15.75" customHeight="1">
      <c r="A37079" s="7"/>
      <c r="B37079" s="7"/>
      <c r="M37079" s="9" t="s">
        <v>27</v>
      </c>
    </row>
    <row r="37080" ht="15.75" customHeight="1">
      <c r="A37080" s="7"/>
      <c r="B37080" s="7"/>
      <c r="M37080" s="9" t="s">
        <v>33</v>
      </c>
    </row>
    <row r="37081" ht="15.75" customHeight="1">
      <c r="A37081" s="7"/>
      <c r="B37081" s="7"/>
      <c r="M37081" s="9" t="s">
        <v>38</v>
      </c>
    </row>
    <row r="37082" ht="15.75" customHeight="1">
      <c r="A37082" s="7"/>
      <c r="B37082" s="7"/>
      <c r="M37082" s="9" t="s">
        <v>30</v>
      </c>
    </row>
    <row r="37083" ht="15.75" customHeight="1">
      <c r="A37083" s="7"/>
      <c r="B37083" s="7"/>
      <c r="M37083" s="9" t="s">
        <v>23</v>
      </c>
    </row>
    <row r="37084" ht="15.75" customHeight="1">
      <c r="A37084" s="7"/>
      <c r="B37084" s="7"/>
      <c r="M37084" s="9" t="s">
        <v>24</v>
      </c>
    </row>
    <row r="37085" ht="15.75" customHeight="1">
      <c r="A37085" s="7"/>
      <c r="B37085" s="7"/>
      <c r="M37085" s="9" t="s">
        <v>20</v>
      </c>
    </row>
    <row r="37086" ht="15.75" customHeight="1">
      <c r="A37086" s="7"/>
      <c r="B37086" s="7"/>
      <c r="M37086" s="9" t="s">
        <v>21</v>
      </c>
    </row>
    <row r="37087" ht="15.75" customHeight="1">
      <c r="A37087" s="7"/>
      <c r="B37087" s="7"/>
      <c r="M37087" s="9" t="s">
        <v>41</v>
      </c>
    </row>
    <row r="37088" ht="15.75" customHeight="1">
      <c r="A37088" s="7"/>
      <c r="B37088" s="7"/>
      <c r="M37088" s="9" t="s">
        <v>27</v>
      </c>
    </row>
    <row r="37089" ht="15.75" customHeight="1">
      <c r="A37089" s="7"/>
      <c r="B37089" s="7"/>
      <c r="M37089" s="9" t="s">
        <v>35</v>
      </c>
    </row>
    <row r="37090" ht="15.75" customHeight="1">
      <c r="A37090" s="7"/>
      <c r="B37090" s="7"/>
      <c r="M37090" s="9" t="s">
        <v>38</v>
      </c>
    </row>
    <row r="37091" ht="15.75" customHeight="1">
      <c r="A37091" s="7"/>
      <c r="B37091" s="7"/>
      <c r="M37091" s="9" t="s">
        <v>30</v>
      </c>
    </row>
    <row r="37092" ht="15.75" customHeight="1">
      <c r="A37092" s="7"/>
      <c r="B37092" s="7"/>
      <c r="M37092" s="9" t="s">
        <v>25</v>
      </c>
    </row>
    <row r="37093" ht="15.75" customHeight="1">
      <c r="A37093" s="7"/>
      <c r="B37093" s="7"/>
      <c r="M37093" s="9" t="s">
        <v>26</v>
      </c>
    </row>
    <row r="37094" ht="15.75" customHeight="1">
      <c r="A37094" s="7"/>
      <c r="B37094" s="7"/>
      <c r="M37094" s="9" t="s">
        <v>24</v>
      </c>
    </row>
    <row r="37095" ht="15.75" customHeight="1">
      <c r="A37095" s="7"/>
      <c r="B37095" s="7"/>
      <c r="M37095" s="9" t="s">
        <v>20</v>
      </c>
    </row>
    <row r="37096" ht="15.75" customHeight="1">
      <c r="A37096" s="7"/>
      <c r="B37096" s="7"/>
      <c r="M37096" s="9" t="s">
        <v>21</v>
      </c>
    </row>
    <row r="37097" ht="15.75" customHeight="1">
      <c r="A37097" s="7"/>
      <c r="B37097" s="7"/>
      <c r="M37097" s="9" t="s">
        <v>37</v>
      </c>
    </row>
    <row r="37098" ht="15.75" customHeight="1">
      <c r="A37098" s="7"/>
      <c r="B37098" s="7"/>
      <c r="M37098" s="9" t="s">
        <v>22</v>
      </c>
    </row>
    <row r="37099" ht="15.75" customHeight="1">
      <c r="A37099" s="7"/>
      <c r="B37099" s="7"/>
      <c r="M37099" s="9" t="s">
        <v>33</v>
      </c>
    </row>
    <row r="37100" ht="15.75" customHeight="1">
      <c r="A37100" s="7"/>
      <c r="B37100" s="7"/>
      <c r="M37100" s="9" t="s">
        <v>25</v>
      </c>
    </row>
    <row r="37101" ht="15.75" customHeight="1">
      <c r="A37101" s="7"/>
      <c r="B37101" s="7"/>
      <c r="M37101" s="9" t="s">
        <v>24</v>
      </c>
    </row>
    <row r="37102" ht="15.75" customHeight="1">
      <c r="A37102" s="7"/>
      <c r="B37102" s="7"/>
      <c r="M37102" s="9" t="s">
        <v>20</v>
      </c>
    </row>
    <row r="37103" ht="15.75" customHeight="1">
      <c r="A37103" s="7"/>
      <c r="B37103" s="7"/>
      <c r="M37103" s="9" t="s">
        <v>39</v>
      </c>
    </row>
    <row r="37104" ht="15.75" customHeight="1">
      <c r="A37104" s="7"/>
      <c r="B37104" s="7"/>
      <c r="M37104" s="9" t="s">
        <v>37</v>
      </c>
    </row>
    <row r="37105" ht="15.75" customHeight="1">
      <c r="A37105" s="7"/>
      <c r="B37105" s="7"/>
      <c r="M37105" s="9" t="s">
        <v>22</v>
      </c>
    </row>
    <row r="37106" ht="15.75" customHeight="1">
      <c r="A37106" s="7"/>
      <c r="B37106" s="7"/>
      <c r="M37106" s="9" t="s">
        <v>31</v>
      </c>
    </row>
    <row r="37107" ht="15.75" customHeight="1">
      <c r="A37107" s="7"/>
      <c r="B37107" s="7"/>
      <c r="M37107" s="9" t="s">
        <v>27</v>
      </c>
    </row>
    <row r="37108" ht="15.75" customHeight="1">
      <c r="A37108" s="7"/>
      <c r="B37108" s="7"/>
      <c r="M37108" s="9" t="s">
        <v>24</v>
      </c>
    </row>
    <row r="37109" ht="15.75" customHeight="1">
      <c r="A37109" s="7"/>
      <c r="B37109" s="7"/>
      <c r="M37109" s="9" t="s">
        <v>21</v>
      </c>
    </row>
    <row r="37110" ht="15.75" customHeight="1">
      <c r="A37110" s="7"/>
      <c r="B37110" s="7"/>
      <c r="M37110" s="9" t="s">
        <v>22</v>
      </c>
    </row>
    <row r="37111" ht="15.75" customHeight="1">
      <c r="A37111" s="7"/>
      <c r="B37111" s="7"/>
      <c r="M37111" s="9" t="s">
        <v>29</v>
      </c>
    </row>
    <row r="37112" ht="15.75" customHeight="1">
      <c r="A37112" s="7"/>
      <c r="B37112" s="7"/>
      <c r="M37112" s="9" t="s">
        <v>27</v>
      </c>
    </row>
    <row r="37113" ht="15.75" customHeight="1">
      <c r="A37113" s="7"/>
      <c r="B37113" s="7"/>
      <c r="M37113" s="9" t="s">
        <v>38</v>
      </c>
    </row>
    <row r="37114" ht="15.75" customHeight="1">
      <c r="A37114" s="7"/>
      <c r="B37114" s="7"/>
      <c r="M37114" s="9" t="s">
        <v>24</v>
      </c>
    </row>
    <row r="37115" ht="15.75" customHeight="1">
      <c r="A37115" s="7"/>
      <c r="B37115" s="7"/>
      <c r="M37115" s="9" t="s">
        <v>21</v>
      </c>
    </row>
    <row r="37116" ht="15.75" customHeight="1">
      <c r="A37116" s="7"/>
      <c r="B37116" s="7"/>
      <c r="M37116" s="9" t="s">
        <v>37</v>
      </c>
    </row>
    <row r="37117" ht="15.75" customHeight="1">
      <c r="A37117" s="7"/>
      <c r="B37117" s="7"/>
      <c r="M37117" s="9" t="s">
        <v>30</v>
      </c>
    </row>
    <row r="37118" ht="15.75" customHeight="1">
      <c r="A37118" s="7"/>
      <c r="B37118" s="7"/>
      <c r="M37118" s="9" t="s">
        <v>36</v>
      </c>
    </row>
    <row r="37119" ht="15.75" customHeight="1">
      <c r="A37119" s="7"/>
      <c r="B37119" s="7"/>
      <c r="M37119" s="9" t="s">
        <v>24</v>
      </c>
    </row>
    <row r="37120" ht="15.75" customHeight="1">
      <c r="A37120" s="7"/>
      <c r="B37120" s="7"/>
      <c r="M37120" s="9" t="s">
        <v>20</v>
      </c>
    </row>
    <row r="37121" ht="15.75" customHeight="1">
      <c r="A37121" s="7"/>
      <c r="B37121" s="7"/>
      <c r="M37121" s="9" t="s">
        <v>21</v>
      </c>
    </row>
    <row r="37122" ht="15.75" customHeight="1">
      <c r="A37122" s="7"/>
      <c r="B37122" s="7"/>
      <c r="M37122" s="9" t="s">
        <v>39</v>
      </c>
    </row>
    <row r="37123" ht="15.75" customHeight="1">
      <c r="A37123" s="7"/>
      <c r="B37123" s="7"/>
      <c r="M37123" s="9" t="s">
        <v>41</v>
      </c>
    </row>
    <row r="37124" ht="15.75" customHeight="1">
      <c r="A37124" s="7"/>
      <c r="B37124" s="7"/>
      <c r="M37124" s="9" t="s">
        <v>22</v>
      </c>
    </row>
    <row r="37125" ht="15.75" customHeight="1">
      <c r="A37125" s="7"/>
      <c r="B37125" s="7"/>
      <c r="M37125" s="9" t="s">
        <v>40</v>
      </c>
    </row>
    <row r="37126" ht="15.75" customHeight="1">
      <c r="A37126" s="7"/>
      <c r="B37126" s="7"/>
      <c r="M37126" s="9" t="s">
        <v>33</v>
      </c>
    </row>
    <row r="37127" ht="15.75" customHeight="1">
      <c r="A37127" s="7"/>
      <c r="B37127" s="7"/>
      <c r="M37127" s="9" t="s">
        <v>26</v>
      </c>
    </row>
    <row r="37128" ht="15.75" customHeight="1">
      <c r="A37128" s="7"/>
      <c r="B37128" s="7"/>
      <c r="M37128" s="9" t="s">
        <v>21</v>
      </c>
    </row>
    <row r="37129" ht="15.75" customHeight="1">
      <c r="A37129" s="7"/>
      <c r="B37129" s="7"/>
      <c r="M37129" s="9" t="s">
        <v>27</v>
      </c>
    </row>
    <row r="37130" ht="15.75" customHeight="1">
      <c r="A37130" s="7"/>
      <c r="B37130" s="7"/>
      <c r="M37130" s="9" t="s">
        <v>38</v>
      </c>
    </row>
    <row r="37131" ht="15.75" customHeight="1">
      <c r="A37131" s="7"/>
      <c r="B37131" s="7"/>
      <c r="M37131" s="9" t="s">
        <v>36</v>
      </c>
    </row>
    <row r="37132" ht="15.75" customHeight="1">
      <c r="A37132" s="7"/>
      <c r="B37132" s="7"/>
      <c r="M37132" s="9" t="s">
        <v>24</v>
      </c>
    </row>
    <row r="37133" ht="15.75" customHeight="1">
      <c r="A37133" s="7"/>
      <c r="B37133" s="7"/>
      <c r="M37133" s="9" t="s">
        <v>20</v>
      </c>
    </row>
    <row r="37134" ht="15.75" customHeight="1">
      <c r="A37134" s="7"/>
      <c r="B37134" s="7"/>
      <c r="M37134" s="9" t="s">
        <v>21</v>
      </c>
    </row>
    <row r="37135" ht="15.75" customHeight="1">
      <c r="A37135" s="7"/>
      <c r="B37135" s="7"/>
      <c r="M37135" s="9" t="s">
        <v>40</v>
      </c>
    </row>
    <row r="37136" ht="15.75" customHeight="1">
      <c r="A37136" s="7"/>
      <c r="B37136" s="7"/>
      <c r="M37136" s="9" t="s">
        <v>33</v>
      </c>
    </row>
    <row r="37137" ht="15.75" customHeight="1">
      <c r="A37137" s="7"/>
      <c r="B37137" s="7"/>
      <c r="M37137" s="9" t="s">
        <v>38</v>
      </c>
    </row>
    <row r="37138" ht="15.75" customHeight="1">
      <c r="A37138" s="7"/>
      <c r="B37138" s="7"/>
      <c r="M37138" s="9" t="s">
        <v>30</v>
      </c>
    </row>
    <row r="37139" ht="15.75" customHeight="1">
      <c r="A37139" s="7"/>
      <c r="B37139" s="7"/>
      <c r="M37139" s="9" t="s">
        <v>26</v>
      </c>
    </row>
    <row r="37140" ht="15.75" customHeight="1">
      <c r="A37140" s="7"/>
      <c r="B37140" s="7"/>
      <c r="M37140" s="9" t="s">
        <v>24</v>
      </c>
    </row>
    <row r="37141" ht="15.75" customHeight="1">
      <c r="A37141" s="7"/>
      <c r="B37141" s="7"/>
      <c r="M37141" s="9" t="s">
        <v>21</v>
      </c>
    </row>
    <row r="37142" ht="15.75" customHeight="1">
      <c r="A37142" s="7"/>
      <c r="B37142" s="7"/>
      <c r="M37142" s="9" t="s">
        <v>22</v>
      </c>
    </row>
    <row r="37143" ht="15.75" customHeight="1">
      <c r="A37143" s="7"/>
      <c r="B37143" s="7"/>
      <c r="M37143" s="9" t="s">
        <v>30</v>
      </c>
    </row>
    <row r="37144" ht="15.75" customHeight="1">
      <c r="A37144" s="7"/>
      <c r="B37144" s="7"/>
      <c r="M37144" s="9" t="s">
        <v>42</v>
      </c>
    </row>
    <row r="37145" ht="15.75" customHeight="1">
      <c r="A37145" s="7"/>
      <c r="B37145" s="7"/>
      <c r="M37145" s="9" t="s">
        <v>22</v>
      </c>
    </row>
    <row r="37146" ht="15.75" customHeight="1">
      <c r="A37146" s="7"/>
      <c r="B37146" s="7"/>
      <c r="M37146" s="9" t="s">
        <v>35</v>
      </c>
    </row>
    <row r="37147" ht="15.75" customHeight="1">
      <c r="A37147" s="7"/>
      <c r="B37147" s="7"/>
      <c r="M37147" s="9" t="s">
        <v>30</v>
      </c>
    </row>
    <row r="37148" ht="15.75" customHeight="1">
      <c r="A37148" s="7"/>
      <c r="B37148" s="7"/>
      <c r="M37148" s="9" t="s">
        <v>26</v>
      </c>
    </row>
    <row r="37149" ht="15.75" customHeight="1">
      <c r="A37149" s="7"/>
      <c r="B37149" s="7"/>
      <c r="M37149" s="9" t="s">
        <v>20</v>
      </c>
    </row>
    <row r="37150" ht="15.75" customHeight="1">
      <c r="A37150" s="7"/>
      <c r="B37150" s="7"/>
      <c r="M37150" s="9" t="s">
        <v>22</v>
      </c>
    </row>
    <row r="37151" ht="15.75" customHeight="1">
      <c r="A37151" s="7"/>
      <c r="B37151" s="7"/>
      <c r="M37151" s="9" t="s">
        <v>38</v>
      </c>
    </row>
    <row r="37152" ht="15.75" customHeight="1">
      <c r="A37152" s="7"/>
      <c r="B37152" s="7"/>
      <c r="M37152" s="9" t="s">
        <v>30</v>
      </c>
    </row>
    <row r="37153" ht="15.75" customHeight="1">
      <c r="A37153" s="7"/>
      <c r="B37153" s="7"/>
      <c r="M37153" s="9" t="s">
        <v>24</v>
      </c>
    </row>
    <row r="37154" ht="15.75" customHeight="1">
      <c r="A37154" s="7"/>
      <c r="B37154" s="7"/>
      <c r="M37154" s="9" t="s">
        <v>20</v>
      </c>
    </row>
    <row r="37155" ht="15.75" customHeight="1">
      <c r="A37155" s="7"/>
      <c r="B37155" s="7"/>
      <c r="M37155" s="9" t="s">
        <v>21</v>
      </c>
    </row>
    <row r="37156" ht="15.75" customHeight="1">
      <c r="A37156" s="7"/>
      <c r="B37156" s="7"/>
      <c r="M37156" s="9" t="s">
        <v>37</v>
      </c>
    </row>
    <row r="37157" ht="15.75" customHeight="1">
      <c r="A37157" s="7"/>
      <c r="B37157" s="7"/>
      <c r="M37157" s="9" t="s">
        <v>22</v>
      </c>
    </row>
    <row r="37158" ht="15.75" customHeight="1">
      <c r="A37158" s="7"/>
      <c r="B37158" s="7"/>
      <c r="M37158" s="9" t="s">
        <v>27</v>
      </c>
    </row>
    <row r="37159" ht="15.75" customHeight="1">
      <c r="A37159" s="7"/>
      <c r="B37159" s="7"/>
      <c r="M37159" s="9" t="s">
        <v>40</v>
      </c>
    </row>
    <row r="37160" ht="15.75" customHeight="1">
      <c r="A37160" s="7"/>
      <c r="B37160" s="7"/>
      <c r="M37160" s="9" t="s">
        <v>24</v>
      </c>
    </row>
    <row r="37161" ht="15.75" customHeight="1">
      <c r="A37161" s="7"/>
      <c r="B37161" s="7"/>
      <c r="M37161" s="9" t="s">
        <v>21</v>
      </c>
    </row>
    <row r="37162" ht="15.75" customHeight="1">
      <c r="A37162" s="7"/>
      <c r="B37162" s="7"/>
      <c r="M37162" s="9" t="s">
        <v>22</v>
      </c>
    </row>
    <row r="37163" ht="15.75" customHeight="1">
      <c r="A37163" s="7"/>
      <c r="B37163" s="7"/>
      <c r="M37163" s="9" t="s">
        <v>29</v>
      </c>
    </row>
    <row r="37164" ht="15.75" customHeight="1">
      <c r="A37164" s="7"/>
      <c r="B37164" s="7"/>
      <c r="M37164" s="9" t="s">
        <v>46</v>
      </c>
    </row>
    <row r="37165" ht="15.75" customHeight="1">
      <c r="A37165" s="7"/>
      <c r="B37165" s="7"/>
      <c r="M37165" s="9" t="s">
        <v>27</v>
      </c>
    </row>
    <row r="37166" ht="15.75" customHeight="1">
      <c r="A37166" s="7"/>
      <c r="B37166" s="7"/>
      <c r="M37166" s="9" t="s">
        <v>24</v>
      </c>
    </row>
    <row r="37167" ht="15.75" customHeight="1">
      <c r="A37167" s="7"/>
      <c r="B37167" s="7"/>
      <c r="M37167" s="9" t="s">
        <v>21</v>
      </c>
    </row>
    <row r="37168" ht="15.75" customHeight="1">
      <c r="A37168" s="7"/>
      <c r="B37168" s="7"/>
      <c r="M37168" s="9" t="s">
        <v>22</v>
      </c>
    </row>
    <row r="37169" ht="15.75" customHeight="1">
      <c r="A37169" s="7"/>
      <c r="B37169" s="7"/>
      <c r="M37169" s="9" t="s">
        <v>30</v>
      </c>
    </row>
    <row r="37170" ht="15.75" customHeight="1">
      <c r="A37170" s="7"/>
      <c r="B37170" s="7"/>
      <c r="M37170" s="9" t="s">
        <v>23</v>
      </c>
    </row>
    <row r="37171" ht="15.75" customHeight="1">
      <c r="A37171" s="7"/>
      <c r="B37171" s="7"/>
      <c r="M37171" s="9" t="s">
        <v>36</v>
      </c>
    </row>
    <row r="37172" ht="15.75" customHeight="1">
      <c r="A37172" s="7"/>
      <c r="B37172" s="7"/>
      <c r="M37172" s="9" t="s">
        <v>24</v>
      </c>
    </row>
    <row r="37173" ht="15.75" customHeight="1">
      <c r="A37173" s="7"/>
      <c r="B37173" s="7"/>
      <c r="M37173" s="9" t="s">
        <v>22</v>
      </c>
    </row>
    <row r="37174" ht="15.75" customHeight="1">
      <c r="A37174" s="7"/>
      <c r="B37174" s="7"/>
      <c r="M37174" s="9" t="s">
        <v>27</v>
      </c>
    </row>
    <row r="37175" ht="15.75" customHeight="1">
      <c r="A37175" s="7"/>
      <c r="B37175" s="7"/>
      <c r="M37175" s="9" t="s">
        <v>24</v>
      </c>
    </row>
    <row r="37176" ht="15.75" customHeight="1">
      <c r="A37176" s="7"/>
      <c r="B37176" s="7"/>
      <c r="M37176" s="9" t="s">
        <v>21</v>
      </c>
    </row>
    <row r="37177" ht="15.75" customHeight="1">
      <c r="A37177" s="7"/>
      <c r="B37177" s="7"/>
      <c r="M37177" s="9" t="s">
        <v>33</v>
      </c>
    </row>
    <row r="37178" ht="15.75" customHeight="1">
      <c r="A37178" s="7"/>
      <c r="B37178" s="7"/>
      <c r="M37178" s="9" t="s">
        <v>41</v>
      </c>
    </row>
    <row r="37179" ht="15.75" customHeight="1">
      <c r="A37179" s="7"/>
      <c r="B37179" s="7"/>
      <c r="M37179" s="9" t="s">
        <v>40</v>
      </c>
    </row>
    <row r="37180" ht="15.75" customHeight="1">
      <c r="A37180" s="7"/>
      <c r="B37180" s="7"/>
      <c r="M37180" s="9" t="s">
        <v>25</v>
      </c>
    </row>
    <row r="37181" ht="15.75" customHeight="1">
      <c r="A37181" s="7"/>
      <c r="B37181" s="7"/>
      <c r="M37181" s="9" t="s">
        <v>23</v>
      </c>
    </row>
    <row r="37182" ht="15.75" customHeight="1">
      <c r="A37182" s="7"/>
      <c r="B37182" s="7"/>
      <c r="M37182" s="9" t="s">
        <v>43</v>
      </c>
    </row>
    <row r="37183" ht="15.75" customHeight="1">
      <c r="A37183" s="7"/>
      <c r="B37183" s="7"/>
      <c r="M37183" s="9" t="s">
        <v>20</v>
      </c>
    </row>
    <row r="37184" ht="15.75" customHeight="1">
      <c r="A37184" s="7"/>
      <c r="B37184" s="7"/>
      <c r="M37184" s="9" t="s">
        <v>21</v>
      </c>
    </row>
    <row r="37185" ht="15.75" customHeight="1">
      <c r="A37185" s="7"/>
      <c r="B37185" s="7"/>
      <c r="M37185" s="9" t="s">
        <v>22</v>
      </c>
    </row>
    <row r="37186" ht="15.75" customHeight="1">
      <c r="A37186" s="7"/>
      <c r="B37186" s="7"/>
      <c r="M37186" s="9" t="s">
        <v>27</v>
      </c>
    </row>
    <row r="37187" ht="15.75" customHeight="1">
      <c r="A37187" s="7"/>
      <c r="B37187" s="7"/>
      <c r="M37187" s="9" t="s">
        <v>30</v>
      </c>
    </row>
    <row r="37188" ht="15.75" customHeight="1">
      <c r="A37188" s="7"/>
      <c r="B37188" s="7"/>
      <c r="M37188" s="9" t="s">
        <v>24</v>
      </c>
    </row>
    <row r="37189" ht="15.75" customHeight="1">
      <c r="A37189" s="7"/>
      <c r="B37189" s="7"/>
      <c r="M37189" s="9" t="s">
        <v>20</v>
      </c>
    </row>
    <row r="37190" ht="15.75" customHeight="1">
      <c r="A37190" s="7"/>
      <c r="B37190" s="7"/>
      <c r="M37190" s="9" t="s">
        <v>21</v>
      </c>
    </row>
    <row r="37191" ht="15.75" customHeight="1">
      <c r="A37191" s="7"/>
      <c r="B37191" s="7"/>
      <c r="M37191" s="9" t="s">
        <v>22</v>
      </c>
    </row>
    <row r="37192" ht="15.75" customHeight="1">
      <c r="A37192" s="7"/>
      <c r="B37192" s="7"/>
      <c r="M37192" s="9" t="s">
        <v>27</v>
      </c>
    </row>
    <row r="37193" ht="15.75" customHeight="1">
      <c r="A37193" s="7"/>
      <c r="B37193" s="7"/>
      <c r="M37193" s="9" t="s">
        <v>33</v>
      </c>
    </row>
    <row r="37194" ht="15.75" customHeight="1">
      <c r="A37194" s="7"/>
      <c r="B37194" s="7"/>
      <c r="M37194" s="9" t="s">
        <v>30</v>
      </c>
    </row>
    <row r="37195" ht="15.75" customHeight="1">
      <c r="A37195" s="7"/>
      <c r="B37195" s="7"/>
      <c r="M37195" s="9" t="s">
        <v>24</v>
      </c>
    </row>
    <row r="37196" ht="15.75" customHeight="1">
      <c r="A37196" s="7"/>
      <c r="B37196" s="7"/>
      <c r="M37196" s="9" t="s">
        <v>20</v>
      </c>
    </row>
    <row r="37197" ht="15.75" customHeight="1">
      <c r="A37197" s="7"/>
      <c r="B37197" s="7"/>
      <c r="M37197" s="9" t="s">
        <v>21</v>
      </c>
    </row>
    <row r="37198" ht="15.75" customHeight="1">
      <c r="A37198" s="7"/>
      <c r="B37198" s="7"/>
      <c r="M37198" s="9" t="s">
        <v>22</v>
      </c>
    </row>
    <row r="37199" ht="15.75" customHeight="1">
      <c r="A37199" s="7"/>
      <c r="B37199" s="7"/>
      <c r="M37199" s="9" t="s">
        <v>23</v>
      </c>
    </row>
    <row r="37200" ht="15.75" customHeight="1">
      <c r="A37200" s="7"/>
      <c r="B37200" s="7"/>
      <c r="M37200" s="9" t="s">
        <v>26</v>
      </c>
    </row>
    <row r="37201" ht="15.75" customHeight="1">
      <c r="A37201" s="7"/>
      <c r="B37201" s="7"/>
      <c r="M37201" s="9" t="s">
        <v>24</v>
      </c>
    </row>
    <row r="37202" ht="15.75" customHeight="1">
      <c r="A37202" s="7"/>
      <c r="B37202" s="7"/>
      <c r="M37202" s="9" t="s">
        <v>22</v>
      </c>
    </row>
    <row r="37203" ht="15.75" customHeight="1">
      <c r="A37203" s="7"/>
      <c r="B37203" s="7"/>
      <c r="M37203" s="9" t="s">
        <v>21</v>
      </c>
    </row>
    <row r="37204" ht="15.75" customHeight="1">
      <c r="A37204" s="7"/>
      <c r="B37204" s="7"/>
      <c r="M37204" s="9" t="s">
        <v>33</v>
      </c>
    </row>
    <row r="37205" ht="15.75" customHeight="1">
      <c r="A37205" s="7"/>
      <c r="B37205" s="7"/>
      <c r="M37205" s="9" t="s">
        <v>30</v>
      </c>
    </row>
    <row r="37206" ht="15.75" customHeight="1">
      <c r="A37206" s="7"/>
      <c r="B37206" s="7"/>
      <c r="M37206" s="9" t="s">
        <v>25</v>
      </c>
    </row>
    <row r="37207" ht="15.75" customHeight="1">
      <c r="A37207" s="7"/>
      <c r="B37207" s="7"/>
      <c r="M37207" s="9" t="s">
        <v>36</v>
      </c>
    </row>
    <row r="37208" ht="15.75" customHeight="1">
      <c r="A37208" s="7"/>
      <c r="B37208" s="7"/>
      <c r="M37208" s="9" t="s">
        <v>24</v>
      </c>
    </row>
    <row r="37209" ht="15.75" customHeight="1">
      <c r="A37209" s="7"/>
      <c r="B37209" s="7"/>
      <c r="M37209" s="9" t="s">
        <v>21</v>
      </c>
    </row>
    <row r="37210" ht="15.75" customHeight="1">
      <c r="A37210" s="7"/>
      <c r="B37210" s="7"/>
      <c r="M37210" s="9" t="s">
        <v>22</v>
      </c>
    </row>
    <row r="37211" ht="15.75" customHeight="1">
      <c r="A37211" s="7"/>
      <c r="B37211" s="7"/>
      <c r="M37211" s="9" t="s">
        <v>27</v>
      </c>
    </row>
    <row r="37212" ht="15.75" customHeight="1">
      <c r="A37212" s="7"/>
      <c r="B37212" s="7"/>
      <c r="M37212" s="9" t="s">
        <v>33</v>
      </c>
    </row>
    <row r="37213" ht="15.75" customHeight="1">
      <c r="A37213" s="7"/>
      <c r="B37213" s="7"/>
      <c r="M37213" s="9" t="s">
        <v>35</v>
      </c>
    </row>
    <row r="37214" ht="15.75" customHeight="1">
      <c r="A37214" s="7"/>
      <c r="B37214" s="7"/>
      <c r="M37214" s="9" t="s">
        <v>26</v>
      </c>
    </row>
    <row r="37215" ht="15.75" customHeight="1">
      <c r="A37215" s="7"/>
      <c r="B37215" s="7"/>
      <c r="M37215" s="9" t="s">
        <v>24</v>
      </c>
    </row>
    <row r="37216" ht="15.75" customHeight="1">
      <c r="A37216" s="7"/>
      <c r="B37216" s="7"/>
      <c r="M37216" s="9" t="s">
        <v>21</v>
      </c>
    </row>
    <row r="37217" ht="15.75" customHeight="1">
      <c r="A37217" s="7"/>
      <c r="B37217" s="7"/>
      <c r="M37217" s="9" t="s">
        <v>27</v>
      </c>
    </row>
    <row r="37218" ht="15.75" customHeight="1">
      <c r="A37218" s="7"/>
      <c r="B37218" s="7"/>
      <c r="M37218" s="9" t="s">
        <v>33</v>
      </c>
    </row>
    <row r="37219" ht="15.75" customHeight="1">
      <c r="A37219" s="7"/>
      <c r="B37219" s="7"/>
      <c r="M37219" s="9" t="s">
        <v>21</v>
      </c>
    </row>
    <row r="37220" ht="15.75" customHeight="1">
      <c r="A37220" s="7"/>
      <c r="B37220" s="7"/>
      <c r="M37220" s="9" t="s">
        <v>37</v>
      </c>
    </row>
    <row r="37221" ht="15.75" customHeight="1">
      <c r="A37221" s="7"/>
      <c r="B37221" s="7"/>
      <c r="M37221" s="9" t="s">
        <v>22</v>
      </c>
    </row>
    <row r="37222" ht="15.75" customHeight="1">
      <c r="A37222" s="7"/>
      <c r="B37222" s="7"/>
      <c r="M37222" s="9" t="s">
        <v>24</v>
      </c>
    </row>
    <row r="37223" ht="15.75" customHeight="1">
      <c r="A37223" s="7"/>
      <c r="B37223" s="7"/>
      <c r="M37223" s="9" t="s">
        <v>21</v>
      </c>
    </row>
    <row r="37224" ht="15.75" customHeight="1">
      <c r="A37224" s="7"/>
      <c r="B37224" s="7"/>
      <c r="M37224" s="9" t="s">
        <v>37</v>
      </c>
    </row>
    <row r="37225" ht="15.75" customHeight="1">
      <c r="A37225" s="7"/>
      <c r="B37225" s="7"/>
      <c r="M37225" s="9" t="s">
        <v>27</v>
      </c>
    </row>
    <row r="37226" ht="15.75" customHeight="1">
      <c r="A37226" s="7"/>
      <c r="B37226" s="7"/>
      <c r="M37226" s="9" t="s">
        <v>23</v>
      </c>
    </row>
    <row r="37227" ht="15.75" customHeight="1">
      <c r="A37227" s="7"/>
      <c r="B37227" s="7"/>
      <c r="M37227" s="9" t="s">
        <v>26</v>
      </c>
    </row>
    <row r="37228" ht="15.75" customHeight="1">
      <c r="A37228" s="7"/>
      <c r="B37228" s="7"/>
      <c r="M37228" s="9" t="s">
        <v>24</v>
      </c>
    </row>
    <row r="37229" ht="15.75" customHeight="1">
      <c r="A37229" s="7"/>
      <c r="B37229" s="7"/>
      <c r="M37229" s="9" t="s">
        <v>21</v>
      </c>
    </row>
    <row r="37230" ht="15.75" customHeight="1">
      <c r="A37230" s="7"/>
      <c r="B37230" s="7"/>
      <c r="M37230" s="9" t="s">
        <v>37</v>
      </c>
    </row>
    <row r="37231" ht="15.75" customHeight="1">
      <c r="A37231" s="7"/>
      <c r="B37231" s="7"/>
      <c r="M37231" s="9" t="s">
        <v>24</v>
      </c>
    </row>
    <row r="37232" ht="15.75" customHeight="1">
      <c r="A37232" s="7"/>
      <c r="B37232" s="7"/>
      <c r="M37232" s="9" t="s">
        <v>21</v>
      </c>
    </row>
    <row r="37233" ht="15.75" customHeight="1">
      <c r="A37233" s="7"/>
      <c r="B37233" s="7"/>
      <c r="M37233" s="9" t="s">
        <v>33</v>
      </c>
    </row>
    <row r="37234" ht="15.75" customHeight="1">
      <c r="A37234" s="7"/>
      <c r="B37234" s="7"/>
      <c r="M37234" s="9" t="s">
        <v>26</v>
      </c>
    </row>
    <row r="37235" ht="15.75" customHeight="1">
      <c r="A37235" s="7"/>
      <c r="B37235" s="7"/>
      <c r="M37235" s="9" t="s">
        <v>20</v>
      </c>
    </row>
    <row r="37236" ht="15.75" customHeight="1">
      <c r="A37236" s="7"/>
      <c r="B37236" s="7"/>
      <c r="M37236" s="9" t="s">
        <v>21</v>
      </c>
    </row>
    <row r="37237" ht="15.75" customHeight="1">
      <c r="A37237" s="7"/>
      <c r="B37237" s="7"/>
      <c r="M37237" s="9" t="s">
        <v>27</v>
      </c>
    </row>
    <row r="37238" ht="15.75" customHeight="1">
      <c r="A37238" s="7"/>
      <c r="B37238" s="7"/>
      <c r="M37238" s="9" t="s">
        <v>26</v>
      </c>
    </row>
    <row r="37239" ht="15.75" customHeight="1">
      <c r="A37239" s="7"/>
      <c r="B37239" s="7"/>
      <c r="M37239" s="9" t="s">
        <v>24</v>
      </c>
    </row>
    <row r="37240" ht="15.75" customHeight="1">
      <c r="A37240" s="7"/>
      <c r="B37240" s="7"/>
      <c r="M37240" s="9" t="s">
        <v>21</v>
      </c>
    </row>
    <row r="37241" ht="15.75" customHeight="1">
      <c r="A37241" s="7"/>
      <c r="B37241" s="7"/>
      <c r="M37241" s="9" t="s">
        <v>27</v>
      </c>
    </row>
    <row r="37242" ht="15.75" customHeight="1">
      <c r="A37242" s="7"/>
      <c r="B37242" s="7"/>
      <c r="M37242" s="9" t="s">
        <v>30</v>
      </c>
    </row>
    <row r="37243" ht="15.75" customHeight="1">
      <c r="A37243" s="7"/>
      <c r="B37243" s="7"/>
      <c r="M37243" s="9" t="s">
        <v>25</v>
      </c>
    </row>
    <row r="37244" ht="15.75" customHeight="1">
      <c r="A37244" s="7"/>
      <c r="B37244" s="7"/>
      <c r="M37244" s="9" t="s">
        <v>23</v>
      </c>
    </row>
    <row r="37245" ht="15.75" customHeight="1">
      <c r="A37245" s="7"/>
      <c r="B37245" s="7"/>
      <c r="M37245" s="9" t="s">
        <v>20</v>
      </c>
    </row>
    <row r="37246" ht="15.75" customHeight="1">
      <c r="A37246" s="7"/>
      <c r="B37246" s="7"/>
      <c r="M37246" s="9" t="s">
        <v>41</v>
      </c>
    </row>
    <row r="37247" ht="15.75" customHeight="1">
      <c r="A37247" s="7"/>
      <c r="B37247" s="7"/>
      <c r="M37247" s="9" t="s">
        <v>22</v>
      </c>
    </row>
    <row r="37248" ht="15.75" customHeight="1">
      <c r="A37248" s="7"/>
      <c r="B37248" s="7"/>
      <c r="M37248" s="9" t="s">
        <v>27</v>
      </c>
    </row>
    <row r="37249" ht="15.75" customHeight="1">
      <c r="A37249" s="7"/>
      <c r="B37249" s="7"/>
      <c r="M37249" s="9" t="s">
        <v>40</v>
      </c>
    </row>
    <row r="37250" ht="15.75" customHeight="1">
      <c r="A37250" s="7"/>
      <c r="B37250" s="7"/>
      <c r="M37250" s="9" t="s">
        <v>28</v>
      </c>
    </row>
    <row r="37251" ht="15.75" customHeight="1">
      <c r="A37251" s="7"/>
      <c r="B37251" s="7"/>
      <c r="M37251" s="9" t="s">
        <v>24</v>
      </c>
    </row>
    <row r="37252" ht="15.75" customHeight="1">
      <c r="A37252" s="7"/>
      <c r="B37252" s="7"/>
      <c r="M37252" s="9" t="s">
        <v>21</v>
      </c>
    </row>
    <row r="37253" ht="15.75" customHeight="1">
      <c r="A37253" s="7"/>
      <c r="B37253" s="7"/>
      <c r="M37253" s="9" t="s">
        <v>41</v>
      </c>
    </row>
    <row r="37254" ht="15.75" customHeight="1">
      <c r="A37254" s="7"/>
      <c r="B37254" s="7"/>
      <c r="M37254" s="9" t="s">
        <v>22</v>
      </c>
    </row>
    <row r="37255" ht="15.75" customHeight="1">
      <c r="A37255" s="7"/>
      <c r="B37255" s="7"/>
      <c r="M37255" s="9" t="s">
        <v>28</v>
      </c>
    </row>
    <row r="37256" ht="15.75" customHeight="1">
      <c r="A37256" s="7"/>
      <c r="B37256" s="7"/>
      <c r="M37256" s="9" t="s">
        <v>24</v>
      </c>
    </row>
    <row r="37257" ht="15.75" customHeight="1">
      <c r="A37257" s="7"/>
      <c r="B37257" s="7"/>
      <c r="M37257" s="9" t="s">
        <v>21</v>
      </c>
    </row>
    <row r="37258" ht="15.75" customHeight="1">
      <c r="A37258" s="7"/>
      <c r="B37258" s="7"/>
      <c r="M37258" s="9" t="s">
        <v>37</v>
      </c>
    </row>
    <row r="37259" ht="15.75" customHeight="1">
      <c r="A37259" s="7"/>
      <c r="B37259" s="7"/>
      <c r="M37259" s="9" t="s">
        <v>35</v>
      </c>
    </row>
    <row r="37260" ht="15.75" customHeight="1">
      <c r="A37260" s="7"/>
      <c r="B37260" s="7"/>
      <c r="M37260" s="9" t="s">
        <v>30</v>
      </c>
    </row>
    <row r="37261" ht="15.75" customHeight="1">
      <c r="A37261" s="7"/>
      <c r="B37261" s="7"/>
      <c r="M37261" s="9" t="s">
        <v>26</v>
      </c>
    </row>
    <row r="37262" ht="15.75" customHeight="1">
      <c r="A37262" s="7"/>
      <c r="B37262" s="7"/>
      <c r="M37262" s="9" t="s">
        <v>24</v>
      </c>
    </row>
    <row r="37263" ht="15.75" customHeight="1">
      <c r="A37263" s="7"/>
      <c r="B37263" s="7"/>
      <c r="M37263" s="9" t="s">
        <v>28</v>
      </c>
    </row>
    <row r="37264" ht="15.75" customHeight="1">
      <c r="A37264" s="7"/>
      <c r="B37264" s="7"/>
      <c r="M37264" s="9" t="s">
        <v>26</v>
      </c>
    </row>
    <row r="37265" ht="15.75" customHeight="1">
      <c r="A37265" s="7"/>
      <c r="B37265" s="7"/>
      <c r="M37265" s="9" t="s">
        <v>24</v>
      </c>
    </row>
    <row r="37266" ht="15.75" customHeight="1">
      <c r="A37266" s="7"/>
      <c r="B37266" s="7"/>
      <c r="M37266" s="9" t="s">
        <v>21</v>
      </c>
    </row>
    <row r="37267" ht="15.75" customHeight="1">
      <c r="A37267" s="7"/>
      <c r="B37267" s="7"/>
      <c r="M37267" s="9" t="s">
        <v>40</v>
      </c>
    </row>
    <row r="37268" ht="15.75" customHeight="1">
      <c r="A37268" s="7"/>
      <c r="B37268" s="7"/>
      <c r="M37268" s="9" t="s">
        <v>26</v>
      </c>
    </row>
    <row r="37269" ht="15.75" customHeight="1">
      <c r="A37269" s="7"/>
      <c r="B37269" s="7"/>
      <c r="M37269" s="9" t="s">
        <v>36</v>
      </c>
    </row>
    <row r="37270" ht="15.75" customHeight="1">
      <c r="A37270" s="7"/>
      <c r="B37270" s="7"/>
      <c r="M37270" s="9" t="s">
        <v>24</v>
      </c>
    </row>
    <row r="37271" ht="15.75" customHeight="1">
      <c r="A37271" s="7"/>
      <c r="B37271" s="7"/>
      <c r="M37271" s="9" t="s">
        <v>20</v>
      </c>
    </row>
    <row r="37272" ht="15.75" customHeight="1">
      <c r="A37272" s="7"/>
      <c r="B37272" s="7"/>
      <c r="M37272" s="9" t="s">
        <v>21</v>
      </c>
    </row>
    <row r="37273" ht="15.75" customHeight="1">
      <c r="A37273" s="7"/>
      <c r="B37273" s="7"/>
      <c r="M37273" s="9" t="s">
        <v>22</v>
      </c>
    </row>
    <row r="37274" ht="15.75" customHeight="1">
      <c r="A37274" s="7"/>
      <c r="B37274" s="7"/>
      <c r="M37274" s="9" t="s">
        <v>46</v>
      </c>
    </row>
    <row r="37275" ht="15.75" customHeight="1">
      <c r="A37275" s="7"/>
      <c r="B37275" s="7"/>
      <c r="M37275" s="9" t="s">
        <v>27</v>
      </c>
    </row>
    <row r="37276" ht="15.75" customHeight="1">
      <c r="A37276" s="7"/>
      <c r="B37276" s="7"/>
      <c r="M37276" s="9" t="s">
        <v>26</v>
      </c>
    </row>
    <row r="37277" ht="15.75" customHeight="1">
      <c r="A37277" s="7"/>
      <c r="B37277" s="7"/>
      <c r="M37277" s="9" t="s">
        <v>24</v>
      </c>
    </row>
    <row r="37278" ht="15.75" customHeight="1">
      <c r="A37278" s="7"/>
      <c r="B37278" s="7"/>
      <c r="M37278" s="9" t="s">
        <v>27</v>
      </c>
    </row>
    <row r="37279" ht="15.75" customHeight="1">
      <c r="A37279" s="7"/>
      <c r="B37279" s="7"/>
      <c r="M37279" s="9" t="s">
        <v>28</v>
      </c>
    </row>
    <row r="37280" ht="15.75" customHeight="1">
      <c r="A37280" s="7"/>
      <c r="B37280" s="7"/>
      <c r="M37280" s="9" t="s">
        <v>30</v>
      </c>
    </row>
    <row r="37281" ht="15.75" customHeight="1">
      <c r="A37281" s="7"/>
      <c r="B37281" s="7"/>
      <c r="M37281" s="9" t="s">
        <v>24</v>
      </c>
    </row>
    <row r="37282" ht="15.75" customHeight="1">
      <c r="A37282" s="7"/>
      <c r="B37282" s="7"/>
      <c r="M37282" s="9" t="s">
        <v>20</v>
      </c>
    </row>
    <row r="37283" ht="15.75" customHeight="1">
      <c r="A37283" s="7"/>
      <c r="B37283" s="7"/>
      <c r="M37283" s="9" t="s">
        <v>21</v>
      </c>
    </row>
    <row r="37284" ht="15.75" customHeight="1">
      <c r="A37284" s="7"/>
      <c r="B37284" s="7"/>
      <c r="M37284" s="9" t="s">
        <v>30</v>
      </c>
    </row>
    <row r="37285" ht="15.75" customHeight="1">
      <c r="A37285" s="7"/>
      <c r="B37285" s="7"/>
      <c r="M37285" s="9" t="s">
        <v>24</v>
      </c>
    </row>
    <row r="37286" ht="15.75" customHeight="1">
      <c r="A37286" s="7"/>
      <c r="B37286" s="7"/>
      <c r="M37286" s="9" t="s">
        <v>22</v>
      </c>
    </row>
    <row r="37287" ht="15.75" customHeight="1">
      <c r="A37287" s="7"/>
      <c r="B37287" s="7"/>
      <c r="M37287" s="9" t="s">
        <v>31</v>
      </c>
    </row>
    <row r="37288" ht="15.75" customHeight="1">
      <c r="A37288" s="7"/>
      <c r="B37288" s="7"/>
      <c r="M37288" s="9" t="s">
        <v>26</v>
      </c>
    </row>
    <row r="37289" ht="15.75" customHeight="1">
      <c r="A37289" s="7"/>
      <c r="B37289" s="7"/>
      <c r="M37289" s="9" t="s">
        <v>24</v>
      </c>
    </row>
    <row r="37290" ht="15.75" customHeight="1">
      <c r="A37290" s="7"/>
      <c r="B37290" s="7"/>
      <c r="M37290" s="9" t="s">
        <v>21</v>
      </c>
    </row>
    <row r="37291" ht="15.75" customHeight="1">
      <c r="A37291" s="7"/>
      <c r="B37291" s="7"/>
      <c r="M37291" s="9" t="s">
        <v>33</v>
      </c>
    </row>
    <row r="37292" ht="15.75" customHeight="1">
      <c r="A37292" s="7"/>
      <c r="B37292" s="7"/>
      <c r="M37292" s="9" t="s">
        <v>23</v>
      </c>
    </row>
    <row r="37293" ht="15.75" customHeight="1">
      <c r="A37293" s="7"/>
      <c r="B37293" s="7"/>
      <c r="M37293" s="9" t="s">
        <v>26</v>
      </c>
    </row>
    <row r="37294" ht="15.75" customHeight="1">
      <c r="A37294" s="7"/>
      <c r="B37294" s="7"/>
      <c r="M37294" s="9" t="s">
        <v>24</v>
      </c>
    </row>
    <row r="37295" ht="15.75" customHeight="1">
      <c r="A37295" s="7"/>
      <c r="B37295" s="7"/>
      <c r="M37295" s="9" t="s">
        <v>22</v>
      </c>
    </row>
    <row r="37296" ht="15.75" customHeight="1">
      <c r="A37296" s="7"/>
      <c r="B37296" s="7"/>
      <c r="M37296" s="9" t="s">
        <v>27</v>
      </c>
    </row>
    <row r="37297" ht="15.75" customHeight="1">
      <c r="A37297" s="7"/>
      <c r="B37297" s="7"/>
      <c r="M37297" s="9" t="s">
        <v>35</v>
      </c>
    </row>
    <row r="37298" ht="15.75" customHeight="1">
      <c r="A37298" s="7"/>
      <c r="B37298" s="7"/>
      <c r="M37298" s="9" t="s">
        <v>30</v>
      </c>
    </row>
    <row r="37299" ht="15.75" customHeight="1">
      <c r="A37299" s="7"/>
      <c r="B37299" s="7"/>
      <c r="M37299" s="9" t="s">
        <v>24</v>
      </c>
    </row>
    <row r="37300" ht="15.75" customHeight="1">
      <c r="A37300" s="7"/>
      <c r="B37300" s="7"/>
      <c r="M37300" s="9" t="s">
        <v>21</v>
      </c>
    </row>
    <row r="37301" ht="15.75" customHeight="1">
      <c r="A37301" s="7"/>
      <c r="B37301" s="7"/>
      <c r="M37301" s="9" t="s">
        <v>27</v>
      </c>
    </row>
    <row r="37302" ht="15.75" customHeight="1">
      <c r="A37302" s="7"/>
      <c r="B37302" s="7"/>
      <c r="M37302" s="9" t="s">
        <v>33</v>
      </c>
    </row>
    <row r="37303" ht="15.75" customHeight="1">
      <c r="A37303" s="7"/>
      <c r="B37303" s="7"/>
      <c r="M37303" s="9" t="s">
        <v>30</v>
      </c>
    </row>
    <row r="37304" ht="15.75" customHeight="1">
      <c r="A37304" s="7"/>
      <c r="B37304" s="7"/>
      <c r="M37304" s="9" t="s">
        <v>25</v>
      </c>
    </row>
    <row r="37305" ht="15.75" customHeight="1">
      <c r="A37305" s="7"/>
      <c r="B37305" s="7"/>
      <c r="M37305" s="9" t="s">
        <v>23</v>
      </c>
    </row>
    <row r="37306" ht="15.75" customHeight="1">
      <c r="A37306" s="7"/>
      <c r="B37306" s="7"/>
      <c r="M37306" s="9" t="s">
        <v>36</v>
      </c>
    </row>
    <row r="37307" ht="15.75" customHeight="1">
      <c r="A37307" s="7"/>
      <c r="B37307" s="7"/>
      <c r="M37307" s="9" t="s">
        <v>20</v>
      </c>
    </row>
    <row r="37308" ht="15.75" customHeight="1">
      <c r="A37308" s="7"/>
      <c r="B37308" s="7"/>
      <c r="M37308" s="9" t="s">
        <v>22</v>
      </c>
    </row>
    <row r="37309" ht="15.75" customHeight="1">
      <c r="A37309" s="7"/>
      <c r="B37309" s="7"/>
      <c r="M37309" s="9" t="s">
        <v>27</v>
      </c>
    </row>
    <row r="37310" ht="15.75" customHeight="1">
      <c r="A37310" s="7"/>
      <c r="B37310" s="7"/>
      <c r="M37310" s="9" t="s">
        <v>35</v>
      </c>
    </row>
    <row r="37311" ht="15.75" customHeight="1">
      <c r="A37311" s="7"/>
      <c r="B37311" s="7"/>
      <c r="M37311" s="9" t="s">
        <v>30</v>
      </c>
    </row>
    <row r="37312" ht="15.75" customHeight="1">
      <c r="A37312" s="7"/>
      <c r="B37312" s="7"/>
      <c r="M37312" s="9" t="s">
        <v>24</v>
      </c>
    </row>
    <row r="37313" ht="15.75" customHeight="1">
      <c r="A37313" s="7"/>
      <c r="B37313" s="7"/>
      <c r="M37313" s="9" t="s">
        <v>20</v>
      </c>
    </row>
    <row r="37314" ht="15.75" customHeight="1">
      <c r="A37314" s="7"/>
      <c r="B37314" s="7"/>
      <c r="M37314" s="9" t="s">
        <v>27</v>
      </c>
    </row>
    <row r="37315" ht="15.75" customHeight="1">
      <c r="A37315" s="7"/>
      <c r="B37315" s="7"/>
      <c r="M37315" s="9" t="s">
        <v>30</v>
      </c>
    </row>
    <row r="37316" ht="15.75" customHeight="1">
      <c r="A37316" s="7"/>
      <c r="B37316" s="7"/>
      <c r="M37316" s="9" t="s">
        <v>25</v>
      </c>
    </row>
    <row r="37317" ht="15.75" customHeight="1">
      <c r="A37317" s="7"/>
      <c r="B37317" s="7"/>
      <c r="M37317" s="9" t="s">
        <v>36</v>
      </c>
    </row>
    <row r="37318" ht="15.75" customHeight="1">
      <c r="A37318" s="7"/>
      <c r="B37318" s="7"/>
      <c r="M37318" s="9" t="s">
        <v>24</v>
      </c>
    </row>
    <row r="37319" ht="15.75" customHeight="1">
      <c r="A37319" s="7"/>
      <c r="B37319" s="7"/>
      <c r="M37319" s="9" t="s">
        <v>20</v>
      </c>
    </row>
    <row r="37320" ht="15.75" customHeight="1">
      <c r="A37320" s="7"/>
      <c r="B37320" s="7"/>
      <c r="M37320" s="9" t="s">
        <v>21</v>
      </c>
    </row>
    <row r="37321" ht="15.75" customHeight="1">
      <c r="A37321" s="7"/>
      <c r="B37321" s="7"/>
      <c r="M37321" s="9" t="s">
        <v>37</v>
      </c>
    </row>
    <row r="37322" ht="15.75" customHeight="1">
      <c r="A37322" s="7"/>
      <c r="B37322" s="7"/>
      <c r="M37322" s="9" t="s">
        <v>22</v>
      </c>
    </row>
    <row r="37323" ht="15.75" customHeight="1">
      <c r="A37323" s="7"/>
      <c r="B37323" s="7"/>
      <c r="M37323" s="9" t="s">
        <v>27</v>
      </c>
    </row>
    <row r="37324" ht="15.75" customHeight="1">
      <c r="A37324" s="7"/>
      <c r="B37324" s="7"/>
      <c r="M37324" s="9" t="s">
        <v>40</v>
      </c>
    </row>
    <row r="37325" ht="15.75" customHeight="1">
      <c r="A37325" s="7"/>
      <c r="B37325" s="7"/>
      <c r="M37325" s="9" t="s">
        <v>35</v>
      </c>
    </row>
    <row r="37326" ht="15.75" customHeight="1">
      <c r="A37326" s="7"/>
      <c r="B37326" s="7"/>
      <c r="M37326" s="9" t="s">
        <v>45</v>
      </c>
    </row>
    <row r="37327" ht="15.75" customHeight="1">
      <c r="A37327" s="7"/>
      <c r="B37327" s="7"/>
      <c r="M37327" s="9" t="s">
        <v>24</v>
      </c>
    </row>
    <row r="37328" ht="15.75" customHeight="1">
      <c r="A37328" s="7"/>
      <c r="B37328" s="7"/>
      <c r="M37328" s="9" t="s">
        <v>21</v>
      </c>
    </row>
    <row r="37329" ht="15.75" customHeight="1">
      <c r="A37329" s="7"/>
      <c r="B37329" s="7"/>
      <c r="M37329" s="9" t="s">
        <v>22</v>
      </c>
    </row>
    <row r="37330" ht="15.75" customHeight="1">
      <c r="A37330" s="7"/>
      <c r="B37330" s="7"/>
      <c r="M37330" s="9" t="s">
        <v>35</v>
      </c>
    </row>
    <row r="37331" ht="15.75" customHeight="1">
      <c r="A37331" s="7"/>
      <c r="B37331" s="7"/>
      <c r="M37331" s="9" t="s">
        <v>20</v>
      </c>
    </row>
    <row r="37332" ht="15.75" customHeight="1">
      <c r="A37332" s="7"/>
      <c r="B37332" s="7"/>
      <c r="M37332" s="9" t="s">
        <v>21</v>
      </c>
    </row>
    <row r="37333" ht="15.75" customHeight="1">
      <c r="A37333" s="7"/>
      <c r="B37333" s="7"/>
      <c r="M37333" s="9" t="s">
        <v>27</v>
      </c>
    </row>
    <row r="37334" ht="15.75" customHeight="1">
      <c r="A37334" s="7"/>
      <c r="B37334" s="7"/>
      <c r="M37334" s="9" t="s">
        <v>35</v>
      </c>
    </row>
    <row r="37335" ht="15.75" customHeight="1">
      <c r="A37335" s="7"/>
      <c r="B37335" s="7"/>
      <c r="M37335" s="9" t="s">
        <v>30</v>
      </c>
    </row>
    <row r="37336" ht="15.75" customHeight="1">
      <c r="A37336" s="7"/>
      <c r="B37336" s="7"/>
      <c r="M37336" s="9" t="s">
        <v>25</v>
      </c>
    </row>
    <row r="37337" ht="15.75" customHeight="1">
      <c r="A37337" s="7"/>
      <c r="B37337" s="7"/>
      <c r="M37337" s="9" t="s">
        <v>23</v>
      </c>
    </row>
    <row r="37338" ht="15.75" customHeight="1">
      <c r="A37338" s="7"/>
      <c r="B37338" s="7"/>
      <c r="M37338" s="9" t="s">
        <v>24</v>
      </c>
    </row>
    <row r="37339" ht="15.75" customHeight="1">
      <c r="A37339" s="7"/>
      <c r="B37339" s="7"/>
      <c r="M37339" s="9" t="s">
        <v>21</v>
      </c>
    </row>
    <row r="37340" ht="15.75" customHeight="1">
      <c r="A37340" s="7"/>
      <c r="B37340" s="7"/>
      <c r="M37340" s="9" t="s">
        <v>22</v>
      </c>
    </row>
    <row r="37341" ht="15.75" customHeight="1">
      <c r="A37341" s="7"/>
      <c r="B37341" s="7"/>
      <c r="M37341" s="9" t="s">
        <v>32</v>
      </c>
    </row>
    <row r="37342" ht="15.75" customHeight="1">
      <c r="A37342" s="7"/>
      <c r="B37342" s="7"/>
      <c r="M37342" s="9" t="s">
        <v>26</v>
      </c>
    </row>
    <row r="37343" ht="15.75" customHeight="1">
      <c r="A37343" s="7"/>
      <c r="B37343" s="7"/>
      <c r="M37343" s="9" t="s">
        <v>47</v>
      </c>
    </row>
    <row r="37344" ht="15.75" customHeight="1">
      <c r="A37344" s="7"/>
      <c r="B37344" s="7"/>
      <c r="M37344" s="9" t="s">
        <v>24</v>
      </c>
    </row>
    <row r="37345" ht="15.75" customHeight="1">
      <c r="A37345" s="7"/>
      <c r="B37345" s="7"/>
      <c r="M37345" s="9" t="s">
        <v>21</v>
      </c>
    </row>
    <row r="37346" ht="15.75" customHeight="1">
      <c r="A37346" s="7"/>
      <c r="B37346" s="7"/>
      <c r="M37346" s="9" t="s">
        <v>37</v>
      </c>
    </row>
    <row r="37347" ht="15.75" customHeight="1">
      <c r="A37347" s="7"/>
      <c r="B37347" s="7"/>
      <c r="M37347" s="9" t="s">
        <v>22</v>
      </c>
    </row>
    <row r="37348" ht="15.75" customHeight="1">
      <c r="A37348" s="7"/>
      <c r="B37348" s="7"/>
      <c r="M37348" s="9" t="s">
        <v>27</v>
      </c>
    </row>
    <row r="37349" ht="15.75" customHeight="1">
      <c r="A37349" s="7"/>
      <c r="B37349" s="7"/>
      <c r="M37349" s="9" t="s">
        <v>33</v>
      </c>
    </row>
    <row r="37350" ht="15.75" customHeight="1">
      <c r="A37350" s="7"/>
      <c r="B37350" s="7"/>
      <c r="M37350" s="9" t="s">
        <v>24</v>
      </c>
    </row>
    <row r="37351" ht="15.75" customHeight="1">
      <c r="A37351" s="7"/>
      <c r="B37351" s="7"/>
      <c r="M37351" s="9" t="s">
        <v>21</v>
      </c>
    </row>
    <row r="37352" ht="15.75" customHeight="1">
      <c r="A37352" s="7"/>
      <c r="B37352" s="7"/>
      <c r="M37352" s="9" t="s">
        <v>31</v>
      </c>
    </row>
    <row r="37353" ht="15.75" customHeight="1">
      <c r="A37353" s="7"/>
      <c r="B37353" s="7"/>
      <c r="M37353" s="9" t="s">
        <v>33</v>
      </c>
    </row>
    <row r="37354" ht="15.75" customHeight="1">
      <c r="A37354" s="7"/>
      <c r="B37354" s="7"/>
      <c r="M37354" s="9" t="s">
        <v>30</v>
      </c>
    </row>
    <row r="37355" ht="15.75" customHeight="1">
      <c r="A37355" s="7"/>
      <c r="B37355" s="7"/>
      <c r="M37355" s="9" t="s">
        <v>25</v>
      </c>
    </row>
    <row r="37356" ht="15.75" customHeight="1">
      <c r="A37356" s="7"/>
      <c r="B37356" s="7"/>
      <c r="M37356" s="9" t="s">
        <v>23</v>
      </c>
    </row>
    <row r="37357" ht="15.75" customHeight="1">
      <c r="A37357" s="7"/>
      <c r="B37357" s="7"/>
      <c r="M37357" s="9" t="s">
        <v>24</v>
      </c>
    </row>
    <row r="37358" ht="15.75" customHeight="1">
      <c r="A37358" s="7"/>
      <c r="B37358" s="7"/>
      <c r="M37358" s="9" t="s">
        <v>20</v>
      </c>
    </row>
    <row r="37359" ht="15.75" customHeight="1">
      <c r="A37359" s="7"/>
      <c r="B37359" s="7"/>
      <c r="M37359" s="9" t="s">
        <v>21</v>
      </c>
    </row>
    <row r="37360" ht="15.75" customHeight="1">
      <c r="A37360" s="7"/>
      <c r="B37360" s="7"/>
      <c r="M37360" s="9" t="s">
        <v>41</v>
      </c>
    </row>
    <row r="37361" ht="15.75" customHeight="1">
      <c r="A37361" s="7"/>
      <c r="B37361" s="7"/>
      <c r="M37361" s="9" t="s">
        <v>37</v>
      </c>
    </row>
    <row r="37362" ht="15.75" customHeight="1">
      <c r="A37362" s="7"/>
      <c r="B37362" s="7"/>
      <c r="M37362" s="9" t="s">
        <v>22</v>
      </c>
    </row>
    <row r="37363" ht="15.75" customHeight="1">
      <c r="A37363" s="7"/>
      <c r="B37363" s="7"/>
      <c r="M37363" s="9" t="s">
        <v>27</v>
      </c>
    </row>
    <row r="37364" ht="15.75" customHeight="1">
      <c r="A37364" s="7"/>
      <c r="B37364" s="7"/>
      <c r="M37364" s="9" t="s">
        <v>40</v>
      </c>
    </row>
    <row r="37365" ht="15.75" customHeight="1">
      <c r="A37365" s="7"/>
      <c r="B37365" s="7"/>
      <c r="M37365" s="9" t="s">
        <v>35</v>
      </c>
    </row>
    <row r="37366" ht="15.75" customHeight="1">
      <c r="A37366" s="7"/>
      <c r="B37366" s="7"/>
      <c r="M37366" s="9" t="s">
        <v>20</v>
      </c>
    </row>
    <row r="37367" ht="15.75" customHeight="1">
      <c r="A37367" s="7"/>
      <c r="B37367" s="7"/>
      <c r="M37367" s="9" t="s">
        <v>38</v>
      </c>
    </row>
    <row r="37368" ht="15.75" customHeight="1">
      <c r="A37368" s="7"/>
      <c r="B37368" s="7"/>
      <c r="M37368" s="9" t="s">
        <v>30</v>
      </c>
    </row>
    <row r="37369" ht="15.75" customHeight="1">
      <c r="A37369" s="7"/>
      <c r="B37369" s="7"/>
      <c r="M37369" s="9" t="s">
        <v>25</v>
      </c>
    </row>
    <row r="37370" ht="15.75" customHeight="1">
      <c r="A37370" s="7"/>
      <c r="B37370" s="7"/>
      <c r="M37370" s="9" t="s">
        <v>23</v>
      </c>
    </row>
    <row r="37371" ht="15.75" customHeight="1">
      <c r="A37371" s="7"/>
      <c r="B37371" s="7"/>
      <c r="M37371" s="9" t="s">
        <v>26</v>
      </c>
    </row>
    <row r="37372" ht="15.75" customHeight="1">
      <c r="A37372" s="7"/>
      <c r="B37372" s="7"/>
      <c r="M37372" s="9" t="s">
        <v>24</v>
      </c>
    </row>
    <row r="37373" ht="15.75" customHeight="1">
      <c r="A37373" s="7"/>
      <c r="B37373" s="7"/>
      <c r="M37373" s="9" t="s">
        <v>20</v>
      </c>
    </row>
    <row r="37374" ht="15.75" customHeight="1">
      <c r="A37374" s="7"/>
      <c r="B37374" s="7"/>
      <c r="M37374" s="9" t="s">
        <v>21</v>
      </c>
    </row>
    <row r="37375" ht="15.75" customHeight="1">
      <c r="A37375" s="7"/>
      <c r="B37375" s="7"/>
      <c r="M37375" s="9" t="s">
        <v>37</v>
      </c>
    </row>
    <row r="37376" ht="15.75" customHeight="1">
      <c r="A37376" s="7"/>
      <c r="B37376" s="7"/>
      <c r="M37376" s="9" t="s">
        <v>22</v>
      </c>
    </row>
    <row r="37377" ht="15.75" customHeight="1">
      <c r="A37377" s="7"/>
      <c r="B37377" s="7"/>
      <c r="M37377" s="9" t="s">
        <v>31</v>
      </c>
    </row>
    <row r="37378" ht="15.75" customHeight="1">
      <c r="A37378" s="7"/>
      <c r="B37378" s="7"/>
      <c r="M37378" s="9" t="s">
        <v>46</v>
      </c>
    </row>
    <row r="37379" ht="15.75" customHeight="1">
      <c r="A37379" s="7"/>
      <c r="B37379" s="7"/>
      <c r="M37379" s="9" t="s">
        <v>35</v>
      </c>
    </row>
    <row r="37380" ht="15.75" customHeight="1">
      <c r="A37380" s="7"/>
      <c r="B37380" s="7"/>
      <c r="M37380" s="9" t="s">
        <v>24</v>
      </c>
    </row>
    <row r="37381" ht="15.75" customHeight="1">
      <c r="A37381" s="7"/>
      <c r="B37381" s="7"/>
      <c r="M37381" s="9" t="s">
        <v>21</v>
      </c>
    </row>
    <row r="37382" ht="15.75" customHeight="1">
      <c r="A37382" s="7"/>
      <c r="B37382" s="7"/>
      <c r="M37382" s="9" t="s">
        <v>27</v>
      </c>
    </row>
    <row r="37383" ht="15.75" customHeight="1">
      <c r="A37383" s="7"/>
      <c r="B37383" s="7"/>
      <c r="M37383" s="9" t="s">
        <v>33</v>
      </c>
    </row>
    <row r="37384" ht="15.75" customHeight="1">
      <c r="A37384" s="7"/>
      <c r="B37384" s="7"/>
      <c r="M37384" s="9" t="s">
        <v>30</v>
      </c>
    </row>
    <row r="37385" ht="15.75" customHeight="1">
      <c r="A37385" s="7"/>
      <c r="B37385" s="7"/>
      <c r="M37385" s="9" t="s">
        <v>25</v>
      </c>
    </row>
    <row r="37386" ht="15.75" customHeight="1">
      <c r="A37386" s="7"/>
      <c r="B37386" s="7"/>
      <c r="M37386" s="9" t="s">
        <v>26</v>
      </c>
    </row>
    <row r="37387" ht="15.75" customHeight="1">
      <c r="A37387" s="7"/>
      <c r="B37387" s="7"/>
      <c r="M37387" s="9" t="s">
        <v>24</v>
      </c>
    </row>
    <row r="37388" ht="15.75" customHeight="1">
      <c r="A37388" s="7"/>
      <c r="B37388" s="7"/>
      <c r="M37388" s="9" t="s">
        <v>20</v>
      </c>
    </row>
    <row r="37389" ht="15.75" customHeight="1">
      <c r="A37389" s="7"/>
      <c r="B37389" s="7"/>
      <c r="M37389" s="9" t="s">
        <v>21</v>
      </c>
    </row>
    <row r="37390" ht="15.75" customHeight="1">
      <c r="A37390" s="7"/>
      <c r="B37390" s="7"/>
      <c r="M37390" s="9" t="s">
        <v>37</v>
      </c>
    </row>
    <row r="37391" ht="15.75" customHeight="1">
      <c r="A37391" s="7"/>
      <c r="B37391" s="7"/>
      <c r="M37391" s="9" t="s">
        <v>22</v>
      </c>
    </row>
    <row r="37392" ht="15.75" customHeight="1">
      <c r="A37392" s="7"/>
      <c r="B37392" s="7"/>
      <c r="M37392" s="9" t="s">
        <v>32</v>
      </c>
    </row>
    <row r="37393" ht="15.75" customHeight="1">
      <c r="A37393" s="7"/>
      <c r="B37393" s="7"/>
      <c r="M37393" s="9" t="s">
        <v>27</v>
      </c>
    </row>
    <row r="37394" ht="15.75" customHeight="1">
      <c r="A37394" s="7"/>
      <c r="B37394" s="7"/>
      <c r="M37394" s="9" t="s">
        <v>28</v>
      </c>
    </row>
    <row r="37395" ht="15.75" customHeight="1">
      <c r="A37395" s="7"/>
      <c r="B37395" s="7"/>
      <c r="M37395" s="9" t="s">
        <v>30</v>
      </c>
    </row>
    <row r="37396" ht="15.75" customHeight="1">
      <c r="A37396" s="7"/>
      <c r="B37396" s="7"/>
      <c r="M37396" s="9" t="s">
        <v>27</v>
      </c>
    </row>
    <row r="37397" ht="15.75" customHeight="1">
      <c r="A37397" s="7"/>
      <c r="B37397" s="7"/>
      <c r="M37397" s="9" t="s">
        <v>23</v>
      </c>
    </row>
    <row r="37398" ht="15.75" customHeight="1">
      <c r="A37398" s="7"/>
      <c r="B37398" s="7"/>
      <c r="M37398" s="9" t="s">
        <v>36</v>
      </c>
    </row>
    <row r="37399" ht="15.75" customHeight="1">
      <c r="A37399" s="7"/>
      <c r="B37399" s="7"/>
      <c r="M37399" s="9" t="s">
        <v>24</v>
      </c>
    </row>
    <row r="37400" ht="15.75" customHeight="1">
      <c r="A37400" s="7"/>
      <c r="B37400" s="7"/>
      <c r="M37400" s="9" t="s">
        <v>20</v>
      </c>
    </row>
    <row r="37401" ht="15.75" customHeight="1">
      <c r="A37401" s="7"/>
      <c r="B37401" s="7"/>
      <c r="M37401" s="9" t="s">
        <v>21</v>
      </c>
    </row>
    <row r="37402" ht="15.75" customHeight="1">
      <c r="A37402" s="7"/>
      <c r="B37402" s="7"/>
      <c r="M37402" s="9" t="s">
        <v>39</v>
      </c>
    </row>
    <row r="37403" ht="15.75" customHeight="1">
      <c r="A37403" s="7"/>
      <c r="B37403" s="7"/>
      <c r="M37403" s="9" t="s">
        <v>41</v>
      </c>
    </row>
    <row r="37404" ht="15.75" customHeight="1">
      <c r="A37404" s="7"/>
      <c r="B37404" s="7"/>
      <c r="M37404" s="9" t="s">
        <v>37</v>
      </c>
    </row>
    <row r="37405" ht="15.75" customHeight="1">
      <c r="A37405" s="7"/>
      <c r="B37405" s="7"/>
      <c r="M37405" s="9" t="s">
        <v>22</v>
      </c>
    </row>
    <row r="37406" ht="15.75" customHeight="1">
      <c r="A37406" s="7"/>
      <c r="B37406" s="7"/>
      <c r="M37406" s="9" t="s">
        <v>29</v>
      </c>
    </row>
    <row r="37407" ht="15.75" customHeight="1">
      <c r="A37407" s="7"/>
      <c r="B37407" s="7"/>
      <c r="M37407" s="9" t="s">
        <v>31</v>
      </c>
    </row>
    <row r="37408" ht="15.75" customHeight="1">
      <c r="A37408" s="7"/>
      <c r="B37408" s="7"/>
      <c r="M37408" s="9" t="s">
        <v>46</v>
      </c>
    </row>
    <row r="37409" ht="15.75" customHeight="1">
      <c r="A37409" s="7"/>
      <c r="B37409" s="7"/>
      <c r="M37409" s="9" t="s">
        <v>27</v>
      </c>
    </row>
    <row r="37410" ht="15.75" customHeight="1">
      <c r="A37410" s="7"/>
      <c r="B37410" s="7"/>
      <c r="M37410" s="9" t="s">
        <v>33</v>
      </c>
    </row>
    <row r="37411" ht="15.75" customHeight="1">
      <c r="A37411" s="7"/>
      <c r="B37411" s="7"/>
      <c r="M37411" s="9" t="s">
        <v>30</v>
      </c>
    </row>
    <row r="37412" ht="15.75" customHeight="1">
      <c r="A37412" s="7"/>
      <c r="B37412" s="7"/>
      <c r="M37412" s="9" t="s">
        <v>23</v>
      </c>
    </row>
    <row r="37413" ht="15.75" customHeight="1">
      <c r="A37413" s="7"/>
      <c r="B37413" s="7"/>
      <c r="M37413" s="9" t="s">
        <v>24</v>
      </c>
    </row>
    <row r="37414" ht="15.75" customHeight="1">
      <c r="A37414" s="7"/>
      <c r="B37414" s="7"/>
      <c r="M37414" s="9" t="s">
        <v>21</v>
      </c>
    </row>
    <row r="37415" ht="15.75" customHeight="1">
      <c r="A37415" s="7"/>
      <c r="B37415" s="7"/>
      <c r="M37415" s="9" t="s">
        <v>39</v>
      </c>
    </row>
    <row r="37416" ht="15.75" customHeight="1">
      <c r="A37416" s="7"/>
      <c r="B37416" s="7"/>
      <c r="M37416" s="9" t="s">
        <v>22</v>
      </c>
    </row>
    <row r="37417" ht="15.75" customHeight="1">
      <c r="A37417" s="7"/>
      <c r="B37417" s="7"/>
      <c r="M37417" s="9" t="s">
        <v>31</v>
      </c>
    </row>
    <row r="37418" ht="15.75" customHeight="1">
      <c r="A37418" s="7"/>
      <c r="B37418" s="7"/>
      <c r="M37418" s="9" t="s">
        <v>27</v>
      </c>
    </row>
    <row r="37419" ht="15.75" customHeight="1">
      <c r="A37419" s="7"/>
      <c r="B37419" s="7"/>
      <c r="M37419" s="9" t="s">
        <v>26</v>
      </c>
    </row>
    <row r="37420" ht="15.75" customHeight="1">
      <c r="A37420" s="7"/>
      <c r="B37420" s="7"/>
      <c r="M37420" s="9" t="s">
        <v>27</v>
      </c>
    </row>
    <row r="37421" ht="15.75" customHeight="1">
      <c r="A37421" s="7"/>
      <c r="B37421" s="7"/>
      <c r="M37421" s="9" t="s">
        <v>25</v>
      </c>
    </row>
    <row r="37422" ht="15.75" customHeight="1">
      <c r="A37422" s="7"/>
      <c r="B37422" s="7"/>
      <c r="M37422" s="9" t="s">
        <v>23</v>
      </c>
    </row>
    <row r="37423" ht="15.75" customHeight="1">
      <c r="A37423" s="7"/>
      <c r="B37423" s="7"/>
      <c r="M37423" s="9" t="s">
        <v>24</v>
      </c>
    </row>
    <row r="37424" ht="15.75" customHeight="1">
      <c r="A37424" s="7"/>
      <c r="B37424" s="7"/>
      <c r="M37424" s="9" t="s">
        <v>20</v>
      </c>
    </row>
    <row r="37425" ht="15.75" customHeight="1">
      <c r="A37425" s="7"/>
      <c r="B37425" s="7"/>
      <c r="M37425" s="9" t="s">
        <v>21</v>
      </c>
    </row>
    <row r="37426" ht="15.75" customHeight="1">
      <c r="A37426" s="7"/>
      <c r="B37426" s="7"/>
      <c r="M37426" s="9" t="s">
        <v>22</v>
      </c>
    </row>
    <row r="37427" ht="15.75" customHeight="1">
      <c r="A37427" s="7"/>
      <c r="B37427" s="7"/>
      <c r="M37427" s="9" t="s">
        <v>27</v>
      </c>
    </row>
    <row r="37428" ht="15.75" customHeight="1">
      <c r="A37428" s="7"/>
      <c r="B37428" s="7"/>
      <c r="M37428" s="9" t="s">
        <v>33</v>
      </c>
    </row>
    <row r="37429" ht="15.75" customHeight="1">
      <c r="A37429" s="7"/>
      <c r="B37429" s="7"/>
      <c r="M37429" s="9" t="s">
        <v>30</v>
      </c>
    </row>
    <row r="37430" ht="15.75" customHeight="1">
      <c r="A37430" s="7"/>
      <c r="B37430" s="7"/>
      <c r="M37430" s="9" t="s">
        <v>26</v>
      </c>
    </row>
    <row r="37431" ht="15.75" customHeight="1">
      <c r="A37431" s="7"/>
      <c r="B37431" s="7"/>
      <c r="M37431" s="9" t="s">
        <v>24</v>
      </c>
    </row>
    <row r="37432" ht="15.75" customHeight="1">
      <c r="A37432" s="7"/>
      <c r="B37432" s="7"/>
      <c r="M37432" s="9" t="s">
        <v>21</v>
      </c>
    </row>
    <row r="37433" ht="15.75" customHeight="1">
      <c r="A37433" s="7"/>
      <c r="B37433" s="7"/>
      <c r="M37433" s="9" t="s">
        <v>27</v>
      </c>
    </row>
    <row r="37434" ht="15.75" customHeight="1">
      <c r="A37434" s="7"/>
      <c r="B37434" s="7"/>
      <c r="M37434" s="9" t="s">
        <v>33</v>
      </c>
    </row>
    <row r="37435" ht="15.75" customHeight="1">
      <c r="A37435" s="7"/>
      <c r="B37435" s="7"/>
      <c r="M37435" s="9" t="s">
        <v>30</v>
      </c>
    </row>
    <row r="37436" ht="15.75" customHeight="1">
      <c r="A37436" s="7"/>
      <c r="B37436" s="7"/>
      <c r="M37436" s="9" t="s">
        <v>24</v>
      </c>
    </row>
    <row r="37437" ht="15.75" customHeight="1">
      <c r="A37437" s="7"/>
      <c r="B37437" s="7"/>
      <c r="M37437" s="9" t="s">
        <v>21</v>
      </c>
    </row>
    <row r="37438" ht="15.75" customHeight="1">
      <c r="A37438" s="7"/>
      <c r="B37438" s="7"/>
      <c r="M37438" s="9" t="s">
        <v>22</v>
      </c>
    </row>
    <row r="37439" ht="15.75" customHeight="1">
      <c r="A37439" s="7"/>
      <c r="B37439" s="7"/>
      <c r="M37439" s="9" t="s">
        <v>32</v>
      </c>
    </row>
    <row r="37440" ht="15.75" customHeight="1">
      <c r="A37440" s="7"/>
      <c r="B37440" s="7"/>
      <c r="M37440" s="9" t="s">
        <v>27</v>
      </c>
    </row>
    <row r="37441" ht="15.75" customHeight="1">
      <c r="A37441" s="7"/>
      <c r="B37441" s="7"/>
      <c r="M37441" s="9" t="s">
        <v>23</v>
      </c>
    </row>
    <row r="37442" ht="15.75" customHeight="1">
      <c r="A37442" s="7"/>
      <c r="B37442" s="7"/>
      <c r="M37442" s="9" t="s">
        <v>26</v>
      </c>
    </row>
    <row r="37443" ht="15.75" customHeight="1">
      <c r="A37443" s="7"/>
      <c r="B37443" s="7"/>
      <c r="M37443" s="9" t="s">
        <v>27</v>
      </c>
    </row>
    <row r="37444" ht="15.75" customHeight="1">
      <c r="A37444" s="7"/>
      <c r="B37444" s="7"/>
      <c r="M37444" s="9" t="s">
        <v>35</v>
      </c>
    </row>
    <row r="37445" ht="15.75" customHeight="1">
      <c r="A37445" s="7"/>
      <c r="B37445" s="7"/>
      <c r="M37445" s="9" t="s">
        <v>30</v>
      </c>
    </row>
    <row r="37446" ht="15.75" customHeight="1">
      <c r="A37446" s="7"/>
      <c r="B37446" s="7"/>
      <c r="M37446" s="9" t="s">
        <v>20</v>
      </c>
    </row>
    <row r="37447" ht="15.75" customHeight="1">
      <c r="A37447" s="7"/>
      <c r="B37447" s="7"/>
      <c r="M37447" s="9" t="s">
        <v>30</v>
      </c>
    </row>
    <row r="37448" ht="15.75" customHeight="1">
      <c r="A37448" s="7"/>
      <c r="B37448" s="7"/>
      <c r="M37448" s="9" t="s">
        <v>24</v>
      </c>
    </row>
    <row r="37449" ht="15.75" customHeight="1">
      <c r="A37449" s="7"/>
      <c r="B37449" s="7"/>
      <c r="M37449" s="9" t="s">
        <v>21</v>
      </c>
    </row>
    <row r="37450" ht="15.75" customHeight="1">
      <c r="A37450" s="7"/>
      <c r="B37450" s="7"/>
      <c r="M37450" s="9" t="s">
        <v>31</v>
      </c>
    </row>
    <row r="37451" ht="15.75" customHeight="1">
      <c r="A37451" s="7"/>
      <c r="B37451" s="7"/>
      <c r="M37451" s="9" t="s">
        <v>27</v>
      </c>
    </row>
    <row r="37452" ht="15.75" customHeight="1">
      <c r="A37452" s="7"/>
      <c r="B37452" s="7"/>
      <c r="M37452" s="9" t="s">
        <v>33</v>
      </c>
    </row>
    <row r="37453" ht="15.75" customHeight="1">
      <c r="A37453" s="7"/>
      <c r="B37453" s="7"/>
      <c r="M37453" s="9" t="s">
        <v>30</v>
      </c>
    </row>
    <row r="37454" ht="15.75" customHeight="1">
      <c r="A37454" s="7"/>
      <c r="B37454" s="7"/>
      <c r="M37454" s="9" t="s">
        <v>42</v>
      </c>
    </row>
    <row r="37455" ht="15.75" customHeight="1">
      <c r="A37455" s="7"/>
      <c r="B37455" s="7"/>
      <c r="M37455" s="9" t="s">
        <v>43</v>
      </c>
    </row>
    <row r="37456" ht="15.75" customHeight="1">
      <c r="A37456" s="7"/>
      <c r="B37456" s="7"/>
      <c r="M37456" s="9" t="s">
        <v>36</v>
      </c>
    </row>
    <row r="37457" ht="15.75" customHeight="1">
      <c r="A37457" s="7"/>
      <c r="B37457" s="7"/>
      <c r="M37457" s="9" t="s">
        <v>24</v>
      </c>
    </row>
    <row r="37458" ht="15.75" customHeight="1">
      <c r="A37458" s="7"/>
      <c r="B37458" s="7"/>
      <c r="M37458" s="9" t="s">
        <v>20</v>
      </c>
    </row>
    <row r="37459" ht="15.75" customHeight="1">
      <c r="A37459" s="7"/>
      <c r="B37459" s="7"/>
      <c r="M37459" s="9" t="s">
        <v>21</v>
      </c>
    </row>
    <row r="37460" ht="15.75" customHeight="1">
      <c r="A37460" s="7"/>
      <c r="B37460" s="7"/>
      <c r="M37460" s="9" t="s">
        <v>41</v>
      </c>
    </row>
    <row r="37461" ht="15.75" customHeight="1">
      <c r="A37461" s="7"/>
      <c r="B37461" s="7"/>
      <c r="M37461" s="9" t="s">
        <v>37</v>
      </c>
    </row>
    <row r="37462" ht="15.75" customHeight="1">
      <c r="A37462" s="7"/>
      <c r="B37462" s="7"/>
      <c r="M37462" s="9" t="s">
        <v>22</v>
      </c>
    </row>
    <row r="37463" ht="15.75" customHeight="1">
      <c r="A37463" s="7"/>
      <c r="B37463" s="7"/>
      <c r="M37463" s="9" t="s">
        <v>31</v>
      </c>
    </row>
    <row r="37464" ht="15.75" customHeight="1">
      <c r="A37464" s="7"/>
      <c r="B37464" s="7"/>
      <c r="M37464" s="9" t="s">
        <v>32</v>
      </c>
    </row>
    <row r="37465" ht="15.75" customHeight="1">
      <c r="A37465" s="7"/>
      <c r="B37465" s="7"/>
      <c r="M37465" s="9" t="s">
        <v>46</v>
      </c>
    </row>
    <row r="37466" ht="15.75" customHeight="1">
      <c r="A37466" s="7"/>
      <c r="B37466" s="7"/>
      <c r="M37466" s="9" t="s">
        <v>27</v>
      </c>
    </row>
    <row r="37467" ht="15.75" customHeight="1">
      <c r="A37467" s="7"/>
      <c r="B37467" s="7"/>
      <c r="M37467" s="9" t="s">
        <v>40</v>
      </c>
    </row>
    <row r="37468" ht="15.75" customHeight="1">
      <c r="A37468" s="7"/>
      <c r="B37468" s="7"/>
      <c r="M37468" s="9" t="s">
        <v>33</v>
      </c>
    </row>
    <row r="37469" ht="15.75" customHeight="1">
      <c r="A37469" s="7"/>
      <c r="B37469" s="7"/>
      <c r="M37469" s="9" t="s">
        <v>30</v>
      </c>
    </row>
    <row r="37470" ht="15.75" customHeight="1">
      <c r="A37470" s="7"/>
      <c r="B37470" s="7"/>
      <c r="M37470" s="9" t="s">
        <v>24</v>
      </c>
    </row>
    <row r="37471" ht="15.75" customHeight="1">
      <c r="A37471" s="7"/>
      <c r="B37471" s="7"/>
      <c r="M37471" s="9" t="s">
        <v>20</v>
      </c>
    </row>
    <row r="37472" ht="15.75" customHeight="1">
      <c r="A37472" s="7"/>
      <c r="B37472" s="7"/>
      <c r="M37472" s="9" t="s">
        <v>21</v>
      </c>
    </row>
    <row r="37473" ht="15.75" customHeight="1">
      <c r="A37473" s="7"/>
      <c r="B37473" s="7"/>
      <c r="M37473" s="9" t="s">
        <v>37</v>
      </c>
    </row>
    <row r="37474" ht="15.75" customHeight="1">
      <c r="A37474" s="7"/>
      <c r="B37474" s="7"/>
      <c r="M37474" s="9" t="s">
        <v>27</v>
      </c>
    </row>
    <row r="37475" ht="15.75" customHeight="1">
      <c r="A37475" s="7"/>
      <c r="B37475" s="7"/>
      <c r="M37475" s="9" t="s">
        <v>20</v>
      </c>
    </row>
    <row r="37476" ht="15.75" customHeight="1">
      <c r="A37476" s="7"/>
      <c r="B37476" s="7"/>
      <c r="M37476" s="9" t="s">
        <v>22</v>
      </c>
    </row>
    <row r="37477" ht="15.75" customHeight="1">
      <c r="A37477" s="7"/>
      <c r="B37477" s="7"/>
      <c r="M37477" s="9" t="s">
        <v>46</v>
      </c>
    </row>
    <row r="37478" ht="15.75" customHeight="1">
      <c r="A37478" s="7"/>
      <c r="B37478" s="7"/>
      <c r="M37478" s="9" t="s">
        <v>23</v>
      </c>
    </row>
    <row r="37479" ht="15.75" customHeight="1">
      <c r="A37479" s="7"/>
      <c r="B37479" s="7"/>
      <c r="M37479" s="9" t="s">
        <v>47</v>
      </c>
    </row>
    <row r="37480" ht="15.75" customHeight="1">
      <c r="A37480" s="7"/>
      <c r="B37480" s="7"/>
      <c r="M37480" s="9" t="s">
        <v>24</v>
      </c>
    </row>
    <row r="37481" ht="15.75" customHeight="1">
      <c r="A37481" s="7"/>
      <c r="B37481" s="7"/>
      <c r="M37481" s="9" t="s">
        <v>21</v>
      </c>
    </row>
    <row r="37482" ht="15.75" customHeight="1">
      <c r="A37482" s="7"/>
      <c r="B37482" s="7"/>
      <c r="M37482" s="9" t="s">
        <v>37</v>
      </c>
    </row>
    <row r="37483" ht="15.75" customHeight="1">
      <c r="A37483" s="7"/>
      <c r="B37483" s="7"/>
      <c r="M37483" s="9" t="s">
        <v>27</v>
      </c>
    </row>
    <row r="37484" ht="15.75" customHeight="1">
      <c r="A37484" s="7"/>
      <c r="B37484" s="7"/>
      <c r="M37484" s="9" t="s">
        <v>33</v>
      </c>
    </row>
    <row r="37485" ht="15.75" customHeight="1">
      <c r="A37485" s="7"/>
      <c r="B37485" s="7"/>
      <c r="M37485" s="9" t="s">
        <v>30</v>
      </c>
    </row>
    <row r="37486" ht="15.75" customHeight="1">
      <c r="A37486" s="7"/>
      <c r="B37486" s="7"/>
      <c r="M37486" s="9" t="s">
        <v>26</v>
      </c>
    </row>
    <row r="37487" ht="15.75" customHeight="1">
      <c r="A37487" s="7"/>
      <c r="B37487" s="7"/>
      <c r="M37487" s="9" t="s">
        <v>24</v>
      </c>
    </row>
    <row r="37488" ht="15.75" customHeight="1">
      <c r="A37488" s="7"/>
      <c r="B37488" s="7"/>
      <c r="M37488" s="9" t="s">
        <v>21</v>
      </c>
    </row>
    <row r="37489" ht="15.75" customHeight="1">
      <c r="A37489" s="7"/>
      <c r="B37489" s="7"/>
      <c r="M37489" s="9" t="s">
        <v>27</v>
      </c>
    </row>
    <row r="37490" ht="15.75" customHeight="1">
      <c r="A37490" s="7"/>
      <c r="B37490" s="7"/>
      <c r="M37490" s="9" t="s">
        <v>33</v>
      </c>
    </row>
    <row r="37491" ht="15.75" customHeight="1">
      <c r="A37491" s="7"/>
      <c r="B37491" s="7"/>
      <c r="M37491" s="9" t="s">
        <v>28</v>
      </c>
    </row>
    <row r="37492" ht="15.75" customHeight="1">
      <c r="A37492" s="7"/>
      <c r="B37492" s="7"/>
      <c r="M37492" s="9" t="s">
        <v>24</v>
      </c>
    </row>
    <row r="37493" ht="15.75" customHeight="1">
      <c r="A37493" s="7"/>
      <c r="B37493" s="7"/>
      <c r="M37493" s="9" t="s">
        <v>21</v>
      </c>
    </row>
    <row r="37494" ht="15.75" customHeight="1">
      <c r="A37494" s="7"/>
      <c r="B37494" s="7"/>
      <c r="M37494" s="9" t="s">
        <v>37</v>
      </c>
    </row>
    <row r="37495" ht="15.75" customHeight="1">
      <c r="A37495" s="7"/>
      <c r="B37495" s="7"/>
      <c r="M37495" s="9" t="s">
        <v>27</v>
      </c>
    </row>
    <row r="37496" ht="15.75" customHeight="1">
      <c r="A37496" s="7"/>
      <c r="B37496" s="7"/>
      <c r="M37496" s="9" t="s">
        <v>30</v>
      </c>
    </row>
    <row r="37497" ht="15.75" customHeight="1">
      <c r="A37497" s="7"/>
      <c r="B37497" s="7"/>
      <c r="M37497" s="9" t="s">
        <v>25</v>
      </c>
    </row>
    <row r="37498" ht="15.75" customHeight="1">
      <c r="A37498" s="7"/>
      <c r="B37498" s="7"/>
      <c r="M37498" s="9" t="s">
        <v>20</v>
      </c>
    </row>
    <row r="37499" ht="15.75" customHeight="1">
      <c r="A37499" s="7"/>
      <c r="B37499" s="7"/>
      <c r="M37499" s="9" t="s">
        <v>21</v>
      </c>
    </row>
    <row r="37500" ht="15.75" customHeight="1">
      <c r="A37500" s="7"/>
      <c r="B37500" s="7"/>
      <c r="M37500" s="9" t="s">
        <v>37</v>
      </c>
    </row>
    <row r="37501" ht="15.75" customHeight="1">
      <c r="A37501" s="7"/>
      <c r="B37501" s="7"/>
      <c r="M37501" s="9" t="s">
        <v>22</v>
      </c>
    </row>
    <row r="37502" ht="15.75" customHeight="1">
      <c r="A37502" s="7"/>
      <c r="B37502" s="7"/>
      <c r="M37502" s="9" t="s">
        <v>29</v>
      </c>
    </row>
    <row r="37503" ht="15.75" customHeight="1">
      <c r="A37503" s="7"/>
      <c r="B37503" s="7"/>
      <c r="M37503" s="9" t="s">
        <v>27</v>
      </c>
    </row>
    <row r="37504" ht="15.75" customHeight="1">
      <c r="A37504" s="7"/>
      <c r="B37504" s="7"/>
      <c r="M37504" s="9" t="s">
        <v>24</v>
      </c>
    </row>
    <row r="37505" ht="15.75" customHeight="1">
      <c r="A37505" s="7"/>
      <c r="B37505" s="7"/>
      <c r="M37505" s="9" t="s">
        <v>21</v>
      </c>
    </row>
    <row r="37506" ht="15.75" customHeight="1">
      <c r="A37506" s="7"/>
      <c r="B37506" s="7"/>
      <c r="M37506" s="9" t="s">
        <v>33</v>
      </c>
    </row>
    <row r="37507" ht="15.75" customHeight="1">
      <c r="A37507" s="7"/>
      <c r="B37507" s="7"/>
      <c r="M37507" s="9" t="s">
        <v>23</v>
      </c>
    </row>
    <row r="37508" ht="15.75" customHeight="1">
      <c r="A37508" s="7"/>
      <c r="B37508" s="7"/>
      <c r="M37508" s="9" t="s">
        <v>22</v>
      </c>
    </row>
    <row r="37509" ht="15.75" customHeight="1">
      <c r="A37509" s="7"/>
      <c r="B37509" s="7"/>
      <c r="M37509" s="9" t="s">
        <v>35</v>
      </c>
    </row>
    <row r="37510" ht="15.75" customHeight="1">
      <c r="A37510" s="7"/>
      <c r="B37510" s="7"/>
      <c r="M37510" s="9" t="s">
        <v>30</v>
      </c>
    </row>
    <row r="37511" ht="15.75" customHeight="1">
      <c r="A37511" s="7"/>
      <c r="B37511" s="7"/>
      <c r="M37511" s="9" t="s">
        <v>24</v>
      </c>
    </row>
    <row r="37512" ht="15.75" customHeight="1">
      <c r="A37512" s="7"/>
      <c r="B37512" s="7"/>
      <c r="M37512" s="9" t="s">
        <v>20</v>
      </c>
    </row>
    <row r="37513" ht="15.75" customHeight="1">
      <c r="A37513" s="7"/>
      <c r="B37513" s="7"/>
      <c r="M37513" s="9" t="s">
        <v>22</v>
      </c>
    </row>
    <row r="37514" ht="15.75" customHeight="1">
      <c r="A37514" s="7"/>
      <c r="B37514" s="7"/>
      <c r="M37514" s="9" t="s">
        <v>40</v>
      </c>
    </row>
    <row r="37515" ht="15.75" customHeight="1">
      <c r="A37515" s="7"/>
      <c r="B37515" s="7"/>
      <c r="M37515" s="9" t="s">
        <v>30</v>
      </c>
    </row>
    <row r="37516" ht="15.75" customHeight="1">
      <c r="A37516" s="7"/>
      <c r="B37516" s="7"/>
      <c r="M37516" s="9" t="s">
        <v>25</v>
      </c>
    </row>
    <row r="37517" ht="15.75" customHeight="1">
      <c r="A37517" s="7"/>
      <c r="B37517" s="7"/>
      <c r="M37517" s="9" t="s">
        <v>23</v>
      </c>
    </row>
    <row r="37518" ht="15.75" customHeight="1">
      <c r="A37518" s="7"/>
      <c r="B37518" s="7"/>
      <c r="M37518" s="9" t="s">
        <v>23</v>
      </c>
    </row>
    <row r="37519" ht="15.75" customHeight="1">
      <c r="A37519" s="7"/>
      <c r="B37519" s="7"/>
      <c r="M37519" s="9" t="s">
        <v>26</v>
      </c>
    </row>
    <row r="37520" ht="15.75" customHeight="1">
      <c r="A37520" s="7"/>
      <c r="B37520" s="7"/>
      <c r="M37520" s="9" t="s">
        <v>22</v>
      </c>
    </row>
    <row r="37521" ht="15.75" customHeight="1">
      <c r="A37521" s="7"/>
      <c r="B37521" s="7"/>
      <c r="M37521" s="9" t="s">
        <v>31</v>
      </c>
    </row>
    <row r="37522" ht="15.75" customHeight="1">
      <c r="A37522" s="7"/>
      <c r="B37522" s="7"/>
      <c r="M37522" s="9" t="s">
        <v>26</v>
      </c>
    </row>
    <row r="37523" ht="15.75" customHeight="1">
      <c r="A37523" s="7"/>
      <c r="B37523" s="7"/>
      <c r="M37523" s="9" t="s">
        <v>36</v>
      </c>
    </row>
    <row r="37524" ht="15.75" customHeight="1">
      <c r="A37524" s="7"/>
      <c r="B37524" s="7"/>
      <c r="M37524" s="9" t="s">
        <v>22</v>
      </c>
    </row>
    <row r="37525" ht="15.75" customHeight="1">
      <c r="A37525" s="7"/>
      <c r="B37525" s="7"/>
      <c r="M37525" s="9" t="s">
        <v>27</v>
      </c>
    </row>
    <row r="37526" ht="15.75" customHeight="1">
      <c r="A37526" s="7"/>
      <c r="B37526" s="7"/>
      <c r="M37526" s="9" t="s">
        <v>23</v>
      </c>
    </row>
    <row r="37527" ht="15.75" customHeight="1">
      <c r="A37527" s="7"/>
      <c r="B37527" s="7"/>
      <c r="M37527" s="9" t="s">
        <v>26</v>
      </c>
    </row>
    <row r="37528" ht="15.75" customHeight="1">
      <c r="A37528" s="7"/>
      <c r="B37528" s="7"/>
      <c r="M37528" s="9" t="s">
        <v>24</v>
      </c>
    </row>
    <row r="37529" ht="15.75" customHeight="1">
      <c r="A37529" s="7"/>
      <c r="B37529" s="7"/>
      <c r="M37529" s="9" t="s">
        <v>27</v>
      </c>
    </row>
    <row r="37530" ht="15.75" customHeight="1">
      <c r="A37530" s="7"/>
      <c r="B37530" s="7"/>
      <c r="M37530" s="9" t="s">
        <v>33</v>
      </c>
    </row>
    <row r="37531" ht="15.75" customHeight="1">
      <c r="A37531" s="7"/>
      <c r="B37531" s="7"/>
      <c r="M37531" s="9" t="s">
        <v>26</v>
      </c>
    </row>
    <row r="37532" ht="15.75" customHeight="1">
      <c r="A37532" s="7"/>
      <c r="B37532" s="7"/>
      <c r="M37532" s="9" t="s">
        <v>24</v>
      </c>
    </row>
    <row r="37533" ht="15.75" customHeight="1">
      <c r="A37533" s="7"/>
      <c r="B37533" s="7"/>
      <c r="M37533" s="9" t="s">
        <v>20</v>
      </c>
    </row>
    <row r="37534" ht="15.75" customHeight="1">
      <c r="A37534" s="7"/>
      <c r="B37534" s="7"/>
      <c r="M37534" s="9" t="s">
        <v>21</v>
      </c>
    </row>
    <row r="37535" ht="15.75" customHeight="1">
      <c r="A37535" s="7"/>
      <c r="B37535" s="7"/>
      <c r="M37535" s="9" t="s">
        <v>39</v>
      </c>
    </row>
    <row r="37536" ht="15.75" customHeight="1">
      <c r="A37536" s="7"/>
      <c r="B37536" s="7"/>
      <c r="M37536" s="9" t="s">
        <v>37</v>
      </c>
    </row>
    <row r="37537" ht="15.75" customHeight="1">
      <c r="A37537" s="7"/>
      <c r="B37537" s="7"/>
      <c r="M37537" s="9" t="s">
        <v>32</v>
      </c>
    </row>
    <row r="37538" ht="15.75" customHeight="1">
      <c r="A37538" s="7"/>
      <c r="B37538" s="7"/>
      <c r="M37538" s="9" t="s">
        <v>27</v>
      </c>
    </row>
    <row r="37539" ht="15.75" customHeight="1">
      <c r="A37539" s="7"/>
      <c r="B37539" s="7"/>
      <c r="M37539" s="9" t="s">
        <v>30</v>
      </c>
    </row>
    <row r="37540" ht="15.75" customHeight="1">
      <c r="A37540" s="7"/>
      <c r="B37540" s="7"/>
      <c r="M37540" s="9" t="s">
        <v>26</v>
      </c>
    </row>
    <row r="37541" ht="15.75" customHeight="1">
      <c r="A37541" s="7"/>
      <c r="B37541" s="7"/>
      <c r="M37541" s="9" t="s">
        <v>24</v>
      </c>
    </row>
    <row r="37542" ht="15.75" customHeight="1">
      <c r="A37542" s="7"/>
      <c r="B37542" s="7"/>
      <c r="M37542" s="9" t="s">
        <v>21</v>
      </c>
    </row>
    <row r="37543" ht="15.75" customHeight="1">
      <c r="A37543" s="7"/>
      <c r="B37543" s="7"/>
      <c r="M37543" s="9" t="s">
        <v>22</v>
      </c>
    </row>
    <row r="37544" ht="15.75" customHeight="1">
      <c r="A37544" s="7"/>
      <c r="B37544" s="7"/>
      <c r="M37544" s="9" t="s">
        <v>27</v>
      </c>
    </row>
    <row r="37545" ht="15.75" customHeight="1">
      <c r="A37545" s="7"/>
      <c r="B37545" s="7"/>
      <c r="M37545" s="9" t="s">
        <v>35</v>
      </c>
    </row>
    <row r="37546" ht="15.75" customHeight="1">
      <c r="A37546" s="7"/>
      <c r="B37546" s="7"/>
      <c r="M37546" s="9" t="s">
        <v>23</v>
      </c>
    </row>
    <row r="37547" ht="15.75" customHeight="1">
      <c r="A37547" s="7"/>
      <c r="B37547" s="7"/>
      <c r="M37547" s="9" t="s">
        <v>24</v>
      </c>
    </row>
    <row r="37548" ht="15.75" customHeight="1">
      <c r="A37548" s="7"/>
      <c r="B37548" s="7"/>
      <c r="M37548" s="9" t="s">
        <v>20</v>
      </c>
    </row>
    <row r="37549" ht="15.75" customHeight="1">
      <c r="A37549" s="7"/>
      <c r="B37549" s="7"/>
      <c r="M37549" s="9" t="s">
        <v>21</v>
      </c>
    </row>
    <row r="37550" ht="15.75" customHeight="1">
      <c r="A37550" s="7"/>
      <c r="B37550" s="7"/>
      <c r="M37550" s="9" t="s">
        <v>37</v>
      </c>
    </row>
    <row r="37551" ht="15.75" customHeight="1">
      <c r="A37551" s="7"/>
      <c r="B37551" s="7"/>
      <c r="M37551" s="9" t="s">
        <v>22</v>
      </c>
    </row>
    <row r="37552" ht="15.75" customHeight="1">
      <c r="A37552" s="7"/>
      <c r="B37552" s="7"/>
      <c r="M37552" s="9" t="s">
        <v>27</v>
      </c>
    </row>
    <row r="37553" ht="15.75" customHeight="1">
      <c r="A37553" s="7"/>
      <c r="B37553" s="7"/>
      <c r="M37553" s="9" t="s">
        <v>30</v>
      </c>
    </row>
    <row r="37554" ht="15.75" customHeight="1">
      <c r="A37554" s="7"/>
      <c r="B37554" s="7"/>
      <c r="M37554" s="9" t="s">
        <v>26</v>
      </c>
    </row>
    <row r="37555" ht="15.75" customHeight="1">
      <c r="A37555" s="7"/>
      <c r="B37555" s="7"/>
      <c r="M37555" s="9" t="s">
        <v>24</v>
      </c>
    </row>
    <row r="37556" ht="15.75" customHeight="1">
      <c r="A37556" s="7"/>
      <c r="B37556" s="7"/>
      <c r="M37556" s="9" t="s">
        <v>20</v>
      </c>
    </row>
    <row r="37557" ht="15.75" customHeight="1">
      <c r="A37557" s="7"/>
      <c r="B37557" s="7"/>
      <c r="M37557" s="9" t="s">
        <v>21</v>
      </c>
    </row>
    <row r="37558" ht="15.75" customHeight="1">
      <c r="A37558" s="7"/>
      <c r="B37558" s="7"/>
      <c r="M37558" s="9" t="s">
        <v>37</v>
      </c>
    </row>
    <row r="37559" ht="15.75" customHeight="1">
      <c r="A37559" s="7"/>
      <c r="B37559" s="7"/>
      <c r="M37559" s="9" t="s">
        <v>27</v>
      </c>
    </row>
    <row r="37560" ht="15.75" customHeight="1">
      <c r="A37560" s="7"/>
      <c r="B37560" s="7"/>
      <c r="M37560" s="9" t="s">
        <v>24</v>
      </c>
    </row>
    <row r="37561" ht="15.75" customHeight="1">
      <c r="A37561" s="7"/>
      <c r="B37561" s="7"/>
      <c r="M37561" s="9" t="s">
        <v>21</v>
      </c>
    </row>
    <row r="37562" ht="15.75" customHeight="1">
      <c r="A37562" s="7"/>
      <c r="B37562" s="7"/>
      <c r="M37562" s="9" t="s">
        <v>22</v>
      </c>
    </row>
    <row r="37563" ht="15.75" customHeight="1">
      <c r="A37563" s="7"/>
      <c r="B37563" s="7"/>
      <c r="M37563" s="9" t="s">
        <v>29</v>
      </c>
    </row>
    <row r="37564" ht="15.75" customHeight="1">
      <c r="A37564" s="7"/>
      <c r="B37564" s="7"/>
      <c r="M37564" s="9" t="s">
        <v>30</v>
      </c>
    </row>
    <row r="37565" ht="15.75" customHeight="1">
      <c r="A37565" s="7"/>
      <c r="B37565" s="7"/>
      <c r="M37565" s="9" t="s">
        <v>24</v>
      </c>
    </row>
    <row r="37566" ht="15.75" customHeight="1">
      <c r="A37566" s="7"/>
      <c r="B37566" s="7"/>
      <c r="M37566" s="9" t="s">
        <v>20</v>
      </c>
    </row>
    <row r="37567" ht="15.75" customHeight="1">
      <c r="A37567" s="7"/>
      <c r="B37567" s="7"/>
      <c r="M37567" s="9" t="s">
        <v>21</v>
      </c>
    </row>
    <row r="37568" ht="15.75" customHeight="1">
      <c r="A37568" s="7"/>
      <c r="B37568" s="7"/>
      <c r="M37568" s="9" t="s">
        <v>46</v>
      </c>
    </row>
    <row r="37569" ht="15.75" customHeight="1">
      <c r="A37569" s="7"/>
      <c r="B37569" s="7"/>
      <c r="M37569" s="9" t="s">
        <v>45</v>
      </c>
    </row>
    <row r="37570" ht="15.75" customHeight="1">
      <c r="A37570" s="7"/>
      <c r="B37570" s="7"/>
      <c r="M37570" s="9" t="s">
        <v>22</v>
      </c>
    </row>
    <row r="37571" ht="15.75" customHeight="1">
      <c r="A37571" s="7"/>
      <c r="B37571" s="7"/>
      <c r="M37571" s="9" t="s">
        <v>35</v>
      </c>
    </row>
    <row r="37572" ht="15.75" customHeight="1">
      <c r="A37572" s="7"/>
      <c r="B37572" s="7"/>
      <c r="M37572" s="9" t="s">
        <v>30</v>
      </c>
    </row>
    <row r="37573" ht="15.75" customHeight="1">
      <c r="A37573" s="7"/>
      <c r="B37573" s="7"/>
      <c r="M37573" s="9" t="s">
        <v>26</v>
      </c>
    </row>
    <row r="37574" ht="15.75" customHeight="1">
      <c r="A37574" s="7"/>
      <c r="B37574" s="7"/>
      <c r="M37574" s="9" t="s">
        <v>24</v>
      </c>
    </row>
    <row r="37575" ht="15.75" customHeight="1">
      <c r="A37575" s="7"/>
      <c r="B37575" s="7"/>
      <c r="M37575" s="9" t="s">
        <v>21</v>
      </c>
    </row>
    <row r="37576" ht="15.75" customHeight="1">
      <c r="A37576" s="7"/>
      <c r="B37576" s="7"/>
      <c r="M37576" s="9" t="s">
        <v>33</v>
      </c>
    </row>
    <row r="37577" ht="15.75" customHeight="1">
      <c r="A37577" s="7"/>
      <c r="B37577" s="7"/>
      <c r="M37577" s="9" t="s">
        <v>25</v>
      </c>
    </row>
    <row r="37578" ht="15.75" customHeight="1">
      <c r="A37578" s="7"/>
      <c r="B37578" s="7"/>
      <c r="M37578" s="9" t="s">
        <v>23</v>
      </c>
    </row>
    <row r="37579" ht="15.75" customHeight="1">
      <c r="A37579" s="7"/>
      <c r="B37579" s="7"/>
      <c r="M37579" s="9" t="s">
        <v>26</v>
      </c>
    </row>
    <row r="37580" ht="15.75" customHeight="1">
      <c r="A37580" s="7"/>
      <c r="B37580" s="7"/>
      <c r="M37580" s="9" t="s">
        <v>24</v>
      </c>
    </row>
    <row r="37581" ht="15.75" customHeight="1">
      <c r="A37581" s="7"/>
      <c r="B37581" s="7"/>
      <c r="M37581" s="9" t="s">
        <v>20</v>
      </c>
    </row>
    <row r="37582" ht="15.75" customHeight="1">
      <c r="A37582" s="7"/>
      <c r="B37582" s="7"/>
      <c r="M37582" s="9" t="s">
        <v>21</v>
      </c>
    </row>
    <row r="37583" ht="15.75" customHeight="1">
      <c r="A37583" s="7"/>
      <c r="B37583" s="7"/>
      <c r="M37583" s="9" t="s">
        <v>22</v>
      </c>
    </row>
    <row r="37584" ht="15.75" customHeight="1">
      <c r="A37584" s="7"/>
      <c r="B37584" s="7"/>
      <c r="M37584" s="9" t="s">
        <v>27</v>
      </c>
    </row>
    <row r="37585" ht="15.75" customHeight="1">
      <c r="A37585" s="7"/>
      <c r="B37585" s="7"/>
      <c r="M37585" s="9" t="s">
        <v>33</v>
      </c>
    </row>
    <row r="37586" ht="15.75" customHeight="1">
      <c r="A37586" s="7"/>
      <c r="B37586" s="7"/>
      <c r="M37586" s="9" t="s">
        <v>30</v>
      </c>
    </row>
    <row r="37587" ht="15.75" customHeight="1">
      <c r="A37587" s="7"/>
      <c r="B37587" s="7"/>
      <c r="M37587" s="9" t="s">
        <v>23</v>
      </c>
    </row>
    <row r="37588" ht="15.75" customHeight="1">
      <c r="A37588" s="7"/>
      <c r="B37588" s="7"/>
      <c r="M37588" s="9" t="s">
        <v>22</v>
      </c>
    </row>
    <row r="37589" ht="15.75" customHeight="1">
      <c r="A37589" s="7"/>
      <c r="B37589" s="7"/>
      <c r="M37589" s="9" t="s">
        <v>41</v>
      </c>
    </row>
    <row r="37590" ht="15.75" customHeight="1">
      <c r="A37590" s="7"/>
      <c r="B37590" s="7"/>
      <c r="M37590" s="9" t="s">
        <v>22</v>
      </c>
    </row>
    <row r="37591" ht="15.75" customHeight="1">
      <c r="A37591" s="7"/>
      <c r="B37591" s="7"/>
      <c r="M37591" s="9" t="s">
        <v>40</v>
      </c>
    </row>
    <row r="37592" ht="15.75" customHeight="1">
      <c r="A37592" s="7"/>
      <c r="B37592" s="7"/>
      <c r="M37592" s="9" t="s">
        <v>26</v>
      </c>
    </row>
    <row r="37593" ht="15.75" customHeight="1">
      <c r="A37593" s="7"/>
      <c r="B37593" s="7"/>
      <c r="M37593" s="9" t="s">
        <v>21</v>
      </c>
    </row>
    <row r="37594" ht="15.75" customHeight="1">
      <c r="A37594" s="7"/>
      <c r="B37594" s="7"/>
      <c r="M37594" s="9" t="s">
        <v>37</v>
      </c>
    </row>
    <row r="37595" ht="15.75" customHeight="1">
      <c r="A37595" s="7"/>
      <c r="B37595" s="7"/>
      <c r="M37595" s="9" t="s">
        <v>27</v>
      </c>
    </row>
    <row r="37596" ht="15.75" customHeight="1">
      <c r="A37596" s="7"/>
      <c r="B37596" s="7"/>
      <c r="M37596" s="9" t="s">
        <v>33</v>
      </c>
    </row>
    <row r="37597" ht="15.75" customHeight="1">
      <c r="A37597" s="7"/>
      <c r="B37597" s="7"/>
      <c r="M37597" s="9" t="s">
        <v>30</v>
      </c>
    </row>
    <row r="37598" ht="15.75" customHeight="1">
      <c r="A37598" s="7"/>
      <c r="B37598" s="7"/>
      <c r="M37598" s="9" t="s">
        <v>24</v>
      </c>
    </row>
    <row r="37599" ht="15.75" customHeight="1">
      <c r="A37599" s="7"/>
      <c r="B37599" s="7"/>
      <c r="M37599" s="9" t="s">
        <v>21</v>
      </c>
    </row>
    <row r="37600" ht="15.75" customHeight="1">
      <c r="A37600" s="7"/>
      <c r="B37600" s="7"/>
      <c r="M37600" s="9" t="s">
        <v>37</v>
      </c>
    </row>
    <row r="37601" ht="15.75" customHeight="1">
      <c r="A37601" s="7"/>
      <c r="B37601" s="7"/>
      <c r="M37601" s="9" t="s">
        <v>35</v>
      </c>
    </row>
    <row r="37602" ht="15.75" customHeight="1">
      <c r="A37602" s="7"/>
      <c r="B37602" s="7"/>
      <c r="M37602" s="9" t="s">
        <v>26</v>
      </c>
    </row>
    <row r="37603" ht="15.75" customHeight="1">
      <c r="A37603" s="7"/>
      <c r="B37603" s="7"/>
      <c r="M37603" s="9" t="s">
        <v>24</v>
      </c>
    </row>
    <row r="37604" ht="15.75" customHeight="1">
      <c r="A37604" s="7"/>
      <c r="B37604" s="7"/>
      <c r="M37604" s="9" t="s">
        <v>21</v>
      </c>
    </row>
    <row r="37605" ht="15.75" customHeight="1">
      <c r="A37605" s="7"/>
      <c r="B37605" s="7"/>
      <c r="M37605" s="9" t="s">
        <v>22</v>
      </c>
    </row>
    <row r="37606" ht="15.75" customHeight="1">
      <c r="A37606" s="7"/>
      <c r="B37606" s="7"/>
      <c r="M37606" s="9" t="s">
        <v>33</v>
      </c>
    </row>
    <row r="37607" ht="15.75" customHeight="1">
      <c r="A37607" s="7"/>
      <c r="B37607" s="7"/>
      <c r="M37607" s="9" t="s">
        <v>25</v>
      </c>
    </row>
    <row r="37608" ht="15.75" customHeight="1">
      <c r="A37608" s="7"/>
      <c r="B37608" s="7"/>
      <c r="M37608" s="9" t="s">
        <v>23</v>
      </c>
    </row>
    <row r="37609" ht="15.75" customHeight="1">
      <c r="A37609" s="7"/>
      <c r="B37609" s="7"/>
      <c r="M37609" s="9" t="s">
        <v>24</v>
      </c>
    </row>
    <row r="37610" ht="15.75" customHeight="1">
      <c r="A37610" s="7"/>
      <c r="B37610" s="7"/>
      <c r="M37610" s="9" t="s">
        <v>20</v>
      </c>
    </row>
    <row r="37611" ht="15.75" customHeight="1">
      <c r="A37611" s="7"/>
      <c r="B37611" s="7"/>
      <c r="M37611" s="9" t="s">
        <v>21</v>
      </c>
    </row>
    <row r="37612" ht="15.75" customHeight="1">
      <c r="A37612" s="7"/>
      <c r="B37612" s="7"/>
      <c r="M37612" s="9" t="s">
        <v>27</v>
      </c>
    </row>
    <row r="37613" ht="15.75" customHeight="1">
      <c r="A37613" s="7"/>
      <c r="B37613" s="7"/>
      <c r="M37613" s="9" t="s">
        <v>30</v>
      </c>
    </row>
    <row r="37614" ht="15.75" customHeight="1">
      <c r="A37614" s="7"/>
      <c r="B37614" s="7"/>
      <c r="M37614" s="9" t="s">
        <v>24</v>
      </c>
    </row>
    <row r="37615" ht="15.75" customHeight="1">
      <c r="A37615" s="7"/>
      <c r="B37615" s="7"/>
      <c r="M37615" s="9" t="s">
        <v>20</v>
      </c>
    </row>
    <row r="37616" ht="15.75" customHeight="1">
      <c r="A37616" s="7"/>
      <c r="B37616" s="7"/>
      <c r="M37616" s="9" t="s">
        <v>31</v>
      </c>
    </row>
    <row r="37617" ht="15.75" customHeight="1">
      <c r="A37617" s="7"/>
      <c r="B37617" s="7"/>
      <c r="M37617" s="9" t="s">
        <v>27</v>
      </c>
    </row>
    <row r="37618" ht="15.75" customHeight="1">
      <c r="A37618" s="7"/>
      <c r="B37618" s="7"/>
      <c r="M37618" s="9" t="s">
        <v>26</v>
      </c>
    </row>
    <row r="37619" ht="15.75" customHeight="1">
      <c r="A37619" s="7"/>
      <c r="B37619" s="7"/>
      <c r="M37619" s="9" t="s">
        <v>24</v>
      </c>
    </row>
    <row r="37620" ht="15.75" customHeight="1">
      <c r="A37620" s="7"/>
      <c r="B37620" s="7"/>
      <c r="M37620" s="9" t="s">
        <v>21</v>
      </c>
    </row>
    <row r="37621" ht="15.75" customHeight="1">
      <c r="A37621" s="7"/>
      <c r="B37621" s="7"/>
      <c r="M37621" s="9" t="s">
        <v>24</v>
      </c>
    </row>
    <row r="37622" ht="15.75" customHeight="1">
      <c r="A37622" s="7"/>
      <c r="B37622" s="7"/>
      <c r="M37622" s="9" t="s">
        <v>21</v>
      </c>
    </row>
    <row r="37623" ht="15.75" customHeight="1">
      <c r="A37623" s="7"/>
      <c r="B37623" s="7"/>
      <c r="M37623" s="9" t="s">
        <v>30</v>
      </c>
    </row>
    <row r="37624" ht="15.75" customHeight="1">
      <c r="A37624" s="7"/>
      <c r="B37624" s="7"/>
      <c r="M37624" s="9" t="s">
        <v>36</v>
      </c>
    </row>
    <row r="37625" ht="15.75" customHeight="1">
      <c r="A37625" s="7"/>
      <c r="B37625" s="7"/>
      <c r="M37625" s="9" t="s">
        <v>24</v>
      </c>
    </row>
    <row r="37626" ht="15.75" customHeight="1">
      <c r="A37626" s="7"/>
      <c r="B37626" s="7"/>
      <c r="M37626" s="9" t="s">
        <v>21</v>
      </c>
    </row>
    <row r="37627" ht="15.75" customHeight="1">
      <c r="A37627" s="7"/>
      <c r="B37627" s="7"/>
      <c r="M37627" s="9" t="s">
        <v>26</v>
      </c>
    </row>
    <row r="37628" ht="15.75" customHeight="1">
      <c r="A37628" s="7"/>
      <c r="B37628" s="7"/>
      <c r="M37628" s="9" t="s">
        <v>24</v>
      </c>
    </row>
    <row r="37629" ht="15.75" customHeight="1">
      <c r="A37629" s="7"/>
      <c r="B37629" s="7"/>
      <c r="M37629" s="9" t="s">
        <v>21</v>
      </c>
    </row>
    <row r="37630" ht="15.75" customHeight="1">
      <c r="A37630" s="7"/>
      <c r="B37630" s="7"/>
      <c r="M37630" s="9" t="s">
        <v>22</v>
      </c>
    </row>
    <row r="37631" ht="15.75" customHeight="1">
      <c r="A37631" s="7"/>
      <c r="B37631" s="7"/>
      <c r="M37631" s="9" t="s">
        <v>27</v>
      </c>
    </row>
    <row r="37632" ht="15.75" customHeight="1">
      <c r="A37632" s="7"/>
      <c r="B37632" s="7"/>
      <c r="M37632" s="9" t="s">
        <v>30</v>
      </c>
    </row>
    <row r="37633" ht="15.75" customHeight="1">
      <c r="A37633" s="7"/>
      <c r="B37633" s="7"/>
      <c r="M37633" s="9" t="s">
        <v>26</v>
      </c>
    </row>
    <row r="37634" ht="15.75" customHeight="1">
      <c r="A37634" s="7"/>
      <c r="B37634" s="7"/>
      <c r="M37634" s="9" t="s">
        <v>24</v>
      </c>
    </row>
    <row r="37635" ht="15.75" customHeight="1">
      <c r="A37635" s="7"/>
      <c r="B37635" s="7"/>
      <c r="M37635" s="9" t="s">
        <v>21</v>
      </c>
    </row>
    <row r="37636" ht="15.75" customHeight="1">
      <c r="A37636" s="7"/>
      <c r="B37636" s="7"/>
      <c r="M37636" s="9" t="s">
        <v>27</v>
      </c>
    </row>
    <row r="37637" ht="15.75" customHeight="1">
      <c r="A37637" s="7"/>
      <c r="B37637" s="7"/>
      <c r="M37637" s="9" t="s">
        <v>30</v>
      </c>
    </row>
    <row r="37638" ht="15.75" customHeight="1">
      <c r="A37638" s="7"/>
      <c r="B37638" s="7"/>
      <c r="M37638" s="9" t="s">
        <v>24</v>
      </c>
    </row>
    <row r="37639" ht="15.75" customHeight="1">
      <c r="A37639" s="7"/>
      <c r="B37639" s="7"/>
      <c r="M37639" s="9" t="s">
        <v>21</v>
      </c>
    </row>
    <row r="37640" ht="15.75" customHeight="1">
      <c r="A37640" s="7"/>
      <c r="B37640" s="7"/>
      <c r="M37640" s="9" t="s">
        <v>22</v>
      </c>
    </row>
    <row r="37641" ht="15.75" customHeight="1">
      <c r="A37641" s="7"/>
      <c r="B37641" s="7"/>
      <c r="M37641" s="9" t="s">
        <v>27</v>
      </c>
    </row>
    <row r="37642" ht="15.75" customHeight="1">
      <c r="A37642" s="7"/>
      <c r="B37642" s="7"/>
      <c r="M37642" s="9" t="s">
        <v>35</v>
      </c>
    </row>
    <row r="37643" ht="15.75" customHeight="1">
      <c r="A37643" s="7"/>
      <c r="B37643" s="7"/>
      <c r="M37643" s="9" t="s">
        <v>30</v>
      </c>
    </row>
    <row r="37644" ht="15.75" customHeight="1">
      <c r="A37644" s="7"/>
      <c r="B37644" s="7"/>
      <c r="M37644" s="9" t="s">
        <v>23</v>
      </c>
    </row>
    <row r="37645" ht="15.75" customHeight="1">
      <c r="A37645" s="7"/>
      <c r="B37645" s="7"/>
      <c r="M37645" s="9" t="s">
        <v>24</v>
      </c>
    </row>
    <row r="37646" ht="15.75" customHeight="1">
      <c r="A37646" s="7"/>
      <c r="B37646" s="7"/>
      <c r="M37646" s="9" t="s">
        <v>21</v>
      </c>
    </row>
    <row r="37647" ht="15.75" customHeight="1">
      <c r="A37647" s="7"/>
      <c r="B37647" s="7"/>
      <c r="M37647" s="9" t="s">
        <v>37</v>
      </c>
    </row>
    <row r="37648" ht="15.75" customHeight="1">
      <c r="A37648" s="7"/>
      <c r="B37648" s="7"/>
      <c r="M37648" s="9" t="s">
        <v>22</v>
      </c>
    </row>
    <row r="37649" ht="15.75" customHeight="1">
      <c r="A37649" s="7"/>
      <c r="B37649" s="7"/>
      <c r="M37649" s="9" t="s">
        <v>33</v>
      </c>
    </row>
    <row r="37650" ht="15.75" customHeight="1">
      <c r="A37650" s="7"/>
      <c r="B37650" s="7"/>
      <c r="M37650" s="9" t="s">
        <v>26</v>
      </c>
    </row>
    <row r="37651" ht="15.75" customHeight="1">
      <c r="A37651" s="7"/>
      <c r="B37651" s="7"/>
      <c r="M37651" s="9" t="s">
        <v>24</v>
      </c>
    </row>
    <row r="37652" ht="15.75" customHeight="1">
      <c r="A37652" s="7"/>
      <c r="B37652" s="7"/>
      <c r="M37652" s="9" t="s">
        <v>21</v>
      </c>
    </row>
    <row r="37653" ht="15.75" customHeight="1">
      <c r="A37653" s="7"/>
      <c r="B37653" s="7"/>
      <c r="M37653" s="9" t="s">
        <v>22</v>
      </c>
    </row>
    <row r="37654" ht="15.75" customHeight="1">
      <c r="A37654" s="7"/>
      <c r="B37654" s="7"/>
      <c r="M37654" s="9" t="s">
        <v>27</v>
      </c>
    </row>
    <row r="37655" ht="15.75" customHeight="1">
      <c r="A37655" s="7"/>
      <c r="B37655" s="7"/>
      <c r="M37655" s="9" t="s">
        <v>24</v>
      </c>
    </row>
    <row r="37656" ht="15.75" customHeight="1">
      <c r="A37656" s="7"/>
      <c r="B37656" s="7"/>
      <c r="M37656" s="9" t="s">
        <v>21</v>
      </c>
    </row>
    <row r="37657" ht="15.75" customHeight="1">
      <c r="A37657" s="7"/>
      <c r="B37657" s="7"/>
      <c r="M37657" s="9" t="s">
        <v>30</v>
      </c>
    </row>
    <row r="37658" ht="15.75" customHeight="1">
      <c r="A37658" s="7"/>
      <c r="B37658" s="7"/>
      <c r="M37658" s="9" t="s">
        <v>24</v>
      </c>
    </row>
    <row r="37659" ht="15.75" customHeight="1">
      <c r="A37659" s="7"/>
      <c r="B37659" s="7"/>
      <c r="M37659" s="9" t="s">
        <v>21</v>
      </c>
    </row>
    <row r="37660" ht="15.75" customHeight="1">
      <c r="A37660" s="7"/>
      <c r="B37660" s="7"/>
      <c r="M37660" s="9" t="s">
        <v>46</v>
      </c>
    </row>
    <row r="37661" ht="15.75" customHeight="1">
      <c r="A37661" s="7"/>
      <c r="B37661" s="7"/>
      <c r="M37661" s="9" t="s">
        <v>33</v>
      </c>
    </row>
    <row r="37662" ht="15.75" customHeight="1">
      <c r="A37662" s="7"/>
      <c r="B37662" s="7"/>
      <c r="M37662" s="9" t="s">
        <v>38</v>
      </c>
    </row>
    <row r="37663" ht="15.75" customHeight="1">
      <c r="A37663" s="7"/>
      <c r="B37663" s="7"/>
      <c r="M37663" s="9" t="s">
        <v>20</v>
      </c>
    </row>
    <row r="37664" ht="15.75" customHeight="1">
      <c r="A37664" s="7"/>
      <c r="B37664" s="7"/>
      <c r="M37664" s="9" t="s">
        <v>37</v>
      </c>
    </row>
    <row r="37665" ht="15.75" customHeight="1">
      <c r="A37665" s="7"/>
      <c r="B37665" s="7"/>
      <c r="M37665" s="9" t="s">
        <v>40</v>
      </c>
    </row>
    <row r="37666" ht="15.75" customHeight="1">
      <c r="A37666" s="7"/>
      <c r="B37666" s="7"/>
      <c r="M37666" s="9" t="s">
        <v>30</v>
      </c>
    </row>
    <row r="37667" ht="15.75" customHeight="1">
      <c r="A37667" s="7"/>
      <c r="B37667" s="7"/>
      <c r="M37667" s="9" t="s">
        <v>42</v>
      </c>
    </row>
    <row r="37668" ht="15.75" customHeight="1">
      <c r="A37668" s="7"/>
      <c r="B37668" s="7"/>
      <c r="M37668" s="9" t="s">
        <v>20</v>
      </c>
    </row>
    <row r="37669" ht="15.75" customHeight="1">
      <c r="A37669" s="7"/>
      <c r="B37669" s="7"/>
      <c r="M37669" s="9" t="s">
        <v>21</v>
      </c>
    </row>
    <row r="37670" ht="15.75" customHeight="1">
      <c r="A37670" s="7"/>
      <c r="B37670" s="7"/>
      <c r="M37670" s="9" t="s">
        <v>38</v>
      </c>
    </row>
    <row r="37671" ht="15.75" customHeight="1">
      <c r="A37671" s="7"/>
      <c r="B37671" s="7"/>
      <c r="M37671" s="9" t="s">
        <v>30</v>
      </c>
    </row>
    <row r="37672" ht="15.75" customHeight="1">
      <c r="A37672" s="7"/>
      <c r="B37672" s="7"/>
      <c r="M37672" s="9" t="s">
        <v>25</v>
      </c>
    </row>
    <row r="37673" ht="15.75" customHeight="1">
      <c r="A37673" s="7"/>
      <c r="B37673" s="7"/>
      <c r="M37673" s="9" t="s">
        <v>24</v>
      </c>
    </row>
    <row r="37674" ht="15.75" customHeight="1">
      <c r="A37674" s="7"/>
      <c r="B37674" s="7"/>
      <c r="M37674" s="9" t="s">
        <v>20</v>
      </c>
    </row>
    <row r="37675" ht="15.75" customHeight="1">
      <c r="A37675" s="7"/>
      <c r="B37675" s="7"/>
      <c r="M37675" s="9" t="s">
        <v>37</v>
      </c>
    </row>
    <row r="37676" ht="15.75" customHeight="1">
      <c r="A37676" s="7"/>
      <c r="B37676" s="7"/>
      <c r="M37676" s="9" t="s">
        <v>22</v>
      </c>
    </row>
    <row r="37677" ht="15.75" customHeight="1">
      <c r="A37677" s="7"/>
      <c r="B37677" s="7"/>
      <c r="M37677" s="9" t="s">
        <v>27</v>
      </c>
    </row>
    <row r="37678" ht="15.75" customHeight="1">
      <c r="A37678" s="7"/>
      <c r="B37678" s="7"/>
      <c r="M37678" s="9" t="s">
        <v>30</v>
      </c>
    </row>
    <row r="37679" ht="15.75" customHeight="1">
      <c r="A37679" s="7"/>
      <c r="B37679" s="7"/>
      <c r="M37679" s="9" t="s">
        <v>26</v>
      </c>
    </row>
    <row r="37680" ht="15.75" customHeight="1">
      <c r="A37680" s="7"/>
      <c r="B37680" s="7"/>
      <c r="M37680" s="9" t="s">
        <v>24</v>
      </c>
    </row>
    <row r="37681" ht="15.75" customHeight="1">
      <c r="A37681" s="7"/>
      <c r="B37681" s="7"/>
      <c r="M37681" s="9" t="s">
        <v>21</v>
      </c>
    </row>
    <row r="37682" ht="15.75" customHeight="1">
      <c r="A37682" s="7"/>
      <c r="B37682" s="7"/>
      <c r="M37682" s="9" t="s">
        <v>37</v>
      </c>
    </row>
    <row r="37683" ht="15.75" customHeight="1">
      <c r="A37683" s="7"/>
      <c r="B37683" s="7"/>
      <c r="M37683" s="9" t="s">
        <v>27</v>
      </c>
    </row>
    <row r="37684" ht="15.75" customHeight="1">
      <c r="A37684" s="7"/>
      <c r="B37684" s="7"/>
      <c r="M37684" s="9" t="s">
        <v>20</v>
      </c>
    </row>
    <row r="37685" ht="15.75" customHeight="1">
      <c r="A37685" s="7"/>
      <c r="B37685" s="7"/>
      <c r="M37685" s="9" t="s">
        <v>22</v>
      </c>
    </row>
    <row r="37686" ht="15.75" customHeight="1">
      <c r="A37686" s="7"/>
      <c r="B37686" s="7"/>
      <c r="M37686" s="9" t="s">
        <v>36</v>
      </c>
    </row>
    <row r="37687" ht="15.75" customHeight="1">
      <c r="A37687" s="7"/>
      <c r="B37687" s="7"/>
      <c r="M37687" s="9" t="s">
        <v>24</v>
      </c>
    </row>
    <row r="37688" ht="15.75" customHeight="1">
      <c r="A37688" s="7"/>
      <c r="B37688" s="7"/>
      <c r="M37688" s="9" t="s">
        <v>21</v>
      </c>
    </row>
    <row r="37689" ht="15.75" customHeight="1">
      <c r="A37689" s="7"/>
      <c r="B37689" s="7"/>
      <c r="M37689" s="9" t="s">
        <v>33</v>
      </c>
    </row>
    <row r="37690" ht="15.75" customHeight="1">
      <c r="A37690" s="7"/>
      <c r="B37690" s="7"/>
      <c r="M37690" s="9" t="s">
        <v>25</v>
      </c>
    </row>
    <row r="37691" ht="15.75" customHeight="1">
      <c r="A37691" s="7"/>
      <c r="B37691" s="7"/>
      <c r="M37691" s="9" t="s">
        <v>23</v>
      </c>
    </row>
    <row r="37692" ht="15.75" customHeight="1">
      <c r="A37692" s="7"/>
      <c r="B37692" s="7"/>
      <c r="M37692" s="9" t="s">
        <v>26</v>
      </c>
    </row>
    <row r="37693" ht="15.75" customHeight="1">
      <c r="A37693" s="7"/>
      <c r="B37693" s="7"/>
      <c r="M37693" s="9" t="s">
        <v>24</v>
      </c>
    </row>
    <row r="37694" ht="15.75" customHeight="1">
      <c r="A37694" s="7"/>
      <c r="B37694" s="7"/>
      <c r="M37694" s="9" t="s">
        <v>20</v>
      </c>
    </row>
    <row r="37695" ht="15.75" customHeight="1">
      <c r="A37695" s="7"/>
      <c r="B37695" s="7"/>
      <c r="M37695" s="9" t="s">
        <v>21</v>
      </c>
    </row>
    <row r="37696" ht="15.75" customHeight="1">
      <c r="A37696" s="7"/>
      <c r="B37696" s="7"/>
      <c r="M37696" s="9" t="s">
        <v>29</v>
      </c>
    </row>
    <row r="37697" ht="15.75" customHeight="1">
      <c r="A37697" s="7"/>
      <c r="B37697" s="7"/>
      <c r="M37697" s="9" t="s">
        <v>27</v>
      </c>
    </row>
    <row r="37698" ht="15.75" customHeight="1">
      <c r="A37698" s="7"/>
      <c r="B37698" s="7"/>
      <c r="M37698" s="9" t="s">
        <v>24</v>
      </c>
    </row>
    <row r="37699" ht="15.75" customHeight="1">
      <c r="A37699" s="7"/>
      <c r="B37699" s="7"/>
      <c r="M37699" s="9" t="s">
        <v>20</v>
      </c>
    </row>
    <row r="37700" ht="15.75" customHeight="1">
      <c r="A37700" s="7"/>
      <c r="B37700" s="7"/>
      <c r="M37700" s="9" t="s">
        <v>21</v>
      </c>
    </row>
    <row r="37701" ht="15.75" customHeight="1">
      <c r="A37701" s="7"/>
      <c r="B37701" s="7"/>
      <c r="M37701" s="9" t="s">
        <v>22</v>
      </c>
    </row>
    <row r="37702" ht="15.75" customHeight="1">
      <c r="A37702" s="7"/>
      <c r="B37702" s="7"/>
      <c r="M37702" s="9" t="s">
        <v>30</v>
      </c>
    </row>
    <row r="37703" ht="15.75" customHeight="1">
      <c r="A37703" s="7"/>
      <c r="B37703" s="7"/>
      <c r="M37703" s="9" t="s">
        <v>26</v>
      </c>
    </row>
    <row r="37704" ht="15.75" customHeight="1">
      <c r="A37704" s="7"/>
      <c r="B37704" s="7"/>
      <c r="M37704" s="9" t="s">
        <v>24</v>
      </c>
    </row>
    <row r="37705" ht="15.75" customHeight="1">
      <c r="A37705" s="7"/>
      <c r="B37705" s="7"/>
      <c r="M37705" s="9" t="s">
        <v>21</v>
      </c>
    </row>
    <row r="37706" ht="15.75" customHeight="1">
      <c r="A37706" s="7"/>
      <c r="B37706" s="7"/>
      <c r="M37706" s="9" t="s">
        <v>33</v>
      </c>
    </row>
    <row r="37707" ht="15.75" customHeight="1">
      <c r="A37707" s="7"/>
      <c r="B37707" s="7"/>
      <c r="M37707" s="9" t="s">
        <v>26</v>
      </c>
    </row>
    <row r="37708" ht="15.75" customHeight="1">
      <c r="A37708" s="7"/>
      <c r="B37708" s="7"/>
      <c r="M37708" s="9" t="s">
        <v>24</v>
      </c>
    </row>
    <row r="37709" ht="15.75" customHeight="1">
      <c r="A37709" s="7"/>
      <c r="B37709" s="7"/>
      <c r="M37709" s="9" t="s">
        <v>21</v>
      </c>
    </row>
    <row r="37710" ht="15.75" customHeight="1">
      <c r="A37710" s="7"/>
      <c r="B37710" s="7"/>
      <c r="M37710" s="9" t="s">
        <v>27</v>
      </c>
    </row>
    <row r="37711" ht="15.75" customHeight="1">
      <c r="A37711" s="7"/>
      <c r="B37711" s="7"/>
      <c r="M37711" s="9" t="s">
        <v>22</v>
      </c>
    </row>
    <row r="37712" ht="15.75" customHeight="1">
      <c r="A37712" s="7"/>
      <c r="B37712" s="7"/>
      <c r="M37712" s="9" t="s">
        <v>46</v>
      </c>
    </row>
    <row r="37713" ht="15.75" customHeight="1">
      <c r="A37713" s="7"/>
      <c r="B37713" s="7"/>
      <c r="M37713" s="9" t="s">
        <v>27</v>
      </c>
    </row>
    <row r="37714" ht="15.75" customHeight="1">
      <c r="A37714" s="7"/>
      <c r="B37714" s="7"/>
      <c r="M37714" s="9" t="s">
        <v>25</v>
      </c>
    </row>
    <row r="37715" ht="15.75" customHeight="1">
      <c r="A37715" s="7"/>
      <c r="B37715" s="7"/>
      <c r="M37715" s="9" t="s">
        <v>23</v>
      </c>
    </row>
    <row r="37716" ht="15.75" customHeight="1">
      <c r="A37716" s="7"/>
      <c r="B37716" s="7"/>
      <c r="M37716" s="9" t="s">
        <v>26</v>
      </c>
    </row>
    <row r="37717" ht="15.75" customHeight="1">
      <c r="A37717" s="7"/>
      <c r="B37717" s="7"/>
      <c r="M37717" s="9" t="s">
        <v>24</v>
      </c>
    </row>
    <row r="37718" ht="15.75" customHeight="1">
      <c r="A37718" s="7"/>
      <c r="B37718" s="7"/>
      <c r="M37718" s="9" t="s">
        <v>20</v>
      </c>
    </row>
    <row r="37719" ht="15.75" customHeight="1">
      <c r="A37719" s="7"/>
      <c r="B37719" s="7"/>
      <c r="M37719" s="9" t="s">
        <v>21</v>
      </c>
    </row>
    <row r="37720" ht="15.75" customHeight="1">
      <c r="A37720" s="7"/>
      <c r="B37720" s="7"/>
      <c r="M37720" s="9" t="s">
        <v>37</v>
      </c>
    </row>
    <row r="37721" ht="15.75" customHeight="1">
      <c r="A37721" s="7"/>
      <c r="B37721" s="7"/>
      <c r="M37721" s="9" t="s">
        <v>22</v>
      </c>
    </row>
    <row r="37722" ht="15.75" customHeight="1">
      <c r="A37722" s="7"/>
      <c r="B37722" s="7"/>
      <c r="M37722" s="9" t="s">
        <v>27</v>
      </c>
    </row>
    <row r="37723" ht="15.75" customHeight="1">
      <c r="A37723" s="7"/>
      <c r="B37723" s="7"/>
      <c r="M37723" s="9" t="s">
        <v>35</v>
      </c>
    </row>
    <row r="37724" ht="15.75" customHeight="1">
      <c r="A37724" s="7"/>
      <c r="B37724" s="7"/>
      <c r="M37724" s="9" t="s">
        <v>30</v>
      </c>
    </row>
    <row r="37725" ht="15.75" customHeight="1">
      <c r="A37725" s="7"/>
      <c r="B37725" s="7"/>
      <c r="M37725" s="9" t="s">
        <v>24</v>
      </c>
    </row>
    <row r="37726" ht="15.75" customHeight="1">
      <c r="A37726" s="7"/>
      <c r="B37726" s="7"/>
      <c r="M37726" s="9" t="s">
        <v>21</v>
      </c>
    </row>
    <row r="37727" ht="15.75" customHeight="1">
      <c r="A37727" s="7"/>
      <c r="B37727" s="7"/>
      <c r="M37727" s="9" t="s">
        <v>37</v>
      </c>
    </row>
    <row r="37728" ht="15.75" customHeight="1">
      <c r="A37728" s="7"/>
      <c r="B37728" s="7"/>
      <c r="M37728" s="9" t="s">
        <v>27</v>
      </c>
    </row>
    <row r="37729" ht="15.75" customHeight="1">
      <c r="A37729" s="7"/>
      <c r="B37729" s="7"/>
      <c r="M37729" s="9" t="s">
        <v>38</v>
      </c>
    </row>
    <row r="37730" ht="15.75" customHeight="1">
      <c r="A37730" s="7"/>
      <c r="B37730" s="7"/>
      <c r="M37730" s="9" t="s">
        <v>30</v>
      </c>
    </row>
    <row r="37731" ht="15.75" customHeight="1">
      <c r="A37731" s="7"/>
      <c r="B37731" s="7"/>
      <c r="M37731" s="9" t="s">
        <v>25</v>
      </c>
    </row>
    <row r="37732" ht="15.75" customHeight="1">
      <c r="A37732" s="7"/>
      <c r="B37732" s="7"/>
      <c r="M37732" s="9" t="s">
        <v>23</v>
      </c>
    </row>
    <row r="37733" ht="15.75" customHeight="1">
      <c r="A37733" s="7"/>
      <c r="B37733" s="7"/>
      <c r="M37733" s="9" t="s">
        <v>26</v>
      </c>
    </row>
    <row r="37734" ht="15.75" customHeight="1">
      <c r="A37734" s="7"/>
      <c r="B37734" s="7"/>
      <c r="M37734" s="9" t="s">
        <v>22</v>
      </c>
    </row>
    <row r="37735" ht="15.75" customHeight="1">
      <c r="A37735" s="7"/>
      <c r="B37735" s="7"/>
      <c r="M37735" s="9" t="s">
        <v>20</v>
      </c>
    </row>
    <row r="37736" ht="15.75" customHeight="1">
      <c r="A37736" s="7"/>
      <c r="B37736" s="7"/>
      <c r="M37736" s="9" t="s">
        <v>39</v>
      </c>
    </row>
    <row r="37737" ht="15.75" customHeight="1">
      <c r="A37737" s="7"/>
      <c r="B37737" s="7"/>
      <c r="M37737" s="9" t="s">
        <v>30</v>
      </c>
    </row>
    <row r="37738" ht="15.75" customHeight="1">
      <c r="A37738" s="7"/>
      <c r="B37738" s="7"/>
      <c r="M37738" s="9" t="s">
        <v>26</v>
      </c>
    </row>
    <row r="37739" ht="15.75" customHeight="1">
      <c r="A37739" s="7"/>
      <c r="B37739" s="7"/>
      <c r="M37739" s="9" t="s">
        <v>24</v>
      </c>
    </row>
    <row r="37740" ht="15.75" customHeight="1">
      <c r="A37740" s="7"/>
      <c r="B37740" s="7"/>
      <c r="M37740" s="9" t="s">
        <v>20</v>
      </c>
    </row>
    <row r="37741" ht="15.75" customHeight="1">
      <c r="A37741" s="7"/>
      <c r="B37741" s="7"/>
      <c r="M37741" s="9" t="s">
        <v>21</v>
      </c>
    </row>
    <row r="37742" ht="15.75" customHeight="1">
      <c r="A37742" s="7"/>
      <c r="B37742" s="7"/>
      <c r="M37742" s="9" t="s">
        <v>41</v>
      </c>
    </row>
    <row r="37743" ht="15.75" customHeight="1">
      <c r="A37743" s="7"/>
      <c r="B37743" s="7"/>
      <c r="M37743" s="9" t="s">
        <v>37</v>
      </c>
    </row>
    <row r="37744" ht="15.75" customHeight="1">
      <c r="A37744" s="7"/>
      <c r="B37744" s="7"/>
      <c r="M37744" s="9" t="s">
        <v>33</v>
      </c>
    </row>
    <row r="37745" ht="15.75" customHeight="1">
      <c r="A37745" s="7"/>
      <c r="B37745" s="7"/>
      <c r="M37745" s="9" t="s">
        <v>26</v>
      </c>
    </row>
    <row r="37746" ht="15.75" customHeight="1">
      <c r="A37746" s="7"/>
      <c r="B37746" s="7"/>
      <c r="M37746" s="9" t="s">
        <v>21</v>
      </c>
    </row>
    <row r="37747" ht="15.75" customHeight="1">
      <c r="A37747" s="7"/>
      <c r="B37747" s="7"/>
      <c r="M37747" s="9" t="s">
        <v>22</v>
      </c>
    </row>
    <row r="37748" ht="15.75" customHeight="1">
      <c r="A37748" s="7"/>
      <c r="B37748" s="7"/>
      <c r="M37748" s="9" t="s">
        <v>31</v>
      </c>
    </row>
    <row r="37749" ht="15.75" customHeight="1">
      <c r="A37749" s="7"/>
      <c r="B37749" s="7"/>
      <c r="M37749" s="9" t="s">
        <v>40</v>
      </c>
    </row>
    <row r="37750" ht="15.75" customHeight="1">
      <c r="A37750" s="7"/>
      <c r="B37750" s="7"/>
      <c r="M37750" s="9" t="s">
        <v>26</v>
      </c>
    </row>
    <row r="37751" ht="15.75" customHeight="1">
      <c r="A37751" s="7"/>
      <c r="B37751" s="7"/>
      <c r="M37751" s="9" t="s">
        <v>24</v>
      </c>
    </row>
    <row r="37752" ht="15.75" customHeight="1">
      <c r="A37752" s="7"/>
      <c r="B37752" s="7"/>
      <c r="M37752" s="9" t="s">
        <v>20</v>
      </c>
    </row>
    <row r="37753" ht="15.75" customHeight="1">
      <c r="A37753" s="7"/>
      <c r="B37753" s="7"/>
      <c r="M37753" s="9" t="s">
        <v>21</v>
      </c>
    </row>
    <row r="37754" ht="15.75" customHeight="1">
      <c r="A37754" s="7"/>
      <c r="B37754" s="7"/>
      <c r="M37754" s="9" t="s">
        <v>37</v>
      </c>
    </row>
    <row r="37755" ht="15.75" customHeight="1">
      <c r="A37755" s="7"/>
      <c r="B37755" s="7"/>
      <c r="M37755" s="9" t="s">
        <v>30</v>
      </c>
    </row>
    <row r="37756" ht="15.75" customHeight="1">
      <c r="A37756" s="7"/>
      <c r="B37756" s="7"/>
      <c r="M37756" s="9" t="s">
        <v>24</v>
      </c>
    </row>
    <row r="37757" ht="15.75" customHeight="1">
      <c r="A37757" s="7"/>
      <c r="B37757" s="7"/>
      <c r="M37757" s="9" t="s">
        <v>20</v>
      </c>
    </row>
    <row r="37758" ht="15.75" customHeight="1">
      <c r="A37758" s="7"/>
      <c r="B37758" s="7"/>
      <c r="M37758" s="9" t="s">
        <v>21</v>
      </c>
    </row>
    <row r="37759" ht="15.75" customHeight="1">
      <c r="A37759" s="7"/>
      <c r="B37759" s="7"/>
      <c r="M37759" s="9" t="s">
        <v>22</v>
      </c>
    </row>
    <row r="37760" ht="15.75" customHeight="1">
      <c r="A37760" s="7"/>
      <c r="B37760" s="7"/>
      <c r="M37760" s="9" t="s">
        <v>27</v>
      </c>
    </row>
    <row r="37761" ht="15.75" customHeight="1">
      <c r="A37761" s="7"/>
      <c r="B37761" s="7"/>
      <c r="M37761" s="9" t="s">
        <v>25</v>
      </c>
    </row>
    <row r="37762" ht="15.75" customHeight="1">
      <c r="A37762" s="7"/>
      <c r="B37762" s="7"/>
      <c r="M37762" s="9" t="s">
        <v>23</v>
      </c>
    </row>
    <row r="37763" ht="15.75" customHeight="1">
      <c r="A37763" s="7"/>
      <c r="B37763" s="7"/>
      <c r="M37763" s="9" t="s">
        <v>36</v>
      </c>
    </row>
    <row r="37764" ht="15.75" customHeight="1">
      <c r="A37764" s="7"/>
      <c r="B37764" s="7"/>
      <c r="M37764" s="9" t="s">
        <v>24</v>
      </c>
    </row>
    <row r="37765" ht="15.75" customHeight="1">
      <c r="A37765" s="7"/>
      <c r="B37765" s="7"/>
      <c r="M37765" s="9" t="s">
        <v>20</v>
      </c>
    </row>
    <row r="37766" ht="15.75" customHeight="1">
      <c r="A37766" s="7"/>
      <c r="B37766" s="7"/>
      <c r="M37766" s="9" t="s">
        <v>21</v>
      </c>
    </row>
    <row r="37767" ht="15.75" customHeight="1">
      <c r="A37767" s="7"/>
      <c r="B37767" s="7"/>
      <c r="M37767" s="9" t="s">
        <v>37</v>
      </c>
    </row>
    <row r="37768" ht="15.75" customHeight="1">
      <c r="A37768" s="7"/>
      <c r="B37768" s="7"/>
      <c r="M37768" s="9" t="s">
        <v>27</v>
      </c>
    </row>
    <row r="37769" ht="15.75" customHeight="1">
      <c r="A37769" s="7"/>
      <c r="B37769" s="7"/>
      <c r="M37769" s="9" t="s">
        <v>23</v>
      </c>
    </row>
    <row r="37770" ht="15.75" customHeight="1">
      <c r="A37770" s="7"/>
      <c r="B37770" s="7"/>
      <c r="M37770" s="9" t="s">
        <v>36</v>
      </c>
    </row>
    <row r="37771" ht="15.75" customHeight="1">
      <c r="A37771" s="7"/>
      <c r="B37771" s="7"/>
      <c r="M37771" s="9" t="s">
        <v>24</v>
      </c>
    </row>
    <row r="37772" ht="15.75" customHeight="1">
      <c r="A37772" s="7"/>
      <c r="B37772" s="7"/>
      <c r="M37772" s="9" t="s">
        <v>21</v>
      </c>
    </row>
    <row r="37773" ht="15.75" customHeight="1">
      <c r="A37773" s="7"/>
      <c r="B37773" s="7"/>
      <c r="M37773" s="9" t="s">
        <v>27</v>
      </c>
    </row>
    <row r="37774" ht="15.75" customHeight="1">
      <c r="A37774" s="7"/>
      <c r="B37774" s="7"/>
      <c r="M37774" s="9" t="s">
        <v>30</v>
      </c>
    </row>
    <row r="37775" ht="15.75" customHeight="1">
      <c r="A37775" s="7"/>
      <c r="B37775" s="7"/>
      <c r="M37775" s="9" t="s">
        <v>22</v>
      </c>
    </row>
    <row r="37776" ht="15.75" customHeight="1">
      <c r="A37776" s="7"/>
      <c r="B37776" s="7"/>
      <c r="M37776" s="9" t="s">
        <v>24</v>
      </c>
    </row>
    <row r="37777" ht="15.75" customHeight="1">
      <c r="A37777" s="7"/>
      <c r="B37777" s="7"/>
      <c r="M37777" s="9" t="s">
        <v>21</v>
      </c>
    </row>
    <row r="37778" ht="15.75" customHeight="1">
      <c r="A37778" s="7"/>
      <c r="B37778" s="7"/>
      <c r="M37778" s="9" t="s">
        <v>37</v>
      </c>
    </row>
    <row r="37779" ht="15.75" customHeight="1">
      <c r="A37779" s="7"/>
      <c r="B37779" s="7"/>
      <c r="M37779" s="9" t="s">
        <v>25</v>
      </c>
    </row>
    <row r="37780" ht="15.75" customHeight="1">
      <c r="A37780" s="7"/>
      <c r="B37780" s="7"/>
      <c r="M37780" s="9" t="s">
        <v>24</v>
      </c>
    </row>
    <row r="37781" ht="15.75" customHeight="1">
      <c r="A37781" s="7"/>
      <c r="B37781" s="7"/>
      <c r="M37781" s="9" t="s">
        <v>21</v>
      </c>
    </row>
    <row r="37782" ht="15.75" customHeight="1">
      <c r="A37782" s="7"/>
      <c r="B37782" s="7"/>
      <c r="M37782" s="9" t="s">
        <v>22</v>
      </c>
    </row>
    <row r="37783" ht="15.75" customHeight="1">
      <c r="A37783" s="7"/>
      <c r="B37783" s="7"/>
      <c r="M37783" s="9" t="s">
        <v>20</v>
      </c>
    </row>
    <row r="37784" ht="15.75" customHeight="1">
      <c r="A37784" s="7"/>
      <c r="B37784" s="7"/>
      <c r="M37784" s="9" t="s">
        <v>37</v>
      </c>
    </row>
    <row r="37785" ht="15.75" customHeight="1">
      <c r="A37785" s="7"/>
      <c r="B37785" s="7"/>
      <c r="M37785" s="9" t="s">
        <v>22</v>
      </c>
    </row>
    <row r="37786" ht="15.75" customHeight="1">
      <c r="A37786" s="7"/>
      <c r="B37786" s="7"/>
      <c r="M37786" s="9" t="s">
        <v>27</v>
      </c>
    </row>
    <row r="37787" ht="15.75" customHeight="1">
      <c r="A37787" s="7"/>
      <c r="B37787" s="7"/>
      <c r="M37787" s="9" t="s">
        <v>24</v>
      </c>
    </row>
    <row r="37788" ht="15.75" customHeight="1">
      <c r="A37788" s="7"/>
      <c r="B37788" s="7"/>
      <c r="M37788" s="9" t="s">
        <v>21</v>
      </c>
    </row>
    <row r="37789" ht="15.75" customHeight="1">
      <c r="A37789" s="7"/>
      <c r="B37789" s="7"/>
      <c r="M37789" s="9" t="s">
        <v>37</v>
      </c>
    </row>
    <row r="37790" ht="15.75" customHeight="1">
      <c r="A37790" s="7"/>
      <c r="B37790" s="7"/>
      <c r="M37790" s="9" t="s">
        <v>27</v>
      </c>
    </row>
    <row r="37791" ht="15.75" customHeight="1">
      <c r="A37791" s="7"/>
      <c r="B37791" s="7"/>
      <c r="M37791" s="9" t="s">
        <v>24</v>
      </c>
    </row>
    <row r="37792" ht="15.75" customHeight="1">
      <c r="A37792" s="7"/>
      <c r="B37792" s="7"/>
      <c r="M37792" s="9" t="s">
        <v>21</v>
      </c>
    </row>
    <row r="37793" ht="15.75" customHeight="1">
      <c r="A37793" s="7"/>
      <c r="B37793" s="7"/>
      <c r="M37793" s="9" t="s">
        <v>37</v>
      </c>
    </row>
    <row r="37794" ht="15.75" customHeight="1">
      <c r="A37794" s="7"/>
      <c r="B37794" s="7"/>
      <c r="M37794" s="9" t="s">
        <v>27</v>
      </c>
    </row>
    <row r="37795" ht="15.75" customHeight="1">
      <c r="A37795" s="7"/>
      <c r="B37795" s="7"/>
      <c r="M37795" s="9" t="s">
        <v>28</v>
      </c>
    </row>
    <row r="37796" ht="15.75" customHeight="1">
      <c r="A37796" s="7"/>
      <c r="B37796" s="7"/>
      <c r="M37796" s="9" t="s">
        <v>23</v>
      </c>
    </row>
    <row r="37797" ht="15.75" customHeight="1">
      <c r="A37797" s="7"/>
      <c r="B37797" s="7"/>
      <c r="M37797" s="9" t="s">
        <v>24</v>
      </c>
    </row>
    <row r="37798" ht="15.75" customHeight="1">
      <c r="A37798" s="7"/>
      <c r="B37798" s="7"/>
      <c r="M37798" s="9" t="s">
        <v>20</v>
      </c>
    </row>
    <row r="37799" ht="15.75" customHeight="1">
      <c r="A37799" s="7"/>
      <c r="B37799" s="7"/>
      <c r="M37799" s="9" t="s">
        <v>21</v>
      </c>
    </row>
    <row r="37800" ht="15.75" customHeight="1">
      <c r="A37800" s="7"/>
      <c r="B37800" s="7"/>
      <c r="M37800" s="9" t="s">
        <v>37</v>
      </c>
    </row>
    <row r="37801" ht="15.75" customHeight="1">
      <c r="A37801" s="7"/>
      <c r="B37801" s="7"/>
      <c r="M37801" s="9" t="s">
        <v>27</v>
      </c>
    </row>
    <row r="37802" ht="15.75" customHeight="1">
      <c r="A37802" s="7"/>
      <c r="B37802" s="7"/>
      <c r="M37802" s="9" t="s">
        <v>24</v>
      </c>
    </row>
    <row r="37803" ht="15.75" customHeight="1">
      <c r="A37803" s="7"/>
      <c r="B37803" s="7"/>
      <c r="M37803" s="9" t="s">
        <v>21</v>
      </c>
    </row>
    <row r="37804" ht="15.75" customHeight="1">
      <c r="A37804" s="7"/>
      <c r="B37804" s="7"/>
      <c r="M37804" s="9" t="s">
        <v>37</v>
      </c>
    </row>
    <row r="37805" ht="15.75" customHeight="1">
      <c r="A37805" s="7"/>
      <c r="B37805" s="7"/>
      <c r="M37805" s="9" t="s">
        <v>27</v>
      </c>
    </row>
    <row r="37806" ht="15.75" customHeight="1">
      <c r="A37806" s="7"/>
      <c r="B37806" s="7"/>
      <c r="M37806" s="9" t="s">
        <v>26</v>
      </c>
    </row>
    <row r="37807" ht="15.75" customHeight="1">
      <c r="A37807" s="7"/>
      <c r="B37807" s="7"/>
      <c r="M37807" s="9" t="s">
        <v>24</v>
      </c>
    </row>
    <row r="37808" ht="15.75" customHeight="1">
      <c r="A37808" s="7"/>
      <c r="B37808" s="7"/>
      <c r="M37808" s="9" t="s">
        <v>21</v>
      </c>
    </row>
    <row r="37809" ht="15.75" customHeight="1">
      <c r="A37809" s="7"/>
      <c r="B37809" s="7"/>
      <c r="M37809" s="9" t="s">
        <v>27</v>
      </c>
    </row>
    <row r="37810" ht="15.75" customHeight="1">
      <c r="A37810" s="7"/>
      <c r="B37810" s="7"/>
      <c r="M37810" s="9" t="s">
        <v>33</v>
      </c>
    </row>
    <row r="37811" ht="15.75" customHeight="1">
      <c r="A37811" s="7"/>
      <c r="B37811" s="7"/>
      <c r="M37811" s="9" t="s">
        <v>24</v>
      </c>
    </row>
    <row r="37812" ht="15.75" customHeight="1">
      <c r="A37812" s="7"/>
      <c r="B37812" s="7"/>
      <c r="M37812" s="9" t="s">
        <v>21</v>
      </c>
    </row>
    <row r="37813" ht="15.75" customHeight="1">
      <c r="A37813" s="7"/>
      <c r="B37813" s="7"/>
      <c r="M37813" s="9" t="s">
        <v>23</v>
      </c>
    </row>
    <row r="37814" ht="15.75" customHeight="1">
      <c r="A37814" s="7"/>
      <c r="B37814" s="7"/>
      <c r="M37814" s="9" t="s">
        <v>24</v>
      </c>
    </row>
    <row r="37815" ht="15.75" customHeight="1">
      <c r="A37815" s="7"/>
      <c r="B37815" s="7"/>
      <c r="M37815" s="9" t="s">
        <v>20</v>
      </c>
    </row>
    <row r="37816" ht="15.75" customHeight="1">
      <c r="A37816" s="7"/>
      <c r="B37816" s="7"/>
      <c r="M37816" s="9" t="s">
        <v>27</v>
      </c>
    </row>
    <row r="37817" ht="15.75" customHeight="1">
      <c r="A37817" s="7"/>
      <c r="B37817" s="7"/>
      <c r="M37817" s="9" t="s">
        <v>20</v>
      </c>
    </row>
    <row r="37818" ht="15.75" customHeight="1">
      <c r="A37818" s="7"/>
      <c r="B37818" s="7"/>
      <c r="M37818" s="9" t="s">
        <v>30</v>
      </c>
    </row>
    <row r="37819" ht="15.75" customHeight="1">
      <c r="A37819" s="7"/>
      <c r="B37819" s="7"/>
      <c r="M37819" s="9" t="s">
        <v>24</v>
      </c>
    </row>
    <row r="37820" ht="15.75" customHeight="1">
      <c r="A37820" s="7"/>
      <c r="B37820" s="7"/>
      <c r="M37820" s="9" t="s">
        <v>20</v>
      </c>
    </row>
    <row r="37821" ht="15.75" customHeight="1">
      <c r="A37821" s="7"/>
      <c r="B37821" s="7"/>
      <c r="M37821" s="9" t="s">
        <v>21</v>
      </c>
    </row>
    <row r="37822" ht="15.75" customHeight="1">
      <c r="A37822" s="7"/>
      <c r="B37822" s="7"/>
      <c r="M37822" s="9" t="s">
        <v>39</v>
      </c>
    </row>
    <row r="37823" ht="15.75" customHeight="1">
      <c r="A37823" s="7"/>
      <c r="B37823" s="7"/>
      <c r="M37823" s="9" t="s">
        <v>22</v>
      </c>
    </row>
    <row r="37824" ht="15.75" customHeight="1">
      <c r="A37824" s="7"/>
      <c r="B37824" s="7"/>
      <c r="M37824" s="9" t="s">
        <v>30</v>
      </c>
    </row>
    <row r="37825" ht="15.75" customHeight="1">
      <c r="A37825" s="7"/>
      <c r="B37825" s="7"/>
      <c r="M37825" s="9" t="s">
        <v>23</v>
      </c>
    </row>
    <row r="37826" ht="15.75" customHeight="1">
      <c r="A37826" s="7"/>
      <c r="B37826" s="7"/>
      <c r="M37826" s="9" t="s">
        <v>26</v>
      </c>
    </row>
    <row r="37827" ht="15.75" customHeight="1">
      <c r="A37827" s="7"/>
      <c r="B37827" s="7"/>
      <c r="M37827" s="9" t="s">
        <v>24</v>
      </c>
    </row>
    <row r="37828" ht="15.75" customHeight="1">
      <c r="A37828" s="7"/>
      <c r="B37828" s="7"/>
      <c r="M37828" s="9" t="s">
        <v>21</v>
      </c>
    </row>
    <row r="37829" ht="15.75" customHeight="1">
      <c r="A37829" s="7"/>
      <c r="B37829" s="7"/>
      <c r="M37829" s="9" t="s">
        <v>22</v>
      </c>
    </row>
    <row r="37830" ht="15.75" customHeight="1">
      <c r="A37830" s="7"/>
      <c r="B37830" s="7"/>
      <c r="M37830" s="9" t="s">
        <v>27</v>
      </c>
    </row>
    <row r="37831" ht="15.75" customHeight="1">
      <c r="A37831" s="7"/>
      <c r="B37831" s="7"/>
      <c r="M37831" s="9" t="s">
        <v>21</v>
      </c>
    </row>
    <row r="37832" ht="15.75" customHeight="1">
      <c r="A37832" s="7"/>
      <c r="B37832" s="7"/>
      <c r="M37832" s="9" t="s">
        <v>37</v>
      </c>
    </row>
    <row r="37833" ht="15.75" customHeight="1">
      <c r="A37833" s="7"/>
      <c r="B37833" s="7"/>
      <c r="M37833" s="9" t="s">
        <v>26</v>
      </c>
    </row>
    <row r="37834" ht="15.75" customHeight="1">
      <c r="A37834" s="7"/>
      <c r="B37834" s="7"/>
      <c r="M37834" s="9" t="s">
        <v>21</v>
      </c>
    </row>
    <row r="37835" ht="15.75" customHeight="1">
      <c r="A37835" s="7"/>
      <c r="B37835" s="7"/>
      <c r="M37835" s="9" t="s">
        <v>22</v>
      </c>
    </row>
    <row r="37836" ht="15.75" customHeight="1">
      <c r="A37836" s="7"/>
      <c r="B37836" s="7"/>
      <c r="M37836" s="9" t="s">
        <v>33</v>
      </c>
    </row>
    <row r="37837" ht="15.75" customHeight="1">
      <c r="A37837" s="7"/>
      <c r="B37837" s="7"/>
      <c r="M37837" s="9" t="s">
        <v>30</v>
      </c>
    </row>
    <row r="37838" ht="15.75" customHeight="1">
      <c r="A37838" s="7"/>
      <c r="B37838" s="7"/>
      <c r="M37838" s="9" t="s">
        <v>27</v>
      </c>
    </row>
    <row r="37839" ht="15.75" customHeight="1">
      <c r="A37839" s="7"/>
      <c r="B37839" s="7"/>
      <c r="M37839" s="9" t="s">
        <v>40</v>
      </c>
    </row>
    <row r="37840" ht="15.75" customHeight="1">
      <c r="A37840" s="7"/>
      <c r="B37840" s="7"/>
      <c r="M37840" s="9" t="s">
        <v>22</v>
      </c>
    </row>
    <row r="37841" ht="15.75" customHeight="1">
      <c r="A37841" s="7"/>
      <c r="B37841" s="7"/>
      <c r="M37841" s="9" t="s">
        <v>25</v>
      </c>
    </row>
    <row r="37842" ht="15.75" customHeight="1">
      <c r="A37842" s="7"/>
      <c r="B37842" s="7"/>
      <c r="M37842" s="9" t="s">
        <v>26</v>
      </c>
    </row>
    <row r="37843" ht="15.75" customHeight="1">
      <c r="A37843" s="7"/>
      <c r="B37843" s="7"/>
      <c r="M37843" s="9" t="s">
        <v>28</v>
      </c>
    </row>
    <row r="37844" ht="15.75" customHeight="1">
      <c r="A37844" s="7"/>
      <c r="B37844" s="7"/>
      <c r="M37844" s="9" t="s">
        <v>24</v>
      </c>
    </row>
    <row r="37845" ht="15.75" customHeight="1">
      <c r="A37845" s="7"/>
      <c r="B37845" s="7"/>
      <c r="M37845" s="9" t="s">
        <v>20</v>
      </c>
    </row>
    <row r="37846" ht="15.75" customHeight="1">
      <c r="A37846" s="7"/>
      <c r="B37846" s="7"/>
      <c r="M37846" s="9" t="s">
        <v>33</v>
      </c>
    </row>
    <row r="37847" ht="15.75" customHeight="1">
      <c r="A37847" s="7"/>
      <c r="B37847" s="7"/>
      <c r="M37847" s="9" t="s">
        <v>26</v>
      </c>
    </row>
    <row r="37848" ht="15.75" customHeight="1">
      <c r="A37848" s="7"/>
      <c r="B37848" s="7"/>
      <c r="M37848" s="9" t="s">
        <v>24</v>
      </c>
    </row>
    <row r="37849" ht="15.75" customHeight="1">
      <c r="A37849" s="7"/>
      <c r="B37849" s="7"/>
      <c r="M37849" s="9" t="s">
        <v>21</v>
      </c>
    </row>
    <row r="37850" ht="15.75" customHeight="1">
      <c r="A37850" s="7"/>
      <c r="B37850" s="7"/>
      <c r="M37850" s="9" t="s">
        <v>27</v>
      </c>
    </row>
    <row r="37851" ht="15.75" customHeight="1">
      <c r="A37851" s="7"/>
      <c r="B37851" s="7"/>
      <c r="M37851" s="9" t="s">
        <v>30</v>
      </c>
    </row>
    <row r="37852" ht="15.75" customHeight="1">
      <c r="A37852" s="7"/>
      <c r="B37852" s="7"/>
      <c r="M37852" s="9" t="s">
        <v>24</v>
      </c>
    </row>
    <row r="37853" ht="15.75" customHeight="1">
      <c r="A37853" s="7"/>
      <c r="B37853" s="7"/>
      <c r="M37853" s="9" t="s">
        <v>21</v>
      </c>
    </row>
    <row r="37854" ht="15.75" customHeight="1">
      <c r="A37854" s="7"/>
      <c r="B37854" s="7"/>
      <c r="M37854" s="9" t="s">
        <v>31</v>
      </c>
    </row>
    <row r="37855" ht="15.75" customHeight="1">
      <c r="A37855" s="7"/>
      <c r="B37855" s="7"/>
      <c r="M37855" s="9" t="s">
        <v>25</v>
      </c>
    </row>
    <row r="37856" ht="15.75" customHeight="1">
      <c r="A37856" s="7"/>
      <c r="B37856" s="7"/>
      <c r="M37856" s="9" t="s">
        <v>24</v>
      </c>
    </row>
    <row r="37857" ht="15.75" customHeight="1">
      <c r="A37857" s="7"/>
      <c r="B37857" s="7"/>
      <c r="M37857" s="9" t="s">
        <v>27</v>
      </c>
    </row>
    <row r="37858" ht="15.75" customHeight="1">
      <c r="A37858" s="7"/>
      <c r="B37858" s="7"/>
      <c r="M37858" s="9" t="s">
        <v>38</v>
      </c>
    </row>
    <row r="37859" ht="15.75" customHeight="1">
      <c r="A37859" s="7"/>
      <c r="B37859" s="7"/>
      <c r="M37859" s="9" t="s">
        <v>25</v>
      </c>
    </row>
    <row r="37860" ht="15.75" customHeight="1">
      <c r="A37860" s="7"/>
      <c r="B37860" s="7"/>
      <c r="M37860" s="9" t="s">
        <v>23</v>
      </c>
    </row>
    <row r="37861" ht="15.75" customHeight="1">
      <c r="A37861" s="7"/>
      <c r="B37861" s="7"/>
      <c r="M37861" s="9" t="s">
        <v>26</v>
      </c>
    </row>
    <row r="37862" ht="15.75" customHeight="1">
      <c r="A37862" s="7"/>
      <c r="B37862" s="7"/>
      <c r="M37862" s="9" t="s">
        <v>24</v>
      </c>
    </row>
    <row r="37863" ht="15.75" customHeight="1">
      <c r="A37863" s="7"/>
      <c r="B37863" s="7"/>
      <c r="M37863" s="9" t="s">
        <v>20</v>
      </c>
    </row>
    <row r="37864" ht="15.75" customHeight="1">
      <c r="A37864" s="7"/>
      <c r="B37864" s="7"/>
      <c r="M37864" s="9" t="s">
        <v>21</v>
      </c>
    </row>
    <row r="37865" ht="15.75" customHeight="1">
      <c r="A37865" s="7"/>
      <c r="B37865" s="7"/>
      <c r="M37865" s="9" t="s">
        <v>41</v>
      </c>
    </row>
    <row r="37866" ht="15.75" customHeight="1">
      <c r="A37866" s="7"/>
      <c r="B37866" s="7"/>
      <c r="M37866" s="9" t="s">
        <v>22</v>
      </c>
    </row>
    <row r="37867" ht="15.75" customHeight="1">
      <c r="A37867" s="7"/>
      <c r="B37867" s="7"/>
      <c r="M37867" s="9" t="s">
        <v>46</v>
      </c>
    </row>
    <row r="37868" ht="15.75" customHeight="1">
      <c r="A37868" s="7"/>
      <c r="B37868" s="7"/>
      <c r="M37868" s="9" t="s">
        <v>27</v>
      </c>
    </row>
    <row r="37869" ht="15.75" customHeight="1">
      <c r="A37869" s="7"/>
      <c r="B37869" s="7"/>
      <c r="M37869" s="9" t="s">
        <v>40</v>
      </c>
    </row>
    <row r="37870" ht="15.75" customHeight="1">
      <c r="A37870" s="7"/>
      <c r="B37870" s="7"/>
      <c r="M37870" s="9" t="s">
        <v>33</v>
      </c>
    </row>
    <row r="37871" ht="15.75" customHeight="1">
      <c r="A37871" s="7"/>
      <c r="B37871" s="7"/>
      <c r="M37871" s="9" t="s">
        <v>36</v>
      </c>
    </row>
    <row r="37872" ht="15.75" customHeight="1">
      <c r="A37872" s="7"/>
      <c r="B37872" s="7"/>
      <c r="M37872" s="9" t="s">
        <v>21</v>
      </c>
    </row>
    <row r="37873" ht="15.75" customHeight="1">
      <c r="A37873" s="7"/>
      <c r="B37873" s="7"/>
      <c r="M37873" s="9" t="s">
        <v>31</v>
      </c>
    </row>
    <row r="37874" ht="15.75" customHeight="1">
      <c r="A37874" s="7"/>
      <c r="B37874" s="7"/>
      <c r="M37874" s="9" t="s">
        <v>26</v>
      </c>
    </row>
    <row r="37875" ht="15.75" customHeight="1">
      <c r="A37875" s="7"/>
      <c r="B37875" s="7"/>
      <c r="M37875" s="9" t="s">
        <v>21</v>
      </c>
    </row>
    <row r="37876" ht="15.75" customHeight="1">
      <c r="A37876" s="7"/>
      <c r="B37876" s="7"/>
      <c r="M37876" s="9" t="s">
        <v>33</v>
      </c>
    </row>
    <row r="37877" ht="15.75" customHeight="1">
      <c r="A37877" s="7"/>
      <c r="B37877" s="7"/>
      <c r="M37877" s="9" t="s">
        <v>26</v>
      </c>
    </row>
    <row r="37878" ht="15.75" customHeight="1">
      <c r="A37878" s="7"/>
      <c r="B37878" s="7"/>
      <c r="M37878" s="9" t="s">
        <v>24</v>
      </c>
    </row>
    <row r="37879" ht="15.75" customHeight="1">
      <c r="A37879" s="7"/>
      <c r="B37879" s="7"/>
      <c r="M37879" s="9" t="s">
        <v>20</v>
      </c>
    </row>
    <row r="37880" ht="15.75" customHeight="1">
      <c r="A37880" s="7"/>
      <c r="B37880" s="7"/>
      <c r="M37880" s="9" t="s">
        <v>21</v>
      </c>
    </row>
    <row r="37881" ht="15.75" customHeight="1">
      <c r="A37881" s="7"/>
      <c r="B37881" s="7"/>
      <c r="M37881" s="9" t="s">
        <v>27</v>
      </c>
    </row>
    <row r="37882" ht="15.75" customHeight="1">
      <c r="A37882" s="7"/>
      <c r="B37882" s="7"/>
      <c r="M37882" s="9" t="s">
        <v>30</v>
      </c>
    </row>
    <row r="37883" ht="15.75" customHeight="1">
      <c r="A37883" s="7"/>
      <c r="B37883" s="7"/>
      <c r="M37883" s="9" t="s">
        <v>24</v>
      </c>
    </row>
    <row r="37884" ht="15.75" customHeight="1">
      <c r="A37884" s="7"/>
      <c r="B37884" s="7"/>
      <c r="M37884" s="9" t="s">
        <v>20</v>
      </c>
    </row>
    <row r="37885" ht="15.75" customHeight="1">
      <c r="A37885" s="7"/>
      <c r="B37885" s="7"/>
      <c r="M37885" s="9" t="s">
        <v>21</v>
      </c>
    </row>
    <row r="37886" ht="15.75" customHeight="1">
      <c r="A37886" s="7"/>
      <c r="B37886" s="7"/>
      <c r="M37886" s="9" t="s">
        <v>27</v>
      </c>
    </row>
    <row r="37887" ht="15.75" customHeight="1">
      <c r="A37887" s="7"/>
      <c r="B37887" s="7"/>
      <c r="M37887" s="9" t="s">
        <v>23</v>
      </c>
    </row>
    <row r="37888" ht="15.75" customHeight="1">
      <c r="A37888" s="7"/>
      <c r="B37888" s="7"/>
      <c r="M37888" s="9" t="s">
        <v>20</v>
      </c>
    </row>
    <row r="37889" ht="15.75" customHeight="1">
      <c r="A37889" s="7"/>
      <c r="B37889" s="7"/>
      <c r="M37889" s="9" t="s">
        <v>22</v>
      </c>
    </row>
    <row r="37890" ht="15.75" customHeight="1">
      <c r="A37890" s="7"/>
      <c r="B37890" s="7"/>
      <c r="M37890" s="9" t="s">
        <v>27</v>
      </c>
    </row>
    <row r="37891" ht="15.75" customHeight="1">
      <c r="A37891" s="7"/>
      <c r="B37891" s="7"/>
      <c r="M37891" s="9" t="s">
        <v>29</v>
      </c>
    </row>
    <row r="37892" ht="15.75" customHeight="1">
      <c r="A37892" s="7"/>
      <c r="B37892" s="7"/>
      <c r="M37892" s="9" t="s">
        <v>28</v>
      </c>
    </row>
    <row r="37893" ht="15.75" customHeight="1">
      <c r="A37893" s="7"/>
      <c r="B37893" s="7"/>
      <c r="M37893" s="9" t="s">
        <v>26</v>
      </c>
    </row>
    <row r="37894" ht="15.75" customHeight="1">
      <c r="A37894" s="7"/>
      <c r="B37894" s="7"/>
      <c r="M37894" s="9" t="s">
        <v>24</v>
      </c>
    </row>
    <row r="37895" ht="15.75" customHeight="1">
      <c r="A37895" s="7"/>
      <c r="B37895" s="7"/>
      <c r="M37895" s="9" t="s">
        <v>21</v>
      </c>
    </row>
    <row r="37896" ht="15.75" customHeight="1">
      <c r="A37896" s="7"/>
      <c r="B37896" s="7"/>
      <c r="M37896" s="9" t="s">
        <v>27</v>
      </c>
    </row>
    <row r="37897" ht="15.75" customHeight="1">
      <c r="A37897" s="7"/>
      <c r="B37897" s="7"/>
      <c r="M37897" s="9" t="s">
        <v>23</v>
      </c>
    </row>
    <row r="37898" ht="15.75" customHeight="1">
      <c r="A37898" s="7"/>
      <c r="B37898" s="7"/>
      <c r="M37898" s="9" t="s">
        <v>24</v>
      </c>
    </row>
    <row r="37899" ht="15.75" customHeight="1">
      <c r="A37899" s="7"/>
      <c r="B37899" s="7"/>
      <c r="M37899" s="9" t="s">
        <v>20</v>
      </c>
    </row>
    <row r="37900" ht="15.75" customHeight="1">
      <c r="A37900" s="7"/>
      <c r="B37900" s="7"/>
      <c r="M37900" s="9" t="s">
        <v>21</v>
      </c>
    </row>
    <row r="37901" ht="15.75" customHeight="1">
      <c r="A37901" s="7"/>
      <c r="B37901" s="7"/>
      <c r="M37901" s="9" t="s">
        <v>37</v>
      </c>
    </row>
    <row r="37902" ht="15.75" customHeight="1">
      <c r="A37902" s="7"/>
      <c r="B37902" s="7"/>
      <c r="M37902" s="9" t="s">
        <v>27</v>
      </c>
    </row>
    <row r="37903" ht="15.75" customHeight="1">
      <c r="A37903" s="7"/>
      <c r="B37903" s="7"/>
      <c r="M37903" s="9" t="s">
        <v>25</v>
      </c>
    </row>
    <row r="37904" ht="15.75" customHeight="1">
      <c r="A37904" s="7"/>
      <c r="B37904" s="7"/>
      <c r="M37904" s="9" t="s">
        <v>23</v>
      </c>
    </row>
    <row r="37905" ht="15.75" customHeight="1">
      <c r="A37905" s="7"/>
      <c r="B37905" s="7"/>
      <c r="M37905" s="9" t="s">
        <v>22</v>
      </c>
    </row>
    <row r="37906" ht="15.75" customHeight="1">
      <c r="A37906" s="7"/>
      <c r="B37906" s="7"/>
      <c r="M37906" s="9" t="s">
        <v>26</v>
      </c>
    </row>
    <row r="37907" ht="15.75" customHeight="1">
      <c r="A37907" s="7"/>
      <c r="B37907" s="7"/>
      <c r="M37907" s="9" t="s">
        <v>24</v>
      </c>
    </row>
    <row r="37908" ht="15.75" customHeight="1">
      <c r="A37908" s="7"/>
      <c r="B37908" s="7"/>
      <c r="M37908" s="9" t="s">
        <v>21</v>
      </c>
    </row>
    <row r="37909" ht="15.75" customHeight="1">
      <c r="A37909" s="7"/>
      <c r="B37909" s="7"/>
      <c r="M37909" s="9" t="s">
        <v>37</v>
      </c>
    </row>
    <row r="37910" ht="15.75" customHeight="1">
      <c r="A37910" s="7"/>
      <c r="B37910" s="7"/>
      <c r="M37910" s="9" t="s">
        <v>31</v>
      </c>
    </row>
    <row r="37911" ht="15.75" customHeight="1">
      <c r="A37911" s="7"/>
      <c r="B37911" s="7"/>
      <c r="M37911" s="9" t="s">
        <v>27</v>
      </c>
    </row>
    <row r="37912" ht="15.75" customHeight="1">
      <c r="A37912" s="7"/>
      <c r="B37912" s="7"/>
      <c r="M37912" s="9" t="s">
        <v>38</v>
      </c>
    </row>
    <row r="37913" ht="15.75" customHeight="1">
      <c r="A37913" s="7"/>
      <c r="B37913" s="7"/>
      <c r="M37913" s="9" t="s">
        <v>26</v>
      </c>
    </row>
    <row r="37914" ht="15.75" customHeight="1">
      <c r="A37914" s="7"/>
      <c r="B37914" s="7"/>
      <c r="M37914" s="9" t="s">
        <v>24</v>
      </c>
    </row>
    <row r="37915" ht="15.75" customHeight="1">
      <c r="A37915" s="7"/>
      <c r="B37915" s="7"/>
      <c r="M37915" s="9" t="s">
        <v>20</v>
      </c>
    </row>
    <row r="37916" ht="15.75" customHeight="1">
      <c r="A37916" s="7"/>
      <c r="B37916" s="7"/>
      <c r="M37916" s="9" t="s">
        <v>21</v>
      </c>
    </row>
    <row r="37917" ht="15.75" customHeight="1">
      <c r="A37917" s="7"/>
      <c r="B37917" s="7"/>
      <c r="M37917" s="9" t="s">
        <v>22</v>
      </c>
    </row>
    <row r="37918" ht="15.75" customHeight="1">
      <c r="A37918" s="7"/>
      <c r="B37918" s="7"/>
      <c r="M37918" s="9" t="s">
        <v>27</v>
      </c>
    </row>
    <row r="37919" ht="15.75" customHeight="1">
      <c r="A37919" s="7"/>
      <c r="B37919" s="7"/>
      <c r="M37919" s="9" t="s">
        <v>33</v>
      </c>
    </row>
    <row r="37920" ht="15.75" customHeight="1">
      <c r="A37920" s="7"/>
      <c r="B37920" s="7"/>
      <c r="M37920" s="9" t="s">
        <v>30</v>
      </c>
    </row>
    <row r="37921" ht="15.75" customHeight="1">
      <c r="A37921" s="7"/>
      <c r="B37921" s="7"/>
      <c r="M37921" s="9" t="s">
        <v>22</v>
      </c>
    </row>
    <row r="37922" ht="15.75" customHeight="1">
      <c r="A37922" s="7"/>
      <c r="B37922" s="7"/>
      <c r="M37922" s="9" t="s">
        <v>32</v>
      </c>
    </row>
    <row r="37923" ht="15.75" customHeight="1">
      <c r="A37923" s="7"/>
      <c r="B37923" s="7"/>
      <c r="M37923" s="9" t="s">
        <v>30</v>
      </c>
    </row>
    <row r="37924" ht="15.75" customHeight="1">
      <c r="A37924" s="7"/>
      <c r="B37924" s="7"/>
      <c r="M37924" s="9" t="s">
        <v>25</v>
      </c>
    </row>
    <row r="37925" ht="15.75" customHeight="1">
      <c r="A37925" s="7"/>
      <c r="B37925" s="7"/>
      <c r="M37925" s="9" t="s">
        <v>23</v>
      </c>
    </row>
    <row r="37926" ht="15.75" customHeight="1">
      <c r="A37926" s="7"/>
      <c r="B37926" s="7"/>
      <c r="M37926" s="9" t="s">
        <v>24</v>
      </c>
    </row>
    <row r="37927" ht="15.75" customHeight="1">
      <c r="A37927" s="7"/>
      <c r="B37927" s="7"/>
      <c r="M37927" s="9" t="s">
        <v>20</v>
      </c>
    </row>
    <row r="37928" ht="15.75" customHeight="1">
      <c r="A37928" s="7"/>
      <c r="B37928" s="7"/>
      <c r="M37928" s="9" t="s">
        <v>21</v>
      </c>
    </row>
    <row r="37929" ht="15.75" customHeight="1">
      <c r="A37929" s="7"/>
      <c r="B37929" s="7"/>
      <c r="M37929" s="9" t="s">
        <v>33</v>
      </c>
    </row>
    <row r="37930" ht="15.75" customHeight="1">
      <c r="A37930" s="7"/>
      <c r="B37930" s="7"/>
      <c r="M37930" s="9" t="s">
        <v>23</v>
      </c>
    </row>
    <row r="37931" ht="15.75" customHeight="1">
      <c r="A37931" s="7"/>
      <c r="B37931" s="7"/>
      <c r="M37931" s="9" t="s">
        <v>24</v>
      </c>
    </row>
    <row r="37932" ht="15.75" customHeight="1">
      <c r="A37932" s="7"/>
      <c r="B37932" s="7"/>
      <c r="M37932" s="9" t="s">
        <v>20</v>
      </c>
    </row>
    <row r="37933" ht="15.75" customHeight="1">
      <c r="A37933" s="7"/>
      <c r="B37933" s="7"/>
      <c r="M37933" s="9" t="s">
        <v>21</v>
      </c>
    </row>
    <row r="37934" ht="15.75" customHeight="1">
      <c r="A37934" s="7"/>
      <c r="B37934" s="7"/>
      <c r="M37934" s="9" t="s">
        <v>22</v>
      </c>
    </row>
    <row r="37935" ht="15.75" customHeight="1">
      <c r="A37935" s="7"/>
      <c r="B37935" s="7"/>
      <c r="M37935" s="9" t="s">
        <v>27</v>
      </c>
    </row>
    <row r="37936" ht="15.75" customHeight="1">
      <c r="A37936" s="7"/>
      <c r="B37936" s="7"/>
      <c r="M37936" s="9" t="s">
        <v>26</v>
      </c>
    </row>
    <row r="37937" ht="15.75" customHeight="1">
      <c r="A37937" s="7"/>
      <c r="B37937" s="7"/>
      <c r="M37937" s="9" t="s">
        <v>24</v>
      </c>
    </row>
    <row r="37938" ht="15.75" customHeight="1">
      <c r="A37938" s="7"/>
      <c r="B37938" s="7"/>
      <c r="M37938" s="9" t="s">
        <v>21</v>
      </c>
    </row>
    <row r="37939" ht="15.75" customHeight="1">
      <c r="A37939" s="7"/>
      <c r="B37939" s="7"/>
      <c r="M37939" s="9" t="s">
        <v>22</v>
      </c>
    </row>
    <row r="37940" ht="15.75" customHeight="1">
      <c r="A37940" s="7"/>
      <c r="B37940" s="7"/>
      <c r="M37940" s="9" t="s">
        <v>27</v>
      </c>
    </row>
    <row r="37941" ht="15.75" customHeight="1">
      <c r="A37941" s="7"/>
      <c r="B37941" s="7"/>
      <c r="M37941" s="9" t="s">
        <v>33</v>
      </c>
    </row>
    <row r="37942" ht="15.75" customHeight="1">
      <c r="A37942" s="7"/>
      <c r="B37942" s="7"/>
      <c r="M37942" s="9" t="s">
        <v>30</v>
      </c>
    </row>
    <row r="37943" ht="15.75" customHeight="1">
      <c r="A37943" s="7"/>
      <c r="B37943" s="7"/>
      <c r="M37943" s="9" t="s">
        <v>25</v>
      </c>
    </row>
    <row r="37944" ht="15.75" customHeight="1">
      <c r="A37944" s="7"/>
      <c r="B37944" s="7"/>
      <c r="M37944" s="9" t="s">
        <v>26</v>
      </c>
    </row>
    <row r="37945" ht="15.75" customHeight="1">
      <c r="A37945" s="7"/>
      <c r="B37945" s="7"/>
      <c r="M37945" s="9" t="s">
        <v>20</v>
      </c>
    </row>
    <row r="37946" ht="15.75" customHeight="1">
      <c r="A37946" s="7"/>
      <c r="B37946" s="7"/>
      <c r="M37946" s="9" t="s">
        <v>22</v>
      </c>
    </row>
    <row r="37947" ht="15.75" customHeight="1">
      <c r="A37947" s="7"/>
      <c r="B37947" s="7"/>
      <c r="M37947" s="9" t="s">
        <v>31</v>
      </c>
    </row>
    <row r="37948" ht="15.75" customHeight="1">
      <c r="A37948" s="7"/>
      <c r="B37948" s="7"/>
      <c r="M37948" s="9" t="s">
        <v>46</v>
      </c>
    </row>
    <row r="37949" ht="15.75" customHeight="1">
      <c r="A37949" s="7"/>
      <c r="B37949" s="7"/>
      <c r="M37949" s="9" t="s">
        <v>20</v>
      </c>
    </row>
    <row r="37950" ht="15.75" customHeight="1">
      <c r="A37950" s="7"/>
      <c r="B37950" s="7"/>
      <c r="M37950" s="9" t="s">
        <v>21</v>
      </c>
    </row>
    <row r="37951" ht="15.75" customHeight="1">
      <c r="A37951" s="7"/>
      <c r="B37951" s="7"/>
      <c r="M37951" s="9" t="s">
        <v>22</v>
      </c>
    </row>
    <row r="37952" ht="15.75" customHeight="1">
      <c r="A37952" s="7"/>
      <c r="B37952" s="7"/>
      <c r="M37952" s="9" t="s">
        <v>27</v>
      </c>
    </row>
    <row r="37953" ht="15.75" customHeight="1">
      <c r="A37953" s="7"/>
      <c r="B37953" s="7"/>
      <c r="M37953" s="9" t="s">
        <v>33</v>
      </c>
    </row>
    <row r="37954" ht="15.75" customHeight="1">
      <c r="A37954" s="7"/>
      <c r="B37954" s="7"/>
      <c r="M37954" s="9" t="s">
        <v>30</v>
      </c>
    </row>
    <row r="37955" ht="15.75" customHeight="1">
      <c r="A37955" s="7"/>
      <c r="B37955" s="7"/>
      <c r="M37955" s="9" t="s">
        <v>23</v>
      </c>
    </row>
    <row r="37956" ht="15.75" customHeight="1">
      <c r="A37956" s="7"/>
      <c r="B37956" s="7"/>
      <c r="M37956" s="9" t="s">
        <v>36</v>
      </c>
    </row>
    <row r="37957" ht="15.75" customHeight="1">
      <c r="A37957" s="7"/>
      <c r="B37957" s="7"/>
      <c r="M37957" s="9" t="s">
        <v>24</v>
      </c>
    </row>
    <row r="37958" ht="15.75" customHeight="1">
      <c r="A37958" s="7"/>
      <c r="B37958" s="7"/>
      <c r="M37958" s="9" t="s">
        <v>20</v>
      </c>
    </row>
    <row r="37959" ht="15.75" customHeight="1">
      <c r="A37959" s="7"/>
      <c r="B37959" s="7"/>
      <c r="M37959" s="9" t="s">
        <v>21</v>
      </c>
    </row>
    <row r="37960" ht="15.75" customHeight="1">
      <c r="A37960" s="7"/>
      <c r="B37960" s="7"/>
      <c r="M37960" s="9" t="s">
        <v>41</v>
      </c>
    </row>
    <row r="37961" ht="15.75" customHeight="1">
      <c r="A37961" s="7"/>
      <c r="B37961" s="7"/>
      <c r="M37961" s="9" t="s">
        <v>37</v>
      </c>
    </row>
    <row r="37962" ht="15.75" customHeight="1">
      <c r="A37962" s="7"/>
      <c r="B37962" s="7"/>
      <c r="M37962" s="9" t="s">
        <v>22</v>
      </c>
    </row>
    <row r="37963" ht="15.75" customHeight="1">
      <c r="A37963" s="7"/>
      <c r="B37963" s="7"/>
      <c r="M37963" s="9" t="s">
        <v>27</v>
      </c>
    </row>
    <row r="37964" ht="15.75" customHeight="1">
      <c r="A37964" s="7"/>
      <c r="B37964" s="7"/>
      <c r="M37964" s="9" t="s">
        <v>30</v>
      </c>
    </row>
    <row r="37965" ht="15.75" customHeight="1">
      <c r="A37965" s="7"/>
      <c r="B37965" s="7"/>
      <c r="M37965" s="9" t="s">
        <v>26</v>
      </c>
    </row>
    <row r="37966" ht="15.75" customHeight="1">
      <c r="A37966" s="7"/>
      <c r="B37966" s="7"/>
      <c r="M37966" s="9" t="s">
        <v>24</v>
      </c>
    </row>
    <row r="37967" ht="15.75" customHeight="1">
      <c r="A37967" s="7"/>
      <c r="B37967" s="7"/>
      <c r="M37967" s="9" t="s">
        <v>20</v>
      </c>
    </row>
    <row r="37968" ht="15.75" customHeight="1">
      <c r="A37968" s="7"/>
      <c r="B37968" s="7"/>
      <c r="M37968" s="9" t="s">
        <v>21</v>
      </c>
    </row>
    <row r="37969" ht="15.75" customHeight="1">
      <c r="A37969" s="7"/>
      <c r="B37969" s="7"/>
      <c r="M37969" s="9" t="s">
        <v>22</v>
      </c>
    </row>
    <row r="37970" ht="15.75" customHeight="1">
      <c r="A37970" s="7"/>
      <c r="B37970" s="7"/>
      <c r="M37970" s="9" t="s">
        <v>46</v>
      </c>
    </row>
    <row r="37971" ht="15.75" customHeight="1">
      <c r="A37971" s="7"/>
      <c r="B37971" s="7"/>
      <c r="M37971" s="9" t="s">
        <v>27</v>
      </c>
    </row>
    <row r="37972" ht="15.75" customHeight="1">
      <c r="A37972" s="7"/>
      <c r="B37972" s="7"/>
      <c r="M37972" s="9" t="s">
        <v>30</v>
      </c>
    </row>
    <row r="37973" ht="15.75" customHeight="1">
      <c r="A37973" s="7"/>
      <c r="B37973" s="7"/>
      <c r="M37973" s="9" t="s">
        <v>24</v>
      </c>
    </row>
    <row r="37974" ht="15.75" customHeight="1">
      <c r="A37974" s="7"/>
      <c r="B37974" s="7"/>
      <c r="M37974" s="9" t="s">
        <v>21</v>
      </c>
    </row>
    <row r="37975" ht="15.75" customHeight="1">
      <c r="A37975" s="7"/>
      <c r="B37975" s="7"/>
      <c r="M37975" s="9" t="s">
        <v>22</v>
      </c>
    </row>
    <row r="37976" ht="15.75" customHeight="1">
      <c r="A37976" s="7"/>
      <c r="B37976" s="7"/>
      <c r="M37976" s="9" t="s">
        <v>24</v>
      </c>
    </row>
    <row r="37977" ht="15.75" customHeight="1">
      <c r="A37977" s="7"/>
      <c r="B37977" s="7"/>
      <c r="M37977" s="9" t="s">
        <v>21</v>
      </c>
    </row>
    <row r="37978" ht="15.75" customHeight="1">
      <c r="A37978" s="7"/>
      <c r="B37978" s="7"/>
      <c r="M37978" s="9" t="s">
        <v>27</v>
      </c>
    </row>
    <row r="37979" ht="15.75" customHeight="1">
      <c r="A37979" s="7"/>
      <c r="B37979" s="7"/>
      <c r="M37979" s="9" t="s">
        <v>35</v>
      </c>
    </row>
    <row r="37980" ht="15.75" customHeight="1">
      <c r="A37980" s="7"/>
      <c r="B37980" s="7"/>
      <c r="M37980" s="9" t="s">
        <v>25</v>
      </c>
    </row>
    <row r="37981" ht="15.75" customHeight="1">
      <c r="A37981" s="7"/>
      <c r="B37981" s="7"/>
      <c r="M37981" s="9" t="s">
        <v>23</v>
      </c>
    </row>
    <row r="37982" ht="15.75" customHeight="1">
      <c r="A37982" s="7"/>
      <c r="B37982" s="7"/>
      <c r="M37982" s="9" t="s">
        <v>26</v>
      </c>
    </row>
    <row r="37983" ht="15.75" customHeight="1">
      <c r="A37983" s="7"/>
      <c r="B37983" s="7"/>
      <c r="M37983" s="9" t="s">
        <v>24</v>
      </c>
    </row>
    <row r="37984" ht="15.75" customHeight="1">
      <c r="A37984" s="7"/>
      <c r="B37984" s="7"/>
      <c r="M37984" s="9" t="s">
        <v>20</v>
      </c>
    </row>
    <row r="37985" ht="15.75" customHeight="1">
      <c r="A37985" s="7"/>
      <c r="B37985" s="7"/>
      <c r="M37985" s="9" t="s">
        <v>21</v>
      </c>
    </row>
    <row r="37986" ht="15.75" customHeight="1">
      <c r="A37986" s="7"/>
      <c r="B37986" s="7"/>
      <c r="M37986" s="9" t="s">
        <v>29</v>
      </c>
    </row>
    <row r="37987" ht="15.75" customHeight="1">
      <c r="A37987" s="7"/>
      <c r="B37987" s="7"/>
      <c r="M37987" s="9" t="s">
        <v>27</v>
      </c>
    </row>
    <row r="37988" ht="15.75" customHeight="1">
      <c r="A37988" s="7"/>
      <c r="B37988" s="7"/>
      <c r="M37988" s="9" t="s">
        <v>24</v>
      </c>
    </row>
    <row r="37989" ht="15.75" customHeight="1">
      <c r="A37989" s="7"/>
      <c r="B37989" s="7"/>
      <c r="M37989" s="9" t="s">
        <v>20</v>
      </c>
    </row>
    <row r="37990" ht="15.75" customHeight="1">
      <c r="A37990" s="7"/>
      <c r="B37990" s="7"/>
      <c r="M37990" s="9" t="s">
        <v>21</v>
      </c>
    </row>
    <row r="37991" ht="15.75" customHeight="1">
      <c r="A37991" s="7"/>
      <c r="B37991" s="7"/>
      <c r="M37991" s="9" t="s">
        <v>27</v>
      </c>
    </row>
    <row r="37992" ht="15.75" customHeight="1">
      <c r="A37992" s="7"/>
      <c r="B37992" s="7"/>
      <c r="M37992" s="9" t="s">
        <v>33</v>
      </c>
    </row>
    <row r="37993" ht="15.75" customHeight="1">
      <c r="A37993" s="7"/>
      <c r="B37993" s="7"/>
      <c r="M37993" s="9" t="s">
        <v>25</v>
      </c>
    </row>
    <row r="37994" ht="15.75" customHeight="1">
      <c r="A37994" s="7"/>
      <c r="B37994" s="7"/>
      <c r="M37994" s="9" t="s">
        <v>24</v>
      </c>
    </row>
    <row r="37995" ht="15.75" customHeight="1">
      <c r="A37995" s="7"/>
      <c r="B37995" s="7"/>
      <c r="M37995" s="9" t="s">
        <v>21</v>
      </c>
    </row>
    <row r="37996" ht="15.75" customHeight="1">
      <c r="A37996" s="7"/>
      <c r="B37996" s="7"/>
      <c r="M37996" s="9" t="s">
        <v>30</v>
      </c>
    </row>
    <row r="37997" ht="15.75" customHeight="1">
      <c r="A37997" s="7"/>
      <c r="B37997" s="7"/>
      <c r="M37997" s="9" t="s">
        <v>36</v>
      </c>
    </row>
    <row r="37998" ht="15.75" customHeight="1">
      <c r="A37998" s="7"/>
      <c r="B37998" s="7"/>
      <c r="M37998" s="9" t="s">
        <v>24</v>
      </c>
    </row>
    <row r="37999" ht="15.75" customHeight="1">
      <c r="A37999" s="7"/>
      <c r="B37999" s="7"/>
      <c r="M37999" s="9" t="s">
        <v>20</v>
      </c>
    </row>
    <row r="38000" ht="15.75" customHeight="1">
      <c r="A38000" s="7"/>
      <c r="B38000" s="7"/>
      <c r="M38000" s="9" t="s">
        <v>21</v>
      </c>
    </row>
    <row r="38001" ht="15.75" customHeight="1">
      <c r="A38001" s="7"/>
      <c r="B38001" s="7"/>
      <c r="M38001" s="9" t="s">
        <v>41</v>
      </c>
    </row>
    <row r="38002" ht="15.75" customHeight="1">
      <c r="A38002" s="7"/>
      <c r="B38002" s="7"/>
      <c r="M38002" s="9" t="s">
        <v>37</v>
      </c>
    </row>
    <row r="38003" ht="15.75" customHeight="1">
      <c r="A38003" s="7"/>
      <c r="B38003" s="7"/>
      <c r="M38003" s="9" t="s">
        <v>22</v>
      </c>
    </row>
    <row r="38004" ht="15.75" customHeight="1">
      <c r="A38004" s="7"/>
      <c r="B38004" s="7"/>
      <c r="M38004" s="9" t="s">
        <v>29</v>
      </c>
    </row>
    <row r="38005" ht="15.75" customHeight="1">
      <c r="A38005" s="7"/>
      <c r="B38005" s="7"/>
      <c r="M38005" s="9" t="s">
        <v>31</v>
      </c>
    </row>
    <row r="38006" ht="15.75" customHeight="1">
      <c r="A38006" s="7"/>
      <c r="B38006" s="7"/>
      <c r="M38006" s="9" t="s">
        <v>27</v>
      </c>
    </row>
    <row r="38007" ht="15.75" customHeight="1">
      <c r="A38007" s="7"/>
      <c r="B38007" s="7"/>
      <c r="M38007" s="9" t="s">
        <v>40</v>
      </c>
    </row>
    <row r="38008" ht="15.75" customHeight="1">
      <c r="A38008" s="7"/>
      <c r="B38008" s="7"/>
      <c r="M38008" s="9" t="s">
        <v>33</v>
      </c>
    </row>
    <row r="38009" ht="15.75" customHeight="1">
      <c r="A38009" s="7"/>
      <c r="B38009" s="7"/>
      <c r="M38009" s="9" t="s">
        <v>24</v>
      </c>
    </row>
    <row r="38010" ht="15.75" customHeight="1">
      <c r="A38010" s="7"/>
      <c r="B38010" s="7"/>
      <c r="M38010" s="9" t="s">
        <v>21</v>
      </c>
    </row>
    <row r="38011" ht="15.75" customHeight="1">
      <c r="A38011" s="7"/>
      <c r="B38011" s="7"/>
      <c r="M38011" s="9" t="s">
        <v>37</v>
      </c>
    </row>
    <row r="38012" ht="15.75" customHeight="1">
      <c r="A38012" s="7"/>
      <c r="B38012" s="7"/>
      <c r="M38012" s="9" t="s">
        <v>27</v>
      </c>
    </row>
    <row r="38013" ht="15.75" customHeight="1">
      <c r="A38013" s="7"/>
      <c r="B38013" s="7"/>
      <c r="M38013" s="9" t="s">
        <v>25</v>
      </c>
    </row>
    <row r="38014" ht="15.75" customHeight="1">
      <c r="A38014" s="7"/>
      <c r="B38014" s="7"/>
      <c r="M38014" s="9" t="s">
        <v>22</v>
      </c>
    </row>
    <row r="38015" ht="15.75" customHeight="1">
      <c r="A38015" s="7"/>
      <c r="B38015" s="7"/>
      <c r="M38015" s="9" t="s">
        <v>23</v>
      </c>
    </row>
    <row r="38016" ht="15.75" customHeight="1">
      <c r="A38016" s="7"/>
      <c r="B38016" s="7"/>
      <c r="M38016" s="9" t="s">
        <v>21</v>
      </c>
    </row>
    <row r="38017" ht="15.75" customHeight="1">
      <c r="A38017" s="7"/>
      <c r="B38017" s="7"/>
      <c r="M38017" s="9" t="s">
        <v>30</v>
      </c>
    </row>
    <row r="38018" ht="15.75" customHeight="1">
      <c r="A38018" s="7"/>
      <c r="B38018" s="7"/>
      <c r="M38018" s="9" t="s">
        <v>26</v>
      </c>
    </row>
    <row r="38019" ht="15.75" customHeight="1">
      <c r="A38019" s="7"/>
      <c r="B38019" s="7"/>
      <c r="M38019" s="9" t="s">
        <v>26</v>
      </c>
    </row>
    <row r="38020" ht="15.75" customHeight="1">
      <c r="A38020" s="7"/>
      <c r="B38020" s="7"/>
      <c r="M38020" s="9" t="s">
        <v>24</v>
      </c>
    </row>
    <row r="38021" ht="15.75" customHeight="1">
      <c r="A38021" s="7"/>
      <c r="B38021" s="7"/>
      <c r="M38021" s="9" t="s">
        <v>21</v>
      </c>
    </row>
    <row r="38022" ht="15.75" customHeight="1">
      <c r="A38022" s="7"/>
      <c r="B38022" s="7"/>
      <c r="M38022" s="9" t="s">
        <v>27</v>
      </c>
    </row>
    <row r="38023" ht="15.75" customHeight="1">
      <c r="A38023" s="7"/>
      <c r="B38023" s="7"/>
      <c r="M38023" s="9" t="s">
        <v>33</v>
      </c>
    </row>
    <row r="38024" ht="15.75" customHeight="1">
      <c r="A38024" s="7"/>
      <c r="B38024" s="7"/>
      <c r="M38024" s="9" t="s">
        <v>22</v>
      </c>
    </row>
    <row r="38025" ht="15.75" customHeight="1">
      <c r="A38025" s="7"/>
      <c r="B38025" s="7"/>
      <c r="M38025" s="9" t="s">
        <v>35</v>
      </c>
    </row>
    <row r="38026" ht="15.75" customHeight="1">
      <c r="A38026" s="7"/>
      <c r="B38026" s="7"/>
      <c r="M38026" s="9" t="s">
        <v>20</v>
      </c>
    </row>
    <row r="38027" ht="15.75" customHeight="1">
      <c r="A38027" s="7"/>
      <c r="B38027" s="7"/>
      <c r="M38027" s="9" t="s">
        <v>21</v>
      </c>
    </row>
    <row r="38028" ht="15.75" customHeight="1">
      <c r="A38028" s="7"/>
      <c r="B38028" s="7"/>
      <c r="M38028" s="9" t="s">
        <v>27</v>
      </c>
    </row>
    <row r="38029" ht="15.75" customHeight="1">
      <c r="A38029" s="7"/>
      <c r="B38029" s="7"/>
      <c r="M38029" s="9" t="s">
        <v>26</v>
      </c>
    </row>
    <row r="38030" ht="15.75" customHeight="1">
      <c r="A38030" s="7"/>
      <c r="B38030" s="7"/>
      <c r="M38030" s="9" t="s">
        <v>24</v>
      </c>
    </row>
    <row r="38031" ht="15.75" customHeight="1">
      <c r="A38031" s="7"/>
      <c r="B38031" s="7"/>
      <c r="M38031" s="9" t="s">
        <v>20</v>
      </c>
    </row>
    <row r="38032" ht="15.75" customHeight="1">
      <c r="A38032" s="7"/>
      <c r="B38032" s="7"/>
      <c r="M38032" s="9" t="s">
        <v>21</v>
      </c>
    </row>
    <row r="38033" ht="15.75" customHeight="1">
      <c r="A38033" s="7"/>
      <c r="B38033" s="7"/>
      <c r="M38033" s="9" t="s">
        <v>22</v>
      </c>
    </row>
    <row r="38034" ht="15.75" customHeight="1">
      <c r="A38034" s="7"/>
      <c r="B38034" s="7"/>
      <c r="M38034" s="9" t="s">
        <v>27</v>
      </c>
    </row>
    <row r="38035" ht="15.75" customHeight="1">
      <c r="A38035" s="7"/>
      <c r="B38035" s="7"/>
      <c r="M38035" s="9" t="s">
        <v>33</v>
      </c>
    </row>
    <row r="38036" ht="15.75" customHeight="1">
      <c r="A38036" s="7"/>
      <c r="B38036" s="7"/>
      <c r="M38036" s="9" t="s">
        <v>38</v>
      </c>
    </row>
    <row r="38037" ht="15.75" customHeight="1">
      <c r="A38037" s="7"/>
      <c r="B38037" s="7"/>
      <c r="M38037" s="9" t="s">
        <v>30</v>
      </c>
    </row>
    <row r="38038" ht="15.75" customHeight="1">
      <c r="A38038" s="7"/>
      <c r="B38038" s="7"/>
      <c r="M38038" s="9" t="s">
        <v>20</v>
      </c>
    </row>
    <row r="38039" ht="15.75" customHeight="1">
      <c r="A38039" s="7"/>
      <c r="B38039" s="7"/>
      <c r="M38039" s="9" t="s">
        <v>22</v>
      </c>
    </row>
    <row r="38040" ht="15.75" customHeight="1">
      <c r="A38040" s="7"/>
      <c r="B38040" s="7"/>
      <c r="M38040" s="9" t="s">
        <v>29</v>
      </c>
    </row>
    <row r="38041" ht="15.75" customHeight="1">
      <c r="A38041" s="7"/>
      <c r="B38041" s="7"/>
      <c r="M38041" s="9" t="s">
        <v>27</v>
      </c>
    </row>
    <row r="38042" ht="15.75" customHeight="1">
      <c r="A38042" s="7"/>
      <c r="B38042" s="7"/>
      <c r="M38042" s="9" t="s">
        <v>30</v>
      </c>
    </row>
    <row r="38043" ht="15.75" customHeight="1">
      <c r="A38043" s="7"/>
      <c r="B38043" s="7"/>
      <c r="M38043" s="9" t="s">
        <v>26</v>
      </c>
    </row>
    <row r="38044" ht="15.75" customHeight="1">
      <c r="A38044" s="7"/>
      <c r="B38044" s="7"/>
      <c r="M38044" s="9" t="s">
        <v>24</v>
      </c>
    </row>
    <row r="38045" ht="15.75" customHeight="1">
      <c r="A38045" s="7"/>
      <c r="B38045" s="7"/>
      <c r="M38045" s="9" t="s">
        <v>21</v>
      </c>
    </row>
    <row r="38046" ht="15.75" customHeight="1">
      <c r="A38046" s="7"/>
      <c r="B38046" s="7"/>
      <c r="M38046" s="9" t="s">
        <v>27</v>
      </c>
    </row>
    <row r="38047" ht="15.75" customHeight="1">
      <c r="A38047" s="7"/>
      <c r="B38047" s="7"/>
      <c r="M38047" s="9" t="s">
        <v>33</v>
      </c>
    </row>
    <row r="38048" ht="15.75" customHeight="1">
      <c r="A38048" s="7"/>
      <c r="B38048" s="7"/>
      <c r="M38048" s="9" t="s">
        <v>25</v>
      </c>
    </row>
    <row r="38049" ht="15.75" customHeight="1">
      <c r="A38049" s="7"/>
      <c r="B38049" s="7"/>
      <c r="M38049" s="9" t="s">
        <v>23</v>
      </c>
    </row>
    <row r="38050" ht="15.75" customHeight="1">
      <c r="A38050" s="7"/>
      <c r="B38050" s="7"/>
      <c r="M38050" s="9" t="s">
        <v>42</v>
      </c>
    </row>
    <row r="38051" ht="15.75" customHeight="1">
      <c r="A38051" s="7"/>
      <c r="B38051" s="7"/>
      <c r="M38051" s="9" t="s">
        <v>21</v>
      </c>
    </row>
    <row r="38052" ht="15.75" customHeight="1">
      <c r="A38052" s="7"/>
      <c r="B38052" s="7"/>
      <c r="M38052" s="9" t="s">
        <v>22</v>
      </c>
    </row>
    <row r="38053" ht="15.75" customHeight="1">
      <c r="A38053" s="7"/>
      <c r="B38053" s="7"/>
      <c r="M38053" s="9" t="s">
        <v>29</v>
      </c>
    </row>
    <row r="38054" ht="15.75" customHeight="1">
      <c r="A38054" s="7"/>
      <c r="B38054" s="7"/>
      <c r="M38054" s="9" t="s">
        <v>27</v>
      </c>
    </row>
    <row r="38055" ht="15.75" customHeight="1">
      <c r="A38055" s="7"/>
      <c r="B38055" s="7"/>
      <c r="M38055" s="9" t="s">
        <v>41</v>
      </c>
    </row>
    <row r="38056" ht="15.75" customHeight="1">
      <c r="A38056" s="7"/>
      <c r="B38056" s="7"/>
      <c r="M38056" s="9" t="s">
        <v>40</v>
      </c>
    </row>
    <row r="38057" ht="15.75" customHeight="1">
      <c r="A38057" s="7"/>
      <c r="B38057" s="7"/>
      <c r="M38057" s="9" t="s">
        <v>24</v>
      </c>
    </row>
    <row r="38058" ht="15.75" customHeight="1">
      <c r="A38058" s="7"/>
      <c r="B38058" s="7"/>
      <c r="M38058" s="9" t="s">
        <v>21</v>
      </c>
    </row>
    <row r="38059" ht="15.75" customHeight="1">
      <c r="A38059" s="7"/>
      <c r="B38059" s="7"/>
      <c r="M38059" s="9" t="s">
        <v>22</v>
      </c>
    </row>
    <row r="38060" ht="15.75" customHeight="1">
      <c r="A38060" s="7"/>
      <c r="B38060" s="7"/>
      <c r="M38060" s="9" t="s">
        <v>20</v>
      </c>
    </row>
    <row r="38061" ht="15.75" customHeight="1">
      <c r="A38061" s="7"/>
      <c r="B38061" s="7"/>
      <c r="M38061" s="9" t="s">
        <v>39</v>
      </c>
    </row>
    <row r="38062" ht="15.75" customHeight="1">
      <c r="A38062" s="7"/>
      <c r="B38062" s="7"/>
      <c r="M38062" s="9" t="s">
        <v>38</v>
      </c>
    </row>
    <row r="38063" ht="15.75" customHeight="1">
      <c r="A38063" s="7"/>
      <c r="B38063" s="7"/>
      <c r="M38063" s="9" t="s">
        <v>25</v>
      </c>
    </row>
    <row r="38064" ht="15.75" customHeight="1">
      <c r="A38064" s="7"/>
      <c r="B38064" s="7"/>
      <c r="M38064" s="9" t="s">
        <v>36</v>
      </c>
    </row>
    <row r="38065" ht="15.75" customHeight="1">
      <c r="A38065" s="7"/>
      <c r="B38065" s="7"/>
      <c r="M38065" s="9" t="s">
        <v>24</v>
      </c>
    </row>
    <row r="38066" ht="15.75" customHeight="1">
      <c r="A38066" s="7"/>
      <c r="B38066" s="7"/>
      <c r="M38066" s="9" t="s">
        <v>20</v>
      </c>
    </row>
    <row r="38067" ht="15.75" customHeight="1">
      <c r="A38067" s="7"/>
      <c r="B38067" s="7"/>
      <c r="M38067" s="9" t="s">
        <v>21</v>
      </c>
    </row>
    <row r="38068" ht="15.75" customHeight="1">
      <c r="A38068" s="7"/>
      <c r="B38068" s="7"/>
      <c r="M38068" s="9" t="s">
        <v>22</v>
      </c>
    </row>
    <row r="38069" ht="15.75" customHeight="1">
      <c r="A38069" s="7"/>
      <c r="B38069" s="7"/>
      <c r="M38069" s="9" t="s">
        <v>29</v>
      </c>
    </row>
    <row r="38070" ht="15.75" customHeight="1">
      <c r="A38070" s="7"/>
      <c r="B38070" s="7"/>
      <c r="M38070" s="9" t="s">
        <v>27</v>
      </c>
    </row>
    <row r="38071" ht="15.75" customHeight="1">
      <c r="A38071" s="7"/>
      <c r="B38071" s="7"/>
      <c r="M38071" s="9" t="s">
        <v>26</v>
      </c>
    </row>
    <row r="38072" ht="15.75" customHeight="1">
      <c r="A38072" s="7"/>
      <c r="B38072" s="7"/>
      <c r="M38072" s="9" t="s">
        <v>24</v>
      </c>
    </row>
    <row r="38073" ht="15.75" customHeight="1">
      <c r="A38073" s="7"/>
      <c r="B38073" s="7"/>
      <c r="M38073" s="9" t="s">
        <v>20</v>
      </c>
    </row>
    <row r="38074" ht="15.75" customHeight="1">
      <c r="A38074" s="7"/>
      <c r="B38074" s="7"/>
      <c r="M38074" s="9" t="s">
        <v>22</v>
      </c>
    </row>
    <row r="38075" ht="15.75" customHeight="1">
      <c r="A38075" s="7"/>
      <c r="B38075" s="7"/>
      <c r="M38075" s="9" t="s">
        <v>28</v>
      </c>
    </row>
    <row r="38076" ht="15.75" customHeight="1">
      <c r="A38076" s="7"/>
      <c r="B38076" s="7"/>
      <c r="M38076" s="9" t="s">
        <v>31</v>
      </c>
    </row>
    <row r="38077" ht="15.75" customHeight="1">
      <c r="A38077" s="7"/>
      <c r="B38077" s="7"/>
      <c r="M38077" s="9" t="s">
        <v>40</v>
      </c>
    </row>
    <row r="38078" ht="15.75" customHeight="1">
      <c r="A38078" s="7"/>
      <c r="B38078" s="7"/>
      <c r="M38078" s="9" t="s">
        <v>24</v>
      </c>
    </row>
    <row r="38079" ht="15.75" customHeight="1">
      <c r="A38079" s="7"/>
      <c r="B38079" s="7"/>
      <c r="M38079" s="9" t="s">
        <v>21</v>
      </c>
    </row>
    <row r="38080" ht="15.75" customHeight="1">
      <c r="A38080" s="7"/>
      <c r="B38080" s="7"/>
      <c r="M38080" s="9" t="s">
        <v>20</v>
      </c>
    </row>
    <row r="38081" ht="15.75" customHeight="1">
      <c r="A38081" s="7"/>
      <c r="B38081" s="7"/>
      <c r="M38081" s="9" t="s">
        <v>27</v>
      </c>
    </row>
    <row r="38082" ht="15.75" customHeight="1">
      <c r="A38082" s="7"/>
      <c r="B38082" s="7"/>
      <c r="M38082" s="9" t="s">
        <v>24</v>
      </c>
    </row>
    <row r="38083" ht="15.75" customHeight="1">
      <c r="A38083" s="7"/>
      <c r="B38083" s="7"/>
      <c r="M38083" s="9" t="s">
        <v>21</v>
      </c>
    </row>
    <row r="38084" ht="15.75" customHeight="1">
      <c r="A38084" s="7"/>
      <c r="B38084" s="7"/>
      <c r="M38084" s="9" t="s">
        <v>37</v>
      </c>
    </row>
    <row r="38085" ht="15.75" customHeight="1">
      <c r="A38085" s="7"/>
      <c r="B38085" s="7"/>
      <c r="M38085" s="9" t="s">
        <v>30</v>
      </c>
    </row>
    <row r="38086" ht="15.75" customHeight="1">
      <c r="A38086" s="7"/>
      <c r="B38086" s="7"/>
      <c r="M38086" s="9" t="s">
        <v>23</v>
      </c>
    </row>
    <row r="38087" ht="15.75" customHeight="1">
      <c r="A38087" s="7"/>
      <c r="B38087" s="7"/>
      <c r="M38087" s="9" t="s">
        <v>47</v>
      </c>
    </row>
    <row r="38088" ht="15.75" customHeight="1">
      <c r="A38088" s="7"/>
      <c r="B38088" s="7"/>
      <c r="M38088" s="9" t="s">
        <v>42</v>
      </c>
    </row>
    <row r="38089" ht="15.75" customHeight="1">
      <c r="A38089" s="7"/>
      <c r="B38089" s="7"/>
      <c r="M38089" s="9" t="s">
        <v>24</v>
      </c>
    </row>
    <row r="38090" ht="15.75" customHeight="1">
      <c r="A38090" s="7"/>
      <c r="B38090" s="7"/>
      <c r="M38090" s="9" t="s">
        <v>20</v>
      </c>
    </row>
    <row r="38091" ht="15.75" customHeight="1">
      <c r="A38091" s="7"/>
      <c r="B38091" s="7"/>
      <c r="M38091" s="9" t="s">
        <v>21</v>
      </c>
    </row>
    <row r="38092" ht="15.75" customHeight="1">
      <c r="A38092" s="7"/>
      <c r="B38092" s="7"/>
      <c r="M38092" s="9" t="s">
        <v>39</v>
      </c>
    </row>
    <row r="38093" ht="15.75" customHeight="1">
      <c r="A38093" s="7"/>
      <c r="B38093" s="7"/>
      <c r="M38093" s="9" t="s">
        <v>41</v>
      </c>
    </row>
    <row r="38094" ht="15.75" customHeight="1">
      <c r="A38094" s="7"/>
      <c r="B38094" s="7"/>
      <c r="M38094" s="9" t="s">
        <v>22</v>
      </c>
    </row>
    <row r="38095" ht="15.75" customHeight="1">
      <c r="A38095" s="7"/>
      <c r="B38095" s="7"/>
      <c r="M38095" s="9" t="s">
        <v>31</v>
      </c>
    </row>
    <row r="38096" ht="15.75" customHeight="1">
      <c r="A38096" s="7"/>
      <c r="B38096" s="7"/>
      <c r="M38096" s="9" t="s">
        <v>27</v>
      </c>
    </row>
    <row r="38097" ht="15.75" customHeight="1">
      <c r="A38097" s="7"/>
      <c r="B38097" s="7"/>
      <c r="M38097" s="9" t="s">
        <v>40</v>
      </c>
    </row>
    <row r="38098" ht="15.75" customHeight="1">
      <c r="A38098" s="7"/>
      <c r="B38098" s="7"/>
      <c r="M38098" s="9" t="s">
        <v>30</v>
      </c>
    </row>
    <row r="38099" ht="15.75" customHeight="1">
      <c r="A38099" s="7"/>
      <c r="B38099" s="7"/>
      <c r="M38099" s="9" t="s">
        <v>24</v>
      </c>
    </row>
    <row r="38100" ht="15.75" customHeight="1">
      <c r="A38100" s="7"/>
      <c r="B38100" s="7"/>
      <c r="M38100" s="9" t="s">
        <v>21</v>
      </c>
    </row>
    <row r="38101" ht="15.75" customHeight="1">
      <c r="A38101" s="7"/>
      <c r="B38101" s="7"/>
      <c r="M38101" s="9" t="s">
        <v>24</v>
      </c>
    </row>
    <row r="38102" ht="15.75" customHeight="1">
      <c r="A38102" s="7"/>
      <c r="B38102" s="7"/>
      <c r="M38102" s="9" t="s">
        <v>21</v>
      </c>
    </row>
    <row r="38103" ht="15.75" customHeight="1">
      <c r="A38103" s="7"/>
      <c r="B38103" s="7"/>
      <c r="M38103" s="9" t="s">
        <v>22</v>
      </c>
    </row>
    <row r="38104" ht="15.75" customHeight="1">
      <c r="A38104" s="7"/>
      <c r="B38104" s="7"/>
      <c r="M38104" s="9" t="s">
        <v>29</v>
      </c>
    </row>
    <row r="38105" ht="15.75" customHeight="1">
      <c r="A38105" s="7"/>
      <c r="B38105" s="7"/>
      <c r="M38105" s="9" t="s">
        <v>27</v>
      </c>
    </row>
    <row r="38106" ht="15.75" customHeight="1">
      <c r="A38106" s="7"/>
      <c r="B38106" s="7"/>
      <c r="M38106" s="9" t="s">
        <v>30</v>
      </c>
    </row>
    <row r="38107" ht="15.75" customHeight="1">
      <c r="A38107" s="7"/>
      <c r="B38107" s="7"/>
      <c r="M38107" s="9" t="s">
        <v>23</v>
      </c>
    </row>
    <row r="38108" ht="15.75" customHeight="1">
      <c r="A38108" s="7"/>
      <c r="B38108" s="7"/>
      <c r="M38108" s="9" t="s">
        <v>24</v>
      </c>
    </row>
    <row r="38109" ht="15.75" customHeight="1">
      <c r="A38109" s="7"/>
      <c r="B38109" s="7"/>
      <c r="M38109" s="9" t="s">
        <v>21</v>
      </c>
    </row>
    <row r="38110" ht="15.75" customHeight="1">
      <c r="A38110" s="7"/>
      <c r="B38110" s="7"/>
      <c r="M38110" s="9" t="s">
        <v>22</v>
      </c>
    </row>
    <row r="38111" ht="15.75" customHeight="1">
      <c r="A38111" s="7"/>
      <c r="B38111" s="7"/>
      <c r="M38111" s="9" t="s">
        <v>24</v>
      </c>
    </row>
    <row r="38112" ht="15.75" customHeight="1">
      <c r="A38112" s="7"/>
      <c r="B38112" s="7"/>
      <c r="M38112" s="9" t="s">
        <v>21</v>
      </c>
    </row>
    <row r="38113" ht="15.75" customHeight="1">
      <c r="A38113" s="7"/>
      <c r="B38113" s="7"/>
      <c r="M38113" s="9" t="s">
        <v>37</v>
      </c>
    </row>
    <row r="38114" ht="15.75" customHeight="1">
      <c r="A38114" s="7"/>
      <c r="B38114" s="7"/>
      <c r="M38114" s="9" t="s">
        <v>30</v>
      </c>
    </row>
    <row r="38115" ht="15.75" customHeight="1">
      <c r="A38115" s="7"/>
      <c r="B38115" s="7"/>
      <c r="M38115" s="9" t="s">
        <v>25</v>
      </c>
    </row>
    <row r="38116" ht="15.75" customHeight="1">
      <c r="A38116" s="7"/>
      <c r="B38116" s="7"/>
      <c r="M38116" s="9" t="s">
        <v>23</v>
      </c>
    </row>
    <row r="38117" ht="15.75" customHeight="1">
      <c r="A38117" s="7"/>
      <c r="B38117" s="7"/>
      <c r="M38117" s="9" t="s">
        <v>35</v>
      </c>
    </row>
    <row r="38118" ht="15.75" customHeight="1">
      <c r="A38118" s="7"/>
      <c r="B38118" s="7"/>
      <c r="M38118" s="9" t="s">
        <v>25</v>
      </c>
    </row>
    <row r="38119" ht="15.75" customHeight="1">
      <c r="A38119" s="7"/>
      <c r="B38119" s="7"/>
      <c r="M38119" s="9" t="s">
        <v>26</v>
      </c>
    </row>
    <row r="38120" ht="15.75" customHeight="1">
      <c r="A38120" s="7"/>
      <c r="B38120" s="7"/>
      <c r="M38120" s="9" t="s">
        <v>47</v>
      </c>
    </row>
    <row r="38121" ht="15.75" customHeight="1">
      <c r="A38121" s="7"/>
      <c r="B38121" s="7"/>
      <c r="M38121" s="9" t="s">
        <v>24</v>
      </c>
    </row>
    <row r="38122" ht="15.75" customHeight="1">
      <c r="A38122" s="7"/>
      <c r="B38122" s="7"/>
      <c r="M38122" s="9" t="s">
        <v>20</v>
      </c>
    </row>
    <row r="38123" ht="15.75" customHeight="1">
      <c r="A38123" s="7"/>
      <c r="B38123" s="7"/>
      <c r="M38123" s="9" t="s">
        <v>24</v>
      </c>
    </row>
    <row r="38124" ht="15.75" customHeight="1">
      <c r="A38124" s="7"/>
      <c r="B38124" s="7"/>
      <c r="M38124" s="9" t="s">
        <v>20</v>
      </c>
    </row>
    <row r="38125" ht="15.75" customHeight="1">
      <c r="A38125" s="7"/>
      <c r="B38125" s="7"/>
      <c r="M38125" s="9" t="s">
        <v>21</v>
      </c>
    </row>
    <row r="38126" ht="15.75" customHeight="1">
      <c r="A38126" s="7"/>
      <c r="B38126" s="7"/>
      <c r="M38126" s="9" t="s">
        <v>39</v>
      </c>
    </row>
    <row r="38127" ht="15.75" customHeight="1">
      <c r="A38127" s="7"/>
      <c r="B38127" s="7"/>
      <c r="M38127" s="9" t="s">
        <v>37</v>
      </c>
    </row>
    <row r="38128" ht="15.75" customHeight="1">
      <c r="A38128" s="7"/>
      <c r="B38128" s="7"/>
      <c r="M38128" s="9" t="s">
        <v>27</v>
      </c>
    </row>
    <row r="38129" ht="15.75" customHeight="1">
      <c r="A38129" s="7"/>
      <c r="B38129" s="7"/>
      <c r="M38129" s="9" t="s">
        <v>26</v>
      </c>
    </row>
    <row r="38130" ht="15.75" customHeight="1">
      <c r="A38130" s="7"/>
      <c r="B38130" s="7"/>
      <c r="M38130" s="9" t="s">
        <v>24</v>
      </c>
    </row>
    <row r="38131" ht="15.75" customHeight="1">
      <c r="A38131" s="7"/>
      <c r="B38131" s="7"/>
      <c r="M38131" s="9" t="s">
        <v>20</v>
      </c>
    </row>
    <row r="38132" ht="15.75" customHeight="1">
      <c r="A38132" s="7"/>
      <c r="B38132" s="7"/>
      <c r="M38132" s="9" t="s">
        <v>21</v>
      </c>
    </row>
    <row r="38133" ht="15.75" customHeight="1">
      <c r="A38133" s="7"/>
      <c r="B38133" s="7"/>
      <c r="M38133" s="9" t="s">
        <v>27</v>
      </c>
    </row>
    <row r="38134" ht="15.75" customHeight="1">
      <c r="A38134" s="7"/>
      <c r="B38134" s="7"/>
      <c r="M38134" s="9" t="s">
        <v>28</v>
      </c>
    </row>
    <row r="38135" ht="15.75" customHeight="1">
      <c r="A38135" s="7"/>
      <c r="B38135" s="7"/>
      <c r="M38135" s="9" t="s">
        <v>30</v>
      </c>
    </row>
    <row r="38136" ht="15.75" customHeight="1">
      <c r="A38136" s="7"/>
      <c r="B38136" s="7"/>
      <c r="M38136" s="9" t="s">
        <v>24</v>
      </c>
    </row>
    <row r="38137" ht="15.75" customHeight="1">
      <c r="A38137" s="7"/>
      <c r="B38137" s="7"/>
      <c r="M38137" s="9" t="s">
        <v>21</v>
      </c>
    </row>
    <row r="38138" ht="15.75" customHeight="1">
      <c r="A38138" s="7"/>
      <c r="B38138" s="7"/>
      <c r="M38138" s="9" t="s">
        <v>37</v>
      </c>
    </row>
    <row r="38139" ht="15.75" customHeight="1">
      <c r="A38139" s="7"/>
      <c r="B38139" s="7"/>
      <c r="M38139" s="9" t="s">
        <v>27</v>
      </c>
    </row>
    <row r="38140" ht="15.75" customHeight="1">
      <c r="A38140" s="7"/>
      <c r="B38140" s="7"/>
      <c r="M38140" s="9" t="s">
        <v>28</v>
      </c>
    </row>
    <row r="38141" ht="15.75" customHeight="1">
      <c r="A38141" s="7"/>
      <c r="B38141" s="7"/>
      <c r="M38141" s="9" t="s">
        <v>25</v>
      </c>
    </row>
    <row r="38142" ht="15.75" customHeight="1">
      <c r="A38142" s="7"/>
      <c r="B38142" s="7"/>
      <c r="M38142" s="9" t="s">
        <v>23</v>
      </c>
    </row>
    <row r="38143" ht="15.75" customHeight="1">
      <c r="A38143" s="7"/>
      <c r="B38143" s="7"/>
      <c r="M38143" s="9" t="s">
        <v>26</v>
      </c>
    </row>
    <row r="38144" ht="15.75" customHeight="1">
      <c r="A38144" s="7"/>
      <c r="B38144" s="7"/>
      <c r="M38144" s="9" t="s">
        <v>24</v>
      </c>
    </row>
    <row r="38145" ht="15.75" customHeight="1">
      <c r="A38145" s="7"/>
      <c r="B38145" s="7"/>
      <c r="M38145" s="9" t="s">
        <v>21</v>
      </c>
    </row>
    <row r="38146" ht="15.75" customHeight="1">
      <c r="A38146" s="7"/>
      <c r="B38146" s="7"/>
      <c r="M38146" s="9" t="s">
        <v>37</v>
      </c>
    </row>
    <row r="38147" ht="15.75" customHeight="1">
      <c r="A38147" s="7"/>
      <c r="B38147" s="7"/>
      <c r="M38147" s="9" t="s">
        <v>40</v>
      </c>
    </row>
    <row r="38148" ht="15.75" customHeight="1">
      <c r="A38148" s="7"/>
      <c r="B38148" s="7"/>
      <c r="M38148" s="9" t="s">
        <v>33</v>
      </c>
    </row>
    <row r="38149" ht="15.75" customHeight="1">
      <c r="A38149" s="7"/>
      <c r="B38149" s="7"/>
      <c r="M38149" s="9" t="s">
        <v>23</v>
      </c>
    </row>
    <row r="38150" ht="15.75" customHeight="1">
      <c r="A38150" s="7"/>
      <c r="B38150" s="7"/>
      <c r="M38150" s="9" t="s">
        <v>26</v>
      </c>
    </row>
    <row r="38151" ht="15.75" customHeight="1">
      <c r="A38151" s="7"/>
      <c r="B38151" s="7"/>
      <c r="M38151" s="9" t="s">
        <v>24</v>
      </c>
    </row>
    <row r="38152" ht="15.75" customHeight="1">
      <c r="A38152" s="7"/>
      <c r="B38152" s="7"/>
      <c r="M38152" s="9" t="s">
        <v>21</v>
      </c>
    </row>
    <row r="38153" ht="15.75" customHeight="1">
      <c r="A38153" s="7"/>
      <c r="B38153" s="7"/>
      <c r="M38153" s="9" t="s">
        <v>31</v>
      </c>
    </row>
    <row r="38154" ht="15.75" customHeight="1">
      <c r="A38154" s="7"/>
      <c r="B38154" s="7"/>
      <c r="M38154" s="9" t="s">
        <v>23</v>
      </c>
    </row>
    <row r="38155" ht="15.75" customHeight="1">
      <c r="A38155" s="7"/>
      <c r="B38155" s="7"/>
      <c r="M38155" s="9" t="s">
        <v>22</v>
      </c>
    </row>
    <row r="38156" ht="15.75" customHeight="1">
      <c r="A38156" s="7"/>
      <c r="B38156" s="7"/>
      <c r="M38156" s="9" t="s">
        <v>40</v>
      </c>
    </row>
    <row r="38157" ht="15.75" customHeight="1">
      <c r="A38157" s="7"/>
      <c r="B38157" s="7"/>
      <c r="M38157" s="9" t="s">
        <v>25</v>
      </c>
    </row>
    <row r="38158" ht="15.75" customHeight="1">
      <c r="A38158" s="7"/>
      <c r="B38158" s="7"/>
      <c r="M38158" s="9" t="s">
        <v>23</v>
      </c>
    </row>
    <row r="38159" ht="15.75" customHeight="1">
      <c r="A38159" s="7"/>
      <c r="B38159" s="7"/>
      <c r="M38159" s="9" t="s">
        <v>26</v>
      </c>
    </row>
    <row r="38160" ht="15.75" customHeight="1">
      <c r="A38160" s="7"/>
      <c r="B38160" s="7"/>
      <c r="M38160" s="9" t="s">
        <v>36</v>
      </c>
    </row>
    <row r="38161" ht="15.75" customHeight="1">
      <c r="A38161" s="7"/>
      <c r="B38161" s="7"/>
      <c r="M38161" s="9" t="s">
        <v>24</v>
      </c>
    </row>
    <row r="38162" ht="15.75" customHeight="1">
      <c r="A38162" s="7"/>
      <c r="B38162" s="7"/>
      <c r="M38162" s="9" t="s">
        <v>20</v>
      </c>
    </row>
    <row r="38163" ht="15.75" customHeight="1">
      <c r="A38163" s="7"/>
      <c r="B38163" s="7"/>
      <c r="M38163" s="9" t="s">
        <v>22</v>
      </c>
    </row>
    <row r="38164" ht="15.75" customHeight="1">
      <c r="A38164" s="7"/>
      <c r="B38164" s="7"/>
      <c r="M38164" s="9" t="s">
        <v>24</v>
      </c>
    </row>
    <row r="38165" ht="15.75" customHeight="1">
      <c r="A38165" s="7"/>
      <c r="B38165" s="7"/>
      <c r="M38165" s="9" t="s">
        <v>20</v>
      </c>
    </row>
    <row r="38166" ht="15.75" customHeight="1">
      <c r="A38166" s="7"/>
      <c r="B38166" s="7"/>
      <c r="M38166" s="9" t="s">
        <v>21</v>
      </c>
    </row>
    <row r="38167" ht="15.75" customHeight="1">
      <c r="A38167" s="7"/>
      <c r="B38167" s="7"/>
      <c r="M38167" s="9" t="s">
        <v>30</v>
      </c>
    </row>
    <row r="38168" ht="15.75" customHeight="1">
      <c r="A38168" s="7"/>
      <c r="B38168" s="7"/>
      <c r="M38168" s="9" t="s">
        <v>24</v>
      </c>
    </row>
    <row r="38169" ht="15.75" customHeight="1">
      <c r="A38169" s="7"/>
      <c r="B38169" s="7"/>
      <c r="M38169" s="9" t="s">
        <v>20</v>
      </c>
    </row>
    <row r="38170" ht="15.75" customHeight="1">
      <c r="A38170" s="7"/>
      <c r="B38170" s="7"/>
      <c r="M38170" s="9" t="s">
        <v>21</v>
      </c>
    </row>
    <row r="38171" ht="15.75" customHeight="1">
      <c r="A38171" s="7"/>
      <c r="B38171" s="7"/>
      <c r="M38171" s="9" t="s">
        <v>37</v>
      </c>
    </row>
    <row r="38172" ht="15.75" customHeight="1">
      <c r="A38172" s="7"/>
      <c r="B38172" s="7"/>
      <c r="M38172" s="9" t="s">
        <v>22</v>
      </c>
    </row>
    <row r="38173" ht="15.75" customHeight="1">
      <c r="A38173" s="7"/>
      <c r="B38173" s="7"/>
      <c r="M38173" s="9" t="s">
        <v>27</v>
      </c>
    </row>
    <row r="38174" ht="15.75" customHeight="1">
      <c r="A38174" s="7"/>
      <c r="B38174" s="7"/>
      <c r="M38174" s="9" t="s">
        <v>30</v>
      </c>
    </row>
    <row r="38175" ht="15.75" customHeight="1">
      <c r="A38175" s="7"/>
      <c r="B38175" s="7"/>
      <c r="M38175" s="9" t="s">
        <v>25</v>
      </c>
    </row>
    <row r="38176" ht="15.75" customHeight="1">
      <c r="A38176" s="7"/>
      <c r="B38176" s="7"/>
      <c r="M38176" s="9" t="s">
        <v>23</v>
      </c>
    </row>
    <row r="38177" ht="15.75" customHeight="1">
      <c r="A38177" s="7"/>
      <c r="B38177" s="7"/>
      <c r="M38177" s="9" t="s">
        <v>26</v>
      </c>
    </row>
    <row r="38178" ht="15.75" customHeight="1">
      <c r="A38178" s="7"/>
      <c r="B38178" s="7"/>
      <c r="M38178" s="9" t="s">
        <v>24</v>
      </c>
    </row>
    <row r="38179" ht="15.75" customHeight="1">
      <c r="A38179" s="7"/>
      <c r="B38179" s="7"/>
      <c r="M38179" s="9" t="s">
        <v>20</v>
      </c>
    </row>
    <row r="38180" ht="15.75" customHeight="1">
      <c r="A38180" s="7"/>
      <c r="B38180" s="7"/>
      <c r="M38180" s="9" t="s">
        <v>21</v>
      </c>
    </row>
    <row r="38181" ht="15.75" customHeight="1">
      <c r="A38181" s="7"/>
      <c r="B38181" s="7"/>
      <c r="M38181" s="9" t="s">
        <v>41</v>
      </c>
    </row>
    <row r="38182" ht="15.75" customHeight="1">
      <c r="A38182" s="7"/>
      <c r="B38182" s="7"/>
      <c r="M38182" s="9" t="s">
        <v>37</v>
      </c>
    </row>
    <row r="38183" ht="15.75" customHeight="1">
      <c r="A38183" s="7"/>
      <c r="B38183" s="7"/>
      <c r="M38183" s="9" t="s">
        <v>22</v>
      </c>
    </row>
    <row r="38184" ht="15.75" customHeight="1">
      <c r="A38184" s="7"/>
      <c r="B38184" s="7"/>
      <c r="M38184" s="9" t="s">
        <v>27</v>
      </c>
    </row>
    <row r="38185" ht="15.75" customHeight="1">
      <c r="A38185" s="7"/>
      <c r="B38185" s="7"/>
      <c r="M38185" s="9" t="s">
        <v>28</v>
      </c>
    </row>
    <row r="38186" ht="15.75" customHeight="1">
      <c r="A38186" s="7"/>
      <c r="B38186" s="7"/>
      <c r="M38186" s="9" t="s">
        <v>22</v>
      </c>
    </row>
    <row r="38187" ht="15.75" customHeight="1">
      <c r="A38187" s="7"/>
      <c r="B38187" s="7"/>
      <c r="M38187" s="9" t="s">
        <v>24</v>
      </c>
    </row>
    <row r="38188" ht="15.75" customHeight="1">
      <c r="A38188" s="7"/>
      <c r="B38188" s="7"/>
      <c r="M38188" s="9" t="s">
        <v>21</v>
      </c>
    </row>
    <row r="38189" ht="15.75" customHeight="1">
      <c r="A38189" s="7"/>
      <c r="B38189" s="7"/>
      <c r="M38189" s="9" t="s">
        <v>22</v>
      </c>
    </row>
    <row r="38190" ht="15.75" customHeight="1">
      <c r="A38190" s="7"/>
      <c r="B38190" s="7"/>
      <c r="M38190" s="9" t="s">
        <v>27</v>
      </c>
    </row>
    <row r="38191" ht="15.75" customHeight="1">
      <c r="A38191" s="7"/>
      <c r="B38191" s="7"/>
      <c r="M38191" s="9" t="s">
        <v>30</v>
      </c>
    </row>
    <row r="38192" ht="15.75" customHeight="1">
      <c r="A38192" s="7"/>
      <c r="B38192" s="7"/>
      <c r="M38192" s="9" t="s">
        <v>24</v>
      </c>
    </row>
    <row r="38193" ht="15.75" customHeight="1">
      <c r="A38193" s="7"/>
      <c r="B38193" s="7"/>
      <c r="M38193" s="9" t="s">
        <v>21</v>
      </c>
    </row>
    <row r="38194" ht="15.75" customHeight="1">
      <c r="A38194" s="7"/>
      <c r="B38194" s="7"/>
      <c r="M38194" s="9" t="s">
        <v>27</v>
      </c>
    </row>
    <row r="38195" ht="15.75" customHeight="1">
      <c r="A38195" s="7"/>
      <c r="B38195" s="7"/>
      <c r="M38195" s="9" t="s">
        <v>33</v>
      </c>
    </row>
    <row r="38196" ht="15.75" customHeight="1">
      <c r="A38196" s="7"/>
      <c r="B38196" s="7"/>
      <c r="M38196" s="9" t="s">
        <v>24</v>
      </c>
    </row>
    <row r="38197" ht="15.75" customHeight="1">
      <c r="A38197" s="7"/>
      <c r="B38197" s="7"/>
      <c r="M38197" s="9" t="s">
        <v>20</v>
      </c>
    </row>
    <row r="38198" ht="15.75" customHeight="1">
      <c r="A38198" s="7"/>
      <c r="B38198" s="7"/>
      <c r="M38198" s="9" t="s">
        <v>21</v>
      </c>
    </row>
    <row r="38199" ht="15.75" customHeight="1">
      <c r="A38199" s="7"/>
      <c r="B38199" s="7"/>
      <c r="M38199" s="9" t="s">
        <v>30</v>
      </c>
    </row>
    <row r="38200" ht="15.75" customHeight="1">
      <c r="A38200" s="7"/>
      <c r="B38200" s="7"/>
      <c r="M38200" s="9" t="s">
        <v>26</v>
      </c>
    </row>
    <row r="38201" ht="15.75" customHeight="1">
      <c r="A38201" s="7"/>
      <c r="B38201" s="7"/>
      <c r="M38201" s="9" t="s">
        <v>24</v>
      </c>
    </row>
    <row r="38202" ht="15.75" customHeight="1">
      <c r="A38202" s="7"/>
      <c r="B38202" s="7"/>
      <c r="M38202" s="9" t="s">
        <v>20</v>
      </c>
    </row>
    <row r="38203" ht="15.75" customHeight="1">
      <c r="A38203" s="7"/>
      <c r="B38203" s="7"/>
      <c r="M38203" s="9" t="s">
        <v>21</v>
      </c>
    </row>
    <row r="38204" ht="15.75" customHeight="1">
      <c r="A38204" s="7"/>
      <c r="B38204" s="7"/>
      <c r="M38204" s="9" t="s">
        <v>39</v>
      </c>
    </row>
    <row r="38205" ht="15.75" customHeight="1">
      <c r="A38205" s="7"/>
      <c r="B38205" s="7"/>
      <c r="M38205" s="9" t="s">
        <v>27</v>
      </c>
    </row>
    <row r="38206" ht="15.75" customHeight="1">
      <c r="A38206" s="7"/>
      <c r="B38206" s="7"/>
      <c r="M38206" s="9" t="s">
        <v>33</v>
      </c>
    </row>
    <row r="38207" ht="15.75" customHeight="1">
      <c r="A38207" s="7"/>
      <c r="B38207" s="7"/>
      <c r="M38207" s="9" t="s">
        <v>25</v>
      </c>
    </row>
    <row r="38208" ht="15.75" customHeight="1">
      <c r="A38208" s="7"/>
      <c r="B38208" s="7"/>
      <c r="M38208" s="9" t="s">
        <v>23</v>
      </c>
    </row>
    <row r="38209" ht="15.75" customHeight="1">
      <c r="A38209" s="7"/>
      <c r="B38209" s="7"/>
      <c r="M38209" s="9" t="s">
        <v>24</v>
      </c>
    </row>
    <row r="38210" ht="15.75" customHeight="1">
      <c r="A38210" s="7"/>
      <c r="B38210" s="7"/>
      <c r="M38210" s="9" t="s">
        <v>20</v>
      </c>
    </row>
    <row r="38211" ht="15.75" customHeight="1">
      <c r="A38211" s="7"/>
      <c r="B38211" s="7"/>
      <c r="M38211" s="9" t="s">
        <v>21</v>
      </c>
    </row>
    <row r="38212" ht="15.75" customHeight="1">
      <c r="A38212" s="7"/>
      <c r="B38212" s="7"/>
      <c r="M38212" s="9" t="s">
        <v>39</v>
      </c>
    </row>
    <row r="38213" ht="15.75" customHeight="1">
      <c r="A38213" s="7"/>
      <c r="B38213" s="7"/>
      <c r="M38213" s="9" t="s">
        <v>37</v>
      </c>
    </row>
    <row r="38214" ht="15.75" customHeight="1">
      <c r="A38214" s="7"/>
      <c r="B38214" s="7"/>
      <c r="M38214" s="9" t="s">
        <v>27</v>
      </c>
    </row>
    <row r="38215" ht="15.75" customHeight="1">
      <c r="A38215" s="7"/>
      <c r="B38215" s="7"/>
      <c r="M38215" s="9" t="s">
        <v>24</v>
      </c>
    </row>
    <row r="38216" ht="15.75" customHeight="1">
      <c r="A38216" s="7"/>
      <c r="B38216" s="7"/>
      <c r="M38216" s="9" t="s">
        <v>21</v>
      </c>
    </row>
    <row r="38217" ht="15.75" customHeight="1">
      <c r="A38217" s="7"/>
      <c r="B38217" s="7"/>
      <c r="M38217" s="9" t="s">
        <v>37</v>
      </c>
    </row>
    <row r="38218" ht="15.75" customHeight="1">
      <c r="A38218" s="7"/>
      <c r="B38218" s="7"/>
      <c r="M38218" s="9" t="s">
        <v>25</v>
      </c>
    </row>
    <row r="38219" ht="15.75" customHeight="1">
      <c r="A38219" s="7"/>
      <c r="B38219" s="7"/>
      <c r="M38219" s="9" t="s">
        <v>23</v>
      </c>
    </row>
    <row r="38220" ht="15.75" customHeight="1">
      <c r="A38220" s="7"/>
      <c r="B38220" s="7"/>
      <c r="M38220" s="9" t="s">
        <v>23</v>
      </c>
    </row>
    <row r="38221" ht="15.75" customHeight="1">
      <c r="A38221" s="7"/>
      <c r="B38221" s="7"/>
      <c r="M38221" s="9" t="s">
        <v>22</v>
      </c>
    </row>
    <row r="38222" ht="15.75" customHeight="1">
      <c r="A38222" s="7"/>
      <c r="B38222" s="7"/>
      <c r="M38222" s="9" t="s">
        <v>33</v>
      </c>
    </row>
    <row r="38223" ht="15.75" customHeight="1">
      <c r="A38223" s="7"/>
      <c r="B38223" s="7"/>
      <c r="M38223" s="9" t="s">
        <v>20</v>
      </c>
    </row>
    <row r="38224" ht="15.75" customHeight="1">
      <c r="A38224" s="7"/>
      <c r="B38224" s="7"/>
      <c r="M38224" s="9" t="s">
        <v>30</v>
      </c>
    </row>
    <row r="38225" ht="15.75" customHeight="1">
      <c r="A38225" s="7"/>
      <c r="B38225" s="7"/>
      <c r="M38225" s="9" t="s">
        <v>24</v>
      </c>
    </row>
    <row r="38226" ht="15.75" customHeight="1">
      <c r="A38226" s="7"/>
      <c r="B38226" s="7"/>
      <c r="M38226" s="9" t="s">
        <v>20</v>
      </c>
    </row>
    <row r="38227" ht="15.75" customHeight="1">
      <c r="A38227" s="7"/>
      <c r="B38227" s="7"/>
      <c r="M38227" s="9" t="s">
        <v>21</v>
      </c>
    </row>
    <row r="38228" ht="15.75" customHeight="1">
      <c r="A38228" s="7"/>
      <c r="B38228" s="7"/>
      <c r="M38228" s="9" t="s">
        <v>27</v>
      </c>
    </row>
    <row r="38229" ht="15.75" customHeight="1">
      <c r="A38229" s="7"/>
      <c r="B38229" s="7"/>
      <c r="M38229" s="9" t="s">
        <v>33</v>
      </c>
    </row>
    <row r="38230" ht="15.75" customHeight="1">
      <c r="A38230" s="7"/>
      <c r="B38230" s="7"/>
      <c r="M38230" s="9" t="s">
        <v>26</v>
      </c>
    </row>
    <row r="38231" ht="15.75" customHeight="1">
      <c r="A38231" s="7"/>
      <c r="B38231" s="7"/>
      <c r="M38231" s="9" t="s">
        <v>24</v>
      </c>
    </row>
    <row r="38232" ht="15.75" customHeight="1">
      <c r="A38232" s="7"/>
      <c r="B38232" s="7"/>
      <c r="M38232" s="9" t="s">
        <v>21</v>
      </c>
    </row>
    <row r="38233" ht="15.75" customHeight="1">
      <c r="A38233" s="7"/>
      <c r="B38233" s="7"/>
      <c r="M38233" s="9" t="s">
        <v>22</v>
      </c>
    </row>
    <row r="38234" ht="15.75" customHeight="1">
      <c r="A38234" s="7"/>
      <c r="B38234" s="7"/>
      <c r="M38234" s="9" t="s">
        <v>29</v>
      </c>
    </row>
    <row r="38235" ht="15.75" customHeight="1">
      <c r="A38235" s="7"/>
      <c r="B38235" s="7"/>
      <c r="M38235" s="9" t="s">
        <v>27</v>
      </c>
    </row>
    <row r="38236" ht="15.75" customHeight="1">
      <c r="A38236" s="7"/>
      <c r="B38236" s="7"/>
      <c r="M38236" s="9" t="s">
        <v>33</v>
      </c>
    </row>
    <row r="38237" ht="15.75" customHeight="1">
      <c r="A38237" s="7"/>
      <c r="B38237" s="7"/>
      <c r="M38237" s="9" t="s">
        <v>30</v>
      </c>
    </row>
    <row r="38238" ht="15.75" customHeight="1">
      <c r="A38238" s="7"/>
      <c r="B38238" s="7"/>
      <c r="M38238" s="9" t="s">
        <v>20</v>
      </c>
    </row>
    <row r="38239" ht="15.75" customHeight="1">
      <c r="A38239" s="7"/>
      <c r="B38239" s="7"/>
      <c r="M38239" s="9" t="s">
        <v>22</v>
      </c>
    </row>
    <row r="38240" ht="15.75" customHeight="1">
      <c r="A38240" s="7"/>
      <c r="B38240" s="7"/>
      <c r="M38240" s="9" t="s">
        <v>27</v>
      </c>
    </row>
    <row r="38241" ht="15.75" customHeight="1">
      <c r="A38241" s="7"/>
      <c r="B38241" s="7"/>
      <c r="M38241" s="9" t="s">
        <v>23</v>
      </c>
    </row>
    <row r="38242" ht="15.75" customHeight="1">
      <c r="A38242" s="7"/>
      <c r="B38242" s="7"/>
      <c r="M38242" s="9" t="s">
        <v>26</v>
      </c>
    </row>
    <row r="38243" ht="15.75" customHeight="1">
      <c r="A38243" s="7"/>
      <c r="B38243" s="7"/>
      <c r="M38243" s="9" t="s">
        <v>20</v>
      </c>
    </row>
    <row r="38244" ht="15.75" customHeight="1">
      <c r="A38244" s="7"/>
      <c r="B38244" s="7"/>
      <c r="M38244" s="9" t="s">
        <v>22</v>
      </c>
    </row>
    <row r="38245" ht="15.75" customHeight="1">
      <c r="A38245" s="7"/>
      <c r="B38245" s="7"/>
      <c r="M38245" s="9" t="s">
        <v>30</v>
      </c>
    </row>
    <row r="38246" ht="15.75" customHeight="1">
      <c r="A38246" s="7"/>
      <c r="B38246" s="7"/>
      <c r="M38246" s="9" t="s">
        <v>26</v>
      </c>
    </row>
    <row r="38247" ht="15.75" customHeight="1">
      <c r="A38247" s="7"/>
      <c r="B38247" s="7"/>
      <c r="M38247" s="9" t="s">
        <v>24</v>
      </c>
    </row>
    <row r="38248" ht="15.75" customHeight="1">
      <c r="A38248" s="7"/>
      <c r="B38248" s="7"/>
      <c r="M38248" s="9" t="s">
        <v>21</v>
      </c>
    </row>
    <row r="38249" ht="15.75" customHeight="1">
      <c r="A38249" s="7"/>
      <c r="B38249" s="7"/>
      <c r="M38249" s="9" t="s">
        <v>27</v>
      </c>
    </row>
    <row r="38250" ht="15.75" customHeight="1">
      <c r="A38250" s="7"/>
      <c r="B38250" s="7"/>
      <c r="M38250" s="9" t="s">
        <v>28</v>
      </c>
    </row>
    <row r="38251" ht="15.75" customHeight="1">
      <c r="A38251" s="7"/>
      <c r="B38251" s="7"/>
      <c r="M38251" s="9" t="s">
        <v>37</v>
      </c>
    </row>
    <row r="38252" ht="15.75" customHeight="1">
      <c r="A38252" s="7"/>
      <c r="B38252" s="7"/>
      <c r="M38252" s="9" t="s">
        <v>22</v>
      </c>
    </row>
    <row r="38253" ht="15.75" customHeight="1">
      <c r="A38253" s="7"/>
      <c r="B38253" s="7"/>
      <c r="M38253" s="9" t="s">
        <v>27</v>
      </c>
    </row>
    <row r="38254" ht="15.75" customHeight="1">
      <c r="A38254" s="7"/>
      <c r="B38254" s="7"/>
      <c r="M38254" s="9" t="s">
        <v>30</v>
      </c>
    </row>
    <row r="38255" ht="15.75" customHeight="1">
      <c r="A38255" s="7"/>
      <c r="B38255" s="7"/>
      <c r="M38255" s="9" t="s">
        <v>24</v>
      </c>
    </row>
    <row r="38256" ht="15.75" customHeight="1">
      <c r="A38256" s="7"/>
      <c r="B38256" s="7"/>
      <c r="M38256" s="9" t="s">
        <v>21</v>
      </c>
    </row>
    <row r="38257" ht="15.75" customHeight="1">
      <c r="A38257" s="7"/>
      <c r="B38257" s="7"/>
      <c r="M38257" s="9" t="s">
        <v>27</v>
      </c>
    </row>
    <row r="38258" ht="15.75" customHeight="1">
      <c r="A38258" s="7"/>
      <c r="B38258" s="7"/>
      <c r="M38258" s="9" t="s">
        <v>35</v>
      </c>
    </row>
    <row r="38259" ht="15.75" customHeight="1">
      <c r="A38259" s="7"/>
      <c r="B38259" s="7"/>
      <c r="M38259" s="9" t="s">
        <v>30</v>
      </c>
    </row>
    <row r="38260" ht="15.75" customHeight="1">
      <c r="A38260" s="7"/>
      <c r="B38260" s="7"/>
      <c r="M38260" s="9" t="s">
        <v>24</v>
      </c>
    </row>
    <row r="38261" ht="15.75" customHeight="1">
      <c r="A38261" s="7"/>
      <c r="B38261" s="7"/>
      <c r="M38261" s="9" t="s">
        <v>21</v>
      </c>
    </row>
    <row r="38262" ht="15.75" customHeight="1">
      <c r="A38262" s="7"/>
      <c r="B38262" s="7"/>
      <c r="M38262" s="9" t="s">
        <v>24</v>
      </c>
    </row>
    <row r="38263" ht="15.75" customHeight="1">
      <c r="A38263" s="7"/>
      <c r="B38263" s="7"/>
      <c r="M38263" s="9" t="s">
        <v>20</v>
      </c>
    </row>
    <row r="38264" ht="15.75" customHeight="1">
      <c r="A38264" s="7"/>
      <c r="B38264" s="7"/>
      <c r="M38264" s="9" t="s">
        <v>22</v>
      </c>
    </row>
    <row r="38265" ht="15.75" customHeight="1">
      <c r="A38265" s="7"/>
      <c r="B38265" s="7"/>
      <c r="M38265" s="9" t="s">
        <v>26</v>
      </c>
    </row>
    <row r="38266" ht="15.75" customHeight="1">
      <c r="A38266" s="7"/>
      <c r="B38266" s="7"/>
      <c r="M38266" s="9" t="s">
        <v>24</v>
      </c>
    </row>
    <row r="38267" ht="15.75" customHeight="1">
      <c r="A38267" s="7"/>
      <c r="B38267" s="7"/>
      <c r="M38267" s="9" t="s">
        <v>21</v>
      </c>
    </row>
    <row r="38268" ht="15.75" customHeight="1">
      <c r="A38268" s="7"/>
      <c r="B38268" s="7"/>
      <c r="M38268" s="9" t="s">
        <v>27</v>
      </c>
    </row>
    <row r="38269" ht="15.75" customHeight="1">
      <c r="A38269" s="7"/>
      <c r="B38269" s="7"/>
      <c r="M38269" s="9" t="s">
        <v>28</v>
      </c>
    </row>
    <row r="38270" ht="15.75" customHeight="1">
      <c r="A38270" s="7"/>
      <c r="B38270" s="7"/>
      <c r="M38270" s="9" t="s">
        <v>23</v>
      </c>
    </row>
    <row r="38271" ht="15.75" customHeight="1">
      <c r="A38271" s="7"/>
      <c r="B38271" s="7"/>
      <c r="M38271" s="9" t="s">
        <v>36</v>
      </c>
    </row>
    <row r="38272" ht="15.75" customHeight="1">
      <c r="A38272" s="7"/>
      <c r="B38272" s="7"/>
      <c r="M38272" s="9" t="s">
        <v>21</v>
      </c>
    </row>
    <row r="38273" ht="15.75" customHeight="1">
      <c r="A38273" s="7"/>
      <c r="B38273" s="7"/>
      <c r="M38273" s="9" t="s">
        <v>22</v>
      </c>
    </row>
    <row r="38274" ht="15.75" customHeight="1">
      <c r="A38274" s="7"/>
      <c r="B38274" s="7"/>
      <c r="M38274" s="9" t="s">
        <v>30</v>
      </c>
    </row>
    <row r="38275" ht="15.75" customHeight="1">
      <c r="A38275" s="7"/>
      <c r="B38275" s="7"/>
      <c r="M38275" s="9" t="s">
        <v>26</v>
      </c>
    </row>
    <row r="38276" ht="15.75" customHeight="1">
      <c r="A38276" s="7"/>
      <c r="B38276" s="7"/>
      <c r="M38276" s="9" t="s">
        <v>24</v>
      </c>
    </row>
    <row r="38277" ht="15.75" customHeight="1">
      <c r="A38277" s="7"/>
      <c r="B38277" s="7"/>
      <c r="M38277" s="9" t="s">
        <v>21</v>
      </c>
    </row>
    <row r="38278" ht="15.75" customHeight="1">
      <c r="A38278" s="7"/>
      <c r="B38278" s="7"/>
      <c r="M38278" s="9" t="s">
        <v>37</v>
      </c>
    </row>
    <row r="38279" ht="15.75" customHeight="1">
      <c r="A38279" s="7"/>
      <c r="B38279" s="7"/>
      <c r="M38279" s="9" t="s">
        <v>22</v>
      </c>
    </row>
    <row r="38280" ht="15.75" customHeight="1">
      <c r="A38280" s="7"/>
      <c r="B38280" s="7"/>
      <c r="M38280" s="9" t="s">
        <v>31</v>
      </c>
    </row>
    <row r="38281" ht="15.75" customHeight="1">
      <c r="A38281" s="7"/>
      <c r="B38281" s="7"/>
      <c r="M38281" s="9" t="s">
        <v>27</v>
      </c>
    </row>
    <row r="38282" ht="15.75" customHeight="1">
      <c r="A38282" s="7"/>
      <c r="B38282" s="7"/>
      <c r="M38282" s="9" t="s">
        <v>20</v>
      </c>
    </row>
    <row r="38283" ht="15.75" customHeight="1">
      <c r="A38283" s="7"/>
      <c r="B38283" s="7"/>
      <c r="M38283" s="9" t="s">
        <v>21</v>
      </c>
    </row>
    <row r="38284" ht="15.75" customHeight="1">
      <c r="A38284" s="7"/>
      <c r="B38284" s="7"/>
      <c r="M38284" s="9" t="s">
        <v>22</v>
      </c>
    </row>
    <row r="38285" ht="15.75" customHeight="1">
      <c r="A38285" s="7"/>
      <c r="B38285" s="7"/>
      <c r="M38285" s="9" t="s">
        <v>30</v>
      </c>
    </row>
    <row r="38286" ht="15.75" customHeight="1">
      <c r="A38286" s="7"/>
      <c r="B38286" s="7"/>
      <c r="M38286" s="9" t="s">
        <v>24</v>
      </c>
    </row>
    <row r="38287" ht="15.75" customHeight="1">
      <c r="A38287" s="7"/>
      <c r="B38287" s="7"/>
      <c r="M38287" s="9" t="s">
        <v>21</v>
      </c>
    </row>
    <row r="38288" ht="15.75" customHeight="1">
      <c r="A38288" s="7"/>
      <c r="B38288" s="7"/>
      <c r="M38288" s="9" t="s">
        <v>37</v>
      </c>
    </row>
    <row r="38289" ht="15.75" customHeight="1">
      <c r="A38289" s="7"/>
      <c r="B38289" s="7"/>
      <c r="M38289" s="9" t="s">
        <v>22</v>
      </c>
    </row>
    <row r="38290" ht="15.75" customHeight="1">
      <c r="A38290" s="7"/>
      <c r="B38290" s="7"/>
      <c r="M38290" s="9" t="s">
        <v>31</v>
      </c>
    </row>
    <row r="38291" ht="15.75" customHeight="1">
      <c r="A38291" s="7"/>
      <c r="B38291" s="7"/>
      <c r="M38291" s="9" t="s">
        <v>35</v>
      </c>
    </row>
    <row r="38292" ht="15.75" customHeight="1">
      <c r="A38292" s="7"/>
      <c r="B38292" s="7"/>
      <c r="M38292" s="9" t="s">
        <v>38</v>
      </c>
    </row>
    <row r="38293" ht="15.75" customHeight="1">
      <c r="A38293" s="7"/>
      <c r="B38293" s="7"/>
      <c r="M38293" s="9" t="s">
        <v>30</v>
      </c>
    </row>
    <row r="38294" ht="15.75" customHeight="1">
      <c r="A38294" s="7"/>
      <c r="B38294" s="7"/>
      <c r="M38294" s="9" t="s">
        <v>25</v>
      </c>
    </row>
    <row r="38295" ht="15.75" customHeight="1">
      <c r="A38295" s="7"/>
      <c r="B38295" s="7"/>
      <c r="M38295" s="9" t="s">
        <v>26</v>
      </c>
    </row>
    <row r="38296" ht="15.75" customHeight="1">
      <c r="A38296" s="7"/>
      <c r="B38296" s="7"/>
      <c r="M38296" s="9" t="s">
        <v>44</v>
      </c>
    </row>
    <row r="38297" ht="15.75" customHeight="1">
      <c r="A38297" s="7"/>
      <c r="B38297" s="7"/>
      <c r="M38297" s="9" t="s">
        <v>24</v>
      </c>
    </row>
    <row r="38298" ht="15.75" customHeight="1">
      <c r="A38298" s="7"/>
      <c r="B38298" s="7"/>
      <c r="M38298" s="9" t="s">
        <v>20</v>
      </c>
    </row>
    <row r="38299" ht="15.75" customHeight="1">
      <c r="A38299" s="7"/>
      <c r="B38299" s="7"/>
      <c r="M38299" s="9" t="s">
        <v>21</v>
      </c>
    </row>
    <row r="38300" ht="15.75" customHeight="1">
      <c r="A38300" s="7"/>
      <c r="B38300" s="7"/>
      <c r="M38300" s="9" t="s">
        <v>22</v>
      </c>
    </row>
    <row r="38301" ht="15.75" customHeight="1">
      <c r="A38301" s="7"/>
      <c r="B38301" s="7"/>
      <c r="M38301" s="9" t="s">
        <v>32</v>
      </c>
    </row>
    <row r="38302" ht="15.75" customHeight="1">
      <c r="A38302" s="7"/>
      <c r="B38302" s="7"/>
      <c r="M38302" s="9" t="s">
        <v>27</v>
      </c>
    </row>
    <row r="38303" ht="15.75" customHeight="1">
      <c r="A38303" s="7"/>
      <c r="B38303" s="7"/>
      <c r="M38303" s="9" t="s">
        <v>23</v>
      </c>
    </row>
    <row r="38304" ht="15.75" customHeight="1">
      <c r="A38304" s="7"/>
      <c r="B38304" s="7"/>
      <c r="M38304" s="9" t="s">
        <v>26</v>
      </c>
    </row>
    <row r="38305" ht="15.75" customHeight="1">
      <c r="A38305" s="7"/>
      <c r="B38305" s="7"/>
      <c r="M38305" s="9" t="s">
        <v>22</v>
      </c>
    </row>
    <row r="38306" ht="15.75" customHeight="1">
      <c r="A38306" s="7"/>
      <c r="B38306" s="7"/>
      <c r="M38306" s="9" t="s">
        <v>27</v>
      </c>
    </row>
    <row r="38307" ht="15.75" customHeight="1">
      <c r="A38307" s="7"/>
      <c r="B38307" s="7"/>
      <c r="M38307" s="9" t="s">
        <v>25</v>
      </c>
    </row>
    <row r="38308" ht="15.75" customHeight="1">
      <c r="A38308" s="7"/>
      <c r="B38308" s="7"/>
      <c r="M38308" s="9" t="s">
        <v>23</v>
      </c>
    </row>
    <row r="38309" ht="15.75" customHeight="1">
      <c r="A38309" s="7"/>
      <c r="B38309" s="7"/>
      <c r="M38309" s="9" t="s">
        <v>37</v>
      </c>
    </row>
    <row r="38310" ht="15.75" customHeight="1">
      <c r="A38310" s="7"/>
      <c r="B38310" s="7"/>
      <c r="M38310" s="9" t="s">
        <v>22</v>
      </c>
    </row>
    <row r="38311" ht="15.75" customHeight="1">
      <c r="A38311" s="7"/>
      <c r="B38311" s="7"/>
      <c r="M38311" s="9" t="s">
        <v>29</v>
      </c>
    </row>
    <row r="38312" ht="15.75" customHeight="1">
      <c r="A38312" s="7"/>
      <c r="B38312" s="7"/>
      <c r="M38312" s="9" t="s">
        <v>31</v>
      </c>
    </row>
    <row r="38313" ht="15.75" customHeight="1">
      <c r="A38313" s="7"/>
      <c r="B38313" s="7"/>
      <c r="M38313" s="9" t="s">
        <v>38</v>
      </c>
    </row>
    <row r="38314" ht="15.75" customHeight="1">
      <c r="A38314" s="7"/>
      <c r="B38314" s="7"/>
      <c r="M38314" s="9" t="s">
        <v>30</v>
      </c>
    </row>
    <row r="38315" ht="15.75" customHeight="1">
      <c r="A38315" s="7"/>
      <c r="B38315" s="7"/>
      <c r="M38315" s="9" t="s">
        <v>25</v>
      </c>
    </row>
    <row r="38316" ht="15.75" customHeight="1">
      <c r="A38316" s="7"/>
      <c r="B38316" s="7"/>
      <c r="M38316" s="9" t="s">
        <v>43</v>
      </c>
    </row>
    <row r="38317" ht="15.75" customHeight="1">
      <c r="A38317" s="7"/>
      <c r="B38317" s="7"/>
      <c r="M38317" s="9" t="s">
        <v>24</v>
      </c>
    </row>
    <row r="38318" ht="15.75" customHeight="1">
      <c r="A38318" s="7"/>
      <c r="B38318" s="7"/>
      <c r="M38318" s="9" t="s">
        <v>20</v>
      </c>
    </row>
    <row r="38319" ht="15.75" customHeight="1">
      <c r="A38319" s="7"/>
      <c r="B38319" s="7"/>
      <c r="M38319" s="9" t="s">
        <v>21</v>
      </c>
    </row>
    <row r="38320" ht="15.75" customHeight="1">
      <c r="A38320" s="7"/>
      <c r="B38320" s="7"/>
      <c r="M38320" s="9" t="s">
        <v>22</v>
      </c>
    </row>
    <row r="38321" ht="15.75" customHeight="1">
      <c r="A38321" s="7"/>
      <c r="B38321" s="7"/>
      <c r="M38321" s="9" t="s">
        <v>27</v>
      </c>
    </row>
    <row r="38322" ht="15.75" customHeight="1">
      <c r="A38322" s="7"/>
      <c r="B38322" s="7"/>
      <c r="M38322" s="9" t="s">
        <v>23</v>
      </c>
    </row>
    <row r="38323" ht="15.75" customHeight="1">
      <c r="A38323" s="7"/>
      <c r="B38323" s="7"/>
      <c r="M38323" s="9" t="s">
        <v>24</v>
      </c>
    </row>
    <row r="38324" ht="15.75" customHeight="1">
      <c r="A38324" s="7"/>
      <c r="B38324" s="7"/>
      <c r="M38324" s="9" t="s">
        <v>20</v>
      </c>
    </row>
    <row r="38325" ht="15.75" customHeight="1">
      <c r="A38325" s="7"/>
      <c r="B38325" s="7"/>
      <c r="M38325" s="9" t="s">
        <v>21</v>
      </c>
    </row>
    <row r="38326" ht="15.75" customHeight="1">
      <c r="A38326" s="7"/>
      <c r="B38326" s="7"/>
      <c r="M38326" s="9" t="s">
        <v>22</v>
      </c>
    </row>
    <row r="38327" ht="15.75" customHeight="1">
      <c r="A38327" s="7"/>
      <c r="B38327" s="7"/>
      <c r="M38327" s="9" t="s">
        <v>33</v>
      </c>
    </row>
    <row r="38328" ht="15.75" customHeight="1">
      <c r="A38328" s="7"/>
      <c r="B38328" s="7"/>
      <c r="M38328" s="9" t="s">
        <v>24</v>
      </c>
    </row>
    <row r="38329" ht="15.75" customHeight="1">
      <c r="A38329" s="7"/>
      <c r="B38329" s="7"/>
      <c r="M38329" s="9" t="s">
        <v>37</v>
      </c>
    </row>
    <row r="38330" ht="15.75" customHeight="1">
      <c r="A38330" s="7"/>
      <c r="B38330" s="7"/>
      <c r="M38330" s="9" t="s">
        <v>22</v>
      </c>
    </row>
    <row r="38331" ht="15.75" customHeight="1">
      <c r="A38331" s="7"/>
      <c r="B38331" s="7"/>
      <c r="M38331" s="9" t="s">
        <v>30</v>
      </c>
    </row>
    <row r="38332" ht="15.75" customHeight="1">
      <c r="A38332" s="7"/>
      <c r="B38332" s="7"/>
      <c r="M38332" s="9" t="s">
        <v>24</v>
      </c>
    </row>
    <row r="38333" ht="15.75" customHeight="1">
      <c r="A38333" s="7"/>
      <c r="B38333" s="7"/>
      <c r="M38333" s="9" t="s">
        <v>21</v>
      </c>
    </row>
    <row r="38334" ht="15.75" customHeight="1">
      <c r="A38334" s="7"/>
      <c r="B38334" s="7"/>
      <c r="M38334" s="9" t="s">
        <v>22</v>
      </c>
    </row>
    <row r="38335" ht="15.75" customHeight="1">
      <c r="A38335" s="7"/>
      <c r="B38335" s="7"/>
      <c r="M38335" s="9" t="s">
        <v>29</v>
      </c>
    </row>
    <row r="38336" ht="15.75" customHeight="1">
      <c r="A38336" s="7"/>
      <c r="B38336" s="7"/>
      <c r="M38336" s="9" t="s">
        <v>27</v>
      </c>
    </row>
    <row r="38337" ht="15.75" customHeight="1">
      <c r="A38337" s="7"/>
      <c r="B38337" s="7"/>
      <c r="M38337" s="9" t="s">
        <v>30</v>
      </c>
    </row>
    <row r="38338" ht="15.75" customHeight="1">
      <c r="A38338" s="7"/>
      <c r="B38338" s="7"/>
      <c r="M38338" s="9" t="s">
        <v>25</v>
      </c>
    </row>
    <row r="38339" ht="15.75" customHeight="1">
      <c r="A38339" s="7"/>
      <c r="B38339" s="7"/>
      <c r="M38339" s="9" t="s">
        <v>20</v>
      </c>
    </row>
    <row r="38340" ht="15.75" customHeight="1">
      <c r="A38340" s="7"/>
      <c r="B38340" s="7"/>
      <c r="M38340" s="9" t="s">
        <v>39</v>
      </c>
    </row>
    <row r="38341" ht="15.75" customHeight="1">
      <c r="A38341" s="7"/>
      <c r="B38341" s="7"/>
      <c r="M38341" s="9" t="s">
        <v>22</v>
      </c>
    </row>
    <row r="38342" ht="15.75" customHeight="1">
      <c r="A38342" s="7"/>
      <c r="B38342" s="7"/>
      <c r="M38342" s="9" t="s">
        <v>30</v>
      </c>
    </row>
    <row r="38343" ht="15.75" customHeight="1">
      <c r="A38343" s="7"/>
      <c r="B38343" s="7"/>
      <c r="M38343" s="9" t="s">
        <v>24</v>
      </c>
    </row>
    <row r="38344" ht="15.75" customHeight="1">
      <c r="A38344" s="7"/>
      <c r="B38344" s="7"/>
      <c r="M38344" s="9" t="s">
        <v>21</v>
      </c>
    </row>
    <row r="38345" ht="15.75" customHeight="1">
      <c r="A38345" s="7"/>
      <c r="B38345" s="7"/>
      <c r="M38345" s="9" t="s">
        <v>37</v>
      </c>
    </row>
    <row r="38346" ht="15.75" customHeight="1">
      <c r="A38346" s="7"/>
      <c r="B38346" s="7"/>
      <c r="M38346" s="9" t="s">
        <v>32</v>
      </c>
    </row>
    <row r="38347" ht="15.75" customHeight="1">
      <c r="A38347" s="7"/>
      <c r="B38347" s="7"/>
      <c r="M38347" s="9" t="s">
        <v>35</v>
      </c>
    </row>
    <row r="38348" ht="15.75" customHeight="1">
      <c r="A38348" s="7"/>
      <c r="B38348" s="7"/>
      <c r="M38348" s="9" t="s">
        <v>36</v>
      </c>
    </row>
    <row r="38349" ht="15.75" customHeight="1">
      <c r="A38349" s="7"/>
      <c r="B38349" s="7"/>
      <c r="M38349" s="9" t="s">
        <v>22</v>
      </c>
    </row>
    <row r="38350" ht="15.75" customHeight="1">
      <c r="A38350" s="7"/>
      <c r="B38350" s="7"/>
      <c r="M38350" s="9" t="s">
        <v>27</v>
      </c>
    </row>
    <row r="38351" ht="15.75" customHeight="1">
      <c r="A38351" s="7"/>
      <c r="B38351" s="7"/>
      <c r="M38351" s="9" t="s">
        <v>30</v>
      </c>
    </row>
    <row r="38352" ht="15.75" customHeight="1">
      <c r="A38352" s="7"/>
      <c r="B38352" s="7"/>
      <c r="M38352" s="9" t="s">
        <v>25</v>
      </c>
    </row>
    <row r="38353" ht="15.75" customHeight="1">
      <c r="A38353" s="7"/>
      <c r="B38353" s="7"/>
      <c r="M38353" s="9" t="s">
        <v>23</v>
      </c>
    </row>
    <row r="38354" ht="15.75" customHeight="1">
      <c r="A38354" s="7"/>
      <c r="B38354" s="7"/>
      <c r="M38354" s="9" t="s">
        <v>24</v>
      </c>
    </row>
    <row r="38355" ht="15.75" customHeight="1">
      <c r="A38355" s="7"/>
      <c r="B38355" s="7"/>
      <c r="M38355" s="9" t="s">
        <v>21</v>
      </c>
    </row>
    <row r="38356" ht="15.75" customHeight="1">
      <c r="A38356" s="7"/>
      <c r="B38356" s="7"/>
      <c r="M38356" s="9" t="s">
        <v>37</v>
      </c>
    </row>
    <row r="38357" ht="15.75" customHeight="1">
      <c r="A38357" s="7"/>
      <c r="B38357" s="7"/>
      <c r="M38357" s="9" t="s">
        <v>22</v>
      </c>
    </row>
    <row r="38358" ht="15.75" customHeight="1">
      <c r="A38358" s="7"/>
      <c r="B38358" s="7"/>
      <c r="M38358" s="9" t="s">
        <v>29</v>
      </c>
    </row>
    <row r="38359" ht="15.75" customHeight="1">
      <c r="A38359" s="7"/>
      <c r="B38359" s="7"/>
      <c r="M38359" s="9" t="s">
        <v>27</v>
      </c>
    </row>
    <row r="38360" ht="15.75" customHeight="1">
      <c r="A38360" s="7"/>
      <c r="B38360" s="7"/>
      <c r="M38360" s="9" t="s">
        <v>28</v>
      </c>
    </row>
    <row r="38361" ht="15.75" customHeight="1">
      <c r="A38361" s="7"/>
      <c r="B38361" s="7"/>
      <c r="M38361" s="9" t="s">
        <v>24</v>
      </c>
    </row>
    <row r="38362" ht="15.75" customHeight="1">
      <c r="A38362" s="7"/>
      <c r="B38362" s="7"/>
      <c r="M38362" s="9" t="s">
        <v>20</v>
      </c>
    </row>
    <row r="38363" ht="15.75" customHeight="1">
      <c r="A38363" s="7"/>
      <c r="B38363" s="7"/>
      <c r="M38363" s="9" t="s">
        <v>21</v>
      </c>
    </row>
    <row r="38364" ht="15.75" customHeight="1">
      <c r="A38364" s="7"/>
      <c r="B38364" s="7"/>
      <c r="M38364" s="9" t="s">
        <v>39</v>
      </c>
    </row>
    <row r="38365" ht="15.75" customHeight="1">
      <c r="A38365" s="7"/>
      <c r="B38365" s="7"/>
      <c r="M38365" s="9" t="s">
        <v>30</v>
      </c>
    </row>
    <row r="38366" ht="15.75" customHeight="1">
      <c r="A38366" s="7"/>
      <c r="B38366" s="7"/>
      <c r="M38366" s="9" t="s">
        <v>23</v>
      </c>
    </row>
    <row r="38367" ht="15.75" customHeight="1">
      <c r="A38367" s="7"/>
      <c r="B38367" s="7"/>
      <c r="M38367" s="9" t="s">
        <v>26</v>
      </c>
    </row>
    <row r="38368" ht="15.75" customHeight="1">
      <c r="A38368" s="7"/>
      <c r="B38368" s="7"/>
      <c r="M38368" s="9" t="s">
        <v>24</v>
      </c>
    </row>
    <row r="38369" ht="15.75" customHeight="1">
      <c r="A38369" s="7"/>
      <c r="B38369" s="7"/>
      <c r="M38369" s="9" t="s">
        <v>20</v>
      </c>
    </row>
    <row r="38370" ht="15.75" customHeight="1">
      <c r="A38370" s="7"/>
      <c r="B38370" s="7"/>
      <c r="M38370" s="9" t="s">
        <v>21</v>
      </c>
    </row>
    <row r="38371" ht="15.75" customHeight="1">
      <c r="A38371" s="7"/>
      <c r="B38371" s="7"/>
      <c r="M38371" s="9" t="s">
        <v>37</v>
      </c>
    </row>
    <row r="38372" ht="15.75" customHeight="1">
      <c r="A38372" s="7"/>
      <c r="B38372" s="7"/>
      <c r="M38372" s="9" t="s">
        <v>22</v>
      </c>
    </row>
    <row r="38373" ht="15.75" customHeight="1">
      <c r="A38373" s="7"/>
      <c r="B38373" s="7"/>
      <c r="M38373" s="9" t="s">
        <v>31</v>
      </c>
    </row>
    <row r="38374" ht="15.75" customHeight="1">
      <c r="A38374" s="7"/>
      <c r="B38374" s="7"/>
      <c r="M38374" s="9" t="s">
        <v>27</v>
      </c>
    </row>
    <row r="38375" ht="15.75" customHeight="1">
      <c r="A38375" s="7"/>
      <c r="B38375" s="7"/>
      <c r="M38375" s="9" t="s">
        <v>40</v>
      </c>
    </row>
    <row r="38376" ht="15.75" customHeight="1">
      <c r="A38376" s="7"/>
      <c r="B38376" s="7"/>
      <c r="M38376" s="9" t="s">
        <v>33</v>
      </c>
    </row>
    <row r="38377" ht="15.75" customHeight="1">
      <c r="A38377" s="7"/>
      <c r="B38377" s="7"/>
      <c r="M38377" s="9" t="s">
        <v>30</v>
      </c>
    </row>
    <row r="38378" ht="15.75" customHeight="1">
      <c r="A38378" s="7"/>
      <c r="B38378" s="7"/>
      <c r="M38378" s="9" t="s">
        <v>21</v>
      </c>
    </row>
    <row r="38379" ht="15.75" customHeight="1">
      <c r="A38379" s="7"/>
      <c r="B38379" s="7"/>
      <c r="M38379" s="9" t="s">
        <v>22</v>
      </c>
    </row>
    <row r="38380" ht="15.75" customHeight="1">
      <c r="A38380" s="7"/>
      <c r="B38380" s="7"/>
      <c r="M38380" s="9" t="s">
        <v>32</v>
      </c>
    </row>
    <row r="38381" ht="15.75" customHeight="1">
      <c r="A38381" s="7"/>
      <c r="B38381" s="7"/>
      <c r="M38381" s="9" t="s">
        <v>35</v>
      </c>
    </row>
    <row r="38382" ht="15.75" customHeight="1">
      <c r="A38382" s="7"/>
      <c r="B38382" s="7"/>
      <c r="M38382" s="9" t="s">
        <v>22</v>
      </c>
    </row>
    <row r="38383" ht="15.75" customHeight="1">
      <c r="A38383" s="7"/>
      <c r="B38383" s="7"/>
      <c r="M38383" s="9" t="s">
        <v>40</v>
      </c>
    </row>
    <row r="38384" ht="15.75" customHeight="1">
      <c r="A38384" s="7"/>
      <c r="B38384" s="7"/>
      <c r="M38384" s="9" t="s">
        <v>26</v>
      </c>
    </row>
    <row r="38385" ht="15.75" customHeight="1">
      <c r="A38385" s="7"/>
      <c r="B38385" s="7"/>
      <c r="M38385" s="9" t="s">
        <v>24</v>
      </c>
    </row>
    <row r="38386" ht="15.75" customHeight="1">
      <c r="A38386" s="7"/>
      <c r="B38386" s="7"/>
      <c r="M38386" s="9" t="s">
        <v>21</v>
      </c>
    </row>
    <row r="38387" ht="15.75" customHeight="1">
      <c r="A38387" s="7"/>
      <c r="B38387" s="7"/>
      <c r="M38387" s="9" t="s">
        <v>27</v>
      </c>
    </row>
    <row r="38388" ht="15.75" customHeight="1">
      <c r="A38388" s="7"/>
      <c r="B38388" s="7"/>
      <c r="M38388" s="9" t="s">
        <v>30</v>
      </c>
    </row>
    <row r="38389" ht="15.75" customHeight="1">
      <c r="A38389" s="7"/>
      <c r="B38389" s="7"/>
      <c r="M38389" s="9" t="s">
        <v>24</v>
      </c>
    </row>
    <row r="38390" ht="15.75" customHeight="1">
      <c r="A38390" s="7"/>
      <c r="B38390" s="7"/>
      <c r="M38390" s="9" t="s">
        <v>20</v>
      </c>
    </row>
    <row r="38391" ht="15.75" customHeight="1">
      <c r="A38391" s="7"/>
      <c r="B38391" s="7"/>
      <c r="M38391" s="9" t="s">
        <v>21</v>
      </c>
    </row>
    <row r="38392" ht="15.75" customHeight="1">
      <c r="A38392" s="7"/>
      <c r="B38392" s="7"/>
      <c r="M38392" s="9" t="s">
        <v>37</v>
      </c>
    </row>
    <row r="38393" ht="15.75" customHeight="1">
      <c r="A38393" s="7"/>
      <c r="B38393" s="7"/>
      <c r="M38393" s="9" t="s">
        <v>22</v>
      </c>
    </row>
    <row r="38394" ht="15.75" customHeight="1">
      <c r="A38394" s="7"/>
      <c r="B38394" s="7"/>
      <c r="M38394" s="9" t="s">
        <v>31</v>
      </c>
    </row>
    <row r="38395" ht="15.75" customHeight="1">
      <c r="A38395" s="7"/>
      <c r="B38395" s="7"/>
      <c r="M38395" s="9" t="s">
        <v>33</v>
      </c>
    </row>
    <row r="38396" ht="15.75" customHeight="1">
      <c r="A38396" s="7"/>
      <c r="B38396" s="7"/>
      <c r="M38396" s="9" t="s">
        <v>47</v>
      </c>
    </row>
    <row r="38397" ht="15.75" customHeight="1">
      <c r="A38397" s="7"/>
      <c r="B38397" s="7"/>
      <c r="M38397" s="9" t="s">
        <v>24</v>
      </c>
    </row>
    <row r="38398" ht="15.75" customHeight="1">
      <c r="A38398" s="7"/>
      <c r="B38398" s="7"/>
      <c r="M38398" s="9" t="s">
        <v>20</v>
      </c>
    </row>
    <row r="38399" ht="15.75" customHeight="1">
      <c r="A38399" s="7"/>
      <c r="B38399" s="7"/>
      <c r="M38399" s="9" t="s">
        <v>37</v>
      </c>
    </row>
    <row r="38400" ht="15.75" customHeight="1">
      <c r="A38400" s="7"/>
      <c r="B38400" s="7"/>
      <c r="M38400" s="9" t="s">
        <v>22</v>
      </c>
    </row>
    <row r="38401" ht="15.75" customHeight="1">
      <c r="A38401" s="7"/>
      <c r="B38401" s="7"/>
      <c r="M38401" s="9" t="s">
        <v>27</v>
      </c>
    </row>
    <row r="38402" ht="15.75" customHeight="1">
      <c r="A38402" s="7"/>
      <c r="B38402" s="7"/>
      <c r="M38402" s="9" t="s">
        <v>33</v>
      </c>
    </row>
    <row r="38403" ht="15.75" customHeight="1">
      <c r="A38403" s="7"/>
      <c r="B38403" s="7"/>
      <c r="M38403" s="9" t="s">
        <v>23</v>
      </c>
    </row>
    <row r="38404" ht="15.75" customHeight="1">
      <c r="A38404" s="7"/>
      <c r="B38404" s="7"/>
      <c r="M38404" s="9" t="s">
        <v>30</v>
      </c>
    </row>
    <row r="38405" ht="15.75" customHeight="1">
      <c r="A38405" s="7"/>
      <c r="B38405" s="7"/>
      <c r="M38405" s="9" t="s">
        <v>24</v>
      </c>
    </row>
    <row r="38406" ht="15.75" customHeight="1">
      <c r="A38406" s="7"/>
      <c r="B38406" s="7"/>
      <c r="M38406" s="9" t="s">
        <v>20</v>
      </c>
    </row>
    <row r="38407" ht="15.75" customHeight="1">
      <c r="A38407" s="7"/>
      <c r="B38407" s="7"/>
      <c r="M38407" s="9" t="s">
        <v>21</v>
      </c>
    </row>
    <row r="38408" ht="15.75" customHeight="1">
      <c r="A38408" s="7"/>
      <c r="B38408" s="7"/>
      <c r="M38408" s="9" t="s">
        <v>22</v>
      </c>
    </row>
    <row r="38409" ht="15.75" customHeight="1">
      <c r="A38409" s="7"/>
      <c r="B38409" s="7"/>
      <c r="M38409" s="9" t="s">
        <v>27</v>
      </c>
    </row>
    <row r="38410" ht="15.75" customHeight="1">
      <c r="A38410" s="7"/>
      <c r="B38410" s="7"/>
      <c r="M38410" s="9" t="s">
        <v>30</v>
      </c>
    </row>
    <row r="38411" ht="15.75" customHeight="1">
      <c r="A38411" s="7"/>
      <c r="B38411" s="7"/>
      <c r="M38411" s="9" t="s">
        <v>25</v>
      </c>
    </row>
    <row r="38412" ht="15.75" customHeight="1">
      <c r="A38412" s="7"/>
      <c r="B38412" s="7"/>
      <c r="M38412" s="9" t="s">
        <v>23</v>
      </c>
    </row>
    <row r="38413" ht="15.75" customHeight="1">
      <c r="A38413" s="7"/>
      <c r="B38413" s="7"/>
      <c r="M38413" s="9" t="s">
        <v>36</v>
      </c>
    </row>
    <row r="38414" ht="15.75" customHeight="1">
      <c r="A38414" s="7"/>
      <c r="B38414" s="7"/>
      <c r="M38414" s="9" t="s">
        <v>24</v>
      </c>
    </row>
    <row r="38415" ht="15.75" customHeight="1">
      <c r="A38415" s="7"/>
      <c r="B38415" s="7"/>
      <c r="M38415" s="9" t="s">
        <v>20</v>
      </c>
    </row>
    <row r="38416" ht="15.75" customHeight="1">
      <c r="A38416" s="7"/>
      <c r="B38416" s="7"/>
      <c r="M38416" s="9" t="s">
        <v>21</v>
      </c>
    </row>
    <row r="38417" ht="15.75" customHeight="1">
      <c r="A38417" s="7"/>
      <c r="B38417" s="7"/>
      <c r="M38417" s="9" t="s">
        <v>39</v>
      </c>
    </row>
    <row r="38418" ht="15.75" customHeight="1">
      <c r="A38418" s="7"/>
      <c r="B38418" s="7"/>
      <c r="M38418" s="9" t="s">
        <v>37</v>
      </c>
    </row>
    <row r="38419" ht="15.75" customHeight="1">
      <c r="A38419" s="7"/>
      <c r="B38419" s="7"/>
      <c r="M38419" s="9" t="s">
        <v>22</v>
      </c>
    </row>
    <row r="38420" ht="15.75" customHeight="1">
      <c r="A38420" s="7"/>
      <c r="B38420" s="7"/>
      <c r="M38420" s="9" t="s">
        <v>27</v>
      </c>
    </row>
    <row r="38421" ht="15.75" customHeight="1">
      <c r="A38421" s="7"/>
      <c r="B38421" s="7"/>
      <c r="M38421" s="9" t="s">
        <v>25</v>
      </c>
    </row>
    <row r="38422" ht="15.75" customHeight="1">
      <c r="A38422" s="7"/>
      <c r="B38422" s="7"/>
      <c r="M38422" s="9" t="s">
        <v>23</v>
      </c>
    </row>
    <row r="38423" ht="15.75" customHeight="1">
      <c r="A38423" s="7"/>
      <c r="B38423" s="7"/>
      <c r="M38423" s="9" t="s">
        <v>26</v>
      </c>
    </row>
    <row r="38424" ht="15.75" customHeight="1">
      <c r="A38424" s="7"/>
      <c r="B38424" s="7"/>
      <c r="M38424" s="9" t="s">
        <v>24</v>
      </c>
    </row>
    <row r="38425" ht="15.75" customHeight="1">
      <c r="A38425" s="7"/>
      <c r="B38425" s="7"/>
      <c r="M38425" s="9" t="s">
        <v>21</v>
      </c>
    </row>
    <row r="38426" ht="15.75" customHeight="1">
      <c r="A38426" s="7"/>
      <c r="B38426" s="7"/>
      <c r="M38426" s="9" t="s">
        <v>37</v>
      </c>
    </row>
    <row r="38427" ht="15.75" customHeight="1">
      <c r="A38427" s="7"/>
      <c r="B38427" s="7"/>
      <c r="M38427" s="9" t="s">
        <v>47</v>
      </c>
    </row>
    <row r="38428" ht="15.75" customHeight="1">
      <c r="A38428" s="7"/>
      <c r="B38428" s="7"/>
      <c r="M38428" s="9" t="s">
        <v>24</v>
      </c>
    </row>
    <row r="38429" ht="15.75" customHeight="1">
      <c r="A38429" s="7"/>
      <c r="B38429" s="7"/>
      <c r="M38429" s="9" t="s">
        <v>20</v>
      </c>
    </row>
    <row r="38430" ht="15.75" customHeight="1">
      <c r="A38430" s="7"/>
      <c r="B38430" s="7"/>
      <c r="M38430" s="9" t="s">
        <v>21</v>
      </c>
    </row>
    <row r="38431" ht="15.75" customHeight="1">
      <c r="A38431" s="7"/>
      <c r="B38431" s="7"/>
      <c r="M38431" s="9" t="s">
        <v>30</v>
      </c>
    </row>
    <row r="38432" ht="15.75" customHeight="1">
      <c r="A38432" s="7"/>
      <c r="B38432" s="7"/>
      <c r="M38432" s="9" t="s">
        <v>26</v>
      </c>
    </row>
    <row r="38433" ht="15.75" customHeight="1">
      <c r="A38433" s="7"/>
      <c r="B38433" s="7"/>
      <c r="M38433" s="9" t="s">
        <v>24</v>
      </c>
    </row>
    <row r="38434" ht="15.75" customHeight="1">
      <c r="A38434" s="7"/>
      <c r="B38434" s="7"/>
      <c r="M38434" s="9" t="s">
        <v>20</v>
      </c>
    </row>
    <row r="38435" ht="15.75" customHeight="1">
      <c r="A38435" s="7"/>
      <c r="B38435" s="7"/>
      <c r="M38435" s="9" t="s">
        <v>21</v>
      </c>
    </row>
    <row r="38436" ht="15.75" customHeight="1">
      <c r="A38436" s="7"/>
      <c r="B38436" s="7"/>
      <c r="M38436" s="9" t="s">
        <v>27</v>
      </c>
    </row>
    <row r="38437" ht="15.75" customHeight="1">
      <c r="A38437" s="7"/>
      <c r="B38437" s="7"/>
      <c r="M38437" s="9" t="s">
        <v>28</v>
      </c>
    </row>
    <row r="38438" ht="15.75" customHeight="1">
      <c r="A38438" s="7"/>
      <c r="B38438" s="7"/>
      <c r="M38438" s="9" t="s">
        <v>34</v>
      </c>
    </row>
    <row r="38439" ht="15.75" customHeight="1">
      <c r="A38439" s="7"/>
      <c r="B38439" s="7"/>
      <c r="M38439" s="9" t="s">
        <v>36</v>
      </c>
    </row>
    <row r="38440" ht="15.75" customHeight="1">
      <c r="A38440" s="7"/>
      <c r="B38440" s="7"/>
      <c r="M38440" s="9" t="s">
        <v>20</v>
      </c>
    </row>
    <row r="38441" ht="15.75" customHeight="1">
      <c r="A38441" s="7"/>
      <c r="B38441" s="7"/>
      <c r="M38441" s="9" t="s">
        <v>39</v>
      </c>
    </row>
    <row r="38442" ht="15.75" customHeight="1">
      <c r="A38442" s="7"/>
      <c r="B38442" s="7"/>
      <c r="M38442" s="9" t="s">
        <v>23</v>
      </c>
    </row>
    <row r="38443" ht="15.75" customHeight="1">
      <c r="A38443" s="7"/>
      <c r="B38443" s="7"/>
      <c r="M38443" s="9" t="s">
        <v>24</v>
      </c>
    </row>
    <row r="38444" ht="15.75" customHeight="1">
      <c r="A38444" s="7"/>
      <c r="B38444" s="7"/>
      <c r="M38444" s="9" t="s">
        <v>20</v>
      </c>
    </row>
    <row r="38445" ht="15.75" customHeight="1">
      <c r="A38445" s="7"/>
      <c r="B38445" s="7"/>
      <c r="M38445" s="9" t="s">
        <v>21</v>
      </c>
    </row>
    <row r="38446" ht="15.75" customHeight="1">
      <c r="A38446" s="7"/>
      <c r="B38446" s="7"/>
      <c r="M38446" s="9" t="s">
        <v>27</v>
      </c>
    </row>
    <row r="38447" ht="15.75" customHeight="1">
      <c r="A38447" s="7"/>
      <c r="B38447" s="7"/>
      <c r="M38447" s="9" t="s">
        <v>26</v>
      </c>
    </row>
    <row r="38448" ht="15.75" customHeight="1">
      <c r="A38448" s="7"/>
      <c r="B38448" s="7"/>
      <c r="M38448" s="9" t="s">
        <v>24</v>
      </c>
    </row>
    <row r="38449" ht="15.75" customHeight="1">
      <c r="A38449" s="7"/>
      <c r="B38449" s="7"/>
      <c r="M38449" s="9" t="s">
        <v>21</v>
      </c>
    </row>
    <row r="38450" ht="15.75" customHeight="1">
      <c r="A38450" s="7"/>
      <c r="B38450" s="7"/>
      <c r="M38450" s="9" t="s">
        <v>26</v>
      </c>
    </row>
    <row r="38451" ht="15.75" customHeight="1">
      <c r="A38451" s="7"/>
      <c r="B38451" s="7"/>
      <c r="M38451" s="9" t="s">
        <v>24</v>
      </c>
    </row>
    <row r="38452" ht="15.75" customHeight="1">
      <c r="A38452" s="7"/>
      <c r="B38452" s="7"/>
      <c r="M38452" s="9" t="s">
        <v>21</v>
      </c>
    </row>
    <row r="38453" ht="15.75" customHeight="1">
      <c r="A38453" s="7"/>
      <c r="B38453" s="7"/>
      <c r="M38453" s="9" t="s">
        <v>37</v>
      </c>
    </row>
    <row r="38454" ht="15.75" customHeight="1">
      <c r="A38454" s="7"/>
      <c r="B38454" s="7"/>
      <c r="M38454" s="9" t="s">
        <v>22</v>
      </c>
    </row>
    <row r="38455" ht="15.75" customHeight="1">
      <c r="A38455" s="7"/>
      <c r="B38455" s="7"/>
      <c r="M38455" s="9" t="s">
        <v>27</v>
      </c>
    </row>
    <row r="38456" ht="15.75" customHeight="1">
      <c r="A38456" s="7"/>
      <c r="B38456" s="7"/>
      <c r="M38456" s="9" t="s">
        <v>20</v>
      </c>
    </row>
    <row r="38457" ht="15.75" customHeight="1">
      <c r="A38457" s="7"/>
      <c r="B38457" s="7"/>
      <c r="M38457" s="9" t="s">
        <v>30</v>
      </c>
    </row>
    <row r="38458" ht="15.75" customHeight="1">
      <c r="A38458" s="7"/>
      <c r="B38458" s="7"/>
      <c r="M38458" s="9" t="s">
        <v>26</v>
      </c>
    </row>
    <row r="38459" ht="15.75" customHeight="1">
      <c r="A38459" s="7"/>
      <c r="B38459" s="7"/>
      <c r="M38459" s="9" t="s">
        <v>24</v>
      </c>
    </row>
    <row r="38460" ht="15.75" customHeight="1">
      <c r="A38460" s="7"/>
      <c r="B38460" s="7"/>
      <c r="M38460" s="9" t="s">
        <v>21</v>
      </c>
    </row>
    <row r="38461" ht="15.75" customHeight="1">
      <c r="A38461" s="7"/>
      <c r="B38461" s="7"/>
      <c r="M38461" s="9" t="s">
        <v>37</v>
      </c>
    </row>
    <row r="38462" ht="15.75" customHeight="1">
      <c r="A38462" s="7"/>
      <c r="B38462" s="7"/>
      <c r="M38462" s="9" t="s">
        <v>27</v>
      </c>
    </row>
    <row r="38463" ht="15.75" customHeight="1">
      <c r="A38463" s="7"/>
      <c r="B38463" s="7"/>
      <c r="M38463" s="9" t="s">
        <v>23</v>
      </c>
    </row>
    <row r="38464" ht="15.75" customHeight="1">
      <c r="A38464" s="7"/>
      <c r="B38464" s="7"/>
      <c r="M38464" s="9" t="s">
        <v>26</v>
      </c>
    </row>
    <row r="38465" ht="15.75" customHeight="1">
      <c r="A38465" s="7"/>
      <c r="B38465" s="7"/>
      <c r="M38465" s="9" t="s">
        <v>24</v>
      </c>
    </row>
    <row r="38466" ht="15.75" customHeight="1">
      <c r="A38466" s="7"/>
      <c r="B38466" s="7"/>
      <c r="M38466" s="9" t="s">
        <v>20</v>
      </c>
    </row>
    <row r="38467" ht="15.75" customHeight="1">
      <c r="A38467" s="7"/>
      <c r="B38467" s="7"/>
      <c r="M38467" s="9" t="s">
        <v>21</v>
      </c>
    </row>
    <row r="38468" ht="15.75" customHeight="1">
      <c r="A38468" s="7"/>
      <c r="B38468" s="7"/>
      <c r="M38468" s="9" t="s">
        <v>37</v>
      </c>
    </row>
    <row r="38469" ht="15.75" customHeight="1">
      <c r="A38469" s="7"/>
      <c r="B38469" s="7"/>
      <c r="M38469" s="9" t="s">
        <v>27</v>
      </c>
    </row>
    <row r="38470" ht="15.75" customHeight="1">
      <c r="A38470" s="7"/>
      <c r="B38470" s="7"/>
      <c r="M38470" s="9" t="s">
        <v>40</v>
      </c>
    </row>
    <row r="38471" ht="15.75" customHeight="1">
      <c r="A38471" s="7"/>
      <c r="B38471" s="7"/>
      <c r="M38471" s="9" t="s">
        <v>33</v>
      </c>
    </row>
    <row r="38472" ht="15.75" customHeight="1">
      <c r="A38472" s="7"/>
      <c r="B38472" s="7"/>
      <c r="M38472" s="9" t="s">
        <v>24</v>
      </c>
    </row>
    <row r="38473" ht="15.75" customHeight="1">
      <c r="A38473" s="7"/>
      <c r="B38473" s="7"/>
      <c r="M38473" s="9" t="s">
        <v>20</v>
      </c>
    </row>
    <row r="38474" ht="15.75" customHeight="1">
      <c r="A38474" s="7"/>
      <c r="B38474" s="7"/>
      <c r="M38474" s="9" t="s">
        <v>21</v>
      </c>
    </row>
    <row r="38475" ht="15.75" customHeight="1">
      <c r="A38475" s="7"/>
      <c r="B38475" s="7"/>
      <c r="M38475" s="9" t="s">
        <v>38</v>
      </c>
    </row>
    <row r="38476" ht="15.75" customHeight="1">
      <c r="A38476" s="7"/>
      <c r="B38476" s="7"/>
      <c r="M38476" s="9" t="s">
        <v>25</v>
      </c>
    </row>
    <row r="38477" ht="15.75" customHeight="1">
      <c r="A38477" s="7"/>
      <c r="B38477" s="7"/>
      <c r="M38477" s="9" t="s">
        <v>23</v>
      </c>
    </row>
    <row r="38478" ht="15.75" customHeight="1">
      <c r="A38478" s="7"/>
      <c r="B38478" s="7"/>
      <c r="M38478" s="9" t="s">
        <v>20</v>
      </c>
    </row>
    <row r="38479" ht="15.75" customHeight="1">
      <c r="A38479" s="7"/>
      <c r="B38479" s="7"/>
      <c r="M38479" s="9" t="s">
        <v>35</v>
      </c>
    </row>
    <row r="38480" ht="15.75" customHeight="1">
      <c r="A38480" s="7"/>
      <c r="B38480" s="7"/>
      <c r="M38480" s="9" t="s">
        <v>30</v>
      </c>
    </row>
    <row r="38481" ht="15.75" customHeight="1">
      <c r="A38481" s="7"/>
      <c r="B38481" s="7"/>
      <c r="M38481" s="9" t="s">
        <v>20</v>
      </c>
    </row>
    <row r="38482" ht="15.75" customHeight="1">
      <c r="A38482" s="7"/>
      <c r="B38482" s="7"/>
      <c r="M38482" s="9" t="s">
        <v>21</v>
      </c>
    </row>
    <row r="38483" ht="15.75" customHeight="1">
      <c r="A38483" s="7"/>
      <c r="B38483" s="7"/>
      <c r="M38483" s="9" t="s">
        <v>35</v>
      </c>
    </row>
    <row r="38484" ht="15.75" customHeight="1">
      <c r="A38484" s="7"/>
      <c r="B38484" s="7"/>
      <c r="M38484" s="9" t="s">
        <v>23</v>
      </c>
    </row>
    <row r="38485" ht="15.75" customHeight="1">
      <c r="A38485" s="7"/>
      <c r="B38485" s="7"/>
      <c r="M38485" s="9" t="s">
        <v>26</v>
      </c>
    </row>
    <row r="38486" ht="15.75" customHeight="1">
      <c r="A38486" s="7"/>
      <c r="B38486" s="7"/>
      <c r="M38486" s="9" t="s">
        <v>31</v>
      </c>
    </row>
    <row r="38487" ht="15.75" customHeight="1">
      <c r="A38487" s="7"/>
      <c r="B38487" s="7"/>
      <c r="M38487" s="9" t="s">
        <v>27</v>
      </c>
    </row>
    <row r="38488" ht="15.75" customHeight="1">
      <c r="A38488" s="7"/>
      <c r="B38488" s="7"/>
      <c r="M38488" s="9" t="s">
        <v>30</v>
      </c>
    </row>
    <row r="38489" ht="15.75" customHeight="1">
      <c r="A38489" s="7"/>
      <c r="B38489" s="7"/>
      <c r="M38489" s="9" t="s">
        <v>26</v>
      </c>
    </row>
    <row r="38490" ht="15.75" customHeight="1">
      <c r="A38490" s="7"/>
      <c r="B38490" s="7"/>
      <c r="M38490" s="9" t="s">
        <v>24</v>
      </c>
    </row>
    <row r="38491" ht="15.75" customHeight="1">
      <c r="A38491" s="7"/>
      <c r="B38491" s="7"/>
      <c r="M38491" s="9" t="s">
        <v>21</v>
      </c>
    </row>
    <row r="38492" ht="15.75" customHeight="1">
      <c r="A38492" s="7"/>
      <c r="B38492" s="7"/>
      <c r="M38492" s="9" t="s">
        <v>27</v>
      </c>
    </row>
    <row r="38493" ht="15.75" customHeight="1">
      <c r="A38493" s="7"/>
      <c r="B38493" s="7"/>
      <c r="M38493" s="9" t="s">
        <v>28</v>
      </c>
    </row>
    <row r="38494" ht="15.75" customHeight="1">
      <c r="A38494" s="7"/>
      <c r="B38494" s="7"/>
      <c r="M38494" s="9" t="s">
        <v>30</v>
      </c>
    </row>
    <row r="38495" ht="15.75" customHeight="1">
      <c r="A38495" s="7"/>
      <c r="B38495" s="7"/>
      <c r="M38495" s="9" t="s">
        <v>26</v>
      </c>
    </row>
    <row r="38496" ht="15.75" customHeight="1">
      <c r="A38496" s="7"/>
      <c r="B38496" s="7"/>
      <c r="M38496" s="9" t="s">
        <v>27</v>
      </c>
    </row>
    <row r="38497" ht="15.75" customHeight="1">
      <c r="A38497" s="7"/>
      <c r="B38497" s="7"/>
      <c r="M38497" s="9" t="s">
        <v>23</v>
      </c>
    </row>
    <row r="38498" ht="15.75" customHeight="1">
      <c r="A38498" s="7"/>
      <c r="B38498" s="7"/>
      <c r="M38498" s="9" t="s">
        <v>22</v>
      </c>
    </row>
    <row r="38499" ht="15.75" customHeight="1">
      <c r="A38499" s="7"/>
      <c r="B38499" s="7"/>
      <c r="M38499" s="9" t="s">
        <v>35</v>
      </c>
    </row>
    <row r="38500" ht="15.75" customHeight="1">
      <c r="A38500" s="7"/>
      <c r="B38500" s="7"/>
      <c r="M38500" s="9" t="s">
        <v>25</v>
      </c>
    </row>
    <row r="38501" ht="15.75" customHeight="1">
      <c r="A38501" s="7"/>
      <c r="B38501" s="7"/>
      <c r="M38501" s="9" t="s">
        <v>27</v>
      </c>
    </row>
    <row r="38502" ht="15.75" customHeight="1">
      <c r="A38502" s="7"/>
      <c r="B38502" s="7"/>
      <c r="M38502" s="9" t="s">
        <v>28</v>
      </c>
    </row>
    <row r="38503" ht="15.75" customHeight="1">
      <c r="A38503" s="7"/>
      <c r="B38503" s="7"/>
      <c r="M38503" s="9" t="s">
        <v>24</v>
      </c>
    </row>
    <row r="38504" ht="15.75" customHeight="1">
      <c r="A38504" s="7"/>
      <c r="B38504" s="7"/>
      <c r="M38504" s="9" t="s">
        <v>21</v>
      </c>
    </row>
    <row r="38505" ht="15.75" customHeight="1">
      <c r="A38505" s="7"/>
      <c r="B38505" s="7"/>
      <c r="M38505" s="9" t="s">
        <v>22</v>
      </c>
    </row>
    <row r="38506" ht="15.75" customHeight="1">
      <c r="A38506" s="7"/>
      <c r="B38506" s="7"/>
      <c r="M38506" s="9" t="s">
        <v>24</v>
      </c>
    </row>
    <row r="38507" ht="15.75" customHeight="1">
      <c r="A38507" s="7"/>
      <c r="B38507" s="7"/>
      <c r="M38507" s="9" t="s">
        <v>21</v>
      </c>
    </row>
    <row r="38508" ht="15.75" customHeight="1">
      <c r="A38508" s="7"/>
      <c r="B38508" s="7"/>
      <c r="M38508" s="9" t="s">
        <v>37</v>
      </c>
    </row>
    <row r="38509" ht="15.75" customHeight="1">
      <c r="A38509" s="7"/>
      <c r="B38509" s="7"/>
      <c r="M38509" s="9" t="s">
        <v>27</v>
      </c>
    </row>
    <row r="38510" ht="15.75" customHeight="1">
      <c r="A38510" s="7"/>
      <c r="B38510" s="7"/>
      <c r="M38510" s="9" t="s">
        <v>25</v>
      </c>
    </row>
    <row r="38511" ht="15.75" customHeight="1">
      <c r="A38511" s="7"/>
      <c r="B38511" s="7"/>
      <c r="M38511" s="9" t="s">
        <v>23</v>
      </c>
    </row>
    <row r="38512" ht="15.75" customHeight="1">
      <c r="A38512" s="7"/>
      <c r="B38512" s="7"/>
      <c r="M38512" s="9" t="s">
        <v>26</v>
      </c>
    </row>
    <row r="38513" ht="15.75" customHeight="1">
      <c r="A38513" s="7"/>
      <c r="B38513" s="7"/>
      <c r="M38513" s="9" t="s">
        <v>24</v>
      </c>
    </row>
    <row r="38514" ht="15.75" customHeight="1">
      <c r="A38514" s="7"/>
      <c r="B38514" s="7"/>
      <c r="M38514" s="9" t="s">
        <v>20</v>
      </c>
    </row>
    <row r="38515" ht="15.75" customHeight="1">
      <c r="A38515" s="7"/>
      <c r="B38515" s="7"/>
      <c r="M38515" s="9" t="s">
        <v>21</v>
      </c>
    </row>
    <row r="38516" ht="15.75" customHeight="1">
      <c r="A38516" s="7"/>
      <c r="B38516" s="7"/>
      <c r="M38516" s="9" t="s">
        <v>37</v>
      </c>
    </row>
    <row r="38517" ht="15.75" customHeight="1">
      <c r="A38517" s="7"/>
      <c r="B38517" s="7"/>
      <c r="M38517" s="9" t="s">
        <v>22</v>
      </c>
    </row>
    <row r="38518" ht="15.75" customHeight="1">
      <c r="A38518" s="7"/>
      <c r="B38518" s="7"/>
      <c r="M38518" s="9" t="s">
        <v>27</v>
      </c>
    </row>
    <row r="38519" ht="15.75" customHeight="1">
      <c r="A38519" s="7"/>
      <c r="B38519" s="7"/>
      <c r="M38519" s="9" t="s">
        <v>30</v>
      </c>
    </row>
    <row r="38520" ht="15.75" customHeight="1">
      <c r="A38520" s="7"/>
      <c r="B38520" s="7"/>
      <c r="M38520" s="9" t="s">
        <v>36</v>
      </c>
    </row>
    <row r="38521" ht="15.75" customHeight="1">
      <c r="A38521" s="7"/>
      <c r="B38521" s="7"/>
      <c r="M38521" s="9" t="s">
        <v>20</v>
      </c>
    </row>
    <row r="38522" ht="15.75" customHeight="1">
      <c r="A38522" s="7"/>
      <c r="B38522" s="7"/>
      <c r="M38522" s="9" t="s">
        <v>22</v>
      </c>
    </row>
    <row r="38523" ht="15.75" customHeight="1">
      <c r="A38523" s="7"/>
      <c r="B38523" s="7"/>
      <c r="M38523" s="9" t="s">
        <v>35</v>
      </c>
    </row>
    <row r="38524" ht="15.75" customHeight="1">
      <c r="A38524" s="7"/>
      <c r="B38524" s="7"/>
      <c r="M38524" s="9" t="s">
        <v>30</v>
      </c>
    </row>
    <row r="38525" ht="15.75" customHeight="1">
      <c r="A38525" s="7"/>
      <c r="B38525" s="7"/>
      <c r="M38525" s="9" t="s">
        <v>23</v>
      </c>
    </row>
    <row r="38526" ht="15.75" customHeight="1">
      <c r="A38526" s="7"/>
      <c r="B38526" s="7"/>
      <c r="M38526" s="9" t="s">
        <v>26</v>
      </c>
    </row>
    <row r="38527" ht="15.75" customHeight="1">
      <c r="A38527" s="7"/>
      <c r="B38527" s="7"/>
      <c r="M38527" s="9" t="s">
        <v>47</v>
      </c>
    </row>
    <row r="38528" ht="15.75" customHeight="1">
      <c r="A38528" s="7"/>
      <c r="B38528" s="7"/>
      <c r="M38528" s="9" t="s">
        <v>45</v>
      </c>
    </row>
    <row r="38529" ht="15.75" customHeight="1">
      <c r="A38529" s="7"/>
      <c r="B38529" s="7"/>
      <c r="M38529" s="9" t="s">
        <v>36</v>
      </c>
    </row>
    <row r="38530" ht="15.75" customHeight="1">
      <c r="A38530" s="7"/>
      <c r="B38530" s="7"/>
      <c r="M38530" s="9" t="s">
        <v>24</v>
      </c>
    </row>
    <row r="38531" ht="15.75" customHeight="1">
      <c r="A38531" s="7"/>
      <c r="B38531" s="7"/>
      <c r="M38531" s="9" t="s">
        <v>20</v>
      </c>
    </row>
    <row r="38532" ht="15.75" customHeight="1">
      <c r="A38532" s="7"/>
      <c r="B38532" s="7"/>
      <c r="M38532" s="9" t="s">
        <v>21</v>
      </c>
    </row>
    <row r="38533" ht="15.75" customHeight="1">
      <c r="A38533" s="7"/>
      <c r="B38533" s="7"/>
      <c r="M38533" s="9" t="s">
        <v>32</v>
      </c>
    </row>
    <row r="38534" ht="15.75" customHeight="1">
      <c r="A38534" s="7"/>
      <c r="B38534" s="7"/>
      <c r="M38534" s="9" t="s">
        <v>27</v>
      </c>
    </row>
    <row r="38535" ht="15.75" customHeight="1">
      <c r="A38535" s="7"/>
      <c r="B38535" s="7"/>
      <c r="M38535" s="9" t="s">
        <v>33</v>
      </c>
    </row>
    <row r="38536" ht="15.75" customHeight="1">
      <c r="A38536" s="7"/>
      <c r="B38536" s="7"/>
      <c r="M38536" s="9" t="s">
        <v>28</v>
      </c>
    </row>
    <row r="38537" ht="15.75" customHeight="1">
      <c r="A38537" s="7"/>
      <c r="B38537" s="7"/>
      <c r="M38537" s="9" t="s">
        <v>34</v>
      </c>
    </row>
    <row r="38538" ht="15.75" customHeight="1">
      <c r="A38538" s="7"/>
      <c r="B38538" s="7"/>
      <c r="M38538" s="9" t="s">
        <v>24</v>
      </c>
    </row>
    <row r="38539" ht="15.75" customHeight="1">
      <c r="A38539" s="7"/>
      <c r="B38539" s="7"/>
      <c r="M38539" s="9" t="s">
        <v>20</v>
      </c>
    </row>
    <row r="38540" ht="15.75" customHeight="1">
      <c r="A38540" s="7"/>
      <c r="B38540" s="7"/>
      <c r="M38540" s="9" t="s">
        <v>21</v>
      </c>
    </row>
    <row r="38541" ht="15.75" customHeight="1">
      <c r="A38541" s="7"/>
      <c r="B38541" s="7"/>
      <c r="M38541" s="9" t="s">
        <v>27</v>
      </c>
    </row>
    <row r="38542" ht="15.75" customHeight="1">
      <c r="A38542" s="7"/>
      <c r="B38542" s="7"/>
      <c r="M38542" s="9" t="s">
        <v>30</v>
      </c>
    </row>
    <row r="38543" ht="15.75" customHeight="1">
      <c r="A38543" s="7"/>
      <c r="B38543" s="7"/>
      <c r="M38543" s="9" t="s">
        <v>24</v>
      </c>
    </row>
    <row r="38544" ht="15.75" customHeight="1">
      <c r="A38544" s="7"/>
      <c r="B38544" s="7"/>
      <c r="M38544" s="9" t="s">
        <v>20</v>
      </c>
    </row>
    <row r="38545" ht="15.75" customHeight="1">
      <c r="A38545" s="7"/>
      <c r="B38545" s="7"/>
      <c r="M38545" s="9" t="s">
        <v>22</v>
      </c>
    </row>
    <row r="38546" ht="15.75" customHeight="1">
      <c r="A38546" s="7"/>
      <c r="B38546" s="7"/>
      <c r="M38546" s="9" t="s">
        <v>31</v>
      </c>
    </row>
    <row r="38547" ht="15.75" customHeight="1">
      <c r="A38547" s="7"/>
      <c r="B38547" s="7"/>
      <c r="M38547" s="9" t="s">
        <v>27</v>
      </c>
    </row>
    <row r="38548" ht="15.75" customHeight="1">
      <c r="A38548" s="7"/>
      <c r="B38548" s="7"/>
      <c r="M38548" s="9" t="s">
        <v>38</v>
      </c>
    </row>
    <row r="38549" ht="15.75" customHeight="1">
      <c r="A38549" s="7"/>
      <c r="B38549" s="7"/>
      <c r="M38549" s="9" t="s">
        <v>30</v>
      </c>
    </row>
    <row r="38550" ht="15.75" customHeight="1">
      <c r="A38550" s="7"/>
      <c r="B38550" s="7"/>
      <c r="M38550" s="9" t="s">
        <v>25</v>
      </c>
    </row>
    <row r="38551" ht="15.75" customHeight="1">
      <c r="A38551" s="7"/>
      <c r="B38551" s="7"/>
      <c r="M38551" s="9" t="s">
        <v>23</v>
      </c>
    </row>
    <row r="38552" ht="15.75" customHeight="1">
      <c r="A38552" s="7"/>
      <c r="B38552" s="7"/>
      <c r="M38552" s="9" t="s">
        <v>26</v>
      </c>
    </row>
    <row r="38553" ht="15.75" customHeight="1">
      <c r="A38553" s="7"/>
      <c r="B38553" s="7"/>
      <c r="M38553" s="9" t="s">
        <v>24</v>
      </c>
    </row>
    <row r="38554" ht="15.75" customHeight="1">
      <c r="A38554" s="7"/>
      <c r="B38554" s="7"/>
      <c r="M38554" s="9" t="s">
        <v>20</v>
      </c>
    </row>
    <row r="38555" ht="15.75" customHeight="1">
      <c r="A38555" s="7"/>
      <c r="B38555" s="7"/>
      <c r="M38555" s="9" t="s">
        <v>21</v>
      </c>
    </row>
    <row r="38556" ht="15.75" customHeight="1">
      <c r="A38556" s="7"/>
      <c r="B38556" s="7"/>
      <c r="M38556" s="9" t="s">
        <v>22</v>
      </c>
    </row>
    <row r="38557" ht="15.75" customHeight="1">
      <c r="A38557" s="7"/>
      <c r="B38557" s="7"/>
      <c r="M38557" s="9" t="s">
        <v>30</v>
      </c>
    </row>
    <row r="38558" ht="15.75" customHeight="1">
      <c r="A38558" s="7"/>
      <c r="B38558" s="7"/>
      <c r="M38558" s="9" t="s">
        <v>23</v>
      </c>
    </row>
    <row r="38559" ht="15.75" customHeight="1">
      <c r="A38559" s="7"/>
      <c r="B38559" s="7"/>
      <c r="M38559" s="9" t="s">
        <v>26</v>
      </c>
    </row>
    <row r="38560" ht="15.75" customHeight="1">
      <c r="A38560" s="7"/>
      <c r="B38560" s="7"/>
      <c r="M38560" s="9" t="s">
        <v>24</v>
      </c>
    </row>
    <row r="38561" ht="15.75" customHeight="1">
      <c r="A38561" s="7"/>
      <c r="B38561" s="7"/>
      <c r="M38561" s="9" t="s">
        <v>20</v>
      </c>
    </row>
    <row r="38562" ht="15.75" customHeight="1">
      <c r="A38562" s="7"/>
      <c r="B38562" s="7"/>
      <c r="M38562" s="9" t="s">
        <v>21</v>
      </c>
    </row>
    <row r="38563" ht="15.75" customHeight="1">
      <c r="A38563" s="7"/>
      <c r="B38563" s="7"/>
      <c r="M38563" s="9" t="s">
        <v>22</v>
      </c>
    </row>
    <row r="38564" ht="15.75" customHeight="1">
      <c r="A38564" s="7"/>
      <c r="B38564" s="7"/>
      <c r="M38564" s="9" t="s">
        <v>33</v>
      </c>
    </row>
    <row r="38565" ht="15.75" customHeight="1">
      <c r="A38565" s="7"/>
      <c r="B38565" s="7"/>
      <c r="M38565" s="9" t="s">
        <v>26</v>
      </c>
    </row>
    <row r="38566" ht="15.75" customHeight="1">
      <c r="A38566" s="7"/>
      <c r="B38566" s="7"/>
      <c r="M38566" s="9" t="s">
        <v>38</v>
      </c>
    </row>
    <row r="38567" ht="15.75" customHeight="1">
      <c r="A38567" s="7"/>
      <c r="B38567" s="7"/>
      <c r="M38567" s="9" t="s">
        <v>30</v>
      </c>
    </row>
    <row r="38568" ht="15.75" customHeight="1">
      <c r="A38568" s="7"/>
      <c r="B38568" s="7"/>
      <c r="M38568" s="9" t="s">
        <v>25</v>
      </c>
    </row>
    <row r="38569" ht="15.75" customHeight="1">
      <c r="A38569" s="7"/>
      <c r="B38569" s="7"/>
      <c r="M38569" s="9" t="s">
        <v>23</v>
      </c>
    </row>
    <row r="38570" ht="15.75" customHeight="1">
      <c r="A38570" s="7"/>
      <c r="B38570" s="7"/>
      <c r="M38570" s="9" t="s">
        <v>24</v>
      </c>
    </row>
    <row r="38571" ht="15.75" customHeight="1">
      <c r="A38571" s="7"/>
      <c r="B38571" s="7"/>
      <c r="M38571" s="9" t="s">
        <v>21</v>
      </c>
    </row>
    <row r="38572" ht="15.75" customHeight="1">
      <c r="A38572" s="7"/>
      <c r="B38572" s="7"/>
      <c r="M38572" s="9" t="s">
        <v>22</v>
      </c>
    </row>
    <row r="38573" ht="15.75" customHeight="1">
      <c r="A38573" s="7"/>
      <c r="B38573" s="7"/>
      <c r="M38573" s="9" t="s">
        <v>24</v>
      </c>
    </row>
    <row r="38574" ht="15.75" customHeight="1">
      <c r="A38574" s="7"/>
      <c r="B38574" s="7"/>
      <c r="M38574" s="9" t="s">
        <v>20</v>
      </c>
    </row>
    <row r="38575" ht="15.75" customHeight="1">
      <c r="A38575" s="7"/>
      <c r="B38575" s="7"/>
      <c r="M38575" s="9" t="s">
        <v>21</v>
      </c>
    </row>
    <row r="38576" ht="15.75" customHeight="1">
      <c r="A38576" s="7"/>
      <c r="B38576" s="7"/>
      <c r="M38576" s="9" t="s">
        <v>22</v>
      </c>
    </row>
    <row r="38577" ht="15.75" customHeight="1">
      <c r="A38577" s="7"/>
      <c r="B38577" s="7"/>
      <c r="M38577" s="9" t="s">
        <v>31</v>
      </c>
    </row>
    <row r="38578" ht="15.75" customHeight="1">
      <c r="A38578" s="7"/>
      <c r="B38578" s="7"/>
      <c r="M38578" s="9" t="s">
        <v>27</v>
      </c>
    </row>
    <row r="38579" ht="15.75" customHeight="1">
      <c r="A38579" s="7"/>
      <c r="B38579" s="7"/>
      <c r="M38579" s="9" t="s">
        <v>30</v>
      </c>
    </row>
    <row r="38580" ht="15.75" customHeight="1">
      <c r="A38580" s="7"/>
      <c r="B38580" s="7"/>
      <c r="M38580" s="9" t="s">
        <v>26</v>
      </c>
    </row>
    <row r="38581" ht="15.75" customHeight="1">
      <c r="A38581" s="7"/>
      <c r="B38581" s="7"/>
      <c r="M38581" s="9" t="s">
        <v>24</v>
      </c>
    </row>
    <row r="38582" ht="15.75" customHeight="1">
      <c r="A38582" s="7"/>
      <c r="B38582" s="7"/>
      <c r="M38582" s="9" t="s">
        <v>20</v>
      </c>
    </row>
    <row r="38583" ht="15.75" customHeight="1">
      <c r="A38583" s="7"/>
      <c r="B38583" s="7"/>
      <c r="M38583" s="9" t="s">
        <v>21</v>
      </c>
    </row>
    <row r="38584" ht="15.75" customHeight="1">
      <c r="A38584" s="7"/>
      <c r="B38584" s="7"/>
      <c r="M38584" s="9" t="s">
        <v>22</v>
      </c>
    </row>
    <row r="38585" ht="15.75" customHeight="1">
      <c r="A38585" s="7"/>
      <c r="B38585" s="7"/>
      <c r="M38585" s="9" t="s">
        <v>27</v>
      </c>
    </row>
    <row r="38586" ht="15.75" customHeight="1">
      <c r="A38586" s="7"/>
      <c r="B38586" s="7"/>
      <c r="M38586" s="9" t="s">
        <v>33</v>
      </c>
    </row>
    <row r="38587" ht="15.75" customHeight="1">
      <c r="A38587" s="7"/>
      <c r="B38587" s="7"/>
      <c r="M38587" s="9" t="s">
        <v>24</v>
      </c>
    </row>
    <row r="38588" ht="15.75" customHeight="1">
      <c r="A38588" s="7"/>
      <c r="B38588" s="7"/>
      <c r="M38588" s="9" t="s">
        <v>21</v>
      </c>
    </row>
    <row r="38589" ht="15.75" customHeight="1">
      <c r="A38589" s="7"/>
      <c r="B38589" s="7"/>
      <c r="M38589" s="9" t="s">
        <v>24</v>
      </c>
    </row>
    <row r="38590" ht="15.75" customHeight="1">
      <c r="A38590" s="7"/>
      <c r="B38590" s="7"/>
      <c r="M38590" s="9" t="s">
        <v>21</v>
      </c>
    </row>
    <row r="38591" ht="15.75" customHeight="1">
      <c r="A38591" s="7"/>
      <c r="B38591" s="7"/>
      <c r="M38591" s="9" t="s">
        <v>22</v>
      </c>
    </row>
    <row r="38592" ht="15.75" customHeight="1">
      <c r="A38592" s="7"/>
      <c r="B38592" s="7"/>
      <c r="M38592" s="9" t="s">
        <v>27</v>
      </c>
    </row>
    <row r="38593" ht="15.75" customHeight="1">
      <c r="A38593" s="7"/>
      <c r="B38593" s="7"/>
      <c r="M38593" s="9" t="s">
        <v>25</v>
      </c>
    </row>
    <row r="38594" ht="15.75" customHeight="1">
      <c r="A38594" s="7"/>
      <c r="B38594" s="7"/>
      <c r="M38594" s="9" t="s">
        <v>23</v>
      </c>
    </row>
    <row r="38595" ht="15.75" customHeight="1">
      <c r="A38595" s="7"/>
      <c r="B38595" s="7"/>
      <c r="M38595" s="9" t="s">
        <v>26</v>
      </c>
    </row>
    <row r="38596" ht="15.75" customHeight="1">
      <c r="A38596" s="7"/>
      <c r="B38596" s="7"/>
      <c r="M38596" s="9" t="s">
        <v>24</v>
      </c>
    </row>
    <row r="38597" ht="15.75" customHeight="1">
      <c r="A38597" s="7"/>
      <c r="B38597" s="7"/>
      <c r="M38597" s="9" t="s">
        <v>21</v>
      </c>
    </row>
    <row r="38598" ht="15.75" customHeight="1">
      <c r="A38598" s="7"/>
      <c r="B38598" s="7"/>
      <c r="M38598" s="9" t="s">
        <v>37</v>
      </c>
    </row>
    <row r="38599" ht="15.75" customHeight="1">
      <c r="A38599" s="7"/>
      <c r="B38599" s="7"/>
      <c r="M38599" s="9" t="s">
        <v>29</v>
      </c>
    </row>
    <row r="38600" ht="15.75" customHeight="1">
      <c r="A38600" s="7"/>
      <c r="B38600" s="7"/>
      <c r="M38600" s="9" t="s">
        <v>27</v>
      </c>
    </row>
    <row r="38601" ht="15.75" customHeight="1">
      <c r="A38601" s="7"/>
      <c r="B38601" s="7"/>
      <c r="M38601" s="9" t="s">
        <v>36</v>
      </c>
    </row>
    <row r="38602" ht="15.75" customHeight="1">
      <c r="A38602" s="7"/>
      <c r="B38602" s="7"/>
      <c r="M38602" s="9" t="s">
        <v>30</v>
      </c>
    </row>
    <row r="38603" ht="15.75" customHeight="1">
      <c r="A38603" s="7"/>
      <c r="B38603" s="7"/>
      <c r="M38603" s="9" t="s">
        <v>23</v>
      </c>
    </row>
    <row r="38604" ht="15.75" customHeight="1">
      <c r="A38604" s="7"/>
      <c r="B38604" s="7"/>
      <c r="M38604" s="9" t="s">
        <v>30</v>
      </c>
    </row>
    <row r="38605" ht="15.75" customHeight="1">
      <c r="A38605" s="7"/>
      <c r="B38605" s="7"/>
      <c r="M38605" s="9" t="s">
        <v>25</v>
      </c>
    </row>
    <row r="38606" ht="15.75" customHeight="1">
      <c r="A38606" s="7"/>
      <c r="B38606" s="7"/>
      <c r="M38606" s="9" t="s">
        <v>23</v>
      </c>
    </row>
    <row r="38607" ht="15.75" customHeight="1">
      <c r="A38607" s="7"/>
      <c r="B38607" s="7"/>
      <c r="M38607" s="9" t="s">
        <v>26</v>
      </c>
    </row>
    <row r="38608" ht="15.75" customHeight="1">
      <c r="A38608" s="7"/>
      <c r="B38608" s="7"/>
      <c r="M38608" s="9" t="s">
        <v>21</v>
      </c>
    </row>
    <row r="38609" ht="15.75" customHeight="1">
      <c r="A38609" s="7"/>
      <c r="B38609" s="7"/>
      <c r="M38609" s="9" t="s">
        <v>27</v>
      </c>
    </row>
    <row r="38610" ht="15.75" customHeight="1">
      <c r="A38610" s="7"/>
      <c r="B38610" s="7"/>
      <c r="M38610" s="9" t="s">
        <v>24</v>
      </c>
    </row>
    <row r="38611" ht="15.75" customHeight="1">
      <c r="A38611" s="7"/>
      <c r="B38611" s="7"/>
      <c r="M38611" s="9" t="s">
        <v>37</v>
      </c>
    </row>
    <row r="38612" ht="15.75" customHeight="1">
      <c r="A38612" s="7"/>
      <c r="B38612" s="7"/>
      <c r="M38612" s="9" t="s">
        <v>22</v>
      </c>
    </row>
    <row r="38613" ht="15.75" customHeight="1">
      <c r="A38613" s="7"/>
      <c r="B38613" s="7"/>
      <c r="M38613" s="9" t="s">
        <v>27</v>
      </c>
    </row>
    <row r="38614" ht="15.75" customHeight="1">
      <c r="A38614" s="7"/>
      <c r="B38614" s="7"/>
      <c r="M38614" s="9" t="s">
        <v>26</v>
      </c>
    </row>
    <row r="38615" ht="15.75" customHeight="1">
      <c r="A38615" s="7"/>
      <c r="B38615" s="7"/>
      <c r="M38615" s="9" t="s">
        <v>45</v>
      </c>
    </row>
    <row r="38616" ht="15.75" customHeight="1">
      <c r="A38616" s="7"/>
      <c r="B38616" s="7"/>
      <c r="M38616" s="9" t="s">
        <v>36</v>
      </c>
    </row>
    <row r="38617" ht="15.75" customHeight="1">
      <c r="A38617" s="7"/>
      <c r="B38617" s="7"/>
      <c r="M38617" s="9" t="s">
        <v>24</v>
      </c>
    </row>
    <row r="38618" ht="15.75" customHeight="1">
      <c r="A38618" s="7"/>
      <c r="B38618" s="7"/>
      <c r="M38618" s="9" t="s">
        <v>21</v>
      </c>
    </row>
    <row r="38619" ht="15.75" customHeight="1">
      <c r="A38619" s="7"/>
      <c r="B38619" s="7"/>
      <c r="M38619" s="9" t="s">
        <v>22</v>
      </c>
    </row>
    <row r="38620" ht="15.75" customHeight="1">
      <c r="A38620" s="7"/>
      <c r="B38620" s="7"/>
      <c r="M38620" s="9" t="s">
        <v>32</v>
      </c>
    </row>
    <row r="38621" ht="15.75" customHeight="1">
      <c r="A38621" s="7"/>
      <c r="B38621" s="7"/>
      <c r="M38621" s="9" t="s">
        <v>27</v>
      </c>
    </row>
    <row r="38622" ht="15.75" customHeight="1">
      <c r="A38622" s="7"/>
      <c r="B38622" s="7"/>
      <c r="M38622" s="9" t="s">
        <v>33</v>
      </c>
    </row>
    <row r="38623" ht="15.75" customHeight="1">
      <c r="A38623" s="7"/>
      <c r="B38623" s="7"/>
      <c r="M38623" s="9" t="s">
        <v>34</v>
      </c>
    </row>
    <row r="38624" ht="15.75" customHeight="1">
      <c r="A38624" s="7"/>
      <c r="B38624" s="7"/>
      <c r="M38624" s="9" t="s">
        <v>35</v>
      </c>
    </row>
    <row r="38625" ht="15.75" customHeight="1">
      <c r="A38625" s="7"/>
      <c r="B38625" s="7"/>
      <c r="M38625" s="9" t="s">
        <v>25</v>
      </c>
    </row>
    <row r="38626" ht="15.75" customHeight="1">
      <c r="A38626" s="7"/>
      <c r="B38626" s="7"/>
      <c r="M38626" s="9" t="s">
        <v>23</v>
      </c>
    </row>
    <row r="38627" ht="15.75" customHeight="1">
      <c r="A38627" s="7"/>
      <c r="B38627" s="7"/>
      <c r="M38627" s="9" t="s">
        <v>24</v>
      </c>
    </row>
    <row r="38628" ht="15.75" customHeight="1">
      <c r="A38628" s="7"/>
      <c r="B38628" s="7"/>
      <c r="M38628" s="9" t="s">
        <v>22</v>
      </c>
    </row>
    <row r="38629" ht="15.75" customHeight="1">
      <c r="A38629" s="7"/>
      <c r="B38629" s="7"/>
      <c r="M38629" s="9" t="s">
        <v>28</v>
      </c>
    </row>
    <row r="38630" ht="15.75" customHeight="1">
      <c r="A38630" s="7"/>
      <c r="B38630" s="7"/>
      <c r="M38630" s="9" t="s">
        <v>25</v>
      </c>
    </row>
    <row r="38631" ht="15.75" customHeight="1">
      <c r="A38631" s="7"/>
      <c r="B38631" s="7"/>
      <c r="M38631" s="9" t="s">
        <v>23</v>
      </c>
    </row>
    <row r="38632" ht="15.75" customHeight="1">
      <c r="A38632" s="7"/>
      <c r="B38632" s="7"/>
      <c r="M38632" s="9" t="s">
        <v>26</v>
      </c>
    </row>
    <row r="38633" ht="15.75" customHeight="1">
      <c r="A38633" s="7"/>
      <c r="B38633" s="7"/>
      <c r="M38633" s="9" t="s">
        <v>24</v>
      </c>
    </row>
    <row r="38634" ht="15.75" customHeight="1">
      <c r="A38634" s="7"/>
      <c r="B38634" s="7"/>
      <c r="M38634" s="9" t="s">
        <v>20</v>
      </c>
    </row>
    <row r="38635" ht="15.75" customHeight="1">
      <c r="A38635" s="7"/>
      <c r="B38635" s="7"/>
      <c r="M38635" s="9" t="s">
        <v>21</v>
      </c>
    </row>
    <row r="38636" ht="15.75" customHeight="1">
      <c r="A38636" s="7"/>
      <c r="B38636" s="7"/>
      <c r="M38636" s="9" t="s">
        <v>37</v>
      </c>
    </row>
    <row r="38637" ht="15.75" customHeight="1">
      <c r="A38637" s="7"/>
      <c r="B38637" s="7"/>
      <c r="M38637" s="9" t="s">
        <v>22</v>
      </c>
    </row>
    <row r="38638" ht="15.75" customHeight="1">
      <c r="A38638" s="7"/>
      <c r="B38638" s="7"/>
      <c r="M38638" s="9" t="s">
        <v>27</v>
      </c>
    </row>
    <row r="38639" ht="15.75" customHeight="1">
      <c r="A38639" s="7"/>
      <c r="B38639" s="7"/>
      <c r="M38639" s="9" t="s">
        <v>30</v>
      </c>
    </row>
    <row r="38640" ht="15.75" customHeight="1">
      <c r="A38640" s="7"/>
      <c r="B38640" s="7"/>
      <c r="M38640" s="9" t="s">
        <v>26</v>
      </c>
    </row>
    <row r="38641" ht="15.75" customHeight="1">
      <c r="A38641" s="7"/>
      <c r="B38641" s="7"/>
      <c r="M38641" s="9" t="s">
        <v>24</v>
      </c>
    </row>
    <row r="38642" ht="15.75" customHeight="1">
      <c r="A38642" s="7"/>
      <c r="B38642" s="7"/>
      <c r="M38642" s="9" t="s">
        <v>21</v>
      </c>
    </row>
    <row r="38643" ht="15.75" customHeight="1">
      <c r="A38643" s="7"/>
      <c r="B38643" s="7"/>
      <c r="M38643" s="9" t="s">
        <v>37</v>
      </c>
    </row>
    <row r="38644" ht="15.75" customHeight="1">
      <c r="A38644" s="7"/>
      <c r="B38644" s="7"/>
      <c r="M38644" s="9" t="s">
        <v>25</v>
      </c>
    </row>
    <row r="38645" ht="15.75" customHeight="1">
      <c r="A38645" s="7"/>
      <c r="B38645" s="7"/>
      <c r="M38645" s="9" t="s">
        <v>30</v>
      </c>
    </row>
    <row r="38646" ht="15.75" customHeight="1">
      <c r="A38646" s="7"/>
      <c r="B38646" s="7"/>
      <c r="M38646" s="9" t="s">
        <v>24</v>
      </c>
    </row>
    <row r="38647" ht="15.75" customHeight="1">
      <c r="A38647" s="7"/>
      <c r="B38647" s="7"/>
      <c r="M38647" s="9" t="s">
        <v>21</v>
      </c>
    </row>
    <row r="38648" ht="15.75" customHeight="1">
      <c r="A38648" s="7"/>
      <c r="B38648" s="7"/>
      <c r="M38648" s="9" t="s">
        <v>37</v>
      </c>
    </row>
    <row r="38649" ht="15.75" customHeight="1">
      <c r="A38649" s="7"/>
      <c r="B38649" s="7"/>
      <c r="M38649" s="9" t="s">
        <v>27</v>
      </c>
    </row>
    <row r="38650" ht="15.75" customHeight="1">
      <c r="A38650" s="7"/>
      <c r="B38650" s="7"/>
      <c r="M38650" s="9" t="s">
        <v>30</v>
      </c>
    </row>
    <row r="38651" ht="15.75" customHeight="1">
      <c r="A38651" s="7"/>
      <c r="B38651" s="7"/>
      <c r="M38651" s="9" t="s">
        <v>24</v>
      </c>
    </row>
    <row r="38652" ht="15.75" customHeight="1">
      <c r="A38652" s="7"/>
      <c r="B38652" s="7"/>
      <c r="M38652" s="9" t="s">
        <v>20</v>
      </c>
    </row>
    <row r="38653" ht="15.75" customHeight="1">
      <c r="A38653" s="7"/>
      <c r="B38653" s="7"/>
      <c r="M38653" s="9" t="s">
        <v>21</v>
      </c>
    </row>
    <row r="38654" ht="15.75" customHeight="1">
      <c r="A38654" s="7"/>
      <c r="B38654" s="7"/>
      <c r="M38654" s="9" t="s">
        <v>22</v>
      </c>
    </row>
    <row r="38655" ht="15.75" customHeight="1">
      <c r="A38655" s="7"/>
      <c r="B38655" s="7"/>
      <c r="M38655" s="9" t="s">
        <v>33</v>
      </c>
    </row>
    <row r="38656" ht="15.75" customHeight="1">
      <c r="A38656" s="7"/>
      <c r="B38656" s="7"/>
      <c r="M38656" s="9" t="s">
        <v>23</v>
      </c>
    </row>
    <row r="38657" ht="15.75" customHeight="1">
      <c r="A38657" s="7"/>
      <c r="B38657" s="7"/>
      <c r="M38657" s="9" t="s">
        <v>26</v>
      </c>
    </row>
    <row r="38658" ht="15.75" customHeight="1">
      <c r="A38658" s="7"/>
      <c r="B38658" s="7"/>
      <c r="M38658" s="9" t="s">
        <v>45</v>
      </c>
    </row>
    <row r="38659" ht="15.75" customHeight="1">
      <c r="A38659" s="7"/>
      <c r="B38659" s="7"/>
      <c r="M38659" s="9" t="s">
        <v>24</v>
      </c>
    </row>
    <row r="38660" ht="15.75" customHeight="1">
      <c r="A38660" s="7"/>
      <c r="B38660" s="7"/>
      <c r="M38660" s="9" t="s">
        <v>21</v>
      </c>
    </row>
    <row r="38661" ht="15.75" customHeight="1">
      <c r="A38661" s="7"/>
      <c r="B38661" s="7"/>
      <c r="M38661" s="9" t="s">
        <v>27</v>
      </c>
    </row>
    <row r="38662" ht="15.75" customHeight="1">
      <c r="A38662" s="7"/>
      <c r="B38662" s="7"/>
      <c r="M38662" s="9" t="s">
        <v>24</v>
      </c>
    </row>
    <row r="38663" ht="15.75" customHeight="1">
      <c r="A38663" s="7"/>
      <c r="B38663" s="7"/>
      <c r="M38663" s="9" t="s">
        <v>21</v>
      </c>
    </row>
    <row r="38664" ht="15.75" customHeight="1">
      <c r="A38664" s="7"/>
      <c r="B38664" s="7"/>
      <c r="M38664" s="9" t="s">
        <v>39</v>
      </c>
    </row>
    <row r="38665" ht="15.75" customHeight="1">
      <c r="A38665" s="7"/>
      <c r="B38665" s="7"/>
      <c r="M38665" s="9" t="s">
        <v>21</v>
      </c>
    </row>
    <row r="38666" ht="15.75" customHeight="1">
      <c r="A38666" s="7"/>
      <c r="B38666" s="7"/>
      <c r="M38666" s="9" t="s">
        <v>20</v>
      </c>
    </row>
    <row r="38667" ht="15.75" customHeight="1">
      <c r="A38667" s="7"/>
      <c r="B38667" s="7"/>
      <c r="M38667" s="9" t="s">
        <v>22</v>
      </c>
    </row>
    <row r="38668" ht="15.75" customHeight="1">
      <c r="A38668" s="7"/>
      <c r="B38668" s="7"/>
      <c r="M38668" s="9" t="s">
        <v>27</v>
      </c>
    </row>
    <row r="38669" ht="15.75" customHeight="1">
      <c r="A38669" s="7"/>
      <c r="B38669" s="7"/>
      <c r="M38669" s="9" t="s">
        <v>30</v>
      </c>
    </row>
    <row r="38670" ht="15.75" customHeight="1">
      <c r="A38670" s="7"/>
      <c r="B38670" s="7"/>
      <c r="M38670" s="9" t="s">
        <v>24</v>
      </c>
    </row>
    <row r="38671" ht="15.75" customHeight="1">
      <c r="A38671" s="7"/>
      <c r="B38671" s="7"/>
      <c r="M38671" s="9" t="s">
        <v>21</v>
      </c>
    </row>
    <row r="38672" ht="15.75" customHeight="1">
      <c r="A38672" s="7"/>
      <c r="B38672" s="7"/>
      <c r="M38672" s="9" t="s">
        <v>37</v>
      </c>
    </row>
    <row r="38673" ht="15.75" customHeight="1">
      <c r="A38673" s="7"/>
      <c r="B38673" s="7"/>
      <c r="M38673" s="9" t="s">
        <v>27</v>
      </c>
    </row>
    <row r="38674" ht="15.75" customHeight="1">
      <c r="A38674" s="7"/>
      <c r="B38674" s="7"/>
      <c r="M38674" s="9" t="s">
        <v>24</v>
      </c>
    </row>
    <row r="38675" ht="15.75" customHeight="1">
      <c r="A38675" s="7"/>
      <c r="B38675" s="7"/>
      <c r="M38675" s="9" t="s">
        <v>21</v>
      </c>
    </row>
    <row r="38676" ht="15.75" customHeight="1">
      <c r="A38676" s="7"/>
      <c r="B38676" s="7"/>
      <c r="M38676" s="9" t="s">
        <v>37</v>
      </c>
    </row>
    <row r="38677" ht="15.75" customHeight="1">
      <c r="A38677" s="7"/>
      <c r="B38677" s="7"/>
      <c r="M38677" s="9" t="s">
        <v>27</v>
      </c>
    </row>
    <row r="38678" ht="15.75" customHeight="1">
      <c r="A38678" s="7"/>
      <c r="B38678" s="7"/>
      <c r="M38678" s="9" t="s">
        <v>24</v>
      </c>
    </row>
    <row r="38679" ht="15.75" customHeight="1">
      <c r="A38679" s="7"/>
      <c r="B38679" s="7"/>
      <c r="M38679" s="9" t="s">
        <v>20</v>
      </c>
    </row>
    <row r="38680" ht="15.75" customHeight="1">
      <c r="A38680" s="7"/>
      <c r="B38680" s="7"/>
      <c r="M38680" s="9" t="s">
        <v>21</v>
      </c>
    </row>
    <row r="38681" ht="15.75" customHeight="1">
      <c r="A38681" s="7"/>
      <c r="B38681" s="7"/>
      <c r="M38681" s="9" t="s">
        <v>37</v>
      </c>
    </row>
    <row r="38682" ht="15.75" customHeight="1">
      <c r="A38682" s="7"/>
      <c r="B38682" s="7"/>
      <c r="M38682" s="9" t="s">
        <v>30</v>
      </c>
    </row>
    <row r="38683" ht="15.75" customHeight="1">
      <c r="A38683" s="7"/>
      <c r="B38683" s="7"/>
      <c r="M38683" s="9" t="s">
        <v>23</v>
      </c>
    </row>
    <row r="38684" ht="15.75" customHeight="1">
      <c r="A38684" s="7"/>
      <c r="B38684" s="7"/>
      <c r="M38684" s="9" t="s">
        <v>20</v>
      </c>
    </row>
    <row r="38685" ht="15.75" customHeight="1">
      <c r="A38685" s="7"/>
      <c r="B38685" s="7"/>
      <c r="M38685" s="9" t="s">
        <v>22</v>
      </c>
    </row>
    <row r="38686" ht="15.75" customHeight="1">
      <c r="A38686" s="7"/>
      <c r="B38686" s="7"/>
      <c r="M38686" s="9" t="s">
        <v>26</v>
      </c>
    </row>
    <row r="38687" ht="15.75" customHeight="1">
      <c r="A38687" s="7"/>
      <c r="B38687" s="7"/>
      <c r="M38687" s="9" t="s">
        <v>24</v>
      </c>
    </row>
    <row r="38688" ht="15.75" customHeight="1">
      <c r="A38688" s="7"/>
      <c r="B38688" s="7"/>
      <c r="M38688" s="9" t="s">
        <v>21</v>
      </c>
    </row>
    <row r="38689" ht="15.75" customHeight="1">
      <c r="A38689" s="7"/>
      <c r="B38689" s="7"/>
      <c r="M38689" s="9" t="s">
        <v>37</v>
      </c>
    </row>
    <row r="38690" ht="15.75" customHeight="1">
      <c r="A38690" s="7"/>
      <c r="B38690" s="7"/>
      <c r="M38690" s="9" t="s">
        <v>30</v>
      </c>
    </row>
    <row r="38691" ht="15.75" customHeight="1">
      <c r="A38691" s="7"/>
      <c r="B38691" s="7"/>
      <c r="M38691" s="9" t="s">
        <v>22</v>
      </c>
    </row>
    <row r="38692" ht="15.75" customHeight="1">
      <c r="A38692" s="7"/>
      <c r="B38692" s="7"/>
      <c r="M38692" s="9" t="s">
        <v>29</v>
      </c>
    </row>
    <row r="38693" ht="15.75" customHeight="1">
      <c r="A38693" s="7"/>
      <c r="B38693" s="7"/>
      <c r="M38693" s="9" t="s">
        <v>27</v>
      </c>
    </row>
    <row r="38694" ht="15.75" customHeight="1">
      <c r="A38694" s="7"/>
      <c r="B38694" s="7"/>
      <c r="M38694" s="9" t="s">
        <v>38</v>
      </c>
    </row>
    <row r="38695" ht="15.75" customHeight="1">
      <c r="A38695" s="7"/>
      <c r="B38695" s="7"/>
      <c r="M38695" s="9" t="s">
        <v>30</v>
      </c>
    </row>
    <row r="38696" ht="15.75" customHeight="1">
      <c r="A38696" s="7"/>
      <c r="B38696" s="7"/>
      <c r="M38696" s="9" t="s">
        <v>25</v>
      </c>
    </row>
    <row r="38697" ht="15.75" customHeight="1">
      <c r="A38697" s="7"/>
      <c r="B38697" s="7"/>
      <c r="M38697" s="9" t="s">
        <v>23</v>
      </c>
    </row>
    <row r="38698" ht="15.75" customHeight="1">
      <c r="A38698" s="7"/>
      <c r="B38698" s="7"/>
      <c r="M38698" s="9" t="s">
        <v>24</v>
      </c>
    </row>
    <row r="38699" ht="15.75" customHeight="1">
      <c r="A38699" s="7"/>
      <c r="B38699" s="7"/>
      <c r="M38699" s="9" t="s">
        <v>20</v>
      </c>
    </row>
    <row r="38700" ht="15.75" customHeight="1">
      <c r="A38700" s="7"/>
      <c r="B38700" s="7"/>
      <c r="M38700" s="9" t="s">
        <v>21</v>
      </c>
    </row>
    <row r="38701" ht="15.75" customHeight="1">
      <c r="A38701" s="7"/>
      <c r="B38701" s="7"/>
      <c r="M38701" s="9" t="s">
        <v>37</v>
      </c>
    </row>
    <row r="38702" ht="15.75" customHeight="1">
      <c r="A38702" s="7"/>
      <c r="B38702" s="7"/>
      <c r="M38702" s="9" t="s">
        <v>29</v>
      </c>
    </row>
    <row r="38703" ht="15.75" customHeight="1">
      <c r="A38703" s="7"/>
      <c r="B38703" s="7"/>
      <c r="M38703" s="9" t="s">
        <v>46</v>
      </c>
    </row>
    <row r="38704" ht="15.75" customHeight="1">
      <c r="A38704" s="7"/>
      <c r="B38704" s="7"/>
      <c r="M38704" s="9" t="s">
        <v>27</v>
      </c>
    </row>
    <row r="38705" ht="15.75" customHeight="1">
      <c r="A38705" s="7"/>
      <c r="B38705" s="7"/>
      <c r="M38705" s="9" t="s">
        <v>20</v>
      </c>
    </row>
    <row r="38706" ht="15.75" customHeight="1">
      <c r="A38706" s="7"/>
      <c r="B38706" s="7"/>
      <c r="M38706" s="9" t="s">
        <v>21</v>
      </c>
    </row>
    <row r="38707" ht="15.75" customHeight="1">
      <c r="A38707" s="7"/>
      <c r="B38707" s="7"/>
      <c r="M38707" s="9" t="s">
        <v>37</v>
      </c>
    </row>
    <row r="38708" ht="15.75" customHeight="1">
      <c r="A38708" s="7"/>
      <c r="B38708" s="7"/>
      <c r="M38708" s="9" t="s">
        <v>22</v>
      </c>
    </row>
    <row r="38709" ht="15.75" customHeight="1">
      <c r="A38709" s="7"/>
      <c r="B38709" s="7"/>
      <c r="M38709" s="9" t="s">
        <v>27</v>
      </c>
    </row>
    <row r="38710" ht="15.75" customHeight="1">
      <c r="A38710" s="7"/>
      <c r="B38710" s="7"/>
      <c r="M38710" s="9" t="s">
        <v>30</v>
      </c>
    </row>
    <row r="38711" ht="15.75" customHeight="1">
      <c r="A38711" s="7"/>
      <c r="B38711" s="7"/>
      <c r="M38711" s="9" t="s">
        <v>25</v>
      </c>
    </row>
    <row r="38712" ht="15.75" customHeight="1">
      <c r="A38712" s="7"/>
      <c r="B38712" s="7"/>
      <c r="M38712" s="9" t="s">
        <v>24</v>
      </c>
    </row>
    <row r="38713" ht="15.75" customHeight="1">
      <c r="A38713" s="7"/>
      <c r="B38713" s="7"/>
      <c r="M38713" s="9" t="s">
        <v>20</v>
      </c>
    </row>
    <row r="38714" ht="15.75" customHeight="1">
      <c r="A38714" s="7"/>
      <c r="B38714" s="7"/>
      <c r="M38714" s="9" t="s">
        <v>22</v>
      </c>
    </row>
    <row r="38715" ht="15.75" customHeight="1">
      <c r="A38715" s="7"/>
      <c r="B38715" s="7"/>
      <c r="M38715" s="9" t="s">
        <v>27</v>
      </c>
    </row>
    <row r="38716" ht="15.75" customHeight="1">
      <c r="A38716" s="7"/>
      <c r="B38716" s="7"/>
      <c r="M38716" s="9" t="s">
        <v>24</v>
      </c>
    </row>
    <row r="38717" ht="15.75" customHeight="1">
      <c r="A38717" s="7"/>
      <c r="B38717" s="7"/>
      <c r="M38717" s="9" t="s">
        <v>21</v>
      </c>
    </row>
    <row r="38718" ht="15.75" customHeight="1">
      <c r="A38718" s="7"/>
      <c r="B38718" s="7"/>
      <c r="M38718" s="9" t="s">
        <v>37</v>
      </c>
    </row>
    <row r="38719" ht="15.75" customHeight="1">
      <c r="A38719" s="7"/>
      <c r="B38719" s="7"/>
      <c r="M38719" s="9" t="s">
        <v>33</v>
      </c>
    </row>
    <row r="38720" ht="15.75" customHeight="1">
      <c r="A38720" s="7"/>
      <c r="B38720" s="7"/>
      <c r="M38720" s="9" t="s">
        <v>24</v>
      </c>
    </row>
    <row r="38721" ht="15.75" customHeight="1">
      <c r="A38721" s="7"/>
      <c r="B38721" s="7"/>
      <c r="M38721" s="9" t="s">
        <v>20</v>
      </c>
    </row>
    <row r="38722" ht="15.75" customHeight="1">
      <c r="A38722" s="7"/>
      <c r="B38722" s="7"/>
      <c r="M38722" s="9" t="s">
        <v>21</v>
      </c>
    </row>
    <row r="38723" ht="15.75" customHeight="1">
      <c r="A38723" s="7"/>
      <c r="B38723" s="7"/>
      <c r="M38723" s="9" t="s">
        <v>22</v>
      </c>
    </row>
    <row r="38724" ht="15.75" customHeight="1">
      <c r="A38724" s="7"/>
      <c r="B38724" s="7"/>
      <c r="M38724" s="9" t="s">
        <v>31</v>
      </c>
    </row>
    <row r="38725" ht="15.75" customHeight="1">
      <c r="A38725" s="7"/>
      <c r="B38725" s="7"/>
      <c r="M38725" s="9" t="s">
        <v>27</v>
      </c>
    </row>
    <row r="38726" ht="15.75" customHeight="1">
      <c r="A38726" s="7"/>
      <c r="B38726" s="7"/>
      <c r="M38726" s="9" t="s">
        <v>35</v>
      </c>
    </row>
    <row r="38727" ht="15.75" customHeight="1">
      <c r="A38727" s="7"/>
      <c r="B38727" s="7"/>
      <c r="M38727" s="9" t="s">
        <v>30</v>
      </c>
    </row>
    <row r="38728" ht="15.75" customHeight="1">
      <c r="A38728" s="7"/>
      <c r="B38728" s="7"/>
      <c r="M38728" s="9" t="s">
        <v>24</v>
      </c>
    </row>
    <row r="38729" ht="15.75" customHeight="1">
      <c r="A38729" s="7"/>
      <c r="B38729" s="7"/>
      <c r="M38729" s="9" t="s">
        <v>20</v>
      </c>
    </row>
    <row r="38730" ht="15.75" customHeight="1">
      <c r="A38730" s="7"/>
      <c r="B38730" s="7"/>
      <c r="M38730" s="9" t="s">
        <v>21</v>
      </c>
    </row>
    <row r="38731" ht="15.75" customHeight="1">
      <c r="A38731" s="7"/>
      <c r="B38731" s="7"/>
      <c r="M38731" s="9" t="s">
        <v>46</v>
      </c>
    </row>
    <row r="38732" ht="15.75" customHeight="1">
      <c r="A38732" s="7"/>
      <c r="B38732" s="7"/>
      <c r="M38732" s="9" t="s">
        <v>27</v>
      </c>
    </row>
    <row r="38733" ht="15.75" customHeight="1">
      <c r="A38733" s="7"/>
      <c r="B38733" s="7"/>
      <c r="M38733" s="9" t="s">
        <v>35</v>
      </c>
    </row>
    <row r="38734" ht="15.75" customHeight="1">
      <c r="A38734" s="7"/>
      <c r="B38734" s="7"/>
      <c r="M38734" s="9" t="s">
        <v>21</v>
      </c>
    </row>
    <row r="38735" ht="15.75" customHeight="1">
      <c r="A38735" s="7"/>
      <c r="B38735" s="7"/>
      <c r="M38735" s="9" t="s">
        <v>41</v>
      </c>
    </row>
    <row r="38736" ht="15.75" customHeight="1">
      <c r="A38736" s="7"/>
      <c r="B38736" s="7"/>
      <c r="M38736" s="9" t="s">
        <v>37</v>
      </c>
    </row>
    <row r="38737" ht="15.75" customHeight="1">
      <c r="A38737" s="7"/>
      <c r="B38737" s="7"/>
      <c r="M38737" s="9" t="s">
        <v>22</v>
      </c>
    </row>
    <row r="38738" ht="15.75" customHeight="1">
      <c r="A38738" s="7"/>
      <c r="B38738" s="7"/>
      <c r="M38738" s="9" t="s">
        <v>27</v>
      </c>
    </row>
    <row r="38739" ht="15.75" customHeight="1">
      <c r="A38739" s="7"/>
      <c r="B38739" s="7"/>
      <c r="M38739" s="9" t="s">
        <v>40</v>
      </c>
    </row>
    <row r="38740" ht="15.75" customHeight="1">
      <c r="A38740" s="7"/>
      <c r="B38740" s="7"/>
      <c r="M38740" s="9" t="s">
        <v>33</v>
      </c>
    </row>
    <row r="38741" ht="15.75" customHeight="1">
      <c r="A38741" s="7"/>
      <c r="B38741" s="7"/>
      <c r="M38741" s="9" t="s">
        <v>30</v>
      </c>
    </row>
    <row r="38742" ht="15.75" customHeight="1">
      <c r="A38742" s="7"/>
      <c r="B38742" s="7"/>
      <c r="M38742" s="9" t="s">
        <v>36</v>
      </c>
    </row>
    <row r="38743" ht="15.75" customHeight="1">
      <c r="A38743" s="7"/>
      <c r="B38743" s="7"/>
      <c r="M38743" s="9" t="s">
        <v>20</v>
      </c>
    </row>
    <row r="38744" ht="15.75" customHeight="1">
      <c r="A38744" s="7"/>
      <c r="B38744" s="7"/>
      <c r="M38744" s="9" t="s">
        <v>22</v>
      </c>
    </row>
    <row r="38745" ht="15.75" customHeight="1">
      <c r="A38745" s="7"/>
      <c r="B38745" s="7"/>
      <c r="M38745" s="9" t="s">
        <v>32</v>
      </c>
    </row>
    <row r="38746" ht="15.75" customHeight="1">
      <c r="A38746" s="7"/>
      <c r="B38746" s="7"/>
      <c r="M38746" s="9" t="s">
        <v>30</v>
      </c>
    </row>
    <row r="38747" ht="15.75" customHeight="1">
      <c r="A38747" s="7"/>
      <c r="B38747" s="7"/>
      <c r="M38747" s="9" t="s">
        <v>36</v>
      </c>
    </row>
    <row r="38748" ht="15.75" customHeight="1">
      <c r="A38748" s="7"/>
      <c r="B38748" s="7"/>
      <c r="M38748" s="9" t="s">
        <v>24</v>
      </c>
    </row>
    <row r="38749" ht="15.75" customHeight="1">
      <c r="A38749" s="7"/>
      <c r="B38749" s="7"/>
      <c r="M38749" s="9" t="s">
        <v>21</v>
      </c>
    </row>
    <row r="38750" ht="15.75" customHeight="1">
      <c r="A38750" s="7"/>
      <c r="B38750" s="7"/>
      <c r="M38750" s="9" t="s">
        <v>31</v>
      </c>
    </row>
    <row r="38751" ht="15.75" customHeight="1">
      <c r="A38751" s="7"/>
      <c r="B38751" s="7"/>
      <c r="M38751" s="9" t="s">
        <v>27</v>
      </c>
    </row>
    <row r="38752" ht="15.75" customHeight="1">
      <c r="A38752" s="7"/>
      <c r="B38752" s="7"/>
      <c r="M38752" s="9" t="s">
        <v>23</v>
      </c>
    </row>
    <row r="38753" ht="15.75" customHeight="1">
      <c r="A38753" s="7"/>
      <c r="B38753" s="7"/>
      <c r="M38753" s="9" t="s">
        <v>24</v>
      </c>
    </row>
    <row r="38754" ht="15.75" customHeight="1">
      <c r="A38754" s="7"/>
      <c r="B38754" s="7"/>
      <c r="M38754" s="9" t="s">
        <v>20</v>
      </c>
    </row>
    <row r="38755" ht="15.75" customHeight="1">
      <c r="A38755" s="7"/>
      <c r="B38755" s="7"/>
      <c r="M38755" s="9" t="s">
        <v>21</v>
      </c>
    </row>
    <row r="38756" ht="15.75" customHeight="1">
      <c r="A38756" s="7"/>
      <c r="B38756" s="7"/>
      <c r="M38756" s="9" t="s">
        <v>33</v>
      </c>
    </row>
    <row r="38757" ht="15.75" customHeight="1">
      <c r="A38757" s="7"/>
      <c r="B38757" s="7"/>
      <c r="M38757" s="9" t="s">
        <v>20</v>
      </c>
    </row>
    <row r="38758" ht="15.75" customHeight="1">
      <c r="A38758" s="7"/>
      <c r="B38758" s="7"/>
      <c r="M38758" s="9" t="s">
        <v>39</v>
      </c>
    </row>
    <row r="38759" ht="15.75" customHeight="1">
      <c r="A38759" s="7"/>
      <c r="B38759" s="7"/>
      <c r="M38759" s="9" t="s">
        <v>22</v>
      </c>
    </row>
    <row r="38760" ht="15.75" customHeight="1">
      <c r="A38760" s="7"/>
      <c r="B38760" s="7"/>
      <c r="M38760" s="9" t="s">
        <v>44</v>
      </c>
    </row>
    <row r="38761" ht="15.75" customHeight="1">
      <c r="A38761" s="7"/>
      <c r="B38761" s="7"/>
      <c r="M38761" s="9" t="s">
        <v>24</v>
      </c>
    </row>
    <row r="38762" ht="15.75" customHeight="1">
      <c r="A38762" s="7"/>
      <c r="B38762" s="7"/>
      <c r="M38762" s="9" t="s">
        <v>38</v>
      </c>
    </row>
    <row r="38763" ht="15.75" customHeight="1">
      <c r="A38763" s="7"/>
      <c r="B38763" s="7"/>
      <c r="M38763" s="9" t="s">
        <v>30</v>
      </c>
    </row>
    <row r="38764" ht="15.75" customHeight="1">
      <c r="A38764" s="7"/>
      <c r="B38764" s="7"/>
      <c r="M38764" s="9" t="s">
        <v>25</v>
      </c>
    </row>
    <row r="38765" ht="15.75" customHeight="1">
      <c r="A38765" s="7"/>
      <c r="B38765" s="7"/>
      <c r="M38765" s="9" t="s">
        <v>23</v>
      </c>
    </row>
    <row r="38766" ht="15.75" customHeight="1">
      <c r="A38766" s="7"/>
      <c r="B38766" s="7"/>
      <c r="M38766" s="9" t="s">
        <v>20</v>
      </c>
    </row>
    <row r="38767" ht="15.75" customHeight="1">
      <c r="A38767" s="7"/>
      <c r="B38767" s="7"/>
      <c r="M38767" s="9" t="s">
        <v>41</v>
      </c>
    </row>
    <row r="38768" ht="15.75" customHeight="1">
      <c r="A38768" s="7"/>
      <c r="B38768" s="7"/>
      <c r="M38768" s="9" t="s">
        <v>27</v>
      </c>
    </row>
    <row r="38769" ht="15.75" customHeight="1">
      <c r="A38769" s="7"/>
      <c r="B38769" s="7"/>
      <c r="M38769" s="9" t="s">
        <v>40</v>
      </c>
    </row>
    <row r="38770" ht="15.75" customHeight="1">
      <c r="A38770" s="7"/>
      <c r="B38770" s="7"/>
      <c r="M38770" s="9" t="s">
        <v>24</v>
      </c>
    </row>
    <row r="38771" ht="15.75" customHeight="1">
      <c r="A38771" s="7"/>
      <c r="B38771" s="7"/>
      <c r="M38771" s="9" t="s">
        <v>21</v>
      </c>
    </row>
    <row r="38772" ht="15.75" customHeight="1">
      <c r="A38772" s="7"/>
      <c r="B38772" s="7"/>
      <c r="M38772" s="9" t="s">
        <v>37</v>
      </c>
    </row>
    <row r="38773" ht="15.75" customHeight="1">
      <c r="A38773" s="7"/>
      <c r="B38773" s="7"/>
      <c r="M38773" s="9" t="s">
        <v>23</v>
      </c>
    </row>
    <row r="38774" ht="15.75" customHeight="1">
      <c r="A38774" s="7"/>
      <c r="B38774" s="7"/>
      <c r="M38774" s="9" t="s">
        <v>26</v>
      </c>
    </row>
    <row r="38775" ht="15.75" customHeight="1">
      <c r="A38775" s="7"/>
      <c r="B38775" s="7"/>
      <c r="M38775" s="9" t="s">
        <v>24</v>
      </c>
    </row>
    <row r="38776" ht="15.75" customHeight="1">
      <c r="A38776" s="7"/>
      <c r="B38776" s="7"/>
      <c r="M38776" s="9" t="s">
        <v>20</v>
      </c>
    </row>
    <row r="38777" ht="15.75" customHeight="1">
      <c r="A38777" s="7"/>
      <c r="B38777" s="7"/>
      <c r="M38777" s="9" t="s">
        <v>21</v>
      </c>
    </row>
    <row r="38778" ht="15.75" customHeight="1">
      <c r="A38778" s="7"/>
      <c r="B38778" s="7"/>
      <c r="M38778" s="9" t="s">
        <v>22</v>
      </c>
    </row>
    <row r="38779" ht="15.75" customHeight="1">
      <c r="A38779" s="7"/>
      <c r="B38779" s="7"/>
      <c r="M38779" s="9" t="s">
        <v>40</v>
      </c>
    </row>
    <row r="38780" ht="15.75" customHeight="1">
      <c r="A38780" s="7"/>
      <c r="B38780" s="7"/>
      <c r="M38780" s="9" t="s">
        <v>30</v>
      </c>
    </row>
    <row r="38781" ht="15.75" customHeight="1">
      <c r="A38781" s="7"/>
      <c r="B38781" s="7"/>
      <c r="M38781" s="9" t="s">
        <v>25</v>
      </c>
    </row>
    <row r="38782" ht="15.75" customHeight="1">
      <c r="A38782" s="7"/>
      <c r="B38782" s="7"/>
      <c r="M38782" s="9" t="s">
        <v>23</v>
      </c>
    </row>
    <row r="38783" ht="15.75" customHeight="1">
      <c r="A38783" s="7"/>
      <c r="B38783" s="7"/>
      <c r="M38783" s="9" t="s">
        <v>26</v>
      </c>
    </row>
    <row r="38784" ht="15.75" customHeight="1">
      <c r="A38784" s="7"/>
      <c r="B38784" s="7"/>
      <c r="M38784" s="9" t="s">
        <v>36</v>
      </c>
    </row>
    <row r="38785" ht="15.75" customHeight="1">
      <c r="A38785" s="7"/>
      <c r="B38785" s="7"/>
      <c r="M38785" s="9" t="s">
        <v>24</v>
      </c>
    </row>
    <row r="38786" ht="15.75" customHeight="1">
      <c r="A38786" s="7"/>
      <c r="B38786" s="7"/>
      <c r="M38786" s="9" t="s">
        <v>21</v>
      </c>
    </row>
    <row r="38787" ht="15.75" customHeight="1">
      <c r="A38787" s="7"/>
      <c r="B38787" s="7"/>
      <c r="M38787" s="9" t="s">
        <v>22</v>
      </c>
    </row>
    <row r="38788" ht="15.75" customHeight="1">
      <c r="A38788" s="7"/>
      <c r="B38788" s="7"/>
      <c r="M38788" s="9" t="s">
        <v>31</v>
      </c>
    </row>
    <row r="38789" ht="15.75" customHeight="1">
      <c r="A38789" s="7"/>
      <c r="B38789" s="7"/>
      <c r="M38789" s="9" t="s">
        <v>46</v>
      </c>
    </row>
    <row r="38790" ht="15.75" customHeight="1">
      <c r="A38790" s="7"/>
      <c r="B38790" s="7"/>
      <c r="M38790" s="9" t="s">
        <v>27</v>
      </c>
    </row>
    <row r="38791" ht="15.75" customHeight="1">
      <c r="A38791" s="7"/>
      <c r="B38791" s="7"/>
      <c r="M38791" s="9" t="s">
        <v>33</v>
      </c>
    </row>
    <row r="38792" ht="15.75" customHeight="1">
      <c r="A38792" s="7"/>
      <c r="B38792" s="7"/>
      <c r="M38792" s="9" t="s">
        <v>24</v>
      </c>
    </row>
    <row r="38793" ht="15.75" customHeight="1">
      <c r="A38793" s="7"/>
      <c r="B38793" s="7"/>
      <c r="M38793" s="9" t="s">
        <v>21</v>
      </c>
    </row>
    <row r="38794" ht="15.75" customHeight="1">
      <c r="A38794" s="7"/>
      <c r="B38794" s="7"/>
      <c r="M38794" s="9" t="s">
        <v>37</v>
      </c>
    </row>
    <row r="38795" ht="15.75" customHeight="1">
      <c r="A38795" s="7"/>
      <c r="B38795" s="7"/>
      <c r="M38795" s="9" t="s">
        <v>28</v>
      </c>
    </row>
    <row r="38796" ht="15.75" customHeight="1">
      <c r="A38796" s="7"/>
      <c r="B38796" s="7"/>
      <c r="M38796" s="9" t="s">
        <v>30</v>
      </c>
    </row>
    <row r="38797" ht="15.75" customHeight="1">
      <c r="A38797" s="7"/>
      <c r="B38797" s="7"/>
      <c r="M38797" s="9" t="s">
        <v>25</v>
      </c>
    </row>
    <row r="38798" ht="15.75" customHeight="1">
      <c r="A38798" s="7"/>
      <c r="B38798" s="7"/>
      <c r="M38798" s="9" t="s">
        <v>23</v>
      </c>
    </row>
    <row r="38799" ht="15.75" customHeight="1">
      <c r="A38799" s="7"/>
      <c r="B38799" s="7"/>
      <c r="M38799" s="9" t="s">
        <v>47</v>
      </c>
    </row>
    <row r="38800" ht="15.75" customHeight="1">
      <c r="A38800" s="7"/>
      <c r="B38800" s="7"/>
      <c r="M38800" s="9" t="s">
        <v>36</v>
      </c>
    </row>
    <row r="38801" ht="15.75" customHeight="1">
      <c r="A38801" s="7"/>
      <c r="B38801" s="7"/>
      <c r="M38801" s="9" t="s">
        <v>24</v>
      </c>
    </row>
    <row r="38802" ht="15.75" customHeight="1">
      <c r="A38802" s="7"/>
      <c r="B38802" s="7"/>
      <c r="M38802" s="9" t="s">
        <v>20</v>
      </c>
    </row>
    <row r="38803" ht="15.75" customHeight="1">
      <c r="A38803" s="7"/>
      <c r="B38803" s="7"/>
      <c r="M38803" s="9" t="s">
        <v>21</v>
      </c>
    </row>
    <row r="38804" ht="15.75" customHeight="1">
      <c r="A38804" s="7"/>
      <c r="B38804" s="7"/>
      <c r="M38804" s="9" t="s">
        <v>39</v>
      </c>
    </row>
    <row r="38805" ht="15.75" customHeight="1">
      <c r="A38805" s="7"/>
      <c r="B38805" s="7"/>
      <c r="M38805" s="9" t="s">
        <v>41</v>
      </c>
    </row>
    <row r="38806" ht="15.75" customHeight="1">
      <c r="A38806" s="7"/>
      <c r="B38806" s="7"/>
      <c r="M38806" s="9" t="s">
        <v>22</v>
      </c>
    </row>
    <row r="38807" ht="15.75" customHeight="1">
      <c r="A38807" s="7"/>
      <c r="B38807" s="7"/>
      <c r="M38807" s="9" t="s">
        <v>27</v>
      </c>
    </row>
    <row r="38808" ht="15.75" customHeight="1">
      <c r="A38808" s="7"/>
      <c r="B38808" s="7"/>
      <c r="M38808" s="9" t="s">
        <v>40</v>
      </c>
    </row>
    <row r="38809" ht="15.75" customHeight="1">
      <c r="A38809" s="7"/>
      <c r="B38809" s="7"/>
      <c r="M38809" s="9" t="s">
        <v>26</v>
      </c>
    </row>
    <row r="38810" ht="15.75" customHeight="1">
      <c r="A38810" s="7"/>
      <c r="B38810" s="7"/>
      <c r="M38810" s="9" t="s">
        <v>24</v>
      </c>
    </row>
    <row r="38811" ht="15.75" customHeight="1">
      <c r="A38811" s="7"/>
      <c r="B38811" s="7"/>
      <c r="M38811" s="9" t="s">
        <v>21</v>
      </c>
    </row>
    <row r="38812" ht="15.75" customHeight="1">
      <c r="A38812" s="7"/>
      <c r="B38812" s="7"/>
      <c r="M38812" s="9" t="s">
        <v>22</v>
      </c>
    </row>
    <row r="38813" ht="15.75" customHeight="1">
      <c r="A38813" s="7"/>
      <c r="B38813" s="7"/>
      <c r="M38813" s="9" t="s">
        <v>29</v>
      </c>
    </row>
    <row r="38814" ht="15.75" customHeight="1">
      <c r="A38814" s="7"/>
      <c r="B38814" s="7"/>
      <c r="M38814" s="9" t="s">
        <v>27</v>
      </c>
    </row>
    <row r="38815" ht="15.75" customHeight="1">
      <c r="A38815" s="7"/>
      <c r="B38815" s="7"/>
      <c r="M38815" s="9" t="s">
        <v>30</v>
      </c>
    </row>
    <row r="38816" ht="15.75" customHeight="1">
      <c r="A38816" s="7"/>
      <c r="B38816" s="7"/>
      <c r="M38816" s="9" t="s">
        <v>24</v>
      </c>
    </row>
    <row r="38817" ht="15.75" customHeight="1">
      <c r="A38817" s="7"/>
      <c r="B38817" s="7"/>
      <c r="M38817" s="9" t="s">
        <v>21</v>
      </c>
    </row>
    <row r="38818" ht="15.75" customHeight="1">
      <c r="A38818" s="7"/>
      <c r="B38818" s="7"/>
      <c r="M38818" s="9" t="s">
        <v>37</v>
      </c>
    </row>
    <row r="38819" ht="15.75" customHeight="1">
      <c r="A38819" s="7"/>
      <c r="B38819" s="7"/>
      <c r="M38819" s="9" t="s">
        <v>22</v>
      </c>
    </row>
    <row r="38820" ht="15.75" customHeight="1">
      <c r="A38820" s="7"/>
      <c r="B38820" s="7"/>
      <c r="M38820" s="9" t="s">
        <v>27</v>
      </c>
    </row>
    <row r="38821" ht="15.75" customHeight="1">
      <c r="A38821" s="7"/>
      <c r="B38821" s="7"/>
      <c r="M38821" s="9" t="s">
        <v>33</v>
      </c>
    </row>
    <row r="38822" ht="15.75" customHeight="1">
      <c r="A38822" s="7"/>
      <c r="B38822" s="7"/>
      <c r="M38822" s="9" t="s">
        <v>24</v>
      </c>
    </row>
    <row r="38823" ht="15.75" customHeight="1">
      <c r="A38823" s="7"/>
      <c r="B38823" s="7"/>
      <c r="M38823" s="9" t="s">
        <v>21</v>
      </c>
    </row>
    <row r="38824" ht="15.75" customHeight="1">
      <c r="A38824" s="7"/>
      <c r="B38824" s="7"/>
      <c r="M38824" s="9" t="s">
        <v>37</v>
      </c>
    </row>
    <row r="38825" ht="15.75" customHeight="1">
      <c r="A38825" s="7"/>
      <c r="B38825" s="7"/>
      <c r="M38825" s="9" t="s">
        <v>27</v>
      </c>
    </row>
    <row r="38826" ht="15.75" customHeight="1">
      <c r="A38826" s="7"/>
      <c r="B38826" s="7"/>
      <c r="M38826" s="9" t="s">
        <v>30</v>
      </c>
    </row>
    <row r="38827" ht="15.75" customHeight="1">
      <c r="A38827" s="7"/>
      <c r="B38827" s="7"/>
      <c r="M38827" s="9" t="s">
        <v>20</v>
      </c>
    </row>
    <row r="38828" ht="15.75" customHeight="1">
      <c r="A38828" s="7"/>
      <c r="B38828" s="7"/>
      <c r="M38828" s="9" t="s">
        <v>21</v>
      </c>
    </row>
    <row r="38829" ht="15.75" customHeight="1">
      <c r="A38829" s="7"/>
      <c r="B38829" s="7"/>
      <c r="M38829" s="9" t="s">
        <v>37</v>
      </c>
    </row>
    <row r="38830" ht="15.75" customHeight="1">
      <c r="A38830" s="7"/>
      <c r="B38830" s="7"/>
      <c r="M38830" s="9" t="s">
        <v>22</v>
      </c>
    </row>
    <row r="38831" ht="15.75" customHeight="1">
      <c r="A38831" s="7"/>
      <c r="B38831" s="7"/>
      <c r="M38831" s="9" t="s">
        <v>29</v>
      </c>
    </row>
    <row r="38832" ht="15.75" customHeight="1">
      <c r="A38832" s="7"/>
      <c r="B38832" s="7"/>
      <c r="M38832" s="9" t="s">
        <v>27</v>
      </c>
    </row>
    <row r="38833" ht="15.75" customHeight="1">
      <c r="A38833" s="7"/>
      <c r="B38833" s="7"/>
      <c r="M38833" s="9" t="s">
        <v>33</v>
      </c>
    </row>
    <row r="38834" ht="15.75" customHeight="1">
      <c r="A38834" s="7"/>
      <c r="B38834" s="7"/>
      <c r="M38834" s="9" t="s">
        <v>20</v>
      </c>
    </row>
    <row r="38835" ht="15.75" customHeight="1">
      <c r="A38835" s="7"/>
      <c r="B38835" s="7"/>
      <c r="M38835" s="9" t="s">
        <v>22</v>
      </c>
    </row>
    <row r="38836" ht="15.75" customHeight="1">
      <c r="A38836" s="7"/>
      <c r="B38836" s="7"/>
      <c r="M38836" s="9" t="s">
        <v>26</v>
      </c>
    </row>
    <row r="38837" ht="15.75" customHeight="1">
      <c r="A38837" s="7"/>
      <c r="B38837" s="7"/>
      <c r="M38837" s="9" t="s">
        <v>30</v>
      </c>
    </row>
    <row r="38838" ht="15.75" customHeight="1">
      <c r="A38838" s="7"/>
      <c r="B38838" s="7"/>
      <c r="M38838" s="9" t="s">
        <v>24</v>
      </c>
    </row>
    <row r="38839" ht="15.75" customHeight="1">
      <c r="A38839" s="7"/>
      <c r="B38839" s="7"/>
      <c r="M38839" s="9" t="s">
        <v>21</v>
      </c>
    </row>
    <row r="38840" ht="15.75" customHeight="1">
      <c r="A38840" s="7"/>
      <c r="B38840" s="7"/>
      <c r="M38840" s="9" t="s">
        <v>22</v>
      </c>
    </row>
    <row r="38841" ht="15.75" customHeight="1">
      <c r="A38841" s="7"/>
      <c r="B38841" s="7"/>
      <c r="M38841" s="9" t="s">
        <v>27</v>
      </c>
    </row>
    <row r="38842" ht="15.75" customHeight="1">
      <c r="A38842" s="7"/>
      <c r="B38842" s="7"/>
      <c r="M38842" s="9" t="s">
        <v>30</v>
      </c>
    </row>
    <row r="38843" ht="15.75" customHeight="1">
      <c r="A38843" s="7"/>
      <c r="B38843" s="7"/>
      <c r="M38843" s="9" t="s">
        <v>24</v>
      </c>
    </row>
    <row r="38844" ht="15.75" customHeight="1">
      <c r="A38844" s="7"/>
      <c r="B38844" s="7"/>
      <c r="M38844" s="9" t="s">
        <v>20</v>
      </c>
    </row>
    <row r="38845" ht="15.75" customHeight="1">
      <c r="A38845" s="7"/>
      <c r="B38845" s="7"/>
      <c r="M38845" s="9" t="s">
        <v>21</v>
      </c>
    </row>
    <row r="38846" ht="15.75" customHeight="1">
      <c r="A38846" s="7"/>
      <c r="B38846" s="7"/>
      <c r="M38846" s="9" t="s">
        <v>39</v>
      </c>
    </row>
    <row r="38847" ht="15.75" customHeight="1">
      <c r="A38847" s="7"/>
      <c r="B38847" s="7"/>
      <c r="M38847" s="9" t="s">
        <v>30</v>
      </c>
    </row>
    <row r="38848" ht="15.75" customHeight="1">
      <c r="A38848" s="7"/>
      <c r="B38848" s="7"/>
      <c r="M38848" s="9" t="s">
        <v>24</v>
      </c>
    </row>
    <row r="38849" ht="15.75" customHeight="1">
      <c r="A38849" s="7"/>
      <c r="B38849" s="7"/>
      <c r="M38849" s="9" t="s">
        <v>21</v>
      </c>
    </row>
    <row r="38850" ht="15.75" customHeight="1">
      <c r="A38850" s="7"/>
      <c r="B38850" s="7"/>
      <c r="M38850" s="9" t="s">
        <v>22</v>
      </c>
    </row>
    <row r="38851" ht="15.75" customHeight="1">
      <c r="A38851" s="7"/>
      <c r="B38851" s="7"/>
      <c r="M38851" s="9" t="s">
        <v>27</v>
      </c>
    </row>
    <row r="38852" ht="15.75" customHeight="1">
      <c r="A38852" s="7"/>
      <c r="B38852" s="7"/>
      <c r="M38852" s="9" t="s">
        <v>33</v>
      </c>
    </row>
    <row r="38853" ht="15.75" customHeight="1">
      <c r="A38853" s="7"/>
      <c r="B38853" s="7"/>
      <c r="M38853" s="9" t="s">
        <v>24</v>
      </c>
    </row>
    <row r="38854" ht="15.75" customHeight="1">
      <c r="A38854" s="7"/>
      <c r="B38854" s="7"/>
      <c r="M38854" s="9" t="s">
        <v>20</v>
      </c>
    </row>
    <row r="38855" ht="15.75" customHeight="1">
      <c r="A38855" s="7"/>
      <c r="B38855" s="7"/>
      <c r="M38855" s="9" t="s">
        <v>21</v>
      </c>
    </row>
    <row r="38856" ht="15.75" customHeight="1">
      <c r="A38856" s="7"/>
      <c r="B38856" s="7"/>
      <c r="M38856" s="9" t="s">
        <v>22</v>
      </c>
    </row>
    <row r="38857" ht="15.75" customHeight="1">
      <c r="A38857" s="7"/>
      <c r="B38857" s="7"/>
      <c r="M38857" s="9" t="s">
        <v>27</v>
      </c>
    </row>
    <row r="38858" ht="15.75" customHeight="1">
      <c r="A38858" s="7"/>
      <c r="B38858" s="7"/>
      <c r="M38858" s="9" t="s">
        <v>30</v>
      </c>
    </row>
    <row r="38859" ht="15.75" customHeight="1">
      <c r="A38859" s="7"/>
      <c r="B38859" s="7"/>
      <c r="M38859" s="9" t="s">
        <v>36</v>
      </c>
    </row>
    <row r="38860" ht="15.75" customHeight="1">
      <c r="A38860" s="7"/>
      <c r="B38860" s="7"/>
      <c r="M38860" s="9" t="s">
        <v>24</v>
      </c>
    </row>
    <row r="38861" ht="15.75" customHeight="1">
      <c r="A38861" s="7"/>
      <c r="B38861" s="7"/>
      <c r="M38861" s="9" t="s">
        <v>21</v>
      </c>
    </row>
    <row r="38862" ht="15.75" customHeight="1">
      <c r="A38862" s="7"/>
      <c r="B38862" s="7"/>
      <c r="M38862" s="9" t="s">
        <v>22</v>
      </c>
    </row>
    <row r="38863" ht="15.75" customHeight="1">
      <c r="A38863" s="7"/>
      <c r="B38863" s="7"/>
      <c r="M38863" s="9" t="s">
        <v>27</v>
      </c>
    </row>
    <row r="38864" ht="15.75" customHeight="1">
      <c r="A38864" s="7"/>
      <c r="B38864" s="7"/>
      <c r="M38864" s="9" t="s">
        <v>25</v>
      </c>
    </row>
    <row r="38865" ht="15.75" customHeight="1">
      <c r="A38865" s="7"/>
      <c r="B38865" s="7"/>
      <c r="M38865" s="9" t="s">
        <v>23</v>
      </c>
    </row>
    <row r="38866" ht="15.75" customHeight="1">
      <c r="A38866" s="7"/>
      <c r="B38866" s="7"/>
      <c r="M38866" s="9" t="s">
        <v>26</v>
      </c>
    </row>
    <row r="38867" ht="15.75" customHeight="1">
      <c r="A38867" s="7"/>
      <c r="B38867" s="7"/>
      <c r="M38867" s="9" t="s">
        <v>24</v>
      </c>
    </row>
    <row r="38868" ht="15.75" customHeight="1">
      <c r="A38868" s="7"/>
      <c r="B38868" s="7"/>
      <c r="M38868" s="9" t="s">
        <v>20</v>
      </c>
    </row>
    <row r="38869" ht="15.75" customHeight="1">
      <c r="A38869" s="7"/>
      <c r="B38869" s="7"/>
      <c r="M38869" s="9" t="s">
        <v>21</v>
      </c>
    </row>
    <row r="38870" ht="15.75" customHeight="1">
      <c r="A38870" s="7"/>
      <c r="B38870" s="7"/>
      <c r="M38870" s="9" t="s">
        <v>27</v>
      </c>
    </row>
    <row r="38871" ht="15.75" customHeight="1">
      <c r="A38871" s="7"/>
      <c r="B38871" s="7"/>
      <c r="M38871" s="9" t="s">
        <v>30</v>
      </c>
    </row>
    <row r="38872" ht="15.75" customHeight="1">
      <c r="A38872" s="7"/>
      <c r="B38872" s="7"/>
      <c r="M38872" s="9" t="s">
        <v>24</v>
      </c>
    </row>
    <row r="38873" ht="15.75" customHeight="1">
      <c r="A38873" s="7"/>
      <c r="B38873" s="7"/>
      <c r="M38873" s="9" t="s">
        <v>21</v>
      </c>
    </row>
    <row r="38874" ht="15.75" customHeight="1">
      <c r="A38874" s="7"/>
      <c r="B38874" s="7"/>
      <c r="M38874" s="9" t="s">
        <v>31</v>
      </c>
    </row>
    <row r="38875" ht="15.75" customHeight="1">
      <c r="A38875" s="7"/>
      <c r="B38875" s="7"/>
      <c r="M38875" s="9" t="s">
        <v>38</v>
      </c>
    </row>
    <row r="38876" ht="15.75" customHeight="1">
      <c r="A38876" s="7"/>
      <c r="B38876" s="7"/>
      <c r="M38876" s="9" t="s">
        <v>25</v>
      </c>
    </row>
    <row r="38877" ht="15.75" customHeight="1">
      <c r="A38877" s="7"/>
      <c r="B38877" s="7"/>
      <c r="M38877" s="9" t="s">
        <v>23</v>
      </c>
    </row>
    <row r="38878" ht="15.75" customHeight="1">
      <c r="A38878" s="7"/>
      <c r="B38878" s="7"/>
      <c r="M38878" s="9" t="s">
        <v>24</v>
      </c>
    </row>
    <row r="38879" ht="15.75" customHeight="1">
      <c r="A38879" s="7"/>
      <c r="B38879" s="7"/>
      <c r="M38879" s="9" t="s">
        <v>22</v>
      </c>
    </row>
    <row r="38880" ht="15.75" customHeight="1">
      <c r="A38880" s="7"/>
      <c r="B38880" s="7"/>
      <c r="M38880" s="9" t="s">
        <v>32</v>
      </c>
    </row>
    <row r="38881" ht="15.75" customHeight="1">
      <c r="A38881" s="7"/>
      <c r="B38881" s="7"/>
      <c r="M38881" s="9" t="s">
        <v>27</v>
      </c>
    </row>
    <row r="38882" ht="15.75" customHeight="1">
      <c r="A38882" s="7"/>
      <c r="B38882" s="7"/>
      <c r="M38882" s="9" t="s">
        <v>30</v>
      </c>
    </row>
    <row r="38883" ht="15.75" customHeight="1">
      <c r="A38883" s="7"/>
      <c r="B38883" s="7"/>
      <c r="M38883" s="9" t="s">
        <v>25</v>
      </c>
    </row>
    <row r="38884" ht="15.75" customHeight="1">
      <c r="A38884" s="7"/>
      <c r="B38884" s="7"/>
      <c r="M38884" s="9" t="s">
        <v>23</v>
      </c>
    </row>
    <row r="38885" ht="15.75" customHeight="1">
      <c r="A38885" s="7"/>
      <c r="B38885" s="7"/>
      <c r="M38885" s="9" t="s">
        <v>24</v>
      </c>
    </row>
    <row r="38886" ht="15.75" customHeight="1">
      <c r="A38886" s="7"/>
      <c r="B38886" s="7"/>
      <c r="M38886" s="9" t="s">
        <v>20</v>
      </c>
    </row>
    <row r="38887" ht="15.75" customHeight="1">
      <c r="A38887" s="7"/>
      <c r="B38887" s="7"/>
      <c r="M38887" s="9" t="s">
        <v>21</v>
      </c>
    </row>
    <row r="38888" ht="15.75" customHeight="1">
      <c r="A38888" s="7"/>
      <c r="B38888" s="7"/>
      <c r="M38888" s="9" t="s">
        <v>41</v>
      </c>
    </row>
    <row r="38889" ht="15.75" customHeight="1">
      <c r="A38889" s="7"/>
      <c r="B38889" s="7"/>
      <c r="M38889" s="9" t="s">
        <v>27</v>
      </c>
    </row>
    <row r="38890" ht="15.75" customHeight="1">
      <c r="A38890" s="7"/>
      <c r="B38890" s="7"/>
      <c r="M38890" s="9" t="s">
        <v>40</v>
      </c>
    </row>
    <row r="38891" ht="15.75" customHeight="1">
      <c r="A38891" s="7"/>
      <c r="B38891" s="7"/>
      <c r="M38891" s="9" t="s">
        <v>27</v>
      </c>
    </row>
    <row r="38892" ht="15.75" customHeight="1">
      <c r="A38892" s="7"/>
      <c r="B38892" s="7"/>
      <c r="M38892" s="9" t="s">
        <v>26</v>
      </c>
    </row>
    <row r="38893" ht="15.75" customHeight="1">
      <c r="A38893" s="7"/>
      <c r="B38893" s="7"/>
      <c r="M38893" s="9" t="s">
        <v>24</v>
      </c>
    </row>
    <row r="38894" ht="15.75" customHeight="1">
      <c r="A38894" s="7"/>
      <c r="B38894" s="7"/>
      <c r="M38894" s="9" t="s">
        <v>21</v>
      </c>
    </row>
    <row r="38895" ht="15.75" customHeight="1">
      <c r="A38895" s="7"/>
      <c r="B38895" s="7"/>
      <c r="M38895" s="9" t="s">
        <v>33</v>
      </c>
    </row>
    <row r="38896" ht="15.75" customHeight="1">
      <c r="A38896" s="7"/>
      <c r="B38896" s="7"/>
      <c r="M38896" s="9" t="s">
        <v>25</v>
      </c>
    </row>
    <row r="38897" ht="15.75" customHeight="1">
      <c r="A38897" s="7"/>
      <c r="B38897" s="7"/>
      <c r="M38897" s="9" t="s">
        <v>24</v>
      </c>
    </row>
    <row r="38898" ht="15.75" customHeight="1">
      <c r="A38898" s="7"/>
      <c r="B38898" s="7"/>
      <c r="M38898" s="9" t="s">
        <v>20</v>
      </c>
    </row>
    <row r="38899" ht="15.75" customHeight="1">
      <c r="A38899" s="7"/>
      <c r="B38899" s="7"/>
      <c r="M38899" s="9" t="s">
        <v>21</v>
      </c>
    </row>
    <row r="38900" ht="15.75" customHeight="1">
      <c r="A38900" s="7"/>
      <c r="B38900" s="7"/>
      <c r="M38900" s="9" t="s">
        <v>22</v>
      </c>
    </row>
    <row r="38901" ht="15.75" customHeight="1">
      <c r="A38901" s="7"/>
      <c r="B38901" s="7"/>
      <c r="M38901" s="9" t="s">
        <v>24</v>
      </c>
    </row>
    <row r="38902" ht="15.75" customHeight="1">
      <c r="A38902" s="7"/>
      <c r="B38902" s="7"/>
      <c r="M38902" s="9" t="s">
        <v>21</v>
      </c>
    </row>
    <row r="38903" ht="15.75" customHeight="1">
      <c r="A38903" s="7"/>
      <c r="B38903" s="7"/>
      <c r="M38903" s="9" t="s">
        <v>24</v>
      </c>
    </row>
    <row r="38904" ht="15.75" customHeight="1">
      <c r="A38904" s="7"/>
      <c r="B38904" s="7"/>
      <c r="M38904" s="9" t="s">
        <v>21</v>
      </c>
    </row>
    <row r="38905" ht="15.75" customHeight="1">
      <c r="A38905" s="7"/>
      <c r="B38905" s="7"/>
      <c r="M38905" s="9" t="s">
        <v>37</v>
      </c>
    </row>
    <row r="38906" ht="15.75" customHeight="1">
      <c r="A38906" s="7"/>
      <c r="B38906" s="7"/>
      <c r="M38906" s="9" t="s">
        <v>35</v>
      </c>
    </row>
    <row r="38907" ht="15.75" customHeight="1">
      <c r="A38907" s="7"/>
      <c r="B38907" s="7"/>
      <c r="M38907" s="9" t="s">
        <v>30</v>
      </c>
    </row>
    <row r="38908" ht="15.75" customHeight="1">
      <c r="A38908" s="7"/>
      <c r="B38908" s="7"/>
      <c r="M38908" s="9" t="s">
        <v>20</v>
      </c>
    </row>
    <row r="38909" ht="15.75" customHeight="1">
      <c r="A38909" s="7"/>
      <c r="B38909" s="7"/>
      <c r="M38909" s="9" t="s">
        <v>21</v>
      </c>
    </row>
    <row r="38910" ht="15.75" customHeight="1">
      <c r="A38910" s="7"/>
      <c r="B38910" s="7"/>
      <c r="M38910" s="9" t="s">
        <v>35</v>
      </c>
    </row>
    <row r="38911" ht="15.75" customHeight="1">
      <c r="A38911" s="7"/>
      <c r="B38911" s="7"/>
      <c r="M38911" s="9" t="s">
        <v>26</v>
      </c>
    </row>
    <row r="38912" ht="15.75" customHeight="1">
      <c r="A38912" s="7"/>
      <c r="B38912" s="7"/>
      <c r="M38912" s="9" t="s">
        <v>24</v>
      </c>
    </row>
    <row r="38913" ht="15.75" customHeight="1">
      <c r="A38913" s="7"/>
      <c r="B38913" s="7"/>
      <c r="M38913" s="9" t="s">
        <v>40</v>
      </c>
    </row>
    <row r="38914" ht="15.75" customHeight="1">
      <c r="A38914" s="7"/>
      <c r="B38914" s="7"/>
      <c r="M38914" s="9" t="s">
        <v>30</v>
      </c>
    </row>
    <row r="38915" ht="15.75" customHeight="1">
      <c r="A38915" s="7"/>
      <c r="B38915" s="7"/>
      <c r="M38915" s="9" t="s">
        <v>24</v>
      </c>
    </row>
    <row r="38916" ht="15.75" customHeight="1">
      <c r="A38916" s="7"/>
      <c r="B38916" s="7"/>
      <c r="M38916" s="9" t="s">
        <v>21</v>
      </c>
    </row>
    <row r="38917" ht="15.75" customHeight="1">
      <c r="A38917" s="7"/>
      <c r="B38917" s="7"/>
      <c r="M38917" s="9" t="s">
        <v>22</v>
      </c>
    </row>
    <row r="38918" ht="15.75" customHeight="1">
      <c r="A38918" s="7"/>
      <c r="B38918" s="7"/>
      <c r="M38918" s="9" t="s">
        <v>31</v>
      </c>
    </row>
    <row r="38919" ht="15.75" customHeight="1">
      <c r="A38919" s="7"/>
      <c r="B38919" s="7"/>
      <c r="M38919" s="9" t="s">
        <v>24</v>
      </c>
    </row>
    <row r="38920" ht="15.75" customHeight="1">
      <c r="A38920" s="7"/>
      <c r="B38920" s="7"/>
      <c r="M38920" s="9" t="s">
        <v>30</v>
      </c>
    </row>
    <row r="38921" ht="15.75" customHeight="1">
      <c r="A38921" s="7"/>
      <c r="B38921" s="7"/>
      <c r="M38921" s="9" t="s">
        <v>26</v>
      </c>
    </row>
    <row r="38922" ht="15.75" customHeight="1">
      <c r="A38922" s="7"/>
      <c r="B38922" s="7"/>
      <c r="M38922" s="9" t="s">
        <v>24</v>
      </c>
    </row>
    <row r="38923" ht="15.75" customHeight="1">
      <c r="A38923" s="7"/>
      <c r="B38923" s="7"/>
      <c r="M38923" s="9" t="s">
        <v>20</v>
      </c>
    </row>
    <row r="38924" ht="15.75" customHeight="1">
      <c r="A38924" s="7"/>
      <c r="B38924" s="7"/>
      <c r="M38924" s="9" t="s">
        <v>21</v>
      </c>
    </row>
    <row r="38925" ht="15.75" customHeight="1">
      <c r="A38925" s="7"/>
      <c r="B38925" s="7"/>
      <c r="M38925" s="9" t="s">
        <v>39</v>
      </c>
    </row>
    <row r="38926" ht="15.75" customHeight="1">
      <c r="A38926" s="7"/>
      <c r="B38926" s="7"/>
      <c r="M38926" s="9" t="s">
        <v>37</v>
      </c>
    </row>
    <row r="38927" ht="15.75" customHeight="1">
      <c r="A38927" s="7"/>
      <c r="B38927" s="7"/>
      <c r="M38927" s="9" t="s">
        <v>27</v>
      </c>
    </row>
    <row r="38928" ht="15.75" customHeight="1">
      <c r="A38928" s="7"/>
      <c r="B38928" s="7"/>
      <c r="M38928" s="9" t="s">
        <v>35</v>
      </c>
    </row>
    <row r="38929" ht="15.75" customHeight="1">
      <c r="A38929" s="7"/>
      <c r="B38929" s="7"/>
      <c r="M38929" s="9" t="s">
        <v>30</v>
      </c>
    </row>
    <row r="38930" ht="15.75" customHeight="1">
      <c r="A38930" s="7"/>
      <c r="B38930" s="7"/>
      <c r="M38930" s="9" t="s">
        <v>24</v>
      </c>
    </row>
    <row r="38931" ht="15.75" customHeight="1">
      <c r="A38931" s="7"/>
      <c r="B38931" s="7"/>
      <c r="M38931" s="9" t="s">
        <v>21</v>
      </c>
    </row>
    <row r="38932" ht="15.75" customHeight="1">
      <c r="A38932" s="7"/>
      <c r="B38932" s="7"/>
      <c r="M38932" s="9" t="s">
        <v>31</v>
      </c>
    </row>
    <row r="38933" ht="15.75" customHeight="1">
      <c r="A38933" s="7"/>
      <c r="B38933" s="7"/>
      <c r="M38933" s="9" t="s">
        <v>27</v>
      </c>
    </row>
    <row r="38934" ht="15.75" customHeight="1">
      <c r="A38934" s="7"/>
      <c r="B38934" s="7"/>
      <c r="M38934" s="9" t="s">
        <v>23</v>
      </c>
    </row>
    <row r="38935" ht="15.75" customHeight="1">
      <c r="A38935" s="7"/>
      <c r="B38935" s="7"/>
      <c r="M38935" s="9" t="s">
        <v>22</v>
      </c>
    </row>
    <row r="38936" ht="15.75" customHeight="1">
      <c r="A38936" s="7"/>
      <c r="B38936" s="7"/>
      <c r="M38936" s="9" t="s">
        <v>30</v>
      </c>
    </row>
    <row r="38937" ht="15.75" customHeight="1">
      <c r="A38937" s="7"/>
      <c r="B38937" s="7"/>
      <c r="M38937" s="9" t="s">
        <v>26</v>
      </c>
    </row>
    <row r="38938" ht="15.75" customHeight="1">
      <c r="A38938" s="7"/>
      <c r="B38938" s="7"/>
      <c r="M38938" s="9" t="s">
        <v>44</v>
      </c>
    </row>
    <row r="38939" ht="15.75" customHeight="1">
      <c r="A38939" s="7"/>
      <c r="B38939" s="7"/>
      <c r="M38939" s="9" t="s">
        <v>20</v>
      </c>
    </row>
    <row r="38940" ht="15.75" customHeight="1">
      <c r="A38940" s="7"/>
      <c r="B38940" s="7"/>
      <c r="M38940" s="9" t="s">
        <v>22</v>
      </c>
    </row>
    <row r="38941" ht="15.75" customHeight="1">
      <c r="A38941" s="7"/>
      <c r="B38941" s="7"/>
      <c r="M38941" s="9" t="s">
        <v>46</v>
      </c>
    </row>
    <row r="38942" ht="15.75" customHeight="1">
      <c r="A38942" s="7"/>
      <c r="B38942" s="7"/>
      <c r="M38942" s="9" t="s">
        <v>27</v>
      </c>
    </row>
    <row r="38943" ht="15.75" customHeight="1">
      <c r="A38943" s="7"/>
      <c r="B38943" s="7"/>
      <c r="M38943" s="9" t="s">
        <v>38</v>
      </c>
    </row>
    <row r="38944" ht="15.75" customHeight="1">
      <c r="A38944" s="7"/>
      <c r="B38944" s="7"/>
      <c r="M38944" s="9" t="s">
        <v>24</v>
      </c>
    </row>
    <row r="38945" ht="15.75" customHeight="1">
      <c r="A38945" s="7"/>
      <c r="B38945" s="7"/>
      <c r="M38945" s="9" t="s">
        <v>20</v>
      </c>
    </row>
    <row r="38946" ht="15.75" customHeight="1">
      <c r="A38946" s="7"/>
      <c r="B38946" s="7"/>
      <c r="M38946" s="9" t="s">
        <v>37</v>
      </c>
    </row>
    <row r="38947" ht="15.75" customHeight="1">
      <c r="A38947" s="7"/>
      <c r="B38947" s="7"/>
      <c r="M38947" s="9" t="s">
        <v>27</v>
      </c>
    </row>
    <row r="38948" ht="15.75" customHeight="1">
      <c r="A38948" s="7"/>
      <c r="B38948" s="7"/>
      <c r="M38948" s="9" t="s">
        <v>30</v>
      </c>
    </row>
    <row r="38949" ht="15.75" customHeight="1">
      <c r="A38949" s="7"/>
      <c r="B38949" s="7"/>
      <c r="M38949" s="9" t="s">
        <v>26</v>
      </c>
    </row>
    <row r="38950" ht="15.75" customHeight="1">
      <c r="A38950" s="7"/>
      <c r="B38950" s="7"/>
      <c r="M38950" s="9" t="s">
        <v>20</v>
      </c>
    </row>
    <row r="38951" ht="15.75" customHeight="1">
      <c r="A38951" s="7"/>
      <c r="B38951" s="7"/>
      <c r="M38951" s="9" t="s">
        <v>21</v>
      </c>
    </row>
    <row r="38952" ht="15.75" customHeight="1">
      <c r="A38952" s="7"/>
      <c r="B38952" s="7"/>
      <c r="M38952" s="9" t="s">
        <v>27</v>
      </c>
    </row>
    <row r="38953" ht="15.75" customHeight="1">
      <c r="A38953" s="7"/>
      <c r="B38953" s="7"/>
      <c r="M38953" s="9" t="s">
        <v>30</v>
      </c>
    </row>
    <row r="38954" ht="15.75" customHeight="1">
      <c r="A38954" s="7"/>
      <c r="B38954" s="7"/>
      <c r="M38954" s="9" t="s">
        <v>26</v>
      </c>
    </row>
    <row r="38955" ht="15.75" customHeight="1">
      <c r="A38955" s="7"/>
      <c r="B38955" s="7"/>
      <c r="M38955" s="9" t="s">
        <v>36</v>
      </c>
    </row>
    <row r="38956" ht="15.75" customHeight="1">
      <c r="A38956" s="7"/>
      <c r="B38956" s="7"/>
      <c r="M38956" s="9" t="s">
        <v>24</v>
      </c>
    </row>
    <row r="38957" ht="15.75" customHeight="1">
      <c r="A38957" s="7"/>
      <c r="B38957" s="7"/>
      <c r="M38957" s="9" t="s">
        <v>20</v>
      </c>
    </row>
    <row r="38958" ht="15.75" customHeight="1">
      <c r="A38958" s="7"/>
      <c r="B38958" s="7"/>
      <c r="M38958" s="9" t="s">
        <v>39</v>
      </c>
    </row>
    <row r="38959" ht="15.75" customHeight="1">
      <c r="A38959" s="7"/>
      <c r="B38959" s="7"/>
      <c r="M38959" s="9" t="s">
        <v>22</v>
      </c>
    </row>
    <row r="38960" ht="15.75" customHeight="1">
      <c r="A38960" s="7"/>
      <c r="B38960" s="7"/>
      <c r="M38960" s="9" t="s">
        <v>29</v>
      </c>
    </row>
    <row r="38961" ht="15.75" customHeight="1">
      <c r="A38961" s="7"/>
      <c r="B38961" s="7"/>
      <c r="M38961" s="9" t="s">
        <v>27</v>
      </c>
    </row>
    <row r="38962" ht="15.75" customHeight="1">
      <c r="A38962" s="7"/>
      <c r="B38962" s="7"/>
      <c r="M38962" s="9" t="s">
        <v>25</v>
      </c>
    </row>
    <row r="38963" ht="15.75" customHeight="1">
      <c r="A38963" s="7"/>
      <c r="B38963" s="7"/>
      <c r="M38963" s="9" t="s">
        <v>24</v>
      </c>
    </row>
    <row r="38964" ht="15.75" customHeight="1">
      <c r="A38964" s="7"/>
      <c r="B38964" s="7"/>
      <c r="M38964" s="9" t="s">
        <v>20</v>
      </c>
    </row>
    <row r="38965" ht="15.75" customHeight="1">
      <c r="A38965" s="7"/>
      <c r="B38965" s="7"/>
      <c r="M38965" s="9" t="s">
        <v>21</v>
      </c>
    </row>
    <row r="38966" ht="15.75" customHeight="1">
      <c r="A38966" s="7"/>
      <c r="B38966" s="7"/>
      <c r="M38966" s="9" t="s">
        <v>27</v>
      </c>
    </row>
    <row r="38967" ht="15.75" customHeight="1">
      <c r="A38967" s="7"/>
      <c r="B38967" s="7"/>
      <c r="M38967" s="9" t="s">
        <v>24</v>
      </c>
    </row>
    <row r="38968" ht="15.75" customHeight="1">
      <c r="A38968" s="7"/>
      <c r="B38968" s="7"/>
      <c r="M38968" s="9" t="s">
        <v>22</v>
      </c>
    </row>
    <row r="38969" ht="15.75" customHeight="1">
      <c r="A38969" s="7"/>
      <c r="B38969" s="7"/>
      <c r="M38969" s="9" t="s">
        <v>27</v>
      </c>
    </row>
    <row r="38970" ht="15.75" customHeight="1">
      <c r="A38970" s="7"/>
      <c r="B38970" s="7"/>
      <c r="M38970" s="9" t="s">
        <v>30</v>
      </c>
    </row>
    <row r="38971" ht="15.75" customHeight="1">
      <c r="A38971" s="7"/>
      <c r="B38971" s="7"/>
      <c r="M38971" s="9" t="s">
        <v>36</v>
      </c>
    </row>
    <row r="38972" ht="15.75" customHeight="1">
      <c r="A38972" s="7"/>
      <c r="B38972" s="7"/>
      <c r="M38972" s="9" t="s">
        <v>24</v>
      </c>
    </row>
    <row r="38973" ht="15.75" customHeight="1">
      <c r="A38973" s="7"/>
      <c r="B38973" s="7"/>
      <c r="M38973" s="9" t="s">
        <v>21</v>
      </c>
    </row>
    <row r="38974" ht="15.75" customHeight="1">
      <c r="A38974" s="7"/>
      <c r="B38974" s="7"/>
      <c r="M38974" s="9" t="s">
        <v>38</v>
      </c>
    </row>
    <row r="38975" ht="15.75" customHeight="1">
      <c r="A38975" s="7"/>
      <c r="B38975" s="7"/>
      <c r="M38975" s="9" t="s">
        <v>30</v>
      </c>
    </row>
    <row r="38976" ht="15.75" customHeight="1">
      <c r="A38976" s="7"/>
      <c r="B38976" s="7"/>
      <c r="M38976" s="9" t="s">
        <v>25</v>
      </c>
    </row>
    <row r="38977" ht="15.75" customHeight="1">
      <c r="A38977" s="7"/>
      <c r="B38977" s="7"/>
      <c r="M38977" s="9" t="s">
        <v>23</v>
      </c>
    </row>
    <row r="38978" ht="15.75" customHeight="1">
      <c r="A38978" s="7"/>
      <c r="B38978" s="7"/>
      <c r="M38978" s="9" t="s">
        <v>24</v>
      </c>
    </row>
    <row r="38979" ht="15.75" customHeight="1">
      <c r="A38979" s="7"/>
      <c r="B38979" s="7"/>
      <c r="M38979" s="9" t="s">
        <v>21</v>
      </c>
    </row>
    <row r="38980" ht="15.75" customHeight="1">
      <c r="A38980" s="7"/>
      <c r="B38980" s="7"/>
      <c r="M38980" s="9" t="s">
        <v>37</v>
      </c>
    </row>
    <row r="38981" ht="15.75" customHeight="1">
      <c r="A38981" s="7"/>
      <c r="B38981" s="7"/>
      <c r="M38981" s="9" t="s">
        <v>22</v>
      </c>
    </row>
    <row r="38982" ht="15.75" customHeight="1">
      <c r="A38982" s="7"/>
      <c r="B38982" s="7"/>
      <c r="M38982" s="9" t="s">
        <v>31</v>
      </c>
    </row>
    <row r="38983" ht="15.75" customHeight="1">
      <c r="A38983" s="7"/>
      <c r="B38983" s="7"/>
      <c r="M38983" s="9" t="s">
        <v>27</v>
      </c>
    </row>
    <row r="38984" ht="15.75" customHeight="1">
      <c r="A38984" s="7"/>
      <c r="B38984" s="7"/>
      <c r="M38984" s="9" t="s">
        <v>24</v>
      </c>
    </row>
    <row r="38985" ht="15.75" customHeight="1">
      <c r="A38985" s="7"/>
      <c r="B38985" s="7"/>
      <c r="M38985" s="9" t="s">
        <v>21</v>
      </c>
    </row>
    <row r="38986" ht="15.75" customHeight="1">
      <c r="A38986" s="7"/>
      <c r="B38986" s="7"/>
      <c r="M38986" s="9" t="s">
        <v>37</v>
      </c>
    </row>
    <row r="38987" ht="15.75" customHeight="1">
      <c r="A38987" s="7"/>
      <c r="B38987" s="7"/>
      <c r="M38987" s="9" t="s">
        <v>22</v>
      </c>
    </row>
    <row r="38988" ht="15.75" customHeight="1">
      <c r="A38988" s="7"/>
      <c r="B38988" s="7"/>
      <c r="M38988" s="9" t="s">
        <v>20</v>
      </c>
    </row>
    <row r="38989" ht="15.75" customHeight="1">
      <c r="A38989" s="7"/>
      <c r="B38989" s="7"/>
      <c r="M38989" s="9" t="s">
        <v>39</v>
      </c>
    </row>
    <row r="38990" ht="15.75" customHeight="1">
      <c r="A38990" s="7"/>
      <c r="B38990" s="7"/>
      <c r="M38990" s="9" t="s">
        <v>40</v>
      </c>
    </row>
    <row r="38991" ht="15.75" customHeight="1">
      <c r="A38991" s="7"/>
      <c r="B38991" s="7"/>
      <c r="M38991" s="9" t="s">
        <v>39</v>
      </c>
    </row>
    <row r="38992" ht="15.75" customHeight="1">
      <c r="A38992" s="7"/>
      <c r="B38992" s="7"/>
      <c r="M38992" s="9" t="s">
        <v>30</v>
      </c>
    </row>
    <row r="38993" ht="15.75" customHeight="1">
      <c r="A38993" s="7"/>
      <c r="B38993" s="7"/>
      <c r="M38993" s="9" t="s">
        <v>25</v>
      </c>
    </row>
    <row r="38994" ht="15.75" customHeight="1">
      <c r="A38994" s="7"/>
      <c r="B38994" s="7"/>
      <c r="M38994" s="9" t="s">
        <v>20</v>
      </c>
    </row>
    <row r="38995" ht="15.75" customHeight="1">
      <c r="A38995" s="7"/>
      <c r="B38995" s="7"/>
      <c r="M38995" s="9" t="s">
        <v>21</v>
      </c>
    </row>
    <row r="38996" ht="15.75" customHeight="1">
      <c r="A38996" s="7"/>
      <c r="B38996" s="7"/>
      <c r="M38996" s="9" t="s">
        <v>27</v>
      </c>
    </row>
    <row r="38997" ht="15.75" customHeight="1">
      <c r="A38997" s="7"/>
      <c r="B38997" s="7"/>
      <c r="M38997" s="9" t="s">
        <v>35</v>
      </c>
    </row>
    <row r="38998" ht="15.75" customHeight="1">
      <c r="A38998" s="7"/>
      <c r="B38998" s="7"/>
      <c r="M38998" s="9" t="s">
        <v>25</v>
      </c>
    </row>
    <row r="38999" ht="15.75" customHeight="1">
      <c r="A38999" s="7"/>
      <c r="B38999" s="7"/>
      <c r="M38999" s="9" t="s">
        <v>23</v>
      </c>
    </row>
    <row r="39000" ht="15.75" customHeight="1">
      <c r="A39000" s="7"/>
      <c r="B39000" s="7"/>
      <c r="M39000" s="9" t="s">
        <v>26</v>
      </c>
    </row>
    <row r="39001" ht="15.75" customHeight="1">
      <c r="A39001" s="7"/>
      <c r="B39001" s="7"/>
      <c r="M39001" s="9" t="s">
        <v>24</v>
      </c>
    </row>
    <row r="39002" ht="15.75" customHeight="1">
      <c r="A39002" s="7"/>
      <c r="B39002" s="7"/>
      <c r="M39002" s="9" t="s">
        <v>20</v>
      </c>
    </row>
    <row r="39003" ht="15.75" customHeight="1">
      <c r="A39003" s="7"/>
      <c r="B39003" s="7"/>
      <c r="M39003" s="9" t="s">
        <v>21</v>
      </c>
    </row>
    <row r="39004" ht="15.75" customHeight="1">
      <c r="A39004" s="7"/>
      <c r="B39004" s="7"/>
      <c r="M39004" s="9" t="s">
        <v>22</v>
      </c>
    </row>
    <row r="39005" ht="15.75" customHeight="1">
      <c r="A39005" s="7"/>
      <c r="B39005" s="7"/>
      <c r="M39005" s="9" t="s">
        <v>27</v>
      </c>
    </row>
    <row r="39006" ht="15.75" customHeight="1">
      <c r="A39006" s="7"/>
      <c r="B39006" s="7"/>
      <c r="M39006" s="9" t="s">
        <v>33</v>
      </c>
    </row>
    <row r="39007" ht="15.75" customHeight="1">
      <c r="A39007" s="7"/>
      <c r="B39007" s="7"/>
      <c r="M39007" s="9" t="s">
        <v>25</v>
      </c>
    </row>
    <row r="39008" ht="15.75" customHeight="1">
      <c r="A39008" s="7"/>
      <c r="B39008" s="7"/>
      <c r="M39008" s="9" t="s">
        <v>47</v>
      </c>
    </row>
    <row r="39009" ht="15.75" customHeight="1">
      <c r="A39009" s="7"/>
      <c r="B39009" s="7"/>
      <c r="M39009" s="9" t="s">
        <v>20</v>
      </c>
    </row>
    <row r="39010" ht="15.75" customHeight="1">
      <c r="A39010" s="7"/>
      <c r="B39010" s="7"/>
      <c r="M39010" s="9" t="s">
        <v>22</v>
      </c>
    </row>
    <row r="39011" ht="15.75" customHeight="1">
      <c r="A39011" s="7"/>
      <c r="B39011" s="7"/>
      <c r="M39011" s="9" t="s">
        <v>24</v>
      </c>
    </row>
    <row r="39012" ht="15.75" customHeight="1">
      <c r="A39012" s="7"/>
      <c r="B39012" s="7"/>
      <c r="M39012" s="9" t="s">
        <v>21</v>
      </c>
    </row>
    <row r="39013" ht="15.75" customHeight="1">
      <c r="A39013" s="7"/>
      <c r="B39013" s="7"/>
      <c r="M39013" s="9" t="s">
        <v>37</v>
      </c>
    </row>
    <row r="39014" ht="15.75" customHeight="1">
      <c r="A39014" s="7"/>
      <c r="B39014" s="7"/>
      <c r="M39014" s="9" t="s">
        <v>36</v>
      </c>
    </row>
    <row r="39015" ht="15.75" customHeight="1">
      <c r="A39015" s="7"/>
      <c r="B39015" s="7"/>
      <c r="M39015" s="9" t="s">
        <v>24</v>
      </c>
    </row>
    <row r="39016" ht="15.75" customHeight="1">
      <c r="A39016" s="7"/>
      <c r="B39016" s="7"/>
      <c r="M39016" s="9" t="s">
        <v>21</v>
      </c>
    </row>
    <row r="39017" ht="15.75" customHeight="1">
      <c r="A39017" s="7"/>
      <c r="B39017" s="7"/>
      <c r="M39017" s="9" t="s">
        <v>22</v>
      </c>
    </row>
    <row r="39018" ht="15.75" customHeight="1">
      <c r="A39018" s="7"/>
      <c r="B39018" s="7"/>
      <c r="M39018" s="9" t="s">
        <v>35</v>
      </c>
    </row>
    <row r="39019" ht="15.75" customHeight="1">
      <c r="A39019" s="7"/>
      <c r="B39019" s="7"/>
      <c r="M39019" s="9" t="s">
        <v>46</v>
      </c>
    </row>
    <row r="39020" ht="15.75" customHeight="1">
      <c r="A39020" s="7"/>
      <c r="B39020" s="7"/>
      <c r="M39020" s="9" t="s">
        <v>30</v>
      </c>
    </row>
    <row r="39021" ht="15.75" customHeight="1">
      <c r="A39021" s="7"/>
      <c r="B39021" s="7"/>
      <c r="M39021" s="9" t="s">
        <v>24</v>
      </c>
    </row>
    <row r="39022" ht="15.75" customHeight="1">
      <c r="A39022" s="7"/>
      <c r="B39022" s="7"/>
      <c r="M39022" s="9" t="s">
        <v>20</v>
      </c>
    </row>
    <row r="39023" ht="15.75" customHeight="1">
      <c r="A39023" s="7"/>
      <c r="B39023" s="7"/>
      <c r="M39023" s="9" t="s">
        <v>46</v>
      </c>
    </row>
    <row r="39024" ht="15.75" customHeight="1">
      <c r="A39024" s="7"/>
      <c r="B39024" s="7"/>
      <c r="M39024" s="9" t="s">
        <v>27</v>
      </c>
    </row>
    <row r="39025" ht="15.75" customHeight="1">
      <c r="A39025" s="7"/>
      <c r="B39025" s="7"/>
      <c r="M39025" s="9" t="s">
        <v>20</v>
      </c>
    </row>
    <row r="39026" ht="15.75" customHeight="1">
      <c r="A39026" s="7"/>
      <c r="B39026" s="7"/>
      <c r="M39026" s="9" t="s">
        <v>26</v>
      </c>
    </row>
    <row r="39027" ht="15.75" customHeight="1">
      <c r="A39027" s="7"/>
      <c r="B39027" s="7"/>
      <c r="M39027" s="9" t="s">
        <v>24</v>
      </c>
    </row>
    <row r="39028" ht="15.75" customHeight="1">
      <c r="A39028" s="7"/>
      <c r="B39028" s="7"/>
      <c r="M39028" s="9" t="s">
        <v>21</v>
      </c>
    </row>
    <row r="39029" ht="15.75" customHeight="1">
      <c r="A39029" s="7"/>
      <c r="B39029" s="7"/>
      <c r="M39029" s="9" t="s">
        <v>22</v>
      </c>
    </row>
    <row r="39030" ht="15.75" customHeight="1">
      <c r="A39030" s="7"/>
      <c r="B39030" s="7"/>
      <c r="M39030" s="9" t="s">
        <v>27</v>
      </c>
    </row>
    <row r="39031" ht="15.75" customHeight="1">
      <c r="A39031" s="7"/>
      <c r="B39031" s="7"/>
      <c r="M39031" s="9" t="s">
        <v>33</v>
      </c>
    </row>
    <row r="39032" ht="15.75" customHeight="1">
      <c r="A39032" s="7"/>
      <c r="B39032" s="7"/>
      <c r="M39032" s="9" t="s">
        <v>38</v>
      </c>
    </row>
    <row r="39033" ht="15.75" customHeight="1">
      <c r="A39033" s="7"/>
      <c r="B39033" s="7"/>
      <c r="M39033" s="9" t="s">
        <v>25</v>
      </c>
    </row>
    <row r="39034" ht="15.75" customHeight="1">
      <c r="A39034" s="7"/>
      <c r="B39034" s="7"/>
      <c r="M39034" s="9" t="s">
        <v>23</v>
      </c>
    </row>
    <row r="39035" ht="15.75" customHeight="1">
      <c r="A39035" s="7"/>
      <c r="B39035" s="7"/>
      <c r="M39035" s="9" t="s">
        <v>26</v>
      </c>
    </row>
    <row r="39036" ht="15.75" customHeight="1">
      <c r="A39036" s="7"/>
      <c r="B39036" s="7"/>
      <c r="M39036" s="9" t="s">
        <v>24</v>
      </c>
    </row>
    <row r="39037" ht="15.75" customHeight="1">
      <c r="A39037" s="7"/>
      <c r="B39037" s="7"/>
      <c r="M39037" s="9" t="s">
        <v>20</v>
      </c>
    </row>
    <row r="39038" ht="15.75" customHeight="1">
      <c r="A39038" s="7"/>
      <c r="B39038" s="7"/>
      <c r="M39038" s="9" t="s">
        <v>21</v>
      </c>
    </row>
    <row r="39039" ht="15.75" customHeight="1">
      <c r="A39039" s="7"/>
      <c r="B39039" s="7"/>
      <c r="M39039" s="9" t="s">
        <v>22</v>
      </c>
    </row>
    <row r="39040" ht="15.75" customHeight="1">
      <c r="A39040" s="7"/>
      <c r="B39040" s="7"/>
      <c r="M39040" s="9" t="s">
        <v>31</v>
      </c>
    </row>
    <row r="39041" ht="15.75" customHeight="1">
      <c r="A39041" s="7"/>
      <c r="B39041" s="7"/>
      <c r="M39041" s="9" t="s">
        <v>33</v>
      </c>
    </row>
    <row r="39042" ht="15.75" customHeight="1">
      <c r="A39042" s="7"/>
      <c r="B39042" s="7"/>
      <c r="M39042" s="9" t="s">
        <v>26</v>
      </c>
    </row>
    <row r="39043" ht="15.75" customHeight="1">
      <c r="A39043" s="7"/>
      <c r="B39043" s="7"/>
      <c r="M39043" s="9" t="s">
        <v>24</v>
      </c>
    </row>
    <row r="39044" ht="15.75" customHeight="1">
      <c r="A39044" s="7"/>
      <c r="B39044" s="7"/>
      <c r="M39044" s="9" t="s">
        <v>20</v>
      </c>
    </row>
    <row r="39045" ht="15.75" customHeight="1">
      <c r="A39045" s="7"/>
      <c r="B39045" s="7"/>
      <c r="M39045" s="9" t="s">
        <v>21</v>
      </c>
    </row>
    <row r="39046" ht="15.75" customHeight="1">
      <c r="A39046" s="7"/>
      <c r="B39046" s="7"/>
      <c r="M39046" s="9" t="s">
        <v>37</v>
      </c>
    </row>
    <row r="39047" ht="15.75" customHeight="1">
      <c r="A39047" s="7"/>
      <c r="B39047" s="7"/>
      <c r="M39047" s="9" t="s">
        <v>27</v>
      </c>
    </row>
    <row r="39048" ht="15.75" customHeight="1">
      <c r="A39048" s="7"/>
      <c r="B39048" s="7"/>
      <c r="M39048" s="9" t="s">
        <v>33</v>
      </c>
    </row>
    <row r="39049" ht="15.75" customHeight="1">
      <c r="A39049" s="7"/>
      <c r="B39049" s="7"/>
      <c r="M39049" s="9" t="s">
        <v>23</v>
      </c>
    </row>
    <row r="39050" ht="15.75" customHeight="1">
      <c r="A39050" s="7"/>
      <c r="B39050" s="7"/>
      <c r="M39050" s="9" t="s">
        <v>24</v>
      </c>
    </row>
    <row r="39051" ht="15.75" customHeight="1">
      <c r="A39051" s="7"/>
      <c r="B39051" s="7"/>
      <c r="M39051" s="9" t="s">
        <v>20</v>
      </c>
    </row>
    <row r="39052" ht="15.75" customHeight="1">
      <c r="A39052" s="7"/>
      <c r="B39052" s="7"/>
      <c r="M39052" s="9" t="s">
        <v>21</v>
      </c>
    </row>
    <row r="39053" ht="15.75" customHeight="1">
      <c r="A39053" s="7"/>
      <c r="B39053" s="7"/>
      <c r="M39053" s="9" t="s">
        <v>27</v>
      </c>
    </row>
    <row r="39054" ht="15.75" customHeight="1">
      <c r="A39054" s="7"/>
      <c r="B39054" s="7"/>
      <c r="M39054" s="9" t="s">
        <v>30</v>
      </c>
    </row>
    <row r="39055" ht="15.75" customHeight="1">
      <c r="A39055" s="7"/>
      <c r="B39055" s="7"/>
      <c r="M39055" s="9" t="s">
        <v>21</v>
      </c>
    </row>
    <row r="39056" ht="15.75" customHeight="1">
      <c r="A39056" s="7"/>
      <c r="B39056" s="7"/>
      <c r="M39056" s="9" t="s">
        <v>41</v>
      </c>
    </row>
    <row r="39057" ht="15.75" customHeight="1">
      <c r="A39057" s="7"/>
      <c r="B39057" s="7"/>
      <c r="M39057" s="9" t="s">
        <v>22</v>
      </c>
    </row>
    <row r="39058" ht="15.75" customHeight="1">
      <c r="A39058" s="7"/>
      <c r="B39058" s="7"/>
      <c r="M39058" s="9" t="s">
        <v>31</v>
      </c>
    </row>
    <row r="39059" ht="15.75" customHeight="1">
      <c r="A39059" s="7"/>
      <c r="B39059" s="7"/>
      <c r="M39059" s="9" t="s">
        <v>40</v>
      </c>
    </row>
    <row r="39060" ht="15.75" customHeight="1">
      <c r="A39060" s="7"/>
      <c r="B39060" s="7"/>
      <c r="M39060" s="9" t="s">
        <v>30</v>
      </c>
    </row>
    <row r="39061" ht="15.75" customHeight="1">
      <c r="A39061" s="7"/>
      <c r="B39061" s="7"/>
      <c r="M39061" s="9" t="s">
        <v>25</v>
      </c>
    </row>
    <row r="39062" ht="15.75" customHeight="1">
      <c r="A39062" s="7"/>
      <c r="B39062" s="7"/>
      <c r="M39062" s="9" t="s">
        <v>23</v>
      </c>
    </row>
    <row r="39063" ht="15.75" customHeight="1">
      <c r="A39063" s="7"/>
      <c r="B39063" s="7"/>
      <c r="M39063" s="9" t="s">
        <v>41</v>
      </c>
    </row>
    <row r="39064" ht="15.75" customHeight="1">
      <c r="A39064" s="7"/>
      <c r="B39064" s="7"/>
      <c r="M39064" s="9" t="s">
        <v>30</v>
      </c>
    </row>
    <row r="39065" ht="15.75" customHeight="1">
      <c r="A39065" s="7"/>
      <c r="B39065" s="7"/>
      <c r="M39065" s="9" t="s">
        <v>24</v>
      </c>
    </row>
    <row r="39066" ht="15.75" customHeight="1">
      <c r="A39066" s="7"/>
      <c r="B39066" s="7"/>
      <c r="M39066" s="9" t="s">
        <v>21</v>
      </c>
    </row>
    <row r="39067" ht="15.75" customHeight="1">
      <c r="A39067" s="7"/>
      <c r="B39067" s="7"/>
      <c r="M39067" s="9" t="s">
        <v>22</v>
      </c>
    </row>
    <row r="39068" ht="15.75" customHeight="1">
      <c r="A39068" s="7"/>
      <c r="B39068" s="7"/>
      <c r="M39068" s="9" t="s">
        <v>27</v>
      </c>
    </row>
    <row r="39069" ht="15.75" customHeight="1">
      <c r="A39069" s="7"/>
      <c r="B39069" s="7"/>
      <c r="M39069" s="9" t="s">
        <v>26</v>
      </c>
    </row>
    <row r="39070" ht="15.75" customHeight="1">
      <c r="A39070" s="7"/>
      <c r="B39070" s="7"/>
      <c r="M39070" s="9" t="s">
        <v>24</v>
      </c>
    </row>
    <row r="39071" ht="15.75" customHeight="1">
      <c r="A39071" s="7"/>
      <c r="B39071" s="7"/>
      <c r="M39071" s="9" t="s">
        <v>20</v>
      </c>
    </row>
    <row r="39072" ht="15.75" customHeight="1">
      <c r="A39072" s="7"/>
      <c r="B39072" s="7"/>
      <c r="M39072" s="9" t="s">
        <v>21</v>
      </c>
    </row>
    <row r="39073" ht="15.75" customHeight="1">
      <c r="A39073" s="7"/>
      <c r="B39073" s="7"/>
      <c r="M39073" s="9" t="s">
        <v>37</v>
      </c>
    </row>
    <row r="39074" ht="15.75" customHeight="1">
      <c r="A39074" s="7"/>
      <c r="B39074" s="7"/>
      <c r="M39074" s="9" t="s">
        <v>22</v>
      </c>
    </row>
    <row r="39075" ht="15.75" customHeight="1">
      <c r="A39075" s="7"/>
      <c r="B39075" s="7"/>
      <c r="M39075" s="9" t="s">
        <v>27</v>
      </c>
    </row>
    <row r="39076" ht="15.75" customHeight="1">
      <c r="A39076" s="7"/>
      <c r="B39076" s="7"/>
      <c r="M39076" s="9" t="s">
        <v>24</v>
      </c>
    </row>
    <row r="39077" ht="15.75" customHeight="1">
      <c r="A39077" s="7"/>
      <c r="B39077" s="7"/>
      <c r="M39077" s="9" t="s">
        <v>20</v>
      </c>
    </row>
    <row r="39078" ht="15.75" customHeight="1">
      <c r="A39078" s="7"/>
      <c r="B39078" s="7"/>
      <c r="M39078" s="9" t="s">
        <v>21</v>
      </c>
    </row>
    <row r="39079" ht="15.75" customHeight="1">
      <c r="A39079" s="7"/>
      <c r="B39079" s="7"/>
      <c r="M39079" s="9" t="s">
        <v>22</v>
      </c>
    </row>
    <row r="39080" ht="15.75" customHeight="1">
      <c r="A39080" s="7"/>
      <c r="B39080" s="7"/>
      <c r="M39080" s="9" t="s">
        <v>31</v>
      </c>
    </row>
    <row r="39081" ht="15.75" customHeight="1">
      <c r="A39081" s="7"/>
      <c r="B39081" s="7"/>
      <c r="M39081" s="9" t="s">
        <v>30</v>
      </c>
    </row>
    <row r="39082" ht="15.75" customHeight="1">
      <c r="A39082" s="7"/>
      <c r="B39082" s="7"/>
      <c r="M39082" s="9" t="s">
        <v>22</v>
      </c>
    </row>
    <row r="39083" ht="15.75" customHeight="1">
      <c r="A39083" s="7"/>
      <c r="B39083" s="7"/>
      <c r="M39083" s="9" t="s">
        <v>35</v>
      </c>
    </row>
    <row r="39084" ht="15.75" customHeight="1">
      <c r="A39084" s="7"/>
      <c r="B39084" s="7"/>
      <c r="M39084" s="9" t="s">
        <v>24</v>
      </c>
    </row>
    <row r="39085" ht="15.75" customHeight="1">
      <c r="A39085" s="7"/>
      <c r="B39085" s="7"/>
      <c r="M39085" s="9" t="s">
        <v>21</v>
      </c>
    </row>
    <row r="39086" ht="15.75" customHeight="1">
      <c r="A39086" s="7"/>
      <c r="B39086" s="7"/>
      <c r="M39086" s="9" t="s">
        <v>37</v>
      </c>
    </row>
    <row r="39087" ht="15.75" customHeight="1">
      <c r="A39087" s="7"/>
      <c r="B39087" s="7"/>
      <c r="M39087" s="9" t="s">
        <v>22</v>
      </c>
    </row>
    <row r="39088" ht="15.75" customHeight="1">
      <c r="A39088" s="7"/>
      <c r="B39088" s="7"/>
      <c r="M39088" s="9" t="s">
        <v>27</v>
      </c>
    </row>
    <row r="39089" ht="15.75" customHeight="1">
      <c r="A39089" s="7"/>
      <c r="B39089" s="7"/>
      <c r="M39089" s="9" t="s">
        <v>30</v>
      </c>
    </row>
    <row r="39090" ht="15.75" customHeight="1">
      <c r="A39090" s="7"/>
      <c r="B39090" s="7"/>
      <c r="M39090" s="9" t="s">
        <v>24</v>
      </c>
    </row>
    <row r="39091" ht="15.75" customHeight="1">
      <c r="A39091" s="7"/>
      <c r="B39091" s="7"/>
      <c r="M39091" s="9" t="s">
        <v>35</v>
      </c>
    </row>
    <row r="39092" ht="15.75" customHeight="1">
      <c r="A39092" s="7"/>
      <c r="B39092" s="7"/>
      <c r="M39092" s="9" t="s">
        <v>30</v>
      </c>
    </row>
    <row r="39093" ht="15.75" customHeight="1">
      <c r="A39093" s="7"/>
      <c r="B39093" s="7"/>
      <c r="M39093" s="9" t="s">
        <v>36</v>
      </c>
    </row>
    <row r="39094" ht="15.75" customHeight="1">
      <c r="A39094" s="7"/>
      <c r="B39094" s="7"/>
      <c r="M39094" s="9" t="s">
        <v>39</v>
      </c>
    </row>
    <row r="39095" ht="15.75" customHeight="1">
      <c r="A39095" s="7"/>
      <c r="B39095" s="7"/>
      <c r="M39095" s="9" t="s">
        <v>34</v>
      </c>
    </row>
    <row r="39096" ht="15.75" customHeight="1">
      <c r="A39096" s="7"/>
      <c r="B39096" s="7"/>
      <c r="M39096" s="9" t="s">
        <v>30</v>
      </c>
    </row>
    <row r="39097" ht="15.75" customHeight="1">
      <c r="A39097" s="7"/>
      <c r="B39097" s="7"/>
      <c r="M39097" s="9" t="s">
        <v>24</v>
      </c>
    </row>
    <row r="39098" ht="15.75" customHeight="1">
      <c r="A39098" s="7"/>
      <c r="B39098" s="7"/>
      <c r="M39098" s="9" t="s">
        <v>21</v>
      </c>
    </row>
    <row r="39099" ht="15.75" customHeight="1">
      <c r="A39099" s="7"/>
      <c r="B39099" s="7"/>
      <c r="M39099" s="9" t="s">
        <v>22</v>
      </c>
    </row>
    <row r="39100" ht="15.75" customHeight="1">
      <c r="A39100" s="7"/>
      <c r="B39100" s="7"/>
      <c r="M39100" s="9" t="s">
        <v>27</v>
      </c>
    </row>
    <row r="39101" ht="15.75" customHeight="1">
      <c r="A39101" s="7"/>
      <c r="B39101" s="7"/>
      <c r="M39101" s="9" t="s">
        <v>30</v>
      </c>
    </row>
    <row r="39102" ht="15.75" customHeight="1">
      <c r="A39102" s="7"/>
      <c r="B39102" s="7"/>
      <c r="M39102" s="9" t="s">
        <v>22</v>
      </c>
    </row>
    <row r="39103" ht="15.75" customHeight="1">
      <c r="A39103" s="7"/>
      <c r="B39103" s="7"/>
      <c r="M39103" s="9" t="s">
        <v>30</v>
      </c>
    </row>
    <row r="39104" ht="15.75" customHeight="1">
      <c r="A39104" s="7"/>
      <c r="B39104" s="7"/>
      <c r="M39104" s="9" t="s">
        <v>26</v>
      </c>
    </row>
    <row r="39105" ht="15.75" customHeight="1">
      <c r="A39105" s="7"/>
      <c r="B39105" s="7"/>
      <c r="M39105" s="9" t="s">
        <v>45</v>
      </c>
    </row>
    <row r="39106" ht="15.75" customHeight="1">
      <c r="A39106" s="7"/>
      <c r="B39106" s="7"/>
      <c r="M39106" s="9" t="s">
        <v>24</v>
      </c>
    </row>
    <row r="39107" ht="15.75" customHeight="1">
      <c r="A39107" s="7"/>
      <c r="B39107" s="7"/>
      <c r="M39107" s="9" t="s">
        <v>20</v>
      </c>
    </row>
    <row r="39108" ht="15.75" customHeight="1">
      <c r="A39108" s="7"/>
      <c r="B39108" s="7"/>
      <c r="M39108" s="9" t="s">
        <v>21</v>
      </c>
    </row>
    <row r="39109" ht="15.75" customHeight="1">
      <c r="A39109" s="7"/>
      <c r="B39109" s="7"/>
      <c r="M39109" s="9" t="s">
        <v>22</v>
      </c>
    </row>
    <row r="39110" ht="15.75" customHeight="1">
      <c r="A39110" s="7"/>
      <c r="B39110" s="7"/>
      <c r="M39110" s="9" t="s">
        <v>46</v>
      </c>
    </row>
    <row r="39111" ht="15.75" customHeight="1">
      <c r="A39111" s="7"/>
      <c r="B39111" s="7"/>
      <c r="M39111" s="9" t="s">
        <v>27</v>
      </c>
    </row>
    <row r="39112" ht="15.75" customHeight="1">
      <c r="A39112" s="7"/>
      <c r="B39112" s="7"/>
      <c r="M39112" s="9" t="s">
        <v>33</v>
      </c>
    </row>
    <row r="39113" ht="15.75" customHeight="1">
      <c r="A39113" s="7"/>
      <c r="B39113" s="7"/>
      <c r="M39113" s="9" t="s">
        <v>24</v>
      </c>
    </row>
    <row r="39114" ht="15.75" customHeight="1">
      <c r="A39114" s="7"/>
      <c r="B39114" s="7"/>
      <c r="M39114" s="9" t="s">
        <v>21</v>
      </c>
    </row>
    <row r="39115" ht="15.75" customHeight="1">
      <c r="A39115" s="7"/>
      <c r="B39115" s="7"/>
      <c r="M39115" s="9" t="s">
        <v>37</v>
      </c>
    </row>
    <row r="39116" ht="15.75" customHeight="1">
      <c r="A39116" s="7"/>
      <c r="B39116" s="7"/>
      <c r="M39116" s="9" t="s">
        <v>30</v>
      </c>
    </row>
    <row r="39117" ht="15.75" customHeight="1">
      <c r="A39117" s="7"/>
      <c r="B39117" s="7"/>
      <c r="M39117" s="9" t="s">
        <v>26</v>
      </c>
    </row>
    <row r="39118" ht="15.75" customHeight="1">
      <c r="A39118" s="7"/>
      <c r="B39118" s="7"/>
      <c r="M39118" s="9" t="s">
        <v>24</v>
      </c>
    </row>
    <row r="39119" ht="15.75" customHeight="1">
      <c r="A39119" s="7"/>
      <c r="B39119" s="7"/>
      <c r="M39119" s="9" t="s">
        <v>21</v>
      </c>
    </row>
    <row r="39120" ht="15.75" customHeight="1">
      <c r="A39120" s="7"/>
      <c r="B39120" s="7"/>
      <c r="M39120" s="9" t="s">
        <v>22</v>
      </c>
    </row>
    <row r="39121" ht="15.75" customHeight="1">
      <c r="A39121" s="7"/>
      <c r="B39121" s="7"/>
      <c r="M39121" s="9" t="s">
        <v>24</v>
      </c>
    </row>
    <row r="39122" ht="15.75" customHeight="1">
      <c r="A39122" s="7"/>
      <c r="B39122" s="7"/>
      <c r="M39122" s="9" t="s">
        <v>21</v>
      </c>
    </row>
    <row r="39123" ht="15.75" customHeight="1">
      <c r="A39123" s="7"/>
      <c r="B39123" s="7"/>
      <c r="M39123" s="9" t="s">
        <v>22</v>
      </c>
    </row>
    <row r="39124" ht="15.75" customHeight="1">
      <c r="A39124" s="7"/>
      <c r="B39124" s="7"/>
      <c r="M39124" s="9" t="s">
        <v>26</v>
      </c>
    </row>
    <row r="39125" ht="15.75" customHeight="1">
      <c r="A39125" s="7"/>
      <c r="B39125" s="7"/>
      <c r="M39125" s="9" t="s">
        <v>24</v>
      </c>
    </row>
    <row r="39126" ht="15.75" customHeight="1">
      <c r="A39126" s="7"/>
      <c r="B39126" s="7"/>
      <c r="M39126" s="9" t="s">
        <v>21</v>
      </c>
    </row>
    <row r="39127" ht="15.75" customHeight="1">
      <c r="A39127" s="7"/>
      <c r="B39127" s="7"/>
      <c r="M39127" s="9" t="s">
        <v>27</v>
      </c>
    </row>
    <row r="39128" ht="15.75" customHeight="1">
      <c r="A39128" s="7"/>
      <c r="B39128" s="7"/>
      <c r="M39128" s="9" t="s">
        <v>24</v>
      </c>
    </row>
    <row r="39129" ht="15.75" customHeight="1">
      <c r="A39129" s="7"/>
      <c r="B39129" s="7"/>
      <c r="M39129" s="9" t="s">
        <v>22</v>
      </c>
    </row>
    <row r="39130" ht="15.75" customHeight="1">
      <c r="A39130" s="7"/>
      <c r="B39130" s="7"/>
      <c r="M39130" s="9" t="s">
        <v>29</v>
      </c>
    </row>
    <row r="39131" ht="15.75" customHeight="1">
      <c r="A39131" s="7"/>
      <c r="B39131" s="7"/>
      <c r="M39131" s="9" t="s">
        <v>27</v>
      </c>
    </row>
    <row r="39132" ht="15.75" customHeight="1">
      <c r="A39132" s="7"/>
      <c r="B39132" s="7"/>
      <c r="M39132" s="9" t="s">
        <v>30</v>
      </c>
    </row>
    <row r="39133" ht="15.75" customHeight="1">
      <c r="A39133" s="7"/>
      <c r="B39133" s="7"/>
      <c r="M39133" s="9" t="s">
        <v>24</v>
      </c>
    </row>
    <row r="39134" ht="15.75" customHeight="1">
      <c r="A39134" s="7"/>
      <c r="B39134" s="7"/>
      <c r="M39134" s="9" t="s">
        <v>21</v>
      </c>
    </row>
    <row r="39135" ht="15.75" customHeight="1">
      <c r="A39135" s="7"/>
      <c r="B39135" s="7"/>
      <c r="M39135" s="9" t="s">
        <v>24</v>
      </c>
    </row>
    <row r="39136" ht="15.75" customHeight="1">
      <c r="A39136" s="7"/>
      <c r="B39136" s="7"/>
      <c r="M39136" s="9" t="s">
        <v>21</v>
      </c>
    </row>
    <row r="39137" ht="15.75" customHeight="1">
      <c r="A39137" s="7"/>
      <c r="B39137" s="7"/>
      <c r="M39137" s="9" t="s">
        <v>22</v>
      </c>
    </row>
    <row r="39138" ht="15.75" customHeight="1">
      <c r="A39138" s="7"/>
      <c r="B39138" s="7"/>
      <c r="M39138" s="9" t="s">
        <v>30</v>
      </c>
    </row>
    <row r="39139" ht="15.75" customHeight="1">
      <c r="A39139" s="7"/>
      <c r="B39139" s="7"/>
      <c r="M39139" s="9" t="s">
        <v>24</v>
      </c>
    </row>
    <row r="39140" ht="15.75" customHeight="1">
      <c r="A39140" s="7"/>
      <c r="B39140" s="7"/>
      <c r="M39140" s="9" t="s">
        <v>20</v>
      </c>
    </row>
    <row r="39141" ht="15.75" customHeight="1">
      <c r="A39141" s="7"/>
      <c r="B39141" s="7"/>
      <c r="M39141" s="9" t="s">
        <v>21</v>
      </c>
    </row>
    <row r="39142" ht="15.75" customHeight="1">
      <c r="A39142" s="7"/>
      <c r="B39142" s="7"/>
      <c r="M39142" s="9" t="s">
        <v>22</v>
      </c>
    </row>
    <row r="39143" ht="15.75" customHeight="1">
      <c r="A39143" s="7"/>
      <c r="B39143" s="7"/>
      <c r="M39143" s="9" t="s">
        <v>20</v>
      </c>
    </row>
    <row r="39144" ht="15.75" customHeight="1">
      <c r="A39144" s="7"/>
      <c r="B39144" s="7"/>
      <c r="M39144" s="9" t="s">
        <v>37</v>
      </c>
    </row>
    <row r="39145" ht="15.75" customHeight="1">
      <c r="A39145" s="7"/>
      <c r="B39145" s="7"/>
      <c r="M39145" s="9" t="s">
        <v>27</v>
      </c>
    </row>
    <row r="39146" ht="15.75" customHeight="1">
      <c r="A39146" s="7"/>
      <c r="B39146" s="7"/>
      <c r="M39146" s="9" t="s">
        <v>28</v>
      </c>
    </row>
    <row r="39147" ht="15.75" customHeight="1">
      <c r="A39147" s="7"/>
      <c r="B39147" s="7"/>
      <c r="M39147" s="9" t="s">
        <v>25</v>
      </c>
    </row>
    <row r="39148" ht="15.75" customHeight="1">
      <c r="A39148" s="7"/>
      <c r="B39148" s="7"/>
      <c r="M39148" s="9" t="s">
        <v>26</v>
      </c>
    </row>
    <row r="39149" ht="15.75" customHeight="1">
      <c r="A39149" s="7"/>
      <c r="B39149" s="7"/>
      <c r="M39149" s="9" t="s">
        <v>24</v>
      </c>
    </row>
    <row r="39150" ht="15.75" customHeight="1">
      <c r="A39150" s="7"/>
      <c r="B39150" s="7"/>
      <c r="M39150" s="9" t="s">
        <v>21</v>
      </c>
    </row>
    <row r="39151" ht="15.75" customHeight="1">
      <c r="A39151" s="7"/>
      <c r="B39151" s="7"/>
      <c r="M39151" s="9" t="s">
        <v>22</v>
      </c>
    </row>
    <row r="39152" ht="15.75" customHeight="1">
      <c r="A39152" s="7"/>
      <c r="B39152" s="7"/>
      <c r="M39152" s="9" t="s">
        <v>27</v>
      </c>
    </row>
    <row r="39153" ht="15.75" customHeight="1">
      <c r="A39153" s="7"/>
      <c r="B39153" s="7"/>
      <c r="M39153" s="9" t="s">
        <v>24</v>
      </c>
    </row>
    <row r="39154" ht="15.75" customHeight="1">
      <c r="A39154" s="7"/>
      <c r="B39154" s="7"/>
      <c r="M39154" s="9" t="s">
        <v>21</v>
      </c>
    </row>
    <row r="39155" ht="15.75" customHeight="1">
      <c r="A39155" s="7"/>
      <c r="B39155" s="7"/>
      <c r="M39155" s="9" t="s">
        <v>37</v>
      </c>
    </row>
    <row r="39156" ht="15.75" customHeight="1">
      <c r="A39156" s="7"/>
      <c r="B39156" s="7"/>
      <c r="M39156" s="9" t="s">
        <v>22</v>
      </c>
    </row>
    <row r="39157" ht="15.75" customHeight="1">
      <c r="A39157" s="7"/>
      <c r="B39157" s="7"/>
      <c r="M39157" s="9" t="s">
        <v>27</v>
      </c>
    </row>
    <row r="39158" ht="15.75" customHeight="1">
      <c r="A39158" s="7"/>
      <c r="B39158" s="7"/>
      <c r="M39158" s="9" t="s">
        <v>26</v>
      </c>
    </row>
    <row r="39159" ht="15.75" customHeight="1">
      <c r="A39159" s="7"/>
      <c r="B39159" s="7"/>
      <c r="M39159" s="9" t="s">
        <v>28</v>
      </c>
    </row>
    <row r="39160" ht="15.75" customHeight="1">
      <c r="A39160" s="7"/>
      <c r="B39160" s="7"/>
      <c r="M39160" s="9" t="s">
        <v>24</v>
      </c>
    </row>
    <row r="39161" ht="15.75" customHeight="1">
      <c r="A39161" s="7"/>
      <c r="B39161" s="7"/>
      <c r="M39161" s="9" t="s">
        <v>21</v>
      </c>
    </row>
    <row r="39162" ht="15.75" customHeight="1">
      <c r="A39162" s="7"/>
      <c r="B39162" s="7"/>
      <c r="M39162" s="9" t="s">
        <v>22</v>
      </c>
    </row>
    <row r="39163" ht="15.75" customHeight="1">
      <c r="A39163" s="7"/>
      <c r="B39163" s="7"/>
      <c r="M39163" s="9" t="s">
        <v>46</v>
      </c>
    </row>
    <row r="39164" ht="15.75" customHeight="1">
      <c r="A39164" s="7"/>
      <c r="B39164" s="7"/>
      <c r="M39164" s="9" t="s">
        <v>30</v>
      </c>
    </row>
    <row r="39165" ht="15.75" customHeight="1">
      <c r="A39165" s="7"/>
      <c r="B39165" s="7"/>
      <c r="M39165" s="9" t="s">
        <v>23</v>
      </c>
    </row>
    <row r="39166" ht="15.75" customHeight="1">
      <c r="A39166" s="7"/>
      <c r="B39166" s="7"/>
      <c r="M39166" s="9" t="s">
        <v>24</v>
      </c>
    </row>
    <row r="39167" ht="15.75" customHeight="1">
      <c r="A39167" s="7"/>
      <c r="B39167" s="7"/>
      <c r="M39167" s="9" t="s">
        <v>21</v>
      </c>
    </row>
    <row r="39168" ht="15.75" customHeight="1">
      <c r="A39168" s="7"/>
      <c r="B39168" s="7"/>
      <c r="M39168" s="9" t="s">
        <v>41</v>
      </c>
    </row>
    <row r="39169" ht="15.75" customHeight="1">
      <c r="A39169" s="7"/>
      <c r="B39169" s="7"/>
      <c r="M39169" s="9" t="s">
        <v>22</v>
      </c>
    </row>
    <row r="39170" ht="15.75" customHeight="1">
      <c r="A39170" s="7"/>
      <c r="B39170" s="7"/>
      <c r="M39170" s="9" t="s">
        <v>23</v>
      </c>
    </row>
    <row r="39171" ht="15.75" customHeight="1">
      <c r="A39171" s="7"/>
      <c r="B39171" s="7"/>
      <c r="M39171" s="9" t="s">
        <v>47</v>
      </c>
    </row>
    <row r="39172" ht="15.75" customHeight="1">
      <c r="A39172" s="7"/>
      <c r="B39172" s="7"/>
      <c r="M39172" s="9" t="s">
        <v>36</v>
      </c>
    </row>
    <row r="39173" ht="15.75" customHeight="1">
      <c r="A39173" s="7"/>
      <c r="B39173" s="7"/>
      <c r="M39173" s="9" t="s">
        <v>24</v>
      </c>
    </row>
    <row r="39174" ht="15.75" customHeight="1">
      <c r="A39174" s="7"/>
      <c r="B39174" s="7"/>
      <c r="M39174" s="9" t="s">
        <v>21</v>
      </c>
    </row>
    <row r="39175" ht="15.75" customHeight="1">
      <c r="A39175" s="7"/>
      <c r="B39175" s="7"/>
      <c r="M39175" s="9" t="s">
        <v>22</v>
      </c>
    </row>
    <row r="39176" ht="15.75" customHeight="1">
      <c r="A39176" s="7"/>
      <c r="B39176" s="7"/>
      <c r="M39176" s="9" t="s">
        <v>33</v>
      </c>
    </row>
    <row r="39177" ht="15.75" customHeight="1">
      <c r="A39177" s="7"/>
      <c r="B39177" s="7"/>
      <c r="M39177" s="9" t="s">
        <v>21</v>
      </c>
    </row>
    <row r="39178" ht="15.75" customHeight="1">
      <c r="A39178" s="7"/>
      <c r="B39178" s="7"/>
      <c r="M39178" s="9" t="s">
        <v>37</v>
      </c>
    </row>
    <row r="39179" ht="15.75" customHeight="1">
      <c r="A39179" s="7"/>
      <c r="B39179" s="7"/>
      <c r="M39179" s="9" t="s">
        <v>27</v>
      </c>
    </row>
    <row r="39180" ht="15.75" customHeight="1">
      <c r="A39180" s="7"/>
      <c r="B39180" s="7"/>
      <c r="M39180" s="9" t="s">
        <v>25</v>
      </c>
    </row>
    <row r="39181" ht="15.75" customHeight="1">
      <c r="A39181" s="7"/>
      <c r="B39181" s="7"/>
      <c r="M39181" s="9" t="s">
        <v>23</v>
      </c>
    </row>
    <row r="39182" ht="15.75" customHeight="1">
      <c r="A39182" s="7"/>
      <c r="B39182" s="7"/>
      <c r="M39182" s="9" t="s">
        <v>26</v>
      </c>
    </row>
    <row r="39183" ht="15.75" customHeight="1">
      <c r="A39183" s="7"/>
      <c r="B39183" s="7"/>
      <c r="M39183" s="9" t="s">
        <v>24</v>
      </c>
    </row>
    <row r="39184" ht="15.75" customHeight="1">
      <c r="A39184" s="7"/>
      <c r="B39184" s="7"/>
      <c r="M39184" s="9" t="s">
        <v>20</v>
      </c>
    </row>
    <row r="39185" ht="15.75" customHeight="1">
      <c r="A39185" s="7"/>
      <c r="B39185" s="7"/>
      <c r="M39185" s="9" t="s">
        <v>21</v>
      </c>
    </row>
    <row r="39186" ht="15.75" customHeight="1">
      <c r="A39186" s="7"/>
      <c r="B39186" s="7"/>
      <c r="M39186" s="9" t="s">
        <v>37</v>
      </c>
    </row>
    <row r="39187" ht="15.75" customHeight="1">
      <c r="A39187" s="7"/>
      <c r="B39187" s="7"/>
      <c r="M39187" s="9" t="s">
        <v>22</v>
      </c>
    </row>
    <row r="39188" ht="15.75" customHeight="1">
      <c r="A39188" s="7"/>
      <c r="B39188" s="7"/>
      <c r="M39188" s="9" t="s">
        <v>20</v>
      </c>
    </row>
    <row r="39189" ht="15.75" customHeight="1">
      <c r="A39189" s="7"/>
      <c r="B39189" s="7"/>
      <c r="M39189" s="9" t="s">
        <v>22</v>
      </c>
    </row>
    <row r="39190" ht="15.75" customHeight="1">
      <c r="A39190" s="7"/>
      <c r="B39190" s="7"/>
      <c r="M39190" s="9" t="s">
        <v>26</v>
      </c>
    </row>
    <row r="39191" ht="15.75" customHeight="1">
      <c r="A39191" s="7"/>
      <c r="B39191" s="7"/>
      <c r="M39191" s="9" t="s">
        <v>24</v>
      </c>
    </row>
    <row r="39192" ht="15.75" customHeight="1">
      <c r="A39192" s="7"/>
      <c r="B39192" s="7"/>
      <c r="M39192" s="9" t="s">
        <v>21</v>
      </c>
    </row>
    <row r="39193" ht="15.75" customHeight="1">
      <c r="A39193" s="7"/>
      <c r="B39193" s="7"/>
      <c r="M39193" s="9" t="s">
        <v>22</v>
      </c>
    </row>
    <row r="39194" ht="15.75" customHeight="1">
      <c r="A39194" s="7"/>
      <c r="B39194" s="7"/>
      <c r="M39194" s="9" t="s">
        <v>27</v>
      </c>
    </row>
    <row r="39195" ht="15.75" customHeight="1">
      <c r="A39195" s="7"/>
      <c r="B39195" s="7"/>
      <c r="M39195" s="9" t="s">
        <v>28</v>
      </c>
    </row>
    <row r="39196" ht="15.75" customHeight="1">
      <c r="A39196" s="7"/>
      <c r="B39196" s="7"/>
      <c r="M39196" s="9" t="s">
        <v>38</v>
      </c>
    </row>
    <row r="39197" ht="15.75" customHeight="1">
      <c r="A39197" s="7"/>
      <c r="B39197" s="7"/>
      <c r="M39197" s="9" t="s">
        <v>25</v>
      </c>
    </row>
    <row r="39198" ht="15.75" customHeight="1">
      <c r="A39198" s="7"/>
      <c r="B39198" s="7"/>
      <c r="M39198" s="9" t="s">
        <v>23</v>
      </c>
    </row>
    <row r="39199" ht="15.75" customHeight="1">
      <c r="A39199" s="7"/>
      <c r="B39199" s="7"/>
      <c r="M39199" s="9" t="s">
        <v>26</v>
      </c>
    </row>
    <row r="39200" ht="15.75" customHeight="1">
      <c r="A39200" s="7"/>
      <c r="B39200" s="7"/>
      <c r="M39200" s="9" t="s">
        <v>24</v>
      </c>
    </row>
    <row r="39201" ht="15.75" customHeight="1">
      <c r="A39201" s="7"/>
      <c r="B39201" s="7"/>
      <c r="M39201" s="9" t="s">
        <v>21</v>
      </c>
    </row>
    <row r="39202" ht="15.75" customHeight="1">
      <c r="A39202" s="7"/>
      <c r="B39202" s="7"/>
      <c r="M39202" s="9" t="s">
        <v>37</v>
      </c>
    </row>
    <row r="39203" ht="15.75" customHeight="1">
      <c r="A39203" s="7"/>
      <c r="B39203" s="7"/>
      <c r="M39203" s="9" t="s">
        <v>22</v>
      </c>
    </row>
    <row r="39204" ht="15.75" customHeight="1">
      <c r="A39204" s="7"/>
      <c r="B39204" s="7"/>
      <c r="M39204" s="9" t="s">
        <v>27</v>
      </c>
    </row>
    <row r="39205" ht="15.75" customHeight="1">
      <c r="A39205" s="7"/>
      <c r="B39205" s="7"/>
      <c r="M39205" s="9" t="s">
        <v>24</v>
      </c>
    </row>
    <row r="39206" ht="15.75" customHeight="1">
      <c r="A39206" s="7"/>
      <c r="B39206" s="7"/>
      <c r="M39206" s="9" t="s">
        <v>20</v>
      </c>
    </row>
    <row r="39207" ht="15.75" customHeight="1">
      <c r="A39207" s="7"/>
      <c r="B39207" s="7"/>
      <c r="M39207" s="9" t="s">
        <v>21</v>
      </c>
    </row>
    <row r="39208" ht="15.75" customHeight="1">
      <c r="A39208" s="7"/>
      <c r="B39208" s="7"/>
      <c r="M39208" s="9" t="s">
        <v>33</v>
      </c>
    </row>
    <row r="39209" ht="15.75" customHeight="1">
      <c r="A39209" s="7"/>
      <c r="B39209" s="7"/>
      <c r="M39209" s="9" t="s">
        <v>26</v>
      </c>
    </row>
    <row r="39210" ht="15.75" customHeight="1">
      <c r="A39210" s="7"/>
      <c r="B39210" s="7"/>
      <c r="M39210" s="9" t="s">
        <v>24</v>
      </c>
    </row>
    <row r="39211" ht="15.75" customHeight="1">
      <c r="A39211" s="7"/>
      <c r="B39211" s="7"/>
      <c r="M39211" s="9" t="s">
        <v>20</v>
      </c>
    </row>
    <row r="39212" ht="15.75" customHeight="1">
      <c r="A39212" s="7"/>
      <c r="B39212" s="7"/>
      <c r="M39212" s="9" t="s">
        <v>21</v>
      </c>
    </row>
    <row r="39213" ht="15.75" customHeight="1">
      <c r="A39213" s="7"/>
      <c r="B39213" s="7"/>
      <c r="M39213" s="9" t="s">
        <v>27</v>
      </c>
    </row>
    <row r="39214" ht="15.75" customHeight="1">
      <c r="A39214" s="7"/>
      <c r="B39214" s="7"/>
      <c r="M39214" s="9" t="s">
        <v>26</v>
      </c>
    </row>
    <row r="39215" ht="15.75" customHeight="1">
      <c r="A39215" s="7"/>
      <c r="B39215" s="7"/>
      <c r="M39215" s="9" t="s">
        <v>24</v>
      </c>
    </row>
    <row r="39216" ht="15.75" customHeight="1">
      <c r="A39216" s="7"/>
      <c r="B39216" s="7"/>
      <c r="M39216" s="9" t="s">
        <v>21</v>
      </c>
    </row>
    <row r="39217" ht="15.75" customHeight="1">
      <c r="A39217" s="7"/>
      <c r="B39217" s="7"/>
      <c r="M39217" s="9" t="s">
        <v>27</v>
      </c>
    </row>
    <row r="39218" ht="15.75" customHeight="1">
      <c r="A39218" s="7"/>
      <c r="B39218" s="7"/>
      <c r="M39218" s="9" t="s">
        <v>35</v>
      </c>
    </row>
    <row r="39219" ht="15.75" customHeight="1">
      <c r="A39219" s="7"/>
      <c r="B39219" s="7"/>
      <c r="M39219" s="9" t="s">
        <v>30</v>
      </c>
    </row>
    <row r="39220" ht="15.75" customHeight="1">
      <c r="A39220" s="7"/>
      <c r="B39220" s="7"/>
      <c r="M39220" s="9" t="s">
        <v>24</v>
      </c>
    </row>
    <row r="39221" ht="15.75" customHeight="1">
      <c r="A39221" s="7"/>
      <c r="B39221" s="7"/>
      <c r="M39221" s="9" t="s">
        <v>20</v>
      </c>
    </row>
    <row r="39222" ht="15.75" customHeight="1">
      <c r="A39222" s="7"/>
      <c r="B39222" s="7"/>
      <c r="M39222" s="9" t="s">
        <v>21</v>
      </c>
    </row>
    <row r="39223" ht="15.75" customHeight="1">
      <c r="A39223" s="7"/>
      <c r="B39223" s="7"/>
      <c r="M39223" s="9" t="s">
        <v>33</v>
      </c>
    </row>
    <row r="39224" ht="15.75" customHeight="1">
      <c r="A39224" s="7"/>
      <c r="B39224" s="7"/>
      <c r="M39224" s="9" t="s">
        <v>24</v>
      </c>
    </row>
    <row r="39225" ht="15.75" customHeight="1">
      <c r="A39225" s="7"/>
      <c r="B39225" s="7"/>
      <c r="M39225" s="9" t="s">
        <v>21</v>
      </c>
    </row>
    <row r="39226" ht="15.75" customHeight="1">
      <c r="A39226" s="7"/>
      <c r="B39226" s="7"/>
      <c r="M39226" s="9" t="s">
        <v>22</v>
      </c>
    </row>
    <row r="39227" ht="15.75" customHeight="1">
      <c r="A39227" s="7"/>
      <c r="B39227" s="7"/>
      <c r="M39227" s="9" t="s">
        <v>27</v>
      </c>
    </row>
    <row r="39228" ht="15.75" customHeight="1">
      <c r="A39228" s="7"/>
      <c r="B39228" s="7"/>
      <c r="M39228" s="9" t="s">
        <v>33</v>
      </c>
    </row>
    <row r="39229" ht="15.75" customHeight="1">
      <c r="A39229" s="7"/>
      <c r="B39229" s="7"/>
      <c r="M39229" s="9" t="s">
        <v>22</v>
      </c>
    </row>
    <row r="39230" ht="15.75" customHeight="1">
      <c r="A39230" s="7"/>
      <c r="B39230" s="7"/>
      <c r="M39230" s="9" t="s">
        <v>29</v>
      </c>
    </row>
    <row r="39231" ht="15.75" customHeight="1">
      <c r="A39231" s="7"/>
      <c r="B39231" s="7"/>
      <c r="M39231" s="9" t="s">
        <v>30</v>
      </c>
    </row>
    <row r="39232" ht="15.75" customHeight="1">
      <c r="A39232" s="7"/>
      <c r="B39232" s="7"/>
      <c r="M39232" s="9" t="s">
        <v>25</v>
      </c>
    </row>
    <row r="39233" ht="15.75" customHeight="1">
      <c r="A39233" s="7"/>
      <c r="B39233" s="7"/>
      <c r="M39233" s="9" t="s">
        <v>26</v>
      </c>
    </row>
    <row r="39234" ht="15.75" customHeight="1">
      <c r="A39234" s="7"/>
      <c r="B39234" s="7"/>
      <c r="M39234" s="9" t="s">
        <v>24</v>
      </c>
    </row>
    <row r="39235" ht="15.75" customHeight="1">
      <c r="A39235" s="7"/>
      <c r="B39235" s="7"/>
      <c r="M39235" s="9" t="s">
        <v>21</v>
      </c>
    </row>
    <row r="39236" ht="15.75" customHeight="1">
      <c r="A39236" s="7"/>
      <c r="B39236" s="7"/>
      <c r="M39236" s="9" t="s">
        <v>27</v>
      </c>
    </row>
    <row r="39237" ht="15.75" customHeight="1">
      <c r="A39237" s="7"/>
      <c r="B39237" s="7"/>
      <c r="M39237" s="9" t="s">
        <v>33</v>
      </c>
    </row>
    <row r="39238" ht="15.75" customHeight="1">
      <c r="A39238" s="7"/>
      <c r="B39238" s="7"/>
      <c r="M39238" s="9" t="s">
        <v>30</v>
      </c>
    </row>
    <row r="39239" ht="15.75" customHeight="1">
      <c r="A39239" s="7"/>
      <c r="B39239" s="7"/>
      <c r="M39239" s="9" t="s">
        <v>25</v>
      </c>
    </row>
    <row r="39240" ht="15.75" customHeight="1">
      <c r="A39240" s="7"/>
      <c r="B39240" s="7"/>
      <c r="M39240" s="9" t="s">
        <v>24</v>
      </c>
    </row>
    <row r="39241" ht="15.75" customHeight="1">
      <c r="A39241" s="7"/>
      <c r="B39241" s="7"/>
      <c r="M39241" s="9" t="s">
        <v>20</v>
      </c>
    </row>
    <row r="39242" ht="15.75" customHeight="1">
      <c r="A39242" s="7"/>
      <c r="B39242" s="7"/>
      <c r="M39242" s="9" t="s">
        <v>37</v>
      </c>
    </row>
    <row r="39243" ht="15.75" customHeight="1">
      <c r="A39243" s="7"/>
      <c r="B39243" s="7"/>
      <c r="M39243" s="9" t="s">
        <v>27</v>
      </c>
    </row>
    <row r="39244" ht="15.75" customHeight="1">
      <c r="A39244" s="7"/>
      <c r="B39244" s="7"/>
      <c r="M39244" s="9" t="s">
        <v>33</v>
      </c>
    </row>
    <row r="39245" ht="15.75" customHeight="1">
      <c r="A39245" s="7"/>
      <c r="B39245" s="7"/>
      <c r="M39245" s="9" t="s">
        <v>24</v>
      </c>
    </row>
    <row r="39246" ht="15.75" customHeight="1">
      <c r="A39246" s="7"/>
      <c r="B39246" s="7"/>
      <c r="M39246" s="9" t="s">
        <v>21</v>
      </c>
    </row>
    <row r="39247" ht="15.75" customHeight="1">
      <c r="A39247" s="7"/>
      <c r="B39247" s="7"/>
      <c r="M39247" s="9" t="s">
        <v>22</v>
      </c>
    </row>
    <row r="39248" ht="15.75" customHeight="1">
      <c r="A39248" s="7"/>
      <c r="B39248" s="7"/>
      <c r="M39248" s="9" t="s">
        <v>24</v>
      </c>
    </row>
    <row r="39249" ht="15.75" customHeight="1">
      <c r="A39249" s="7"/>
      <c r="B39249" s="7"/>
      <c r="M39249" s="9" t="s">
        <v>21</v>
      </c>
    </row>
    <row r="39250" ht="15.75" customHeight="1">
      <c r="A39250" s="7"/>
      <c r="B39250" s="7"/>
      <c r="M39250" s="9" t="s">
        <v>22</v>
      </c>
    </row>
    <row r="39251" ht="15.75" customHeight="1">
      <c r="A39251" s="7"/>
      <c r="B39251" s="7"/>
      <c r="M39251" s="9" t="s">
        <v>27</v>
      </c>
    </row>
    <row r="39252" ht="15.75" customHeight="1">
      <c r="A39252" s="7"/>
      <c r="B39252" s="7"/>
      <c r="M39252" s="9" t="s">
        <v>24</v>
      </c>
    </row>
    <row r="39253" ht="15.75" customHeight="1">
      <c r="A39253" s="7"/>
      <c r="B39253" s="7"/>
      <c r="M39253" s="9" t="s">
        <v>21</v>
      </c>
    </row>
    <row r="39254" ht="15.75" customHeight="1">
      <c r="A39254" s="7"/>
      <c r="B39254" s="7"/>
      <c r="M39254" s="9" t="s">
        <v>22</v>
      </c>
    </row>
    <row r="39255" ht="15.75" customHeight="1">
      <c r="A39255" s="7"/>
      <c r="B39255" s="7"/>
      <c r="M39255" s="9" t="s">
        <v>27</v>
      </c>
    </row>
    <row r="39256" ht="15.75" customHeight="1">
      <c r="A39256" s="7"/>
      <c r="B39256" s="7"/>
      <c r="M39256" s="9" t="s">
        <v>33</v>
      </c>
    </row>
    <row r="39257" ht="15.75" customHeight="1">
      <c r="A39257" s="7"/>
      <c r="B39257" s="7"/>
      <c r="M39257" s="9" t="s">
        <v>30</v>
      </c>
    </row>
    <row r="39258" ht="15.75" customHeight="1">
      <c r="A39258" s="7"/>
      <c r="B39258" s="7"/>
      <c r="M39258" s="9" t="s">
        <v>26</v>
      </c>
    </row>
    <row r="39259" ht="15.75" customHeight="1">
      <c r="A39259" s="7"/>
      <c r="B39259" s="7"/>
      <c r="M39259" s="9" t="s">
        <v>24</v>
      </c>
    </row>
    <row r="39260" ht="15.75" customHeight="1">
      <c r="A39260" s="7"/>
      <c r="B39260" s="7"/>
      <c r="M39260" s="9" t="s">
        <v>21</v>
      </c>
    </row>
    <row r="39261" ht="15.75" customHeight="1">
      <c r="A39261" s="7"/>
      <c r="B39261" s="7"/>
      <c r="M39261" s="9" t="s">
        <v>37</v>
      </c>
    </row>
    <row r="39262" ht="15.75" customHeight="1">
      <c r="A39262" s="7"/>
      <c r="B39262" s="7"/>
      <c r="M39262" s="9" t="s">
        <v>27</v>
      </c>
    </row>
    <row r="39263" ht="15.75" customHeight="1">
      <c r="A39263" s="7"/>
      <c r="B39263" s="7"/>
      <c r="M39263" s="9" t="s">
        <v>33</v>
      </c>
    </row>
    <row r="39264" ht="15.75" customHeight="1">
      <c r="A39264" s="7"/>
      <c r="B39264" s="7"/>
      <c r="M39264" s="9" t="s">
        <v>30</v>
      </c>
    </row>
    <row r="39265" ht="15.75" customHeight="1">
      <c r="A39265" s="7"/>
      <c r="B39265" s="7"/>
      <c r="M39265" s="9" t="s">
        <v>24</v>
      </c>
    </row>
    <row r="39266" ht="15.75" customHeight="1">
      <c r="A39266" s="7"/>
      <c r="B39266" s="7"/>
      <c r="M39266" s="9" t="s">
        <v>20</v>
      </c>
    </row>
    <row r="39267" ht="15.75" customHeight="1">
      <c r="A39267" s="7"/>
      <c r="B39267" s="7"/>
      <c r="M39267" s="9" t="s">
        <v>22</v>
      </c>
    </row>
    <row r="39268" ht="15.75" customHeight="1">
      <c r="A39268" s="7"/>
      <c r="B39268" s="7"/>
      <c r="M39268" s="9" t="s">
        <v>27</v>
      </c>
    </row>
    <row r="39269" ht="15.75" customHeight="1">
      <c r="A39269" s="7"/>
      <c r="B39269" s="7"/>
      <c r="M39269" s="9" t="s">
        <v>25</v>
      </c>
    </row>
    <row r="39270" ht="15.75" customHeight="1">
      <c r="A39270" s="7"/>
      <c r="B39270" s="7"/>
      <c r="M39270" s="9" t="s">
        <v>20</v>
      </c>
    </row>
    <row r="39271" ht="15.75" customHeight="1">
      <c r="A39271" s="7"/>
      <c r="B39271" s="7"/>
      <c r="M39271" s="9" t="s">
        <v>22</v>
      </c>
    </row>
    <row r="39272" ht="15.75" customHeight="1">
      <c r="A39272" s="7"/>
      <c r="B39272" s="7"/>
      <c r="M39272" s="9" t="s">
        <v>29</v>
      </c>
    </row>
    <row r="39273" ht="15.75" customHeight="1">
      <c r="A39273" s="7"/>
      <c r="B39273" s="7"/>
      <c r="M39273" s="9" t="s">
        <v>28</v>
      </c>
    </row>
    <row r="39274" ht="15.75" customHeight="1">
      <c r="A39274" s="7"/>
      <c r="B39274" s="7"/>
      <c r="M39274" s="9" t="s">
        <v>30</v>
      </c>
    </row>
    <row r="39275" ht="15.75" customHeight="1">
      <c r="A39275" s="7"/>
      <c r="B39275" s="7"/>
      <c r="M39275" s="9" t="s">
        <v>24</v>
      </c>
    </row>
    <row r="39276" ht="15.75" customHeight="1">
      <c r="A39276" s="7"/>
      <c r="B39276" s="7"/>
      <c r="M39276" s="9" t="s">
        <v>21</v>
      </c>
    </row>
    <row r="39277" ht="15.75" customHeight="1">
      <c r="A39277" s="7"/>
      <c r="B39277" s="7"/>
      <c r="M39277" s="9" t="s">
        <v>30</v>
      </c>
    </row>
    <row r="39278" ht="15.75" customHeight="1">
      <c r="A39278" s="7"/>
      <c r="B39278" s="7"/>
      <c r="M39278" s="9" t="s">
        <v>22</v>
      </c>
    </row>
    <row r="39279" ht="15.75" customHeight="1">
      <c r="A39279" s="7"/>
      <c r="B39279" s="7"/>
      <c r="M39279" s="9" t="s">
        <v>29</v>
      </c>
    </row>
    <row r="39280" ht="15.75" customHeight="1">
      <c r="A39280" s="7"/>
      <c r="B39280" s="7"/>
      <c r="M39280" s="9" t="s">
        <v>27</v>
      </c>
    </row>
    <row r="39281" ht="15.75" customHeight="1">
      <c r="A39281" s="7"/>
      <c r="B39281" s="7"/>
      <c r="M39281" s="9" t="s">
        <v>26</v>
      </c>
    </row>
    <row r="39282" ht="15.75" customHeight="1">
      <c r="A39282" s="7"/>
      <c r="B39282" s="7"/>
      <c r="M39282" s="9" t="s">
        <v>24</v>
      </c>
    </row>
    <row r="39283" ht="15.75" customHeight="1">
      <c r="A39283" s="7"/>
      <c r="B39283" s="7"/>
      <c r="M39283" s="9" t="s">
        <v>21</v>
      </c>
    </row>
    <row r="39284" ht="15.75" customHeight="1">
      <c r="A39284" s="7"/>
      <c r="B39284" s="7"/>
      <c r="M39284" s="9" t="s">
        <v>27</v>
      </c>
    </row>
    <row r="39285" ht="15.75" customHeight="1">
      <c r="A39285" s="7"/>
      <c r="B39285" s="7"/>
      <c r="M39285" s="9" t="s">
        <v>33</v>
      </c>
    </row>
    <row r="39286" ht="15.75" customHeight="1">
      <c r="A39286" s="7"/>
      <c r="B39286" s="7"/>
      <c r="M39286" s="9" t="s">
        <v>26</v>
      </c>
    </row>
    <row r="39287" ht="15.75" customHeight="1">
      <c r="A39287" s="7"/>
      <c r="B39287" s="7"/>
      <c r="M39287" s="9" t="s">
        <v>24</v>
      </c>
    </row>
    <row r="39288" ht="15.75" customHeight="1">
      <c r="A39288" s="7"/>
      <c r="B39288" s="7"/>
      <c r="M39288" s="9" t="s">
        <v>21</v>
      </c>
    </row>
    <row r="39289" ht="15.75" customHeight="1">
      <c r="A39289" s="7"/>
      <c r="B39289" s="7"/>
      <c r="M39289" s="9" t="s">
        <v>22</v>
      </c>
    </row>
    <row r="39290" ht="15.75" customHeight="1">
      <c r="A39290" s="7"/>
      <c r="B39290" s="7"/>
      <c r="M39290" s="9" t="s">
        <v>27</v>
      </c>
    </row>
    <row r="39291" ht="15.75" customHeight="1">
      <c r="A39291" s="7"/>
      <c r="B39291" s="7"/>
      <c r="M39291" s="9" t="s">
        <v>38</v>
      </c>
    </row>
    <row r="39292" ht="15.75" customHeight="1">
      <c r="A39292" s="7"/>
      <c r="B39292" s="7"/>
      <c r="M39292" s="9" t="s">
        <v>23</v>
      </c>
    </row>
    <row r="39293" ht="15.75" customHeight="1">
      <c r="A39293" s="7"/>
      <c r="B39293" s="7"/>
      <c r="M39293" s="9" t="s">
        <v>24</v>
      </c>
    </row>
    <row r="39294" ht="15.75" customHeight="1">
      <c r="A39294" s="7"/>
      <c r="B39294" s="7"/>
      <c r="M39294" s="9" t="s">
        <v>20</v>
      </c>
    </row>
    <row r="39295" ht="15.75" customHeight="1">
      <c r="A39295" s="7"/>
      <c r="B39295" s="7"/>
      <c r="M39295" s="9" t="s">
        <v>37</v>
      </c>
    </row>
    <row r="39296" ht="15.75" customHeight="1">
      <c r="A39296" s="7"/>
      <c r="B39296" s="7"/>
      <c r="M39296" s="9" t="s">
        <v>27</v>
      </c>
    </row>
    <row r="39297" ht="15.75" customHeight="1">
      <c r="A39297" s="7"/>
      <c r="B39297" s="7"/>
      <c r="M39297" s="9" t="s">
        <v>26</v>
      </c>
    </row>
    <row r="39298" ht="15.75" customHeight="1">
      <c r="A39298" s="7"/>
      <c r="B39298" s="7"/>
      <c r="M39298" s="9" t="s">
        <v>24</v>
      </c>
    </row>
    <row r="39299" ht="15.75" customHeight="1">
      <c r="A39299" s="7"/>
      <c r="B39299" s="7"/>
      <c r="M39299" s="9" t="s">
        <v>27</v>
      </c>
    </row>
    <row r="39300" ht="15.75" customHeight="1">
      <c r="A39300" s="7"/>
      <c r="B39300" s="7"/>
      <c r="M39300" s="9" t="s">
        <v>26</v>
      </c>
    </row>
    <row r="39301" ht="15.75" customHeight="1">
      <c r="A39301" s="7"/>
      <c r="B39301" s="7"/>
      <c r="M39301" s="9" t="s">
        <v>24</v>
      </c>
    </row>
    <row r="39302" ht="15.75" customHeight="1">
      <c r="A39302" s="7"/>
      <c r="B39302" s="7"/>
      <c r="M39302" s="9" t="s">
        <v>21</v>
      </c>
    </row>
    <row r="39303" ht="15.75" customHeight="1">
      <c r="A39303" s="7"/>
      <c r="B39303" s="7"/>
      <c r="M39303" s="9" t="s">
        <v>27</v>
      </c>
    </row>
    <row r="39304" ht="15.75" customHeight="1">
      <c r="A39304" s="7"/>
      <c r="B39304" s="7"/>
      <c r="M39304" s="9" t="s">
        <v>33</v>
      </c>
    </row>
    <row r="39305" ht="15.75" customHeight="1">
      <c r="A39305" s="7"/>
      <c r="B39305" s="7"/>
      <c r="M39305" s="9" t="s">
        <v>23</v>
      </c>
    </row>
    <row r="39306" ht="15.75" customHeight="1">
      <c r="A39306" s="7"/>
      <c r="B39306" s="7"/>
      <c r="M39306" s="9" t="s">
        <v>24</v>
      </c>
    </row>
    <row r="39307" ht="15.75" customHeight="1">
      <c r="A39307" s="7"/>
      <c r="B39307" s="7"/>
      <c r="M39307" s="9" t="s">
        <v>21</v>
      </c>
    </row>
    <row r="39308" ht="15.75" customHeight="1">
      <c r="A39308" s="7"/>
      <c r="B39308" s="7"/>
      <c r="M39308" s="9" t="s">
        <v>23</v>
      </c>
    </row>
    <row r="39309" ht="15.75" customHeight="1">
      <c r="A39309" s="7"/>
      <c r="B39309" s="7"/>
      <c r="M39309" s="9" t="s">
        <v>24</v>
      </c>
    </row>
    <row r="39310" ht="15.75" customHeight="1">
      <c r="A39310" s="7"/>
      <c r="B39310" s="7"/>
      <c r="M39310" s="9" t="s">
        <v>37</v>
      </c>
    </row>
    <row r="39311" ht="15.75" customHeight="1">
      <c r="A39311" s="7"/>
      <c r="B39311" s="7"/>
      <c r="M39311" s="9" t="s">
        <v>22</v>
      </c>
    </row>
    <row r="39312" ht="15.75" customHeight="1">
      <c r="A39312" s="7"/>
      <c r="B39312" s="7"/>
      <c r="M39312" s="9" t="s">
        <v>26</v>
      </c>
    </row>
    <row r="39313" ht="15.75" customHeight="1">
      <c r="A39313" s="7"/>
      <c r="B39313" s="7"/>
      <c r="M39313" s="9" t="s">
        <v>24</v>
      </c>
    </row>
    <row r="39314" ht="15.75" customHeight="1">
      <c r="A39314" s="7"/>
      <c r="B39314" s="7"/>
      <c r="M39314" s="9" t="s">
        <v>21</v>
      </c>
    </row>
    <row r="39315" ht="15.75" customHeight="1">
      <c r="A39315" s="7"/>
      <c r="B39315" s="7"/>
      <c r="M39315" s="9" t="s">
        <v>28</v>
      </c>
    </row>
    <row r="39316" ht="15.75" customHeight="1">
      <c r="A39316" s="7"/>
      <c r="B39316" s="7"/>
      <c r="M39316" s="9" t="s">
        <v>30</v>
      </c>
    </row>
    <row r="39317" ht="15.75" customHeight="1">
      <c r="A39317" s="7"/>
      <c r="B39317" s="7"/>
      <c r="M39317" s="9" t="s">
        <v>27</v>
      </c>
    </row>
    <row r="39318" ht="15.75" customHeight="1">
      <c r="A39318" s="7"/>
      <c r="B39318" s="7"/>
      <c r="M39318" s="9" t="s">
        <v>24</v>
      </c>
    </row>
    <row r="39319" ht="15.75" customHeight="1">
      <c r="A39319" s="7"/>
      <c r="B39319" s="7"/>
      <c r="M39319" s="9" t="s">
        <v>21</v>
      </c>
    </row>
    <row r="39320" ht="15.75" customHeight="1">
      <c r="A39320" s="7"/>
      <c r="B39320" s="7"/>
      <c r="M39320" s="9" t="s">
        <v>33</v>
      </c>
    </row>
    <row r="39321" ht="15.75" customHeight="1">
      <c r="A39321" s="7"/>
      <c r="B39321" s="7"/>
      <c r="M39321" s="9" t="s">
        <v>30</v>
      </c>
    </row>
    <row r="39322" ht="15.75" customHeight="1">
      <c r="A39322" s="7"/>
      <c r="B39322" s="7"/>
      <c r="M39322" s="9" t="s">
        <v>24</v>
      </c>
    </row>
    <row r="39323" ht="15.75" customHeight="1">
      <c r="A39323" s="7"/>
      <c r="B39323" s="7"/>
      <c r="M39323" s="9" t="s">
        <v>21</v>
      </c>
    </row>
    <row r="39324" ht="15.75" customHeight="1">
      <c r="A39324" s="7"/>
      <c r="B39324" s="7"/>
      <c r="M39324" s="9" t="s">
        <v>37</v>
      </c>
    </row>
    <row r="39325" ht="15.75" customHeight="1">
      <c r="A39325" s="7"/>
      <c r="B39325" s="7"/>
      <c r="M39325" s="9" t="s">
        <v>27</v>
      </c>
    </row>
    <row r="39326" ht="15.75" customHeight="1">
      <c r="A39326" s="7"/>
      <c r="B39326" s="7"/>
      <c r="M39326" s="9" t="s">
        <v>33</v>
      </c>
    </row>
    <row r="39327" ht="15.75" customHeight="1">
      <c r="A39327" s="7"/>
      <c r="B39327" s="7"/>
      <c r="M39327" s="9" t="s">
        <v>24</v>
      </c>
    </row>
    <row r="39328" ht="15.75" customHeight="1">
      <c r="A39328" s="7"/>
      <c r="B39328" s="7"/>
      <c r="M39328" s="9" t="s">
        <v>20</v>
      </c>
    </row>
    <row r="39329" ht="15.75" customHeight="1">
      <c r="A39329" s="7"/>
      <c r="B39329" s="7"/>
      <c r="M39329" s="9" t="s">
        <v>27</v>
      </c>
    </row>
    <row r="39330" ht="15.75" customHeight="1">
      <c r="A39330" s="7"/>
      <c r="B39330" s="7"/>
      <c r="M39330" s="9" t="s">
        <v>24</v>
      </c>
    </row>
    <row r="39331" ht="15.75" customHeight="1">
      <c r="A39331" s="7"/>
      <c r="B39331" s="7"/>
      <c r="M39331" s="9" t="s">
        <v>21</v>
      </c>
    </row>
    <row r="39332" ht="15.75" customHeight="1">
      <c r="A39332" s="7"/>
      <c r="B39332" s="7"/>
      <c r="M39332" s="9" t="s">
        <v>33</v>
      </c>
    </row>
    <row r="39333" ht="15.75" customHeight="1">
      <c r="A39333" s="7"/>
      <c r="B39333" s="7"/>
      <c r="M39333" s="9" t="s">
        <v>24</v>
      </c>
    </row>
    <row r="39334" ht="15.75" customHeight="1">
      <c r="A39334" s="7"/>
      <c r="B39334" s="7"/>
      <c r="M39334" s="9" t="s">
        <v>21</v>
      </c>
    </row>
    <row r="39335" ht="15.75" customHeight="1">
      <c r="A39335" s="7"/>
      <c r="B39335" s="7"/>
      <c r="M39335" s="9" t="s">
        <v>25</v>
      </c>
    </row>
    <row r="39336" ht="15.75" customHeight="1">
      <c r="A39336" s="7"/>
      <c r="B39336" s="7"/>
      <c r="M39336" s="9" t="s">
        <v>23</v>
      </c>
    </row>
    <row r="39337" ht="15.75" customHeight="1">
      <c r="A39337" s="7"/>
      <c r="B39337" s="7"/>
      <c r="M39337" s="9" t="s">
        <v>24</v>
      </c>
    </row>
    <row r="39338" ht="15.75" customHeight="1">
      <c r="A39338" s="7"/>
      <c r="B39338" s="7"/>
      <c r="M39338" s="9" t="s">
        <v>20</v>
      </c>
    </row>
    <row r="39339" ht="15.75" customHeight="1">
      <c r="A39339" s="7"/>
      <c r="B39339" s="7"/>
      <c r="M39339" s="9" t="s">
        <v>21</v>
      </c>
    </row>
    <row r="39340" ht="15.75" customHeight="1">
      <c r="A39340" s="7"/>
      <c r="B39340" s="7"/>
      <c r="M39340" s="9" t="s">
        <v>22</v>
      </c>
    </row>
    <row r="39341" ht="15.75" customHeight="1">
      <c r="A39341" s="7"/>
      <c r="B39341" s="7"/>
      <c r="M39341" s="9" t="s">
        <v>30</v>
      </c>
    </row>
    <row r="39342" ht="15.75" customHeight="1">
      <c r="A39342" s="7"/>
      <c r="B39342" s="7"/>
      <c r="M39342" s="9" t="s">
        <v>24</v>
      </c>
    </row>
    <row r="39343" ht="15.75" customHeight="1">
      <c r="A39343" s="7"/>
      <c r="B39343" s="7"/>
      <c r="M39343" s="9" t="s">
        <v>20</v>
      </c>
    </row>
    <row r="39344" ht="15.75" customHeight="1">
      <c r="A39344" s="7"/>
      <c r="B39344" s="7"/>
      <c r="M39344" s="9" t="s">
        <v>21</v>
      </c>
    </row>
    <row r="39345" ht="15.75" customHeight="1">
      <c r="A39345" s="7"/>
      <c r="B39345" s="7"/>
      <c r="M39345" s="9" t="s">
        <v>27</v>
      </c>
    </row>
    <row r="39346" ht="15.75" customHeight="1">
      <c r="A39346" s="7"/>
      <c r="B39346" s="7"/>
      <c r="M39346" s="9" t="s">
        <v>33</v>
      </c>
    </row>
    <row r="39347" ht="15.75" customHeight="1">
      <c r="A39347" s="7"/>
      <c r="B39347" s="7"/>
      <c r="M39347" s="9" t="s">
        <v>30</v>
      </c>
    </row>
    <row r="39348" ht="15.75" customHeight="1">
      <c r="A39348" s="7"/>
      <c r="B39348" s="7"/>
      <c r="M39348" s="9" t="s">
        <v>25</v>
      </c>
    </row>
    <row r="39349" ht="15.75" customHeight="1">
      <c r="A39349" s="7"/>
      <c r="B39349" s="7"/>
      <c r="M39349" s="9" t="s">
        <v>23</v>
      </c>
    </row>
    <row r="39350" ht="15.75" customHeight="1">
      <c r="A39350" s="7"/>
      <c r="B39350" s="7"/>
      <c r="M39350" s="9" t="s">
        <v>22</v>
      </c>
    </row>
    <row r="39351" ht="15.75" customHeight="1">
      <c r="A39351" s="7"/>
      <c r="B39351" s="7"/>
      <c r="M39351" s="9" t="s">
        <v>27</v>
      </c>
    </row>
    <row r="39352" ht="15.75" customHeight="1">
      <c r="A39352" s="7"/>
      <c r="B39352" s="7"/>
      <c r="M39352" s="9" t="s">
        <v>20</v>
      </c>
    </row>
    <row r="39353" ht="15.75" customHeight="1">
      <c r="A39353" s="7"/>
      <c r="B39353" s="7"/>
      <c r="M39353" s="9" t="s">
        <v>30</v>
      </c>
    </row>
    <row r="39354" ht="15.75" customHeight="1">
      <c r="A39354" s="7"/>
      <c r="B39354" s="7"/>
      <c r="M39354" s="9" t="s">
        <v>24</v>
      </c>
    </row>
    <row r="39355" ht="15.75" customHeight="1">
      <c r="A39355" s="7"/>
      <c r="B39355" s="7"/>
      <c r="M39355" s="9" t="s">
        <v>21</v>
      </c>
    </row>
    <row r="39356" ht="15.75" customHeight="1">
      <c r="A39356" s="7"/>
      <c r="B39356" s="7"/>
      <c r="M39356" s="9" t="s">
        <v>37</v>
      </c>
    </row>
    <row r="39357" ht="15.75" customHeight="1">
      <c r="A39357" s="7"/>
      <c r="B39357" s="7"/>
      <c r="M39357" s="9" t="s">
        <v>27</v>
      </c>
    </row>
    <row r="39358" ht="15.75" customHeight="1">
      <c r="A39358" s="7"/>
      <c r="B39358" s="7"/>
      <c r="M39358" s="9" t="s">
        <v>38</v>
      </c>
    </row>
    <row r="39359" ht="15.75" customHeight="1">
      <c r="A39359" s="7"/>
      <c r="B39359" s="7"/>
      <c r="M39359" s="9" t="s">
        <v>24</v>
      </c>
    </row>
    <row r="39360" ht="15.75" customHeight="1">
      <c r="A39360" s="7"/>
      <c r="B39360" s="7"/>
      <c r="M39360" s="9" t="s">
        <v>20</v>
      </c>
    </row>
    <row r="39361" ht="15.75" customHeight="1">
      <c r="A39361" s="7"/>
      <c r="B39361" s="7"/>
      <c r="M39361" s="9" t="s">
        <v>21</v>
      </c>
    </row>
    <row r="39362" ht="15.75" customHeight="1">
      <c r="A39362" s="7"/>
      <c r="B39362" s="7"/>
      <c r="M39362" s="9" t="s">
        <v>31</v>
      </c>
    </row>
    <row r="39363" ht="15.75" customHeight="1">
      <c r="A39363" s="7"/>
      <c r="B39363" s="7"/>
      <c r="M39363" s="9" t="s">
        <v>27</v>
      </c>
    </row>
    <row r="39364" ht="15.75" customHeight="1">
      <c r="A39364" s="7"/>
      <c r="B39364" s="7"/>
      <c r="M39364" s="9" t="s">
        <v>28</v>
      </c>
    </row>
    <row r="39365" ht="15.75" customHeight="1">
      <c r="A39365" s="7"/>
      <c r="B39365" s="7"/>
      <c r="M39365" s="9" t="s">
        <v>25</v>
      </c>
    </row>
    <row r="39366" ht="15.75" customHeight="1">
      <c r="A39366" s="7"/>
      <c r="B39366" s="7"/>
      <c r="M39366" s="9" t="s">
        <v>24</v>
      </c>
    </row>
    <row r="39367" ht="15.75" customHeight="1">
      <c r="A39367" s="7"/>
      <c r="B39367" s="7"/>
      <c r="M39367" s="9" t="s">
        <v>20</v>
      </c>
    </row>
    <row r="39368" ht="15.75" customHeight="1">
      <c r="A39368" s="7"/>
      <c r="B39368" s="7"/>
      <c r="M39368" s="9" t="s">
        <v>21</v>
      </c>
    </row>
    <row r="39369" ht="15.75" customHeight="1">
      <c r="A39369" s="7"/>
      <c r="B39369" s="7"/>
      <c r="M39369" s="9" t="s">
        <v>22</v>
      </c>
    </row>
    <row r="39370" ht="15.75" customHeight="1">
      <c r="A39370" s="7"/>
      <c r="B39370" s="7"/>
      <c r="M39370" s="9" t="s">
        <v>30</v>
      </c>
    </row>
    <row r="39371" ht="15.75" customHeight="1">
      <c r="A39371" s="7"/>
      <c r="B39371" s="7"/>
      <c r="M39371" s="9" t="s">
        <v>23</v>
      </c>
    </row>
    <row r="39372" ht="15.75" customHeight="1">
      <c r="A39372" s="7"/>
      <c r="B39372" s="7"/>
      <c r="M39372" s="9" t="s">
        <v>21</v>
      </c>
    </row>
    <row r="39373" ht="15.75" customHeight="1">
      <c r="A39373" s="7"/>
      <c r="B39373" s="7"/>
      <c r="M39373" s="9" t="s">
        <v>22</v>
      </c>
    </row>
    <row r="39374" ht="15.75" customHeight="1">
      <c r="A39374" s="7"/>
      <c r="B39374" s="7"/>
      <c r="M39374" s="9" t="s">
        <v>32</v>
      </c>
    </row>
    <row r="39375" ht="15.75" customHeight="1">
      <c r="A39375" s="7"/>
      <c r="B39375" s="7"/>
      <c r="M39375" s="9" t="s">
        <v>24</v>
      </c>
    </row>
    <row r="39376" ht="15.75" customHeight="1">
      <c r="A39376" s="7"/>
      <c r="B39376" s="7"/>
      <c r="M39376" s="9" t="s">
        <v>21</v>
      </c>
    </row>
    <row r="39377" ht="15.75" customHeight="1">
      <c r="A39377" s="7"/>
      <c r="B39377" s="7"/>
      <c r="M39377" s="9" t="s">
        <v>37</v>
      </c>
    </row>
    <row r="39378" ht="15.75" customHeight="1">
      <c r="A39378" s="7"/>
      <c r="B39378" s="7"/>
      <c r="M39378" s="9" t="s">
        <v>27</v>
      </c>
    </row>
    <row r="39379" ht="15.75" customHeight="1">
      <c r="A39379" s="7"/>
      <c r="B39379" s="7"/>
      <c r="M39379" s="9" t="s">
        <v>30</v>
      </c>
    </row>
    <row r="39380" ht="15.75" customHeight="1">
      <c r="A39380" s="7"/>
      <c r="B39380" s="7"/>
      <c r="M39380" s="9" t="s">
        <v>24</v>
      </c>
    </row>
    <row r="39381" ht="15.75" customHeight="1">
      <c r="A39381" s="7"/>
      <c r="B39381" s="7"/>
      <c r="M39381" s="9" t="s">
        <v>20</v>
      </c>
    </row>
    <row r="39382" ht="15.75" customHeight="1">
      <c r="A39382" s="7"/>
      <c r="B39382" s="7"/>
      <c r="M39382" s="9" t="s">
        <v>21</v>
      </c>
    </row>
    <row r="39383" ht="15.75" customHeight="1">
      <c r="A39383" s="7"/>
      <c r="B39383" s="7"/>
      <c r="M39383" s="9" t="s">
        <v>39</v>
      </c>
    </row>
    <row r="39384" ht="15.75" customHeight="1">
      <c r="A39384" s="7"/>
      <c r="B39384" s="7"/>
      <c r="M39384" s="9" t="s">
        <v>33</v>
      </c>
    </row>
    <row r="39385" ht="15.75" customHeight="1">
      <c r="A39385" s="7"/>
      <c r="B39385" s="7"/>
      <c r="M39385" s="9" t="s">
        <v>25</v>
      </c>
    </row>
    <row r="39386" ht="15.75" customHeight="1">
      <c r="A39386" s="7"/>
      <c r="B39386" s="7"/>
      <c r="M39386" s="9" t="s">
        <v>23</v>
      </c>
    </row>
    <row r="39387" ht="15.75" customHeight="1">
      <c r="A39387" s="7"/>
      <c r="B39387" s="7"/>
      <c r="M39387" s="9" t="s">
        <v>24</v>
      </c>
    </row>
    <row r="39388" ht="15.75" customHeight="1">
      <c r="A39388" s="7"/>
      <c r="B39388" s="7"/>
      <c r="M39388" s="9" t="s">
        <v>21</v>
      </c>
    </row>
    <row r="39389" ht="15.75" customHeight="1">
      <c r="A39389" s="7"/>
      <c r="B39389" s="7"/>
      <c r="M39389" s="9" t="s">
        <v>37</v>
      </c>
    </row>
    <row r="39390" ht="15.75" customHeight="1">
      <c r="A39390" s="7"/>
      <c r="B39390" s="7"/>
      <c r="M39390" s="9" t="s">
        <v>27</v>
      </c>
    </row>
    <row r="39391" ht="15.75" customHeight="1">
      <c r="A39391" s="7"/>
      <c r="B39391" s="7"/>
      <c r="M39391" s="9" t="s">
        <v>25</v>
      </c>
    </row>
    <row r="39392" ht="15.75" customHeight="1">
      <c r="A39392" s="7"/>
      <c r="B39392" s="7"/>
      <c r="M39392" s="9" t="s">
        <v>23</v>
      </c>
    </row>
    <row r="39393" ht="15.75" customHeight="1">
      <c r="A39393" s="7"/>
      <c r="B39393" s="7"/>
      <c r="M39393" s="9" t="s">
        <v>26</v>
      </c>
    </row>
    <row r="39394" ht="15.75" customHeight="1">
      <c r="A39394" s="7"/>
      <c r="B39394" s="7"/>
      <c r="M39394" s="9" t="s">
        <v>20</v>
      </c>
    </row>
    <row r="39395" ht="15.75" customHeight="1">
      <c r="A39395" s="7"/>
      <c r="B39395" s="7"/>
      <c r="M39395" s="9" t="s">
        <v>21</v>
      </c>
    </row>
    <row r="39396" ht="15.75" customHeight="1">
      <c r="A39396" s="7"/>
      <c r="B39396" s="7"/>
      <c r="M39396" s="9" t="s">
        <v>37</v>
      </c>
    </row>
    <row r="39397" ht="15.75" customHeight="1">
      <c r="A39397" s="7"/>
      <c r="B39397" s="7"/>
      <c r="M39397" s="9" t="s">
        <v>22</v>
      </c>
    </row>
    <row r="39398" ht="15.75" customHeight="1">
      <c r="A39398" s="7"/>
      <c r="B39398" s="7"/>
      <c r="M39398" s="9" t="s">
        <v>46</v>
      </c>
    </row>
    <row r="39399" ht="15.75" customHeight="1">
      <c r="A39399" s="7"/>
      <c r="B39399" s="7"/>
      <c r="M39399" s="9" t="s">
        <v>24</v>
      </c>
    </row>
    <row r="39400" ht="15.75" customHeight="1">
      <c r="A39400" s="7"/>
      <c r="B39400" s="7"/>
      <c r="M39400" s="9" t="s">
        <v>20</v>
      </c>
    </row>
    <row r="39401" ht="15.75" customHeight="1">
      <c r="A39401" s="7"/>
      <c r="B39401" s="7"/>
      <c r="M39401" s="9" t="s">
        <v>21</v>
      </c>
    </row>
    <row r="39402" ht="15.75" customHeight="1">
      <c r="A39402" s="7"/>
      <c r="B39402" s="7"/>
      <c r="M39402" s="9" t="s">
        <v>33</v>
      </c>
    </row>
    <row r="39403" ht="15.75" customHeight="1">
      <c r="A39403" s="7"/>
      <c r="B39403" s="7"/>
      <c r="M39403" s="9" t="s">
        <v>27</v>
      </c>
    </row>
    <row r="39404" ht="15.75" customHeight="1">
      <c r="A39404" s="7"/>
      <c r="B39404" s="7"/>
      <c r="M39404" s="9" t="s">
        <v>28</v>
      </c>
    </row>
    <row r="39405" ht="15.75" customHeight="1">
      <c r="A39405" s="7"/>
      <c r="B39405" s="7"/>
      <c r="M39405" s="9" t="s">
        <v>26</v>
      </c>
    </row>
    <row r="39406" ht="15.75" customHeight="1">
      <c r="A39406" s="7"/>
      <c r="B39406" s="7"/>
      <c r="M39406" s="9" t="s">
        <v>33</v>
      </c>
    </row>
    <row r="39407" ht="15.75" customHeight="1">
      <c r="A39407" s="7"/>
      <c r="B39407" s="7"/>
      <c r="M39407" s="9" t="s">
        <v>26</v>
      </c>
    </row>
    <row r="39408" ht="15.75" customHeight="1">
      <c r="A39408" s="7"/>
      <c r="B39408" s="7"/>
      <c r="M39408" s="9" t="s">
        <v>24</v>
      </c>
    </row>
    <row r="39409" ht="15.75" customHeight="1">
      <c r="A39409" s="7"/>
      <c r="B39409" s="7"/>
      <c r="M39409" s="9" t="s">
        <v>21</v>
      </c>
    </row>
    <row r="39410" ht="15.75" customHeight="1">
      <c r="A39410" s="7"/>
      <c r="B39410" s="7"/>
      <c r="M39410" s="9" t="s">
        <v>27</v>
      </c>
    </row>
    <row r="39411" ht="15.75" customHeight="1">
      <c r="A39411" s="7"/>
      <c r="B39411" s="7"/>
      <c r="M39411" s="9" t="s">
        <v>21</v>
      </c>
    </row>
    <row r="39412" ht="15.75" customHeight="1">
      <c r="A39412" s="7"/>
      <c r="B39412" s="7"/>
      <c r="M39412" s="9" t="s">
        <v>24</v>
      </c>
    </row>
    <row r="39413" ht="15.75" customHeight="1">
      <c r="A39413" s="7"/>
      <c r="B39413" s="7"/>
      <c r="M39413" s="9" t="s">
        <v>20</v>
      </c>
    </row>
    <row r="39414" ht="15.75" customHeight="1">
      <c r="A39414" s="7"/>
      <c r="B39414" s="7"/>
      <c r="M39414" s="9" t="s">
        <v>21</v>
      </c>
    </row>
    <row r="39415" ht="15.75" customHeight="1">
      <c r="A39415" s="7"/>
      <c r="B39415" s="7"/>
      <c r="M39415" s="9" t="s">
        <v>22</v>
      </c>
    </row>
    <row r="39416" ht="15.75" customHeight="1">
      <c r="A39416" s="7"/>
      <c r="B39416" s="7"/>
      <c r="M39416" s="9" t="s">
        <v>31</v>
      </c>
    </row>
    <row r="39417" ht="15.75" customHeight="1">
      <c r="A39417" s="7"/>
      <c r="B39417" s="7"/>
      <c r="M39417" s="9" t="s">
        <v>26</v>
      </c>
    </row>
    <row r="39418" ht="15.75" customHeight="1">
      <c r="A39418" s="7"/>
      <c r="B39418" s="7"/>
      <c r="M39418" s="9" t="s">
        <v>24</v>
      </c>
    </row>
    <row r="39419" ht="15.75" customHeight="1">
      <c r="A39419" s="7"/>
      <c r="B39419" s="7"/>
      <c r="M39419" s="9" t="s">
        <v>21</v>
      </c>
    </row>
    <row r="39420" ht="15.75" customHeight="1">
      <c r="A39420" s="7"/>
      <c r="B39420" s="7"/>
      <c r="M39420" s="9" t="s">
        <v>27</v>
      </c>
    </row>
    <row r="39421" ht="15.75" customHeight="1">
      <c r="A39421" s="7"/>
      <c r="B39421" s="7"/>
      <c r="M39421" s="9" t="s">
        <v>33</v>
      </c>
    </row>
    <row r="39422" ht="15.75" customHeight="1">
      <c r="A39422" s="7"/>
      <c r="B39422" s="7"/>
      <c r="M39422" s="9" t="s">
        <v>30</v>
      </c>
    </row>
    <row r="39423" ht="15.75" customHeight="1">
      <c r="A39423" s="7"/>
      <c r="B39423" s="7"/>
      <c r="M39423" s="9" t="s">
        <v>22</v>
      </c>
    </row>
    <row r="39424" ht="15.75" customHeight="1">
      <c r="A39424" s="7"/>
      <c r="B39424" s="7"/>
      <c r="M39424" s="9" t="s">
        <v>31</v>
      </c>
    </row>
    <row r="39425" ht="15.75" customHeight="1">
      <c r="A39425" s="7"/>
      <c r="B39425" s="7"/>
      <c r="M39425" s="9" t="s">
        <v>25</v>
      </c>
    </row>
    <row r="39426" ht="15.75" customHeight="1">
      <c r="A39426" s="7"/>
      <c r="B39426" s="7"/>
      <c r="M39426" s="9" t="s">
        <v>23</v>
      </c>
    </row>
    <row r="39427" ht="15.75" customHeight="1">
      <c r="A39427" s="7"/>
      <c r="B39427" s="7"/>
      <c r="M39427" s="9" t="s">
        <v>26</v>
      </c>
    </row>
    <row r="39428" ht="15.75" customHeight="1">
      <c r="A39428" s="7"/>
      <c r="B39428" s="7"/>
      <c r="M39428" s="9" t="s">
        <v>24</v>
      </c>
    </row>
    <row r="39429" ht="15.75" customHeight="1">
      <c r="A39429" s="7"/>
      <c r="B39429" s="7"/>
      <c r="M39429" s="9" t="s">
        <v>20</v>
      </c>
    </row>
    <row r="39430" ht="15.75" customHeight="1">
      <c r="A39430" s="7"/>
      <c r="B39430" s="7"/>
      <c r="M39430" s="9" t="s">
        <v>21</v>
      </c>
    </row>
    <row r="39431" ht="15.75" customHeight="1">
      <c r="A39431" s="7"/>
      <c r="B39431" s="7"/>
      <c r="M39431" s="9" t="s">
        <v>41</v>
      </c>
    </row>
    <row r="39432" ht="15.75" customHeight="1">
      <c r="A39432" s="7"/>
      <c r="B39432" s="7"/>
      <c r="M39432" s="9" t="s">
        <v>37</v>
      </c>
    </row>
    <row r="39433" ht="15.75" customHeight="1">
      <c r="A39433" s="7"/>
      <c r="B39433" s="7"/>
      <c r="M39433" s="9" t="s">
        <v>22</v>
      </c>
    </row>
    <row r="39434" ht="15.75" customHeight="1">
      <c r="A39434" s="7"/>
      <c r="B39434" s="7"/>
      <c r="M39434" s="9" t="s">
        <v>27</v>
      </c>
    </row>
    <row r="39435" ht="15.75" customHeight="1">
      <c r="A39435" s="7"/>
      <c r="B39435" s="7"/>
      <c r="M39435" s="9" t="s">
        <v>24</v>
      </c>
    </row>
    <row r="39436" ht="15.75" customHeight="1">
      <c r="A39436" s="7"/>
      <c r="B39436" s="7"/>
      <c r="M39436" s="9" t="s">
        <v>20</v>
      </c>
    </row>
    <row r="39437" ht="15.75" customHeight="1">
      <c r="A39437" s="7"/>
      <c r="B39437" s="7"/>
      <c r="M39437" s="9" t="s">
        <v>21</v>
      </c>
    </row>
    <row r="39438" ht="15.75" customHeight="1">
      <c r="A39438" s="7"/>
      <c r="B39438" s="7"/>
      <c r="M39438" s="9" t="s">
        <v>39</v>
      </c>
    </row>
    <row r="39439" ht="15.75" customHeight="1">
      <c r="A39439" s="7"/>
      <c r="B39439" s="7"/>
      <c r="M39439" s="9" t="s">
        <v>40</v>
      </c>
    </row>
    <row r="39440" ht="15.75" customHeight="1">
      <c r="A39440" s="7"/>
      <c r="B39440" s="7"/>
      <c r="M39440" s="9" t="s">
        <v>30</v>
      </c>
    </row>
    <row r="39441" ht="15.75" customHeight="1">
      <c r="A39441" s="7"/>
      <c r="B39441" s="7"/>
      <c r="M39441" s="9" t="s">
        <v>24</v>
      </c>
    </row>
    <row r="39442" ht="15.75" customHeight="1">
      <c r="A39442" s="7"/>
      <c r="B39442" s="7"/>
      <c r="M39442" s="9" t="s">
        <v>21</v>
      </c>
    </row>
    <row r="39443" ht="15.75" customHeight="1">
      <c r="A39443" s="7"/>
      <c r="B39443" s="7"/>
      <c r="M39443" s="9" t="s">
        <v>30</v>
      </c>
    </row>
    <row r="39444" ht="15.75" customHeight="1">
      <c r="A39444" s="7"/>
      <c r="B39444" s="7"/>
      <c r="M39444" s="9" t="s">
        <v>25</v>
      </c>
    </row>
    <row r="39445" ht="15.75" customHeight="1">
      <c r="A39445" s="7"/>
      <c r="B39445" s="7"/>
      <c r="M39445" s="9" t="s">
        <v>23</v>
      </c>
    </row>
    <row r="39446" ht="15.75" customHeight="1">
      <c r="A39446" s="7"/>
      <c r="B39446" s="7"/>
      <c r="M39446" s="9" t="s">
        <v>24</v>
      </c>
    </row>
    <row r="39447" ht="15.75" customHeight="1">
      <c r="A39447" s="7"/>
      <c r="B39447" s="7"/>
      <c r="M39447" s="9" t="s">
        <v>20</v>
      </c>
    </row>
    <row r="39448" ht="15.75" customHeight="1">
      <c r="A39448" s="7"/>
      <c r="B39448" s="7"/>
      <c r="M39448" s="9" t="s">
        <v>21</v>
      </c>
    </row>
    <row r="39449" ht="15.75" customHeight="1">
      <c r="A39449" s="7"/>
      <c r="B39449" s="7"/>
      <c r="M39449" s="9" t="s">
        <v>37</v>
      </c>
    </row>
    <row r="39450" ht="15.75" customHeight="1">
      <c r="A39450" s="7"/>
      <c r="B39450" s="7"/>
      <c r="M39450" s="9" t="s">
        <v>27</v>
      </c>
    </row>
    <row r="39451" ht="15.75" customHeight="1">
      <c r="A39451" s="7"/>
      <c r="B39451" s="7"/>
      <c r="M39451" s="9" t="s">
        <v>26</v>
      </c>
    </row>
    <row r="39452" ht="15.75" customHeight="1">
      <c r="A39452" s="7"/>
      <c r="B39452" s="7"/>
      <c r="M39452" s="9" t="s">
        <v>24</v>
      </c>
    </row>
    <row r="39453" ht="15.75" customHeight="1">
      <c r="A39453" s="7"/>
      <c r="B39453" s="7"/>
      <c r="M39453" s="9" t="s">
        <v>21</v>
      </c>
    </row>
    <row r="39454" ht="15.75" customHeight="1">
      <c r="A39454" s="7"/>
      <c r="B39454" s="7"/>
      <c r="M39454" s="9" t="s">
        <v>27</v>
      </c>
    </row>
    <row r="39455" ht="15.75" customHeight="1">
      <c r="A39455" s="7"/>
      <c r="B39455" s="7"/>
      <c r="M39455" s="9" t="s">
        <v>33</v>
      </c>
    </row>
    <row r="39456" ht="15.75" customHeight="1">
      <c r="A39456" s="7"/>
      <c r="B39456" s="7"/>
      <c r="M39456" s="9" t="s">
        <v>30</v>
      </c>
    </row>
    <row r="39457" ht="15.75" customHeight="1">
      <c r="A39457" s="7"/>
      <c r="B39457" s="7"/>
      <c r="M39457" s="9" t="s">
        <v>41</v>
      </c>
    </row>
    <row r="39458" ht="15.75" customHeight="1">
      <c r="A39458" s="7"/>
      <c r="B39458" s="7"/>
      <c r="M39458" s="9" t="s">
        <v>31</v>
      </c>
    </row>
    <row r="39459" ht="15.75" customHeight="1">
      <c r="A39459" s="7"/>
      <c r="B39459" s="7"/>
      <c r="M39459" s="9" t="s">
        <v>40</v>
      </c>
    </row>
    <row r="39460" ht="15.75" customHeight="1">
      <c r="A39460" s="7"/>
      <c r="B39460" s="7"/>
      <c r="M39460" s="9" t="s">
        <v>23</v>
      </c>
    </row>
    <row r="39461" ht="15.75" customHeight="1">
      <c r="A39461" s="7"/>
      <c r="B39461" s="7"/>
      <c r="M39461" s="9" t="s">
        <v>26</v>
      </c>
    </row>
    <row r="39462" ht="15.75" customHeight="1">
      <c r="A39462" s="7"/>
      <c r="B39462" s="7"/>
      <c r="M39462" s="9" t="s">
        <v>29</v>
      </c>
    </row>
    <row r="39463" ht="15.75" customHeight="1">
      <c r="A39463" s="7"/>
      <c r="B39463" s="7"/>
      <c r="M39463" s="9" t="s">
        <v>26</v>
      </c>
    </row>
    <row r="39464" ht="15.75" customHeight="1">
      <c r="A39464" s="7"/>
      <c r="B39464" s="7"/>
      <c r="M39464" s="9" t="s">
        <v>24</v>
      </c>
    </row>
    <row r="39465" ht="15.75" customHeight="1">
      <c r="A39465" s="7"/>
      <c r="B39465" s="7"/>
      <c r="M39465" s="9" t="s">
        <v>21</v>
      </c>
    </row>
    <row r="39466" ht="15.75" customHeight="1">
      <c r="A39466" s="7"/>
      <c r="B39466" s="7"/>
      <c r="M39466" s="9" t="s">
        <v>37</v>
      </c>
    </row>
    <row r="39467" ht="15.75" customHeight="1">
      <c r="A39467" s="7"/>
      <c r="B39467" s="7"/>
      <c r="M39467" s="9" t="s">
        <v>27</v>
      </c>
    </row>
    <row r="39468" ht="15.75" customHeight="1">
      <c r="A39468" s="7"/>
      <c r="B39468" s="7"/>
      <c r="M39468" s="9" t="s">
        <v>24</v>
      </c>
    </row>
    <row r="39469" ht="15.75" customHeight="1">
      <c r="A39469" s="7"/>
      <c r="B39469" s="7"/>
      <c r="M39469" s="9" t="s">
        <v>20</v>
      </c>
    </row>
    <row r="39470" ht="15.75" customHeight="1">
      <c r="A39470" s="7"/>
      <c r="B39470" s="7"/>
      <c r="M39470" s="9" t="s">
        <v>21</v>
      </c>
    </row>
    <row r="39471" ht="15.75" customHeight="1">
      <c r="A39471" s="7"/>
      <c r="B39471" s="7"/>
      <c r="M39471" s="9" t="s">
        <v>27</v>
      </c>
    </row>
    <row r="39472" ht="15.75" customHeight="1">
      <c r="A39472" s="7"/>
      <c r="B39472" s="7"/>
      <c r="M39472" s="9" t="s">
        <v>40</v>
      </c>
    </row>
    <row r="39473" ht="15.75" customHeight="1">
      <c r="A39473" s="7"/>
      <c r="B39473" s="7"/>
      <c r="M39473" s="9" t="s">
        <v>30</v>
      </c>
    </row>
    <row r="39474" ht="15.75" customHeight="1">
      <c r="A39474" s="7"/>
      <c r="B39474" s="7"/>
      <c r="M39474" s="9" t="s">
        <v>23</v>
      </c>
    </row>
    <row r="39475" ht="15.75" customHeight="1">
      <c r="A39475" s="7"/>
      <c r="B39475" s="7"/>
      <c r="M39475" s="9" t="s">
        <v>26</v>
      </c>
    </row>
    <row r="39476" ht="15.75" customHeight="1">
      <c r="A39476" s="7"/>
      <c r="B39476" s="7"/>
      <c r="M39476" s="9" t="s">
        <v>24</v>
      </c>
    </row>
    <row r="39477" ht="15.75" customHeight="1">
      <c r="A39477" s="7"/>
      <c r="B39477" s="7"/>
      <c r="M39477" s="9" t="s">
        <v>20</v>
      </c>
    </row>
    <row r="39478" ht="15.75" customHeight="1">
      <c r="A39478" s="7"/>
      <c r="B39478" s="7"/>
      <c r="M39478" s="9" t="s">
        <v>21</v>
      </c>
    </row>
    <row r="39479" ht="15.75" customHeight="1">
      <c r="A39479" s="7"/>
      <c r="B39479" s="7"/>
      <c r="M39479" s="9" t="s">
        <v>37</v>
      </c>
    </row>
    <row r="39480" ht="15.75" customHeight="1">
      <c r="A39480" s="7"/>
      <c r="B39480" s="7"/>
      <c r="M39480" s="9" t="s">
        <v>22</v>
      </c>
    </row>
    <row r="39481" ht="15.75" customHeight="1">
      <c r="A39481" s="7"/>
      <c r="B39481" s="7"/>
      <c r="M39481" s="9" t="s">
        <v>29</v>
      </c>
    </row>
    <row r="39482" ht="15.75" customHeight="1">
      <c r="A39482" s="7"/>
      <c r="B39482" s="7"/>
      <c r="M39482" s="9" t="s">
        <v>31</v>
      </c>
    </row>
    <row r="39483" ht="15.75" customHeight="1">
      <c r="A39483" s="7"/>
      <c r="B39483" s="7"/>
      <c r="M39483" s="9" t="s">
        <v>27</v>
      </c>
    </row>
    <row r="39484" ht="15.75" customHeight="1">
      <c r="A39484" s="7"/>
      <c r="B39484" s="7"/>
      <c r="M39484" s="9" t="s">
        <v>28</v>
      </c>
    </row>
    <row r="39485" ht="15.75" customHeight="1">
      <c r="A39485" s="7"/>
      <c r="B39485" s="7"/>
      <c r="M39485" s="9" t="s">
        <v>35</v>
      </c>
    </row>
    <row r="39486" ht="15.75" customHeight="1">
      <c r="A39486" s="7"/>
      <c r="B39486" s="7"/>
      <c r="M39486" s="9" t="s">
        <v>38</v>
      </c>
    </row>
    <row r="39487" ht="15.75" customHeight="1">
      <c r="A39487" s="7"/>
      <c r="B39487" s="7"/>
      <c r="M39487" s="9" t="s">
        <v>30</v>
      </c>
    </row>
    <row r="39488" ht="15.75" customHeight="1">
      <c r="A39488" s="7"/>
      <c r="B39488" s="7"/>
      <c r="M39488" s="9" t="s">
        <v>25</v>
      </c>
    </row>
    <row r="39489" ht="15.75" customHeight="1">
      <c r="A39489" s="7"/>
      <c r="B39489" s="7"/>
      <c r="M39489" s="9" t="s">
        <v>23</v>
      </c>
    </row>
    <row r="39490" ht="15.75" customHeight="1">
      <c r="A39490" s="7"/>
      <c r="B39490" s="7"/>
      <c r="M39490" s="9" t="s">
        <v>26</v>
      </c>
    </row>
    <row r="39491" ht="15.75" customHeight="1">
      <c r="A39491" s="7"/>
      <c r="B39491" s="7"/>
      <c r="M39491" s="9" t="s">
        <v>36</v>
      </c>
    </row>
    <row r="39492" ht="15.75" customHeight="1">
      <c r="A39492" s="7"/>
      <c r="B39492" s="7"/>
      <c r="M39492" s="9" t="s">
        <v>24</v>
      </c>
    </row>
    <row r="39493" ht="15.75" customHeight="1">
      <c r="A39493" s="7"/>
      <c r="B39493" s="7"/>
      <c r="M39493" s="9" t="s">
        <v>21</v>
      </c>
    </row>
    <row r="39494" ht="15.75" customHeight="1">
      <c r="A39494" s="7"/>
      <c r="B39494" s="7"/>
      <c r="M39494" s="9" t="s">
        <v>22</v>
      </c>
    </row>
    <row r="39495" ht="15.75" customHeight="1">
      <c r="A39495" s="7"/>
      <c r="B39495" s="7"/>
      <c r="M39495" s="9" t="s">
        <v>30</v>
      </c>
    </row>
    <row r="39496" ht="15.75" customHeight="1">
      <c r="A39496" s="7"/>
      <c r="B39496" s="7"/>
      <c r="M39496" s="9" t="s">
        <v>24</v>
      </c>
    </row>
    <row r="39497" ht="15.75" customHeight="1">
      <c r="A39497" s="7"/>
      <c r="B39497" s="7"/>
      <c r="M39497" s="9" t="s">
        <v>21</v>
      </c>
    </row>
    <row r="39498" ht="15.75" customHeight="1">
      <c r="A39498" s="7"/>
      <c r="B39498" s="7"/>
      <c r="M39498" s="9" t="s">
        <v>22</v>
      </c>
    </row>
    <row r="39499" ht="15.75" customHeight="1">
      <c r="A39499" s="7"/>
      <c r="B39499" s="7"/>
      <c r="M39499" s="9" t="s">
        <v>33</v>
      </c>
    </row>
    <row r="39500" ht="15.75" customHeight="1">
      <c r="A39500" s="7"/>
      <c r="B39500" s="7"/>
      <c r="M39500" s="9" t="s">
        <v>22</v>
      </c>
    </row>
    <row r="39501" ht="15.75" customHeight="1">
      <c r="A39501" s="7"/>
      <c r="B39501" s="7"/>
      <c r="M39501" s="9" t="s">
        <v>27</v>
      </c>
    </row>
    <row r="39502" ht="15.75" customHeight="1">
      <c r="A39502" s="7"/>
      <c r="B39502" s="7"/>
      <c r="M39502" s="9" t="s">
        <v>28</v>
      </c>
    </row>
    <row r="39503" ht="15.75" customHeight="1">
      <c r="A39503" s="7"/>
      <c r="B39503" s="7"/>
      <c r="M39503" s="9" t="s">
        <v>35</v>
      </c>
    </row>
    <row r="39504" ht="15.75" customHeight="1">
      <c r="A39504" s="7"/>
      <c r="B39504" s="7"/>
      <c r="M39504" s="9" t="s">
        <v>30</v>
      </c>
    </row>
    <row r="39505" ht="15.75" customHeight="1">
      <c r="A39505" s="7"/>
      <c r="B39505" s="7"/>
      <c r="M39505" s="9" t="s">
        <v>25</v>
      </c>
    </row>
    <row r="39506" ht="15.75" customHeight="1">
      <c r="A39506" s="7"/>
      <c r="B39506" s="7"/>
      <c r="M39506" s="9" t="s">
        <v>23</v>
      </c>
    </row>
    <row r="39507" ht="15.75" customHeight="1">
      <c r="A39507" s="7"/>
      <c r="B39507" s="7"/>
      <c r="M39507" s="9" t="s">
        <v>24</v>
      </c>
    </row>
    <row r="39508" ht="15.75" customHeight="1">
      <c r="A39508" s="7"/>
      <c r="B39508" s="7"/>
      <c r="M39508" s="9" t="s">
        <v>20</v>
      </c>
    </row>
    <row r="39509" ht="15.75" customHeight="1">
      <c r="A39509" s="7"/>
      <c r="B39509" s="7"/>
      <c r="M39509" s="9" t="s">
        <v>21</v>
      </c>
    </row>
    <row r="39510" ht="15.75" customHeight="1">
      <c r="A39510" s="7"/>
      <c r="B39510" s="7"/>
      <c r="M39510" s="9" t="s">
        <v>22</v>
      </c>
    </row>
    <row r="39511" ht="15.75" customHeight="1">
      <c r="A39511" s="7"/>
      <c r="B39511" s="7"/>
      <c r="M39511" s="9" t="s">
        <v>27</v>
      </c>
    </row>
    <row r="39512" ht="15.75" customHeight="1">
      <c r="A39512" s="7"/>
      <c r="B39512" s="7"/>
      <c r="M39512" s="9" t="s">
        <v>35</v>
      </c>
    </row>
    <row r="39513" ht="15.75" customHeight="1">
      <c r="A39513" s="7"/>
      <c r="B39513" s="7"/>
      <c r="M39513" s="9" t="s">
        <v>25</v>
      </c>
    </row>
    <row r="39514" ht="15.75" customHeight="1">
      <c r="A39514" s="7"/>
      <c r="B39514" s="7"/>
      <c r="M39514" s="9" t="s">
        <v>23</v>
      </c>
    </row>
    <row r="39515" ht="15.75" customHeight="1">
      <c r="A39515" s="7"/>
      <c r="B39515" s="7"/>
      <c r="M39515" s="9" t="s">
        <v>26</v>
      </c>
    </row>
    <row r="39516" ht="15.75" customHeight="1">
      <c r="A39516" s="7"/>
      <c r="B39516" s="7"/>
      <c r="M39516" s="9" t="s">
        <v>44</v>
      </c>
    </row>
    <row r="39517" ht="15.75" customHeight="1">
      <c r="A39517" s="7"/>
      <c r="B39517" s="7"/>
      <c r="M39517" s="9" t="s">
        <v>45</v>
      </c>
    </row>
    <row r="39518" ht="15.75" customHeight="1">
      <c r="A39518" s="7"/>
      <c r="B39518" s="7"/>
      <c r="M39518" s="9" t="s">
        <v>27</v>
      </c>
    </row>
    <row r="39519" ht="15.75" customHeight="1">
      <c r="A39519" s="7"/>
      <c r="B39519" s="7"/>
      <c r="M39519" s="9" t="s">
        <v>35</v>
      </c>
    </row>
    <row r="39520" ht="15.75" customHeight="1">
      <c r="A39520" s="7"/>
      <c r="B39520" s="7"/>
      <c r="M39520" s="9" t="s">
        <v>21</v>
      </c>
    </row>
    <row r="39521" ht="15.75" customHeight="1">
      <c r="A39521" s="7"/>
      <c r="B39521" s="7"/>
      <c r="M39521" s="9" t="s">
        <v>33</v>
      </c>
    </row>
    <row r="39522" ht="15.75" customHeight="1">
      <c r="A39522" s="7"/>
      <c r="B39522" s="7"/>
      <c r="M39522" s="9" t="s">
        <v>26</v>
      </c>
    </row>
    <row r="39523" ht="15.75" customHeight="1">
      <c r="A39523" s="7"/>
      <c r="B39523" s="7"/>
      <c r="M39523" s="9" t="s">
        <v>24</v>
      </c>
    </row>
    <row r="39524" ht="15.75" customHeight="1">
      <c r="A39524" s="7"/>
      <c r="B39524" s="7"/>
      <c r="M39524" s="9" t="s">
        <v>21</v>
      </c>
    </row>
    <row r="39525" ht="15.75" customHeight="1">
      <c r="A39525" s="7"/>
      <c r="B39525" s="7"/>
      <c r="M39525" s="9" t="s">
        <v>37</v>
      </c>
    </row>
    <row r="39526" ht="15.75" customHeight="1">
      <c r="A39526" s="7"/>
      <c r="B39526" s="7"/>
      <c r="M39526" s="9" t="s">
        <v>33</v>
      </c>
    </row>
    <row r="39527" ht="15.75" customHeight="1">
      <c r="A39527" s="7"/>
      <c r="B39527" s="7"/>
      <c r="M39527" s="9" t="s">
        <v>38</v>
      </c>
    </row>
    <row r="39528" ht="15.75" customHeight="1">
      <c r="A39528" s="7"/>
      <c r="B39528" s="7"/>
      <c r="M39528" s="9" t="s">
        <v>30</v>
      </c>
    </row>
    <row r="39529" ht="15.75" customHeight="1">
      <c r="A39529" s="7"/>
      <c r="B39529" s="7"/>
      <c r="M39529" s="9" t="s">
        <v>25</v>
      </c>
    </row>
    <row r="39530" ht="15.75" customHeight="1">
      <c r="A39530" s="7"/>
      <c r="B39530" s="7"/>
      <c r="M39530" s="9" t="s">
        <v>23</v>
      </c>
    </row>
    <row r="39531" ht="15.75" customHeight="1">
      <c r="A39531" s="7"/>
      <c r="B39531" s="7"/>
      <c r="M39531" s="9" t="s">
        <v>26</v>
      </c>
    </row>
    <row r="39532" ht="15.75" customHeight="1">
      <c r="A39532" s="7"/>
      <c r="B39532" s="7"/>
      <c r="M39532" s="9" t="s">
        <v>44</v>
      </c>
    </row>
    <row r="39533" ht="15.75" customHeight="1">
      <c r="A39533" s="7"/>
      <c r="B39533" s="7"/>
      <c r="M39533" s="9" t="s">
        <v>47</v>
      </c>
    </row>
    <row r="39534" ht="15.75" customHeight="1">
      <c r="A39534" s="7"/>
      <c r="B39534" s="7"/>
      <c r="M39534" s="9" t="s">
        <v>42</v>
      </c>
    </row>
    <row r="39535" ht="15.75" customHeight="1">
      <c r="A39535" s="7"/>
      <c r="B39535" s="7"/>
      <c r="M39535" s="9" t="s">
        <v>43</v>
      </c>
    </row>
    <row r="39536" ht="15.75" customHeight="1">
      <c r="A39536" s="7"/>
      <c r="B39536" s="7"/>
      <c r="M39536" s="9" t="s">
        <v>45</v>
      </c>
    </row>
    <row r="39537" ht="15.75" customHeight="1">
      <c r="A39537" s="7"/>
      <c r="B39537" s="7"/>
      <c r="M39537" s="9" t="s">
        <v>36</v>
      </c>
    </row>
    <row r="39538" ht="15.75" customHeight="1">
      <c r="A39538" s="7"/>
      <c r="B39538" s="7"/>
      <c r="M39538" s="9" t="s">
        <v>24</v>
      </c>
    </row>
    <row r="39539" ht="15.75" customHeight="1">
      <c r="A39539" s="7"/>
      <c r="B39539" s="7"/>
      <c r="M39539" s="9" t="s">
        <v>20</v>
      </c>
    </row>
    <row r="39540" ht="15.75" customHeight="1">
      <c r="A39540" s="7"/>
      <c r="B39540" s="7"/>
      <c r="M39540" s="9" t="s">
        <v>21</v>
      </c>
    </row>
    <row r="39541" ht="15.75" customHeight="1">
      <c r="A39541" s="7"/>
      <c r="B39541" s="7"/>
      <c r="M39541" s="9" t="s">
        <v>39</v>
      </c>
    </row>
    <row r="39542" ht="15.75" customHeight="1">
      <c r="A39542" s="7"/>
      <c r="B39542" s="7"/>
      <c r="M39542" s="9" t="s">
        <v>41</v>
      </c>
    </row>
    <row r="39543" ht="15.75" customHeight="1">
      <c r="A39543" s="7"/>
      <c r="B39543" s="7"/>
      <c r="M39543" s="9" t="s">
        <v>37</v>
      </c>
    </row>
    <row r="39544" ht="15.75" customHeight="1">
      <c r="A39544" s="7"/>
      <c r="B39544" s="7"/>
      <c r="M39544" s="9" t="s">
        <v>22</v>
      </c>
    </row>
    <row r="39545" ht="15.75" customHeight="1">
      <c r="A39545" s="7"/>
      <c r="B39545" s="7"/>
      <c r="M39545" s="9" t="s">
        <v>29</v>
      </c>
    </row>
    <row r="39546" ht="15.75" customHeight="1">
      <c r="A39546" s="7"/>
      <c r="B39546" s="7"/>
      <c r="M39546" s="9" t="s">
        <v>31</v>
      </c>
    </row>
    <row r="39547" ht="15.75" customHeight="1">
      <c r="A39547" s="7"/>
      <c r="B39547" s="7"/>
      <c r="M39547" s="9" t="s">
        <v>32</v>
      </c>
    </row>
    <row r="39548" ht="15.75" customHeight="1">
      <c r="A39548" s="7"/>
      <c r="B39548" s="7"/>
      <c r="M39548" s="9" t="s">
        <v>46</v>
      </c>
    </row>
    <row r="39549" ht="15.75" customHeight="1">
      <c r="A39549" s="7"/>
      <c r="B39549" s="7"/>
      <c r="M39549" s="9" t="s">
        <v>27</v>
      </c>
    </row>
    <row r="39550" ht="15.75" customHeight="1">
      <c r="A39550" s="7"/>
      <c r="B39550" s="7"/>
      <c r="M39550" s="9" t="s">
        <v>40</v>
      </c>
    </row>
    <row r="39551" ht="15.75" customHeight="1">
      <c r="A39551" s="7"/>
      <c r="B39551" s="7"/>
      <c r="M39551" s="9" t="s">
        <v>33</v>
      </c>
    </row>
    <row r="39552" ht="15.75" customHeight="1">
      <c r="A39552" s="7"/>
      <c r="B39552" s="7"/>
      <c r="M39552" s="9" t="s">
        <v>28</v>
      </c>
    </row>
    <row r="39553" ht="15.75" customHeight="1">
      <c r="A39553" s="7"/>
      <c r="B39553" s="7"/>
      <c r="M39553" s="9" t="s">
        <v>34</v>
      </c>
    </row>
    <row r="39554" ht="15.75" customHeight="1">
      <c r="A39554" s="7"/>
      <c r="B39554" s="7"/>
      <c r="M39554" s="9" t="s">
        <v>20</v>
      </c>
    </row>
    <row r="39555" ht="15.75" customHeight="1">
      <c r="A39555" s="7"/>
      <c r="B39555" s="7"/>
      <c r="M39555" s="9" t="s">
        <v>21</v>
      </c>
    </row>
    <row r="39556" ht="15.75" customHeight="1">
      <c r="A39556" s="7"/>
      <c r="B39556" s="7"/>
      <c r="M39556" s="9" t="s">
        <v>40</v>
      </c>
    </row>
    <row r="39557" ht="15.75" customHeight="1">
      <c r="A39557" s="7"/>
      <c r="B39557" s="7"/>
      <c r="M39557" s="9" t="s">
        <v>24</v>
      </c>
    </row>
    <row r="39558" ht="15.75" customHeight="1">
      <c r="A39558" s="7"/>
      <c r="B39558" s="7"/>
      <c r="M39558" s="9" t="s">
        <v>20</v>
      </c>
    </row>
    <row r="39559" ht="15.75" customHeight="1">
      <c r="A39559" s="7"/>
      <c r="B39559" s="7"/>
      <c r="M39559" s="9" t="s">
        <v>21</v>
      </c>
    </row>
    <row r="39560" ht="15.75" customHeight="1">
      <c r="A39560" s="7"/>
      <c r="B39560" s="7"/>
      <c r="M39560" s="9" t="s">
        <v>46</v>
      </c>
    </row>
    <row r="39561" ht="15.75" customHeight="1">
      <c r="A39561" s="7"/>
      <c r="B39561" s="7"/>
      <c r="M39561" s="9" t="s">
        <v>27</v>
      </c>
    </row>
    <row r="39562" ht="15.75" customHeight="1">
      <c r="A39562" s="7"/>
      <c r="B39562" s="7"/>
      <c r="M39562" s="9" t="s">
        <v>30</v>
      </c>
    </row>
    <row r="39563" ht="15.75" customHeight="1">
      <c r="A39563" s="7"/>
      <c r="B39563" s="7"/>
      <c r="M39563" s="9" t="s">
        <v>42</v>
      </c>
    </row>
    <row r="39564" ht="15.75" customHeight="1">
      <c r="A39564" s="7"/>
      <c r="B39564" s="7"/>
      <c r="M39564" s="9" t="s">
        <v>24</v>
      </c>
    </row>
    <row r="39565" ht="15.75" customHeight="1">
      <c r="A39565" s="7"/>
      <c r="B39565" s="7"/>
      <c r="M39565" s="9" t="s">
        <v>21</v>
      </c>
    </row>
    <row r="39566" ht="15.75" customHeight="1">
      <c r="A39566" s="7"/>
      <c r="B39566" s="7"/>
      <c r="M39566" s="9" t="s">
        <v>31</v>
      </c>
    </row>
    <row r="39567" ht="15.75" customHeight="1">
      <c r="A39567" s="7"/>
      <c r="B39567" s="7"/>
      <c r="M39567" s="9" t="s">
        <v>26</v>
      </c>
    </row>
    <row r="39568" ht="15.75" customHeight="1">
      <c r="A39568" s="7"/>
      <c r="B39568" s="7"/>
      <c r="M39568" s="9" t="s">
        <v>24</v>
      </c>
    </row>
    <row r="39569" ht="15.75" customHeight="1">
      <c r="A39569" s="7"/>
      <c r="B39569" s="7"/>
      <c r="M39569" s="9" t="s">
        <v>21</v>
      </c>
    </row>
    <row r="39570" ht="15.75" customHeight="1">
      <c r="A39570" s="7"/>
      <c r="B39570" s="7"/>
      <c r="M39570" s="9" t="s">
        <v>27</v>
      </c>
    </row>
    <row r="39571" ht="15.75" customHeight="1">
      <c r="A39571" s="7"/>
      <c r="B39571" s="7"/>
      <c r="M39571" s="9" t="s">
        <v>35</v>
      </c>
    </row>
    <row r="39572" ht="15.75" customHeight="1">
      <c r="A39572" s="7"/>
      <c r="B39572" s="7"/>
      <c r="M39572" s="9" t="s">
        <v>30</v>
      </c>
    </row>
    <row r="39573" ht="15.75" customHeight="1">
      <c r="A39573" s="7"/>
      <c r="B39573" s="7"/>
      <c r="M39573" s="9" t="s">
        <v>26</v>
      </c>
    </row>
    <row r="39574" ht="15.75" customHeight="1">
      <c r="A39574" s="7"/>
      <c r="B39574" s="7"/>
      <c r="M39574" s="9" t="s">
        <v>24</v>
      </c>
    </row>
    <row r="39575" ht="15.75" customHeight="1">
      <c r="A39575" s="7"/>
      <c r="B39575" s="7"/>
      <c r="M39575" s="9" t="s">
        <v>21</v>
      </c>
    </row>
    <row r="39576" ht="15.75" customHeight="1">
      <c r="A39576" s="7"/>
      <c r="B39576" s="7"/>
      <c r="M39576" s="9" t="s">
        <v>22</v>
      </c>
    </row>
    <row r="39577" ht="15.75" customHeight="1">
      <c r="A39577" s="7"/>
      <c r="B39577" s="7"/>
      <c r="M39577" s="9" t="s">
        <v>31</v>
      </c>
    </row>
    <row r="39578" ht="15.75" customHeight="1">
      <c r="A39578" s="7"/>
      <c r="B39578" s="7"/>
      <c r="M39578" s="9" t="s">
        <v>27</v>
      </c>
    </row>
    <row r="39579" ht="15.75" customHeight="1">
      <c r="A39579" s="7"/>
      <c r="B39579" s="7"/>
      <c r="M39579" s="9" t="s">
        <v>33</v>
      </c>
    </row>
    <row r="39580" ht="15.75" customHeight="1">
      <c r="A39580" s="7"/>
      <c r="B39580" s="7"/>
      <c r="M39580" s="9" t="s">
        <v>30</v>
      </c>
    </row>
    <row r="39581" ht="15.75" customHeight="1">
      <c r="A39581" s="7"/>
      <c r="B39581" s="7"/>
      <c r="M39581" s="9" t="s">
        <v>26</v>
      </c>
    </row>
    <row r="39582" ht="15.75" customHeight="1">
      <c r="A39582" s="7"/>
      <c r="B39582" s="7"/>
      <c r="M39582" s="9" t="s">
        <v>24</v>
      </c>
    </row>
    <row r="39583" ht="15.75" customHeight="1">
      <c r="A39583" s="7"/>
      <c r="B39583" s="7"/>
      <c r="M39583" s="9" t="s">
        <v>20</v>
      </c>
    </row>
    <row r="39584" ht="15.75" customHeight="1">
      <c r="A39584" s="7"/>
      <c r="B39584" s="7"/>
      <c r="M39584" s="9" t="s">
        <v>21</v>
      </c>
    </row>
    <row r="39585" ht="15.75" customHeight="1">
      <c r="A39585" s="7"/>
      <c r="B39585" s="7"/>
      <c r="M39585" s="9" t="s">
        <v>37</v>
      </c>
    </row>
    <row r="39586" ht="15.75" customHeight="1">
      <c r="A39586" s="7"/>
      <c r="B39586" s="7"/>
      <c r="M39586" s="9" t="s">
        <v>27</v>
      </c>
    </row>
    <row r="39587" ht="15.75" customHeight="1">
      <c r="A39587" s="7"/>
      <c r="B39587" s="7"/>
      <c r="M39587" s="9" t="s">
        <v>24</v>
      </c>
    </row>
    <row r="39588" ht="15.75" customHeight="1">
      <c r="A39588" s="7"/>
      <c r="B39588" s="7"/>
      <c r="M39588" s="9" t="s">
        <v>21</v>
      </c>
    </row>
    <row r="39589" ht="15.75" customHeight="1">
      <c r="A39589" s="7"/>
      <c r="B39589" s="7"/>
      <c r="M39589" s="9" t="s">
        <v>35</v>
      </c>
    </row>
    <row r="39590" ht="15.75" customHeight="1">
      <c r="A39590" s="7"/>
      <c r="B39590" s="7"/>
      <c r="M39590" s="9" t="s">
        <v>36</v>
      </c>
    </row>
    <row r="39591" ht="15.75" customHeight="1">
      <c r="A39591" s="7"/>
      <c r="B39591" s="7"/>
      <c r="M39591" s="9" t="s">
        <v>24</v>
      </c>
    </row>
    <row r="39592" ht="15.75" customHeight="1">
      <c r="A39592" s="7"/>
      <c r="B39592" s="7"/>
      <c r="M39592" s="9" t="s">
        <v>21</v>
      </c>
    </row>
    <row r="39593" ht="15.75" customHeight="1">
      <c r="A39593" s="7"/>
      <c r="B39593" s="7"/>
      <c r="M39593" s="9" t="s">
        <v>27</v>
      </c>
    </row>
    <row r="39594" ht="15.75" customHeight="1">
      <c r="A39594" s="7"/>
      <c r="B39594" s="7"/>
      <c r="M39594" s="9" t="s">
        <v>24</v>
      </c>
    </row>
    <row r="39595" ht="15.75" customHeight="1">
      <c r="A39595" s="7"/>
      <c r="B39595" s="7"/>
      <c r="M39595" s="9" t="s">
        <v>20</v>
      </c>
    </row>
    <row r="39596" ht="15.75" customHeight="1">
      <c r="A39596" s="7"/>
      <c r="B39596" s="7"/>
      <c r="M39596" s="9" t="s">
        <v>21</v>
      </c>
    </row>
    <row r="39597" ht="15.75" customHeight="1">
      <c r="A39597" s="7"/>
      <c r="B39597" s="7"/>
      <c r="M39597" s="9" t="s">
        <v>37</v>
      </c>
    </row>
    <row r="39598" ht="15.75" customHeight="1">
      <c r="A39598" s="7"/>
      <c r="B39598" s="7"/>
      <c r="M39598" s="9" t="s">
        <v>22</v>
      </c>
    </row>
    <row r="39599" ht="15.75" customHeight="1">
      <c r="A39599" s="7"/>
      <c r="B39599" s="7"/>
      <c r="M39599" s="9" t="s">
        <v>27</v>
      </c>
    </row>
    <row r="39600" ht="15.75" customHeight="1">
      <c r="A39600" s="7"/>
      <c r="B39600" s="7"/>
      <c r="M39600" s="9" t="s">
        <v>33</v>
      </c>
    </row>
    <row r="39601" ht="15.75" customHeight="1">
      <c r="A39601" s="7"/>
      <c r="B39601" s="7"/>
      <c r="M39601" s="9" t="s">
        <v>20</v>
      </c>
    </row>
    <row r="39602" ht="15.75" customHeight="1">
      <c r="A39602" s="7"/>
      <c r="B39602" s="7"/>
      <c r="M39602" s="9" t="s">
        <v>22</v>
      </c>
    </row>
    <row r="39603" ht="15.75" customHeight="1">
      <c r="A39603" s="7"/>
      <c r="B39603" s="7"/>
      <c r="M39603" s="9" t="s">
        <v>46</v>
      </c>
    </row>
    <row r="39604" ht="15.75" customHeight="1">
      <c r="A39604" s="7"/>
      <c r="B39604" s="7"/>
      <c r="M39604" s="9" t="s">
        <v>33</v>
      </c>
    </row>
    <row r="39605" ht="15.75" customHeight="1">
      <c r="A39605" s="7"/>
      <c r="B39605" s="7"/>
      <c r="M39605" s="9" t="s">
        <v>24</v>
      </c>
    </row>
    <row r="39606" ht="15.75" customHeight="1">
      <c r="A39606" s="7"/>
      <c r="B39606" s="7"/>
      <c r="M39606" s="9" t="s">
        <v>20</v>
      </c>
    </row>
    <row r="39607" ht="15.75" customHeight="1">
      <c r="A39607" s="7"/>
      <c r="B39607" s="7"/>
      <c r="M39607" s="9" t="s">
        <v>33</v>
      </c>
    </row>
    <row r="39608" ht="15.75" customHeight="1">
      <c r="A39608" s="7"/>
      <c r="B39608" s="7"/>
      <c r="M39608" s="9" t="s">
        <v>26</v>
      </c>
    </row>
    <row r="39609" ht="15.75" customHeight="1">
      <c r="A39609" s="7"/>
      <c r="B39609" s="7"/>
      <c r="M39609" s="9" t="s">
        <v>20</v>
      </c>
    </row>
    <row r="39610" ht="15.75" customHeight="1">
      <c r="A39610" s="7"/>
      <c r="B39610" s="7"/>
      <c r="M39610" s="9" t="s">
        <v>21</v>
      </c>
    </row>
    <row r="39611" ht="15.75" customHeight="1">
      <c r="A39611" s="7"/>
      <c r="B39611" s="7"/>
      <c r="M39611" s="9" t="s">
        <v>22</v>
      </c>
    </row>
    <row r="39612" ht="15.75" customHeight="1">
      <c r="A39612" s="7"/>
      <c r="B39612" s="7"/>
      <c r="M39612" s="9" t="s">
        <v>26</v>
      </c>
    </row>
    <row r="39613" ht="15.75" customHeight="1">
      <c r="A39613" s="7"/>
      <c r="B39613" s="7"/>
      <c r="M39613" s="9" t="s">
        <v>21</v>
      </c>
    </row>
    <row r="39614" ht="15.75" customHeight="1">
      <c r="A39614" s="7"/>
      <c r="B39614" s="7"/>
      <c r="M39614" s="9" t="s">
        <v>27</v>
      </c>
    </row>
    <row r="39615" ht="15.75" customHeight="1">
      <c r="A39615" s="7"/>
      <c r="B39615" s="7"/>
      <c r="M39615" s="9" t="s">
        <v>24</v>
      </c>
    </row>
    <row r="39616" ht="15.75" customHeight="1">
      <c r="A39616" s="7"/>
      <c r="B39616" s="7"/>
      <c r="M39616" s="9" t="s">
        <v>20</v>
      </c>
    </row>
    <row r="39617" ht="15.75" customHeight="1">
      <c r="A39617" s="7"/>
      <c r="B39617" s="7"/>
      <c r="M39617" s="9" t="s">
        <v>21</v>
      </c>
    </row>
    <row r="39618" ht="15.75" customHeight="1">
      <c r="A39618" s="7"/>
      <c r="B39618" s="7"/>
      <c r="M39618" s="9" t="s">
        <v>33</v>
      </c>
    </row>
    <row r="39619" ht="15.75" customHeight="1">
      <c r="A39619" s="7"/>
      <c r="B39619" s="7"/>
      <c r="M39619" s="9" t="s">
        <v>30</v>
      </c>
    </row>
    <row r="39620" ht="15.75" customHeight="1">
      <c r="A39620" s="7"/>
      <c r="B39620" s="7"/>
      <c r="M39620" s="9" t="s">
        <v>20</v>
      </c>
    </row>
    <row r="39621" ht="15.75" customHeight="1">
      <c r="A39621" s="7"/>
      <c r="B39621" s="7"/>
      <c r="M39621" s="9" t="s">
        <v>21</v>
      </c>
    </row>
    <row r="39622" ht="15.75" customHeight="1">
      <c r="A39622" s="7"/>
      <c r="B39622" s="7"/>
      <c r="M39622" s="9" t="s">
        <v>24</v>
      </c>
    </row>
    <row r="39623" ht="15.75" customHeight="1">
      <c r="A39623" s="7"/>
      <c r="B39623" s="7"/>
      <c r="M39623" s="9" t="s">
        <v>20</v>
      </c>
    </row>
    <row r="39624" ht="15.75" customHeight="1">
      <c r="A39624" s="7"/>
      <c r="B39624" s="7"/>
      <c r="M39624" s="9" t="s">
        <v>21</v>
      </c>
    </row>
    <row r="39625" ht="15.75" customHeight="1">
      <c r="A39625" s="7"/>
      <c r="B39625" s="7"/>
      <c r="M39625" s="9" t="s">
        <v>39</v>
      </c>
    </row>
    <row r="39626" ht="15.75" customHeight="1">
      <c r="A39626" s="7"/>
      <c r="B39626" s="7"/>
      <c r="M39626" s="9" t="s">
        <v>22</v>
      </c>
    </row>
    <row r="39627" ht="15.75" customHeight="1">
      <c r="A39627" s="7"/>
      <c r="B39627" s="7"/>
      <c r="M39627" s="9" t="s">
        <v>27</v>
      </c>
    </row>
    <row r="39628" ht="15.75" customHeight="1">
      <c r="A39628" s="7"/>
      <c r="B39628" s="7"/>
      <c r="M39628" s="9" t="s">
        <v>33</v>
      </c>
    </row>
    <row r="39629" ht="15.75" customHeight="1">
      <c r="A39629" s="7"/>
      <c r="B39629" s="7"/>
      <c r="M39629" s="9" t="s">
        <v>24</v>
      </c>
    </row>
    <row r="39630" ht="15.75" customHeight="1">
      <c r="A39630" s="7"/>
      <c r="B39630" s="7"/>
      <c r="M39630" s="9" t="s">
        <v>21</v>
      </c>
    </row>
    <row r="39631" ht="15.75" customHeight="1">
      <c r="A39631" s="7"/>
      <c r="B39631" s="7"/>
      <c r="M39631" s="9" t="s">
        <v>27</v>
      </c>
    </row>
    <row r="39632" ht="15.75" customHeight="1">
      <c r="A39632" s="7"/>
      <c r="B39632" s="7"/>
      <c r="M39632" s="9" t="s">
        <v>30</v>
      </c>
    </row>
    <row r="39633" ht="15.75" customHeight="1">
      <c r="A39633" s="7"/>
      <c r="B39633" s="7"/>
      <c r="M39633" s="9" t="s">
        <v>25</v>
      </c>
    </row>
    <row r="39634" ht="15.75" customHeight="1">
      <c r="A39634" s="7"/>
      <c r="B39634" s="7"/>
      <c r="M39634" s="9" t="s">
        <v>26</v>
      </c>
    </row>
    <row r="39635" ht="15.75" customHeight="1">
      <c r="A39635" s="7"/>
      <c r="B39635" s="7"/>
      <c r="M39635" s="9" t="s">
        <v>22</v>
      </c>
    </row>
    <row r="39636" ht="15.75" customHeight="1">
      <c r="A39636" s="7"/>
      <c r="B39636" s="7"/>
      <c r="M39636" s="9" t="s">
        <v>35</v>
      </c>
    </row>
    <row r="39637" ht="15.75" customHeight="1">
      <c r="A39637" s="7"/>
      <c r="B39637" s="7"/>
      <c r="M39637" s="9" t="s">
        <v>30</v>
      </c>
    </row>
    <row r="39638" ht="15.75" customHeight="1">
      <c r="A39638" s="7"/>
      <c r="B39638" s="7"/>
      <c r="M39638" s="9" t="s">
        <v>26</v>
      </c>
    </row>
    <row r="39639" ht="15.75" customHeight="1">
      <c r="A39639" s="7"/>
      <c r="B39639" s="7"/>
      <c r="M39639" s="9" t="s">
        <v>36</v>
      </c>
    </row>
    <row r="39640" ht="15.75" customHeight="1">
      <c r="A39640" s="7"/>
      <c r="B39640" s="7"/>
      <c r="M39640" s="9" t="s">
        <v>24</v>
      </c>
    </row>
    <row r="39641" ht="15.75" customHeight="1">
      <c r="A39641" s="7"/>
      <c r="B39641" s="7"/>
      <c r="M39641" s="9" t="s">
        <v>20</v>
      </c>
    </row>
    <row r="39642" ht="15.75" customHeight="1">
      <c r="A39642" s="7"/>
      <c r="B39642" s="7"/>
      <c r="M39642" s="9" t="s">
        <v>21</v>
      </c>
    </row>
    <row r="39643" ht="15.75" customHeight="1">
      <c r="A39643" s="7"/>
      <c r="B39643" s="7"/>
      <c r="M39643" s="9" t="s">
        <v>22</v>
      </c>
    </row>
    <row r="39644" ht="15.75" customHeight="1">
      <c r="A39644" s="7"/>
      <c r="B39644" s="7"/>
      <c r="M39644" s="9" t="s">
        <v>32</v>
      </c>
    </row>
    <row r="39645" ht="15.75" customHeight="1">
      <c r="A39645" s="7"/>
      <c r="B39645" s="7"/>
      <c r="M39645" s="9" t="s">
        <v>46</v>
      </c>
    </row>
    <row r="39646" ht="15.75" customHeight="1">
      <c r="A39646" s="7"/>
      <c r="B39646" s="7"/>
      <c r="M39646" s="9" t="s">
        <v>27</v>
      </c>
    </row>
    <row r="39647" ht="15.75" customHeight="1">
      <c r="A39647" s="7"/>
      <c r="B39647" s="7"/>
      <c r="M39647" s="9" t="s">
        <v>21</v>
      </c>
    </row>
    <row r="39648" ht="15.75" customHeight="1">
      <c r="A39648" s="7"/>
      <c r="B39648" s="7"/>
      <c r="M39648" s="9" t="s">
        <v>31</v>
      </c>
    </row>
    <row r="39649" ht="15.75" customHeight="1">
      <c r="A39649" s="7"/>
      <c r="B39649" s="7"/>
      <c r="M39649" s="9" t="s">
        <v>27</v>
      </c>
    </row>
    <row r="39650" ht="15.75" customHeight="1">
      <c r="A39650" s="7"/>
      <c r="B39650" s="7"/>
      <c r="M39650" s="9" t="s">
        <v>30</v>
      </c>
    </row>
    <row r="39651" ht="15.75" customHeight="1">
      <c r="A39651" s="7"/>
      <c r="B39651" s="7"/>
      <c r="M39651" s="9" t="s">
        <v>23</v>
      </c>
    </row>
    <row r="39652" ht="15.75" customHeight="1">
      <c r="A39652" s="7"/>
      <c r="B39652" s="7"/>
      <c r="M39652" s="9" t="s">
        <v>26</v>
      </c>
    </row>
    <row r="39653" ht="15.75" customHeight="1">
      <c r="A39653" s="7"/>
      <c r="B39653" s="7"/>
      <c r="M39653" s="9" t="s">
        <v>47</v>
      </c>
    </row>
    <row r="39654" ht="15.75" customHeight="1">
      <c r="A39654" s="7"/>
      <c r="B39654" s="7"/>
      <c r="M39654" s="9" t="s">
        <v>36</v>
      </c>
    </row>
    <row r="39655" ht="15.75" customHeight="1">
      <c r="A39655" s="7"/>
      <c r="B39655" s="7"/>
      <c r="M39655" s="9" t="s">
        <v>24</v>
      </c>
    </row>
    <row r="39656" ht="15.75" customHeight="1">
      <c r="A39656" s="7"/>
      <c r="B39656" s="7"/>
      <c r="M39656" s="9" t="s">
        <v>20</v>
      </c>
    </row>
    <row r="39657" ht="15.75" customHeight="1">
      <c r="A39657" s="7"/>
      <c r="B39657" s="7"/>
      <c r="M39657" s="9" t="s">
        <v>21</v>
      </c>
    </row>
    <row r="39658" ht="15.75" customHeight="1">
      <c r="A39658" s="7"/>
      <c r="B39658" s="7"/>
      <c r="M39658" s="9" t="s">
        <v>39</v>
      </c>
    </row>
    <row r="39659" ht="15.75" customHeight="1">
      <c r="A39659" s="7"/>
      <c r="B39659" s="7"/>
      <c r="M39659" s="9" t="s">
        <v>37</v>
      </c>
    </row>
    <row r="39660" ht="15.75" customHeight="1">
      <c r="A39660" s="7"/>
      <c r="B39660" s="7"/>
      <c r="M39660" s="9" t="s">
        <v>22</v>
      </c>
    </row>
    <row r="39661" ht="15.75" customHeight="1">
      <c r="A39661" s="7"/>
      <c r="B39661" s="7"/>
      <c r="M39661" s="9" t="s">
        <v>27</v>
      </c>
    </row>
    <row r="39662" ht="15.75" customHeight="1">
      <c r="A39662" s="7"/>
      <c r="B39662" s="7"/>
      <c r="M39662" s="9" t="s">
        <v>33</v>
      </c>
    </row>
    <row r="39663" ht="15.75" customHeight="1">
      <c r="A39663" s="7"/>
      <c r="B39663" s="7"/>
      <c r="M39663" s="9" t="s">
        <v>24</v>
      </c>
    </row>
    <row r="39664" ht="15.75" customHeight="1">
      <c r="A39664" s="7"/>
      <c r="B39664" s="7"/>
      <c r="M39664" s="9" t="s">
        <v>20</v>
      </c>
    </row>
    <row r="39665" ht="15.75" customHeight="1">
      <c r="A39665" s="7"/>
      <c r="B39665" s="7"/>
      <c r="M39665" s="9" t="s">
        <v>21</v>
      </c>
    </row>
    <row r="39666" ht="15.75" customHeight="1">
      <c r="A39666" s="7"/>
      <c r="B39666" s="7"/>
      <c r="M39666" s="9" t="s">
        <v>22</v>
      </c>
    </row>
    <row r="39667" ht="15.75" customHeight="1">
      <c r="A39667" s="7"/>
      <c r="B39667" s="7"/>
      <c r="M39667" s="9" t="s">
        <v>27</v>
      </c>
    </row>
    <row r="39668" ht="15.75" customHeight="1">
      <c r="A39668" s="7"/>
      <c r="B39668" s="7"/>
      <c r="M39668" s="9" t="s">
        <v>35</v>
      </c>
    </row>
    <row r="39669" ht="15.75" customHeight="1">
      <c r="A39669" s="7"/>
      <c r="B39669" s="7"/>
      <c r="M39669" s="9" t="s">
        <v>30</v>
      </c>
    </row>
    <row r="39670" ht="15.75" customHeight="1">
      <c r="A39670" s="7"/>
      <c r="B39670" s="7"/>
      <c r="M39670" s="9" t="s">
        <v>25</v>
      </c>
    </row>
    <row r="39671" ht="15.75" customHeight="1">
      <c r="A39671" s="7"/>
      <c r="B39671" s="7"/>
      <c r="M39671" s="9" t="s">
        <v>23</v>
      </c>
    </row>
    <row r="39672" ht="15.75" customHeight="1">
      <c r="A39672" s="7"/>
      <c r="B39672" s="7"/>
      <c r="M39672" s="9" t="s">
        <v>22</v>
      </c>
    </row>
    <row r="39673" ht="15.75" customHeight="1">
      <c r="A39673" s="7"/>
      <c r="B39673" s="7"/>
      <c r="M39673" s="9" t="s">
        <v>21</v>
      </c>
    </row>
    <row r="39674" ht="15.75" customHeight="1">
      <c r="A39674" s="7"/>
      <c r="B39674" s="7"/>
      <c r="M39674" s="9" t="s">
        <v>26</v>
      </c>
    </row>
    <row r="39675" ht="15.75" customHeight="1">
      <c r="A39675" s="7"/>
      <c r="B39675" s="7"/>
      <c r="M39675" s="9" t="s">
        <v>24</v>
      </c>
    </row>
    <row r="39676" ht="15.75" customHeight="1">
      <c r="A39676" s="7"/>
      <c r="B39676" s="7"/>
      <c r="M39676" s="9" t="s">
        <v>21</v>
      </c>
    </row>
    <row r="39677" ht="15.75" customHeight="1">
      <c r="A39677" s="7"/>
      <c r="B39677" s="7"/>
      <c r="M39677" s="9" t="s">
        <v>37</v>
      </c>
    </row>
    <row r="39678" ht="15.75" customHeight="1">
      <c r="A39678" s="7"/>
      <c r="B39678" s="7"/>
      <c r="M39678" s="9" t="s">
        <v>30</v>
      </c>
    </row>
    <row r="39679" ht="15.75" customHeight="1">
      <c r="A39679" s="7"/>
      <c r="B39679" s="7"/>
      <c r="M39679" s="9" t="s">
        <v>23</v>
      </c>
    </row>
    <row r="39680" ht="15.75" customHeight="1">
      <c r="A39680" s="7"/>
      <c r="B39680" s="7"/>
      <c r="M39680" s="9" t="s">
        <v>24</v>
      </c>
    </row>
    <row r="39681" ht="15.75" customHeight="1">
      <c r="A39681" s="7"/>
      <c r="B39681" s="7"/>
      <c r="M39681" s="9" t="s">
        <v>21</v>
      </c>
    </row>
    <row r="39682" ht="15.75" customHeight="1">
      <c r="A39682" s="7"/>
      <c r="B39682" s="7"/>
      <c r="M39682" s="9" t="s">
        <v>22</v>
      </c>
    </row>
    <row r="39683" ht="15.75" customHeight="1">
      <c r="A39683" s="7"/>
      <c r="B39683" s="7"/>
      <c r="M39683" s="9" t="s">
        <v>27</v>
      </c>
    </row>
    <row r="39684" ht="15.75" customHeight="1">
      <c r="A39684" s="7"/>
      <c r="B39684" s="7"/>
      <c r="M39684" s="9" t="s">
        <v>35</v>
      </c>
    </row>
    <row r="39685" ht="15.75" customHeight="1">
      <c r="A39685" s="7"/>
      <c r="B39685" s="7"/>
      <c r="M39685" s="9" t="s">
        <v>30</v>
      </c>
    </row>
    <row r="39686" ht="15.75" customHeight="1">
      <c r="A39686" s="7"/>
      <c r="B39686" s="7"/>
      <c r="M39686" s="9" t="s">
        <v>22</v>
      </c>
    </row>
    <row r="39687" ht="15.75" customHeight="1">
      <c r="A39687" s="7"/>
      <c r="B39687" s="7"/>
      <c r="M39687" s="9" t="s">
        <v>27</v>
      </c>
    </row>
    <row r="39688" ht="15.75" customHeight="1">
      <c r="A39688" s="7"/>
      <c r="B39688" s="7"/>
      <c r="M39688" s="9" t="s">
        <v>30</v>
      </c>
    </row>
    <row r="39689" ht="15.75" customHeight="1">
      <c r="A39689" s="7"/>
      <c r="B39689" s="7"/>
      <c r="M39689" s="9" t="s">
        <v>24</v>
      </c>
    </row>
    <row r="39690" ht="15.75" customHeight="1">
      <c r="A39690" s="7"/>
      <c r="B39690" s="7"/>
      <c r="M39690" s="9" t="s">
        <v>20</v>
      </c>
    </row>
    <row r="39691" ht="15.75" customHeight="1">
      <c r="A39691" s="7"/>
      <c r="B39691" s="7"/>
      <c r="M39691" s="9" t="s">
        <v>21</v>
      </c>
    </row>
    <row r="39692" ht="15.75" customHeight="1">
      <c r="A39692" s="7"/>
      <c r="B39692" s="7"/>
      <c r="M39692" s="9" t="s">
        <v>37</v>
      </c>
    </row>
    <row r="39693" ht="15.75" customHeight="1">
      <c r="A39693" s="7"/>
      <c r="B39693" s="7"/>
      <c r="M39693" s="9" t="s">
        <v>22</v>
      </c>
    </row>
    <row r="39694" ht="15.75" customHeight="1">
      <c r="A39694" s="7"/>
      <c r="B39694" s="7"/>
      <c r="M39694" s="9" t="s">
        <v>27</v>
      </c>
    </row>
    <row r="39695" ht="15.75" customHeight="1">
      <c r="A39695" s="7"/>
      <c r="B39695" s="7"/>
      <c r="M39695" s="9" t="s">
        <v>28</v>
      </c>
    </row>
    <row r="39696" ht="15.75" customHeight="1">
      <c r="A39696" s="7"/>
      <c r="B39696" s="7"/>
      <c r="M39696" s="9" t="s">
        <v>24</v>
      </c>
    </row>
    <row r="39697" ht="15.75" customHeight="1">
      <c r="A39697" s="7"/>
      <c r="B39697" s="7"/>
      <c r="M39697" s="9" t="s">
        <v>20</v>
      </c>
    </row>
    <row r="39698" ht="15.75" customHeight="1">
      <c r="A39698" s="7"/>
      <c r="B39698" s="7"/>
      <c r="M39698" s="9" t="s">
        <v>21</v>
      </c>
    </row>
    <row r="39699" ht="15.75" customHeight="1">
      <c r="A39699" s="7"/>
      <c r="B39699" s="7"/>
      <c r="M39699" s="9" t="s">
        <v>27</v>
      </c>
    </row>
    <row r="39700" ht="15.75" customHeight="1">
      <c r="A39700" s="7"/>
      <c r="B39700" s="7"/>
      <c r="M39700" s="9" t="s">
        <v>35</v>
      </c>
    </row>
    <row r="39701" ht="15.75" customHeight="1">
      <c r="A39701" s="7"/>
      <c r="B39701" s="7"/>
      <c r="M39701" s="9" t="s">
        <v>21</v>
      </c>
    </row>
    <row r="39702" ht="15.75" customHeight="1">
      <c r="A39702" s="7"/>
      <c r="B39702" s="7"/>
      <c r="M39702" s="9" t="s">
        <v>37</v>
      </c>
    </row>
    <row r="39703" ht="15.75" customHeight="1">
      <c r="A39703" s="7"/>
      <c r="B39703" s="7"/>
      <c r="M39703" s="9" t="s">
        <v>27</v>
      </c>
    </row>
    <row r="39704" ht="15.75" customHeight="1">
      <c r="A39704" s="7"/>
      <c r="B39704" s="7"/>
      <c r="M39704" s="9" t="s">
        <v>38</v>
      </c>
    </row>
    <row r="39705" ht="15.75" customHeight="1">
      <c r="A39705" s="7"/>
      <c r="B39705" s="7"/>
      <c r="M39705" s="9" t="s">
        <v>24</v>
      </c>
    </row>
    <row r="39706" ht="15.75" customHeight="1">
      <c r="A39706" s="7"/>
      <c r="B39706" s="7"/>
      <c r="M39706" s="9" t="s">
        <v>21</v>
      </c>
    </row>
    <row r="39707" ht="15.75" customHeight="1">
      <c r="A39707" s="7"/>
      <c r="B39707" s="7"/>
      <c r="M39707" s="9" t="s">
        <v>29</v>
      </c>
    </row>
    <row r="39708" ht="15.75" customHeight="1">
      <c r="A39708" s="7"/>
      <c r="B39708" s="7"/>
      <c r="M39708" s="9" t="s">
        <v>31</v>
      </c>
    </row>
    <row r="39709" ht="15.75" customHeight="1">
      <c r="A39709" s="7"/>
      <c r="B39709" s="7"/>
      <c r="M39709" s="9" t="s">
        <v>27</v>
      </c>
    </row>
    <row r="39710" ht="15.75" customHeight="1">
      <c r="A39710" s="7"/>
      <c r="B39710" s="7"/>
      <c r="M39710" s="9" t="s">
        <v>26</v>
      </c>
    </row>
    <row r="39711" ht="15.75" customHeight="1">
      <c r="A39711" s="7"/>
      <c r="B39711" s="7"/>
      <c r="M39711" s="9" t="s">
        <v>42</v>
      </c>
    </row>
    <row r="39712" ht="15.75" customHeight="1">
      <c r="A39712" s="7"/>
      <c r="B39712" s="7"/>
      <c r="M39712" s="9" t="s">
        <v>45</v>
      </c>
    </row>
    <row r="39713" ht="15.75" customHeight="1">
      <c r="A39713" s="7"/>
      <c r="B39713" s="7"/>
      <c r="M39713" s="9" t="s">
        <v>20</v>
      </c>
    </row>
    <row r="39714" ht="15.75" customHeight="1">
      <c r="A39714" s="7"/>
      <c r="B39714" s="7"/>
      <c r="M39714" s="9" t="s">
        <v>21</v>
      </c>
    </row>
    <row r="39715" ht="15.75" customHeight="1">
      <c r="A39715" s="7"/>
      <c r="B39715" s="7"/>
      <c r="M39715" s="9" t="s">
        <v>33</v>
      </c>
    </row>
    <row r="39716" ht="15.75" customHeight="1">
      <c r="A39716" s="7"/>
      <c r="B39716" s="7"/>
      <c r="M39716" s="9" t="s">
        <v>24</v>
      </c>
    </row>
    <row r="39717" ht="15.75" customHeight="1">
      <c r="A39717" s="7"/>
      <c r="B39717" s="7"/>
      <c r="M39717" s="9" t="s">
        <v>21</v>
      </c>
    </row>
    <row r="39718" ht="15.75" customHeight="1">
      <c r="A39718" s="7"/>
      <c r="B39718" s="7"/>
      <c r="M39718" s="9" t="s">
        <v>33</v>
      </c>
    </row>
    <row r="39719" ht="15.75" customHeight="1">
      <c r="A39719" s="7"/>
      <c r="B39719" s="7"/>
      <c r="M39719" s="9" t="s">
        <v>24</v>
      </c>
    </row>
    <row r="39720" ht="15.75" customHeight="1">
      <c r="A39720" s="7"/>
      <c r="B39720" s="7"/>
      <c r="M39720" s="9" t="s">
        <v>21</v>
      </c>
    </row>
    <row r="39721" ht="15.75" customHeight="1">
      <c r="A39721" s="7"/>
      <c r="B39721" s="7"/>
      <c r="M39721" s="9" t="s">
        <v>33</v>
      </c>
    </row>
    <row r="39722" ht="15.75" customHeight="1">
      <c r="A39722" s="7"/>
      <c r="B39722" s="7"/>
      <c r="M39722" s="9" t="s">
        <v>30</v>
      </c>
    </row>
    <row r="39723" ht="15.75" customHeight="1">
      <c r="A39723" s="7"/>
      <c r="B39723" s="7"/>
      <c r="M39723" s="9" t="s">
        <v>25</v>
      </c>
    </row>
    <row r="39724" ht="15.75" customHeight="1">
      <c r="A39724" s="7"/>
      <c r="B39724" s="7"/>
      <c r="M39724" s="9" t="s">
        <v>23</v>
      </c>
    </row>
    <row r="39725" ht="15.75" customHeight="1">
      <c r="A39725" s="7"/>
      <c r="B39725" s="7"/>
      <c r="M39725" s="9" t="s">
        <v>26</v>
      </c>
    </row>
    <row r="39726" ht="15.75" customHeight="1">
      <c r="A39726" s="7"/>
      <c r="B39726" s="7"/>
      <c r="M39726" s="9" t="s">
        <v>24</v>
      </c>
    </row>
    <row r="39727" ht="15.75" customHeight="1">
      <c r="A39727" s="7"/>
      <c r="B39727" s="7"/>
      <c r="M39727" s="9" t="s">
        <v>21</v>
      </c>
    </row>
    <row r="39728" ht="15.75" customHeight="1">
      <c r="A39728" s="7"/>
      <c r="B39728" s="7"/>
      <c r="M39728" s="9" t="s">
        <v>41</v>
      </c>
    </row>
    <row r="39729" ht="15.75" customHeight="1">
      <c r="A39729" s="7"/>
      <c r="B39729" s="7"/>
      <c r="M39729" s="9" t="s">
        <v>22</v>
      </c>
    </row>
    <row r="39730" ht="15.75" customHeight="1">
      <c r="A39730" s="7"/>
      <c r="B39730" s="7"/>
      <c r="M39730" s="9" t="s">
        <v>29</v>
      </c>
    </row>
    <row r="39731" ht="15.75" customHeight="1">
      <c r="A39731" s="7"/>
      <c r="B39731" s="7"/>
      <c r="M39731" s="9" t="s">
        <v>27</v>
      </c>
    </row>
    <row r="39732" ht="15.75" customHeight="1">
      <c r="A39732" s="7"/>
      <c r="B39732" s="7"/>
      <c r="M39732" s="9" t="s">
        <v>33</v>
      </c>
    </row>
    <row r="39733" ht="15.75" customHeight="1">
      <c r="A39733" s="7"/>
      <c r="B39733" s="7"/>
      <c r="M39733" s="9" t="s">
        <v>28</v>
      </c>
    </row>
    <row r="39734" ht="15.75" customHeight="1">
      <c r="A39734" s="7"/>
      <c r="B39734" s="7"/>
      <c r="M39734" s="9" t="s">
        <v>26</v>
      </c>
    </row>
    <row r="39735" ht="15.75" customHeight="1">
      <c r="A39735" s="7"/>
      <c r="B39735" s="7"/>
      <c r="M39735" s="9" t="s">
        <v>24</v>
      </c>
    </row>
    <row r="39736" ht="15.75" customHeight="1">
      <c r="A39736" s="7"/>
      <c r="B39736" s="7"/>
      <c r="M39736" s="9" t="s">
        <v>21</v>
      </c>
    </row>
    <row r="39737" ht="15.75" customHeight="1">
      <c r="A39737" s="7"/>
      <c r="B39737" s="7"/>
      <c r="M39737" s="9" t="s">
        <v>37</v>
      </c>
    </row>
    <row r="39738" ht="15.75" customHeight="1">
      <c r="A39738" s="7"/>
      <c r="B39738" s="7"/>
      <c r="M39738" s="9" t="s">
        <v>27</v>
      </c>
    </row>
    <row r="39739" ht="15.75" customHeight="1">
      <c r="A39739" s="7"/>
      <c r="B39739" s="7"/>
      <c r="M39739" s="9" t="s">
        <v>28</v>
      </c>
    </row>
    <row r="39740" ht="15.75" customHeight="1">
      <c r="A39740" s="7"/>
      <c r="B39740" s="7"/>
      <c r="M39740" s="9" t="s">
        <v>21</v>
      </c>
    </row>
    <row r="39741" ht="15.75" customHeight="1">
      <c r="A39741" s="7"/>
      <c r="B39741" s="7"/>
      <c r="M39741" s="9" t="s">
        <v>30</v>
      </c>
    </row>
    <row r="39742" ht="15.75" customHeight="1">
      <c r="A39742" s="7"/>
      <c r="B39742" s="7"/>
      <c r="M39742" s="9" t="s">
        <v>25</v>
      </c>
    </row>
    <row r="39743" ht="15.75" customHeight="1">
      <c r="A39743" s="7"/>
      <c r="B39743" s="7"/>
      <c r="M39743" s="9" t="s">
        <v>24</v>
      </c>
    </row>
    <row r="39744" ht="15.75" customHeight="1">
      <c r="A39744" s="7"/>
      <c r="B39744" s="7"/>
      <c r="M39744" s="9" t="s">
        <v>20</v>
      </c>
    </row>
    <row r="39745" ht="15.75" customHeight="1">
      <c r="A39745" s="7"/>
      <c r="B39745" s="7"/>
      <c r="M39745" s="9" t="s">
        <v>21</v>
      </c>
    </row>
    <row r="39746" ht="15.75" customHeight="1">
      <c r="A39746" s="7"/>
      <c r="B39746" s="7"/>
      <c r="M39746" s="9" t="s">
        <v>41</v>
      </c>
    </row>
    <row r="39747" ht="15.75" customHeight="1">
      <c r="A39747" s="7"/>
      <c r="B39747" s="7"/>
      <c r="M39747" s="9" t="s">
        <v>27</v>
      </c>
    </row>
    <row r="39748" ht="15.75" customHeight="1">
      <c r="A39748" s="7"/>
      <c r="B39748" s="7"/>
      <c r="M39748" s="9" t="s">
        <v>22</v>
      </c>
    </row>
    <row r="39749" ht="15.75" customHeight="1">
      <c r="A39749" s="7"/>
      <c r="B39749" s="7"/>
      <c r="M39749" s="9" t="s">
        <v>30</v>
      </c>
    </row>
    <row r="39750" ht="15.75" customHeight="1">
      <c r="A39750" s="7"/>
      <c r="B39750" s="7"/>
      <c r="M39750" s="9" t="s">
        <v>26</v>
      </c>
    </row>
    <row r="39751" ht="15.75" customHeight="1">
      <c r="A39751" s="7"/>
      <c r="B39751" s="7"/>
      <c r="M39751" s="9" t="s">
        <v>24</v>
      </c>
    </row>
    <row r="39752" ht="15.75" customHeight="1">
      <c r="A39752" s="7"/>
      <c r="B39752" s="7"/>
      <c r="M39752" s="9" t="s">
        <v>21</v>
      </c>
    </row>
    <row r="39753" ht="15.75" customHeight="1">
      <c r="A39753" s="7"/>
      <c r="B39753" s="7"/>
      <c r="M39753" s="9" t="s">
        <v>37</v>
      </c>
    </row>
    <row r="39754" ht="15.75" customHeight="1">
      <c r="A39754" s="7"/>
      <c r="B39754" s="7"/>
      <c r="M39754" s="9" t="s">
        <v>22</v>
      </c>
    </row>
    <row r="39755" ht="15.75" customHeight="1">
      <c r="A39755" s="7"/>
      <c r="B39755" s="7"/>
      <c r="M39755" s="9" t="s">
        <v>27</v>
      </c>
    </row>
    <row r="39756" ht="15.75" customHeight="1">
      <c r="A39756" s="7"/>
      <c r="B39756" s="7"/>
      <c r="M39756" s="9" t="s">
        <v>33</v>
      </c>
    </row>
    <row r="39757" ht="15.75" customHeight="1">
      <c r="A39757" s="7"/>
      <c r="B39757" s="7"/>
      <c r="M39757" s="9" t="s">
        <v>30</v>
      </c>
    </row>
    <row r="39758" ht="15.75" customHeight="1">
      <c r="A39758" s="7"/>
      <c r="B39758" s="7"/>
      <c r="M39758" s="9" t="s">
        <v>23</v>
      </c>
    </row>
    <row r="39759" ht="15.75" customHeight="1">
      <c r="A39759" s="7"/>
      <c r="B39759" s="7"/>
      <c r="M39759" s="9" t="s">
        <v>24</v>
      </c>
    </row>
    <row r="39760" ht="15.75" customHeight="1">
      <c r="A39760" s="7"/>
      <c r="B39760" s="7"/>
      <c r="M39760" s="9" t="s">
        <v>20</v>
      </c>
    </row>
    <row r="39761" ht="15.75" customHeight="1">
      <c r="A39761" s="7"/>
      <c r="B39761" s="7"/>
      <c r="M39761" s="9" t="s">
        <v>21</v>
      </c>
    </row>
    <row r="39762" ht="15.75" customHeight="1">
      <c r="A39762" s="7"/>
      <c r="B39762" s="7"/>
      <c r="M39762" s="9" t="s">
        <v>22</v>
      </c>
    </row>
    <row r="39763" ht="15.75" customHeight="1">
      <c r="A39763" s="7"/>
      <c r="B39763" s="7"/>
      <c r="M39763" s="9" t="s">
        <v>27</v>
      </c>
    </row>
    <row r="39764" ht="15.75" customHeight="1">
      <c r="A39764" s="7"/>
      <c r="B39764" s="7"/>
      <c r="M39764" s="9" t="s">
        <v>33</v>
      </c>
    </row>
    <row r="39765" ht="15.75" customHeight="1">
      <c r="A39765" s="7"/>
      <c r="B39765" s="7"/>
      <c r="M39765" s="9" t="s">
        <v>20</v>
      </c>
    </row>
    <row r="39766" ht="15.75" customHeight="1">
      <c r="A39766" s="7"/>
      <c r="B39766" s="7"/>
      <c r="M39766" s="9" t="s">
        <v>39</v>
      </c>
    </row>
    <row r="39767" ht="15.75" customHeight="1">
      <c r="A39767" s="7"/>
      <c r="B39767" s="7"/>
      <c r="M39767" s="9" t="s">
        <v>26</v>
      </c>
    </row>
    <row r="39768" ht="15.75" customHeight="1">
      <c r="A39768" s="7"/>
      <c r="B39768" s="7"/>
      <c r="M39768" s="9" t="s">
        <v>24</v>
      </c>
    </row>
    <row r="39769" ht="15.75" customHeight="1">
      <c r="A39769" s="7"/>
      <c r="B39769" s="7"/>
      <c r="M39769" s="9" t="s">
        <v>21</v>
      </c>
    </row>
    <row r="39770" ht="15.75" customHeight="1">
      <c r="A39770" s="7"/>
      <c r="B39770" s="7"/>
      <c r="M39770" s="9" t="s">
        <v>27</v>
      </c>
    </row>
    <row r="39771" ht="15.75" customHeight="1">
      <c r="A39771" s="7"/>
      <c r="B39771" s="7"/>
      <c r="M39771" s="9" t="s">
        <v>30</v>
      </c>
    </row>
    <row r="39772" ht="15.75" customHeight="1">
      <c r="A39772" s="7"/>
      <c r="B39772" s="7"/>
      <c r="M39772" s="9" t="s">
        <v>23</v>
      </c>
    </row>
    <row r="39773" ht="15.75" customHeight="1">
      <c r="A39773" s="7"/>
      <c r="B39773" s="7"/>
      <c r="M39773" s="9" t="s">
        <v>26</v>
      </c>
    </row>
    <row r="39774" ht="15.75" customHeight="1">
      <c r="A39774" s="7"/>
      <c r="B39774" s="7"/>
      <c r="M39774" s="9" t="s">
        <v>24</v>
      </c>
    </row>
    <row r="39775" ht="15.75" customHeight="1">
      <c r="A39775" s="7"/>
      <c r="B39775" s="7"/>
      <c r="M39775" s="9" t="s">
        <v>20</v>
      </c>
    </row>
    <row r="39776" ht="15.75" customHeight="1">
      <c r="A39776" s="7"/>
      <c r="B39776" s="7"/>
      <c r="M39776" s="9" t="s">
        <v>21</v>
      </c>
    </row>
    <row r="39777" ht="15.75" customHeight="1">
      <c r="A39777" s="7"/>
      <c r="B39777" s="7"/>
      <c r="M39777" s="9" t="s">
        <v>37</v>
      </c>
    </row>
    <row r="39778" ht="15.75" customHeight="1">
      <c r="A39778" s="7"/>
      <c r="B39778" s="7"/>
      <c r="M39778" s="9" t="s">
        <v>22</v>
      </c>
    </row>
    <row r="39779" ht="15.75" customHeight="1">
      <c r="A39779" s="7"/>
      <c r="B39779" s="7"/>
      <c r="M39779" s="9" t="s">
        <v>27</v>
      </c>
    </row>
    <row r="39780" ht="15.75" customHeight="1">
      <c r="A39780" s="7"/>
      <c r="B39780" s="7"/>
      <c r="M39780" s="9" t="s">
        <v>33</v>
      </c>
    </row>
    <row r="39781" ht="15.75" customHeight="1">
      <c r="A39781" s="7"/>
      <c r="B39781" s="7"/>
      <c r="M39781" s="9" t="s">
        <v>24</v>
      </c>
    </row>
    <row r="39782" ht="15.75" customHeight="1">
      <c r="A39782" s="7"/>
      <c r="B39782" s="7"/>
      <c r="M39782" s="9" t="s">
        <v>20</v>
      </c>
    </row>
    <row r="39783" ht="15.75" customHeight="1">
      <c r="A39783" s="7"/>
      <c r="B39783" s="7"/>
      <c r="M39783" s="9" t="s">
        <v>21</v>
      </c>
    </row>
    <row r="39784" ht="15.75" customHeight="1">
      <c r="A39784" s="7"/>
      <c r="B39784" s="7"/>
      <c r="M39784" s="9" t="s">
        <v>37</v>
      </c>
    </row>
    <row r="39785" ht="15.75" customHeight="1">
      <c r="A39785" s="7"/>
      <c r="B39785" s="7"/>
      <c r="M39785" s="9" t="s">
        <v>22</v>
      </c>
    </row>
    <row r="39786" ht="15.75" customHeight="1">
      <c r="A39786" s="7"/>
      <c r="B39786" s="7"/>
      <c r="M39786" s="9" t="s">
        <v>27</v>
      </c>
    </row>
    <row r="39787" ht="15.75" customHeight="1">
      <c r="A39787" s="7"/>
      <c r="B39787" s="7"/>
      <c r="M39787" s="9" t="s">
        <v>26</v>
      </c>
    </row>
    <row r="39788" ht="15.75" customHeight="1">
      <c r="A39788" s="7"/>
      <c r="B39788" s="7"/>
      <c r="M39788" s="9" t="s">
        <v>24</v>
      </c>
    </row>
    <row r="39789" ht="15.75" customHeight="1">
      <c r="A39789" s="7"/>
      <c r="B39789" s="7"/>
      <c r="M39789" s="9" t="s">
        <v>20</v>
      </c>
    </row>
    <row r="39790" ht="15.75" customHeight="1">
      <c r="A39790" s="7"/>
      <c r="B39790" s="7"/>
      <c r="M39790" s="9" t="s">
        <v>21</v>
      </c>
    </row>
    <row r="39791" ht="15.75" customHeight="1">
      <c r="A39791" s="7"/>
      <c r="B39791" s="7"/>
      <c r="M39791" s="9" t="s">
        <v>27</v>
      </c>
    </row>
    <row r="39792" ht="15.75" customHeight="1">
      <c r="A39792" s="7"/>
      <c r="B39792" s="7"/>
      <c r="M39792" s="9" t="s">
        <v>33</v>
      </c>
    </row>
    <row r="39793" ht="15.75" customHeight="1">
      <c r="A39793" s="7"/>
      <c r="B39793" s="7"/>
      <c r="M39793" s="9" t="s">
        <v>25</v>
      </c>
    </row>
    <row r="39794" ht="15.75" customHeight="1">
      <c r="A39794" s="7"/>
      <c r="B39794" s="7"/>
      <c r="M39794" s="9" t="s">
        <v>23</v>
      </c>
    </row>
    <row r="39795" ht="15.75" customHeight="1">
      <c r="A39795" s="7"/>
      <c r="B39795" s="7"/>
      <c r="M39795" s="9" t="s">
        <v>26</v>
      </c>
    </row>
    <row r="39796" ht="15.75" customHeight="1">
      <c r="A39796" s="7"/>
      <c r="B39796" s="7"/>
      <c r="M39796" s="9" t="s">
        <v>22</v>
      </c>
    </row>
    <row r="39797" ht="15.75" customHeight="1">
      <c r="A39797" s="7"/>
      <c r="B39797" s="7"/>
      <c r="M39797" s="9" t="s">
        <v>30</v>
      </c>
    </row>
    <row r="39798" ht="15.75" customHeight="1">
      <c r="A39798" s="7"/>
      <c r="B39798" s="7"/>
      <c r="M39798" s="9" t="s">
        <v>25</v>
      </c>
    </row>
    <row r="39799" ht="15.75" customHeight="1">
      <c r="A39799" s="7"/>
      <c r="B39799" s="7"/>
      <c r="M39799" s="9" t="s">
        <v>23</v>
      </c>
    </row>
    <row r="39800" ht="15.75" customHeight="1">
      <c r="A39800" s="7"/>
      <c r="B39800" s="7"/>
      <c r="M39800" s="9" t="s">
        <v>26</v>
      </c>
    </row>
    <row r="39801" ht="15.75" customHeight="1">
      <c r="A39801" s="7"/>
      <c r="B39801" s="7"/>
      <c r="M39801" s="9" t="s">
        <v>27</v>
      </c>
    </row>
    <row r="39802" ht="15.75" customHeight="1">
      <c r="A39802" s="7"/>
      <c r="B39802" s="7"/>
      <c r="M39802" s="9" t="s">
        <v>38</v>
      </c>
    </row>
    <row r="39803" ht="15.75" customHeight="1">
      <c r="A39803" s="7"/>
      <c r="B39803" s="7"/>
      <c r="M39803" s="9" t="s">
        <v>30</v>
      </c>
    </row>
    <row r="39804" ht="15.75" customHeight="1">
      <c r="A39804" s="7"/>
      <c r="B39804" s="7"/>
      <c r="M39804" s="9" t="s">
        <v>25</v>
      </c>
    </row>
    <row r="39805" ht="15.75" customHeight="1">
      <c r="A39805" s="7"/>
      <c r="B39805" s="7"/>
      <c r="M39805" s="9" t="s">
        <v>23</v>
      </c>
    </row>
    <row r="39806" ht="15.75" customHeight="1">
      <c r="A39806" s="7"/>
      <c r="B39806" s="7"/>
      <c r="M39806" s="9" t="s">
        <v>24</v>
      </c>
    </row>
    <row r="39807" ht="15.75" customHeight="1">
      <c r="A39807" s="7"/>
      <c r="B39807" s="7"/>
      <c r="M39807" s="9" t="s">
        <v>20</v>
      </c>
    </row>
    <row r="39808" ht="15.75" customHeight="1">
      <c r="A39808" s="7"/>
      <c r="B39808" s="7"/>
      <c r="M39808" s="9" t="s">
        <v>21</v>
      </c>
    </row>
    <row r="39809" ht="15.75" customHeight="1">
      <c r="A39809" s="7"/>
      <c r="B39809" s="7"/>
      <c r="M39809" s="9" t="s">
        <v>22</v>
      </c>
    </row>
    <row r="39810" ht="15.75" customHeight="1">
      <c r="A39810" s="7"/>
      <c r="B39810" s="7"/>
      <c r="M39810" s="9" t="s">
        <v>22</v>
      </c>
    </row>
    <row r="39811" ht="15.75" customHeight="1">
      <c r="A39811" s="7"/>
      <c r="B39811" s="7"/>
      <c r="M39811" s="9" t="s">
        <v>26</v>
      </c>
    </row>
    <row r="39812" ht="15.75" customHeight="1">
      <c r="A39812" s="7"/>
      <c r="B39812" s="7"/>
      <c r="M39812" s="9" t="s">
        <v>24</v>
      </c>
    </row>
    <row r="39813" ht="15.75" customHeight="1">
      <c r="A39813" s="7"/>
      <c r="B39813" s="7"/>
      <c r="M39813" s="9" t="s">
        <v>21</v>
      </c>
    </row>
    <row r="39814" ht="15.75" customHeight="1">
      <c r="A39814" s="7"/>
      <c r="B39814" s="7"/>
      <c r="M39814" s="9" t="s">
        <v>39</v>
      </c>
    </row>
    <row r="39815" ht="15.75" customHeight="1">
      <c r="A39815" s="7"/>
      <c r="B39815" s="7"/>
      <c r="M39815" s="9" t="s">
        <v>37</v>
      </c>
    </row>
    <row r="39816" ht="15.75" customHeight="1">
      <c r="A39816" s="7"/>
      <c r="B39816" s="7"/>
      <c r="M39816" s="9" t="s">
        <v>27</v>
      </c>
    </row>
    <row r="39817" ht="15.75" customHeight="1">
      <c r="A39817" s="7"/>
      <c r="B39817" s="7"/>
      <c r="M39817" s="9" t="s">
        <v>30</v>
      </c>
    </row>
    <row r="39818" ht="15.75" customHeight="1">
      <c r="A39818" s="7"/>
      <c r="B39818" s="7"/>
      <c r="M39818" s="9" t="s">
        <v>24</v>
      </c>
    </row>
    <row r="39819" ht="15.75" customHeight="1">
      <c r="A39819" s="7"/>
      <c r="B39819" s="7"/>
      <c r="M39819" s="9" t="s">
        <v>21</v>
      </c>
    </row>
    <row r="39820" ht="15.75" customHeight="1">
      <c r="A39820" s="7"/>
      <c r="B39820" s="7"/>
      <c r="M39820" s="9" t="s">
        <v>37</v>
      </c>
    </row>
    <row r="39821" ht="15.75" customHeight="1">
      <c r="A39821" s="7"/>
      <c r="B39821" s="7"/>
      <c r="M39821" s="9" t="s">
        <v>27</v>
      </c>
    </row>
    <row r="39822" ht="15.75" customHeight="1">
      <c r="A39822" s="7"/>
      <c r="B39822" s="7"/>
      <c r="M39822" s="9" t="s">
        <v>28</v>
      </c>
    </row>
    <row r="39823" ht="15.75" customHeight="1">
      <c r="A39823" s="7"/>
      <c r="B39823" s="7"/>
      <c r="M39823" s="9" t="s">
        <v>35</v>
      </c>
    </row>
    <row r="39824" ht="15.75" customHeight="1">
      <c r="A39824" s="7"/>
      <c r="B39824" s="7"/>
      <c r="M39824" s="9" t="s">
        <v>30</v>
      </c>
    </row>
    <row r="39825" ht="15.75" customHeight="1">
      <c r="A39825" s="7"/>
      <c r="B39825" s="7"/>
      <c r="M39825" s="9" t="s">
        <v>25</v>
      </c>
    </row>
    <row r="39826" ht="15.75" customHeight="1">
      <c r="A39826" s="7"/>
      <c r="B39826" s="7"/>
      <c r="M39826" s="9" t="s">
        <v>23</v>
      </c>
    </row>
    <row r="39827" ht="15.75" customHeight="1">
      <c r="A39827" s="7"/>
      <c r="B39827" s="7"/>
      <c r="M39827" s="9" t="s">
        <v>26</v>
      </c>
    </row>
    <row r="39828" ht="15.75" customHeight="1">
      <c r="A39828" s="7"/>
      <c r="B39828" s="7"/>
      <c r="M39828" s="9" t="s">
        <v>36</v>
      </c>
    </row>
    <row r="39829" ht="15.75" customHeight="1">
      <c r="A39829" s="7"/>
      <c r="B39829" s="7"/>
      <c r="M39829" s="9" t="s">
        <v>24</v>
      </c>
    </row>
    <row r="39830" ht="15.75" customHeight="1">
      <c r="A39830" s="7"/>
      <c r="B39830" s="7"/>
      <c r="M39830" s="9" t="s">
        <v>21</v>
      </c>
    </row>
    <row r="39831" ht="15.75" customHeight="1">
      <c r="A39831" s="7"/>
      <c r="B39831" s="7"/>
      <c r="M39831" s="9" t="s">
        <v>37</v>
      </c>
    </row>
    <row r="39832" ht="15.75" customHeight="1">
      <c r="A39832" s="7"/>
      <c r="B39832" s="7"/>
      <c r="M39832" s="9" t="s">
        <v>31</v>
      </c>
    </row>
    <row r="39833" ht="15.75" customHeight="1">
      <c r="A39833" s="7"/>
      <c r="B39833" s="7"/>
      <c r="M39833" s="9" t="s">
        <v>27</v>
      </c>
    </row>
    <row r="39834" ht="15.75" customHeight="1">
      <c r="A39834" s="7"/>
      <c r="B39834" s="7"/>
      <c r="M39834" s="9" t="s">
        <v>30</v>
      </c>
    </row>
    <row r="39835" ht="15.75" customHeight="1">
      <c r="A39835" s="7"/>
      <c r="B39835" s="7"/>
      <c r="M39835" s="9" t="s">
        <v>23</v>
      </c>
    </row>
    <row r="39836" ht="15.75" customHeight="1">
      <c r="A39836" s="7"/>
      <c r="B39836" s="7"/>
      <c r="M39836" s="9" t="s">
        <v>24</v>
      </c>
    </row>
    <row r="39837" ht="15.75" customHeight="1">
      <c r="A39837" s="7"/>
      <c r="B39837" s="7"/>
      <c r="M39837" s="9" t="s">
        <v>21</v>
      </c>
    </row>
    <row r="39838" ht="15.75" customHeight="1">
      <c r="A39838" s="7"/>
      <c r="B39838" s="7"/>
      <c r="M39838" s="9" t="s">
        <v>37</v>
      </c>
    </row>
    <row r="39839" ht="15.75" customHeight="1">
      <c r="A39839" s="7"/>
      <c r="B39839" s="7"/>
      <c r="M39839" s="9" t="s">
        <v>22</v>
      </c>
    </row>
    <row r="39840" ht="15.75" customHeight="1">
      <c r="A39840" s="7"/>
      <c r="B39840" s="7"/>
      <c r="M39840" s="9" t="s">
        <v>27</v>
      </c>
    </row>
    <row r="39841" ht="15.75" customHeight="1">
      <c r="A39841" s="7"/>
      <c r="B39841" s="7"/>
      <c r="M39841" s="9" t="s">
        <v>33</v>
      </c>
    </row>
    <row r="39842" ht="15.75" customHeight="1">
      <c r="A39842" s="7"/>
      <c r="B39842" s="7"/>
      <c r="M39842" s="9" t="s">
        <v>26</v>
      </c>
    </row>
    <row r="39843" ht="15.75" customHeight="1">
      <c r="A39843" s="7"/>
      <c r="B39843" s="7"/>
      <c r="M39843" s="9" t="s">
        <v>22</v>
      </c>
    </row>
    <row r="39844" ht="15.75" customHeight="1">
      <c r="A39844" s="7"/>
      <c r="B39844" s="7"/>
      <c r="M39844" s="9" t="s">
        <v>24</v>
      </c>
    </row>
    <row r="39845" ht="15.75" customHeight="1">
      <c r="A39845" s="7"/>
      <c r="B39845" s="7"/>
      <c r="M39845" s="9" t="s">
        <v>21</v>
      </c>
    </row>
    <row r="39846" ht="15.75" customHeight="1">
      <c r="A39846" s="7"/>
      <c r="B39846" s="7"/>
      <c r="M39846" s="9" t="s">
        <v>37</v>
      </c>
    </row>
    <row r="39847" ht="15.75" customHeight="1">
      <c r="A39847" s="7"/>
      <c r="B39847" s="7"/>
      <c r="M39847" s="9" t="s">
        <v>27</v>
      </c>
    </row>
    <row r="39848" ht="15.75" customHeight="1">
      <c r="A39848" s="7"/>
      <c r="B39848" s="7"/>
      <c r="M39848" s="9" t="s">
        <v>30</v>
      </c>
    </row>
    <row r="39849" ht="15.75" customHeight="1">
      <c r="A39849" s="7"/>
      <c r="B39849" s="7"/>
      <c r="M39849" s="9" t="s">
        <v>20</v>
      </c>
    </row>
    <row r="39850" ht="15.75" customHeight="1">
      <c r="A39850" s="7"/>
      <c r="B39850" s="7"/>
      <c r="M39850" s="9" t="s">
        <v>38</v>
      </c>
    </row>
    <row r="39851" ht="15.75" customHeight="1">
      <c r="A39851" s="7"/>
      <c r="B39851" s="7"/>
      <c r="M39851" s="9" t="s">
        <v>30</v>
      </c>
    </row>
    <row r="39852" ht="15.75" customHeight="1">
      <c r="A39852" s="7"/>
      <c r="B39852" s="7"/>
      <c r="M39852" s="9" t="s">
        <v>20</v>
      </c>
    </row>
    <row r="39853" ht="15.75" customHeight="1">
      <c r="A39853" s="7"/>
      <c r="B39853" s="7"/>
      <c r="M39853" s="9" t="s">
        <v>22</v>
      </c>
    </row>
    <row r="39854" ht="15.75" customHeight="1">
      <c r="A39854" s="7"/>
      <c r="B39854" s="7"/>
      <c r="M39854" s="9" t="s">
        <v>31</v>
      </c>
    </row>
    <row r="39855" ht="15.75" customHeight="1">
      <c r="A39855" s="7"/>
      <c r="B39855" s="7"/>
      <c r="M39855" s="9" t="s">
        <v>26</v>
      </c>
    </row>
    <row r="39856" ht="15.75" customHeight="1">
      <c r="A39856" s="7"/>
      <c r="B39856" s="7"/>
      <c r="M39856" s="9" t="s">
        <v>24</v>
      </c>
    </row>
    <row r="39857" ht="15.75" customHeight="1">
      <c r="A39857" s="7"/>
      <c r="B39857" s="7"/>
      <c r="M39857" s="9" t="s">
        <v>21</v>
      </c>
    </row>
    <row r="39858" ht="15.75" customHeight="1">
      <c r="A39858" s="7"/>
      <c r="B39858" s="7"/>
      <c r="M39858" s="9" t="s">
        <v>33</v>
      </c>
    </row>
    <row r="39859" ht="15.75" customHeight="1">
      <c r="A39859" s="7"/>
      <c r="B39859" s="7"/>
      <c r="M39859" s="9" t="s">
        <v>21</v>
      </c>
    </row>
    <row r="39860" ht="15.75" customHeight="1">
      <c r="A39860" s="7"/>
      <c r="B39860" s="7"/>
      <c r="M39860" s="9" t="s">
        <v>22</v>
      </c>
    </row>
    <row r="39861" ht="15.75" customHeight="1">
      <c r="A39861" s="7"/>
      <c r="B39861" s="7"/>
      <c r="M39861" s="9" t="s">
        <v>32</v>
      </c>
    </row>
    <row r="39862" ht="15.75" customHeight="1">
      <c r="A39862" s="7"/>
      <c r="B39862" s="7"/>
      <c r="M39862" s="9" t="s">
        <v>27</v>
      </c>
    </row>
    <row r="39863" ht="15.75" customHeight="1">
      <c r="A39863" s="7"/>
      <c r="B39863" s="7"/>
      <c r="M39863" s="9" t="s">
        <v>24</v>
      </c>
    </row>
    <row r="39864" ht="15.75" customHeight="1">
      <c r="A39864" s="7"/>
      <c r="B39864" s="7"/>
      <c r="M39864" s="9" t="s">
        <v>21</v>
      </c>
    </row>
    <row r="39865" ht="15.75" customHeight="1">
      <c r="A39865" s="7"/>
      <c r="B39865" s="7"/>
      <c r="M39865" s="9" t="s">
        <v>26</v>
      </c>
    </row>
    <row r="39866" ht="15.75" customHeight="1">
      <c r="A39866" s="7"/>
      <c r="B39866" s="7"/>
      <c r="M39866" s="9" t="s">
        <v>25</v>
      </c>
    </row>
    <row r="39867" ht="15.75" customHeight="1">
      <c r="A39867" s="7"/>
      <c r="B39867" s="7"/>
      <c r="M39867" s="9" t="s">
        <v>23</v>
      </c>
    </row>
    <row r="39868" ht="15.75" customHeight="1">
      <c r="A39868" s="7"/>
      <c r="B39868" s="7"/>
      <c r="M39868" s="9" t="s">
        <v>35</v>
      </c>
    </row>
    <row r="39869" ht="15.75" customHeight="1">
      <c r="A39869" s="7"/>
      <c r="B39869" s="7"/>
      <c r="M39869" s="9" t="s">
        <v>30</v>
      </c>
    </row>
    <row r="39870" ht="15.75" customHeight="1">
      <c r="A39870" s="7"/>
      <c r="B39870" s="7"/>
      <c r="M39870" s="9" t="s">
        <v>23</v>
      </c>
    </row>
    <row r="39871" ht="15.75" customHeight="1">
      <c r="A39871" s="7"/>
      <c r="B39871" s="7"/>
      <c r="M39871" s="9" t="s">
        <v>26</v>
      </c>
    </row>
    <row r="39872" ht="15.75" customHeight="1">
      <c r="A39872" s="7"/>
      <c r="B39872" s="7"/>
      <c r="M39872" s="9" t="s">
        <v>24</v>
      </c>
    </row>
    <row r="39873" ht="15.75" customHeight="1">
      <c r="A39873" s="7"/>
      <c r="B39873" s="7"/>
      <c r="M39873" s="9" t="s">
        <v>20</v>
      </c>
    </row>
    <row r="39874" ht="15.75" customHeight="1">
      <c r="A39874" s="7"/>
      <c r="B39874" s="7"/>
      <c r="M39874" s="9" t="s">
        <v>21</v>
      </c>
    </row>
    <row r="39875" ht="15.75" customHeight="1">
      <c r="A39875" s="7"/>
      <c r="B39875" s="7"/>
      <c r="M39875" s="9" t="s">
        <v>37</v>
      </c>
    </row>
    <row r="39876" ht="15.75" customHeight="1">
      <c r="A39876" s="7"/>
      <c r="B39876" s="7"/>
      <c r="M39876" s="9" t="s">
        <v>27</v>
      </c>
    </row>
    <row r="39877" ht="15.75" customHeight="1">
      <c r="A39877" s="7"/>
      <c r="B39877" s="7"/>
      <c r="M39877" s="9" t="s">
        <v>30</v>
      </c>
    </row>
    <row r="39878" ht="15.75" customHeight="1">
      <c r="A39878" s="7"/>
      <c r="B39878" s="7"/>
      <c r="M39878" s="9" t="s">
        <v>26</v>
      </c>
    </row>
    <row r="39879" ht="15.75" customHeight="1">
      <c r="A39879" s="7"/>
      <c r="B39879" s="7"/>
      <c r="M39879" s="9" t="s">
        <v>36</v>
      </c>
    </row>
    <row r="39880" ht="15.75" customHeight="1">
      <c r="A39880" s="7"/>
      <c r="B39880" s="7"/>
      <c r="M39880" s="9" t="s">
        <v>21</v>
      </c>
    </row>
    <row r="39881" ht="15.75" customHeight="1">
      <c r="A39881" s="7"/>
      <c r="B39881" s="7"/>
      <c r="M39881" s="9" t="s">
        <v>24</v>
      </c>
    </row>
    <row r="39882" ht="15.75" customHeight="1">
      <c r="A39882" s="7"/>
      <c r="B39882" s="7"/>
      <c r="M39882" s="9" t="s">
        <v>21</v>
      </c>
    </row>
    <row r="39883" ht="15.75" customHeight="1">
      <c r="A39883" s="7"/>
      <c r="B39883" s="7"/>
      <c r="M39883" s="9" t="s">
        <v>37</v>
      </c>
    </row>
    <row r="39884" ht="15.75" customHeight="1">
      <c r="A39884" s="7"/>
      <c r="B39884" s="7"/>
      <c r="M39884" s="9" t="s">
        <v>27</v>
      </c>
    </row>
    <row r="39885" ht="15.75" customHeight="1">
      <c r="A39885" s="7"/>
      <c r="B39885" s="7"/>
      <c r="M39885" s="9" t="s">
        <v>30</v>
      </c>
    </row>
    <row r="39886" ht="15.75" customHeight="1">
      <c r="A39886" s="7"/>
      <c r="B39886" s="7"/>
      <c r="M39886" s="9" t="s">
        <v>25</v>
      </c>
    </row>
    <row r="39887" ht="15.75" customHeight="1">
      <c r="A39887" s="7"/>
      <c r="B39887" s="7"/>
      <c r="M39887" s="9" t="s">
        <v>23</v>
      </c>
    </row>
    <row r="39888" ht="15.75" customHeight="1">
      <c r="A39888" s="7"/>
      <c r="B39888" s="7"/>
      <c r="M39888" s="9" t="s">
        <v>20</v>
      </c>
    </row>
    <row r="39889" ht="15.75" customHeight="1">
      <c r="A39889" s="7"/>
      <c r="B39889" s="7"/>
      <c r="M39889" s="9" t="s">
        <v>22</v>
      </c>
    </row>
    <row r="39890" ht="15.75" customHeight="1">
      <c r="A39890" s="7"/>
      <c r="B39890" s="7"/>
      <c r="M39890" s="9" t="s">
        <v>27</v>
      </c>
    </row>
    <row r="39891" ht="15.75" customHeight="1">
      <c r="A39891" s="7"/>
      <c r="B39891" s="7"/>
      <c r="M39891" s="9" t="s">
        <v>25</v>
      </c>
    </row>
    <row r="39892" ht="15.75" customHeight="1">
      <c r="A39892" s="7"/>
      <c r="B39892" s="7"/>
      <c r="M39892" s="9" t="s">
        <v>23</v>
      </c>
    </row>
    <row r="39893" ht="15.75" customHeight="1">
      <c r="A39893" s="7"/>
      <c r="B39893" s="7"/>
      <c r="M39893" s="9" t="s">
        <v>26</v>
      </c>
    </row>
    <row r="39894" ht="15.75" customHeight="1">
      <c r="A39894" s="7"/>
      <c r="B39894" s="7"/>
      <c r="M39894" s="9" t="s">
        <v>24</v>
      </c>
    </row>
    <row r="39895" ht="15.75" customHeight="1">
      <c r="A39895" s="7"/>
      <c r="B39895" s="7"/>
      <c r="M39895" s="9" t="s">
        <v>20</v>
      </c>
    </row>
    <row r="39896" ht="15.75" customHeight="1">
      <c r="A39896" s="7"/>
      <c r="B39896" s="7"/>
      <c r="M39896" s="9" t="s">
        <v>21</v>
      </c>
    </row>
    <row r="39897" ht="15.75" customHeight="1">
      <c r="A39897" s="7"/>
      <c r="B39897" s="7"/>
      <c r="M39897" s="9" t="s">
        <v>37</v>
      </c>
    </row>
    <row r="39898" ht="15.75" customHeight="1">
      <c r="A39898" s="7"/>
      <c r="B39898" s="7"/>
      <c r="M39898" s="9" t="s">
        <v>27</v>
      </c>
    </row>
    <row r="39899" ht="15.75" customHeight="1">
      <c r="A39899" s="7"/>
      <c r="B39899" s="7"/>
      <c r="M39899" s="9" t="s">
        <v>26</v>
      </c>
    </row>
    <row r="39900" ht="15.75" customHeight="1">
      <c r="A39900" s="7"/>
      <c r="B39900" s="7"/>
      <c r="M39900" s="9" t="s">
        <v>30</v>
      </c>
    </row>
    <row r="39901" ht="15.75" customHeight="1">
      <c r="A39901" s="7"/>
      <c r="B39901" s="7"/>
      <c r="M39901" s="9" t="s">
        <v>44</v>
      </c>
    </row>
    <row r="39902" ht="15.75" customHeight="1">
      <c r="A39902" s="7"/>
      <c r="B39902" s="7"/>
      <c r="M39902" s="9" t="s">
        <v>24</v>
      </c>
    </row>
    <row r="39903" ht="15.75" customHeight="1">
      <c r="A39903" s="7"/>
      <c r="B39903" s="7"/>
      <c r="M39903" s="9" t="s">
        <v>21</v>
      </c>
    </row>
    <row r="39904" ht="15.75" customHeight="1">
      <c r="A39904" s="7"/>
      <c r="B39904" s="7"/>
      <c r="M39904" s="9" t="s">
        <v>22</v>
      </c>
    </row>
    <row r="39905" ht="15.75" customHeight="1">
      <c r="A39905" s="7"/>
      <c r="B39905" s="7"/>
      <c r="M39905" s="9" t="s">
        <v>27</v>
      </c>
    </row>
    <row r="39906" ht="15.75" customHeight="1">
      <c r="A39906" s="7"/>
      <c r="B39906" s="7"/>
      <c r="M39906" s="9" t="s">
        <v>33</v>
      </c>
    </row>
    <row r="39907" ht="15.75" customHeight="1">
      <c r="A39907" s="7"/>
      <c r="B39907" s="7"/>
      <c r="M39907" s="9" t="s">
        <v>23</v>
      </c>
    </row>
    <row r="39908" ht="15.75" customHeight="1">
      <c r="A39908" s="7"/>
      <c r="B39908" s="7"/>
      <c r="M39908" s="9" t="s">
        <v>26</v>
      </c>
    </row>
    <row r="39909" ht="15.75" customHeight="1">
      <c r="A39909" s="7"/>
      <c r="B39909" s="7"/>
      <c r="M39909" s="9" t="s">
        <v>24</v>
      </c>
    </row>
    <row r="39910" ht="15.75" customHeight="1">
      <c r="A39910" s="7"/>
      <c r="B39910" s="7"/>
      <c r="M39910" s="9" t="s">
        <v>20</v>
      </c>
    </row>
    <row r="39911" ht="15.75" customHeight="1">
      <c r="A39911" s="7"/>
      <c r="B39911" s="7"/>
      <c r="M39911" s="9" t="s">
        <v>21</v>
      </c>
    </row>
    <row r="39912" ht="15.75" customHeight="1">
      <c r="A39912" s="7"/>
      <c r="B39912" s="7"/>
      <c r="M39912" s="9" t="s">
        <v>37</v>
      </c>
    </row>
    <row r="39913" ht="15.75" customHeight="1">
      <c r="A39913" s="7"/>
      <c r="B39913" s="7"/>
      <c r="M39913" s="9" t="s">
        <v>22</v>
      </c>
    </row>
    <row r="39914" ht="15.75" customHeight="1">
      <c r="A39914" s="7"/>
      <c r="B39914" s="7"/>
      <c r="M39914" s="9" t="s">
        <v>30</v>
      </c>
    </row>
    <row r="39915" ht="15.75" customHeight="1">
      <c r="A39915" s="7"/>
      <c r="B39915" s="7"/>
      <c r="M39915" s="9" t="s">
        <v>24</v>
      </c>
    </row>
    <row r="39916" ht="15.75" customHeight="1">
      <c r="A39916" s="7"/>
      <c r="B39916" s="7"/>
      <c r="M39916" s="9" t="s">
        <v>20</v>
      </c>
    </row>
    <row r="39917" ht="15.75" customHeight="1">
      <c r="A39917" s="7"/>
      <c r="B39917" s="7"/>
      <c r="M39917" s="9" t="s">
        <v>22</v>
      </c>
    </row>
    <row r="39918" ht="15.75" customHeight="1">
      <c r="A39918" s="7"/>
      <c r="B39918" s="7"/>
      <c r="M39918" s="9" t="s">
        <v>29</v>
      </c>
    </row>
    <row r="39919" ht="15.75" customHeight="1">
      <c r="A39919" s="7"/>
      <c r="B39919" s="7"/>
      <c r="M39919" s="9" t="s">
        <v>30</v>
      </c>
    </row>
    <row r="39920" ht="15.75" customHeight="1">
      <c r="A39920" s="7"/>
      <c r="B39920" s="7"/>
      <c r="M39920" s="9" t="s">
        <v>25</v>
      </c>
    </row>
    <row r="39921" ht="15.75" customHeight="1">
      <c r="A39921" s="7"/>
      <c r="B39921" s="7"/>
      <c r="M39921" s="9" t="s">
        <v>24</v>
      </c>
    </row>
    <row r="39922" ht="15.75" customHeight="1">
      <c r="A39922" s="7"/>
      <c r="B39922" s="7"/>
      <c r="M39922" s="9" t="s">
        <v>21</v>
      </c>
    </row>
    <row r="39923" ht="15.75" customHeight="1">
      <c r="A39923" s="7"/>
      <c r="B39923" s="7"/>
      <c r="M39923" s="9" t="s">
        <v>22</v>
      </c>
    </row>
    <row r="39924" ht="15.75" customHeight="1">
      <c r="A39924" s="7"/>
      <c r="B39924" s="7"/>
      <c r="M39924" s="9" t="s">
        <v>27</v>
      </c>
    </row>
    <row r="39925" ht="15.75" customHeight="1">
      <c r="A39925" s="7"/>
      <c r="B39925" s="7"/>
      <c r="M39925" s="9" t="s">
        <v>40</v>
      </c>
    </row>
    <row r="39926" ht="15.75" customHeight="1">
      <c r="A39926" s="7"/>
      <c r="B39926" s="7"/>
      <c r="M39926" s="9" t="s">
        <v>20</v>
      </c>
    </row>
    <row r="39927" ht="15.75" customHeight="1">
      <c r="A39927" s="7"/>
      <c r="B39927" s="7"/>
      <c r="M39927" s="9" t="s">
        <v>31</v>
      </c>
    </row>
    <row r="39928" ht="15.75" customHeight="1">
      <c r="A39928" s="7"/>
      <c r="B39928" s="7"/>
      <c r="M39928" s="9" t="s">
        <v>46</v>
      </c>
    </row>
    <row r="39929" ht="15.75" customHeight="1">
      <c r="A39929" s="7"/>
      <c r="B39929" s="7"/>
      <c r="M39929" s="9" t="s">
        <v>27</v>
      </c>
    </row>
    <row r="39930" ht="15.75" customHeight="1">
      <c r="A39930" s="7"/>
      <c r="B39930" s="7"/>
      <c r="M39930" s="9" t="s">
        <v>25</v>
      </c>
    </row>
    <row r="39931" ht="15.75" customHeight="1">
      <c r="A39931" s="7"/>
      <c r="B39931" s="7"/>
      <c r="M39931" s="9" t="s">
        <v>23</v>
      </c>
    </row>
    <row r="39932" ht="15.75" customHeight="1">
      <c r="A39932" s="7"/>
      <c r="B39932" s="7"/>
      <c r="M39932" s="9" t="s">
        <v>20</v>
      </c>
    </row>
    <row r="39933" ht="15.75" customHeight="1">
      <c r="A39933" s="7"/>
      <c r="B39933" s="7"/>
      <c r="M39933" s="9" t="s">
        <v>35</v>
      </c>
    </row>
    <row r="39934" ht="15.75" customHeight="1">
      <c r="A39934" s="7"/>
      <c r="B39934" s="7"/>
      <c r="M39934" s="9" t="s">
        <v>30</v>
      </c>
    </row>
    <row r="39935" ht="15.75" customHeight="1">
      <c r="A39935" s="7"/>
      <c r="B39935" s="7"/>
      <c r="M39935" s="9" t="s">
        <v>22</v>
      </c>
    </row>
    <row r="39936" ht="15.75" customHeight="1">
      <c r="A39936" s="7"/>
      <c r="B39936" s="7"/>
      <c r="M39936" s="9" t="s">
        <v>29</v>
      </c>
    </row>
    <row r="39937" ht="15.75" customHeight="1">
      <c r="A39937" s="7"/>
      <c r="B39937" s="7"/>
      <c r="M39937" s="9" t="s">
        <v>27</v>
      </c>
    </row>
    <row r="39938" ht="15.75" customHeight="1">
      <c r="A39938" s="7"/>
      <c r="B39938" s="7"/>
      <c r="M39938" s="9" t="s">
        <v>38</v>
      </c>
    </row>
    <row r="39939" ht="15.75" customHeight="1">
      <c r="A39939" s="7"/>
      <c r="B39939" s="7"/>
      <c r="M39939" s="9" t="s">
        <v>31</v>
      </c>
    </row>
    <row r="39940" ht="15.75" customHeight="1">
      <c r="A39940" s="7"/>
      <c r="B39940" s="7"/>
      <c r="M39940" s="9" t="s">
        <v>34</v>
      </c>
    </row>
    <row r="39941" ht="15.75" customHeight="1">
      <c r="A39941" s="7"/>
      <c r="B39941" s="7"/>
      <c r="M39941" s="9" t="s">
        <v>35</v>
      </c>
    </row>
    <row r="39942" ht="15.75" customHeight="1">
      <c r="A39942" s="7"/>
      <c r="B39942" s="7"/>
      <c r="M39942" s="9" t="s">
        <v>26</v>
      </c>
    </row>
    <row r="39943" ht="15.75" customHeight="1">
      <c r="A39943" s="7"/>
      <c r="B39943" s="7"/>
      <c r="M39943" s="9" t="s">
        <v>24</v>
      </c>
    </row>
    <row r="39944" ht="15.75" customHeight="1">
      <c r="A39944" s="7"/>
      <c r="B39944" s="7"/>
      <c r="M39944" s="9" t="s">
        <v>21</v>
      </c>
    </row>
    <row r="39945" ht="15.75" customHeight="1">
      <c r="A39945" s="7"/>
      <c r="B39945" s="7"/>
      <c r="M39945" s="9" t="s">
        <v>22</v>
      </c>
    </row>
    <row r="39946" ht="15.75" customHeight="1">
      <c r="A39946" s="7"/>
      <c r="B39946" s="7"/>
      <c r="M39946" s="9" t="s">
        <v>27</v>
      </c>
    </row>
    <row r="39947" ht="15.75" customHeight="1">
      <c r="A39947" s="7"/>
      <c r="B39947" s="7"/>
      <c r="M39947" s="9" t="s">
        <v>24</v>
      </c>
    </row>
    <row r="39948" ht="15.75" customHeight="1">
      <c r="A39948" s="7"/>
      <c r="B39948" s="7"/>
      <c r="M39948" s="9" t="s">
        <v>20</v>
      </c>
    </row>
    <row r="39949" ht="15.75" customHeight="1">
      <c r="A39949" s="7"/>
      <c r="B39949" s="7"/>
      <c r="M39949" s="9" t="s">
        <v>21</v>
      </c>
    </row>
    <row r="39950" ht="15.75" customHeight="1">
      <c r="A39950" s="7"/>
      <c r="B39950" s="7"/>
      <c r="M39950" s="9" t="s">
        <v>31</v>
      </c>
    </row>
    <row r="39951" ht="15.75" customHeight="1">
      <c r="A39951" s="7"/>
      <c r="B39951" s="7"/>
      <c r="M39951" s="9" t="s">
        <v>33</v>
      </c>
    </row>
    <row r="39952" ht="15.75" customHeight="1">
      <c r="A39952" s="7"/>
      <c r="B39952" s="7"/>
      <c r="M39952" s="9" t="s">
        <v>30</v>
      </c>
    </row>
    <row r="39953" ht="15.75" customHeight="1">
      <c r="A39953" s="7"/>
      <c r="B39953" s="7"/>
      <c r="M39953" s="9" t="s">
        <v>26</v>
      </c>
    </row>
    <row r="39954" ht="15.75" customHeight="1">
      <c r="A39954" s="7"/>
      <c r="B39954" s="7"/>
      <c r="M39954" s="9" t="s">
        <v>24</v>
      </c>
    </row>
    <row r="39955" ht="15.75" customHeight="1">
      <c r="A39955" s="7"/>
      <c r="B39955" s="7"/>
      <c r="M39955" s="9" t="s">
        <v>21</v>
      </c>
    </row>
    <row r="39956" ht="15.75" customHeight="1">
      <c r="A39956" s="7"/>
      <c r="B39956" s="7"/>
      <c r="M39956" s="9" t="s">
        <v>27</v>
      </c>
    </row>
    <row r="39957" ht="15.75" customHeight="1">
      <c r="A39957" s="7"/>
      <c r="B39957" s="7"/>
      <c r="M39957" s="9" t="s">
        <v>28</v>
      </c>
    </row>
    <row r="39958" ht="15.75" customHeight="1">
      <c r="A39958" s="7"/>
      <c r="B39958" s="7"/>
      <c r="M39958" s="9" t="s">
        <v>38</v>
      </c>
    </row>
    <row r="39959" ht="15.75" customHeight="1">
      <c r="A39959" s="7"/>
      <c r="B39959" s="7"/>
      <c r="M39959" s="9" t="s">
        <v>29</v>
      </c>
    </row>
    <row r="39960" ht="15.75" customHeight="1">
      <c r="A39960" s="7"/>
      <c r="B39960" s="7"/>
      <c r="M39960" s="9" t="s">
        <v>30</v>
      </c>
    </row>
    <row r="39961" ht="15.75" customHeight="1">
      <c r="A39961" s="7"/>
      <c r="B39961" s="7"/>
      <c r="M39961" s="9" t="s">
        <v>25</v>
      </c>
    </row>
    <row r="39962" ht="15.75" customHeight="1">
      <c r="A39962" s="7"/>
      <c r="B39962" s="7"/>
      <c r="M39962" s="9" t="s">
        <v>23</v>
      </c>
    </row>
    <row r="39963" ht="15.75" customHeight="1">
      <c r="A39963" s="7"/>
      <c r="B39963" s="7"/>
      <c r="M39963" s="9" t="s">
        <v>24</v>
      </c>
    </row>
    <row r="39964" ht="15.75" customHeight="1">
      <c r="A39964" s="7"/>
      <c r="B39964" s="7"/>
      <c r="M39964" s="9" t="s">
        <v>20</v>
      </c>
    </row>
    <row r="39965" ht="15.75" customHeight="1">
      <c r="A39965" s="7"/>
      <c r="B39965" s="7"/>
      <c r="M39965" s="9" t="s">
        <v>39</v>
      </c>
    </row>
    <row r="39966" ht="15.75" customHeight="1">
      <c r="A39966" s="7"/>
      <c r="B39966" s="7"/>
      <c r="M39966" s="9" t="s">
        <v>22</v>
      </c>
    </row>
    <row r="39967" ht="15.75" customHeight="1">
      <c r="A39967" s="7"/>
      <c r="B39967" s="7"/>
      <c r="M39967" s="9" t="s">
        <v>30</v>
      </c>
    </row>
    <row r="39968" ht="15.75" customHeight="1">
      <c r="A39968" s="7"/>
      <c r="B39968" s="7"/>
      <c r="M39968" s="9" t="s">
        <v>26</v>
      </c>
    </row>
    <row r="39969" ht="15.75" customHeight="1">
      <c r="A39969" s="7"/>
      <c r="B39969" s="7"/>
      <c r="M39969" s="9" t="s">
        <v>36</v>
      </c>
    </row>
    <row r="39970" ht="15.75" customHeight="1">
      <c r="A39970" s="7"/>
      <c r="B39970" s="7"/>
      <c r="M39970" s="9" t="s">
        <v>24</v>
      </c>
    </row>
    <row r="39971" ht="15.75" customHeight="1">
      <c r="A39971" s="7"/>
      <c r="B39971" s="7"/>
      <c r="M39971" s="9" t="s">
        <v>21</v>
      </c>
    </row>
    <row r="39972" ht="15.75" customHeight="1">
      <c r="A39972" s="7"/>
      <c r="B39972" s="7"/>
      <c r="M39972" s="9" t="s">
        <v>22</v>
      </c>
    </row>
    <row r="39973" ht="15.75" customHeight="1">
      <c r="A39973" s="7"/>
      <c r="B39973" s="7"/>
      <c r="M39973" s="9" t="s">
        <v>31</v>
      </c>
    </row>
    <row r="39974" ht="15.75" customHeight="1">
      <c r="A39974" s="7"/>
      <c r="B39974" s="7"/>
      <c r="M39974" s="9" t="s">
        <v>27</v>
      </c>
    </row>
    <row r="39975" ht="15.75" customHeight="1">
      <c r="A39975" s="7"/>
      <c r="B39975" s="7"/>
      <c r="M39975" s="9" t="s">
        <v>33</v>
      </c>
    </row>
    <row r="39976" ht="15.75" customHeight="1">
      <c r="A39976" s="7"/>
      <c r="B39976" s="7"/>
      <c r="M39976" s="9" t="s">
        <v>30</v>
      </c>
    </row>
    <row r="39977" ht="15.75" customHeight="1">
      <c r="A39977" s="7"/>
      <c r="B39977" s="7"/>
      <c r="M39977" s="9" t="s">
        <v>20</v>
      </c>
    </row>
    <row r="39978" ht="15.75" customHeight="1">
      <c r="A39978" s="7"/>
      <c r="B39978" s="7"/>
      <c r="M39978" s="9" t="s">
        <v>22</v>
      </c>
    </row>
    <row r="39979" ht="15.75" customHeight="1">
      <c r="A39979" s="7"/>
      <c r="B39979" s="7"/>
      <c r="M39979" s="9" t="s">
        <v>29</v>
      </c>
    </row>
    <row r="39980" ht="15.75" customHeight="1">
      <c r="A39980" s="7"/>
      <c r="B39980" s="7"/>
      <c r="M39980" s="9" t="s">
        <v>46</v>
      </c>
    </row>
    <row r="39981" ht="15.75" customHeight="1">
      <c r="A39981" s="7"/>
      <c r="B39981" s="7"/>
      <c r="M39981" s="9" t="s">
        <v>27</v>
      </c>
    </row>
    <row r="39982" ht="15.75" customHeight="1">
      <c r="A39982" s="7"/>
      <c r="B39982" s="7"/>
      <c r="M39982" s="9" t="s">
        <v>30</v>
      </c>
    </row>
    <row r="39983" ht="15.75" customHeight="1">
      <c r="A39983" s="7"/>
      <c r="B39983" s="7"/>
      <c r="M39983" s="9" t="s">
        <v>26</v>
      </c>
    </row>
    <row r="39984" ht="15.75" customHeight="1">
      <c r="A39984" s="7"/>
      <c r="B39984" s="7"/>
      <c r="M39984" s="9" t="s">
        <v>36</v>
      </c>
    </row>
    <row r="39985" ht="15.75" customHeight="1">
      <c r="A39985" s="7"/>
      <c r="B39985" s="7"/>
      <c r="M39985" s="9" t="s">
        <v>24</v>
      </c>
    </row>
    <row r="39986" ht="15.75" customHeight="1">
      <c r="A39986" s="7"/>
      <c r="B39986" s="7"/>
      <c r="M39986" s="9" t="s">
        <v>22</v>
      </c>
    </row>
    <row r="39987" ht="15.75" customHeight="1">
      <c r="A39987" s="7"/>
      <c r="B39987" s="7"/>
      <c r="M39987" s="9" t="s">
        <v>27</v>
      </c>
    </row>
    <row r="39988" ht="15.75" customHeight="1">
      <c r="A39988" s="7"/>
      <c r="B39988" s="7"/>
      <c r="M39988" s="9" t="s">
        <v>28</v>
      </c>
    </row>
    <row r="39989" ht="15.75" customHeight="1">
      <c r="A39989" s="7"/>
      <c r="B39989" s="7"/>
      <c r="M39989" s="9" t="s">
        <v>26</v>
      </c>
    </row>
    <row r="39990" ht="15.75" customHeight="1">
      <c r="A39990" s="7"/>
      <c r="B39990" s="7"/>
      <c r="M39990" s="9" t="s">
        <v>24</v>
      </c>
    </row>
    <row r="39991" ht="15.75" customHeight="1">
      <c r="A39991" s="7"/>
      <c r="B39991" s="7"/>
      <c r="M39991" s="9" t="s">
        <v>21</v>
      </c>
    </row>
    <row r="39992" ht="15.75" customHeight="1">
      <c r="A39992" s="7"/>
      <c r="B39992" s="7"/>
      <c r="M39992" s="9" t="s">
        <v>27</v>
      </c>
    </row>
    <row r="39993" ht="15.75" customHeight="1">
      <c r="A39993" s="7"/>
      <c r="B39993" s="7"/>
      <c r="M39993" s="9" t="s">
        <v>33</v>
      </c>
    </row>
    <row r="39994" ht="15.75" customHeight="1">
      <c r="A39994" s="7"/>
      <c r="B39994" s="7"/>
      <c r="M39994" s="9" t="s">
        <v>20</v>
      </c>
    </row>
    <row r="39995" ht="15.75" customHeight="1">
      <c r="A39995" s="7"/>
      <c r="B39995" s="7"/>
      <c r="M39995" s="9" t="s">
        <v>21</v>
      </c>
    </row>
    <row r="39996" ht="15.75" customHeight="1">
      <c r="A39996" s="7"/>
      <c r="B39996" s="7"/>
      <c r="M39996" s="9" t="s">
        <v>41</v>
      </c>
    </row>
    <row r="39997" ht="15.75" customHeight="1">
      <c r="A39997" s="7"/>
      <c r="B39997" s="7"/>
      <c r="M39997" s="9" t="s">
        <v>40</v>
      </c>
    </row>
    <row r="39998" ht="15.75" customHeight="1">
      <c r="A39998" s="7"/>
      <c r="B39998" s="7"/>
      <c r="M39998" s="9" t="s">
        <v>24</v>
      </c>
    </row>
    <row r="39999" ht="15.75" customHeight="1">
      <c r="A39999" s="7"/>
      <c r="B39999" s="7"/>
      <c r="M39999" s="9" t="s">
        <v>37</v>
      </c>
    </row>
    <row r="40000" ht="15.75" customHeight="1">
      <c r="A40000" s="7"/>
      <c r="B40000" s="7"/>
      <c r="M40000" s="9" t="s">
        <v>24</v>
      </c>
    </row>
    <row r="40001" ht="15.75" customHeight="1">
      <c r="A40001" s="7"/>
      <c r="B40001" s="7"/>
      <c r="M40001" s="9" t="s">
        <v>21</v>
      </c>
    </row>
    <row r="40002" ht="15.75" customHeight="1">
      <c r="A40002" s="7"/>
      <c r="B40002" s="7"/>
      <c r="M40002" s="9" t="s">
        <v>37</v>
      </c>
    </row>
    <row r="40003" ht="15.75" customHeight="1">
      <c r="A40003" s="7"/>
      <c r="B40003" s="7"/>
      <c r="M40003" s="9" t="s">
        <v>24</v>
      </c>
    </row>
    <row r="40004" ht="15.75" customHeight="1">
      <c r="A40004" s="7"/>
      <c r="B40004" s="7"/>
      <c r="M40004" s="9" t="s">
        <v>21</v>
      </c>
    </row>
    <row r="40005" ht="15.75" customHeight="1">
      <c r="A40005" s="7"/>
      <c r="B40005" s="7"/>
      <c r="M40005" s="9" t="s">
        <v>37</v>
      </c>
    </row>
    <row r="40006" ht="15.75" customHeight="1">
      <c r="A40006" s="7"/>
      <c r="B40006" s="7"/>
      <c r="M40006" s="9" t="s">
        <v>27</v>
      </c>
    </row>
    <row r="40007" ht="15.75" customHeight="1">
      <c r="A40007" s="7"/>
      <c r="B40007" s="7"/>
      <c r="M40007" s="9" t="s">
        <v>33</v>
      </c>
    </row>
    <row r="40008" ht="15.75" customHeight="1">
      <c r="A40008" s="7"/>
      <c r="B40008" s="7"/>
      <c r="M40008" s="9" t="s">
        <v>30</v>
      </c>
    </row>
    <row r="40009" ht="15.75" customHeight="1">
      <c r="A40009" s="7"/>
      <c r="B40009" s="7"/>
      <c r="M40009" s="9" t="s">
        <v>25</v>
      </c>
    </row>
    <row r="40010" ht="15.75" customHeight="1">
      <c r="A40010" s="7"/>
      <c r="B40010" s="7"/>
      <c r="M40010" s="9" t="s">
        <v>23</v>
      </c>
    </row>
    <row r="40011" ht="15.75" customHeight="1">
      <c r="A40011" s="7"/>
      <c r="B40011" s="7"/>
      <c r="M40011" s="9" t="s">
        <v>26</v>
      </c>
    </row>
    <row r="40012" ht="15.75" customHeight="1">
      <c r="A40012" s="7"/>
      <c r="B40012" s="7"/>
      <c r="M40012" s="9" t="s">
        <v>21</v>
      </c>
    </row>
    <row r="40013" ht="15.75" customHeight="1">
      <c r="A40013" s="7"/>
      <c r="B40013" s="7"/>
      <c r="M40013" s="9" t="s">
        <v>41</v>
      </c>
    </row>
    <row r="40014" ht="15.75" customHeight="1">
      <c r="A40014" s="7"/>
      <c r="B40014" s="7"/>
      <c r="M40014" s="9" t="s">
        <v>40</v>
      </c>
    </row>
    <row r="40015" ht="15.75" customHeight="1">
      <c r="A40015" s="7"/>
      <c r="B40015" s="7"/>
      <c r="M40015" s="9" t="s">
        <v>38</v>
      </c>
    </row>
    <row r="40016" ht="15.75" customHeight="1">
      <c r="A40016" s="7"/>
      <c r="B40016" s="7"/>
      <c r="M40016" s="9" t="s">
        <v>30</v>
      </c>
    </row>
    <row r="40017" ht="15.75" customHeight="1">
      <c r="A40017" s="7"/>
      <c r="B40017" s="7"/>
      <c r="M40017" s="9" t="s">
        <v>25</v>
      </c>
    </row>
    <row r="40018" ht="15.75" customHeight="1">
      <c r="A40018" s="7"/>
      <c r="B40018" s="7"/>
      <c r="M40018" s="9" t="s">
        <v>22</v>
      </c>
    </row>
    <row r="40019" ht="15.75" customHeight="1">
      <c r="A40019" s="7"/>
      <c r="B40019" s="7"/>
      <c r="M40019" s="9" t="s">
        <v>27</v>
      </c>
    </row>
    <row r="40020" ht="15.75" customHeight="1">
      <c r="A40020" s="7"/>
      <c r="B40020" s="7"/>
      <c r="M40020" s="9" t="s">
        <v>30</v>
      </c>
    </row>
    <row r="40021" ht="15.75" customHeight="1">
      <c r="A40021" s="7"/>
      <c r="B40021" s="7"/>
      <c r="M40021" s="9" t="s">
        <v>25</v>
      </c>
    </row>
    <row r="40022" ht="15.75" customHeight="1">
      <c r="A40022" s="7"/>
      <c r="B40022" s="7"/>
      <c r="M40022" s="9" t="s">
        <v>23</v>
      </c>
    </row>
    <row r="40023" ht="15.75" customHeight="1">
      <c r="A40023" s="7"/>
      <c r="B40023" s="7"/>
      <c r="M40023" s="9" t="s">
        <v>26</v>
      </c>
    </row>
    <row r="40024" ht="15.75" customHeight="1">
      <c r="A40024" s="7"/>
      <c r="B40024" s="7"/>
      <c r="M40024" s="9" t="s">
        <v>27</v>
      </c>
    </row>
    <row r="40025" ht="15.75" customHeight="1">
      <c r="A40025" s="7"/>
      <c r="B40025" s="7"/>
      <c r="M40025" s="9" t="s">
        <v>30</v>
      </c>
    </row>
    <row r="40026" ht="15.75" customHeight="1">
      <c r="A40026" s="7"/>
      <c r="B40026" s="7"/>
      <c r="M40026" s="9" t="s">
        <v>24</v>
      </c>
    </row>
    <row r="40027" ht="15.75" customHeight="1">
      <c r="A40027" s="7"/>
      <c r="B40027" s="7"/>
      <c r="M40027" s="9" t="s">
        <v>20</v>
      </c>
    </row>
    <row r="40028" ht="15.75" customHeight="1">
      <c r="A40028" s="7"/>
      <c r="B40028" s="7"/>
      <c r="M40028" s="9" t="s">
        <v>21</v>
      </c>
    </row>
    <row r="40029" ht="15.75" customHeight="1">
      <c r="A40029" s="7"/>
      <c r="B40029" s="7"/>
      <c r="M40029" s="9" t="s">
        <v>37</v>
      </c>
    </row>
    <row r="40030" ht="15.75" customHeight="1">
      <c r="A40030" s="7"/>
      <c r="B40030" s="7"/>
      <c r="M40030" s="9" t="s">
        <v>31</v>
      </c>
    </row>
    <row r="40031" ht="15.75" customHeight="1">
      <c r="A40031" s="7"/>
      <c r="B40031" s="7"/>
      <c r="M40031" s="9" t="s">
        <v>27</v>
      </c>
    </row>
    <row r="40032" ht="15.75" customHeight="1">
      <c r="A40032" s="7"/>
      <c r="B40032" s="7"/>
      <c r="M40032" s="9" t="s">
        <v>33</v>
      </c>
    </row>
    <row r="40033" ht="15.75" customHeight="1">
      <c r="A40033" s="7"/>
      <c r="B40033" s="7"/>
      <c r="M40033" s="9" t="s">
        <v>23</v>
      </c>
    </row>
    <row r="40034" ht="15.75" customHeight="1">
      <c r="A40034" s="7"/>
      <c r="B40034" s="7"/>
      <c r="M40034" s="9" t="s">
        <v>20</v>
      </c>
    </row>
    <row r="40035" ht="15.75" customHeight="1">
      <c r="A40035" s="7"/>
      <c r="B40035" s="7"/>
      <c r="M40035" s="9" t="s">
        <v>27</v>
      </c>
    </row>
    <row r="40036" ht="15.75" customHeight="1">
      <c r="A40036" s="7"/>
      <c r="B40036" s="7"/>
      <c r="M40036" s="9" t="s">
        <v>23</v>
      </c>
    </row>
    <row r="40037" ht="15.75" customHeight="1">
      <c r="A40037" s="7"/>
      <c r="B40037" s="7"/>
      <c r="M40037" s="9" t="s">
        <v>20</v>
      </c>
    </row>
    <row r="40038" ht="15.75" customHeight="1">
      <c r="A40038" s="7"/>
      <c r="B40038" s="7"/>
      <c r="M40038" s="9" t="s">
        <v>21</v>
      </c>
    </row>
    <row r="40039" ht="15.75" customHeight="1">
      <c r="A40039" s="7"/>
      <c r="B40039" s="7"/>
      <c r="M40039" s="9" t="s">
        <v>22</v>
      </c>
    </row>
    <row r="40040" ht="15.75" customHeight="1">
      <c r="A40040" s="7"/>
      <c r="B40040" s="7"/>
      <c r="M40040" s="9" t="s">
        <v>26</v>
      </c>
    </row>
    <row r="40041" ht="15.75" customHeight="1">
      <c r="A40041" s="7"/>
      <c r="B40041" s="7"/>
      <c r="M40041" s="9" t="s">
        <v>21</v>
      </c>
    </row>
    <row r="40042" ht="15.75" customHeight="1">
      <c r="A40042" s="7"/>
      <c r="B40042" s="7"/>
      <c r="M40042" s="9" t="s">
        <v>33</v>
      </c>
    </row>
    <row r="40043" ht="15.75" customHeight="1">
      <c r="A40043" s="7"/>
      <c r="B40043" s="7"/>
      <c r="M40043" s="9" t="s">
        <v>30</v>
      </c>
    </row>
    <row r="40044" ht="15.75" customHeight="1">
      <c r="A40044" s="7"/>
      <c r="B40044" s="7"/>
      <c r="M40044" s="9" t="s">
        <v>26</v>
      </c>
    </row>
    <row r="40045" ht="15.75" customHeight="1">
      <c r="A40045" s="7"/>
      <c r="B40045" s="7"/>
      <c r="M40045" s="9" t="s">
        <v>24</v>
      </c>
    </row>
    <row r="40046" ht="15.75" customHeight="1">
      <c r="A40046" s="7"/>
      <c r="B40046" s="7"/>
      <c r="M40046" s="9" t="s">
        <v>21</v>
      </c>
    </row>
    <row r="40047" ht="15.75" customHeight="1">
      <c r="A40047" s="7"/>
      <c r="B40047" s="7"/>
      <c r="M40047" s="9" t="s">
        <v>37</v>
      </c>
    </row>
    <row r="40048" ht="15.75" customHeight="1">
      <c r="A40048" s="7"/>
      <c r="B40048" s="7"/>
      <c r="M40048" s="9" t="s">
        <v>22</v>
      </c>
    </row>
    <row r="40049" ht="15.75" customHeight="1">
      <c r="A40049" s="7"/>
      <c r="B40049" s="7"/>
      <c r="M40049" s="9" t="s">
        <v>31</v>
      </c>
    </row>
    <row r="40050" ht="15.75" customHeight="1">
      <c r="A40050" s="7"/>
      <c r="B40050" s="7"/>
      <c r="M40050" s="9" t="s">
        <v>27</v>
      </c>
    </row>
    <row r="40051" ht="15.75" customHeight="1">
      <c r="A40051" s="7"/>
      <c r="B40051" s="7"/>
      <c r="M40051" s="9" t="s">
        <v>33</v>
      </c>
    </row>
    <row r="40052" ht="15.75" customHeight="1">
      <c r="A40052" s="7"/>
      <c r="B40052" s="7"/>
      <c r="M40052" s="9" t="s">
        <v>41</v>
      </c>
    </row>
    <row r="40053" ht="15.75" customHeight="1">
      <c r="A40053" s="7"/>
      <c r="B40053" s="7"/>
      <c r="M40053" s="9" t="s">
        <v>40</v>
      </c>
    </row>
    <row r="40054" ht="15.75" customHeight="1">
      <c r="A40054" s="7"/>
      <c r="B40054" s="7"/>
      <c r="M40054" s="9" t="s">
        <v>26</v>
      </c>
    </row>
    <row r="40055" ht="15.75" customHeight="1">
      <c r="A40055" s="7"/>
      <c r="B40055" s="7"/>
      <c r="M40055" s="9" t="s">
        <v>20</v>
      </c>
    </row>
    <row r="40056" ht="15.75" customHeight="1">
      <c r="A40056" s="7"/>
      <c r="B40056" s="7"/>
      <c r="M40056" s="9" t="s">
        <v>29</v>
      </c>
    </row>
    <row r="40057" ht="15.75" customHeight="1">
      <c r="A40057" s="7"/>
      <c r="B40057" s="7"/>
      <c r="M40057" s="9" t="s">
        <v>27</v>
      </c>
    </row>
    <row r="40058" ht="15.75" customHeight="1">
      <c r="A40058" s="7"/>
      <c r="B40058" s="7"/>
      <c r="M40058" s="9" t="s">
        <v>26</v>
      </c>
    </row>
    <row r="40059" ht="15.75" customHeight="1">
      <c r="A40059" s="7"/>
      <c r="B40059" s="7"/>
      <c r="M40059" s="9" t="s">
        <v>24</v>
      </c>
    </row>
    <row r="40060" ht="15.75" customHeight="1">
      <c r="A40060" s="7"/>
      <c r="B40060" s="7"/>
      <c r="M40060" s="9" t="s">
        <v>21</v>
      </c>
    </row>
    <row r="40061" ht="15.75" customHeight="1">
      <c r="A40061" s="7"/>
      <c r="B40061" s="7"/>
      <c r="M40061" s="9" t="s">
        <v>33</v>
      </c>
    </row>
    <row r="40062" ht="15.75" customHeight="1">
      <c r="A40062" s="7"/>
      <c r="B40062" s="7"/>
      <c r="M40062" s="9" t="s">
        <v>26</v>
      </c>
    </row>
    <row r="40063" ht="15.75" customHeight="1">
      <c r="A40063" s="7"/>
      <c r="B40063" s="7"/>
      <c r="M40063" s="9" t="s">
        <v>36</v>
      </c>
    </row>
    <row r="40064" ht="15.75" customHeight="1">
      <c r="A40064" s="7"/>
      <c r="B40064" s="7"/>
      <c r="M40064" s="9" t="s">
        <v>24</v>
      </c>
    </row>
    <row r="40065" ht="15.75" customHeight="1">
      <c r="A40065" s="7"/>
      <c r="B40065" s="7"/>
      <c r="M40065" s="9" t="s">
        <v>21</v>
      </c>
    </row>
    <row r="40066" ht="15.75" customHeight="1">
      <c r="A40066" s="7"/>
      <c r="B40066" s="7"/>
      <c r="M40066" s="9" t="s">
        <v>37</v>
      </c>
    </row>
    <row r="40067" ht="15.75" customHeight="1">
      <c r="A40067" s="7"/>
      <c r="B40067" s="7"/>
      <c r="M40067" s="9" t="s">
        <v>22</v>
      </c>
    </row>
    <row r="40068" ht="15.75" customHeight="1">
      <c r="A40068" s="7"/>
      <c r="B40068" s="7"/>
      <c r="M40068" s="9" t="s">
        <v>32</v>
      </c>
    </row>
    <row r="40069" ht="15.75" customHeight="1">
      <c r="A40069" s="7"/>
      <c r="B40069" s="7"/>
      <c r="M40069" s="9" t="s">
        <v>27</v>
      </c>
    </row>
    <row r="40070" ht="15.75" customHeight="1">
      <c r="A40070" s="7"/>
      <c r="B40070" s="7"/>
      <c r="M40070" s="9" t="s">
        <v>38</v>
      </c>
    </row>
    <row r="40071" ht="15.75" customHeight="1">
      <c r="A40071" s="7"/>
      <c r="B40071" s="7"/>
      <c r="M40071" s="9" t="s">
        <v>26</v>
      </c>
    </row>
    <row r="40072" ht="15.75" customHeight="1">
      <c r="A40072" s="7"/>
      <c r="B40072" s="7"/>
      <c r="M40072" s="9" t="s">
        <v>47</v>
      </c>
    </row>
    <row r="40073" ht="15.75" customHeight="1">
      <c r="A40073" s="7"/>
      <c r="B40073" s="7"/>
      <c r="M40073" s="9" t="s">
        <v>27</v>
      </c>
    </row>
    <row r="40074" ht="15.75" customHeight="1">
      <c r="A40074" s="7"/>
      <c r="B40074" s="7"/>
      <c r="M40074" s="9" t="s">
        <v>35</v>
      </c>
    </row>
    <row r="40075" ht="15.75" customHeight="1">
      <c r="A40075" s="7"/>
      <c r="B40075" s="7"/>
      <c r="M40075" s="9" t="s">
        <v>23</v>
      </c>
    </row>
    <row r="40076" ht="15.75" customHeight="1">
      <c r="A40076" s="7"/>
      <c r="B40076" s="7"/>
      <c r="M40076" s="9" t="s">
        <v>24</v>
      </c>
    </row>
    <row r="40077" ht="15.75" customHeight="1">
      <c r="A40077" s="7"/>
      <c r="B40077" s="7"/>
      <c r="M40077" s="9" t="s">
        <v>20</v>
      </c>
    </row>
    <row r="40078" ht="15.75" customHeight="1">
      <c r="A40078" s="7"/>
      <c r="B40078" s="7"/>
      <c r="M40078" s="9" t="s">
        <v>21</v>
      </c>
    </row>
    <row r="40079" ht="15.75" customHeight="1">
      <c r="A40079" s="7"/>
      <c r="B40079" s="7"/>
      <c r="M40079" s="9" t="s">
        <v>27</v>
      </c>
    </row>
    <row r="40080" ht="15.75" customHeight="1">
      <c r="A40080" s="7"/>
      <c r="B40080" s="7"/>
      <c r="M40080" s="9" t="s">
        <v>33</v>
      </c>
    </row>
    <row r="40081" ht="15.75" customHeight="1">
      <c r="A40081" s="7"/>
      <c r="B40081" s="7"/>
      <c r="M40081" s="9" t="s">
        <v>30</v>
      </c>
    </row>
    <row r="40082" ht="15.75" customHeight="1">
      <c r="A40082" s="7"/>
      <c r="B40082" s="7"/>
      <c r="M40082" s="9" t="s">
        <v>26</v>
      </c>
    </row>
    <row r="40083" ht="15.75" customHeight="1">
      <c r="A40083" s="7"/>
      <c r="B40083" s="7"/>
      <c r="M40083" s="9" t="s">
        <v>47</v>
      </c>
    </row>
    <row r="40084" ht="15.75" customHeight="1">
      <c r="A40084" s="7"/>
      <c r="B40084" s="7"/>
      <c r="M40084" s="9" t="s">
        <v>24</v>
      </c>
    </row>
    <row r="40085" ht="15.75" customHeight="1">
      <c r="A40085" s="7"/>
      <c r="B40085" s="7"/>
      <c r="M40085" s="9" t="s">
        <v>21</v>
      </c>
    </row>
    <row r="40086" ht="15.75" customHeight="1">
      <c r="A40086" s="7"/>
      <c r="B40086" s="7"/>
      <c r="M40086" s="9" t="s">
        <v>41</v>
      </c>
    </row>
    <row r="40087" ht="15.75" customHeight="1">
      <c r="A40087" s="7"/>
      <c r="B40087" s="7"/>
      <c r="M40087" s="9" t="s">
        <v>37</v>
      </c>
    </row>
    <row r="40088" ht="15.75" customHeight="1">
      <c r="A40088" s="7"/>
      <c r="B40088" s="7"/>
      <c r="M40088" s="9" t="s">
        <v>27</v>
      </c>
    </row>
    <row r="40089" ht="15.75" customHeight="1">
      <c r="A40089" s="7"/>
      <c r="B40089" s="7"/>
      <c r="M40089" s="9" t="s">
        <v>40</v>
      </c>
    </row>
    <row r="40090" ht="15.75" customHeight="1">
      <c r="A40090" s="7"/>
      <c r="B40090" s="7"/>
      <c r="M40090" s="9" t="s">
        <v>30</v>
      </c>
    </row>
    <row r="40091" ht="15.75" customHeight="1">
      <c r="A40091" s="7"/>
      <c r="B40091" s="7"/>
      <c r="M40091" s="9" t="s">
        <v>22</v>
      </c>
    </row>
    <row r="40092" ht="15.75" customHeight="1">
      <c r="A40092" s="7"/>
      <c r="B40092" s="7"/>
      <c r="M40092" s="9" t="s">
        <v>35</v>
      </c>
    </row>
    <row r="40093" ht="15.75" customHeight="1">
      <c r="A40093" s="7"/>
      <c r="B40093" s="7"/>
      <c r="M40093" s="9" t="s">
        <v>26</v>
      </c>
    </row>
    <row r="40094" ht="15.75" customHeight="1">
      <c r="A40094" s="7"/>
      <c r="B40094" s="7"/>
      <c r="M40094" s="9" t="s">
        <v>24</v>
      </c>
    </row>
    <row r="40095" ht="15.75" customHeight="1">
      <c r="A40095" s="7"/>
      <c r="B40095" s="7"/>
      <c r="M40095" s="9" t="s">
        <v>20</v>
      </c>
    </row>
    <row r="40096" ht="15.75" customHeight="1">
      <c r="A40096" s="7"/>
      <c r="B40096" s="7"/>
      <c r="M40096" s="9" t="s">
        <v>21</v>
      </c>
    </row>
    <row r="40097" ht="15.75" customHeight="1">
      <c r="A40097" s="7"/>
      <c r="B40097" s="7"/>
      <c r="M40097" s="9" t="s">
        <v>27</v>
      </c>
    </row>
    <row r="40098" ht="15.75" customHeight="1">
      <c r="A40098" s="7"/>
      <c r="B40098" s="7"/>
      <c r="M40098" s="9" t="s">
        <v>33</v>
      </c>
    </row>
    <row r="40099" ht="15.75" customHeight="1">
      <c r="A40099" s="7"/>
      <c r="B40099" s="7"/>
      <c r="M40099" s="9" t="s">
        <v>20</v>
      </c>
    </row>
    <row r="40100" ht="15.75" customHeight="1">
      <c r="A40100" s="7"/>
      <c r="B40100" s="7"/>
      <c r="M40100" s="9" t="s">
        <v>39</v>
      </c>
    </row>
    <row r="40101" ht="15.75" customHeight="1">
      <c r="A40101" s="7"/>
      <c r="B40101" s="7"/>
      <c r="M40101" s="9" t="s">
        <v>37</v>
      </c>
    </row>
    <row r="40102" ht="15.75" customHeight="1">
      <c r="A40102" s="7"/>
      <c r="B40102" s="7"/>
      <c r="M40102" s="9" t="s">
        <v>26</v>
      </c>
    </row>
    <row r="40103" ht="15.75" customHeight="1">
      <c r="A40103" s="7"/>
      <c r="B40103" s="7"/>
      <c r="M40103" s="9" t="s">
        <v>24</v>
      </c>
    </row>
    <row r="40104" ht="15.75" customHeight="1">
      <c r="A40104" s="7"/>
      <c r="B40104" s="7"/>
      <c r="M40104" s="9" t="s">
        <v>20</v>
      </c>
    </row>
    <row r="40105" ht="15.75" customHeight="1">
      <c r="A40105" s="7"/>
      <c r="B40105" s="7"/>
      <c r="M40105" s="9" t="s">
        <v>21</v>
      </c>
    </row>
    <row r="40106" ht="15.75" customHeight="1">
      <c r="A40106" s="7"/>
      <c r="B40106" s="7"/>
      <c r="M40106" s="9" t="s">
        <v>27</v>
      </c>
    </row>
    <row r="40107" ht="15.75" customHeight="1">
      <c r="A40107" s="7"/>
      <c r="B40107" s="7"/>
      <c r="M40107" s="9" t="s">
        <v>33</v>
      </c>
    </row>
    <row r="40108" ht="15.75" customHeight="1">
      <c r="A40108" s="7"/>
      <c r="B40108" s="7"/>
      <c r="M40108" s="9" t="s">
        <v>30</v>
      </c>
    </row>
    <row r="40109" ht="15.75" customHeight="1">
      <c r="A40109" s="7"/>
      <c r="B40109" s="7"/>
      <c r="M40109" s="9" t="s">
        <v>25</v>
      </c>
    </row>
    <row r="40110" ht="15.75" customHeight="1">
      <c r="A40110" s="7"/>
      <c r="B40110" s="7"/>
      <c r="M40110" s="9" t="s">
        <v>22</v>
      </c>
    </row>
    <row r="40111" ht="15.75" customHeight="1">
      <c r="A40111" s="7"/>
      <c r="B40111" s="7"/>
      <c r="M40111" s="9" t="s">
        <v>25</v>
      </c>
    </row>
    <row r="40112" ht="15.75" customHeight="1">
      <c r="A40112" s="7"/>
      <c r="B40112" s="7"/>
      <c r="M40112" s="9" t="s">
        <v>26</v>
      </c>
    </row>
    <row r="40113" ht="15.75" customHeight="1">
      <c r="A40113" s="7"/>
      <c r="B40113" s="7"/>
      <c r="M40113" s="9" t="s">
        <v>20</v>
      </c>
    </row>
    <row r="40114" ht="15.75" customHeight="1">
      <c r="A40114" s="7"/>
      <c r="B40114" s="7"/>
      <c r="M40114" s="9" t="s">
        <v>22</v>
      </c>
    </row>
    <row r="40115" ht="15.75" customHeight="1">
      <c r="A40115" s="7"/>
      <c r="B40115" s="7"/>
      <c r="M40115" s="9" t="s">
        <v>27</v>
      </c>
    </row>
    <row r="40116" ht="15.75" customHeight="1">
      <c r="A40116" s="7"/>
      <c r="B40116" s="7"/>
      <c r="M40116" s="9" t="s">
        <v>28</v>
      </c>
    </row>
    <row r="40117" ht="15.75" customHeight="1">
      <c r="A40117" s="7"/>
      <c r="B40117" s="7"/>
      <c r="M40117" s="9" t="s">
        <v>35</v>
      </c>
    </row>
    <row r="40118" ht="15.75" customHeight="1">
      <c r="A40118" s="7"/>
      <c r="B40118" s="7"/>
      <c r="M40118" s="9" t="s">
        <v>30</v>
      </c>
    </row>
    <row r="40119" ht="15.75" customHeight="1">
      <c r="A40119" s="7"/>
      <c r="B40119" s="7"/>
      <c r="M40119" s="9" t="s">
        <v>26</v>
      </c>
    </row>
    <row r="40120" ht="15.75" customHeight="1">
      <c r="A40120" s="7"/>
      <c r="B40120" s="7"/>
      <c r="M40120" s="9" t="s">
        <v>24</v>
      </c>
    </row>
    <row r="40121" ht="15.75" customHeight="1">
      <c r="A40121" s="7"/>
      <c r="B40121" s="7"/>
      <c r="M40121" s="9" t="s">
        <v>21</v>
      </c>
    </row>
    <row r="40122" ht="15.75" customHeight="1">
      <c r="A40122" s="7"/>
      <c r="B40122" s="7"/>
      <c r="M40122" s="9" t="s">
        <v>27</v>
      </c>
    </row>
    <row r="40123" ht="15.75" customHeight="1">
      <c r="A40123" s="7"/>
      <c r="B40123" s="7"/>
      <c r="M40123" s="9" t="s">
        <v>33</v>
      </c>
    </row>
    <row r="40124" ht="15.75" customHeight="1">
      <c r="A40124" s="7"/>
      <c r="B40124" s="7"/>
      <c r="M40124" s="9" t="s">
        <v>28</v>
      </c>
    </row>
    <row r="40125" ht="15.75" customHeight="1">
      <c r="A40125" s="7"/>
      <c r="B40125" s="7"/>
      <c r="M40125" s="9" t="s">
        <v>30</v>
      </c>
    </row>
    <row r="40126" ht="15.75" customHeight="1">
      <c r="A40126" s="7"/>
      <c r="B40126" s="7"/>
      <c r="M40126" s="9" t="s">
        <v>25</v>
      </c>
    </row>
    <row r="40127" ht="15.75" customHeight="1">
      <c r="A40127" s="7"/>
      <c r="B40127" s="7"/>
      <c r="M40127" s="9" t="s">
        <v>23</v>
      </c>
    </row>
    <row r="40128" ht="15.75" customHeight="1">
      <c r="A40128" s="7"/>
      <c r="B40128" s="7"/>
      <c r="M40128" s="9" t="s">
        <v>20</v>
      </c>
    </row>
    <row r="40129" ht="15.75" customHeight="1">
      <c r="A40129" s="7"/>
      <c r="B40129" s="7"/>
      <c r="M40129" s="9" t="s">
        <v>21</v>
      </c>
    </row>
    <row r="40130" ht="15.75" customHeight="1">
      <c r="A40130" s="7"/>
      <c r="B40130" s="7"/>
      <c r="M40130" s="9" t="s">
        <v>39</v>
      </c>
    </row>
    <row r="40131" ht="15.75" customHeight="1">
      <c r="A40131" s="7"/>
      <c r="B40131" s="7"/>
      <c r="M40131" s="9" t="s">
        <v>22</v>
      </c>
    </row>
    <row r="40132" ht="15.75" customHeight="1">
      <c r="A40132" s="7"/>
      <c r="B40132" s="7"/>
      <c r="M40132" s="9" t="s">
        <v>27</v>
      </c>
    </row>
    <row r="40133" ht="15.75" customHeight="1">
      <c r="A40133" s="7"/>
      <c r="B40133" s="7"/>
      <c r="M40133" s="9" t="s">
        <v>36</v>
      </c>
    </row>
    <row r="40134" ht="15.75" customHeight="1">
      <c r="A40134" s="7"/>
      <c r="B40134" s="7"/>
      <c r="M40134" s="9" t="s">
        <v>24</v>
      </c>
    </row>
    <row r="40135" ht="15.75" customHeight="1">
      <c r="A40135" s="7"/>
      <c r="B40135" s="7"/>
      <c r="M40135" s="9" t="s">
        <v>21</v>
      </c>
    </row>
    <row r="40136" ht="15.75" customHeight="1">
      <c r="A40136" s="7"/>
      <c r="B40136" s="7"/>
      <c r="M40136" s="9" t="s">
        <v>22</v>
      </c>
    </row>
    <row r="40137" ht="15.75" customHeight="1">
      <c r="A40137" s="7"/>
      <c r="B40137" s="7"/>
      <c r="M40137" s="9" t="s">
        <v>27</v>
      </c>
    </row>
    <row r="40138" ht="15.75" customHeight="1">
      <c r="A40138" s="7"/>
      <c r="B40138" s="7"/>
      <c r="M40138" s="9" t="s">
        <v>30</v>
      </c>
    </row>
    <row r="40139" ht="15.75" customHeight="1">
      <c r="A40139" s="7"/>
      <c r="B40139" s="7"/>
      <c r="M40139" s="9" t="s">
        <v>24</v>
      </c>
    </row>
    <row r="40140" ht="15.75" customHeight="1">
      <c r="A40140" s="7"/>
      <c r="B40140" s="7"/>
      <c r="M40140" s="9" t="s">
        <v>20</v>
      </c>
    </row>
    <row r="40141" ht="15.75" customHeight="1">
      <c r="A40141" s="7"/>
      <c r="B40141" s="7"/>
      <c r="M40141" s="9" t="s">
        <v>21</v>
      </c>
    </row>
    <row r="40142" ht="15.75" customHeight="1">
      <c r="A40142" s="7"/>
      <c r="B40142" s="7"/>
      <c r="M40142" s="9" t="s">
        <v>37</v>
      </c>
    </row>
    <row r="40143" ht="15.75" customHeight="1">
      <c r="A40143" s="7"/>
      <c r="B40143" s="7"/>
      <c r="M40143" s="9" t="s">
        <v>22</v>
      </c>
    </row>
    <row r="40144" ht="15.75" customHeight="1">
      <c r="A40144" s="7"/>
      <c r="B40144" s="7"/>
      <c r="M40144" s="9" t="s">
        <v>27</v>
      </c>
    </row>
    <row r="40145" ht="15.75" customHeight="1">
      <c r="A40145" s="7"/>
      <c r="B40145" s="7"/>
      <c r="M40145" s="9" t="s">
        <v>33</v>
      </c>
    </row>
    <row r="40146" ht="15.75" customHeight="1">
      <c r="A40146" s="7"/>
      <c r="B40146" s="7"/>
      <c r="M40146" s="9" t="s">
        <v>34</v>
      </c>
    </row>
    <row r="40147" ht="15.75" customHeight="1">
      <c r="A40147" s="7"/>
      <c r="B40147" s="7"/>
      <c r="M40147" s="9" t="s">
        <v>38</v>
      </c>
    </row>
    <row r="40148" ht="15.75" customHeight="1">
      <c r="A40148" s="7"/>
      <c r="B40148" s="7"/>
      <c r="M40148" s="9" t="s">
        <v>30</v>
      </c>
    </row>
    <row r="40149" ht="15.75" customHeight="1">
      <c r="A40149" s="7"/>
      <c r="B40149" s="7"/>
      <c r="M40149" s="9" t="s">
        <v>25</v>
      </c>
    </row>
    <row r="40150" ht="15.75" customHeight="1">
      <c r="A40150" s="7"/>
      <c r="B40150" s="7"/>
      <c r="M40150" s="9" t="s">
        <v>23</v>
      </c>
    </row>
    <row r="40151" ht="15.75" customHeight="1">
      <c r="A40151" s="7"/>
      <c r="B40151" s="7"/>
      <c r="M40151" s="9" t="s">
        <v>36</v>
      </c>
    </row>
    <row r="40152" ht="15.75" customHeight="1">
      <c r="A40152" s="7"/>
      <c r="B40152" s="7"/>
      <c r="M40152" s="9" t="s">
        <v>22</v>
      </c>
    </row>
    <row r="40153" ht="15.75" customHeight="1">
      <c r="A40153" s="7"/>
      <c r="B40153" s="7"/>
      <c r="M40153" s="9" t="s">
        <v>32</v>
      </c>
    </row>
    <row r="40154" ht="15.75" customHeight="1">
      <c r="A40154" s="7"/>
      <c r="B40154" s="7"/>
      <c r="M40154" s="9" t="s">
        <v>38</v>
      </c>
    </row>
    <row r="40155" ht="15.75" customHeight="1">
      <c r="A40155" s="7"/>
      <c r="B40155" s="7"/>
      <c r="M40155" s="9" t="s">
        <v>30</v>
      </c>
    </row>
    <row r="40156" ht="15.75" customHeight="1">
      <c r="A40156" s="7"/>
      <c r="B40156" s="7"/>
      <c r="M40156" s="9" t="s">
        <v>25</v>
      </c>
    </row>
    <row r="40157" ht="15.75" customHeight="1">
      <c r="A40157" s="7"/>
      <c r="B40157" s="7"/>
      <c r="M40157" s="9" t="s">
        <v>23</v>
      </c>
    </row>
    <row r="40158" ht="15.75" customHeight="1">
      <c r="A40158" s="7"/>
      <c r="B40158" s="7"/>
      <c r="M40158" s="9" t="s">
        <v>24</v>
      </c>
    </row>
    <row r="40159" ht="15.75" customHeight="1">
      <c r="A40159" s="7"/>
      <c r="B40159" s="7"/>
      <c r="M40159" s="9" t="s">
        <v>20</v>
      </c>
    </row>
    <row r="40160" ht="15.75" customHeight="1">
      <c r="A40160" s="7"/>
      <c r="B40160" s="7"/>
      <c r="M40160" s="9" t="s">
        <v>21</v>
      </c>
    </row>
    <row r="40161" ht="15.75" customHeight="1">
      <c r="A40161" s="7"/>
      <c r="B40161" s="7"/>
      <c r="M40161" s="9" t="s">
        <v>37</v>
      </c>
    </row>
    <row r="40162" ht="15.75" customHeight="1">
      <c r="A40162" s="7"/>
      <c r="B40162" s="7"/>
      <c r="M40162" s="9" t="s">
        <v>22</v>
      </c>
    </row>
    <row r="40163" ht="15.75" customHeight="1">
      <c r="A40163" s="7"/>
      <c r="B40163" s="7"/>
      <c r="M40163" s="9" t="s">
        <v>27</v>
      </c>
    </row>
    <row r="40164" ht="15.75" customHeight="1">
      <c r="A40164" s="7"/>
      <c r="B40164" s="7"/>
      <c r="M40164" s="9" t="s">
        <v>35</v>
      </c>
    </row>
    <row r="40165" ht="15.75" customHeight="1">
      <c r="A40165" s="7"/>
      <c r="B40165" s="7"/>
      <c r="M40165" s="9" t="s">
        <v>30</v>
      </c>
    </row>
    <row r="40166" ht="15.75" customHeight="1">
      <c r="A40166" s="7"/>
      <c r="B40166" s="7"/>
      <c r="M40166" s="9" t="s">
        <v>23</v>
      </c>
    </row>
    <row r="40167" ht="15.75" customHeight="1">
      <c r="A40167" s="7"/>
      <c r="B40167" s="7"/>
      <c r="M40167" s="9" t="s">
        <v>24</v>
      </c>
    </row>
    <row r="40168" ht="15.75" customHeight="1">
      <c r="A40168" s="7"/>
      <c r="B40168" s="7"/>
      <c r="M40168" s="9" t="s">
        <v>20</v>
      </c>
    </row>
    <row r="40169" ht="15.75" customHeight="1">
      <c r="A40169" s="7"/>
      <c r="B40169" s="7"/>
      <c r="M40169" s="9" t="s">
        <v>46</v>
      </c>
    </row>
    <row r="40170" ht="15.75" customHeight="1">
      <c r="A40170" s="7"/>
      <c r="B40170" s="7"/>
      <c r="M40170" s="9" t="s">
        <v>27</v>
      </c>
    </row>
    <row r="40171" ht="15.75" customHeight="1">
      <c r="A40171" s="7"/>
      <c r="B40171" s="7"/>
      <c r="M40171" s="9" t="s">
        <v>30</v>
      </c>
    </row>
    <row r="40172" ht="15.75" customHeight="1">
      <c r="A40172" s="7"/>
      <c r="B40172" s="7"/>
      <c r="M40172" s="9" t="s">
        <v>24</v>
      </c>
    </row>
    <row r="40173" ht="15.75" customHeight="1">
      <c r="A40173" s="7"/>
      <c r="B40173" s="7"/>
      <c r="M40173" s="9" t="s">
        <v>20</v>
      </c>
    </row>
    <row r="40174" ht="15.75" customHeight="1">
      <c r="A40174" s="7"/>
      <c r="B40174" s="7"/>
      <c r="M40174" s="9" t="s">
        <v>33</v>
      </c>
    </row>
    <row r="40175" ht="15.75" customHeight="1">
      <c r="A40175" s="7"/>
      <c r="B40175" s="7"/>
      <c r="M40175" s="9" t="s">
        <v>30</v>
      </c>
    </row>
    <row r="40176" ht="15.75" customHeight="1">
      <c r="A40176" s="7"/>
      <c r="B40176" s="7"/>
      <c r="M40176" s="9" t="s">
        <v>24</v>
      </c>
    </row>
    <row r="40177" ht="15.75" customHeight="1">
      <c r="A40177" s="7"/>
      <c r="B40177" s="7"/>
      <c r="M40177" s="9" t="s">
        <v>21</v>
      </c>
    </row>
    <row r="40178" ht="15.75" customHeight="1">
      <c r="A40178" s="7"/>
      <c r="B40178" s="7"/>
      <c r="M40178" s="9" t="s">
        <v>37</v>
      </c>
    </row>
    <row r="40179" ht="15.75" customHeight="1">
      <c r="A40179" s="7"/>
      <c r="B40179" s="7"/>
      <c r="M40179" s="9" t="s">
        <v>22</v>
      </c>
    </row>
    <row r="40180" ht="15.75" customHeight="1">
      <c r="A40180" s="7"/>
      <c r="B40180" s="7"/>
      <c r="M40180" s="9" t="s">
        <v>27</v>
      </c>
    </row>
    <row r="40181" ht="15.75" customHeight="1">
      <c r="A40181" s="7"/>
      <c r="B40181" s="7"/>
      <c r="M40181" s="9" t="s">
        <v>38</v>
      </c>
    </row>
    <row r="40182" ht="15.75" customHeight="1">
      <c r="A40182" s="7"/>
      <c r="B40182" s="7"/>
      <c r="M40182" s="9" t="s">
        <v>25</v>
      </c>
    </row>
    <row r="40183" ht="15.75" customHeight="1">
      <c r="A40183" s="7"/>
      <c r="B40183" s="7"/>
      <c r="M40183" s="9" t="s">
        <v>47</v>
      </c>
    </row>
    <row r="40184" ht="15.75" customHeight="1">
      <c r="A40184" s="7"/>
      <c r="B40184" s="7"/>
      <c r="M40184" s="9" t="s">
        <v>20</v>
      </c>
    </row>
    <row r="40185" ht="15.75" customHeight="1">
      <c r="A40185" s="7"/>
      <c r="B40185" s="7"/>
      <c r="M40185" s="9" t="s">
        <v>39</v>
      </c>
    </row>
    <row r="40186" ht="15.75" customHeight="1">
      <c r="A40186" s="7"/>
      <c r="B40186" s="7"/>
      <c r="M40186" s="9" t="s">
        <v>24</v>
      </c>
    </row>
    <row r="40187" ht="15.75" customHeight="1">
      <c r="A40187" s="7"/>
      <c r="B40187" s="7"/>
      <c r="M40187" s="9" t="s">
        <v>21</v>
      </c>
    </row>
    <row r="40188" ht="15.75" customHeight="1">
      <c r="A40188" s="7"/>
      <c r="B40188" s="7"/>
      <c r="M40188" s="9" t="s">
        <v>22</v>
      </c>
    </row>
    <row r="40189" ht="15.75" customHeight="1">
      <c r="A40189" s="7"/>
      <c r="B40189" s="7"/>
      <c r="M40189" s="9" t="s">
        <v>28</v>
      </c>
    </row>
    <row r="40190" ht="15.75" customHeight="1">
      <c r="A40190" s="7"/>
      <c r="B40190" s="7"/>
      <c r="M40190" s="9" t="s">
        <v>38</v>
      </c>
    </row>
    <row r="40191" ht="15.75" customHeight="1">
      <c r="A40191" s="7"/>
      <c r="B40191" s="7"/>
      <c r="M40191" s="9" t="s">
        <v>23</v>
      </c>
    </row>
    <row r="40192" ht="15.75" customHeight="1">
      <c r="A40192" s="7"/>
      <c r="B40192" s="7"/>
      <c r="M40192" s="9" t="s">
        <v>24</v>
      </c>
    </row>
    <row r="40193" ht="15.75" customHeight="1">
      <c r="A40193" s="7"/>
      <c r="B40193" s="7"/>
      <c r="M40193" s="9" t="s">
        <v>20</v>
      </c>
    </row>
    <row r="40194" ht="15.75" customHeight="1">
      <c r="A40194" s="7"/>
      <c r="B40194" s="7"/>
      <c r="M40194" s="9" t="s">
        <v>22</v>
      </c>
    </row>
    <row r="40195" ht="15.75" customHeight="1">
      <c r="A40195" s="7"/>
      <c r="B40195" s="7"/>
      <c r="M40195" s="9" t="s">
        <v>31</v>
      </c>
    </row>
    <row r="40196" ht="15.75" customHeight="1">
      <c r="A40196" s="7"/>
      <c r="B40196" s="7"/>
      <c r="M40196" s="9" t="s">
        <v>30</v>
      </c>
    </row>
    <row r="40197" ht="15.75" customHeight="1">
      <c r="A40197" s="7"/>
      <c r="B40197" s="7"/>
      <c r="M40197" s="9" t="s">
        <v>25</v>
      </c>
    </row>
    <row r="40198" ht="15.75" customHeight="1">
      <c r="A40198" s="7"/>
      <c r="B40198" s="7"/>
      <c r="M40198" s="9" t="s">
        <v>23</v>
      </c>
    </row>
    <row r="40199" ht="15.75" customHeight="1">
      <c r="A40199" s="7"/>
      <c r="B40199" s="7"/>
      <c r="M40199" s="9" t="s">
        <v>24</v>
      </c>
    </row>
    <row r="40200" ht="15.75" customHeight="1">
      <c r="A40200" s="7"/>
      <c r="B40200" s="7"/>
      <c r="M40200" s="9" t="s">
        <v>22</v>
      </c>
    </row>
    <row r="40201" ht="15.75" customHeight="1">
      <c r="A40201" s="7"/>
      <c r="B40201" s="7"/>
      <c r="M40201" s="9" t="s">
        <v>27</v>
      </c>
    </row>
    <row r="40202" ht="15.75" customHeight="1">
      <c r="A40202" s="7"/>
      <c r="B40202" s="7"/>
      <c r="M40202" s="9" t="s">
        <v>40</v>
      </c>
    </row>
    <row r="40203" ht="15.75" customHeight="1">
      <c r="A40203" s="7"/>
      <c r="B40203" s="7"/>
      <c r="M40203" s="9" t="s">
        <v>35</v>
      </c>
    </row>
    <row r="40204" ht="15.75" customHeight="1">
      <c r="A40204" s="7"/>
      <c r="B40204" s="7"/>
      <c r="M40204" s="9" t="s">
        <v>30</v>
      </c>
    </row>
    <row r="40205" ht="15.75" customHeight="1">
      <c r="A40205" s="7"/>
      <c r="B40205" s="7"/>
      <c r="M40205" s="9" t="s">
        <v>26</v>
      </c>
    </row>
    <row r="40206" ht="15.75" customHeight="1">
      <c r="A40206" s="7"/>
      <c r="B40206" s="7"/>
      <c r="M40206" s="9" t="s">
        <v>20</v>
      </c>
    </row>
    <row r="40207" ht="15.75" customHeight="1">
      <c r="A40207" s="7"/>
      <c r="B40207" s="7"/>
      <c r="M40207" s="9" t="s">
        <v>27</v>
      </c>
    </row>
    <row r="40208" ht="15.75" customHeight="1">
      <c r="A40208" s="7"/>
      <c r="B40208" s="7"/>
      <c r="M40208" s="9" t="s">
        <v>28</v>
      </c>
    </row>
    <row r="40209" ht="15.75" customHeight="1">
      <c r="A40209" s="7"/>
      <c r="B40209" s="7"/>
      <c r="M40209" s="9" t="s">
        <v>30</v>
      </c>
    </row>
    <row r="40210" ht="15.75" customHeight="1">
      <c r="A40210" s="7"/>
      <c r="B40210" s="7"/>
      <c r="M40210" s="9" t="s">
        <v>36</v>
      </c>
    </row>
    <row r="40211" ht="15.75" customHeight="1">
      <c r="A40211" s="7"/>
      <c r="B40211" s="7"/>
      <c r="M40211" s="9" t="s">
        <v>20</v>
      </c>
    </row>
    <row r="40212" ht="15.75" customHeight="1">
      <c r="A40212" s="7"/>
      <c r="B40212" s="7"/>
      <c r="M40212" s="9" t="s">
        <v>21</v>
      </c>
    </row>
    <row r="40213" ht="15.75" customHeight="1">
      <c r="A40213" s="7"/>
      <c r="B40213" s="7"/>
      <c r="M40213" s="9" t="s">
        <v>26</v>
      </c>
    </row>
    <row r="40214" ht="15.75" customHeight="1">
      <c r="A40214" s="7"/>
      <c r="B40214" s="7"/>
      <c r="M40214" s="9" t="s">
        <v>24</v>
      </c>
    </row>
    <row r="40215" ht="15.75" customHeight="1">
      <c r="A40215" s="7"/>
      <c r="B40215" s="7"/>
      <c r="M40215" s="9" t="s">
        <v>21</v>
      </c>
    </row>
    <row r="40216" ht="15.75" customHeight="1">
      <c r="A40216" s="7"/>
      <c r="B40216" s="7"/>
      <c r="M40216" s="9" t="s">
        <v>27</v>
      </c>
    </row>
    <row r="40217" ht="15.75" customHeight="1">
      <c r="A40217" s="7"/>
      <c r="B40217" s="7"/>
      <c r="M40217" s="9" t="s">
        <v>30</v>
      </c>
    </row>
    <row r="40218" ht="15.75" customHeight="1">
      <c r="A40218" s="7"/>
      <c r="B40218" s="7"/>
      <c r="M40218" s="9" t="s">
        <v>23</v>
      </c>
    </row>
    <row r="40219" ht="15.75" customHeight="1">
      <c r="A40219" s="7"/>
      <c r="B40219" s="7"/>
      <c r="M40219" s="9" t="s">
        <v>26</v>
      </c>
    </row>
    <row r="40220" ht="15.75" customHeight="1">
      <c r="A40220" s="7"/>
      <c r="B40220" s="7"/>
      <c r="M40220" s="9" t="s">
        <v>24</v>
      </c>
    </row>
    <row r="40221" ht="15.75" customHeight="1">
      <c r="A40221" s="7"/>
      <c r="B40221" s="7"/>
      <c r="M40221" s="9" t="s">
        <v>20</v>
      </c>
    </row>
    <row r="40222" ht="15.75" customHeight="1">
      <c r="A40222" s="7"/>
      <c r="B40222" s="7"/>
      <c r="M40222" s="9" t="s">
        <v>21</v>
      </c>
    </row>
    <row r="40223" ht="15.75" customHeight="1">
      <c r="A40223" s="7"/>
      <c r="B40223" s="7"/>
      <c r="M40223" s="9" t="s">
        <v>46</v>
      </c>
    </row>
    <row r="40224" ht="15.75" customHeight="1">
      <c r="A40224" s="7"/>
      <c r="B40224" s="7"/>
      <c r="M40224" s="9" t="s">
        <v>27</v>
      </c>
    </row>
    <row r="40225" ht="15.75" customHeight="1">
      <c r="A40225" s="7"/>
      <c r="B40225" s="7"/>
      <c r="M40225" s="9" t="s">
        <v>26</v>
      </c>
    </row>
    <row r="40226" ht="15.75" customHeight="1">
      <c r="A40226" s="7"/>
      <c r="B40226" s="7"/>
      <c r="M40226" s="9" t="s">
        <v>24</v>
      </c>
    </row>
    <row r="40227" ht="15.75" customHeight="1">
      <c r="A40227" s="7"/>
      <c r="B40227" s="7"/>
      <c r="M40227" s="9" t="s">
        <v>27</v>
      </c>
    </row>
    <row r="40228" ht="15.75" customHeight="1">
      <c r="A40228" s="7"/>
      <c r="B40228" s="7"/>
      <c r="M40228" s="9" t="s">
        <v>28</v>
      </c>
    </row>
    <row r="40229" ht="15.75" customHeight="1">
      <c r="A40229" s="7"/>
      <c r="B40229" s="7"/>
      <c r="M40229" s="9" t="s">
        <v>24</v>
      </c>
    </row>
    <row r="40230" ht="15.75" customHeight="1">
      <c r="A40230" s="7"/>
      <c r="B40230" s="7"/>
      <c r="M40230" s="9" t="s">
        <v>20</v>
      </c>
    </row>
    <row r="40231" ht="15.75" customHeight="1">
      <c r="A40231" s="7"/>
      <c r="B40231" s="7"/>
      <c r="M40231" s="9" t="s">
        <v>21</v>
      </c>
    </row>
    <row r="40232" ht="15.75" customHeight="1">
      <c r="A40232" s="7"/>
      <c r="B40232" s="7"/>
      <c r="M40232" s="9" t="s">
        <v>22</v>
      </c>
    </row>
    <row r="40233" ht="15.75" customHeight="1">
      <c r="A40233" s="7"/>
      <c r="B40233" s="7"/>
      <c r="M40233" s="9" t="s">
        <v>32</v>
      </c>
    </row>
    <row r="40234" ht="15.75" customHeight="1">
      <c r="A40234" s="7"/>
      <c r="B40234" s="7"/>
      <c r="M40234" s="9" t="s">
        <v>27</v>
      </c>
    </row>
    <row r="40235" ht="15.75" customHeight="1">
      <c r="A40235" s="7"/>
      <c r="B40235" s="7"/>
      <c r="M40235" s="9" t="s">
        <v>20</v>
      </c>
    </row>
    <row r="40236" ht="15.75" customHeight="1">
      <c r="A40236" s="7"/>
      <c r="B40236" s="7"/>
      <c r="M40236" s="9" t="s">
        <v>46</v>
      </c>
    </row>
    <row r="40237" ht="15.75" customHeight="1">
      <c r="A40237" s="7"/>
      <c r="B40237" s="7"/>
      <c r="M40237" s="9" t="s">
        <v>20</v>
      </c>
    </row>
    <row r="40238" ht="15.75" customHeight="1">
      <c r="A40238" s="7"/>
      <c r="B40238" s="7"/>
      <c r="M40238" s="9" t="s">
        <v>39</v>
      </c>
    </row>
    <row r="40239" ht="15.75" customHeight="1">
      <c r="A40239" s="7"/>
      <c r="B40239" s="7"/>
      <c r="M40239" s="9" t="s">
        <v>27</v>
      </c>
    </row>
    <row r="40240" ht="15.75" customHeight="1">
      <c r="A40240" s="7"/>
      <c r="B40240" s="7"/>
      <c r="M40240" s="9" t="s">
        <v>23</v>
      </c>
    </row>
    <row r="40241" ht="15.75" customHeight="1">
      <c r="A40241" s="7"/>
      <c r="B40241" s="7"/>
      <c r="M40241" s="9" t="s">
        <v>30</v>
      </c>
    </row>
    <row r="40242" ht="15.75" customHeight="1">
      <c r="A40242" s="7"/>
      <c r="B40242" s="7"/>
      <c r="M40242" s="9" t="s">
        <v>23</v>
      </c>
    </row>
    <row r="40243" ht="15.75" customHeight="1">
      <c r="A40243" s="7"/>
      <c r="B40243" s="7"/>
      <c r="M40243" s="9" t="s">
        <v>36</v>
      </c>
    </row>
    <row r="40244" ht="15.75" customHeight="1">
      <c r="A40244" s="7"/>
      <c r="B40244" s="7"/>
      <c r="M40244" s="9" t="s">
        <v>24</v>
      </c>
    </row>
    <row r="40245" ht="15.75" customHeight="1">
      <c r="A40245" s="7"/>
      <c r="B40245" s="7"/>
      <c r="M40245" s="9" t="s">
        <v>21</v>
      </c>
    </row>
    <row r="40246" ht="15.75" customHeight="1">
      <c r="A40246" s="7"/>
      <c r="B40246" s="7"/>
      <c r="M40246" s="9" t="s">
        <v>22</v>
      </c>
    </row>
    <row r="40247" ht="15.75" customHeight="1">
      <c r="A40247" s="7"/>
      <c r="B40247" s="7"/>
      <c r="M40247" s="9" t="s">
        <v>32</v>
      </c>
    </row>
    <row r="40248" ht="15.75" customHeight="1">
      <c r="A40248" s="7"/>
      <c r="B40248" s="7"/>
      <c r="M40248" s="9" t="s">
        <v>35</v>
      </c>
    </row>
    <row r="40249" ht="15.75" customHeight="1">
      <c r="A40249" s="7"/>
      <c r="B40249" s="7"/>
      <c r="M40249" s="9" t="s">
        <v>45</v>
      </c>
    </row>
    <row r="40250" ht="15.75" customHeight="1">
      <c r="A40250" s="7"/>
      <c r="B40250" s="7"/>
      <c r="M40250" s="9" t="s">
        <v>24</v>
      </c>
    </row>
    <row r="40251" ht="15.75" customHeight="1">
      <c r="A40251" s="7"/>
      <c r="B40251" s="7"/>
      <c r="M40251" s="9" t="s">
        <v>22</v>
      </c>
    </row>
    <row r="40252" ht="15.75" customHeight="1">
      <c r="A40252" s="7"/>
      <c r="B40252" s="7"/>
      <c r="M40252" s="9" t="s">
        <v>29</v>
      </c>
    </row>
    <row r="40253" ht="15.75" customHeight="1">
      <c r="A40253" s="7"/>
      <c r="B40253" s="7"/>
      <c r="M40253" s="9" t="s">
        <v>27</v>
      </c>
    </row>
    <row r="40254" ht="15.75" customHeight="1">
      <c r="A40254" s="7"/>
      <c r="B40254" s="7"/>
      <c r="M40254" s="9" t="s">
        <v>23</v>
      </c>
    </row>
    <row r="40255" ht="15.75" customHeight="1">
      <c r="A40255" s="7"/>
      <c r="B40255" s="7"/>
      <c r="M40255" s="9" t="s">
        <v>26</v>
      </c>
    </row>
    <row r="40256" ht="15.75" customHeight="1">
      <c r="A40256" s="7"/>
      <c r="B40256" s="7"/>
      <c r="M40256" s="9" t="s">
        <v>20</v>
      </c>
    </row>
    <row r="40257" ht="15.75" customHeight="1">
      <c r="A40257" s="7"/>
      <c r="B40257" s="7"/>
      <c r="M40257" s="9" t="s">
        <v>22</v>
      </c>
    </row>
    <row r="40258" ht="15.75" customHeight="1">
      <c r="A40258" s="7"/>
      <c r="B40258" s="7"/>
      <c r="M40258" s="9" t="s">
        <v>27</v>
      </c>
    </row>
    <row r="40259" ht="15.75" customHeight="1">
      <c r="A40259" s="7"/>
      <c r="B40259" s="7"/>
      <c r="M40259" s="9" t="s">
        <v>40</v>
      </c>
    </row>
    <row r="40260" ht="15.75" customHeight="1">
      <c r="A40260" s="7"/>
      <c r="B40260" s="7"/>
      <c r="M40260" s="9" t="s">
        <v>35</v>
      </c>
    </row>
    <row r="40261" ht="15.75" customHeight="1">
      <c r="A40261" s="7"/>
      <c r="B40261" s="7"/>
      <c r="M40261" s="9" t="s">
        <v>30</v>
      </c>
    </row>
    <row r="40262" ht="15.75" customHeight="1">
      <c r="A40262" s="7"/>
      <c r="B40262" s="7"/>
      <c r="M40262" s="9" t="s">
        <v>24</v>
      </c>
    </row>
    <row r="40263" ht="15.75" customHeight="1">
      <c r="A40263" s="7"/>
      <c r="B40263" s="7"/>
      <c r="M40263" s="9" t="s">
        <v>21</v>
      </c>
    </row>
    <row r="40264" ht="15.75" customHeight="1">
      <c r="A40264" s="7"/>
      <c r="B40264" s="7"/>
      <c r="M40264" s="9" t="s">
        <v>37</v>
      </c>
    </row>
    <row r="40265" ht="15.75" customHeight="1">
      <c r="A40265" s="7"/>
      <c r="B40265" s="7"/>
      <c r="M40265" s="9" t="s">
        <v>27</v>
      </c>
    </row>
    <row r="40266" ht="15.75" customHeight="1">
      <c r="A40266" s="7"/>
      <c r="B40266" s="7"/>
      <c r="M40266" s="9" t="s">
        <v>30</v>
      </c>
    </row>
    <row r="40267" ht="15.75" customHeight="1">
      <c r="A40267" s="7"/>
      <c r="B40267" s="7"/>
      <c r="M40267" s="9" t="s">
        <v>26</v>
      </c>
    </row>
    <row r="40268" ht="15.75" customHeight="1">
      <c r="A40268" s="7"/>
      <c r="B40268" s="7"/>
      <c r="M40268" s="9" t="s">
        <v>47</v>
      </c>
    </row>
    <row r="40269" ht="15.75" customHeight="1">
      <c r="A40269" s="7"/>
      <c r="B40269" s="7"/>
      <c r="M40269" s="9" t="s">
        <v>24</v>
      </c>
    </row>
    <row r="40270" ht="15.75" customHeight="1">
      <c r="A40270" s="7"/>
      <c r="B40270" s="7"/>
      <c r="M40270" s="9" t="s">
        <v>21</v>
      </c>
    </row>
    <row r="40271" ht="15.75" customHeight="1">
      <c r="A40271" s="7"/>
      <c r="B40271" s="7"/>
      <c r="M40271" s="9" t="s">
        <v>27</v>
      </c>
    </row>
    <row r="40272" ht="15.75" customHeight="1">
      <c r="A40272" s="7"/>
      <c r="B40272" s="7"/>
      <c r="M40272" s="9" t="s">
        <v>33</v>
      </c>
    </row>
    <row r="40273" ht="15.75" customHeight="1">
      <c r="A40273" s="7"/>
      <c r="B40273" s="7"/>
      <c r="M40273" s="9" t="s">
        <v>38</v>
      </c>
    </row>
    <row r="40274" ht="15.75" customHeight="1">
      <c r="A40274" s="7"/>
      <c r="B40274" s="7"/>
      <c r="M40274" s="9" t="s">
        <v>30</v>
      </c>
    </row>
    <row r="40275" ht="15.75" customHeight="1">
      <c r="A40275" s="7"/>
      <c r="B40275" s="7"/>
      <c r="M40275" s="9" t="s">
        <v>25</v>
      </c>
    </row>
    <row r="40276" ht="15.75" customHeight="1">
      <c r="A40276" s="7"/>
      <c r="B40276" s="7"/>
      <c r="M40276" s="9" t="s">
        <v>23</v>
      </c>
    </row>
    <row r="40277" ht="15.75" customHeight="1">
      <c r="A40277" s="7"/>
      <c r="B40277" s="7"/>
      <c r="M40277" s="9" t="s">
        <v>24</v>
      </c>
    </row>
    <row r="40278" ht="15.75" customHeight="1">
      <c r="A40278" s="7"/>
      <c r="B40278" s="7"/>
      <c r="M40278" s="9" t="s">
        <v>20</v>
      </c>
    </row>
    <row r="40279" ht="15.75" customHeight="1">
      <c r="A40279" s="7"/>
      <c r="B40279" s="7"/>
      <c r="M40279" s="9" t="s">
        <v>21</v>
      </c>
    </row>
    <row r="40280" ht="15.75" customHeight="1">
      <c r="A40280" s="7"/>
      <c r="B40280" s="7"/>
      <c r="M40280" s="9" t="s">
        <v>22</v>
      </c>
    </row>
    <row r="40281" ht="15.75" customHeight="1">
      <c r="A40281" s="7"/>
      <c r="B40281" s="7"/>
      <c r="M40281" s="9" t="s">
        <v>32</v>
      </c>
    </row>
    <row r="40282" ht="15.75" customHeight="1">
      <c r="A40282" s="7"/>
      <c r="B40282" s="7"/>
      <c r="M40282" s="9" t="s">
        <v>30</v>
      </c>
    </row>
    <row r="40283" ht="15.75" customHeight="1">
      <c r="A40283" s="7"/>
      <c r="B40283" s="7"/>
      <c r="M40283" s="9" t="s">
        <v>23</v>
      </c>
    </row>
    <row r="40284" ht="15.75" customHeight="1">
      <c r="A40284" s="7"/>
      <c r="B40284" s="7"/>
      <c r="M40284" s="9" t="s">
        <v>26</v>
      </c>
    </row>
    <row r="40285" ht="15.75" customHeight="1">
      <c r="A40285" s="7"/>
      <c r="B40285" s="7"/>
      <c r="M40285" s="9" t="s">
        <v>22</v>
      </c>
    </row>
    <row r="40286" ht="15.75" customHeight="1">
      <c r="A40286" s="7"/>
      <c r="B40286" s="7"/>
      <c r="M40286" s="9" t="s">
        <v>25</v>
      </c>
    </row>
    <row r="40287" ht="15.75" customHeight="1">
      <c r="A40287" s="7"/>
      <c r="B40287" s="7"/>
      <c r="M40287" s="9" t="s">
        <v>23</v>
      </c>
    </row>
    <row r="40288" ht="15.75" customHeight="1">
      <c r="A40288" s="7"/>
      <c r="B40288" s="7"/>
      <c r="M40288" s="9" t="s">
        <v>26</v>
      </c>
    </row>
    <row r="40289" ht="15.75" customHeight="1">
      <c r="A40289" s="7"/>
      <c r="B40289" s="7"/>
      <c r="M40289" s="9" t="s">
        <v>24</v>
      </c>
    </row>
    <row r="40290" ht="15.75" customHeight="1">
      <c r="A40290" s="7"/>
      <c r="B40290" s="7"/>
      <c r="M40290" s="9" t="s">
        <v>21</v>
      </c>
    </row>
    <row r="40291" ht="15.75" customHeight="1">
      <c r="A40291" s="7"/>
      <c r="B40291" s="7"/>
      <c r="M40291" s="9" t="s">
        <v>37</v>
      </c>
    </row>
    <row r="40292" ht="15.75" customHeight="1">
      <c r="A40292" s="7"/>
      <c r="B40292" s="7"/>
      <c r="M40292" s="9" t="s">
        <v>24</v>
      </c>
    </row>
    <row r="40293" ht="15.75" customHeight="1">
      <c r="A40293" s="7"/>
      <c r="B40293" s="7"/>
      <c r="M40293" s="9" t="s">
        <v>21</v>
      </c>
    </row>
    <row r="40294" ht="15.75" customHeight="1">
      <c r="A40294" s="7"/>
      <c r="B40294" s="7"/>
      <c r="M40294" s="9" t="s">
        <v>37</v>
      </c>
    </row>
    <row r="40295" ht="15.75" customHeight="1">
      <c r="A40295" s="7"/>
      <c r="B40295" s="7"/>
      <c r="M40295" s="9" t="s">
        <v>22</v>
      </c>
    </row>
    <row r="40296" ht="15.75" customHeight="1">
      <c r="A40296" s="7"/>
      <c r="B40296" s="7"/>
      <c r="M40296" s="9" t="s">
        <v>38</v>
      </c>
    </row>
    <row r="40297" ht="15.75" customHeight="1">
      <c r="A40297" s="7"/>
      <c r="B40297" s="7"/>
      <c r="M40297" s="9" t="s">
        <v>26</v>
      </c>
    </row>
    <row r="40298" ht="15.75" customHeight="1">
      <c r="A40298" s="7"/>
      <c r="B40298" s="7"/>
      <c r="M40298" s="9" t="s">
        <v>21</v>
      </c>
    </row>
    <row r="40299" ht="15.75" customHeight="1">
      <c r="A40299" s="7"/>
      <c r="B40299" s="7"/>
      <c r="M40299" s="9" t="s">
        <v>27</v>
      </c>
    </row>
    <row r="40300" ht="15.75" customHeight="1">
      <c r="A40300" s="7"/>
      <c r="B40300" s="7"/>
      <c r="M40300" s="9" t="s">
        <v>28</v>
      </c>
    </row>
    <row r="40301" ht="15.75" customHeight="1">
      <c r="A40301" s="7"/>
      <c r="B40301" s="7"/>
      <c r="M40301" s="9" t="s">
        <v>23</v>
      </c>
    </row>
    <row r="40302" ht="15.75" customHeight="1">
      <c r="A40302" s="7"/>
      <c r="B40302" s="7"/>
      <c r="M40302" s="9" t="s">
        <v>24</v>
      </c>
    </row>
    <row r="40303" ht="15.75" customHeight="1">
      <c r="A40303" s="7"/>
      <c r="B40303" s="7"/>
      <c r="M40303" s="9" t="s">
        <v>20</v>
      </c>
    </row>
    <row r="40304" ht="15.75" customHeight="1">
      <c r="A40304" s="7"/>
      <c r="B40304" s="7"/>
      <c r="M40304" s="9" t="s">
        <v>21</v>
      </c>
    </row>
    <row r="40305" ht="15.75" customHeight="1">
      <c r="A40305" s="7"/>
      <c r="B40305" s="7"/>
      <c r="M40305" s="9" t="s">
        <v>37</v>
      </c>
    </row>
    <row r="40306" ht="15.75" customHeight="1">
      <c r="A40306" s="7"/>
      <c r="B40306" s="7"/>
      <c r="M40306" s="9" t="s">
        <v>27</v>
      </c>
    </row>
    <row r="40307" ht="15.75" customHeight="1">
      <c r="A40307" s="7"/>
      <c r="B40307" s="7"/>
      <c r="M40307" s="9" t="s">
        <v>28</v>
      </c>
    </row>
    <row r="40308" ht="15.75" customHeight="1">
      <c r="A40308" s="7"/>
      <c r="B40308" s="7"/>
      <c r="M40308" s="9" t="s">
        <v>25</v>
      </c>
    </row>
    <row r="40309" ht="15.75" customHeight="1">
      <c r="A40309" s="7"/>
      <c r="B40309" s="7"/>
      <c r="M40309" s="9" t="s">
        <v>23</v>
      </c>
    </row>
    <row r="40310" ht="15.75" customHeight="1">
      <c r="A40310" s="7"/>
      <c r="B40310" s="7"/>
      <c r="M40310" s="9" t="s">
        <v>24</v>
      </c>
    </row>
    <row r="40311" ht="15.75" customHeight="1">
      <c r="A40311" s="7"/>
      <c r="B40311" s="7"/>
      <c r="M40311" s="9" t="s">
        <v>20</v>
      </c>
    </row>
    <row r="40312" ht="15.75" customHeight="1">
      <c r="A40312" s="7"/>
      <c r="B40312" s="7"/>
      <c r="M40312" s="9" t="s">
        <v>37</v>
      </c>
    </row>
    <row r="40313" ht="15.75" customHeight="1">
      <c r="A40313" s="7"/>
      <c r="B40313" s="7"/>
      <c r="M40313" s="9" t="s">
        <v>22</v>
      </c>
    </row>
    <row r="40314" ht="15.75" customHeight="1">
      <c r="A40314" s="7"/>
      <c r="B40314" s="7"/>
      <c r="M40314" s="9" t="s">
        <v>27</v>
      </c>
    </row>
    <row r="40315" ht="15.75" customHeight="1">
      <c r="A40315" s="7"/>
      <c r="B40315" s="7"/>
      <c r="M40315" s="9" t="s">
        <v>24</v>
      </c>
    </row>
    <row r="40316" ht="15.75" customHeight="1">
      <c r="A40316" s="7"/>
      <c r="B40316" s="7"/>
      <c r="M40316" s="9" t="s">
        <v>21</v>
      </c>
    </row>
    <row r="40317" ht="15.75" customHeight="1">
      <c r="A40317" s="7"/>
      <c r="B40317" s="7"/>
      <c r="M40317" s="9" t="s">
        <v>31</v>
      </c>
    </row>
    <row r="40318" ht="15.75" customHeight="1">
      <c r="A40318" s="7"/>
      <c r="B40318" s="7"/>
      <c r="M40318" s="9" t="s">
        <v>27</v>
      </c>
    </row>
    <row r="40319" ht="15.75" customHeight="1">
      <c r="A40319" s="7"/>
      <c r="B40319" s="7"/>
      <c r="M40319" s="9" t="s">
        <v>33</v>
      </c>
    </row>
    <row r="40320" ht="15.75" customHeight="1">
      <c r="A40320" s="7"/>
      <c r="B40320" s="7"/>
      <c r="M40320" s="9" t="s">
        <v>30</v>
      </c>
    </row>
    <row r="40321" ht="15.75" customHeight="1">
      <c r="A40321" s="7"/>
      <c r="B40321" s="7"/>
      <c r="M40321" s="9" t="s">
        <v>20</v>
      </c>
    </row>
    <row r="40322" ht="15.75" customHeight="1">
      <c r="A40322" s="7"/>
      <c r="B40322" s="7"/>
      <c r="M40322" s="9" t="s">
        <v>27</v>
      </c>
    </row>
    <row r="40323" ht="15.75" customHeight="1">
      <c r="A40323" s="7"/>
      <c r="B40323" s="7"/>
      <c r="M40323" s="9" t="s">
        <v>30</v>
      </c>
    </row>
    <row r="40324" ht="15.75" customHeight="1">
      <c r="A40324" s="7"/>
      <c r="B40324" s="7"/>
      <c r="M40324" s="9" t="s">
        <v>36</v>
      </c>
    </row>
    <row r="40325" ht="15.75" customHeight="1">
      <c r="A40325" s="7"/>
      <c r="B40325" s="7"/>
      <c r="M40325" s="9" t="s">
        <v>24</v>
      </c>
    </row>
    <row r="40326" ht="15.75" customHeight="1">
      <c r="A40326" s="7"/>
      <c r="B40326" s="7"/>
      <c r="M40326" s="9" t="s">
        <v>21</v>
      </c>
    </row>
    <row r="40327" ht="15.75" customHeight="1">
      <c r="A40327" s="7"/>
      <c r="B40327" s="7"/>
      <c r="M40327" s="9" t="s">
        <v>22</v>
      </c>
    </row>
    <row r="40328" ht="15.75" customHeight="1">
      <c r="A40328" s="7"/>
      <c r="B40328" s="7"/>
      <c r="M40328" s="9" t="s">
        <v>25</v>
      </c>
    </row>
    <row r="40329" ht="15.75" customHeight="1">
      <c r="A40329" s="7"/>
      <c r="B40329" s="7"/>
      <c r="M40329" s="9" t="s">
        <v>20</v>
      </c>
    </row>
    <row r="40330" ht="15.75" customHeight="1">
      <c r="A40330" s="7"/>
      <c r="B40330" s="7"/>
      <c r="M40330" s="9" t="s">
        <v>21</v>
      </c>
    </row>
    <row r="40331" ht="15.75" customHeight="1">
      <c r="A40331" s="7"/>
      <c r="B40331" s="7"/>
      <c r="M40331" s="9" t="s">
        <v>39</v>
      </c>
    </row>
    <row r="40332" ht="15.75" customHeight="1">
      <c r="A40332" s="7"/>
      <c r="B40332" s="7"/>
      <c r="M40332" s="9" t="s">
        <v>22</v>
      </c>
    </row>
    <row r="40333" ht="15.75" customHeight="1">
      <c r="A40333" s="7"/>
      <c r="B40333" s="7"/>
      <c r="M40333" s="9" t="s">
        <v>27</v>
      </c>
    </row>
    <row r="40334" ht="15.75" customHeight="1">
      <c r="A40334" s="7"/>
      <c r="B40334" s="7"/>
      <c r="M40334" s="9" t="s">
        <v>30</v>
      </c>
    </row>
    <row r="40335" ht="15.75" customHeight="1">
      <c r="A40335" s="7"/>
      <c r="B40335" s="7"/>
      <c r="M40335" s="9" t="s">
        <v>26</v>
      </c>
    </row>
    <row r="40336" ht="15.75" customHeight="1">
      <c r="A40336" s="7"/>
      <c r="B40336" s="7"/>
      <c r="M40336" s="9" t="s">
        <v>44</v>
      </c>
    </row>
    <row r="40337" ht="15.75" customHeight="1">
      <c r="A40337" s="7"/>
      <c r="B40337" s="7"/>
      <c r="M40337" s="9" t="s">
        <v>42</v>
      </c>
    </row>
    <row r="40338" ht="15.75" customHeight="1">
      <c r="A40338" s="7"/>
      <c r="B40338" s="7"/>
      <c r="M40338" s="9" t="s">
        <v>43</v>
      </c>
    </row>
    <row r="40339" ht="15.75" customHeight="1">
      <c r="A40339" s="7"/>
      <c r="B40339" s="7"/>
      <c r="M40339" s="9" t="s">
        <v>36</v>
      </c>
    </row>
    <row r="40340" ht="15.75" customHeight="1">
      <c r="A40340" s="7"/>
      <c r="B40340" s="7"/>
      <c r="M40340" s="9" t="s">
        <v>24</v>
      </c>
    </row>
    <row r="40341" ht="15.75" customHeight="1">
      <c r="A40341" s="7"/>
      <c r="B40341" s="7"/>
      <c r="M40341" s="9" t="s">
        <v>20</v>
      </c>
    </row>
    <row r="40342" ht="15.75" customHeight="1">
      <c r="A40342" s="7"/>
      <c r="B40342" s="7"/>
      <c r="M40342" s="9" t="s">
        <v>21</v>
      </c>
    </row>
    <row r="40343" ht="15.75" customHeight="1">
      <c r="A40343" s="7"/>
      <c r="B40343" s="7"/>
      <c r="M40343" s="9" t="s">
        <v>22</v>
      </c>
    </row>
    <row r="40344" ht="15.75" customHeight="1">
      <c r="A40344" s="7"/>
      <c r="B40344" s="7"/>
      <c r="M40344" s="9" t="s">
        <v>29</v>
      </c>
    </row>
    <row r="40345" ht="15.75" customHeight="1">
      <c r="A40345" s="7"/>
      <c r="B40345" s="7"/>
      <c r="M40345" s="9" t="s">
        <v>31</v>
      </c>
    </row>
    <row r="40346" ht="15.75" customHeight="1">
      <c r="A40346" s="7"/>
      <c r="B40346" s="7"/>
      <c r="M40346" s="9" t="s">
        <v>32</v>
      </c>
    </row>
    <row r="40347" ht="15.75" customHeight="1">
      <c r="A40347" s="7"/>
      <c r="B40347" s="7"/>
      <c r="M40347" s="9" t="s">
        <v>27</v>
      </c>
    </row>
    <row r="40348" ht="15.75" customHeight="1">
      <c r="A40348" s="7"/>
      <c r="B40348" s="7"/>
      <c r="M40348" s="9" t="s">
        <v>38</v>
      </c>
    </row>
    <row r="40349" ht="15.75" customHeight="1">
      <c r="A40349" s="7"/>
      <c r="B40349" s="7"/>
      <c r="M40349" s="9" t="s">
        <v>25</v>
      </c>
    </row>
    <row r="40350" ht="15.75" customHeight="1">
      <c r="A40350" s="7"/>
      <c r="B40350" s="7"/>
      <c r="M40350" s="9" t="s">
        <v>23</v>
      </c>
    </row>
    <row r="40351" ht="15.75" customHeight="1">
      <c r="A40351" s="7"/>
      <c r="B40351" s="7"/>
      <c r="M40351" s="9" t="s">
        <v>26</v>
      </c>
    </row>
    <row r="40352" ht="15.75" customHeight="1">
      <c r="A40352" s="7"/>
      <c r="B40352" s="7"/>
      <c r="M40352" s="9" t="s">
        <v>24</v>
      </c>
    </row>
    <row r="40353" ht="15.75" customHeight="1">
      <c r="A40353" s="7"/>
      <c r="B40353" s="7"/>
      <c r="M40353" s="9" t="s">
        <v>20</v>
      </c>
    </row>
    <row r="40354" ht="15.75" customHeight="1">
      <c r="A40354" s="7"/>
      <c r="B40354" s="7"/>
      <c r="M40354" s="9" t="s">
        <v>21</v>
      </c>
    </row>
    <row r="40355" ht="15.75" customHeight="1">
      <c r="A40355" s="7"/>
      <c r="B40355" s="7"/>
      <c r="M40355" s="9" t="s">
        <v>29</v>
      </c>
    </row>
    <row r="40356" ht="15.75" customHeight="1">
      <c r="A40356" s="7"/>
      <c r="B40356" s="7"/>
      <c r="M40356" s="9" t="s">
        <v>27</v>
      </c>
    </row>
    <row r="40357" ht="15.75" customHeight="1">
      <c r="A40357" s="7"/>
      <c r="B40357" s="7"/>
      <c r="M40357" s="9" t="s">
        <v>33</v>
      </c>
    </row>
    <row r="40358" ht="15.75" customHeight="1">
      <c r="A40358" s="7"/>
      <c r="B40358" s="7"/>
      <c r="M40358" s="9" t="s">
        <v>28</v>
      </c>
    </row>
    <row r="40359" ht="15.75" customHeight="1">
      <c r="A40359" s="7"/>
      <c r="B40359" s="7"/>
      <c r="M40359" s="9" t="s">
        <v>38</v>
      </c>
    </row>
    <row r="40360" ht="15.75" customHeight="1">
      <c r="A40360" s="7"/>
      <c r="B40360" s="7"/>
      <c r="M40360" s="9" t="s">
        <v>30</v>
      </c>
    </row>
    <row r="40361" ht="15.75" customHeight="1">
      <c r="A40361" s="7"/>
      <c r="B40361" s="7"/>
      <c r="M40361" s="9" t="s">
        <v>25</v>
      </c>
    </row>
    <row r="40362" ht="15.75" customHeight="1">
      <c r="A40362" s="7"/>
      <c r="B40362" s="7"/>
      <c r="M40362" s="9" t="s">
        <v>24</v>
      </c>
    </row>
    <row r="40363" ht="15.75" customHeight="1">
      <c r="A40363" s="7"/>
      <c r="B40363" s="7"/>
      <c r="M40363" s="9" t="s">
        <v>20</v>
      </c>
    </row>
    <row r="40364" ht="15.75" customHeight="1">
      <c r="A40364" s="7"/>
      <c r="B40364" s="7"/>
      <c r="M40364" s="9" t="s">
        <v>21</v>
      </c>
    </row>
    <row r="40365" ht="15.75" customHeight="1">
      <c r="A40365" s="7"/>
      <c r="B40365" s="7"/>
      <c r="M40365" s="9" t="s">
        <v>37</v>
      </c>
    </row>
    <row r="40366" ht="15.75" customHeight="1">
      <c r="A40366" s="7"/>
      <c r="B40366" s="7"/>
      <c r="M40366" s="9" t="s">
        <v>22</v>
      </c>
    </row>
    <row r="40367" ht="15.75" customHeight="1">
      <c r="A40367" s="7"/>
      <c r="B40367" s="7"/>
      <c r="M40367" s="9" t="s">
        <v>29</v>
      </c>
    </row>
    <row r="40368" ht="15.75" customHeight="1">
      <c r="A40368" s="7"/>
      <c r="B40368" s="7"/>
      <c r="M40368" s="9" t="s">
        <v>27</v>
      </c>
    </row>
    <row r="40369" ht="15.75" customHeight="1">
      <c r="A40369" s="7"/>
      <c r="B40369" s="7"/>
      <c r="M40369" s="9" t="s">
        <v>35</v>
      </c>
    </row>
    <row r="40370" ht="15.75" customHeight="1">
      <c r="A40370" s="7"/>
      <c r="B40370" s="7"/>
      <c r="M40370" s="9" t="s">
        <v>25</v>
      </c>
    </row>
    <row r="40371" ht="15.75" customHeight="1">
      <c r="A40371" s="7"/>
      <c r="B40371" s="7"/>
      <c r="M40371" s="9" t="s">
        <v>24</v>
      </c>
    </row>
    <row r="40372" ht="15.75" customHeight="1">
      <c r="A40372" s="7"/>
      <c r="B40372" s="7"/>
      <c r="M40372" s="9" t="s">
        <v>20</v>
      </c>
    </row>
    <row r="40373" ht="15.75" customHeight="1">
      <c r="A40373" s="7"/>
      <c r="B40373" s="7"/>
      <c r="M40373" s="9" t="s">
        <v>21</v>
      </c>
    </row>
    <row r="40374" ht="15.75" customHeight="1">
      <c r="A40374" s="7"/>
      <c r="B40374" s="7"/>
      <c r="M40374" s="9" t="s">
        <v>39</v>
      </c>
    </row>
    <row r="40375" ht="15.75" customHeight="1">
      <c r="A40375" s="7"/>
      <c r="B40375" s="7"/>
      <c r="M40375" s="9" t="s">
        <v>37</v>
      </c>
    </row>
    <row r="40376" ht="15.75" customHeight="1">
      <c r="A40376" s="7"/>
      <c r="B40376" s="7"/>
      <c r="M40376" s="9" t="s">
        <v>40</v>
      </c>
    </row>
    <row r="40377" ht="15.75" customHeight="1">
      <c r="A40377" s="7"/>
      <c r="B40377" s="7"/>
      <c r="M40377" s="9" t="s">
        <v>36</v>
      </c>
    </row>
    <row r="40378" ht="15.75" customHeight="1">
      <c r="A40378" s="7"/>
      <c r="B40378" s="7"/>
      <c r="M40378" s="9" t="s">
        <v>24</v>
      </c>
    </row>
    <row r="40379" ht="15.75" customHeight="1">
      <c r="A40379" s="7"/>
      <c r="B40379" s="7"/>
      <c r="M40379" s="9" t="s">
        <v>20</v>
      </c>
    </row>
    <row r="40380" ht="15.75" customHeight="1">
      <c r="A40380" s="7"/>
      <c r="B40380" s="7"/>
      <c r="M40380" s="9" t="s">
        <v>21</v>
      </c>
    </row>
    <row r="40381" ht="15.75" customHeight="1">
      <c r="A40381" s="7"/>
      <c r="B40381" s="7"/>
      <c r="M40381" s="9" t="s">
        <v>37</v>
      </c>
    </row>
    <row r="40382" ht="15.75" customHeight="1">
      <c r="A40382" s="7"/>
      <c r="B40382" s="7"/>
      <c r="M40382" s="9" t="s">
        <v>22</v>
      </c>
    </row>
    <row r="40383" ht="15.75" customHeight="1">
      <c r="A40383" s="7"/>
      <c r="B40383" s="7"/>
      <c r="M40383" s="9" t="s">
        <v>29</v>
      </c>
    </row>
    <row r="40384" ht="15.75" customHeight="1">
      <c r="A40384" s="7"/>
      <c r="B40384" s="7"/>
      <c r="M40384" s="9" t="s">
        <v>27</v>
      </c>
    </row>
    <row r="40385" ht="15.75" customHeight="1">
      <c r="A40385" s="7"/>
      <c r="B40385" s="7"/>
      <c r="M40385" s="9" t="s">
        <v>20</v>
      </c>
    </row>
    <row r="40386" ht="15.75" customHeight="1">
      <c r="A40386" s="7"/>
      <c r="B40386" s="7"/>
      <c r="M40386" s="9" t="s">
        <v>39</v>
      </c>
    </row>
    <row r="40387" ht="15.75" customHeight="1">
      <c r="A40387" s="7"/>
      <c r="B40387" s="7"/>
      <c r="M40387" s="9" t="s">
        <v>38</v>
      </c>
    </row>
    <row r="40388" ht="15.75" customHeight="1">
      <c r="A40388" s="7"/>
      <c r="B40388" s="7"/>
      <c r="M40388" s="9" t="s">
        <v>25</v>
      </c>
    </row>
    <row r="40389" ht="15.75" customHeight="1">
      <c r="A40389" s="7"/>
      <c r="B40389" s="7"/>
      <c r="M40389" s="9" t="s">
        <v>23</v>
      </c>
    </row>
    <row r="40390" ht="15.75" customHeight="1">
      <c r="A40390" s="7"/>
      <c r="B40390" s="7"/>
      <c r="M40390" s="9" t="s">
        <v>24</v>
      </c>
    </row>
    <row r="40391" ht="15.75" customHeight="1">
      <c r="A40391" s="7"/>
      <c r="B40391" s="7"/>
      <c r="M40391" s="9" t="s">
        <v>20</v>
      </c>
    </row>
    <row r="40392" ht="15.75" customHeight="1">
      <c r="A40392" s="7"/>
      <c r="B40392" s="7"/>
      <c r="M40392" s="9" t="s">
        <v>21</v>
      </c>
    </row>
    <row r="40393" ht="15.75" customHeight="1">
      <c r="A40393" s="7"/>
      <c r="B40393" s="7"/>
      <c r="M40393" s="9" t="s">
        <v>27</v>
      </c>
    </row>
    <row r="40394" ht="15.75" customHeight="1">
      <c r="A40394" s="7"/>
      <c r="B40394" s="7"/>
      <c r="M40394" s="9" t="s">
        <v>30</v>
      </c>
    </row>
    <row r="40395" ht="15.75" customHeight="1">
      <c r="A40395" s="7"/>
      <c r="B40395" s="7"/>
      <c r="M40395" s="9" t="s">
        <v>24</v>
      </c>
    </row>
    <row r="40396" ht="15.75" customHeight="1">
      <c r="A40396" s="7"/>
      <c r="B40396" s="7"/>
      <c r="M40396" s="9" t="s">
        <v>21</v>
      </c>
    </row>
    <row r="40397" ht="15.75" customHeight="1">
      <c r="A40397" s="7"/>
      <c r="B40397" s="7"/>
      <c r="M40397" s="9" t="s">
        <v>37</v>
      </c>
    </row>
    <row r="40398" ht="15.75" customHeight="1">
      <c r="A40398" s="7"/>
      <c r="B40398" s="7"/>
      <c r="M40398" s="9" t="s">
        <v>27</v>
      </c>
    </row>
    <row r="40399" ht="15.75" customHeight="1">
      <c r="A40399" s="7"/>
      <c r="B40399" s="7"/>
      <c r="M40399" s="9" t="s">
        <v>30</v>
      </c>
    </row>
    <row r="40400" ht="15.75" customHeight="1">
      <c r="A40400" s="7"/>
      <c r="B40400" s="7"/>
      <c r="M40400" s="9" t="s">
        <v>25</v>
      </c>
    </row>
    <row r="40401" ht="15.75" customHeight="1">
      <c r="A40401" s="7"/>
      <c r="B40401" s="7"/>
      <c r="M40401" s="9" t="s">
        <v>26</v>
      </c>
    </row>
    <row r="40402" ht="15.75" customHeight="1">
      <c r="A40402" s="7"/>
      <c r="B40402" s="7"/>
      <c r="M40402" s="9" t="s">
        <v>24</v>
      </c>
    </row>
    <row r="40403" ht="15.75" customHeight="1">
      <c r="A40403" s="7"/>
      <c r="B40403" s="7"/>
      <c r="M40403" s="9" t="s">
        <v>20</v>
      </c>
    </row>
    <row r="40404" ht="15.75" customHeight="1">
      <c r="A40404" s="7"/>
      <c r="B40404" s="7"/>
      <c r="M40404" s="9" t="s">
        <v>21</v>
      </c>
    </row>
    <row r="40405" ht="15.75" customHeight="1">
      <c r="A40405" s="7"/>
      <c r="B40405" s="7"/>
      <c r="M40405" s="9" t="s">
        <v>37</v>
      </c>
    </row>
    <row r="40406" ht="15.75" customHeight="1">
      <c r="A40406" s="7"/>
      <c r="B40406" s="7"/>
      <c r="M40406" s="9" t="s">
        <v>27</v>
      </c>
    </row>
    <row r="40407" ht="15.75" customHeight="1">
      <c r="A40407" s="7"/>
      <c r="B40407" s="7"/>
      <c r="M40407" s="9" t="s">
        <v>33</v>
      </c>
    </row>
    <row r="40408" ht="15.75" customHeight="1">
      <c r="A40408" s="7"/>
      <c r="B40408" s="7"/>
      <c r="M40408" s="9" t="s">
        <v>24</v>
      </c>
    </row>
    <row r="40409" ht="15.75" customHeight="1">
      <c r="A40409" s="7"/>
      <c r="B40409" s="7"/>
      <c r="M40409" s="9" t="s">
        <v>37</v>
      </c>
    </row>
    <row r="40410" ht="15.75" customHeight="1">
      <c r="A40410" s="7"/>
      <c r="B40410" s="7"/>
      <c r="M40410" s="9" t="s">
        <v>30</v>
      </c>
    </row>
    <row r="40411" ht="15.75" customHeight="1">
      <c r="A40411" s="7"/>
      <c r="B40411" s="7"/>
      <c r="M40411" s="9" t="s">
        <v>26</v>
      </c>
    </row>
    <row r="40412" ht="15.75" customHeight="1">
      <c r="A40412" s="7"/>
      <c r="B40412" s="7"/>
      <c r="M40412" s="9" t="s">
        <v>24</v>
      </c>
    </row>
    <row r="40413" ht="15.75" customHeight="1">
      <c r="A40413" s="7"/>
      <c r="B40413" s="7"/>
      <c r="M40413" s="9" t="s">
        <v>20</v>
      </c>
    </row>
    <row r="40414" ht="15.75" customHeight="1">
      <c r="A40414" s="7"/>
      <c r="B40414" s="7"/>
      <c r="M40414" s="9" t="s">
        <v>21</v>
      </c>
    </row>
    <row r="40415" ht="15.75" customHeight="1">
      <c r="A40415" s="7"/>
      <c r="B40415" s="7"/>
      <c r="M40415" s="9" t="s">
        <v>29</v>
      </c>
    </row>
    <row r="40416" ht="15.75" customHeight="1">
      <c r="A40416" s="7"/>
      <c r="B40416" s="7"/>
      <c r="M40416" s="9" t="s">
        <v>27</v>
      </c>
    </row>
    <row r="40417" ht="15.75" customHeight="1">
      <c r="A40417" s="7"/>
      <c r="B40417" s="7"/>
      <c r="M40417" s="9" t="s">
        <v>22</v>
      </c>
    </row>
    <row r="40418" ht="15.75" customHeight="1">
      <c r="A40418" s="7"/>
      <c r="B40418" s="7"/>
      <c r="M40418" s="9" t="s">
        <v>46</v>
      </c>
    </row>
    <row r="40419" ht="15.75" customHeight="1">
      <c r="A40419" s="7"/>
      <c r="B40419" s="7"/>
      <c r="M40419" s="9" t="s">
        <v>27</v>
      </c>
    </row>
    <row r="40420" ht="15.75" customHeight="1">
      <c r="A40420" s="7"/>
      <c r="B40420" s="7"/>
      <c r="M40420" s="9" t="s">
        <v>30</v>
      </c>
    </row>
    <row r="40421" ht="15.75" customHeight="1">
      <c r="A40421" s="7"/>
      <c r="B40421" s="7"/>
      <c r="M40421" s="9" t="s">
        <v>26</v>
      </c>
    </row>
    <row r="40422" ht="15.75" customHeight="1">
      <c r="A40422" s="7"/>
      <c r="B40422" s="7"/>
      <c r="M40422" s="9" t="s">
        <v>24</v>
      </c>
    </row>
    <row r="40423" ht="15.75" customHeight="1">
      <c r="A40423" s="7"/>
      <c r="B40423" s="7"/>
      <c r="M40423" s="9" t="s">
        <v>21</v>
      </c>
    </row>
    <row r="40424" ht="15.75" customHeight="1">
      <c r="A40424" s="7"/>
      <c r="B40424" s="7"/>
      <c r="M40424" s="9" t="s">
        <v>27</v>
      </c>
    </row>
    <row r="40425" ht="15.75" customHeight="1">
      <c r="A40425" s="7"/>
      <c r="B40425" s="7"/>
      <c r="M40425" s="9" t="s">
        <v>33</v>
      </c>
    </row>
    <row r="40426" ht="15.75" customHeight="1">
      <c r="A40426" s="7"/>
      <c r="B40426" s="7"/>
      <c r="M40426" s="9" t="s">
        <v>28</v>
      </c>
    </row>
    <row r="40427" ht="15.75" customHeight="1">
      <c r="A40427" s="7"/>
      <c r="B40427" s="7"/>
      <c r="M40427" s="9" t="s">
        <v>20</v>
      </c>
    </row>
    <row r="40428" ht="15.75" customHeight="1">
      <c r="A40428" s="7"/>
      <c r="B40428" s="7"/>
      <c r="M40428" s="9" t="s">
        <v>39</v>
      </c>
    </row>
    <row r="40429" ht="15.75" customHeight="1">
      <c r="A40429" s="7"/>
      <c r="B40429" s="7"/>
      <c r="M40429" s="9" t="s">
        <v>27</v>
      </c>
    </row>
    <row r="40430" ht="15.75" customHeight="1">
      <c r="A40430" s="7"/>
      <c r="B40430" s="7"/>
      <c r="M40430" s="9" t="s">
        <v>26</v>
      </c>
    </row>
    <row r="40431" ht="15.75" customHeight="1">
      <c r="A40431" s="7"/>
      <c r="B40431" s="7"/>
      <c r="M40431" s="9" t="s">
        <v>24</v>
      </c>
    </row>
    <row r="40432" ht="15.75" customHeight="1">
      <c r="A40432" s="7"/>
      <c r="B40432" s="7"/>
      <c r="M40432" s="9" t="s">
        <v>20</v>
      </c>
    </row>
    <row r="40433" ht="15.75" customHeight="1">
      <c r="A40433" s="7"/>
      <c r="B40433" s="7"/>
      <c r="M40433" s="9" t="s">
        <v>21</v>
      </c>
    </row>
    <row r="40434" ht="15.75" customHeight="1">
      <c r="A40434" s="7"/>
      <c r="B40434" s="7"/>
      <c r="M40434" s="9" t="s">
        <v>39</v>
      </c>
    </row>
    <row r="40435" ht="15.75" customHeight="1">
      <c r="A40435" s="7"/>
      <c r="B40435" s="7"/>
      <c r="M40435" s="9" t="s">
        <v>27</v>
      </c>
    </row>
    <row r="40436" ht="15.75" customHeight="1">
      <c r="A40436" s="7"/>
      <c r="B40436" s="7"/>
      <c r="M40436" s="9" t="s">
        <v>30</v>
      </c>
    </row>
    <row r="40437" ht="15.75" customHeight="1">
      <c r="A40437" s="7"/>
      <c r="B40437" s="7"/>
      <c r="M40437" s="9" t="s">
        <v>23</v>
      </c>
    </row>
    <row r="40438" ht="15.75" customHeight="1">
      <c r="A40438" s="7"/>
      <c r="B40438" s="7"/>
      <c r="M40438" s="9" t="s">
        <v>22</v>
      </c>
    </row>
    <row r="40439" ht="15.75" customHeight="1">
      <c r="A40439" s="7"/>
      <c r="B40439" s="7"/>
      <c r="M40439" s="9" t="s">
        <v>27</v>
      </c>
    </row>
    <row r="40440" ht="15.75" customHeight="1">
      <c r="A40440" s="7"/>
      <c r="B40440" s="7"/>
      <c r="M40440" s="9" t="s">
        <v>30</v>
      </c>
    </row>
    <row r="40441" ht="15.75" customHeight="1">
      <c r="A40441" s="7"/>
      <c r="B40441" s="7"/>
      <c r="M40441" s="9" t="s">
        <v>36</v>
      </c>
    </row>
    <row r="40442" ht="15.75" customHeight="1">
      <c r="A40442" s="7"/>
      <c r="B40442" s="7"/>
      <c r="M40442" s="9" t="s">
        <v>24</v>
      </c>
    </row>
    <row r="40443" ht="15.75" customHeight="1">
      <c r="A40443" s="7"/>
      <c r="B40443" s="7"/>
      <c r="M40443" s="9" t="s">
        <v>22</v>
      </c>
    </row>
    <row r="40444" ht="15.75" customHeight="1">
      <c r="A40444" s="7"/>
      <c r="B40444" s="7"/>
      <c r="M40444" s="9" t="s">
        <v>27</v>
      </c>
    </row>
    <row r="40445" ht="15.75" customHeight="1">
      <c r="A40445" s="7"/>
      <c r="B40445" s="7"/>
      <c r="M40445" s="9" t="s">
        <v>30</v>
      </c>
    </row>
    <row r="40446" ht="15.75" customHeight="1">
      <c r="A40446" s="7"/>
      <c r="B40446" s="7"/>
      <c r="M40446" s="9" t="s">
        <v>36</v>
      </c>
    </row>
    <row r="40447" ht="15.75" customHeight="1">
      <c r="A40447" s="7"/>
      <c r="B40447" s="7"/>
      <c r="M40447" s="9" t="s">
        <v>22</v>
      </c>
    </row>
    <row r="40448" ht="15.75" customHeight="1">
      <c r="A40448" s="7"/>
      <c r="B40448" s="7"/>
      <c r="M40448" s="9" t="s">
        <v>29</v>
      </c>
    </row>
    <row r="40449" ht="15.75" customHeight="1">
      <c r="A40449" s="7"/>
      <c r="B40449" s="7"/>
      <c r="M40449" s="9" t="s">
        <v>27</v>
      </c>
    </row>
    <row r="40450" ht="15.75" customHeight="1">
      <c r="A40450" s="7"/>
      <c r="B40450" s="7"/>
      <c r="M40450" s="9" t="s">
        <v>30</v>
      </c>
    </row>
    <row r="40451" ht="15.75" customHeight="1">
      <c r="A40451" s="7"/>
      <c r="B40451" s="7"/>
      <c r="M40451" s="9" t="s">
        <v>25</v>
      </c>
    </row>
    <row r="40452" ht="15.75" customHeight="1">
      <c r="A40452" s="7"/>
      <c r="B40452" s="7"/>
      <c r="M40452" s="9" t="s">
        <v>23</v>
      </c>
    </row>
    <row r="40453" ht="15.75" customHeight="1">
      <c r="A40453" s="7"/>
      <c r="B40453" s="7"/>
      <c r="M40453" s="9" t="s">
        <v>24</v>
      </c>
    </row>
    <row r="40454" ht="15.75" customHeight="1">
      <c r="A40454" s="7"/>
      <c r="B40454" s="7"/>
      <c r="M40454" s="9" t="s">
        <v>21</v>
      </c>
    </row>
    <row r="40455" ht="15.75" customHeight="1">
      <c r="A40455" s="7"/>
      <c r="B40455" s="7"/>
      <c r="M40455" s="9" t="s">
        <v>22</v>
      </c>
    </row>
    <row r="40456" ht="15.75" customHeight="1">
      <c r="A40456" s="7"/>
      <c r="B40456" s="7"/>
      <c r="M40456" s="9" t="s">
        <v>29</v>
      </c>
    </row>
    <row r="40457" ht="15.75" customHeight="1">
      <c r="A40457" s="7"/>
      <c r="B40457" s="7"/>
      <c r="M40457" s="9" t="s">
        <v>31</v>
      </c>
    </row>
    <row r="40458" ht="15.75" customHeight="1">
      <c r="A40458" s="7"/>
      <c r="B40458" s="7"/>
      <c r="M40458" s="9" t="s">
        <v>27</v>
      </c>
    </row>
    <row r="40459" ht="15.75" customHeight="1">
      <c r="A40459" s="7"/>
      <c r="B40459" s="7"/>
      <c r="M40459" s="9" t="s">
        <v>22</v>
      </c>
    </row>
    <row r="40460" ht="15.75" customHeight="1">
      <c r="A40460" s="7"/>
      <c r="B40460" s="7"/>
      <c r="M40460" s="9" t="s">
        <v>24</v>
      </c>
    </row>
    <row r="40461" ht="15.75" customHeight="1">
      <c r="A40461" s="7"/>
      <c r="B40461" s="7"/>
      <c r="M40461" s="9" t="s">
        <v>21</v>
      </c>
    </row>
    <row r="40462" ht="15.75" customHeight="1">
      <c r="A40462" s="7"/>
      <c r="B40462" s="7"/>
      <c r="M40462" s="9" t="s">
        <v>25</v>
      </c>
    </row>
    <row r="40463" ht="15.75" customHeight="1">
      <c r="A40463" s="7"/>
      <c r="B40463" s="7"/>
      <c r="M40463" s="9" t="s">
        <v>24</v>
      </c>
    </row>
    <row r="40464" ht="15.75" customHeight="1">
      <c r="A40464" s="7"/>
      <c r="B40464" s="7"/>
      <c r="M40464" s="9" t="s">
        <v>20</v>
      </c>
    </row>
    <row r="40465" ht="15.75" customHeight="1">
      <c r="A40465" s="7"/>
      <c r="B40465" s="7"/>
      <c r="M40465" s="9" t="s">
        <v>21</v>
      </c>
    </row>
    <row r="40466" ht="15.75" customHeight="1">
      <c r="A40466" s="7"/>
      <c r="B40466" s="7"/>
      <c r="M40466" s="9" t="s">
        <v>41</v>
      </c>
    </row>
    <row r="40467" ht="15.75" customHeight="1">
      <c r="A40467" s="7"/>
      <c r="B40467" s="7"/>
      <c r="M40467" s="9" t="s">
        <v>37</v>
      </c>
    </row>
    <row r="40468" ht="15.75" customHeight="1">
      <c r="A40468" s="7"/>
      <c r="B40468" s="7"/>
      <c r="M40468" s="9" t="s">
        <v>22</v>
      </c>
    </row>
    <row r="40469" ht="15.75" customHeight="1">
      <c r="A40469" s="7"/>
      <c r="B40469" s="7"/>
      <c r="M40469" s="9" t="s">
        <v>29</v>
      </c>
    </row>
    <row r="40470" ht="15.75" customHeight="1">
      <c r="A40470" s="7"/>
      <c r="B40470" s="7"/>
      <c r="M40470" s="9" t="s">
        <v>27</v>
      </c>
    </row>
    <row r="40471" ht="15.75" customHeight="1">
      <c r="A40471" s="7"/>
      <c r="B40471" s="7"/>
      <c r="M40471" s="9" t="s">
        <v>28</v>
      </c>
    </row>
    <row r="40472" ht="15.75" customHeight="1">
      <c r="A40472" s="7"/>
      <c r="B40472" s="7"/>
      <c r="M40472" s="9" t="s">
        <v>47</v>
      </c>
    </row>
    <row r="40473" ht="15.75" customHeight="1">
      <c r="A40473" s="7"/>
      <c r="B40473" s="7"/>
      <c r="M40473" s="9" t="s">
        <v>20</v>
      </c>
    </row>
    <row r="40474" ht="15.75" customHeight="1">
      <c r="A40474" s="7"/>
      <c r="B40474" s="7"/>
      <c r="M40474" s="9" t="s">
        <v>39</v>
      </c>
    </row>
    <row r="40475" ht="15.75" customHeight="1">
      <c r="A40475" s="7"/>
      <c r="B40475" s="7"/>
      <c r="M40475" s="9" t="s">
        <v>26</v>
      </c>
    </row>
    <row r="40476" ht="15.75" customHeight="1">
      <c r="A40476" s="7"/>
      <c r="B40476" s="7"/>
      <c r="M40476" s="9" t="s">
        <v>45</v>
      </c>
    </row>
    <row r="40477" ht="15.75" customHeight="1">
      <c r="A40477" s="7"/>
      <c r="B40477" s="7"/>
      <c r="M40477" s="9" t="s">
        <v>30</v>
      </c>
    </row>
    <row r="40478" ht="15.75" customHeight="1">
      <c r="A40478" s="7"/>
      <c r="B40478" s="7"/>
      <c r="M40478" s="9" t="s">
        <v>24</v>
      </c>
    </row>
    <row r="40479" ht="15.75" customHeight="1">
      <c r="A40479" s="7"/>
      <c r="B40479" s="7"/>
      <c r="M40479" s="9" t="s">
        <v>21</v>
      </c>
    </row>
    <row r="40480" ht="15.75" customHeight="1">
      <c r="A40480" s="7"/>
      <c r="B40480" s="7"/>
      <c r="M40480" s="9" t="s">
        <v>22</v>
      </c>
    </row>
    <row r="40481" ht="15.75" customHeight="1">
      <c r="A40481" s="7"/>
      <c r="B40481" s="7"/>
      <c r="M40481" s="9" t="s">
        <v>27</v>
      </c>
    </row>
    <row r="40482" ht="15.75" customHeight="1">
      <c r="A40482" s="7"/>
      <c r="B40482" s="7"/>
      <c r="M40482" s="9" t="s">
        <v>33</v>
      </c>
    </row>
    <row r="40483" ht="15.75" customHeight="1">
      <c r="A40483" s="7"/>
      <c r="B40483" s="7"/>
      <c r="M40483" s="9" t="s">
        <v>30</v>
      </c>
    </row>
    <row r="40484" ht="15.75" customHeight="1">
      <c r="A40484" s="7"/>
      <c r="B40484" s="7"/>
      <c r="M40484" s="9" t="s">
        <v>24</v>
      </c>
    </row>
    <row r="40485" ht="15.75" customHeight="1">
      <c r="A40485" s="7"/>
      <c r="B40485" s="7"/>
      <c r="M40485" s="9" t="s">
        <v>22</v>
      </c>
    </row>
    <row r="40486" ht="15.75" customHeight="1">
      <c r="A40486" s="7"/>
      <c r="B40486" s="7"/>
      <c r="M40486" s="9" t="s">
        <v>27</v>
      </c>
    </row>
    <row r="40487" ht="15.75" customHeight="1">
      <c r="A40487" s="7"/>
      <c r="B40487" s="7"/>
      <c r="M40487" s="9" t="s">
        <v>30</v>
      </c>
    </row>
    <row r="40488" ht="15.75" customHeight="1">
      <c r="A40488" s="7"/>
      <c r="B40488" s="7"/>
      <c r="M40488" s="9" t="s">
        <v>24</v>
      </c>
    </row>
    <row r="40489" ht="15.75" customHeight="1">
      <c r="A40489" s="7"/>
      <c r="B40489" s="7"/>
      <c r="M40489" s="9" t="s">
        <v>20</v>
      </c>
    </row>
    <row r="40490" ht="15.75" customHeight="1">
      <c r="A40490" s="7"/>
      <c r="B40490" s="7"/>
      <c r="M40490" s="9" t="s">
        <v>21</v>
      </c>
    </row>
    <row r="40491" ht="15.75" customHeight="1">
      <c r="A40491" s="7"/>
      <c r="B40491" s="7"/>
      <c r="M40491" s="9" t="s">
        <v>22</v>
      </c>
    </row>
    <row r="40492" ht="15.75" customHeight="1">
      <c r="A40492" s="7"/>
      <c r="B40492" s="7"/>
      <c r="M40492" s="9" t="s">
        <v>27</v>
      </c>
    </row>
    <row r="40493" ht="15.75" customHeight="1">
      <c r="A40493" s="7"/>
      <c r="B40493" s="7"/>
      <c r="M40493" s="9" t="s">
        <v>33</v>
      </c>
    </row>
    <row r="40494" ht="15.75" customHeight="1">
      <c r="A40494" s="7"/>
      <c r="B40494" s="7"/>
      <c r="M40494" s="9" t="s">
        <v>35</v>
      </c>
    </row>
    <row r="40495" ht="15.75" customHeight="1">
      <c r="A40495" s="7"/>
      <c r="B40495" s="7"/>
      <c r="M40495" s="9" t="s">
        <v>24</v>
      </c>
    </row>
    <row r="40496" ht="15.75" customHeight="1">
      <c r="A40496" s="7"/>
      <c r="B40496" s="7"/>
      <c r="M40496" s="9" t="s">
        <v>22</v>
      </c>
    </row>
    <row r="40497" ht="15.75" customHeight="1">
      <c r="A40497" s="7"/>
      <c r="B40497" s="7"/>
      <c r="M40497" s="9" t="s">
        <v>30</v>
      </c>
    </row>
    <row r="40498" ht="15.75" customHeight="1">
      <c r="A40498" s="7"/>
      <c r="B40498" s="7"/>
      <c r="M40498" s="9" t="s">
        <v>25</v>
      </c>
    </row>
    <row r="40499" ht="15.75" customHeight="1">
      <c r="A40499" s="7"/>
      <c r="B40499" s="7"/>
      <c r="M40499" s="9" t="s">
        <v>23</v>
      </c>
    </row>
    <row r="40500" ht="15.75" customHeight="1">
      <c r="A40500" s="7"/>
      <c r="B40500" s="7"/>
      <c r="M40500" s="9" t="s">
        <v>26</v>
      </c>
    </row>
    <row r="40501" ht="15.75" customHeight="1">
      <c r="A40501" s="7"/>
      <c r="B40501" s="7"/>
      <c r="M40501" s="9" t="s">
        <v>42</v>
      </c>
    </row>
    <row r="40502" ht="15.75" customHeight="1">
      <c r="A40502" s="7"/>
      <c r="B40502" s="7"/>
      <c r="M40502" s="9" t="s">
        <v>36</v>
      </c>
    </row>
    <row r="40503" ht="15.75" customHeight="1">
      <c r="A40503" s="7"/>
      <c r="B40503" s="7"/>
      <c r="M40503" s="9" t="s">
        <v>24</v>
      </c>
    </row>
    <row r="40504" ht="15.75" customHeight="1">
      <c r="A40504" s="7"/>
      <c r="B40504" s="7"/>
      <c r="M40504" s="9" t="s">
        <v>21</v>
      </c>
    </row>
    <row r="40505" ht="15.75" customHeight="1">
      <c r="A40505" s="7"/>
      <c r="B40505" s="7"/>
      <c r="M40505" s="9" t="s">
        <v>37</v>
      </c>
    </row>
    <row r="40506" ht="15.75" customHeight="1">
      <c r="A40506" s="7"/>
      <c r="B40506" s="7"/>
      <c r="M40506" s="9" t="s">
        <v>22</v>
      </c>
    </row>
    <row r="40507" ht="15.75" customHeight="1">
      <c r="A40507" s="7"/>
      <c r="B40507" s="7"/>
      <c r="M40507" s="9" t="s">
        <v>32</v>
      </c>
    </row>
    <row r="40508" ht="15.75" customHeight="1">
      <c r="A40508" s="7"/>
      <c r="B40508" s="7"/>
      <c r="M40508" s="9" t="s">
        <v>27</v>
      </c>
    </row>
    <row r="40509" ht="15.75" customHeight="1">
      <c r="A40509" s="7"/>
      <c r="B40509" s="7"/>
      <c r="M40509" s="9" t="s">
        <v>35</v>
      </c>
    </row>
    <row r="40510" ht="15.75" customHeight="1">
      <c r="A40510" s="7"/>
      <c r="B40510" s="7"/>
      <c r="M40510" s="9" t="s">
        <v>24</v>
      </c>
    </row>
    <row r="40511" ht="15.75" customHeight="1">
      <c r="A40511" s="7"/>
      <c r="B40511" s="7"/>
      <c r="M40511" s="9" t="s">
        <v>21</v>
      </c>
    </row>
    <row r="40512" ht="15.75" customHeight="1">
      <c r="A40512" s="7"/>
      <c r="B40512" s="7"/>
      <c r="M40512" s="9" t="s">
        <v>22</v>
      </c>
    </row>
    <row r="40513" ht="15.75" customHeight="1">
      <c r="A40513" s="7"/>
      <c r="B40513" s="7"/>
      <c r="M40513" s="9" t="s">
        <v>27</v>
      </c>
    </row>
    <row r="40514" ht="15.75" customHeight="1">
      <c r="A40514" s="7"/>
      <c r="B40514" s="7"/>
      <c r="M40514" s="9" t="s">
        <v>30</v>
      </c>
    </row>
    <row r="40515" ht="15.75" customHeight="1">
      <c r="A40515" s="7"/>
      <c r="B40515" s="7"/>
      <c r="M40515" s="9" t="s">
        <v>25</v>
      </c>
    </row>
    <row r="40516" ht="15.75" customHeight="1">
      <c r="A40516" s="7"/>
      <c r="B40516" s="7"/>
      <c r="M40516" s="9" t="s">
        <v>23</v>
      </c>
    </row>
    <row r="40517" ht="15.75" customHeight="1">
      <c r="A40517" s="7"/>
      <c r="B40517" s="7"/>
      <c r="M40517" s="9" t="s">
        <v>26</v>
      </c>
    </row>
    <row r="40518" ht="15.75" customHeight="1">
      <c r="A40518" s="7"/>
      <c r="B40518" s="7"/>
      <c r="M40518" s="9" t="s">
        <v>47</v>
      </c>
    </row>
    <row r="40519" ht="15.75" customHeight="1">
      <c r="A40519" s="7"/>
      <c r="B40519" s="7"/>
      <c r="M40519" s="9" t="s">
        <v>24</v>
      </c>
    </row>
    <row r="40520" ht="15.75" customHeight="1">
      <c r="A40520" s="7"/>
      <c r="B40520" s="7"/>
      <c r="M40520" s="9" t="s">
        <v>21</v>
      </c>
    </row>
    <row r="40521" ht="15.75" customHeight="1">
      <c r="A40521" s="7"/>
      <c r="B40521" s="7"/>
      <c r="M40521" s="9" t="s">
        <v>22</v>
      </c>
    </row>
    <row r="40522" ht="15.75" customHeight="1">
      <c r="A40522" s="7"/>
      <c r="B40522" s="7"/>
      <c r="M40522" s="9" t="s">
        <v>29</v>
      </c>
    </row>
    <row r="40523" ht="15.75" customHeight="1">
      <c r="A40523" s="7"/>
      <c r="B40523" s="7"/>
      <c r="M40523" s="9" t="s">
        <v>33</v>
      </c>
    </row>
    <row r="40524" ht="15.75" customHeight="1">
      <c r="A40524" s="7"/>
      <c r="B40524" s="7"/>
      <c r="M40524" s="9" t="s">
        <v>35</v>
      </c>
    </row>
    <row r="40525" ht="15.75" customHeight="1">
      <c r="A40525" s="7"/>
      <c r="B40525" s="7"/>
      <c r="M40525" s="9" t="s">
        <v>30</v>
      </c>
    </row>
    <row r="40526" ht="15.75" customHeight="1">
      <c r="A40526" s="7"/>
      <c r="B40526" s="7"/>
      <c r="M40526" s="9" t="s">
        <v>26</v>
      </c>
    </row>
    <row r="40527" ht="15.75" customHeight="1">
      <c r="A40527" s="7"/>
      <c r="B40527" s="7"/>
      <c r="M40527" s="9" t="s">
        <v>24</v>
      </c>
    </row>
    <row r="40528" ht="15.75" customHeight="1">
      <c r="A40528" s="7"/>
      <c r="B40528" s="7"/>
      <c r="M40528" s="9" t="s">
        <v>21</v>
      </c>
    </row>
    <row r="40529" ht="15.75" customHeight="1">
      <c r="A40529" s="7"/>
      <c r="B40529" s="7"/>
      <c r="M40529" s="9" t="s">
        <v>37</v>
      </c>
    </row>
    <row r="40530" ht="15.75" customHeight="1">
      <c r="A40530" s="7"/>
      <c r="B40530" s="7"/>
      <c r="M40530" s="9" t="s">
        <v>27</v>
      </c>
    </row>
    <row r="40531" ht="15.75" customHeight="1">
      <c r="A40531" s="7"/>
      <c r="B40531" s="7"/>
      <c r="M40531" s="9" t="s">
        <v>21</v>
      </c>
    </row>
    <row r="40532" ht="15.75" customHeight="1">
      <c r="A40532" s="7"/>
      <c r="B40532" s="7"/>
      <c r="M40532" s="9" t="s">
        <v>22</v>
      </c>
    </row>
    <row r="40533" ht="15.75" customHeight="1">
      <c r="A40533" s="7"/>
      <c r="B40533" s="7"/>
      <c r="M40533" s="9" t="s">
        <v>38</v>
      </c>
    </row>
    <row r="40534" ht="15.75" customHeight="1">
      <c r="A40534" s="7"/>
      <c r="B40534" s="7"/>
      <c r="M40534" s="9" t="s">
        <v>30</v>
      </c>
    </row>
    <row r="40535" ht="15.75" customHeight="1">
      <c r="A40535" s="7"/>
      <c r="B40535" s="7"/>
      <c r="M40535" s="9" t="s">
        <v>25</v>
      </c>
    </row>
    <row r="40536" ht="15.75" customHeight="1">
      <c r="A40536" s="7"/>
      <c r="B40536" s="7"/>
      <c r="M40536" s="9" t="s">
        <v>23</v>
      </c>
    </row>
    <row r="40537" ht="15.75" customHeight="1">
      <c r="A40537" s="7"/>
      <c r="B40537" s="7"/>
      <c r="M40537" s="9" t="s">
        <v>20</v>
      </c>
    </row>
    <row r="40538" ht="15.75" customHeight="1">
      <c r="A40538" s="7"/>
      <c r="B40538" s="7"/>
      <c r="M40538" s="9" t="s">
        <v>22</v>
      </c>
    </row>
    <row r="40539" ht="15.75" customHeight="1">
      <c r="A40539" s="7"/>
      <c r="B40539" s="7"/>
      <c r="M40539" s="9" t="s">
        <v>35</v>
      </c>
    </row>
    <row r="40540" ht="15.75" customHeight="1">
      <c r="A40540" s="7"/>
      <c r="B40540" s="7"/>
      <c r="M40540" s="9" t="s">
        <v>38</v>
      </c>
    </row>
    <row r="40541" ht="15.75" customHeight="1">
      <c r="A40541" s="7"/>
      <c r="B40541" s="7"/>
      <c r="M40541" s="9" t="s">
        <v>23</v>
      </c>
    </row>
    <row r="40542" ht="15.75" customHeight="1">
      <c r="A40542" s="7"/>
      <c r="B40542" s="7"/>
      <c r="M40542" s="9" t="s">
        <v>36</v>
      </c>
    </row>
    <row r="40543" ht="15.75" customHeight="1">
      <c r="A40543" s="7"/>
      <c r="B40543" s="7"/>
      <c r="M40543" s="9" t="s">
        <v>22</v>
      </c>
    </row>
    <row r="40544" ht="15.75" customHeight="1">
      <c r="A40544" s="7"/>
      <c r="B40544" s="7"/>
      <c r="M40544" s="9" t="s">
        <v>27</v>
      </c>
    </row>
    <row r="40545" ht="15.75" customHeight="1">
      <c r="A40545" s="7"/>
      <c r="B40545" s="7"/>
      <c r="M40545" s="9" t="s">
        <v>40</v>
      </c>
    </row>
    <row r="40546" ht="15.75" customHeight="1">
      <c r="A40546" s="7"/>
      <c r="B40546" s="7"/>
      <c r="M40546" s="9" t="s">
        <v>33</v>
      </c>
    </row>
    <row r="40547" ht="15.75" customHeight="1">
      <c r="A40547" s="7"/>
      <c r="B40547" s="7"/>
      <c r="M40547" s="9" t="s">
        <v>34</v>
      </c>
    </row>
    <row r="40548" ht="15.75" customHeight="1">
      <c r="A40548" s="7"/>
      <c r="B40548" s="7"/>
      <c r="M40548" s="9" t="s">
        <v>38</v>
      </c>
    </row>
    <row r="40549" ht="15.75" customHeight="1">
      <c r="A40549" s="7"/>
      <c r="B40549" s="7"/>
      <c r="M40549" s="9" t="s">
        <v>25</v>
      </c>
    </row>
    <row r="40550" ht="15.75" customHeight="1">
      <c r="A40550" s="7"/>
      <c r="B40550" s="7"/>
      <c r="M40550" s="9" t="s">
        <v>23</v>
      </c>
    </row>
    <row r="40551" ht="15.75" customHeight="1">
      <c r="A40551" s="7"/>
      <c r="B40551" s="7"/>
      <c r="M40551" s="9" t="s">
        <v>26</v>
      </c>
    </row>
    <row r="40552" ht="15.75" customHeight="1">
      <c r="A40552" s="7"/>
      <c r="B40552" s="7"/>
      <c r="M40552" s="9" t="s">
        <v>24</v>
      </c>
    </row>
    <row r="40553" ht="15.75" customHeight="1">
      <c r="A40553" s="7"/>
      <c r="B40553" s="7"/>
      <c r="M40553" s="9" t="s">
        <v>20</v>
      </c>
    </row>
    <row r="40554" ht="15.75" customHeight="1">
      <c r="A40554" s="7"/>
      <c r="B40554" s="7"/>
      <c r="M40554" s="9" t="s">
        <v>21</v>
      </c>
    </row>
    <row r="40555" ht="15.75" customHeight="1">
      <c r="A40555" s="7"/>
      <c r="B40555" s="7"/>
      <c r="M40555" s="9" t="s">
        <v>41</v>
      </c>
    </row>
    <row r="40556" ht="15.75" customHeight="1">
      <c r="A40556" s="7"/>
      <c r="B40556" s="7"/>
      <c r="M40556" s="9" t="s">
        <v>37</v>
      </c>
    </row>
    <row r="40557" ht="15.75" customHeight="1">
      <c r="A40557" s="7"/>
      <c r="B40557" s="7"/>
      <c r="M40557" s="9" t="s">
        <v>22</v>
      </c>
    </row>
    <row r="40558" ht="15.75" customHeight="1">
      <c r="A40558" s="7"/>
      <c r="B40558" s="7"/>
      <c r="M40558" s="9" t="s">
        <v>32</v>
      </c>
    </row>
    <row r="40559" ht="15.75" customHeight="1">
      <c r="A40559" s="7"/>
      <c r="B40559" s="7"/>
      <c r="M40559" s="9" t="s">
        <v>27</v>
      </c>
    </row>
    <row r="40560" ht="15.75" customHeight="1">
      <c r="A40560" s="7"/>
      <c r="B40560" s="7"/>
      <c r="M40560" s="9" t="s">
        <v>24</v>
      </c>
    </row>
    <row r="40561" ht="15.75" customHeight="1">
      <c r="A40561" s="7"/>
      <c r="B40561" s="7"/>
      <c r="M40561" s="9" t="s">
        <v>21</v>
      </c>
    </row>
    <row r="40562" ht="15.75" customHeight="1">
      <c r="A40562" s="7"/>
      <c r="B40562" s="7"/>
      <c r="M40562" s="9" t="s">
        <v>37</v>
      </c>
    </row>
    <row r="40563" ht="15.75" customHeight="1">
      <c r="A40563" s="7"/>
      <c r="B40563" s="7"/>
      <c r="M40563" s="9" t="s">
        <v>27</v>
      </c>
    </row>
    <row r="40564" ht="15.75" customHeight="1">
      <c r="A40564" s="7"/>
      <c r="B40564" s="7"/>
      <c r="M40564" s="9" t="s">
        <v>23</v>
      </c>
    </row>
    <row r="40565" ht="15.75" customHeight="1">
      <c r="A40565" s="7"/>
      <c r="B40565" s="7"/>
      <c r="M40565" s="9" t="s">
        <v>24</v>
      </c>
    </row>
    <row r="40566" ht="15.75" customHeight="1">
      <c r="A40566" s="7"/>
      <c r="B40566" s="7"/>
      <c r="M40566" s="9" t="s">
        <v>21</v>
      </c>
    </row>
    <row r="40567" ht="15.75" customHeight="1">
      <c r="A40567" s="7"/>
      <c r="B40567" s="7"/>
      <c r="M40567" s="9" t="s">
        <v>30</v>
      </c>
    </row>
    <row r="40568" ht="15.75" customHeight="1">
      <c r="A40568" s="7"/>
      <c r="B40568" s="7"/>
      <c r="M40568" s="9" t="s">
        <v>25</v>
      </c>
    </row>
    <row r="40569" ht="15.75" customHeight="1">
      <c r="A40569" s="7"/>
      <c r="B40569" s="7"/>
      <c r="M40569" s="9" t="s">
        <v>23</v>
      </c>
    </row>
    <row r="40570" ht="15.75" customHeight="1">
      <c r="A40570" s="7"/>
      <c r="B40570" s="7"/>
      <c r="M40570" s="9" t="s">
        <v>24</v>
      </c>
    </row>
    <row r="40571" ht="15.75" customHeight="1">
      <c r="A40571" s="7"/>
      <c r="B40571" s="7"/>
      <c r="M40571" s="9" t="s">
        <v>20</v>
      </c>
    </row>
    <row r="40572" ht="15.75" customHeight="1">
      <c r="A40572" s="7"/>
      <c r="B40572" s="7"/>
      <c r="M40572" s="9" t="s">
        <v>21</v>
      </c>
    </row>
    <row r="40573" ht="15.75" customHeight="1">
      <c r="A40573" s="7"/>
      <c r="B40573" s="7"/>
      <c r="M40573" s="9" t="s">
        <v>37</v>
      </c>
    </row>
    <row r="40574" ht="15.75" customHeight="1">
      <c r="A40574" s="7"/>
      <c r="B40574" s="7"/>
      <c r="M40574" s="9" t="s">
        <v>22</v>
      </c>
    </row>
    <row r="40575" ht="15.75" customHeight="1">
      <c r="A40575" s="7"/>
      <c r="B40575" s="7"/>
      <c r="M40575" s="9" t="s">
        <v>27</v>
      </c>
    </row>
    <row r="40576" ht="15.75" customHeight="1">
      <c r="A40576" s="7"/>
      <c r="B40576" s="7"/>
      <c r="M40576" s="9" t="s">
        <v>21</v>
      </c>
    </row>
    <row r="40577" ht="15.75" customHeight="1">
      <c r="A40577" s="7"/>
      <c r="B40577" s="7"/>
      <c r="M40577" s="9" t="s">
        <v>37</v>
      </c>
    </row>
    <row r="40578" ht="15.75" customHeight="1">
      <c r="A40578" s="7"/>
      <c r="B40578" s="7"/>
      <c r="M40578" s="9" t="s">
        <v>27</v>
      </c>
    </row>
    <row r="40579" ht="15.75" customHeight="1">
      <c r="A40579" s="7"/>
      <c r="B40579" s="7"/>
      <c r="M40579" s="9" t="s">
        <v>30</v>
      </c>
    </row>
    <row r="40580" ht="15.75" customHeight="1">
      <c r="A40580" s="7"/>
      <c r="B40580" s="7"/>
      <c r="M40580" s="9" t="s">
        <v>23</v>
      </c>
    </row>
    <row r="40581" ht="15.75" customHeight="1">
      <c r="A40581" s="7"/>
      <c r="B40581" s="7"/>
      <c r="M40581" s="9" t="s">
        <v>24</v>
      </c>
    </row>
    <row r="40582" ht="15.75" customHeight="1">
      <c r="A40582" s="7"/>
      <c r="B40582" s="7"/>
      <c r="M40582" s="9" t="s">
        <v>21</v>
      </c>
    </row>
    <row r="40583" ht="15.75" customHeight="1">
      <c r="A40583" s="7"/>
      <c r="B40583" s="7"/>
      <c r="M40583" s="9" t="s">
        <v>37</v>
      </c>
    </row>
    <row r="40584" ht="15.75" customHeight="1">
      <c r="A40584" s="7"/>
      <c r="B40584" s="7"/>
      <c r="M40584" s="9" t="s">
        <v>25</v>
      </c>
    </row>
    <row r="40585" ht="15.75" customHeight="1">
      <c r="A40585" s="7"/>
      <c r="B40585" s="7"/>
      <c r="M40585" s="9" t="s">
        <v>23</v>
      </c>
    </row>
    <row r="40586" ht="15.75" customHeight="1">
      <c r="A40586" s="7"/>
      <c r="B40586" s="7"/>
      <c r="M40586" s="9" t="s">
        <v>26</v>
      </c>
    </row>
    <row r="40587" ht="15.75" customHeight="1">
      <c r="A40587" s="7"/>
      <c r="B40587" s="7"/>
      <c r="M40587" s="9" t="s">
        <v>24</v>
      </c>
    </row>
    <row r="40588" ht="15.75" customHeight="1">
      <c r="A40588" s="7"/>
      <c r="B40588" s="7"/>
      <c r="M40588" s="9" t="s">
        <v>20</v>
      </c>
    </row>
    <row r="40589" ht="15.75" customHeight="1">
      <c r="A40589" s="7"/>
      <c r="B40589" s="7"/>
      <c r="M40589" s="9" t="s">
        <v>21</v>
      </c>
    </row>
    <row r="40590" ht="15.75" customHeight="1">
      <c r="A40590" s="7"/>
      <c r="B40590" s="7"/>
      <c r="M40590" s="9" t="s">
        <v>22</v>
      </c>
    </row>
    <row r="40591" ht="15.75" customHeight="1">
      <c r="A40591" s="7"/>
      <c r="B40591" s="7"/>
      <c r="M40591" s="9" t="s">
        <v>27</v>
      </c>
    </row>
    <row r="40592" ht="15.75" customHeight="1">
      <c r="A40592" s="7"/>
      <c r="B40592" s="7"/>
      <c r="M40592" s="9" t="s">
        <v>35</v>
      </c>
    </row>
    <row r="40593" ht="15.75" customHeight="1">
      <c r="A40593" s="7"/>
      <c r="B40593" s="7"/>
      <c r="M40593" s="9" t="s">
        <v>26</v>
      </c>
    </row>
    <row r="40594" ht="15.75" customHeight="1">
      <c r="A40594" s="7"/>
      <c r="B40594" s="7"/>
      <c r="M40594" s="9" t="s">
        <v>22</v>
      </c>
    </row>
    <row r="40595" ht="15.75" customHeight="1">
      <c r="A40595" s="7"/>
      <c r="B40595" s="7"/>
      <c r="M40595" s="9" t="s">
        <v>27</v>
      </c>
    </row>
    <row r="40596" ht="15.75" customHeight="1">
      <c r="A40596" s="7"/>
      <c r="B40596" s="7"/>
      <c r="M40596" s="9" t="s">
        <v>30</v>
      </c>
    </row>
    <row r="40597" ht="15.75" customHeight="1">
      <c r="A40597" s="7"/>
      <c r="B40597" s="7"/>
      <c r="M40597" s="9" t="s">
        <v>23</v>
      </c>
    </row>
    <row r="40598" ht="15.75" customHeight="1">
      <c r="A40598" s="7"/>
      <c r="B40598" s="7"/>
      <c r="M40598" s="9" t="s">
        <v>20</v>
      </c>
    </row>
    <row r="40599" ht="15.75" customHeight="1">
      <c r="A40599" s="7"/>
      <c r="B40599" s="7"/>
      <c r="M40599" s="9" t="s">
        <v>22</v>
      </c>
    </row>
    <row r="40600" ht="15.75" customHeight="1">
      <c r="A40600" s="7"/>
      <c r="B40600" s="7"/>
      <c r="M40600" s="9" t="s">
        <v>30</v>
      </c>
    </row>
    <row r="40601" ht="15.75" customHeight="1">
      <c r="A40601" s="7"/>
      <c r="B40601" s="7"/>
      <c r="M40601" s="9" t="s">
        <v>26</v>
      </c>
    </row>
    <row r="40602" ht="15.75" customHeight="1">
      <c r="A40602" s="7"/>
      <c r="B40602" s="7"/>
      <c r="M40602" s="9" t="s">
        <v>24</v>
      </c>
    </row>
    <row r="40603" ht="15.75" customHeight="1">
      <c r="A40603" s="7"/>
      <c r="B40603" s="7"/>
      <c r="M40603" s="9" t="s">
        <v>20</v>
      </c>
    </row>
    <row r="40604" ht="15.75" customHeight="1">
      <c r="A40604" s="7"/>
      <c r="B40604" s="7"/>
      <c r="M40604" s="9" t="s">
        <v>21</v>
      </c>
    </row>
    <row r="40605" ht="15.75" customHeight="1">
      <c r="A40605" s="7"/>
      <c r="B40605" s="7"/>
      <c r="M40605" s="9" t="s">
        <v>37</v>
      </c>
    </row>
    <row r="40606" ht="15.75" customHeight="1">
      <c r="A40606" s="7"/>
      <c r="B40606" s="7"/>
      <c r="M40606" s="9" t="s">
        <v>27</v>
      </c>
    </row>
    <row r="40607" ht="15.75" customHeight="1">
      <c r="A40607" s="7"/>
      <c r="B40607" s="7"/>
      <c r="M40607" s="9" t="s">
        <v>38</v>
      </c>
    </row>
    <row r="40608" ht="15.75" customHeight="1">
      <c r="A40608" s="7"/>
      <c r="B40608" s="7"/>
      <c r="M40608" s="9" t="s">
        <v>25</v>
      </c>
    </row>
    <row r="40609" ht="15.75" customHeight="1">
      <c r="A40609" s="7"/>
      <c r="B40609" s="7"/>
      <c r="M40609" s="9" t="s">
        <v>23</v>
      </c>
    </row>
    <row r="40610" ht="15.75" customHeight="1">
      <c r="A40610" s="7"/>
      <c r="B40610" s="7"/>
      <c r="M40610" s="9" t="s">
        <v>24</v>
      </c>
    </row>
    <row r="40611" ht="15.75" customHeight="1">
      <c r="A40611" s="7"/>
      <c r="B40611" s="7"/>
      <c r="M40611" s="9" t="s">
        <v>37</v>
      </c>
    </row>
    <row r="40612" ht="15.75" customHeight="1">
      <c r="A40612" s="7"/>
      <c r="B40612" s="7"/>
      <c r="M40612" s="9" t="s">
        <v>22</v>
      </c>
    </row>
    <row r="40613" ht="15.75" customHeight="1">
      <c r="A40613" s="7"/>
      <c r="B40613" s="7"/>
      <c r="M40613" s="9" t="s">
        <v>27</v>
      </c>
    </row>
    <row r="40614" ht="15.75" customHeight="1">
      <c r="A40614" s="7"/>
      <c r="B40614" s="7"/>
      <c r="M40614" s="9" t="s">
        <v>35</v>
      </c>
    </row>
    <row r="40615" ht="15.75" customHeight="1">
      <c r="A40615" s="7"/>
      <c r="B40615" s="7"/>
      <c r="M40615" s="9" t="s">
        <v>26</v>
      </c>
    </row>
    <row r="40616" ht="15.75" customHeight="1">
      <c r="A40616" s="7"/>
      <c r="B40616" s="7"/>
      <c r="M40616" s="9" t="s">
        <v>20</v>
      </c>
    </row>
    <row r="40617" ht="15.75" customHeight="1">
      <c r="A40617" s="7"/>
      <c r="B40617" s="7"/>
      <c r="M40617" s="9" t="s">
        <v>27</v>
      </c>
    </row>
    <row r="40618" ht="15.75" customHeight="1">
      <c r="A40618" s="7"/>
      <c r="B40618" s="7"/>
      <c r="M40618" s="9" t="s">
        <v>28</v>
      </c>
    </row>
    <row r="40619" ht="15.75" customHeight="1">
      <c r="A40619" s="7"/>
      <c r="B40619" s="7"/>
      <c r="M40619" s="9" t="s">
        <v>30</v>
      </c>
    </row>
    <row r="40620" ht="15.75" customHeight="1">
      <c r="A40620" s="7"/>
      <c r="B40620" s="7"/>
      <c r="M40620" s="9" t="s">
        <v>47</v>
      </c>
    </row>
    <row r="40621" ht="15.75" customHeight="1">
      <c r="A40621" s="7"/>
      <c r="B40621" s="7"/>
      <c r="M40621" s="9" t="s">
        <v>36</v>
      </c>
    </row>
    <row r="40622" ht="15.75" customHeight="1">
      <c r="A40622" s="7"/>
      <c r="B40622" s="7"/>
      <c r="M40622" s="9" t="s">
        <v>24</v>
      </c>
    </row>
    <row r="40623" ht="15.75" customHeight="1">
      <c r="A40623" s="7"/>
      <c r="B40623" s="7"/>
      <c r="M40623" s="9" t="s">
        <v>21</v>
      </c>
    </row>
    <row r="40624" ht="15.75" customHeight="1">
      <c r="A40624" s="7"/>
      <c r="B40624" s="7"/>
      <c r="M40624" s="9" t="s">
        <v>22</v>
      </c>
    </row>
    <row r="40625" ht="15.75" customHeight="1">
      <c r="A40625" s="7"/>
      <c r="B40625" s="7"/>
      <c r="M40625" s="9" t="s">
        <v>31</v>
      </c>
    </row>
    <row r="40626" ht="15.75" customHeight="1">
      <c r="A40626" s="7"/>
      <c r="B40626" s="7"/>
      <c r="M40626" s="9" t="s">
        <v>27</v>
      </c>
    </row>
    <row r="40627" ht="15.75" customHeight="1">
      <c r="A40627" s="7"/>
      <c r="B40627" s="7"/>
      <c r="M40627" s="9" t="s">
        <v>33</v>
      </c>
    </row>
    <row r="40628" ht="15.75" customHeight="1">
      <c r="A40628" s="7"/>
      <c r="B40628" s="7"/>
      <c r="M40628" s="9" t="s">
        <v>26</v>
      </c>
    </row>
    <row r="40629" ht="15.75" customHeight="1">
      <c r="A40629" s="7"/>
      <c r="B40629" s="7"/>
      <c r="M40629" s="9" t="s">
        <v>24</v>
      </c>
    </row>
    <row r="40630" ht="15.75" customHeight="1">
      <c r="A40630" s="7"/>
      <c r="B40630" s="7"/>
      <c r="M40630" s="9" t="s">
        <v>21</v>
      </c>
    </row>
    <row r="40631" ht="15.75" customHeight="1">
      <c r="A40631" s="7"/>
      <c r="B40631" s="7"/>
      <c r="M40631" s="9" t="s">
        <v>27</v>
      </c>
    </row>
    <row r="40632" ht="15.75" customHeight="1">
      <c r="A40632" s="7"/>
      <c r="B40632" s="7"/>
      <c r="M40632" s="9" t="s">
        <v>33</v>
      </c>
    </row>
    <row r="40633" ht="15.75" customHeight="1">
      <c r="A40633" s="7"/>
      <c r="B40633" s="7"/>
      <c r="M40633" s="9" t="s">
        <v>25</v>
      </c>
    </row>
    <row r="40634" ht="15.75" customHeight="1">
      <c r="A40634" s="7"/>
      <c r="B40634" s="7"/>
      <c r="M40634" s="9" t="s">
        <v>23</v>
      </c>
    </row>
    <row r="40635" ht="15.75" customHeight="1">
      <c r="A40635" s="7"/>
      <c r="B40635" s="7"/>
      <c r="M40635" s="9" t="s">
        <v>26</v>
      </c>
    </row>
    <row r="40636" ht="15.75" customHeight="1">
      <c r="A40636" s="7"/>
      <c r="B40636" s="7"/>
      <c r="M40636" s="9" t="s">
        <v>24</v>
      </c>
    </row>
    <row r="40637" ht="15.75" customHeight="1">
      <c r="A40637" s="7"/>
      <c r="B40637" s="7"/>
      <c r="M40637" s="9" t="s">
        <v>21</v>
      </c>
    </row>
    <row r="40638" ht="15.75" customHeight="1">
      <c r="A40638" s="7"/>
      <c r="B40638" s="7"/>
      <c r="M40638" s="9" t="s">
        <v>22</v>
      </c>
    </row>
    <row r="40639" ht="15.75" customHeight="1">
      <c r="A40639" s="7"/>
      <c r="B40639" s="7"/>
      <c r="M40639" s="9" t="s">
        <v>24</v>
      </c>
    </row>
    <row r="40640" ht="15.75" customHeight="1">
      <c r="A40640" s="7"/>
      <c r="B40640" s="7"/>
      <c r="M40640" s="9" t="s">
        <v>20</v>
      </c>
    </row>
    <row r="40641" ht="15.75" customHeight="1">
      <c r="A40641" s="7"/>
      <c r="B40641" s="7"/>
      <c r="M40641" s="9" t="s">
        <v>21</v>
      </c>
    </row>
    <row r="40642" ht="15.75" customHeight="1">
      <c r="A40642" s="7"/>
      <c r="B40642" s="7"/>
      <c r="M40642" s="9" t="s">
        <v>31</v>
      </c>
    </row>
    <row r="40643" ht="15.75" customHeight="1">
      <c r="A40643" s="7"/>
      <c r="B40643" s="7"/>
      <c r="M40643" s="9" t="s">
        <v>33</v>
      </c>
    </row>
    <row r="40644" ht="15.75" customHeight="1">
      <c r="A40644" s="7"/>
      <c r="B40644" s="7"/>
      <c r="M40644" s="9" t="s">
        <v>24</v>
      </c>
    </row>
    <row r="40645" ht="15.75" customHeight="1">
      <c r="A40645" s="7"/>
      <c r="B40645" s="7"/>
      <c r="M40645" s="9" t="s">
        <v>21</v>
      </c>
    </row>
    <row r="40646" ht="15.75" customHeight="1">
      <c r="A40646" s="7"/>
      <c r="B40646" s="7"/>
      <c r="M40646" s="9" t="s">
        <v>25</v>
      </c>
    </row>
    <row r="40647" ht="15.75" customHeight="1">
      <c r="A40647" s="7"/>
      <c r="B40647" s="7"/>
      <c r="M40647" s="9" t="s">
        <v>24</v>
      </c>
    </row>
    <row r="40648" ht="15.75" customHeight="1">
      <c r="A40648" s="7"/>
      <c r="B40648" s="7"/>
      <c r="M40648" s="9" t="s">
        <v>22</v>
      </c>
    </row>
    <row r="40649" ht="15.75" customHeight="1">
      <c r="A40649" s="7"/>
      <c r="B40649" s="7"/>
      <c r="M40649" s="9" t="s">
        <v>29</v>
      </c>
    </row>
    <row r="40650" ht="15.75" customHeight="1">
      <c r="A40650" s="7"/>
      <c r="B40650" s="7"/>
      <c r="M40650" s="9" t="s">
        <v>38</v>
      </c>
    </row>
    <row r="40651" ht="15.75" customHeight="1">
      <c r="A40651" s="7"/>
      <c r="B40651" s="7"/>
      <c r="M40651" s="9" t="s">
        <v>30</v>
      </c>
    </row>
    <row r="40652" ht="15.75" customHeight="1">
      <c r="A40652" s="7"/>
      <c r="B40652" s="7"/>
      <c r="M40652" s="9" t="s">
        <v>25</v>
      </c>
    </row>
    <row r="40653" ht="15.75" customHeight="1">
      <c r="A40653" s="7"/>
      <c r="B40653" s="7"/>
      <c r="M40653" s="9" t="s">
        <v>24</v>
      </c>
    </row>
    <row r="40654" ht="15.75" customHeight="1">
      <c r="A40654" s="7"/>
      <c r="B40654" s="7"/>
      <c r="M40654" s="9" t="s">
        <v>20</v>
      </c>
    </row>
    <row r="40655" ht="15.75" customHeight="1">
      <c r="A40655" s="7"/>
      <c r="B40655" s="7"/>
      <c r="M40655" s="9" t="s">
        <v>37</v>
      </c>
    </row>
    <row r="40656" ht="15.75" customHeight="1">
      <c r="A40656" s="7"/>
      <c r="B40656" s="7"/>
      <c r="M40656" s="9" t="s">
        <v>27</v>
      </c>
    </row>
    <row r="40657" ht="15.75" customHeight="1">
      <c r="A40657" s="7"/>
      <c r="B40657" s="7"/>
      <c r="M40657" s="9" t="s">
        <v>20</v>
      </c>
    </row>
    <row r="40658" ht="15.75" customHeight="1">
      <c r="A40658" s="7"/>
      <c r="B40658" s="7"/>
      <c r="M40658" s="9" t="s">
        <v>21</v>
      </c>
    </row>
    <row r="40659" ht="15.75" customHeight="1">
      <c r="A40659" s="7"/>
      <c r="B40659" s="7"/>
      <c r="M40659" s="9" t="s">
        <v>33</v>
      </c>
    </row>
    <row r="40660" ht="15.75" customHeight="1">
      <c r="A40660" s="7"/>
      <c r="B40660" s="7"/>
      <c r="M40660" s="9" t="s">
        <v>26</v>
      </c>
    </row>
    <row r="40661" ht="15.75" customHeight="1">
      <c r="A40661" s="7"/>
      <c r="B40661" s="7"/>
      <c r="M40661" s="9" t="s">
        <v>24</v>
      </c>
    </row>
    <row r="40662" ht="15.75" customHeight="1">
      <c r="A40662" s="7"/>
      <c r="B40662" s="7"/>
      <c r="M40662" s="9" t="s">
        <v>21</v>
      </c>
    </row>
    <row r="40663" ht="15.75" customHeight="1">
      <c r="A40663" s="7"/>
      <c r="B40663" s="7"/>
      <c r="M40663" s="9" t="s">
        <v>37</v>
      </c>
    </row>
    <row r="40664" ht="15.75" customHeight="1">
      <c r="A40664" s="7"/>
      <c r="B40664" s="7"/>
      <c r="M40664" s="9" t="s">
        <v>22</v>
      </c>
    </row>
    <row r="40665" ht="15.75" customHeight="1">
      <c r="A40665" s="7"/>
      <c r="B40665" s="7"/>
      <c r="M40665" s="9" t="s">
        <v>30</v>
      </c>
    </row>
    <row r="40666" ht="15.75" customHeight="1">
      <c r="A40666" s="7"/>
      <c r="B40666" s="7"/>
      <c r="M40666" s="9" t="s">
        <v>26</v>
      </c>
    </row>
    <row r="40667" ht="15.75" customHeight="1">
      <c r="A40667" s="7"/>
      <c r="B40667" s="7"/>
      <c r="M40667" s="9" t="s">
        <v>24</v>
      </c>
    </row>
    <row r="40668" ht="15.75" customHeight="1">
      <c r="A40668" s="7"/>
      <c r="B40668" s="7"/>
      <c r="M40668" s="9" t="s">
        <v>21</v>
      </c>
    </row>
    <row r="40669" ht="15.75" customHeight="1">
      <c r="A40669" s="7"/>
      <c r="B40669" s="7"/>
      <c r="M40669" s="9" t="s">
        <v>27</v>
      </c>
    </row>
    <row r="40670" ht="15.75" customHeight="1">
      <c r="A40670" s="7"/>
      <c r="B40670" s="7"/>
      <c r="M40670" s="9" t="s">
        <v>33</v>
      </c>
    </row>
    <row r="40671" ht="15.75" customHeight="1">
      <c r="A40671" s="7"/>
      <c r="B40671" s="7"/>
      <c r="M40671" s="9" t="s">
        <v>30</v>
      </c>
    </row>
    <row r="40672" ht="15.75" customHeight="1">
      <c r="A40672" s="7"/>
      <c r="B40672" s="7"/>
      <c r="M40672" s="9" t="s">
        <v>24</v>
      </c>
    </row>
    <row r="40673" ht="15.75" customHeight="1">
      <c r="A40673" s="7"/>
      <c r="B40673" s="7"/>
      <c r="M40673" s="9" t="s">
        <v>20</v>
      </c>
    </row>
    <row r="40674" ht="15.75" customHeight="1">
      <c r="A40674" s="7"/>
      <c r="B40674" s="7"/>
      <c r="M40674" s="9" t="s">
        <v>21</v>
      </c>
    </row>
    <row r="40675" ht="15.75" customHeight="1">
      <c r="A40675" s="7"/>
      <c r="B40675" s="7"/>
      <c r="M40675" s="9" t="s">
        <v>22</v>
      </c>
    </row>
    <row r="40676" ht="15.75" customHeight="1">
      <c r="A40676" s="7"/>
      <c r="B40676" s="7"/>
      <c r="M40676" s="9" t="s">
        <v>27</v>
      </c>
    </row>
    <row r="40677" ht="15.75" customHeight="1">
      <c r="A40677" s="7"/>
      <c r="B40677" s="7"/>
      <c r="M40677" s="9" t="s">
        <v>30</v>
      </c>
    </row>
    <row r="40678" ht="15.75" customHeight="1">
      <c r="A40678" s="7"/>
      <c r="B40678" s="7"/>
      <c r="M40678" s="9" t="s">
        <v>25</v>
      </c>
    </row>
    <row r="40679" ht="15.75" customHeight="1">
      <c r="A40679" s="7"/>
      <c r="B40679" s="7"/>
      <c r="M40679" s="9" t="s">
        <v>23</v>
      </c>
    </row>
    <row r="40680" ht="15.75" customHeight="1">
      <c r="A40680" s="7"/>
      <c r="B40680" s="7"/>
      <c r="M40680" s="9" t="s">
        <v>24</v>
      </c>
    </row>
    <row r="40681" ht="15.75" customHeight="1">
      <c r="A40681" s="7"/>
      <c r="B40681" s="7"/>
      <c r="M40681" s="9" t="s">
        <v>22</v>
      </c>
    </row>
    <row r="40682" ht="15.75" customHeight="1">
      <c r="A40682" s="7"/>
      <c r="B40682" s="7"/>
      <c r="M40682" s="9" t="s">
        <v>24</v>
      </c>
    </row>
    <row r="40683" ht="15.75" customHeight="1">
      <c r="A40683" s="7"/>
      <c r="B40683" s="7"/>
      <c r="M40683" s="9" t="s">
        <v>31</v>
      </c>
    </row>
    <row r="40684" ht="15.75" customHeight="1">
      <c r="A40684" s="7"/>
      <c r="B40684" s="7"/>
      <c r="M40684" s="9" t="s">
        <v>27</v>
      </c>
    </row>
    <row r="40685" ht="15.75" customHeight="1">
      <c r="A40685" s="7"/>
      <c r="B40685" s="7"/>
      <c r="M40685" s="9" t="s">
        <v>24</v>
      </c>
    </row>
    <row r="40686" ht="15.75" customHeight="1">
      <c r="A40686" s="7"/>
      <c r="B40686" s="7"/>
      <c r="M40686" s="9" t="s">
        <v>20</v>
      </c>
    </row>
    <row r="40687" ht="15.75" customHeight="1">
      <c r="A40687" s="7"/>
      <c r="B40687" s="7"/>
      <c r="M40687" s="9" t="s">
        <v>37</v>
      </c>
    </row>
    <row r="40688" ht="15.75" customHeight="1">
      <c r="A40688" s="7"/>
      <c r="B40688" s="7"/>
      <c r="M40688" s="9" t="s">
        <v>27</v>
      </c>
    </row>
    <row r="40689" ht="15.75" customHeight="1">
      <c r="A40689" s="7"/>
      <c r="B40689" s="7"/>
      <c r="M40689" s="9" t="s">
        <v>25</v>
      </c>
    </row>
    <row r="40690" ht="15.75" customHeight="1">
      <c r="A40690" s="7"/>
      <c r="B40690" s="7"/>
      <c r="M40690" s="9" t="s">
        <v>20</v>
      </c>
    </row>
    <row r="40691" ht="15.75" customHeight="1">
      <c r="A40691" s="7"/>
      <c r="B40691" s="7"/>
      <c r="M40691" s="9" t="s">
        <v>24</v>
      </c>
    </row>
    <row r="40692" ht="15.75" customHeight="1">
      <c r="A40692" s="7"/>
      <c r="B40692" s="7"/>
      <c r="M40692" s="9" t="s">
        <v>21</v>
      </c>
    </row>
    <row r="40693" ht="15.75" customHeight="1">
      <c r="A40693" s="7"/>
      <c r="B40693" s="7"/>
      <c r="M40693" s="9" t="s">
        <v>37</v>
      </c>
    </row>
    <row r="40694" ht="15.75" customHeight="1">
      <c r="A40694" s="7"/>
      <c r="B40694" s="7"/>
      <c r="M40694" s="9" t="s">
        <v>27</v>
      </c>
    </row>
    <row r="40695" ht="15.75" customHeight="1">
      <c r="A40695" s="7"/>
      <c r="B40695" s="7"/>
      <c r="M40695" s="9" t="s">
        <v>20</v>
      </c>
    </row>
    <row r="40696" ht="15.75" customHeight="1">
      <c r="A40696" s="7"/>
      <c r="B40696" s="7"/>
      <c r="M40696" s="9" t="s">
        <v>27</v>
      </c>
    </row>
    <row r="40697" ht="15.75" customHeight="1">
      <c r="A40697" s="7"/>
      <c r="B40697" s="7"/>
      <c r="M40697" s="9" t="s">
        <v>38</v>
      </c>
    </row>
    <row r="40698" ht="15.75" customHeight="1">
      <c r="A40698" s="7"/>
      <c r="B40698" s="7"/>
      <c r="M40698" s="9" t="s">
        <v>30</v>
      </c>
    </row>
    <row r="40699" ht="15.75" customHeight="1">
      <c r="A40699" s="7"/>
      <c r="B40699" s="7"/>
      <c r="M40699" s="9" t="s">
        <v>25</v>
      </c>
    </row>
    <row r="40700" ht="15.75" customHeight="1">
      <c r="A40700" s="7"/>
      <c r="B40700" s="7"/>
      <c r="M40700" s="9" t="s">
        <v>23</v>
      </c>
    </row>
    <row r="40701" ht="15.75" customHeight="1">
      <c r="A40701" s="7"/>
      <c r="B40701" s="7"/>
      <c r="M40701" s="9" t="s">
        <v>26</v>
      </c>
    </row>
    <row r="40702" ht="15.75" customHeight="1">
      <c r="A40702" s="7"/>
      <c r="B40702" s="7"/>
      <c r="M40702" s="9" t="s">
        <v>24</v>
      </c>
    </row>
    <row r="40703" ht="15.75" customHeight="1">
      <c r="A40703" s="7"/>
      <c r="B40703" s="7"/>
      <c r="M40703" s="9" t="s">
        <v>20</v>
      </c>
    </row>
    <row r="40704" ht="15.75" customHeight="1">
      <c r="A40704" s="7"/>
      <c r="B40704" s="7"/>
      <c r="M40704" s="9" t="s">
        <v>21</v>
      </c>
    </row>
    <row r="40705" ht="15.75" customHeight="1">
      <c r="A40705" s="7"/>
      <c r="B40705" s="7"/>
      <c r="M40705" s="9" t="s">
        <v>37</v>
      </c>
    </row>
    <row r="40706" ht="15.75" customHeight="1">
      <c r="A40706" s="7"/>
      <c r="B40706" s="7"/>
      <c r="M40706" s="9" t="s">
        <v>27</v>
      </c>
    </row>
    <row r="40707" ht="15.75" customHeight="1">
      <c r="A40707" s="7"/>
      <c r="B40707" s="7"/>
      <c r="M40707" s="9" t="s">
        <v>33</v>
      </c>
    </row>
    <row r="40708" ht="15.75" customHeight="1">
      <c r="A40708" s="7"/>
      <c r="B40708" s="7"/>
      <c r="M40708" s="9" t="s">
        <v>28</v>
      </c>
    </row>
    <row r="40709" ht="15.75" customHeight="1">
      <c r="A40709" s="7"/>
      <c r="B40709" s="7"/>
      <c r="M40709" s="9" t="s">
        <v>21</v>
      </c>
    </row>
    <row r="40710" ht="15.75" customHeight="1">
      <c r="A40710" s="7"/>
      <c r="B40710" s="7"/>
      <c r="M40710" s="9" t="s">
        <v>22</v>
      </c>
    </row>
    <row r="40711" ht="15.75" customHeight="1">
      <c r="A40711" s="7"/>
      <c r="B40711" s="7"/>
      <c r="M40711" s="9" t="s">
        <v>31</v>
      </c>
    </row>
    <row r="40712" ht="15.75" customHeight="1">
      <c r="A40712" s="7"/>
      <c r="B40712" s="7"/>
      <c r="M40712" s="9" t="s">
        <v>21</v>
      </c>
    </row>
    <row r="40713" ht="15.75" customHeight="1">
      <c r="A40713" s="7"/>
      <c r="B40713" s="7"/>
      <c r="M40713" s="9" t="s">
        <v>22</v>
      </c>
    </row>
    <row r="40714" ht="15.75" customHeight="1">
      <c r="A40714" s="7"/>
      <c r="B40714" s="7"/>
      <c r="M40714" s="9" t="s">
        <v>20</v>
      </c>
    </row>
    <row r="40715" ht="15.75" customHeight="1">
      <c r="A40715" s="7"/>
      <c r="B40715" s="7"/>
      <c r="M40715" s="9" t="s">
        <v>30</v>
      </c>
    </row>
    <row r="40716" ht="15.75" customHeight="1">
      <c r="A40716" s="7"/>
      <c r="B40716" s="7"/>
      <c r="M40716" s="9" t="s">
        <v>25</v>
      </c>
    </row>
    <row r="40717" ht="15.75" customHeight="1">
      <c r="A40717" s="7"/>
      <c r="B40717" s="7"/>
      <c r="M40717" s="9" t="s">
        <v>20</v>
      </c>
    </row>
    <row r="40718" ht="15.75" customHeight="1">
      <c r="A40718" s="7"/>
      <c r="B40718" s="7"/>
      <c r="M40718" s="9" t="s">
        <v>22</v>
      </c>
    </row>
    <row r="40719" ht="15.75" customHeight="1">
      <c r="A40719" s="7"/>
      <c r="B40719" s="7"/>
      <c r="M40719" s="9" t="s">
        <v>40</v>
      </c>
    </row>
    <row r="40720" ht="15.75" customHeight="1">
      <c r="A40720" s="7"/>
      <c r="B40720" s="7"/>
      <c r="M40720" s="9" t="s">
        <v>35</v>
      </c>
    </row>
    <row r="40721" ht="15.75" customHeight="1">
      <c r="A40721" s="7"/>
      <c r="B40721" s="7"/>
      <c r="M40721" s="9" t="s">
        <v>23</v>
      </c>
    </row>
    <row r="40722" ht="15.75" customHeight="1">
      <c r="A40722" s="7"/>
      <c r="B40722" s="7"/>
      <c r="M40722" s="9" t="s">
        <v>24</v>
      </c>
    </row>
    <row r="40723" ht="15.75" customHeight="1">
      <c r="A40723" s="7"/>
      <c r="B40723" s="7"/>
      <c r="M40723" s="9" t="s">
        <v>21</v>
      </c>
    </row>
    <row r="40724" ht="15.75" customHeight="1">
      <c r="A40724" s="7"/>
      <c r="B40724" s="7"/>
      <c r="M40724" s="9" t="s">
        <v>22</v>
      </c>
    </row>
    <row r="40725" ht="15.75" customHeight="1">
      <c r="A40725" s="7"/>
      <c r="B40725" s="7"/>
      <c r="M40725" s="9" t="s">
        <v>38</v>
      </c>
    </row>
    <row r="40726" ht="15.75" customHeight="1">
      <c r="A40726" s="7"/>
      <c r="B40726" s="7"/>
      <c r="M40726" s="9" t="s">
        <v>30</v>
      </c>
    </row>
    <row r="40727" ht="15.75" customHeight="1">
      <c r="A40727" s="7"/>
      <c r="B40727" s="7"/>
      <c r="M40727" s="9" t="s">
        <v>25</v>
      </c>
    </row>
    <row r="40728" ht="15.75" customHeight="1">
      <c r="A40728" s="7"/>
      <c r="B40728" s="7"/>
      <c r="M40728" s="9" t="s">
        <v>23</v>
      </c>
    </row>
    <row r="40729" ht="15.75" customHeight="1">
      <c r="A40729" s="7"/>
      <c r="B40729" s="7"/>
      <c r="M40729" s="9" t="s">
        <v>41</v>
      </c>
    </row>
    <row r="40730" ht="15.75" customHeight="1">
      <c r="A40730" s="7"/>
      <c r="B40730" s="7"/>
      <c r="M40730" s="9" t="s">
        <v>35</v>
      </c>
    </row>
    <row r="40731" ht="15.75" customHeight="1">
      <c r="A40731" s="7"/>
      <c r="B40731" s="7"/>
      <c r="M40731" s="9" t="s">
        <v>30</v>
      </c>
    </row>
    <row r="40732" ht="15.75" customHeight="1">
      <c r="A40732" s="7"/>
      <c r="B40732" s="7"/>
      <c r="M40732" s="9" t="s">
        <v>25</v>
      </c>
    </row>
    <row r="40733" ht="15.75" customHeight="1">
      <c r="A40733" s="7"/>
      <c r="B40733" s="7"/>
      <c r="M40733" s="9" t="s">
        <v>24</v>
      </c>
    </row>
    <row r="40734" ht="15.75" customHeight="1">
      <c r="A40734" s="7"/>
      <c r="B40734" s="7"/>
      <c r="M40734" s="9" t="s">
        <v>21</v>
      </c>
    </row>
    <row r="40735" ht="15.75" customHeight="1">
      <c r="A40735" s="7"/>
      <c r="B40735" s="7"/>
      <c r="M40735" s="9" t="s">
        <v>37</v>
      </c>
    </row>
    <row r="40736" ht="15.75" customHeight="1">
      <c r="A40736" s="7"/>
      <c r="B40736" s="7"/>
      <c r="M40736" s="9" t="s">
        <v>22</v>
      </c>
    </row>
    <row r="40737" ht="15.75" customHeight="1">
      <c r="A40737" s="7"/>
      <c r="B40737" s="7"/>
      <c r="M40737" s="9" t="s">
        <v>31</v>
      </c>
    </row>
    <row r="40738" ht="15.75" customHeight="1">
      <c r="A40738" s="7"/>
      <c r="B40738" s="7"/>
      <c r="M40738" s="9" t="s">
        <v>35</v>
      </c>
    </row>
    <row r="40739" ht="15.75" customHeight="1">
      <c r="A40739" s="7"/>
      <c r="B40739" s="7"/>
      <c r="M40739" s="9" t="s">
        <v>26</v>
      </c>
    </row>
    <row r="40740" ht="15.75" customHeight="1">
      <c r="A40740" s="7"/>
      <c r="B40740" s="7"/>
      <c r="M40740" s="9" t="s">
        <v>24</v>
      </c>
    </row>
    <row r="40741" ht="15.75" customHeight="1">
      <c r="A40741" s="7"/>
      <c r="B40741" s="7"/>
      <c r="M40741" s="9" t="s">
        <v>21</v>
      </c>
    </row>
    <row r="40742" ht="15.75" customHeight="1">
      <c r="A40742" s="7"/>
      <c r="B40742" s="7"/>
      <c r="M40742" s="9" t="s">
        <v>37</v>
      </c>
    </row>
    <row r="40743" ht="15.75" customHeight="1">
      <c r="A40743" s="7"/>
      <c r="B40743" s="7"/>
      <c r="M40743" s="9" t="s">
        <v>27</v>
      </c>
    </row>
    <row r="40744" ht="15.75" customHeight="1">
      <c r="A40744" s="7"/>
      <c r="B40744" s="7"/>
      <c r="M40744" s="9" t="s">
        <v>30</v>
      </c>
    </row>
    <row r="40745" ht="15.75" customHeight="1">
      <c r="A40745" s="7"/>
      <c r="B40745" s="7"/>
      <c r="M40745" s="9" t="s">
        <v>26</v>
      </c>
    </row>
    <row r="40746" ht="15.75" customHeight="1">
      <c r="A40746" s="7"/>
      <c r="B40746" s="7"/>
      <c r="M40746" s="9" t="s">
        <v>20</v>
      </c>
    </row>
    <row r="40747" ht="15.75" customHeight="1">
      <c r="A40747" s="7"/>
      <c r="B40747" s="7"/>
      <c r="M40747" s="9" t="s">
        <v>22</v>
      </c>
    </row>
    <row r="40748" ht="15.75" customHeight="1">
      <c r="A40748" s="7"/>
      <c r="B40748" s="7"/>
      <c r="M40748" s="9" t="s">
        <v>46</v>
      </c>
    </row>
    <row r="40749" ht="15.75" customHeight="1">
      <c r="A40749" s="7"/>
      <c r="B40749" s="7"/>
      <c r="M40749" s="9" t="s">
        <v>27</v>
      </c>
    </row>
    <row r="40750" ht="15.75" customHeight="1">
      <c r="A40750" s="7"/>
      <c r="B40750" s="7"/>
      <c r="M40750" s="9" t="s">
        <v>40</v>
      </c>
    </row>
    <row r="40751" ht="15.75" customHeight="1">
      <c r="A40751" s="7"/>
      <c r="B40751" s="7"/>
      <c r="M40751" s="9" t="s">
        <v>35</v>
      </c>
    </row>
    <row r="40752" ht="15.75" customHeight="1">
      <c r="A40752" s="7"/>
      <c r="B40752" s="7"/>
      <c r="M40752" s="9" t="s">
        <v>22</v>
      </c>
    </row>
    <row r="40753" ht="15.75" customHeight="1">
      <c r="A40753" s="7"/>
      <c r="B40753" s="7"/>
      <c r="M40753" s="9" t="s">
        <v>27</v>
      </c>
    </row>
    <row r="40754" ht="15.75" customHeight="1">
      <c r="A40754" s="7"/>
      <c r="B40754" s="7"/>
      <c r="M40754" s="9" t="s">
        <v>30</v>
      </c>
    </row>
    <row r="40755" ht="15.75" customHeight="1">
      <c r="A40755" s="7"/>
      <c r="B40755" s="7"/>
      <c r="M40755" s="9" t="s">
        <v>36</v>
      </c>
    </row>
    <row r="40756" ht="15.75" customHeight="1">
      <c r="A40756" s="7"/>
      <c r="B40756" s="7"/>
      <c r="M40756" s="9" t="s">
        <v>24</v>
      </c>
    </row>
    <row r="40757" ht="15.75" customHeight="1">
      <c r="A40757" s="7"/>
      <c r="B40757" s="7"/>
      <c r="M40757" s="9" t="s">
        <v>20</v>
      </c>
    </row>
    <row r="40758" ht="15.75" customHeight="1">
      <c r="A40758" s="7"/>
      <c r="B40758" s="7"/>
      <c r="M40758" s="9" t="s">
        <v>21</v>
      </c>
    </row>
    <row r="40759" ht="15.75" customHeight="1">
      <c r="A40759" s="7"/>
      <c r="B40759" s="7"/>
      <c r="M40759" s="9" t="s">
        <v>22</v>
      </c>
    </row>
    <row r="40760" ht="15.75" customHeight="1">
      <c r="A40760" s="7"/>
      <c r="B40760" s="7"/>
      <c r="M40760" s="9" t="s">
        <v>31</v>
      </c>
    </row>
    <row r="40761" ht="15.75" customHeight="1">
      <c r="A40761" s="7"/>
      <c r="B40761" s="7"/>
      <c r="M40761" s="9" t="s">
        <v>33</v>
      </c>
    </row>
    <row r="40762" ht="15.75" customHeight="1">
      <c r="A40762" s="7"/>
      <c r="B40762" s="7"/>
      <c r="M40762" s="9" t="s">
        <v>38</v>
      </c>
    </row>
    <row r="40763" ht="15.75" customHeight="1">
      <c r="A40763" s="7"/>
      <c r="B40763" s="7"/>
      <c r="M40763" s="9" t="s">
        <v>30</v>
      </c>
    </row>
    <row r="40764" ht="15.75" customHeight="1">
      <c r="A40764" s="7"/>
      <c r="B40764" s="7"/>
      <c r="M40764" s="9" t="s">
        <v>25</v>
      </c>
    </row>
    <row r="40765" ht="15.75" customHeight="1">
      <c r="A40765" s="7"/>
      <c r="B40765" s="7"/>
      <c r="M40765" s="9" t="s">
        <v>23</v>
      </c>
    </row>
    <row r="40766" ht="15.75" customHeight="1">
      <c r="A40766" s="7"/>
      <c r="B40766" s="7"/>
      <c r="M40766" s="9" t="s">
        <v>27</v>
      </c>
    </row>
    <row r="40767" ht="15.75" customHeight="1">
      <c r="A40767" s="7"/>
      <c r="B40767" s="7"/>
      <c r="M40767" s="9" t="s">
        <v>26</v>
      </c>
    </row>
    <row r="40768" ht="15.75" customHeight="1">
      <c r="A40768" s="7"/>
      <c r="B40768" s="7"/>
      <c r="M40768" s="9" t="s">
        <v>24</v>
      </c>
    </row>
    <row r="40769" ht="15.75" customHeight="1">
      <c r="A40769" s="7"/>
      <c r="B40769" s="7"/>
      <c r="M40769" s="9" t="s">
        <v>33</v>
      </c>
    </row>
    <row r="40770" ht="15.75" customHeight="1">
      <c r="A40770" s="7"/>
      <c r="B40770" s="7"/>
      <c r="M40770" s="9" t="s">
        <v>25</v>
      </c>
    </row>
    <row r="40771" ht="15.75" customHeight="1">
      <c r="A40771" s="7"/>
      <c r="B40771" s="7"/>
      <c r="M40771" s="9" t="s">
        <v>23</v>
      </c>
    </row>
    <row r="40772" ht="15.75" customHeight="1">
      <c r="A40772" s="7"/>
      <c r="B40772" s="7"/>
      <c r="M40772" s="9" t="s">
        <v>24</v>
      </c>
    </row>
    <row r="40773" ht="15.75" customHeight="1">
      <c r="A40773" s="7"/>
      <c r="B40773" s="7"/>
      <c r="M40773" s="9" t="s">
        <v>20</v>
      </c>
    </row>
    <row r="40774" ht="15.75" customHeight="1">
      <c r="A40774" s="7"/>
      <c r="B40774" s="7"/>
      <c r="M40774" s="9" t="s">
        <v>39</v>
      </c>
    </row>
    <row r="40775" ht="15.75" customHeight="1">
      <c r="A40775" s="7"/>
      <c r="B40775" s="7"/>
      <c r="M40775" s="9" t="s">
        <v>38</v>
      </c>
    </row>
    <row r="40776" ht="15.75" customHeight="1">
      <c r="A40776" s="7"/>
      <c r="B40776" s="7"/>
      <c r="M40776" s="9" t="s">
        <v>25</v>
      </c>
    </row>
    <row r="40777" ht="15.75" customHeight="1">
      <c r="A40777" s="7"/>
      <c r="B40777" s="7"/>
      <c r="M40777" s="9" t="s">
        <v>23</v>
      </c>
    </row>
    <row r="40778" ht="15.75" customHeight="1">
      <c r="A40778" s="7"/>
      <c r="B40778" s="7"/>
      <c r="M40778" s="9" t="s">
        <v>42</v>
      </c>
    </row>
    <row r="40779" ht="15.75" customHeight="1">
      <c r="A40779" s="7"/>
      <c r="B40779" s="7"/>
      <c r="M40779" s="9" t="s">
        <v>36</v>
      </c>
    </row>
    <row r="40780" ht="15.75" customHeight="1">
      <c r="A40780" s="7"/>
      <c r="B40780" s="7"/>
      <c r="M40780" s="9" t="s">
        <v>24</v>
      </c>
    </row>
    <row r="40781" ht="15.75" customHeight="1">
      <c r="A40781" s="7"/>
      <c r="B40781" s="7"/>
      <c r="M40781" s="9" t="s">
        <v>20</v>
      </c>
    </row>
    <row r="40782" ht="15.75" customHeight="1">
      <c r="A40782" s="7"/>
      <c r="B40782" s="7"/>
      <c r="M40782" s="9" t="s">
        <v>41</v>
      </c>
    </row>
    <row r="40783" ht="15.75" customHeight="1">
      <c r="A40783" s="7"/>
      <c r="B40783" s="7"/>
      <c r="M40783" s="9" t="s">
        <v>22</v>
      </c>
    </row>
    <row r="40784" ht="15.75" customHeight="1">
      <c r="A40784" s="7"/>
      <c r="B40784" s="7"/>
      <c r="M40784" s="9" t="s">
        <v>40</v>
      </c>
    </row>
    <row r="40785" ht="15.75" customHeight="1">
      <c r="A40785" s="7"/>
      <c r="B40785" s="7"/>
      <c r="M40785" s="9" t="s">
        <v>38</v>
      </c>
    </row>
    <row r="40786" ht="15.75" customHeight="1">
      <c r="A40786" s="7"/>
      <c r="B40786" s="7"/>
      <c r="M40786" s="9" t="s">
        <v>30</v>
      </c>
    </row>
    <row r="40787" ht="15.75" customHeight="1">
      <c r="A40787" s="7"/>
      <c r="B40787" s="7"/>
      <c r="M40787" s="9" t="s">
        <v>25</v>
      </c>
    </row>
    <row r="40788" ht="15.75" customHeight="1">
      <c r="A40788" s="7"/>
      <c r="B40788" s="7"/>
      <c r="M40788" s="9" t="s">
        <v>23</v>
      </c>
    </row>
    <row r="40789" ht="15.75" customHeight="1">
      <c r="A40789" s="7"/>
      <c r="B40789" s="7"/>
      <c r="M40789" s="9" t="s">
        <v>35</v>
      </c>
    </row>
    <row r="40790" ht="15.75" customHeight="1">
      <c r="A40790" s="7"/>
      <c r="B40790" s="7"/>
      <c r="M40790" s="9" t="s">
        <v>23</v>
      </c>
    </row>
    <row r="40791" ht="15.75" customHeight="1">
      <c r="A40791" s="7"/>
      <c r="B40791" s="7"/>
      <c r="M40791" s="9" t="s">
        <v>24</v>
      </c>
    </row>
    <row r="40792" ht="15.75" customHeight="1">
      <c r="A40792" s="7"/>
      <c r="B40792" s="7"/>
      <c r="M40792" s="9" t="s">
        <v>20</v>
      </c>
    </row>
    <row r="40793" ht="15.75" customHeight="1">
      <c r="A40793" s="7"/>
      <c r="B40793" s="7"/>
      <c r="M40793" s="9" t="s">
        <v>21</v>
      </c>
    </row>
    <row r="40794" ht="15.75" customHeight="1">
      <c r="A40794" s="7"/>
      <c r="B40794" s="7"/>
      <c r="M40794" s="9" t="s">
        <v>37</v>
      </c>
    </row>
    <row r="40795" ht="15.75" customHeight="1">
      <c r="A40795" s="7"/>
      <c r="B40795" s="7"/>
      <c r="M40795" s="9" t="s">
        <v>22</v>
      </c>
    </row>
    <row r="40796" ht="15.75" customHeight="1">
      <c r="A40796" s="7"/>
      <c r="B40796" s="7"/>
      <c r="M40796" s="9" t="s">
        <v>27</v>
      </c>
    </row>
    <row r="40797" ht="15.75" customHeight="1">
      <c r="A40797" s="7"/>
      <c r="B40797" s="7"/>
      <c r="M40797" s="9" t="s">
        <v>40</v>
      </c>
    </row>
    <row r="40798" ht="15.75" customHeight="1">
      <c r="A40798" s="7"/>
      <c r="B40798" s="7"/>
      <c r="M40798" s="9" t="s">
        <v>25</v>
      </c>
    </row>
    <row r="40799" ht="15.75" customHeight="1">
      <c r="A40799" s="7"/>
      <c r="B40799" s="7"/>
      <c r="M40799" s="9" t="s">
        <v>24</v>
      </c>
    </row>
    <row r="40800" ht="15.75" customHeight="1">
      <c r="A40800" s="7"/>
      <c r="B40800" s="7"/>
      <c r="M40800" s="9" t="s">
        <v>21</v>
      </c>
    </row>
    <row r="40801" ht="15.75" customHeight="1">
      <c r="A40801" s="7"/>
      <c r="B40801" s="7"/>
      <c r="M40801" s="9" t="s">
        <v>37</v>
      </c>
    </row>
    <row r="40802" ht="15.75" customHeight="1">
      <c r="A40802" s="7"/>
      <c r="B40802" s="7"/>
      <c r="M40802" s="9" t="s">
        <v>22</v>
      </c>
    </row>
    <row r="40803" ht="15.75" customHeight="1">
      <c r="A40803" s="7"/>
      <c r="B40803" s="7"/>
      <c r="M40803" s="9" t="s">
        <v>31</v>
      </c>
    </row>
    <row r="40804" ht="15.75" customHeight="1">
      <c r="A40804" s="7"/>
      <c r="B40804" s="7"/>
      <c r="M40804" s="9" t="s">
        <v>42</v>
      </c>
    </row>
    <row r="40805" ht="15.75" customHeight="1">
      <c r="A40805" s="7"/>
      <c r="B40805" s="7"/>
      <c r="M40805" s="9" t="s">
        <v>24</v>
      </c>
    </row>
    <row r="40806" ht="15.75" customHeight="1">
      <c r="A40806" s="7"/>
      <c r="B40806" s="7"/>
      <c r="M40806" s="9" t="s">
        <v>20</v>
      </c>
    </row>
    <row r="40807" ht="15.75" customHeight="1">
      <c r="A40807" s="7"/>
      <c r="B40807" s="7"/>
      <c r="M40807" s="9" t="s">
        <v>21</v>
      </c>
    </row>
    <row r="40808" ht="15.75" customHeight="1">
      <c r="A40808" s="7"/>
      <c r="B40808" s="7"/>
      <c r="M40808" s="9" t="s">
        <v>22</v>
      </c>
    </row>
    <row r="40809" ht="15.75" customHeight="1">
      <c r="A40809" s="7"/>
      <c r="B40809" s="7"/>
      <c r="M40809" s="9" t="s">
        <v>29</v>
      </c>
    </row>
    <row r="40810" ht="15.75" customHeight="1">
      <c r="A40810" s="7"/>
      <c r="B40810" s="7"/>
      <c r="M40810" s="9" t="s">
        <v>25</v>
      </c>
    </row>
    <row r="40811" ht="15.75" customHeight="1">
      <c r="A40811" s="7"/>
      <c r="B40811" s="7"/>
      <c r="M40811" s="9" t="s">
        <v>23</v>
      </c>
    </row>
    <row r="40812" ht="15.75" customHeight="1">
      <c r="A40812" s="7"/>
      <c r="B40812" s="7"/>
      <c r="M40812" s="9" t="s">
        <v>26</v>
      </c>
    </row>
    <row r="40813" ht="15.75" customHeight="1">
      <c r="A40813" s="7"/>
      <c r="B40813" s="7"/>
      <c r="M40813" s="9" t="s">
        <v>24</v>
      </c>
    </row>
    <row r="40814" ht="15.75" customHeight="1">
      <c r="A40814" s="7"/>
      <c r="B40814" s="7"/>
      <c r="M40814" s="9" t="s">
        <v>21</v>
      </c>
    </row>
    <row r="40815" ht="15.75" customHeight="1">
      <c r="A40815" s="7"/>
      <c r="B40815" s="7"/>
      <c r="M40815" s="9" t="s">
        <v>27</v>
      </c>
    </row>
    <row r="40816" ht="15.75" customHeight="1">
      <c r="A40816" s="7"/>
      <c r="B40816" s="7"/>
      <c r="M40816" s="9" t="s">
        <v>29</v>
      </c>
    </row>
    <row r="40817" ht="15.75" customHeight="1">
      <c r="A40817" s="7"/>
      <c r="B40817" s="7"/>
      <c r="M40817" s="9" t="s">
        <v>27</v>
      </c>
    </row>
    <row r="40818" ht="15.75" customHeight="1">
      <c r="A40818" s="7"/>
      <c r="B40818" s="7"/>
      <c r="M40818" s="9" t="s">
        <v>26</v>
      </c>
    </row>
    <row r="40819" ht="15.75" customHeight="1">
      <c r="A40819" s="7"/>
      <c r="B40819" s="7"/>
      <c r="M40819" s="9" t="s">
        <v>24</v>
      </c>
    </row>
    <row r="40820" ht="15.75" customHeight="1">
      <c r="A40820" s="7"/>
      <c r="B40820" s="7"/>
      <c r="M40820" s="9" t="s">
        <v>21</v>
      </c>
    </row>
    <row r="40821" ht="15.75" customHeight="1">
      <c r="A40821" s="7"/>
      <c r="B40821" s="7"/>
      <c r="M40821" s="9" t="s">
        <v>27</v>
      </c>
    </row>
    <row r="40822" ht="15.75" customHeight="1">
      <c r="A40822" s="7"/>
      <c r="B40822" s="7"/>
      <c r="M40822" s="9" t="s">
        <v>23</v>
      </c>
    </row>
    <row r="40823" ht="15.75" customHeight="1">
      <c r="A40823" s="7"/>
      <c r="B40823" s="7"/>
      <c r="M40823" s="9" t="s">
        <v>26</v>
      </c>
    </row>
    <row r="40824" ht="15.75" customHeight="1">
      <c r="A40824" s="7"/>
      <c r="B40824" s="7"/>
      <c r="M40824" s="9" t="s">
        <v>24</v>
      </c>
    </row>
    <row r="40825" ht="15.75" customHeight="1">
      <c r="A40825" s="7"/>
      <c r="B40825" s="7"/>
      <c r="M40825" s="9" t="s">
        <v>21</v>
      </c>
    </row>
    <row r="40826" ht="15.75" customHeight="1">
      <c r="A40826" s="7"/>
      <c r="B40826" s="7"/>
      <c r="M40826" s="9" t="s">
        <v>22</v>
      </c>
    </row>
    <row r="40827" ht="15.75" customHeight="1">
      <c r="A40827" s="7"/>
      <c r="B40827" s="7"/>
      <c r="M40827" s="9" t="s">
        <v>29</v>
      </c>
    </row>
    <row r="40828" ht="15.75" customHeight="1">
      <c r="A40828" s="7"/>
      <c r="B40828" s="7"/>
      <c r="M40828" s="9" t="s">
        <v>27</v>
      </c>
    </row>
    <row r="40829" ht="15.75" customHeight="1">
      <c r="A40829" s="7"/>
      <c r="B40829" s="7"/>
      <c r="M40829" s="9" t="s">
        <v>35</v>
      </c>
    </row>
    <row r="40830" ht="15.75" customHeight="1">
      <c r="A40830" s="7"/>
      <c r="B40830" s="7"/>
      <c r="M40830" s="9" t="s">
        <v>23</v>
      </c>
    </row>
    <row r="40831" ht="15.75" customHeight="1">
      <c r="A40831" s="7"/>
      <c r="B40831" s="7"/>
      <c r="M40831" s="9" t="s">
        <v>21</v>
      </c>
    </row>
    <row r="40832" ht="15.75" customHeight="1">
      <c r="A40832" s="7"/>
      <c r="B40832" s="7"/>
      <c r="M40832" s="9" t="s">
        <v>22</v>
      </c>
    </row>
    <row r="40833" ht="15.75" customHeight="1">
      <c r="A40833" s="7"/>
      <c r="B40833" s="7"/>
      <c r="M40833" s="9" t="s">
        <v>33</v>
      </c>
    </row>
    <row r="40834" ht="15.75" customHeight="1">
      <c r="A40834" s="7"/>
      <c r="B40834" s="7"/>
      <c r="M40834" s="9" t="s">
        <v>34</v>
      </c>
    </row>
    <row r="40835" ht="15.75" customHeight="1">
      <c r="A40835" s="7"/>
      <c r="B40835" s="7"/>
      <c r="M40835" s="9" t="s">
        <v>25</v>
      </c>
    </row>
    <row r="40836" ht="15.75" customHeight="1">
      <c r="A40836" s="7"/>
      <c r="B40836" s="7"/>
      <c r="M40836" s="9" t="s">
        <v>23</v>
      </c>
    </row>
    <row r="40837" ht="15.75" customHeight="1">
      <c r="A40837" s="7"/>
      <c r="B40837" s="7"/>
      <c r="M40837" s="9" t="s">
        <v>26</v>
      </c>
    </row>
    <row r="40838" ht="15.75" customHeight="1">
      <c r="A40838" s="7"/>
      <c r="B40838" s="7"/>
      <c r="M40838" s="9" t="s">
        <v>24</v>
      </c>
    </row>
    <row r="40839" ht="15.75" customHeight="1">
      <c r="A40839" s="7"/>
      <c r="B40839" s="7"/>
      <c r="M40839" s="9" t="s">
        <v>20</v>
      </c>
    </row>
    <row r="40840" ht="15.75" customHeight="1">
      <c r="A40840" s="7"/>
      <c r="B40840" s="7"/>
      <c r="M40840" s="9" t="s">
        <v>21</v>
      </c>
    </row>
    <row r="40841" ht="15.75" customHeight="1">
      <c r="A40841" s="7"/>
      <c r="B40841" s="7"/>
      <c r="M40841" s="9" t="s">
        <v>37</v>
      </c>
    </row>
    <row r="40842" ht="15.75" customHeight="1">
      <c r="A40842" s="7"/>
      <c r="B40842" s="7"/>
      <c r="M40842" s="9" t="s">
        <v>29</v>
      </c>
    </row>
    <row r="40843" ht="15.75" customHeight="1">
      <c r="A40843" s="7"/>
      <c r="B40843" s="7"/>
      <c r="M40843" s="9" t="s">
        <v>31</v>
      </c>
    </row>
    <row r="40844" ht="15.75" customHeight="1">
      <c r="A40844" s="7"/>
      <c r="B40844" s="7"/>
      <c r="M40844" s="9" t="s">
        <v>27</v>
      </c>
    </row>
    <row r="40845" ht="15.75" customHeight="1">
      <c r="A40845" s="7"/>
      <c r="B40845" s="7"/>
      <c r="M40845" s="9" t="s">
        <v>33</v>
      </c>
    </row>
    <row r="40846" ht="15.75" customHeight="1">
      <c r="A40846" s="7"/>
      <c r="B40846" s="7"/>
      <c r="M40846" s="9" t="s">
        <v>30</v>
      </c>
    </row>
    <row r="40847" ht="15.75" customHeight="1">
      <c r="A40847" s="7"/>
      <c r="B40847" s="7"/>
      <c r="M40847" s="9" t="s">
        <v>25</v>
      </c>
    </row>
    <row r="40848" ht="15.75" customHeight="1">
      <c r="A40848" s="7"/>
      <c r="B40848" s="7"/>
      <c r="M40848" s="9" t="s">
        <v>23</v>
      </c>
    </row>
    <row r="40849" ht="15.75" customHeight="1">
      <c r="A40849" s="7"/>
      <c r="B40849" s="7"/>
      <c r="M40849" s="9" t="s">
        <v>26</v>
      </c>
    </row>
    <row r="40850" ht="15.75" customHeight="1">
      <c r="A40850" s="7"/>
      <c r="B40850" s="7"/>
      <c r="M40850" s="9" t="s">
        <v>24</v>
      </c>
    </row>
    <row r="40851" ht="15.75" customHeight="1">
      <c r="A40851" s="7"/>
      <c r="B40851" s="7"/>
      <c r="M40851" s="9" t="s">
        <v>20</v>
      </c>
    </row>
    <row r="40852" ht="15.75" customHeight="1">
      <c r="A40852" s="7"/>
      <c r="B40852" s="7"/>
      <c r="M40852" s="9" t="s">
        <v>21</v>
      </c>
    </row>
    <row r="40853" ht="15.75" customHeight="1">
      <c r="A40853" s="7"/>
      <c r="B40853" s="7"/>
      <c r="M40853" s="9" t="s">
        <v>41</v>
      </c>
    </row>
    <row r="40854" ht="15.75" customHeight="1">
      <c r="A40854" s="7"/>
      <c r="B40854" s="7"/>
      <c r="M40854" s="9" t="s">
        <v>22</v>
      </c>
    </row>
    <row r="40855" ht="15.75" customHeight="1">
      <c r="A40855" s="7"/>
      <c r="B40855" s="7"/>
      <c r="M40855" s="9" t="s">
        <v>40</v>
      </c>
    </row>
    <row r="40856" ht="15.75" customHeight="1">
      <c r="A40856" s="7"/>
      <c r="B40856" s="7"/>
      <c r="M40856" s="9" t="s">
        <v>33</v>
      </c>
    </row>
    <row r="40857" ht="15.75" customHeight="1">
      <c r="A40857" s="7"/>
      <c r="B40857" s="7"/>
      <c r="M40857" s="9" t="s">
        <v>30</v>
      </c>
    </row>
    <row r="40858" ht="15.75" customHeight="1">
      <c r="A40858" s="7"/>
      <c r="B40858" s="7"/>
      <c r="M40858" s="9" t="s">
        <v>24</v>
      </c>
    </row>
    <row r="40859" ht="15.75" customHeight="1">
      <c r="A40859" s="7"/>
      <c r="B40859" s="7"/>
      <c r="M40859" s="9" t="s">
        <v>20</v>
      </c>
    </row>
    <row r="40860" ht="15.75" customHeight="1">
      <c r="A40860" s="7"/>
      <c r="B40860" s="7"/>
      <c r="M40860" s="9" t="s">
        <v>21</v>
      </c>
    </row>
    <row r="40861" ht="15.75" customHeight="1">
      <c r="A40861" s="7"/>
      <c r="B40861" s="7"/>
      <c r="M40861" s="9" t="s">
        <v>39</v>
      </c>
    </row>
    <row r="40862" ht="15.75" customHeight="1">
      <c r="A40862" s="7"/>
      <c r="B40862" s="7"/>
      <c r="M40862" s="9" t="s">
        <v>32</v>
      </c>
    </row>
    <row r="40863" ht="15.75" customHeight="1">
      <c r="A40863" s="7"/>
      <c r="B40863" s="7"/>
      <c r="M40863" s="9" t="s">
        <v>25</v>
      </c>
    </row>
    <row r="40864" ht="15.75" customHeight="1">
      <c r="A40864" s="7"/>
      <c r="B40864" s="7"/>
      <c r="M40864" s="9" t="s">
        <v>23</v>
      </c>
    </row>
    <row r="40865" ht="15.75" customHeight="1">
      <c r="A40865" s="7"/>
      <c r="B40865" s="7"/>
      <c r="M40865" s="9" t="s">
        <v>24</v>
      </c>
    </row>
    <row r="40866" ht="15.75" customHeight="1">
      <c r="A40866" s="7"/>
      <c r="B40866" s="7"/>
      <c r="M40866" s="9" t="s">
        <v>21</v>
      </c>
    </row>
    <row r="40867" ht="15.75" customHeight="1">
      <c r="A40867" s="7"/>
      <c r="B40867" s="7"/>
      <c r="M40867" s="9" t="s">
        <v>37</v>
      </c>
    </row>
    <row r="40868" ht="15.75" customHeight="1">
      <c r="A40868" s="7"/>
      <c r="B40868" s="7"/>
      <c r="M40868" s="9" t="s">
        <v>22</v>
      </c>
    </row>
    <row r="40869" ht="15.75" customHeight="1">
      <c r="A40869" s="7"/>
      <c r="B40869" s="7"/>
      <c r="M40869" s="9" t="s">
        <v>30</v>
      </c>
    </row>
    <row r="40870" ht="15.75" customHeight="1">
      <c r="A40870" s="7"/>
      <c r="B40870" s="7"/>
      <c r="M40870" s="9" t="s">
        <v>22</v>
      </c>
    </row>
    <row r="40871" ht="15.75" customHeight="1">
      <c r="A40871" s="7"/>
      <c r="B40871" s="7"/>
      <c r="M40871" s="9" t="s">
        <v>38</v>
      </c>
    </row>
    <row r="40872" ht="15.75" customHeight="1">
      <c r="A40872" s="7"/>
      <c r="B40872" s="7"/>
      <c r="M40872" s="9" t="s">
        <v>30</v>
      </c>
    </row>
    <row r="40873" ht="15.75" customHeight="1">
      <c r="A40873" s="7"/>
      <c r="B40873" s="7"/>
      <c r="M40873" s="9" t="s">
        <v>25</v>
      </c>
    </row>
    <row r="40874" ht="15.75" customHeight="1">
      <c r="A40874" s="7"/>
      <c r="B40874" s="7"/>
      <c r="M40874" s="9" t="s">
        <v>23</v>
      </c>
    </row>
    <row r="40875" ht="15.75" customHeight="1">
      <c r="A40875" s="7"/>
      <c r="B40875" s="7"/>
      <c r="M40875" s="9" t="s">
        <v>24</v>
      </c>
    </row>
    <row r="40876" ht="15.75" customHeight="1">
      <c r="A40876" s="7"/>
      <c r="B40876" s="7"/>
      <c r="M40876" s="9" t="s">
        <v>21</v>
      </c>
    </row>
    <row r="40877" ht="15.75" customHeight="1">
      <c r="A40877" s="7"/>
      <c r="B40877" s="7"/>
      <c r="M40877" s="9" t="s">
        <v>22</v>
      </c>
    </row>
    <row r="40878" ht="15.75" customHeight="1">
      <c r="A40878" s="7"/>
      <c r="B40878" s="7"/>
      <c r="M40878" s="9" t="s">
        <v>32</v>
      </c>
    </row>
    <row r="40879" ht="15.75" customHeight="1">
      <c r="A40879" s="7"/>
      <c r="B40879" s="7"/>
      <c r="M40879" s="9" t="s">
        <v>24</v>
      </c>
    </row>
    <row r="40880" ht="15.75" customHeight="1">
      <c r="A40880" s="7"/>
      <c r="B40880" s="7"/>
      <c r="M40880" s="9" t="s">
        <v>20</v>
      </c>
    </row>
    <row r="40881" ht="15.75" customHeight="1">
      <c r="A40881" s="7"/>
      <c r="B40881" s="7"/>
      <c r="M40881" s="9" t="s">
        <v>22</v>
      </c>
    </row>
    <row r="40882" ht="15.75" customHeight="1">
      <c r="A40882" s="7"/>
      <c r="B40882" s="7"/>
      <c r="M40882" s="9" t="s">
        <v>23</v>
      </c>
    </row>
    <row r="40883" ht="15.75" customHeight="1">
      <c r="A40883" s="7"/>
      <c r="B40883" s="7"/>
      <c r="M40883" s="9" t="s">
        <v>24</v>
      </c>
    </row>
    <row r="40884" ht="15.75" customHeight="1">
      <c r="A40884" s="7"/>
      <c r="B40884" s="7"/>
      <c r="M40884" s="9" t="s">
        <v>21</v>
      </c>
    </row>
    <row r="40885" ht="15.75" customHeight="1">
      <c r="A40885" s="7"/>
      <c r="B40885" s="7"/>
      <c r="M40885" s="9" t="s">
        <v>37</v>
      </c>
    </row>
    <row r="40886" ht="15.75" customHeight="1">
      <c r="A40886" s="7"/>
      <c r="B40886" s="7"/>
      <c r="M40886" s="9" t="s">
        <v>27</v>
      </c>
    </row>
    <row r="40887" ht="15.75" customHeight="1">
      <c r="A40887" s="7"/>
      <c r="B40887" s="7"/>
      <c r="M40887" s="9" t="s">
        <v>30</v>
      </c>
    </row>
    <row r="40888" ht="15.75" customHeight="1">
      <c r="A40888" s="7"/>
      <c r="B40888" s="7"/>
      <c r="M40888" s="9" t="s">
        <v>26</v>
      </c>
    </row>
    <row r="40889" ht="15.75" customHeight="1">
      <c r="A40889" s="7"/>
      <c r="B40889" s="7"/>
      <c r="M40889" s="9" t="s">
        <v>24</v>
      </c>
    </row>
    <row r="40890" ht="15.75" customHeight="1">
      <c r="A40890" s="7"/>
      <c r="B40890" s="7"/>
      <c r="M40890" s="9" t="s">
        <v>21</v>
      </c>
    </row>
    <row r="40891" ht="15.75" customHeight="1">
      <c r="A40891" s="7"/>
      <c r="B40891" s="7"/>
      <c r="M40891" s="9" t="s">
        <v>27</v>
      </c>
    </row>
    <row r="40892" ht="15.75" customHeight="1">
      <c r="A40892" s="7"/>
      <c r="B40892" s="7"/>
      <c r="M40892" s="9" t="s">
        <v>35</v>
      </c>
    </row>
    <row r="40893" ht="15.75" customHeight="1">
      <c r="A40893" s="7"/>
      <c r="B40893" s="7"/>
      <c r="M40893" s="9" t="s">
        <v>24</v>
      </c>
    </row>
    <row r="40894" ht="15.75" customHeight="1">
      <c r="A40894" s="7"/>
      <c r="B40894" s="7"/>
      <c r="M40894" s="9" t="s">
        <v>20</v>
      </c>
    </row>
    <row r="40895" ht="15.75" customHeight="1">
      <c r="A40895" s="7"/>
      <c r="B40895" s="7"/>
      <c r="M40895" s="9" t="s">
        <v>21</v>
      </c>
    </row>
    <row r="40896" ht="15.75" customHeight="1">
      <c r="A40896" s="7"/>
      <c r="B40896" s="7"/>
      <c r="M40896" s="9" t="s">
        <v>27</v>
      </c>
    </row>
    <row r="40897" ht="15.75" customHeight="1">
      <c r="A40897" s="7"/>
      <c r="B40897" s="7"/>
      <c r="M40897" s="9" t="s">
        <v>25</v>
      </c>
    </row>
    <row r="40898" ht="15.75" customHeight="1">
      <c r="A40898" s="7"/>
      <c r="B40898" s="7"/>
      <c r="M40898" s="9" t="s">
        <v>23</v>
      </c>
    </row>
    <row r="40899" ht="15.75" customHeight="1">
      <c r="A40899" s="7"/>
      <c r="B40899" s="7"/>
      <c r="M40899" s="9" t="s">
        <v>26</v>
      </c>
    </row>
    <row r="40900" ht="15.75" customHeight="1">
      <c r="A40900" s="7"/>
      <c r="B40900" s="7"/>
      <c r="M40900" s="9" t="s">
        <v>21</v>
      </c>
    </row>
    <row r="40901" ht="15.75" customHeight="1">
      <c r="A40901" s="7"/>
      <c r="B40901" s="7"/>
      <c r="M40901" s="9" t="s">
        <v>41</v>
      </c>
    </row>
    <row r="40902" ht="15.75" customHeight="1">
      <c r="A40902" s="7"/>
      <c r="B40902" s="7"/>
      <c r="M40902" s="9" t="s">
        <v>35</v>
      </c>
    </row>
    <row r="40903" ht="15.75" customHeight="1">
      <c r="A40903" s="7"/>
      <c r="B40903" s="7"/>
      <c r="M40903" s="9" t="s">
        <v>38</v>
      </c>
    </row>
    <row r="40904" ht="15.75" customHeight="1">
      <c r="A40904" s="7"/>
      <c r="B40904" s="7"/>
      <c r="M40904" s="9" t="s">
        <v>30</v>
      </c>
    </row>
    <row r="40905" ht="15.75" customHeight="1">
      <c r="A40905" s="7"/>
      <c r="B40905" s="7"/>
      <c r="M40905" s="9" t="s">
        <v>25</v>
      </c>
    </row>
    <row r="40906" ht="15.75" customHeight="1">
      <c r="A40906" s="7"/>
      <c r="B40906" s="7"/>
      <c r="M40906" s="9" t="s">
        <v>20</v>
      </c>
    </row>
    <row r="40907" ht="15.75" customHeight="1">
      <c r="A40907" s="7"/>
      <c r="B40907" s="7"/>
      <c r="M40907" s="9" t="s">
        <v>22</v>
      </c>
    </row>
    <row r="40908" ht="15.75" customHeight="1">
      <c r="A40908" s="7"/>
      <c r="B40908" s="7"/>
      <c r="M40908" s="9" t="s">
        <v>31</v>
      </c>
    </row>
    <row r="40909" ht="15.75" customHeight="1">
      <c r="A40909" s="7"/>
      <c r="B40909" s="7"/>
      <c r="M40909" s="9" t="s">
        <v>26</v>
      </c>
    </row>
    <row r="40910" ht="15.75" customHeight="1">
      <c r="A40910" s="7"/>
      <c r="B40910" s="7"/>
      <c r="M40910" s="9" t="s">
        <v>24</v>
      </c>
    </row>
    <row r="40911" ht="15.75" customHeight="1">
      <c r="A40911" s="7"/>
      <c r="B40911" s="7"/>
      <c r="M40911" s="9" t="s">
        <v>20</v>
      </c>
    </row>
    <row r="40912" ht="15.75" customHeight="1">
      <c r="A40912" s="7"/>
      <c r="B40912" s="7"/>
      <c r="M40912" s="9" t="s">
        <v>21</v>
      </c>
    </row>
    <row r="40913" ht="15.75" customHeight="1">
      <c r="A40913" s="7"/>
      <c r="B40913" s="7"/>
      <c r="M40913" s="9" t="s">
        <v>39</v>
      </c>
    </row>
    <row r="40914" ht="15.75" customHeight="1">
      <c r="A40914" s="7"/>
      <c r="B40914" s="7"/>
      <c r="M40914" s="9" t="s">
        <v>37</v>
      </c>
    </row>
    <row r="40915" ht="15.75" customHeight="1">
      <c r="A40915" s="7"/>
      <c r="B40915" s="7"/>
      <c r="M40915" s="9" t="s">
        <v>22</v>
      </c>
    </row>
    <row r="40916" ht="15.75" customHeight="1">
      <c r="A40916" s="7"/>
      <c r="B40916" s="7"/>
      <c r="M40916" s="9" t="s">
        <v>27</v>
      </c>
    </row>
    <row r="40917" ht="15.75" customHeight="1">
      <c r="A40917" s="7"/>
      <c r="B40917" s="7"/>
      <c r="M40917" s="9" t="s">
        <v>33</v>
      </c>
    </row>
    <row r="40918" ht="15.75" customHeight="1">
      <c r="A40918" s="7"/>
      <c r="B40918" s="7"/>
      <c r="M40918" s="9" t="s">
        <v>24</v>
      </c>
    </row>
    <row r="40919" ht="15.75" customHeight="1">
      <c r="A40919" s="7"/>
      <c r="B40919" s="7"/>
      <c r="M40919" s="9" t="s">
        <v>20</v>
      </c>
    </row>
    <row r="40920" ht="15.75" customHeight="1">
      <c r="A40920" s="7"/>
      <c r="B40920" s="7"/>
      <c r="M40920" s="9" t="s">
        <v>21</v>
      </c>
    </row>
    <row r="40921" ht="15.75" customHeight="1">
      <c r="A40921" s="7"/>
      <c r="B40921" s="7"/>
      <c r="M40921" s="9" t="s">
        <v>22</v>
      </c>
    </row>
    <row r="40922" ht="15.75" customHeight="1">
      <c r="A40922" s="7"/>
      <c r="B40922" s="7"/>
      <c r="M40922" s="9" t="s">
        <v>27</v>
      </c>
    </row>
    <row r="40923" ht="15.75" customHeight="1">
      <c r="A40923" s="7"/>
      <c r="B40923" s="7"/>
      <c r="M40923" s="9" t="s">
        <v>40</v>
      </c>
    </row>
    <row r="40924" ht="15.75" customHeight="1">
      <c r="A40924" s="7"/>
      <c r="B40924" s="7"/>
      <c r="M40924" s="9" t="s">
        <v>36</v>
      </c>
    </row>
    <row r="40925" ht="15.75" customHeight="1">
      <c r="A40925" s="7"/>
      <c r="B40925" s="7"/>
      <c r="M40925" s="9" t="s">
        <v>24</v>
      </c>
    </row>
    <row r="40926" ht="15.75" customHeight="1">
      <c r="A40926" s="7"/>
      <c r="B40926" s="7"/>
      <c r="M40926" s="9" t="s">
        <v>21</v>
      </c>
    </row>
    <row r="40927" ht="15.75" customHeight="1">
      <c r="A40927" s="7"/>
      <c r="B40927" s="7"/>
      <c r="M40927" s="9" t="s">
        <v>37</v>
      </c>
    </row>
    <row r="40928" ht="15.75" customHeight="1">
      <c r="A40928" s="7"/>
      <c r="B40928" s="7"/>
      <c r="M40928" s="9" t="s">
        <v>27</v>
      </c>
    </row>
    <row r="40929" ht="15.75" customHeight="1">
      <c r="A40929" s="7"/>
      <c r="B40929" s="7"/>
      <c r="M40929" s="9" t="s">
        <v>25</v>
      </c>
    </row>
    <row r="40930" ht="15.75" customHeight="1">
      <c r="A40930" s="7"/>
      <c r="B40930" s="7"/>
      <c r="M40930" s="9" t="s">
        <v>26</v>
      </c>
    </row>
    <row r="40931" ht="15.75" customHeight="1">
      <c r="A40931" s="7"/>
      <c r="B40931" s="7"/>
      <c r="M40931" s="9" t="s">
        <v>24</v>
      </c>
    </row>
    <row r="40932" ht="15.75" customHeight="1">
      <c r="A40932" s="7"/>
      <c r="B40932" s="7"/>
      <c r="M40932" s="9" t="s">
        <v>20</v>
      </c>
    </row>
    <row r="40933" ht="15.75" customHeight="1">
      <c r="A40933" s="7"/>
      <c r="B40933" s="7"/>
      <c r="M40933" s="9" t="s">
        <v>39</v>
      </c>
    </row>
    <row r="40934" ht="15.75" customHeight="1">
      <c r="A40934" s="7"/>
      <c r="B40934" s="7"/>
      <c r="M40934" s="9" t="s">
        <v>22</v>
      </c>
    </row>
    <row r="40935" ht="15.75" customHeight="1">
      <c r="A40935" s="7"/>
      <c r="B40935" s="7"/>
      <c r="M40935" s="9" t="s">
        <v>40</v>
      </c>
    </row>
    <row r="40936" ht="15.75" customHeight="1">
      <c r="A40936" s="7"/>
      <c r="B40936" s="7"/>
      <c r="M40936" s="9" t="s">
        <v>25</v>
      </c>
    </row>
    <row r="40937" ht="15.75" customHeight="1">
      <c r="A40937" s="7"/>
      <c r="B40937" s="7"/>
      <c r="M40937" s="9" t="s">
        <v>23</v>
      </c>
    </row>
    <row r="40938" ht="15.75" customHeight="1">
      <c r="A40938" s="7"/>
      <c r="B40938" s="7"/>
      <c r="M40938" s="9" t="s">
        <v>24</v>
      </c>
    </row>
    <row r="40939" ht="15.75" customHeight="1">
      <c r="A40939" s="7"/>
      <c r="B40939" s="7"/>
      <c r="M40939" s="9" t="s">
        <v>21</v>
      </c>
    </row>
    <row r="40940" ht="15.75" customHeight="1">
      <c r="A40940" s="7"/>
      <c r="B40940" s="7"/>
      <c r="M40940" s="9" t="s">
        <v>21</v>
      </c>
    </row>
    <row r="40941" ht="15.75" customHeight="1">
      <c r="A40941" s="7"/>
      <c r="B40941" s="7"/>
      <c r="M40941" s="9" t="s">
        <v>37</v>
      </c>
    </row>
    <row r="40942" ht="15.75" customHeight="1">
      <c r="A40942" s="7"/>
      <c r="B40942" s="7"/>
      <c r="M40942" s="9" t="s">
        <v>27</v>
      </c>
    </row>
    <row r="40943" ht="15.75" customHeight="1">
      <c r="A40943" s="7"/>
      <c r="B40943" s="7"/>
      <c r="M40943" s="9" t="s">
        <v>35</v>
      </c>
    </row>
    <row r="40944" ht="15.75" customHeight="1">
      <c r="A40944" s="7"/>
      <c r="B40944" s="7"/>
      <c r="M40944" s="9" t="s">
        <v>24</v>
      </c>
    </row>
    <row r="40945" ht="15.75" customHeight="1">
      <c r="A40945" s="7"/>
      <c r="B40945" s="7"/>
      <c r="M40945" s="9" t="s">
        <v>21</v>
      </c>
    </row>
    <row r="40946" ht="15.75" customHeight="1">
      <c r="A40946" s="7"/>
      <c r="B40946" s="7"/>
      <c r="M40946" s="9" t="s">
        <v>37</v>
      </c>
    </row>
    <row r="40947" ht="15.75" customHeight="1">
      <c r="A40947" s="7"/>
      <c r="B40947" s="7"/>
      <c r="M40947" s="9" t="s">
        <v>22</v>
      </c>
    </row>
    <row r="40948" ht="15.75" customHeight="1">
      <c r="A40948" s="7"/>
      <c r="B40948" s="7"/>
      <c r="M40948" s="9" t="s">
        <v>30</v>
      </c>
    </row>
    <row r="40949" ht="15.75" customHeight="1">
      <c r="A40949" s="7"/>
      <c r="B40949" s="7"/>
      <c r="M40949" s="9" t="s">
        <v>27</v>
      </c>
    </row>
    <row r="40950" ht="15.75" customHeight="1">
      <c r="A40950" s="7"/>
      <c r="B40950" s="7"/>
      <c r="M40950" s="9" t="s">
        <v>35</v>
      </c>
    </row>
    <row r="40951" ht="15.75" customHeight="1">
      <c r="A40951" s="7"/>
      <c r="B40951" s="7"/>
      <c r="M40951" s="9" t="s">
        <v>30</v>
      </c>
    </row>
    <row r="40952" ht="15.75" customHeight="1">
      <c r="A40952" s="7"/>
      <c r="B40952" s="7"/>
      <c r="M40952" s="9" t="s">
        <v>24</v>
      </c>
    </row>
    <row r="40953" ht="15.75" customHeight="1">
      <c r="A40953" s="7"/>
      <c r="B40953" s="7"/>
      <c r="M40953" s="9" t="s">
        <v>21</v>
      </c>
    </row>
    <row r="40954" ht="15.75" customHeight="1">
      <c r="A40954" s="7"/>
      <c r="B40954" s="7"/>
      <c r="M40954" s="9" t="s">
        <v>22</v>
      </c>
    </row>
    <row r="40955" ht="15.75" customHeight="1">
      <c r="A40955" s="7"/>
      <c r="B40955" s="7"/>
      <c r="M40955" s="9" t="s">
        <v>27</v>
      </c>
    </row>
    <row r="40956" ht="15.75" customHeight="1">
      <c r="A40956" s="7"/>
      <c r="B40956" s="7"/>
      <c r="M40956" s="9" t="s">
        <v>30</v>
      </c>
    </row>
    <row r="40957" ht="15.75" customHeight="1">
      <c r="A40957" s="7"/>
      <c r="B40957" s="7"/>
      <c r="M40957" s="9" t="s">
        <v>26</v>
      </c>
    </row>
    <row r="40958" ht="15.75" customHeight="1">
      <c r="A40958" s="7"/>
      <c r="B40958" s="7"/>
      <c r="M40958" s="9" t="s">
        <v>22</v>
      </c>
    </row>
    <row r="40959" ht="15.75" customHeight="1">
      <c r="A40959" s="7"/>
      <c r="B40959" s="7"/>
      <c r="M40959" s="9" t="s">
        <v>32</v>
      </c>
    </row>
    <row r="40960" ht="15.75" customHeight="1">
      <c r="A40960" s="7"/>
      <c r="B40960" s="7"/>
      <c r="M40960" s="9" t="s">
        <v>27</v>
      </c>
    </row>
    <row r="40961" ht="15.75" customHeight="1">
      <c r="A40961" s="7"/>
      <c r="B40961" s="7"/>
      <c r="M40961" s="9" t="s">
        <v>30</v>
      </c>
    </row>
    <row r="40962" ht="15.75" customHeight="1">
      <c r="A40962" s="7"/>
      <c r="B40962" s="7"/>
      <c r="M40962" s="9" t="s">
        <v>25</v>
      </c>
    </row>
    <row r="40963" ht="15.75" customHeight="1">
      <c r="A40963" s="7"/>
      <c r="B40963" s="7"/>
      <c r="M40963" s="9" t="s">
        <v>36</v>
      </c>
    </row>
    <row r="40964" ht="15.75" customHeight="1">
      <c r="A40964" s="7"/>
      <c r="B40964" s="7"/>
      <c r="M40964" s="9" t="s">
        <v>24</v>
      </c>
    </row>
    <row r="40965" ht="15.75" customHeight="1">
      <c r="A40965" s="7"/>
      <c r="B40965" s="7"/>
      <c r="M40965" s="9" t="s">
        <v>21</v>
      </c>
    </row>
    <row r="40966" ht="15.75" customHeight="1">
      <c r="A40966" s="7"/>
      <c r="B40966" s="7"/>
      <c r="M40966" s="9" t="s">
        <v>22</v>
      </c>
    </row>
    <row r="40967" ht="15.75" customHeight="1">
      <c r="A40967" s="7"/>
      <c r="B40967" s="7"/>
      <c r="M40967" s="9" t="s">
        <v>46</v>
      </c>
    </row>
    <row r="40968" ht="15.75" customHeight="1">
      <c r="A40968" s="7"/>
      <c r="B40968" s="7"/>
      <c r="M40968" s="9" t="s">
        <v>31</v>
      </c>
    </row>
    <row r="40969" ht="15.75" customHeight="1">
      <c r="A40969" s="7"/>
      <c r="B40969" s="7"/>
      <c r="M40969" s="9" t="s">
        <v>46</v>
      </c>
    </row>
    <row r="40970" ht="15.75" customHeight="1">
      <c r="A40970" s="7"/>
      <c r="B40970" s="7"/>
      <c r="M40970" s="9" t="s">
        <v>22</v>
      </c>
    </row>
    <row r="40971" ht="15.75" customHeight="1">
      <c r="A40971" s="7"/>
      <c r="B40971" s="7"/>
      <c r="M40971" s="9" t="s">
        <v>28</v>
      </c>
    </row>
    <row r="40972" ht="15.75" customHeight="1">
      <c r="A40972" s="7"/>
      <c r="B40972" s="7"/>
      <c r="M40972" s="9" t="s">
        <v>30</v>
      </c>
    </row>
    <row r="40973" ht="15.75" customHeight="1">
      <c r="A40973" s="7"/>
      <c r="B40973" s="7"/>
      <c r="M40973" s="9" t="s">
        <v>25</v>
      </c>
    </row>
    <row r="40974" ht="15.75" customHeight="1">
      <c r="A40974" s="7"/>
      <c r="B40974" s="7"/>
      <c r="M40974" s="9" t="s">
        <v>23</v>
      </c>
    </row>
    <row r="40975" ht="15.75" customHeight="1">
      <c r="A40975" s="7"/>
      <c r="B40975" s="7"/>
      <c r="M40975" s="9" t="s">
        <v>24</v>
      </c>
    </row>
    <row r="40976" ht="15.75" customHeight="1">
      <c r="A40976" s="7"/>
      <c r="B40976" s="7"/>
      <c r="M40976" s="9" t="s">
        <v>20</v>
      </c>
    </row>
    <row r="40977" ht="15.75" customHeight="1">
      <c r="A40977" s="7"/>
      <c r="B40977" s="7"/>
      <c r="M40977" s="9" t="s">
        <v>21</v>
      </c>
    </row>
    <row r="40978" ht="15.75" customHeight="1">
      <c r="A40978" s="7"/>
      <c r="B40978" s="7"/>
      <c r="M40978" s="9" t="s">
        <v>27</v>
      </c>
    </row>
    <row r="40979" ht="15.75" customHeight="1">
      <c r="A40979" s="7"/>
      <c r="B40979" s="7"/>
      <c r="M40979" s="9" t="s">
        <v>26</v>
      </c>
    </row>
    <row r="40980" ht="15.75" customHeight="1">
      <c r="A40980" s="7"/>
      <c r="B40980" s="7"/>
      <c r="M40980" s="9" t="s">
        <v>20</v>
      </c>
    </row>
    <row r="40981" ht="15.75" customHeight="1">
      <c r="A40981" s="7"/>
      <c r="B40981" s="7"/>
      <c r="M40981" s="9" t="s">
        <v>21</v>
      </c>
    </row>
    <row r="40982" ht="15.75" customHeight="1">
      <c r="A40982" s="7"/>
      <c r="B40982" s="7"/>
      <c r="M40982" s="9" t="s">
        <v>22</v>
      </c>
    </row>
    <row r="40983" ht="15.75" customHeight="1">
      <c r="A40983" s="7"/>
      <c r="B40983" s="7"/>
      <c r="M40983" s="9" t="s">
        <v>33</v>
      </c>
    </row>
    <row r="40984" ht="15.75" customHeight="1">
      <c r="A40984" s="7"/>
      <c r="B40984" s="7"/>
      <c r="M40984" s="9" t="s">
        <v>26</v>
      </c>
    </row>
    <row r="40985" ht="15.75" customHeight="1">
      <c r="A40985" s="7"/>
      <c r="B40985" s="7"/>
      <c r="M40985" s="9" t="s">
        <v>24</v>
      </c>
    </row>
    <row r="40986" ht="15.75" customHeight="1">
      <c r="A40986" s="7"/>
      <c r="B40986" s="7"/>
      <c r="M40986" s="9" t="s">
        <v>21</v>
      </c>
    </row>
    <row r="40987" ht="15.75" customHeight="1">
      <c r="A40987" s="7"/>
      <c r="B40987" s="7"/>
      <c r="M40987" s="9" t="s">
        <v>27</v>
      </c>
    </row>
    <row r="40988" ht="15.75" customHeight="1">
      <c r="A40988" s="7"/>
      <c r="B40988" s="7"/>
      <c r="M40988" s="9" t="s">
        <v>28</v>
      </c>
    </row>
    <row r="40989" ht="15.75" customHeight="1">
      <c r="A40989" s="7"/>
      <c r="B40989" s="7"/>
      <c r="M40989" s="9" t="s">
        <v>35</v>
      </c>
    </row>
    <row r="40990" ht="15.75" customHeight="1">
      <c r="A40990" s="7"/>
      <c r="B40990" s="7"/>
      <c r="M40990" s="9" t="s">
        <v>30</v>
      </c>
    </row>
    <row r="40991" ht="15.75" customHeight="1">
      <c r="A40991" s="7"/>
      <c r="B40991" s="7"/>
      <c r="M40991" s="9" t="s">
        <v>24</v>
      </c>
    </row>
    <row r="40992" ht="15.75" customHeight="1">
      <c r="A40992" s="7"/>
      <c r="B40992" s="7"/>
      <c r="M40992" s="9" t="s">
        <v>20</v>
      </c>
    </row>
    <row r="40993" ht="15.75" customHeight="1">
      <c r="A40993" s="7"/>
      <c r="B40993" s="7"/>
      <c r="M40993" s="9" t="s">
        <v>21</v>
      </c>
    </row>
    <row r="40994" ht="15.75" customHeight="1">
      <c r="A40994" s="7"/>
      <c r="B40994" s="7"/>
      <c r="M40994" s="9" t="s">
        <v>37</v>
      </c>
    </row>
    <row r="40995" ht="15.75" customHeight="1">
      <c r="A40995" s="7"/>
      <c r="B40995" s="7"/>
      <c r="M40995" s="9" t="s">
        <v>27</v>
      </c>
    </row>
    <row r="40996" ht="15.75" customHeight="1">
      <c r="A40996" s="7"/>
      <c r="B40996" s="7"/>
      <c r="M40996" s="9" t="s">
        <v>20</v>
      </c>
    </row>
    <row r="40997" ht="15.75" customHeight="1">
      <c r="A40997" s="7"/>
      <c r="B40997" s="7"/>
      <c r="M40997" s="9" t="s">
        <v>27</v>
      </c>
    </row>
    <row r="40998" ht="15.75" customHeight="1">
      <c r="A40998" s="7"/>
      <c r="B40998" s="7"/>
      <c r="M40998" s="9" t="s">
        <v>25</v>
      </c>
    </row>
    <row r="40999" ht="15.75" customHeight="1">
      <c r="A40999" s="7"/>
      <c r="B40999" s="7"/>
      <c r="M40999" s="9" t="s">
        <v>23</v>
      </c>
    </row>
    <row r="41000" ht="15.75" customHeight="1">
      <c r="A41000" s="7"/>
      <c r="B41000" s="7"/>
      <c r="M41000" s="9" t="s">
        <v>26</v>
      </c>
    </row>
    <row r="41001" ht="15.75" customHeight="1">
      <c r="A41001" s="7"/>
      <c r="B41001" s="7"/>
      <c r="M41001" s="9" t="s">
        <v>24</v>
      </c>
    </row>
    <row r="41002" ht="15.75" customHeight="1">
      <c r="A41002" s="7"/>
      <c r="B41002" s="7"/>
      <c r="M41002" s="9" t="s">
        <v>21</v>
      </c>
    </row>
    <row r="41003" ht="15.75" customHeight="1">
      <c r="A41003" s="7"/>
      <c r="B41003" s="7"/>
      <c r="M41003" s="9" t="s">
        <v>35</v>
      </c>
    </row>
    <row r="41004" ht="15.75" customHeight="1">
      <c r="A41004" s="7"/>
      <c r="B41004" s="7"/>
      <c r="M41004" s="9" t="s">
        <v>30</v>
      </c>
    </row>
    <row r="41005" ht="15.75" customHeight="1">
      <c r="A41005" s="7"/>
      <c r="B41005" s="7"/>
      <c r="M41005" s="9" t="s">
        <v>24</v>
      </c>
    </row>
    <row r="41006" ht="15.75" customHeight="1">
      <c r="A41006" s="7"/>
      <c r="B41006" s="7"/>
      <c r="M41006" s="9" t="s">
        <v>20</v>
      </c>
    </row>
    <row r="41007" ht="15.75" customHeight="1">
      <c r="A41007" s="7"/>
      <c r="B41007" s="7"/>
      <c r="M41007" s="9" t="s">
        <v>21</v>
      </c>
    </row>
    <row r="41008" ht="15.75" customHeight="1">
      <c r="A41008" s="7"/>
      <c r="B41008" s="7"/>
      <c r="M41008" s="9" t="s">
        <v>37</v>
      </c>
    </row>
    <row r="41009" ht="15.75" customHeight="1">
      <c r="A41009" s="7"/>
      <c r="B41009" s="7"/>
      <c r="M41009" s="9" t="s">
        <v>27</v>
      </c>
    </row>
    <row r="41010" ht="15.75" customHeight="1">
      <c r="A41010" s="7"/>
      <c r="B41010" s="7"/>
      <c r="M41010" s="9" t="s">
        <v>33</v>
      </c>
    </row>
    <row r="41011" ht="15.75" customHeight="1">
      <c r="A41011" s="7"/>
      <c r="B41011" s="7"/>
      <c r="M41011" s="9" t="s">
        <v>20</v>
      </c>
    </row>
    <row r="41012" ht="15.75" customHeight="1">
      <c r="A41012" s="7"/>
      <c r="B41012" s="7"/>
      <c r="M41012" s="9" t="s">
        <v>21</v>
      </c>
    </row>
    <row r="41013" ht="15.75" customHeight="1">
      <c r="A41013" s="7"/>
      <c r="B41013" s="7"/>
      <c r="M41013" s="9" t="s">
        <v>31</v>
      </c>
    </row>
    <row r="41014" ht="15.75" customHeight="1">
      <c r="A41014" s="7"/>
      <c r="B41014" s="7"/>
      <c r="M41014" s="9" t="s">
        <v>27</v>
      </c>
    </row>
    <row r="41015" ht="15.75" customHeight="1">
      <c r="A41015" s="7"/>
      <c r="B41015" s="7"/>
      <c r="M41015" s="9" t="s">
        <v>33</v>
      </c>
    </row>
    <row r="41016" ht="15.75" customHeight="1">
      <c r="A41016" s="7"/>
      <c r="B41016" s="7"/>
      <c r="M41016" s="9" t="s">
        <v>23</v>
      </c>
    </row>
    <row r="41017" ht="15.75" customHeight="1">
      <c r="A41017" s="7"/>
      <c r="B41017" s="7"/>
      <c r="M41017" s="9" t="s">
        <v>24</v>
      </c>
    </row>
    <row r="41018" ht="15.75" customHeight="1">
      <c r="A41018" s="7"/>
      <c r="B41018" s="7"/>
      <c r="M41018" s="9" t="s">
        <v>20</v>
      </c>
    </row>
    <row r="41019" ht="15.75" customHeight="1">
      <c r="A41019" s="7"/>
      <c r="B41019" s="7"/>
      <c r="M41019" s="9" t="s">
        <v>21</v>
      </c>
    </row>
    <row r="41020" ht="15.75" customHeight="1">
      <c r="A41020" s="7"/>
      <c r="B41020" s="7"/>
      <c r="M41020" s="9" t="s">
        <v>33</v>
      </c>
    </row>
    <row r="41021" ht="15.75" customHeight="1">
      <c r="A41021" s="7"/>
      <c r="B41021" s="7"/>
      <c r="M41021" s="9" t="s">
        <v>25</v>
      </c>
    </row>
    <row r="41022" ht="15.75" customHeight="1">
      <c r="A41022" s="7"/>
      <c r="B41022" s="7"/>
      <c r="M41022" s="9" t="s">
        <v>23</v>
      </c>
    </row>
    <row r="41023" ht="15.75" customHeight="1">
      <c r="A41023" s="7"/>
      <c r="B41023" s="7"/>
      <c r="M41023" s="9" t="s">
        <v>24</v>
      </c>
    </row>
    <row r="41024" ht="15.75" customHeight="1">
      <c r="A41024" s="7"/>
      <c r="B41024" s="7"/>
      <c r="M41024" s="9" t="s">
        <v>21</v>
      </c>
    </row>
    <row r="41025" ht="15.75" customHeight="1">
      <c r="A41025" s="7"/>
      <c r="B41025" s="7"/>
      <c r="M41025" s="9" t="s">
        <v>22</v>
      </c>
    </row>
    <row r="41026" ht="15.75" customHeight="1">
      <c r="A41026" s="7"/>
      <c r="B41026" s="7"/>
      <c r="M41026" s="9" t="s">
        <v>20</v>
      </c>
    </row>
    <row r="41027" ht="15.75" customHeight="1">
      <c r="A41027" s="7"/>
      <c r="B41027" s="7"/>
      <c r="M41027" s="9" t="s">
        <v>22</v>
      </c>
    </row>
    <row r="41028" ht="15.75" customHeight="1">
      <c r="A41028" s="7"/>
      <c r="B41028" s="7"/>
      <c r="M41028" s="9" t="s">
        <v>31</v>
      </c>
    </row>
    <row r="41029" ht="15.75" customHeight="1">
      <c r="A41029" s="7"/>
      <c r="B41029" s="7"/>
      <c r="M41029" s="9" t="s">
        <v>27</v>
      </c>
    </row>
    <row r="41030" ht="15.75" customHeight="1">
      <c r="A41030" s="7"/>
      <c r="B41030" s="7"/>
      <c r="M41030" s="9" t="s">
        <v>26</v>
      </c>
    </row>
    <row r="41031" ht="15.75" customHeight="1">
      <c r="A41031" s="7"/>
      <c r="B41031" s="7"/>
      <c r="M41031" s="9" t="s">
        <v>27</v>
      </c>
    </row>
    <row r="41032" ht="15.75" customHeight="1">
      <c r="A41032" s="7"/>
      <c r="B41032" s="7"/>
      <c r="M41032" s="9" t="s">
        <v>24</v>
      </c>
    </row>
    <row r="41033" ht="15.75" customHeight="1">
      <c r="A41033" s="7"/>
      <c r="B41033" s="7"/>
      <c r="M41033" s="9" t="s">
        <v>20</v>
      </c>
    </row>
    <row r="41034" ht="15.75" customHeight="1">
      <c r="A41034" s="7"/>
      <c r="B41034" s="7"/>
      <c r="M41034" s="9" t="s">
        <v>27</v>
      </c>
    </row>
    <row r="41035" ht="15.75" customHeight="1">
      <c r="A41035" s="7"/>
      <c r="B41035" s="7"/>
      <c r="M41035" s="9" t="s">
        <v>33</v>
      </c>
    </row>
    <row r="41036" ht="15.75" customHeight="1">
      <c r="A41036" s="7"/>
      <c r="B41036" s="7"/>
      <c r="M41036" s="9" t="s">
        <v>24</v>
      </c>
    </row>
    <row r="41037" ht="15.75" customHeight="1">
      <c r="A41037" s="7"/>
      <c r="B41037" s="7"/>
      <c r="M41037" s="9" t="s">
        <v>20</v>
      </c>
    </row>
    <row r="41038" ht="15.75" customHeight="1">
      <c r="A41038" s="7"/>
      <c r="B41038" s="7"/>
      <c r="M41038" s="9" t="s">
        <v>21</v>
      </c>
    </row>
    <row r="41039" ht="15.75" customHeight="1">
      <c r="A41039" s="7"/>
      <c r="B41039" s="7"/>
      <c r="M41039" s="9" t="s">
        <v>37</v>
      </c>
    </row>
    <row r="41040" ht="15.75" customHeight="1">
      <c r="A41040" s="7"/>
      <c r="B41040" s="7"/>
      <c r="M41040" s="9" t="s">
        <v>27</v>
      </c>
    </row>
    <row r="41041" ht="15.75" customHeight="1">
      <c r="A41041" s="7"/>
      <c r="B41041" s="7"/>
      <c r="M41041" s="9" t="s">
        <v>28</v>
      </c>
    </row>
    <row r="41042" ht="15.75" customHeight="1">
      <c r="A41042" s="7"/>
      <c r="B41042" s="7"/>
      <c r="M41042" s="9" t="s">
        <v>20</v>
      </c>
    </row>
    <row r="41043" ht="15.75" customHeight="1">
      <c r="A41043" s="7"/>
      <c r="B41043" s="7"/>
      <c r="M41043" s="9" t="s">
        <v>39</v>
      </c>
    </row>
    <row r="41044" ht="15.75" customHeight="1">
      <c r="A41044" s="7"/>
      <c r="B41044" s="7"/>
      <c r="M41044" s="9" t="s">
        <v>24</v>
      </c>
    </row>
    <row r="41045" ht="15.75" customHeight="1">
      <c r="A41045" s="7"/>
      <c r="B41045" s="7"/>
      <c r="M41045" s="9" t="s">
        <v>21</v>
      </c>
    </row>
    <row r="41046" ht="15.75" customHeight="1">
      <c r="A41046" s="7"/>
      <c r="B41046" s="7"/>
      <c r="M41046" s="9" t="s">
        <v>37</v>
      </c>
    </row>
    <row r="41047" ht="15.75" customHeight="1">
      <c r="A41047" s="7"/>
      <c r="B41047" s="7"/>
      <c r="M41047" s="9" t="s">
        <v>27</v>
      </c>
    </row>
    <row r="41048" ht="15.75" customHeight="1">
      <c r="A41048" s="7"/>
      <c r="B41048" s="7"/>
      <c r="M41048" s="9" t="s">
        <v>26</v>
      </c>
    </row>
    <row r="41049" ht="15.75" customHeight="1">
      <c r="A41049" s="7"/>
      <c r="B41049" s="7"/>
      <c r="M41049" s="9" t="s">
        <v>24</v>
      </c>
    </row>
    <row r="41050" ht="15.75" customHeight="1">
      <c r="A41050" s="7"/>
      <c r="B41050" s="7"/>
      <c r="M41050" s="9" t="s">
        <v>21</v>
      </c>
    </row>
    <row r="41051" ht="15.75" customHeight="1">
      <c r="A41051" s="7"/>
      <c r="B41051" s="7"/>
      <c r="M41051" s="9" t="s">
        <v>22</v>
      </c>
    </row>
    <row r="41052" ht="15.75" customHeight="1">
      <c r="A41052" s="7"/>
      <c r="B41052" s="7"/>
      <c r="M41052" s="9" t="s">
        <v>27</v>
      </c>
    </row>
    <row r="41053" ht="15.75" customHeight="1">
      <c r="A41053" s="7"/>
      <c r="B41053" s="7"/>
      <c r="M41053" s="9" t="s">
        <v>23</v>
      </c>
    </row>
    <row r="41054" ht="15.75" customHeight="1">
      <c r="A41054" s="7"/>
      <c r="B41054" s="7"/>
      <c r="M41054" s="9" t="s">
        <v>24</v>
      </c>
    </row>
    <row r="41055" ht="15.75" customHeight="1">
      <c r="A41055" s="7"/>
      <c r="B41055" s="7"/>
      <c r="M41055" s="9" t="s">
        <v>20</v>
      </c>
    </row>
    <row r="41056" ht="15.75" customHeight="1">
      <c r="A41056" s="7"/>
      <c r="B41056" s="7"/>
      <c r="M41056" s="9" t="s">
        <v>21</v>
      </c>
    </row>
    <row r="41057" ht="15.75" customHeight="1">
      <c r="A41057" s="7"/>
      <c r="B41057" s="7"/>
      <c r="M41057" s="9" t="s">
        <v>24</v>
      </c>
    </row>
    <row r="41058" ht="15.75" customHeight="1">
      <c r="A41058" s="7"/>
      <c r="B41058" s="7"/>
      <c r="M41058" s="9" t="s">
        <v>21</v>
      </c>
    </row>
    <row r="41059" ht="15.75" customHeight="1">
      <c r="A41059" s="7"/>
      <c r="B41059" s="7"/>
      <c r="M41059" s="9" t="s">
        <v>37</v>
      </c>
    </row>
    <row r="41060" ht="15.75" customHeight="1">
      <c r="A41060" s="7"/>
      <c r="B41060" s="7"/>
      <c r="M41060" s="9" t="s">
        <v>27</v>
      </c>
    </row>
    <row r="41061" ht="15.75" customHeight="1">
      <c r="A41061" s="7"/>
      <c r="B41061" s="7"/>
      <c r="M41061" s="9" t="s">
        <v>25</v>
      </c>
    </row>
    <row r="41062" ht="15.75" customHeight="1">
      <c r="A41062" s="7"/>
      <c r="B41062" s="7"/>
      <c r="M41062" s="9" t="s">
        <v>42</v>
      </c>
    </row>
    <row r="41063" ht="15.75" customHeight="1">
      <c r="A41063" s="7"/>
      <c r="B41063" s="7"/>
      <c r="M41063" s="9" t="s">
        <v>24</v>
      </c>
    </row>
    <row r="41064" ht="15.75" customHeight="1">
      <c r="A41064" s="7"/>
      <c r="B41064" s="7"/>
      <c r="M41064" s="9" t="s">
        <v>21</v>
      </c>
    </row>
    <row r="41065" ht="15.75" customHeight="1">
      <c r="A41065" s="7"/>
      <c r="B41065" s="7"/>
      <c r="M41065" s="9" t="s">
        <v>37</v>
      </c>
    </row>
    <row r="41066" ht="15.75" customHeight="1">
      <c r="A41066" s="7"/>
      <c r="B41066" s="7"/>
      <c r="M41066" s="9" t="s">
        <v>32</v>
      </c>
    </row>
    <row r="41067" ht="15.75" customHeight="1">
      <c r="A41067" s="7"/>
      <c r="B41067" s="7"/>
      <c r="M41067" s="9" t="s">
        <v>27</v>
      </c>
    </row>
    <row r="41068" ht="15.75" customHeight="1">
      <c r="A41068" s="7"/>
      <c r="B41068" s="7"/>
      <c r="M41068" s="9" t="s">
        <v>40</v>
      </c>
    </row>
    <row r="41069" ht="15.75" customHeight="1">
      <c r="A41069" s="7"/>
      <c r="B41069" s="7"/>
      <c r="M41069" s="9" t="s">
        <v>33</v>
      </c>
    </row>
    <row r="41070" ht="15.75" customHeight="1">
      <c r="A41070" s="7"/>
      <c r="B41070" s="7"/>
      <c r="M41070" s="9" t="s">
        <v>34</v>
      </c>
    </row>
    <row r="41071" ht="15.75" customHeight="1">
      <c r="A41071" s="7"/>
      <c r="B41071" s="7"/>
      <c r="M41071" s="9" t="s">
        <v>20</v>
      </c>
    </row>
    <row r="41072" ht="15.75" customHeight="1">
      <c r="A41072" s="7"/>
      <c r="B41072" s="7"/>
      <c r="M41072" s="9" t="s">
        <v>24</v>
      </c>
    </row>
    <row r="41073" ht="15.75" customHeight="1">
      <c r="A41073" s="7"/>
      <c r="B41073" s="7"/>
      <c r="M41073" s="9" t="s">
        <v>21</v>
      </c>
    </row>
    <row r="41074" ht="15.75" customHeight="1">
      <c r="A41074" s="7"/>
      <c r="B41074" s="7"/>
      <c r="M41074" s="9" t="s">
        <v>25</v>
      </c>
    </row>
    <row r="41075" ht="15.75" customHeight="1">
      <c r="A41075" s="7"/>
      <c r="B41075" s="7"/>
      <c r="M41075" s="9" t="s">
        <v>23</v>
      </c>
    </row>
    <row r="41076" ht="15.75" customHeight="1">
      <c r="A41076" s="7"/>
      <c r="B41076" s="7"/>
      <c r="M41076" s="9" t="s">
        <v>26</v>
      </c>
    </row>
    <row r="41077" ht="15.75" customHeight="1">
      <c r="A41077" s="7"/>
      <c r="B41077" s="7"/>
      <c r="M41077" s="9" t="s">
        <v>20</v>
      </c>
    </row>
    <row r="41078" ht="15.75" customHeight="1">
      <c r="A41078" s="7"/>
      <c r="B41078" s="7"/>
      <c r="M41078" s="9" t="s">
        <v>21</v>
      </c>
    </row>
    <row r="41079" ht="15.75" customHeight="1">
      <c r="A41079" s="7"/>
      <c r="B41079" s="7"/>
      <c r="M41079" s="9" t="s">
        <v>41</v>
      </c>
    </row>
    <row r="41080" ht="15.75" customHeight="1">
      <c r="A41080" s="7"/>
      <c r="B41080" s="7"/>
      <c r="M41080" s="9" t="s">
        <v>40</v>
      </c>
    </row>
    <row r="41081" ht="15.75" customHeight="1">
      <c r="A41081" s="7"/>
      <c r="B41081" s="7"/>
      <c r="M41081" s="9" t="s">
        <v>38</v>
      </c>
    </row>
    <row r="41082" ht="15.75" customHeight="1">
      <c r="A41082" s="7"/>
      <c r="B41082" s="7"/>
      <c r="M41082" s="9" t="s">
        <v>22</v>
      </c>
    </row>
    <row r="41083" ht="15.75" customHeight="1">
      <c r="A41083" s="7"/>
      <c r="B41083" s="7"/>
      <c r="M41083" s="9" t="s">
        <v>29</v>
      </c>
    </row>
    <row r="41084" ht="15.75" customHeight="1">
      <c r="A41084" s="7"/>
      <c r="B41084" s="7"/>
      <c r="M41084" s="9" t="s">
        <v>21</v>
      </c>
    </row>
    <row r="41085" ht="15.75" customHeight="1">
      <c r="A41085" s="7"/>
      <c r="B41085" s="7"/>
      <c r="M41085" s="9" t="s">
        <v>22</v>
      </c>
    </row>
    <row r="41086" ht="15.75" customHeight="1">
      <c r="A41086" s="7"/>
      <c r="B41086" s="7"/>
      <c r="M41086" s="9" t="s">
        <v>29</v>
      </c>
    </row>
    <row r="41087" ht="15.75" customHeight="1">
      <c r="A41087" s="7"/>
      <c r="B41087" s="7"/>
      <c r="M41087" s="9" t="s">
        <v>24</v>
      </c>
    </row>
    <row r="41088" ht="15.75" customHeight="1">
      <c r="A41088" s="7"/>
      <c r="B41088" s="7"/>
      <c r="M41088" s="9" t="s">
        <v>22</v>
      </c>
    </row>
    <row r="41089" ht="15.75" customHeight="1">
      <c r="A41089" s="7"/>
      <c r="B41089" s="7"/>
      <c r="M41089" s="9" t="s">
        <v>27</v>
      </c>
    </row>
    <row r="41090" ht="15.75" customHeight="1">
      <c r="A41090" s="7"/>
      <c r="B41090" s="7"/>
      <c r="M41090" s="9" t="s">
        <v>40</v>
      </c>
    </row>
    <row r="41091" ht="15.75" customHeight="1">
      <c r="A41091" s="7"/>
      <c r="B41091" s="7"/>
      <c r="M41091" s="9" t="s">
        <v>30</v>
      </c>
    </row>
    <row r="41092" ht="15.75" customHeight="1">
      <c r="A41092" s="7"/>
      <c r="B41092" s="7"/>
      <c r="M41092" s="9" t="s">
        <v>24</v>
      </c>
    </row>
    <row r="41093" ht="15.75" customHeight="1">
      <c r="A41093" s="7"/>
      <c r="B41093" s="7"/>
      <c r="M41093" s="9" t="s">
        <v>27</v>
      </c>
    </row>
    <row r="41094" ht="15.75" customHeight="1">
      <c r="A41094" s="7"/>
      <c r="B41094" s="7"/>
      <c r="M41094" s="9" t="s">
        <v>30</v>
      </c>
    </row>
    <row r="41095" ht="15.75" customHeight="1">
      <c r="A41095" s="7"/>
      <c r="B41095" s="7"/>
      <c r="M41095" s="9" t="s">
        <v>23</v>
      </c>
    </row>
    <row r="41096" ht="15.75" customHeight="1">
      <c r="A41096" s="7"/>
      <c r="B41096" s="7"/>
      <c r="M41096" s="9" t="s">
        <v>26</v>
      </c>
    </row>
    <row r="41097" ht="15.75" customHeight="1">
      <c r="A41097" s="7"/>
      <c r="B41097" s="7"/>
      <c r="M41097" s="9" t="s">
        <v>36</v>
      </c>
    </row>
    <row r="41098" ht="15.75" customHeight="1">
      <c r="A41098" s="7"/>
      <c r="B41098" s="7"/>
      <c r="M41098" s="9" t="s">
        <v>24</v>
      </c>
    </row>
    <row r="41099" ht="15.75" customHeight="1">
      <c r="A41099" s="7"/>
      <c r="B41099" s="7"/>
      <c r="M41099" s="9" t="s">
        <v>21</v>
      </c>
    </row>
    <row r="41100" ht="15.75" customHeight="1">
      <c r="A41100" s="7"/>
      <c r="B41100" s="7"/>
      <c r="M41100" s="9" t="s">
        <v>37</v>
      </c>
    </row>
    <row r="41101" ht="15.75" customHeight="1">
      <c r="A41101" s="7"/>
      <c r="B41101" s="7"/>
      <c r="M41101" s="9" t="s">
        <v>22</v>
      </c>
    </row>
    <row r="41102" ht="15.75" customHeight="1">
      <c r="A41102" s="7"/>
      <c r="B41102" s="7"/>
      <c r="M41102" s="9" t="s">
        <v>27</v>
      </c>
    </row>
    <row r="41103" ht="15.75" customHeight="1">
      <c r="A41103" s="7"/>
      <c r="B41103" s="7"/>
      <c r="M41103" s="9" t="s">
        <v>33</v>
      </c>
    </row>
    <row r="41104" ht="15.75" customHeight="1">
      <c r="A41104" s="7"/>
      <c r="B41104" s="7"/>
      <c r="M41104" s="9" t="s">
        <v>30</v>
      </c>
    </row>
    <row r="41105" ht="15.75" customHeight="1">
      <c r="A41105" s="7"/>
      <c r="B41105" s="7"/>
      <c r="M41105" s="9" t="s">
        <v>24</v>
      </c>
    </row>
    <row r="41106" ht="15.75" customHeight="1">
      <c r="A41106" s="7"/>
      <c r="B41106" s="7"/>
      <c r="M41106" s="9" t="s">
        <v>20</v>
      </c>
    </row>
    <row r="41107" ht="15.75" customHeight="1">
      <c r="A41107" s="7"/>
      <c r="B41107" s="7"/>
      <c r="M41107" s="9" t="s">
        <v>21</v>
      </c>
    </row>
    <row r="41108" ht="15.75" customHeight="1">
      <c r="A41108" s="7"/>
      <c r="B41108" s="7"/>
      <c r="M41108" s="9" t="s">
        <v>27</v>
      </c>
    </row>
    <row r="41109" ht="15.75" customHeight="1">
      <c r="A41109" s="7"/>
      <c r="B41109" s="7"/>
      <c r="M41109" s="9" t="s">
        <v>33</v>
      </c>
    </row>
    <row r="41110" ht="15.75" customHeight="1">
      <c r="A41110" s="7"/>
      <c r="B41110" s="7"/>
      <c r="M41110" s="9" t="s">
        <v>20</v>
      </c>
    </row>
    <row r="41111" ht="15.75" customHeight="1">
      <c r="A41111" s="7"/>
      <c r="B41111" s="7"/>
      <c r="M41111" s="9" t="s">
        <v>21</v>
      </c>
    </row>
    <row r="41112" ht="15.75" customHeight="1">
      <c r="A41112" s="7"/>
      <c r="B41112" s="7"/>
      <c r="M41112" s="9" t="s">
        <v>27</v>
      </c>
    </row>
    <row r="41113" ht="15.75" customHeight="1">
      <c r="A41113" s="7"/>
      <c r="B41113" s="7"/>
      <c r="M41113" s="9" t="s">
        <v>26</v>
      </c>
    </row>
    <row r="41114" ht="15.75" customHeight="1">
      <c r="A41114" s="7"/>
      <c r="B41114" s="7"/>
      <c r="M41114" s="9" t="s">
        <v>20</v>
      </c>
    </row>
    <row r="41115" ht="15.75" customHeight="1">
      <c r="A41115" s="7"/>
      <c r="B41115" s="7"/>
      <c r="M41115" s="9" t="s">
        <v>21</v>
      </c>
    </row>
    <row r="41116" ht="15.75" customHeight="1">
      <c r="A41116" s="7"/>
      <c r="B41116" s="7"/>
      <c r="M41116" s="9" t="s">
        <v>41</v>
      </c>
    </row>
    <row r="41117" ht="15.75" customHeight="1">
      <c r="A41117" s="7"/>
      <c r="B41117" s="7"/>
      <c r="M41117" s="9" t="s">
        <v>27</v>
      </c>
    </row>
    <row r="41118" ht="15.75" customHeight="1">
      <c r="A41118" s="7"/>
      <c r="B41118" s="7"/>
      <c r="M41118" s="9" t="s">
        <v>24</v>
      </c>
    </row>
    <row r="41119" ht="15.75" customHeight="1">
      <c r="A41119" s="7"/>
      <c r="B41119" s="7"/>
      <c r="M41119" s="9" t="s">
        <v>21</v>
      </c>
    </row>
    <row r="41120" ht="15.75" customHeight="1">
      <c r="A41120" s="7"/>
      <c r="B41120" s="7"/>
      <c r="M41120" s="9" t="s">
        <v>37</v>
      </c>
    </row>
    <row r="41121" ht="15.75" customHeight="1">
      <c r="A41121" s="7"/>
      <c r="B41121" s="7"/>
      <c r="M41121" s="9" t="s">
        <v>24</v>
      </c>
    </row>
    <row r="41122" ht="15.75" customHeight="1">
      <c r="A41122" s="7"/>
      <c r="B41122" s="7"/>
      <c r="M41122" s="9" t="s">
        <v>21</v>
      </c>
    </row>
    <row r="41123" ht="15.75" customHeight="1">
      <c r="A41123" s="7"/>
      <c r="B41123" s="7"/>
      <c r="M41123" s="9" t="s">
        <v>22</v>
      </c>
    </row>
    <row r="41124" ht="15.75" customHeight="1">
      <c r="A41124" s="7"/>
      <c r="B41124" s="7"/>
      <c r="M41124" s="9" t="s">
        <v>27</v>
      </c>
    </row>
    <row r="41125" ht="15.75" customHeight="1">
      <c r="A41125" s="7"/>
      <c r="B41125" s="7"/>
      <c r="M41125" s="9" t="s">
        <v>21</v>
      </c>
    </row>
    <row r="41126" ht="15.75" customHeight="1">
      <c r="A41126" s="7"/>
      <c r="B41126" s="7"/>
      <c r="M41126" s="9" t="s">
        <v>27</v>
      </c>
    </row>
    <row r="41127" ht="15.75" customHeight="1">
      <c r="A41127" s="7"/>
      <c r="B41127" s="7"/>
      <c r="M41127" s="9" t="s">
        <v>35</v>
      </c>
    </row>
    <row r="41128" ht="15.75" customHeight="1">
      <c r="A41128" s="7"/>
      <c r="B41128" s="7"/>
      <c r="M41128" s="9" t="s">
        <v>31</v>
      </c>
    </row>
    <row r="41129" ht="15.75" customHeight="1">
      <c r="A41129" s="7"/>
      <c r="B41129" s="7"/>
      <c r="M41129" s="9" t="s">
        <v>40</v>
      </c>
    </row>
    <row r="41130" ht="15.75" customHeight="1">
      <c r="A41130" s="7"/>
      <c r="B41130" s="7"/>
      <c r="M41130" s="9" t="s">
        <v>24</v>
      </c>
    </row>
    <row r="41131" ht="15.75" customHeight="1">
      <c r="A41131" s="7"/>
      <c r="B41131" s="7"/>
      <c r="M41131" s="9" t="s">
        <v>21</v>
      </c>
    </row>
    <row r="41132" ht="15.75" customHeight="1">
      <c r="A41132" s="7"/>
      <c r="B41132" s="7"/>
      <c r="M41132" s="9" t="s">
        <v>24</v>
      </c>
    </row>
    <row r="41133" ht="15.75" customHeight="1">
      <c r="A41133" s="7"/>
      <c r="B41133" s="7"/>
      <c r="M41133" s="9" t="s">
        <v>21</v>
      </c>
    </row>
    <row r="41134" ht="15.75" customHeight="1">
      <c r="A41134" s="7"/>
      <c r="B41134" s="7"/>
      <c r="M41134" s="9" t="s">
        <v>37</v>
      </c>
    </row>
    <row r="41135" ht="15.75" customHeight="1">
      <c r="A41135" s="7"/>
      <c r="B41135" s="7"/>
      <c r="M41135" s="9" t="s">
        <v>27</v>
      </c>
    </row>
    <row r="41136" ht="15.75" customHeight="1">
      <c r="A41136" s="7"/>
      <c r="B41136" s="7"/>
      <c r="M41136" s="9" t="s">
        <v>30</v>
      </c>
    </row>
    <row r="41137" ht="15.75" customHeight="1">
      <c r="A41137" s="7"/>
      <c r="B41137" s="7"/>
      <c r="M41137" s="9" t="s">
        <v>26</v>
      </c>
    </row>
    <row r="41138" ht="15.75" customHeight="1">
      <c r="A41138" s="7"/>
      <c r="B41138" s="7"/>
      <c r="M41138" s="9" t="s">
        <v>20</v>
      </c>
    </row>
    <row r="41139" ht="15.75" customHeight="1">
      <c r="A41139" s="7"/>
      <c r="B41139" s="7"/>
      <c r="M41139" s="9" t="s">
        <v>27</v>
      </c>
    </row>
    <row r="41140" ht="15.75" customHeight="1">
      <c r="A41140" s="7"/>
      <c r="B41140" s="7"/>
      <c r="M41140" s="9" t="s">
        <v>33</v>
      </c>
    </row>
    <row r="41141" ht="15.75" customHeight="1">
      <c r="A41141" s="7"/>
      <c r="B41141" s="7"/>
      <c r="M41141" s="9" t="s">
        <v>26</v>
      </c>
    </row>
    <row r="41142" ht="15.75" customHeight="1">
      <c r="A41142" s="7"/>
      <c r="B41142" s="7"/>
      <c r="M41142" s="9" t="s">
        <v>20</v>
      </c>
    </row>
    <row r="41143" ht="15.75" customHeight="1">
      <c r="A41143" s="7"/>
      <c r="B41143" s="7"/>
      <c r="M41143" s="9" t="s">
        <v>27</v>
      </c>
    </row>
    <row r="41144" ht="15.75" customHeight="1">
      <c r="A41144" s="7"/>
      <c r="B41144" s="7"/>
      <c r="M41144" s="9" t="s">
        <v>21</v>
      </c>
    </row>
    <row r="41145" ht="15.75" customHeight="1">
      <c r="A41145" s="7"/>
      <c r="B41145" s="7"/>
      <c r="M41145" s="9" t="s">
        <v>37</v>
      </c>
    </row>
    <row r="41146" ht="15.75" customHeight="1">
      <c r="A41146" s="7"/>
      <c r="B41146" s="7"/>
      <c r="M41146" s="9" t="s">
        <v>33</v>
      </c>
    </row>
    <row r="41147" ht="15.75" customHeight="1">
      <c r="A41147" s="7"/>
      <c r="B41147" s="7"/>
      <c r="M41147" s="9" t="s">
        <v>25</v>
      </c>
    </row>
    <row r="41148" ht="15.75" customHeight="1">
      <c r="A41148" s="7"/>
      <c r="B41148" s="7"/>
      <c r="M41148" s="9" t="s">
        <v>23</v>
      </c>
    </row>
    <row r="41149" ht="15.75" customHeight="1">
      <c r="A41149" s="7"/>
      <c r="B41149" s="7"/>
      <c r="M41149" s="9" t="s">
        <v>24</v>
      </c>
    </row>
    <row r="41150" ht="15.75" customHeight="1">
      <c r="A41150" s="7"/>
      <c r="B41150" s="7"/>
      <c r="M41150" s="9" t="s">
        <v>20</v>
      </c>
    </row>
    <row r="41151" ht="15.75" customHeight="1">
      <c r="A41151" s="7"/>
      <c r="B41151" s="7"/>
      <c r="M41151" s="9" t="s">
        <v>21</v>
      </c>
    </row>
    <row r="41152" ht="15.75" customHeight="1">
      <c r="A41152" s="7"/>
      <c r="B41152" s="7"/>
      <c r="M41152" s="9" t="s">
        <v>37</v>
      </c>
    </row>
    <row r="41153" ht="15.75" customHeight="1">
      <c r="A41153" s="7"/>
      <c r="B41153" s="7"/>
      <c r="M41153" s="9" t="s">
        <v>22</v>
      </c>
    </row>
    <row r="41154" ht="15.75" customHeight="1">
      <c r="A41154" s="7"/>
      <c r="B41154" s="7"/>
      <c r="M41154" s="9" t="s">
        <v>35</v>
      </c>
    </row>
    <row r="41155" ht="15.75" customHeight="1">
      <c r="A41155" s="7"/>
      <c r="B41155" s="7"/>
      <c r="M41155" s="9" t="s">
        <v>26</v>
      </c>
    </row>
    <row r="41156" ht="15.75" customHeight="1">
      <c r="A41156" s="7"/>
      <c r="B41156" s="7"/>
      <c r="M41156" s="9" t="s">
        <v>24</v>
      </c>
    </row>
    <row r="41157" ht="15.75" customHeight="1">
      <c r="A41157" s="7"/>
      <c r="B41157" s="7"/>
      <c r="M41157" s="9" t="s">
        <v>21</v>
      </c>
    </row>
    <row r="41158" ht="15.75" customHeight="1">
      <c r="A41158" s="7"/>
      <c r="B41158" s="7"/>
      <c r="M41158" s="9" t="s">
        <v>27</v>
      </c>
    </row>
    <row r="41159" ht="15.75" customHeight="1">
      <c r="A41159" s="7"/>
      <c r="B41159" s="7"/>
      <c r="M41159" s="9" t="s">
        <v>30</v>
      </c>
    </row>
    <row r="41160" ht="15.75" customHeight="1">
      <c r="A41160" s="7"/>
      <c r="B41160" s="7"/>
      <c r="M41160" s="9" t="s">
        <v>25</v>
      </c>
    </row>
    <row r="41161" ht="15.75" customHeight="1">
      <c r="A41161" s="7"/>
      <c r="B41161" s="7"/>
      <c r="M41161" s="9" t="s">
        <v>23</v>
      </c>
    </row>
    <row r="41162" ht="15.75" customHeight="1">
      <c r="A41162" s="7"/>
      <c r="B41162" s="7"/>
      <c r="M41162" s="9" t="s">
        <v>24</v>
      </c>
    </row>
    <row r="41163" ht="15.75" customHeight="1">
      <c r="A41163" s="7"/>
      <c r="B41163" s="7"/>
      <c r="M41163" s="9" t="s">
        <v>21</v>
      </c>
    </row>
    <row r="41164" ht="15.75" customHeight="1">
      <c r="A41164" s="7"/>
      <c r="B41164" s="7"/>
      <c r="M41164" s="9" t="s">
        <v>31</v>
      </c>
    </row>
    <row r="41165" ht="15.75" customHeight="1">
      <c r="A41165" s="7"/>
      <c r="B41165" s="7"/>
      <c r="M41165" s="9" t="s">
        <v>27</v>
      </c>
    </row>
    <row r="41166" ht="15.75" customHeight="1">
      <c r="A41166" s="7"/>
      <c r="B41166" s="7"/>
      <c r="M41166" s="9" t="s">
        <v>30</v>
      </c>
    </row>
    <row r="41167" ht="15.75" customHeight="1">
      <c r="A41167" s="7"/>
      <c r="B41167" s="7"/>
      <c r="M41167" s="9" t="s">
        <v>24</v>
      </c>
    </row>
    <row r="41168" ht="15.75" customHeight="1">
      <c r="A41168" s="7"/>
      <c r="B41168" s="7"/>
      <c r="M41168" s="9" t="s">
        <v>21</v>
      </c>
    </row>
    <row r="41169" ht="15.75" customHeight="1">
      <c r="A41169" s="7"/>
      <c r="B41169" s="7"/>
      <c r="M41169" s="9" t="s">
        <v>29</v>
      </c>
    </row>
    <row r="41170" ht="15.75" customHeight="1">
      <c r="A41170" s="7"/>
      <c r="B41170" s="7"/>
      <c r="M41170" s="9" t="s">
        <v>27</v>
      </c>
    </row>
    <row r="41171" ht="15.75" customHeight="1">
      <c r="A41171" s="7"/>
      <c r="B41171" s="7"/>
      <c r="M41171" s="9" t="s">
        <v>28</v>
      </c>
    </row>
    <row r="41172" ht="15.75" customHeight="1">
      <c r="A41172" s="7"/>
      <c r="B41172" s="7"/>
      <c r="M41172" s="9" t="s">
        <v>20</v>
      </c>
    </row>
    <row r="41173" ht="15.75" customHeight="1">
      <c r="A41173" s="7"/>
      <c r="B41173" s="7"/>
      <c r="M41173" s="9" t="s">
        <v>22</v>
      </c>
    </row>
    <row r="41174" ht="15.75" customHeight="1">
      <c r="A41174" s="7"/>
      <c r="B41174" s="7"/>
      <c r="M41174" s="9" t="s">
        <v>24</v>
      </c>
    </row>
    <row r="41175" ht="15.75" customHeight="1">
      <c r="A41175" s="7"/>
      <c r="B41175" s="7"/>
      <c r="M41175" s="9" t="s">
        <v>20</v>
      </c>
    </row>
    <row r="41176" ht="15.75" customHeight="1">
      <c r="A41176" s="7"/>
      <c r="B41176" s="7"/>
      <c r="M41176" s="9" t="s">
        <v>39</v>
      </c>
    </row>
    <row r="41177" ht="15.75" customHeight="1">
      <c r="A41177" s="7"/>
      <c r="B41177" s="7"/>
      <c r="M41177" s="9" t="s">
        <v>41</v>
      </c>
    </row>
    <row r="41178" ht="15.75" customHeight="1">
      <c r="A41178" s="7"/>
      <c r="B41178" s="7"/>
      <c r="M41178" s="9" t="s">
        <v>37</v>
      </c>
    </row>
    <row r="41179" ht="15.75" customHeight="1">
      <c r="A41179" s="7"/>
      <c r="B41179" s="7"/>
      <c r="M41179" s="9" t="s">
        <v>27</v>
      </c>
    </row>
    <row r="41180" ht="15.75" customHeight="1">
      <c r="A41180" s="7"/>
      <c r="B41180" s="7"/>
      <c r="M41180" s="9" t="s">
        <v>40</v>
      </c>
    </row>
    <row r="41181" ht="15.75" customHeight="1">
      <c r="A41181" s="7"/>
      <c r="B41181" s="7"/>
      <c r="M41181" s="9" t="s">
        <v>30</v>
      </c>
    </row>
    <row r="41182" ht="15.75" customHeight="1">
      <c r="A41182" s="7"/>
      <c r="B41182" s="7"/>
      <c r="M41182" s="9" t="s">
        <v>24</v>
      </c>
    </row>
    <row r="41183" ht="15.75" customHeight="1">
      <c r="A41183" s="7"/>
      <c r="B41183" s="7"/>
      <c r="M41183" s="9" t="s">
        <v>20</v>
      </c>
    </row>
    <row r="41184" ht="15.75" customHeight="1">
      <c r="A41184" s="7"/>
      <c r="B41184" s="7"/>
      <c r="M41184" s="9" t="s">
        <v>21</v>
      </c>
    </row>
    <row r="41185" ht="15.75" customHeight="1">
      <c r="A41185" s="7"/>
      <c r="B41185" s="7"/>
      <c r="M41185" s="9" t="s">
        <v>27</v>
      </c>
    </row>
    <row r="41186" ht="15.75" customHeight="1">
      <c r="A41186" s="7"/>
      <c r="B41186" s="7"/>
      <c r="M41186" s="9" t="s">
        <v>30</v>
      </c>
    </row>
    <row r="41187" ht="15.75" customHeight="1">
      <c r="A41187" s="7"/>
      <c r="B41187" s="7"/>
      <c r="M41187" s="9" t="s">
        <v>36</v>
      </c>
    </row>
    <row r="41188" ht="15.75" customHeight="1">
      <c r="A41188" s="7"/>
      <c r="B41188" s="7"/>
      <c r="M41188" s="9" t="s">
        <v>20</v>
      </c>
    </row>
    <row r="41189" ht="15.75" customHeight="1">
      <c r="A41189" s="7"/>
      <c r="B41189" s="7"/>
      <c r="M41189" s="9" t="s">
        <v>37</v>
      </c>
    </row>
    <row r="41190" ht="15.75" customHeight="1">
      <c r="A41190" s="7"/>
      <c r="B41190" s="7"/>
      <c r="M41190" s="9" t="s">
        <v>22</v>
      </c>
    </row>
    <row r="41191" ht="15.75" customHeight="1">
      <c r="A41191" s="7"/>
      <c r="B41191" s="7"/>
      <c r="M41191" s="9" t="s">
        <v>27</v>
      </c>
    </row>
    <row r="41192" ht="15.75" customHeight="1">
      <c r="A41192" s="7"/>
      <c r="B41192" s="7"/>
      <c r="M41192" s="9" t="s">
        <v>30</v>
      </c>
    </row>
    <row r="41193" ht="15.75" customHeight="1">
      <c r="A41193" s="7"/>
      <c r="B41193" s="7"/>
      <c r="M41193" s="9" t="s">
        <v>26</v>
      </c>
    </row>
    <row r="41194" ht="15.75" customHeight="1">
      <c r="A41194" s="7"/>
      <c r="B41194" s="7"/>
      <c r="M41194" s="9" t="s">
        <v>22</v>
      </c>
    </row>
    <row r="41195" ht="15.75" customHeight="1">
      <c r="A41195" s="7"/>
      <c r="B41195" s="7"/>
      <c r="M41195" s="9" t="s">
        <v>27</v>
      </c>
    </row>
    <row r="41196" ht="15.75" customHeight="1">
      <c r="A41196" s="7"/>
      <c r="B41196" s="7"/>
      <c r="M41196" s="9" t="s">
        <v>40</v>
      </c>
    </row>
    <row r="41197" ht="15.75" customHeight="1">
      <c r="A41197" s="7"/>
      <c r="B41197" s="7"/>
      <c r="M41197" s="9" t="s">
        <v>35</v>
      </c>
    </row>
    <row r="41198" ht="15.75" customHeight="1">
      <c r="A41198" s="7"/>
      <c r="B41198" s="7"/>
      <c r="M41198" s="9" t="s">
        <v>24</v>
      </c>
    </row>
    <row r="41199" ht="15.75" customHeight="1">
      <c r="A41199" s="7"/>
      <c r="B41199" s="7"/>
      <c r="M41199" s="9" t="s">
        <v>21</v>
      </c>
    </row>
    <row r="41200" ht="15.75" customHeight="1">
      <c r="A41200" s="7"/>
      <c r="B41200" s="7"/>
      <c r="M41200" s="9" t="s">
        <v>37</v>
      </c>
    </row>
    <row r="41201" ht="15.75" customHeight="1">
      <c r="A41201" s="7"/>
      <c r="B41201" s="7"/>
      <c r="M41201" s="9" t="s">
        <v>27</v>
      </c>
    </row>
    <row r="41202" ht="15.75" customHeight="1">
      <c r="A41202" s="7"/>
      <c r="B41202" s="7"/>
      <c r="M41202" s="9" t="s">
        <v>35</v>
      </c>
    </row>
    <row r="41203" ht="15.75" customHeight="1">
      <c r="A41203" s="7"/>
      <c r="B41203" s="7"/>
      <c r="M41203" s="9" t="s">
        <v>20</v>
      </c>
    </row>
    <row r="41204" ht="15.75" customHeight="1">
      <c r="A41204" s="7"/>
      <c r="B41204" s="7"/>
      <c r="M41204" s="9" t="s">
        <v>27</v>
      </c>
    </row>
    <row r="41205" ht="15.75" customHeight="1">
      <c r="A41205" s="7"/>
      <c r="B41205" s="7"/>
      <c r="M41205" s="9" t="s">
        <v>23</v>
      </c>
    </row>
    <row r="41206" ht="15.75" customHeight="1">
      <c r="A41206" s="7"/>
      <c r="B41206" s="7"/>
      <c r="M41206" s="9" t="s">
        <v>26</v>
      </c>
    </row>
    <row r="41207" ht="15.75" customHeight="1">
      <c r="A41207" s="7"/>
      <c r="B41207" s="7"/>
      <c r="M41207" s="9" t="s">
        <v>24</v>
      </c>
    </row>
    <row r="41208" ht="15.75" customHeight="1">
      <c r="A41208" s="7"/>
      <c r="B41208" s="7"/>
      <c r="M41208" s="9" t="s">
        <v>21</v>
      </c>
    </row>
    <row r="41209" ht="15.75" customHeight="1">
      <c r="A41209" s="7"/>
      <c r="B41209" s="7"/>
      <c r="M41209" s="9" t="s">
        <v>27</v>
      </c>
    </row>
    <row r="41210" ht="15.75" customHeight="1">
      <c r="A41210" s="7"/>
      <c r="B41210" s="7"/>
      <c r="M41210" s="9" t="s">
        <v>33</v>
      </c>
    </row>
    <row r="41211" ht="15.75" customHeight="1">
      <c r="A41211" s="7"/>
      <c r="B41211" s="7"/>
      <c r="M41211" s="9" t="s">
        <v>26</v>
      </c>
    </row>
    <row r="41212" ht="15.75" customHeight="1">
      <c r="A41212" s="7"/>
      <c r="B41212" s="7"/>
      <c r="M41212" s="9" t="s">
        <v>24</v>
      </c>
    </row>
    <row r="41213" ht="15.75" customHeight="1">
      <c r="A41213" s="7"/>
      <c r="B41213" s="7"/>
      <c r="M41213" s="9" t="s">
        <v>21</v>
      </c>
    </row>
    <row r="41214" ht="15.75" customHeight="1">
      <c r="A41214" s="7"/>
      <c r="B41214" s="7"/>
      <c r="M41214" s="9" t="s">
        <v>27</v>
      </c>
    </row>
    <row r="41215" ht="15.75" customHeight="1">
      <c r="A41215" s="7"/>
      <c r="B41215" s="7"/>
      <c r="M41215" s="9" t="s">
        <v>28</v>
      </c>
    </row>
    <row r="41216" ht="15.75" customHeight="1">
      <c r="A41216" s="7"/>
      <c r="B41216" s="7"/>
      <c r="M41216" s="9" t="s">
        <v>25</v>
      </c>
    </row>
    <row r="41217" ht="15.75" customHeight="1">
      <c r="A41217" s="7"/>
      <c r="B41217" s="7"/>
      <c r="M41217" s="9" t="s">
        <v>26</v>
      </c>
    </row>
    <row r="41218" ht="15.75" customHeight="1">
      <c r="A41218" s="7"/>
      <c r="B41218" s="7"/>
      <c r="M41218" s="9" t="s">
        <v>24</v>
      </c>
    </row>
    <row r="41219" ht="15.75" customHeight="1">
      <c r="A41219" s="7"/>
      <c r="B41219" s="7"/>
      <c r="M41219" s="9" t="s">
        <v>30</v>
      </c>
    </row>
    <row r="41220" ht="15.75" customHeight="1">
      <c r="A41220" s="7"/>
      <c r="B41220" s="7"/>
      <c r="M41220" s="9" t="s">
        <v>24</v>
      </c>
    </row>
    <row r="41221" ht="15.75" customHeight="1">
      <c r="A41221" s="7"/>
      <c r="B41221" s="7"/>
      <c r="M41221" s="9" t="s">
        <v>21</v>
      </c>
    </row>
    <row r="41222" ht="15.75" customHeight="1">
      <c r="A41222" s="7"/>
      <c r="B41222" s="7"/>
      <c r="M41222" s="9" t="s">
        <v>39</v>
      </c>
    </row>
    <row r="41223" ht="15.75" customHeight="1">
      <c r="A41223" s="7"/>
      <c r="B41223" s="7"/>
      <c r="M41223" s="9" t="s">
        <v>41</v>
      </c>
    </row>
    <row r="41224" ht="15.75" customHeight="1">
      <c r="A41224" s="7"/>
      <c r="B41224" s="7"/>
      <c r="M41224" s="9" t="s">
        <v>27</v>
      </c>
    </row>
    <row r="41225" ht="15.75" customHeight="1">
      <c r="A41225" s="7"/>
      <c r="B41225" s="7"/>
      <c r="M41225" s="9" t="s">
        <v>40</v>
      </c>
    </row>
    <row r="41226" ht="15.75" customHeight="1">
      <c r="A41226" s="7"/>
      <c r="B41226" s="7"/>
      <c r="M41226" s="9" t="s">
        <v>33</v>
      </c>
    </row>
    <row r="41227" ht="15.75" customHeight="1">
      <c r="A41227" s="7"/>
      <c r="B41227" s="7"/>
      <c r="M41227" s="9" t="s">
        <v>30</v>
      </c>
    </row>
    <row r="41228" ht="15.75" customHeight="1">
      <c r="A41228" s="7"/>
      <c r="B41228" s="7"/>
      <c r="M41228" s="9" t="s">
        <v>26</v>
      </c>
    </row>
    <row r="41229" ht="15.75" customHeight="1">
      <c r="A41229" s="7"/>
      <c r="B41229" s="7"/>
      <c r="M41229" s="9" t="s">
        <v>24</v>
      </c>
    </row>
    <row r="41230" ht="15.75" customHeight="1">
      <c r="A41230" s="7"/>
      <c r="B41230" s="7"/>
      <c r="M41230" s="9" t="s">
        <v>21</v>
      </c>
    </row>
    <row r="41231" ht="15.75" customHeight="1">
      <c r="A41231" s="7"/>
      <c r="B41231" s="7"/>
      <c r="M41231" s="9" t="s">
        <v>37</v>
      </c>
    </row>
    <row r="41232" ht="15.75" customHeight="1">
      <c r="A41232" s="7"/>
      <c r="B41232" s="7"/>
      <c r="M41232" s="9" t="s">
        <v>27</v>
      </c>
    </row>
    <row r="41233" ht="15.75" customHeight="1">
      <c r="A41233" s="7"/>
      <c r="B41233" s="7"/>
      <c r="M41233" s="9" t="s">
        <v>24</v>
      </c>
    </row>
    <row r="41234" ht="15.75" customHeight="1">
      <c r="A41234" s="7"/>
      <c r="B41234" s="7"/>
      <c r="M41234" s="9" t="s">
        <v>20</v>
      </c>
    </row>
    <row r="41235" ht="15.75" customHeight="1">
      <c r="A41235" s="7"/>
      <c r="B41235" s="7"/>
      <c r="M41235" s="9" t="s">
        <v>21</v>
      </c>
    </row>
    <row r="41236" ht="15.75" customHeight="1">
      <c r="A41236" s="7"/>
      <c r="B41236" s="7"/>
      <c r="M41236" s="9" t="s">
        <v>37</v>
      </c>
    </row>
    <row r="41237" ht="15.75" customHeight="1">
      <c r="A41237" s="7"/>
      <c r="B41237" s="7"/>
      <c r="M41237" s="9" t="s">
        <v>27</v>
      </c>
    </row>
    <row r="41238" ht="15.75" customHeight="1">
      <c r="A41238" s="7"/>
      <c r="B41238" s="7"/>
      <c r="M41238" s="9" t="s">
        <v>33</v>
      </c>
    </row>
    <row r="41239" ht="15.75" customHeight="1">
      <c r="A41239" s="7"/>
      <c r="B41239" s="7"/>
      <c r="M41239" s="9" t="s">
        <v>24</v>
      </c>
    </row>
    <row r="41240" ht="15.75" customHeight="1">
      <c r="A41240" s="7"/>
      <c r="B41240" s="7"/>
      <c r="M41240" s="9" t="s">
        <v>20</v>
      </c>
    </row>
    <row r="41241" ht="15.75" customHeight="1">
      <c r="A41241" s="7"/>
      <c r="B41241" s="7"/>
      <c r="M41241" s="9" t="s">
        <v>21</v>
      </c>
    </row>
    <row r="41242" ht="15.75" customHeight="1">
      <c r="A41242" s="7"/>
      <c r="B41242" s="7"/>
      <c r="M41242" s="9" t="s">
        <v>25</v>
      </c>
    </row>
    <row r="41243" ht="15.75" customHeight="1">
      <c r="A41243" s="7"/>
      <c r="B41243" s="7"/>
      <c r="M41243" s="9" t="s">
        <v>24</v>
      </c>
    </row>
    <row r="41244" ht="15.75" customHeight="1">
      <c r="A41244" s="7"/>
      <c r="B41244" s="7"/>
      <c r="M41244" s="9" t="s">
        <v>21</v>
      </c>
    </row>
    <row r="41245" ht="15.75" customHeight="1">
      <c r="A41245" s="7"/>
      <c r="B41245" s="7"/>
      <c r="M41245" s="9" t="s">
        <v>41</v>
      </c>
    </row>
    <row r="41246" ht="15.75" customHeight="1">
      <c r="A41246" s="7"/>
      <c r="B41246" s="7"/>
      <c r="M41246" s="9" t="s">
        <v>37</v>
      </c>
    </row>
    <row r="41247" ht="15.75" customHeight="1">
      <c r="A41247" s="7"/>
      <c r="B41247" s="7"/>
      <c r="M41247" s="9" t="s">
        <v>22</v>
      </c>
    </row>
    <row r="41248" ht="15.75" customHeight="1">
      <c r="A41248" s="7"/>
      <c r="B41248" s="7"/>
      <c r="M41248" s="9" t="s">
        <v>38</v>
      </c>
    </row>
    <row r="41249" ht="15.75" customHeight="1">
      <c r="A41249" s="7"/>
      <c r="B41249" s="7"/>
      <c r="M41249" s="9" t="s">
        <v>26</v>
      </c>
    </row>
    <row r="41250" ht="15.75" customHeight="1">
      <c r="A41250" s="7"/>
      <c r="B41250" s="7"/>
      <c r="M41250" s="9" t="s">
        <v>43</v>
      </c>
    </row>
    <row r="41251" ht="15.75" customHeight="1">
      <c r="A41251" s="7"/>
      <c r="B41251" s="7"/>
      <c r="M41251" s="9" t="s">
        <v>20</v>
      </c>
    </row>
    <row r="41252" ht="15.75" customHeight="1">
      <c r="A41252" s="7"/>
      <c r="B41252" s="7"/>
      <c r="M41252" s="9" t="s">
        <v>27</v>
      </c>
    </row>
    <row r="41253" ht="15.75" customHeight="1">
      <c r="A41253" s="7"/>
      <c r="B41253" s="7"/>
      <c r="M41253" s="9" t="s">
        <v>22</v>
      </c>
    </row>
    <row r="41254" ht="15.75" customHeight="1">
      <c r="A41254" s="7"/>
      <c r="B41254" s="7"/>
      <c r="M41254" s="9" t="s">
        <v>29</v>
      </c>
    </row>
    <row r="41255" ht="15.75" customHeight="1">
      <c r="A41255" s="7"/>
      <c r="B41255" s="7"/>
      <c r="M41255" s="9" t="s">
        <v>25</v>
      </c>
    </row>
    <row r="41256" ht="15.75" customHeight="1">
      <c r="A41256" s="7"/>
      <c r="B41256" s="7"/>
      <c r="M41256" s="9" t="s">
        <v>23</v>
      </c>
    </row>
    <row r="41257" ht="15.75" customHeight="1">
      <c r="A41257" s="7"/>
      <c r="B41257" s="7"/>
      <c r="M41257" s="9" t="s">
        <v>22</v>
      </c>
    </row>
    <row r="41258" ht="15.75" customHeight="1">
      <c r="A41258" s="7"/>
      <c r="B41258" s="7"/>
      <c r="M41258" s="9" t="s">
        <v>30</v>
      </c>
    </row>
    <row r="41259" ht="15.75" customHeight="1">
      <c r="A41259" s="7"/>
      <c r="B41259" s="7"/>
      <c r="M41259" s="9" t="s">
        <v>25</v>
      </c>
    </row>
    <row r="41260" ht="15.75" customHeight="1">
      <c r="A41260" s="7"/>
      <c r="B41260" s="7"/>
      <c r="M41260" s="9" t="s">
        <v>23</v>
      </c>
    </row>
    <row r="41261" ht="15.75" customHeight="1">
      <c r="A41261" s="7"/>
      <c r="B41261" s="7"/>
      <c r="M41261" s="9" t="s">
        <v>20</v>
      </c>
    </row>
    <row r="41262" ht="15.75" customHeight="1">
      <c r="A41262" s="7"/>
      <c r="B41262" s="7"/>
      <c r="M41262" s="9" t="s">
        <v>39</v>
      </c>
    </row>
    <row r="41263" ht="15.75" customHeight="1">
      <c r="A41263" s="7"/>
      <c r="B41263" s="7"/>
      <c r="M41263" s="9" t="s">
        <v>40</v>
      </c>
    </row>
    <row r="41264" ht="15.75" customHeight="1">
      <c r="A41264" s="7"/>
      <c r="B41264" s="7"/>
      <c r="M41264" s="9" t="s">
        <v>30</v>
      </c>
    </row>
    <row r="41265" ht="15.75" customHeight="1">
      <c r="A41265" s="7"/>
      <c r="B41265" s="7"/>
      <c r="M41265" s="9" t="s">
        <v>23</v>
      </c>
    </row>
    <row r="41266" ht="15.75" customHeight="1">
      <c r="A41266" s="7"/>
      <c r="B41266" s="7"/>
      <c r="M41266" s="9" t="s">
        <v>26</v>
      </c>
    </row>
    <row r="41267" ht="15.75" customHeight="1">
      <c r="A41267" s="7"/>
      <c r="B41267" s="7"/>
      <c r="M41267" s="9" t="s">
        <v>24</v>
      </c>
    </row>
    <row r="41268" ht="15.75" customHeight="1">
      <c r="A41268" s="7"/>
      <c r="B41268" s="7"/>
      <c r="M41268" s="9" t="s">
        <v>21</v>
      </c>
    </row>
    <row r="41269" ht="15.75" customHeight="1">
      <c r="A41269" s="7"/>
      <c r="B41269" s="7"/>
      <c r="M41269" s="9" t="s">
        <v>37</v>
      </c>
    </row>
    <row r="41270" ht="15.75" customHeight="1">
      <c r="A41270" s="7"/>
      <c r="B41270" s="7"/>
      <c r="M41270" s="9" t="s">
        <v>27</v>
      </c>
    </row>
    <row r="41271" ht="15.75" customHeight="1">
      <c r="A41271" s="7"/>
      <c r="B41271" s="7"/>
      <c r="M41271" s="9" t="s">
        <v>24</v>
      </c>
    </row>
    <row r="41272" ht="15.75" customHeight="1">
      <c r="A41272" s="7"/>
      <c r="B41272" s="7"/>
      <c r="M41272" s="9" t="s">
        <v>21</v>
      </c>
    </row>
    <row r="41273" ht="15.75" customHeight="1">
      <c r="A41273" s="7"/>
      <c r="B41273" s="7"/>
      <c r="M41273" s="9" t="s">
        <v>37</v>
      </c>
    </row>
    <row r="41274" ht="15.75" customHeight="1">
      <c r="A41274" s="7"/>
      <c r="B41274" s="7"/>
      <c r="M41274" s="9" t="s">
        <v>27</v>
      </c>
    </row>
    <row r="41275" ht="15.75" customHeight="1">
      <c r="A41275" s="7"/>
      <c r="B41275" s="7"/>
      <c r="M41275" s="9" t="s">
        <v>30</v>
      </c>
    </row>
    <row r="41276" ht="15.75" customHeight="1">
      <c r="A41276" s="7"/>
      <c r="B41276" s="7"/>
      <c r="M41276" s="9" t="s">
        <v>23</v>
      </c>
    </row>
    <row r="41277" ht="15.75" customHeight="1">
      <c r="A41277" s="7"/>
      <c r="B41277" s="7"/>
      <c r="M41277" s="9" t="s">
        <v>26</v>
      </c>
    </row>
    <row r="41278" ht="15.75" customHeight="1">
      <c r="A41278" s="7"/>
      <c r="B41278" s="7"/>
      <c r="M41278" s="9" t="s">
        <v>21</v>
      </c>
    </row>
    <row r="41279" ht="15.75" customHeight="1">
      <c r="A41279" s="7"/>
      <c r="B41279" s="7"/>
      <c r="M41279" s="9" t="s">
        <v>22</v>
      </c>
    </row>
    <row r="41280" ht="15.75" customHeight="1">
      <c r="A41280" s="7"/>
      <c r="B41280" s="7"/>
      <c r="M41280" s="9" t="s">
        <v>38</v>
      </c>
    </row>
    <row r="41281" ht="15.75" customHeight="1">
      <c r="A41281" s="7"/>
      <c r="B41281" s="7"/>
      <c r="M41281" s="9" t="s">
        <v>21</v>
      </c>
    </row>
    <row r="41282" ht="15.75" customHeight="1">
      <c r="A41282" s="7"/>
      <c r="B41282" s="7"/>
      <c r="M41282" s="9" t="s">
        <v>22</v>
      </c>
    </row>
    <row r="41283" ht="15.75" customHeight="1">
      <c r="A41283" s="7"/>
      <c r="B41283" s="7"/>
      <c r="M41283" s="9" t="s">
        <v>22</v>
      </c>
    </row>
    <row r="41284" ht="15.75" customHeight="1">
      <c r="A41284" s="7"/>
      <c r="B41284" s="7"/>
      <c r="M41284" s="9" t="s">
        <v>29</v>
      </c>
    </row>
    <row r="41285" ht="15.75" customHeight="1">
      <c r="A41285" s="7"/>
      <c r="B41285" s="7"/>
      <c r="M41285" s="9" t="s">
        <v>26</v>
      </c>
    </row>
    <row r="41286" ht="15.75" customHeight="1">
      <c r="A41286" s="7"/>
      <c r="B41286" s="7"/>
      <c r="M41286" s="9" t="s">
        <v>24</v>
      </c>
    </row>
    <row r="41287" ht="15.75" customHeight="1">
      <c r="A41287" s="7"/>
      <c r="B41287" s="7"/>
      <c r="M41287" s="9" t="s">
        <v>21</v>
      </c>
    </row>
    <row r="41288" ht="15.75" customHeight="1">
      <c r="A41288" s="7"/>
      <c r="B41288" s="7"/>
      <c r="M41288" s="9" t="s">
        <v>27</v>
      </c>
    </row>
    <row r="41289" ht="15.75" customHeight="1">
      <c r="A41289" s="7"/>
      <c r="B41289" s="7"/>
      <c r="M41289" s="9" t="s">
        <v>33</v>
      </c>
    </row>
    <row r="41290" ht="15.75" customHeight="1">
      <c r="A41290" s="7"/>
      <c r="B41290" s="7"/>
      <c r="M41290" s="9" t="s">
        <v>20</v>
      </c>
    </row>
    <row r="41291" ht="15.75" customHeight="1">
      <c r="A41291" s="7"/>
      <c r="B41291" s="7"/>
      <c r="M41291" s="9" t="s">
        <v>21</v>
      </c>
    </row>
    <row r="41292" ht="15.75" customHeight="1">
      <c r="A41292" s="7"/>
      <c r="B41292" s="7"/>
      <c r="M41292" s="9" t="s">
        <v>22</v>
      </c>
    </row>
    <row r="41293" ht="15.75" customHeight="1">
      <c r="A41293" s="7"/>
      <c r="B41293" s="7"/>
      <c r="M41293" s="9" t="s">
        <v>21</v>
      </c>
    </row>
    <row r="41294" ht="15.75" customHeight="1">
      <c r="A41294" s="7"/>
      <c r="B41294" s="7"/>
      <c r="M41294" s="9" t="s">
        <v>33</v>
      </c>
    </row>
    <row r="41295" ht="15.75" customHeight="1">
      <c r="A41295" s="7"/>
      <c r="B41295" s="7"/>
      <c r="M41295" s="9" t="s">
        <v>34</v>
      </c>
    </row>
    <row r="41296" ht="15.75" customHeight="1">
      <c r="A41296" s="7"/>
      <c r="B41296" s="7"/>
      <c r="M41296" s="9" t="s">
        <v>21</v>
      </c>
    </row>
    <row r="41297" ht="15.75" customHeight="1">
      <c r="A41297" s="7"/>
      <c r="B41297" s="7"/>
      <c r="M41297" s="9" t="s">
        <v>37</v>
      </c>
    </row>
    <row r="41298" ht="15.75" customHeight="1">
      <c r="A41298" s="7"/>
      <c r="B41298" s="7"/>
      <c r="M41298" s="9" t="s">
        <v>44</v>
      </c>
    </row>
    <row r="41299" ht="15.75" customHeight="1">
      <c r="A41299" s="7"/>
      <c r="B41299" s="7"/>
      <c r="M41299" s="9" t="s">
        <v>24</v>
      </c>
    </row>
    <row r="41300" ht="15.75" customHeight="1">
      <c r="A41300" s="7"/>
      <c r="B41300" s="7"/>
      <c r="M41300" s="9" t="s">
        <v>20</v>
      </c>
    </row>
    <row r="41301" ht="15.75" customHeight="1">
      <c r="A41301" s="7"/>
      <c r="B41301" s="7"/>
      <c r="M41301" s="9" t="s">
        <v>21</v>
      </c>
    </row>
    <row r="41302" ht="15.75" customHeight="1">
      <c r="A41302" s="7"/>
      <c r="B41302" s="7"/>
      <c r="M41302" s="9" t="s">
        <v>27</v>
      </c>
    </row>
    <row r="41303" ht="15.75" customHeight="1">
      <c r="A41303" s="7"/>
      <c r="B41303" s="7"/>
      <c r="M41303" s="9" t="s">
        <v>35</v>
      </c>
    </row>
    <row r="41304" ht="15.75" customHeight="1">
      <c r="A41304" s="7"/>
      <c r="B41304" s="7"/>
      <c r="M41304" s="9" t="s">
        <v>30</v>
      </c>
    </row>
    <row r="41305" ht="15.75" customHeight="1">
      <c r="A41305" s="7"/>
      <c r="B41305" s="7"/>
      <c r="M41305" s="9" t="s">
        <v>25</v>
      </c>
    </row>
    <row r="41306" ht="15.75" customHeight="1">
      <c r="A41306" s="7"/>
      <c r="B41306" s="7"/>
      <c r="M41306" s="9" t="s">
        <v>23</v>
      </c>
    </row>
    <row r="41307" ht="15.75" customHeight="1">
      <c r="A41307" s="7"/>
      <c r="B41307" s="7"/>
      <c r="M41307" s="9" t="s">
        <v>44</v>
      </c>
    </row>
    <row r="41308" ht="15.75" customHeight="1">
      <c r="A41308" s="7"/>
      <c r="B41308" s="7"/>
      <c r="M41308" s="9" t="s">
        <v>24</v>
      </c>
    </row>
    <row r="41309" ht="15.75" customHeight="1">
      <c r="A41309" s="7"/>
      <c r="B41309" s="7"/>
      <c r="M41309" s="9" t="s">
        <v>21</v>
      </c>
    </row>
    <row r="41310" ht="15.75" customHeight="1">
      <c r="A41310" s="7"/>
      <c r="B41310" s="7"/>
      <c r="M41310" s="9" t="s">
        <v>22</v>
      </c>
    </row>
    <row r="41311" ht="15.75" customHeight="1">
      <c r="A41311" s="7"/>
      <c r="B41311" s="7"/>
      <c r="M41311" s="9" t="s">
        <v>27</v>
      </c>
    </row>
    <row r="41312" ht="15.75" customHeight="1">
      <c r="A41312" s="7"/>
      <c r="B41312" s="7"/>
      <c r="M41312" s="9" t="s">
        <v>33</v>
      </c>
    </row>
    <row r="41313" ht="15.75" customHeight="1">
      <c r="A41313" s="7"/>
      <c r="B41313" s="7"/>
      <c r="M41313" s="9" t="s">
        <v>30</v>
      </c>
    </row>
    <row r="41314" ht="15.75" customHeight="1">
      <c r="A41314" s="7"/>
      <c r="B41314" s="7"/>
      <c r="M41314" s="9" t="s">
        <v>23</v>
      </c>
    </row>
    <row r="41315" ht="15.75" customHeight="1">
      <c r="A41315" s="7"/>
      <c r="B41315" s="7"/>
      <c r="M41315" s="9" t="s">
        <v>26</v>
      </c>
    </row>
    <row r="41316" ht="15.75" customHeight="1">
      <c r="A41316" s="7"/>
      <c r="B41316" s="7"/>
      <c r="M41316" s="9" t="s">
        <v>24</v>
      </c>
    </row>
    <row r="41317" ht="15.75" customHeight="1">
      <c r="A41317" s="7"/>
      <c r="B41317" s="7"/>
      <c r="M41317" s="9" t="s">
        <v>21</v>
      </c>
    </row>
    <row r="41318" ht="15.75" customHeight="1">
      <c r="A41318" s="7"/>
      <c r="B41318" s="7"/>
      <c r="M41318" s="9" t="s">
        <v>40</v>
      </c>
    </row>
    <row r="41319" ht="15.75" customHeight="1">
      <c r="A41319" s="7"/>
      <c r="B41319" s="7"/>
      <c r="M41319" s="9" t="s">
        <v>25</v>
      </c>
    </row>
    <row r="41320" ht="15.75" customHeight="1">
      <c r="A41320" s="7"/>
      <c r="B41320" s="7"/>
      <c r="M41320" s="9" t="s">
        <v>22</v>
      </c>
    </row>
    <row r="41321" ht="15.75" customHeight="1">
      <c r="A41321" s="7"/>
      <c r="B41321" s="7"/>
      <c r="M41321" s="9" t="s">
        <v>24</v>
      </c>
    </row>
    <row r="41322" ht="15.75" customHeight="1">
      <c r="A41322" s="7"/>
      <c r="B41322" s="7"/>
      <c r="M41322" s="9" t="s">
        <v>20</v>
      </c>
    </row>
    <row r="41323" ht="15.75" customHeight="1">
      <c r="A41323" s="7"/>
      <c r="B41323" s="7"/>
      <c r="M41323" s="9" t="s">
        <v>21</v>
      </c>
    </row>
    <row r="41324" ht="15.75" customHeight="1">
      <c r="A41324" s="7"/>
      <c r="B41324" s="7"/>
      <c r="M41324" s="9" t="s">
        <v>27</v>
      </c>
    </row>
    <row r="41325" ht="15.75" customHeight="1">
      <c r="A41325" s="7"/>
      <c r="B41325" s="7"/>
      <c r="M41325" s="9" t="s">
        <v>47</v>
      </c>
    </row>
    <row r="41326" ht="15.75" customHeight="1">
      <c r="A41326" s="7"/>
      <c r="B41326" s="7"/>
      <c r="M41326" s="9" t="s">
        <v>24</v>
      </c>
    </row>
    <row r="41327" ht="15.75" customHeight="1">
      <c r="A41327" s="7"/>
      <c r="B41327" s="7"/>
      <c r="M41327" s="9" t="s">
        <v>20</v>
      </c>
    </row>
    <row r="41328" ht="15.75" customHeight="1">
      <c r="A41328" s="7"/>
      <c r="B41328" s="7"/>
      <c r="M41328" s="9" t="s">
        <v>21</v>
      </c>
    </row>
    <row r="41329" ht="15.75" customHeight="1">
      <c r="A41329" s="7"/>
      <c r="B41329" s="7"/>
      <c r="M41329" s="9" t="s">
        <v>39</v>
      </c>
    </row>
    <row r="41330" ht="15.75" customHeight="1">
      <c r="A41330" s="7"/>
      <c r="B41330" s="7"/>
      <c r="M41330" s="9" t="s">
        <v>40</v>
      </c>
    </row>
    <row r="41331" ht="15.75" customHeight="1">
      <c r="A41331" s="7"/>
      <c r="B41331" s="7"/>
      <c r="M41331" s="9" t="s">
        <v>38</v>
      </c>
    </row>
    <row r="41332" ht="15.75" customHeight="1">
      <c r="A41332" s="7"/>
      <c r="B41332" s="7"/>
      <c r="M41332" s="9" t="s">
        <v>24</v>
      </c>
    </row>
    <row r="41333" ht="15.75" customHeight="1">
      <c r="A41333" s="7"/>
      <c r="B41333" s="7"/>
      <c r="M41333" s="9" t="s">
        <v>21</v>
      </c>
    </row>
    <row r="41334" ht="15.75" customHeight="1">
      <c r="A41334" s="7"/>
      <c r="B41334" s="7"/>
      <c r="M41334" s="9" t="s">
        <v>31</v>
      </c>
    </row>
    <row r="41335" ht="15.75" customHeight="1">
      <c r="A41335" s="7"/>
      <c r="B41335" s="7"/>
      <c r="M41335" s="9" t="s">
        <v>24</v>
      </c>
    </row>
    <row r="41336" ht="15.75" customHeight="1">
      <c r="A41336" s="7"/>
      <c r="B41336" s="7"/>
      <c r="M41336" s="9" t="s">
        <v>21</v>
      </c>
    </row>
    <row r="41337" ht="15.75" customHeight="1">
      <c r="A41337" s="7"/>
      <c r="B41337" s="7"/>
      <c r="M41337" s="9" t="s">
        <v>30</v>
      </c>
    </row>
    <row r="41338" ht="15.75" customHeight="1">
      <c r="A41338" s="7"/>
      <c r="B41338" s="7"/>
      <c r="M41338" s="9" t="s">
        <v>26</v>
      </c>
    </row>
    <row r="41339" ht="15.75" customHeight="1">
      <c r="A41339" s="7"/>
      <c r="B41339" s="7"/>
      <c r="M41339" s="9" t="s">
        <v>24</v>
      </c>
    </row>
    <row r="41340" ht="15.75" customHeight="1">
      <c r="A41340" s="7"/>
      <c r="B41340" s="7"/>
      <c r="M41340" s="9" t="s">
        <v>21</v>
      </c>
    </row>
    <row r="41341" ht="15.75" customHeight="1">
      <c r="A41341" s="7"/>
      <c r="B41341" s="7"/>
      <c r="M41341" s="9" t="s">
        <v>37</v>
      </c>
    </row>
    <row r="41342" ht="15.75" customHeight="1">
      <c r="A41342" s="7"/>
      <c r="B41342" s="7"/>
      <c r="M41342" s="9" t="s">
        <v>27</v>
      </c>
    </row>
    <row r="41343" ht="15.75" customHeight="1">
      <c r="A41343" s="7"/>
      <c r="B41343" s="7"/>
      <c r="M41343" s="9" t="s">
        <v>33</v>
      </c>
    </row>
    <row r="41344" ht="15.75" customHeight="1">
      <c r="A41344" s="7"/>
      <c r="B41344" s="7"/>
      <c r="M41344" s="9" t="s">
        <v>26</v>
      </c>
    </row>
    <row r="41345" ht="15.75" customHeight="1">
      <c r="A41345" s="7"/>
      <c r="B41345" s="7"/>
      <c r="M41345" s="9" t="s">
        <v>24</v>
      </c>
    </row>
    <row r="41346" ht="15.75" customHeight="1">
      <c r="A41346" s="7"/>
      <c r="B41346" s="7"/>
      <c r="M41346" s="9" t="s">
        <v>20</v>
      </c>
    </row>
    <row r="41347" ht="15.75" customHeight="1">
      <c r="A41347" s="7"/>
      <c r="B41347" s="7"/>
      <c r="M41347" s="9" t="s">
        <v>21</v>
      </c>
    </row>
    <row r="41348" ht="15.75" customHeight="1">
      <c r="A41348" s="7"/>
      <c r="B41348" s="7"/>
      <c r="M41348" s="9" t="s">
        <v>37</v>
      </c>
    </row>
    <row r="41349" ht="15.75" customHeight="1">
      <c r="A41349" s="7"/>
      <c r="B41349" s="7"/>
      <c r="M41349" s="9" t="s">
        <v>27</v>
      </c>
    </row>
    <row r="41350" ht="15.75" customHeight="1">
      <c r="A41350" s="7"/>
      <c r="B41350" s="7"/>
      <c r="M41350" s="9" t="s">
        <v>47</v>
      </c>
    </row>
    <row r="41351" ht="15.75" customHeight="1">
      <c r="A41351" s="7"/>
      <c r="B41351" s="7"/>
      <c r="M41351" s="9" t="s">
        <v>24</v>
      </c>
    </row>
    <row r="41352" ht="15.75" customHeight="1">
      <c r="A41352" s="7"/>
      <c r="B41352" s="7"/>
      <c r="M41352" s="9" t="s">
        <v>20</v>
      </c>
    </row>
    <row r="41353" ht="15.75" customHeight="1">
      <c r="A41353" s="7"/>
      <c r="B41353" s="7"/>
      <c r="M41353" s="9" t="s">
        <v>21</v>
      </c>
    </row>
    <row r="41354" ht="15.75" customHeight="1">
      <c r="A41354" s="7"/>
      <c r="B41354" s="7"/>
      <c r="M41354" s="9" t="s">
        <v>22</v>
      </c>
    </row>
    <row r="41355" ht="15.75" customHeight="1">
      <c r="A41355" s="7"/>
      <c r="B41355" s="7"/>
      <c r="M41355" s="9" t="s">
        <v>30</v>
      </c>
    </row>
    <row r="41356" ht="15.75" customHeight="1">
      <c r="A41356" s="7"/>
      <c r="B41356" s="7"/>
      <c r="M41356" s="9" t="s">
        <v>25</v>
      </c>
    </row>
    <row r="41357" ht="15.75" customHeight="1">
      <c r="A41357" s="7"/>
      <c r="B41357" s="7"/>
      <c r="M41357" s="9" t="s">
        <v>23</v>
      </c>
    </row>
    <row r="41358" ht="15.75" customHeight="1">
      <c r="A41358" s="7"/>
      <c r="B41358" s="7"/>
      <c r="M41358" s="9" t="s">
        <v>24</v>
      </c>
    </row>
    <row r="41359" ht="15.75" customHeight="1">
      <c r="A41359" s="7"/>
      <c r="B41359" s="7"/>
      <c r="M41359" s="9" t="s">
        <v>20</v>
      </c>
    </row>
    <row r="41360" ht="15.75" customHeight="1">
      <c r="A41360" s="7"/>
      <c r="B41360" s="7"/>
      <c r="M41360" s="9" t="s">
        <v>21</v>
      </c>
    </row>
    <row r="41361" ht="15.75" customHeight="1">
      <c r="A41361" s="7"/>
      <c r="B41361" s="7"/>
      <c r="M41361" s="9" t="s">
        <v>37</v>
      </c>
    </row>
    <row r="41362" ht="15.75" customHeight="1">
      <c r="A41362" s="7"/>
      <c r="B41362" s="7"/>
      <c r="M41362" s="9" t="s">
        <v>22</v>
      </c>
    </row>
    <row r="41363" ht="15.75" customHeight="1">
      <c r="A41363" s="7"/>
      <c r="B41363" s="7"/>
      <c r="M41363" s="9" t="s">
        <v>27</v>
      </c>
    </row>
    <row r="41364" ht="15.75" customHeight="1">
      <c r="A41364" s="7"/>
      <c r="B41364" s="7"/>
      <c r="M41364" s="9" t="s">
        <v>41</v>
      </c>
    </row>
    <row r="41365" ht="15.75" customHeight="1">
      <c r="A41365" s="7"/>
      <c r="B41365" s="7"/>
      <c r="M41365" s="9" t="s">
        <v>31</v>
      </c>
    </row>
    <row r="41366" ht="15.75" customHeight="1">
      <c r="A41366" s="7"/>
      <c r="B41366" s="7"/>
      <c r="M41366" s="9" t="s">
        <v>40</v>
      </c>
    </row>
    <row r="41367" ht="15.75" customHeight="1">
      <c r="A41367" s="7"/>
      <c r="B41367" s="7"/>
      <c r="M41367" s="9" t="s">
        <v>24</v>
      </c>
    </row>
    <row r="41368" ht="15.75" customHeight="1">
      <c r="A41368" s="7"/>
      <c r="B41368" s="7"/>
      <c r="M41368" s="9" t="s">
        <v>20</v>
      </c>
    </row>
    <row r="41369" ht="15.75" customHeight="1">
      <c r="A41369" s="7"/>
      <c r="B41369" s="7"/>
      <c r="M41369" s="9" t="s">
        <v>21</v>
      </c>
    </row>
    <row r="41370" ht="15.75" customHeight="1">
      <c r="A41370" s="7"/>
      <c r="B41370" s="7"/>
      <c r="M41370" s="9" t="s">
        <v>27</v>
      </c>
    </row>
    <row r="41371" ht="15.75" customHeight="1">
      <c r="A41371" s="7"/>
      <c r="B41371" s="7"/>
      <c r="M41371" s="9" t="s">
        <v>33</v>
      </c>
    </row>
    <row r="41372" ht="15.75" customHeight="1">
      <c r="A41372" s="7"/>
      <c r="B41372" s="7"/>
      <c r="M41372" s="9" t="s">
        <v>22</v>
      </c>
    </row>
    <row r="41373" ht="15.75" customHeight="1">
      <c r="A41373" s="7"/>
      <c r="B41373" s="7"/>
      <c r="M41373" s="9" t="s">
        <v>26</v>
      </c>
    </row>
    <row r="41374" ht="15.75" customHeight="1">
      <c r="A41374" s="7"/>
      <c r="B41374" s="7"/>
      <c r="M41374" s="9" t="s">
        <v>24</v>
      </c>
    </row>
    <row r="41375" ht="15.75" customHeight="1">
      <c r="A41375" s="7"/>
      <c r="B41375" s="7"/>
      <c r="M41375" s="9" t="s">
        <v>20</v>
      </c>
    </row>
    <row r="41376" ht="15.75" customHeight="1">
      <c r="A41376" s="7"/>
      <c r="B41376" s="7"/>
      <c r="M41376" s="9" t="s">
        <v>21</v>
      </c>
    </row>
    <row r="41377" ht="15.75" customHeight="1">
      <c r="A41377" s="7"/>
      <c r="B41377" s="7"/>
      <c r="M41377" s="9" t="s">
        <v>27</v>
      </c>
    </row>
    <row r="41378" ht="15.75" customHeight="1">
      <c r="A41378" s="7"/>
      <c r="B41378" s="7"/>
      <c r="M41378" s="9" t="s">
        <v>30</v>
      </c>
    </row>
    <row r="41379" ht="15.75" customHeight="1">
      <c r="A41379" s="7"/>
      <c r="B41379" s="7"/>
      <c r="M41379" s="9" t="s">
        <v>23</v>
      </c>
    </row>
    <row r="41380" ht="15.75" customHeight="1">
      <c r="A41380" s="7"/>
      <c r="B41380" s="7"/>
      <c r="M41380" s="9" t="s">
        <v>22</v>
      </c>
    </row>
    <row r="41381" ht="15.75" customHeight="1">
      <c r="A41381" s="7"/>
      <c r="B41381" s="7"/>
      <c r="M41381" s="9" t="s">
        <v>35</v>
      </c>
    </row>
    <row r="41382" ht="15.75" customHeight="1">
      <c r="A41382" s="7"/>
      <c r="B41382" s="7"/>
      <c r="M41382" s="9" t="s">
        <v>23</v>
      </c>
    </row>
    <row r="41383" ht="15.75" customHeight="1">
      <c r="A41383" s="7"/>
      <c r="B41383" s="7"/>
      <c r="M41383" s="9" t="s">
        <v>26</v>
      </c>
    </row>
    <row r="41384" ht="15.75" customHeight="1">
      <c r="A41384" s="7"/>
      <c r="B41384" s="7"/>
      <c r="M41384" s="9" t="s">
        <v>24</v>
      </c>
    </row>
    <row r="41385" ht="15.75" customHeight="1">
      <c r="A41385" s="7"/>
      <c r="B41385" s="7"/>
      <c r="M41385" s="9" t="s">
        <v>41</v>
      </c>
    </row>
    <row r="41386" ht="15.75" customHeight="1">
      <c r="A41386" s="7"/>
      <c r="B41386" s="7"/>
      <c r="M41386" s="9" t="s">
        <v>22</v>
      </c>
    </row>
    <row r="41387" ht="15.75" customHeight="1">
      <c r="A41387" s="7"/>
      <c r="B41387" s="7"/>
      <c r="M41387" s="9" t="s">
        <v>40</v>
      </c>
    </row>
    <row r="41388" ht="15.75" customHeight="1">
      <c r="A41388" s="7"/>
      <c r="B41388" s="7"/>
      <c r="M41388" s="9" t="s">
        <v>26</v>
      </c>
    </row>
    <row r="41389" ht="15.75" customHeight="1">
      <c r="A41389" s="7"/>
      <c r="B41389" s="7"/>
      <c r="M41389" s="9" t="s">
        <v>24</v>
      </c>
    </row>
    <row r="41390" ht="15.75" customHeight="1">
      <c r="A41390" s="7"/>
      <c r="B41390" s="7"/>
      <c r="M41390" s="9" t="s">
        <v>21</v>
      </c>
    </row>
    <row r="41391" ht="15.75" customHeight="1">
      <c r="A41391" s="7"/>
      <c r="B41391" s="7"/>
      <c r="M41391" s="9" t="s">
        <v>27</v>
      </c>
    </row>
    <row r="41392" ht="15.75" customHeight="1">
      <c r="A41392" s="7"/>
      <c r="B41392" s="7"/>
      <c r="M41392" s="9" t="s">
        <v>33</v>
      </c>
    </row>
    <row r="41393" ht="15.75" customHeight="1">
      <c r="A41393" s="7"/>
      <c r="B41393" s="7"/>
      <c r="M41393" s="9" t="s">
        <v>24</v>
      </c>
    </row>
    <row r="41394" ht="15.75" customHeight="1">
      <c r="A41394" s="7"/>
      <c r="B41394" s="7"/>
      <c r="M41394" s="9" t="s">
        <v>21</v>
      </c>
    </row>
    <row r="41395" ht="15.75" customHeight="1">
      <c r="A41395" s="7"/>
      <c r="B41395" s="7"/>
      <c r="M41395" s="9" t="s">
        <v>37</v>
      </c>
    </row>
    <row r="41396" ht="15.75" customHeight="1">
      <c r="A41396" s="7"/>
      <c r="B41396" s="7"/>
      <c r="M41396" s="9" t="s">
        <v>27</v>
      </c>
    </row>
    <row r="41397" ht="15.75" customHeight="1">
      <c r="A41397" s="7"/>
      <c r="B41397" s="7"/>
      <c r="M41397" s="9" t="s">
        <v>33</v>
      </c>
    </row>
    <row r="41398" ht="15.75" customHeight="1">
      <c r="A41398" s="7"/>
      <c r="B41398" s="7"/>
      <c r="M41398" s="9" t="s">
        <v>30</v>
      </c>
    </row>
    <row r="41399" ht="15.75" customHeight="1">
      <c r="A41399" s="7"/>
      <c r="B41399" s="7"/>
      <c r="M41399" s="9" t="s">
        <v>22</v>
      </c>
    </row>
    <row r="41400" ht="15.75" customHeight="1">
      <c r="A41400" s="7"/>
      <c r="B41400" s="7"/>
      <c r="M41400" s="9" t="s">
        <v>29</v>
      </c>
    </row>
    <row r="41401" ht="15.75" customHeight="1">
      <c r="A41401" s="7"/>
      <c r="B41401" s="7"/>
      <c r="M41401" s="9" t="s">
        <v>31</v>
      </c>
    </row>
    <row r="41402" ht="15.75" customHeight="1">
      <c r="A41402" s="7"/>
      <c r="B41402" s="7"/>
      <c r="M41402" s="9" t="s">
        <v>27</v>
      </c>
    </row>
    <row r="41403" ht="15.75" customHeight="1">
      <c r="A41403" s="7"/>
      <c r="B41403" s="7"/>
      <c r="M41403" s="9" t="s">
        <v>20</v>
      </c>
    </row>
    <row r="41404" ht="15.75" customHeight="1">
      <c r="A41404" s="7"/>
      <c r="B41404" s="7"/>
      <c r="M41404" s="9" t="s">
        <v>21</v>
      </c>
    </row>
    <row r="41405" ht="15.75" customHeight="1">
      <c r="A41405" s="7"/>
      <c r="B41405" s="7"/>
      <c r="M41405" s="9" t="s">
        <v>38</v>
      </c>
    </row>
    <row r="41406" ht="15.75" customHeight="1">
      <c r="A41406" s="7"/>
      <c r="B41406" s="7"/>
      <c r="M41406" s="9" t="s">
        <v>23</v>
      </c>
    </row>
    <row r="41407" ht="15.75" customHeight="1">
      <c r="A41407" s="7"/>
      <c r="B41407" s="7"/>
      <c r="M41407" s="9" t="s">
        <v>24</v>
      </c>
    </row>
    <row r="41408" ht="15.75" customHeight="1">
      <c r="A41408" s="7"/>
      <c r="B41408" s="7"/>
      <c r="M41408" s="9" t="s">
        <v>21</v>
      </c>
    </row>
    <row r="41409" ht="15.75" customHeight="1">
      <c r="A41409" s="7"/>
      <c r="B41409" s="7"/>
      <c r="M41409" s="9" t="s">
        <v>37</v>
      </c>
    </row>
    <row r="41410" ht="15.75" customHeight="1">
      <c r="A41410" s="7"/>
      <c r="B41410" s="7"/>
      <c r="M41410" s="9" t="s">
        <v>27</v>
      </c>
    </row>
    <row r="41411" ht="15.75" customHeight="1">
      <c r="A41411" s="7"/>
      <c r="B41411" s="7"/>
      <c r="M41411" s="9" t="s">
        <v>20</v>
      </c>
    </row>
    <row r="41412" ht="15.75" customHeight="1">
      <c r="A41412" s="7"/>
      <c r="B41412" s="7"/>
      <c r="M41412" s="9" t="s">
        <v>22</v>
      </c>
    </row>
    <row r="41413" ht="15.75" customHeight="1">
      <c r="A41413" s="7"/>
      <c r="B41413" s="7"/>
      <c r="M41413" s="9" t="s">
        <v>25</v>
      </c>
    </row>
    <row r="41414" ht="15.75" customHeight="1">
      <c r="A41414" s="7"/>
      <c r="B41414" s="7"/>
      <c r="M41414" s="9" t="s">
        <v>23</v>
      </c>
    </row>
    <row r="41415" ht="15.75" customHeight="1">
      <c r="A41415" s="7"/>
      <c r="B41415" s="7"/>
      <c r="M41415" s="9" t="s">
        <v>24</v>
      </c>
    </row>
    <row r="41416" ht="15.75" customHeight="1">
      <c r="A41416" s="7"/>
      <c r="B41416" s="7"/>
      <c r="M41416" s="9" t="s">
        <v>21</v>
      </c>
    </row>
    <row r="41417" ht="15.75" customHeight="1">
      <c r="A41417" s="7"/>
      <c r="B41417" s="7"/>
      <c r="M41417" s="9" t="s">
        <v>37</v>
      </c>
    </row>
    <row r="41418" ht="15.75" customHeight="1">
      <c r="A41418" s="7"/>
      <c r="B41418" s="7"/>
      <c r="M41418" s="9" t="s">
        <v>30</v>
      </c>
    </row>
    <row r="41419" ht="15.75" customHeight="1">
      <c r="A41419" s="7"/>
      <c r="B41419" s="7"/>
      <c r="M41419" s="9" t="s">
        <v>24</v>
      </c>
    </row>
    <row r="41420" ht="15.75" customHeight="1">
      <c r="A41420" s="7"/>
      <c r="B41420" s="7"/>
      <c r="M41420" s="9" t="s">
        <v>21</v>
      </c>
    </row>
    <row r="41421" ht="15.75" customHeight="1">
      <c r="A41421" s="7"/>
      <c r="B41421" s="7"/>
      <c r="M41421" s="9" t="s">
        <v>37</v>
      </c>
    </row>
    <row r="41422" ht="15.75" customHeight="1">
      <c r="A41422" s="7"/>
      <c r="B41422" s="7"/>
      <c r="M41422" s="9" t="s">
        <v>27</v>
      </c>
    </row>
    <row r="41423" ht="15.75" customHeight="1">
      <c r="A41423" s="7"/>
      <c r="B41423" s="7"/>
      <c r="M41423" s="9" t="s">
        <v>30</v>
      </c>
    </row>
    <row r="41424" ht="15.75" customHeight="1">
      <c r="A41424" s="7"/>
      <c r="B41424" s="7"/>
      <c r="M41424" s="9" t="s">
        <v>26</v>
      </c>
    </row>
    <row r="41425" ht="15.75" customHeight="1">
      <c r="A41425" s="7"/>
      <c r="B41425" s="7"/>
      <c r="M41425" s="9" t="s">
        <v>24</v>
      </c>
    </row>
    <row r="41426" ht="15.75" customHeight="1">
      <c r="A41426" s="7"/>
      <c r="B41426" s="7"/>
      <c r="M41426" s="9" t="s">
        <v>21</v>
      </c>
    </row>
    <row r="41427" ht="15.75" customHeight="1">
      <c r="A41427" s="7"/>
      <c r="B41427" s="7"/>
      <c r="M41427" s="9" t="s">
        <v>27</v>
      </c>
    </row>
    <row r="41428" ht="15.75" customHeight="1">
      <c r="A41428" s="7"/>
      <c r="B41428" s="7"/>
      <c r="M41428" s="9" t="s">
        <v>25</v>
      </c>
    </row>
    <row r="41429" ht="15.75" customHeight="1">
      <c r="A41429" s="7"/>
      <c r="B41429" s="7"/>
      <c r="M41429" s="9" t="s">
        <v>23</v>
      </c>
    </row>
    <row r="41430" ht="15.75" customHeight="1">
      <c r="A41430" s="7"/>
      <c r="B41430" s="7"/>
      <c r="M41430" s="9" t="s">
        <v>20</v>
      </c>
    </row>
    <row r="41431" ht="15.75" customHeight="1">
      <c r="A41431" s="7"/>
      <c r="B41431" s="7"/>
      <c r="M41431" s="9" t="s">
        <v>27</v>
      </c>
    </row>
    <row r="41432" ht="15.75" customHeight="1">
      <c r="A41432" s="7"/>
      <c r="B41432" s="7"/>
      <c r="M41432" s="9" t="s">
        <v>36</v>
      </c>
    </row>
    <row r="41433" ht="15.75" customHeight="1">
      <c r="A41433" s="7"/>
      <c r="B41433" s="7"/>
      <c r="M41433" s="9" t="s">
        <v>21</v>
      </c>
    </row>
    <row r="41434" ht="15.75" customHeight="1">
      <c r="A41434" s="7"/>
      <c r="B41434" s="7"/>
      <c r="M41434" s="9" t="s">
        <v>31</v>
      </c>
    </row>
    <row r="41435" ht="15.75" customHeight="1">
      <c r="A41435" s="7"/>
      <c r="B41435" s="7"/>
      <c r="M41435" s="9" t="s">
        <v>27</v>
      </c>
    </row>
    <row r="41436" ht="15.75" customHeight="1">
      <c r="A41436" s="7"/>
      <c r="B41436" s="7"/>
      <c r="M41436" s="9" t="s">
        <v>24</v>
      </c>
    </row>
    <row r="41437" ht="15.75" customHeight="1">
      <c r="A41437" s="7"/>
      <c r="B41437" s="7"/>
      <c r="M41437" s="9" t="s">
        <v>22</v>
      </c>
    </row>
    <row r="41438" ht="15.75" customHeight="1">
      <c r="A41438" s="7"/>
      <c r="B41438" s="7"/>
      <c r="M41438" s="9" t="s">
        <v>30</v>
      </c>
    </row>
    <row r="41439" ht="15.75" customHeight="1">
      <c r="A41439" s="7"/>
      <c r="B41439" s="7"/>
      <c r="M41439" s="9" t="s">
        <v>20</v>
      </c>
    </row>
    <row r="41440" ht="15.75" customHeight="1">
      <c r="A41440" s="7"/>
      <c r="B41440" s="7"/>
      <c r="M41440" s="9" t="s">
        <v>35</v>
      </c>
    </row>
    <row r="41441" ht="15.75" customHeight="1">
      <c r="A41441" s="7"/>
      <c r="B41441" s="7"/>
      <c r="M41441" s="9" t="s">
        <v>30</v>
      </c>
    </row>
    <row r="41442" ht="15.75" customHeight="1">
      <c r="A41442" s="7"/>
      <c r="B41442" s="7"/>
      <c r="M41442" s="9" t="s">
        <v>25</v>
      </c>
    </row>
    <row r="41443" ht="15.75" customHeight="1">
      <c r="A41443" s="7"/>
      <c r="B41443" s="7"/>
      <c r="M41443" s="9" t="s">
        <v>23</v>
      </c>
    </row>
    <row r="41444" ht="15.75" customHeight="1">
      <c r="A41444" s="7"/>
      <c r="B41444" s="7"/>
      <c r="M41444" s="9" t="s">
        <v>24</v>
      </c>
    </row>
    <row r="41445" ht="15.75" customHeight="1">
      <c r="A41445" s="7"/>
      <c r="B41445" s="7"/>
      <c r="M41445" s="9" t="s">
        <v>20</v>
      </c>
    </row>
    <row r="41446" ht="15.75" customHeight="1">
      <c r="A41446" s="7"/>
      <c r="B41446" s="7"/>
      <c r="M41446" s="9" t="s">
        <v>22</v>
      </c>
    </row>
    <row r="41447" ht="15.75" customHeight="1">
      <c r="A41447" s="7"/>
      <c r="B41447" s="7"/>
      <c r="M41447" s="9" t="s">
        <v>27</v>
      </c>
    </row>
    <row r="41448" ht="15.75" customHeight="1">
      <c r="A41448" s="7"/>
      <c r="B41448" s="7"/>
      <c r="M41448" s="9" t="s">
        <v>30</v>
      </c>
    </row>
    <row r="41449" ht="15.75" customHeight="1">
      <c r="A41449" s="7"/>
      <c r="B41449" s="7"/>
      <c r="M41449" s="9" t="s">
        <v>25</v>
      </c>
    </row>
    <row r="41450" ht="15.75" customHeight="1">
      <c r="A41450" s="7"/>
      <c r="B41450" s="7"/>
      <c r="M41450" s="9" t="s">
        <v>23</v>
      </c>
    </row>
    <row r="41451" ht="15.75" customHeight="1">
      <c r="A41451" s="7"/>
      <c r="B41451" s="7"/>
      <c r="M41451" s="9" t="s">
        <v>36</v>
      </c>
    </row>
    <row r="41452" ht="15.75" customHeight="1">
      <c r="A41452" s="7"/>
      <c r="B41452" s="7"/>
      <c r="M41452" s="9" t="s">
        <v>24</v>
      </c>
    </row>
    <row r="41453" ht="15.75" customHeight="1">
      <c r="A41453" s="7"/>
      <c r="B41453" s="7"/>
      <c r="M41453" s="9" t="s">
        <v>21</v>
      </c>
    </row>
    <row r="41454" ht="15.75" customHeight="1">
      <c r="A41454" s="7"/>
      <c r="B41454" s="7"/>
      <c r="M41454" s="9" t="s">
        <v>41</v>
      </c>
    </row>
    <row r="41455" ht="15.75" customHeight="1">
      <c r="A41455" s="7"/>
      <c r="B41455" s="7"/>
      <c r="M41455" s="9" t="s">
        <v>22</v>
      </c>
    </row>
    <row r="41456" ht="15.75" customHeight="1">
      <c r="A41456" s="7"/>
      <c r="B41456" s="7"/>
      <c r="M41456" s="9" t="s">
        <v>27</v>
      </c>
    </row>
    <row r="41457" ht="15.75" customHeight="1">
      <c r="A41457" s="7"/>
      <c r="B41457" s="7"/>
      <c r="M41457" s="9" t="s">
        <v>36</v>
      </c>
    </row>
    <row r="41458" ht="15.75" customHeight="1">
      <c r="A41458" s="7"/>
      <c r="B41458" s="7"/>
      <c r="M41458" s="9" t="s">
        <v>22</v>
      </c>
    </row>
    <row r="41459" ht="15.75" customHeight="1">
      <c r="A41459" s="7"/>
      <c r="B41459" s="7"/>
      <c r="M41459" s="9" t="s">
        <v>25</v>
      </c>
    </row>
    <row r="41460" ht="15.75" customHeight="1">
      <c r="A41460" s="7"/>
      <c r="B41460" s="7"/>
      <c r="M41460" s="9" t="s">
        <v>23</v>
      </c>
    </row>
    <row r="41461" ht="15.75" customHeight="1">
      <c r="A41461" s="7"/>
      <c r="B41461" s="7"/>
      <c r="M41461" s="9" t="s">
        <v>24</v>
      </c>
    </row>
    <row r="41462" ht="15.75" customHeight="1">
      <c r="A41462" s="7"/>
      <c r="B41462" s="7"/>
      <c r="M41462" s="9" t="s">
        <v>40</v>
      </c>
    </row>
    <row r="41463" ht="15.75" customHeight="1">
      <c r="A41463" s="7"/>
      <c r="B41463" s="7"/>
      <c r="M41463" s="9" t="s">
        <v>25</v>
      </c>
    </row>
    <row r="41464" ht="15.75" customHeight="1">
      <c r="A41464" s="7"/>
      <c r="B41464" s="7"/>
      <c r="M41464" s="9" t="s">
        <v>24</v>
      </c>
    </row>
    <row r="41465" ht="15.75" customHeight="1">
      <c r="A41465" s="7"/>
      <c r="B41465" s="7"/>
      <c r="M41465" s="9" t="s">
        <v>20</v>
      </c>
    </row>
    <row r="41466" ht="15.75" customHeight="1">
      <c r="A41466" s="7"/>
      <c r="B41466" s="7"/>
      <c r="M41466" s="9" t="s">
        <v>21</v>
      </c>
    </row>
    <row r="41467" ht="15.75" customHeight="1">
      <c r="A41467" s="7"/>
      <c r="B41467" s="7"/>
      <c r="M41467" s="9" t="s">
        <v>22</v>
      </c>
    </row>
    <row r="41468" ht="15.75" customHeight="1">
      <c r="A41468" s="7"/>
      <c r="B41468" s="7"/>
      <c r="M41468" s="9" t="s">
        <v>29</v>
      </c>
    </row>
    <row r="41469" ht="15.75" customHeight="1">
      <c r="A41469" s="7"/>
      <c r="B41469" s="7"/>
      <c r="M41469" s="9" t="s">
        <v>46</v>
      </c>
    </row>
    <row r="41470" ht="15.75" customHeight="1">
      <c r="A41470" s="7"/>
      <c r="B41470" s="7"/>
      <c r="M41470" s="9" t="s">
        <v>27</v>
      </c>
    </row>
    <row r="41471" ht="15.75" customHeight="1">
      <c r="A41471" s="7"/>
      <c r="B41471" s="7"/>
      <c r="M41471" s="9" t="s">
        <v>33</v>
      </c>
    </row>
    <row r="41472" ht="15.75" customHeight="1">
      <c r="A41472" s="7"/>
      <c r="B41472" s="7"/>
      <c r="M41472" s="9" t="s">
        <v>30</v>
      </c>
    </row>
    <row r="41473" ht="15.75" customHeight="1">
      <c r="A41473" s="7"/>
      <c r="B41473" s="7"/>
      <c r="M41473" s="9" t="s">
        <v>24</v>
      </c>
    </row>
    <row r="41474" ht="15.75" customHeight="1">
      <c r="A41474" s="7"/>
      <c r="B41474" s="7"/>
      <c r="M41474" s="9" t="s">
        <v>21</v>
      </c>
    </row>
    <row r="41475" ht="15.75" customHeight="1">
      <c r="A41475" s="7"/>
      <c r="B41475" s="7"/>
      <c r="M41475" s="9" t="s">
        <v>37</v>
      </c>
    </row>
    <row r="41476" ht="15.75" customHeight="1">
      <c r="A41476" s="7"/>
      <c r="B41476" s="7"/>
      <c r="M41476" s="9" t="s">
        <v>22</v>
      </c>
    </row>
    <row r="41477" ht="15.75" customHeight="1">
      <c r="A41477" s="7"/>
      <c r="B41477" s="7"/>
      <c r="M41477" s="9" t="s">
        <v>31</v>
      </c>
    </row>
    <row r="41478" ht="15.75" customHeight="1">
      <c r="A41478" s="7"/>
      <c r="B41478" s="7"/>
      <c r="M41478" s="9" t="s">
        <v>27</v>
      </c>
    </row>
    <row r="41479" ht="15.75" customHeight="1">
      <c r="A41479" s="7"/>
      <c r="B41479" s="7"/>
      <c r="M41479" s="9" t="s">
        <v>30</v>
      </c>
    </row>
    <row r="41480" ht="15.75" customHeight="1">
      <c r="A41480" s="7"/>
      <c r="B41480" s="7"/>
      <c r="M41480" s="9" t="s">
        <v>24</v>
      </c>
    </row>
    <row r="41481" ht="15.75" customHeight="1">
      <c r="A41481" s="7"/>
      <c r="B41481" s="7"/>
      <c r="M41481" s="9" t="s">
        <v>21</v>
      </c>
    </row>
    <row r="41482" ht="15.75" customHeight="1">
      <c r="A41482" s="7"/>
      <c r="B41482" s="7"/>
      <c r="M41482" s="9" t="s">
        <v>39</v>
      </c>
    </row>
    <row r="41483" ht="15.75" customHeight="1">
      <c r="A41483" s="7"/>
      <c r="B41483" s="7"/>
      <c r="M41483" s="9" t="s">
        <v>41</v>
      </c>
    </row>
    <row r="41484" ht="15.75" customHeight="1">
      <c r="A41484" s="7"/>
      <c r="B41484" s="7"/>
      <c r="M41484" s="9" t="s">
        <v>40</v>
      </c>
    </row>
    <row r="41485" ht="15.75" customHeight="1">
      <c r="A41485" s="7"/>
      <c r="B41485" s="7"/>
      <c r="M41485" s="9" t="s">
        <v>33</v>
      </c>
    </row>
    <row r="41486" ht="15.75" customHeight="1">
      <c r="A41486" s="7"/>
      <c r="B41486" s="7"/>
      <c r="M41486" s="9" t="s">
        <v>30</v>
      </c>
    </row>
    <row r="41487" ht="15.75" customHeight="1">
      <c r="A41487" s="7"/>
      <c r="B41487" s="7"/>
      <c r="M41487" s="9" t="s">
        <v>24</v>
      </c>
    </row>
    <row r="41488" ht="15.75" customHeight="1">
      <c r="A41488" s="7"/>
      <c r="B41488" s="7"/>
      <c r="M41488" s="9" t="s">
        <v>21</v>
      </c>
    </row>
    <row r="41489" ht="15.75" customHeight="1">
      <c r="A41489" s="7"/>
      <c r="B41489" s="7"/>
      <c r="M41489" s="9" t="s">
        <v>37</v>
      </c>
    </row>
    <row r="41490" ht="15.75" customHeight="1">
      <c r="A41490" s="7"/>
      <c r="B41490" s="7"/>
      <c r="M41490" s="9" t="s">
        <v>22</v>
      </c>
    </row>
    <row r="41491" ht="15.75" customHeight="1">
      <c r="A41491" s="7"/>
      <c r="B41491" s="7"/>
      <c r="M41491" s="9" t="s">
        <v>27</v>
      </c>
    </row>
    <row r="41492" ht="15.75" customHeight="1">
      <c r="A41492" s="7"/>
      <c r="B41492" s="7"/>
      <c r="M41492" s="9" t="s">
        <v>38</v>
      </c>
    </row>
    <row r="41493" ht="15.75" customHeight="1">
      <c r="A41493" s="7"/>
      <c r="B41493" s="7"/>
      <c r="M41493" s="9" t="s">
        <v>30</v>
      </c>
    </row>
    <row r="41494" ht="15.75" customHeight="1">
      <c r="A41494" s="7"/>
      <c r="B41494" s="7"/>
      <c r="M41494" s="9" t="s">
        <v>22</v>
      </c>
    </row>
    <row r="41495" ht="15.75" customHeight="1">
      <c r="A41495" s="7"/>
      <c r="B41495" s="7"/>
      <c r="M41495" s="9" t="s">
        <v>27</v>
      </c>
    </row>
    <row r="41496" ht="15.75" customHeight="1">
      <c r="A41496" s="7"/>
      <c r="B41496" s="7"/>
      <c r="M41496" s="9" t="s">
        <v>24</v>
      </c>
    </row>
    <row r="41497" ht="15.75" customHeight="1">
      <c r="A41497" s="7"/>
      <c r="B41497" s="7"/>
      <c r="M41497" s="9" t="s">
        <v>21</v>
      </c>
    </row>
    <row r="41498" ht="15.75" customHeight="1">
      <c r="A41498" s="7"/>
      <c r="B41498" s="7"/>
      <c r="M41498" s="9" t="s">
        <v>37</v>
      </c>
    </row>
    <row r="41499" ht="15.75" customHeight="1">
      <c r="A41499" s="7"/>
      <c r="B41499" s="7"/>
      <c r="M41499" s="9" t="s">
        <v>27</v>
      </c>
    </row>
    <row r="41500" ht="15.75" customHeight="1">
      <c r="A41500" s="7"/>
      <c r="B41500" s="7"/>
      <c r="M41500" s="9" t="s">
        <v>35</v>
      </c>
    </row>
    <row r="41501" ht="15.75" customHeight="1">
      <c r="A41501" s="7"/>
      <c r="B41501" s="7"/>
      <c r="M41501" s="9" t="s">
        <v>38</v>
      </c>
    </row>
    <row r="41502" ht="15.75" customHeight="1">
      <c r="A41502" s="7"/>
      <c r="B41502" s="7"/>
      <c r="M41502" s="9" t="s">
        <v>30</v>
      </c>
    </row>
    <row r="41503" ht="15.75" customHeight="1">
      <c r="A41503" s="7"/>
      <c r="B41503" s="7"/>
      <c r="M41503" s="9" t="s">
        <v>25</v>
      </c>
    </row>
    <row r="41504" ht="15.75" customHeight="1">
      <c r="A41504" s="7"/>
      <c r="B41504" s="7"/>
      <c r="M41504" s="9" t="s">
        <v>23</v>
      </c>
    </row>
    <row r="41505" ht="15.75" customHeight="1">
      <c r="A41505" s="7"/>
      <c r="B41505" s="7"/>
      <c r="M41505" s="9" t="s">
        <v>24</v>
      </c>
    </row>
    <row r="41506" ht="15.75" customHeight="1">
      <c r="A41506" s="7"/>
      <c r="B41506" s="7"/>
      <c r="M41506" s="9" t="s">
        <v>22</v>
      </c>
    </row>
    <row r="41507" ht="15.75" customHeight="1">
      <c r="A41507" s="7"/>
      <c r="B41507" s="7"/>
      <c r="M41507" s="9" t="s">
        <v>30</v>
      </c>
    </row>
    <row r="41508" ht="15.75" customHeight="1">
      <c r="A41508" s="7"/>
      <c r="B41508" s="7"/>
      <c r="M41508" s="9" t="s">
        <v>24</v>
      </c>
    </row>
    <row r="41509" ht="15.75" customHeight="1">
      <c r="A41509" s="7"/>
      <c r="B41509" s="7"/>
      <c r="M41509" s="9" t="s">
        <v>22</v>
      </c>
    </row>
    <row r="41510" ht="15.75" customHeight="1">
      <c r="A41510" s="7"/>
      <c r="B41510" s="7"/>
      <c r="M41510" s="9" t="s">
        <v>46</v>
      </c>
    </row>
    <row r="41511" ht="15.75" customHeight="1">
      <c r="A41511" s="7"/>
      <c r="B41511" s="7"/>
      <c r="M41511" s="9" t="s">
        <v>27</v>
      </c>
    </row>
    <row r="41512" ht="15.75" customHeight="1">
      <c r="A41512" s="7"/>
      <c r="B41512" s="7"/>
      <c r="M41512" s="9" t="s">
        <v>20</v>
      </c>
    </row>
    <row r="41513" ht="15.75" customHeight="1">
      <c r="A41513" s="7"/>
      <c r="B41513" s="7"/>
      <c r="M41513" s="9" t="s">
        <v>21</v>
      </c>
    </row>
    <row r="41514" ht="15.75" customHeight="1">
      <c r="A41514" s="7"/>
      <c r="B41514" s="7"/>
      <c r="M41514" s="9" t="s">
        <v>20</v>
      </c>
    </row>
    <row r="41515" ht="15.75" customHeight="1">
      <c r="A41515" s="7"/>
      <c r="B41515" s="7"/>
      <c r="M41515" s="9" t="s">
        <v>22</v>
      </c>
    </row>
    <row r="41516" ht="15.75" customHeight="1">
      <c r="A41516" s="7"/>
      <c r="B41516" s="7"/>
      <c r="M41516" s="9" t="s">
        <v>30</v>
      </c>
    </row>
    <row r="41517" ht="15.75" customHeight="1">
      <c r="A41517" s="7"/>
      <c r="B41517" s="7"/>
      <c r="M41517" s="9" t="s">
        <v>22</v>
      </c>
    </row>
    <row r="41518" ht="15.75" customHeight="1">
      <c r="A41518" s="7"/>
      <c r="B41518" s="7"/>
      <c r="M41518" s="9" t="s">
        <v>26</v>
      </c>
    </row>
    <row r="41519" ht="15.75" customHeight="1">
      <c r="A41519" s="7"/>
      <c r="B41519" s="7"/>
      <c r="M41519" s="9" t="s">
        <v>24</v>
      </c>
    </row>
    <row r="41520" ht="15.75" customHeight="1">
      <c r="A41520" s="7"/>
      <c r="B41520" s="7"/>
      <c r="M41520" s="9" t="s">
        <v>21</v>
      </c>
    </row>
    <row r="41521" ht="15.75" customHeight="1">
      <c r="A41521" s="7"/>
      <c r="B41521" s="7"/>
      <c r="M41521" s="9" t="s">
        <v>37</v>
      </c>
    </row>
    <row r="41522" ht="15.75" customHeight="1">
      <c r="A41522" s="7"/>
      <c r="B41522" s="7"/>
      <c r="M41522" s="9" t="s">
        <v>33</v>
      </c>
    </row>
    <row r="41523" ht="15.75" customHeight="1">
      <c r="A41523" s="7"/>
      <c r="B41523" s="7"/>
      <c r="M41523" s="9" t="s">
        <v>26</v>
      </c>
    </row>
    <row r="41524" ht="15.75" customHeight="1">
      <c r="A41524" s="7"/>
      <c r="B41524" s="7"/>
      <c r="M41524" s="9" t="s">
        <v>24</v>
      </c>
    </row>
    <row r="41525" ht="15.75" customHeight="1">
      <c r="A41525" s="7"/>
      <c r="B41525" s="7"/>
      <c r="M41525" s="9" t="s">
        <v>20</v>
      </c>
    </row>
    <row r="41526" ht="15.75" customHeight="1">
      <c r="A41526" s="7"/>
      <c r="B41526" s="7"/>
      <c r="M41526" s="9" t="s">
        <v>27</v>
      </c>
    </row>
    <row r="41527" ht="15.75" customHeight="1">
      <c r="A41527" s="7"/>
      <c r="B41527" s="7"/>
      <c r="M41527" s="9" t="s">
        <v>20</v>
      </c>
    </row>
    <row r="41528" ht="15.75" customHeight="1">
      <c r="A41528" s="7"/>
      <c r="B41528" s="7"/>
      <c r="M41528" s="9" t="s">
        <v>21</v>
      </c>
    </row>
    <row r="41529" ht="15.75" customHeight="1">
      <c r="A41529" s="7"/>
      <c r="B41529" s="7"/>
      <c r="M41529" s="9" t="s">
        <v>37</v>
      </c>
    </row>
    <row r="41530" ht="15.75" customHeight="1">
      <c r="A41530" s="7"/>
      <c r="B41530" s="7"/>
      <c r="M41530" s="9" t="s">
        <v>24</v>
      </c>
    </row>
    <row r="41531" ht="15.75" customHeight="1">
      <c r="A41531" s="7"/>
      <c r="B41531" s="7"/>
      <c r="M41531" s="9" t="s">
        <v>21</v>
      </c>
    </row>
    <row r="41532" ht="15.75" customHeight="1">
      <c r="A41532" s="7"/>
      <c r="B41532" s="7"/>
      <c r="M41532" s="9" t="s">
        <v>37</v>
      </c>
    </row>
    <row r="41533" ht="15.75" customHeight="1">
      <c r="A41533" s="7"/>
      <c r="B41533" s="7"/>
      <c r="M41533" s="9" t="s">
        <v>27</v>
      </c>
    </row>
    <row r="41534" ht="15.75" customHeight="1">
      <c r="A41534" s="7"/>
      <c r="B41534" s="7"/>
      <c r="M41534" s="9" t="s">
        <v>30</v>
      </c>
    </row>
    <row r="41535" ht="15.75" customHeight="1">
      <c r="A41535" s="7"/>
      <c r="B41535" s="7"/>
      <c r="M41535" s="9" t="s">
        <v>21</v>
      </c>
    </row>
    <row r="41536" ht="15.75" customHeight="1">
      <c r="A41536" s="7"/>
      <c r="B41536" s="7"/>
      <c r="M41536" s="9" t="s">
        <v>37</v>
      </c>
    </row>
    <row r="41537" ht="15.75" customHeight="1">
      <c r="A41537" s="7"/>
      <c r="B41537" s="7"/>
      <c r="M41537" s="9" t="s">
        <v>27</v>
      </c>
    </row>
    <row r="41538" ht="15.75" customHeight="1">
      <c r="A41538" s="7"/>
      <c r="B41538" s="7"/>
      <c r="M41538" s="9" t="s">
        <v>21</v>
      </c>
    </row>
    <row r="41539" ht="15.75" customHeight="1">
      <c r="A41539" s="7"/>
      <c r="B41539" s="7"/>
      <c r="M41539" s="9" t="s">
        <v>37</v>
      </c>
    </row>
    <row r="41540" ht="15.75" customHeight="1">
      <c r="A41540" s="7"/>
      <c r="B41540" s="7"/>
      <c r="M41540" s="9" t="s">
        <v>26</v>
      </c>
    </row>
    <row r="41541" ht="15.75" customHeight="1">
      <c r="A41541" s="7"/>
      <c r="B41541" s="7"/>
      <c r="M41541" s="9" t="s">
        <v>24</v>
      </c>
    </row>
    <row r="41542" ht="15.75" customHeight="1">
      <c r="A41542" s="7"/>
      <c r="B41542" s="7"/>
      <c r="M41542" s="9" t="s">
        <v>21</v>
      </c>
    </row>
    <row r="41543" ht="15.75" customHeight="1">
      <c r="A41543" s="7"/>
      <c r="B41543" s="7"/>
      <c r="M41543" s="9" t="s">
        <v>27</v>
      </c>
    </row>
    <row r="41544" ht="15.75" customHeight="1">
      <c r="A41544" s="7"/>
      <c r="B41544" s="7"/>
      <c r="M41544" s="9" t="s">
        <v>20</v>
      </c>
    </row>
    <row r="41545" ht="15.75" customHeight="1">
      <c r="A41545" s="7"/>
      <c r="B41545" s="7"/>
      <c r="M41545" s="9" t="s">
        <v>21</v>
      </c>
    </row>
    <row r="41546" ht="15.75" customHeight="1">
      <c r="A41546" s="7"/>
      <c r="B41546" s="7"/>
      <c r="M41546" s="9" t="s">
        <v>22</v>
      </c>
    </row>
    <row r="41547" ht="15.75" customHeight="1">
      <c r="A41547" s="7"/>
      <c r="B41547" s="7"/>
      <c r="M41547" s="9" t="s">
        <v>46</v>
      </c>
    </row>
    <row r="41548" ht="15.75" customHeight="1">
      <c r="A41548" s="7"/>
      <c r="B41548" s="7"/>
      <c r="M41548" s="9" t="s">
        <v>33</v>
      </c>
    </row>
    <row r="41549" ht="15.75" customHeight="1">
      <c r="A41549" s="7"/>
      <c r="B41549" s="7"/>
      <c r="M41549" s="9" t="s">
        <v>20</v>
      </c>
    </row>
    <row r="41550" ht="15.75" customHeight="1">
      <c r="A41550" s="7"/>
      <c r="B41550" s="7"/>
      <c r="M41550" s="9" t="s">
        <v>27</v>
      </c>
    </row>
    <row r="41551" ht="15.75" customHeight="1">
      <c r="A41551" s="7"/>
      <c r="B41551" s="7"/>
      <c r="M41551" s="9" t="s">
        <v>30</v>
      </c>
    </row>
    <row r="41552" ht="15.75" customHeight="1">
      <c r="A41552" s="7"/>
      <c r="B41552" s="7"/>
      <c r="M41552" s="9" t="s">
        <v>24</v>
      </c>
    </row>
    <row r="41553" ht="15.75" customHeight="1">
      <c r="A41553" s="7"/>
      <c r="B41553" s="7"/>
      <c r="M41553" s="9" t="s">
        <v>21</v>
      </c>
    </row>
    <row r="41554" ht="15.75" customHeight="1">
      <c r="A41554" s="7"/>
      <c r="B41554" s="7"/>
      <c r="M41554" s="9" t="s">
        <v>37</v>
      </c>
    </row>
    <row r="41555" ht="15.75" customHeight="1">
      <c r="A41555" s="7"/>
      <c r="B41555" s="7"/>
      <c r="M41555" s="9" t="s">
        <v>27</v>
      </c>
    </row>
    <row r="41556" ht="15.75" customHeight="1">
      <c r="A41556" s="7"/>
      <c r="B41556" s="7"/>
      <c r="M41556" s="9" t="s">
        <v>24</v>
      </c>
    </row>
    <row r="41557" ht="15.75" customHeight="1">
      <c r="A41557" s="7"/>
      <c r="B41557" s="7"/>
      <c r="M41557" s="9" t="s">
        <v>20</v>
      </c>
    </row>
    <row r="41558" ht="15.75" customHeight="1">
      <c r="A41558" s="7"/>
      <c r="B41558" s="7"/>
      <c r="M41558" s="9" t="s">
        <v>21</v>
      </c>
    </row>
    <row r="41559" ht="15.75" customHeight="1">
      <c r="A41559" s="7"/>
      <c r="B41559" s="7"/>
      <c r="M41559" s="9" t="s">
        <v>22</v>
      </c>
    </row>
    <row r="41560" ht="15.75" customHeight="1">
      <c r="A41560" s="7"/>
      <c r="B41560" s="7"/>
      <c r="M41560" s="9" t="s">
        <v>27</v>
      </c>
    </row>
    <row r="41561" ht="15.75" customHeight="1">
      <c r="A41561" s="7"/>
      <c r="B41561" s="7"/>
      <c r="M41561" s="9" t="s">
        <v>30</v>
      </c>
    </row>
    <row r="41562" ht="15.75" customHeight="1">
      <c r="A41562" s="7"/>
      <c r="B41562" s="7"/>
      <c r="M41562" s="9" t="s">
        <v>26</v>
      </c>
    </row>
    <row r="41563" ht="15.75" customHeight="1">
      <c r="A41563" s="7"/>
      <c r="B41563" s="7"/>
      <c r="M41563" s="9" t="s">
        <v>24</v>
      </c>
    </row>
    <row r="41564" ht="15.75" customHeight="1">
      <c r="A41564" s="7"/>
      <c r="B41564" s="7"/>
      <c r="M41564" s="9" t="s">
        <v>21</v>
      </c>
    </row>
    <row r="41565" ht="15.75" customHeight="1">
      <c r="A41565" s="7"/>
      <c r="B41565" s="7"/>
      <c r="M41565" s="9" t="s">
        <v>28</v>
      </c>
    </row>
    <row r="41566" ht="15.75" customHeight="1">
      <c r="A41566" s="7"/>
      <c r="B41566" s="7"/>
      <c r="M41566" s="9" t="s">
        <v>44</v>
      </c>
    </row>
    <row r="41567" ht="15.75" customHeight="1">
      <c r="A41567" s="7"/>
      <c r="B41567" s="7"/>
      <c r="M41567" s="9" t="s">
        <v>24</v>
      </c>
    </row>
    <row r="41568" ht="15.75" customHeight="1">
      <c r="A41568" s="7"/>
      <c r="B41568" s="7"/>
      <c r="M41568" s="9" t="s">
        <v>20</v>
      </c>
    </row>
    <row r="41569" ht="15.75" customHeight="1">
      <c r="A41569" s="7"/>
      <c r="B41569" s="7"/>
      <c r="M41569" s="9" t="s">
        <v>22</v>
      </c>
    </row>
    <row r="41570" ht="15.75" customHeight="1">
      <c r="A41570" s="7"/>
      <c r="B41570" s="7"/>
      <c r="M41570" s="9" t="s">
        <v>29</v>
      </c>
    </row>
    <row r="41571" ht="15.75" customHeight="1">
      <c r="A41571" s="7"/>
      <c r="B41571" s="7"/>
      <c r="M41571" s="9" t="s">
        <v>30</v>
      </c>
    </row>
    <row r="41572" ht="15.75" customHeight="1">
      <c r="A41572" s="7"/>
      <c r="B41572" s="7"/>
      <c r="M41572" s="9" t="s">
        <v>24</v>
      </c>
    </row>
    <row r="41573" ht="15.75" customHeight="1">
      <c r="A41573" s="7"/>
      <c r="B41573" s="7"/>
      <c r="M41573" s="9" t="s">
        <v>21</v>
      </c>
    </row>
    <row r="41574" ht="15.75" customHeight="1">
      <c r="A41574" s="7"/>
      <c r="B41574" s="7"/>
      <c r="M41574" s="9" t="s">
        <v>37</v>
      </c>
    </row>
    <row r="41575" ht="15.75" customHeight="1">
      <c r="A41575" s="7"/>
      <c r="B41575" s="7"/>
      <c r="M41575" s="9" t="s">
        <v>33</v>
      </c>
    </row>
    <row r="41576" ht="15.75" customHeight="1">
      <c r="A41576" s="7"/>
      <c r="B41576" s="7"/>
      <c r="M41576" s="9" t="s">
        <v>24</v>
      </c>
    </row>
    <row r="41577" ht="15.75" customHeight="1">
      <c r="A41577" s="7"/>
      <c r="B41577" s="7"/>
      <c r="M41577" s="9" t="s">
        <v>20</v>
      </c>
    </row>
    <row r="41578" ht="15.75" customHeight="1">
      <c r="A41578" s="7"/>
      <c r="B41578" s="7"/>
      <c r="M41578" s="9" t="s">
        <v>22</v>
      </c>
    </row>
    <row r="41579" ht="15.75" customHeight="1">
      <c r="A41579" s="7"/>
      <c r="B41579" s="7"/>
      <c r="M41579" s="9" t="s">
        <v>27</v>
      </c>
    </row>
    <row r="41580" ht="15.75" customHeight="1">
      <c r="A41580" s="7"/>
      <c r="B41580" s="7"/>
      <c r="M41580" s="9" t="s">
        <v>24</v>
      </c>
    </row>
    <row r="41581" ht="15.75" customHeight="1">
      <c r="A41581" s="7"/>
      <c r="B41581" s="7"/>
      <c r="M41581" s="9" t="s">
        <v>21</v>
      </c>
    </row>
    <row r="41582" ht="15.75" customHeight="1">
      <c r="A41582" s="7"/>
      <c r="B41582" s="7"/>
      <c r="M41582" s="9" t="s">
        <v>37</v>
      </c>
    </row>
    <row r="41583" ht="15.75" customHeight="1">
      <c r="A41583" s="7"/>
      <c r="B41583" s="7"/>
      <c r="M41583" s="9" t="s">
        <v>27</v>
      </c>
    </row>
    <row r="41584" ht="15.75" customHeight="1">
      <c r="A41584" s="7"/>
      <c r="B41584" s="7"/>
      <c r="M41584" s="9" t="s">
        <v>38</v>
      </c>
    </row>
    <row r="41585" ht="15.75" customHeight="1">
      <c r="A41585" s="7"/>
      <c r="B41585" s="7"/>
      <c r="M41585" s="9" t="s">
        <v>30</v>
      </c>
    </row>
    <row r="41586" ht="15.75" customHeight="1">
      <c r="A41586" s="7"/>
      <c r="B41586" s="7"/>
      <c r="M41586" s="9" t="s">
        <v>25</v>
      </c>
    </row>
    <row r="41587" ht="15.75" customHeight="1">
      <c r="A41587" s="7"/>
      <c r="B41587" s="7"/>
      <c r="M41587" s="9" t="s">
        <v>23</v>
      </c>
    </row>
    <row r="41588" ht="15.75" customHeight="1">
      <c r="A41588" s="7"/>
      <c r="B41588" s="7"/>
      <c r="M41588" s="9" t="s">
        <v>26</v>
      </c>
    </row>
    <row r="41589" ht="15.75" customHeight="1">
      <c r="A41589" s="7"/>
      <c r="B41589" s="7"/>
      <c r="M41589" s="9" t="s">
        <v>24</v>
      </c>
    </row>
    <row r="41590" ht="15.75" customHeight="1">
      <c r="A41590" s="7"/>
      <c r="B41590" s="7"/>
      <c r="M41590" s="9" t="s">
        <v>20</v>
      </c>
    </row>
    <row r="41591" ht="15.75" customHeight="1">
      <c r="A41591" s="7"/>
      <c r="B41591" s="7"/>
      <c r="M41591" s="9" t="s">
        <v>21</v>
      </c>
    </row>
    <row r="41592" ht="15.75" customHeight="1">
      <c r="A41592" s="7"/>
      <c r="B41592" s="7"/>
      <c r="M41592" s="9" t="s">
        <v>41</v>
      </c>
    </row>
    <row r="41593" ht="15.75" customHeight="1">
      <c r="A41593" s="7"/>
      <c r="B41593" s="7"/>
      <c r="M41593" s="9" t="s">
        <v>22</v>
      </c>
    </row>
    <row r="41594" ht="15.75" customHeight="1">
      <c r="A41594" s="7"/>
      <c r="B41594" s="7"/>
      <c r="M41594" s="9" t="s">
        <v>27</v>
      </c>
    </row>
    <row r="41595" ht="15.75" customHeight="1">
      <c r="A41595" s="7"/>
      <c r="B41595" s="7"/>
      <c r="M41595" s="9" t="s">
        <v>33</v>
      </c>
    </row>
    <row r="41596" ht="15.75" customHeight="1">
      <c r="A41596" s="7"/>
      <c r="B41596" s="7"/>
      <c r="M41596" s="9" t="s">
        <v>24</v>
      </c>
    </row>
    <row r="41597" ht="15.75" customHeight="1">
      <c r="A41597" s="7"/>
      <c r="B41597" s="7"/>
      <c r="M41597" s="9" t="s">
        <v>21</v>
      </c>
    </row>
    <row r="41598" ht="15.75" customHeight="1">
      <c r="A41598" s="7"/>
      <c r="B41598" s="7"/>
      <c r="M41598" s="9" t="s">
        <v>37</v>
      </c>
    </row>
    <row r="41599" ht="15.75" customHeight="1">
      <c r="A41599" s="7"/>
      <c r="B41599" s="7"/>
      <c r="M41599" s="9" t="s">
        <v>27</v>
      </c>
    </row>
    <row r="41600" ht="15.75" customHeight="1">
      <c r="A41600" s="7"/>
      <c r="B41600" s="7"/>
      <c r="M41600" s="9" t="s">
        <v>30</v>
      </c>
    </row>
    <row r="41601" ht="15.75" customHeight="1">
      <c r="A41601" s="7"/>
      <c r="B41601" s="7"/>
      <c r="M41601" s="9" t="s">
        <v>25</v>
      </c>
    </row>
    <row r="41602" ht="15.75" customHeight="1">
      <c r="A41602" s="7"/>
      <c r="B41602" s="7"/>
      <c r="M41602" s="9" t="s">
        <v>23</v>
      </c>
    </row>
    <row r="41603" ht="15.75" customHeight="1">
      <c r="A41603" s="7"/>
      <c r="B41603" s="7"/>
      <c r="M41603" s="9" t="s">
        <v>26</v>
      </c>
    </row>
    <row r="41604" ht="15.75" customHeight="1">
      <c r="A41604" s="7"/>
      <c r="B41604" s="7"/>
      <c r="M41604" s="9" t="s">
        <v>24</v>
      </c>
    </row>
    <row r="41605" ht="15.75" customHeight="1">
      <c r="A41605" s="7"/>
      <c r="B41605" s="7"/>
      <c r="M41605" s="9" t="s">
        <v>22</v>
      </c>
    </row>
    <row r="41606" ht="15.75" customHeight="1">
      <c r="A41606" s="7"/>
      <c r="B41606" s="7"/>
      <c r="M41606" s="9" t="s">
        <v>29</v>
      </c>
    </row>
    <row r="41607" ht="15.75" customHeight="1">
      <c r="A41607" s="7"/>
      <c r="B41607" s="7"/>
      <c r="M41607" s="9" t="s">
        <v>27</v>
      </c>
    </row>
    <row r="41608" ht="15.75" customHeight="1">
      <c r="A41608" s="7"/>
      <c r="B41608" s="7"/>
      <c r="M41608" s="9" t="s">
        <v>24</v>
      </c>
    </row>
    <row r="41609" ht="15.75" customHeight="1">
      <c r="A41609" s="7"/>
      <c r="B41609" s="7"/>
      <c r="M41609" s="9" t="s">
        <v>21</v>
      </c>
    </row>
    <row r="41610" ht="15.75" customHeight="1">
      <c r="A41610" s="7"/>
      <c r="B41610" s="7"/>
      <c r="M41610" s="9" t="s">
        <v>33</v>
      </c>
    </row>
    <row r="41611" ht="15.75" customHeight="1">
      <c r="A41611" s="7"/>
      <c r="B41611" s="7"/>
      <c r="M41611" s="9" t="s">
        <v>24</v>
      </c>
    </row>
    <row r="41612" ht="15.75" customHeight="1">
      <c r="A41612" s="7"/>
      <c r="B41612" s="7"/>
      <c r="M41612" s="9" t="s">
        <v>20</v>
      </c>
    </row>
    <row r="41613" ht="15.75" customHeight="1">
      <c r="A41613" s="7"/>
      <c r="B41613" s="7"/>
      <c r="M41613" s="9" t="s">
        <v>21</v>
      </c>
    </row>
    <row r="41614" ht="15.75" customHeight="1">
      <c r="A41614" s="7"/>
      <c r="B41614" s="7"/>
      <c r="M41614" s="9" t="s">
        <v>27</v>
      </c>
    </row>
    <row r="41615" ht="15.75" customHeight="1">
      <c r="A41615" s="7"/>
      <c r="B41615" s="7"/>
      <c r="M41615" s="9" t="s">
        <v>24</v>
      </c>
    </row>
    <row r="41616" ht="15.75" customHeight="1">
      <c r="A41616" s="7"/>
      <c r="B41616" s="7"/>
      <c r="M41616" s="9" t="s">
        <v>21</v>
      </c>
    </row>
    <row r="41617" ht="15.75" customHeight="1">
      <c r="A41617" s="7"/>
      <c r="B41617" s="7"/>
      <c r="M41617" s="9" t="s">
        <v>22</v>
      </c>
    </row>
    <row r="41618" ht="15.75" customHeight="1">
      <c r="A41618" s="7"/>
      <c r="B41618" s="7"/>
      <c r="M41618" s="9" t="s">
        <v>27</v>
      </c>
    </row>
    <row r="41619" ht="15.75" customHeight="1">
      <c r="A41619" s="7"/>
      <c r="B41619" s="7"/>
      <c r="M41619" s="9" t="s">
        <v>30</v>
      </c>
    </row>
    <row r="41620" ht="15.75" customHeight="1">
      <c r="A41620" s="7"/>
      <c r="B41620" s="7"/>
      <c r="M41620" s="9" t="s">
        <v>26</v>
      </c>
    </row>
    <row r="41621" ht="15.75" customHeight="1">
      <c r="A41621" s="7"/>
      <c r="B41621" s="7"/>
      <c r="M41621" s="9" t="s">
        <v>24</v>
      </c>
    </row>
    <row r="41622" ht="15.75" customHeight="1">
      <c r="A41622" s="7"/>
      <c r="B41622" s="7"/>
      <c r="M41622" s="9" t="s">
        <v>20</v>
      </c>
    </row>
    <row r="41623" ht="15.75" customHeight="1">
      <c r="A41623" s="7"/>
      <c r="B41623" s="7"/>
      <c r="M41623" s="9" t="s">
        <v>21</v>
      </c>
    </row>
    <row r="41624" ht="15.75" customHeight="1">
      <c r="A41624" s="7"/>
      <c r="B41624" s="7"/>
      <c r="M41624" s="9" t="s">
        <v>22</v>
      </c>
    </row>
    <row r="41625" ht="15.75" customHeight="1">
      <c r="A41625" s="7"/>
      <c r="B41625" s="7"/>
      <c r="M41625" s="9" t="s">
        <v>27</v>
      </c>
    </row>
    <row r="41626" ht="15.75" customHeight="1">
      <c r="A41626" s="7"/>
      <c r="B41626" s="7"/>
      <c r="M41626" s="9" t="s">
        <v>40</v>
      </c>
    </row>
    <row r="41627" ht="15.75" customHeight="1">
      <c r="A41627" s="7"/>
      <c r="B41627" s="7"/>
      <c r="M41627" s="9" t="s">
        <v>33</v>
      </c>
    </row>
    <row r="41628" ht="15.75" customHeight="1">
      <c r="A41628" s="7"/>
      <c r="B41628" s="7"/>
      <c r="M41628" s="9" t="s">
        <v>35</v>
      </c>
    </row>
    <row r="41629" ht="15.75" customHeight="1">
      <c r="A41629" s="7"/>
      <c r="B41629" s="7"/>
      <c r="M41629" s="9" t="s">
        <v>30</v>
      </c>
    </row>
    <row r="41630" ht="15.75" customHeight="1">
      <c r="A41630" s="7"/>
      <c r="B41630" s="7"/>
      <c r="M41630" s="9" t="s">
        <v>25</v>
      </c>
    </row>
    <row r="41631" ht="15.75" customHeight="1">
      <c r="A41631" s="7"/>
      <c r="B41631" s="7"/>
      <c r="M41631" s="9" t="s">
        <v>23</v>
      </c>
    </row>
    <row r="41632" ht="15.75" customHeight="1">
      <c r="A41632" s="7"/>
      <c r="B41632" s="7"/>
      <c r="M41632" s="9" t="s">
        <v>47</v>
      </c>
    </row>
    <row r="41633" ht="15.75" customHeight="1">
      <c r="A41633" s="7"/>
      <c r="B41633" s="7"/>
      <c r="M41633" s="9" t="s">
        <v>36</v>
      </c>
    </row>
    <row r="41634" ht="15.75" customHeight="1">
      <c r="A41634" s="7"/>
      <c r="B41634" s="7"/>
      <c r="M41634" s="9" t="s">
        <v>24</v>
      </c>
    </row>
    <row r="41635" ht="15.75" customHeight="1">
      <c r="A41635" s="7"/>
      <c r="B41635" s="7"/>
      <c r="M41635" s="9" t="s">
        <v>20</v>
      </c>
    </row>
    <row r="41636" ht="15.75" customHeight="1">
      <c r="A41636" s="7"/>
      <c r="B41636" s="7"/>
      <c r="M41636" s="9" t="s">
        <v>21</v>
      </c>
    </row>
    <row r="41637" ht="15.75" customHeight="1">
      <c r="A41637" s="7"/>
      <c r="B41637" s="7"/>
      <c r="M41637" s="9" t="s">
        <v>39</v>
      </c>
    </row>
    <row r="41638" ht="15.75" customHeight="1">
      <c r="A41638" s="7"/>
      <c r="B41638" s="7"/>
      <c r="M41638" s="9" t="s">
        <v>41</v>
      </c>
    </row>
    <row r="41639" ht="15.75" customHeight="1">
      <c r="A41639" s="7"/>
      <c r="B41639" s="7"/>
      <c r="M41639" s="9" t="s">
        <v>22</v>
      </c>
    </row>
    <row r="41640" ht="15.75" customHeight="1">
      <c r="A41640" s="7"/>
      <c r="B41640" s="7"/>
      <c r="M41640" s="9" t="s">
        <v>31</v>
      </c>
    </row>
    <row r="41641" ht="15.75" customHeight="1">
      <c r="A41641" s="7"/>
      <c r="B41641" s="7"/>
      <c r="M41641" s="9" t="s">
        <v>27</v>
      </c>
    </row>
    <row r="41642" ht="15.75" customHeight="1">
      <c r="A41642" s="7"/>
      <c r="B41642" s="7"/>
      <c r="M41642" s="9" t="s">
        <v>40</v>
      </c>
    </row>
    <row r="41643" ht="15.75" customHeight="1">
      <c r="A41643" s="7"/>
      <c r="B41643" s="7"/>
      <c r="M41643" s="9" t="s">
        <v>30</v>
      </c>
    </row>
    <row r="41644" ht="15.75" customHeight="1">
      <c r="A41644" s="7"/>
      <c r="B41644" s="7"/>
      <c r="M41644" s="9" t="s">
        <v>26</v>
      </c>
    </row>
    <row r="41645" ht="15.75" customHeight="1">
      <c r="A41645" s="7"/>
      <c r="B41645" s="7"/>
      <c r="M41645" s="9" t="s">
        <v>24</v>
      </c>
    </row>
    <row r="41646" ht="15.75" customHeight="1">
      <c r="A41646" s="7"/>
      <c r="B41646" s="7"/>
      <c r="M41646" s="9" t="s">
        <v>20</v>
      </c>
    </row>
    <row r="41647" ht="15.75" customHeight="1">
      <c r="A41647" s="7"/>
      <c r="B41647" s="7"/>
      <c r="M41647" s="9" t="s">
        <v>21</v>
      </c>
    </row>
    <row r="41648" ht="15.75" customHeight="1">
      <c r="A41648" s="7"/>
      <c r="B41648" s="7"/>
      <c r="M41648" s="9" t="s">
        <v>27</v>
      </c>
    </row>
    <row r="41649" ht="15.75" customHeight="1">
      <c r="A41649" s="7"/>
      <c r="B41649" s="7"/>
      <c r="M41649" s="9" t="s">
        <v>40</v>
      </c>
    </row>
    <row r="41650" ht="15.75" customHeight="1">
      <c r="A41650" s="7"/>
      <c r="B41650" s="7"/>
      <c r="M41650" s="9" t="s">
        <v>33</v>
      </c>
    </row>
    <row r="41651" ht="15.75" customHeight="1">
      <c r="A41651" s="7"/>
      <c r="B41651" s="7"/>
      <c r="M41651" s="9" t="s">
        <v>24</v>
      </c>
    </row>
    <row r="41652" ht="15.75" customHeight="1">
      <c r="A41652" s="7"/>
      <c r="B41652" s="7"/>
      <c r="M41652" s="9" t="s">
        <v>21</v>
      </c>
    </row>
    <row r="41653" ht="15.75" customHeight="1">
      <c r="A41653" s="7"/>
      <c r="B41653" s="7"/>
      <c r="M41653" s="9" t="s">
        <v>22</v>
      </c>
    </row>
    <row r="41654" ht="15.75" customHeight="1">
      <c r="A41654" s="7"/>
      <c r="B41654" s="7"/>
      <c r="M41654" s="9" t="s">
        <v>24</v>
      </c>
    </row>
    <row r="41655" ht="15.75" customHeight="1">
      <c r="A41655" s="7"/>
      <c r="B41655" s="7"/>
      <c r="M41655" s="9" t="s">
        <v>20</v>
      </c>
    </row>
    <row r="41656" ht="15.75" customHeight="1">
      <c r="A41656" s="7"/>
      <c r="B41656" s="7"/>
      <c r="M41656" s="9" t="s">
        <v>21</v>
      </c>
    </row>
    <row r="41657" ht="15.75" customHeight="1">
      <c r="A41657" s="7"/>
      <c r="B41657" s="7"/>
      <c r="M41657" s="9" t="s">
        <v>26</v>
      </c>
    </row>
    <row r="41658" ht="15.75" customHeight="1">
      <c r="A41658" s="7"/>
      <c r="B41658" s="7"/>
      <c r="M41658" s="9" t="s">
        <v>24</v>
      </c>
    </row>
    <row r="41659" ht="15.75" customHeight="1">
      <c r="A41659" s="7"/>
      <c r="B41659" s="7"/>
      <c r="M41659" s="9" t="s">
        <v>21</v>
      </c>
    </row>
    <row r="41660" ht="15.75" customHeight="1">
      <c r="A41660" s="7"/>
      <c r="B41660" s="7"/>
      <c r="M41660" s="9" t="s">
        <v>40</v>
      </c>
    </row>
    <row r="41661" ht="15.75" customHeight="1">
      <c r="A41661" s="7"/>
      <c r="B41661" s="7"/>
      <c r="M41661" s="9" t="s">
        <v>24</v>
      </c>
    </row>
    <row r="41662" ht="15.75" customHeight="1">
      <c r="A41662" s="7"/>
      <c r="B41662" s="7"/>
      <c r="M41662" s="9" t="s">
        <v>21</v>
      </c>
    </row>
    <row r="41663" ht="15.75" customHeight="1">
      <c r="A41663" s="7"/>
      <c r="B41663" s="7"/>
      <c r="M41663" s="9" t="s">
        <v>22</v>
      </c>
    </row>
    <row r="41664" ht="15.75" customHeight="1">
      <c r="A41664" s="7"/>
      <c r="B41664" s="7"/>
      <c r="M41664" s="9" t="s">
        <v>27</v>
      </c>
    </row>
    <row r="41665" ht="15.75" customHeight="1">
      <c r="A41665" s="7"/>
      <c r="B41665" s="7"/>
      <c r="M41665" s="9" t="s">
        <v>33</v>
      </c>
    </row>
    <row r="41666" ht="15.75" customHeight="1">
      <c r="A41666" s="7"/>
      <c r="B41666" s="7"/>
      <c r="M41666" s="9" t="s">
        <v>30</v>
      </c>
    </row>
    <row r="41667" ht="15.75" customHeight="1">
      <c r="A41667" s="7"/>
      <c r="B41667" s="7"/>
      <c r="M41667" s="9" t="s">
        <v>24</v>
      </c>
    </row>
    <row r="41668" ht="15.75" customHeight="1">
      <c r="A41668" s="7"/>
      <c r="B41668" s="7"/>
      <c r="M41668" s="9" t="s">
        <v>21</v>
      </c>
    </row>
    <row r="41669" ht="15.75" customHeight="1">
      <c r="A41669" s="7"/>
      <c r="B41669" s="7"/>
      <c r="M41669" s="9" t="s">
        <v>37</v>
      </c>
    </row>
    <row r="41670" ht="15.75" customHeight="1">
      <c r="A41670" s="7"/>
      <c r="B41670" s="7"/>
      <c r="M41670" s="9" t="s">
        <v>22</v>
      </c>
    </row>
    <row r="41671" ht="15.75" customHeight="1">
      <c r="A41671" s="7"/>
      <c r="B41671" s="7"/>
      <c r="M41671" s="9" t="s">
        <v>27</v>
      </c>
    </row>
    <row r="41672" ht="15.75" customHeight="1">
      <c r="A41672" s="7"/>
      <c r="B41672" s="7"/>
      <c r="M41672" s="9" t="s">
        <v>26</v>
      </c>
    </row>
    <row r="41673" ht="15.75" customHeight="1">
      <c r="A41673" s="7"/>
      <c r="B41673" s="7"/>
      <c r="M41673" s="9" t="s">
        <v>21</v>
      </c>
    </row>
    <row r="41674" ht="15.75" customHeight="1">
      <c r="A41674" s="7"/>
      <c r="B41674" s="7"/>
      <c r="M41674" s="9" t="s">
        <v>27</v>
      </c>
    </row>
    <row r="41675" ht="15.75" customHeight="1">
      <c r="A41675" s="7"/>
      <c r="B41675" s="7"/>
      <c r="M41675" s="9" t="s">
        <v>25</v>
      </c>
    </row>
    <row r="41676" ht="15.75" customHeight="1">
      <c r="A41676" s="7"/>
      <c r="B41676" s="7"/>
      <c r="M41676" s="9" t="s">
        <v>23</v>
      </c>
    </row>
    <row r="41677" ht="15.75" customHeight="1">
      <c r="A41677" s="7"/>
      <c r="B41677" s="7"/>
      <c r="M41677" s="9" t="s">
        <v>24</v>
      </c>
    </row>
    <row r="41678" ht="15.75" customHeight="1">
      <c r="A41678" s="7"/>
      <c r="B41678" s="7"/>
      <c r="M41678" s="9" t="s">
        <v>21</v>
      </c>
    </row>
    <row r="41679" ht="15.75" customHeight="1">
      <c r="A41679" s="7"/>
      <c r="B41679" s="7"/>
      <c r="M41679" s="9" t="s">
        <v>27</v>
      </c>
    </row>
    <row r="41680" ht="15.75" customHeight="1">
      <c r="A41680" s="7"/>
      <c r="B41680" s="7"/>
      <c r="M41680" s="9" t="s">
        <v>25</v>
      </c>
    </row>
    <row r="41681" ht="15.75" customHeight="1">
      <c r="A41681" s="7"/>
      <c r="B41681" s="7"/>
      <c r="M41681" s="9" t="s">
        <v>26</v>
      </c>
    </row>
    <row r="41682" ht="15.75" customHeight="1">
      <c r="A41682" s="7"/>
      <c r="B41682" s="7"/>
      <c r="M41682" s="9" t="s">
        <v>24</v>
      </c>
    </row>
    <row r="41683" ht="15.75" customHeight="1">
      <c r="A41683" s="7"/>
      <c r="B41683" s="7"/>
      <c r="M41683" s="9" t="s">
        <v>21</v>
      </c>
    </row>
    <row r="41684" ht="15.75" customHeight="1">
      <c r="A41684" s="7"/>
      <c r="B41684" s="7"/>
      <c r="M41684" s="9" t="s">
        <v>22</v>
      </c>
    </row>
    <row r="41685" ht="15.75" customHeight="1">
      <c r="A41685" s="7"/>
      <c r="B41685" s="7"/>
      <c r="M41685" s="9" t="s">
        <v>30</v>
      </c>
    </row>
    <row r="41686" ht="15.75" customHeight="1">
      <c r="A41686" s="7"/>
      <c r="B41686" s="7"/>
      <c r="M41686" s="9" t="s">
        <v>24</v>
      </c>
    </row>
    <row r="41687" ht="15.75" customHeight="1">
      <c r="A41687" s="7"/>
      <c r="B41687" s="7"/>
      <c r="M41687" s="9" t="s">
        <v>21</v>
      </c>
    </row>
    <row r="41688" ht="15.75" customHeight="1">
      <c r="A41688" s="7"/>
      <c r="B41688" s="7"/>
      <c r="M41688" s="9" t="s">
        <v>37</v>
      </c>
    </row>
    <row r="41689" ht="15.75" customHeight="1">
      <c r="A41689" s="7"/>
      <c r="B41689" s="7"/>
      <c r="M41689" s="9" t="s">
        <v>29</v>
      </c>
    </row>
    <row r="41690" ht="15.75" customHeight="1">
      <c r="A41690" s="7"/>
      <c r="B41690" s="7"/>
      <c r="M41690" s="9" t="s">
        <v>27</v>
      </c>
    </row>
    <row r="41691" ht="15.75" customHeight="1">
      <c r="A41691" s="7"/>
      <c r="B41691" s="7"/>
      <c r="M41691" s="9" t="s">
        <v>30</v>
      </c>
    </row>
    <row r="41692" ht="15.75" customHeight="1">
      <c r="A41692" s="7"/>
      <c r="B41692" s="7"/>
      <c r="M41692" s="9" t="s">
        <v>24</v>
      </c>
    </row>
    <row r="41693" ht="15.75" customHeight="1">
      <c r="A41693" s="7"/>
      <c r="B41693" s="7"/>
      <c r="M41693" s="9" t="s">
        <v>21</v>
      </c>
    </row>
    <row r="41694" ht="15.75" customHeight="1">
      <c r="A41694" s="7"/>
      <c r="B41694" s="7"/>
      <c r="M41694" s="9" t="s">
        <v>37</v>
      </c>
    </row>
    <row r="41695" ht="15.75" customHeight="1">
      <c r="A41695" s="7"/>
      <c r="B41695" s="7"/>
      <c r="M41695" s="9" t="s">
        <v>32</v>
      </c>
    </row>
    <row r="41696" ht="15.75" customHeight="1">
      <c r="A41696" s="7"/>
      <c r="B41696" s="7"/>
      <c r="M41696" s="9" t="s">
        <v>27</v>
      </c>
    </row>
    <row r="41697" ht="15.75" customHeight="1">
      <c r="A41697" s="7"/>
      <c r="B41697" s="7"/>
      <c r="M41697" s="9" t="s">
        <v>33</v>
      </c>
    </row>
    <row r="41698" ht="15.75" customHeight="1">
      <c r="A41698" s="7"/>
      <c r="B41698" s="7"/>
      <c r="M41698" s="9" t="s">
        <v>20</v>
      </c>
    </row>
    <row r="41699" ht="15.75" customHeight="1">
      <c r="A41699" s="7"/>
      <c r="B41699" s="7"/>
      <c r="M41699" s="9" t="s">
        <v>30</v>
      </c>
    </row>
    <row r="41700" ht="15.75" customHeight="1">
      <c r="A41700" s="7"/>
      <c r="B41700" s="7"/>
      <c r="M41700" s="9" t="s">
        <v>36</v>
      </c>
    </row>
    <row r="41701" ht="15.75" customHeight="1">
      <c r="A41701" s="7"/>
      <c r="B41701" s="7"/>
      <c r="M41701" s="9" t="s">
        <v>24</v>
      </c>
    </row>
    <row r="41702" ht="15.75" customHeight="1">
      <c r="A41702" s="7"/>
      <c r="B41702" s="7"/>
      <c r="M41702" s="9" t="s">
        <v>21</v>
      </c>
    </row>
    <row r="41703" ht="15.75" customHeight="1">
      <c r="A41703" s="7"/>
      <c r="B41703" s="7"/>
      <c r="M41703" s="9" t="s">
        <v>22</v>
      </c>
    </row>
    <row r="41704" ht="15.75" customHeight="1">
      <c r="A41704" s="7"/>
      <c r="B41704" s="7"/>
      <c r="M41704" s="9" t="s">
        <v>33</v>
      </c>
    </row>
    <row r="41705" ht="15.75" customHeight="1">
      <c r="A41705" s="7"/>
      <c r="B41705" s="7"/>
      <c r="M41705" s="9" t="s">
        <v>22</v>
      </c>
    </row>
    <row r="41706" ht="15.75" customHeight="1">
      <c r="A41706" s="7"/>
      <c r="B41706" s="7"/>
      <c r="M41706" s="9" t="s">
        <v>27</v>
      </c>
    </row>
    <row r="41707" ht="15.75" customHeight="1">
      <c r="A41707" s="7"/>
      <c r="B41707" s="7"/>
      <c r="M41707" s="9" t="s">
        <v>24</v>
      </c>
    </row>
    <row r="41708" ht="15.75" customHeight="1">
      <c r="A41708" s="7"/>
      <c r="B41708" s="7"/>
      <c r="M41708" s="9" t="s">
        <v>21</v>
      </c>
    </row>
    <row r="41709" ht="15.75" customHeight="1">
      <c r="A41709" s="7"/>
      <c r="B41709" s="7"/>
      <c r="M41709" s="9" t="s">
        <v>27</v>
      </c>
    </row>
    <row r="41710" ht="15.75" customHeight="1">
      <c r="A41710" s="7"/>
      <c r="B41710" s="7"/>
      <c r="M41710" s="9" t="s">
        <v>30</v>
      </c>
    </row>
    <row r="41711" ht="15.75" customHeight="1">
      <c r="A41711" s="7"/>
      <c r="B41711" s="7"/>
      <c r="M41711" s="9" t="s">
        <v>22</v>
      </c>
    </row>
    <row r="41712" ht="15.75" customHeight="1">
      <c r="A41712" s="7"/>
      <c r="B41712" s="7"/>
      <c r="M41712" s="9" t="s">
        <v>30</v>
      </c>
    </row>
    <row r="41713" ht="15.75" customHeight="1">
      <c r="A41713" s="7"/>
      <c r="B41713" s="7"/>
      <c r="M41713" s="9" t="s">
        <v>25</v>
      </c>
    </row>
    <row r="41714" ht="15.75" customHeight="1">
      <c r="A41714" s="7"/>
      <c r="B41714" s="7"/>
      <c r="M41714" s="9" t="s">
        <v>20</v>
      </c>
    </row>
    <row r="41715" ht="15.75" customHeight="1">
      <c r="A41715" s="7"/>
      <c r="B41715" s="7"/>
      <c r="M41715" s="9" t="s">
        <v>21</v>
      </c>
    </row>
    <row r="41716" ht="15.75" customHeight="1">
      <c r="A41716" s="7"/>
      <c r="B41716" s="7"/>
      <c r="M41716" s="9" t="s">
        <v>46</v>
      </c>
    </row>
    <row r="41717" ht="15.75" customHeight="1">
      <c r="A41717" s="7"/>
      <c r="B41717" s="7"/>
      <c r="M41717" s="9" t="s">
        <v>27</v>
      </c>
    </row>
    <row r="41718" ht="15.75" customHeight="1">
      <c r="A41718" s="7"/>
      <c r="B41718" s="7"/>
      <c r="M41718" s="9" t="s">
        <v>26</v>
      </c>
    </row>
    <row r="41719" ht="15.75" customHeight="1">
      <c r="A41719" s="7"/>
      <c r="B41719" s="7"/>
      <c r="M41719" s="9" t="s">
        <v>24</v>
      </c>
    </row>
    <row r="41720" ht="15.75" customHeight="1">
      <c r="A41720" s="7"/>
      <c r="B41720" s="7"/>
      <c r="M41720" s="9" t="s">
        <v>21</v>
      </c>
    </row>
    <row r="41721" ht="15.75" customHeight="1">
      <c r="A41721" s="7"/>
      <c r="B41721" s="7"/>
      <c r="M41721" s="9" t="s">
        <v>37</v>
      </c>
    </row>
    <row r="41722" ht="15.75" customHeight="1">
      <c r="A41722" s="7"/>
      <c r="B41722" s="7"/>
      <c r="M41722" s="9" t="s">
        <v>27</v>
      </c>
    </row>
    <row r="41723" ht="15.75" customHeight="1">
      <c r="A41723" s="7"/>
      <c r="B41723" s="7"/>
      <c r="M41723" s="9" t="s">
        <v>24</v>
      </c>
    </row>
    <row r="41724" ht="15.75" customHeight="1">
      <c r="A41724" s="7"/>
      <c r="B41724" s="7"/>
      <c r="M41724" s="9" t="s">
        <v>21</v>
      </c>
    </row>
    <row r="41725" ht="15.75" customHeight="1">
      <c r="A41725" s="7"/>
      <c r="B41725" s="7"/>
      <c r="M41725" s="9" t="s">
        <v>37</v>
      </c>
    </row>
    <row r="41726" ht="15.75" customHeight="1">
      <c r="A41726" s="7"/>
      <c r="B41726" s="7"/>
      <c r="M41726" s="9" t="s">
        <v>22</v>
      </c>
    </row>
    <row r="41727" ht="15.75" customHeight="1">
      <c r="A41727" s="7"/>
      <c r="B41727" s="7"/>
      <c r="M41727" s="9" t="s">
        <v>32</v>
      </c>
    </row>
    <row r="41728" ht="15.75" customHeight="1">
      <c r="A41728" s="7"/>
      <c r="B41728" s="7"/>
      <c r="M41728" s="9" t="s">
        <v>27</v>
      </c>
    </row>
    <row r="41729" ht="15.75" customHeight="1">
      <c r="A41729" s="7"/>
      <c r="B41729" s="7"/>
      <c r="M41729" s="9" t="s">
        <v>33</v>
      </c>
    </row>
    <row r="41730" ht="15.75" customHeight="1">
      <c r="A41730" s="7"/>
      <c r="B41730" s="7"/>
      <c r="M41730" s="9" t="s">
        <v>25</v>
      </c>
    </row>
    <row r="41731" ht="15.75" customHeight="1">
      <c r="A41731" s="7"/>
      <c r="B41731" s="7"/>
      <c r="M41731" s="9" t="s">
        <v>20</v>
      </c>
    </row>
    <row r="41732" ht="15.75" customHeight="1">
      <c r="A41732" s="7"/>
      <c r="B41732" s="7"/>
      <c r="M41732" s="9" t="s">
        <v>22</v>
      </c>
    </row>
    <row r="41733" ht="15.75" customHeight="1">
      <c r="A41733" s="7"/>
      <c r="B41733" s="7"/>
      <c r="M41733" s="9" t="s">
        <v>27</v>
      </c>
    </row>
    <row r="41734" ht="15.75" customHeight="1">
      <c r="A41734" s="7"/>
      <c r="B41734" s="7"/>
      <c r="M41734" s="9" t="s">
        <v>30</v>
      </c>
    </row>
    <row r="41735" ht="15.75" customHeight="1">
      <c r="A41735" s="7"/>
      <c r="B41735" s="7"/>
      <c r="M41735" s="9" t="s">
        <v>26</v>
      </c>
    </row>
    <row r="41736" ht="15.75" customHeight="1">
      <c r="A41736" s="7"/>
      <c r="B41736" s="7"/>
      <c r="M41736" s="9" t="s">
        <v>22</v>
      </c>
    </row>
    <row r="41737" ht="15.75" customHeight="1">
      <c r="A41737" s="7"/>
      <c r="B41737" s="7"/>
      <c r="M41737" s="9" t="s">
        <v>33</v>
      </c>
    </row>
    <row r="41738" ht="15.75" customHeight="1">
      <c r="A41738" s="7"/>
      <c r="B41738" s="7"/>
      <c r="M41738" s="9" t="s">
        <v>23</v>
      </c>
    </row>
    <row r="41739" ht="15.75" customHeight="1">
      <c r="A41739" s="7"/>
      <c r="B41739" s="7"/>
      <c r="M41739" s="9" t="s">
        <v>24</v>
      </c>
    </row>
    <row r="41740" ht="15.75" customHeight="1">
      <c r="A41740" s="7"/>
      <c r="B41740" s="7"/>
      <c r="M41740" s="9" t="s">
        <v>20</v>
      </c>
    </row>
    <row r="41741" ht="15.75" customHeight="1">
      <c r="A41741" s="7"/>
      <c r="B41741" s="7"/>
      <c r="M41741" s="9" t="s">
        <v>21</v>
      </c>
    </row>
    <row r="41742" ht="15.75" customHeight="1">
      <c r="A41742" s="7"/>
      <c r="B41742" s="7"/>
      <c r="M41742" s="9" t="s">
        <v>22</v>
      </c>
    </row>
    <row r="41743" ht="15.75" customHeight="1">
      <c r="A41743" s="7"/>
      <c r="B41743" s="7"/>
      <c r="M41743" s="9" t="s">
        <v>31</v>
      </c>
    </row>
    <row r="41744" ht="15.75" customHeight="1">
      <c r="A41744" s="7"/>
      <c r="B41744" s="7"/>
      <c r="M41744" s="9" t="s">
        <v>27</v>
      </c>
    </row>
    <row r="41745" ht="15.75" customHeight="1">
      <c r="A41745" s="7"/>
      <c r="B41745" s="7"/>
      <c r="M41745" s="9" t="s">
        <v>26</v>
      </c>
    </row>
    <row r="41746" ht="15.75" customHeight="1">
      <c r="A41746" s="7"/>
      <c r="B41746" s="7"/>
      <c r="M41746" s="9" t="s">
        <v>20</v>
      </c>
    </row>
    <row r="41747" ht="15.75" customHeight="1">
      <c r="A41747" s="7"/>
      <c r="B41747" s="7"/>
      <c r="M41747" s="9" t="s">
        <v>20</v>
      </c>
    </row>
    <row r="41748" ht="15.75" customHeight="1">
      <c r="A41748" s="7"/>
      <c r="B41748" s="7"/>
      <c r="M41748" s="9" t="s">
        <v>22</v>
      </c>
    </row>
    <row r="41749" ht="15.75" customHeight="1">
      <c r="A41749" s="7"/>
      <c r="B41749" s="7"/>
      <c r="M41749" s="9" t="s">
        <v>25</v>
      </c>
    </row>
    <row r="41750" ht="15.75" customHeight="1">
      <c r="A41750" s="7"/>
      <c r="B41750" s="7"/>
      <c r="M41750" s="9" t="s">
        <v>23</v>
      </c>
    </row>
    <row r="41751" ht="15.75" customHeight="1">
      <c r="A41751" s="7"/>
      <c r="B41751" s="7"/>
      <c r="M41751" s="9" t="s">
        <v>22</v>
      </c>
    </row>
    <row r="41752" ht="15.75" customHeight="1">
      <c r="A41752" s="7"/>
      <c r="B41752" s="7"/>
      <c r="M41752" s="9" t="s">
        <v>35</v>
      </c>
    </row>
    <row r="41753" ht="15.75" customHeight="1">
      <c r="A41753" s="7"/>
      <c r="B41753" s="7"/>
      <c r="M41753" s="9" t="s">
        <v>24</v>
      </c>
    </row>
    <row r="41754" ht="15.75" customHeight="1">
      <c r="A41754" s="7"/>
      <c r="B41754" s="7"/>
      <c r="M41754" s="9" t="s">
        <v>21</v>
      </c>
    </row>
    <row r="41755" ht="15.75" customHeight="1">
      <c r="A41755" s="7"/>
      <c r="B41755" s="7"/>
      <c r="M41755" s="9" t="s">
        <v>37</v>
      </c>
    </row>
    <row r="41756" ht="15.75" customHeight="1">
      <c r="A41756" s="7"/>
      <c r="B41756" s="7"/>
      <c r="M41756" s="9" t="s">
        <v>27</v>
      </c>
    </row>
    <row r="41757" ht="15.75" customHeight="1">
      <c r="A41757" s="7"/>
      <c r="B41757" s="7"/>
      <c r="M41757" s="9" t="s">
        <v>33</v>
      </c>
    </row>
    <row r="41758" ht="15.75" customHeight="1">
      <c r="A41758" s="7"/>
      <c r="B41758" s="7"/>
      <c r="M41758" s="9" t="s">
        <v>24</v>
      </c>
    </row>
    <row r="41759" ht="15.75" customHeight="1">
      <c r="A41759" s="7"/>
      <c r="B41759" s="7"/>
      <c r="M41759" s="9" t="s">
        <v>21</v>
      </c>
    </row>
    <row r="41760" ht="15.75" customHeight="1">
      <c r="A41760" s="7"/>
      <c r="B41760" s="7"/>
      <c r="M41760" s="9" t="s">
        <v>33</v>
      </c>
    </row>
    <row r="41761" ht="15.75" customHeight="1">
      <c r="A41761" s="7"/>
      <c r="B41761" s="7"/>
      <c r="M41761" s="9" t="s">
        <v>30</v>
      </c>
    </row>
    <row r="41762" ht="15.75" customHeight="1">
      <c r="A41762" s="7"/>
      <c r="B41762" s="7"/>
      <c r="M41762" s="9" t="s">
        <v>26</v>
      </c>
    </row>
    <row r="41763" ht="15.75" customHeight="1">
      <c r="A41763" s="7"/>
      <c r="B41763" s="7"/>
      <c r="M41763" s="9" t="s">
        <v>24</v>
      </c>
    </row>
    <row r="41764" ht="15.75" customHeight="1">
      <c r="A41764" s="7"/>
      <c r="B41764" s="7"/>
      <c r="M41764" s="9" t="s">
        <v>20</v>
      </c>
    </row>
    <row r="41765" ht="15.75" customHeight="1">
      <c r="A41765" s="7"/>
      <c r="B41765" s="7"/>
      <c r="M41765" s="9" t="s">
        <v>21</v>
      </c>
    </row>
    <row r="41766" ht="15.75" customHeight="1">
      <c r="A41766" s="7"/>
      <c r="B41766" s="7"/>
      <c r="M41766" s="9" t="s">
        <v>39</v>
      </c>
    </row>
    <row r="41767" ht="15.75" customHeight="1">
      <c r="A41767" s="7"/>
      <c r="B41767" s="7"/>
      <c r="M41767" s="9" t="s">
        <v>27</v>
      </c>
    </row>
    <row r="41768" ht="15.75" customHeight="1">
      <c r="A41768" s="7"/>
      <c r="B41768" s="7"/>
      <c r="M41768" s="9" t="s">
        <v>26</v>
      </c>
    </row>
    <row r="41769" ht="15.75" customHeight="1">
      <c r="A41769" s="7"/>
      <c r="B41769" s="7"/>
      <c r="M41769" s="9" t="s">
        <v>30</v>
      </c>
    </row>
    <row r="41770" ht="15.75" customHeight="1">
      <c r="A41770" s="7"/>
      <c r="B41770" s="7"/>
      <c r="M41770" s="9" t="s">
        <v>24</v>
      </c>
    </row>
    <row r="41771" ht="15.75" customHeight="1">
      <c r="A41771" s="7"/>
      <c r="B41771" s="7"/>
      <c r="M41771" s="9" t="s">
        <v>22</v>
      </c>
    </row>
    <row r="41772" ht="15.75" customHeight="1">
      <c r="A41772" s="7"/>
      <c r="B41772" s="7"/>
      <c r="M41772" s="9" t="s">
        <v>38</v>
      </c>
    </row>
    <row r="41773" ht="15.75" customHeight="1">
      <c r="A41773" s="7"/>
      <c r="B41773" s="7"/>
      <c r="M41773" s="9" t="s">
        <v>30</v>
      </c>
    </row>
    <row r="41774" ht="15.75" customHeight="1">
      <c r="A41774" s="7"/>
      <c r="B41774" s="7"/>
      <c r="M41774" s="9" t="s">
        <v>25</v>
      </c>
    </row>
    <row r="41775" ht="15.75" customHeight="1">
      <c r="A41775" s="7"/>
      <c r="B41775" s="7"/>
      <c r="M41775" s="9" t="s">
        <v>23</v>
      </c>
    </row>
    <row r="41776" ht="15.75" customHeight="1">
      <c r="A41776" s="7"/>
      <c r="B41776" s="7"/>
      <c r="M41776" s="9" t="s">
        <v>26</v>
      </c>
    </row>
    <row r="41777" ht="15.75" customHeight="1">
      <c r="A41777" s="7"/>
      <c r="B41777" s="7"/>
      <c r="M41777" s="9" t="s">
        <v>47</v>
      </c>
    </row>
    <row r="41778" ht="15.75" customHeight="1">
      <c r="A41778" s="7"/>
      <c r="B41778" s="7"/>
      <c r="M41778" s="9" t="s">
        <v>24</v>
      </c>
    </row>
    <row r="41779" ht="15.75" customHeight="1">
      <c r="A41779" s="7"/>
      <c r="B41779" s="7"/>
      <c r="M41779" s="9" t="s">
        <v>20</v>
      </c>
    </row>
    <row r="41780" ht="15.75" customHeight="1">
      <c r="A41780" s="7"/>
      <c r="B41780" s="7"/>
      <c r="M41780" s="9" t="s">
        <v>21</v>
      </c>
    </row>
    <row r="41781" ht="15.75" customHeight="1">
      <c r="A41781" s="7"/>
      <c r="B41781" s="7"/>
      <c r="M41781" s="9" t="s">
        <v>37</v>
      </c>
    </row>
    <row r="41782" ht="15.75" customHeight="1">
      <c r="A41782" s="7"/>
      <c r="B41782" s="7"/>
      <c r="M41782" s="9" t="s">
        <v>22</v>
      </c>
    </row>
    <row r="41783" ht="15.75" customHeight="1">
      <c r="A41783" s="7"/>
      <c r="B41783" s="7"/>
      <c r="M41783" s="9" t="s">
        <v>29</v>
      </c>
    </row>
    <row r="41784" ht="15.75" customHeight="1">
      <c r="A41784" s="7"/>
      <c r="B41784" s="7"/>
      <c r="M41784" s="9" t="s">
        <v>27</v>
      </c>
    </row>
    <row r="41785" ht="15.75" customHeight="1">
      <c r="A41785" s="7"/>
      <c r="B41785" s="7"/>
      <c r="M41785" s="9" t="s">
        <v>33</v>
      </c>
    </row>
    <row r="41786" ht="15.75" customHeight="1">
      <c r="A41786" s="7"/>
      <c r="B41786" s="7"/>
      <c r="M41786" s="9" t="s">
        <v>25</v>
      </c>
    </row>
    <row r="41787" ht="15.75" customHeight="1">
      <c r="A41787" s="7"/>
      <c r="B41787" s="7"/>
      <c r="M41787" s="9" t="s">
        <v>23</v>
      </c>
    </row>
    <row r="41788" ht="15.75" customHeight="1">
      <c r="A41788" s="7"/>
      <c r="B41788" s="7"/>
      <c r="M41788" s="9" t="s">
        <v>26</v>
      </c>
    </row>
    <row r="41789" ht="15.75" customHeight="1">
      <c r="A41789" s="7"/>
      <c r="B41789" s="7"/>
      <c r="M41789" s="9" t="s">
        <v>24</v>
      </c>
    </row>
    <row r="41790" ht="15.75" customHeight="1">
      <c r="A41790" s="7"/>
      <c r="B41790" s="7"/>
      <c r="M41790" s="9" t="s">
        <v>20</v>
      </c>
    </row>
    <row r="41791" ht="15.75" customHeight="1">
      <c r="A41791" s="7"/>
      <c r="B41791" s="7"/>
      <c r="M41791" s="9" t="s">
        <v>21</v>
      </c>
    </row>
    <row r="41792" ht="15.75" customHeight="1">
      <c r="A41792" s="7"/>
      <c r="B41792" s="7"/>
      <c r="M41792" s="9" t="s">
        <v>31</v>
      </c>
    </row>
    <row r="41793" ht="15.75" customHeight="1">
      <c r="A41793" s="7"/>
      <c r="B41793" s="7"/>
      <c r="M41793" s="9" t="s">
        <v>27</v>
      </c>
    </row>
    <row r="41794" ht="15.75" customHeight="1">
      <c r="A41794" s="7"/>
      <c r="B41794" s="7"/>
      <c r="M41794" s="9" t="s">
        <v>42</v>
      </c>
    </row>
    <row r="41795" ht="15.75" customHeight="1">
      <c r="A41795" s="7"/>
      <c r="B41795" s="7"/>
      <c r="M41795" s="9" t="s">
        <v>43</v>
      </c>
    </row>
    <row r="41796" ht="15.75" customHeight="1">
      <c r="A41796" s="7"/>
      <c r="B41796" s="7"/>
      <c r="M41796" s="9" t="s">
        <v>21</v>
      </c>
    </row>
    <row r="41797" ht="15.75" customHeight="1">
      <c r="A41797" s="7"/>
      <c r="B41797" s="7"/>
      <c r="M41797" s="9" t="s">
        <v>37</v>
      </c>
    </row>
    <row r="41798" ht="15.75" customHeight="1">
      <c r="A41798" s="7"/>
      <c r="B41798" s="7"/>
      <c r="M41798" s="9" t="s">
        <v>27</v>
      </c>
    </row>
    <row r="41799" ht="15.75" customHeight="1">
      <c r="A41799" s="7"/>
      <c r="B41799" s="7"/>
      <c r="M41799" s="9" t="s">
        <v>33</v>
      </c>
    </row>
    <row r="41800" ht="15.75" customHeight="1">
      <c r="A41800" s="7"/>
      <c r="B41800" s="7"/>
      <c r="M41800" s="9" t="s">
        <v>23</v>
      </c>
    </row>
    <row r="41801" ht="15.75" customHeight="1">
      <c r="A41801" s="7"/>
      <c r="B41801" s="7"/>
      <c r="M41801" s="9" t="s">
        <v>41</v>
      </c>
    </row>
    <row r="41802" ht="15.75" customHeight="1">
      <c r="A41802" s="7"/>
      <c r="B41802" s="7"/>
      <c r="M41802" s="9" t="s">
        <v>22</v>
      </c>
    </row>
    <row r="41803" ht="15.75" customHeight="1">
      <c r="A41803" s="7"/>
      <c r="B41803" s="7"/>
      <c r="M41803" s="9" t="s">
        <v>21</v>
      </c>
    </row>
    <row r="41804" ht="15.75" customHeight="1">
      <c r="A41804" s="7"/>
      <c r="B41804" s="7"/>
      <c r="M41804" s="9" t="s">
        <v>22</v>
      </c>
    </row>
    <row r="41805" ht="15.75" customHeight="1">
      <c r="A41805" s="7"/>
      <c r="B41805" s="7"/>
      <c r="M41805" s="9" t="s">
        <v>29</v>
      </c>
    </row>
    <row r="41806" ht="15.75" customHeight="1">
      <c r="A41806" s="7"/>
      <c r="B41806" s="7"/>
      <c r="M41806" s="9" t="s">
        <v>27</v>
      </c>
    </row>
    <row r="41807" ht="15.75" customHeight="1">
      <c r="A41807" s="7"/>
      <c r="B41807" s="7"/>
      <c r="M41807" s="9" t="s">
        <v>30</v>
      </c>
    </row>
    <row r="41808" ht="15.75" customHeight="1">
      <c r="A41808" s="7"/>
      <c r="B41808" s="7"/>
      <c r="M41808" s="9" t="s">
        <v>24</v>
      </c>
    </row>
    <row r="41809" ht="15.75" customHeight="1">
      <c r="A41809" s="7"/>
      <c r="B41809" s="7"/>
      <c r="M41809" s="9" t="s">
        <v>21</v>
      </c>
    </row>
    <row r="41810" ht="15.75" customHeight="1">
      <c r="A41810" s="7"/>
      <c r="B41810" s="7"/>
      <c r="M41810" s="9" t="s">
        <v>30</v>
      </c>
    </row>
    <row r="41811" ht="15.75" customHeight="1">
      <c r="A41811" s="7"/>
      <c r="B41811" s="7"/>
      <c r="M41811" s="9" t="s">
        <v>23</v>
      </c>
    </row>
    <row r="41812" ht="15.75" customHeight="1">
      <c r="A41812" s="7"/>
      <c r="B41812" s="7"/>
      <c r="M41812" s="9" t="s">
        <v>26</v>
      </c>
    </row>
    <row r="41813" ht="15.75" customHeight="1">
      <c r="A41813" s="7"/>
      <c r="B41813" s="7"/>
      <c r="M41813" s="9" t="s">
        <v>24</v>
      </c>
    </row>
    <row r="41814" ht="15.75" customHeight="1">
      <c r="A41814" s="7"/>
      <c r="B41814" s="7"/>
      <c r="M41814" s="9" t="s">
        <v>21</v>
      </c>
    </row>
    <row r="41815" ht="15.75" customHeight="1">
      <c r="A41815" s="7"/>
      <c r="B41815" s="7"/>
      <c r="M41815" s="9" t="s">
        <v>37</v>
      </c>
    </row>
    <row r="41816" ht="15.75" customHeight="1">
      <c r="A41816" s="7"/>
      <c r="B41816" s="7"/>
      <c r="M41816" s="9" t="s">
        <v>22</v>
      </c>
    </row>
    <row r="41817" ht="15.75" customHeight="1">
      <c r="A41817" s="7"/>
      <c r="B41817" s="7"/>
      <c r="M41817" s="9" t="s">
        <v>27</v>
      </c>
    </row>
    <row r="41818" ht="15.75" customHeight="1">
      <c r="A41818" s="7"/>
      <c r="B41818" s="7"/>
      <c r="M41818" s="9" t="s">
        <v>35</v>
      </c>
    </row>
    <row r="41819" ht="15.75" customHeight="1">
      <c r="A41819" s="7"/>
      <c r="B41819" s="7"/>
      <c r="M41819" s="9" t="s">
        <v>24</v>
      </c>
    </row>
    <row r="41820" ht="15.75" customHeight="1">
      <c r="A41820" s="7"/>
      <c r="B41820" s="7"/>
      <c r="M41820" s="9" t="s">
        <v>21</v>
      </c>
    </row>
    <row r="41821" ht="15.75" customHeight="1">
      <c r="A41821" s="7"/>
      <c r="B41821" s="7"/>
      <c r="M41821" s="9" t="s">
        <v>29</v>
      </c>
    </row>
    <row r="41822" ht="15.75" customHeight="1">
      <c r="A41822" s="7"/>
      <c r="B41822" s="7"/>
      <c r="M41822" s="9" t="s">
        <v>27</v>
      </c>
    </row>
    <row r="41823" ht="15.75" customHeight="1">
      <c r="A41823" s="7"/>
      <c r="B41823" s="7"/>
      <c r="M41823" s="9" t="s">
        <v>28</v>
      </c>
    </row>
    <row r="41824" ht="15.75" customHeight="1">
      <c r="A41824" s="7"/>
      <c r="B41824" s="7"/>
      <c r="M41824" s="9" t="s">
        <v>24</v>
      </c>
    </row>
    <row r="41825" ht="15.75" customHeight="1">
      <c r="A41825" s="7"/>
      <c r="B41825" s="7"/>
      <c r="M41825" s="9" t="s">
        <v>21</v>
      </c>
    </row>
    <row r="41826" ht="15.75" customHeight="1">
      <c r="A41826" s="7"/>
      <c r="B41826" s="7"/>
      <c r="M41826" s="9" t="s">
        <v>37</v>
      </c>
    </row>
    <row r="41827" ht="15.75" customHeight="1">
      <c r="A41827" s="7"/>
      <c r="B41827" s="7"/>
      <c r="M41827" s="9" t="s">
        <v>31</v>
      </c>
    </row>
    <row r="41828" ht="15.75" customHeight="1">
      <c r="A41828" s="7"/>
      <c r="B41828" s="7"/>
      <c r="M41828" s="9" t="s">
        <v>27</v>
      </c>
    </row>
    <row r="41829" ht="15.75" customHeight="1">
      <c r="A41829" s="7"/>
      <c r="B41829" s="7"/>
      <c r="M41829" s="9" t="s">
        <v>24</v>
      </c>
    </row>
    <row r="41830" ht="15.75" customHeight="1">
      <c r="A41830" s="7"/>
      <c r="B41830" s="7"/>
      <c r="M41830" s="9" t="s">
        <v>21</v>
      </c>
    </row>
    <row r="41831" ht="15.75" customHeight="1">
      <c r="A41831" s="7"/>
      <c r="B41831" s="7"/>
      <c r="M41831" s="9" t="s">
        <v>22</v>
      </c>
    </row>
    <row r="41832" ht="15.75" customHeight="1">
      <c r="A41832" s="7"/>
      <c r="B41832" s="7"/>
      <c r="M41832" s="9" t="s">
        <v>30</v>
      </c>
    </row>
    <row r="41833" ht="15.75" customHeight="1">
      <c r="A41833" s="7"/>
      <c r="B41833" s="7"/>
      <c r="M41833" s="9" t="s">
        <v>24</v>
      </c>
    </row>
    <row r="41834" ht="15.75" customHeight="1">
      <c r="A41834" s="7"/>
      <c r="B41834" s="7"/>
      <c r="M41834" s="9" t="s">
        <v>21</v>
      </c>
    </row>
    <row r="41835" ht="15.75" customHeight="1">
      <c r="A41835" s="7"/>
      <c r="B41835" s="7"/>
      <c r="M41835" s="9" t="s">
        <v>22</v>
      </c>
    </row>
    <row r="41836" ht="15.75" customHeight="1">
      <c r="A41836" s="7"/>
      <c r="B41836" s="7"/>
      <c r="M41836" s="9" t="s">
        <v>27</v>
      </c>
    </row>
    <row r="41837" ht="15.75" customHeight="1">
      <c r="A41837" s="7"/>
      <c r="B41837" s="7"/>
      <c r="M41837" s="9" t="s">
        <v>38</v>
      </c>
    </row>
    <row r="41838" ht="15.75" customHeight="1">
      <c r="A41838" s="7"/>
      <c r="B41838" s="7"/>
      <c r="M41838" s="9" t="s">
        <v>30</v>
      </c>
    </row>
    <row r="41839" ht="15.75" customHeight="1">
      <c r="A41839" s="7"/>
      <c r="B41839" s="7"/>
      <c r="M41839" s="9" t="s">
        <v>23</v>
      </c>
    </row>
    <row r="41840" ht="15.75" customHeight="1">
      <c r="A41840" s="7"/>
      <c r="B41840" s="7"/>
      <c r="M41840" s="9" t="s">
        <v>24</v>
      </c>
    </row>
    <row r="41841" ht="15.75" customHeight="1">
      <c r="A41841" s="7"/>
      <c r="B41841" s="7"/>
      <c r="M41841" s="9" t="s">
        <v>21</v>
      </c>
    </row>
    <row r="41842" ht="15.75" customHeight="1">
      <c r="A41842" s="7"/>
      <c r="B41842" s="7"/>
      <c r="M41842" s="9" t="s">
        <v>37</v>
      </c>
    </row>
    <row r="41843" ht="15.75" customHeight="1">
      <c r="A41843" s="7"/>
      <c r="B41843" s="7"/>
      <c r="M41843" s="9" t="s">
        <v>22</v>
      </c>
    </row>
    <row r="41844" ht="15.75" customHeight="1">
      <c r="A41844" s="7"/>
      <c r="B41844" s="7"/>
      <c r="M41844" s="9" t="s">
        <v>30</v>
      </c>
    </row>
    <row r="41845" ht="15.75" customHeight="1">
      <c r="A41845" s="7"/>
      <c r="B41845" s="7"/>
      <c r="M41845" s="9" t="s">
        <v>23</v>
      </c>
    </row>
    <row r="41846" ht="15.75" customHeight="1">
      <c r="A41846" s="7"/>
      <c r="B41846" s="7"/>
      <c r="M41846" s="9" t="s">
        <v>26</v>
      </c>
    </row>
    <row r="41847" ht="15.75" customHeight="1">
      <c r="A41847" s="7"/>
      <c r="B41847" s="7"/>
      <c r="M41847" s="9" t="s">
        <v>36</v>
      </c>
    </row>
    <row r="41848" ht="15.75" customHeight="1">
      <c r="A41848" s="7"/>
      <c r="B41848" s="7"/>
      <c r="M41848" s="9" t="s">
        <v>24</v>
      </c>
    </row>
    <row r="41849" ht="15.75" customHeight="1">
      <c r="A41849" s="7"/>
      <c r="B41849" s="7"/>
      <c r="M41849" s="9" t="s">
        <v>20</v>
      </c>
    </row>
    <row r="41850" ht="15.75" customHeight="1">
      <c r="A41850" s="7"/>
      <c r="B41850" s="7"/>
      <c r="M41850" s="9" t="s">
        <v>21</v>
      </c>
    </row>
    <row r="41851" ht="15.75" customHeight="1">
      <c r="A41851" s="7"/>
      <c r="B41851" s="7"/>
      <c r="M41851" s="9" t="s">
        <v>22</v>
      </c>
    </row>
    <row r="41852" ht="15.75" customHeight="1">
      <c r="A41852" s="7"/>
      <c r="B41852" s="7"/>
      <c r="M41852" s="9" t="s">
        <v>27</v>
      </c>
    </row>
    <row r="41853" ht="15.75" customHeight="1">
      <c r="A41853" s="7"/>
      <c r="B41853" s="7"/>
      <c r="M41853" s="9" t="s">
        <v>30</v>
      </c>
    </row>
    <row r="41854" ht="15.75" customHeight="1">
      <c r="A41854" s="7"/>
      <c r="B41854" s="7"/>
      <c r="M41854" s="9" t="s">
        <v>24</v>
      </c>
    </row>
    <row r="41855" ht="15.75" customHeight="1">
      <c r="A41855" s="7"/>
      <c r="B41855" s="7"/>
      <c r="M41855" s="9" t="s">
        <v>20</v>
      </c>
    </row>
    <row r="41856" ht="15.75" customHeight="1">
      <c r="A41856" s="7"/>
      <c r="B41856" s="7"/>
      <c r="M41856" s="9" t="s">
        <v>21</v>
      </c>
    </row>
    <row r="41857" ht="15.75" customHeight="1">
      <c r="A41857" s="7"/>
      <c r="B41857" s="7"/>
      <c r="M41857" s="9" t="s">
        <v>22</v>
      </c>
    </row>
    <row r="41858" ht="15.75" customHeight="1">
      <c r="A41858" s="7"/>
      <c r="B41858" s="7"/>
      <c r="M41858" s="9" t="s">
        <v>31</v>
      </c>
    </row>
    <row r="41859" ht="15.75" customHeight="1">
      <c r="A41859" s="7"/>
      <c r="B41859" s="7"/>
      <c r="M41859" s="9" t="s">
        <v>27</v>
      </c>
    </row>
    <row r="41860" ht="15.75" customHeight="1">
      <c r="A41860" s="7"/>
      <c r="B41860" s="7"/>
      <c r="M41860" s="9" t="s">
        <v>30</v>
      </c>
    </row>
    <row r="41861" ht="15.75" customHeight="1">
      <c r="A41861" s="7"/>
      <c r="B41861" s="7"/>
      <c r="M41861" s="9" t="s">
        <v>24</v>
      </c>
    </row>
    <row r="41862" ht="15.75" customHeight="1">
      <c r="A41862" s="7"/>
      <c r="B41862" s="7"/>
      <c r="M41862" s="9" t="s">
        <v>21</v>
      </c>
    </row>
    <row r="41863" ht="15.75" customHeight="1">
      <c r="A41863" s="7"/>
      <c r="B41863" s="7"/>
      <c r="M41863" s="9" t="s">
        <v>22</v>
      </c>
    </row>
    <row r="41864" ht="15.75" customHeight="1">
      <c r="A41864" s="7"/>
      <c r="B41864" s="7"/>
      <c r="M41864" s="9" t="s">
        <v>27</v>
      </c>
    </row>
    <row r="41865" ht="15.75" customHeight="1">
      <c r="A41865" s="7"/>
      <c r="B41865" s="7"/>
      <c r="M41865" s="9" t="s">
        <v>23</v>
      </c>
    </row>
    <row r="41866" ht="15.75" customHeight="1">
      <c r="A41866" s="7"/>
      <c r="B41866" s="7"/>
      <c r="M41866" s="9" t="s">
        <v>24</v>
      </c>
    </row>
    <row r="41867" ht="15.75" customHeight="1">
      <c r="A41867" s="7"/>
      <c r="B41867" s="7"/>
      <c r="M41867" s="9" t="s">
        <v>39</v>
      </c>
    </row>
    <row r="41868" ht="15.75" customHeight="1">
      <c r="A41868" s="7"/>
      <c r="B41868" s="7"/>
      <c r="M41868" s="9" t="s">
        <v>41</v>
      </c>
    </row>
    <row r="41869" ht="15.75" customHeight="1">
      <c r="A41869" s="7"/>
      <c r="B41869" s="7"/>
      <c r="M41869" s="9" t="s">
        <v>31</v>
      </c>
    </row>
    <row r="41870" ht="15.75" customHeight="1">
      <c r="A41870" s="7"/>
      <c r="B41870" s="7"/>
      <c r="M41870" s="9" t="s">
        <v>40</v>
      </c>
    </row>
    <row r="41871" ht="15.75" customHeight="1">
      <c r="A41871" s="7"/>
      <c r="B41871" s="7"/>
      <c r="M41871" s="9" t="s">
        <v>33</v>
      </c>
    </row>
    <row r="41872" ht="15.75" customHeight="1">
      <c r="A41872" s="7"/>
      <c r="B41872" s="7"/>
      <c r="M41872" s="9" t="s">
        <v>26</v>
      </c>
    </row>
    <row r="41873" ht="15.75" customHeight="1">
      <c r="A41873" s="7"/>
      <c r="B41873" s="7"/>
      <c r="M41873" s="9" t="s">
        <v>24</v>
      </c>
    </row>
    <row r="41874" ht="15.75" customHeight="1">
      <c r="A41874" s="7"/>
      <c r="B41874" s="7"/>
      <c r="M41874" s="9" t="s">
        <v>21</v>
      </c>
    </row>
    <row r="41875" ht="15.75" customHeight="1">
      <c r="A41875" s="7"/>
      <c r="B41875" s="7"/>
      <c r="M41875" s="9" t="s">
        <v>27</v>
      </c>
    </row>
    <row r="41876" ht="15.75" customHeight="1">
      <c r="A41876" s="7"/>
      <c r="B41876" s="7"/>
      <c r="M41876" s="9" t="s">
        <v>33</v>
      </c>
    </row>
    <row r="41877" ht="15.75" customHeight="1">
      <c r="A41877" s="7"/>
      <c r="B41877" s="7"/>
      <c r="M41877" s="9" t="s">
        <v>30</v>
      </c>
    </row>
    <row r="41878" ht="15.75" customHeight="1">
      <c r="A41878" s="7"/>
      <c r="B41878" s="7"/>
      <c r="M41878" s="9" t="s">
        <v>21</v>
      </c>
    </row>
    <row r="41879" ht="15.75" customHeight="1">
      <c r="A41879" s="7"/>
      <c r="B41879" s="7"/>
      <c r="M41879" s="9" t="s">
        <v>22</v>
      </c>
    </row>
    <row r="41880" ht="15.75" customHeight="1">
      <c r="A41880" s="7"/>
      <c r="B41880" s="7"/>
      <c r="M41880" s="9" t="s">
        <v>27</v>
      </c>
    </row>
    <row r="41881" ht="15.75" customHeight="1">
      <c r="A41881" s="7"/>
      <c r="B41881" s="7"/>
      <c r="M41881" s="9" t="s">
        <v>28</v>
      </c>
    </row>
    <row r="41882" ht="15.75" customHeight="1">
      <c r="A41882" s="7"/>
      <c r="B41882" s="7"/>
      <c r="M41882" s="9" t="s">
        <v>20</v>
      </c>
    </row>
    <row r="41883" ht="15.75" customHeight="1">
      <c r="A41883" s="7"/>
      <c r="B41883" s="7"/>
      <c r="M41883" s="9" t="s">
        <v>21</v>
      </c>
    </row>
    <row r="41884" ht="15.75" customHeight="1">
      <c r="A41884" s="7"/>
      <c r="B41884" s="7"/>
      <c r="M41884" s="9" t="s">
        <v>22</v>
      </c>
    </row>
    <row r="41885" ht="15.75" customHeight="1">
      <c r="A41885" s="7"/>
      <c r="B41885" s="7"/>
      <c r="M41885" s="9" t="s">
        <v>31</v>
      </c>
    </row>
    <row r="41886" ht="15.75" customHeight="1">
      <c r="A41886" s="7"/>
      <c r="B41886" s="7"/>
      <c r="M41886" s="9" t="s">
        <v>26</v>
      </c>
    </row>
    <row r="41887" ht="15.75" customHeight="1">
      <c r="A41887" s="7"/>
      <c r="B41887" s="7"/>
      <c r="M41887" s="9" t="s">
        <v>24</v>
      </c>
    </row>
    <row r="41888" ht="15.75" customHeight="1">
      <c r="A41888" s="7"/>
      <c r="B41888" s="7"/>
      <c r="M41888" s="9" t="s">
        <v>20</v>
      </c>
    </row>
    <row r="41889" ht="15.75" customHeight="1">
      <c r="A41889" s="7"/>
      <c r="B41889" s="7"/>
      <c r="M41889" s="9" t="s">
        <v>21</v>
      </c>
    </row>
    <row r="41890" ht="15.75" customHeight="1">
      <c r="A41890" s="7"/>
      <c r="B41890" s="7"/>
      <c r="M41890" s="9" t="s">
        <v>37</v>
      </c>
    </row>
    <row r="41891" ht="15.75" customHeight="1">
      <c r="A41891" s="7"/>
      <c r="B41891" s="7"/>
      <c r="M41891" s="9" t="s">
        <v>23</v>
      </c>
    </row>
    <row r="41892" ht="15.75" customHeight="1">
      <c r="A41892" s="7"/>
      <c r="B41892" s="7"/>
      <c r="M41892" s="9" t="s">
        <v>22</v>
      </c>
    </row>
    <row r="41893" ht="15.75" customHeight="1">
      <c r="A41893" s="7"/>
      <c r="B41893" s="7"/>
      <c r="M41893" s="9" t="s">
        <v>30</v>
      </c>
    </row>
    <row r="41894" ht="15.75" customHeight="1">
      <c r="A41894" s="7"/>
      <c r="B41894" s="7"/>
      <c r="M41894" s="9" t="s">
        <v>20</v>
      </c>
    </row>
    <row r="41895" ht="15.75" customHeight="1">
      <c r="A41895" s="7"/>
      <c r="B41895" s="7"/>
      <c r="M41895" s="9" t="s">
        <v>32</v>
      </c>
    </row>
    <row r="41896" ht="15.75" customHeight="1">
      <c r="A41896" s="7"/>
      <c r="B41896" s="7"/>
      <c r="M41896" s="9" t="s">
        <v>30</v>
      </c>
    </row>
    <row r="41897" ht="15.75" customHeight="1">
      <c r="A41897" s="7"/>
      <c r="B41897" s="7"/>
      <c r="M41897" s="9" t="s">
        <v>26</v>
      </c>
    </row>
    <row r="41898" ht="15.75" customHeight="1">
      <c r="A41898" s="7"/>
      <c r="B41898" s="7"/>
      <c r="M41898" s="9" t="s">
        <v>24</v>
      </c>
    </row>
    <row r="41899" ht="15.75" customHeight="1">
      <c r="A41899" s="7"/>
      <c r="B41899" s="7"/>
      <c r="M41899" s="9" t="s">
        <v>21</v>
      </c>
    </row>
    <row r="41900" ht="15.75" customHeight="1">
      <c r="A41900" s="7"/>
      <c r="B41900" s="7"/>
      <c r="M41900" s="9" t="s">
        <v>27</v>
      </c>
    </row>
    <row r="41901" ht="15.75" customHeight="1">
      <c r="A41901" s="7"/>
      <c r="B41901" s="7"/>
      <c r="M41901" s="9" t="s">
        <v>30</v>
      </c>
    </row>
    <row r="41902" ht="15.75" customHeight="1">
      <c r="A41902" s="7"/>
      <c r="B41902" s="7"/>
      <c r="M41902" s="9" t="s">
        <v>24</v>
      </c>
    </row>
    <row r="41903" ht="15.75" customHeight="1">
      <c r="A41903" s="7"/>
      <c r="B41903" s="7"/>
      <c r="M41903" s="9" t="s">
        <v>20</v>
      </c>
    </row>
    <row r="41904" ht="15.75" customHeight="1">
      <c r="A41904" s="7"/>
      <c r="B41904" s="7"/>
      <c r="M41904" s="9" t="s">
        <v>21</v>
      </c>
    </row>
    <row r="41905" ht="15.75" customHeight="1">
      <c r="A41905" s="7"/>
      <c r="B41905" s="7"/>
      <c r="M41905" s="9" t="s">
        <v>22</v>
      </c>
    </row>
    <row r="41906" ht="15.75" customHeight="1">
      <c r="A41906" s="7"/>
      <c r="B41906" s="7"/>
      <c r="M41906" s="9" t="s">
        <v>31</v>
      </c>
    </row>
    <row r="41907" ht="15.75" customHeight="1">
      <c r="A41907" s="7"/>
      <c r="B41907" s="7"/>
      <c r="M41907" s="9" t="s">
        <v>27</v>
      </c>
    </row>
    <row r="41908" ht="15.75" customHeight="1">
      <c r="A41908" s="7"/>
      <c r="B41908" s="7"/>
      <c r="M41908" s="9" t="s">
        <v>35</v>
      </c>
    </row>
    <row r="41909" ht="15.75" customHeight="1">
      <c r="A41909" s="7"/>
      <c r="B41909" s="7"/>
      <c r="M41909" s="9" t="s">
        <v>30</v>
      </c>
    </row>
    <row r="41910" ht="15.75" customHeight="1">
      <c r="A41910" s="7"/>
      <c r="B41910" s="7"/>
      <c r="M41910" s="9" t="s">
        <v>25</v>
      </c>
    </row>
    <row r="41911" ht="15.75" customHeight="1">
      <c r="A41911" s="7"/>
      <c r="B41911" s="7"/>
      <c r="M41911" s="9" t="s">
        <v>23</v>
      </c>
    </row>
    <row r="41912" ht="15.75" customHeight="1">
      <c r="A41912" s="7"/>
      <c r="B41912" s="7"/>
      <c r="M41912" s="9" t="s">
        <v>24</v>
      </c>
    </row>
    <row r="41913" ht="15.75" customHeight="1">
      <c r="A41913" s="7"/>
      <c r="B41913" s="7"/>
      <c r="M41913" s="9" t="s">
        <v>22</v>
      </c>
    </row>
    <row r="41914" ht="15.75" customHeight="1">
      <c r="A41914" s="7"/>
      <c r="B41914" s="7"/>
      <c r="M41914" s="9" t="s">
        <v>25</v>
      </c>
    </row>
    <row r="41915" ht="15.75" customHeight="1">
      <c r="A41915" s="7"/>
      <c r="B41915" s="7"/>
      <c r="M41915" s="9" t="s">
        <v>24</v>
      </c>
    </row>
    <row r="41916" ht="15.75" customHeight="1">
      <c r="A41916" s="7"/>
      <c r="B41916" s="7"/>
      <c r="M41916" s="9" t="s">
        <v>20</v>
      </c>
    </row>
    <row r="41917" ht="15.75" customHeight="1">
      <c r="A41917" s="7"/>
      <c r="B41917" s="7"/>
      <c r="M41917" s="9" t="s">
        <v>37</v>
      </c>
    </row>
    <row r="41918" ht="15.75" customHeight="1">
      <c r="A41918" s="7"/>
      <c r="B41918" s="7"/>
      <c r="M41918" s="9" t="s">
        <v>35</v>
      </c>
    </row>
    <row r="41919" ht="15.75" customHeight="1">
      <c r="A41919" s="7"/>
      <c r="B41919" s="7"/>
      <c r="M41919" s="9" t="s">
        <v>30</v>
      </c>
    </row>
    <row r="41920" ht="15.75" customHeight="1">
      <c r="A41920" s="7"/>
      <c r="B41920" s="7"/>
      <c r="M41920" s="9" t="s">
        <v>22</v>
      </c>
    </row>
    <row r="41921" ht="15.75" customHeight="1">
      <c r="A41921" s="7"/>
      <c r="B41921" s="7"/>
      <c r="M41921" s="9" t="s">
        <v>27</v>
      </c>
    </row>
    <row r="41922" ht="15.75" customHeight="1">
      <c r="A41922" s="7"/>
      <c r="B41922" s="7"/>
      <c r="M41922" s="9" t="s">
        <v>24</v>
      </c>
    </row>
    <row r="41923" ht="15.75" customHeight="1">
      <c r="A41923" s="7"/>
      <c r="B41923" s="7"/>
      <c r="M41923" s="9" t="s">
        <v>20</v>
      </c>
    </row>
    <row r="41924" ht="15.75" customHeight="1">
      <c r="A41924" s="7"/>
      <c r="B41924" s="7"/>
      <c r="M41924" s="9" t="s">
        <v>21</v>
      </c>
    </row>
    <row r="41925" ht="15.75" customHeight="1">
      <c r="A41925" s="7"/>
      <c r="B41925" s="7"/>
      <c r="M41925" s="9" t="s">
        <v>37</v>
      </c>
    </row>
    <row r="41926" ht="15.75" customHeight="1">
      <c r="A41926" s="7"/>
      <c r="B41926" s="7"/>
      <c r="M41926" s="9" t="s">
        <v>27</v>
      </c>
    </row>
    <row r="41927" ht="15.75" customHeight="1">
      <c r="A41927" s="7"/>
      <c r="B41927" s="7"/>
      <c r="M41927" s="9" t="s">
        <v>28</v>
      </c>
    </row>
    <row r="41928" ht="15.75" customHeight="1">
      <c r="A41928" s="7"/>
      <c r="B41928" s="7"/>
      <c r="M41928" s="9" t="s">
        <v>24</v>
      </c>
    </row>
    <row r="41929" ht="15.75" customHeight="1">
      <c r="A41929" s="7"/>
      <c r="B41929" s="7"/>
      <c r="M41929" s="9" t="s">
        <v>20</v>
      </c>
    </row>
    <row r="41930" ht="15.75" customHeight="1">
      <c r="A41930" s="7"/>
      <c r="B41930" s="7"/>
      <c r="M41930" s="9" t="s">
        <v>21</v>
      </c>
    </row>
    <row r="41931" ht="15.75" customHeight="1">
      <c r="A41931" s="7"/>
      <c r="B41931" s="7"/>
      <c r="M41931" s="9" t="s">
        <v>27</v>
      </c>
    </row>
    <row r="41932" ht="15.75" customHeight="1">
      <c r="A41932" s="7"/>
      <c r="B41932" s="7"/>
      <c r="M41932" s="9" t="s">
        <v>33</v>
      </c>
    </row>
    <row r="41933" ht="15.75" customHeight="1">
      <c r="A41933" s="7"/>
      <c r="B41933" s="7"/>
      <c r="M41933" s="9" t="s">
        <v>26</v>
      </c>
    </row>
    <row r="41934" ht="15.75" customHeight="1">
      <c r="A41934" s="7"/>
      <c r="B41934" s="7"/>
      <c r="M41934" s="9" t="s">
        <v>21</v>
      </c>
    </row>
    <row r="41935" ht="15.75" customHeight="1">
      <c r="A41935" s="7"/>
      <c r="B41935" s="7"/>
      <c r="M41935" s="9" t="s">
        <v>27</v>
      </c>
    </row>
    <row r="41936" ht="15.75" customHeight="1">
      <c r="A41936" s="7"/>
      <c r="B41936" s="7"/>
      <c r="M41936" s="9" t="s">
        <v>38</v>
      </c>
    </row>
    <row r="41937" ht="15.75" customHeight="1">
      <c r="A41937" s="7"/>
      <c r="B41937" s="7"/>
      <c r="M41937" s="9" t="s">
        <v>23</v>
      </c>
    </row>
    <row r="41938" ht="15.75" customHeight="1">
      <c r="A41938" s="7"/>
      <c r="B41938" s="7"/>
      <c r="M41938" s="9" t="s">
        <v>26</v>
      </c>
    </row>
    <row r="41939" ht="15.75" customHeight="1">
      <c r="A41939" s="7"/>
      <c r="B41939" s="7"/>
      <c r="M41939" s="9" t="s">
        <v>24</v>
      </c>
    </row>
    <row r="41940" ht="15.75" customHeight="1">
      <c r="A41940" s="7"/>
      <c r="B41940" s="7"/>
      <c r="M41940" s="9" t="s">
        <v>20</v>
      </c>
    </row>
    <row r="41941" ht="15.75" customHeight="1">
      <c r="A41941" s="7"/>
      <c r="B41941" s="7"/>
      <c r="M41941" s="9" t="s">
        <v>21</v>
      </c>
    </row>
    <row r="41942" ht="15.75" customHeight="1">
      <c r="A41942" s="7"/>
      <c r="B41942" s="7"/>
      <c r="M41942" s="9" t="s">
        <v>22</v>
      </c>
    </row>
    <row r="41943" ht="15.75" customHeight="1">
      <c r="A41943" s="7"/>
      <c r="B41943" s="7"/>
      <c r="M41943" s="9" t="s">
        <v>27</v>
      </c>
    </row>
    <row r="41944" ht="15.75" customHeight="1">
      <c r="A41944" s="7"/>
      <c r="B41944" s="7"/>
      <c r="M41944" s="9" t="s">
        <v>30</v>
      </c>
    </row>
    <row r="41945" ht="15.75" customHeight="1">
      <c r="A41945" s="7"/>
      <c r="B41945" s="7"/>
      <c r="M41945" s="9" t="s">
        <v>22</v>
      </c>
    </row>
    <row r="41946" ht="15.75" customHeight="1">
      <c r="A41946" s="7"/>
      <c r="B41946" s="7"/>
      <c r="M41946" s="9" t="s">
        <v>29</v>
      </c>
    </row>
    <row r="41947" ht="15.75" customHeight="1">
      <c r="A41947" s="7"/>
      <c r="B41947" s="7"/>
      <c r="M41947" s="9" t="s">
        <v>27</v>
      </c>
    </row>
    <row r="41948" ht="15.75" customHeight="1">
      <c r="A41948" s="7"/>
      <c r="B41948" s="7"/>
      <c r="M41948" s="9" t="s">
        <v>20</v>
      </c>
    </row>
    <row r="41949" ht="15.75" customHeight="1">
      <c r="A41949" s="7"/>
      <c r="B41949" s="7"/>
      <c r="M41949" s="9" t="s">
        <v>21</v>
      </c>
    </row>
    <row r="41950" ht="15.75" customHeight="1">
      <c r="A41950" s="7"/>
      <c r="B41950" s="7"/>
      <c r="M41950" s="9" t="s">
        <v>46</v>
      </c>
    </row>
    <row r="41951" ht="15.75" customHeight="1">
      <c r="A41951" s="7"/>
      <c r="B41951" s="7"/>
      <c r="M41951" s="9" t="s">
        <v>27</v>
      </c>
    </row>
    <row r="41952" ht="15.75" customHeight="1">
      <c r="A41952" s="7"/>
      <c r="B41952" s="7"/>
      <c r="M41952" s="9" t="s">
        <v>30</v>
      </c>
    </row>
    <row r="41953" ht="15.75" customHeight="1">
      <c r="A41953" s="7"/>
      <c r="B41953" s="7"/>
      <c r="M41953" s="9" t="s">
        <v>26</v>
      </c>
    </row>
    <row r="41954" ht="15.75" customHeight="1">
      <c r="A41954" s="7"/>
      <c r="B41954" s="7"/>
      <c r="M41954" s="9" t="s">
        <v>45</v>
      </c>
    </row>
    <row r="41955" ht="15.75" customHeight="1">
      <c r="A41955" s="7"/>
      <c r="B41955" s="7"/>
      <c r="M41955" s="9" t="s">
        <v>27</v>
      </c>
    </row>
    <row r="41956" ht="15.75" customHeight="1">
      <c r="A41956" s="7"/>
      <c r="B41956" s="7"/>
      <c r="M41956" s="9" t="s">
        <v>21</v>
      </c>
    </row>
    <row r="41957" ht="15.75" customHeight="1">
      <c r="A41957" s="7"/>
      <c r="B41957" s="7"/>
      <c r="M41957" s="9" t="s">
        <v>37</v>
      </c>
    </row>
    <row r="41958" ht="15.75" customHeight="1">
      <c r="A41958" s="7"/>
      <c r="B41958" s="7"/>
      <c r="M41958" s="9" t="s">
        <v>27</v>
      </c>
    </row>
    <row r="41959" ht="15.75" customHeight="1">
      <c r="A41959" s="7"/>
      <c r="B41959" s="7"/>
      <c r="M41959" s="9" t="s">
        <v>30</v>
      </c>
    </row>
    <row r="41960" ht="15.75" customHeight="1">
      <c r="A41960" s="7"/>
      <c r="B41960" s="7"/>
      <c r="M41960" s="9" t="s">
        <v>24</v>
      </c>
    </row>
    <row r="41961" ht="15.75" customHeight="1">
      <c r="A41961" s="7"/>
      <c r="B41961" s="7"/>
      <c r="M41961" s="9" t="s">
        <v>20</v>
      </c>
    </row>
    <row r="41962" ht="15.75" customHeight="1">
      <c r="A41962" s="7"/>
      <c r="B41962" s="7"/>
      <c r="M41962" s="9" t="s">
        <v>21</v>
      </c>
    </row>
    <row r="41963" ht="15.75" customHeight="1">
      <c r="A41963" s="7"/>
      <c r="B41963" s="7"/>
      <c r="M41963" s="9" t="s">
        <v>30</v>
      </c>
    </row>
    <row r="41964" ht="15.75" customHeight="1">
      <c r="A41964" s="7"/>
      <c r="B41964" s="7"/>
      <c r="M41964" s="9" t="s">
        <v>25</v>
      </c>
    </row>
    <row r="41965" ht="15.75" customHeight="1">
      <c r="A41965" s="7"/>
      <c r="B41965" s="7"/>
      <c r="M41965" s="9" t="s">
        <v>23</v>
      </c>
    </row>
    <row r="41966" ht="15.75" customHeight="1">
      <c r="A41966" s="7"/>
      <c r="B41966" s="7"/>
      <c r="M41966" s="9" t="s">
        <v>26</v>
      </c>
    </row>
    <row r="41967" ht="15.75" customHeight="1">
      <c r="A41967" s="7"/>
      <c r="B41967" s="7"/>
      <c r="M41967" s="9" t="s">
        <v>36</v>
      </c>
    </row>
    <row r="41968" ht="15.75" customHeight="1">
      <c r="A41968" s="7"/>
      <c r="B41968" s="7"/>
      <c r="M41968" s="9" t="s">
        <v>24</v>
      </c>
    </row>
    <row r="41969" ht="15.75" customHeight="1">
      <c r="A41969" s="7"/>
      <c r="B41969" s="7"/>
      <c r="M41969" s="9" t="s">
        <v>20</v>
      </c>
    </row>
    <row r="41970" ht="15.75" customHeight="1">
      <c r="A41970" s="7"/>
      <c r="B41970" s="7"/>
      <c r="M41970" s="9" t="s">
        <v>21</v>
      </c>
    </row>
    <row r="41971" ht="15.75" customHeight="1">
      <c r="A41971" s="7"/>
      <c r="B41971" s="7"/>
      <c r="M41971" s="9" t="s">
        <v>39</v>
      </c>
    </row>
    <row r="41972" ht="15.75" customHeight="1">
      <c r="A41972" s="7"/>
      <c r="B41972" s="7"/>
      <c r="M41972" s="9" t="s">
        <v>22</v>
      </c>
    </row>
    <row r="41973" ht="15.75" customHeight="1">
      <c r="A41973" s="7"/>
      <c r="B41973" s="7"/>
      <c r="M41973" s="9" t="s">
        <v>27</v>
      </c>
    </row>
    <row r="41974" ht="15.75" customHeight="1">
      <c r="A41974" s="7"/>
      <c r="B41974" s="7"/>
      <c r="M41974" s="9" t="s">
        <v>40</v>
      </c>
    </row>
    <row r="41975" ht="15.75" customHeight="1">
      <c r="A41975" s="7"/>
      <c r="B41975" s="7"/>
      <c r="M41975" s="9" t="s">
        <v>30</v>
      </c>
    </row>
    <row r="41976" ht="15.75" customHeight="1">
      <c r="A41976" s="7"/>
      <c r="B41976" s="7"/>
      <c r="M41976" s="9" t="s">
        <v>26</v>
      </c>
    </row>
    <row r="41977" ht="15.75" customHeight="1">
      <c r="A41977" s="7"/>
      <c r="B41977" s="7"/>
      <c r="M41977" s="9" t="s">
        <v>24</v>
      </c>
    </row>
    <row r="41978" ht="15.75" customHeight="1">
      <c r="A41978" s="7"/>
      <c r="B41978" s="7"/>
      <c r="M41978" s="9" t="s">
        <v>21</v>
      </c>
    </row>
    <row r="41979" ht="15.75" customHeight="1">
      <c r="A41979" s="7"/>
      <c r="B41979" s="7"/>
      <c r="M41979" s="9" t="s">
        <v>30</v>
      </c>
    </row>
    <row r="41980" ht="15.75" customHeight="1">
      <c r="A41980" s="7"/>
      <c r="B41980" s="7"/>
      <c r="M41980" s="9" t="s">
        <v>26</v>
      </c>
    </row>
    <row r="41981" ht="15.75" customHeight="1">
      <c r="A41981" s="7"/>
      <c r="B41981" s="7"/>
      <c r="M41981" s="9" t="s">
        <v>24</v>
      </c>
    </row>
    <row r="41982" ht="15.75" customHeight="1">
      <c r="A41982" s="7"/>
      <c r="B41982" s="7"/>
      <c r="M41982" s="9" t="s">
        <v>27</v>
      </c>
    </row>
    <row r="41983" ht="15.75" customHeight="1">
      <c r="A41983" s="7"/>
      <c r="B41983" s="7"/>
      <c r="M41983" s="9" t="s">
        <v>33</v>
      </c>
    </row>
    <row r="41984" ht="15.75" customHeight="1">
      <c r="A41984" s="7"/>
      <c r="B41984" s="7"/>
      <c r="M41984" s="9" t="s">
        <v>30</v>
      </c>
    </row>
    <row r="41985" ht="15.75" customHeight="1">
      <c r="A41985" s="7"/>
      <c r="B41985" s="7"/>
      <c r="M41985" s="9" t="s">
        <v>24</v>
      </c>
    </row>
    <row r="41986" ht="15.75" customHeight="1">
      <c r="A41986" s="7"/>
      <c r="B41986" s="7"/>
      <c r="M41986" s="9" t="s">
        <v>21</v>
      </c>
    </row>
    <row r="41987" ht="15.75" customHeight="1">
      <c r="A41987" s="7"/>
      <c r="B41987" s="7"/>
      <c r="M41987" s="9" t="s">
        <v>37</v>
      </c>
    </row>
    <row r="41988" ht="15.75" customHeight="1">
      <c r="A41988" s="7"/>
      <c r="B41988" s="7"/>
      <c r="M41988" s="9" t="s">
        <v>33</v>
      </c>
    </row>
    <row r="41989" ht="15.75" customHeight="1">
      <c r="A41989" s="7"/>
      <c r="B41989" s="7"/>
      <c r="M41989" s="9" t="s">
        <v>24</v>
      </c>
    </row>
    <row r="41990" ht="15.75" customHeight="1">
      <c r="A41990" s="7"/>
      <c r="B41990" s="7"/>
      <c r="M41990" s="9" t="s">
        <v>21</v>
      </c>
    </row>
    <row r="41991" ht="15.75" customHeight="1">
      <c r="A41991" s="7"/>
      <c r="B41991" s="7"/>
      <c r="M41991" s="9" t="s">
        <v>33</v>
      </c>
    </row>
    <row r="41992" ht="15.75" customHeight="1">
      <c r="A41992" s="7"/>
      <c r="B41992" s="7"/>
      <c r="M41992" s="9" t="s">
        <v>26</v>
      </c>
    </row>
    <row r="41993" ht="15.75" customHeight="1">
      <c r="A41993" s="7"/>
      <c r="B41993" s="7"/>
      <c r="M41993" s="9" t="s">
        <v>24</v>
      </c>
    </row>
    <row r="41994" ht="15.75" customHeight="1">
      <c r="A41994" s="7"/>
      <c r="B41994" s="7"/>
      <c r="M41994" s="9" t="s">
        <v>21</v>
      </c>
    </row>
    <row r="41995" ht="15.75" customHeight="1">
      <c r="A41995" s="7"/>
      <c r="B41995" s="7"/>
      <c r="M41995" s="9" t="s">
        <v>27</v>
      </c>
    </row>
    <row r="41996" ht="15.75" customHeight="1">
      <c r="A41996" s="7"/>
      <c r="B41996" s="7"/>
      <c r="M41996" s="9" t="s">
        <v>20</v>
      </c>
    </row>
    <row r="41997" ht="15.75" customHeight="1">
      <c r="A41997" s="7"/>
      <c r="B41997" s="7"/>
      <c r="M41997" s="9" t="s">
        <v>32</v>
      </c>
    </row>
    <row r="41998" ht="15.75" customHeight="1">
      <c r="A41998" s="7"/>
      <c r="B41998" s="7"/>
      <c r="M41998" s="9" t="s">
        <v>26</v>
      </c>
    </row>
    <row r="41999" ht="15.75" customHeight="1">
      <c r="A41999" s="7"/>
      <c r="B41999" s="7"/>
      <c r="M41999" s="9" t="s">
        <v>24</v>
      </c>
    </row>
    <row r="42000" ht="15.75" customHeight="1">
      <c r="A42000" s="7"/>
      <c r="B42000" s="7"/>
      <c r="M42000" s="9" t="s">
        <v>21</v>
      </c>
    </row>
    <row r="42001" ht="15.75" customHeight="1">
      <c r="A42001" s="7"/>
      <c r="B42001" s="7"/>
      <c r="M42001" s="9" t="s">
        <v>27</v>
      </c>
    </row>
    <row r="42002" ht="15.75" customHeight="1">
      <c r="A42002" s="7"/>
      <c r="B42002" s="7"/>
      <c r="M42002" s="9" t="s">
        <v>33</v>
      </c>
    </row>
    <row r="42003" ht="15.75" customHeight="1">
      <c r="A42003" s="7"/>
      <c r="B42003" s="7"/>
      <c r="M42003" s="9" t="s">
        <v>26</v>
      </c>
    </row>
    <row r="42004" ht="15.75" customHeight="1">
      <c r="A42004" s="7"/>
      <c r="B42004" s="7"/>
      <c r="M42004" s="9" t="s">
        <v>24</v>
      </c>
    </row>
    <row r="42005" ht="15.75" customHeight="1">
      <c r="A42005" s="7"/>
      <c r="B42005" s="7"/>
      <c r="M42005" s="9" t="s">
        <v>20</v>
      </c>
    </row>
    <row r="42006" ht="15.75" customHeight="1">
      <c r="A42006" s="7"/>
      <c r="B42006" s="7"/>
      <c r="M42006" s="9" t="s">
        <v>21</v>
      </c>
    </row>
    <row r="42007" ht="15.75" customHeight="1">
      <c r="A42007" s="7"/>
      <c r="B42007" s="7"/>
      <c r="M42007" s="9" t="s">
        <v>37</v>
      </c>
    </row>
    <row r="42008" ht="15.75" customHeight="1">
      <c r="A42008" s="7"/>
      <c r="B42008" s="7"/>
      <c r="M42008" s="9" t="s">
        <v>27</v>
      </c>
    </row>
    <row r="42009" ht="15.75" customHeight="1">
      <c r="A42009" s="7"/>
      <c r="B42009" s="7"/>
      <c r="M42009" s="9" t="s">
        <v>33</v>
      </c>
    </row>
    <row r="42010" ht="15.75" customHeight="1">
      <c r="A42010" s="7"/>
      <c r="B42010" s="7"/>
      <c r="M42010" s="9" t="s">
        <v>30</v>
      </c>
    </row>
    <row r="42011" ht="15.75" customHeight="1">
      <c r="A42011" s="7"/>
      <c r="B42011" s="7"/>
      <c r="M42011" s="9" t="s">
        <v>25</v>
      </c>
    </row>
    <row r="42012" ht="15.75" customHeight="1">
      <c r="A42012" s="7"/>
      <c r="B42012" s="7"/>
      <c r="M42012" s="9" t="s">
        <v>23</v>
      </c>
    </row>
    <row r="42013" ht="15.75" customHeight="1">
      <c r="A42013" s="7"/>
      <c r="B42013" s="7"/>
      <c r="M42013" s="9" t="s">
        <v>24</v>
      </c>
    </row>
    <row r="42014" ht="15.75" customHeight="1">
      <c r="A42014" s="7"/>
      <c r="B42014" s="7"/>
      <c r="M42014" s="9" t="s">
        <v>20</v>
      </c>
    </row>
    <row r="42015" ht="15.75" customHeight="1">
      <c r="A42015" s="7"/>
      <c r="B42015" s="7"/>
      <c r="M42015" s="9" t="s">
        <v>21</v>
      </c>
    </row>
    <row r="42016" ht="15.75" customHeight="1">
      <c r="A42016" s="7"/>
      <c r="B42016" s="7"/>
      <c r="M42016" s="9" t="s">
        <v>22</v>
      </c>
    </row>
    <row r="42017" ht="15.75" customHeight="1">
      <c r="A42017" s="7"/>
      <c r="B42017" s="7"/>
      <c r="M42017" s="9" t="s">
        <v>29</v>
      </c>
    </row>
    <row r="42018" ht="15.75" customHeight="1">
      <c r="A42018" s="7"/>
      <c r="B42018" s="7"/>
      <c r="M42018" s="9" t="s">
        <v>27</v>
      </c>
    </row>
    <row r="42019" ht="15.75" customHeight="1">
      <c r="A42019" s="7"/>
      <c r="B42019" s="7"/>
      <c r="M42019" s="9" t="s">
        <v>35</v>
      </c>
    </row>
    <row r="42020" ht="15.75" customHeight="1">
      <c r="A42020" s="7"/>
      <c r="B42020" s="7"/>
      <c r="M42020" s="9" t="s">
        <v>30</v>
      </c>
    </row>
    <row r="42021" ht="15.75" customHeight="1">
      <c r="A42021" s="7"/>
      <c r="B42021" s="7"/>
      <c r="M42021" s="9" t="s">
        <v>24</v>
      </c>
    </row>
    <row r="42022" ht="15.75" customHeight="1">
      <c r="A42022" s="7"/>
      <c r="B42022" s="7"/>
      <c r="M42022" s="9" t="s">
        <v>20</v>
      </c>
    </row>
    <row r="42023" ht="15.75" customHeight="1">
      <c r="A42023" s="7"/>
      <c r="B42023" s="7"/>
      <c r="M42023" s="9" t="s">
        <v>21</v>
      </c>
    </row>
    <row r="42024" ht="15.75" customHeight="1">
      <c r="A42024" s="7"/>
      <c r="B42024" s="7"/>
      <c r="M42024" s="9" t="s">
        <v>39</v>
      </c>
    </row>
    <row r="42025" ht="15.75" customHeight="1">
      <c r="A42025" s="7"/>
      <c r="B42025" s="7"/>
      <c r="M42025" s="9" t="s">
        <v>22</v>
      </c>
    </row>
    <row r="42026" ht="15.75" customHeight="1">
      <c r="A42026" s="7"/>
      <c r="B42026" s="7"/>
      <c r="M42026" s="9" t="s">
        <v>25</v>
      </c>
    </row>
    <row r="42027" ht="15.75" customHeight="1">
      <c r="A42027" s="7"/>
      <c r="B42027" s="7"/>
      <c r="M42027" s="9" t="s">
        <v>24</v>
      </c>
    </row>
    <row r="42028" ht="15.75" customHeight="1">
      <c r="A42028" s="7"/>
      <c r="B42028" s="7"/>
      <c r="M42028" s="9" t="s">
        <v>20</v>
      </c>
    </row>
    <row r="42029" ht="15.75" customHeight="1">
      <c r="A42029" s="7"/>
      <c r="B42029" s="7"/>
      <c r="M42029" s="9" t="s">
        <v>21</v>
      </c>
    </row>
    <row r="42030" ht="15.75" customHeight="1">
      <c r="A42030" s="7"/>
      <c r="B42030" s="7"/>
      <c r="M42030" s="9" t="s">
        <v>22</v>
      </c>
    </row>
    <row r="42031" ht="15.75" customHeight="1">
      <c r="A42031" s="7"/>
      <c r="B42031" s="7"/>
      <c r="M42031" s="9" t="s">
        <v>29</v>
      </c>
    </row>
    <row r="42032" ht="15.75" customHeight="1">
      <c r="A42032" s="7"/>
      <c r="B42032" s="7"/>
      <c r="M42032" s="9" t="s">
        <v>27</v>
      </c>
    </row>
    <row r="42033" ht="15.75" customHeight="1">
      <c r="A42033" s="7"/>
      <c r="B42033" s="7"/>
      <c r="M42033" s="9" t="s">
        <v>30</v>
      </c>
    </row>
    <row r="42034" ht="15.75" customHeight="1">
      <c r="A42034" s="7"/>
      <c r="B42034" s="7"/>
      <c r="M42034" s="9" t="s">
        <v>26</v>
      </c>
    </row>
    <row r="42035" ht="15.75" customHeight="1">
      <c r="A42035" s="7"/>
      <c r="B42035" s="7"/>
      <c r="M42035" s="9" t="s">
        <v>24</v>
      </c>
    </row>
    <row r="42036" ht="15.75" customHeight="1">
      <c r="A42036" s="7"/>
      <c r="B42036" s="7"/>
      <c r="M42036" s="9" t="s">
        <v>21</v>
      </c>
    </row>
    <row r="42037" ht="15.75" customHeight="1">
      <c r="A42037" s="7"/>
      <c r="B42037" s="7"/>
      <c r="M42037" s="9" t="s">
        <v>27</v>
      </c>
    </row>
    <row r="42038" ht="15.75" customHeight="1">
      <c r="A42038" s="7"/>
      <c r="B42038" s="7"/>
      <c r="M42038" s="9" t="s">
        <v>33</v>
      </c>
    </row>
    <row r="42039" ht="15.75" customHeight="1">
      <c r="A42039" s="7"/>
      <c r="B42039" s="7"/>
      <c r="M42039" s="9" t="s">
        <v>24</v>
      </c>
    </row>
    <row r="42040" ht="15.75" customHeight="1">
      <c r="A42040" s="7"/>
      <c r="B42040" s="7"/>
      <c r="M42040" s="9" t="s">
        <v>21</v>
      </c>
    </row>
    <row r="42041" ht="15.75" customHeight="1">
      <c r="A42041" s="7"/>
      <c r="B42041" s="7"/>
      <c r="M42041" s="9" t="s">
        <v>37</v>
      </c>
    </row>
    <row r="42042" ht="15.75" customHeight="1">
      <c r="A42042" s="7"/>
      <c r="B42042" s="7"/>
      <c r="M42042" s="9" t="s">
        <v>22</v>
      </c>
    </row>
    <row r="42043" ht="15.75" customHeight="1">
      <c r="A42043" s="7"/>
      <c r="B42043" s="7"/>
      <c r="M42043" s="9" t="s">
        <v>27</v>
      </c>
    </row>
    <row r="42044" ht="15.75" customHeight="1">
      <c r="A42044" s="7"/>
      <c r="B42044" s="7"/>
      <c r="M42044" s="9" t="s">
        <v>26</v>
      </c>
    </row>
    <row r="42045" ht="15.75" customHeight="1">
      <c r="A42045" s="7"/>
      <c r="B42045" s="7"/>
      <c r="M42045" s="9" t="s">
        <v>42</v>
      </c>
    </row>
    <row r="42046" ht="15.75" customHeight="1">
      <c r="A42046" s="7"/>
      <c r="B42046" s="7"/>
      <c r="M42046" s="9" t="s">
        <v>24</v>
      </c>
    </row>
    <row r="42047" ht="15.75" customHeight="1">
      <c r="A42047" s="7"/>
      <c r="B42047" s="7"/>
      <c r="M42047" s="9" t="s">
        <v>21</v>
      </c>
    </row>
    <row r="42048" ht="15.75" customHeight="1">
      <c r="A42048" s="7"/>
      <c r="B42048" s="7"/>
      <c r="M42048" s="9" t="s">
        <v>30</v>
      </c>
    </row>
    <row r="42049" ht="15.75" customHeight="1">
      <c r="A42049" s="7"/>
      <c r="B42049" s="7"/>
      <c r="M42049" s="9" t="s">
        <v>26</v>
      </c>
    </row>
    <row r="42050" ht="15.75" customHeight="1">
      <c r="A42050" s="7"/>
      <c r="B42050" s="7"/>
      <c r="M42050" s="9" t="s">
        <v>24</v>
      </c>
    </row>
    <row r="42051" ht="15.75" customHeight="1">
      <c r="A42051" s="7"/>
      <c r="B42051" s="7"/>
      <c r="M42051" s="9" t="s">
        <v>20</v>
      </c>
    </row>
    <row r="42052" ht="15.75" customHeight="1">
      <c r="A42052" s="7"/>
      <c r="B42052" s="7"/>
      <c r="M42052" s="9" t="s">
        <v>21</v>
      </c>
    </row>
    <row r="42053" ht="15.75" customHeight="1">
      <c r="A42053" s="7"/>
      <c r="B42053" s="7"/>
      <c r="M42053" s="9" t="s">
        <v>22</v>
      </c>
    </row>
    <row r="42054" ht="15.75" customHeight="1">
      <c r="A42054" s="7"/>
      <c r="B42054" s="7"/>
      <c r="M42054" s="9" t="s">
        <v>27</v>
      </c>
    </row>
    <row r="42055" ht="15.75" customHeight="1">
      <c r="A42055" s="7"/>
      <c r="B42055" s="7"/>
      <c r="M42055" s="9" t="s">
        <v>30</v>
      </c>
    </row>
    <row r="42056" ht="15.75" customHeight="1">
      <c r="A42056" s="7"/>
      <c r="B42056" s="7"/>
      <c r="M42056" s="9" t="s">
        <v>24</v>
      </c>
    </row>
    <row r="42057" ht="15.75" customHeight="1">
      <c r="A42057" s="7"/>
      <c r="B42057" s="7"/>
      <c r="M42057" s="9" t="s">
        <v>20</v>
      </c>
    </row>
    <row r="42058" ht="15.75" customHeight="1">
      <c r="A42058" s="7"/>
      <c r="B42058" s="7"/>
      <c r="M42058" s="9" t="s">
        <v>21</v>
      </c>
    </row>
    <row r="42059" ht="15.75" customHeight="1">
      <c r="A42059" s="7"/>
      <c r="B42059" s="7"/>
      <c r="M42059" s="9" t="s">
        <v>27</v>
      </c>
    </row>
    <row r="42060" ht="15.75" customHeight="1">
      <c r="A42060" s="7"/>
      <c r="B42060" s="7"/>
      <c r="M42060" s="9" t="s">
        <v>33</v>
      </c>
    </row>
    <row r="42061" ht="15.75" customHeight="1">
      <c r="A42061" s="7"/>
      <c r="B42061" s="7"/>
      <c r="M42061" s="9" t="s">
        <v>30</v>
      </c>
    </row>
    <row r="42062" ht="15.75" customHeight="1">
      <c r="A42062" s="7"/>
      <c r="B42062" s="7"/>
      <c r="M42062" s="9" t="s">
        <v>24</v>
      </c>
    </row>
    <row r="42063" ht="15.75" customHeight="1">
      <c r="A42063" s="7"/>
      <c r="B42063" s="7"/>
      <c r="M42063" s="9" t="s">
        <v>20</v>
      </c>
    </row>
    <row r="42064" ht="15.75" customHeight="1">
      <c r="A42064" s="7"/>
      <c r="B42064" s="7"/>
      <c r="M42064" s="9" t="s">
        <v>21</v>
      </c>
    </row>
    <row r="42065" ht="15.75" customHeight="1">
      <c r="A42065" s="7"/>
      <c r="B42065" s="7"/>
      <c r="M42065" s="9" t="s">
        <v>37</v>
      </c>
    </row>
    <row r="42066" ht="15.75" customHeight="1">
      <c r="A42066" s="7"/>
      <c r="B42066" s="7"/>
      <c r="M42066" s="9" t="s">
        <v>27</v>
      </c>
    </row>
    <row r="42067" ht="15.75" customHeight="1">
      <c r="A42067" s="7"/>
      <c r="B42067" s="7"/>
      <c r="M42067" s="9" t="s">
        <v>30</v>
      </c>
    </row>
    <row r="42068" ht="15.75" customHeight="1">
      <c r="A42068" s="7"/>
      <c r="B42068" s="7"/>
      <c r="M42068" s="9" t="s">
        <v>20</v>
      </c>
    </row>
    <row r="42069" ht="15.75" customHeight="1">
      <c r="A42069" s="7"/>
      <c r="B42069" s="7"/>
      <c r="M42069" s="9" t="s">
        <v>21</v>
      </c>
    </row>
    <row r="42070" ht="15.75" customHeight="1">
      <c r="A42070" s="7"/>
      <c r="B42070" s="7"/>
      <c r="M42070" s="9" t="s">
        <v>27</v>
      </c>
    </row>
    <row r="42071" ht="15.75" customHeight="1">
      <c r="A42071" s="7"/>
      <c r="B42071" s="7"/>
      <c r="M42071" s="9" t="s">
        <v>26</v>
      </c>
    </row>
    <row r="42072" ht="15.75" customHeight="1">
      <c r="A42072" s="7"/>
      <c r="B42072" s="7"/>
      <c r="M42072" s="9" t="s">
        <v>24</v>
      </c>
    </row>
    <row r="42073" ht="15.75" customHeight="1">
      <c r="A42073" s="7"/>
      <c r="B42073" s="7"/>
      <c r="M42073" s="9" t="s">
        <v>21</v>
      </c>
    </row>
    <row r="42074" ht="15.75" customHeight="1">
      <c r="A42074" s="7"/>
      <c r="B42074" s="7"/>
      <c r="M42074" s="9" t="s">
        <v>37</v>
      </c>
    </row>
    <row r="42075" ht="15.75" customHeight="1">
      <c r="A42075" s="7"/>
      <c r="B42075" s="7"/>
      <c r="M42075" s="9" t="s">
        <v>35</v>
      </c>
    </row>
    <row r="42076" ht="15.75" customHeight="1">
      <c r="A42076" s="7"/>
      <c r="B42076" s="7"/>
      <c r="M42076" s="9" t="s">
        <v>38</v>
      </c>
    </row>
    <row r="42077" ht="15.75" customHeight="1">
      <c r="A42077" s="7"/>
      <c r="B42077" s="7"/>
      <c r="M42077" s="9" t="s">
        <v>30</v>
      </c>
    </row>
    <row r="42078" ht="15.75" customHeight="1">
      <c r="A42078" s="7"/>
      <c r="B42078" s="7"/>
      <c r="M42078" s="9" t="s">
        <v>25</v>
      </c>
    </row>
    <row r="42079" ht="15.75" customHeight="1">
      <c r="A42079" s="7"/>
      <c r="B42079" s="7"/>
      <c r="M42079" s="9" t="s">
        <v>23</v>
      </c>
    </row>
    <row r="42080" ht="15.75" customHeight="1">
      <c r="A42080" s="7"/>
      <c r="B42080" s="7"/>
      <c r="M42080" s="9" t="s">
        <v>24</v>
      </c>
    </row>
    <row r="42081" ht="15.75" customHeight="1">
      <c r="A42081" s="7"/>
      <c r="B42081" s="7"/>
      <c r="M42081" s="9" t="s">
        <v>20</v>
      </c>
    </row>
    <row r="42082" ht="15.75" customHeight="1">
      <c r="A42082" s="7"/>
      <c r="B42082" s="7"/>
      <c r="M42082" s="9" t="s">
        <v>21</v>
      </c>
    </row>
    <row r="42083" ht="15.75" customHeight="1">
      <c r="A42083" s="7"/>
      <c r="B42083" s="7"/>
      <c r="M42083" s="9" t="s">
        <v>37</v>
      </c>
    </row>
    <row r="42084" ht="15.75" customHeight="1">
      <c r="A42084" s="7"/>
      <c r="B42084" s="7"/>
      <c r="M42084" s="9" t="s">
        <v>22</v>
      </c>
    </row>
    <row r="42085" ht="15.75" customHeight="1">
      <c r="A42085" s="7"/>
      <c r="B42085" s="7"/>
      <c r="M42085" s="9" t="s">
        <v>27</v>
      </c>
    </row>
    <row r="42086" ht="15.75" customHeight="1">
      <c r="A42086" s="7"/>
      <c r="B42086" s="7"/>
      <c r="M42086" s="9" t="s">
        <v>28</v>
      </c>
    </row>
    <row r="42087" ht="15.75" customHeight="1">
      <c r="A42087" s="7"/>
      <c r="B42087" s="7"/>
      <c r="M42087" s="9" t="s">
        <v>30</v>
      </c>
    </row>
    <row r="42088" ht="15.75" customHeight="1">
      <c r="A42088" s="7"/>
      <c r="B42088" s="7"/>
      <c r="M42088" s="9" t="s">
        <v>25</v>
      </c>
    </row>
    <row r="42089" ht="15.75" customHeight="1">
      <c r="A42089" s="7"/>
      <c r="B42089" s="7"/>
      <c r="M42089" s="9" t="s">
        <v>23</v>
      </c>
    </row>
    <row r="42090" ht="15.75" customHeight="1">
      <c r="A42090" s="7"/>
      <c r="B42090" s="7"/>
      <c r="M42090" s="9" t="s">
        <v>26</v>
      </c>
    </row>
    <row r="42091" ht="15.75" customHeight="1">
      <c r="A42091" s="7"/>
      <c r="B42091" s="7"/>
      <c r="M42091" s="9" t="s">
        <v>24</v>
      </c>
    </row>
    <row r="42092" ht="15.75" customHeight="1">
      <c r="A42092" s="7"/>
      <c r="B42092" s="7"/>
      <c r="M42092" s="9" t="s">
        <v>20</v>
      </c>
    </row>
    <row r="42093" ht="15.75" customHeight="1">
      <c r="A42093" s="7"/>
      <c r="B42093" s="7"/>
      <c r="M42093" s="9" t="s">
        <v>21</v>
      </c>
    </row>
    <row r="42094" ht="15.75" customHeight="1">
      <c r="A42094" s="7"/>
      <c r="B42094" s="7"/>
      <c r="M42094" s="9" t="s">
        <v>37</v>
      </c>
    </row>
    <row r="42095" ht="15.75" customHeight="1">
      <c r="A42095" s="7"/>
      <c r="B42095" s="7"/>
      <c r="M42095" s="9" t="s">
        <v>22</v>
      </c>
    </row>
    <row r="42096" ht="15.75" customHeight="1">
      <c r="A42096" s="7"/>
      <c r="B42096" s="7"/>
      <c r="M42096" s="9" t="s">
        <v>27</v>
      </c>
    </row>
    <row r="42097" ht="15.75" customHeight="1">
      <c r="A42097" s="7"/>
      <c r="B42097" s="7"/>
      <c r="M42097" s="9" t="s">
        <v>30</v>
      </c>
    </row>
    <row r="42098" ht="15.75" customHeight="1">
      <c r="A42098" s="7"/>
      <c r="B42098" s="7"/>
      <c r="M42098" s="9" t="s">
        <v>24</v>
      </c>
    </row>
    <row r="42099" ht="15.75" customHeight="1">
      <c r="A42099" s="7"/>
      <c r="B42099" s="7"/>
      <c r="M42099" s="9" t="s">
        <v>20</v>
      </c>
    </row>
    <row r="42100" ht="15.75" customHeight="1">
      <c r="A42100" s="7"/>
      <c r="B42100" s="7"/>
      <c r="M42100" s="9" t="s">
        <v>21</v>
      </c>
    </row>
    <row r="42101" ht="15.75" customHeight="1">
      <c r="A42101" s="7"/>
      <c r="B42101" s="7"/>
      <c r="M42101" s="9" t="s">
        <v>27</v>
      </c>
    </row>
    <row r="42102" ht="15.75" customHeight="1">
      <c r="A42102" s="7"/>
      <c r="B42102" s="7"/>
      <c r="M42102" s="9" t="s">
        <v>33</v>
      </c>
    </row>
    <row r="42103" ht="15.75" customHeight="1">
      <c r="A42103" s="7"/>
      <c r="B42103" s="7"/>
      <c r="M42103" s="9" t="s">
        <v>24</v>
      </c>
    </row>
    <row r="42104" ht="15.75" customHeight="1">
      <c r="A42104" s="7"/>
      <c r="B42104" s="7"/>
      <c r="M42104" s="9" t="s">
        <v>21</v>
      </c>
    </row>
    <row r="42105" ht="15.75" customHeight="1">
      <c r="A42105" s="7"/>
      <c r="B42105" s="7"/>
      <c r="M42105" s="9" t="s">
        <v>22</v>
      </c>
    </row>
    <row r="42106" ht="15.75" customHeight="1">
      <c r="A42106" s="7"/>
      <c r="B42106" s="7"/>
      <c r="M42106" s="9" t="s">
        <v>30</v>
      </c>
    </row>
    <row r="42107" ht="15.75" customHeight="1">
      <c r="A42107" s="7"/>
      <c r="B42107" s="7"/>
      <c r="M42107" s="9" t="s">
        <v>24</v>
      </c>
    </row>
    <row r="42108" ht="15.75" customHeight="1">
      <c r="A42108" s="7"/>
      <c r="B42108" s="7"/>
      <c r="M42108" s="9" t="s">
        <v>20</v>
      </c>
    </row>
    <row r="42109" ht="15.75" customHeight="1">
      <c r="A42109" s="7"/>
      <c r="B42109" s="7"/>
      <c r="M42109" s="9" t="s">
        <v>21</v>
      </c>
    </row>
    <row r="42110" ht="15.75" customHeight="1">
      <c r="A42110" s="7"/>
      <c r="B42110" s="7"/>
      <c r="M42110" s="9" t="s">
        <v>37</v>
      </c>
    </row>
    <row r="42111" ht="15.75" customHeight="1">
      <c r="A42111" s="7"/>
      <c r="B42111" s="7"/>
      <c r="M42111" s="9" t="s">
        <v>22</v>
      </c>
    </row>
    <row r="42112" ht="15.75" customHeight="1">
      <c r="A42112" s="7"/>
      <c r="B42112" s="7"/>
      <c r="M42112" s="9" t="s">
        <v>31</v>
      </c>
    </row>
    <row r="42113" ht="15.75" customHeight="1">
      <c r="A42113" s="7"/>
      <c r="B42113" s="7"/>
      <c r="M42113" s="9" t="s">
        <v>27</v>
      </c>
    </row>
    <row r="42114" ht="15.75" customHeight="1">
      <c r="A42114" s="7"/>
      <c r="B42114" s="7"/>
      <c r="M42114" s="9" t="s">
        <v>30</v>
      </c>
    </row>
    <row r="42115" ht="15.75" customHeight="1">
      <c r="A42115" s="7"/>
      <c r="B42115" s="7"/>
      <c r="M42115" s="9" t="s">
        <v>24</v>
      </c>
    </row>
    <row r="42116" ht="15.75" customHeight="1">
      <c r="A42116" s="7"/>
      <c r="B42116" s="7"/>
      <c r="M42116" s="9" t="s">
        <v>20</v>
      </c>
    </row>
    <row r="42117" ht="15.75" customHeight="1">
      <c r="A42117" s="7"/>
      <c r="B42117" s="7"/>
      <c r="M42117" s="9" t="s">
        <v>21</v>
      </c>
    </row>
    <row r="42118" ht="15.75" customHeight="1">
      <c r="A42118" s="7"/>
      <c r="B42118" s="7"/>
      <c r="M42118" s="9" t="s">
        <v>37</v>
      </c>
    </row>
    <row r="42119" ht="15.75" customHeight="1">
      <c r="A42119" s="7"/>
      <c r="B42119" s="7"/>
      <c r="M42119" s="9" t="s">
        <v>22</v>
      </c>
    </row>
    <row r="42120" ht="15.75" customHeight="1">
      <c r="A42120" s="7"/>
      <c r="B42120" s="7"/>
      <c r="M42120" s="9" t="s">
        <v>27</v>
      </c>
    </row>
    <row r="42121" ht="15.75" customHeight="1">
      <c r="A42121" s="7"/>
      <c r="B42121" s="7"/>
      <c r="M42121" s="9" t="s">
        <v>20</v>
      </c>
    </row>
    <row r="42122" ht="15.75" customHeight="1">
      <c r="A42122" s="7"/>
      <c r="B42122" s="7"/>
      <c r="M42122" s="9" t="s">
        <v>22</v>
      </c>
    </row>
    <row r="42123" ht="15.75" customHeight="1">
      <c r="A42123" s="7"/>
      <c r="B42123" s="7"/>
      <c r="M42123" s="9" t="s">
        <v>31</v>
      </c>
    </row>
    <row r="42124" ht="15.75" customHeight="1">
      <c r="A42124" s="7"/>
      <c r="B42124" s="7"/>
      <c r="M42124" s="9" t="s">
        <v>27</v>
      </c>
    </row>
    <row r="42125" ht="15.75" customHeight="1">
      <c r="A42125" s="7"/>
      <c r="B42125" s="7"/>
      <c r="M42125" s="9" t="s">
        <v>26</v>
      </c>
    </row>
    <row r="42126" ht="15.75" customHeight="1">
      <c r="A42126" s="7"/>
      <c r="B42126" s="7"/>
      <c r="M42126" s="9" t="s">
        <v>27</v>
      </c>
    </row>
    <row r="42127" ht="15.75" customHeight="1">
      <c r="A42127" s="7"/>
      <c r="B42127" s="7"/>
      <c r="M42127" s="9" t="s">
        <v>33</v>
      </c>
    </row>
    <row r="42128" ht="15.75" customHeight="1">
      <c r="A42128" s="7"/>
      <c r="B42128" s="7"/>
      <c r="M42128" s="9" t="s">
        <v>26</v>
      </c>
    </row>
    <row r="42129" ht="15.75" customHeight="1">
      <c r="A42129" s="7"/>
      <c r="B42129" s="7"/>
      <c r="M42129" s="9" t="s">
        <v>24</v>
      </c>
    </row>
    <row r="42130" ht="15.75" customHeight="1">
      <c r="A42130" s="7"/>
      <c r="B42130" s="7"/>
      <c r="M42130" s="9" t="s">
        <v>20</v>
      </c>
    </row>
    <row r="42131" ht="15.75" customHeight="1">
      <c r="A42131" s="7"/>
      <c r="B42131" s="7"/>
      <c r="M42131" s="9" t="s">
        <v>21</v>
      </c>
    </row>
    <row r="42132" ht="15.75" customHeight="1">
      <c r="A42132" s="7"/>
      <c r="B42132" s="7"/>
      <c r="M42132" s="9" t="s">
        <v>33</v>
      </c>
    </row>
    <row r="42133" ht="15.75" customHeight="1">
      <c r="A42133" s="7"/>
      <c r="B42133" s="7"/>
      <c r="M42133" s="9" t="s">
        <v>24</v>
      </c>
    </row>
    <row r="42134" ht="15.75" customHeight="1">
      <c r="A42134" s="7"/>
      <c r="B42134" s="7"/>
      <c r="M42134" s="9" t="s">
        <v>21</v>
      </c>
    </row>
    <row r="42135" ht="15.75" customHeight="1">
      <c r="A42135" s="7"/>
      <c r="B42135" s="7"/>
      <c r="M42135" s="9" t="s">
        <v>22</v>
      </c>
    </row>
    <row r="42136" ht="15.75" customHeight="1">
      <c r="A42136" s="7"/>
      <c r="B42136" s="7"/>
      <c r="M42136" s="9" t="s">
        <v>24</v>
      </c>
    </row>
    <row r="42137" ht="15.75" customHeight="1">
      <c r="A42137" s="7"/>
      <c r="B42137" s="7"/>
      <c r="M42137" s="9" t="s">
        <v>21</v>
      </c>
    </row>
    <row r="42138" ht="15.75" customHeight="1">
      <c r="A42138" s="7"/>
      <c r="B42138" s="7"/>
      <c r="M42138" s="9" t="s">
        <v>37</v>
      </c>
    </row>
    <row r="42139" ht="15.75" customHeight="1">
      <c r="A42139" s="7"/>
      <c r="B42139" s="7"/>
      <c r="M42139" s="9" t="s">
        <v>22</v>
      </c>
    </row>
    <row r="42140" ht="15.75" customHeight="1">
      <c r="A42140" s="7"/>
      <c r="B42140" s="7"/>
      <c r="M42140" s="9" t="s">
        <v>30</v>
      </c>
    </row>
    <row r="42141" ht="15.75" customHeight="1">
      <c r="A42141" s="7"/>
      <c r="B42141" s="7"/>
      <c r="M42141" s="9" t="s">
        <v>24</v>
      </c>
    </row>
    <row r="42142" ht="15.75" customHeight="1">
      <c r="A42142" s="7"/>
      <c r="B42142" s="7"/>
      <c r="M42142" s="9" t="s">
        <v>20</v>
      </c>
    </row>
    <row r="42143" ht="15.75" customHeight="1">
      <c r="A42143" s="7"/>
      <c r="B42143" s="7"/>
      <c r="M42143" s="9" t="s">
        <v>21</v>
      </c>
    </row>
    <row r="42144" ht="15.75" customHeight="1">
      <c r="A42144" s="7"/>
      <c r="B42144" s="7"/>
      <c r="M42144" s="9" t="s">
        <v>22</v>
      </c>
    </row>
    <row r="42145" ht="15.75" customHeight="1">
      <c r="A42145" s="7"/>
      <c r="B42145" s="7"/>
      <c r="M42145" s="9" t="s">
        <v>27</v>
      </c>
    </row>
    <row r="42146" ht="15.75" customHeight="1">
      <c r="A42146" s="7"/>
      <c r="B42146" s="7"/>
      <c r="M42146" s="9" t="s">
        <v>40</v>
      </c>
    </row>
    <row r="42147" ht="15.75" customHeight="1">
      <c r="A42147" s="7"/>
      <c r="B42147" s="7"/>
      <c r="M42147" s="9" t="s">
        <v>33</v>
      </c>
    </row>
    <row r="42148" ht="15.75" customHeight="1">
      <c r="A42148" s="7"/>
      <c r="B42148" s="7"/>
      <c r="M42148" s="9" t="s">
        <v>30</v>
      </c>
    </row>
    <row r="42149" ht="15.75" customHeight="1">
      <c r="A42149" s="7"/>
      <c r="B42149" s="7"/>
      <c r="M42149" s="9" t="s">
        <v>26</v>
      </c>
    </row>
    <row r="42150" ht="15.75" customHeight="1">
      <c r="A42150" s="7"/>
      <c r="B42150" s="7"/>
      <c r="M42150" s="9" t="s">
        <v>24</v>
      </c>
    </row>
    <row r="42151" ht="15.75" customHeight="1">
      <c r="A42151" s="7"/>
      <c r="B42151" s="7"/>
      <c r="M42151" s="9" t="s">
        <v>21</v>
      </c>
    </row>
    <row r="42152" ht="15.75" customHeight="1">
      <c r="A42152" s="7"/>
      <c r="B42152" s="7"/>
      <c r="M42152" s="9" t="s">
        <v>37</v>
      </c>
    </row>
    <row r="42153" ht="15.75" customHeight="1">
      <c r="A42153" s="7"/>
      <c r="B42153" s="7"/>
      <c r="M42153" s="9" t="s">
        <v>27</v>
      </c>
    </row>
    <row r="42154" ht="15.75" customHeight="1">
      <c r="A42154" s="7"/>
      <c r="B42154" s="7"/>
      <c r="M42154" s="9" t="s">
        <v>21</v>
      </c>
    </row>
    <row r="42155" ht="15.75" customHeight="1">
      <c r="A42155" s="7"/>
      <c r="B42155" s="7"/>
      <c r="M42155" s="9" t="s">
        <v>22</v>
      </c>
    </row>
    <row r="42156" ht="15.75" customHeight="1">
      <c r="A42156" s="7"/>
      <c r="B42156" s="7"/>
      <c r="M42156" s="9" t="s">
        <v>47</v>
      </c>
    </row>
    <row r="42157" ht="15.75" customHeight="1">
      <c r="A42157" s="7"/>
      <c r="B42157" s="7"/>
      <c r="M42157" s="9" t="s">
        <v>20</v>
      </c>
    </row>
    <row r="42158" ht="15.75" customHeight="1">
      <c r="A42158" s="7"/>
      <c r="B42158" s="7"/>
      <c r="M42158" s="9" t="s">
        <v>39</v>
      </c>
    </row>
    <row r="42159" ht="15.75" customHeight="1">
      <c r="A42159" s="7"/>
      <c r="B42159" s="7"/>
      <c r="M42159" s="9" t="s">
        <v>41</v>
      </c>
    </row>
    <row r="42160" ht="15.75" customHeight="1">
      <c r="A42160" s="7"/>
      <c r="B42160" s="7"/>
      <c r="M42160" s="9" t="s">
        <v>40</v>
      </c>
    </row>
    <row r="42161" ht="15.75" customHeight="1">
      <c r="A42161" s="7"/>
      <c r="B42161" s="7"/>
      <c r="M42161" s="9" t="s">
        <v>26</v>
      </c>
    </row>
    <row r="42162" ht="15.75" customHeight="1">
      <c r="A42162" s="7"/>
      <c r="B42162" s="7"/>
      <c r="M42162" s="9" t="s">
        <v>24</v>
      </c>
    </row>
    <row r="42163" ht="15.75" customHeight="1">
      <c r="A42163" s="7"/>
      <c r="B42163" s="7"/>
      <c r="M42163" s="9" t="s">
        <v>22</v>
      </c>
    </row>
    <row r="42164" ht="15.75" customHeight="1">
      <c r="A42164" s="7"/>
      <c r="B42164" s="7"/>
      <c r="M42164" s="9" t="s">
        <v>28</v>
      </c>
    </row>
    <row r="42165" ht="15.75" customHeight="1">
      <c r="A42165" s="7"/>
      <c r="B42165" s="7"/>
      <c r="M42165" s="9" t="s">
        <v>22</v>
      </c>
    </row>
    <row r="42166" ht="15.75" customHeight="1">
      <c r="A42166" s="7"/>
      <c r="B42166" s="7"/>
      <c r="M42166" s="9" t="s">
        <v>30</v>
      </c>
    </row>
    <row r="42167" ht="15.75" customHeight="1">
      <c r="A42167" s="7"/>
      <c r="B42167" s="7"/>
      <c r="M42167" s="9" t="s">
        <v>23</v>
      </c>
    </row>
    <row r="42168" ht="15.75" customHeight="1">
      <c r="A42168" s="7"/>
      <c r="B42168" s="7"/>
      <c r="M42168" s="9" t="s">
        <v>21</v>
      </c>
    </row>
    <row r="42169" ht="15.75" customHeight="1">
      <c r="A42169" s="7"/>
      <c r="B42169" s="7"/>
      <c r="M42169" s="9" t="s">
        <v>27</v>
      </c>
    </row>
    <row r="42170" ht="15.75" customHeight="1">
      <c r="A42170" s="7"/>
      <c r="B42170" s="7"/>
      <c r="M42170" s="9" t="s">
        <v>40</v>
      </c>
    </row>
    <row r="42171" ht="15.75" customHeight="1">
      <c r="A42171" s="7"/>
      <c r="B42171" s="7"/>
      <c r="M42171" s="9" t="s">
        <v>30</v>
      </c>
    </row>
    <row r="42172" ht="15.75" customHeight="1">
      <c r="A42172" s="7"/>
      <c r="B42172" s="7"/>
      <c r="M42172" s="9" t="s">
        <v>25</v>
      </c>
    </row>
    <row r="42173" ht="15.75" customHeight="1">
      <c r="A42173" s="7"/>
      <c r="B42173" s="7"/>
      <c r="M42173" s="9" t="s">
        <v>23</v>
      </c>
    </row>
    <row r="42174" ht="15.75" customHeight="1">
      <c r="A42174" s="7"/>
      <c r="B42174" s="7"/>
      <c r="M42174" s="9" t="s">
        <v>26</v>
      </c>
    </row>
    <row r="42175" ht="15.75" customHeight="1">
      <c r="A42175" s="7"/>
      <c r="B42175" s="7"/>
      <c r="M42175" s="9" t="s">
        <v>22</v>
      </c>
    </row>
    <row r="42176" ht="15.75" customHeight="1">
      <c r="A42176" s="7"/>
      <c r="B42176" s="7"/>
      <c r="M42176" s="9" t="s">
        <v>23</v>
      </c>
    </row>
    <row r="42177" ht="15.75" customHeight="1">
      <c r="A42177" s="7"/>
      <c r="B42177" s="7"/>
      <c r="M42177" s="9" t="s">
        <v>36</v>
      </c>
    </row>
    <row r="42178" ht="15.75" customHeight="1">
      <c r="A42178" s="7"/>
      <c r="B42178" s="7"/>
      <c r="M42178" s="9" t="s">
        <v>20</v>
      </c>
    </row>
    <row r="42179" ht="15.75" customHeight="1">
      <c r="A42179" s="7"/>
      <c r="B42179" s="7"/>
      <c r="M42179" s="9" t="s">
        <v>22</v>
      </c>
    </row>
    <row r="42180" ht="15.75" customHeight="1">
      <c r="A42180" s="7"/>
      <c r="B42180" s="7"/>
      <c r="M42180" s="9" t="s">
        <v>27</v>
      </c>
    </row>
    <row r="42181" ht="15.75" customHeight="1">
      <c r="A42181" s="7"/>
      <c r="B42181" s="7"/>
      <c r="M42181" s="9" t="s">
        <v>30</v>
      </c>
    </row>
    <row r="42182" ht="15.75" customHeight="1">
      <c r="A42182" s="7"/>
      <c r="B42182" s="7"/>
      <c r="M42182" s="9" t="s">
        <v>26</v>
      </c>
    </row>
    <row r="42183" ht="15.75" customHeight="1">
      <c r="A42183" s="7"/>
      <c r="B42183" s="7"/>
      <c r="M42183" s="9" t="s">
        <v>24</v>
      </c>
    </row>
    <row r="42184" ht="15.75" customHeight="1">
      <c r="A42184" s="7"/>
      <c r="B42184" s="7"/>
      <c r="M42184" s="9" t="s">
        <v>21</v>
      </c>
    </row>
    <row r="42185" ht="15.75" customHeight="1">
      <c r="A42185" s="7"/>
      <c r="B42185" s="7"/>
      <c r="M42185" s="9" t="s">
        <v>22</v>
      </c>
    </row>
    <row r="42186" ht="15.75" customHeight="1">
      <c r="A42186" s="7"/>
      <c r="B42186" s="7"/>
      <c r="M42186" s="9" t="s">
        <v>27</v>
      </c>
    </row>
    <row r="42187" ht="15.75" customHeight="1">
      <c r="A42187" s="7"/>
      <c r="B42187" s="7"/>
      <c r="M42187" s="9" t="s">
        <v>33</v>
      </c>
    </row>
    <row r="42188" ht="15.75" customHeight="1">
      <c r="A42188" s="7"/>
      <c r="B42188" s="7"/>
      <c r="M42188" s="9" t="s">
        <v>36</v>
      </c>
    </row>
    <row r="42189" ht="15.75" customHeight="1">
      <c r="A42189" s="7"/>
      <c r="B42189" s="7"/>
      <c r="M42189" s="9" t="s">
        <v>24</v>
      </c>
    </row>
    <row r="42190" ht="15.75" customHeight="1">
      <c r="A42190" s="7"/>
      <c r="B42190" s="7"/>
      <c r="M42190" s="9" t="s">
        <v>21</v>
      </c>
    </row>
    <row r="42191" ht="15.75" customHeight="1">
      <c r="A42191" s="7"/>
      <c r="B42191" s="7"/>
      <c r="M42191" s="9" t="s">
        <v>27</v>
      </c>
    </row>
    <row r="42192" ht="15.75" customHeight="1">
      <c r="A42192" s="7"/>
      <c r="B42192" s="7"/>
      <c r="M42192" s="9" t="s">
        <v>33</v>
      </c>
    </row>
    <row r="42193" ht="15.75" customHeight="1">
      <c r="A42193" s="7"/>
      <c r="B42193" s="7"/>
      <c r="M42193" s="9" t="s">
        <v>29</v>
      </c>
    </row>
    <row r="42194" ht="15.75" customHeight="1">
      <c r="A42194" s="7"/>
      <c r="B42194" s="7"/>
      <c r="M42194" s="9" t="s">
        <v>27</v>
      </c>
    </row>
    <row r="42195" ht="15.75" customHeight="1">
      <c r="A42195" s="7"/>
      <c r="B42195" s="7"/>
      <c r="M42195" s="9" t="s">
        <v>26</v>
      </c>
    </row>
    <row r="42196" ht="15.75" customHeight="1">
      <c r="A42196" s="7"/>
      <c r="B42196" s="7"/>
      <c r="M42196" s="9" t="s">
        <v>24</v>
      </c>
    </row>
    <row r="42197" ht="15.75" customHeight="1">
      <c r="A42197" s="7"/>
      <c r="B42197" s="7"/>
      <c r="M42197" s="9" t="s">
        <v>27</v>
      </c>
    </row>
    <row r="42198" ht="15.75" customHeight="1">
      <c r="A42198" s="7"/>
      <c r="B42198" s="7"/>
      <c r="M42198" s="9" t="s">
        <v>24</v>
      </c>
    </row>
    <row r="42199" ht="15.75" customHeight="1">
      <c r="A42199" s="7"/>
      <c r="B42199" s="7"/>
      <c r="M42199" s="9" t="s">
        <v>20</v>
      </c>
    </row>
    <row r="42200" ht="15.75" customHeight="1">
      <c r="A42200" s="7"/>
      <c r="B42200" s="7"/>
      <c r="M42200" s="9" t="s">
        <v>21</v>
      </c>
    </row>
    <row r="42201" ht="15.75" customHeight="1">
      <c r="A42201" s="7"/>
      <c r="B42201" s="7"/>
      <c r="M42201" s="9" t="s">
        <v>37</v>
      </c>
    </row>
    <row r="42202" ht="15.75" customHeight="1">
      <c r="A42202" s="7"/>
      <c r="B42202" s="7"/>
      <c r="M42202" s="9" t="s">
        <v>22</v>
      </c>
    </row>
    <row r="42203" ht="15.75" customHeight="1">
      <c r="A42203" s="7"/>
      <c r="B42203" s="7"/>
      <c r="M42203" s="9" t="s">
        <v>27</v>
      </c>
    </row>
    <row r="42204" ht="15.75" customHeight="1">
      <c r="A42204" s="7"/>
      <c r="B42204" s="7"/>
      <c r="M42204" s="9" t="s">
        <v>24</v>
      </c>
    </row>
    <row r="42205" ht="15.75" customHeight="1">
      <c r="A42205" s="7"/>
      <c r="B42205" s="7"/>
      <c r="M42205" s="9" t="s">
        <v>20</v>
      </c>
    </row>
    <row r="42206" ht="15.75" customHeight="1">
      <c r="A42206" s="7"/>
      <c r="B42206" s="7"/>
      <c r="M42206" s="9" t="s">
        <v>21</v>
      </c>
    </row>
    <row r="42207" ht="15.75" customHeight="1">
      <c r="A42207" s="7"/>
      <c r="B42207" s="7"/>
      <c r="M42207" s="9" t="s">
        <v>22</v>
      </c>
    </row>
    <row r="42208" ht="15.75" customHeight="1">
      <c r="A42208" s="7"/>
      <c r="B42208" s="7"/>
      <c r="M42208" s="9" t="s">
        <v>31</v>
      </c>
    </row>
    <row r="42209" ht="15.75" customHeight="1">
      <c r="A42209" s="7"/>
      <c r="B42209" s="7"/>
      <c r="M42209" s="9" t="s">
        <v>27</v>
      </c>
    </row>
    <row r="42210" ht="15.75" customHeight="1">
      <c r="A42210" s="7"/>
      <c r="B42210" s="7"/>
      <c r="M42210" s="9" t="s">
        <v>24</v>
      </c>
    </row>
    <row r="42211" ht="15.75" customHeight="1">
      <c r="A42211" s="7"/>
      <c r="B42211" s="7"/>
      <c r="M42211" s="9" t="s">
        <v>21</v>
      </c>
    </row>
    <row r="42212" ht="15.75" customHeight="1">
      <c r="A42212" s="7"/>
      <c r="B42212" s="7"/>
      <c r="M42212" s="9" t="s">
        <v>37</v>
      </c>
    </row>
    <row r="42213" ht="15.75" customHeight="1">
      <c r="A42213" s="7"/>
      <c r="B42213" s="7"/>
      <c r="M42213" s="9" t="s">
        <v>22</v>
      </c>
    </row>
    <row r="42214" ht="15.75" customHeight="1">
      <c r="A42214" s="7"/>
      <c r="B42214" s="7"/>
      <c r="M42214" s="9" t="s">
        <v>30</v>
      </c>
    </row>
    <row r="42215" ht="15.75" customHeight="1">
      <c r="A42215" s="7"/>
      <c r="B42215" s="7"/>
      <c r="M42215" s="9" t="s">
        <v>42</v>
      </c>
    </row>
    <row r="42216" ht="15.75" customHeight="1">
      <c r="A42216" s="7"/>
      <c r="B42216" s="7"/>
      <c r="M42216" s="9" t="s">
        <v>36</v>
      </c>
    </row>
    <row r="42217" ht="15.75" customHeight="1">
      <c r="A42217" s="7"/>
      <c r="B42217" s="7"/>
      <c r="M42217" s="9" t="s">
        <v>24</v>
      </c>
    </row>
    <row r="42218" ht="15.75" customHeight="1">
      <c r="A42218" s="7"/>
      <c r="B42218" s="7"/>
      <c r="M42218" s="9" t="s">
        <v>21</v>
      </c>
    </row>
    <row r="42219" ht="15.75" customHeight="1">
      <c r="A42219" s="7"/>
      <c r="B42219" s="7"/>
      <c r="M42219" s="9" t="s">
        <v>22</v>
      </c>
    </row>
    <row r="42220" ht="15.75" customHeight="1">
      <c r="A42220" s="7"/>
      <c r="B42220" s="7"/>
      <c r="M42220" s="9" t="s">
        <v>31</v>
      </c>
    </row>
    <row r="42221" ht="15.75" customHeight="1">
      <c r="A42221" s="7"/>
      <c r="B42221" s="7"/>
      <c r="M42221" s="9" t="s">
        <v>27</v>
      </c>
    </row>
    <row r="42222" ht="15.75" customHeight="1">
      <c r="A42222" s="7"/>
      <c r="B42222" s="7"/>
      <c r="M42222" s="9" t="s">
        <v>33</v>
      </c>
    </row>
    <row r="42223" ht="15.75" customHeight="1">
      <c r="A42223" s="7"/>
      <c r="B42223" s="7"/>
      <c r="M42223" s="9" t="s">
        <v>26</v>
      </c>
    </row>
    <row r="42224" ht="15.75" customHeight="1">
      <c r="A42224" s="7"/>
      <c r="B42224" s="7"/>
      <c r="M42224" s="9" t="s">
        <v>24</v>
      </c>
    </row>
    <row r="42225" ht="15.75" customHeight="1">
      <c r="A42225" s="7"/>
      <c r="B42225" s="7"/>
      <c r="M42225" s="9" t="s">
        <v>20</v>
      </c>
    </row>
    <row r="42226" ht="15.75" customHeight="1">
      <c r="A42226" s="7"/>
      <c r="B42226" s="7"/>
      <c r="M42226" s="9" t="s">
        <v>21</v>
      </c>
    </row>
    <row r="42227" ht="15.75" customHeight="1">
      <c r="A42227" s="7"/>
      <c r="B42227" s="7"/>
      <c r="M42227" s="9" t="s">
        <v>37</v>
      </c>
    </row>
    <row r="42228" ht="15.75" customHeight="1">
      <c r="A42228" s="7"/>
      <c r="B42228" s="7"/>
      <c r="M42228" s="9" t="s">
        <v>22</v>
      </c>
    </row>
    <row r="42229" ht="15.75" customHeight="1">
      <c r="A42229" s="7"/>
      <c r="B42229" s="7"/>
      <c r="M42229" s="9" t="s">
        <v>27</v>
      </c>
    </row>
    <row r="42230" ht="15.75" customHeight="1">
      <c r="A42230" s="7"/>
      <c r="B42230" s="7"/>
      <c r="M42230" s="9" t="s">
        <v>25</v>
      </c>
    </row>
    <row r="42231" ht="15.75" customHeight="1">
      <c r="A42231" s="7"/>
      <c r="B42231" s="7"/>
      <c r="M42231" s="9" t="s">
        <v>23</v>
      </c>
    </row>
    <row r="42232" ht="15.75" customHeight="1">
      <c r="A42232" s="7"/>
      <c r="B42232" s="7"/>
      <c r="M42232" s="9" t="s">
        <v>41</v>
      </c>
    </row>
    <row r="42233" ht="15.75" customHeight="1">
      <c r="A42233" s="7"/>
      <c r="B42233" s="7"/>
      <c r="M42233" s="9" t="s">
        <v>40</v>
      </c>
    </row>
    <row r="42234" ht="15.75" customHeight="1">
      <c r="A42234" s="7"/>
      <c r="B42234" s="7"/>
      <c r="M42234" s="9" t="s">
        <v>20</v>
      </c>
    </row>
    <row r="42235" ht="15.75" customHeight="1">
      <c r="A42235" s="7"/>
      <c r="B42235" s="7"/>
      <c r="M42235" s="9" t="s">
        <v>21</v>
      </c>
    </row>
    <row r="42236" ht="15.75" customHeight="1">
      <c r="A42236" s="7"/>
      <c r="B42236" s="7"/>
      <c r="M42236" s="9" t="s">
        <v>27</v>
      </c>
    </row>
    <row r="42237" ht="15.75" customHeight="1">
      <c r="A42237" s="7"/>
      <c r="B42237" s="7"/>
      <c r="M42237" s="9" t="s">
        <v>30</v>
      </c>
    </row>
    <row r="42238" ht="15.75" customHeight="1">
      <c r="A42238" s="7"/>
      <c r="B42238" s="7"/>
      <c r="M42238" s="9" t="s">
        <v>26</v>
      </c>
    </row>
    <row r="42239" ht="15.75" customHeight="1">
      <c r="A42239" s="7"/>
      <c r="B42239" s="7"/>
      <c r="M42239" s="9" t="s">
        <v>24</v>
      </c>
    </row>
    <row r="42240" ht="15.75" customHeight="1">
      <c r="A42240" s="7"/>
      <c r="B42240" s="7"/>
      <c r="M42240" s="9" t="s">
        <v>20</v>
      </c>
    </row>
    <row r="42241" ht="15.75" customHeight="1">
      <c r="A42241" s="7"/>
      <c r="B42241" s="7"/>
      <c r="M42241" s="9" t="s">
        <v>22</v>
      </c>
    </row>
    <row r="42242" ht="15.75" customHeight="1">
      <c r="A42242" s="7"/>
      <c r="B42242" s="7"/>
      <c r="M42242" s="9" t="s">
        <v>30</v>
      </c>
    </row>
    <row r="42243" ht="15.75" customHeight="1">
      <c r="A42243" s="7"/>
      <c r="B42243" s="7"/>
      <c r="M42243" s="9" t="s">
        <v>25</v>
      </c>
    </row>
    <row r="42244" ht="15.75" customHeight="1">
      <c r="A42244" s="7"/>
      <c r="B42244" s="7"/>
      <c r="M42244" s="9" t="s">
        <v>35</v>
      </c>
    </row>
    <row r="42245" ht="15.75" customHeight="1">
      <c r="A42245" s="7"/>
      <c r="B42245" s="7"/>
      <c r="M42245" s="9" t="s">
        <v>38</v>
      </c>
    </row>
    <row r="42246" ht="15.75" customHeight="1">
      <c r="A42246" s="7"/>
      <c r="B42246" s="7"/>
      <c r="M42246" s="9" t="s">
        <v>30</v>
      </c>
    </row>
    <row r="42247" ht="15.75" customHeight="1">
      <c r="A42247" s="7"/>
      <c r="B42247" s="7"/>
      <c r="M42247" s="9" t="s">
        <v>25</v>
      </c>
    </row>
    <row r="42248" ht="15.75" customHeight="1">
      <c r="A42248" s="7"/>
      <c r="B42248" s="7"/>
      <c r="M42248" s="9" t="s">
        <v>23</v>
      </c>
    </row>
    <row r="42249" ht="15.75" customHeight="1">
      <c r="A42249" s="7"/>
      <c r="B42249" s="7"/>
      <c r="M42249" s="9" t="s">
        <v>24</v>
      </c>
    </row>
    <row r="42250" ht="15.75" customHeight="1">
      <c r="A42250" s="7"/>
      <c r="B42250" s="7"/>
      <c r="M42250" s="9" t="s">
        <v>20</v>
      </c>
    </row>
    <row r="42251" ht="15.75" customHeight="1">
      <c r="A42251" s="7"/>
      <c r="B42251" s="7"/>
      <c r="M42251" s="9" t="s">
        <v>22</v>
      </c>
    </row>
    <row r="42252" ht="15.75" customHeight="1">
      <c r="A42252" s="7"/>
      <c r="B42252" s="7"/>
      <c r="M42252" s="9" t="s">
        <v>31</v>
      </c>
    </row>
    <row r="42253" ht="15.75" customHeight="1">
      <c r="A42253" s="7"/>
      <c r="B42253" s="7"/>
      <c r="M42253" s="9" t="s">
        <v>24</v>
      </c>
    </row>
    <row r="42254" ht="15.75" customHeight="1">
      <c r="A42254" s="7"/>
      <c r="B42254" s="7"/>
      <c r="M42254" s="9" t="s">
        <v>20</v>
      </c>
    </row>
    <row r="42255" ht="15.75" customHeight="1">
      <c r="A42255" s="7"/>
      <c r="B42255" s="7"/>
      <c r="M42255" s="9" t="s">
        <v>21</v>
      </c>
    </row>
    <row r="42256" ht="15.75" customHeight="1">
      <c r="A42256" s="7"/>
      <c r="B42256" s="7"/>
      <c r="M42256" s="9" t="s">
        <v>41</v>
      </c>
    </row>
    <row r="42257" ht="15.75" customHeight="1">
      <c r="A42257" s="7"/>
      <c r="B42257" s="7"/>
      <c r="M42257" s="9" t="s">
        <v>37</v>
      </c>
    </row>
    <row r="42258" ht="15.75" customHeight="1">
      <c r="A42258" s="7"/>
      <c r="B42258" s="7"/>
      <c r="M42258" s="9" t="s">
        <v>27</v>
      </c>
    </row>
    <row r="42259" ht="15.75" customHeight="1">
      <c r="A42259" s="7"/>
      <c r="B42259" s="7"/>
      <c r="M42259" s="9" t="s">
        <v>40</v>
      </c>
    </row>
    <row r="42260" ht="15.75" customHeight="1">
      <c r="A42260" s="7"/>
      <c r="B42260" s="7"/>
      <c r="M42260" s="9" t="s">
        <v>25</v>
      </c>
    </row>
    <row r="42261" ht="15.75" customHeight="1">
      <c r="A42261" s="7"/>
      <c r="B42261" s="7"/>
      <c r="M42261" s="9" t="s">
        <v>23</v>
      </c>
    </row>
    <row r="42262" ht="15.75" customHeight="1">
      <c r="A42262" s="7"/>
      <c r="B42262" s="7"/>
      <c r="M42262" s="9" t="s">
        <v>20</v>
      </c>
    </row>
    <row r="42263" ht="15.75" customHeight="1">
      <c r="A42263" s="7"/>
      <c r="B42263" s="7"/>
      <c r="M42263" s="9" t="s">
        <v>21</v>
      </c>
    </row>
    <row r="42264" ht="15.75" customHeight="1">
      <c r="A42264" s="7"/>
      <c r="B42264" s="7"/>
      <c r="M42264" s="9" t="s">
        <v>30</v>
      </c>
    </row>
    <row r="42265" ht="15.75" customHeight="1">
      <c r="A42265" s="7"/>
      <c r="B42265" s="7"/>
      <c r="M42265" s="9" t="s">
        <v>26</v>
      </c>
    </row>
    <row r="42266" ht="15.75" customHeight="1">
      <c r="A42266" s="7"/>
      <c r="B42266" s="7"/>
      <c r="M42266" s="9" t="s">
        <v>24</v>
      </c>
    </row>
    <row r="42267" ht="15.75" customHeight="1">
      <c r="A42267" s="7"/>
      <c r="B42267" s="7"/>
      <c r="M42267" s="9" t="s">
        <v>21</v>
      </c>
    </row>
    <row r="42268" ht="15.75" customHeight="1">
      <c r="A42268" s="7"/>
      <c r="B42268" s="7"/>
      <c r="M42268" s="9" t="s">
        <v>41</v>
      </c>
    </row>
    <row r="42269" ht="15.75" customHeight="1">
      <c r="A42269" s="7"/>
      <c r="B42269" s="7"/>
      <c r="M42269" s="9" t="s">
        <v>37</v>
      </c>
    </row>
    <row r="42270" ht="15.75" customHeight="1">
      <c r="A42270" s="7"/>
      <c r="B42270" s="7"/>
      <c r="M42270" s="9" t="s">
        <v>22</v>
      </c>
    </row>
    <row r="42271" ht="15.75" customHeight="1">
      <c r="A42271" s="7"/>
      <c r="B42271" s="7"/>
      <c r="M42271" s="9" t="s">
        <v>31</v>
      </c>
    </row>
    <row r="42272" ht="15.75" customHeight="1">
      <c r="A42272" s="7"/>
      <c r="B42272" s="7"/>
      <c r="M42272" s="9" t="s">
        <v>27</v>
      </c>
    </row>
    <row r="42273" ht="15.75" customHeight="1">
      <c r="A42273" s="7"/>
      <c r="B42273" s="7"/>
      <c r="M42273" s="9" t="s">
        <v>40</v>
      </c>
    </row>
    <row r="42274" ht="15.75" customHeight="1">
      <c r="A42274" s="7"/>
      <c r="B42274" s="7"/>
      <c r="M42274" s="9" t="s">
        <v>33</v>
      </c>
    </row>
    <row r="42275" ht="15.75" customHeight="1">
      <c r="A42275" s="7"/>
      <c r="B42275" s="7"/>
      <c r="M42275" s="9" t="s">
        <v>24</v>
      </c>
    </row>
    <row r="42276" ht="15.75" customHeight="1">
      <c r="A42276" s="7"/>
      <c r="B42276" s="7"/>
      <c r="M42276" s="9" t="s">
        <v>20</v>
      </c>
    </row>
    <row r="42277" ht="15.75" customHeight="1">
      <c r="A42277" s="7"/>
      <c r="B42277" s="7"/>
      <c r="M42277" s="9" t="s">
        <v>21</v>
      </c>
    </row>
    <row r="42278" ht="15.75" customHeight="1">
      <c r="A42278" s="7"/>
      <c r="B42278" s="7"/>
      <c r="M42278" s="9" t="s">
        <v>37</v>
      </c>
    </row>
    <row r="42279" ht="15.75" customHeight="1">
      <c r="A42279" s="7"/>
      <c r="B42279" s="7"/>
      <c r="M42279" s="9" t="s">
        <v>27</v>
      </c>
    </row>
    <row r="42280" ht="15.75" customHeight="1">
      <c r="A42280" s="7"/>
      <c r="B42280" s="7"/>
      <c r="M42280" s="9" t="s">
        <v>33</v>
      </c>
    </row>
    <row r="42281" ht="15.75" customHeight="1">
      <c r="A42281" s="7"/>
      <c r="B42281" s="7"/>
      <c r="M42281" s="9" t="s">
        <v>31</v>
      </c>
    </row>
    <row r="42282" ht="15.75" customHeight="1">
      <c r="A42282" s="7"/>
      <c r="B42282" s="7"/>
      <c r="M42282" s="9" t="s">
        <v>30</v>
      </c>
    </row>
    <row r="42283" ht="15.75" customHeight="1">
      <c r="A42283" s="7"/>
      <c r="B42283" s="7"/>
      <c r="M42283" s="9" t="s">
        <v>24</v>
      </c>
    </row>
    <row r="42284" ht="15.75" customHeight="1">
      <c r="A42284" s="7"/>
      <c r="B42284" s="7"/>
      <c r="M42284" s="9" t="s">
        <v>22</v>
      </c>
    </row>
    <row r="42285" ht="15.75" customHeight="1">
      <c r="A42285" s="7"/>
      <c r="B42285" s="7"/>
      <c r="M42285" s="9" t="s">
        <v>31</v>
      </c>
    </row>
    <row r="42286" ht="15.75" customHeight="1">
      <c r="A42286" s="7"/>
      <c r="B42286" s="7"/>
      <c r="M42286" s="9" t="s">
        <v>35</v>
      </c>
    </row>
    <row r="42287" ht="15.75" customHeight="1">
      <c r="A42287" s="7"/>
      <c r="B42287" s="7"/>
      <c r="M42287" s="9" t="s">
        <v>30</v>
      </c>
    </row>
    <row r="42288" ht="15.75" customHeight="1">
      <c r="A42288" s="7"/>
      <c r="B42288" s="7"/>
      <c r="M42288" s="9" t="s">
        <v>26</v>
      </c>
    </row>
    <row r="42289" ht="15.75" customHeight="1">
      <c r="A42289" s="7"/>
      <c r="B42289" s="7"/>
      <c r="M42289" s="9" t="s">
        <v>24</v>
      </c>
    </row>
    <row r="42290" ht="15.75" customHeight="1">
      <c r="A42290" s="7"/>
      <c r="B42290" s="7"/>
      <c r="M42290" s="9" t="s">
        <v>20</v>
      </c>
    </row>
    <row r="42291" ht="15.75" customHeight="1">
      <c r="A42291" s="7"/>
      <c r="B42291" s="7"/>
      <c r="M42291" s="9" t="s">
        <v>21</v>
      </c>
    </row>
    <row r="42292" ht="15.75" customHeight="1">
      <c r="A42292" s="7"/>
      <c r="B42292" s="7"/>
      <c r="M42292" s="9" t="s">
        <v>39</v>
      </c>
    </row>
    <row r="42293" ht="15.75" customHeight="1">
      <c r="A42293" s="7"/>
      <c r="B42293" s="7"/>
      <c r="M42293" s="9" t="s">
        <v>37</v>
      </c>
    </row>
    <row r="42294" ht="15.75" customHeight="1">
      <c r="A42294" s="7"/>
      <c r="B42294" s="7"/>
      <c r="M42294" s="9" t="s">
        <v>27</v>
      </c>
    </row>
    <row r="42295" ht="15.75" customHeight="1">
      <c r="A42295" s="7"/>
      <c r="B42295" s="7"/>
      <c r="M42295" s="9" t="s">
        <v>33</v>
      </c>
    </row>
    <row r="42296" ht="15.75" customHeight="1">
      <c r="A42296" s="7"/>
      <c r="B42296" s="7"/>
      <c r="M42296" s="9" t="s">
        <v>21</v>
      </c>
    </row>
    <row r="42297" ht="15.75" customHeight="1">
      <c r="A42297" s="7"/>
      <c r="B42297" s="7"/>
      <c r="M42297" s="9" t="s">
        <v>38</v>
      </c>
    </row>
    <row r="42298" ht="15.75" customHeight="1">
      <c r="A42298" s="7"/>
      <c r="B42298" s="7"/>
      <c r="M42298" s="9" t="s">
        <v>30</v>
      </c>
    </row>
    <row r="42299" ht="15.75" customHeight="1">
      <c r="A42299" s="7"/>
      <c r="B42299" s="7"/>
      <c r="M42299" s="9" t="s">
        <v>25</v>
      </c>
    </row>
    <row r="42300" ht="15.75" customHeight="1">
      <c r="A42300" s="7"/>
      <c r="B42300" s="7"/>
      <c r="M42300" s="9" t="s">
        <v>23</v>
      </c>
    </row>
    <row r="42301" ht="15.75" customHeight="1">
      <c r="A42301" s="7"/>
      <c r="B42301" s="7"/>
      <c r="M42301" s="9" t="s">
        <v>22</v>
      </c>
    </row>
    <row r="42302" ht="15.75" customHeight="1">
      <c r="A42302" s="7"/>
      <c r="B42302" s="7"/>
      <c r="M42302" s="9" t="s">
        <v>34</v>
      </c>
    </row>
    <row r="42303" ht="15.75" customHeight="1">
      <c r="A42303" s="7"/>
      <c r="B42303" s="7"/>
      <c r="M42303" s="9" t="s">
        <v>35</v>
      </c>
    </row>
    <row r="42304" ht="15.75" customHeight="1">
      <c r="A42304" s="7"/>
      <c r="B42304" s="7"/>
      <c r="M42304" s="9" t="s">
        <v>24</v>
      </c>
    </row>
    <row r="42305" ht="15.75" customHeight="1">
      <c r="A42305" s="7"/>
      <c r="B42305" s="7"/>
      <c r="M42305" s="9" t="s">
        <v>21</v>
      </c>
    </row>
    <row r="42306" ht="15.75" customHeight="1">
      <c r="A42306" s="7"/>
      <c r="B42306" s="7"/>
      <c r="M42306" s="9" t="s">
        <v>40</v>
      </c>
    </row>
    <row r="42307" ht="15.75" customHeight="1">
      <c r="A42307" s="7"/>
      <c r="B42307" s="7"/>
      <c r="M42307" s="9" t="s">
        <v>25</v>
      </c>
    </row>
    <row r="42308" ht="15.75" customHeight="1">
      <c r="A42308" s="7"/>
      <c r="B42308" s="7"/>
      <c r="M42308" s="9" t="s">
        <v>23</v>
      </c>
    </row>
    <row r="42309" ht="15.75" customHeight="1">
      <c r="A42309" s="7"/>
      <c r="B42309" s="7"/>
      <c r="M42309" s="9" t="s">
        <v>26</v>
      </c>
    </row>
    <row r="42310" ht="15.75" customHeight="1">
      <c r="A42310" s="7"/>
      <c r="B42310" s="7"/>
      <c r="M42310" s="9" t="s">
        <v>24</v>
      </c>
    </row>
    <row r="42311" ht="15.75" customHeight="1">
      <c r="A42311" s="7"/>
      <c r="B42311" s="7"/>
      <c r="M42311" s="9" t="s">
        <v>20</v>
      </c>
    </row>
    <row r="42312" ht="15.75" customHeight="1">
      <c r="A42312" s="7"/>
      <c r="B42312" s="7"/>
      <c r="M42312" s="9" t="s">
        <v>21</v>
      </c>
    </row>
    <row r="42313" ht="15.75" customHeight="1">
      <c r="A42313" s="7"/>
      <c r="B42313" s="7"/>
      <c r="M42313" s="9" t="s">
        <v>37</v>
      </c>
    </row>
    <row r="42314" ht="15.75" customHeight="1">
      <c r="A42314" s="7"/>
      <c r="B42314" s="7"/>
      <c r="M42314" s="9" t="s">
        <v>22</v>
      </c>
    </row>
    <row r="42315" ht="15.75" customHeight="1">
      <c r="A42315" s="7"/>
      <c r="B42315" s="7"/>
      <c r="M42315" s="9" t="s">
        <v>33</v>
      </c>
    </row>
    <row r="42316" ht="15.75" customHeight="1">
      <c r="A42316" s="7"/>
      <c r="B42316" s="7"/>
      <c r="M42316" s="9" t="s">
        <v>23</v>
      </c>
    </row>
    <row r="42317" ht="15.75" customHeight="1">
      <c r="A42317" s="7"/>
      <c r="B42317" s="7"/>
      <c r="M42317" s="9" t="s">
        <v>24</v>
      </c>
    </row>
    <row r="42318" ht="15.75" customHeight="1">
      <c r="A42318" s="7"/>
      <c r="B42318" s="7"/>
      <c r="M42318" s="9" t="s">
        <v>21</v>
      </c>
    </row>
    <row r="42319" ht="15.75" customHeight="1">
      <c r="A42319" s="7"/>
      <c r="B42319" s="7"/>
      <c r="M42319" s="9" t="s">
        <v>24</v>
      </c>
    </row>
    <row r="42320" ht="15.75" customHeight="1">
      <c r="A42320" s="7"/>
      <c r="B42320" s="7"/>
      <c r="M42320" s="9" t="s">
        <v>20</v>
      </c>
    </row>
    <row r="42321" ht="15.75" customHeight="1">
      <c r="A42321" s="7"/>
      <c r="B42321" s="7"/>
      <c r="M42321" s="9" t="s">
        <v>21</v>
      </c>
    </row>
    <row r="42322" ht="15.75" customHeight="1">
      <c r="A42322" s="7"/>
      <c r="B42322" s="7"/>
      <c r="M42322" s="9" t="s">
        <v>27</v>
      </c>
    </row>
    <row r="42323" ht="15.75" customHeight="1">
      <c r="A42323" s="7"/>
      <c r="B42323" s="7"/>
      <c r="M42323" s="9" t="s">
        <v>25</v>
      </c>
    </row>
    <row r="42324" ht="15.75" customHeight="1">
      <c r="A42324" s="7"/>
      <c r="B42324" s="7"/>
      <c r="M42324" s="9" t="s">
        <v>23</v>
      </c>
    </row>
    <row r="42325" ht="15.75" customHeight="1">
      <c r="A42325" s="7"/>
      <c r="B42325" s="7"/>
      <c r="M42325" s="9" t="s">
        <v>36</v>
      </c>
    </row>
    <row r="42326" ht="15.75" customHeight="1">
      <c r="A42326" s="7"/>
      <c r="B42326" s="7"/>
      <c r="M42326" s="9" t="s">
        <v>20</v>
      </c>
    </row>
    <row r="42327" ht="15.75" customHeight="1">
      <c r="A42327" s="7"/>
      <c r="B42327" s="7"/>
      <c r="M42327" s="9" t="s">
        <v>37</v>
      </c>
    </row>
    <row r="42328" ht="15.75" customHeight="1">
      <c r="A42328" s="7"/>
      <c r="B42328" s="7"/>
      <c r="M42328" s="9" t="s">
        <v>22</v>
      </c>
    </row>
    <row r="42329" ht="15.75" customHeight="1">
      <c r="A42329" s="7"/>
      <c r="B42329" s="7"/>
      <c r="M42329" s="9" t="s">
        <v>31</v>
      </c>
    </row>
    <row r="42330" ht="15.75" customHeight="1">
      <c r="A42330" s="7"/>
      <c r="B42330" s="7"/>
      <c r="M42330" s="9" t="s">
        <v>27</v>
      </c>
    </row>
    <row r="42331" ht="15.75" customHeight="1">
      <c r="A42331" s="7"/>
      <c r="B42331" s="7"/>
      <c r="M42331" s="9" t="s">
        <v>20</v>
      </c>
    </row>
    <row r="42332" ht="15.75" customHeight="1">
      <c r="A42332" s="7"/>
      <c r="B42332" s="7"/>
      <c r="M42332" s="9" t="s">
        <v>36</v>
      </c>
    </row>
    <row r="42333" ht="15.75" customHeight="1">
      <c r="A42333" s="7"/>
      <c r="B42333" s="7"/>
      <c r="M42333" s="9" t="s">
        <v>24</v>
      </c>
    </row>
    <row r="42334" ht="15.75" customHeight="1">
      <c r="A42334" s="7"/>
      <c r="B42334" s="7"/>
      <c r="M42334" s="9" t="s">
        <v>21</v>
      </c>
    </row>
    <row r="42335" ht="15.75" customHeight="1">
      <c r="A42335" s="7"/>
      <c r="B42335" s="7"/>
      <c r="M42335" s="9" t="s">
        <v>37</v>
      </c>
    </row>
    <row r="42336" ht="15.75" customHeight="1">
      <c r="A42336" s="7"/>
      <c r="B42336" s="7"/>
      <c r="M42336" s="9" t="s">
        <v>33</v>
      </c>
    </row>
    <row r="42337" ht="15.75" customHeight="1">
      <c r="A42337" s="7"/>
      <c r="B42337" s="7"/>
      <c r="M42337" s="9" t="s">
        <v>25</v>
      </c>
    </row>
    <row r="42338" ht="15.75" customHeight="1">
      <c r="A42338" s="7"/>
      <c r="B42338" s="7"/>
      <c r="M42338" s="9" t="s">
        <v>24</v>
      </c>
    </row>
    <row r="42339" ht="15.75" customHeight="1">
      <c r="A42339" s="7"/>
      <c r="B42339" s="7"/>
      <c r="M42339" s="9" t="s">
        <v>21</v>
      </c>
    </row>
    <row r="42340" ht="15.75" customHeight="1">
      <c r="A42340" s="7"/>
      <c r="B42340" s="7"/>
      <c r="M42340" s="9" t="s">
        <v>30</v>
      </c>
    </row>
    <row r="42341" ht="15.75" customHeight="1">
      <c r="A42341" s="7"/>
      <c r="B42341" s="7"/>
      <c r="M42341" s="9" t="s">
        <v>25</v>
      </c>
    </row>
    <row r="42342" ht="15.75" customHeight="1">
      <c r="A42342" s="7"/>
      <c r="B42342" s="7"/>
      <c r="M42342" s="9" t="s">
        <v>23</v>
      </c>
    </row>
    <row r="42343" ht="15.75" customHeight="1">
      <c r="A42343" s="7"/>
      <c r="B42343" s="7"/>
      <c r="M42343" s="9" t="s">
        <v>24</v>
      </c>
    </row>
    <row r="42344" ht="15.75" customHeight="1">
      <c r="A42344" s="7"/>
      <c r="B42344" s="7"/>
      <c r="M42344" s="9" t="s">
        <v>20</v>
      </c>
    </row>
    <row r="42345" ht="15.75" customHeight="1">
      <c r="A42345" s="7"/>
      <c r="B42345" s="7"/>
      <c r="M42345" s="9" t="s">
        <v>21</v>
      </c>
    </row>
    <row r="42346" ht="15.75" customHeight="1">
      <c r="A42346" s="7"/>
      <c r="B42346" s="7"/>
      <c r="M42346" s="9" t="s">
        <v>39</v>
      </c>
    </row>
    <row r="42347" ht="15.75" customHeight="1">
      <c r="A42347" s="7"/>
      <c r="B42347" s="7"/>
      <c r="M42347" s="9" t="s">
        <v>22</v>
      </c>
    </row>
    <row r="42348" ht="15.75" customHeight="1">
      <c r="A42348" s="7"/>
      <c r="B42348" s="7"/>
      <c r="M42348" s="9" t="s">
        <v>31</v>
      </c>
    </row>
    <row r="42349" ht="15.75" customHeight="1">
      <c r="A42349" s="7"/>
      <c r="B42349" s="7"/>
      <c r="M42349" s="9" t="s">
        <v>46</v>
      </c>
    </row>
    <row r="42350" ht="15.75" customHeight="1">
      <c r="A42350" s="7"/>
      <c r="B42350" s="7"/>
      <c r="M42350" s="9" t="s">
        <v>27</v>
      </c>
    </row>
    <row r="42351" ht="15.75" customHeight="1">
      <c r="A42351" s="7"/>
      <c r="B42351" s="7"/>
      <c r="M42351" s="9" t="s">
        <v>35</v>
      </c>
    </row>
    <row r="42352" ht="15.75" customHeight="1">
      <c r="A42352" s="7"/>
      <c r="B42352" s="7"/>
      <c r="M42352" s="9" t="s">
        <v>24</v>
      </c>
    </row>
    <row r="42353" ht="15.75" customHeight="1">
      <c r="A42353" s="7"/>
      <c r="B42353" s="7"/>
      <c r="M42353" s="9" t="s">
        <v>20</v>
      </c>
    </row>
    <row r="42354" ht="15.75" customHeight="1">
      <c r="A42354" s="7"/>
      <c r="B42354" s="7"/>
      <c r="M42354" s="9" t="s">
        <v>21</v>
      </c>
    </row>
    <row r="42355" ht="15.75" customHeight="1">
      <c r="A42355" s="7"/>
      <c r="B42355" s="7"/>
      <c r="M42355" s="9" t="s">
        <v>37</v>
      </c>
    </row>
    <row r="42356" ht="15.75" customHeight="1">
      <c r="A42356" s="7"/>
      <c r="B42356" s="7"/>
      <c r="M42356" s="9" t="s">
        <v>22</v>
      </c>
    </row>
    <row r="42357" ht="15.75" customHeight="1">
      <c r="A42357" s="7"/>
      <c r="B42357" s="7"/>
      <c r="M42357" s="9" t="s">
        <v>27</v>
      </c>
    </row>
    <row r="42358" ht="15.75" customHeight="1">
      <c r="A42358" s="7"/>
      <c r="B42358" s="7"/>
      <c r="M42358" s="9" t="s">
        <v>23</v>
      </c>
    </row>
    <row r="42359" ht="15.75" customHeight="1">
      <c r="A42359" s="7"/>
      <c r="B42359" s="7"/>
      <c r="M42359" s="9" t="s">
        <v>24</v>
      </c>
    </row>
    <row r="42360" ht="15.75" customHeight="1">
      <c r="A42360" s="7"/>
      <c r="B42360" s="7"/>
      <c r="M42360" s="9" t="s">
        <v>20</v>
      </c>
    </row>
    <row r="42361" ht="15.75" customHeight="1">
      <c r="A42361" s="7"/>
      <c r="B42361" s="7"/>
      <c r="M42361" s="9" t="s">
        <v>21</v>
      </c>
    </row>
    <row r="42362" ht="15.75" customHeight="1">
      <c r="A42362" s="7"/>
      <c r="B42362" s="7"/>
      <c r="M42362" s="9" t="s">
        <v>27</v>
      </c>
    </row>
    <row r="42363" ht="15.75" customHeight="1">
      <c r="A42363" s="7"/>
      <c r="B42363" s="7"/>
      <c r="M42363" s="9" t="s">
        <v>20</v>
      </c>
    </row>
    <row r="42364" ht="15.75" customHeight="1">
      <c r="A42364" s="7"/>
      <c r="B42364" s="7"/>
      <c r="M42364" s="9" t="s">
        <v>39</v>
      </c>
    </row>
    <row r="42365" ht="15.75" customHeight="1">
      <c r="A42365" s="7"/>
      <c r="B42365" s="7"/>
      <c r="M42365" s="9" t="s">
        <v>25</v>
      </c>
    </row>
    <row r="42366" ht="15.75" customHeight="1">
      <c r="A42366" s="7"/>
      <c r="B42366" s="7"/>
      <c r="M42366" s="9" t="s">
        <v>26</v>
      </c>
    </row>
    <row r="42367" ht="15.75" customHeight="1">
      <c r="A42367" s="7"/>
      <c r="B42367" s="7"/>
      <c r="M42367" s="9" t="s">
        <v>20</v>
      </c>
    </row>
    <row r="42368" ht="15.75" customHeight="1">
      <c r="A42368" s="7"/>
      <c r="B42368" s="7"/>
      <c r="M42368" s="9" t="s">
        <v>21</v>
      </c>
    </row>
    <row r="42369" ht="15.75" customHeight="1">
      <c r="A42369" s="7"/>
      <c r="B42369" s="7"/>
      <c r="M42369" s="9" t="s">
        <v>22</v>
      </c>
    </row>
    <row r="42370" ht="15.75" customHeight="1">
      <c r="A42370" s="7"/>
      <c r="B42370" s="7"/>
      <c r="M42370" s="9" t="s">
        <v>27</v>
      </c>
    </row>
    <row r="42371" ht="15.75" customHeight="1">
      <c r="A42371" s="7"/>
      <c r="B42371" s="7"/>
      <c r="M42371" s="9" t="s">
        <v>26</v>
      </c>
    </row>
    <row r="42372" ht="15.75" customHeight="1">
      <c r="A42372" s="7"/>
      <c r="B42372" s="7"/>
      <c r="M42372" s="9" t="s">
        <v>24</v>
      </c>
    </row>
    <row r="42373" ht="15.75" customHeight="1">
      <c r="A42373" s="7"/>
      <c r="B42373" s="7"/>
      <c r="M42373" s="9" t="s">
        <v>21</v>
      </c>
    </row>
    <row r="42374" ht="15.75" customHeight="1">
      <c r="A42374" s="7"/>
      <c r="B42374" s="7"/>
      <c r="M42374" s="9" t="s">
        <v>27</v>
      </c>
    </row>
    <row r="42375" ht="15.75" customHeight="1">
      <c r="A42375" s="7"/>
      <c r="B42375" s="7"/>
      <c r="M42375" s="9" t="s">
        <v>33</v>
      </c>
    </row>
    <row r="42376" ht="15.75" customHeight="1">
      <c r="A42376" s="7"/>
      <c r="B42376" s="7"/>
      <c r="M42376" s="9" t="s">
        <v>30</v>
      </c>
    </row>
    <row r="42377" ht="15.75" customHeight="1">
      <c r="A42377" s="7"/>
      <c r="B42377" s="7"/>
      <c r="M42377" s="9" t="s">
        <v>24</v>
      </c>
    </row>
    <row r="42378" ht="15.75" customHeight="1">
      <c r="A42378" s="7"/>
      <c r="B42378" s="7"/>
      <c r="M42378" s="9" t="s">
        <v>21</v>
      </c>
    </row>
    <row r="42379" ht="15.75" customHeight="1">
      <c r="A42379" s="7"/>
      <c r="B42379" s="7"/>
      <c r="M42379" s="9" t="s">
        <v>37</v>
      </c>
    </row>
    <row r="42380" ht="15.75" customHeight="1">
      <c r="A42380" s="7"/>
      <c r="B42380" s="7"/>
      <c r="M42380" s="9" t="s">
        <v>27</v>
      </c>
    </row>
    <row r="42381" ht="15.75" customHeight="1">
      <c r="A42381" s="7"/>
      <c r="B42381" s="7"/>
      <c r="M42381" s="9" t="s">
        <v>30</v>
      </c>
    </row>
    <row r="42382" ht="15.75" customHeight="1">
      <c r="A42382" s="7"/>
      <c r="B42382" s="7"/>
      <c r="M42382" s="9" t="s">
        <v>26</v>
      </c>
    </row>
    <row r="42383" ht="15.75" customHeight="1">
      <c r="A42383" s="7"/>
      <c r="B42383" s="7"/>
      <c r="M42383" s="9" t="s">
        <v>24</v>
      </c>
    </row>
    <row r="42384" ht="15.75" customHeight="1">
      <c r="A42384" s="7"/>
      <c r="B42384" s="7"/>
      <c r="M42384" s="9" t="s">
        <v>21</v>
      </c>
    </row>
    <row r="42385" ht="15.75" customHeight="1">
      <c r="A42385" s="7"/>
      <c r="B42385" s="7"/>
      <c r="M42385" s="9" t="s">
        <v>33</v>
      </c>
    </row>
    <row r="42386" ht="15.75" customHeight="1">
      <c r="A42386" s="7"/>
      <c r="B42386" s="7"/>
      <c r="M42386" s="9" t="s">
        <v>30</v>
      </c>
    </row>
    <row r="42387" ht="15.75" customHeight="1">
      <c r="A42387" s="7"/>
      <c r="B42387" s="7"/>
      <c r="M42387" s="9" t="s">
        <v>22</v>
      </c>
    </row>
    <row r="42388" ht="15.75" customHeight="1">
      <c r="A42388" s="7"/>
      <c r="B42388" s="7"/>
      <c r="M42388" s="9" t="s">
        <v>29</v>
      </c>
    </row>
    <row r="42389" ht="15.75" customHeight="1">
      <c r="A42389" s="7"/>
      <c r="B42389" s="7"/>
      <c r="M42389" s="9" t="s">
        <v>27</v>
      </c>
    </row>
    <row r="42390" ht="15.75" customHeight="1">
      <c r="A42390" s="7"/>
      <c r="B42390" s="7"/>
      <c r="M42390" s="9" t="s">
        <v>38</v>
      </c>
    </row>
    <row r="42391" ht="15.75" customHeight="1">
      <c r="A42391" s="7"/>
      <c r="B42391" s="7"/>
      <c r="M42391" s="9" t="s">
        <v>30</v>
      </c>
    </row>
    <row r="42392" ht="15.75" customHeight="1">
      <c r="A42392" s="7"/>
      <c r="B42392" s="7"/>
      <c r="M42392" s="9" t="s">
        <v>25</v>
      </c>
    </row>
    <row r="42393" ht="15.75" customHeight="1">
      <c r="A42393" s="7"/>
      <c r="B42393" s="7"/>
      <c r="M42393" s="9" t="s">
        <v>23</v>
      </c>
    </row>
    <row r="42394" ht="15.75" customHeight="1">
      <c r="A42394" s="7"/>
      <c r="B42394" s="7"/>
      <c r="M42394" s="9" t="s">
        <v>26</v>
      </c>
    </row>
    <row r="42395" ht="15.75" customHeight="1">
      <c r="A42395" s="7"/>
      <c r="B42395" s="7"/>
      <c r="M42395" s="9" t="s">
        <v>45</v>
      </c>
    </row>
    <row r="42396" ht="15.75" customHeight="1">
      <c r="A42396" s="7"/>
      <c r="B42396" s="7"/>
      <c r="M42396" s="9" t="s">
        <v>24</v>
      </c>
    </row>
    <row r="42397" ht="15.75" customHeight="1">
      <c r="A42397" s="7"/>
      <c r="B42397" s="7"/>
      <c r="M42397" s="9" t="s">
        <v>20</v>
      </c>
    </row>
    <row r="42398" ht="15.75" customHeight="1">
      <c r="A42398" s="7"/>
      <c r="B42398" s="7"/>
      <c r="M42398" s="9" t="s">
        <v>21</v>
      </c>
    </row>
    <row r="42399" ht="15.75" customHeight="1">
      <c r="A42399" s="7"/>
      <c r="B42399" s="7"/>
      <c r="M42399" s="9" t="s">
        <v>27</v>
      </c>
    </row>
    <row r="42400" ht="15.75" customHeight="1">
      <c r="A42400" s="7"/>
      <c r="B42400" s="7"/>
      <c r="M42400" s="9" t="s">
        <v>33</v>
      </c>
    </row>
    <row r="42401" ht="15.75" customHeight="1">
      <c r="A42401" s="7"/>
      <c r="B42401" s="7"/>
      <c r="M42401" s="9" t="s">
        <v>41</v>
      </c>
    </row>
    <row r="42402" ht="15.75" customHeight="1">
      <c r="A42402" s="7"/>
      <c r="B42402" s="7"/>
      <c r="M42402" s="9" t="s">
        <v>40</v>
      </c>
    </row>
    <row r="42403" ht="15.75" customHeight="1">
      <c r="A42403" s="7"/>
      <c r="B42403" s="7"/>
      <c r="M42403" s="9" t="s">
        <v>24</v>
      </c>
    </row>
    <row r="42404" ht="15.75" customHeight="1">
      <c r="A42404" s="7"/>
      <c r="B42404" s="7"/>
      <c r="M42404" s="9" t="s">
        <v>20</v>
      </c>
    </row>
    <row r="42405" ht="15.75" customHeight="1">
      <c r="A42405" s="7"/>
      <c r="B42405" s="7"/>
      <c r="M42405" s="9" t="s">
        <v>21</v>
      </c>
    </row>
    <row r="42406" ht="15.75" customHeight="1">
      <c r="A42406" s="7"/>
      <c r="B42406" s="7"/>
      <c r="M42406" s="9" t="s">
        <v>39</v>
      </c>
    </row>
    <row r="42407" ht="15.75" customHeight="1">
      <c r="A42407" s="7"/>
      <c r="B42407" s="7"/>
      <c r="M42407" s="9" t="s">
        <v>22</v>
      </c>
    </row>
    <row r="42408" ht="15.75" customHeight="1">
      <c r="A42408" s="7"/>
      <c r="B42408" s="7"/>
      <c r="M42408" s="9" t="s">
        <v>46</v>
      </c>
    </row>
    <row r="42409" ht="15.75" customHeight="1">
      <c r="A42409" s="7"/>
      <c r="B42409" s="7"/>
      <c r="M42409" s="9" t="s">
        <v>33</v>
      </c>
    </row>
    <row r="42410" ht="15.75" customHeight="1">
      <c r="A42410" s="7"/>
      <c r="B42410" s="7"/>
      <c r="M42410" s="9" t="s">
        <v>26</v>
      </c>
    </row>
    <row r="42411" ht="15.75" customHeight="1">
      <c r="A42411" s="7"/>
      <c r="B42411" s="7"/>
      <c r="M42411" s="9" t="s">
        <v>24</v>
      </c>
    </row>
    <row r="42412" ht="15.75" customHeight="1">
      <c r="A42412" s="7"/>
      <c r="B42412" s="7"/>
      <c r="M42412" s="9" t="s">
        <v>20</v>
      </c>
    </row>
    <row r="42413" ht="15.75" customHeight="1">
      <c r="A42413" s="7"/>
      <c r="B42413" s="7"/>
      <c r="M42413" s="9" t="s">
        <v>21</v>
      </c>
    </row>
    <row r="42414" ht="15.75" customHeight="1">
      <c r="A42414" s="7"/>
      <c r="B42414" s="7"/>
      <c r="M42414" s="9" t="s">
        <v>27</v>
      </c>
    </row>
    <row r="42415" ht="15.75" customHeight="1">
      <c r="A42415" s="7"/>
      <c r="B42415" s="7"/>
      <c r="M42415" s="9" t="s">
        <v>26</v>
      </c>
    </row>
    <row r="42416" ht="15.75" customHeight="1">
      <c r="A42416" s="7"/>
      <c r="B42416" s="7"/>
      <c r="M42416" s="9" t="s">
        <v>24</v>
      </c>
    </row>
    <row r="42417" ht="15.75" customHeight="1">
      <c r="A42417" s="7"/>
      <c r="B42417" s="7"/>
      <c r="M42417" s="9" t="s">
        <v>21</v>
      </c>
    </row>
    <row r="42418" ht="15.75" customHeight="1">
      <c r="A42418" s="7"/>
      <c r="B42418" s="7"/>
      <c r="M42418" s="9" t="s">
        <v>27</v>
      </c>
    </row>
    <row r="42419" ht="15.75" customHeight="1">
      <c r="A42419" s="7"/>
      <c r="B42419" s="7"/>
      <c r="M42419" s="9" t="s">
        <v>35</v>
      </c>
    </row>
    <row r="42420" ht="15.75" customHeight="1">
      <c r="A42420" s="7"/>
      <c r="B42420" s="7"/>
      <c r="M42420" s="9" t="s">
        <v>38</v>
      </c>
    </row>
    <row r="42421" ht="15.75" customHeight="1">
      <c r="A42421" s="7"/>
      <c r="B42421" s="7"/>
      <c r="M42421" s="9" t="s">
        <v>30</v>
      </c>
    </row>
    <row r="42422" ht="15.75" customHeight="1">
      <c r="A42422" s="7"/>
      <c r="B42422" s="7"/>
      <c r="M42422" s="9" t="s">
        <v>25</v>
      </c>
    </row>
    <row r="42423" ht="15.75" customHeight="1">
      <c r="A42423" s="7"/>
      <c r="B42423" s="7"/>
      <c r="M42423" s="9" t="s">
        <v>23</v>
      </c>
    </row>
    <row r="42424" ht="15.75" customHeight="1">
      <c r="A42424" s="7"/>
      <c r="B42424" s="7"/>
      <c r="M42424" s="9" t="s">
        <v>26</v>
      </c>
    </row>
    <row r="42425" ht="15.75" customHeight="1">
      <c r="A42425" s="7"/>
      <c r="B42425" s="7"/>
      <c r="M42425" s="9" t="s">
        <v>24</v>
      </c>
    </row>
    <row r="42426" ht="15.75" customHeight="1">
      <c r="A42426" s="7"/>
      <c r="B42426" s="7"/>
      <c r="M42426" s="9" t="s">
        <v>20</v>
      </c>
    </row>
    <row r="42427" ht="15.75" customHeight="1">
      <c r="A42427" s="7"/>
      <c r="B42427" s="7"/>
      <c r="M42427" s="9" t="s">
        <v>21</v>
      </c>
    </row>
    <row r="42428" ht="15.75" customHeight="1">
      <c r="A42428" s="7"/>
      <c r="B42428" s="7"/>
      <c r="M42428" s="9" t="s">
        <v>22</v>
      </c>
    </row>
    <row r="42429" ht="15.75" customHeight="1">
      <c r="A42429" s="7"/>
      <c r="B42429" s="7"/>
      <c r="M42429" s="9" t="s">
        <v>27</v>
      </c>
    </row>
    <row r="42430" ht="15.75" customHeight="1">
      <c r="A42430" s="7"/>
      <c r="B42430" s="7"/>
      <c r="M42430" s="9" t="s">
        <v>30</v>
      </c>
    </row>
    <row r="42431" ht="15.75" customHeight="1">
      <c r="A42431" s="7"/>
      <c r="B42431" s="7"/>
      <c r="M42431" s="9" t="s">
        <v>25</v>
      </c>
    </row>
    <row r="42432" ht="15.75" customHeight="1">
      <c r="A42432" s="7"/>
      <c r="B42432" s="7"/>
      <c r="M42432" s="9" t="s">
        <v>36</v>
      </c>
    </row>
    <row r="42433" ht="15.75" customHeight="1">
      <c r="A42433" s="7"/>
      <c r="B42433" s="7"/>
      <c r="M42433" s="9" t="s">
        <v>20</v>
      </c>
    </row>
    <row r="42434" ht="15.75" customHeight="1">
      <c r="A42434" s="7"/>
      <c r="B42434" s="7"/>
      <c r="M42434" s="9" t="s">
        <v>21</v>
      </c>
    </row>
    <row r="42435" ht="15.75" customHeight="1">
      <c r="A42435" s="7"/>
      <c r="B42435" s="7"/>
      <c r="M42435" s="9" t="s">
        <v>22</v>
      </c>
    </row>
    <row r="42436" ht="15.75" customHeight="1">
      <c r="A42436" s="7"/>
      <c r="B42436" s="7"/>
      <c r="M42436" s="9" t="s">
        <v>35</v>
      </c>
    </row>
    <row r="42437" ht="15.75" customHeight="1">
      <c r="A42437" s="7"/>
      <c r="B42437" s="7"/>
      <c r="M42437" s="9" t="s">
        <v>20</v>
      </c>
    </row>
    <row r="42438" ht="15.75" customHeight="1">
      <c r="A42438" s="7"/>
      <c r="B42438" s="7"/>
      <c r="M42438" s="9" t="s">
        <v>21</v>
      </c>
    </row>
    <row r="42439" ht="15.75" customHeight="1">
      <c r="A42439" s="7"/>
      <c r="B42439" s="7"/>
      <c r="M42439" s="9" t="s">
        <v>30</v>
      </c>
    </row>
    <row r="42440" ht="15.75" customHeight="1">
      <c r="A42440" s="7"/>
      <c r="B42440" s="7"/>
      <c r="M42440" s="9" t="s">
        <v>25</v>
      </c>
    </row>
    <row r="42441" ht="15.75" customHeight="1">
      <c r="A42441" s="7"/>
      <c r="B42441" s="7"/>
      <c r="M42441" s="9" t="s">
        <v>36</v>
      </c>
    </row>
    <row r="42442" ht="15.75" customHeight="1">
      <c r="A42442" s="7"/>
      <c r="B42442" s="7"/>
      <c r="M42442" s="9" t="s">
        <v>21</v>
      </c>
    </row>
    <row r="42443" ht="15.75" customHeight="1">
      <c r="A42443" s="7"/>
      <c r="B42443" s="7"/>
      <c r="M42443" s="9" t="s">
        <v>22</v>
      </c>
    </row>
    <row r="42444" ht="15.75" customHeight="1">
      <c r="A42444" s="7"/>
      <c r="B42444" s="7"/>
      <c r="M42444" s="9" t="s">
        <v>22</v>
      </c>
    </row>
    <row r="42445" ht="15.75" customHeight="1">
      <c r="A42445" s="7"/>
      <c r="B42445" s="7"/>
      <c r="M42445" s="9" t="s">
        <v>27</v>
      </c>
    </row>
    <row r="42446" ht="15.75" customHeight="1">
      <c r="A42446" s="7"/>
      <c r="B42446" s="7"/>
      <c r="M42446" s="9" t="s">
        <v>30</v>
      </c>
    </row>
    <row r="42447" ht="15.75" customHeight="1">
      <c r="A42447" s="7"/>
      <c r="B42447" s="7"/>
      <c r="M42447" s="9" t="s">
        <v>26</v>
      </c>
    </row>
    <row r="42448" ht="15.75" customHeight="1">
      <c r="A42448" s="7"/>
      <c r="B42448" s="7"/>
      <c r="M42448" s="9" t="s">
        <v>24</v>
      </c>
    </row>
    <row r="42449" ht="15.75" customHeight="1">
      <c r="A42449" s="7"/>
      <c r="B42449" s="7"/>
      <c r="M42449" s="9" t="s">
        <v>20</v>
      </c>
    </row>
    <row r="42450" ht="15.75" customHeight="1">
      <c r="A42450" s="7"/>
      <c r="B42450" s="7"/>
      <c r="M42450" s="9" t="s">
        <v>21</v>
      </c>
    </row>
    <row r="42451" ht="15.75" customHeight="1">
      <c r="A42451" s="7"/>
      <c r="B42451" s="7"/>
      <c r="M42451" s="9" t="s">
        <v>27</v>
      </c>
    </row>
    <row r="42452" ht="15.75" customHeight="1">
      <c r="A42452" s="7"/>
      <c r="B42452" s="7"/>
      <c r="M42452" s="9" t="s">
        <v>33</v>
      </c>
    </row>
    <row r="42453" ht="15.75" customHeight="1">
      <c r="A42453" s="7"/>
      <c r="B42453" s="7"/>
      <c r="M42453" s="9" t="s">
        <v>24</v>
      </c>
    </row>
    <row r="42454" ht="15.75" customHeight="1">
      <c r="A42454" s="7"/>
      <c r="B42454" s="7"/>
      <c r="M42454" s="9" t="s">
        <v>20</v>
      </c>
    </row>
    <row r="42455" ht="15.75" customHeight="1">
      <c r="A42455" s="7"/>
      <c r="B42455" s="7"/>
      <c r="M42455" s="9" t="s">
        <v>21</v>
      </c>
    </row>
    <row r="42456" ht="15.75" customHeight="1">
      <c r="A42456" s="7"/>
      <c r="B42456" s="7"/>
      <c r="M42456" s="9" t="s">
        <v>27</v>
      </c>
    </row>
    <row r="42457" ht="15.75" customHeight="1">
      <c r="A42457" s="7"/>
      <c r="B42457" s="7"/>
      <c r="M42457" s="9" t="s">
        <v>33</v>
      </c>
    </row>
    <row r="42458" ht="15.75" customHeight="1">
      <c r="A42458" s="7"/>
      <c r="B42458" s="7"/>
      <c r="M42458" s="9" t="s">
        <v>24</v>
      </c>
    </row>
    <row r="42459" ht="15.75" customHeight="1">
      <c r="A42459" s="7"/>
      <c r="B42459" s="7"/>
      <c r="M42459" s="9" t="s">
        <v>21</v>
      </c>
    </row>
    <row r="42460" ht="15.75" customHeight="1">
      <c r="A42460" s="7"/>
      <c r="B42460" s="7"/>
      <c r="M42460" s="9" t="s">
        <v>37</v>
      </c>
    </row>
    <row r="42461" ht="15.75" customHeight="1">
      <c r="A42461" s="7"/>
      <c r="B42461" s="7"/>
      <c r="M42461" s="9" t="s">
        <v>27</v>
      </c>
    </row>
    <row r="42462" ht="15.75" customHeight="1">
      <c r="A42462" s="7"/>
      <c r="B42462" s="7"/>
      <c r="M42462" s="9" t="s">
        <v>24</v>
      </c>
    </row>
    <row r="42463" ht="15.75" customHeight="1">
      <c r="A42463" s="7"/>
      <c r="B42463" s="7"/>
      <c r="M42463" s="9" t="s">
        <v>27</v>
      </c>
    </row>
    <row r="42464" ht="15.75" customHeight="1">
      <c r="A42464" s="7"/>
      <c r="B42464" s="7"/>
      <c r="M42464" s="9" t="s">
        <v>26</v>
      </c>
    </row>
    <row r="42465" ht="15.75" customHeight="1">
      <c r="A42465" s="7"/>
      <c r="B42465" s="7"/>
      <c r="M42465" s="9" t="s">
        <v>28</v>
      </c>
    </row>
    <row r="42466" ht="15.75" customHeight="1">
      <c r="A42466" s="7"/>
      <c r="B42466" s="7"/>
      <c r="M42466" s="9" t="s">
        <v>26</v>
      </c>
    </row>
    <row r="42467" ht="15.75" customHeight="1">
      <c r="A42467" s="7"/>
      <c r="B42467" s="7"/>
      <c r="M42467" s="9" t="s">
        <v>24</v>
      </c>
    </row>
    <row r="42468" ht="15.75" customHeight="1">
      <c r="A42468" s="7"/>
      <c r="B42468" s="7"/>
      <c r="M42468" s="9" t="s">
        <v>20</v>
      </c>
    </row>
    <row r="42469" ht="15.75" customHeight="1">
      <c r="A42469" s="7"/>
      <c r="B42469" s="7"/>
      <c r="M42469" s="9" t="s">
        <v>21</v>
      </c>
    </row>
    <row r="42470" ht="15.75" customHeight="1">
      <c r="A42470" s="7"/>
      <c r="B42470" s="7"/>
      <c r="M42470" s="9" t="s">
        <v>33</v>
      </c>
    </row>
    <row r="42471" ht="15.75" customHeight="1">
      <c r="A42471" s="7"/>
      <c r="B42471" s="7"/>
      <c r="M42471" s="9" t="s">
        <v>26</v>
      </c>
    </row>
    <row r="42472" ht="15.75" customHeight="1">
      <c r="A42472" s="7"/>
      <c r="B42472" s="7"/>
      <c r="M42472" s="9" t="s">
        <v>24</v>
      </c>
    </row>
    <row r="42473" ht="15.75" customHeight="1">
      <c r="A42473" s="7"/>
      <c r="B42473" s="7"/>
      <c r="M42473" s="9" t="s">
        <v>20</v>
      </c>
    </row>
    <row r="42474" ht="15.75" customHeight="1">
      <c r="A42474" s="7"/>
      <c r="B42474" s="7"/>
      <c r="M42474" s="9" t="s">
        <v>21</v>
      </c>
    </row>
    <row r="42475" ht="15.75" customHeight="1">
      <c r="A42475" s="7"/>
      <c r="B42475" s="7"/>
      <c r="M42475" s="9" t="s">
        <v>37</v>
      </c>
    </row>
    <row r="42476" ht="15.75" customHeight="1">
      <c r="A42476" s="7"/>
      <c r="B42476" s="7"/>
      <c r="M42476" s="9" t="s">
        <v>27</v>
      </c>
    </row>
    <row r="42477" ht="15.75" customHeight="1">
      <c r="A42477" s="7"/>
      <c r="B42477" s="7"/>
      <c r="M42477" s="9" t="s">
        <v>20</v>
      </c>
    </row>
    <row r="42478" ht="15.75" customHeight="1">
      <c r="A42478" s="7"/>
      <c r="B42478" s="7"/>
      <c r="M42478" s="9" t="s">
        <v>21</v>
      </c>
    </row>
    <row r="42479" ht="15.75" customHeight="1">
      <c r="A42479" s="7"/>
      <c r="B42479" s="7"/>
      <c r="M42479" s="9" t="s">
        <v>39</v>
      </c>
    </row>
    <row r="42480" ht="15.75" customHeight="1">
      <c r="A42480" s="7"/>
      <c r="B42480" s="7"/>
      <c r="M42480" s="9" t="s">
        <v>37</v>
      </c>
    </row>
    <row r="42481" ht="15.75" customHeight="1">
      <c r="A42481" s="7"/>
      <c r="B42481" s="7"/>
      <c r="M42481" s="9" t="s">
        <v>30</v>
      </c>
    </row>
    <row r="42482" ht="15.75" customHeight="1">
      <c r="A42482" s="7"/>
      <c r="B42482" s="7"/>
      <c r="M42482" s="9" t="s">
        <v>25</v>
      </c>
    </row>
    <row r="42483" ht="15.75" customHeight="1">
      <c r="A42483" s="7"/>
      <c r="B42483" s="7"/>
      <c r="M42483" s="9" t="s">
        <v>23</v>
      </c>
    </row>
    <row r="42484" ht="15.75" customHeight="1">
      <c r="A42484" s="7"/>
      <c r="B42484" s="7"/>
      <c r="M42484" s="9" t="s">
        <v>24</v>
      </c>
    </row>
    <row r="42485" ht="15.75" customHeight="1">
      <c r="A42485" s="7"/>
      <c r="B42485" s="7"/>
      <c r="M42485" s="9" t="s">
        <v>20</v>
      </c>
    </row>
    <row r="42486" ht="15.75" customHeight="1">
      <c r="A42486" s="7"/>
      <c r="B42486" s="7"/>
      <c r="M42486" s="9" t="s">
        <v>21</v>
      </c>
    </row>
    <row r="42487" ht="15.75" customHeight="1">
      <c r="A42487" s="7"/>
      <c r="B42487" s="7"/>
      <c r="M42487" s="9" t="s">
        <v>22</v>
      </c>
    </row>
    <row r="42488" ht="15.75" customHeight="1">
      <c r="A42488" s="7"/>
      <c r="B42488" s="7"/>
      <c r="M42488" s="9" t="s">
        <v>33</v>
      </c>
    </row>
    <row r="42489" ht="15.75" customHeight="1">
      <c r="A42489" s="7"/>
      <c r="B42489" s="7"/>
      <c r="M42489" s="9" t="s">
        <v>30</v>
      </c>
    </row>
    <row r="42490" ht="15.75" customHeight="1">
      <c r="A42490" s="7"/>
      <c r="B42490" s="7"/>
      <c r="M42490" s="9" t="s">
        <v>22</v>
      </c>
    </row>
    <row r="42491" ht="15.75" customHeight="1">
      <c r="A42491" s="7"/>
      <c r="B42491" s="7"/>
      <c r="M42491" s="9" t="s">
        <v>29</v>
      </c>
    </row>
    <row r="42492" ht="15.75" customHeight="1">
      <c r="A42492" s="7"/>
      <c r="B42492" s="7"/>
      <c r="M42492" s="9" t="s">
        <v>30</v>
      </c>
    </row>
    <row r="42493" ht="15.75" customHeight="1">
      <c r="A42493" s="7"/>
      <c r="B42493" s="7"/>
      <c r="M42493" s="9" t="s">
        <v>23</v>
      </c>
    </row>
    <row r="42494" ht="15.75" customHeight="1">
      <c r="A42494" s="7"/>
      <c r="B42494" s="7"/>
      <c r="M42494" s="9" t="s">
        <v>24</v>
      </c>
    </row>
    <row r="42495" ht="15.75" customHeight="1">
      <c r="A42495" s="7"/>
      <c r="B42495" s="7"/>
      <c r="M42495" s="9" t="s">
        <v>21</v>
      </c>
    </row>
    <row r="42496" ht="15.75" customHeight="1">
      <c r="A42496" s="7"/>
      <c r="B42496" s="7"/>
      <c r="M42496" s="9" t="s">
        <v>22</v>
      </c>
    </row>
    <row r="42497" ht="15.75" customHeight="1">
      <c r="A42497" s="7"/>
      <c r="B42497" s="7"/>
      <c r="M42497" s="9" t="s">
        <v>33</v>
      </c>
    </row>
    <row r="42498" ht="15.75" customHeight="1">
      <c r="A42498" s="7"/>
      <c r="B42498" s="7"/>
      <c r="M42498" s="9" t="s">
        <v>30</v>
      </c>
    </row>
    <row r="42499" ht="15.75" customHeight="1">
      <c r="A42499" s="7"/>
      <c r="B42499" s="7"/>
      <c r="M42499" s="9" t="s">
        <v>22</v>
      </c>
    </row>
    <row r="42500" ht="15.75" customHeight="1">
      <c r="A42500" s="7"/>
      <c r="B42500" s="7"/>
      <c r="M42500" s="9" t="s">
        <v>27</v>
      </c>
    </row>
    <row r="42501" ht="15.75" customHeight="1">
      <c r="A42501" s="7"/>
      <c r="B42501" s="7"/>
      <c r="M42501" s="9" t="s">
        <v>30</v>
      </c>
    </row>
    <row r="42502" ht="15.75" customHeight="1">
      <c r="A42502" s="7"/>
      <c r="B42502" s="7"/>
      <c r="M42502" s="9" t="s">
        <v>22</v>
      </c>
    </row>
    <row r="42503" ht="15.75" customHeight="1">
      <c r="A42503" s="7"/>
      <c r="B42503" s="7"/>
      <c r="M42503" s="9" t="s">
        <v>30</v>
      </c>
    </row>
    <row r="42504" ht="15.75" customHeight="1">
      <c r="A42504" s="7"/>
      <c r="B42504" s="7"/>
      <c r="M42504" s="9" t="s">
        <v>26</v>
      </c>
    </row>
    <row r="42505" ht="15.75" customHeight="1">
      <c r="A42505" s="7"/>
      <c r="B42505" s="7"/>
      <c r="M42505" s="9" t="s">
        <v>24</v>
      </c>
    </row>
    <row r="42506" ht="15.75" customHeight="1">
      <c r="A42506" s="7"/>
      <c r="B42506" s="7"/>
      <c r="M42506" s="9" t="s">
        <v>21</v>
      </c>
    </row>
    <row r="42507" ht="15.75" customHeight="1">
      <c r="A42507" s="7"/>
      <c r="B42507" s="7"/>
      <c r="M42507" s="9" t="s">
        <v>22</v>
      </c>
    </row>
    <row r="42508" ht="15.75" customHeight="1">
      <c r="A42508" s="7"/>
      <c r="B42508" s="7"/>
      <c r="M42508" s="9" t="s">
        <v>26</v>
      </c>
    </row>
    <row r="42509" ht="15.75" customHeight="1">
      <c r="A42509" s="7"/>
      <c r="B42509" s="7"/>
      <c r="M42509" s="9" t="s">
        <v>20</v>
      </c>
    </row>
    <row r="42510" ht="15.75" customHeight="1">
      <c r="A42510" s="7"/>
      <c r="B42510" s="7"/>
      <c r="M42510" s="9" t="s">
        <v>21</v>
      </c>
    </row>
    <row r="42511" ht="15.75" customHeight="1">
      <c r="A42511" s="7"/>
      <c r="B42511" s="7"/>
      <c r="M42511" s="9" t="s">
        <v>35</v>
      </c>
    </row>
    <row r="42512" ht="15.75" customHeight="1">
      <c r="A42512" s="7"/>
      <c r="B42512" s="7"/>
      <c r="M42512" s="9" t="s">
        <v>25</v>
      </c>
    </row>
    <row r="42513" ht="15.75" customHeight="1">
      <c r="A42513" s="7"/>
      <c r="B42513" s="7"/>
      <c r="M42513" s="9" t="s">
        <v>23</v>
      </c>
    </row>
    <row r="42514" ht="15.75" customHeight="1">
      <c r="A42514" s="7"/>
      <c r="B42514" s="7"/>
      <c r="M42514" s="9" t="s">
        <v>21</v>
      </c>
    </row>
    <row r="42515" ht="15.75" customHeight="1">
      <c r="A42515" s="7"/>
      <c r="B42515" s="7"/>
      <c r="M42515" s="9" t="s">
        <v>27</v>
      </c>
    </row>
    <row r="42516" ht="15.75" customHeight="1">
      <c r="A42516" s="7"/>
      <c r="B42516" s="7"/>
      <c r="M42516" s="9" t="s">
        <v>35</v>
      </c>
    </row>
    <row r="42517" ht="15.75" customHeight="1">
      <c r="A42517" s="7"/>
      <c r="B42517" s="7"/>
      <c r="M42517" s="9" t="s">
        <v>26</v>
      </c>
    </row>
    <row r="42518" ht="15.75" customHeight="1">
      <c r="A42518" s="7"/>
      <c r="B42518" s="7"/>
      <c r="M42518" s="9" t="s">
        <v>24</v>
      </c>
    </row>
    <row r="42519" ht="15.75" customHeight="1">
      <c r="A42519" s="7"/>
      <c r="B42519" s="7"/>
      <c r="M42519" s="9" t="s">
        <v>20</v>
      </c>
    </row>
    <row r="42520" ht="15.75" customHeight="1">
      <c r="A42520" s="7"/>
      <c r="B42520" s="7"/>
      <c r="M42520" s="9" t="s">
        <v>21</v>
      </c>
    </row>
    <row r="42521" ht="15.75" customHeight="1">
      <c r="A42521" s="7"/>
      <c r="B42521" s="7"/>
      <c r="M42521" s="9" t="s">
        <v>22</v>
      </c>
    </row>
    <row r="42522" ht="15.75" customHeight="1">
      <c r="A42522" s="7"/>
      <c r="B42522" s="7"/>
      <c r="M42522" s="9" t="s">
        <v>27</v>
      </c>
    </row>
    <row r="42523" ht="15.75" customHeight="1">
      <c r="A42523" s="7"/>
      <c r="B42523" s="7"/>
      <c r="M42523" s="9" t="s">
        <v>26</v>
      </c>
    </row>
    <row r="42524" ht="15.75" customHeight="1">
      <c r="A42524" s="7"/>
      <c r="B42524" s="7"/>
      <c r="M42524" s="9" t="s">
        <v>24</v>
      </c>
    </row>
    <row r="42525" ht="15.75" customHeight="1">
      <c r="A42525" s="7"/>
      <c r="B42525" s="7"/>
      <c r="M42525" s="9" t="s">
        <v>21</v>
      </c>
    </row>
    <row r="42526" ht="15.75" customHeight="1">
      <c r="A42526" s="7"/>
      <c r="B42526" s="7"/>
      <c r="M42526" s="9" t="s">
        <v>27</v>
      </c>
    </row>
    <row r="42527" ht="15.75" customHeight="1">
      <c r="A42527" s="7"/>
      <c r="B42527" s="7"/>
      <c r="M42527" s="9" t="s">
        <v>26</v>
      </c>
    </row>
    <row r="42528" ht="15.75" customHeight="1">
      <c r="A42528" s="7"/>
      <c r="B42528" s="7"/>
      <c r="M42528" s="9" t="s">
        <v>24</v>
      </c>
    </row>
    <row r="42529" ht="15.75" customHeight="1">
      <c r="A42529" s="7"/>
      <c r="B42529" s="7"/>
      <c r="M42529" s="9" t="s">
        <v>20</v>
      </c>
    </row>
    <row r="42530" ht="15.75" customHeight="1">
      <c r="A42530" s="7"/>
      <c r="B42530" s="7"/>
      <c r="M42530" s="9" t="s">
        <v>21</v>
      </c>
    </row>
    <row r="42531" ht="15.75" customHeight="1">
      <c r="A42531" s="7"/>
      <c r="B42531" s="7"/>
      <c r="M42531" s="9" t="s">
        <v>33</v>
      </c>
    </row>
    <row r="42532" ht="15.75" customHeight="1">
      <c r="A42532" s="7"/>
      <c r="B42532" s="7"/>
      <c r="M42532" s="9" t="s">
        <v>24</v>
      </c>
    </row>
    <row r="42533" ht="15.75" customHeight="1">
      <c r="A42533" s="7"/>
      <c r="B42533" s="7"/>
      <c r="M42533" s="9" t="s">
        <v>20</v>
      </c>
    </row>
    <row r="42534" ht="15.75" customHeight="1">
      <c r="A42534" s="7"/>
      <c r="B42534" s="7"/>
      <c r="M42534" s="9" t="s">
        <v>21</v>
      </c>
    </row>
    <row r="42535" ht="15.75" customHeight="1">
      <c r="A42535" s="7"/>
      <c r="B42535" s="7"/>
      <c r="M42535" s="9" t="s">
        <v>27</v>
      </c>
    </row>
    <row r="42536" ht="15.75" customHeight="1">
      <c r="A42536" s="7"/>
      <c r="B42536" s="7"/>
      <c r="M42536" s="9" t="s">
        <v>30</v>
      </c>
    </row>
    <row r="42537" ht="15.75" customHeight="1">
      <c r="A42537" s="7"/>
      <c r="B42537" s="7"/>
      <c r="M42537" s="9" t="s">
        <v>47</v>
      </c>
    </row>
    <row r="42538" ht="15.75" customHeight="1">
      <c r="A42538" s="7"/>
      <c r="B42538" s="7"/>
      <c r="M42538" s="9" t="s">
        <v>36</v>
      </c>
    </row>
    <row r="42539" ht="15.75" customHeight="1">
      <c r="A42539" s="7"/>
      <c r="B42539" s="7"/>
      <c r="M42539" s="9" t="s">
        <v>24</v>
      </c>
    </row>
    <row r="42540" ht="15.75" customHeight="1">
      <c r="A42540" s="7"/>
      <c r="B42540" s="7"/>
      <c r="M42540" s="9" t="s">
        <v>21</v>
      </c>
    </row>
    <row r="42541" ht="15.75" customHeight="1">
      <c r="A42541" s="7"/>
      <c r="B42541" s="7"/>
      <c r="M42541" s="9" t="s">
        <v>27</v>
      </c>
    </row>
    <row r="42542" ht="15.75" customHeight="1">
      <c r="A42542" s="7"/>
      <c r="B42542" s="7"/>
      <c r="M42542" s="9" t="s">
        <v>33</v>
      </c>
    </row>
    <row r="42543" ht="15.75" customHeight="1">
      <c r="A42543" s="7"/>
      <c r="B42543" s="7"/>
      <c r="M42543" s="9" t="s">
        <v>26</v>
      </c>
    </row>
    <row r="42544" ht="15.75" customHeight="1">
      <c r="A42544" s="7"/>
      <c r="B42544" s="7"/>
      <c r="M42544" s="9" t="s">
        <v>42</v>
      </c>
    </row>
    <row r="42545" ht="15.75" customHeight="1">
      <c r="A42545" s="7"/>
      <c r="B42545" s="7"/>
      <c r="M42545" s="9" t="s">
        <v>24</v>
      </c>
    </row>
    <row r="42546" ht="15.75" customHeight="1">
      <c r="A42546" s="7"/>
      <c r="B42546" s="7"/>
      <c r="M42546" s="9" t="s">
        <v>21</v>
      </c>
    </row>
    <row r="42547" ht="15.75" customHeight="1">
      <c r="A42547" s="7"/>
      <c r="B42547" s="7"/>
      <c r="M42547" s="9" t="s">
        <v>29</v>
      </c>
    </row>
    <row r="42548" ht="15.75" customHeight="1">
      <c r="A42548" s="7"/>
      <c r="B42548" s="7"/>
      <c r="M42548" s="9" t="s">
        <v>31</v>
      </c>
    </row>
    <row r="42549" ht="15.75" customHeight="1">
      <c r="A42549" s="7"/>
      <c r="B42549" s="7"/>
      <c r="M42549" s="9" t="s">
        <v>30</v>
      </c>
    </row>
    <row r="42550" ht="15.75" customHeight="1">
      <c r="A42550" s="7"/>
      <c r="B42550" s="7"/>
      <c r="M42550" s="9" t="s">
        <v>21</v>
      </c>
    </row>
    <row r="42551" ht="15.75" customHeight="1">
      <c r="A42551" s="7"/>
      <c r="B42551" s="7"/>
      <c r="M42551" s="9" t="s">
        <v>31</v>
      </c>
    </row>
    <row r="42552" ht="15.75" customHeight="1">
      <c r="A42552" s="7"/>
      <c r="B42552" s="7"/>
      <c r="M42552" s="9" t="s">
        <v>20</v>
      </c>
    </row>
    <row r="42553" ht="15.75" customHeight="1">
      <c r="A42553" s="7"/>
      <c r="B42553" s="7"/>
      <c r="M42553" s="9" t="s">
        <v>21</v>
      </c>
    </row>
    <row r="42554" ht="15.75" customHeight="1">
      <c r="A42554" s="7"/>
      <c r="B42554" s="7"/>
      <c r="M42554" s="9" t="s">
        <v>27</v>
      </c>
    </row>
    <row r="42555" ht="15.75" customHeight="1">
      <c r="A42555" s="7"/>
      <c r="B42555" s="7"/>
      <c r="M42555" s="9" t="s">
        <v>26</v>
      </c>
    </row>
    <row r="42556" ht="15.75" customHeight="1">
      <c r="A42556" s="7"/>
      <c r="B42556" s="7"/>
      <c r="M42556" s="9" t="s">
        <v>36</v>
      </c>
    </row>
    <row r="42557" ht="15.75" customHeight="1">
      <c r="A42557" s="7"/>
      <c r="B42557" s="7"/>
      <c r="M42557" s="9" t="s">
        <v>24</v>
      </c>
    </row>
    <row r="42558" ht="15.75" customHeight="1">
      <c r="A42558" s="7"/>
      <c r="B42558" s="7"/>
      <c r="M42558" s="9" t="s">
        <v>21</v>
      </c>
    </row>
    <row r="42559" ht="15.75" customHeight="1">
      <c r="A42559" s="7"/>
      <c r="B42559" s="7"/>
      <c r="M42559" s="9" t="s">
        <v>37</v>
      </c>
    </row>
    <row r="42560" ht="15.75" customHeight="1">
      <c r="A42560" s="7"/>
      <c r="B42560" s="7"/>
      <c r="M42560" s="9" t="s">
        <v>22</v>
      </c>
    </row>
    <row r="42561" ht="15.75" customHeight="1">
      <c r="A42561" s="7"/>
      <c r="B42561" s="7"/>
      <c r="M42561" s="9" t="s">
        <v>29</v>
      </c>
    </row>
    <row r="42562" ht="15.75" customHeight="1">
      <c r="A42562" s="7"/>
      <c r="B42562" s="7"/>
      <c r="M42562" s="9" t="s">
        <v>27</v>
      </c>
    </row>
    <row r="42563" ht="15.75" customHeight="1">
      <c r="A42563" s="7"/>
      <c r="B42563" s="7"/>
      <c r="M42563" s="9" t="s">
        <v>30</v>
      </c>
    </row>
    <row r="42564" ht="15.75" customHeight="1">
      <c r="A42564" s="7"/>
      <c r="B42564" s="7"/>
      <c r="M42564" s="9" t="s">
        <v>24</v>
      </c>
    </row>
    <row r="42565" ht="15.75" customHeight="1">
      <c r="A42565" s="7"/>
      <c r="B42565" s="7"/>
      <c r="M42565" s="9" t="s">
        <v>20</v>
      </c>
    </row>
    <row r="42566" ht="15.75" customHeight="1">
      <c r="A42566" s="7"/>
      <c r="B42566" s="7"/>
      <c r="M42566" s="9" t="s">
        <v>21</v>
      </c>
    </row>
    <row r="42567" ht="15.75" customHeight="1">
      <c r="A42567" s="7"/>
      <c r="B42567" s="7"/>
      <c r="M42567" s="9" t="s">
        <v>37</v>
      </c>
    </row>
    <row r="42568" ht="15.75" customHeight="1">
      <c r="A42568" s="7"/>
      <c r="B42568" s="7"/>
      <c r="M42568" s="9" t="s">
        <v>46</v>
      </c>
    </row>
    <row r="42569" ht="15.75" customHeight="1">
      <c r="A42569" s="7"/>
      <c r="B42569" s="7"/>
      <c r="M42569" s="9" t="s">
        <v>27</v>
      </c>
    </row>
    <row r="42570" ht="15.75" customHeight="1">
      <c r="A42570" s="7"/>
      <c r="B42570" s="7"/>
      <c r="M42570" s="9" t="s">
        <v>24</v>
      </c>
    </row>
    <row r="42571" ht="15.75" customHeight="1">
      <c r="A42571" s="7"/>
      <c r="B42571" s="7"/>
      <c r="M42571" s="9" t="s">
        <v>21</v>
      </c>
    </row>
    <row r="42572" ht="15.75" customHeight="1">
      <c r="A42572" s="7"/>
      <c r="B42572" s="7"/>
      <c r="M42572" s="9" t="s">
        <v>35</v>
      </c>
    </row>
    <row r="42573" ht="15.75" customHeight="1">
      <c r="A42573" s="7"/>
      <c r="B42573" s="7"/>
      <c r="M42573" s="9" t="s">
        <v>37</v>
      </c>
    </row>
    <row r="42574" ht="15.75" customHeight="1">
      <c r="A42574" s="7"/>
      <c r="B42574" s="7"/>
      <c r="M42574" s="9" t="s">
        <v>31</v>
      </c>
    </row>
    <row r="42575" ht="15.75" customHeight="1">
      <c r="A42575" s="7"/>
      <c r="B42575" s="7"/>
      <c r="M42575" s="9" t="s">
        <v>27</v>
      </c>
    </row>
    <row r="42576" ht="15.75" customHeight="1">
      <c r="A42576" s="7"/>
      <c r="B42576" s="7"/>
      <c r="M42576" s="9" t="s">
        <v>21</v>
      </c>
    </row>
    <row r="42577" ht="15.75" customHeight="1">
      <c r="A42577" s="7"/>
      <c r="B42577" s="7"/>
      <c r="M42577" s="9" t="s">
        <v>27</v>
      </c>
    </row>
    <row r="42578" ht="15.75" customHeight="1">
      <c r="A42578" s="7"/>
      <c r="B42578" s="7"/>
      <c r="M42578" s="9" t="s">
        <v>33</v>
      </c>
    </row>
    <row r="42579" ht="15.75" customHeight="1">
      <c r="A42579" s="7"/>
      <c r="B42579" s="7"/>
      <c r="M42579" s="9" t="s">
        <v>38</v>
      </c>
    </row>
    <row r="42580" ht="15.75" customHeight="1">
      <c r="A42580" s="7"/>
      <c r="B42580" s="7"/>
      <c r="M42580" s="9" t="s">
        <v>30</v>
      </c>
    </row>
    <row r="42581" ht="15.75" customHeight="1">
      <c r="A42581" s="7"/>
      <c r="B42581" s="7"/>
      <c r="M42581" s="9" t="s">
        <v>25</v>
      </c>
    </row>
    <row r="42582" ht="15.75" customHeight="1">
      <c r="A42582" s="7"/>
      <c r="B42582" s="7"/>
      <c r="M42582" s="9" t="s">
        <v>23</v>
      </c>
    </row>
    <row r="42583" ht="15.75" customHeight="1">
      <c r="A42583" s="7"/>
      <c r="B42583" s="7"/>
      <c r="M42583" s="9" t="s">
        <v>26</v>
      </c>
    </row>
    <row r="42584" ht="15.75" customHeight="1">
      <c r="A42584" s="7"/>
      <c r="B42584" s="7"/>
      <c r="M42584" s="9" t="s">
        <v>20</v>
      </c>
    </row>
    <row r="42585" ht="15.75" customHeight="1">
      <c r="A42585" s="7"/>
      <c r="B42585" s="7"/>
      <c r="M42585" s="9" t="s">
        <v>21</v>
      </c>
    </row>
    <row r="42586" ht="15.75" customHeight="1">
      <c r="A42586" s="7"/>
      <c r="B42586" s="7"/>
      <c r="M42586" s="9" t="s">
        <v>37</v>
      </c>
    </row>
    <row r="42587" ht="15.75" customHeight="1">
      <c r="A42587" s="7"/>
      <c r="B42587" s="7"/>
      <c r="M42587" s="9" t="s">
        <v>27</v>
      </c>
    </row>
    <row r="42588" ht="15.75" customHeight="1">
      <c r="A42588" s="7"/>
      <c r="B42588" s="7"/>
      <c r="M42588" s="9" t="s">
        <v>24</v>
      </c>
    </row>
    <row r="42589" ht="15.75" customHeight="1">
      <c r="A42589" s="7"/>
      <c r="B42589" s="7"/>
      <c r="M42589" s="9" t="s">
        <v>21</v>
      </c>
    </row>
    <row r="42590" ht="15.75" customHeight="1">
      <c r="A42590" s="7"/>
      <c r="B42590" s="7"/>
      <c r="M42590" s="9" t="s">
        <v>37</v>
      </c>
    </row>
    <row r="42591" ht="15.75" customHeight="1">
      <c r="A42591" s="7"/>
      <c r="B42591" s="7"/>
      <c r="M42591" s="9" t="s">
        <v>27</v>
      </c>
    </row>
    <row r="42592" ht="15.75" customHeight="1">
      <c r="A42592" s="7"/>
      <c r="B42592" s="7"/>
      <c r="M42592" s="9" t="s">
        <v>28</v>
      </c>
    </row>
    <row r="42593" ht="15.75" customHeight="1">
      <c r="A42593" s="7"/>
      <c r="B42593" s="7"/>
      <c r="M42593" s="9" t="s">
        <v>26</v>
      </c>
    </row>
    <row r="42594" ht="15.75" customHeight="1">
      <c r="A42594" s="7"/>
      <c r="B42594" s="7"/>
      <c r="M42594" s="9" t="s">
        <v>20</v>
      </c>
    </row>
    <row r="42595" ht="15.75" customHeight="1">
      <c r="A42595" s="7"/>
      <c r="B42595" s="7"/>
      <c r="M42595" s="9" t="s">
        <v>24</v>
      </c>
    </row>
    <row r="42596" ht="15.75" customHeight="1">
      <c r="A42596" s="7"/>
      <c r="B42596" s="7"/>
      <c r="M42596" s="9" t="s">
        <v>21</v>
      </c>
    </row>
    <row r="42597" ht="15.75" customHeight="1">
      <c r="A42597" s="7"/>
      <c r="B42597" s="7"/>
      <c r="M42597" s="9" t="s">
        <v>24</v>
      </c>
    </row>
    <row r="42598" ht="15.75" customHeight="1">
      <c r="A42598" s="7"/>
      <c r="B42598" s="7"/>
      <c r="M42598" s="9" t="s">
        <v>21</v>
      </c>
    </row>
    <row r="42599" ht="15.75" customHeight="1">
      <c r="A42599" s="7"/>
      <c r="B42599" s="7"/>
      <c r="M42599" s="9" t="s">
        <v>22</v>
      </c>
    </row>
    <row r="42600" ht="15.75" customHeight="1">
      <c r="A42600" s="7"/>
      <c r="B42600" s="7"/>
      <c r="M42600" s="9" t="s">
        <v>33</v>
      </c>
    </row>
    <row r="42601" ht="15.75" customHeight="1">
      <c r="A42601" s="7"/>
      <c r="B42601" s="7"/>
      <c r="M42601" s="9" t="s">
        <v>29</v>
      </c>
    </row>
    <row r="42602" ht="15.75" customHeight="1">
      <c r="A42602" s="7"/>
      <c r="B42602" s="7"/>
      <c r="M42602" s="9" t="s">
        <v>30</v>
      </c>
    </row>
    <row r="42603" ht="15.75" customHeight="1">
      <c r="A42603" s="7"/>
      <c r="B42603" s="7"/>
      <c r="M42603" s="9" t="s">
        <v>26</v>
      </c>
    </row>
    <row r="42604" ht="15.75" customHeight="1">
      <c r="A42604" s="7"/>
      <c r="B42604" s="7"/>
      <c r="M42604" s="9" t="s">
        <v>45</v>
      </c>
    </row>
    <row r="42605" ht="15.75" customHeight="1">
      <c r="A42605" s="7"/>
      <c r="B42605" s="7"/>
      <c r="M42605" s="9" t="s">
        <v>24</v>
      </c>
    </row>
    <row r="42606" ht="15.75" customHeight="1">
      <c r="A42606" s="7"/>
      <c r="B42606" s="7"/>
      <c r="M42606" s="9" t="s">
        <v>20</v>
      </c>
    </row>
    <row r="42607" ht="15.75" customHeight="1">
      <c r="A42607" s="7"/>
      <c r="B42607" s="7"/>
      <c r="M42607" s="9" t="s">
        <v>21</v>
      </c>
    </row>
    <row r="42608" ht="15.75" customHeight="1">
      <c r="A42608" s="7"/>
      <c r="B42608" s="7"/>
      <c r="M42608" s="9" t="s">
        <v>41</v>
      </c>
    </row>
    <row r="42609" ht="15.75" customHeight="1">
      <c r="A42609" s="7"/>
      <c r="B42609" s="7"/>
      <c r="M42609" s="9" t="s">
        <v>29</v>
      </c>
    </row>
    <row r="42610" ht="15.75" customHeight="1">
      <c r="A42610" s="7"/>
      <c r="B42610" s="7"/>
      <c r="M42610" s="9" t="s">
        <v>27</v>
      </c>
    </row>
    <row r="42611" ht="15.75" customHeight="1">
      <c r="A42611" s="7"/>
      <c r="B42611" s="7"/>
      <c r="M42611" s="9" t="s">
        <v>34</v>
      </c>
    </row>
    <row r="42612" ht="15.75" customHeight="1">
      <c r="A42612" s="7"/>
      <c r="B42612" s="7"/>
      <c r="M42612" s="9" t="s">
        <v>30</v>
      </c>
    </row>
    <row r="42613" ht="15.75" customHeight="1">
      <c r="A42613" s="7"/>
      <c r="B42613" s="7"/>
      <c r="M42613" s="9" t="s">
        <v>36</v>
      </c>
    </row>
    <row r="42614" ht="15.75" customHeight="1">
      <c r="A42614" s="7"/>
      <c r="B42614" s="7"/>
      <c r="M42614" s="9" t="s">
        <v>20</v>
      </c>
    </row>
    <row r="42615" ht="15.75" customHeight="1">
      <c r="A42615" s="7"/>
      <c r="B42615" s="7"/>
      <c r="M42615" s="9" t="s">
        <v>21</v>
      </c>
    </row>
    <row r="42616" ht="15.75" customHeight="1">
      <c r="A42616" s="7"/>
      <c r="B42616" s="7"/>
      <c r="M42616" s="9" t="s">
        <v>32</v>
      </c>
    </row>
    <row r="42617" ht="15.75" customHeight="1">
      <c r="A42617" s="7"/>
      <c r="B42617" s="7"/>
      <c r="M42617" s="9" t="s">
        <v>27</v>
      </c>
    </row>
    <row r="42618" ht="15.75" customHeight="1">
      <c r="A42618" s="7"/>
      <c r="B42618" s="7"/>
      <c r="M42618" s="9" t="s">
        <v>24</v>
      </c>
    </row>
    <row r="42619" ht="15.75" customHeight="1">
      <c r="A42619" s="7"/>
      <c r="B42619" s="7"/>
      <c r="M42619" s="9" t="s">
        <v>21</v>
      </c>
    </row>
    <row r="42620" ht="15.75" customHeight="1">
      <c r="A42620" s="7"/>
      <c r="B42620" s="7"/>
      <c r="M42620" s="9" t="s">
        <v>31</v>
      </c>
    </row>
    <row r="42621" ht="15.75" customHeight="1">
      <c r="A42621" s="7"/>
      <c r="B42621" s="7"/>
      <c r="M42621" s="9" t="s">
        <v>33</v>
      </c>
    </row>
    <row r="42622" ht="15.75" customHeight="1">
      <c r="A42622" s="7"/>
      <c r="B42622" s="7"/>
      <c r="M42622" s="9" t="s">
        <v>30</v>
      </c>
    </row>
    <row r="42623" ht="15.75" customHeight="1">
      <c r="A42623" s="7"/>
      <c r="B42623" s="7"/>
      <c r="M42623" s="9" t="s">
        <v>26</v>
      </c>
    </row>
    <row r="42624" ht="15.75" customHeight="1">
      <c r="A42624" s="7"/>
      <c r="B42624" s="7"/>
      <c r="M42624" s="9" t="s">
        <v>24</v>
      </c>
    </row>
    <row r="42625" ht="15.75" customHeight="1">
      <c r="A42625" s="7"/>
      <c r="B42625" s="7"/>
      <c r="M42625" s="9" t="s">
        <v>21</v>
      </c>
    </row>
    <row r="42626" ht="15.75" customHeight="1">
      <c r="A42626" s="7"/>
      <c r="B42626" s="7"/>
      <c r="M42626" s="9" t="s">
        <v>33</v>
      </c>
    </row>
    <row r="42627" ht="15.75" customHeight="1">
      <c r="A42627" s="7"/>
      <c r="B42627" s="7"/>
      <c r="M42627" s="9" t="s">
        <v>26</v>
      </c>
    </row>
    <row r="42628" ht="15.75" customHeight="1">
      <c r="A42628" s="7"/>
      <c r="B42628" s="7"/>
      <c r="M42628" s="9" t="s">
        <v>22</v>
      </c>
    </row>
    <row r="42629" ht="15.75" customHeight="1">
      <c r="A42629" s="7"/>
      <c r="B42629" s="7"/>
      <c r="M42629" s="9" t="s">
        <v>26</v>
      </c>
    </row>
    <row r="42630" ht="15.75" customHeight="1">
      <c r="A42630" s="7"/>
      <c r="B42630" s="7"/>
      <c r="M42630" s="9" t="s">
        <v>20</v>
      </c>
    </row>
    <row r="42631" ht="15.75" customHeight="1">
      <c r="A42631" s="7"/>
      <c r="B42631" s="7"/>
      <c r="M42631" s="9" t="s">
        <v>30</v>
      </c>
    </row>
    <row r="42632" ht="15.75" customHeight="1">
      <c r="A42632" s="7"/>
      <c r="B42632" s="7"/>
      <c r="M42632" s="9" t="s">
        <v>22</v>
      </c>
    </row>
    <row r="42633" ht="15.75" customHeight="1">
      <c r="A42633" s="7"/>
      <c r="B42633" s="7"/>
      <c r="M42633" s="9" t="s">
        <v>36</v>
      </c>
    </row>
    <row r="42634" ht="15.75" customHeight="1">
      <c r="A42634" s="7"/>
      <c r="B42634" s="7"/>
      <c r="M42634" s="9" t="s">
        <v>24</v>
      </c>
    </row>
    <row r="42635" ht="15.75" customHeight="1">
      <c r="A42635" s="7"/>
      <c r="B42635" s="7"/>
      <c r="M42635" s="9" t="s">
        <v>21</v>
      </c>
    </row>
    <row r="42636" ht="15.75" customHeight="1">
      <c r="A42636" s="7"/>
      <c r="B42636" s="7"/>
      <c r="M42636" s="9" t="s">
        <v>41</v>
      </c>
    </row>
    <row r="42637" ht="15.75" customHeight="1">
      <c r="A42637" s="7"/>
      <c r="B42637" s="7"/>
      <c r="M42637" s="9" t="s">
        <v>22</v>
      </c>
    </row>
    <row r="42638" ht="15.75" customHeight="1">
      <c r="A42638" s="7"/>
      <c r="B42638" s="7"/>
      <c r="M42638" s="9" t="s">
        <v>31</v>
      </c>
    </row>
    <row r="42639" ht="15.75" customHeight="1">
      <c r="A42639" s="7"/>
      <c r="B42639" s="7"/>
      <c r="M42639" s="9" t="s">
        <v>27</v>
      </c>
    </row>
    <row r="42640" ht="15.75" customHeight="1">
      <c r="A42640" s="7"/>
      <c r="B42640" s="7"/>
      <c r="M42640" s="9" t="s">
        <v>30</v>
      </c>
    </row>
    <row r="42641" ht="15.75" customHeight="1">
      <c r="A42641" s="7"/>
      <c r="B42641" s="7"/>
      <c r="M42641" s="9" t="s">
        <v>20</v>
      </c>
    </row>
    <row r="42642" ht="15.75" customHeight="1">
      <c r="A42642" s="7"/>
      <c r="B42642" s="7"/>
      <c r="M42642" s="9" t="s">
        <v>22</v>
      </c>
    </row>
    <row r="42643" ht="15.75" customHeight="1">
      <c r="A42643" s="7"/>
      <c r="B42643" s="7"/>
      <c r="M42643" s="9" t="s">
        <v>31</v>
      </c>
    </row>
    <row r="42644" ht="15.75" customHeight="1">
      <c r="A42644" s="7"/>
      <c r="B42644" s="7"/>
      <c r="M42644" s="9" t="s">
        <v>23</v>
      </c>
    </row>
    <row r="42645" ht="15.75" customHeight="1">
      <c r="A42645" s="7"/>
      <c r="B42645" s="7"/>
      <c r="M42645" s="9" t="s">
        <v>26</v>
      </c>
    </row>
    <row r="42646" ht="15.75" customHeight="1">
      <c r="A42646" s="7"/>
      <c r="B42646" s="7"/>
      <c r="M42646" s="9" t="s">
        <v>20</v>
      </c>
    </row>
    <row r="42647" ht="15.75" customHeight="1">
      <c r="A42647" s="7"/>
      <c r="B42647" s="7"/>
      <c r="M42647" s="9" t="s">
        <v>27</v>
      </c>
    </row>
    <row r="42648" ht="15.75" customHeight="1">
      <c r="A42648" s="7"/>
      <c r="B42648" s="7"/>
      <c r="M42648" s="9" t="s">
        <v>30</v>
      </c>
    </row>
    <row r="42649" ht="15.75" customHeight="1">
      <c r="A42649" s="7"/>
      <c r="B42649" s="7"/>
      <c r="M42649" s="9" t="s">
        <v>25</v>
      </c>
    </row>
    <row r="42650" ht="15.75" customHeight="1">
      <c r="A42650" s="7"/>
      <c r="B42650" s="7"/>
      <c r="M42650" s="9" t="s">
        <v>22</v>
      </c>
    </row>
    <row r="42651" ht="15.75" customHeight="1">
      <c r="A42651" s="7"/>
      <c r="B42651" s="7"/>
      <c r="M42651" s="9" t="s">
        <v>35</v>
      </c>
    </row>
    <row r="42652" ht="15.75" customHeight="1">
      <c r="A42652" s="7"/>
      <c r="B42652" s="7"/>
      <c r="M42652" s="9" t="s">
        <v>30</v>
      </c>
    </row>
    <row r="42653" ht="15.75" customHeight="1">
      <c r="A42653" s="7"/>
      <c r="B42653" s="7"/>
      <c r="M42653" s="9" t="s">
        <v>26</v>
      </c>
    </row>
    <row r="42654" ht="15.75" customHeight="1">
      <c r="A42654" s="7"/>
      <c r="B42654" s="7"/>
      <c r="M42654" s="9" t="s">
        <v>24</v>
      </c>
    </row>
    <row r="42655" ht="15.75" customHeight="1">
      <c r="A42655" s="7"/>
      <c r="B42655" s="7"/>
      <c r="M42655" s="9" t="s">
        <v>21</v>
      </c>
    </row>
    <row r="42656" ht="15.75" customHeight="1">
      <c r="A42656" s="7"/>
      <c r="B42656" s="7"/>
      <c r="M42656" s="9" t="s">
        <v>41</v>
      </c>
    </row>
    <row r="42657" ht="15.75" customHeight="1">
      <c r="A42657" s="7"/>
      <c r="B42657" s="7"/>
      <c r="M42657" s="9" t="s">
        <v>27</v>
      </c>
    </row>
    <row r="42658" ht="15.75" customHeight="1">
      <c r="A42658" s="7"/>
      <c r="B42658" s="7"/>
      <c r="M42658" s="9" t="s">
        <v>30</v>
      </c>
    </row>
    <row r="42659" ht="15.75" customHeight="1">
      <c r="A42659" s="7"/>
      <c r="B42659" s="7"/>
      <c r="M42659" s="9" t="s">
        <v>44</v>
      </c>
    </row>
    <row r="42660" ht="15.75" customHeight="1">
      <c r="A42660" s="7"/>
      <c r="B42660" s="7"/>
      <c r="M42660" s="9" t="s">
        <v>20</v>
      </c>
    </row>
    <row r="42661" ht="15.75" customHeight="1">
      <c r="A42661" s="7"/>
      <c r="B42661" s="7"/>
      <c r="M42661" s="9" t="s">
        <v>39</v>
      </c>
    </row>
    <row r="42662" ht="15.75" customHeight="1">
      <c r="A42662" s="7"/>
      <c r="B42662" s="7"/>
      <c r="M42662" s="9" t="s">
        <v>22</v>
      </c>
    </row>
    <row r="42663" ht="15.75" customHeight="1">
      <c r="A42663" s="7"/>
      <c r="B42663" s="7"/>
      <c r="M42663" s="9" t="s">
        <v>31</v>
      </c>
    </row>
    <row r="42664" ht="15.75" customHeight="1">
      <c r="A42664" s="7"/>
      <c r="B42664" s="7"/>
      <c r="M42664" s="9" t="s">
        <v>46</v>
      </c>
    </row>
    <row r="42665" ht="15.75" customHeight="1">
      <c r="A42665" s="7"/>
      <c r="B42665" s="7"/>
      <c r="M42665" s="9" t="s">
        <v>30</v>
      </c>
    </row>
    <row r="42666" ht="15.75" customHeight="1">
      <c r="A42666" s="7"/>
      <c r="B42666" s="7"/>
      <c r="M42666" s="9" t="s">
        <v>26</v>
      </c>
    </row>
    <row r="42667" ht="15.75" customHeight="1">
      <c r="A42667" s="7"/>
      <c r="B42667" s="7"/>
      <c r="M42667" s="9" t="s">
        <v>24</v>
      </c>
    </row>
    <row r="42668" ht="15.75" customHeight="1">
      <c r="A42668" s="7"/>
      <c r="B42668" s="7"/>
      <c r="M42668" s="9" t="s">
        <v>20</v>
      </c>
    </row>
    <row r="42669" ht="15.75" customHeight="1">
      <c r="A42669" s="7"/>
      <c r="B42669" s="7"/>
      <c r="M42669" s="9" t="s">
        <v>21</v>
      </c>
    </row>
    <row r="42670" ht="15.75" customHeight="1">
      <c r="A42670" s="7"/>
      <c r="B42670" s="7"/>
      <c r="M42670" s="9" t="s">
        <v>39</v>
      </c>
    </row>
    <row r="42671" ht="15.75" customHeight="1">
      <c r="A42671" s="7"/>
      <c r="B42671" s="7"/>
      <c r="M42671" s="9" t="s">
        <v>37</v>
      </c>
    </row>
    <row r="42672" ht="15.75" customHeight="1">
      <c r="A42672" s="7"/>
      <c r="B42672" s="7"/>
      <c r="M42672" s="9" t="s">
        <v>22</v>
      </c>
    </row>
    <row r="42673" ht="15.75" customHeight="1">
      <c r="A42673" s="7"/>
      <c r="B42673" s="7"/>
      <c r="M42673" s="9" t="s">
        <v>27</v>
      </c>
    </row>
    <row r="42674" ht="15.75" customHeight="1">
      <c r="A42674" s="7"/>
      <c r="B42674" s="7"/>
      <c r="M42674" s="9" t="s">
        <v>33</v>
      </c>
    </row>
    <row r="42675" ht="15.75" customHeight="1">
      <c r="A42675" s="7"/>
      <c r="B42675" s="7"/>
      <c r="M42675" s="9" t="s">
        <v>24</v>
      </c>
    </row>
    <row r="42676" ht="15.75" customHeight="1">
      <c r="A42676" s="7"/>
      <c r="B42676" s="7"/>
      <c r="M42676" s="9" t="s">
        <v>21</v>
      </c>
    </row>
    <row r="42677" ht="15.75" customHeight="1">
      <c r="A42677" s="7"/>
      <c r="B42677" s="7"/>
      <c r="M42677" s="9" t="s">
        <v>23</v>
      </c>
    </row>
    <row r="42678" ht="15.75" customHeight="1">
      <c r="A42678" s="7"/>
      <c r="B42678" s="7"/>
      <c r="M42678" s="9" t="s">
        <v>24</v>
      </c>
    </row>
    <row r="42679" ht="15.75" customHeight="1">
      <c r="A42679" s="7"/>
      <c r="B42679" s="7"/>
      <c r="M42679" s="9" t="s">
        <v>20</v>
      </c>
    </row>
    <row r="42680" ht="15.75" customHeight="1">
      <c r="A42680" s="7"/>
      <c r="B42680" s="7"/>
      <c r="M42680" s="9" t="s">
        <v>21</v>
      </c>
    </row>
    <row r="42681" ht="15.75" customHeight="1">
      <c r="A42681" s="7"/>
      <c r="B42681" s="7"/>
      <c r="M42681" s="9" t="s">
        <v>41</v>
      </c>
    </row>
    <row r="42682" ht="15.75" customHeight="1">
      <c r="A42682" s="7"/>
      <c r="B42682" s="7"/>
      <c r="M42682" s="9" t="s">
        <v>37</v>
      </c>
    </row>
    <row r="42683" ht="15.75" customHeight="1">
      <c r="A42683" s="7"/>
      <c r="B42683" s="7"/>
      <c r="M42683" s="9" t="s">
        <v>27</v>
      </c>
    </row>
    <row r="42684" ht="15.75" customHeight="1">
      <c r="A42684" s="7"/>
      <c r="B42684" s="7"/>
      <c r="M42684" s="9" t="s">
        <v>30</v>
      </c>
    </row>
    <row r="42685" ht="15.75" customHeight="1">
      <c r="A42685" s="7"/>
      <c r="B42685" s="7"/>
      <c r="M42685" s="9" t="s">
        <v>24</v>
      </c>
    </row>
    <row r="42686" ht="15.75" customHeight="1">
      <c r="A42686" s="7"/>
      <c r="B42686" s="7"/>
      <c r="M42686" s="9" t="s">
        <v>21</v>
      </c>
    </row>
    <row r="42687" ht="15.75" customHeight="1">
      <c r="A42687" s="7"/>
      <c r="B42687" s="7"/>
      <c r="M42687" s="9" t="s">
        <v>37</v>
      </c>
    </row>
    <row r="42688" ht="15.75" customHeight="1">
      <c r="A42688" s="7"/>
      <c r="B42688" s="7"/>
      <c r="M42688" s="9" t="s">
        <v>31</v>
      </c>
    </row>
    <row r="42689" ht="15.75" customHeight="1">
      <c r="A42689" s="7"/>
      <c r="B42689" s="7"/>
      <c r="M42689" s="9" t="s">
        <v>21</v>
      </c>
    </row>
    <row r="42690" ht="15.75" customHeight="1">
      <c r="A42690" s="7"/>
      <c r="B42690" s="7"/>
      <c r="M42690" s="9" t="s">
        <v>22</v>
      </c>
    </row>
    <row r="42691" ht="15.75" customHeight="1">
      <c r="A42691" s="7"/>
      <c r="B42691" s="7"/>
      <c r="M42691" s="9" t="s">
        <v>30</v>
      </c>
    </row>
    <row r="42692" ht="15.75" customHeight="1">
      <c r="A42692" s="7"/>
      <c r="B42692" s="7"/>
      <c r="M42692" s="9" t="s">
        <v>26</v>
      </c>
    </row>
    <row r="42693" ht="15.75" customHeight="1">
      <c r="A42693" s="7"/>
      <c r="B42693" s="7"/>
      <c r="M42693" s="9" t="s">
        <v>24</v>
      </c>
    </row>
    <row r="42694" ht="15.75" customHeight="1">
      <c r="A42694" s="7"/>
      <c r="B42694" s="7"/>
      <c r="M42694" s="9" t="s">
        <v>21</v>
      </c>
    </row>
    <row r="42695" ht="15.75" customHeight="1">
      <c r="A42695" s="7"/>
      <c r="B42695" s="7"/>
      <c r="M42695" s="9" t="s">
        <v>22</v>
      </c>
    </row>
    <row r="42696" ht="15.75" customHeight="1">
      <c r="A42696" s="7"/>
      <c r="B42696" s="7"/>
      <c r="M42696" s="9" t="s">
        <v>33</v>
      </c>
    </row>
    <row r="42697" ht="15.75" customHeight="1">
      <c r="A42697" s="7"/>
      <c r="B42697" s="7"/>
      <c r="M42697" s="9" t="s">
        <v>24</v>
      </c>
    </row>
    <row r="42698" ht="15.75" customHeight="1">
      <c r="A42698" s="7"/>
      <c r="B42698" s="7"/>
      <c r="M42698" s="9" t="s">
        <v>20</v>
      </c>
    </row>
    <row r="42699" ht="15.75" customHeight="1">
      <c r="A42699" s="7"/>
      <c r="B42699" s="7"/>
      <c r="M42699" s="9" t="s">
        <v>21</v>
      </c>
    </row>
    <row r="42700" ht="15.75" customHeight="1">
      <c r="A42700" s="7"/>
      <c r="B42700" s="7"/>
      <c r="M42700" s="9" t="s">
        <v>27</v>
      </c>
    </row>
    <row r="42701" ht="15.75" customHeight="1">
      <c r="A42701" s="7"/>
      <c r="B42701" s="7"/>
      <c r="M42701" s="9" t="s">
        <v>33</v>
      </c>
    </row>
    <row r="42702" ht="15.75" customHeight="1">
      <c r="A42702" s="7"/>
      <c r="B42702" s="7"/>
      <c r="M42702" s="9" t="s">
        <v>26</v>
      </c>
    </row>
    <row r="42703" ht="15.75" customHeight="1">
      <c r="A42703" s="7"/>
      <c r="B42703" s="7"/>
      <c r="M42703" s="9" t="s">
        <v>24</v>
      </c>
    </row>
    <row r="42704" ht="15.75" customHeight="1">
      <c r="A42704" s="7"/>
      <c r="B42704" s="7"/>
      <c r="M42704" s="9" t="s">
        <v>21</v>
      </c>
    </row>
    <row r="42705" ht="15.75" customHeight="1">
      <c r="A42705" s="7"/>
      <c r="B42705" s="7"/>
      <c r="M42705" s="9" t="s">
        <v>27</v>
      </c>
    </row>
    <row r="42706" ht="15.75" customHeight="1">
      <c r="A42706" s="7"/>
      <c r="B42706" s="7"/>
      <c r="M42706" s="9" t="s">
        <v>33</v>
      </c>
    </row>
    <row r="42707" ht="15.75" customHeight="1">
      <c r="A42707" s="7"/>
      <c r="B42707" s="7"/>
      <c r="M42707" s="9" t="s">
        <v>36</v>
      </c>
    </row>
    <row r="42708" ht="15.75" customHeight="1">
      <c r="A42708" s="7"/>
      <c r="B42708" s="7"/>
      <c r="M42708" s="9" t="s">
        <v>24</v>
      </c>
    </row>
    <row r="42709" ht="15.75" customHeight="1">
      <c r="A42709" s="7"/>
      <c r="B42709" s="7"/>
      <c r="M42709" s="9" t="s">
        <v>21</v>
      </c>
    </row>
    <row r="42710" ht="15.75" customHeight="1">
      <c r="A42710" s="7"/>
      <c r="B42710" s="7"/>
      <c r="M42710" s="9" t="s">
        <v>22</v>
      </c>
    </row>
    <row r="42711" ht="15.75" customHeight="1">
      <c r="A42711" s="7"/>
      <c r="B42711" s="7"/>
      <c r="M42711" s="9" t="s">
        <v>32</v>
      </c>
    </row>
    <row r="42712" ht="15.75" customHeight="1">
      <c r="A42712" s="7"/>
      <c r="B42712" s="7"/>
      <c r="M42712" s="9" t="s">
        <v>27</v>
      </c>
    </row>
    <row r="42713" ht="15.75" customHeight="1">
      <c r="A42713" s="7"/>
      <c r="B42713" s="7"/>
      <c r="M42713" s="9" t="s">
        <v>33</v>
      </c>
    </row>
    <row r="42714" ht="15.75" customHeight="1">
      <c r="A42714" s="7"/>
      <c r="B42714" s="7"/>
      <c r="M42714" s="9" t="s">
        <v>34</v>
      </c>
    </row>
    <row r="42715" ht="15.75" customHeight="1">
      <c r="A42715" s="7"/>
      <c r="B42715" s="7"/>
      <c r="M42715" s="9" t="s">
        <v>30</v>
      </c>
    </row>
    <row r="42716" ht="15.75" customHeight="1">
      <c r="A42716" s="7"/>
      <c r="B42716" s="7"/>
      <c r="M42716" s="9" t="s">
        <v>25</v>
      </c>
    </row>
    <row r="42717" ht="15.75" customHeight="1">
      <c r="A42717" s="7"/>
      <c r="B42717" s="7"/>
      <c r="M42717" s="9" t="s">
        <v>36</v>
      </c>
    </row>
    <row r="42718" ht="15.75" customHeight="1">
      <c r="A42718" s="7"/>
      <c r="B42718" s="7"/>
      <c r="M42718" s="9" t="s">
        <v>24</v>
      </c>
    </row>
    <row r="42719" ht="15.75" customHeight="1">
      <c r="A42719" s="7"/>
      <c r="B42719" s="7"/>
      <c r="M42719" s="9" t="s">
        <v>20</v>
      </c>
    </row>
    <row r="42720" ht="15.75" customHeight="1">
      <c r="A42720" s="7"/>
      <c r="B42720" s="7"/>
      <c r="M42720" s="9" t="s">
        <v>21</v>
      </c>
    </row>
    <row r="42721" ht="15.75" customHeight="1">
      <c r="A42721" s="7"/>
      <c r="B42721" s="7"/>
      <c r="M42721" s="9" t="s">
        <v>22</v>
      </c>
    </row>
    <row r="42722" ht="15.75" customHeight="1">
      <c r="A42722" s="7"/>
      <c r="B42722" s="7"/>
      <c r="M42722" s="9" t="s">
        <v>33</v>
      </c>
    </row>
    <row r="42723" ht="15.75" customHeight="1">
      <c r="A42723" s="7"/>
      <c r="B42723" s="7"/>
      <c r="M42723" s="9" t="s">
        <v>24</v>
      </c>
    </row>
    <row r="42724" ht="15.75" customHeight="1">
      <c r="A42724" s="7"/>
      <c r="B42724" s="7"/>
      <c r="M42724" s="9" t="s">
        <v>21</v>
      </c>
    </row>
    <row r="42725" ht="15.75" customHeight="1">
      <c r="A42725" s="7"/>
      <c r="B42725" s="7"/>
      <c r="M42725" s="9" t="s">
        <v>33</v>
      </c>
    </row>
    <row r="42726" ht="15.75" customHeight="1">
      <c r="A42726" s="7"/>
      <c r="B42726" s="7"/>
      <c r="M42726" s="9" t="s">
        <v>24</v>
      </c>
    </row>
    <row r="42727" ht="15.75" customHeight="1">
      <c r="A42727" s="7"/>
      <c r="B42727" s="7"/>
      <c r="M42727" s="9" t="s">
        <v>21</v>
      </c>
    </row>
    <row r="42728" ht="15.75" customHeight="1">
      <c r="A42728" s="7"/>
      <c r="B42728" s="7"/>
      <c r="M42728" s="9" t="s">
        <v>37</v>
      </c>
    </row>
    <row r="42729" ht="15.75" customHeight="1">
      <c r="A42729" s="7"/>
      <c r="B42729" s="7"/>
      <c r="M42729" s="9" t="s">
        <v>24</v>
      </c>
    </row>
    <row r="42730" ht="15.75" customHeight="1">
      <c r="A42730" s="7"/>
      <c r="B42730" s="7"/>
      <c r="M42730" s="9" t="s">
        <v>20</v>
      </c>
    </row>
    <row r="42731" ht="15.75" customHeight="1">
      <c r="A42731" s="7"/>
      <c r="B42731" s="7"/>
      <c r="M42731" s="9" t="s">
        <v>21</v>
      </c>
    </row>
    <row r="42732" ht="15.75" customHeight="1">
      <c r="A42732" s="7"/>
      <c r="B42732" s="7"/>
      <c r="M42732" s="9" t="s">
        <v>37</v>
      </c>
    </row>
    <row r="42733" ht="15.75" customHeight="1">
      <c r="A42733" s="7"/>
      <c r="B42733" s="7"/>
      <c r="M42733" s="9" t="s">
        <v>31</v>
      </c>
    </row>
    <row r="42734" ht="15.75" customHeight="1">
      <c r="A42734" s="7"/>
      <c r="B42734" s="7"/>
      <c r="M42734" s="9" t="s">
        <v>27</v>
      </c>
    </row>
    <row r="42735" ht="15.75" customHeight="1">
      <c r="A42735" s="7"/>
      <c r="B42735" s="7"/>
      <c r="M42735" s="9" t="s">
        <v>33</v>
      </c>
    </row>
    <row r="42736" ht="15.75" customHeight="1">
      <c r="A42736" s="7"/>
      <c r="B42736" s="7"/>
      <c r="M42736" s="9" t="s">
        <v>28</v>
      </c>
    </row>
    <row r="42737" ht="15.75" customHeight="1">
      <c r="A42737" s="7"/>
      <c r="B42737" s="7"/>
      <c r="M42737" s="9" t="s">
        <v>26</v>
      </c>
    </row>
    <row r="42738" ht="15.75" customHeight="1">
      <c r="A42738" s="7"/>
      <c r="B42738" s="7"/>
      <c r="M42738" s="9" t="s">
        <v>24</v>
      </c>
    </row>
    <row r="42739" ht="15.75" customHeight="1">
      <c r="A42739" s="7"/>
      <c r="B42739" s="7"/>
      <c r="M42739" s="9" t="s">
        <v>21</v>
      </c>
    </row>
    <row r="42740" ht="15.75" customHeight="1">
      <c r="A42740" s="7"/>
      <c r="B42740" s="7"/>
      <c r="M42740" s="9" t="s">
        <v>27</v>
      </c>
    </row>
    <row r="42741" ht="15.75" customHeight="1">
      <c r="A42741" s="7"/>
      <c r="B42741" s="7"/>
      <c r="M42741" s="9" t="s">
        <v>30</v>
      </c>
    </row>
    <row r="42742" ht="15.75" customHeight="1">
      <c r="A42742" s="7"/>
      <c r="B42742" s="7"/>
      <c r="M42742" s="9" t="s">
        <v>24</v>
      </c>
    </row>
    <row r="42743" ht="15.75" customHeight="1">
      <c r="A42743" s="7"/>
      <c r="B42743" s="7"/>
      <c r="M42743" s="9" t="s">
        <v>21</v>
      </c>
    </row>
    <row r="42744" ht="15.75" customHeight="1">
      <c r="A42744" s="7"/>
      <c r="B42744" s="7"/>
      <c r="M42744" s="9" t="s">
        <v>37</v>
      </c>
    </row>
    <row r="42745" ht="15.75" customHeight="1">
      <c r="A42745" s="7"/>
      <c r="B42745" s="7"/>
      <c r="M42745" s="9" t="s">
        <v>22</v>
      </c>
    </row>
    <row r="42746" ht="15.75" customHeight="1">
      <c r="A42746" s="7"/>
      <c r="B42746" s="7"/>
      <c r="M42746" s="9" t="s">
        <v>27</v>
      </c>
    </row>
    <row r="42747" ht="15.75" customHeight="1">
      <c r="A42747" s="7"/>
      <c r="B42747" s="7"/>
      <c r="M42747" s="9" t="s">
        <v>33</v>
      </c>
    </row>
    <row r="42748" ht="15.75" customHeight="1">
      <c r="A42748" s="7"/>
      <c r="B42748" s="7"/>
      <c r="M42748" s="9" t="s">
        <v>23</v>
      </c>
    </row>
    <row r="42749" ht="15.75" customHeight="1">
      <c r="A42749" s="7"/>
      <c r="B42749" s="7"/>
      <c r="M42749" s="9" t="s">
        <v>26</v>
      </c>
    </row>
    <row r="42750" ht="15.75" customHeight="1">
      <c r="A42750" s="7"/>
      <c r="B42750" s="7"/>
      <c r="M42750" s="9" t="s">
        <v>22</v>
      </c>
    </row>
    <row r="42751" ht="15.75" customHeight="1">
      <c r="A42751" s="7"/>
      <c r="B42751" s="7"/>
      <c r="M42751" s="9" t="s">
        <v>27</v>
      </c>
    </row>
    <row r="42752" ht="15.75" customHeight="1">
      <c r="A42752" s="7"/>
      <c r="B42752" s="7"/>
      <c r="M42752" s="9" t="s">
        <v>28</v>
      </c>
    </row>
    <row r="42753" ht="15.75" customHeight="1">
      <c r="A42753" s="7"/>
      <c r="B42753" s="7"/>
      <c r="M42753" s="9" t="s">
        <v>30</v>
      </c>
    </row>
    <row r="42754" ht="15.75" customHeight="1">
      <c r="A42754" s="7"/>
      <c r="B42754" s="7"/>
      <c r="M42754" s="9" t="s">
        <v>24</v>
      </c>
    </row>
    <row r="42755" ht="15.75" customHeight="1">
      <c r="A42755" s="7"/>
      <c r="B42755" s="7"/>
      <c r="M42755" s="9" t="s">
        <v>21</v>
      </c>
    </row>
    <row r="42756" ht="15.75" customHeight="1">
      <c r="A42756" s="7"/>
      <c r="B42756" s="7"/>
      <c r="M42756" s="9" t="s">
        <v>37</v>
      </c>
    </row>
    <row r="42757" ht="15.75" customHeight="1">
      <c r="A42757" s="7"/>
      <c r="B42757" s="7"/>
      <c r="M42757" s="9" t="s">
        <v>22</v>
      </c>
    </row>
    <row r="42758" ht="15.75" customHeight="1">
      <c r="A42758" s="7"/>
      <c r="B42758" s="7"/>
      <c r="M42758" s="9" t="s">
        <v>30</v>
      </c>
    </row>
    <row r="42759" ht="15.75" customHeight="1">
      <c r="A42759" s="7"/>
      <c r="B42759" s="7"/>
      <c r="M42759" s="9" t="s">
        <v>37</v>
      </c>
    </row>
    <row r="42760" ht="15.75" customHeight="1">
      <c r="A42760" s="7"/>
      <c r="B42760" s="7"/>
      <c r="M42760" s="9" t="s">
        <v>27</v>
      </c>
    </row>
    <row r="42761" ht="15.75" customHeight="1">
      <c r="A42761" s="7"/>
      <c r="B42761" s="7"/>
      <c r="M42761" s="9" t="s">
        <v>23</v>
      </c>
    </row>
    <row r="42762" ht="15.75" customHeight="1">
      <c r="A42762" s="7"/>
      <c r="B42762" s="7"/>
      <c r="M42762" s="9" t="s">
        <v>36</v>
      </c>
    </row>
    <row r="42763" ht="15.75" customHeight="1">
      <c r="A42763" s="7"/>
      <c r="B42763" s="7"/>
      <c r="M42763" s="9" t="s">
        <v>22</v>
      </c>
    </row>
    <row r="42764" ht="15.75" customHeight="1">
      <c r="A42764" s="7"/>
      <c r="B42764" s="7"/>
      <c r="M42764" s="9" t="s">
        <v>30</v>
      </c>
    </row>
    <row r="42765" ht="15.75" customHeight="1">
      <c r="A42765" s="7"/>
      <c r="B42765" s="7"/>
      <c r="M42765" s="9" t="s">
        <v>23</v>
      </c>
    </row>
    <row r="42766" ht="15.75" customHeight="1">
      <c r="A42766" s="7"/>
      <c r="B42766" s="7"/>
      <c r="M42766" s="9" t="s">
        <v>26</v>
      </c>
    </row>
    <row r="42767" ht="15.75" customHeight="1">
      <c r="A42767" s="7"/>
      <c r="B42767" s="7"/>
      <c r="M42767" s="9" t="s">
        <v>24</v>
      </c>
    </row>
    <row r="42768" ht="15.75" customHeight="1">
      <c r="A42768" s="7"/>
      <c r="B42768" s="7"/>
      <c r="M42768" s="9" t="s">
        <v>21</v>
      </c>
    </row>
    <row r="42769" ht="15.75" customHeight="1">
      <c r="A42769" s="7"/>
      <c r="B42769" s="7"/>
      <c r="M42769" s="9" t="s">
        <v>27</v>
      </c>
    </row>
    <row r="42770" ht="15.75" customHeight="1">
      <c r="A42770" s="7"/>
      <c r="B42770" s="7"/>
      <c r="M42770" s="9" t="s">
        <v>33</v>
      </c>
    </row>
    <row r="42771" ht="15.75" customHeight="1">
      <c r="A42771" s="7"/>
      <c r="B42771" s="7"/>
      <c r="M42771" s="9" t="s">
        <v>26</v>
      </c>
    </row>
    <row r="42772" ht="15.75" customHeight="1">
      <c r="A42772" s="7"/>
      <c r="B42772" s="7"/>
      <c r="M42772" s="9" t="s">
        <v>21</v>
      </c>
    </row>
    <row r="42773" ht="15.75" customHeight="1">
      <c r="A42773" s="7"/>
      <c r="B42773" s="7"/>
      <c r="M42773" s="9" t="s">
        <v>27</v>
      </c>
    </row>
    <row r="42774" ht="15.75" customHeight="1">
      <c r="A42774" s="7"/>
      <c r="B42774" s="7"/>
      <c r="M42774" s="9" t="s">
        <v>35</v>
      </c>
    </row>
    <row r="42775" ht="15.75" customHeight="1">
      <c r="A42775" s="7"/>
      <c r="B42775" s="7"/>
      <c r="M42775" s="9" t="s">
        <v>30</v>
      </c>
    </row>
    <row r="42776" ht="15.75" customHeight="1">
      <c r="A42776" s="7"/>
      <c r="B42776" s="7"/>
      <c r="M42776" s="9" t="s">
        <v>25</v>
      </c>
    </row>
    <row r="42777" ht="15.75" customHeight="1">
      <c r="A42777" s="7"/>
      <c r="B42777" s="7"/>
      <c r="M42777" s="9" t="s">
        <v>23</v>
      </c>
    </row>
    <row r="42778" ht="15.75" customHeight="1">
      <c r="A42778" s="7"/>
      <c r="B42778" s="7"/>
      <c r="M42778" s="9" t="s">
        <v>30</v>
      </c>
    </row>
    <row r="42779" ht="15.75" customHeight="1">
      <c r="A42779" s="7"/>
      <c r="B42779" s="7"/>
      <c r="M42779" s="9" t="s">
        <v>23</v>
      </c>
    </row>
    <row r="42780" ht="15.75" customHeight="1">
      <c r="A42780" s="7"/>
      <c r="B42780" s="7"/>
      <c r="M42780" s="9" t="s">
        <v>24</v>
      </c>
    </row>
    <row r="42781" ht="15.75" customHeight="1">
      <c r="A42781" s="7"/>
      <c r="B42781" s="7"/>
      <c r="M42781" s="9" t="s">
        <v>20</v>
      </c>
    </row>
    <row r="42782" ht="15.75" customHeight="1">
      <c r="A42782" s="7"/>
      <c r="B42782" s="7"/>
      <c r="M42782" s="9" t="s">
        <v>21</v>
      </c>
    </row>
    <row r="42783" ht="15.75" customHeight="1">
      <c r="A42783" s="7"/>
      <c r="B42783" s="7"/>
      <c r="M42783" s="9" t="s">
        <v>37</v>
      </c>
    </row>
    <row r="42784" ht="15.75" customHeight="1">
      <c r="A42784" s="7"/>
      <c r="B42784" s="7"/>
      <c r="M42784" s="9" t="s">
        <v>22</v>
      </c>
    </row>
    <row r="42785" ht="15.75" customHeight="1">
      <c r="A42785" s="7"/>
      <c r="B42785" s="7"/>
      <c r="M42785" s="9" t="s">
        <v>26</v>
      </c>
    </row>
    <row r="42786" ht="15.75" customHeight="1">
      <c r="A42786" s="7"/>
      <c r="B42786" s="7"/>
      <c r="M42786" s="9" t="s">
        <v>24</v>
      </c>
    </row>
    <row r="42787" ht="15.75" customHeight="1">
      <c r="A42787" s="7"/>
      <c r="B42787" s="7"/>
      <c r="M42787" s="9" t="s">
        <v>21</v>
      </c>
    </row>
    <row r="42788" ht="15.75" customHeight="1">
      <c r="A42788" s="7"/>
      <c r="B42788" s="7"/>
      <c r="M42788" s="9" t="s">
        <v>22</v>
      </c>
    </row>
    <row r="42789" ht="15.75" customHeight="1">
      <c r="A42789" s="7"/>
      <c r="B42789" s="7"/>
      <c r="M42789" s="9" t="s">
        <v>27</v>
      </c>
    </row>
    <row r="42790" ht="15.75" customHeight="1">
      <c r="A42790" s="7"/>
      <c r="B42790" s="7"/>
      <c r="M42790" s="9" t="s">
        <v>33</v>
      </c>
    </row>
    <row r="42791" ht="15.75" customHeight="1">
      <c r="A42791" s="7"/>
      <c r="B42791" s="7"/>
      <c r="M42791" s="9" t="s">
        <v>30</v>
      </c>
    </row>
    <row r="42792" ht="15.75" customHeight="1">
      <c r="A42792" s="7"/>
      <c r="B42792" s="7"/>
      <c r="M42792" s="9" t="s">
        <v>24</v>
      </c>
    </row>
    <row r="42793" ht="15.75" customHeight="1">
      <c r="A42793" s="7"/>
      <c r="B42793" s="7"/>
      <c r="M42793" s="9" t="s">
        <v>22</v>
      </c>
    </row>
    <row r="42794" ht="15.75" customHeight="1">
      <c r="A42794" s="7"/>
      <c r="B42794" s="7"/>
      <c r="M42794" s="9" t="s">
        <v>27</v>
      </c>
    </row>
    <row r="42795" ht="15.75" customHeight="1">
      <c r="A42795" s="7"/>
      <c r="B42795" s="7"/>
      <c r="M42795" s="9" t="s">
        <v>26</v>
      </c>
    </row>
    <row r="42796" ht="15.75" customHeight="1">
      <c r="A42796" s="7"/>
      <c r="B42796" s="7"/>
      <c r="M42796" s="9" t="s">
        <v>24</v>
      </c>
    </row>
    <row r="42797" ht="15.75" customHeight="1">
      <c r="A42797" s="7"/>
      <c r="B42797" s="7"/>
      <c r="M42797" s="9" t="s">
        <v>21</v>
      </c>
    </row>
    <row r="42798" ht="15.75" customHeight="1">
      <c r="A42798" s="7"/>
      <c r="B42798" s="7"/>
      <c r="M42798" s="9" t="s">
        <v>22</v>
      </c>
    </row>
    <row r="42799" ht="15.75" customHeight="1">
      <c r="A42799" s="7"/>
      <c r="B42799" s="7"/>
      <c r="M42799" s="9" t="s">
        <v>33</v>
      </c>
    </row>
    <row r="42800" ht="15.75" customHeight="1">
      <c r="A42800" s="7"/>
      <c r="B42800" s="7"/>
      <c r="M42800" s="9" t="s">
        <v>38</v>
      </c>
    </row>
    <row r="42801" ht="15.75" customHeight="1">
      <c r="A42801" s="7"/>
      <c r="B42801" s="7"/>
      <c r="M42801" s="9" t="s">
        <v>30</v>
      </c>
    </row>
    <row r="42802" ht="15.75" customHeight="1">
      <c r="A42802" s="7"/>
      <c r="B42802" s="7"/>
      <c r="M42802" s="9" t="s">
        <v>25</v>
      </c>
    </row>
    <row r="42803" ht="15.75" customHeight="1">
      <c r="A42803" s="7"/>
      <c r="B42803" s="7"/>
      <c r="M42803" s="9" t="s">
        <v>23</v>
      </c>
    </row>
    <row r="42804" ht="15.75" customHeight="1">
      <c r="A42804" s="7"/>
      <c r="B42804" s="7"/>
      <c r="M42804" s="9" t="s">
        <v>26</v>
      </c>
    </row>
    <row r="42805" ht="15.75" customHeight="1">
      <c r="A42805" s="7"/>
      <c r="B42805" s="7"/>
      <c r="M42805" s="9" t="s">
        <v>39</v>
      </c>
    </row>
    <row r="42806" ht="15.75" customHeight="1">
      <c r="A42806" s="7"/>
      <c r="B42806" s="7"/>
      <c r="M42806" s="9" t="s">
        <v>41</v>
      </c>
    </row>
    <row r="42807" ht="15.75" customHeight="1">
      <c r="A42807" s="7"/>
      <c r="B42807" s="7"/>
      <c r="M42807" s="9" t="s">
        <v>37</v>
      </c>
    </row>
    <row r="42808" ht="15.75" customHeight="1">
      <c r="A42808" s="7"/>
      <c r="B42808" s="7"/>
      <c r="M42808" s="9" t="s">
        <v>27</v>
      </c>
    </row>
    <row r="42809" ht="15.75" customHeight="1">
      <c r="A42809" s="7"/>
      <c r="B42809" s="7"/>
      <c r="M42809" s="9" t="s">
        <v>40</v>
      </c>
    </row>
    <row r="42810" ht="15.75" customHeight="1">
      <c r="A42810" s="7"/>
      <c r="B42810" s="7"/>
      <c r="M42810" s="9" t="s">
        <v>20</v>
      </c>
    </row>
    <row r="42811" ht="15.75" customHeight="1">
      <c r="A42811" s="7"/>
      <c r="B42811" s="7"/>
      <c r="M42811" s="9" t="s">
        <v>27</v>
      </c>
    </row>
    <row r="42812" ht="15.75" customHeight="1">
      <c r="A42812" s="7"/>
      <c r="B42812" s="7"/>
      <c r="M42812" s="9" t="s">
        <v>30</v>
      </c>
    </row>
    <row r="42813" ht="15.75" customHeight="1">
      <c r="A42813" s="7"/>
      <c r="B42813" s="7"/>
      <c r="M42813" s="9" t="s">
        <v>24</v>
      </c>
    </row>
    <row r="42814" ht="15.75" customHeight="1">
      <c r="A42814" s="7"/>
      <c r="B42814" s="7"/>
      <c r="M42814" s="9" t="s">
        <v>21</v>
      </c>
    </row>
    <row r="42815" ht="15.75" customHeight="1">
      <c r="A42815" s="7"/>
      <c r="B42815" s="7"/>
      <c r="M42815" s="9" t="s">
        <v>37</v>
      </c>
    </row>
    <row r="42816" ht="15.75" customHeight="1">
      <c r="A42816" s="7"/>
      <c r="B42816" s="7"/>
      <c r="M42816" s="9" t="s">
        <v>25</v>
      </c>
    </row>
    <row r="42817" ht="15.75" customHeight="1">
      <c r="A42817" s="7"/>
      <c r="B42817" s="7"/>
      <c r="M42817" s="9" t="s">
        <v>23</v>
      </c>
    </row>
    <row r="42818" ht="15.75" customHeight="1">
      <c r="A42818" s="7"/>
      <c r="B42818" s="7"/>
      <c r="M42818" s="9" t="s">
        <v>24</v>
      </c>
    </row>
    <row r="42819" ht="15.75" customHeight="1">
      <c r="A42819" s="7"/>
      <c r="B42819" s="7"/>
      <c r="M42819" s="9" t="s">
        <v>21</v>
      </c>
    </row>
    <row r="42820" ht="15.75" customHeight="1">
      <c r="A42820" s="7"/>
      <c r="B42820" s="7"/>
      <c r="M42820" s="9" t="s">
        <v>37</v>
      </c>
    </row>
    <row r="42821" ht="15.75" customHeight="1">
      <c r="A42821" s="7"/>
      <c r="B42821" s="7"/>
      <c r="M42821" s="9" t="s">
        <v>40</v>
      </c>
    </row>
    <row r="42822" ht="15.75" customHeight="1">
      <c r="A42822" s="7"/>
      <c r="B42822" s="7"/>
      <c r="M42822" s="9" t="s">
        <v>23</v>
      </c>
    </row>
    <row r="42823" ht="15.75" customHeight="1">
      <c r="A42823" s="7"/>
      <c r="B42823" s="7"/>
      <c r="M42823" s="9" t="s">
        <v>20</v>
      </c>
    </row>
    <row r="42824" ht="15.75" customHeight="1">
      <c r="A42824" s="7"/>
      <c r="B42824" s="7"/>
      <c r="M42824" s="9" t="s">
        <v>39</v>
      </c>
    </row>
    <row r="42825" ht="15.75" customHeight="1">
      <c r="A42825" s="7"/>
      <c r="B42825" s="7"/>
      <c r="M42825" s="9" t="s">
        <v>41</v>
      </c>
    </row>
    <row r="42826" ht="15.75" customHeight="1">
      <c r="A42826" s="7"/>
      <c r="B42826" s="7"/>
      <c r="M42826" s="9" t="s">
        <v>23</v>
      </c>
    </row>
    <row r="42827" ht="15.75" customHeight="1">
      <c r="A42827" s="7"/>
      <c r="B42827" s="7"/>
      <c r="M42827" s="9" t="s">
        <v>26</v>
      </c>
    </row>
    <row r="42828" ht="15.75" customHeight="1">
      <c r="A42828" s="7"/>
      <c r="B42828" s="7"/>
      <c r="M42828" s="9" t="s">
        <v>24</v>
      </c>
    </row>
    <row r="42829" ht="15.75" customHeight="1">
      <c r="A42829" s="7"/>
      <c r="B42829" s="7"/>
      <c r="M42829" s="9" t="s">
        <v>21</v>
      </c>
    </row>
    <row r="42830" ht="15.75" customHeight="1">
      <c r="A42830" s="7"/>
      <c r="B42830" s="7"/>
      <c r="M42830" s="9" t="s">
        <v>27</v>
      </c>
    </row>
    <row r="42831" ht="15.75" customHeight="1">
      <c r="A42831" s="7"/>
      <c r="B42831" s="7"/>
      <c r="M42831" s="9" t="s">
        <v>33</v>
      </c>
    </row>
    <row r="42832" ht="15.75" customHeight="1">
      <c r="A42832" s="7"/>
      <c r="B42832" s="7"/>
      <c r="M42832" s="9" t="s">
        <v>25</v>
      </c>
    </row>
    <row r="42833" ht="15.75" customHeight="1">
      <c r="A42833" s="7"/>
      <c r="B42833" s="7"/>
      <c r="M42833" s="9" t="s">
        <v>47</v>
      </c>
    </row>
    <row r="42834" ht="15.75" customHeight="1">
      <c r="A42834" s="7"/>
      <c r="B42834" s="7"/>
      <c r="M42834" s="9" t="s">
        <v>20</v>
      </c>
    </row>
    <row r="42835" ht="15.75" customHeight="1">
      <c r="A42835" s="7"/>
      <c r="B42835" s="7"/>
      <c r="M42835" s="9" t="s">
        <v>39</v>
      </c>
    </row>
    <row r="42836" ht="15.75" customHeight="1">
      <c r="A42836" s="7"/>
      <c r="B42836" s="7"/>
      <c r="M42836" s="9" t="s">
        <v>22</v>
      </c>
    </row>
    <row r="42837" ht="15.75" customHeight="1">
      <c r="A42837" s="7"/>
      <c r="B42837" s="7"/>
      <c r="M42837" s="9" t="s">
        <v>27</v>
      </c>
    </row>
    <row r="42838" ht="15.75" customHeight="1">
      <c r="A42838" s="7"/>
      <c r="B42838" s="7"/>
      <c r="M42838" s="9" t="s">
        <v>23</v>
      </c>
    </row>
    <row r="42839" ht="15.75" customHeight="1">
      <c r="A42839" s="7"/>
      <c r="B42839" s="7"/>
      <c r="M42839" s="9" t="s">
        <v>24</v>
      </c>
    </row>
    <row r="42840" ht="15.75" customHeight="1">
      <c r="A42840" s="7"/>
      <c r="B42840" s="7"/>
      <c r="M42840" s="9" t="s">
        <v>22</v>
      </c>
    </row>
    <row r="42841" ht="15.75" customHeight="1">
      <c r="A42841" s="7"/>
      <c r="B42841" s="7"/>
      <c r="M42841" s="9" t="s">
        <v>24</v>
      </c>
    </row>
    <row r="42842" ht="15.75" customHeight="1">
      <c r="A42842" s="7"/>
      <c r="B42842" s="7"/>
      <c r="M42842" s="9" t="s">
        <v>20</v>
      </c>
    </row>
    <row r="42843" ht="15.75" customHeight="1">
      <c r="A42843" s="7"/>
      <c r="B42843" s="7"/>
      <c r="M42843" s="9" t="s">
        <v>21</v>
      </c>
    </row>
    <row r="42844" ht="15.75" customHeight="1">
      <c r="A42844" s="7"/>
      <c r="B42844" s="7"/>
      <c r="M42844" s="9" t="s">
        <v>37</v>
      </c>
    </row>
    <row r="42845" ht="15.75" customHeight="1">
      <c r="A42845" s="7"/>
      <c r="B42845" s="7"/>
      <c r="M42845" s="9" t="s">
        <v>22</v>
      </c>
    </row>
    <row r="42846" ht="15.75" customHeight="1">
      <c r="A42846" s="7"/>
      <c r="B42846" s="7"/>
      <c r="M42846" s="9" t="s">
        <v>27</v>
      </c>
    </row>
    <row r="42847" ht="15.75" customHeight="1">
      <c r="A42847" s="7"/>
      <c r="B42847" s="7"/>
      <c r="M42847" s="9" t="s">
        <v>38</v>
      </c>
    </row>
    <row r="42848" ht="15.75" customHeight="1">
      <c r="A42848" s="7"/>
      <c r="B42848" s="7"/>
      <c r="M42848" s="9" t="s">
        <v>30</v>
      </c>
    </row>
    <row r="42849" ht="15.75" customHeight="1">
      <c r="A42849" s="7"/>
      <c r="B42849" s="7"/>
      <c r="M42849" s="9" t="s">
        <v>25</v>
      </c>
    </row>
    <row r="42850" ht="15.75" customHeight="1">
      <c r="A42850" s="7"/>
      <c r="B42850" s="7"/>
      <c r="M42850" s="9" t="s">
        <v>23</v>
      </c>
    </row>
    <row r="42851" ht="15.75" customHeight="1">
      <c r="A42851" s="7"/>
      <c r="B42851" s="7"/>
      <c r="M42851" s="9" t="s">
        <v>26</v>
      </c>
    </row>
    <row r="42852" ht="15.75" customHeight="1">
      <c r="A42852" s="7"/>
      <c r="B42852" s="7"/>
      <c r="M42852" s="9" t="s">
        <v>24</v>
      </c>
    </row>
    <row r="42853" ht="15.75" customHeight="1">
      <c r="A42853" s="7"/>
      <c r="B42853" s="7"/>
      <c r="M42853" s="9" t="s">
        <v>20</v>
      </c>
    </row>
    <row r="42854" ht="15.75" customHeight="1">
      <c r="A42854" s="7"/>
      <c r="B42854" s="7"/>
      <c r="M42854" s="9" t="s">
        <v>21</v>
      </c>
    </row>
    <row r="42855" ht="15.75" customHeight="1">
      <c r="A42855" s="7"/>
      <c r="B42855" s="7"/>
      <c r="M42855" s="9" t="s">
        <v>37</v>
      </c>
    </row>
    <row r="42856" ht="15.75" customHeight="1">
      <c r="A42856" s="7"/>
      <c r="B42856" s="7"/>
      <c r="M42856" s="9" t="s">
        <v>22</v>
      </c>
    </row>
    <row r="42857" ht="15.75" customHeight="1">
      <c r="A42857" s="7"/>
      <c r="B42857" s="7"/>
      <c r="M42857" s="9" t="s">
        <v>46</v>
      </c>
    </row>
    <row r="42858" ht="15.75" customHeight="1">
      <c r="A42858" s="7"/>
      <c r="B42858" s="7"/>
      <c r="M42858" s="9" t="s">
        <v>27</v>
      </c>
    </row>
    <row r="42859" ht="15.75" customHeight="1">
      <c r="A42859" s="7"/>
      <c r="B42859" s="7"/>
      <c r="M42859" s="9" t="s">
        <v>26</v>
      </c>
    </row>
    <row r="42860" ht="15.75" customHeight="1">
      <c r="A42860" s="7"/>
      <c r="B42860" s="7"/>
      <c r="M42860" s="9" t="s">
        <v>24</v>
      </c>
    </row>
    <row r="42861" ht="15.75" customHeight="1">
      <c r="A42861" s="7"/>
      <c r="B42861" s="7"/>
      <c r="M42861" s="9" t="s">
        <v>20</v>
      </c>
    </row>
    <row r="42862" ht="15.75" customHeight="1">
      <c r="A42862" s="7"/>
      <c r="B42862" s="7"/>
      <c r="M42862" s="9" t="s">
        <v>21</v>
      </c>
    </row>
    <row r="42863" ht="15.75" customHeight="1">
      <c r="A42863" s="7"/>
      <c r="B42863" s="7"/>
      <c r="M42863" s="9" t="s">
        <v>37</v>
      </c>
    </row>
    <row r="42864" ht="15.75" customHeight="1">
      <c r="A42864" s="7"/>
      <c r="B42864" s="7"/>
      <c r="M42864" s="9" t="s">
        <v>22</v>
      </c>
    </row>
    <row r="42865" ht="15.75" customHeight="1">
      <c r="A42865" s="7"/>
      <c r="B42865" s="7"/>
      <c r="M42865" s="9" t="s">
        <v>27</v>
      </c>
    </row>
    <row r="42866" ht="15.75" customHeight="1">
      <c r="A42866" s="7"/>
      <c r="B42866" s="7"/>
      <c r="M42866" s="9" t="s">
        <v>38</v>
      </c>
    </row>
    <row r="42867" ht="15.75" customHeight="1">
      <c r="A42867" s="7"/>
      <c r="B42867" s="7"/>
      <c r="M42867" s="9" t="s">
        <v>30</v>
      </c>
    </row>
    <row r="42868" ht="15.75" customHeight="1">
      <c r="A42868" s="7"/>
      <c r="B42868" s="7"/>
      <c r="M42868" s="9" t="s">
        <v>26</v>
      </c>
    </row>
    <row r="42869" ht="15.75" customHeight="1">
      <c r="A42869" s="7"/>
      <c r="B42869" s="7"/>
      <c r="M42869" s="9" t="s">
        <v>47</v>
      </c>
    </row>
    <row r="42870" ht="15.75" customHeight="1">
      <c r="A42870" s="7"/>
      <c r="B42870" s="7"/>
      <c r="M42870" s="9" t="s">
        <v>36</v>
      </c>
    </row>
    <row r="42871" ht="15.75" customHeight="1">
      <c r="A42871" s="7"/>
      <c r="B42871" s="7"/>
      <c r="M42871" s="9" t="s">
        <v>21</v>
      </c>
    </row>
    <row r="42872" ht="15.75" customHeight="1">
      <c r="A42872" s="7"/>
      <c r="B42872" s="7"/>
      <c r="M42872" s="9" t="s">
        <v>41</v>
      </c>
    </row>
    <row r="42873" ht="15.75" customHeight="1">
      <c r="A42873" s="7"/>
      <c r="B42873" s="7"/>
      <c r="M42873" s="9" t="s">
        <v>32</v>
      </c>
    </row>
    <row r="42874" ht="15.75" customHeight="1">
      <c r="A42874" s="7"/>
      <c r="B42874" s="7"/>
      <c r="M42874" s="9" t="s">
        <v>27</v>
      </c>
    </row>
    <row r="42875" ht="15.75" customHeight="1">
      <c r="A42875" s="7"/>
      <c r="B42875" s="7"/>
      <c r="M42875" s="9" t="s">
        <v>33</v>
      </c>
    </row>
    <row r="42876" ht="15.75" customHeight="1">
      <c r="A42876" s="7"/>
      <c r="B42876" s="7"/>
      <c r="M42876" s="9" t="s">
        <v>20</v>
      </c>
    </row>
    <row r="42877" ht="15.75" customHeight="1">
      <c r="A42877" s="7"/>
      <c r="B42877" s="7"/>
      <c r="M42877" s="9" t="s">
        <v>21</v>
      </c>
    </row>
    <row r="42878" ht="15.75" customHeight="1">
      <c r="A42878" s="7"/>
      <c r="B42878" s="7"/>
      <c r="M42878" s="9" t="s">
        <v>22</v>
      </c>
    </row>
    <row r="42879" ht="15.75" customHeight="1">
      <c r="A42879" s="7"/>
      <c r="B42879" s="7"/>
      <c r="M42879" s="9" t="s">
        <v>30</v>
      </c>
    </row>
    <row r="42880" ht="15.75" customHeight="1">
      <c r="A42880" s="7"/>
      <c r="B42880" s="7"/>
      <c r="M42880" s="9" t="s">
        <v>23</v>
      </c>
    </row>
    <row r="42881" ht="15.75" customHeight="1">
      <c r="A42881" s="7"/>
      <c r="B42881" s="7"/>
      <c r="M42881" s="9" t="s">
        <v>21</v>
      </c>
    </row>
    <row r="42882" ht="15.75" customHeight="1">
      <c r="A42882" s="7"/>
      <c r="B42882" s="7"/>
      <c r="M42882" s="9" t="s">
        <v>22</v>
      </c>
    </row>
    <row r="42883" ht="15.75" customHeight="1">
      <c r="A42883" s="7"/>
      <c r="B42883" s="7"/>
      <c r="M42883" s="9" t="s">
        <v>31</v>
      </c>
    </row>
    <row r="42884" ht="15.75" customHeight="1">
      <c r="A42884" s="7"/>
      <c r="B42884" s="7"/>
      <c r="M42884" s="9" t="s">
        <v>24</v>
      </c>
    </row>
    <row r="42885" ht="15.75" customHeight="1">
      <c r="A42885" s="7"/>
      <c r="B42885" s="7"/>
      <c r="M42885" s="9" t="s">
        <v>21</v>
      </c>
    </row>
    <row r="42886" ht="15.75" customHeight="1">
      <c r="A42886" s="7"/>
      <c r="B42886" s="7"/>
      <c r="M42886" s="9" t="s">
        <v>29</v>
      </c>
    </row>
    <row r="42887" ht="15.75" customHeight="1">
      <c r="A42887" s="7"/>
      <c r="B42887" s="7"/>
      <c r="M42887" s="9" t="s">
        <v>27</v>
      </c>
    </row>
    <row r="42888" ht="15.75" customHeight="1">
      <c r="A42888" s="7"/>
      <c r="B42888" s="7"/>
      <c r="M42888" s="9" t="s">
        <v>23</v>
      </c>
    </row>
    <row r="42889" ht="15.75" customHeight="1">
      <c r="A42889" s="7"/>
      <c r="B42889" s="7"/>
      <c r="M42889" s="9" t="s">
        <v>26</v>
      </c>
    </row>
    <row r="42890" ht="15.75" customHeight="1">
      <c r="A42890" s="7"/>
      <c r="B42890" s="7"/>
      <c r="M42890" s="9" t="s">
        <v>24</v>
      </c>
    </row>
    <row r="42891" ht="15.75" customHeight="1">
      <c r="A42891" s="7"/>
      <c r="B42891" s="7"/>
      <c r="M42891" s="9" t="s">
        <v>21</v>
      </c>
    </row>
    <row r="42892" ht="15.75" customHeight="1">
      <c r="A42892" s="7"/>
      <c r="B42892" s="7"/>
      <c r="M42892" s="9" t="s">
        <v>37</v>
      </c>
    </row>
    <row r="42893" ht="15.75" customHeight="1">
      <c r="A42893" s="7"/>
      <c r="B42893" s="7"/>
      <c r="M42893" s="9" t="s">
        <v>24</v>
      </c>
    </row>
    <row r="42894" ht="15.75" customHeight="1">
      <c r="A42894" s="7"/>
      <c r="B42894" s="7"/>
      <c r="M42894" s="9" t="s">
        <v>21</v>
      </c>
    </row>
    <row r="42895" ht="15.75" customHeight="1">
      <c r="A42895" s="7"/>
      <c r="B42895" s="7"/>
      <c r="M42895" s="9" t="s">
        <v>37</v>
      </c>
    </row>
    <row r="42896" ht="15.75" customHeight="1">
      <c r="A42896" s="7"/>
      <c r="B42896" s="7"/>
      <c r="M42896" s="9" t="s">
        <v>27</v>
      </c>
    </row>
    <row r="42897" ht="15.75" customHeight="1">
      <c r="A42897" s="7"/>
      <c r="B42897" s="7"/>
      <c r="M42897" s="9" t="s">
        <v>24</v>
      </c>
    </row>
    <row r="42898" ht="15.75" customHeight="1">
      <c r="A42898" s="7"/>
      <c r="B42898" s="7"/>
      <c r="M42898" s="9" t="s">
        <v>20</v>
      </c>
    </row>
    <row r="42899" ht="15.75" customHeight="1">
      <c r="A42899" s="7"/>
      <c r="B42899" s="7"/>
      <c r="M42899" s="9" t="s">
        <v>21</v>
      </c>
    </row>
    <row r="42900" ht="15.75" customHeight="1">
      <c r="A42900" s="7"/>
      <c r="B42900" s="7"/>
      <c r="M42900" s="9" t="s">
        <v>27</v>
      </c>
    </row>
    <row r="42901" ht="15.75" customHeight="1">
      <c r="A42901" s="7"/>
      <c r="B42901" s="7"/>
      <c r="M42901" s="9" t="s">
        <v>33</v>
      </c>
    </row>
    <row r="42902" ht="15.75" customHeight="1">
      <c r="A42902" s="7"/>
      <c r="B42902" s="7"/>
      <c r="M42902" s="9" t="s">
        <v>26</v>
      </c>
    </row>
    <row r="42903" ht="15.75" customHeight="1">
      <c r="A42903" s="7"/>
      <c r="B42903" s="7"/>
      <c r="M42903" s="9" t="s">
        <v>24</v>
      </c>
    </row>
    <row r="42904" ht="15.75" customHeight="1">
      <c r="A42904" s="7"/>
      <c r="B42904" s="7"/>
      <c r="M42904" s="9" t="s">
        <v>21</v>
      </c>
    </row>
    <row r="42905" ht="15.75" customHeight="1">
      <c r="A42905" s="7"/>
      <c r="B42905" s="7"/>
      <c r="M42905" s="9" t="s">
        <v>27</v>
      </c>
    </row>
    <row r="42906" ht="15.75" customHeight="1">
      <c r="A42906" s="7"/>
      <c r="B42906" s="7"/>
      <c r="M42906" s="9" t="s">
        <v>26</v>
      </c>
    </row>
    <row r="42907" ht="15.75" customHeight="1">
      <c r="A42907" s="7"/>
      <c r="B42907" s="7"/>
      <c r="M42907" s="9" t="s">
        <v>24</v>
      </c>
    </row>
    <row r="42908" ht="15.75" customHeight="1">
      <c r="A42908" s="7"/>
      <c r="B42908" s="7"/>
      <c r="M42908" s="9" t="s">
        <v>21</v>
      </c>
    </row>
    <row r="42909" ht="15.75" customHeight="1">
      <c r="A42909" s="7"/>
      <c r="B42909" s="7"/>
      <c r="M42909" s="9" t="s">
        <v>37</v>
      </c>
    </row>
    <row r="42910" ht="15.75" customHeight="1">
      <c r="A42910" s="7"/>
      <c r="B42910" s="7"/>
      <c r="M42910" s="9" t="s">
        <v>27</v>
      </c>
    </row>
    <row r="42911" ht="15.75" customHeight="1">
      <c r="A42911" s="7"/>
      <c r="B42911" s="7"/>
      <c r="M42911" s="9" t="s">
        <v>33</v>
      </c>
    </row>
    <row r="42912" ht="15.75" customHeight="1">
      <c r="A42912" s="7"/>
      <c r="B42912" s="7"/>
      <c r="M42912" s="9" t="s">
        <v>25</v>
      </c>
    </row>
    <row r="42913" ht="15.75" customHeight="1">
      <c r="A42913" s="7"/>
      <c r="B42913" s="7"/>
      <c r="M42913" s="9" t="s">
        <v>23</v>
      </c>
    </row>
    <row r="42914" ht="15.75" customHeight="1">
      <c r="A42914" s="7"/>
      <c r="B42914" s="7"/>
      <c r="M42914" s="9" t="s">
        <v>26</v>
      </c>
    </row>
    <row r="42915" ht="15.75" customHeight="1">
      <c r="A42915" s="7"/>
      <c r="B42915" s="7"/>
      <c r="M42915" s="9" t="s">
        <v>24</v>
      </c>
    </row>
    <row r="42916" ht="15.75" customHeight="1">
      <c r="A42916" s="7"/>
      <c r="B42916" s="7"/>
      <c r="M42916" s="9" t="s">
        <v>20</v>
      </c>
    </row>
    <row r="42917" ht="15.75" customHeight="1">
      <c r="A42917" s="7"/>
      <c r="B42917" s="7"/>
      <c r="M42917" s="9" t="s">
        <v>21</v>
      </c>
    </row>
    <row r="42918" ht="15.75" customHeight="1">
      <c r="A42918" s="7"/>
      <c r="B42918" s="7"/>
      <c r="M42918" s="9" t="s">
        <v>39</v>
      </c>
    </row>
    <row r="42919" ht="15.75" customHeight="1">
      <c r="A42919" s="7"/>
      <c r="B42919" s="7"/>
      <c r="M42919" s="9" t="s">
        <v>37</v>
      </c>
    </row>
    <row r="42920" ht="15.75" customHeight="1">
      <c r="A42920" s="7"/>
      <c r="B42920" s="7"/>
      <c r="M42920" s="9" t="s">
        <v>27</v>
      </c>
    </row>
    <row r="42921" ht="15.75" customHeight="1">
      <c r="A42921" s="7"/>
      <c r="B42921" s="7"/>
      <c r="M42921" s="9" t="s">
        <v>33</v>
      </c>
    </row>
    <row r="42922" ht="15.75" customHeight="1">
      <c r="A42922" s="7"/>
      <c r="B42922" s="7"/>
      <c r="M42922" s="9" t="s">
        <v>23</v>
      </c>
    </row>
    <row r="42923" ht="15.75" customHeight="1">
      <c r="A42923" s="7"/>
      <c r="B42923" s="7"/>
      <c r="M42923" s="9" t="s">
        <v>22</v>
      </c>
    </row>
    <row r="42924" ht="15.75" customHeight="1">
      <c r="A42924" s="7"/>
      <c r="B42924" s="7"/>
      <c r="M42924" s="9" t="s">
        <v>27</v>
      </c>
    </row>
    <row r="42925" ht="15.75" customHeight="1">
      <c r="A42925" s="7"/>
      <c r="B42925" s="7"/>
      <c r="M42925" s="9" t="s">
        <v>25</v>
      </c>
    </row>
    <row r="42926" ht="15.75" customHeight="1">
      <c r="A42926" s="7"/>
      <c r="B42926" s="7"/>
      <c r="M42926" s="9" t="s">
        <v>21</v>
      </c>
    </row>
    <row r="42927" ht="15.75" customHeight="1">
      <c r="A42927" s="7"/>
      <c r="B42927" s="7"/>
      <c r="M42927" s="9" t="s">
        <v>41</v>
      </c>
    </row>
    <row r="42928" ht="15.75" customHeight="1">
      <c r="A42928" s="7"/>
      <c r="B42928" s="7"/>
      <c r="M42928" s="9" t="s">
        <v>31</v>
      </c>
    </row>
    <row r="42929" ht="15.75" customHeight="1">
      <c r="A42929" s="7"/>
      <c r="B42929" s="7"/>
      <c r="M42929" s="9" t="s">
        <v>40</v>
      </c>
    </row>
    <row r="42930" ht="15.75" customHeight="1">
      <c r="A42930" s="7"/>
      <c r="B42930" s="7"/>
      <c r="M42930" s="9" t="s">
        <v>30</v>
      </c>
    </row>
    <row r="42931" ht="15.75" customHeight="1">
      <c r="A42931" s="7"/>
      <c r="B42931" s="7"/>
      <c r="M42931" s="9" t="s">
        <v>26</v>
      </c>
    </row>
    <row r="42932" ht="15.75" customHeight="1">
      <c r="A42932" s="7"/>
      <c r="B42932" s="7"/>
      <c r="M42932" s="9" t="s">
        <v>36</v>
      </c>
    </row>
    <row r="42933" ht="15.75" customHeight="1">
      <c r="A42933" s="7"/>
      <c r="B42933" s="7"/>
      <c r="M42933" s="9" t="s">
        <v>24</v>
      </c>
    </row>
    <row r="42934" ht="15.75" customHeight="1">
      <c r="A42934" s="7"/>
      <c r="B42934" s="7"/>
      <c r="M42934" s="9" t="s">
        <v>21</v>
      </c>
    </row>
    <row r="42935" ht="15.75" customHeight="1">
      <c r="A42935" s="7"/>
      <c r="B42935" s="7"/>
      <c r="M42935" s="9" t="s">
        <v>27</v>
      </c>
    </row>
    <row r="42936" ht="15.75" customHeight="1">
      <c r="A42936" s="7"/>
      <c r="B42936" s="7"/>
      <c r="M42936" s="9" t="s">
        <v>30</v>
      </c>
    </row>
    <row r="42937" ht="15.75" customHeight="1">
      <c r="A42937" s="7"/>
      <c r="B42937" s="7"/>
      <c r="M42937" s="9" t="s">
        <v>25</v>
      </c>
    </row>
    <row r="42938" ht="15.75" customHeight="1">
      <c r="A42938" s="7"/>
      <c r="B42938" s="7"/>
      <c r="M42938" s="9" t="s">
        <v>23</v>
      </c>
    </row>
    <row r="42939" ht="15.75" customHeight="1">
      <c r="A42939" s="7"/>
      <c r="B42939" s="7"/>
      <c r="M42939" s="9" t="s">
        <v>47</v>
      </c>
    </row>
    <row r="42940" ht="15.75" customHeight="1">
      <c r="A42940" s="7"/>
      <c r="B42940" s="7"/>
      <c r="M42940" s="9" t="s">
        <v>20</v>
      </c>
    </row>
    <row r="42941" ht="15.75" customHeight="1">
      <c r="A42941" s="7"/>
      <c r="B42941" s="7"/>
      <c r="M42941" s="9" t="s">
        <v>22</v>
      </c>
    </row>
    <row r="42942" ht="15.75" customHeight="1">
      <c r="A42942" s="7"/>
      <c r="B42942" s="7"/>
      <c r="M42942" s="9" t="s">
        <v>20</v>
      </c>
    </row>
    <row r="42943" ht="15.75" customHeight="1">
      <c r="A42943" s="7"/>
      <c r="B42943" s="7"/>
      <c r="M42943" s="9" t="s">
        <v>30</v>
      </c>
    </row>
    <row r="42944" ht="15.75" customHeight="1">
      <c r="A42944" s="7"/>
      <c r="B42944" s="7"/>
      <c r="M42944" s="9" t="s">
        <v>25</v>
      </c>
    </row>
    <row r="42945" ht="15.75" customHeight="1">
      <c r="A42945" s="7"/>
      <c r="B42945" s="7"/>
      <c r="M42945" s="9" t="s">
        <v>23</v>
      </c>
    </row>
    <row r="42946" ht="15.75" customHeight="1">
      <c r="A42946" s="7"/>
      <c r="B42946" s="7"/>
      <c r="M42946" s="9" t="s">
        <v>20</v>
      </c>
    </row>
    <row r="42947" ht="15.75" customHeight="1">
      <c r="A42947" s="7"/>
      <c r="B42947" s="7"/>
      <c r="M42947" s="9" t="s">
        <v>39</v>
      </c>
    </row>
    <row r="42948" ht="15.75" customHeight="1">
      <c r="A42948" s="7"/>
      <c r="B42948" s="7"/>
      <c r="M42948" s="9" t="s">
        <v>22</v>
      </c>
    </row>
    <row r="42949" ht="15.75" customHeight="1">
      <c r="A42949" s="7"/>
      <c r="B42949" s="7"/>
      <c r="M42949" s="9" t="s">
        <v>31</v>
      </c>
    </row>
    <row r="42950" ht="15.75" customHeight="1">
      <c r="A42950" s="7"/>
      <c r="B42950" s="7"/>
      <c r="M42950" s="9" t="s">
        <v>27</v>
      </c>
    </row>
    <row r="42951" ht="15.75" customHeight="1">
      <c r="A42951" s="7"/>
      <c r="B42951" s="7"/>
      <c r="M42951" s="9" t="s">
        <v>30</v>
      </c>
    </row>
    <row r="42952" ht="15.75" customHeight="1">
      <c r="A42952" s="7"/>
      <c r="B42952" s="7"/>
      <c r="M42952" s="9" t="s">
        <v>44</v>
      </c>
    </row>
    <row r="42953" ht="15.75" customHeight="1">
      <c r="A42953" s="7"/>
      <c r="B42953" s="7"/>
      <c r="M42953" s="9" t="s">
        <v>24</v>
      </c>
    </row>
    <row r="42954" ht="15.75" customHeight="1">
      <c r="A42954" s="7"/>
      <c r="B42954" s="7"/>
      <c r="M42954" s="9" t="s">
        <v>21</v>
      </c>
    </row>
    <row r="42955" ht="15.75" customHeight="1">
      <c r="A42955" s="7"/>
      <c r="B42955" s="7"/>
      <c r="M42955" s="9" t="s">
        <v>31</v>
      </c>
    </row>
    <row r="42956" ht="15.75" customHeight="1">
      <c r="A42956" s="7"/>
      <c r="B42956" s="7"/>
      <c r="M42956" s="9" t="s">
        <v>26</v>
      </c>
    </row>
    <row r="42957" ht="15.75" customHeight="1">
      <c r="A42957" s="7"/>
      <c r="B42957" s="7"/>
      <c r="M42957" s="9" t="s">
        <v>24</v>
      </c>
    </row>
    <row r="42958" ht="15.75" customHeight="1">
      <c r="A42958" s="7"/>
      <c r="B42958" s="7"/>
      <c r="M42958" s="9" t="s">
        <v>20</v>
      </c>
    </row>
    <row r="42959" ht="15.75" customHeight="1">
      <c r="A42959" s="7"/>
      <c r="B42959" s="7"/>
      <c r="M42959" s="9" t="s">
        <v>21</v>
      </c>
    </row>
    <row r="42960" ht="15.75" customHeight="1">
      <c r="A42960" s="7"/>
      <c r="B42960" s="7"/>
      <c r="M42960" s="9" t="s">
        <v>37</v>
      </c>
    </row>
    <row r="42961" ht="15.75" customHeight="1">
      <c r="A42961" s="7"/>
      <c r="B42961" s="7"/>
      <c r="M42961" s="9" t="s">
        <v>27</v>
      </c>
    </row>
    <row r="42962" ht="15.75" customHeight="1">
      <c r="A42962" s="7"/>
      <c r="B42962" s="7"/>
      <c r="M42962" s="9" t="s">
        <v>33</v>
      </c>
    </row>
    <row r="42963" ht="15.75" customHeight="1">
      <c r="A42963" s="7"/>
      <c r="B42963" s="7"/>
      <c r="M42963" s="9" t="s">
        <v>30</v>
      </c>
    </row>
    <row r="42964" ht="15.75" customHeight="1">
      <c r="A42964" s="7"/>
      <c r="B42964" s="7"/>
      <c r="M42964" s="9" t="s">
        <v>25</v>
      </c>
    </row>
    <row r="42965" ht="15.75" customHeight="1">
      <c r="A42965" s="7"/>
      <c r="B42965" s="7"/>
      <c r="M42965" s="9" t="s">
        <v>26</v>
      </c>
    </row>
    <row r="42966" ht="15.75" customHeight="1">
      <c r="A42966" s="7"/>
      <c r="B42966" s="7"/>
      <c r="M42966" s="9" t="s">
        <v>24</v>
      </c>
    </row>
    <row r="42967" ht="15.75" customHeight="1">
      <c r="A42967" s="7"/>
      <c r="B42967" s="7"/>
      <c r="M42967" s="9" t="s">
        <v>21</v>
      </c>
    </row>
    <row r="42968" ht="15.75" customHeight="1">
      <c r="A42968" s="7"/>
      <c r="B42968" s="7"/>
      <c r="M42968" s="9" t="s">
        <v>22</v>
      </c>
    </row>
    <row r="42969" ht="15.75" customHeight="1">
      <c r="A42969" s="7"/>
      <c r="B42969" s="7"/>
      <c r="M42969" s="9" t="s">
        <v>30</v>
      </c>
    </row>
    <row r="42970" ht="15.75" customHeight="1">
      <c r="A42970" s="7"/>
      <c r="B42970" s="7"/>
      <c r="M42970" s="9" t="s">
        <v>24</v>
      </c>
    </row>
    <row r="42971" ht="15.75" customHeight="1">
      <c r="A42971" s="7"/>
      <c r="B42971" s="7"/>
      <c r="M42971" s="9" t="s">
        <v>21</v>
      </c>
    </row>
    <row r="42972" ht="15.75" customHeight="1">
      <c r="A42972" s="7"/>
      <c r="B42972" s="7"/>
      <c r="M42972" s="9" t="s">
        <v>22</v>
      </c>
    </row>
    <row r="42973" ht="15.75" customHeight="1">
      <c r="A42973" s="7"/>
      <c r="B42973" s="7"/>
      <c r="M42973" s="9" t="s">
        <v>29</v>
      </c>
    </row>
    <row r="42974" ht="15.75" customHeight="1">
      <c r="A42974" s="7"/>
      <c r="B42974" s="7"/>
      <c r="M42974" s="9" t="s">
        <v>27</v>
      </c>
    </row>
    <row r="42975" ht="15.75" customHeight="1">
      <c r="A42975" s="7"/>
      <c r="B42975" s="7"/>
      <c r="M42975" s="9" t="s">
        <v>24</v>
      </c>
    </row>
    <row r="42976" ht="15.75" customHeight="1">
      <c r="A42976" s="7"/>
      <c r="B42976" s="7"/>
      <c r="M42976" s="9" t="s">
        <v>21</v>
      </c>
    </row>
    <row r="42977" ht="15.75" customHeight="1">
      <c r="A42977" s="7"/>
      <c r="B42977" s="7"/>
      <c r="M42977" s="9" t="s">
        <v>33</v>
      </c>
    </row>
    <row r="42978" ht="15.75" customHeight="1">
      <c r="A42978" s="7"/>
      <c r="B42978" s="7"/>
      <c r="M42978" s="9" t="s">
        <v>24</v>
      </c>
    </row>
    <row r="42979" ht="15.75" customHeight="1">
      <c r="A42979" s="7"/>
      <c r="B42979" s="7"/>
      <c r="M42979" s="9" t="s">
        <v>21</v>
      </c>
    </row>
    <row r="42980" ht="15.75" customHeight="1">
      <c r="A42980" s="7"/>
      <c r="B42980" s="7"/>
      <c r="M42980" s="9" t="s">
        <v>37</v>
      </c>
    </row>
    <row r="42981" ht="15.75" customHeight="1">
      <c r="A42981" s="7"/>
      <c r="B42981" s="7"/>
      <c r="M42981" s="9" t="s">
        <v>27</v>
      </c>
    </row>
    <row r="42982" ht="15.75" customHeight="1">
      <c r="A42982" s="7"/>
      <c r="B42982" s="7"/>
      <c r="M42982" s="9" t="s">
        <v>30</v>
      </c>
    </row>
    <row r="42983" ht="15.75" customHeight="1">
      <c r="A42983" s="7"/>
      <c r="B42983" s="7"/>
      <c r="M42983" s="9" t="s">
        <v>26</v>
      </c>
    </row>
    <row r="42984" ht="15.75" customHeight="1">
      <c r="A42984" s="7"/>
      <c r="B42984" s="7"/>
      <c r="M42984" s="9" t="s">
        <v>27</v>
      </c>
    </row>
    <row r="42985" ht="15.75" customHeight="1">
      <c r="A42985" s="7"/>
      <c r="B42985" s="7"/>
      <c r="M42985" s="9" t="s">
        <v>30</v>
      </c>
    </row>
    <row r="42986" ht="15.75" customHeight="1">
      <c r="A42986" s="7"/>
      <c r="B42986" s="7"/>
      <c r="M42986" s="9" t="s">
        <v>24</v>
      </c>
    </row>
    <row r="42987" ht="15.75" customHeight="1">
      <c r="A42987" s="7"/>
      <c r="B42987" s="7"/>
      <c r="M42987" s="9" t="s">
        <v>21</v>
      </c>
    </row>
    <row r="42988" ht="15.75" customHeight="1">
      <c r="A42988" s="7"/>
      <c r="B42988" s="7"/>
      <c r="M42988" s="9" t="s">
        <v>37</v>
      </c>
    </row>
    <row r="42989" ht="15.75" customHeight="1">
      <c r="A42989" s="7"/>
      <c r="B42989" s="7"/>
      <c r="M42989" s="9" t="s">
        <v>25</v>
      </c>
    </row>
    <row r="42990" ht="15.75" customHeight="1">
      <c r="A42990" s="7"/>
      <c r="B42990" s="7"/>
      <c r="M42990" s="9" t="s">
        <v>23</v>
      </c>
    </row>
    <row r="42991" ht="15.75" customHeight="1">
      <c r="A42991" s="7"/>
      <c r="B42991" s="7"/>
      <c r="M42991" s="9" t="s">
        <v>20</v>
      </c>
    </row>
    <row r="42992" ht="15.75" customHeight="1">
      <c r="A42992" s="7"/>
      <c r="B42992" s="7"/>
      <c r="M42992" s="9" t="s">
        <v>30</v>
      </c>
    </row>
    <row r="42993" ht="15.75" customHeight="1">
      <c r="A42993" s="7"/>
      <c r="B42993" s="7"/>
      <c r="M42993" s="9" t="s">
        <v>26</v>
      </c>
    </row>
    <row r="42994" ht="15.75" customHeight="1">
      <c r="A42994" s="7"/>
      <c r="B42994" s="7"/>
      <c r="M42994" s="9" t="s">
        <v>24</v>
      </c>
    </row>
    <row r="42995" ht="15.75" customHeight="1">
      <c r="A42995" s="7"/>
      <c r="B42995" s="7"/>
      <c r="M42995" s="9" t="s">
        <v>22</v>
      </c>
    </row>
    <row r="42996" ht="15.75" customHeight="1">
      <c r="A42996" s="7"/>
      <c r="B42996" s="7"/>
      <c r="M42996" s="9" t="s">
        <v>27</v>
      </c>
    </row>
    <row r="42997" ht="15.75" customHeight="1">
      <c r="A42997" s="7"/>
      <c r="B42997" s="7"/>
      <c r="M42997" s="9" t="s">
        <v>33</v>
      </c>
    </row>
    <row r="42998" ht="15.75" customHeight="1">
      <c r="A42998" s="7"/>
      <c r="B42998" s="7"/>
      <c r="M42998" s="9" t="s">
        <v>30</v>
      </c>
    </row>
    <row r="42999" ht="15.75" customHeight="1">
      <c r="A42999" s="7"/>
      <c r="B42999" s="7"/>
      <c r="M42999" s="9" t="s">
        <v>24</v>
      </c>
    </row>
    <row r="43000" ht="15.75" customHeight="1">
      <c r="A43000" s="7"/>
      <c r="B43000" s="7"/>
      <c r="M43000" s="9" t="s">
        <v>21</v>
      </c>
    </row>
    <row r="43001" ht="15.75" customHeight="1">
      <c r="A43001" s="7"/>
      <c r="B43001" s="7"/>
      <c r="M43001" s="9" t="s">
        <v>33</v>
      </c>
    </row>
    <row r="43002" ht="15.75" customHeight="1">
      <c r="A43002" s="7"/>
      <c r="B43002" s="7"/>
      <c r="M43002" s="9" t="s">
        <v>30</v>
      </c>
    </row>
    <row r="43003" ht="15.75" customHeight="1">
      <c r="A43003" s="7"/>
      <c r="B43003" s="7"/>
      <c r="M43003" s="9" t="s">
        <v>26</v>
      </c>
    </row>
    <row r="43004" ht="15.75" customHeight="1">
      <c r="A43004" s="7"/>
      <c r="B43004" s="7"/>
      <c r="M43004" s="9" t="s">
        <v>24</v>
      </c>
    </row>
    <row r="43005" ht="15.75" customHeight="1">
      <c r="A43005" s="7"/>
      <c r="B43005" s="7"/>
      <c r="M43005" s="9" t="s">
        <v>20</v>
      </c>
    </row>
    <row r="43006" ht="15.75" customHeight="1">
      <c r="A43006" s="7"/>
      <c r="B43006" s="7"/>
      <c r="M43006" s="9" t="s">
        <v>21</v>
      </c>
    </row>
    <row r="43007" ht="15.75" customHeight="1">
      <c r="A43007" s="7"/>
      <c r="B43007" s="7"/>
      <c r="M43007" s="9" t="s">
        <v>22</v>
      </c>
    </row>
    <row r="43008" ht="15.75" customHeight="1">
      <c r="A43008" s="7"/>
      <c r="B43008" s="7"/>
      <c r="M43008" s="9" t="s">
        <v>27</v>
      </c>
    </row>
    <row r="43009" ht="15.75" customHeight="1">
      <c r="A43009" s="7"/>
      <c r="B43009" s="7"/>
      <c r="M43009" s="9" t="s">
        <v>33</v>
      </c>
    </row>
    <row r="43010" ht="15.75" customHeight="1">
      <c r="A43010" s="7"/>
      <c r="B43010" s="7"/>
      <c r="M43010" s="9" t="s">
        <v>30</v>
      </c>
    </row>
    <row r="43011" ht="15.75" customHeight="1">
      <c r="A43011" s="7"/>
      <c r="B43011" s="7"/>
      <c r="M43011" s="9" t="s">
        <v>25</v>
      </c>
    </row>
    <row r="43012" ht="15.75" customHeight="1">
      <c r="A43012" s="7"/>
      <c r="B43012" s="7"/>
      <c r="M43012" s="9" t="s">
        <v>23</v>
      </c>
    </row>
    <row r="43013" ht="15.75" customHeight="1">
      <c r="A43013" s="7"/>
      <c r="B43013" s="7"/>
      <c r="M43013" s="9" t="s">
        <v>26</v>
      </c>
    </row>
    <row r="43014" ht="15.75" customHeight="1">
      <c r="A43014" s="7"/>
      <c r="B43014" s="7"/>
      <c r="M43014" s="9" t="s">
        <v>24</v>
      </c>
    </row>
    <row r="43015" ht="15.75" customHeight="1">
      <c r="A43015" s="7"/>
      <c r="B43015" s="7"/>
      <c r="M43015" s="9" t="s">
        <v>20</v>
      </c>
    </row>
    <row r="43016" ht="15.75" customHeight="1">
      <c r="A43016" s="7"/>
      <c r="B43016" s="7"/>
      <c r="M43016" s="9" t="s">
        <v>21</v>
      </c>
    </row>
    <row r="43017" ht="15.75" customHeight="1">
      <c r="A43017" s="7"/>
      <c r="B43017" s="7"/>
      <c r="M43017" s="9" t="s">
        <v>27</v>
      </c>
    </row>
    <row r="43018" ht="15.75" customHeight="1">
      <c r="A43018" s="7"/>
      <c r="B43018" s="7"/>
      <c r="M43018" s="9" t="s">
        <v>30</v>
      </c>
    </row>
    <row r="43019" ht="15.75" customHeight="1">
      <c r="A43019" s="7"/>
      <c r="B43019" s="7"/>
      <c r="M43019" s="9" t="s">
        <v>25</v>
      </c>
    </row>
    <row r="43020" ht="15.75" customHeight="1">
      <c r="A43020" s="7"/>
      <c r="B43020" s="7"/>
      <c r="M43020" s="9" t="s">
        <v>23</v>
      </c>
    </row>
    <row r="43021" ht="15.75" customHeight="1">
      <c r="A43021" s="7"/>
      <c r="B43021" s="7"/>
      <c r="M43021" s="9" t="s">
        <v>24</v>
      </c>
    </row>
    <row r="43022" ht="15.75" customHeight="1">
      <c r="A43022" s="7"/>
      <c r="B43022" s="7"/>
      <c r="M43022" s="9" t="s">
        <v>20</v>
      </c>
    </row>
    <row r="43023" ht="15.75" customHeight="1">
      <c r="A43023" s="7"/>
      <c r="B43023" s="7"/>
      <c r="M43023" s="9" t="s">
        <v>21</v>
      </c>
    </row>
    <row r="43024" ht="15.75" customHeight="1">
      <c r="A43024" s="7"/>
      <c r="B43024" s="7"/>
      <c r="M43024" s="9" t="s">
        <v>37</v>
      </c>
    </row>
    <row r="43025" ht="15.75" customHeight="1">
      <c r="A43025" s="7"/>
      <c r="B43025" s="7"/>
      <c r="M43025" s="9" t="s">
        <v>27</v>
      </c>
    </row>
    <row r="43026" ht="15.75" customHeight="1">
      <c r="A43026" s="7"/>
      <c r="B43026" s="7"/>
      <c r="M43026" s="9" t="s">
        <v>24</v>
      </c>
    </row>
    <row r="43027" ht="15.75" customHeight="1">
      <c r="A43027" s="7"/>
      <c r="B43027" s="7"/>
      <c r="M43027" s="9" t="s">
        <v>21</v>
      </c>
    </row>
    <row r="43028" ht="15.75" customHeight="1">
      <c r="A43028" s="7"/>
      <c r="B43028" s="7"/>
      <c r="M43028" s="9" t="s">
        <v>37</v>
      </c>
    </row>
    <row r="43029" ht="15.75" customHeight="1">
      <c r="A43029" s="7"/>
      <c r="B43029" s="7"/>
      <c r="M43029" s="9" t="s">
        <v>27</v>
      </c>
    </row>
    <row r="43030" ht="15.75" customHeight="1">
      <c r="A43030" s="7"/>
      <c r="B43030" s="7"/>
      <c r="M43030" s="9" t="s">
        <v>35</v>
      </c>
    </row>
    <row r="43031" ht="15.75" customHeight="1">
      <c r="A43031" s="7"/>
      <c r="B43031" s="7"/>
      <c r="M43031" s="9" t="s">
        <v>24</v>
      </c>
    </row>
    <row r="43032" ht="15.75" customHeight="1">
      <c r="A43032" s="7"/>
      <c r="B43032" s="7"/>
      <c r="M43032" s="9" t="s">
        <v>37</v>
      </c>
    </row>
    <row r="43033" ht="15.75" customHeight="1">
      <c r="A43033" s="7"/>
      <c r="B43033" s="7"/>
      <c r="M43033" s="9" t="s">
        <v>22</v>
      </c>
    </row>
    <row r="43034" ht="15.75" customHeight="1">
      <c r="A43034" s="7"/>
      <c r="B43034" s="7"/>
      <c r="M43034" s="9" t="s">
        <v>27</v>
      </c>
    </row>
    <row r="43035" ht="15.75" customHeight="1">
      <c r="A43035" s="7"/>
      <c r="B43035" s="7"/>
      <c r="M43035" s="9" t="s">
        <v>28</v>
      </c>
    </row>
    <row r="43036" ht="15.75" customHeight="1">
      <c r="A43036" s="7"/>
      <c r="B43036" s="7"/>
      <c r="M43036" s="9" t="s">
        <v>30</v>
      </c>
    </row>
    <row r="43037" ht="15.75" customHeight="1">
      <c r="A43037" s="7"/>
      <c r="B43037" s="7"/>
      <c r="M43037" s="9" t="s">
        <v>44</v>
      </c>
    </row>
    <row r="43038" ht="15.75" customHeight="1">
      <c r="A43038" s="7"/>
      <c r="B43038" s="7"/>
      <c r="M43038" s="9" t="s">
        <v>24</v>
      </c>
    </row>
    <row r="43039" ht="15.75" customHeight="1">
      <c r="A43039" s="7"/>
      <c r="B43039" s="7"/>
      <c r="M43039" s="9" t="s">
        <v>20</v>
      </c>
    </row>
    <row r="43040" ht="15.75" customHeight="1">
      <c r="A43040" s="7"/>
      <c r="B43040" s="7"/>
      <c r="M43040" s="9" t="s">
        <v>21</v>
      </c>
    </row>
    <row r="43041" ht="15.75" customHeight="1">
      <c r="A43041" s="7"/>
      <c r="B43041" s="7"/>
      <c r="M43041" s="9" t="s">
        <v>31</v>
      </c>
    </row>
    <row r="43042" ht="15.75" customHeight="1">
      <c r="A43042" s="7"/>
      <c r="B43042" s="7"/>
      <c r="M43042" s="9" t="s">
        <v>27</v>
      </c>
    </row>
    <row r="43043" ht="15.75" customHeight="1">
      <c r="A43043" s="7"/>
      <c r="B43043" s="7"/>
      <c r="M43043" s="9" t="s">
        <v>20</v>
      </c>
    </row>
    <row r="43044" ht="15.75" customHeight="1">
      <c r="A43044" s="7"/>
      <c r="B43044" s="7"/>
      <c r="M43044" s="9" t="s">
        <v>41</v>
      </c>
    </row>
    <row r="43045" ht="15.75" customHeight="1">
      <c r="A43045" s="7"/>
      <c r="B43045" s="7"/>
      <c r="M43045" s="9" t="s">
        <v>24</v>
      </c>
    </row>
    <row r="43046" ht="15.75" customHeight="1">
      <c r="A43046" s="7"/>
      <c r="B43046" s="7"/>
      <c r="M43046" s="9" t="s">
        <v>21</v>
      </c>
    </row>
    <row r="43047" ht="15.75" customHeight="1">
      <c r="A43047" s="7"/>
      <c r="B43047" s="7"/>
      <c r="M43047" s="9" t="s">
        <v>26</v>
      </c>
    </row>
    <row r="43048" ht="15.75" customHeight="1">
      <c r="A43048" s="7"/>
      <c r="B43048" s="7"/>
      <c r="M43048" s="9" t="s">
        <v>36</v>
      </c>
    </row>
    <row r="43049" ht="15.75" customHeight="1">
      <c r="A43049" s="7"/>
      <c r="B43049" s="7"/>
      <c r="M43049" s="9" t="s">
        <v>24</v>
      </c>
    </row>
    <row r="43050" ht="15.75" customHeight="1">
      <c r="A43050" s="7"/>
      <c r="B43050" s="7"/>
      <c r="M43050" s="9" t="s">
        <v>20</v>
      </c>
    </row>
    <row r="43051" ht="15.75" customHeight="1">
      <c r="A43051" s="7"/>
      <c r="B43051" s="7"/>
      <c r="M43051" s="9" t="s">
        <v>21</v>
      </c>
    </row>
    <row r="43052" ht="15.75" customHeight="1">
      <c r="A43052" s="7"/>
      <c r="B43052" s="7"/>
      <c r="M43052" s="9" t="s">
        <v>22</v>
      </c>
    </row>
    <row r="43053" ht="15.75" customHeight="1">
      <c r="A43053" s="7"/>
      <c r="B43053" s="7"/>
      <c r="M43053" s="9" t="s">
        <v>27</v>
      </c>
    </row>
    <row r="43054" ht="15.75" customHeight="1">
      <c r="A43054" s="7"/>
      <c r="B43054" s="7"/>
      <c r="M43054" s="9" t="s">
        <v>33</v>
      </c>
    </row>
    <row r="43055" ht="15.75" customHeight="1">
      <c r="A43055" s="7"/>
      <c r="B43055" s="7"/>
      <c r="M43055" s="9" t="s">
        <v>20</v>
      </c>
    </row>
    <row r="43056" ht="15.75" customHeight="1">
      <c r="A43056" s="7"/>
      <c r="B43056" s="7"/>
      <c r="M43056" s="9" t="s">
        <v>21</v>
      </c>
    </row>
    <row r="43057" ht="15.75" customHeight="1">
      <c r="A43057" s="7"/>
      <c r="B43057" s="7"/>
      <c r="M43057" s="9" t="s">
        <v>39</v>
      </c>
    </row>
    <row r="43058" ht="15.75" customHeight="1">
      <c r="A43058" s="7"/>
      <c r="B43058" s="7"/>
      <c r="M43058" s="9" t="s">
        <v>27</v>
      </c>
    </row>
    <row r="43059" ht="15.75" customHeight="1">
      <c r="A43059" s="7"/>
      <c r="B43059" s="7"/>
      <c r="M43059" s="9" t="s">
        <v>21</v>
      </c>
    </row>
    <row r="43060" ht="15.75" customHeight="1">
      <c r="A43060" s="7"/>
      <c r="B43060" s="7"/>
      <c r="M43060" s="9" t="s">
        <v>26</v>
      </c>
    </row>
    <row r="43061" ht="15.75" customHeight="1">
      <c r="A43061" s="7"/>
      <c r="B43061" s="7"/>
      <c r="M43061" s="9" t="s">
        <v>24</v>
      </c>
    </row>
    <row r="43062" ht="15.75" customHeight="1">
      <c r="A43062" s="7"/>
      <c r="B43062" s="7"/>
      <c r="M43062" s="9" t="s">
        <v>20</v>
      </c>
    </row>
    <row r="43063" ht="15.75" customHeight="1">
      <c r="A43063" s="7"/>
      <c r="B43063" s="7"/>
      <c r="M43063" s="9" t="s">
        <v>21</v>
      </c>
    </row>
    <row r="43064" ht="15.75" customHeight="1">
      <c r="A43064" s="7"/>
      <c r="B43064" s="7"/>
      <c r="M43064" s="9" t="s">
        <v>37</v>
      </c>
    </row>
    <row r="43065" ht="15.75" customHeight="1">
      <c r="A43065" s="7"/>
      <c r="B43065" s="7"/>
      <c r="M43065" s="9" t="s">
        <v>27</v>
      </c>
    </row>
    <row r="43066" ht="15.75" customHeight="1">
      <c r="A43066" s="7"/>
      <c r="B43066" s="7"/>
      <c r="M43066" s="9" t="s">
        <v>26</v>
      </c>
    </row>
    <row r="43067" ht="15.75" customHeight="1">
      <c r="A43067" s="7"/>
      <c r="B43067" s="7"/>
      <c r="M43067" s="9" t="s">
        <v>47</v>
      </c>
    </row>
    <row r="43068" ht="15.75" customHeight="1">
      <c r="A43068" s="7"/>
      <c r="B43068" s="7"/>
      <c r="M43068" s="9" t="s">
        <v>24</v>
      </c>
    </row>
    <row r="43069" ht="15.75" customHeight="1">
      <c r="A43069" s="7"/>
      <c r="B43069" s="7"/>
      <c r="M43069" s="9" t="s">
        <v>20</v>
      </c>
    </row>
    <row r="43070" ht="15.75" customHeight="1">
      <c r="A43070" s="7"/>
      <c r="B43070" s="7"/>
      <c r="M43070" s="9" t="s">
        <v>21</v>
      </c>
    </row>
    <row r="43071" ht="15.75" customHeight="1">
      <c r="A43071" s="7"/>
      <c r="B43071" s="7"/>
      <c r="M43071" s="9" t="s">
        <v>39</v>
      </c>
    </row>
    <row r="43072" ht="15.75" customHeight="1">
      <c r="A43072" s="7"/>
      <c r="B43072" s="7"/>
      <c r="M43072" s="9" t="s">
        <v>41</v>
      </c>
    </row>
    <row r="43073" ht="15.75" customHeight="1">
      <c r="A43073" s="7"/>
      <c r="B43073" s="7"/>
      <c r="M43073" s="9" t="s">
        <v>27</v>
      </c>
    </row>
    <row r="43074" ht="15.75" customHeight="1">
      <c r="A43074" s="7"/>
      <c r="B43074" s="7"/>
      <c r="M43074" s="9" t="s">
        <v>40</v>
      </c>
    </row>
    <row r="43075" ht="15.75" customHeight="1">
      <c r="A43075" s="7"/>
      <c r="B43075" s="7"/>
      <c r="M43075" s="9" t="s">
        <v>33</v>
      </c>
    </row>
    <row r="43076" ht="15.75" customHeight="1">
      <c r="A43076" s="7"/>
      <c r="B43076" s="7"/>
      <c r="M43076" s="9" t="s">
        <v>30</v>
      </c>
    </row>
    <row r="43077" ht="15.75" customHeight="1">
      <c r="A43077" s="7"/>
      <c r="B43077" s="7"/>
      <c r="M43077" s="9" t="s">
        <v>25</v>
      </c>
    </row>
    <row r="43078" ht="15.75" customHeight="1">
      <c r="A43078" s="7"/>
      <c r="B43078" s="7"/>
      <c r="M43078" s="9" t="s">
        <v>23</v>
      </c>
    </row>
    <row r="43079" ht="15.75" customHeight="1">
      <c r="A43079" s="7"/>
      <c r="B43079" s="7"/>
      <c r="M43079" s="9" t="s">
        <v>26</v>
      </c>
    </row>
    <row r="43080" ht="15.75" customHeight="1">
      <c r="A43080" s="7"/>
      <c r="B43080" s="7"/>
      <c r="M43080" s="9" t="s">
        <v>24</v>
      </c>
    </row>
    <row r="43081" ht="15.75" customHeight="1">
      <c r="A43081" s="7"/>
      <c r="B43081" s="7"/>
      <c r="M43081" s="9" t="s">
        <v>21</v>
      </c>
    </row>
    <row r="43082" ht="15.75" customHeight="1">
      <c r="A43082" s="7"/>
      <c r="B43082" s="7"/>
      <c r="M43082" s="9" t="s">
        <v>27</v>
      </c>
    </row>
    <row r="43083" ht="15.75" customHeight="1">
      <c r="A43083" s="7"/>
      <c r="B43083" s="7"/>
      <c r="M43083" s="9" t="s">
        <v>33</v>
      </c>
    </row>
    <row r="43084" ht="15.75" customHeight="1">
      <c r="A43084" s="7"/>
      <c r="B43084" s="7"/>
      <c r="M43084" s="9" t="s">
        <v>38</v>
      </c>
    </row>
    <row r="43085" ht="15.75" customHeight="1">
      <c r="A43085" s="7"/>
      <c r="B43085" s="7"/>
      <c r="M43085" s="9" t="s">
        <v>30</v>
      </c>
    </row>
    <row r="43086" ht="15.75" customHeight="1">
      <c r="A43086" s="7"/>
      <c r="B43086" s="7"/>
      <c r="M43086" s="9" t="s">
        <v>25</v>
      </c>
    </row>
    <row r="43087" ht="15.75" customHeight="1">
      <c r="A43087" s="7"/>
      <c r="B43087" s="7"/>
      <c r="M43087" s="9" t="s">
        <v>24</v>
      </c>
    </row>
    <row r="43088" ht="15.75" customHeight="1">
      <c r="A43088" s="7"/>
      <c r="B43088" s="7"/>
      <c r="M43088" s="9" t="s">
        <v>21</v>
      </c>
    </row>
    <row r="43089" ht="15.75" customHeight="1">
      <c r="A43089" s="7"/>
      <c r="B43089" s="7"/>
      <c r="M43089" s="9" t="s">
        <v>40</v>
      </c>
    </row>
    <row r="43090" ht="15.75" customHeight="1">
      <c r="A43090" s="7"/>
      <c r="B43090" s="7"/>
      <c r="M43090" s="9" t="s">
        <v>24</v>
      </c>
    </row>
    <row r="43091" ht="15.75" customHeight="1">
      <c r="A43091" s="7"/>
      <c r="B43091" s="7"/>
      <c r="M43091" s="9" t="s">
        <v>20</v>
      </c>
    </row>
    <row r="43092" ht="15.75" customHeight="1">
      <c r="A43092" s="7"/>
      <c r="B43092" s="7"/>
      <c r="M43092" s="9" t="s">
        <v>21</v>
      </c>
    </row>
    <row r="43093" ht="15.75" customHeight="1">
      <c r="A43093" s="7"/>
      <c r="B43093" s="7"/>
      <c r="M43093" s="9" t="s">
        <v>33</v>
      </c>
    </row>
    <row r="43094" ht="15.75" customHeight="1">
      <c r="A43094" s="7"/>
      <c r="B43094" s="7"/>
      <c r="M43094" s="9" t="s">
        <v>23</v>
      </c>
    </row>
    <row r="43095" ht="15.75" customHeight="1">
      <c r="A43095" s="7"/>
      <c r="B43095" s="7"/>
      <c r="M43095" s="9" t="s">
        <v>24</v>
      </c>
    </row>
    <row r="43096" ht="15.75" customHeight="1">
      <c r="A43096" s="7"/>
      <c r="B43096" s="7"/>
      <c r="M43096" s="9" t="s">
        <v>21</v>
      </c>
    </row>
    <row r="43097" ht="15.75" customHeight="1">
      <c r="A43097" s="7"/>
      <c r="B43097" s="7"/>
      <c r="M43097" s="9" t="s">
        <v>37</v>
      </c>
    </row>
    <row r="43098" ht="15.75" customHeight="1">
      <c r="A43098" s="7"/>
      <c r="B43098" s="7"/>
      <c r="M43098" s="9" t="s">
        <v>22</v>
      </c>
    </row>
    <row r="43099" ht="15.75" customHeight="1">
      <c r="A43099" s="7"/>
      <c r="B43099" s="7"/>
      <c r="M43099" s="9" t="s">
        <v>27</v>
      </c>
    </row>
    <row r="43100" ht="15.75" customHeight="1">
      <c r="A43100" s="7"/>
      <c r="B43100" s="7"/>
      <c r="M43100" s="9" t="s">
        <v>26</v>
      </c>
    </row>
    <row r="43101" ht="15.75" customHeight="1">
      <c r="A43101" s="7"/>
      <c r="B43101" s="7"/>
      <c r="M43101" s="9" t="s">
        <v>24</v>
      </c>
    </row>
    <row r="43102" ht="15.75" customHeight="1">
      <c r="A43102" s="7"/>
      <c r="B43102" s="7"/>
      <c r="M43102" s="9" t="s">
        <v>20</v>
      </c>
    </row>
    <row r="43103" ht="15.75" customHeight="1">
      <c r="A43103" s="7"/>
      <c r="B43103" s="7"/>
      <c r="M43103" s="9" t="s">
        <v>21</v>
      </c>
    </row>
    <row r="43104" ht="15.75" customHeight="1">
      <c r="A43104" s="7"/>
      <c r="B43104" s="7"/>
      <c r="M43104" s="9" t="s">
        <v>36</v>
      </c>
    </row>
    <row r="43105" ht="15.75" customHeight="1">
      <c r="A43105" s="7"/>
      <c r="B43105" s="7"/>
      <c r="M43105" s="9" t="s">
        <v>24</v>
      </c>
    </row>
    <row r="43106" ht="15.75" customHeight="1">
      <c r="A43106" s="7"/>
      <c r="B43106" s="7"/>
      <c r="M43106" s="9" t="s">
        <v>20</v>
      </c>
    </row>
    <row r="43107" ht="15.75" customHeight="1">
      <c r="A43107" s="7"/>
      <c r="B43107" s="7"/>
      <c r="M43107" s="9" t="s">
        <v>21</v>
      </c>
    </row>
    <row r="43108" ht="15.75" customHeight="1">
      <c r="A43108" s="7"/>
      <c r="B43108" s="7"/>
      <c r="M43108" s="9" t="s">
        <v>39</v>
      </c>
    </row>
    <row r="43109" ht="15.75" customHeight="1">
      <c r="A43109" s="7"/>
      <c r="B43109" s="7"/>
      <c r="M43109" s="9" t="s">
        <v>27</v>
      </c>
    </row>
    <row r="43110" ht="15.75" customHeight="1">
      <c r="A43110" s="7"/>
      <c r="B43110" s="7"/>
      <c r="M43110" s="9" t="s">
        <v>30</v>
      </c>
    </row>
    <row r="43111" ht="15.75" customHeight="1">
      <c r="A43111" s="7"/>
      <c r="B43111" s="7"/>
      <c r="M43111" s="9" t="s">
        <v>26</v>
      </c>
    </row>
    <row r="43112" ht="15.75" customHeight="1">
      <c r="A43112" s="7"/>
      <c r="B43112" s="7"/>
      <c r="M43112" s="9" t="s">
        <v>24</v>
      </c>
    </row>
    <row r="43113" ht="15.75" customHeight="1">
      <c r="A43113" s="7"/>
      <c r="B43113" s="7"/>
      <c r="M43113" s="9" t="s">
        <v>21</v>
      </c>
    </row>
    <row r="43114" ht="15.75" customHeight="1">
      <c r="A43114" s="7"/>
      <c r="B43114" s="7"/>
      <c r="M43114" s="9" t="s">
        <v>37</v>
      </c>
    </row>
    <row r="43115" ht="15.75" customHeight="1">
      <c r="A43115" s="7"/>
      <c r="B43115" s="7"/>
      <c r="M43115" s="9" t="s">
        <v>27</v>
      </c>
    </row>
    <row r="43116" ht="15.75" customHeight="1">
      <c r="A43116" s="7"/>
      <c r="B43116" s="7"/>
      <c r="M43116" s="9" t="s">
        <v>33</v>
      </c>
    </row>
    <row r="43117" ht="15.75" customHeight="1">
      <c r="A43117" s="7"/>
      <c r="B43117" s="7"/>
      <c r="M43117" s="9" t="s">
        <v>41</v>
      </c>
    </row>
    <row r="43118" ht="15.75" customHeight="1">
      <c r="A43118" s="7"/>
      <c r="B43118" s="7"/>
      <c r="M43118" s="9" t="s">
        <v>40</v>
      </c>
    </row>
    <row r="43119" ht="15.75" customHeight="1">
      <c r="A43119" s="7"/>
      <c r="B43119" s="7"/>
      <c r="M43119" s="9" t="s">
        <v>24</v>
      </c>
    </row>
    <row r="43120" ht="15.75" customHeight="1">
      <c r="A43120" s="7"/>
      <c r="B43120" s="7"/>
      <c r="M43120" s="9" t="s">
        <v>21</v>
      </c>
    </row>
    <row r="43121" ht="15.75" customHeight="1">
      <c r="A43121" s="7"/>
      <c r="B43121" s="7"/>
      <c r="M43121" s="9" t="s">
        <v>24</v>
      </c>
    </row>
    <row r="43122" ht="15.75" customHeight="1">
      <c r="A43122" s="7"/>
      <c r="B43122" s="7"/>
      <c r="M43122" s="9" t="s">
        <v>37</v>
      </c>
    </row>
    <row r="43123" ht="15.75" customHeight="1">
      <c r="A43123" s="7"/>
      <c r="B43123" s="7"/>
      <c r="M43123" s="9" t="s">
        <v>22</v>
      </c>
    </row>
    <row r="43124" ht="15.75" customHeight="1">
      <c r="A43124" s="7"/>
      <c r="B43124" s="7"/>
      <c r="M43124" s="9" t="s">
        <v>23</v>
      </c>
    </row>
    <row r="43125" ht="15.75" customHeight="1">
      <c r="A43125" s="7"/>
      <c r="B43125" s="7"/>
      <c r="M43125" s="9" t="s">
        <v>20</v>
      </c>
    </row>
    <row r="43126" ht="15.75" customHeight="1">
      <c r="A43126" s="7"/>
      <c r="B43126" s="7"/>
      <c r="M43126" s="9" t="s">
        <v>22</v>
      </c>
    </row>
    <row r="43127" ht="15.75" customHeight="1">
      <c r="A43127" s="7"/>
      <c r="B43127" s="7"/>
      <c r="M43127" s="9" t="s">
        <v>20</v>
      </c>
    </row>
    <row r="43128" ht="15.75" customHeight="1">
      <c r="A43128" s="7"/>
      <c r="B43128" s="7"/>
      <c r="M43128" s="9" t="s">
        <v>27</v>
      </c>
    </row>
    <row r="43129" ht="15.75" customHeight="1">
      <c r="A43129" s="7"/>
      <c r="B43129" s="7"/>
      <c r="M43129" s="9" t="s">
        <v>35</v>
      </c>
    </row>
    <row r="43130" ht="15.75" customHeight="1">
      <c r="A43130" s="7"/>
      <c r="B43130" s="7"/>
      <c r="M43130" s="9" t="s">
        <v>20</v>
      </c>
    </row>
    <row r="43131" ht="15.75" customHeight="1">
      <c r="A43131" s="7"/>
      <c r="B43131" s="7"/>
      <c r="M43131" s="9" t="s">
        <v>21</v>
      </c>
    </row>
    <row r="43132" ht="15.75" customHeight="1">
      <c r="A43132" s="7"/>
      <c r="B43132" s="7"/>
      <c r="M43132" s="9" t="s">
        <v>35</v>
      </c>
    </row>
    <row r="43133" ht="15.75" customHeight="1">
      <c r="A43133" s="7"/>
      <c r="B43133" s="7"/>
      <c r="M43133" s="9" t="s">
        <v>30</v>
      </c>
    </row>
    <row r="43134" ht="15.75" customHeight="1">
      <c r="A43134" s="7"/>
      <c r="B43134" s="7"/>
      <c r="M43134" s="9" t="s">
        <v>25</v>
      </c>
    </row>
    <row r="43135" ht="15.75" customHeight="1">
      <c r="A43135" s="7"/>
      <c r="B43135" s="7"/>
      <c r="M43135" s="9" t="s">
        <v>23</v>
      </c>
    </row>
    <row r="43136" ht="15.75" customHeight="1">
      <c r="A43136" s="7"/>
      <c r="B43136" s="7"/>
      <c r="M43136" s="9" t="s">
        <v>26</v>
      </c>
    </row>
    <row r="43137" ht="15.75" customHeight="1">
      <c r="A43137" s="7"/>
      <c r="B43137" s="7"/>
      <c r="M43137" s="9" t="s">
        <v>42</v>
      </c>
    </row>
    <row r="43138" ht="15.75" customHeight="1">
      <c r="A43138" s="7"/>
      <c r="B43138" s="7"/>
      <c r="M43138" s="9" t="s">
        <v>43</v>
      </c>
    </row>
    <row r="43139" ht="15.75" customHeight="1">
      <c r="A43139" s="7"/>
      <c r="B43139" s="7"/>
      <c r="M43139" s="9" t="s">
        <v>36</v>
      </c>
    </row>
    <row r="43140" ht="15.75" customHeight="1">
      <c r="A43140" s="7"/>
      <c r="B43140" s="7"/>
      <c r="M43140" s="9" t="s">
        <v>24</v>
      </c>
    </row>
    <row r="43141" ht="15.75" customHeight="1">
      <c r="A43141" s="7"/>
      <c r="B43141" s="7"/>
      <c r="M43141" s="9" t="s">
        <v>20</v>
      </c>
    </row>
    <row r="43142" ht="15.75" customHeight="1">
      <c r="A43142" s="7"/>
      <c r="B43142" s="7"/>
      <c r="M43142" s="9" t="s">
        <v>21</v>
      </c>
    </row>
    <row r="43143" ht="15.75" customHeight="1">
      <c r="A43143" s="7"/>
      <c r="B43143" s="7"/>
      <c r="M43143" s="9" t="s">
        <v>22</v>
      </c>
    </row>
    <row r="43144" ht="15.75" customHeight="1">
      <c r="A43144" s="7"/>
      <c r="B43144" s="7"/>
      <c r="M43144" s="9" t="s">
        <v>35</v>
      </c>
    </row>
    <row r="43145" ht="15.75" customHeight="1">
      <c r="A43145" s="7"/>
      <c r="B43145" s="7"/>
      <c r="M43145" s="9" t="s">
        <v>30</v>
      </c>
    </row>
    <row r="43146" ht="15.75" customHeight="1">
      <c r="A43146" s="7"/>
      <c r="B43146" s="7"/>
      <c r="M43146" s="9" t="s">
        <v>20</v>
      </c>
    </row>
    <row r="43147" ht="15.75" customHeight="1">
      <c r="A43147" s="7"/>
      <c r="B43147" s="7"/>
      <c r="M43147" s="9" t="s">
        <v>22</v>
      </c>
    </row>
    <row r="43148" ht="15.75" customHeight="1">
      <c r="A43148" s="7"/>
      <c r="B43148" s="7"/>
      <c r="M43148" s="9" t="s">
        <v>20</v>
      </c>
    </row>
    <row r="43149" ht="15.75" customHeight="1">
      <c r="A43149" s="7"/>
      <c r="B43149" s="7"/>
      <c r="M43149" s="9" t="s">
        <v>21</v>
      </c>
    </row>
    <row r="43150" ht="15.75" customHeight="1">
      <c r="A43150" s="7"/>
      <c r="B43150" s="7"/>
      <c r="M43150" s="9" t="s">
        <v>25</v>
      </c>
    </row>
    <row r="43151" ht="15.75" customHeight="1">
      <c r="A43151" s="7"/>
      <c r="B43151" s="7"/>
      <c r="M43151" s="9" t="s">
        <v>23</v>
      </c>
    </row>
    <row r="43152" ht="15.75" customHeight="1">
      <c r="A43152" s="7"/>
      <c r="B43152" s="7"/>
      <c r="M43152" s="9" t="s">
        <v>24</v>
      </c>
    </row>
    <row r="43153" ht="15.75" customHeight="1">
      <c r="A43153" s="7"/>
      <c r="B43153" s="7"/>
      <c r="M43153" s="9" t="s">
        <v>20</v>
      </c>
    </row>
    <row r="43154" ht="15.75" customHeight="1">
      <c r="A43154" s="7"/>
      <c r="B43154" s="7"/>
      <c r="M43154" s="9" t="s">
        <v>21</v>
      </c>
    </row>
    <row r="43155" ht="15.75" customHeight="1">
      <c r="A43155" s="7"/>
      <c r="B43155" s="7"/>
      <c r="M43155" s="9" t="s">
        <v>22</v>
      </c>
    </row>
    <row r="43156" ht="15.75" customHeight="1">
      <c r="A43156" s="7"/>
      <c r="B43156" s="7"/>
      <c r="M43156" s="9" t="s">
        <v>30</v>
      </c>
    </row>
    <row r="43157" ht="15.75" customHeight="1">
      <c r="A43157" s="7"/>
      <c r="B43157" s="7"/>
      <c r="M43157" s="9" t="s">
        <v>26</v>
      </c>
    </row>
    <row r="43158" ht="15.75" customHeight="1">
      <c r="A43158" s="7"/>
      <c r="B43158" s="7"/>
      <c r="M43158" s="9" t="s">
        <v>24</v>
      </c>
    </row>
    <row r="43159" ht="15.75" customHeight="1">
      <c r="A43159" s="7"/>
      <c r="B43159" s="7"/>
      <c r="M43159" s="9" t="s">
        <v>21</v>
      </c>
    </row>
    <row r="43160" ht="15.75" customHeight="1">
      <c r="A43160" s="7"/>
      <c r="B43160" s="7"/>
      <c r="M43160" s="9" t="s">
        <v>27</v>
      </c>
    </row>
    <row r="43161" ht="15.75" customHeight="1">
      <c r="A43161" s="7"/>
      <c r="B43161" s="7"/>
      <c r="M43161" s="9" t="s">
        <v>24</v>
      </c>
    </row>
    <row r="43162" ht="15.75" customHeight="1">
      <c r="A43162" s="7"/>
      <c r="B43162" s="7"/>
      <c r="M43162" s="9" t="s">
        <v>20</v>
      </c>
    </row>
    <row r="43163" ht="15.75" customHeight="1">
      <c r="A43163" s="7"/>
      <c r="B43163" s="7"/>
      <c r="M43163" s="9" t="s">
        <v>21</v>
      </c>
    </row>
    <row r="43164" ht="15.75" customHeight="1">
      <c r="A43164" s="7"/>
      <c r="B43164" s="7"/>
      <c r="M43164" s="9" t="s">
        <v>37</v>
      </c>
    </row>
    <row r="43165" ht="15.75" customHeight="1">
      <c r="A43165" s="7"/>
      <c r="B43165" s="7"/>
      <c r="M43165" s="9" t="s">
        <v>27</v>
      </c>
    </row>
    <row r="43166" ht="15.75" customHeight="1">
      <c r="A43166" s="7"/>
      <c r="B43166" s="7"/>
      <c r="M43166" s="9" t="s">
        <v>33</v>
      </c>
    </row>
    <row r="43167" ht="15.75" customHeight="1">
      <c r="A43167" s="7"/>
      <c r="B43167" s="7"/>
      <c r="M43167" s="9" t="s">
        <v>23</v>
      </c>
    </row>
    <row r="43168" ht="15.75" customHeight="1">
      <c r="A43168" s="7"/>
      <c r="B43168" s="7"/>
      <c r="M43168" s="9" t="s">
        <v>44</v>
      </c>
    </row>
    <row r="43169" ht="15.75" customHeight="1">
      <c r="A43169" s="7"/>
      <c r="B43169" s="7"/>
      <c r="M43169" s="9" t="s">
        <v>24</v>
      </c>
    </row>
    <row r="43170" ht="15.75" customHeight="1">
      <c r="A43170" s="7"/>
      <c r="B43170" s="7"/>
      <c r="M43170" s="9" t="s">
        <v>20</v>
      </c>
    </row>
    <row r="43171" ht="15.75" customHeight="1">
      <c r="A43171" s="7"/>
      <c r="B43171" s="7"/>
      <c r="M43171" s="9" t="s">
        <v>21</v>
      </c>
    </row>
    <row r="43172" ht="15.75" customHeight="1">
      <c r="A43172" s="7"/>
      <c r="B43172" s="7"/>
      <c r="M43172" s="9" t="s">
        <v>22</v>
      </c>
    </row>
    <row r="43173" ht="15.75" customHeight="1">
      <c r="A43173" s="7"/>
      <c r="B43173" s="7"/>
      <c r="M43173" s="9" t="s">
        <v>32</v>
      </c>
    </row>
    <row r="43174" ht="15.75" customHeight="1">
      <c r="A43174" s="7"/>
      <c r="B43174" s="7"/>
      <c r="M43174" s="9" t="s">
        <v>33</v>
      </c>
    </row>
    <row r="43175" ht="15.75" customHeight="1">
      <c r="A43175" s="7"/>
      <c r="B43175" s="7"/>
      <c r="M43175" s="9" t="s">
        <v>30</v>
      </c>
    </row>
    <row r="43176" ht="15.75" customHeight="1">
      <c r="A43176" s="7"/>
      <c r="B43176" s="7"/>
      <c r="M43176" s="9" t="s">
        <v>26</v>
      </c>
    </row>
    <row r="43177" ht="15.75" customHeight="1">
      <c r="A43177" s="7"/>
      <c r="B43177" s="7"/>
      <c r="M43177" s="9" t="s">
        <v>24</v>
      </c>
    </row>
    <row r="43178" ht="15.75" customHeight="1">
      <c r="A43178" s="7"/>
      <c r="B43178" s="7"/>
      <c r="M43178" s="9" t="s">
        <v>20</v>
      </c>
    </row>
    <row r="43179" ht="15.75" customHeight="1">
      <c r="A43179" s="7"/>
      <c r="B43179" s="7"/>
      <c r="M43179" s="9" t="s">
        <v>21</v>
      </c>
    </row>
    <row r="43180" ht="15.75" customHeight="1">
      <c r="A43180" s="7"/>
      <c r="B43180" s="7"/>
      <c r="M43180" s="9" t="s">
        <v>37</v>
      </c>
    </row>
    <row r="43181" ht="15.75" customHeight="1">
      <c r="A43181" s="7"/>
      <c r="B43181" s="7"/>
      <c r="M43181" s="9" t="s">
        <v>29</v>
      </c>
    </row>
    <row r="43182" ht="15.75" customHeight="1">
      <c r="A43182" s="7"/>
      <c r="B43182" s="7"/>
      <c r="M43182" s="9" t="s">
        <v>27</v>
      </c>
    </row>
    <row r="43183" ht="15.75" customHeight="1">
      <c r="A43183" s="7"/>
      <c r="B43183" s="7"/>
      <c r="M43183" s="9" t="s">
        <v>33</v>
      </c>
    </row>
    <row r="43184" ht="15.75" customHeight="1">
      <c r="A43184" s="7"/>
      <c r="B43184" s="7"/>
      <c r="M43184" s="9" t="s">
        <v>30</v>
      </c>
    </row>
    <row r="43185" ht="15.75" customHeight="1">
      <c r="A43185" s="7"/>
      <c r="B43185" s="7"/>
      <c r="M43185" s="9" t="s">
        <v>36</v>
      </c>
    </row>
    <row r="43186" ht="15.75" customHeight="1">
      <c r="A43186" s="7"/>
      <c r="B43186" s="7"/>
      <c r="M43186" s="9" t="s">
        <v>24</v>
      </c>
    </row>
    <row r="43187" ht="15.75" customHeight="1">
      <c r="A43187" s="7"/>
      <c r="B43187" s="7"/>
      <c r="M43187" s="9" t="s">
        <v>20</v>
      </c>
    </row>
    <row r="43188" ht="15.75" customHeight="1">
      <c r="A43188" s="7"/>
      <c r="B43188" s="7"/>
      <c r="M43188" s="9" t="s">
        <v>21</v>
      </c>
    </row>
    <row r="43189" ht="15.75" customHeight="1">
      <c r="A43189" s="7"/>
      <c r="B43189" s="7"/>
      <c r="M43189" s="9" t="s">
        <v>37</v>
      </c>
    </row>
    <row r="43190" ht="15.75" customHeight="1">
      <c r="A43190" s="7"/>
      <c r="B43190" s="7"/>
      <c r="M43190" s="9" t="s">
        <v>22</v>
      </c>
    </row>
    <row r="43191" ht="15.75" customHeight="1">
      <c r="A43191" s="7"/>
      <c r="B43191" s="7"/>
      <c r="M43191" s="9" t="s">
        <v>27</v>
      </c>
    </row>
    <row r="43192" ht="15.75" customHeight="1">
      <c r="A43192" s="7"/>
      <c r="B43192" s="7"/>
      <c r="M43192" s="9" t="s">
        <v>38</v>
      </c>
    </row>
    <row r="43193" ht="15.75" customHeight="1">
      <c r="A43193" s="7"/>
      <c r="B43193" s="7"/>
      <c r="M43193" s="9" t="s">
        <v>25</v>
      </c>
    </row>
    <row r="43194" ht="15.75" customHeight="1">
      <c r="A43194" s="7"/>
      <c r="B43194" s="7"/>
      <c r="M43194" s="9" t="s">
        <v>23</v>
      </c>
    </row>
    <row r="43195" ht="15.75" customHeight="1">
      <c r="A43195" s="7"/>
      <c r="B43195" s="7"/>
      <c r="M43195" s="9" t="s">
        <v>24</v>
      </c>
    </row>
    <row r="43196" ht="15.75" customHeight="1">
      <c r="A43196" s="7"/>
      <c r="B43196" s="7"/>
      <c r="M43196" s="9" t="s">
        <v>20</v>
      </c>
    </row>
    <row r="43197" ht="15.75" customHeight="1">
      <c r="A43197" s="7"/>
      <c r="B43197" s="7"/>
      <c r="M43197" s="9" t="s">
        <v>21</v>
      </c>
    </row>
    <row r="43198" ht="15.75" customHeight="1">
      <c r="A43198" s="7"/>
      <c r="B43198" s="7"/>
      <c r="M43198" s="9" t="s">
        <v>27</v>
      </c>
    </row>
    <row r="43199" ht="15.75" customHeight="1">
      <c r="A43199" s="7"/>
      <c r="B43199" s="7"/>
      <c r="M43199" s="9" t="s">
        <v>30</v>
      </c>
    </row>
    <row r="43200" ht="15.75" customHeight="1">
      <c r="A43200" s="7"/>
      <c r="B43200" s="7"/>
      <c r="M43200" s="9" t="s">
        <v>24</v>
      </c>
    </row>
    <row r="43201" ht="15.75" customHeight="1">
      <c r="A43201" s="7"/>
      <c r="B43201" s="7"/>
      <c r="M43201" s="9" t="s">
        <v>20</v>
      </c>
    </row>
    <row r="43202" ht="15.75" customHeight="1">
      <c r="A43202" s="7"/>
      <c r="B43202" s="7"/>
      <c r="M43202" s="9" t="s">
        <v>21</v>
      </c>
    </row>
    <row r="43203" ht="15.75" customHeight="1">
      <c r="A43203" s="7"/>
      <c r="B43203" s="7"/>
      <c r="M43203" s="9" t="s">
        <v>39</v>
      </c>
    </row>
    <row r="43204" ht="15.75" customHeight="1">
      <c r="A43204" s="7"/>
      <c r="B43204" s="7"/>
      <c r="M43204" s="9" t="s">
        <v>37</v>
      </c>
    </row>
    <row r="43205" ht="15.75" customHeight="1">
      <c r="A43205" s="7"/>
      <c r="B43205" s="7"/>
      <c r="M43205" s="9" t="s">
        <v>27</v>
      </c>
    </row>
    <row r="43206" ht="15.75" customHeight="1">
      <c r="A43206" s="7"/>
      <c r="B43206" s="7"/>
      <c r="M43206" s="9" t="s">
        <v>33</v>
      </c>
    </row>
    <row r="43207" ht="15.75" customHeight="1">
      <c r="A43207" s="7"/>
      <c r="B43207" s="7"/>
      <c r="M43207" s="9" t="s">
        <v>24</v>
      </c>
    </row>
    <row r="43208" ht="15.75" customHeight="1">
      <c r="A43208" s="7"/>
      <c r="B43208" s="7"/>
      <c r="M43208" s="9" t="s">
        <v>20</v>
      </c>
    </row>
    <row r="43209" ht="15.75" customHeight="1">
      <c r="A43209" s="7"/>
      <c r="B43209" s="7"/>
      <c r="M43209" s="9" t="s">
        <v>21</v>
      </c>
    </row>
    <row r="43210" ht="15.75" customHeight="1">
      <c r="A43210" s="7"/>
      <c r="B43210" s="7"/>
      <c r="M43210" s="9" t="s">
        <v>39</v>
      </c>
    </row>
    <row r="43211" ht="15.75" customHeight="1">
      <c r="A43211" s="7"/>
      <c r="B43211" s="7"/>
      <c r="M43211" s="9" t="s">
        <v>22</v>
      </c>
    </row>
    <row r="43212" ht="15.75" customHeight="1">
      <c r="A43212" s="7"/>
      <c r="B43212" s="7"/>
      <c r="M43212" s="9" t="s">
        <v>31</v>
      </c>
    </row>
    <row r="43213" ht="15.75" customHeight="1">
      <c r="A43213" s="7"/>
      <c r="B43213" s="7"/>
      <c r="M43213" s="9" t="s">
        <v>27</v>
      </c>
    </row>
    <row r="43214" ht="15.75" customHeight="1">
      <c r="A43214" s="7"/>
      <c r="B43214" s="7"/>
      <c r="M43214" s="9" t="s">
        <v>33</v>
      </c>
    </row>
    <row r="43215" ht="15.75" customHeight="1">
      <c r="A43215" s="7"/>
      <c r="B43215" s="7"/>
      <c r="M43215" s="9" t="s">
        <v>34</v>
      </c>
    </row>
    <row r="43216" ht="15.75" customHeight="1">
      <c r="A43216" s="7"/>
      <c r="B43216" s="7"/>
      <c r="M43216" s="9" t="s">
        <v>30</v>
      </c>
    </row>
    <row r="43217" ht="15.75" customHeight="1">
      <c r="A43217" s="7"/>
      <c r="B43217" s="7"/>
      <c r="M43217" s="9" t="s">
        <v>26</v>
      </c>
    </row>
    <row r="43218" ht="15.75" customHeight="1">
      <c r="A43218" s="7"/>
      <c r="B43218" s="7"/>
      <c r="M43218" s="9" t="s">
        <v>24</v>
      </c>
    </row>
    <row r="43219" ht="15.75" customHeight="1">
      <c r="A43219" s="7"/>
      <c r="B43219" s="7"/>
      <c r="M43219" s="9" t="s">
        <v>21</v>
      </c>
    </row>
    <row r="43220" ht="15.75" customHeight="1">
      <c r="A43220" s="7"/>
      <c r="B43220" s="7"/>
      <c r="M43220" s="9" t="s">
        <v>37</v>
      </c>
    </row>
    <row r="43221" ht="15.75" customHeight="1">
      <c r="A43221" s="7"/>
      <c r="B43221" s="7"/>
      <c r="M43221" s="9" t="s">
        <v>22</v>
      </c>
    </row>
    <row r="43222" ht="15.75" customHeight="1">
      <c r="A43222" s="7"/>
      <c r="B43222" s="7"/>
      <c r="M43222" s="9" t="s">
        <v>27</v>
      </c>
    </row>
    <row r="43223" ht="15.75" customHeight="1">
      <c r="A43223" s="7"/>
      <c r="B43223" s="7"/>
      <c r="M43223" s="9" t="s">
        <v>35</v>
      </c>
    </row>
    <row r="43224" ht="15.75" customHeight="1">
      <c r="A43224" s="7"/>
      <c r="B43224" s="7"/>
      <c r="M43224" s="9" t="s">
        <v>41</v>
      </c>
    </row>
    <row r="43225" ht="15.75" customHeight="1">
      <c r="A43225" s="7"/>
      <c r="B43225" s="7"/>
      <c r="M43225" s="9" t="s">
        <v>33</v>
      </c>
    </row>
    <row r="43226" ht="15.75" customHeight="1">
      <c r="A43226" s="7"/>
      <c r="B43226" s="7"/>
      <c r="M43226" s="9" t="s">
        <v>38</v>
      </c>
    </row>
    <row r="43227" ht="15.75" customHeight="1">
      <c r="A43227" s="7"/>
      <c r="B43227" s="7"/>
      <c r="M43227" s="9" t="s">
        <v>30</v>
      </c>
    </row>
    <row r="43228" ht="15.75" customHeight="1">
      <c r="A43228" s="7"/>
      <c r="B43228" s="7"/>
      <c r="M43228" s="9" t="s">
        <v>25</v>
      </c>
    </row>
    <row r="43229" ht="15.75" customHeight="1">
      <c r="A43229" s="7"/>
      <c r="B43229" s="7"/>
      <c r="M43229" s="9" t="s">
        <v>23</v>
      </c>
    </row>
    <row r="43230" ht="15.75" customHeight="1">
      <c r="A43230" s="7"/>
      <c r="B43230" s="7"/>
      <c r="M43230" s="9" t="s">
        <v>26</v>
      </c>
    </row>
    <row r="43231" ht="15.75" customHeight="1">
      <c r="A43231" s="7"/>
      <c r="B43231" s="7"/>
      <c r="M43231" s="9" t="s">
        <v>44</v>
      </c>
    </row>
    <row r="43232" ht="15.75" customHeight="1">
      <c r="A43232" s="7"/>
      <c r="B43232" s="7"/>
      <c r="M43232" s="9" t="s">
        <v>47</v>
      </c>
    </row>
    <row r="43233" ht="15.75" customHeight="1">
      <c r="A43233" s="7"/>
      <c r="B43233" s="7"/>
      <c r="M43233" s="9" t="s">
        <v>42</v>
      </c>
    </row>
    <row r="43234" ht="15.75" customHeight="1">
      <c r="A43234" s="7"/>
      <c r="B43234" s="7"/>
      <c r="M43234" s="9" t="s">
        <v>43</v>
      </c>
    </row>
    <row r="43235" ht="15.75" customHeight="1">
      <c r="A43235" s="7"/>
      <c r="B43235" s="7"/>
      <c r="M43235" s="9" t="s">
        <v>45</v>
      </c>
    </row>
    <row r="43236" ht="15.75" customHeight="1">
      <c r="A43236" s="7"/>
      <c r="B43236" s="7"/>
      <c r="M43236" s="9" t="s">
        <v>36</v>
      </c>
    </row>
    <row r="43237" ht="15.75" customHeight="1">
      <c r="A43237" s="7"/>
      <c r="B43237" s="7"/>
      <c r="M43237" s="9" t="s">
        <v>24</v>
      </c>
    </row>
    <row r="43238" ht="15.75" customHeight="1">
      <c r="A43238" s="7"/>
      <c r="B43238" s="7"/>
      <c r="M43238" s="9" t="s">
        <v>20</v>
      </c>
    </row>
    <row r="43239" ht="15.75" customHeight="1">
      <c r="A43239" s="7"/>
      <c r="B43239" s="7"/>
      <c r="M43239" s="9" t="s">
        <v>21</v>
      </c>
    </row>
    <row r="43240" ht="15.75" customHeight="1">
      <c r="A43240" s="7"/>
      <c r="B43240" s="7"/>
      <c r="M43240" s="9" t="s">
        <v>39</v>
      </c>
    </row>
    <row r="43241" ht="15.75" customHeight="1">
      <c r="A43241" s="7"/>
      <c r="B43241" s="7"/>
      <c r="M43241" s="9" t="s">
        <v>41</v>
      </c>
    </row>
    <row r="43242" ht="15.75" customHeight="1">
      <c r="A43242" s="7"/>
      <c r="B43242" s="7"/>
      <c r="M43242" s="9" t="s">
        <v>37</v>
      </c>
    </row>
    <row r="43243" ht="15.75" customHeight="1">
      <c r="A43243" s="7"/>
      <c r="B43243" s="7"/>
      <c r="M43243" s="9" t="s">
        <v>22</v>
      </c>
    </row>
    <row r="43244" ht="15.75" customHeight="1">
      <c r="A43244" s="7"/>
      <c r="B43244" s="7"/>
      <c r="M43244" s="9" t="s">
        <v>29</v>
      </c>
    </row>
    <row r="43245" ht="15.75" customHeight="1">
      <c r="A43245" s="7"/>
      <c r="B43245" s="7"/>
      <c r="M43245" s="9" t="s">
        <v>31</v>
      </c>
    </row>
    <row r="43246" ht="15.75" customHeight="1">
      <c r="A43246" s="7"/>
      <c r="B43246" s="7"/>
      <c r="M43246" s="9" t="s">
        <v>46</v>
      </c>
    </row>
    <row r="43247" ht="15.75" customHeight="1">
      <c r="A43247" s="7"/>
      <c r="B43247" s="7"/>
      <c r="M43247" s="9" t="s">
        <v>27</v>
      </c>
    </row>
    <row r="43248" ht="15.75" customHeight="1">
      <c r="A43248" s="7"/>
      <c r="B43248" s="7"/>
      <c r="M43248" s="9" t="s">
        <v>40</v>
      </c>
    </row>
    <row r="43249" ht="15.75" customHeight="1">
      <c r="A43249" s="7"/>
      <c r="B43249" s="7"/>
      <c r="M43249" s="9" t="s">
        <v>33</v>
      </c>
    </row>
    <row r="43250" ht="15.75" customHeight="1">
      <c r="A43250" s="7"/>
      <c r="B43250" s="7"/>
      <c r="M43250" s="9" t="s">
        <v>28</v>
      </c>
    </row>
    <row r="43251" ht="15.75" customHeight="1">
      <c r="A43251" s="7"/>
      <c r="B43251" s="7"/>
      <c r="M43251" s="9" t="s">
        <v>34</v>
      </c>
    </row>
    <row r="43252" ht="15.75" customHeight="1">
      <c r="A43252" s="7"/>
      <c r="B43252" s="7"/>
      <c r="M43252" s="9" t="s">
        <v>35</v>
      </c>
    </row>
    <row r="43253" ht="15.75" customHeight="1">
      <c r="A43253" s="7"/>
      <c r="B43253" s="7"/>
      <c r="M43253" s="9" t="s">
        <v>30</v>
      </c>
    </row>
    <row r="43254" ht="15.75" customHeight="1">
      <c r="A43254" s="7"/>
      <c r="B43254" s="7"/>
      <c r="M43254" s="9" t="s">
        <v>24</v>
      </c>
    </row>
    <row r="43255" ht="15.75" customHeight="1">
      <c r="A43255" s="7"/>
      <c r="B43255" s="7"/>
      <c r="M43255" s="9" t="s">
        <v>21</v>
      </c>
    </row>
    <row r="43256" ht="15.75" customHeight="1">
      <c r="A43256" s="7"/>
      <c r="B43256" s="7"/>
      <c r="M43256" s="9" t="s">
        <v>37</v>
      </c>
    </row>
    <row r="43257" ht="15.75" customHeight="1">
      <c r="A43257" s="7"/>
      <c r="B43257" s="7"/>
      <c r="M43257" s="9" t="s">
        <v>27</v>
      </c>
    </row>
    <row r="43258" ht="15.75" customHeight="1">
      <c r="A43258" s="7"/>
      <c r="B43258" s="7"/>
      <c r="M43258" s="9" t="s">
        <v>21</v>
      </c>
    </row>
    <row r="43259" ht="15.75" customHeight="1">
      <c r="A43259" s="7"/>
      <c r="B43259" s="7"/>
      <c r="M43259" s="9" t="s">
        <v>33</v>
      </c>
    </row>
    <row r="43260" ht="15.75" customHeight="1">
      <c r="A43260" s="7"/>
      <c r="B43260" s="7"/>
      <c r="M43260" s="9" t="s">
        <v>24</v>
      </c>
    </row>
    <row r="43261" ht="15.75" customHeight="1">
      <c r="A43261" s="7"/>
      <c r="B43261" s="7"/>
      <c r="M43261" s="9" t="s">
        <v>20</v>
      </c>
    </row>
    <row r="43262" ht="15.75" customHeight="1">
      <c r="A43262" s="7"/>
      <c r="B43262" s="7"/>
      <c r="M43262" s="9" t="s">
        <v>21</v>
      </c>
    </row>
    <row r="43263" ht="15.75" customHeight="1">
      <c r="A43263" s="7"/>
      <c r="B43263" s="7"/>
      <c r="M43263" s="9" t="s">
        <v>22</v>
      </c>
    </row>
    <row r="43264" ht="15.75" customHeight="1">
      <c r="A43264" s="7"/>
      <c r="B43264" s="7"/>
      <c r="M43264" s="9" t="s">
        <v>20</v>
      </c>
    </row>
    <row r="43265" ht="15.75" customHeight="1">
      <c r="A43265" s="7"/>
      <c r="B43265" s="7"/>
      <c r="M43265" s="9" t="s">
        <v>39</v>
      </c>
    </row>
    <row r="43266" ht="15.75" customHeight="1">
      <c r="A43266" s="7"/>
      <c r="B43266" s="7"/>
      <c r="M43266" s="9" t="s">
        <v>23</v>
      </c>
    </row>
    <row r="43267" ht="15.75" customHeight="1">
      <c r="A43267" s="7"/>
      <c r="B43267" s="7"/>
      <c r="M43267" s="9" t="s">
        <v>26</v>
      </c>
    </row>
    <row r="43268" ht="15.75" customHeight="1">
      <c r="A43268" s="7"/>
      <c r="B43268" s="7"/>
      <c r="M43268" s="9" t="s">
        <v>21</v>
      </c>
    </row>
    <row r="43269" ht="15.75" customHeight="1">
      <c r="A43269" s="7"/>
      <c r="B43269" s="7"/>
      <c r="M43269" s="9" t="s">
        <v>30</v>
      </c>
    </row>
    <row r="43270" ht="15.75" customHeight="1">
      <c r="A43270" s="7"/>
      <c r="B43270" s="7"/>
      <c r="M43270" s="9" t="s">
        <v>20</v>
      </c>
    </row>
    <row r="43271" ht="15.75" customHeight="1">
      <c r="A43271" s="7"/>
      <c r="B43271" s="7"/>
      <c r="M43271" s="9" t="s">
        <v>22</v>
      </c>
    </row>
    <row r="43272" ht="15.75" customHeight="1">
      <c r="A43272" s="7"/>
      <c r="B43272" s="7"/>
      <c r="M43272" s="9" t="s">
        <v>29</v>
      </c>
    </row>
    <row r="43273" ht="15.75" customHeight="1">
      <c r="A43273" s="7"/>
      <c r="B43273" s="7"/>
      <c r="M43273" s="9" t="s">
        <v>40</v>
      </c>
    </row>
    <row r="43274" ht="15.75" customHeight="1">
      <c r="A43274" s="7"/>
      <c r="B43274" s="7"/>
      <c r="M43274" s="9" t="s">
        <v>20</v>
      </c>
    </row>
    <row r="43275" ht="15.75" customHeight="1">
      <c r="A43275" s="7"/>
      <c r="B43275" s="7"/>
      <c r="M43275" s="9" t="s">
        <v>35</v>
      </c>
    </row>
    <row r="43276" ht="15.75" customHeight="1">
      <c r="A43276" s="7"/>
      <c r="B43276" s="7"/>
      <c r="M43276" s="9" t="s">
        <v>20</v>
      </c>
    </row>
    <row r="43277" ht="15.75" customHeight="1">
      <c r="A43277" s="7"/>
      <c r="B43277" s="7"/>
      <c r="M43277" s="9" t="s">
        <v>21</v>
      </c>
    </row>
    <row r="43278" ht="15.75" customHeight="1">
      <c r="A43278" s="7"/>
      <c r="B43278" s="7"/>
      <c r="M43278" s="9" t="s">
        <v>30</v>
      </c>
    </row>
    <row r="43279" ht="15.75" customHeight="1">
      <c r="A43279" s="7"/>
      <c r="B43279" s="7"/>
      <c r="M43279" s="9" t="s">
        <v>26</v>
      </c>
    </row>
    <row r="43280" ht="15.75" customHeight="1">
      <c r="A43280" s="7"/>
      <c r="B43280" s="7"/>
      <c r="M43280" s="9" t="s">
        <v>24</v>
      </c>
    </row>
    <row r="43281" ht="15.75" customHeight="1">
      <c r="A43281" s="7"/>
      <c r="B43281" s="7"/>
      <c r="M43281" s="9" t="s">
        <v>21</v>
      </c>
    </row>
    <row r="43282" ht="15.75" customHeight="1">
      <c r="A43282" s="7"/>
      <c r="B43282" s="7"/>
      <c r="M43282" s="9" t="s">
        <v>37</v>
      </c>
    </row>
    <row r="43283" ht="15.75" customHeight="1">
      <c r="A43283" s="7"/>
      <c r="B43283" s="7"/>
      <c r="M43283" s="9" t="s">
        <v>22</v>
      </c>
    </row>
    <row r="43284" ht="15.75" customHeight="1">
      <c r="A43284" s="7"/>
      <c r="B43284" s="7"/>
      <c r="M43284" s="9" t="s">
        <v>31</v>
      </c>
    </row>
    <row r="43285" ht="15.75" customHeight="1">
      <c r="A43285" s="7"/>
      <c r="B43285" s="7"/>
      <c r="M43285" s="9" t="s">
        <v>27</v>
      </c>
    </row>
    <row r="43286" ht="15.75" customHeight="1">
      <c r="A43286" s="7"/>
      <c r="B43286" s="7"/>
      <c r="M43286" s="9" t="s">
        <v>30</v>
      </c>
    </row>
    <row r="43287" ht="15.75" customHeight="1">
      <c r="A43287" s="7"/>
      <c r="B43287" s="7"/>
      <c r="M43287" s="9" t="s">
        <v>25</v>
      </c>
    </row>
    <row r="43288" ht="15.75" customHeight="1">
      <c r="A43288" s="7"/>
      <c r="B43288" s="7"/>
      <c r="M43288" s="9" t="s">
        <v>23</v>
      </c>
    </row>
    <row r="43289" ht="15.75" customHeight="1">
      <c r="A43289" s="7"/>
      <c r="B43289" s="7"/>
      <c r="M43289" s="9" t="s">
        <v>24</v>
      </c>
    </row>
    <row r="43290" ht="15.75" customHeight="1">
      <c r="A43290" s="7"/>
      <c r="B43290" s="7"/>
      <c r="M43290" s="9" t="s">
        <v>20</v>
      </c>
    </row>
    <row r="43291" ht="15.75" customHeight="1">
      <c r="A43291" s="7"/>
      <c r="B43291" s="7"/>
      <c r="M43291" s="9" t="s">
        <v>21</v>
      </c>
    </row>
    <row r="43292" ht="15.75" customHeight="1">
      <c r="A43292" s="7"/>
      <c r="B43292" s="7"/>
      <c r="M43292" s="9" t="s">
        <v>22</v>
      </c>
    </row>
    <row r="43293" ht="15.75" customHeight="1">
      <c r="A43293" s="7"/>
      <c r="B43293" s="7"/>
      <c r="M43293" s="9" t="s">
        <v>27</v>
      </c>
    </row>
    <row r="43294" ht="15.75" customHeight="1">
      <c r="A43294" s="7"/>
      <c r="B43294" s="7"/>
      <c r="M43294" s="9" t="s">
        <v>26</v>
      </c>
    </row>
    <row r="43295" ht="15.75" customHeight="1">
      <c r="A43295" s="7"/>
      <c r="B43295" s="7"/>
      <c r="M43295" s="9" t="s">
        <v>24</v>
      </c>
    </row>
    <row r="43296" ht="15.75" customHeight="1">
      <c r="A43296" s="7"/>
      <c r="B43296" s="7"/>
      <c r="M43296" s="9" t="s">
        <v>27</v>
      </c>
    </row>
    <row r="43297" ht="15.75" customHeight="1">
      <c r="A43297" s="7"/>
      <c r="B43297" s="7"/>
      <c r="M43297" s="9" t="s">
        <v>30</v>
      </c>
    </row>
    <row r="43298" ht="15.75" customHeight="1">
      <c r="A43298" s="7"/>
      <c r="B43298" s="7"/>
      <c r="M43298" s="9" t="s">
        <v>24</v>
      </c>
    </row>
    <row r="43299" ht="15.75" customHeight="1">
      <c r="A43299" s="7"/>
      <c r="B43299" s="7"/>
      <c r="M43299" s="9" t="s">
        <v>21</v>
      </c>
    </row>
    <row r="43300" ht="15.75" customHeight="1">
      <c r="A43300" s="7"/>
      <c r="B43300" s="7"/>
      <c r="M43300" s="9" t="s">
        <v>22</v>
      </c>
    </row>
    <row r="43301" ht="15.75" customHeight="1">
      <c r="A43301" s="7"/>
      <c r="B43301" s="7"/>
      <c r="M43301" s="9" t="s">
        <v>27</v>
      </c>
    </row>
    <row r="43302" ht="15.75" customHeight="1">
      <c r="A43302" s="7"/>
      <c r="B43302" s="7"/>
      <c r="M43302" s="9" t="s">
        <v>33</v>
      </c>
    </row>
    <row r="43303" ht="15.75" customHeight="1">
      <c r="A43303" s="7"/>
      <c r="B43303" s="7"/>
      <c r="M43303" s="9" t="s">
        <v>24</v>
      </c>
    </row>
    <row r="43304" ht="15.75" customHeight="1">
      <c r="A43304" s="7"/>
      <c r="B43304" s="7"/>
      <c r="M43304" s="9" t="s">
        <v>20</v>
      </c>
    </row>
    <row r="43305" ht="15.75" customHeight="1">
      <c r="A43305" s="7"/>
      <c r="B43305" s="7"/>
      <c r="M43305" s="9" t="s">
        <v>21</v>
      </c>
    </row>
    <row r="43306" ht="15.75" customHeight="1">
      <c r="A43306" s="7"/>
      <c r="B43306" s="7"/>
      <c r="M43306" s="9" t="s">
        <v>26</v>
      </c>
    </row>
    <row r="43307" ht="15.75" customHeight="1">
      <c r="A43307" s="7"/>
      <c r="B43307" s="7"/>
      <c r="M43307" s="9" t="s">
        <v>22</v>
      </c>
    </row>
    <row r="43308" ht="15.75" customHeight="1">
      <c r="A43308" s="7"/>
      <c r="B43308" s="7"/>
      <c r="M43308" s="9" t="s">
        <v>26</v>
      </c>
    </row>
    <row r="43309" ht="15.75" customHeight="1">
      <c r="A43309" s="7"/>
      <c r="B43309" s="7"/>
      <c r="M43309" s="9" t="s">
        <v>24</v>
      </c>
    </row>
    <row r="43310" ht="15.75" customHeight="1">
      <c r="A43310" s="7"/>
      <c r="B43310" s="7"/>
      <c r="M43310" s="9" t="s">
        <v>41</v>
      </c>
    </row>
    <row r="43311" ht="15.75" customHeight="1">
      <c r="A43311" s="7"/>
      <c r="B43311" s="7"/>
      <c r="M43311" s="9" t="s">
        <v>27</v>
      </c>
    </row>
    <row r="43312" ht="15.75" customHeight="1">
      <c r="A43312" s="7"/>
      <c r="B43312" s="7"/>
      <c r="M43312" s="9" t="s">
        <v>30</v>
      </c>
    </row>
    <row r="43313" ht="15.75" customHeight="1">
      <c r="A43313" s="7"/>
      <c r="B43313" s="7"/>
      <c r="M43313" s="9" t="s">
        <v>26</v>
      </c>
    </row>
    <row r="43314" ht="15.75" customHeight="1">
      <c r="A43314" s="7"/>
      <c r="B43314" s="7"/>
      <c r="M43314" s="9" t="s">
        <v>20</v>
      </c>
    </row>
    <row r="43315" ht="15.75" customHeight="1">
      <c r="A43315" s="7"/>
      <c r="B43315" s="7"/>
      <c r="M43315" s="9" t="s">
        <v>27</v>
      </c>
    </row>
    <row r="43316" ht="15.75" customHeight="1">
      <c r="A43316" s="7"/>
      <c r="B43316" s="7"/>
      <c r="M43316" s="9" t="s">
        <v>26</v>
      </c>
    </row>
    <row r="43317" ht="15.75" customHeight="1">
      <c r="A43317" s="7"/>
      <c r="B43317" s="7"/>
      <c r="M43317" s="9" t="s">
        <v>24</v>
      </c>
    </row>
    <row r="43318" ht="15.75" customHeight="1">
      <c r="A43318" s="7"/>
      <c r="B43318" s="7"/>
      <c r="M43318" s="9" t="s">
        <v>20</v>
      </c>
    </row>
    <row r="43319" ht="15.75" customHeight="1">
      <c r="A43319" s="7"/>
      <c r="B43319" s="7"/>
      <c r="M43319" s="9" t="s">
        <v>21</v>
      </c>
    </row>
    <row r="43320" ht="15.75" customHeight="1">
      <c r="A43320" s="7"/>
      <c r="B43320" s="7"/>
      <c r="M43320" s="9" t="s">
        <v>27</v>
      </c>
    </row>
    <row r="43321" ht="15.75" customHeight="1">
      <c r="A43321" s="7"/>
      <c r="B43321" s="7"/>
      <c r="M43321" s="9" t="s">
        <v>20</v>
      </c>
    </row>
    <row r="43322" ht="15.75" customHeight="1">
      <c r="A43322" s="7"/>
      <c r="B43322" s="7"/>
      <c r="M43322" s="9" t="s">
        <v>21</v>
      </c>
    </row>
    <row r="43323" ht="15.75" customHeight="1">
      <c r="A43323" s="7"/>
      <c r="B43323" s="7"/>
      <c r="M43323" s="9" t="s">
        <v>24</v>
      </c>
    </row>
    <row r="43324" ht="15.75" customHeight="1">
      <c r="A43324" s="7"/>
      <c r="B43324" s="7"/>
      <c r="M43324" s="9" t="s">
        <v>20</v>
      </c>
    </row>
    <row r="43325" ht="15.75" customHeight="1">
      <c r="A43325" s="7"/>
      <c r="B43325" s="7"/>
      <c r="M43325" s="9" t="s">
        <v>21</v>
      </c>
    </row>
    <row r="43326" ht="15.75" customHeight="1">
      <c r="A43326" s="7"/>
      <c r="B43326" s="7"/>
      <c r="M43326" s="9" t="s">
        <v>37</v>
      </c>
    </row>
    <row r="43327" ht="15.75" customHeight="1">
      <c r="A43327" s="7"/>
      <c r="B43327" s="7"/>
      <c r="M43327" s="9" t="s">
        <v>27</v>
      </c>
    </row>
    <row r="43328" ht="15.75" customHeight="1">
      <c r="A43328" s="7"/>
      <c r="B43328" s="7"/>
      <c r="M43328" s="9" t="s">
        <v>24</v>
      </c>
    </row>
    <row r="43329" ht="15.75" customHeight="1">
      <c r="A43329" s="7"/>
      <c r="B43329" s="7"/>
      <c r="M43329" s="9" t="s">
        <v>21</v>
      </c>
    </row>
    <row r="43330" ht="15.75" customHeight="1">
      <c r="A43330" s="7"/>
      <c r="B43330" s="7"/>
      <c r="M43330" s="9" t="s">
        <v>22</v>
      </c>
    </row>
    <row r="43331" ht="15.75" customHeight="1">
      <c r="A43331" s="7"/>
      <c r="B43331" s="7"/>
      <c r="M43331" s="9" t="s">
        <v>30</v>
      </c>
    </row>
    <row r="43332" ht="15.75" customHeight="1">
      <c r="A43332" s="7"/>
      <c r="B43332" s="7"/>
      <c r="M43332" s="9" t="s">
        <v>25</v>
      </c>
    </row>
    <row r="43333" ht="15.75" customHeight="1">
      <c r="A43333" s="7"/>
      <c r="B43333" s="7"/>
      <c r="M43333" s="9" t="s">
        <v>23</v>
      </c>
    </row>
    <row r="43334" ht="15.75" customHeight="1">
      <c r="A43334" s="7"/>
      <c r="B43334" s="7"/>
      <c r="M43334" s="9" t="s">
        <v>26</v>
      </c>
    </row>
    <row r="43335" ht="15.75" customHeight="1">
      <c r="A43335" s="7"/>
      <c r="B43335" s="7"/>
      <c r="M43335" s="9" t="s">
        <v>24</v>
      </c>
    </row>
    <row r="43336" ht="15.75" customHeight="1">
      <c r="A43336" s="7"/>
      <c r="B43336" s="7"/>
      <c r="M43336" s="9" t="s">
        <v>20</v>
      </c>
    </row>
    <row r="43337" ht="15.75" customHeight="1">
      <c r="A43337" s="7"/>
      <c r="B43337" s="7"/>
      <c r="M43337" s="9" t="s">
        <v>21</v>
      </c>
    </row>
    <row r="43338" ht="15.75" customHeight="1">
      <c r="A43338" s="7"/>
      <c r="B43338" s="7"/>
      <c r="M43338" s="9" t="s">
        <v>41</v>
      </c>
    </row>
    <row r="43339" ht="15.75" customHeight="1">
      <c r="A43339" s="7"/>
      <c r="B43339" s="7"/>
      <c r="M43339" s="9" t="s">
        <v>37</v>
      </c>
    </row>
    <row r="43340" ht="15.75" customHeight="1">
      <c r="A43340" s="7"/>
      <c r="B43340" s="7"/>
      <c r="M43340" s="9" t="s">
        <v>22</v>
      </c>
    </row>
    <row r="43341" ht="15.75" customHeight="1">
      <c r="A43341" s="7"/>
      <c r="B43341" s="7"/>
      <c r="M43341" s="9" t="s">
        <v>31</v>
      </c>
    </row>
    <row r="43342" ht="15.75" customHeight="1">
      <c r="A43342" s="7"/>
      <c r="B43342" s="7"/>
      <c r="M43342" s="9" t="s">
        <v>27</v>
      </c>
    </row>
    <row r="43343" ht="15.75" customHeight="1">
      <c r="A43343" s="7"/>
      <c r="B43343" s="7"/>
      <c r="M43343" s="9" t="s">
        <v>40</v>
      </c>
    </row>
    <row r="43344" ht="15.75" customHeight="1">
      <c r="A43344" s="7"/>
      <c r="B43344" s="7"/>
      <c r="M43344" s="9" t="s">
        <v>28</v>
      </c>
    </row>
    <row r="43345" ht="15.75" customHeight="1">
      <c r="A43345" s="7"/>
      <c r="B43345" s="7"/>
      <c r="M43345" s="9" t="s">
        <v>35</v>
      </c>
    </row>
    <row r="43346" ht="15.75" customHeight="1">
      <c r="A43346" s="7"/>
      <c r="B43346" s="7"/>
      <c r="M43346" s="9" t="s">
        <v>24</v>
      </c>
    </row>
    <row r="43347" ht="15.75" customHeight="1">
      <c r="A43347" s="7"/>
      <c r="B43347" s="7"/>
      <c r="M43347" s="9" t="s">
        <v>21</v>
      </c>
    </row>
    <row r="43348" ht="15.75" customHeight="1">
      <c r="A43348" s="7"/>
      <c r="B43348" s="7"/>
      <c r="M43348" s="9" t="s">
        <v>33</v>
      </c>
    </row>
    <row r="43349" ht="15.75" customHeight="1">
      <c r="A43349" s="7"/>
      <c r="B43349" s="7"/>
      <c r="M43349" s="9" t="s">
        <v>26</v>
      </c>
    </row>
    <row r="43350" ht="15.75" customHeight="1">
      <c r="A43350" s="7"/>
      <c r="B43350" s="7"/>
      <c r="M43350" s="9" t="s">
        <v>24</v>
      </c>
    </row>
    <row r="43351" ht="15.75" customHeight="1">
      <c r="A43351" s="7"/>
      <c r="B43351" s="7"/>
      <c r="M43351" s="9" t="s">
        <v>21</v>
      </c>
    </row>
    <row r="43352" ht="15.75" customHeight="1">
      <c r="A43352" s="7"/>
      <c r="B43352" s="7"/>
      <c r="M43352" s="9" t="s">
        <v>27</v>
      </c>
    </row>
    <row r="43353" ht="15.75" customHeight="1">
      <c r="A43353" s="7"/>
      <c r="B43353" s="7"/>
      <c r="M43353" s="9" t="s">
        <v>33</v>
      </c>
    </row>
    <row r="43354" ht="15.75" customHeight="1">
      <c r="A43354" s="7"/>
      <c r="B43354" s="7"/>
      <c r="M43354" s="9" t="s">
        <v>26</v>
      </c>
    </row>
    <row r="43355" ht="15.75" customHeight="1">
      <c r="A43355" s="7"/>
      <c r="B43355" s="7"/>
      <c r="M43355" s="9" t="s">
        <v>24</v>
      </c>
    </row>
    <row r="43356" ht="15.75" customHeight="1">
      <c r="A43356" s="7"/>
      <c r="B43356" s="7"/>
      <c r="M43356" s="9" t="s">
        <v>21</v>
      </c>
    </row>
    <row r="43357" ht="15.75" customHeight="1">
      <c r="A43357" s="7"/>
      <c r="B43357" s="7"/>
      <c r="M43357" s="9" t="s">
        <v>27</v>
      </c>
    </row>
    <row r="43358" ht="15.75" customHeight="1">
      <c r="A43358" s="7"/>
      <c r="B43358" s="7"/>
      <c r="M43358" s="9" t="s">
        <v>30</v>
      </c>
    </row>
    <row r="43359" ht="15.75" customHeight="1">
      <c r="A43359" s="7"/>
      <c r="B43359" s="7"/>
      <c r="M43359" s="9" t="s">
        <v>25</v>
      </c>
    </row>
    <row r="43360" ht="15.75" customHeight="1">
      <c r="A43360" s="7"/>
      <c r="B43360" s="7"/>
      <c r="M43360" s="9" t="s">
        <v>23</v>
      </c>
    </row>
    <row r="43361" ht="15.75" customHeight="1">
      <c r="A43361" s="7"/>
      <c r="B43361" s="7"/>
      <c r="M43361" s="9" t="s">
        <v>36</v>
      </c>
    </row>
    <row r="43362" ht="15.75" customHeight="1">
      <c r="A43362" s="7"/>
      <c r="B43362" s="7"/>
      <c r="M43362" s="9" t="s">
        <v>24</v>
      </c>
    </row>
    <row r="43363" ht="15.75" customHeight="1">
      <c r="A43363" s="7"/>
      <c r="B43363" s="7"/>
      <c r="M43363" s="9" t="s">
        <v>20</v>
      </c>
    </row>
    <row r="43364" ht="15.75" customHeight="1">
      <c r="A43364" s="7"/>
      <c r="B43364" s="7"/>
      <c r="M43364" s="9" t="s">
        <v>21</v>
      </c>
    </row>
    <row r="43365" ht="15.75" customHeight="1">
      <c r="A43365" s="7"/>
      <c r="B43365" s="7"/>
      <c r="M43365" s="9" t="s">
        <v>37</v>
      </c>
    </row>
    <row r="43366" ht="15.75" customHeight="1">
      <c r="A43366" s="7"/>
      <c r="B43366" s="7"/>
      <c r="M43366" s="9" t="s">
        <v>22</v>
      </c>
    </row>
    <row r="43367" ht="15.75" customHeight="1">
      <c r="A43367" s="7"/>
      <c r="B43367" s="7"/>
      <c r="M43367" s="9" t="s">
        <v>29</v>
      </c>
    </row>
    <row r="43368" ht="15.75" customHeight="1">
      <c r="A43368" s="7"/>
      <c r="B43368" s="7"/>
      <c r="M43368" s="9" t="s">
        <v>27</v>
      </c>
    </row>
    <row r="43369" ht="15.75" customHeight="1">
      <c r="A43369" s="7"/>
      <c r="B43369" s="7"/>
      <c r="M43369" s="9" t="s">
        <v>24</v>
      </c>
    </row>
    <row r="43370" ht="15.75" customHeight="1">
      <c r="A43370" s="7"/>
      <c r="B43370" s="7"/>
      <c r="M43370" s="9" t="s">
        <v>20</v>
      </c>
    </row>
    <row r="43371" ht="15.75" customHeight="1">
      <c r="A43371" s="7"/>
      <c r="B43371" s="7"/>
      <c r="M43371" s="9" t="s">
        <v>21</v>
      </c>
    </row>
    <row r="43372" ht="15.75" customHeight="1">
      <c r="A43372" s="7"/>
      <c r="B43372" s="7"/>
      <c r="M43372" s="9" t="s">
        <v>27</v>
      </c>
    </row>
    <row r="43373" ht="15.75" customHeight="1">
      <c r="A43373" s="7"/>
      <c r="B43373" s="7"/>
      <c r="M43373" s="9" t="s">
        <v>38</v>
      </c>
    </row>
    <row r="43374" ht="15.75" customHeight="1">
      <c r="A43374" s="7"/>
      <c r="B43374" s="7"/>
      <c r="M43374" s="9" t="s">
        <v>30</v>
      </c>
    </row>
    <row r="43375" ht="15.75" customHeight="1">
      <c r="A43375" s="7"/>
      <c r="B43375" s="7"/>
      <c r="M43375" s="9" t="s">
        <v>25</v>
      </c>
    </row>
    <row r="43376" ht="15.75" customHeight="1">
      <c r="A43376" s="7"/>
      <c r="B43376" s="7"/>
      <c r="M43376" s="9" t="s">
        <v>23</v>
      </c>
    </row>
    <row r="43377" ht="15.75" customHeight="1">
      <c r="A43377" s="7"/>
      <c r="B43377" s="7"/>
      <c r="M43377" s="9" t="s">
        <v>26</v>
      </c>
    </row>
    <row r="43378" ht="15.75" customHeight="1">
      <c r="A43378" s="7"/>
      <c r="B43378" s="7"/>
      <c r="M43378" s="9" t="s">
        <v>44</v>
      </c>
    </row>
    <row r="43379" ht="15.75" customHeight="1">
      <c r="A43379" s="7"/>
      <c r="B43379" s="7"/>
      <c r="M43379" s="9" t="s">
        <v>47</v>
      </c>
    </row>
    <row r="43380" ht="15.75" customHeight="1">
      <c r="A43380" s="7"/>
      <c r="B43380" s="7"/>
      <c r="M43380" s="9" t="s">
        <v>42</v>
      </c>
    </row>
    <row r="43381" ht="15.75" customHeight="1">
      <c r="A43381" s="7"/>
      <c r="B43381" s="7"/>
      <c r="M43381" s="9" t="s">
        <v>43</v>
      </c>
    </row>
    <row r="43382" ht="15.75" customHeight="1">
      <c r="A43382" s="7"/>
      <c r="B43382" s="7"/>
      <c r="M43382" s="9" t="s">
        <v>45</v>
      </c>
    </row>
    <row r="43383" ht="15.75" customHeight="1">
      <c r="A43383" s="7"/>
      <c r="B43383" s="7"/>
      <c r="M43383" s="9" t="s">
        <v>36</v>
      </c>
    </row>
    <row r="43384" ht="15.75" customHeight="1">
      <c r="A43384" s="7"/>
      <c r="B43384" s="7"/>
      <c r="M43384" s="9" t="s">
        <v>24</v>
      </c>
    </row>
    <row r="43385" ht="15.75" customHeight="1">
      <c r="A43385" s="7"/>
      <c r="B43385" s="7"/>
      <c r="M43385" s="9" t="s">
        <v>20</v>
      </c>
    </row>
    <row r="43386" ht="15.75" customHeight="1">
      <c r="A43386" s="7"/>
      <c r="B43386" s="7"/>
      <c r="M43386" s="9" t="s">
        <v>39</v>
      </c>
    </row>
    <row r="43387" ht="15.75" customHeight="1">
      <c r="A43387" s="7"/>
      <c r="B43387" s="7"/>
      <c r="M43387" s="9" t="s">
        <v>41</v>
      </c>
    </row>
    <row r="43388" ht="15.75" customHeight="1">
      <c r="A43388" s="7"/>
      <c r="B43388" s="7"/>
      <c r="M43388" s="9" t="s">
        <v>37</v>
      </c>
    </row>
    <row r="43389" ht="15.75" customHeight="1">
      <c r="A43389" s="7"/>
      <c r="B43389" s="7"/>
      <c r="M43389" s="9" t="s">
        <v>22</v>
      </c>
    </row>
    <row r="43390" ht="15.75" customHeight="1">
      <c r="A43390" s="7"/>
      <c r="B43390" s="7"/>
      <c r="M43390" s="9" t="s">
        <v>29</v>
      </c>
    </row>
    <row r="43391" ht="15.75" customHeight="1">
      <c r="A43391" s="7"/>
      <c r="B43391" s="7"/>
      <c r="M43391" s="9" t="s">
        <v>31</v>
      </c>
    </row>
    <row r="43392" ht="15.75" customHeight="1">
      <c r="A43392" s="7"/>
      <c r="B43392" s="7"/>
      <c r="M43392" s="9" t="s">
        <v>46</v>
      </c>
    </row>
    <row r="43393" ht="15.75" customHeight="1">
      <c r="A43393" s="7"/>
      <c r="B43393" s="7"/>
      <c r="M43393" s="9" t="s">
        <v>27</v>
      </c>
    </row>
    <row r="43394" ht="15.75" customHeight="1">
      <c r="A43394" s="7"/>
      <c r="B43394" s="7"/>
      <c r="M43394" s="9" t="s">
        <v>40</v>
      </c>
    </row>
    <row r="43395" ht="15.75" customHeight="1">
      <c r="A43395" s="7"/>
      <c r="B43395" s="7"/>
      <c r="M43395" s="9" t="s">
        <v>33</v>
      </c>
    </row>
    <row r="43396" ht="15.75" customHeight="1">
      <c r="A43396" s="7"/>
      <c r="B43396" s="7"/>
      <c r="M43396" s="9" t="s">
        <v>28</v>
      </c>
    </row>
    <row r="43397" ht="15.75" customHeight="1">
      <c r="A43397" s="7"/>
      <c r="B43397" s="7"/>
      <c r="M43397" s="9" t="s">
        <v>34</v>
      </c>
    </row>
    <row r="43398" ht="15.75" customHeight="1">
      <c r="A43398" s="7"/>
      <c r="B43398" s="7"/>
      <c r="M43398" s="9" t="s">
        <v>35</v>
      </c>
    </row>
    <row r="43399" ht="15.75" customHeight="1">
      <c r="A43399" s="7"/>
      <c r="B43399" s="7"/>
      <c r="M43399" s="9" t="s">
        <v>24</v>
      </c>
    </row>
    <row r="43400" ht="15.75" customHeight="1">
      <c r="A43400" s="7"/>
      <c r="B43400" s="7"/>
      <c r="M43400" s="9" t="s">
        <v>20</v>
      </c>
    </row>
    <row r="43401" ht="15.75" customHeight="1">
      <c r="A43401" s="7"/>
      <c r="B43401" s="7"/>
      <c r="M43401" s="9" t="s">
        <v>21</v>
      </c>
    </row>
    <row r="43402" ht="15.75" customHeight="1">
      <c r="A43402" s="7"/>
      <c r="B43402" s="7"/>
      <c r="M43402" s="9" t="s">
        <v>39</v>
      </c>
    </row>
    <row r="43403" ht="15.75" customHeight="1">
      <c r="A43403" s="7"/>
      <c r="B43403" s="7"/>
      <c r="M43403" s="9" t="s">
        <v>36</v>
      </c>
    </row>
    <row r="43404" ht="15.75" customHeight="1">
      <c r="A43404" s="7"/>
      <c r="B43404" s="7"/>
      <c r="M43404" s="9" t="s">
        <v>21</v>
      </c>
    </row>
    <row r="43405" ht="15.75" customHeight="1">
      <c r="A43405" s="7"/>
      <c r="B43405" s="7"/>
      <c r="M43405" s="9" t="s">
        <v>27</v>
      </c>
    </row>
    <row r="43406" ht="15.75" customHeight="1">
      <c r="A43406" s="7"/>
      <c r="B43406" s="7"/>
      <c r="M43406" s="9" t="s">
        <v>33</v>
      </c>
    </row>
    <row r="43407" ht="15.75" customHeight="1">
      <c r="A43407" s="7"/>
      <c r="B43407" s="7"/>
      <c r="M43407" s="9" t="s">
        <v>20</v>
      </c>
    </row>
    <row r="43408" ht="15.75" customHeight="1">
      <c r="A43408" s="7"/>
      <c r="B43408" s="7"/>
      <c r="M43408" s="9" t="s">
        <v>30</v>
      </c>
    </row>
    <row r="43409" ht="15.75" customHeight="1">
      <c r="A43409" s="7"/>
      <c r="B43409" s="7"/>
      <c r="M43409" s="9" t="s">
        <v>24</v>
      </c>
    </row>
    <row r="43410" ht="15.75" customHeight="1">
      <c r="A43410" s="7"/>
      <c r="B43410" s="7"/>
      <c r="M43410" s="9" t="s">
        <v>21</v>
      </c>
    </row>
    <row r="43411" ht="15.75" customHeight="1">
      <c r="A43411" s="7"/>
      <c r="B43411" s="7"/>
      <c r="M43411" s="9" t="s">
        <v>37</v>
      </c>
    </row>
    <row r="43412" ht="15.75" customHeight="1">
      <c r="A43412" s="7"/>
      <c r="B43412" s="7"/>
      <c r="M43412" s="9" t="s">
        <v>27</v>
      </c>
    </row>
    <row r="43413" ht="15.75" customHeight="1">
      <c r="A43413" s="7"/>
      <c r="B43413" s="7"/>
      <c r="M43413" s="9" t="s">
        <v>33</v>
      </c>
    </row>
    <row r="43414" ht="15.75" customHeight="1">
      <c r="A43414" s="7"/>
      <c r="B43414" s="7"/>
      <c r="M43414" s="9" t="s">
        <v>30</v>
      </c>
    </row>
    <row r="43415" ht="15.75" customHeight="1">
      <c r="A43415" s="7"/>
      <c r="B43415" s="7"/>
      <c r="M43415" s="9" t="s">
        <v>25</v>
      </c>
    </row>
    <row r="43416" ht="15.75" customHeight="1">
      <c r="A43416" s="7"/>
      <c r="B43416" s="7"/>
      <c r="M43416" s="9" t="s">
        <v>20</v>
      </c>
    </row>
    <row r="43417" ht="15.75" customHeight="1">
      <c r="A43417" s="7"/>
      <c r="B43417" s="7"/>
      <c r="M43417" s="9" t="s">
        <v>22</v>
      </c>
    </row>
    <row r="43418" ht="15.75" customHeight="1">
      <c r="A43418" s="7"/>
      <c r="B43418" s="7"/>
      <c r="M43418" s="9" t="s">
        <v>29</v>
      </c>
    </row>
    <row r="43419" ht="15.75" customHeight="1">
      <c r="A43419" s="7"/>
      <c r="B43419" s="7"/>
      <c r="M43419" s="9" t="s">
        <v>46</v>
      </c>
    </row>
    <row r="43420" ht="15.75" customHeight="1">
      <c r="A43420" s="7"/>
      <c r="B43420" s="7"/>
      <c r="M43420" s="9" t="s">
        <v>27</v>
      </c>
    </row>
    <row r="43421" ht="15.75" customHeight="1">
      <c r="A43421" s="7"/>
      <c r="B43421" s="7"/>
      <c r="M43421" s="9" t="s">
        <v>26</v>
      </c>
    </row>
    <row r="43422" ht="15.75" customHeight="1">
      <c r="A43422" s="7"/>
      <c r="B43422" s="7"/>
      <c r="M43422" s="9" t="s">
        <v>27</v>
      </c>
    </row>
    <row r="43423" ht="15.75" customHeight="1">
      <c r="A43423" s="7"/>
      <c r="B43423" s="7"/>
      <c r="M43423" s="9" t="s">
        <v>33</v>
      </c>
    </row>
    <row r="43424" ht="15.75" customHeight="1">
      <c r="A43424" s="7"/>
      <c r="B43424" s="7"/>
      <c r="M43424" s="9" t="s">
        <v>24</v>
      </c>
    </row>
    <row r="43425" ht="15.75" customHeight="1">
      <c r="A43425" s="7"/>
      <c r="B43425" s="7"/>
      <c r="M43425" s="9" t="s">
        <v>21</v>
      </c>
    </row>
    <row r="43426" ht="15.75" customHeight="1">
      <c r="A43426" s="7"/>
      <c r="B43426" s="7"/>
      <c r="M43426" s="9" t="s">
        <v>30</v>
      </c>
    </row>
    <row r="43427" ht="15.75" customHeight="1">
      <c r="A43427" s="7"/>
      <c r="B43427" s="7"/>
      <c r="M43427" s="9" t="s">
        <v>23</v>
      </c>
    </row>
    <row r="43428" ht="15.75" customHeight="1">
      <c r="A43428" s="7"/>
      <c r="B43428" s="7"/>
      <c r="M43428" s="9" t="s">
        <v>24</v>
      </c>
    </row>
    <row r="43429" ht="15.75" customHeight="1">
      <c r="A43429" s="7"/>
      <c r="B43429" s="7"/>
      <c r="M43429" s="9" t="s">
        <v>20</v>
      </c>
    </row>
    <row r="43430" ht="15.75" customHeight="1">
      <c r="A43430" s="7"/>
      <c r="B43430" s="7"/>
      <c r="M43430" s="9" t="s">
        <v>21</v>
      </c>
    </row>
    <row r="43431" ht="15.75" customHeight="1">
      <c r="A43431" s="7"/>
      <c r="B43431" s="7"/>
      <c r="M43431" s="9" t="s">
        <v>22</v>
      </c>
    </row>
    <row r="43432" ht="15.75" customHeight="1">
      <c r="A43432" s="7"/>
      <c r="B43432" s="7"/>
      <c r="M43432" s="9" t="s">
        <v>27</v>
      </c>
    </row>
    <row r="43433" ht="15.75" customHeight="1">
      <c r="A43433" s="7"/>
      <c r="B43433" s="7"/>
      <c r="M43433" s="9" t="s">
        <v>33</v>
      </c>
    </row>
    <row r="43434" ht="15.75" customHeight="1">
      <c r="A43434" s="7"/>
      <c r="B43434" s="7"/>
      <c r="M43434" s="9" t="s">
        <v>30</v>
      </c>
    </row>
    <row r="43435" ht="15.75" customHeight="1">
      <c r="A43435" s="7"/>
      <c r="B43435" s="7"/>
      <c r="M43435" s="9" t="s">
        <v>24</v>
      </c>
    </row>
    <row r="43436" ht="15.75" customHeight="1">
      <c r="A43436" s="7"/>
      <c r="B43436" s="7"/>
      <c r="M43436" s="9" t="s">
        <v>21</v>
      </c>
    </row>
    <row r="43437" ht="15.75" customHeight="1">
      <c r="A43437" s="7"/>
      <c r="B43437" s="7"/>
      <c r="M43437" s="9" t="s">
        <v>31</v>
      </c>
    </row>
    <row r="43438" ht="15.75" customHeight="1">
      <c r="A43438" s="7"/>
      <c r="B43438" s="7"/>
      <c r="M43438" s="9" t="s">
        <v>27</v>
      </c>
    </row>
    <row r="43439" ht="15.75" customHeight="1">
      <c r="A43439" s="7"/>
      <c r="B43439" s="7"/>
      <c r="M43439" s="9" t="s">
        <v>33</v>
      </c>
    </row>
    <row r="43440" ht="15.75" customHeight="1">
      <c r="A43440" s="7"/>
      <c r="B43440" s="7"/>
      <c r="M43440" s="9" t="s">
        <v>30</v>
      </c>
    </row>
    <row r="43441" ht="15.75" customHeight="1">
      <c r="A43441" s="7"/>
      <c r="B43441" s="7"/>
      <c r="M43441" s="9" t="s">
        <v>24</v>
      </c>
    </row>
    <row r="43442" ht="15.75" customHeight="1">
      <c r="A43442" s="7"/>
      <c r="B43442" s="7"/>
      <c r="M43442" s="9" t="s">
        <v>20</v>
      </c>
    </row>
    <row r="43443" ht="15.75" customHeight="1">
      <c r="A43443" s="7"/>
      <c r="B43443" s="7"/>
      <c r="M43443" s="9" t="s">
        <v>21</v>
      </c>
    </row>
    <row r="43444" ht="15.75" customHeight="1">
      <c r="A43444" s="7"/>
      <c r="B43444" s="7"/>
      <c r="M43444" s="9" t="s">
        <v>22</v>
      </c>
    </row>
    <row r="43445" ht="15.75" customHeight="1">
      <c r="A43445" s="7"/>
      <c r="B43445" s="7"/>
      <c r="M43445" s="9" t="s">
        <v>29</v>
      </c>
    </row>
    <row r="43446" ht="15.75" customHeight="1">
      <c r="A43446" s="7"/>
      <c r="B43446" s="7"/>
      <c r="M43446" s="9" t="s">
        <v>31</v>
      </c>
    </row>
    <row r="43447" ht="15.75" customHeight="1">
      <c r="A43447" s="7"/>
      <c r="B43447" s="7"/>
      <c r="M43447" s="9" t="s">
        <v>30</v>
      </c>
    </row>
    <row r="43448" ht="15.75" customHeight="1">
      <c r="A43448" s="7"/>
      <c r="B43448" s="7"/>
      <c r="M43448" s="9" t="s">
        <v>26</v>
      </c>
    </row>
    <row r="43449" ht="15.75" customHeight="1">
      <c r="A43449" s="7"/>
      <c r="B43449" s="7"/>
      <c r="M43449" s="9" t="s">
        <v>27</v>
      </c>
    </row>
    <row r="43450" ht="15.75" customHeight="1">
      <c r="A43450" s="7"/>
      <c r="B43450" s="7"/>
      <c r="M43450" s="9" t="s">
        <v>22</v>
      </c>
    </row>
    <row r="43451" ht="15.75" customHeight="1">
      <c r="A43451" s="7"/>
      <c r="B43451" s="7"/>
      <c r="M43451" s="9" t="s">
        <v>27</v>
      </c>
    </row>
    <row r="43452" ht="15.75" customHeight="1">
      <c r="A43452" s="7"/>
      <c r="B43452" s="7"/>
      <c r="M43452" s="9" t="s">
        <v>38</v>
      </c>
    </row>
    <row r="43453" ht="15.75" customHeight="1">
      <c r="A43453" s="7"/>
      <c r="B43453" s="7"/>
      <c r="M43453" s="9" t="s">
        <v>22</v>
      </c>
    </row>
    <row r="43454" ht="15.75" customHeight="1">
      <c r="A43454" s="7"/>
      <c r="B43454" s="7"/>
      <c r="M43454" s="9" t="s">
        <v>35</v>
      </c>
    </row>
    <row r="43455" ht="15.75" customHeight="1">
      <c r="A43455" s="7"/>
      <c r="B43455" s="7"/>
      <c r="M43455" s="9" t="s">
        <v>20</v>
      </c>
    </row>
    <row r="43456" ht="15.75" customHeight="1">
      <c r="A43456" s="7"/>
      <c r="B43456" s="7"/>
      <c r="M43456" s="9" t="s">
        <v>30</v>
      </c>
    </row>
    <row r="43457" ht="15.75" customHeight="1">
      <c r="A43457" s="7"/>
      <c r="B43457" s="7"/>
      <c r="M43457" s="9" t="s">
        <v>24</v>
      </c>
    </row>
    <row r="43458" ht="15.75" customHeight="1">
      <c r="A43458" s="7"/>
      <c r="B43458" s="7"/>
      <c r="M43458" s="9" t="s">
        <v>20</v>
      </c>
    </row>
    <row r="43459" ht="15.75" customHeight="1">
      <c r="A43459" s="7"/>
      <c r="B43459" s="7"/>
      <c r="M43459" s="9" t="s">
        <v>21</v>
      </c>
    </row>
    <row r="43460" ht="15.75" customHeight="1">
      <c r="A43460" s="7"/>
      <c r="B43460" s="7"/>
      <c r="M43460" s="9" t="s">
        <v>37</v>
      </c>
    </row>
    <row r="43461" ht="15.75" customHeight="1">
      <c r="A43461" s="7"/>
      <c r="B43461" s="7"/>
      <c r="M43461" s="9" t="s">
        <v>27</v>
      </c>
    </row>
    <row r="43462" ht="15.75" customHeight="1">
      <c r="A43462" s="7"/>
      <c r="B43462" s="7"/>
      <c r="M43462" s="9" t="s">
        <v>30</v>
      </c>
    </row>
    <row r="43463" ht="15.75" customHeight="1">
      <c r="A43463" s="7"/>
      <c r="B43463" s="7"/>
      <c r="M43463" s="9" t="s">
        <v>26</v>
      </c>
    </row>
    <row r="43464" ht="15.75" customHeight="1">
      <c r="A43464" s="7"/>
      <c r="B43464" s="7"/>
      <c r="M43464" s="9" t="s">
        <v>21</v>
      </c>
    </row>
    <row r="43465" ht="15.75" customHeight="1">
      <c r="A43465" s="7"/>
      <c r="B43465" s="7"/>
      <c r="M43465" s="9" t="s">
        <v>27</v>
      </c>
    </row>
    <row r="43466" ht="15.75" customHeight="1">
      <c r="A43466" s="7"/>
      <c r="B43466" s="7"/>
      <c r="M43466" s="9" t="s">
        <v>25</v>
      </c>
    </row>
    <row r="43467" ht="15.75" customHeight="1">
      <c r="A43467" s="7"/>
      <c r="B43467" s="7"/>
      <c r="M43467" s="9" t="s">
        <v>23</v>
      </c>
    </row>
    <row r="43468" ht="15.75" customHeight="1">
      <c r="A43468" s="7"/>
      <c r="B43468" s="7"/>
      <c r="M43468" s="9" t="s">
        <v>24</v>
      </c>
    </row>
    <row r="43469" ht="15.75" customHeight="1">
      <c r="A43469" s="7"/>
      <c r="B43469" s="7"/>
      <c r="M43469" s="9" t="s">
        <v>21</v>
      </c>
    </row>
    <row r="43470" ht="15.75" customHeight="1">
      <c r="A43470" s="7"/>
      <c r="B43470" s="7"/>
      <c r="M43470" s="9" t="s">
        <v>27</v>
      </c>
    </row>
    <row r="43471" ht="15.75" customHeight="1">
      <c r="A43471" s="7"/>
      <c r="B43471" s="7"/>
      <c r="M43471" s="9" t="s">
        <v>35</v>
      </c>
    </row>
    <row r="43472" ht="15.75" customHeight="1">
      <c r="A43472" s="7"/>
      <c r="B43472" s="7"/>
      <c r="M43472" s="9" t="s">
        <v>24</v>
      </c>
    </row>
    <row r="43473" ht="15.75" customHeight="1">
      <c r="A43473" s="7"/>
      <c r="B43473" s="7"/>
      <c r="M43473" s="9" t="s">
        <v>20</v>
      </c>
    </row>
    <row r="43474" ht="15.75" customHeight="1">
      <c r="A43474" s="7"/>
      <c r="B43474" s="7"/>
      <c r="M43474" s="9" t="s">
        <v>21</v>
      </c>
    </row>
    <row r="43475" ht="15.75" customHeight="1">
      <c r="A43475" s="7"/>
      <c r="B43475" s="7"/>
      <c r="M43475" s="9" t="s">
        <v>37</v>
      </c>
    </row>
    <row r="43476" ht="15.75" customHeight="1">
      <c r="A43476" s="7"/>
      <c r="B43476" s="7"/>
      <c r="M43476" s="9" t="s">
        <v>22</v>
      </c>
    </row>
    <row r="43477" ht="15.75" customHeight="1">
      <c r="A43477" s="7"/>
      <c r="B43477" s="7"/>
      <c r="M43477" s="9" t="s">
        <v>27</v>
      </c>
    </row>
    <row r="43478" ht="15.75" customHeight="1">
      <c r="A43478" s="7"/>
      <c r="B43478" s="7"/>
      <c r="M43478" s="9" t="s">
        <v>33</v>
      </c>
    </row>
    <row r="43479" ht="15.75" customHeight="1">
      <c r="A43479" s="7"/>
      <c r="B43479" s="7"/>
      <c r="M43479" s="9" t="s">
        <v>30</v>
      </c>
    </row>
    <row r="43480" ht="15.75" customHeight="1">
      <c r="A43480" s="7"/>
      <c r="B43480" s="7"/>
      <c r="M43480" s="9" t="s">
        <v>25</v>
      </c>
    </row>
    <row r="43481" ht="15.75" customHeight="1">
      <c r="A43481" s="7"/>
      <c r="B43481" s="7"/>
      <c r="M43481" s="9" t="s">
        <v>41</v>
      </c>
    </row>
    <row r="43482" ht="15.75" customHeight="1">
      <c r="A43482" s="7"/>
      <c r="B43482" s="7"/>
      <c r="M43482" s="9" t="s">
        <v>40</v>
      </c>
    </row>
    <row r="43483" ht="15.75" customHeight="1">
      <c r="A43483" s="7"/>
      <c r="B43483" s="7"/>
      <c r="M43483" s="9" t="s">
        <v>22</v>
      </c>
    </row>
    <row r="43484" ht="15.75" customHeight="1">
      <c r="A43484" s="7"/>
      <c r="B43484" s="7"/>
      <c r="M43484" s="9" t="s">
        <v>23</v>
      </c>
    </row>
    <row r="43485" ht="15.75" customHeight="1">
      <c r="A43485" s="7"/>
      <c r="B43485" s="7"/>
      <c r="M43485" s="9" t="s">
        <v>26</v>
      </c>
    </row>
    <row r="43486" ht="15.75" customHeight="1">
      <c r="A43486" s="7"/>
      <c r="B43486" s="7"/>
      <c r="M43486" s="9" t="s">
        <v>27</v>
      </c>
    </row>
    <row r="43487" ht="15.75" customHeight="1">
      <c r="A43487" s="7"/>
      <c r="B43487" s="7"/>
      <c r="M43487" s="9" t="s">
        <v>23</v>
      </c>
    </row>
    <row r="43488" ht="15.75" customHeight="1">
      <c r="A43488" s="7"/>
      <c r="B43488" s="7"/>
      <c r="M43488" s="9" t="s">
        <v>36</v>
      </c>
    </row>
    <row r="43489" ht="15.75" customHeight="1">
      <c r="A43489" s="7"/>
      <c r="B43489" s="7"/>
      <c r="M43489" s="9" t="s">
        <v>24</v>
      </c>
    </row>
    <row r="43490" ht="15.75" customHeight="1">
      <c r="A43490" s="7"/>
      <c r="B43490" s="7"/>
      <c r="M43490" s="9" t="s">
        <v>21</v>
      </c>
    </row>
    <row r="43491" ht="15.75" customHeight="1">
      <c r="A43491" s="7"/>
      <c r="B43491" s="7"/>
      <c r="M43491" s="9" t="s">
        <v>37</v>
      </c>
    </row>
    <row r="43492" ht="15.75" customHeight="1">
      <c r="A43492" s="7"/>
      <c r="B43492" s="7"/>
      <c r="M43492" s="9" t="s">
        <v>22</v>
      </c>
    </row>
    <row r="43493" ht="15.75" customHeight="1">
      <c r="A43493" s="7"/>
      <c r="B43493" s="7"/>
      <c r="M43493" s="9" t="s">
        <v>27</v>
      </c>
    </row>
    <row r="43494" ht="15.75" customHeight="1">
      <c r="A43494" s="7"/>
      <c r="B43494" s="7"/>
      <c r="M43494" s="9" t="s">
        <v>33</v>
      </c>
    </row>
    <row r="43495" ht="15.75" customHeight="1">
      <c r="A43495" s="7"/>
      <c r="B43495" s="7"/>
      <c r="M43495" s="9" t="s">
        <v>26</v>
      </c>
    </row>
    <row r="43496" ht="15.75" customHeight="1">
      <c r="A43496" s="7"/>
      <c r="B43496" s="7"/>
      <c r="M43496" s="9" t="s">
        <v>24</v>
      </c>
    </row>
    <row r="43497" ht="15.75" customHeight="1">
      <c r="A43497" s="7"/>
      <c r="B43497" s="7"/>
      <c r="M43497" s="9" t="s">
        <v>21</v>
      </c>
    </row>
    <row r="43498" ht="15.75" customHeight="1">
      <c r="A43498" s="7"/>
      <c r="B43498" s="7"/>
      <c r="M43498" s="9" t="s">
        <v>22</v>
      </c>
    </row>
    <row r="43499" ht="15.75" customHeight="1">
      <c r="A43499" s="7"/>
      <c r="B43499" s="7"/>
      <c r="M43499" s="9" t="s">
        <v>27</v>
      </c>
    </row>
    <row r="43500" ht="15.75" customHeight="1">
      <c r="A43500" s="7"/>
      <c r="B43500" s="7"/>
      <c r="M43500" s="9" t="s">
        <v>28</v>
      </c>
    </row>
    <row r="43501" ht="15.75" customHeight="1">
      <c r="A43501" s="7"/>
      <c r="B43501" s="7"/>
      <c r="M43501" s="9" t="s">
        <v>30</v>
      </c>
    </row>
    <row r="43502" ht="15.75" customHeight="1">
      <c r="A43502" s="7"/>
      <c r="B43502" s="7"/>
      <c r="M43502" s="9" t="s">
        <v>25</v>
      </c>
    </row>
    <row r="43503" ht="15.75" customHeight="1">
      <c r="A43503" s="7"/>
      <c r="B43503" s="7"/>
      <c r="M43503" s="9" t="s">
        <v>23</v>
      </c>
    </row>
    <row r="43504" ht="15.75" customHeight="1">
      <c r="A43504" s="7"/>
      <c r="B43504" s="7"/>
      <c r="M43504" s="9" t="s">
        <v>36</v>
      </c>
    </row>
    <row r="43505" ht="15.75" customHeight="1">
      <c r="A43505" s="7"/>
      <c r="B43505" s="7"/>
      <c r="M43505" s="9" t="s">
        <v>22</v>
      </c>
    </row>
    <row r="43506" ht="15.75" customHeight="1">
      <c r="A43506" s="7"/>
      <c r="B43506" s="7"/>
      <c r="M43506" s="9" t="s">
        <v>33</v>
      </c>
    </row>
    <row r="43507" ht="15.75" customHeight="1">
      <c r="A43507" s="7"/>
      <c r="B43507" s="7"/>
      <c r="M43507" s="9" t="s">
        <v>26</v>
      </c>
    </row>
    <row r="43508" ht="15.75" customHeight="1">
      <c r="A43508" s="7"/>
      <c r="B43508" s="7"/>
      <c r="M43508" s="9" t="s">
        <v>24</v>
      </c>
    </row>
    <row r="43509" ht="15.75" customHeight="1">
      <c r="A43509" s="7"/>
      <c r="B43509" s="7"/>
      <c r="M43509" s="9" t="s">
        <v>21</v>
      </c>
    </row>
    <row r="43510" ht="15.75" customHeight="1">
      <c r="A43510" s="7"/>
      <c r="B43510" s="7"/>
      <c r="M43510" s="9" t="s">
        <v>37</v>
      </c>
    </row>
    <row r="43511" ht="15.75" customHeight="1">
      <c r="A43511" s="7"/>
      <c r="B43511" s="7"/>
      <c r="M43511" s="9" t="s">
        <v>27</v>
      </c>
    </row>
    <row r="43512" ht="15.75" customHeight="1">
      <c r="A43512" s="7"/>
      <c r="B43512" s="7"/>
      <c r="M43512" s="9" t="s">
        <v>25</v>
      </c>
    </row>
    <row r="43513" ht="15.75" customHeight="1">
      <c r="A43513" s="7"/>
      <c r="B43513" s="7"/>
      <c r="M43513" s="9" t="s">
        <v>20</v>
      </c>
    </row>
    <row r="43514" ht="15.75" customHeight="1">
      <c r="A43514" s="7"/>
      <c r="B43514" s="7"/>
      <c r="M43514" s="9" t="s">
        <v>27</v>
      </c>
    </row>
    <row r="43515" ht="15.75" customHeight="1">
      <c r="A43515" s="7"/>
      <c r="B43515" s="7"/>
      <c r="M43515" s="9" t="s">
        <v>35</v>
      </c>
    </row>
    <row r="43516" ht="15.75" customHeight="1">
      <c r="A43516" s="7"/>
      <c r="B43516" s="7"/>
      <c r="M43516" s="9" t="s">
        <v>24</v>
      </c>
    </row>
    <row r="43517" ht="15.75" customHeight="1">
      <c r="A43517" s="7"/>
      <c r="B43517" s="7"/>
      <c r="M43517" s="9" t="s">
        <v>20</v>
      </c>
    </row>
    <row r="43518" ht="15.75" customHeight="1">
      <c r="A43518" s="7"/>
      <c r="B43518" s="7"/>
      <c r="M43518" s="9" t="s">
        <v>21</v>
      </c>
    </row>
    <row r="43519" ht="15.75" customHeight="1">
      <c r="A43519" s="7"/>
      <c r="B43519" s="7"/>
      <c r="M43519" s="9" t="s">
        <v>33</v>
      </c>
    </row>
    <row r="43520" ht="15.75" customHeight="1">
      <c r="A43520" s="7"/>
      <c r="B43520" s="7"/>
      <c r="M43520" s="9" t="s">
        <v>26</v>
      </c>
    </row>
    <row r="43521" ht="15.75" customHeight="1">
      <c r="A43521" s="7"/>
      <c r="B43521" s="7"/>
      <c r="M43521" s="9" t="s">
        <v>24</v>
      </c>
    </row>
    <row r="43522" ht="15.75" customHeight="1">
      <c r="A43522" s="7"/>
      <c r="B43522" s="7"/>
      <c r="M43522" s="9" t="s">
        <v>21</v>
      </c>
    </row>
    <row r="43523" ht="15.75" customHeight="1">
      <c r="A43523" s="7"/>
      <c r="B43523" s="7"/>
      <c r="M43523" s="9" t="s">
        <v>37</v>
      </c>
    </row>
    <row r="43524" ht="15.75" customHeight="1">
      <c r="A43524" s="7"/>
      <c r="B43524" s="7"/>
      <c r="M43524" s="9" t="s">
        <v>27</v>
      </c>
    </row>
    <row r="43525" ht="15.75" customHeight="1">
      <c r="A43525" s="7"/>
      <c r="B43525" s="7"/>
      <c r="M43525" s="9" t="s">
        <v>36</v>
      </c>
    </row>
    <row r="43526" ht="15.75" customHeight="1">
      <c r="A43526" s="7"/>
      <c r="B43526" s="7"/>
      <c r="M43526" s="9" t="s">
        <v>24</v>
      </c>
    </row>
    <row r="43527" ht="15.75" customHeight="1">
      <c r="A43527" s="7"/>
      <c r="B43527" s="7"/>
      <c r="M43527" s="9" t="s">
        <v>22</v>
      </c>
    </row>
    <row r="43528" ht="15.75" customHeight="1">
      <c r="A43528" s="7"/>
      <c r="B43528" s="7"/>
      <c r="M43528" s="9" t="s">
        <v>31</v>
      </c>
    </row>
    <row r="43529" ht="15.75" customHeight="1">
      <c r="A43529" s="7"/>
      <c r="B43529" s="7"/>
      <c r="M43529" s="9" t="s">
        <v>27</v>
      </c>
    </row>
    <row r="43530" ht="15.75" customHeight="1">
      <c r="A43530" s="7"/>
      <c r="B43530" s="7"/>
      <c r="M43530" s="9" t="s">
        <v>24</v>
      </c>
    </row>
    <row r="43531" ht="15.75" customHeight="1">
      <c r="A43531" s="7"/>
      <c r="B43531" s="7"/>
      <c r="M43531" s="9" t="s">
        <v>20</v>
      </c>
    </row>
    <row r="43532" ht="15.75" customHeight="1">
      <c r="A43532" s="7"/>
      <c r="B43532" s="7"/>
      <c r="M43532" s="9" t="s">
        <v>21</v>
      </c>
    </row>
    <row r="43533" ht="15.75" customHeight="1">
      <c r="A43533" s="7"/>
      <c r="B43533" s="7"/>
      <c r="M43533" s="9" t="s">
        <v>22</v>
      </c>
    </row>
    <row r="43534" ht="15.75" customHeight="1">
      <c r="A43534" s="7"/>
      <c r="B43534" s="7"/>
      <c r="M43534" s="9" t="s">
        <v>27</v>
      </c>
    </row>
    <row r="43535" ht="15.75" customHeight="1">
      <c r="A43535" s="7"/>
      <c r="B43535" s="7"/>
      <c r="M43535" s="9" t="s">
        <v>33</v>
      </c>
    </row>
    <row r="43536" ht="15.75" customHeight="1">
      <c r="A43536" s="7"/>
      <c r="B43536" s="7"/>
      <c r="M43536" s="9" t="s">
        <v>25</v>
      </c>
    </row>
    <row r="43537" ht="15.75" customHeight="1">
      <c r="A43537" s="7"/>
      <c r="B43537" s="7"/>
      <c r="M43537" s="9" t="s">
        <v>23</v>
      </c>
    </row>
    <row r="43538" ht="15.75" customHeight="1">
      <c r="A43538" s="7"/>
      <c r="B43538" s="7"/>
      <c r="M43538" s="9" t="s">
        <v>24</v>
      </c>
    </row>
    <row r="43539" ht="15.75" customHeight="1">
      <c r="A43539" s="7"/>
      <c r="B43539" s="7"/>
      <c r="M43539" s="9" t="s">
        <v>20</v>
      </c>
    </row>
    <row r="43540" ht="15.75" customHeight="1">
      <c r="A43540" s="7"/>
      <c r="B43540" s="7"/>
      <c r="M43540" s="9" t="s">
        <v>21</v>
      </c>
    </row>
    <row r="43541" ht="15.75" customHeight="1">
      <c r="A43541" s="7"/>
      <c r="B43541" s="7"/>
      <c r="M43541" s="9" t="s">
        <v>22</v>
      </c>
    </row>
    <row r="43542" ht="15.75" customHeight="1">
      <c r="A43542" s="7"/>
      <c r="B43542" s="7"/>
      <c r="M43542" s="9" t="s">
        <v>29</v>
      </c>
    </row>
    <row r="43543" ht="15.75" customHeight="1">
      <c r="A43543" s="7"/>
      <c r="B43543" s="7"/>
      <c r="M43543" s="9" t="s">
        <v>27</v>
      </c>
    </row>
    <row r="43544" ht="15.75" customHeight="1">
      <c r="A43544" s="7"/>
      <c r="B43544" s="7"/>
      <c r="M43544" s="9" t="s">
        <v>30</v>
      </c>
    </row>
    <row r="43545" ht="15.75" customHeight="1">
      <c r="A43545" s="7"/>
      <c r="B43545" s="7"/>
      <c r="M43545" s="9" t="s">
        <v>26</v>
      </c>
    </row>
    <row r="43546" ht="15.75" customHeight="1">
      <c r="A43546" s="7"/>
      <c r="B43546" s="7"/>
      <c r="M43546" s="9" t="s">
        <v>24</v>
      </c>
    </row>
    <row r="43547" ht="15.75" customHeight="1">
      <c r="A43547" s="7"/>
      <c r="B43547" s="7"/>
      <c r="M43547" s="9" t="s">
        <v>21</v>
      </c>
    </row>
    <row r="43548" ht="15.75" customHeight="1">
      <c r="A43548" s="7"/>
      <c r="B43548" s="7"/>
      <c r="M43548" s="9" t="s">
        <v>22</v>
      </c>
    </row>
    <row r="43549" ht="15.75" customHeight="1">
      <c r="A43549" s="7"/>
      <c r="B43549" s="7"/>
      <c r="M43549" s="9" t="s">
        <v>29</v>
      </c>
    </row>
    <row r="43550" ht="15.75" customHeight="1">
      <c r="A43550" s="7"/>
      <c r="B43550" s="7"/>
      <c r="M43550" s="9" t="s">
        <v>33</v>
      </c>
    </row>
    <row r="43551" ht="15.75" customHeight="1">
      <c r="A43551" s="7"/>
      <c r="B43551" s="7"/>
      <c r="M43551" s="9" t="s">
        <v>24</v>
      </c>
    </row>
    <row r="43552" ht="15.75" customHeight="1">
      <c r="A43552" s="7"/>
      <c r="B43552" s="7"/>
      <c r="M43552" s="9" t="s">
        <v>20</v>
      </c>
    </row>
    <row r="43553" ht="15.75" customHeight="1">
      <c r="A43553" s="7"/>
      <c r="B43553" s="7"/>
      <c r="M43553" s="9" t="s">
        <v>21</v>
      </c>
    </row>
    <row r="43554" ht="15.75" customHeight="1">
      <c r="A43554" s="7"/>
      <c r="B43554" s="7"/>
      <c r="M43554" s="9" t="s">
        <v>25</v>
      </c>
    </row>
    <row r="43555" ht="15.75" customHeight="1">
      <c r="A43555" s="7"/>
      <c r="B43555" s="7"/>
      <c r="M43555" s="9" t="s">
        <v>24</v>
      </c>
    </row>
    <row r="43556" ht="15.75" customHeight="1">
      <c r="A43556" s="7"/>
      <c r="B43556" s="7"/>
      <c r="M43556" s="9" t="s">
        <v>20</v>
      </c>
    </row>
    <row r="43557" ht="15.75" customHeight="1">
      <c r="A43557" s="7"/>
      <c r="B43557" s="7"/>
      <c r="M43557" s="9" t="s">
        <v>21</v>
      </c>
    </row>
    <row r="43558" ht="15.75" customHeight="1">
      <c r="A43558" s="7"/>
      <c r="B43558" s="7"/>
      <c r="M43558" s="9" t="s">
        <v>37</v>
      </c>
    </row>
    <row r="43559" ht="15.75" customHeight="1">
      <c r="A43559" s="7"/>
      <c r="B43559" s="7"/>
      <c r="M43559" s="9" t="s">
        <v>22</v>
      </c>
    </row>
    <row r="43560" ht="15.75" customHeight="1">
      <c r="A43560" s="7"/>
      <c r="B43560" s="7"/>
      <c r="M43560" s="9" t="s">
        <v>27</v>
      </c>
    </row>
    <row r="43561" ht="15.75" customHeight="1">
      <c r="A43561" s="7"/>
      <c r="B43561" s="7"/>
      <c r="M43561" s="9" t="s">
        <v>28</v>
      </c>
    </row>
    <row r="43562" ht="15.75" customHeight="1">
      <c r="A43562" s="7"/>
      <c r="B43562" s="7"/>
      <c r="M43562" s="9" t="s">
        <v>24</v>
      </c>
    </row>
    <row r="43563" ht="15.75" customHeight="1">
      <c r="A43563" s="7"/>
      <c r="B43563" s="7"/>
      <c r="M43563" s="9" t="s">
        <v>21</v>
      </c>
    </row>
    <row r="43564" ht="15.75" customHeight="1">
      <c r="A43564" s="7"/>
      <c r="B43564" s="7"/>
      <c r="M43564" s="9" t="s">
        <v>37</v>
      </c>
    </row>
    <row r="43565" ht="15.75" customHeight="1">
      <c r="A43565" s="7"/>
      <c r="B43565" s="7"/>
      <c r="M43565" s="9" t="s">
        <v>30</v>
      </c>
    </row>
    <row r="43566" ht="15.75" customHeight="1">
      <c r="A43566" s="7"/>
      <c r="B43566" s="7"/>
      <c r="M43566" s="9" t="s">
        <v>25</v>
      </c>
    </row>
    <row r="43567" ht="15.75" customHeight="1">
      <c r="A43567" s="7"/>
      <c r="B43567" s="7"/>
      <c r="M43567" s="9" t="s">
        <v>26</v>
      </c>
    </row>
    <row r="43568" ht="15.75" customHeight="1">
      <c r="A43568" s="7"/>
      <c r="B43568" s="7"/>
      <c r="M43568" s="9" t="s">
        <v>42</v>
      </c>
    </row>
    <row r="43569" ht="15.75" customHeight="1">
      <c r="A43569" s="7"/>
      <c r="B43569" s="7"/>
      <c r="M43569" s="9" t="s">
        <v>21</v>
      </c>
    </row>
    <row r="43570" ht="15.75" customHeight="1">
      <c r="A43570" s="7"/>
      <c r="B43570" s="7"/>
      <c r="M43570" s="9" t="s">
        <v>27</v>
      </c>
    </row>
    <row r="43571" ht="15.75" customHeight="1">
      <c r="A43571" s="7"/>
      <c r="B43571" s="7"/>
      <c r="M43571" s="9" t="s">
        <v>33</v>
      </c>
    </row>
    <row r="43572" ht="15.75" customHeight="1">
      <c r="A43572" s="7"/>
      <c r="B43572" s="7"/>
      <c r="M43572" s="9" t="s">
        <v>30</v>
      </c>
    </row>
    <row r="43573" ht="15.75" customHeight="1">
      <c r="A43573" s="7"/>
      <c r="B43573" s="7"/>
      <c r="M43573" s="9" t="s">
        <v>36</v>
      </c>
    </row>
    <row r="43574" ht="15.75" customHeight="1">
      <c r="A43574" s="7"/>
      <c r="B43574" s="7"/>
      <c r="M43574" s="9" t="s">
        <v>24</v>
      </c>
    </row>
    <row r="43575" ht="15.75" customHeight="1">
      <c r="A43575" s="7"/>
      <c r="B43575" s="7"/>
      <c r="M43575" s="9" t="s">
        <v>20</v>
      </c>
    </row>
    <row r="43576" ht="15.75" customHeight="1">
      <c r="A43576" s="7"/>
      <c r="B43576" s="7"/>
      <c r="M43576" s="9" t="s">
        <v>21</v>
      </c>
    </row>
    <row r="43577" ht="15.75" customHeight="1">
      <c r="A43577" s="7"/>
      <c r="B43577" s="7"/>
      <c r="M43577" s="9" t="s">
        <v>37</v>
      </c>
    </row>
    <row r="43578" ht="15.75" customHeight="1">
      <c r="A43578" s="7"/>
      <c r="B43578" s="7"/>
      <c r="M43578" s="9" t="s">
        <v>22</v>
      </c>
    </row>
    <row r="43579" ht="15.75" customHeight="1">
      <c r="A43579" s="7"/>
      <c r="B43579" s="7"/>
      <c r="M43579" s="9" t="s">
        <v>29</v>
      </c>
    </row>
    <row r="43580" ht="15.75" customHeight="1">
      <c r="A43580" s="7"/>
      <c r="B43580" s="7"/>
      <c r="M43580" s="9" t="s">
        <v>35</v>
      </c>
    </row>
    <row r="43581" ht="15.75" customHeight="1">
      <c r="A43581" s="7"/>
      <c r="B43581" s="7"/>
      <c r="M43581" s="9" t="s">
        <v>26</v>
      </c>
    </row>
    <row r="43582" ht="15.75" customHeight="1">
      <c r="A43582" s="7"/>
      <c r="B43582" s="7"/>
      <c r="M43582" s="9" t="s">
        <v>24</v>
      </c>
    </row>
    <row r="43583" ht="15.75" customHeight="1">
      <c r="A43583" s="7"/>
      <c r="B43583" s="7"/>
      <c r="M43583" s="9" t="s">
        <v>20</v>
      </c>
    </row>
    <row r="43584" ht="15.75" customHeight="1">
      <c r="A43584" s="7"/>
      <c r="B43584" s="7"/>
      <c r="M43584" s="9" t="s">
        <v>21</v>
      </c>
    </row>
    <row r="43585" ht="15.75" customHeight="1">
      <c r="A43585" s="7"/>
      <c r="B43585" s="7"/>
      <c r="M43585" s="9" t="s">
        <v>37</v>
      </c>
    </row>
    <row r="43586" ht="15.75" customHeight="1">
      <c r="A43586" s="7"/>
      <c r="B43586" s="7"/>
      <c r="M43586" s="9" t="s">
        <v>27</v>
      </c>
    </row>
    <row r="43587" ht="15.75" customHeight="1">
      <c r="A43587" s="7"/>
      <c r="B43587" s="7"/>
      <c r="M43587" s="9" t="s">
        <v>36</v>
      </c>
    </row>
    <row r="43588" ht="15.75" customHeight="1">
      <c r="A43588" s="7"/>
      <c r="B43588" s="7"/>
      <c r="M43588" s="9" t="s">
        <v>24</v>
      </c>
    </row>
    <row r="43589" ht="15.75" customHeight="1">
      <c r="A43589" s="7"/>
      <c r="B43589" s="7"/>
      <c r="M43589" s="9" t="s">
        <v>20</v>
      </c>
    </row>
    <row r="43590" ht="15.75" customHeight="1">
      <c r="A43590" s="7"/>
      <c r="B43590" s="7"/>
      <c r="M43590" s="9" t="s">
        <v>21</v>
      </c>
    </row>
    <row r="43591" ht="15.75" customHeight="1">
      <c r="A43591" s="7"/>
      <c r="B43591" s="7"/>
      <c r="M43591" s="9" t="s">
        <v>37</v>
      </c>
    </row>
    <row r="43592" ht="15.75" customHeight="1">
      <c r="A43592" s="7"/>
      <c r="B43592" s="7"/>
      <c r="M43592" s="9" t="s">
        <v>22</v>
      </c>
    </row>
    <row r="43593" ht="15.75" customHeight="1">
      <c r="A43593" s="7"/>
      <c r="B43593" s="7"/>
      <c r="M43593" s="9" t="s">
        <v>27</v>
      </c>
    </row>
    <row r="43594" ht="15.75" customHeight="1">
      <c r="A43594" s="7"/>
      <c r="B43594" s="7"/>
      <c r="M43594" s="9" t="s">
        <v>25</v>
      </c>
    </row>
    <row r="43595" ht="15.75" customHeight="1">
      <c r="A43595" s="7"/>
      <c r="B43595" s="7"/>
      <c r="M43595" s="9" t="s">
        <v>23</v>
      </c>
    </row>
    <row r="43596" ht="15.75" customHeight="1">
      <c r="A43596" s="7"/>
      <c r="B43596" s="7"/>
      <c r="M43596" s="9" t="s">
        <v>20</v>
      </c>
    </row>
    <row r="43597" ht="15.75" customHeight="1">
      <c r="A43597" s="7"/>
      <c r="B43597" s="7"/>
      <c r="M43597" s="9" t="s">
        <v>22</v>
      </c>
    </row>
    <row r="43598" ht="15.75" customHeight="1">
      <c r="A43598" s="7"/>
      <c r="B43598" s="7"/>
      <c r="M43598" s="9" t="s">
        <v>27</v>
      </c>
    </row>
    <row r="43599" ht="15.75" customHeight="1">
      <c r="A43599" s="7"/>
      <c r="B43599" s="7"/>
      <c r="M43599" s="9" t="s">
        <v>30</v>
      </c>
    </row>
    <row r="43600" ht="15.75" customHeight="1">
      <c r="A43600" s="7"/>
      <c r="B43600" s="7"/>
      <c r="M43600" s="9" t="s">
        <v>25</v>
      </c>
    </row>
    <row r="43601" ht="15.75" customHeight="1">
      <c r="A43601" s="7"/>
      <c r="B43601" s="7"/>
      <c r="M43601" s="9" t="s">
        <v>23</v>
      </c>
    </row>
    <row r="43602" ht="15.75" customHeight="1">
      <c r="A43602" s="7"/>
      <c r="B43602" s="7"/>
      <c r="M43602" s="9" t="s">
        <v>24</v>
      </c>
    </row>
    <row r="43603" ht="15.75" customHeight="1">
      <c r="A43603" s="7"/>
      <c r="B43603" s="7"/>
      <c r="M43603" s="9" t="s">
        <v>20</v>
      </c>
    </row>
    <row r="43604" ht="15.75" customHeight="1">
      <c r="A43604" s="7"/>
      <c r="B43604" s="7"/>
      <c r="M43604" s="9" t="s">
        <v>21</v>
      </c>
    </row>
    <row r="43605" ht="15.75" customHeight="1">
      <c r="A43605" s="7"/>
      <c r="B43605" s="7"/>
      <c r="M43605" s="9" t="s">
        <v>27</v>
      </c>
    </row>
    <row r="43606" ht="15.75" customHeight="1">
      <c r="A43606" s="7"/>
      <c r="B43606" s="7"/>
      <c r="M43606" s="9" t="s">
        <v>30</v>
      </c>
    </row>
    <row r="43607" ht="15.75" customHeight="1">
      <c r="A43607" s="7"/>
      <c r="B43607" s="7"/>
      <c r="M43607" s="9" t="s">
        <v>24</v>
      </c>
    </row>
    <row r="43608" ht="15.75" customHeight="1">
      <c r="A43608" s="7"/>
      <c r="B43608" s="7"/>
      <c r="M43608" s="9" t="s">
        <v>21</v>
      </c>
    </row>
    <row r="43609" ht="15.75" customHeight="1">
      <c r="A43609" s="7"/>
      <c r="B43609" s="7"/>
      <c r="M43609" s="9" t="s">
        <v>31</v>
      </c>
    </row>
    <row r="43610" ht="15.75" customHeight="1">
      <c r="A43610" s="7"/>
      <c r="B43610" s="7"/>
      <c r="M43610" s="9" t="s">
        <v>20</v>
      </c>
    </row>
    <row r="43611" ht="15.75" customHeight="1">
      <c r="A43611" s="7"/>
      <c r="B43611" s="7"/>
      <c r="M43611" s="9" t="s">
        <v>22</v>
      </c>
    </row>
    <row r="43612" ht="15.75" customHeight="1">
      <c r="A43612" s="7"/>
      <c r="B43612" s="7"/>
      <c r="M43612" s="9" t="s">
        <v>30</v>
      </c>
    </row>
    <row r="43613" ht="15.75" customHeight="1">
      <c r="A43613" s="7"/>
      <c r="B43613" s="7"/>
      <c r="M43613" s="9" t="s">
        <v>44</v>
      </c>
    </row>
    <row r="43614" ht="15.75" customHeight="1">
      <c r="A43614" s="7"/>
      <c r="B43614" s="7"/>
      <c r="M43614" s="9" t="s">
        <v>36</v>
      </c>
    </row>
    <row r="43615" ht="15.75" customHeight="1">
      <c r="A43615" s="7"/>
      <c r="B43615" s="7"/>
      <c r="M43615" s="9" t="s">
        <v>24</v>
      </c>
    </row>
    <row r="43616" ht="15.75" customHeight="1">
      <c r="A43616" s="7"/>
      <c r="B43616" s="7"/>
      <c r="M43616" s="9" t="s">
        <v>21</v>
      </c>
    </row>
    <row r="43617" ht="15.75" customHeight="1">
      <c r="A43617" s="7"/>
      <c r="B43617" s="7"/>
      <c r="M43617" s="9" t="s">
        <v>31</v>
      </c>
    </row>
    <row r="43618" ht="15.75" customHeight="1">
      <c r="A43618" s="7"/>
      <c r="B43618" s="7"/>
      <c r="M43618" s="9" t="s">
        <v>35</v>
      </c>
    </row>
    <row r="43619" ht="15.75" customHeight="1">
      <c r="A43619" s="7"/>
      <c r="B43619" s="7"/>
      <c r="M43619" s="9" t="s">
        <v>30</v>
      </c>
    </row>
    <row r="43620" ht="15.75" customHeight="1">
      <c r="A43620" s="7"/>
      <c r="B43620" s="7"/>
      <c r="M43620" s="9" t="s">
        <v>23</v>
      </c>
    </row>
    <row r="43621" ht="15.75" customHeight="1">
      <c r="A43621" s="7"/>
      <c r="B43621" s="7"/>
      <c r="M43621" s="9" t="s">
        <v>24</v>
      </c>
    </row>
    <row r="43622" ht="15.75" customHeight="1">
      <c r="A43622" s="7"/>
      <c r="B43622" s="7"/>
      <c r="M43622" s="9" t="s">
        <v>37</v>
      </c>
    </row>
    <row r="43623" ht="15.75" customHeight="1">
      <c r="A43623" s="7"/>
      <c r="B43623" s="7"/>
      <c r="M43623" s="9" t="s">
        <v>22</v>
      </c>
    </row>
    <row r="43624" ht="15.75" customHeight="1">
      <c r="A43624" s="7"/>
      <c r="B43624" s="7"/>
      <c r="M43624" s="9" t="s">
        <v>33</v>
      </c>
    </row>
    <row r="43625" ht="15.75" customHeight="1">
      <c r="A43625" s="7"/>
      <c r="B43625" s="7"/>
      <c r="M43625" s="9" t="s">
        <v>30</v>
      </c>
    </row>
    <row r="43626" ht="15.75" customHeight="1">
      <c r="A43626" s="7"/>
      <c r="B43626" s="7"/>
      <c r="M43626" s="9" t="s">
        <v>24</v>
      </c>
    </row>
    <row r="43627" ht="15.75" customHeight="1">
      <c r="A43627" s="7"/>
      <c r="B43627" s="7"/>
      <c r="M43627" s="9" t="s">
        <v>20</v>
      </c>
    </row>
    <row r="43628" ht="15.75" customHeight="1">
      <c r="A43628" s="7"/>
      <c r="B43628" s="7"/>
      <c r="M43628" s="9" t="s">
        <v>21</v>
      </c>
    </row>
    <row r="43629" ht="15.75" customHeight="1">
      <c r="A43629" s="7"/>
      <c r="B43629" s="7"/>
      <c r="M43629" s="9" t="s">
        <v>27</v>
      </c>
    </row>
    <row r="43630" ht="15.75" customHeight="1">
      <c r="A43630" s="7"/>
      <c r="B43630" s="7"/>
      <c r="M43630" s="9" t="s">
        <v>25</v>
      </c>
    </row>
    <row r="43631" ht="15.75" customHeight="1">
      <c r="A43631" s="7"/>
      <c r="B43631" s="7"/>
      <c r="M43631" s="9" t="s">
        <v>20</v>
      </c>
    </row>
    <row r="43632" ht="15.75" customHeight="1">
      <c r="A43632" s="7"/>
      <c r="B43632" s="7"/>
      <c r="M43632" s="9" t="s">
        <v>22</v>
      </c>
    </row>
    <row r="43633" ht="15.75" customHeight="1">
      <c r="A43633" s="7"/>
      <c r="B43633" s="7"/>
      <c r="M43633" s="9" t="s">
        <v>33</v>
      </c>
    </row>
    <row r="43634" ht="15.75" customHeight="1">
      <c r="A43634" s="7"/>
      <c r="B43634" s="7"/>
      <c r="M43634" s="9" t="s">
        <v>26</v>
      </c>
    </row>
    <row r="43635" ht="15.75" customHeight="1">
      <c r="A43635" s="7"/>
      <c r="B43635" s="7"/>
      <c r="M43635" s="9" t="s">
        <v>24</v>
      </c>
    </row>
    <row r="43636" ht="15.75" customHeight="1">
      <c r="A43636" s="7"/>
      <c r="B43636" s="7"/>
      <c r="M43636" s="9" t="s">
        <v>21</v>
      </c>
    </row>
    <row r="43637" ht="15.75" customHeight="1">
      <c r="A43637" s="7"/>
      <c r="B43637" s="7"/>
      <c r="M43637" s="9" t="s">
        <v>27</v>
      </c>
    </row>
    <row r="43638" ht="15.75" customHeight="1">
      <c r="A43638" s="7"/>
      <c r="B43638" s="7"/>
      <c r="M43638" s="9" t="s">
        <v>26</v>
      </c>
    </row>
    <row r="43639" ht="15.75" customHeight="1">
      <c r="A43639" s="7"/>
      <c r="B43639" s="7"/>
      <c r="M43639" s="9" t="s">
        <v>21</v>
      </c>
    </row>
    <row r="43640" ht="15.75" customHeight="1">
      <c r="A43640" s="7"/>
      <c r="B43640" s="7"/>
      <c r="M43640" s="9" t="s">
        <v>37</v>
      </c>
    </row>
    <row r="43641" ht="15.75" customHeight="1">
      <c r="A43641" s="7"/>
      <c r="B43641" s="7"/>
      <c r="M43641" s="9" t="s">
        <v>27</v>
      </c>
    </row>
    <row r="43642" ht="15.75" customHeight="1">
      <c r="A43642" s="7"/>
      <c r="B43642" s="7"/>
      <c r="M43642" s="9" t="s">
        <v>36</v>
      </c>
    </row>
    <row r="43643" ht="15.75" customHeight="1">
      <c r="A43643" s="7"/>
      <c r="B43643" s="7"/>
      <c r="M43643" s="9" t="s">
        <v>21</v>
      </c>
    </row>
    <row r="43644" ht="15.75" customHeight="1">
      <c r="A43644" s="7"/>
      <c r="B43644" s="7"/>
      <c r="M43644" s="9" t="s">
        <v>24</v>
      </c>
    </row>
    <row r="43645" ht="15.75" customHeight="1">
      <c r="A43645" s="7"/>
      <c r="B43645" s="7"/>
      <c r="M43645" s="9" t="s">
        <v>20</v>
      </c>
    </row>
    <row r="43646" ht="15.75" customHeight="1">
      <c r="A43646" s="7"/>
      <c r="B43646" s="7"/>
      <c r="M43646" s="9" t="s">
        <v>21</v>
      </c>
    </row>
    <row r="43647" ht="15.75" customHeight="1">
      <c r="A43647" s="7"/>
      <c r="B43647" s="7"/>
      <c r="M43647" s="9" t="s">
        <v>37</v>
      </c>
    </row>
    <row r="43648" ht="15.75" customHeight="1">
      <c r="A43648" s="7"/>
      <c r="B43648" s="7"/>
      <c r="M43648" s="9" t="s">
        <v>46</v>
      </c>
    </row>
    <row r="43649" ht="15.75" customHeight="1">
      <c r="A43649" s="7"/>
      <c r="B43649" s="7"/>
      <c r="M43649" s="9" t="s">
        <v>27</v>
      </c>
    </row>
    <row r="43650" ht="15.75" customHeight="1">
      <c r="A43650" s="7"/>
      <c r="B43650" s="7"/>
      <c r="M43650" s="9" t="s">
        <v>24</v>
      </c>
    </row>
    <row r="43651" ht="15.75" customHeight="1">
      <c r="A43651" s="7"/>
      <c r="B43651" s="7"/>
      <c r="M43651" s="9" t="s">
        <v>21</v>
      </c>
    </row>
    <row r="43652" ht="15.75" customHeight="1">
      <c r="A43652" s="7"/>
      <c r="B43652" s="7"/>
      <c r="M43652" s="9" t="s">
        <v>37</v>
      </c>
    </row>
    <row r="43653" ht="15.75" customHeight="1">
      <c r="A43653" s="7"/>
      <c r="B43653" s="7"/>
      <c r="M43653" s="9" t="s">
        <v>24</v>
      </c>
    </row>
    <row r="43654" ht="15.75" customHeight="1">
      <c r="A43654" s="7"/>
      <c r="B43654" s="7"/>
      <c r="M43654" s="9" t="s">
        <v>21</v>
      </c>
    </row>
    <row r="43655" ht="15.75" customHeight="1">
      <c r="A43655" s="7"/>
      <c r="B43655" s="7"/>
      <c r="M43655" s="9" t="s">
        <v>31</v>
      </c>
    </row>
    <row r="43656" ht="15.75" customHeight="1">
      <c r="A43656" s="7"/>
      <c r="B43656" s="7"/>
      <c r="M43656" s="9" t="s">
        <v>30</v>
      </c>
    </row>
    <row r="43657" ht="15.75" customHeight="1">
      <c r="A43657" s="7"/>
      <c r="B43657" s="7"/>
      <c r="M43657" s="9" t="s">
        <v>23</v>
      </c>
    </row>
    <row r="43658" ht="15.75" customHeight="1">
      <c r="A43658" s="7"/>
      <c r="B43658" s="7"/>
      <c r="M43658" s="9" t="s">
        <v>20</v>
      </c>
    </row>
    <row r="43659" ht="15.75" customHeight="1">
      <c r="A43659" s="7"/>
      <c r="B43659" s="7"/>
      <c r="M43659" s="9" t="s">
        <v>22</v>
      </c>
    </row>
    <row r="43660" ht="15.75" customHeight="1">
      <c r="A43660" s="7"/>
      <c r="B43660" s="7"/>
      <c r="M43660" s="9" t="s">
        <v>29</v>
      </c>
    </row>
    <row r="43661" ht="15.75" customHeight="1">
      <c r="A43661" s="7"/>
      <c r="B43661" s="7"/>
      <c r="M43661" s="9" t="s">
        <v>27</v>
      </c>
    </row>
    <row r="43662" ht="15.75" customHeight="1">
      <c r="A43662" s="7"/>
      <c r="B43662" s="7"/>
      <c r="M43662" s="9" t="s">
        <v>26</v>
      </c>
    </row>
    <row r="43663" ht="15.75" customHeight="1">
      <c r="A43663" s="7"/>
      <c r="B43663" s="7"/>
      <c r="M43663" s="9" t="s">
        <v>24</v>
      </c>
    </row>
    <row r="43664" ht="15.75" customHeight="1">
      <c r="A43664" s="7"/>
      <c r="B43664" s="7"/>
      <c r="M43664" s="9" t="s">
        <v>21</v>
      </c>
    </row>
    <row r="43665" ht="15.75" customHeight="1">
      <c r="A43665" s="7"/>
      <c r="B43665" s="7"/>
      <c r="M43665" s="9" t="s">
        <v>27</v>
      </c>
    </row>
    <row r="43666" ht="15.75" customHeight="1">
      <c r="A43666" s="7"/>
      <c r="B43666" s="7"/>
      <c r="M43666" s="9" t="s">
        <v>47</v>
      </c>
    </row>
    <row r="43667" ht="15.75" customHeight="1">
      <c r="A43667" s="7"/>
      <c r="B43667" s="7"/>
      <c r="M43667" s="9" t="s">
        <v>21</v>
      </c>
    </row>
    <row r="43668" ht="15.75" customHeight="1">
      <c r="A43668" s="7"/>
      <c r="B43668" s="7"/>
      <c r="M43668" s="9" t="s">
        <v>33</v>
      </c>
    </row>
    <row r="43669" ht="15.75" customHeight="1">
      <c r="A43669" s="7"/>
      <c r="B43669" s="7"/>
      <c r="M43669" s="9" t="s">
        <v>30</v>
      </c>
    </row>
    <row r="43670" ht="15.75" customHeight="1">
      <c r="A43670" s="7"/>
      <c r="B43670" s="7"/>
      <c r="M43670" s="9" t="s">
        <v>23</v>
      </c>
    </row>
    <row r="43671" ht="15.75" customHeight="1">
      <c r="A43671" s="7"/>
      <c r="B43671" s="7"/>
      <c r="M43671" s="9" t="s">
        <v>24</v>
      </c>
    </row>
    <row r="43672" ht="15.75" customHeight="1">
      <c r="A43672" s="7"/>
      <c r="B43672" s="7"/>
      <c r="M43672" s="9" t="s">
        <v>21</v>
      </c>
    </row>
    <row r="43673" ht="15.75" customHeight="1">
      <c r="A43673" s="7"/>
      <c r="B43673" s="7"/>
      <c r="M43673" s="9" t="s">
        <v>31</v>
      </c>
    </row>
    <row r="43674" ht="15.75" customHeight="1">
      <c r="A43674" s="7"/>
      <c r="B43674" s="7"/>
      <c r="M43674" s="9" t="s">
        <v>27</v>
      </c>
    </row>
    <row r="43675" ht="15.75" customHeight="1">
      <c r="A43675" s="7"/>
      <c r="B43675" s="7"/>
      <c r="M43675" s="9" t="s">
        <v>33</v>
      </c>
    </row>
    <row r="43676" ht="15.75" customHeight="1">
      <c r="A43676" s="7"/>
      <c r="B43676" s="7"/>
      <c r="M43676" s="9" t="s">
        <v>38</v>
      </c>
    </row>
    <row r="43677" ht="15.75" customHeight="1">
      <c r="A43677" s="7"/>
      <c r="B43677" s="7"/>
      <c r="M43677" s="9" t="s">
        <v>30</v>
      </c>
    </row>
    <row r="43678" ht="15.75" customHeight="1">
      <c r="A43678" s="7"/>
      <c r="B43678" s="7"/>
      <c r="M43678" s="9" t="s">
        <v>25</v>
      </c>
    </row>
    <row r="43679" ht="15.75" customHeight="1">
      <c r="A43679" s="7"/>
      <c r="B43679" s="7"/>
      <c r="M43679" s="9" t="s">
        <v>24</v>
      </c>
    </row>
    <row r="43680" ht="15.75" customHeight="1">
      <c r="A43680" s="7"/>
      <c r="B43680" s="7"/>
      <c r="M43680" s="9" t="s">
        <v>20</v>
      </c>
    </row>
    <row r="43681" ht="15.75" customHeight="1">
      <c r="A43681" s="7"/>
      <c r="B43681" s="7"/>
      <c r="M43681" s="9" t="s">
        <v>37</v>
      </c>
    </row>
    <row r="43682" ht="15.75" customHeight="1">
      <c r="A43682" s="7"/>
      <c r="B43682" s="7"/>
      <c r="M43682" s="9" t="s">
        <v>22</v>
      </c>
    </row>
    <row r="43683" ht="15.75" customHeight="1">
      <c r="A43683" s="7"/>
      <c r="B43683" s="7"/>
      <c r="M43683" s="9" t="s">
        <v>31</v>
      </c>
    </row>
    <row r="43684" ht="15.75" customHeight="1">
      <c r="A43684" s="7"/>
      <c r="B43684" s="7"/>
      <c r="M43684" s="9" t="s">
        <v>46</v>
      </c>
    </row>
    <row r="43685" ht="15.75" customHeight="1">
      <c r="A43685" s="7"/>
      <c r="B43685" s="7"/>
      <c r="M43685" s="9" t="s">
        <v>27</v>
      </c>
    </row>
    <row r="43686" ht="15.75" customHeight="1">
      <c r="A43686" s="7"/>
      <c r="B43686" s="7"/>
      <c r="M43686" s="9" t="s">
        <v>30</v>
      </c>
    </row>
    <row r="43687" ht="15.75" customHeight="1">
      <c r="A43687" s="7"/>
      <c r="B43687" s="7"/>
      <c r="M43687" s="9" t="s">
        <v>24</v>
      </c>
    </row>
    <row r="43688" ht="15.75" customHeight="1">
      <c r="A43688" s="7"/>
      <c r="B43688" s="7"/>
      <c r="M43688" s="9" t="s">
        <v>21</v>
      </c>
    </row>
    <row r="43689" ht="15.75" customHeight="1">
      <c r="A43689" s="7"/>
      <c r="B43689" s="7"/>
      <c r="M43689" s="9" t="s">
        <v>22</v>
      </c>
    </row>
    <row r="43690" ht="15.75" customHeight="1">
      <c r="A43690" s="7"/>
      <c r="B43690" s="7"/>
      <c r="M43690" s="9" t="s">
        <v>27</v>
      </c>
    </row>
    <row r="43691" ht="15.75" customHeight="1">
      <c r="A43691" s="7"/>
      <c r="B43691" s="7"/>
      <c r="M43691" s="9" t="s">
        <v>33</v>
      </c>
    </row>
    <row r="43692" ht="15.75" customHeight="1">
      <c r="A43692" s="7"/>
      <c r="B43692" s="7"/>
      <c r="M43692" s="9" t="s">
        <v>24</v>
      </c>
    </row>
    <row r="43693" ht="15.75" customHeight="1">
      <c r="A43693" s="7"/>
      <c r="B43693" s="7"/>
      <c r="M43693" s="9" t="s">
        <v>21</v>
      </c>
    </row>
    <row r="43694" ht="15.75" customHeight="1">
      <c r="A43694" s="7"/>
      <c r="B43694" s="7"/>
      <c r="M43694" s="9" t="s">
        <v>30</v>
      </c>
    </row>
    <row r="43695" ht="15.75" customHeight="1">
      <c r="A43695" s="7"/>
      <c r="B43695" s="7"/>
      <c r="M43695" s="9" t="s">
        <v>25</v>
      </c>
    </row>
    <row r="43696" ht="15.75" customHeight="1">
      <c r="A43696" s="7"/>
      <c r="B43696" s="7"/>
      <c r="M43696" s="9" t="s">
        <v>23</v>
      </c>
    </row>
    <row r="43697" ht="15.75" customHeight="1">
      <c r="A43697" s="7"/>
      <c r="B43697" s="7"/>
      <c r="M43697" s="9" t="s">
        <v>26</v>
      </c>
    </row>
    <row r="43698" ht="15.75" customHeight="1">
      <c r="A43698" s="7"/>
      <c r="B43698" s="7"/>
      <c r="M43698" s="9" t="s">
        <v>42</v>
      </c>
    </row>
    <row r="43699" ht="15.75" customHeight="1">
      <c r="A43699" s="7"/>
      <c r="B43699" s="7"/>
      <c r="M43699" s="9" t="s">
        <v>43</v>
      </c>
    </row>
    <row r="43700" ht="15.75" customHeight="1">
      <c r="A43700" s="7"/>
      <c r="B43700" s="7"/>
      <c r="M43700" s="9" t="s">
        <v>36</v>
      </c>
    </row>
    <row r="43701" ht="15.75" customHeight="1">
      <c r="A43701" s="7"/>
      <c r="B43701" s="7"/>
      <c r="M43701" s="9" t="s">
        <v>24</v>
      </c>
    </row>
    <row r="43702" ht="15.75" customHeight="1">
      <c r="A43702" s="7"/>
      <c r="B43702" s="7"/>
      <c r="M43702" s="9" t="s">
        <v>37</v>
      </c>
    </row>
    <row r="43703" ht="15.75" customHeight="1">
      <c r="A43703" s="7"/>
      <c r="B43703" s="7"/>
      <c r="M43703" s="9" t="s">
        <v>22</v>
      </c>
    </row>
    <row r="43704" ht="15.75" customHeight="1">
      <c r="A43704" s="7"/>
      <c r="B43704" s="7"/>
      <c r="M43704" s="9" t="s">
        <v>31</v>
      </c>
    </row>
    <row r="43705" ht="15.75" customHeight="1">
      <c r="A43705" s="7"/>
      <c r="B43705" s="7"/>
      <c r="M43705" s="9" t="s">
        <v>27</v>
      </c>
    </row>
    <row r="43706" ht="15.75" customHeight="1">
      <c r="A43706" s="7"/>
      <c r="B43706" s="7"/>
      <c r="M43706" s="9" t="s">
        <v>24</v>
      </c>
    </row>
    <row r="43707" ht="15.75" customHeight="1">
      <c r="A43707" s="7"/>
      <c r="B43707" s="7"/>
      <c r="M43707" s="9" t="s">
        <v>22</v>
      </c>
    </row>
    <row r="43708" ht="15.75" customHeight="1">
      <c r="A43708" s="7"/>
      <c r="B43708" s="7"/>
      <c r="M43708" s="9" t="s">
        <v>20</v>
      </c>
    </row>
    <row r="43709" ht="15.75" customHeight="1">
      <c r="A43709" s="7"/>
      <c r="B43709" s="7"/>
      <c r="M43709" s="9" t="s">
        <v>23</v>
      </c>
    </row>
    <row r="43710" ht="15.75" customHeight="1">
      <c r="A43710" s="7"/>
      <c r="B43710" s="7"/>
      <c r="M43710" s="9" t="s">
        <v>26</v>
      </c>
    </row>
    <row r="43711" ht="15.75" customHeight="1">
      <c r="A43711" s="7"/>
      <c r="B43711" s="7"/>
      <c r="M43711" s="9" t="s">
        <v>24</v>
      </c>
    </row>
    <row r="43712" ht="15.75" customHeight="1">
      <c r="A43712" s="7"/>
      <c r="B43712" s="7"/>
      <c r="M43712" s="9" t="s">
        <v>27</v>
      </c>
    </row>
    <row r="43713" ht="15.75" customHeight="1">
      <c r="A43713" s="7"/>
      <c r="B43713" s="7"/>
      <c r="M43713" s="9" t="s">
        <v>38</v>
      </c>
    </row>
    <row r="43714" ht="15.75" customHeight="1">
      <c r="A43714" s="7"/>
      <c r="B43714" s="7"/>
      <c r="M43714" s="9" t="s">
        <v>30</v>
      </c>
    </row>
    <row r="43715" ht="15.75" customHeight="1">
      <c r="A43715" s="7"/>
      <c r="B43715" s="7"/>
      <c r="M43715" s="9" t="s">
        <v>25</v>
      </c>
    </row>
    <row r="43716" ht="15.75" customHeight="1">
      <c r="A43716" s="7"/>
      <c r="B43716" s="7"/>
      <c r="M43716" s="9" t="s">
        <v>23</v>
      </c>
    </row>
    <row r="43717" ht="15.75" customHeight="1">
      <c r="A43717" s="7"/>
      <c r="B43717" s="7"/>
      <c r="M43717" s="9" t="s">
        <v>20</v>
      </c>
    </row>
    <row r="43718" ht="15.75" customHeight="1">
      <c r="A43718" s="7"/>
      <c r="B43718" s="7"/>
      <c r="M43718" s="9" t="s">
        <v>37</v>
      </c>
    </row>
    <row r="43719" ht="15.75" customHeight="1">
      <c r="A43719" s="7"/>
      <c r="B43719" s="7"/>
      <c r="M43719" s="9" t="s">
        <v>27</v>
      </c>
    </row>
    <row r="43720" ht="15.75" customHeight="1">
      <c r="A43720" s="7"/>
      <c r="B43720" s="7"/>
      <c r="M43720" s="9" t="s">
        <v>33</v>
      </c>
    </row>
    <row r="43721" ht="15.75" customHeight="1">
      <c r="A43721" s="7"/>
      <c r="B43721" s="7"/>
      <c r="M43721" s="9" t="s">
        <v>28</v>
      </c>
    </row>
    <row r="43722" ht="15.75" customHeight="1">
      <c r="A43722" s="7"/>
      <c r="B43722" s="7"/>
      <c r="M43722" s="9" t="s">
        <v>25</v>
      </c>
    </row>
    <row r="43723" ht="15.75" customHeight="1">
      <c r="A43723" s="7"/>
      <c r="B43723" s="7"/>
      <c r="M43723" s="9" t="s">
        <v>26</v>
      </c>
    </row>
    <row r="43724" ht="15.75" customHeight="1">
      <c r="A43724" s="7"/>
      <c r="B43724" s="7"/>
      <c r="M43724" s="9" t="s">
        <v>24</v>
      </c>
    </row>
    <row r="43725" ht="15.75" customHeight="1">
      <c r="A43725" s="7"/>
      <c r="B43725" s="7"/>
      <c r="M43725" s="9" t="s">
        <v>20</v>
      </c>
    </row>
    <row r="43726" ht="15.75" customHeight="1">
      <c r="A43726" s="7"/>
      <c r="B43726" s="7"/>
      <c r="M43726" s="9" t="s">
        <v>21</v>
      </c>
    </row>
    <row r="43727" ht="15.75" customHeight="1">
      <c r="A43727" s="7"/>
      <c r="B43727" s="7"/>
      <c r="M43727" s="9" t="s">
        <v>37</v>
      </c>
    </row>
    <row r="43728" ht="15.75" customHeight="1">
      <c r="A43728" s="7"/>
      <c r="B43728" s="7"/>
      <c r="M43728" s="9" t="s">
        <v>27</v>
      </c>
    </row>
    <row r="43729" ht="15.75" customHeight="1">
      <c r="A43729" s="7"/>
      <c r="B43729" s="7"/>
      <c r="M43729" s="9" t="s">
        <v>25</v>
      </c>
    </row>
    <row r="43730" ht="15.75" customHeight="1">
      <c r="A43730" s="7"/>
      <c r="B43730" s="7"/>
      <c r="M43730" s="9" t="s">
        <v>23</v>
      </c>
    </row>
    <row r="43731" ht="15.75" customHeight="1">
      <c r="A43731" s="7"/>
      <c r="B43731" s="7"/>
      <c r="M43731" s="9" t="s">
        <v>26</v>
      </c>
    </row>
    <row r="43732" ht="15.75" customHeight="1">
      <c r="A43732" s="7"/>
      <c r="B43732" s="7"/>
      <c r="M43732" s="9" t="s">
        <v>24</v>
      </c>
    </row>
    <row r="43733" ht="15.75" customHeight="1">
      <c r="A43733" s="7"/>
      <c r="B43733" s="7"/>
      <c r="M43733" s="9" t="s">
        <v>20</v>
      </c>
    </row>
    <row r="43734" ht="15.75" customHeight="1">
      <c r="A43734" s="7"/>
      <c r="B43734" s="7"/>
      <c r="M43734" s="9" t="s">
        <v>21</v>
      </c>
    </row>
    <row r="43735" ht="15.75" customHeight="1">
      <c r="A43735" s="7"/>
      <c r="B43735" s="7"/>
      <c r="M43735" s="9" t="s">
        <v>24</v>
      </c>
    </row>
    <row r="43736" ht="15.75" customHeight="1">
      <c r="A43736" s="7"/>
      <c r="B43736" s="7"/>
      <c r="M43736" s="9" t="s">
        <v>21</v>
      </c>
    </row>
    <row r="43737" ht="15.75" customHeight="1">
      <c r="A43737" s="7"/>
      <c r="B43737" s="7"/>
      <c r="M43737" s="9" t="s">
        <v>37</v>
      </c>
    </row>
    <row r="43738" ht="15.75" customHeight="1">
      <c r="A43738" s="7"/>
      <c r="B43738" s="7"/>
      <c r="M43738" s="9" t="s">
        <v>22</v>
      </c>
    </row>
    <row r="43739" ht="15.75" customHeight="1">
      <c r="A43739" s="7"/>
      <c r="B43739" s="7"/>
      <c r="M43739" s="9" t="s">
        <v>27</v>
      </c>
    </row>
    <row r="43740" ht="15.75" customHeight="1">
      <c r="A43740" s="7"/>
      <c r="B43740" s="7"/>
      <c r="M43740" s="9" t="s">
        <v>36</v>
      </c>
    </row>
    <row r="43741" ht="15.75" customHeight="1">
      <c r="A43741" s="7"/>
      <c r="B43741" s="7"/>
      <c r="M43741" s="9" t="s">
        <v>24</v>
      </c>
    </row>
    <row r="43742" ht="15.75" customHeight="1">
      <c r="A43742" s="7"/>
      <c r="B43742" s="7"/>
      <c r="M43742" s="9" t="s">
        <v>20</v>
      </c>
    </row>
    <row r="43743" ht="15.75" customHeight="1">
      <c r="A43743" s="7"/>
      <c r="B43743" s="7"/>
      <c r="M43743" s="9" t="s">
        <v>21</v>
      </c>
    </row>
    <row r="43744" ht="15.75" customHeight="1">
      <c r="A43744" s="7"/>
      <c r="B43744" s="7"/>
      <c r="M43744" s="9" t="s">
        <v>22</v>
      </c>
    </row>
    <row r="43745" ht="15.75" customHeight="1">
      <c r="A43745" s="7"/>
      <c r="B43745" s="7"/>
      <c r="M43745" s="9" t="s">
        <v>26</v>
      </c>
    </row>
    <row r="43746" ht="15.75" customHeight="1">
      <c r="A43746" s="7"/>
      <c r="B43746" s="7"/>
      <c r="M43746" s="9" t="s">
        <v>24</v>
      </c>
    </row>
    <row r="43747" ht="15.75" customHeight="1">
      <c r="A43747" s="7"/>
      <c r="B43747" s="7"/>
      <c r="M43747" s="9" t="s">
        <v>21</v>
      </c>
    </row>
    <row r="43748" ht="15.75" customHeight="1">
      <c r="A43748" s="7"/>
      <c r="B43748" s="7"/>
      <c r="M43748" s="9" t="s">
        <v>27</v>
      </c>
    </row>
    <row r="43749" ht="15.75" customHeight="1">
      <c r="A43749" s="7"/>
      <c r="B43749" s="7"/>
      <c r="M43749" s="9" t="s">
        <v>23</v>
      </c>
    </row>
    <row r="43750" ht="15.75" customHeight="1">
      <c r="A43750" s="7"/>
      <c r="B43750" s="7"/>
      <c r="M43750" s="9" t="s">
        <v>26</v>
      </c>
    </row>
    <row r="43751" ht="15.75" customHeight="1">
      <c r="A43751" s="7"/>
      <c r="B43751" s="7"/>
      <c r="M43751" s="9" t="s">
        <v>24</v>
      </c>
    </row>
    <row r="43752" ht="15.75" customHeight="1">
      <c r="A43752" s="7"/>
      <c r="B43752" s="7"/>
      <c r="M43752" s="9" t="s">
        <v>20</v>
      </c>
    </row>
    <row r="43753" ht="15.75" customHeight="1">
      <c r="A43753" s="7"/>
      <c r="B43753" s="7"/>
      <c r="M43753" s="9" t="s">
        <v>22</v>
      </c>
    </row>
    <row r="43754" ht="15.75" customHeight="1">
      <c r="A43754" s="7"/>
      <c r="B43754" s="7"/>
      <c r="M43754" s="9" t="s">
        <v>27</v>
      </c>
    </row>
    <row r="43755" ht="15.75" customHeight="1">
      <c r="A43755" s="7"/>
      <c r="B43755" s="7"/>
      <c r="M43755" s="9" t="s">
        <v>28</v>
      </c>
    </row>
    <row r="43756" ht="15.75" customHeight="1">
      <c r="A43756" s="7"/>
      <c r="B43756" s="7"/>
      <c r="M43756" s="9" t="s">
        <v>26</v>
      </c>
    </row>
    <row r="43757" ht="15.75" customHeight="1">
      <c r="A43757" s="7"/>
      <c r="B43757" s="7"/>
      <c r="M43757" s="9" t="s">
        <v>24</v>
      </c>
    </row>
    <row r="43758" ht="15.75" customHeight="1">
      <c r="A43758" s="7"/>
      <c r="B43758" s="7"/>
      <c r="M43758" s="9" t="s">
        <v>20</v>
      </c>
    </row>
    <row r="43759" ht="15.75" customHeight="1">
      <c r="A43759" s="7"/>
      <c r="B43759" s="7"/>
      <c r="M43759" s="9" t="s">
        <v>21</v>
      </c>
    </row>
    <row r="43760" ht="15.75" customHeight="1">
      <c r="A43760" s="7"/>
      <c r="B43760" s="7"/>
      <c r="M43760" s="9" t="s">
        <v>27</v>
      </c>
    </row>
    <row r="43761" ht="15.75" customHeight="1">
      <c r="A43761" s="7"/>
      <c r="B43761" s="7"/>
      <c r="M43761" s="9" t="s">
        <v>26</v>
      </c>
    </row>
    <row r="43762" ht="15.75" customHeight="1">
      <c r="A43762" s="7"/>
      <c r="B43762" s="7"/>
      <c r="M43762" s="9" t="s">
        <v>42</v>
      </c>
    </row>
    <row r="43763" ht="15.75" customHeight="1">
      <c r="A43763" s="7"/>
      <c r="B43763" s="7"/>
      <c r="M43763" s="9" t="s">
        <v>43</v>
      </c>
    </row>
    <row r="43764" ht="15.75" customHeight="1">
      <c r="A43764" s="7"/>
      <c r="B43764" s="7"/>
      <c r="M43764" s="9" t="s">
        <v>36</v>
      </c>
    </row>
    <row r="43765" ht="15.75" customHeight="1">
      <c r="A43765" s="7"/>
      <c r="B43765" s="7"/>
      <c r="M43765" s="9" t="s">
        <v>20</v>
      </c>
    </row>
    <row r="43766" ht="15.75" customHeight="1">
      <c r="A43766" s="7"/>
      <c r="B43766" s="7"/>
      <c r="M43766" s="9" t="s">
        <v>39</v>
      </c>
    </row>
    <row r="43767" ht="15.75" customHeight="1">
      <c r="A43767" s="7"/>
      <c r="B43767" s="7"/>
      <c r="M43767" s="9" t="s">
        <v>31</v>
      </c>
    </row>
    <row r="43768" ht="15.75" customHeight="1">
      <c r="A43768" s="7"/>
      <c r="B43768" s="7"/>
      <c r="M43768" s="9" t="s">
        <v>27</v>
      </c>
    </row>
    <row r="43769" ht="15.75" customHeight="1">
      <c r="A43769" s="7"/>
      <c r="B43769" s="7"/>
      <c r="M43769" s="9" t="s">
        <v>30</v>
      </c>
    </row>
    <row r="43770" ht="15.75" customHeight="1">
      <c r="A43770" s="7"/>
      <c r="B43770" s="7"/>
      <c r="M43770" s="9" t="s">
        <v>26</v>
      </c>
    </row>
    <row r="43771" ht="15.75" customHeight="1">
      <c r="A43771" s="7"/>
      <c r="B43771" s="7"/>
      <c r="M43771" s="9" t="s">
        <v>24</v>
      </c>
    </row>
    <row r="43772" ht="15.75" customHeight="1">
      <c r="A43772" s="7"/>
      <c r="B43772" s="7"/>
      <c r="M43772" s="9" t="s">
        <v>21</v>
      </c>
    </row>
    <row r="43773" ht="15.75" customHeight="1">
      <c r="A43773" s="7"/>
      <c r="B43773" s="7"/>
      <c r="M43773" s="9" t="s">
        <v>27</v>
      </c>
    </row>
    <row r="43774" ht="15.75" customHeight="1">
      <c r="A43774" s="7"/>
      <c r="B43774" s="7"/>
      <c r="M43774" s="9" t="s">
        <v>33</v>
      </c>
    </row>
    <row r="43775" ht="15.75" customHeight="1">
      <c r="A43775" s="7"/>
      <c r="B43775" s="7"/>
      <c r="M43775" s="9" t="s">
        <v>30</v>
      </c>
    </row>
    <row r="43776" ht="15.75" customHeight="1">
      <c r="A43776" s="7"/>
      <c r="B43776" s="7"/>
      <c r="M43776" s="9" t="s">
        <v>24</v>
      </c>
    </row>
    <row r="43777" ht="15.75" customHeight="1">
      <c r="A43777" s="7"/>
      <c r="B43777" s="7"/>
      <c r="M43777" s="9" t="s">
        <v>20</v>
      </c>
    </row>
    <row r="43778" ht="15.75" customHeight="1">
      <c r="A43778" s="7"/>
      <c r="B43778" s="7"/>
      <c r="M43778" s="9" t="s">
        <v>21</v>
      </c>
    </row>
    <row r="43779" ht="15.75" customHeight="1">
      <c r="A43779" s="7"/>
      <c r="B43779" s="7"/>
      <c r="M43779" s="9" t="s">
        <v>31</v>
      </c>
    </row>
    <row r="43780" ht="15.75" customHeight="1">
      <c r="A43780" s="7"/>
      <c r="B43780" s="7"/>
      <c r="M43780" s="9" t="s">
        <v>23</v>
      </c>
    </row>
    <row r="43781" ht="15.75" customHeight="1">
      <c r="A43781" s="7"/>
      <c r="B43781" s="7"/>
      <c r="M43781" s="9" t="s">
        <v>24</v>
      </c>
    </row>
    <row r="43782" ht="15.75" customHeight="1">
      <c r="A43782" s="7"/>
      <c r="B43782" s="7"/>
      <c r="M43782" s="9" t="s">
        <v>21</v>
      </c>
    </row>
    <row r="43783" ht="15.75" customHeight="1">
      <c r="A43783" s="7"/>
      <c r="B43783" s="7"/>
      <c r="M43783" s="9" t="s">
        <v>22</v>
      </c>
    </row>
    <row r="43784" ht="15.75" customHeight="1">
      <c r="A43784" s="7"/>
      <c r="B43784" s="7"/>
      <c r="M43784" s="9" t="s">
        <v>30</v>
      </c>
    </row>
    <row r="43785" ht="15.75" customHeight="1">
      <c r="A43785" s="7"/>
      <c r="B43785" s="7"/>
      <c r="M43785" s="9" t="s">
        <v>23</v>
      </c>
    </row>
    <row r="43786" ht="15.75" customHeight="1">
      <c r="A43786" s="7"/>
      <c r="B43786" s="7"/>
      <c r="M43786" s="9" t="s">
        <v>20</v>
      </c>
    </row>
    <row r="43787" ht="15.75" customHeight="1">
      <c r="A43787" s="7"/>
      <c r="B43787" s="7"/>
      <c r="M43787" s="9" t="s">
        <v>21</v>
      </c>
    </row>
    <row r="43788" ht="15.75" customHeight="1">
      <c r="A43788" s="7"/>
      <c r="B43788" s="7"/>
      <c r="M43788" s="9" t="s">
        <v>41</v>
      </c>
    </row>
    <row r="43789" ht="15.75" customHeight="1">
      <c r="A43789" s="7"/>
      <c r="B43789" s="7"/>
      <c r="M43789" s="9" t="s">
        <v>37</v>
      </c>
    </row>
    <row r="43790" ht="15.75" customHeight="1">
      <c r="A43790" s="7"/>
      <c r="B43790" s="7"/>
      <c r="M43790" s="9" t="s">
        <v>27</v>
      </c>
    </row>
    <row r="43791" ht="15.75" customHeight="1">
      <c r="A43791" s="7"/>
      <c r="B43791" s="7"/>
      <c r="M43791" s="9" t="s">
        <v>33</v>
      </c>
    </row>
    <row r="43792" ht="15.75" customHeight="1">
      <c r="A43792" s="7"/>
      <c r="B43792" s="7"/>
      <c r="M43792" s="9" t="s">
        <v>30</v>
      </c>
    </row>
    <row r="43793" ht="15.75" customHeight="1">
      <c r="A43793" s="7"/>
      <c r="B43793" s="7"/>
      <c r="M43793" s="9" t="s">
        <v>25</v>
      </c>
    </row>
    <row r="43794" ht="15.75" customHeight="1">
      <c r="A43794" s="7"/>
      <c r="B43794" s="7"/>
      <c r="M43794" s="9" t="s">
        <v>23</v>
      </c>
    </row>
    <row r="43795" ht="15.75" customHeight="1">
      <c r="A43795" s="7"/>
      <c r="B43795" s="7"/>
      <c r="M43795" s="9" t="s">
        <v>20</v>
      </c>
    </row>
    <row r="43796" ht="15.75" customHeight="1">
      <c r="A43796" s="7"/>
      <c r="B43796" s="7"/>
      <c r="M43796" s="9" t="s">
        <v>37</v>
      </c>
    </row>
    <row r="43797" ht="15.75" customHeight="1">
      <c r="A43797" s="7"/>
      <c r="B43797" s="7"/>
      <c r="M43797" s="9" t="s">
        <v>22</v>
      </c>
    </row>
    <row r="43798" ht="15.75" customHeight="1">
      <c r="A43798" s="7"/>
      <c r="B43798" s="7"/>
      <c r="M43798" s="9" t="s">
        <v>32</v>
      </c>
    </row>
    <row r="43799" ht="15.75" customHeight="1">
      <c r="A43799" s="7"/>
      <c r="B43799" s="7"/>
      <c r="M43799" s="9" t="s">
        <v>27</v>
      </c>
    </row>
    <row r="43800" ht="15.75" customHeight="1">
      <c r="A43800" s="7"/>
      <c r="B43800" s="7"/>
      <c r="M43800" s="9" t="s">
        <v>24</v>
      </c>
    </row>
    <row r="43801" ht="15.75" customHeight="1">
      <c r="A43801" s="7"/>
      <c r="B43801" s="7"/>
      <c r="M43801" s="9" t="s">
        <v>21</v>
      </c>
    </row>
    <row r="43802" ht="15.75" customHeight="1">
      <c r="A43802" s="7"/>
      <c r="B43802" s="7"/>
      <c r="M43802" s="9" t="s">
        <v>37</v>
      </c>
    </row>
    <row r="43803" ht="15.75" customHeight="1">
      <c r="A43803" s="7"/>
      <c r="B43803" s="7"/>
      <c r="M43803" s="9" t="s">
        <v>27</v>
      </c>
    </row>
    <row r="43804" ht="15.75" customHeight="1">
      <c r="A43804" s="7"/>
      <c r="B43804" s="7"/>
      <c r="M43804" s="9" t="s">
        <v>38</v>
      </c>
    </row>
    <row r="43805" ht="15.75" customHeight="1">
      <c r="A43805" s="7"/>
      <c r="B43805" s="7"/>
      <c r="M43805" s="9" t="s">
        <v>26</v>
      </c>
    </row>
    <row r="43806" ht="15.75" customHeight="1">
      <c r="A43806" s="7"/>
      <c r="B43806" s="7"/>
      <c r="M43806" s="9" t="s">
        <v>24</v>
      </c>
    </row>
    <row r="43807" ht="15.75" customHeight="1">
      <c r="A43807" s="7"/>
      <c r="B43807" s="7"/>
      <c r="M43807" s="9" t="s">
        <v>20</v>
      </c>
    </row>
    <row r="43808" ht="15.75" customHeight="1">
      <c r="A43808" s="7"/>
      <c r="B43808" s="7"/>
      <c r="M43808" s="9" t="s">
        <v>21</v>
      </c>
    </row>
    <row r="43809" ht="15.75" customHeight="1">
      <c r="A43809" s="7"/>
      <c r="B43809" s="7"/>
      <c r="M43809" s="9" t="s">
        <v>37</v>
      </c>
    </row>
    <row r="43810" ht="15.75" customHeight="1">
      <c r="A43810" s="7"/>
      <c r="B43810" s="7"/>
      <c r="M43810" s="9" t="s">
        <v>27</v>
      </c>
    </row>
    <row r="43811" ht="15.75" customHeight="1">
      <c r="A43811" s="7"/>
      <c r="B43811" s="7"/>
      <c r="M43811" s="9" t="s">
        <v>33</v>
      </c>
    </row>
    <row r="43812" ht="15.75" customHeight="1">
      <c r="A43812" s="7"/>
      <c r="B43812" s="7"/>
      <c r="M43812" s="9" t="s">
        <v>26</v>
      </c>
    </row>
    <row r="43813" ht="15.75" customHeight="1">
      <c r="A43813" s="7"/>
      <c r="B43813" s="7"/>
      <c r="M43813" s="9" t="s">
        <v>21</v>
      </c>
    </row>
    <row r="43814" ht="15.75" customHeight="1">
      <c r="A43814" s="7"/>
      <c r="B43814" s="7"/>
      <c r="M43814" s="9" t="s">
        <v>27</v>
      </c>
    </row>
    <row r="43815" ht="15.75" customHeight="1">
      <c r="A43815" s="7"/>
      <c r="B43815" s="7"/>
      <c r="M43815" s="9" t="s">
        <v>44</v>
      </c>
    </row>
    <row r="43816" ht="15.75" customHeight="1">
      <c r="A43816" s="7"/>
      <c r="B43816" s="7"/>
      <c r="M43816" s="9" t="s">
        <v>36</v>
      </c>
    </row>
    <row r="43817" ht="15.75" customHeight="1">
      <c r="A43817" s="7"/>
      <c r="B43817" s="7"/>
      <c r="M43817" s="9" t="s">
        <v>27</v>
      </c>
    </row>
    <row r="43818" ht="15.75" customHeight="1">
      <c r="A43818" s="7"/>
      <c r="B43818" s="7"/>
      <c r="M43818" s="9" t="s">
        <v>23</v>
      </c>
    </row>
    <row r="43819" ht="15.75" customHeight="1">
      <c r="A43819" s="7"/>
      <c r="B43819" s="7"/>
      <c r="M43819" s="9" t="s">
        <v>26</v>
      </c>
    </row>
    <row r="43820" ht="15.75" customHeight="1">
      <c r="A43820" s="7"/>
      <c r="B43820" s="7"/>
      <c r="M43820" s="9" t="s">
        <v>24</v>
      </c>
    </row>
    <row r="43821" ht="15.75" customHeight="1">
      <c r="A43821" s="7"/>
      <c r="B43821" s="7"/>
      <c r="M43821" s="9" t="s">
        <v>20</v>
      </c>
    </row>
    <row r="43822" ht="15.75" customHeight="1">
      <c r="A43822" s="7"/>
      <c r="B43822" s="7"/>
      <c r="M43822" s="9" t="s">
        <v>21</v>
      </c>
    </row>
    <row r="43823" ht="15.75" customHeight="1">
      <c r="A43823" s="7"/>
      <c r="B43823" s="7"/>
      <c r="M43823" s="9" t="s">
        <v>41</v>
      </c>
    </row>
    <row r="43824" ht="15.75" customHeight="1">
      <c r="A43824" s="7"/>
      <c r="B43824" s="7"/>
      <c r="M43824" s="9" t="s">
        <v>22</v>
      </c>
    </row>
    <row r="43825" ht="15.75" customHeight="1">
      <c r="A43825" s="7"/>
      <c r="B43825" s="7"/>
      <c r="M43825" s="9" t="s">
        <v>27</v>
      </c>
    </row>
    <row r="43826" ht="15.75" customHeight="1">
      <c r="A43826" s="7"/>
      <c r="B43826" s="7"/>
      <c r="M43826" s="9" t="s">
        <v>24</v>
      </c>
    </row>
    <row r="43827" ht="15.75" customHeight="1">
      <c r="A43827" s="7"/>
      <c r="B43827" s="7"/>
      <c r="M43827" s="9" t="s">
        <v>21</v>
      </c>
    </row>
    <row r="43828" ht="15.75" customHeight="1">
      <c r="A43828" s="7"/>
      <c r="B43828" s="7"/>
      <c r="M43828" s="9" t="s">
        <v>37</v>
      </c>
    </row>
    <row r="43829" ht="15.75" customHeight="1">
      <c r="A43829" s="7"/>
      <c r="B43829" s="7"/>
      <c r="M43829" s="9" t="s">
        <v>28</v>
      </c>
    </row>
    <row r="43830" ht="15.75" customHeight="1">
      <c r="A43830" s="7"/>
      <c r="B43830" s="7"/>
      <c r="M43830" s="9" t="s">
        <v>24</v>
      </c>
    </row>
    <row r="43831" ht="15.75" customHeight="1">
      <c r="A43831" s="7"/>
      <c r="B43831" s="7"/>
      <c r="M43831" s="9" t="s">
        <v>21</v>
      </c>
    </row>
    <row r="43832" ht="15.75" customHeight="1">
      <c r="A43832" s="7"/>
      <c r="B43832" s="7"/>
      <c r="M43832" s="9" t="s">
        <v>27</v>
      </c>
    </row>
    <row r="43833" ht="15.75" customHeight="1">
      <c r="A43833" s="7"/>
      <c r="B43833" s="7"/>
      <c r="M43833" s="9" t="s">
        <v>33</v>
      </c>
    </row>
    <row r="43834" ht="15.75" customHeight="1">
      <c r="A43834" s="7"/>
      <c r="B43834" s="7"/>
      <c r="M43834" s="9" t="s">
        <v>30</v>
      </c>
    </row>
    <row r="43835" ht="15.75" customHeight="1">
      <c r="A43835" s="7"/>
      <c r="B43835" s="7"/>
      <c r="M43835" s="9" t="s">
        <v>36</v>
      </c>
    </row>
    <row r="43836" ht="15.75" customHeight="1">
      <c r="A43836" s="7"/>
      <c r="B43836" s="7"/>
      <c r="M43836" s="9" t="s">
        <v>22</v>
      </c>
    </row>
    <row r="43837" ht="15.75" customHeight="1">
      <c r="A43837" s="7"/>
      <c r="B43837" s="7"/>
      <c r="M43837" s="9" t="s">
        <v>27</v>
      </c>
    </row>
    <row r="43838" ht="15.75" customHeight="1">
      <c r="A43838" s="7"/>
      <c r="B43838" s="7"/>
      <c r="M43838" s="9" t="s">
        <v>30</v>
      </c>
    </row>
    <row r="43839" ht="15.75" customHeight="1">
      <c r="A43839" s="7"/>
      <c r="B43839" s="7"/>
      <c r="M43839" s="9" t="s">
        <v>25</v>
      </c>
    </row>
    <row r="43840" ht="15.75" customHeight="1">
      <c r="A43840" s="7"/>
      <c r="B43840" s="7"/>
      <c r="M43840" s="9" t="s">
        <v>26</v>
      </c>
    </row>
    <row r="43841" ht="15.75" customHeight="1">
      <c r="A43841" s="7"/>
      <c r="B43841" s="7"/>
      <c r="M43841" s="9" t="s">
        <v>24</v>
      </c>
    </row>
    <row r="43842" ht="15.75" customHeight="1">
      <c r="A43842" s="7"/>
      <c r="B43842" s="7"/>
      <c r="M43842" s="9" t="s">
        <v>21</v>
      </c>
    </row>
    <row r="43843" ht="15.75" customHeight="1">
      <c r="A43843" s="7"/>
      <c r="B43843" s="7"/>
      <c r="M43843" s="9" t="s">
        <v>22</v>
      </c>
    </row>
    <row r="43844" ht="15.75" customHeight="1">
      <c r="A43844" s="7"/>
      <c r="B43844" s="7"/>
      <c r="M43844" s="9" t="s">
        <v>27</v>
      </c>
    </row>
    <row r="43845" ht="15.75" customHeight="1">
      <c r="A43845" s="7"/>
      <c r="B43845" s="7"/>
      <c r="M43845" s="9" t="s">
        <v>30</v>
      </c>
    </row>
    <row r="43846" ht="15.75" customHeight="1">
      <c r="A43846" s="7"/>
      <c r="B43846" s="7"/>
      <c r="M43846" s="9" t="s">
        <v>22</v>
      </c>
    </row>
    <row r="43847" ht="15.75" customHeight="1">
      <c r="A43847" s="7"/>
      <c r="B43847" s="7"/>
      <c r="M43847" s="9" t="s">
        <v>35</v>
      </c>
    </row>
    <row r="43848" ht="15.75" customHeight="1">
      <c r="A43848" s="7"/>
      <c r="B43848" s="7"/>
      <c r="M43848" s="9" t="s">
        <v>24</v>
      </c>
    </row>
    <row r="43849" ht="15.75" customHeight="1">
      <c r="A43849" s="7"/>
      <c r="B43849" s="7"/>
      <c r="M43849" s="9" t="s">
        <v>21</v>
      </c>
    </row>
    <row r="43850" ht="15.75" customHeight="1">
      <c r="A43850" s="7"/>
      <c r="B43850" s="7"/>
      <c r="M43850" s="9" t="s">
        <v>31</v>
      </c>
    </row>
    <row r="43851" ht="15.75" customHeight="1">
      <c r="A43851" s="7"/>
      <c r="B43851" s="7"/>
      <c r="M43851" s="9" t="s">
        <v>33</v>
      </c>
    </row>
    <row r="43852" ht="15.75" customHeight="1">
      <c r="A43852" s="7"/>
      <c r="B43852" s="7"/>
      <c r="M43852" s="9" t="s">
        <v>30</v>
      </c>
    </row>
    <row r="43853" ht="15.75" customHeight="1">
      <c r="A43853" s="7"/>
      <c r="B43853" s="7"/>
      <c r="M43853" s="9" t="s">
        <v>25</v>
      </c>
    </row>
    <row r="43854" ht="15.75" customHeight="1">
      <c r="A43854" s="7"/>
      <c r="B43854" s="7"/>
      <c r="M43854" s="9" t="s">
        <v>26</v>
      </c>
    </row>
    <row r="43855" ht="15.75" customHeight="1">
      <c r="A43855" s="7"/>
      <c r="B43855" s="7"/>
      <c r="M43855" s="9" t="s">
        <v>24</v>
      </c>
    </row>
    <row r="43856" ht="15.75" customHeight="1">
      <c r="A43856" s="7"/>
      <c r="B43856" s="7"/>
      <c r="M43856" s="9" t="s">
        <v>21</v>
      </c>
    </row>
    <row r="43857" ht="15.75" customHeight="1">
      <c r="A43857" s="7"/>
      <c r="B43857" s="7"/>
      <c r="M43857" s="9" t="s">
        <v>22</v>
      </c>
    </row>
    <row r="43858" ht="15.75" customHeight="1">
      <c r="A43858" s="7"/>
      <c r="B43858" s="7"/>
      <c r="M43858" s="9" t="s">
        <v>26</v>
      </c>
    </row>
    <row r="43859" ht="15.75" customHeight="1">
      <c r="A43859" s="7"/>
      <c r="B43859" s="7"/>
      <c r="M43859" s="9" t="s">
        <v>24</v>
      </c>
    </row>
    <row r="43860" ht="15.75" customHeight="1">
      <c r="A43860" s="7"/>
      <c r="B43860" s="7"/>
      <c r="M43860" s="9" t="s">
        <v>21</v>
      </c>
    </row>
    <row r="43861" ht="15.75" customHeight="1">
      <c r="A43861" s="7"/>
      <c r="B43861" s="7"/>
      <c r="M43861" s="9" t="s">
        <v>27</v>
      </c>
    </row>
    <row r="43862" ht="15.75" customHeight="1">
      <c r="A43862" s="7"/>
      <c r="B43862" s="7"/>
      <c r="M43862" s="9" t="s">
        <v>33</v>
      </c>
    </row>
    <row r="43863" ht="15.75" customHeight="1">
      <c r="A43863" s="7"/>
      <c r="B43863" s="7"/>
      <c r="M43863" s="9" t="s">
        <v>24</v>
      </c>
    </row>
    <row r="43864" ht="15.75" customHeight="1">
      <c r="A43864" s="7"/>
      <c r="B43864" s="7"/>
      <c r="M43864" s="9" t="s">
        <v>21</v>
      </c>
    </row>
    <row r="43865" ht="15.75" customHeight="1">
      <c r="A43865" s="7"/>
      <c r="B43865" s="7"/>
      <c r="M43865" s="9" t="s">
        <v>37</v>
      </c>
    </row>
    <row r="43866" ht="15.75" customHeight="1">
      <c r="A43866" s="7"/>
      <c r="B43866" s="7"/>
      <c r="M43866" s="9" t="s">
        <v>27</v>
      </c>
    </row>
    <row r="43867" ht="15.75" customHeight="1">
      <c r="A43867" s="7"/>
      <c r="B43867" s="7"/>
      <c r="M43867" s="9" t="s">
        <v>33</v>
      </c>
    </row>
    <row r="43868" ht="15.75" customHeight="1">
      <c r="A43868" s="7"/>
      <c r="B43868" s="7"/>
      <c r="M43868" s="9" t="s">
        <v>30</v>
      </c>
    </row>
    <row r="43869" ht="15.75" customHeight="1">
      <c r="A43869" s="7"/>
      <c r="B43869" s="7"/>
      <c r="M43869" s="9" t="s">
        <v>24</v>
      </c>
    </row>
    <row r="43870" ht="15.75" customHeight="1">
      <c r="A43870" s="7"/>
      <c r="B43870" s="7"/>
      <c r="M43870" s="9" t="s">
        <v>21</v>
      </c>
    </row>
    <row r="43871" ht="15.75" customHeight="1">
      <c r="A43871" s="7"/>
      <c r="B43871" s="7"/>
      <c r="M43871" s="9" t="s">
        <v>37</v>
      </c>
    </row>
    <row r="43872" ht="15.75" customHeight="1">
      <c r="A43872" s="7"/>
      <c r="B43872" s="7"/>
      <c r="M43872" s="9" t="s">
        <v>27</v>
      </c>
    </row>
    <row r="43873" ht="15.75" customHeight="1">
      <c r="A43873" s="7"/>
      <c r="B43873" s="7"/>
      <c r="M43873" s="9" t="s">
        <v>30</v>
      </c>
    </row>
    <row r="43874" ht="15.75" customHeight="1">
      <c r="A43874" s="7"/>
      <c r="B43874" s="7"/>
      <c r="M43874" s="9" t="s">
        <v>25</v>
      </c>
    </row>
    <row r="43875" ht="15.75" customHeight="1">
      <c r="A43875" s="7"/>
      <c r="B43875" s="7"/>
      <c r="M43875" s="9" t="s">
        <v>22</v>
      </c>
    </row>
    <row r="43876" ht="15.75" customHeight="1">
      <c r="A43876" s="7"/>
      <c r="B43876" s="7"/>
      <c r="M43876" s="9" t="s">
        <v>26</v>
      </c>
    </row>
    <row r="43877" ht="15.75" customHeight="1">
      <c r="A43877" s="7"/>
      <c r="B43877" s="7"/>
      <c r="M43877" s="9" t="s">
        <v>24</v>
      </c>
    </row>
    <row r="43878" ht="15.75" customHeight="1">
      <c r="A43878" s="7"/>
      <c r="B43878" s="7"/>
      <c r="M43878" s="9" t="s">
        <v>20</v>
      </c>
    </row>
    <row r="43879" ht="15.75" customHeight="1">
      <c r="A43879" s="7"/>
      <c r="B43879" s="7"/>
      <c r="M43879" s="9" t="s">
        <v>27</v>
      </c>
    </row>
    <row r="43880" ht="15.75" customHeight="1">
      <c r="A43880" s="7"/>
      <c r="B43880" s="7"/>
      <c r="M43880" s="9" t="s">
        <v>35</v>
      </c>
    </row>
    <row r="43881" ht="15.75" customHeight="1">
      <c r="A43881" s="7"/>
      <c r="B43881" s="7"/>
      <c r="M43881" s="9" t="s">
        <v>30</v>
      </c>
    </row>
    <row r="43882" ht="15.75" customHeight="1">
      <c r="A43882" s="7"/>
      <c r="B43882" s="7"/>
      <c r="M43882" s="9" t="s">
        <v>24</v>
      </c>
    </row>
    <row r="43883" ht="15.75" customHeight="1">
      <c r="A43883" s="7"/>
      <c r="B43883" s="7"/>
      <c r="M43883" s="9" t="s">
        <v>20</v>
      </c>
    </row>
    <row r="43884" ht="15.75" customHeight="1">
      <c r="A43884" s="7"/>
      <c r="B43884" s="7"/>
      <c r="M43884" s="9" t="s">
        <v>21</v>
      </c>
    </row>
    <row r="43885" ht="15.75" customHeight="1">
      <c r="A43885" s="7"/>
      <c r="B43885" s="7"/>
      <c r="M43885" s="9" t="s">
        <v>37</v>
      </c>
    </row>
    <row r="43886" ht="15.75" customHeight="1">
      <c r="A43886" s="7"/>
      <c r="B43886" s="7"/>
      <c r="M43886" s="9" t="s">
        <v>22</v>
      </c>
    </row>
    <row r="43887" ht="15.75" customHeight="1">
      <c r="A43887" s="7"/>
      <c r="B43887" s="7"/>
      <c r="M43887" s="9" t="s">
        <v>27</v>
      </c>
    </row>
    <row r="43888" ht="15.75" customHeight="1">
      <c r="A43888" s="7"/>
      <c r="B43888" s="7"/>
      <c r="M43888" s="9" t="s">
        <v>30</v>
      </c>
    </row>
    <row r="43889" ht="15.75" customHeight="1">
      <c r="A43889" s="7"/>
      <c r="B43889" s="7"/>
      <c r="M43889" s="9" t="s">
        <v>23</v>
      </c>
    </row>
    <row r="43890" ht="15.75" customHeight="1">
      <c r="A43890" s="7"/>
      <c r="B43890" s="7"/>
      <c r="M43890" s="9" t="s">
        <v>24</v>
      </c>
    </row>
    <row r="43891" ht="15.75" customHeight="1">
      <c r="A43891" s="7"/>
      <c r="B43891" s="7"/>
      <c r="M43891" s="9" t="s">
        <v>20</v>
      </c>
    </row>
    <row r="43892" ht="15.75" customHeight="1">
      <c r="A43892" s="7"/>
      <c r="B43892" s="7"/>
      <c r="M43892" s="9" t="s">
        <v>21</v>
      </c>
    </row>
    <row r="43893" ht="15.75" customHeight="1">
      <c r="A43893" s="7"/>
      <c r="B43893" s="7"/>
      <c r="M43893" s="9" t="s">
        <v>37</v>
      </c>
    </row>
    <row r="43894" ht="15.75" customHeight="1">
      <c r="A43894" s="7"/>
      <c r="B43894" s="7"/>
      <c r="M43894" s="9" t="s">
        <v>27</v>
      </c>
    </row>
    <row r="43895" ht="15.75" customHeight="1">
      <c r="A43895" s="7"/>
      <c r="B43895" s="7"/>
      <c r="M43895" s="9" t="s">
        <v>35</v>
      </c>
    </row>
    <row r="43896" ht="15.75" customHeight="1">
      <c r="A43896" s="7"/>
      <c r="B43896" s="7"/>
      <c r="M43896" s="9" t="s">
        <v>24</v>
      </c>
    </row>
    <row r="43897" ht="15.75" customHeight="1">
      <c r="A43897" s="7"/>
      <c r="B43897" s="7"/>
      <c r="M43897" s="9" t="s">
        <v>21</v>
      </c>
    </row>
    <row r="43898" ht="15.75" customHeight="1">
      <c r="A43898" s="7"/>
      <c r="B43898" s="7"/>
      <c r="M43898" s="9" t="s">
        <v>33</v>
      </c>
    </row>
    <row r="43899" ht="15.75" customHeight="1">
      <c r="A43899" s="7"/>
      <c r="B43899" s="7"/>
      <c r="M43899" s="9" t="s">
        <v>38</v>
      </c>
    </row>
    <row r="43900" ht="15.75" customHeight="1">
      <c r="A43900" s="7"/>
      <c r="B43900" s="7"/>
      <c r="M43900" s="9" t="s">
        <v>30</v>
      </c>
    </row>
    <row r="43901" ht="15.75" customHeight="1">
      <c r="A43901" s="7"/>
      <c r="B43901" s="7"/>
      <c r="M43901" s="9" t="s">
        <v>25</v>
      </c>
    </row>
    <row r="43902" ht="15.75" customHeight="1">
      <c r="A43902" s="7"/>
      <c r="B43902" s="7"/>
      <c r="M43902" s="9" t="s">
        <v>36</v>
      </c>
    </row>
    <row r="43903" ht="15.75" customHeight="1">
      <c r="A43903" s="7"/>
      <c r="B43903" s="7"/>
      <c r="M43903" s="9" t="s">
        <v>22</v>
      </c>
    </row>
    <row r="43904" ht="15.75" customHeight="1">
      <c r="A43904" s="7"/>
      <c r="B43904" s="7"/>
      <c r="M43904" s="9" t="s">
        <v>20</v>
      </c>
    </row>
    <row r="43905" ht="15.75" customHeight="1">
      <c r="A43905" s="7"/>
      <c r="B43905" s="7"/>
      <c r="M43905" s="9" t="s">
        <v>21</v>
      </c>
    </row>
    <row r="43906" ht="15.75" customHeight="1">
      <c r="A43906" s="7"/>
      <c r="B43906" s="7"/>
      <c r="M43906" s="9" t="s">
        <v>27</v>
      </c>
    </row>
    <row r="43907" ht="15.75" customHeight="1">
      <c r="A43907" s="7"/>
      <c r="B43907" s="7"/>
      <c r="M43907" s="9" t="s">
        <v>20</v>
      </c>
    </row>
    <row r="43908" ht="15.75" customHeight="1">
      <c r="A43908" s="7"/>
      <c r="B43908" s="7"/>
      <c r="M43908" s="9" t="s">
        <v>21</v>
      </c>
    </row>
    <row r="43909" ht="15.75" customHeight="1">
      <c r="A43909" s="7"/>
      <c r="B43909" s="7"/>
      <c r="M43909" s="9" t="s">
        <v>22</v>
      </c>
    </row>
    <row r="43910" ht="15.75" customHeight="1">
      <c r="A43910" s="7"/>
      <c r="B43910" s="7"/>
      <c r="M43910" s="9" t="s">
        <v>31</v>
      </c>
    </row>
    <row r="43911" ht="15.75" customHeight="1">
      <c r="A43911" s="7"/>
      <c r="B43911" s="7"/>
      <c r="M43911" s="9" t="s">
        <v>27</v>
      </c>
    </row>
    <row r="43912" ht="15.75" customHeight="1">
      <c r="A43912" s="7"/>
      <c r="B43912" s="7"/>
      <c r="M43912" s="9" t="s">
        <v>30</v>
      </c>
    </row>
    <row r="43913" ht="15.75" customHeight="1">
      <c r="A43913" s="7"/>
      <c r="B43913" s="7"/>
      <c r="M43913" s="9" t="s">
        <v>36</v>
      </c>
    </row>
    <row r="43914" ht="15.75" customHeight="1">
      <c r="A43914" s="7"/>
      <c r="B43914" s="7"/>
      <c r="M43914" s="9" t="s">
        <v>35</v>
      </c>
    </row>
    <row r="43915" ht="15.75" customHeight="1">
      <c r="A43915" s="7"/>
      <c r="B43915" s="7"/>
      <c r="M43915" s="9" t="s">
        <v>38</v>
      </c>
    </row>
    <row r="43916" ht="15.75" customHeight="1">
      <c r="A43916" s="7"/>
      <c r="B43916" s="7"/>
      <c r="M43916" s="9" t="s">
        <v>30</v>
      </c>
    </row>
    <row r="43917" ht="15.75" customHeight="1">
      <c r="A43917" s="7"/>
      <c r="B43917" s="7"/>
      <c r="M43917" s="9" t="s">
        <v>25</v>
      </c>
    </row>
    <row r="43918" ht="15.75" customHeight="1">
      <c r="A43918" s="7"/>
      <c r="B43918" s="7"/>
      <c r="M43918" s="9" t="s">
        <v>23</v>
      </c>
    </row>
    <row r="43919" ht="15.75" customHeight="1">
      <c r="A43919" s="7"/>
      <c r="B43919" s="7"/>
      <c r="M43919" s="9" t="s">
        <v>24</v>
      </c>
    </row>
    <row r="43920" ht="15.75" customHeight="1">
      <c r="A43920" s="7"/>
      <c r="B43920" s="7"/>
      <c r="M43920" s="9" t="s">
        <v>20</v>
      </c>
    </row>
    <row r="43921" ht="15.75" customHeight="1">
      <c r="A43921" s="7"/>
      <c r="B43921" s="7"/>
      <c r="M43921" s="9" t="s">
        <v>21</v>
      </c>
    </row>
    <row r="43922" ht="15.75" customHeight="1">
      <c r="A43922" s="7"/>
      <c r="B43922" s="7"/>
      <c r="M43922" s="9" t="s">
        <v>37</v>
      </c>
    </row>
    <row r="43923" ht="15.75" customHeight="1">
      <c r="A43923" s="7"/>
      <c r="B43923" s="7"/>
      <c r="M43923" s="9" t="s">
        <v>27</v>
      </c>
    </row>
    <row r="43924" ht="15.75" customHeight="1">
      <c r="A43924" s="7"/>
      <c r="B43924" s="7"/>
      <c r="M43924" s="9" t="s">
        <v>40</v>
      </c>
    </row>
    <row r="43925" ht="15.75" customHeight="1">
      <c r="A43925" s="7"/>
      <c r="B43925" s="7"/>
      <c r="M43925" s="9" t="s">
        <v>35</v>
      </c>
    </row>
    <row r="43926" ht="15.75" customHeight="1">
      <c r="A43926" s="7"/>
      <c r="B43926" s="7"/>
      <c r="M43926" s="9" t="s">
        <v>23</v>
      </c>
    </row>
    <row r="43927" ht="15.75" customHeight="1">
      <c r="A43927" s="7"/>
      <c r="B43927" s="7"/>
      <c r="M43927" s="9" t="s">
        <v>24</v>
      </c>
    </row>
    <row r="43928" ht="15.75" customHeight="1">
      <c r="A43928" s="7"/>
      <c r="B43928" s="7"/>
      <c r="M43928" s="9" t="s">
        <v>21</v>
      </c>
    </row>
    <row r="43929" ht="15.75" customHeight="1">
      <c r="A43929" s="7"/>
      <c r="B43929" s="7"/>
      <c r="M43929" s="9" t="s">
        <v>41</v>
      </c>
    </row>
    <row r="43930" ht="15.75" customHeight="1">
      <c r="A43930" s="7"/>
      <c r="B43930" s="7"/>
      <c r="M43930" s="9" t="s">
        <v>27</v>
      </c>
    </row>
    <row r="43931" ht="15.75" customHeight="1">
      <c r="A43931" s="7"/>
      <c r="B43931" s="7"/>
      <c r="M43931" s="9" t="s">
        <v>40</v>
      </c>
    </row>
    <row r="43932" ht="15.75" customHeight="1">
      <c r="A43932" s="7"/>
      <c r="B43932" s="7"/>
      <c r="M43932" s="9" t="s">
        <v>24</v>
      </c>
    </row>
    <row r="43933" ht="15.75" customHeight="1">
      <c r="A43933" s="7"/>
      <c r="B43933" s="7"/>
      <c r="M43933" s="9" t="s">
        <v>20</v>
      </c>
    </row>
    <row r="43934" ht="15.75" customHeight="1">
      <c r="A43934" s="7"/>
      <c r="B43934" s="7"/>
      <c r="M43934" s="9" t="s">
        <v>21</v>
      </c>
    </row>
    <row r="43935" ht="15.75" customHeight="1">
      <c r="A43935" s="7"/>
      <c r="B43935" s="7"/>
      <c r="M43935" s="9" t="s">
        <v>22</v>
      </c>
    </row>
    <row r="43936" ht="15.75" customHeight="1">
      <c r="A43936" s="7"/>
      <c r="B43936" s="7"/>
      <c r="M43936" s="9" t="s">
        <v>29</v>
      </c>
    </row>
    <row r="43937" ht="15.75" customHeight="1">
      <c r="A43937" s="7"/>
      <c r="B43937" s="7"/>
      <c r="M43937" s="9" t="s">
        <v>32</v>
      </c>
    </row>
    <row r="43938" ht="15.75" customHeight="1">
      <c r="A43938" s="7"/>
      <c r="B43938" s="7"/>
      <c r="M43938" s="9" t="s">
        <v>27</v>
      </c>
    </row>
    <row r="43939" ht="15.75" customHeight="1">
      <c r="A43939" s="7"/>
      <c r="B43939" s="7"/>
      <c r="M43939" s="9" t="s">
        <v>30</v>
      </c>
    </row>
    <row r="43940" ht="15.75" customHeight="1">
      <c r="A43940" s="7"/>
      <c r="B43940" s="7"/>
      <c r="M43940" s="9" t="s">
        <v>26</v>
      </c>
    </row>
    <row r="43941" ht="15.75" customHeight="1">
      <c r="A43941" s="7"/>
      <c r="B43941" s="7"/>
      <c r="M43941" s="9" t="s">
        <v>24</v>
      </c>
    </row>
    <row r="43942" ht="15.75" customHeight="1">
      <c r="A43942" s="7"/>
      <c r="B43942" s="7"/>
      <c r="M43942" s="9" t="s">
        <v>20</v>
      </c>
    </row>
    <row r="43943" ht="15.75" customHeight="1">
      <c r="A43943" s="7"/>
      <c r="B43943" s="7"/>
      <c r="M43943" s="9" t="s">
        <v>21</v>
      </c>
    </row>
    <row r="43944" ht="15.75" customHeight="1">
      <c r="A43944" s="7"/>
      <c r="B43944" s="7"/>
      <c r="M43944" s="9" t="s">
        <v>39</v>
      </c>
    </row>
    <row r="43945" ht="15.75" customHeight="1">
      <c r="A43945" s="7"/>
      <c r="B43945" s="7"/>
      <c r="M43945" s="9" t="s">
        <v>37</v>
      </c>
    </row>
    <row r="43946" ht="15.75" customHeight="1">
      <c r="A43946" s="7"/>
      <c r="B43946" s="7"/>
      <c r="M43946" s="9" t="s">
        <v>22</v>
      </c>
    </row>
    <row r="43947" ht="15.75" customHeight="1">
      <c r="A43947" s="7"/>
      <c r="B43947" s="7"/>
      <c r="M43947" s="9" t="s">
        <v>31</v>
      </c>
    </row>
    <row r="43948" ht="15.75" customHeight="1">
      <c r="A43948" s="7"/>
      <c r="B43948" s="7"/>
      <c r="M43948" s="9" t="s">
        <v>27</v>
      </c>
    </row>
    <row r="43949" ht="15.75" customHeight="1">
      <c r="A43949" s="7"/>
      <c r="B43949" s="7"/>
      <c r="M43949" s="9" t="s">
        <v>26</v>
      </c>
    </row>
    <row r="43950" ht="15.75" customHeight="1">
      <c r="A43950" s="7"/>
      <c r="B43950" s="7"/>
      <c r="M43950" s="9" t="s">
        <v>24</v>
      </c>
    </row>
    <row r="43951" ht="15.75" customHeight="1">
      <c r="A43951" s="7"/>
      <c r="B43951" s="7"/>
      <c r="M43951" s="9" t="s">
        <v>20</v>
      </c>
    </row>
    <row r="43952" ht="15.75" customHeight="1">
      <c r="A43952" s="7"/>
      <c r="B43952" s="7"/>
      <c r="M43952" s="9" t="s">
        <v>21</v>
      </c>
    </row>
    <row r="43953" ht="15.75" customHeight="1">
      <c r="A43953" s="7"/>
      <c r="B43953" s="7"/>
      <c r="M43953" s="9" t="s">
        <v>27</v>
      </c>
    </row>
    <row r="43954" ht="15.75" customHeight="1">
      <c r="A43954" s="7"/>
      <c r="B43954" s="7"/>
      <c r="M43954" s="9" t="s">
        <v>33</v>
      </c>
    </row>
    <row r="43955" ht="15.75" customHeight="1">
      <c r="A43955" s="7"/>
      <c r="B43955" s="7"/>
      <c r="M43955" s="9" t="s">
        <v>30</v>
      </c>
    </row>
    <row r="43956" ht="15.75" customHeight="1">
      <c r="A43956" s="7"/>
      <c r="B43956" s="7"/>
      <c r="M43956" s="9" t="s">
        <v>24</v>
      </c>
    </row>
    <row r="43957" ht="15.75" customHeight="1">
      <c r="A43957" s="7"/>
      <c r="B43957" s="7"/>
      <c r="M43957" s="9" t="s">
        <v>20</v>
      </c>
    </row>
    <row r="43958" ht="15.75" customHeight="1">
      <c r="A43958" s="7"/>
      <c r="B43958" s="7"/>
      <c r="M43958" s="9" t="s">
        <v>21</v>
      </c>
    </row>
    <row r="43959" ht="15.75" customHeight="1">
      <c r="A43959" s="7"/>
      <c r="B43959" s="7"/>
      <c r="M43959" s="9" t="s">
        <v>22</v>
      </c>
    </row>
    <row r="43960" ht="15.75" customHeight="1">
      <c r="A43960" s="7"/>
      <c r="B43960" s="7"/>
      <c r="M43960" s="9" t="s">
        <v>29</v>
      </c>
    </row>
    <row r="43961" ht="15.75" customHeight="1">
      <c r="A43961" s="7"/>
      <c r="B43961" s="7"/>
      <c r="M43961" s="9" t="s">
        <v>27</v>
      </c>
    </row>
    <row r="43962" ht="15.75" customHeight="1">
      <c r="A43962" s="7"/>
      <c r="B43962" s="7"/>
      <c r="M43962" s="9" t="s">
        <v>30</v>
      </c>
    </row>
    <row r="43963" ht="15.75" customHeight="1">
      <c r="A43963" s="7"/>
      <c r="B43963" s="7"/>
      <c r="M43963" s="9" t="s">
        <v>23</v>
      </c>
    </row>
    <row r="43964" ht="15.75" customHeight="1">
      <c r="A43964" s="7"/>
      <c r="B43964" s="7"/>
      <c r="M43964" s="9" t="s">
        <v>36</v>
      </c>
    </row>
    <row r="43965" ht="15.75" customHeight="1">
      <c r="A43965" s="7"/>
      <c r="B43965" s="7"/>
      <c r="M43965" s="9" t="s">
        <v>21</v>
      </c>
    </row>
    <row r="43966" ht="15.75" customHeight="1">
      <c r="A43966" s="7"/>
      <c r="B43966" s="7"/>
      <c r="M43966" s="9" t="s">
        <v>22</v>
      </c>
    </row>
    <row r="43967" ht="15.75" customHeight="1">
      <c r="A43967" s="7"/>
      <c r="B43967" s="7"/>
      <c r="M43967" s="9" t="s">
        <v>24</v>
      </c>
    </row>
    <row r="43968" ht="15.75" customHeight="1">
      <c r="A43968" s="7"/>
      <c r="B43968" s="7"/>
      <c r="M43968" s="9" t="s">
        <v>27</v>
      </c>
    </row>
    <row r="43969" ht="15.75" customHeight="1">
      <c r="A43969" s="7"/>
      <c r="B43969" s="7"/>
      <c r="M43969" s="9" t="s">
        <v>28</v>
      </c>
    </row>
    <row r="43970" ht="15.75" customHeight="1">
      <c r="A43970" s="7"/>
      <c r="B43970" s="7"/>
      <c r="M43970" s="9" t="s">
        <v>35</v>
      </c>
    </row>
    <row r="43971" ht="15.75" customHeight="1">
      <c r="A43971" s="7"/>
      <c r="B43971" s="7"/>
      <c r="M43971" s="9" t="s">
        <v>25</v>
      </c>
    </row>
    <row r="43972" ht="15.75" customHeight="1">
      <c r="A43972" s="7"/>
      <c r="B43972" s="7"/>
      <c r="M43972" s="9" t="s">
        <v>23</v>
      </c>
    </row>
    <row r="43973" ht="15.75" customHeight="1">
      <c r="A43973" s="7"/>
      <c r="B43973" s="7"/>
      <c r="M43973" s="9" t="s">
        <v>26</v>
      </c>
    </row>
    <row r="43974" ht="15.75" customHeight="1">
      <c r="A43974" s="7"/>
      <c r="B43974" s="7"/>
      <c r="M43974" s="9" t="s">
        <v>24</v>
      </c>
    </row>
    <row r="43975" ht="15.75" customHeight="1">
      <c r="A43975" s="7"/>
      <c r="B43975" s="7"/>
      <c r="M43975" s="9" t="s">
        <v>20</v>
      </c>
    </row>
    <row r="43976" ht="15.75" customHeight="1">
      <c r="A43976" s="7"/>
      <c r="B43976" s="7"/>
      <c r="M43976" s="9" t="s">
        <v>27</v>
      </c>
    </row>
    <row r="43977" ht="15.75" customHeight="1">
      <c r="A43977" s="7"/>
      <c r="B43977" s="7"/>
      <c r="M43977" s="9" t="s">
        <v>24</v>
      </c>
    </row>
    <row r="43978" ht="15.75" customHeight="1">
      <c r="A43978" s="7"/>
      <c r="B43978" s="7"/>
      <c r="M43978" s="9" t="s">
        <v>20</v>
      </c>
    </row>
    <row r="43979" ht="15.75" customHeight="1">
      <c r="A43979" s="7"/>
      <c r="B43979" s="7"/>
      <c r="M43979" s="9" t="s">
        <v>21</v>
      </c>
    </row>
    <row r="43980" ht="15.75" customHeight="1">
      <c r="A43980" s="7"/>
      <c r="B43980" s="7"/>
      <c r="M43980" s="9" t="s">
        <v>22</v>
      </c>
    </row>
    <row r="43981" ht="15.75" customHeight="1">
      <c r="A43981" s="7"/>
      <c r="B43981" s="7"/>
      <c r="M43981" s="9" t="s">
        <v>27</v>
      </c>
    </row>
    <row r="43982" ht="15.75" customHeight="1">
      <c r="A43982" s="7"/>
      <c r="B43982" s="7"/>
      <c r="M43982" s="9" t="s">
        <v>35</v>
      </c>
    </row>
    <row r="43983" ht="15.75" customHeight="1">
      <c r="A43983" s="7"/>
      <c r="B43983" s="7"/>
      <c r="M43983" s="9" t="s">
        <v>23</v>
      </c>
    </row>
    <row r="43984" ht="15.75" customHeight="1">
      <c r="A43984" s="7"/>
      <c r="B43984" s="7"/>
      <c r="M43984" s="9" t="s">
        <v>24</v>
      </c>
    </row>
    <row r="43985" ht="15.75" customHeight="1">
      <c r="A43985" s="7"/>
      <c r="B43985" s="7"/>
      <c r="M43985" s="9" t="s">
        <v>21</v>
      </c>
    </row>
    <row r="43986" ht="15.75" customHeight="1">
      <c r="A43986" s="7"/>
      <c r="B43986" s="7"/>
      <c r="M43986" s="9" t="s">
        <v>22</v>
      </c>
    </row>
    <row r="43987" ht="15.75" customHeight="1">
      <c r="A43987" s="7"/>
      <c r="B43987" s="7"/>
      <c r="M43987" s="9" t="s">
        <v>31</v>
      </c>
    </row>
    <row r="43988" ht="15.75" customHeight="1">
      <c r="A43988" s="7"/>
      <c r="B43988" s="7"/>
      <c r="M43988" s="9" t="s">
        <v>23</v>
      </c>
    </row>
    <row r="43989" ht="15.75" customHeight="1">
      <c r="A43989" s="7"/>
      <c r="B43989" s="7"/>
      <c r="M43989" s="9" t="s">
        <v>24</v>
      </c>
    </row>
    <row r="43990" ht="15.75" customHeight="1">
      <c r="A43990" s="7"/>
      <c r="B43990" s="7"/>
      <c r="M43990" s="9" t="s">
        <v>20</v>
      </c>
    </row>
    <row r="43991" ht="15.75" customHeight="1">
      <c r="A43991" s="7"/>
      <c r="B43991" s="7"/>
      <c r="M43991" s="9" t="s">
        <v>21</v>
      </c>
    </row>
    <row r="43992" ht="15.75" customHeight="1">
      <c r="A43992" s="7"/>
      <c r="B43992" s="7"/>
      <c r="M43992" s="9" t="s">
        <v>26</v>
      </c>
    </row>
    <row r="43993" ht="15.75" customHeight="1">
      <c r="A43993" s="7"/>
      <c r="B43993" s="7"/>
      <c r="M43993" s="9" t="s">
        <v>24</v>
      </c>
    </row>
    <row r="43994" ht="15.75" customHeight="1">
      <c r="A43994" s="7"/>
      <c r="B43994" s="7"/>
      <c r="M43994" s="9" t="s">
        <v>21</v>
      </c>
    </row>
    <row r="43995" ht="15.75" customHeight="1">
      <c r="A43995" s="7"/>
      <c r="B43995" s="7"/>
      <c r="M43995" s="9" t="s">
        <v>33</v>
      </c>
    </row>
    <row r="43996" ht="15.75" customHeight="1">
      <c r="A43996" s="7"/>
      <c r="B43996" s="7"/>
      <c r="M43996" s="9" t="s">
        <v>26</v>
      </c>
    </row>
    <row r="43997" ht="15.75" customHeight="1">
      <c r="A43997" s="7"/>
      <c r="B43997" s="7"/>
      <c r="M43997" s="9" t="s">
        <v>21</v>
      </c>
    </row>
    <row r="43998" ht="15.75" customHeight="1">
      <c r="A43998" s="7"/>
      <c r="B43998" s="7"/>
      <c r="M43998" s="9" t="s">
        <v>27</v>
      </c>
    </row>
    <row r="43999" ht="15.75" customHeight="1">
      <c r="A43999" s="7"/>
      <c r="B43999" s="7"/>
      <c r="M43999" s="9" t="s">
        <v>30</v>
      </c>
    </row>
    <row r="44000" ht="15.75" customHeight="1">
      <c r="A44000" s="7"/>
      <c r="B44000" s="7"/>
      <c r="M44000" s="9" t="s">
        <v>24</v>
      </c>
    </row>
    <row r="44001" ht="15.75" customHeight="1">
      <c r="A44001" s="7"/>
      <c r="B44001" s="7"/>
      <c r="M44001" s="9" t="s">
        <v>20</v>
      </c>
    </row>
    <row r="44002" ht="15.75" customHeight="1">
      <c r="A44002" s="7"/>
      <c r="B44002" s="7"/>
      <c r="M44002" s="9" t="s">
        <v>21</v>
      </c>
    </row>
    <row r="44003" ht="15.75" customHeight="1">
      <c r="A44003" s="7"/>
      <c r="B44003" s="7"/>
      <c r="M44003" s="9" t="s">
        <v>39</v>
      </c>
    </row>
    <row r="44004" ht="15.75" customHeight="1">
      <c r="A44004" s="7"/>
      <c r="B44004" s="7"/>
      <c r="M44004" s="9" t="s">
        <v>37</v>
      </c>
    </row>
    <row r="44005" ht="15.75" customHeight="1">
      <c r="A44005" s="7"/>
      <c r="B44005" s="7"/>
      <c r="M44005" s="9" t="s">
        <v>22</v>
      </c>
    </row>
    <row r="44006" ht="15.75" customHeight="1">
      <c r="A44006" s="7"/>
      <c r="B44006" s="7"/>
      <c r="M44006" s="9" t="s">
        <v>31</v>
      </c>
    </row>
    <row r="44007" ht="15.75" customHeight="1">
      <c r="A44007" s="7"/>
      <c r="B44007" s="7"/>
      <c r="M44007" s="9" t="s">
        <v>27</v>
      </c>
    </row>
    <row r="44008" ht="15.75" customHeight="1">
      <c r="A44008" s="7"/>
      <c r="B44008" s="7"/>
      <c r="M44008" s="9" t="s">
        <v>35</v>
      </c>
    </row>
    <row r="44009" ht="15.75" customHeight="1">
      <c r="A44009" s="7"/>
      <c r="B44009" s="7"/>
      <c r="M44009" s="9" t="s">
        <v>30</v>
      </c>
    </row>
    <row r="44010" ht="15.75" customHeight="1">
      <c r="A44010" s="7"/>
      <c r="B44010" s="7"/>
      <c r="M44010" s="9" t="s">
        <v>25</v>
      </c>
    </row>
    <row r="44011" ht="15.75" customHeight="1">
      <c r="A44011" s="7"/>
      <c r="B44011" s="7"/>
      <c r="M44011" s="9" t="s">
        <v>23</v>
      </c>
    </row>
    <row r="44012" ht="15.75" customHeight="1">
      <c r="A44012" s="7"/>
      <c r="B44012" s="7"/>
      <c r="M44012" s="9" t="s">
        <v>26</v>
      </c>
    </row>
    <row r="44013" ht="15.75" customHeight="1">
      <c r="A44013" s="7"/>
      <c r="B44013" s="7"/>
      <c r="M44013" s="9" t="s">
        <v>20</v>
      </c>
    </row>
    <row r="44014" ht="15.75" customHeight="1">
      <c r="A44014" s="7"/>
      <c r="B44014" s="7"/>
      <c r="M44014" s="9" t="s">
        <v>22</v>
      </c>
    </row>
    <row r="44015" ht="15.75" customHeight="1">
      <c r="A44015" s="7"/>
      <c r="B44015" s="7"/>
      <c r="M44015" s="9" t="s">
        <v>29</v>
      </c>
    </row>
    <row r="44016" ht="15.75" customHeight="1">
      <c r="A44016" s="7"/>
      <c r="B44016" s="7"/>
      <c r="M44016" s="9" t="s">
        <v>23</v>
      </c>
    </row>
    <row r="44017" ht="15.75" customHeight="1">
      <c r="A44017" s="7"/>
      <c r="B44017" s="7"/>
      <c r="M44017" s="9" t="s">
        <v>24</v>
      </c>
    </row>
    <row r="44018" ht="15.75" customHeight="1">
      <c r="A44018" s="7"/>
      <c r="B44018" s="7"/>
      <c r="M44018" s="9" t="s">
        <v>20</v>
      </c>
    </row>
    <row r="44019" ht="15.75" customHeight="1">
      <c r="A44019" s="7"/>
      <c r="B44019" s="7"/>
      <c r="M44019" s="9" t="s">
        <v>21</v>
      </c>
    </row>
    <row r="44020" ht="15.75" customHeight="1">
      <c r="A44020" s="7"/>
      <c r="B44020" s="7"/>
      <c r="M44020" s="9" t="s">
        <v>37</v>
      </c>
    </row>
    <row r="44021" ht="15.75" customHeight="1">
      <c r="A44021" s="7"/>
      <c r="B44021" s="7"/>
      <c r="M44021" s="9" t="s">
        <v>33</v>
      </c>
    </row>
    <row r="44022" ht="15.75" customHeight="1">
      <c r="A44022" s="7"/>
      <c r="B44022" s="7"/>
      <c r="M44022" s="9" t="s">
        <v>26</v>
      </c>
    </row>
    <row r="44023" ht="15.75" customHeight="1">
      <c r="A44023" s="7"/>
      <c r="B44023" s="7"/>
      <c r="M44023" s="9" t="s">
        <v>24</v>
      </c>
    </row>
    <row r="44024" ht="15.75" customHeight="1">
      <c r="A44024" s="7"/>
      <c r="B44024" s="7"/>
      <c r="M44024" s="9" t="s">
        <v>21</v>
      </c>
    </row>
    <row r="44025" ht="15.75" customHeight="1">
      <c r="A44025" s="7"/>
      <c r="B44025" s="7"/>
      <c r="M44025" s="9" t="s">
        <v>27</v>
      </c>
    </row>
    <row r="44026" ht="15.75" customHeight="1">
      <c r="A44026" s="7"/>
      <c r="B44026" s="7"/>
      <c r="M44026" s="9" t="s">
        <v>33</v>
      </c>
    </row>
    <row r="44027" ht="15.75" customHeight="1">
      <c r="A44027" s="7"/>
      <c r="B44027" s="7"/>
      <c r="M44027" s="9" t="s">
        <v>30</v>
      </c>
    </row>
    <row r="44028" ht="15.75" customHeight="1">
      <c r="A44028" s="7"/>
      <c r="B44028" s="7"/>
      <c r="M44028" s="9" t="s">
        <v>25</v>
      </c>
    </row>
    <row r="44029" ht="15.75" customHeight="1">
      <c r="A44029" s="7"/>
      <c r="B44029" s="7"/>
      <c r="M44029" s="9" t="s">
        <v>23</v>
      </c>
    </row>
    <row r="44030" ht="15.75" customHeight="1">
      <c r="A44030" s="7"/>
      <c r="B44030" s="7"/>
      <c r="M44030" s="9" t="s">
        <v>24</v>
      </c>
    </row>
    <row r="44031" ht="15.75" customHeight="1">
      <c r="A44031" s="7"/>
      <c r="B44031" s="7"/>
      <c r="M44031" s="9" t="s">
        <v>20</v>
      </c>
    </row>
    <row r="44032" ht="15.75" customHeight="1">
      <c r="A44032" s="7"/>
      <c r="B44032" s="7"/>
      <c r="M44032" s="9" t="s">
        <v>39</v>
      </c>
    </row>
    <row r="44033" ht="15.75" customHeight="1">
      <c r="A44033" s="7"/>
      <c r="B44033" s="7"/>
      <c r="M44033" s="9" t="s">
        <v>22</v>
      </c>
    </row>
    <row r="44034" ht="15.75" customHeight="1">
      <c r="A44034" s="7"/>
      <c r="B44034" s="7"/>
      <c r="M44034" s="9" t="s">
        <v>35</v>
      </c>
    </row>
    <row r="44035" ht="15.75" customHeight="1">
      <c r="A44035" s="7"/>
      <c r="B44035" s="7"/>
      <c r="M44035" s="9" t="s">
        <v>38</v>
      </c>
    </row>
    <row r="44036" ht="15.75" customHeight="1">
      <c r="A44036" s="7"/>
      <c r="B44036" s="7"/>
      <c r="M44036" s="9" t="s">
        <v>30</v>
      </c>
    </row>
    <row r="44037" ht="15.75" customHeight="1">
      <c r="A44037" s="7"/>
      <c r="B44037" s="7"/>
      <c r="M44037" s="9" t="s">
        <v>25</v>
      </c>
    </row>
    <row r="44038" ht="15.75" customHeight="1">
      <c r="A44038" s="7"/>
      <c r="B44038" s="7"/>
      <c r="M44038" s="9" t="s">
        <v>24</v>
      </c>
    </row>
    <row r="44039" ht="15.75" customHeight="1">
      <c r="A44039" s="7"/>
      <c r="B44039" s="7"/>
      <c r="M44039" s="9" t="s">
        <v>20</v>
      </c>
    </row>
    <row r="44040" ht="15.75" customHeight="1">
      <c r="A44040" s="7"/>
      <c r="B44040" s="7"/>
      <c r="M44040" s="9" t="s">
        <v>21</v>
      </c>
    </row>
    <row r="44041" ht="15.75" customHeight="1">
      <c r="A44041" s="7"/>
      <c r="B44041" s="7"/>
      <c r="M44041" s="9" t="s">
        <v>37</v>
      </c>
    </row>
    <row r="44042" ht="15.75" customHeight="1">
      <c r="A44042" s="7"/>
      <c r="B44042" s="7"/>
      <c r="M44042" s="9" t="s">
        <v>27</v>
      </c>
    </row>
    <row r="44043" ht="15.75" customHeight="1">
      <c r="A44043" s="7"/>
      <c r="B44043" s="7"/>
      <c r="M44043" s="9" t="s">
        <v>24</v>
      </c>
    </row>
    <row r="44044" ht="15.75" customHeight="1">
      <c r="A44044" s="7"/>
      <c r="B44044" s="7"/>
      <c r="M44044" s="9" t="s">
        <v>21</v>
      </c>
    </row>
    <row r="44045" ht="15.75" customHeight="1">
      <c r="A44045" s="7"/>
      <c r="B44045" s="7"/>
      <c r="M44045" s="9" t="s">
        <v>37</v>
      </c>
    </row>
    <row r="44046" ht="15.75" customHeight="1">
      <c r="A44046" s="7"/>
      <c r="B44046" s="7"/>
      <c r="M44046" s="9" t="s">
        <v>27</v>
      </c>
    </row>
    <row r="44047" ht="15.75" customHeight="1">
      <c r="A44047" s="7"/>
      <c r="B44047" s="7"/>
      <c r="M44047" s="9" t="s">
        <v>24</v>
      </c>
    </row>
    <row r="44048" ht="15.75" customHeight="1">
      <c r="A44048" s="7"/>
      <c r="B44048" s="7"/>
      <c r="M44048" s="9" t="s">
        <v>21</v>
      </c>
    </row>
    <row r="44049" ht="15.75" customHeight="1">
      <c r="A44049" s="7"/>
      <c r="B44049" s="7"/>
      <c r="M44049" s="9" t="s">
        <v>37</v>
      </c>
    </row>
    <row r="44050" ht="15.75" customHeight="1">
      <c r="A44050" s="7"/>
      <c r="B44050" s="7"/>
      <c r="M44050" s="9" t="s">
        <v>30</v>
      </c>
    </row>
    <row r="44051" ht="15.75" customHeight="1">
      <c r="A44051" s="7"/>
      <c r="B44051" s="7"/>
      <c r="M44051" s="9" t="s">
        <v>23</v>
      </c>
    </row>
    <row r="44052" ht="15.75" customHeight="1">
      <c r="A44052" s="7"/>
      <c r="B44052" s="7"/>
      <c r="M44052" s="9" t="s">
        <v>36</v>
      </c>
    </row>
    <row r="44053" ht="15.75" customHeight="1">
      <c r="A44053" s="7"/>
      <c r="B44053" s="7"/>
      <c r="M44053" s="9" t="s">
        <v>24</v>
      </c>
    </row>
    <row r="44054" ht="15.75" customHeight="1">
      <c r="A44054" s="7"/>
      <c r="B44054" s="7"/>
      <c r="M44054" s="9" t="s">
        <v>21</v>
      </c>
    </row>
    <row r="44055" ht="15.75" customHeight="1">
      <c r="A44055" s="7"/>
      <c r="B44055" s="7"/>
      <c r="M44055" s="9" t="s">
        <v>22</v>
      </c>
    </row>
    <row r="44056" ht="15.75" customHeight="1">
      <c r="A44056" s="7"/>
      <c r="B44056" s="7"/>
      <c r="M44056" s="9" t="s">
        <v>27</v>
      </c>
    </row>
    <row r="44057" ht="15.75" customHeight="1">
      <c r="A44057" s="7"/>
      <c r="B44057" s="7"/>
      <c r="M44057" s="9" t="s">
        <v>30</v>
      </c>
    </row>
    <row r="44058" ht="15.75" customHeight="1">
      <c r="A44058" s="7"/>
      <c r="B44058" s="7"/>
      <c r="M44058" s="9" t="s">
        <v>24</v>
      </c>
    </row>
    <row r="44059" ht="15.75" customHeight="1">
      <c r="A44059" s="7"/>
      <c r="B44059" s="7"/>
      <c r="M44059" s="9" t="s">
        <v>21</v>
      </c>
    </row>
    <row r="44060" ht="15.75" customHeight="1">
      <c r="A44060" s="7"/>
      <c r="B44060" s="7"/>
      <c r="M44060" s="9" t="s">
        <v>29</v>
      </c>
    </row>
    <row r="44061" ht="15.75" customHeight="1">
      <c r="A44061" s="7"/>
      <c r="B44061" s="7"/>
      <c r="M44061" s="9" t="s">
        <v>27</v>
      </c>
    </row>
    <row r="44062" ht="15.75" customHeight="1">
      <c r="A44062" s="7"/>
      <c r="B44062" s="7"/>
      <c r="M44062" s="9" t="s">
        <v>30</v>
      </c>
    </row>
    <row r="44063" ht="15.75" customHeight="1">
      <c r="A44063" s="7"/>
      <c r="B44063" s="7"/>
      <c r="M44063" s="9" t="s">
        <v>24</v>
      </c>
    </row>
    <row r="44064" ht="15.75" customHeight="1">
      <c r="A44064" s="7"/>
      <c r="B44064" s="7"/>
      <c r="M44064" s="9" t="s">
        <v>33</v>
      </c>
    </row>
    <row r="44065" ht="15.75" customHeight="1">
      <c r="A44065" s="7"/>
      <c r="B44065" s="7"/>
      <c r="M44065" s="9" t="s">
        <v>24</v>
      </c>
    </row>
    <row r="44066" ht="15.75" customHeight="1">
      <c r="A44066" s="7"/>
      <c r="B44066" s="7"/>
      <c r="M44066" s="9" t="s">
        <v>21</v>
      </c>
    </row>
    <row r="44067" ht="15.75" customHeight="1">
      <c r="A44067" s="7"/>
      <c r="B44067" s="7"/>
      <c r="M44067" s="9" t="s">
        <v>37</v>
      </c>
    </row>
    <row r="44068" ht="15.75" customHeight="1">
      <c r="A44068" s="7"/>
      <c r="B44068" s="7"/>
      <c r="M44068" s="9" t="s">
        <v>27</v>
      </c>
    </row>
    <row r="44069" ht="15.75" customHeight="1">
      <c r="A44069" s="7"/>
      <c r="B44069" s="7"/>
      <c r="M44069" s="9" t="s">
        <v>30</v>
      </c>
    </row>
    <row r="44070" ht="15.75" customHeight="1">
      <c r="A44070" s="7"/>
      <c r="B44070" s="7"/>
      <c r="M44070" s="9" t="s">
        <v>25</v>
      </c>
    </row>
    <row r="44071" ht="15.75" customHeight="1">
      <c r="A44071" s="7"/>
      <c r="B44071" s="7"/>
      <c r="M44071" s="9" t="s">
        <v>24</v>
      </c>
    </row>
    <row r="44072" ht="15.75" customHeight="1">
      <c r="A44072" s="7"/>
      <c r="B44072" s="7"/>
      <c r="M44072" s="9" t="s">
        <v>20</v>
      </c>
    </row>
    <row r="44073" ht="15.75" customHeight="1">
      <c r="A44073" s="7"/>
      <c r="B44073" s="7"/>
      <c r="M44073" s="9" t="s">
        <v>21</v>
      </c>
    </row>
    <row r="44074" ht="15.75" customHeight="1">
      <c r="A44074" s="7"/>
      <c r="B44074" s="7"/>
      <c r="M44074" s="9" t="s">
        <v>22</v>
      </c>
    </row>
    <row r="44075" ht="15.75" customHeight="1">
      <c r="A44075" s="7"/>
      <c r="B44075" s="7"/>
      <c r="M44075" s="9" t="s">
        <v>46</v>
      </c>
    </row>
    <row r="44076" ht="15.75" customHeight="1">
      <c r="A44076" s="7"/>
      <c r="B44076" s="7"/>
      <c r="M44076" s="9" t="s">
        <v>27</v>
      </c>
    </row>
    <row r="44077" ht="15.75" customHeight="1">
      <c r="A44077" s="7"/>
      <c r="B44077" s="7"/>
      <c r="M44077" s="9" t="s">
        <v>26</v>
      </c>
    </row>
    <row r="44078" ht="15.75" customHeight="1">
      <c r="A44078" s="7"/>
      <c r="B44078" s="7"/>
      <c r="M44078" s="9" t="s">
        <v>20</v>
      </c>
    </row>
    <row r="44079" ht="15.75" customHeight="1">
      <c r="A44079" s="7"/>
      <c r="B44079" s="7"/>
      <c r="M44079" s="9" t="s">
        <v>26</v>
      </c>
    </row>
    <row r="44080" ht="15.75" customHeight="1">
      <c r="A44080" s="7"/>
      <c r="B44080" s="7"/>
      <c r="M44080" s="9" t="s">
        <v>24</v>
      </c>
    </row>
    <row r="44081" ht="15.75" customHeight="1">
      <c r="A44081" s="7"/>
      <c r="B44081" s="7"/>
      <c r="M44081" s="9" t="s">
        <v>21</v>
      </c>
    </row>
    <row r="44082" ht="15.75" customHeight="1">
      <c r="A44082" s="7"/>
      <c r="B44082" s="7"/>
      <c r="M44082" s="9" t="s">
        <v>25</v>
      </c>
    </row>
    <row r="44083" ht="15.75" customHeight="1">
      <c r="A44083" s="7"/>
      <c r="B44083" s="7"/>
      <c r="M44083" s="9" t="s">
        <v>23</v>
      </c>
    </row>
    <row r="44084" ht="15.75" customHeight="1">
      <c r="A44084" s="7"/>
      <c r="B44084" s="7"/>
      <c r="M44084" s="9" t="s">
        <v>24</v>
      </c>
    </row>
    <row r="44085" ht="15.75" customHeight="1">
      <c r="A44085" s="7"/>
      <c r="B44085" s="7"/>
      <c r="M44085" s="9" t="s">
        <v>21</v>
      </c>
    </row>
    <row r="44086" ht="15.75" customHeight="1">
      <c r="A44086" s="7"/>
      <c r="B44086" s="7"/>
      <c r="M44086" s="9" t="s">
        <v>22</v>
      </c>
    </row>
    <row r="44087" ht="15.75" customHeight="1">
      <c r="A44087" s="7"/>
      <c r="B44087" s="7"/>
      <c r="M44087" s="9" t="s">
        <v>27</v>
      </c>
    </row>
    <row r="44088" ht="15.75" customHeight="1">
      <c r="A44088" s="7"/>
      <c r="B44088" s="7"/>
      <c r="M44088" s="9" t="s">
        <v>30</v>
      </c>
    </row>
    <row r="44089" ht="15.75" customHeight="1">
      <c r="A44089" s="7"/>
      <c r="B44089" s="7"/>
      <c r="M44089" s="9" t="s">
        <v>20</v>
      </c>
    </row>
    <row r="44090" ht="15.75" customHeight="1">
      <c r="A44090" s="7"/>
      <c r="B44090" s="7"/>
      <c r="M44090" s="9" t="s">
        <v>21</v>
      </c>
    </row>
    <row r="44091" ht="15.75" customHeight="1">
      <c r="A44091" s="7"/>
      <c r="B44091" s="7"/>
      <c r="M44091" s="9" t="s">
        <v>22</v>
      </c>
    </row>
    <row r="44092" ht="15.75" customHeight="1">
      <c r="A44092" s="7"/>
      <c r="B44092" s="7"/>
      <c r="M44092" s="9" t="s">
        <v>27</v>
      </c>
    </row>
    <row r="44093" ht="15.75" customHeight="1">
      <c r="A44093" s="7"/>
      <c r="B44093" s="7"/>
      <c r="M44093" s="9" t="s">
        <v>33</v>
      </c>
    </row>
    <row r="44094" ht="15.75" customHeight="1">
      <c r="A44094" s="7"/>
      <c r="B44094" s="7"/>
      <c r="M44094" s="9" t="s">
        <v>30</v>
      </c>
    </row>
    <row r="44095" ht="15.75" customHeight="1">
      <c r="A44095" s="7"/>
      <c r="B44095" s="7"/>
      <c r="M44095" s="9" t="s">
        <v>22</v>
      </c>
    </row>
    <row r="44096" ht="15.75" customHeight="1">
      <c r="A44096" s="7"/>
      <c r="B44096" s="7"/>
      <c r="M44096" s="9" t="s">
        <v>24</v>
      </c>
    </row>
    <row r="44097" ht="15.75" customHeight="1">
      <c r="A44097" s="7"/>
      <c r="B44097" s="7"/>
      <c r="M44097" s="9" t="s">
        <v>20</v>
      </c>
    </row>
    <row r="44098" ht="15.75" customHeight="1">
      <c r="A44098" s="7"/>
      <c r="B44098" s="7"/>
      <c r="M44098" s="9" t="s">
        <v>21</v>
      </c>
    </row>
    <row r="44099" ht="15.75" customHeight="1">
      <c r="A44099" s="7"/>
      <c r="B44099" s="7"/>
      <c r="M44099" s="9" t="s">
        <v>26</v>
      </c>
    </row>
    <row r="44100" ht="15.75" customHeight="1">
      <c r="A44100" s="7"/>
      <c r="B44100" s="7"/>
      <c r="M44100" s="9" t="s">
        <v>24</v>
      </c>
    </row>
    <row r="44101" ht="15.75" customHeight="1">
      <c r="A44101" s="7"/>
      <c r="B44101" s="7"/>
      <c r="M44101" s="9" t="s">
        <v>20</v>
      </c>
    </row>
    <row r="44102" ht="15.75" customHeight="1">
      <c r="A44102" s="7"/>
      <c r="B44102" s="7"/>
      <c r="M44102" s="9" t="s">
        <v>21</v>
      </c>
    </row>
    <row r="44103" ht="15.75" customHeight="1">
      <c r="A44103" s="7"/>
      <c r="B44103" s="7"/>
      <c r="M44103" s="9" t="s">
        <v>22</v>
      </c>
    </row>
    <row r="44104" ht="15.75" customHeight="1">
      <c r="A44104" s="7"/>
      <c r="B44104" s="7"/>
      <c r="M44104" s="9" t="s">
        <v>27</v>
      </c>
    </row>
    <row r="44105" ht="15.75" customHeight="1">
      <c r="A44105" s="7"/>
      <c r="B44105" s="7"/>
      <c r="M44105" s="9" t="s">
        <v>33</v>
      </c>
    </row>
    <row r="44106" ht="15.75" customHeight="1">
      <c r="A44106" s="7"/>
      <c r="B44106" s="7"/>
      <c r="M44106" s="9" t="s">
        <v>30</v>
      </c>
    </row>
    <row r="44107" ht="15.75" customHeight="1">
      <c r="A44107" s="7"/>
      <c r="B44107" s="7"/>
      <c r="M44107" s="9" t="s">
        <v>26</v>
      </c>
    </row>
    <row r="44108" ht="15.75" customHeight="1">
      <c r="A44108" s="7"/>
      <c r="B44108" s="7"/>
      <c r="M44108" s="9" t="s">
        <v>20</v>
      </c>
    </row>
    <row r="44109" ht="15.75" customHeight="1">
      <c r="A44109" s="7"/>
      <c r="B44109" s="7"/>
      <c r="M44109" s="9" t="s">
        <v>27</v>
      </c>
    </row>
    <row r="44110" ht="15.75" customHeight="1">
      <c r="A44110" s="7"/>
      <c r="B44110" s="7"/>
      <c r="M44110" s="9" t="s">
        <v>28</v>
      </c>
    </row>
    <row r="44111" ht="15.75" customHeight="1">
      <c r="A44111" s="7"/>
      <c r="B44111" s="7"/>
      <c r="M44111" s="9" t="s">
        <v>35</v>
      </c>
    </row>
    <row r="44112" ht="15.75" customHeight="1">
      <c r="A44112" s="7"/>
      <c r="B44112" s="7"/>
      <c r="M44112" s="9" t="s">
        <v>30</v>
      </c>
    </row>
    <row r="44113" ht="15.75" customHeight="1">
      <c r="A44113" s="7"/>
      <c r="B44113" s="7"/>
      <c r="M44113" s="9" t="s">
        <v>24</v>
      </c>
    </row>
    <row r="44114" ht="15.75" customHeight="1">
      <c r="A44114" s="7"/>
      <c r="B44114" s="7"/>
      <c r="M44114" s="9" t="s">
        <v>21</v>
      </c>
    </row>
    <row r="44115" ht="15.75" customHeight="1">
      <c r="A44115" s="7"/>
      <c r="B44115" s="7"/>
      <c r="M44115" s="9" t="s">
        <v>37</v>
      </c>
    </row>
    <row r="44116" ht="15.75" customHeight="1">
      <c r="A44116" s="7"/>
      <c r="B44116" s="7"/>
      <c r="M44116" s="9" t="s">
        <v>27</v>
      </c>
    </row>
    <row r="44117" ht="15.75" customHeight="1">
      <c r="A44117" s="7"/>
      <c r="B44117" s="7"/>
      <c r="M44117" s="9" t="s">
        <v>33</v>
      </c>
    </row>
    <row r="44118" ht="15.75" customHeight="1">
      <c r="A44118" s="7"/>
      <c r="B44118" s="7"/>
      <c r="M44118" s="9" t="s">
        <v>35</v>
      </c>
    </row>
    <row r="44119" ht="15.75" customHeight="1">
      <c r="A44119" s="7"/>
      <c r="B44119" s="7"/>
      <c r="M44119" s="9" t="s">
        <v>24</v>
      </c>
    </row>
    <row r="44120" ht="15.75" customHeight="1">
      <c r="A44120" s="7"/>
      <c r="B44120" s="7"/>
      <c r="M44120" s="9" t="s">
        <v>20</v>
      </c>
    </row>
    <row r="44121" ht="15.75" customHeight="1">
      <c r="A44121" s="7"/>
      <c r="B44121" s="7"/>
      <c r="M44121" s="9" t="s">
        <v>21</v>
      </c>
    </row>
    <row r="44122" ht="15.75" customHeight="1">
      <c r="A44122" s="7"/>
      <c r="B44122" s="7"/>
      <c r="M44122" s="9" t="s">
        <v>37</v>
      </c>
    </row>
    <row r="44123" ht="15.75" customHeight="1">
      <c r="A44123" s="7"/>
      <c r="B44123" s="7"/>
      <c r="M44123" s="9" t="s">
        <v>27</v>
      </c>
    </row>
    <row r="44124" ht="15.75" customHeight="1">
      <c r="A44124" s="7"/>
      <c r="B44124" s="7"/>
      <c r="M44124" s="9" t="s">
        <v>30</v>
      </c>
    </row>
    <row r="44125" ht="15.75" customHeight="1">
      <c r="A44125" s="7"/>
      <c r="B44125" s="7"/>
      <c r="M44125" s="9" t="s">
        <v>24</v>
      </c>
    </row>
    <row r="44126" ht="15.75" customHeight="1">
      <c r="A44126" s="7"/>
      <c r="B44126" s="7"/>
      <c r="M44126" s="9" t="s">
        <v>21</v>
      </c>
    </row>
    <row r="44127" ht="15.75" customHeight="1">
      <c r="A44127" s="7"/>
      <c r="B44127" s="7"/>
      <c r="M44127" s="9" t="s">
        <v>37</v>
      </c>
    </row>
    <row r="44128" ht="15.75" customHeight="1">
      <c r="A44128" s="7"/>
      <c r="B44128" s="7"/>
      <c r="M44128" s="9" t="s">
        <v>24</v>
      </c>
    </row>
    <row r="44129" ht="15.75" customHeight="1">
      <c r="A44129" s="7"/>
      <c r="B44129" s="7"/>
      <c r="M44129" s="9" t="s">
        <v>20</v>
      </c>
    </row>
    <row r="44130" ht="15.75" customHeight="1">
      <c r="A44130" s="7"/>
      <c r="B44130" s="7"/>
      <c r="M44130" s="9" t="s">
        <v>21</v>
      </c>
    </row>
    <row r="44131" ht="15.75" customHeight="1">
      <c r="A44131" s="7"/>
      <c r="B44131" s="7"/>
      <c r="M44131" s="9" t="s">
        <v>37</v>
      </c>
    </row>
    <row r="44132" ht="15.75" customHeight="1">
      <c r="A44132" s="7"/>
      <c r="B44132" s="7"/>
      <c r="M44132" s="9" t="s">
        <v>22</v>
      </c>
    </row>
    <row r="44133" ht="15.75" customHeight="1">
      <c r="A44133" s="7"/>
      <c r="B44133" s="7"/>
      <c r="M44133" s="9" t="s">
        <v>46</v>
      </c>
    </row>
    <row r="44134" ht="15.75" customHeight="1">
      <c r="A44134" s="7"/>
      <c r="B44134" s="7"/>
      <c r="M44134" s="9" t="s">
        <v>27</v>
      </c>
    </row>
    <row r="44135" ht="15.75" customHeight="1">
      <c r="A44135" s="7"/>
      <c r="B44135" s="7"/>
      <c r="M44135" s="9" t="s">
        <v>26</v>
      </c>
    </row>
    <row r="44136" ht="15.75" customHeight="1">
      <c r="A44136" s="7"/>
      <c r="B44136" s="7"/>
      <c r="M44136" s="9" t="s">
        <v>24</v>
      </c>
    </row>
    <row r="44137" ht="15.75" customHeight="1">
      <c r="A44137" s="7"/>
      <c r="B44137" s="7"/>
      <c r="M44137" s="9" t="s">
        <v>21</v>
      </c>
    </row>
    <row r="44138" ht="15.75" customHeight="1">
      <c r="A44138" s="7"/>
      <c r="B44138" s="7"/>
      <c r="M44138" s="9" t="s">
        <v>37</v>
      </c>
    </row>
    <row r="44139" ht="15.75" customHeight="1">
      <c r="A44139" s="7"/>
      <c r="B44139" s="7"/>
      <c r="M44139" s="9" t="s">
        <v>40</v>
      </c>
    </row>
    <row r="44140" ht="15.75" customHeight="1">
      <c r="A44140" s="7"/>
      <c r="B44140" s="7"/>
      <c r="M44140" s="9" t="s">
        <v>30</v>
      </c>
    </row>
    <row r="44141" ht="15.75" customHeight="1">
      <c r="A44141" s="7"/>
      <c r="B44141" s="7"/>
      <c r="M44141" s="9" t="s">
        <v>25</v>
      </c>
    </row>
    <row r="44142" ht="15.75" customHeight="1">
      <c r="A44142" s="7"/>
      <c r="B44142" s="7"/>
      <c r="M44142" s="9" t="s">
        <v>23</v>
      </c>
    </row>
    <row r="44143" ht="15.75" customHeight="1">
      <c r="A44143" s="7"/>
      <c r="B44143" s="7"/>
      <c r="M44143" s="9" t="s">
        <v>26</v>
      </c>
    </row>
    <row r="44144" ht="15.75" customHeight="1">
      <c r="A44144" s="7"/>
      <c r="B44144" s="7"/>
      <c r="M44144" s="9" t="s">
        <v>24</v>
      </c>
    </row>
    <row r="44145" ht="15.75" customHeight="1">
      <c r="A44145" s="7"/>
      <c r="B44145" s="7"/>
      <c r="M44145" s="9" t="s">
        <v>20</v>
      </c>
    </row>
    <row r="44146" ht="15.75" customHeight="1">
      <c r="A44146" s="7"/>
      <c r="B44146" s="7"/>
      <c r="M44146" s="9" t="s">
        <v>21</v>
      </c>
    </row>
    <row r="44147" ht="15.75" customHeight="1">
      <c r="A44147" s="7"/>
      <c r="B44147" s="7"/>
      <c r="M44147" s="9" t="s">
        <v>37</v>
      </c>
    </row>
    <row r="44148" ht="15.75" customHeight="1">
      <c r="A44148" s="7"/>
      <c r="B44148" s="7"/>
      <c r="M44148" s="9" t="s">
        <v>29</v>
      </c>
    </row>
    <row r="44149" ht="15.75" customHeight="1">
      <c r="A44149" s="7"/>
      <c r="B44149" s="7"/>
      <c r="M44149" s="9" t="s">
        <v>27</v>
      </c>
    </row>
    <row r="44150" ht="15.75" customHeight="1">
      <c r="A44150" s="7"/>
      <c r="B44150" s="7"/>
      <c r="M44150" s="9" t="s">
        <v>30</v>
      </c>
    </row>
    <row r="44151" ht="15.75" customHeight="1">
      <c r="A44151" s="7"/>
      <c r="B44151" s="7"/>
      <c r="M44151" s="9" t="s">
        <v>42</v>
      </c>
    </row>
    <row r="44152" ht="15.75" customHeight="1">
      <c r="A44152" s="7"/>
      <c r="B44152" s="7"/>
      <c r="M44152" s="9" t="s">
        <v>36</v>
      </c>
    </row>
    <row r="44153" ht="15.75" customHeight="1">
      <c r="A44153" s="7"/>
      <c r="B44153" s="7"/>
      <c r="M44153" s="9" t="s">
        <v>24</v>
      </c>
    </row>
    <row r="44154" ht="15.75" customHeight="1">
      <c r="A44154" s="7"/>
      <c r="B44154" s="7"/>
      <c r="M44154" s="9" t="s">
        <v>21</v>
      </c>
    </row>
    <row r="44155" ht="15.75" customHeight="1">
      <c r="A44155" s="7"/>
      <c r="B44155" s="7"/>
      <c r="M44155" s="9" t="s">
        <v>31</v>
      </c>
    </row>
    <row r="44156" ht="15.75" customHeight="1">
      <c r="A44156" s="7"/>
      <c r="B44156" s="7"/>
      <c r="M44156" s="9" t="s">
        <v>33</v>
      </c>
    </row>
    <row r="44157" ht="15.75" customHeight="1">
      <c r="A44157" s="7"/>
      <c r="B44157" s="7"/>
      <c r="M44157" s="9" t="s">
        <v>24</v>
      </c>
    </row>
    <row r="44158" ht="15.75" customHeight="1">
      <c r="A44158" s="7"/>
      <c r="B44158" s="7"/>
      <c r="M44158" s="9" t="s">
        <v>21</v>
      </c>
    </row>
    <row r="44159" ht="15.75" customHeight="1">
      <c r="A44159" s="7"/>
      <c r="B44159" s="7"/>
      <c r="M44159" s="9" t="s">
        <v>37</v>
      </c>
    </row>
    <row r="44160" ht="15.75" customHeight="1">
      <c r="A44160" s="7"/>
      <c r="B44160" s="7"/>
      <c r="M44160" s="9" t="s">
        <v>22</v>
      </c>
    </row>
    <row r="44161" ht="15.75" customHeight="1">
      <c r="A44161" s="7"/>
      <c r="B44161" s="7"/>
      <c r="M44161" s="9" t="s">
        <v>27</v>
      </c>
    </row>
    <row r="44162" ht="15.75" customHeight="1">
      <c r="A44162" s="7"/>
      <c r="B44162" s="7"/>
      <c r="M44162" s="9" t="s">
        <v>40</v>
      </c>
    </row>
    <row r="44163" ht="15.75" customHeight="1">
      <c r="A44163" s="7"/>
      <c r="B44163" s="7"/>
      <c r="M44163" s="9" t="s">
        <v>20</v>
      </c>
    </row>
    <row r="44164" ht="15.75" customHeight="1">
      <c r="A44164" s="7"/>
      <c r="B44164" s="7"/>
      <c r="M44164" s="9" t="s">
        <v>21</v>
      </c>
    </row>
    <row r="44165" ht="15.75" customHeight="1">
      <c r="A44165" s="7"/>
      <c r="B44165" s="7"/>
      <c r="M44165" s="9" t="s">
        <v>22</v>
      </c>
    </row>
    <row r="44166" ht="15.75" customHeight="1">
      <c r="A44166" s="7"/>
      <c r="B44166" s="7"/>
      <c r="M44166" s="9" t="s">
        <v>33</v>
      </c>
    </row>
    <row r="44167" ht="15.75" customHeight="1">
      <c r="A44167" s="7"/>
      <c r="B44167" s="7"/>
      <c r="M44167" s="9" t="s">
        <v>20</v>
      </c>
    </row>
    <row r="44168" ht="15.75" customHeight="1">
      <c r="A44168" s="7"/>
      <c r="B44168" s="7"/>
      <c r="M44168" s="9" t="s">
        <v>21</v>
      </c>
    </row>
    <row r="44169" ht="15.75" customHeight="1">
      <c r="A44169" s="7"/>
      <c r="B44169" s="7"/>
      <c r="M44169" s="9" t="s">
        <v>22</v>
      </c>
    </row>
    <row r="44170" ht="15.75" customHeight="1">
      <c r="A44170" s="7"/>
      <c r="B44170" s="7"/>
      <c r="M44170" s="9" t="s">
        <v>27</v>
      </c>
    </row>
    <row r="44171" ht="15.75" customHeight="1">
      <c r="A44171" s="7"/>
      <c r="B44171" s="7"/>
      <c r="M44171" s="9" t="s">
        <v>26</v>
      </c>
    </row>
    <row r="44172" ht="15.75" customHeight="1">
      <c r="A44172" s="7"/>
      <c r="B44172" s="7"/>
      <c r="M44172" s="9" t="s">
        <v>24</v>
      </c>
    </row>
    <row r="44173" ht="15.75" customHeight="1">
      <c r="A44173" s="7"/>
      <c r="B44173" s="7"/>
      <c r="M44173" s="9" t="s">
        <v>27</v>
      </c>
    </row>
    <row r="44174" ht="15.75" customHeight="1">
      <c r="A44174" s="7"/>
      <c r="B44174" s="7"/>
      <c r="M44174" s="9" t="s">
        <v>33</v>
      </c>
    </row>
    <row r="44175" ht="15.75" customHeight="1">
      <c r="A44175" s="7"/>
      <c r="B44175" s="7"/>
      <c r="M44175" s="9" t="s">
        <v>30</v>
      </c>
    </row>
    <row r="44176" ht="15.75" customHeight="1">
      <c r="A44176" s="7"/>
      <c r="B44176" s="7"/>
      <c r="M44176" s="9" t="s">
        <v>24</v>
      </c>
    </row>
    <row r="44177" ht="15.75" customHeight="1">
      <c r="A44177" s="7"/>
      <c r="B44177" s="7"/>
      <c r="M44177" s="9" t="s">
        <v>20</v>
      </c>
    </row>
    <row r="44178" ht="15.75" customHeight="1">
      <c r="A44178" s="7"/>
      <c r="B44178" s="7"/>
      <c r="M44178" s="9" t="s">
        <v>21</v>
      </c>
    </row>
    <row r="44179" ht="15.75" customHeight="1">
      <c r="A44179" s="7"/>
      <c r="B44179" s="7"/>
      <c r="M44179" s="9" t="s">
        <v>27</v>
      </c>
    </row>
    <row r="44180" ht="15.75" customHeight="1">
      <c r="A44180" s="7"/>
      <c r="B44180" s="7"/>
      <c r="M44180" s="9" t="s">
        <v>24</v>
      </c>
    </row>
    <row r="44181" ht="15.75" customHeight="1">
      <c r="A44181" s="7"/>
      <c r="B44181" s="7"/>
      <c r="M44181" s="9" t="s">
        <v>21</v>
      </c>
    </row>
    <row r="44182" ht="15.75" customHeight="1">
      <c r="A44182" s="7"/>
      <c r="B44182" s="7"/>
      <c r="M44182" s="9" t="s">
        <v>31</v>
      </c>
    </row>
    <row r="44183" ht="15.75" customHeight="1">
      <c r="A44183" s="7"/>
      <c r="B44183" s="7"/>
      <c r="M44183" s="9" t="s">
        <v>30</v>
      </c>
    </row>
    <row r="44184" ht="15.75" customHeight="1">
      <c r="A44184" s="7"/>
      <c r="B44184" s="7"/>
      <c r="M44184" s="9" t="s">
        <v>25</v>
      </c>
    </row>
    <row r="44185" ht="15.75" customHeight="1">
      <c r="A44185" s="7"/>
      <c r="B44185" s="7"/>
      <c r="M44185" s="9" t="s">
        <v>23</v>
      </c>
    </row>
    <row r="44186" ht="15.75" customHeight="1">
      <c r="A44186" s="7"/>
      <c r="B44186" s="7"/>
      <c r="M44186" s="9" t="s">
        <v>20</v>
      </c>
    </row>
    <row r="44187" ht="15.75" customHeight="1">
      <c r="A44187" s="7"/>
      <c r="B44187" s="7"/>
      <c r="M44187" s="9" t="s">
        <v>22</v>
      </c>
    </row>
    <row r="44188" ht="15.75" customHeight="1">
      <c r="A44188" s="7"/>
      <c r="B44188" s="7"/>
      <c r="M44188" s="9" t="s">
        <v>29</v>
      </c>
    </row>
    <row r="44189" ht="15.75" customHeight="1">
      <c r="A44189" s="7"/>
      <c r="B44189" s="7"/>
      <c r="M44189" s="9" t="s">
        <v>30</v>
      </c>
    </row>
    <row r="44190" ht="15.75" customHeight="1">
      <c r="A44190" s="7"/>
      <c r="B44190" s="7"/>
      <c r="M44190" s="9" t="s">
        <v>24</v>
      </c>
    </row>
    <row r="44191" ht="15.75" customHeight="1">
      <c r="A44191" s="7"/>
      <c r="B44191" s="7"/>
      <c r="M44191" s="9" t="s">
        <v>20</v>
      </c>
    </row>
    <row r="44192" ht="15.75" customHeight="1">
      <c r="A44192" s="7"/>
      <c r="B44192" s="7"/>
      <c r="M44192" s="9" t="s">
        <v>21</v>
      </c>
    </row>
    <row r="44193" ht="15.75" customHeight="1">
      <c r="A44193" s="7"/>
      <c r="B44193" s="7"/>
      <c r="M44193" s="9" t="s">
        <v>22</v>
      </c>
    </row>
    <row r="44194" ht="15.75" customHeight="1">
      <c r="A44194" s="7"/>
      <c r="B44194" s="7"/>
      <c r="M44194" s="9" t="s">
        <v>27</v>
      </c>
    </row>
    <row r="44195" ht="15.75" customHeight="1">
      <c r="A44195" s="7"/>
      <c r="B44195" s="7"/>
      <c r="M44195" s="9" t="s">
        <v>30</v>
      </c>
    </row>
    <row r="44196" ht="15.75" customHeight="1">
      <c r="A44196" s="7"/>
      <c r="B44196" s="7"/>
      <c r="M44196" s="9" t="s">
        <v>25</v>
      </c>
    </row>
    <row r="44197" ht="15.75" customHeight="1">
      <c r="A44197" s="7"/>
      <c r="B44197" s="7"/>
      <c r="M44197" s="9" t="s">
        <v>23</v>
      </c>
    </row>
    <row r="44198" ht="15.75" customHeight="1">
      <c r="A44198" s="7"/>
      <c r="B44198" s="7"/>
      <c r="M44198" s="9" t="s">
        <v>24</v>
      </c>
    </row>
    <row r="44199" ht="15.75" customHeight="1">
      <c r="A44199" s="7"/>
      <c r="B44199" s="7"/>
      <c r="M44199" s="9" t="s">
        <v>20</v>
      </c>
    </row>
    <row r="44200" ht="15.75" customHeight="1">
      <c r="A44200" s="7"/>
      <c r="B44200" s="7"/>
      <c r="M44200" s="9" t="s">
        <v>21</v>
      </c>
    </row>
    <row r="44201" ht="15.75" customHeight="1">
      <c r="A44201" s="7"/>
      <c r="B44201" s="7"/>
      <c r="M44201" s="9" t="s">
        <v>39</v>
      </c>
    </row>
    <row r="44202" ht="15.75" customHeight="1">
      <c r="A44202" s="7"/>
      <c r="B44202" s="7"/>
      <c r="M44202" s="9" t="s">
        <v>37</v>
      </c>
    </row>
    <row r="44203" ht="15.75" customHeight="1">
      <c r="A44203" s="7"/>
      <c r="B44203" s="7"/>
      <c r="M44203" s="9" t="s">
        <v>22</v>
      </c>
    </row>
    <row r="44204" ht="15.75" customHeight="1">
      <c r="A44204" s="7"/>
      <c r="B44204" s="7"/>
      <c r="M44204" s="9" t="s">
        <v>25</v>
      </c>
    </row>
    <row r="44205" ht="15.75" customHeight="1">
      <c r="A44205" s="7"/>
      <c r="B44205" s="7"/>
      <c r="M44205" s="9" t="s">
        <v>23</v>
      </c>
    </row>
    <row r="44206" ht="15.75" customHeight="1">
      <c r="A44206" s="7"/>
      <c r="B44206" s="7"/>
      <c r="M44206" s="9" t="s">
        <v>24</v>
      </c>
    </row>
    <row r="44207" ht="15.75" customHeight="1">
      <c r="A44207" s="7"/>
      <c r="B44207" s="7"/>
      <c r="M44207" s="9" t="s">
        <v>20</v>
      </c>
    </row>
    <row r="44208" ht="15.75" customHeight="1">
      <c r="A44208" s="7"/>
      <c r="B44208" s="7"/>
      <c r="M44208" s="9" t="s">
        <v>21</v>
      </c>
    </row>
    <row r="44209" ht="15.75" customHeight="1">
      <c r="A44209" s="7"/>
      <c r="B44209" s="7"/>
      <c r="M44209" s="9" t="s">
        <v>22</v>
      </c>
    </row>
    <row r="44210" ht="15.75" customHeight="1">
      <c r="A44210" s="7"/>
      <c r="B44210" s="7"/>
      <c r="M44210" s="9" t="s">
        <v>30</v>
      </c>
    </row>
    <row r="44211" ht="15.75" customHeight="1">
      <c r="A44211" s="7"/>
      <c r="B44211" s="7"/>
      <c r="M44211" s="9" t="s">
        <v>22</v>
      </c>
    </row>
    <row r="44212" ht="15.75" customHeight="1">
      <c r="A44212" s="7"/>
      <c r="B44212" s="7"/>
      <c r="M44212" s="9" t="s">
        <v>29</v>
      </c>
    </row>
    <row r="44213" ht="15.75" customHeight="1">
      <c r="A44213" s="7"/>
      <c r="B44213" s="7"/>
      <c r="M44213" s="9" t="s">
        <v>31</v>
      </c>
    </row>
    <row r="44214" ht="15.75" customHeight="1">
      <c r="A44214" s="7"/>
      <c r="B44214" s="7"/>
      <c r="M44214" s="9" t="s">
        <v>22</v>
      </c>
    </row>
    <row r="44215" ht="15.75" customHeight="1">
      <c r="A44215" s="7"/>
      <c r="B44215" s="7"/>
      <c r="M44215" s="9" t="s">
        <v>35</v>
      </c>
    </row>
    <row r="44216" ht="15.75" customHeight="1">
      <c r="A44216" s="7"/>
      <c r="B44216" s="7"/>
      <c r="M44216" s="9" t="s">
        <v>26</v>
      </c>
    </row>
    <row r="44217" ht="15.75" customHeight="1">
      <c r="A44217" s="7"/>
      <c r="B44217" s="7"/>
      <c r="M44217" s="9" t="s">
        <v>24</v>
      </c>
    </row>
    <row r="44218" ht="15.75" customHeight="1">
      <c r="A44218" s="7"/>
      <c r="B44218" s="7"/>
      <c r="M44218" s="9" t="s">
        <v>21</v>
      </c>
    </row>
    <row r="44219" ht="15.75" customHeight="1">
      <c r="A44219" s="7"/>
      <c r="B44219" s="7"/>
      <c r="M44219" s="9" t="s">
        <v>33</v>
      </c>
    </row>
    <row r="44220" ht="15.75" customHeight="1">
      <c r="A44220" s="7"/>
      <c r="B44220" s="7"/>
      <c r="M44220" s="9" t="s">
        <v>35</v>
      </c>
    </row>
    <row r="44221" ht="15.75" customHeight="1">
      <c r="A44221" s="7"/>
      <c r="B44221" s="7"/>
      <c r="M44221" s="9" t="s">
        <v>30</v>
      </c>
    </row>
    <row r="44222" ht="15.75" customHeight="1">
      <c r="A44222" s="7"/>
      <c r="B44222" s="7"/>
      <c r="M44222" s="9" t="s">
        <v>25</v>
      </c>
    </row>
    <row r="44223" ht="15.75" customHeight="1">
      <c r="A44223" s="7"/>
      <c r="B44223" s="7"/>
      <c r="M44223" s="9" t="s">
        <v>23</v>
      </c>
    </row>
    <row r="44224" ht="15.75" customHeight="1">
      <c r="A44224" s="7"/>
      <c r="B44224" s="7"/>
      <c r="M44224" s="9" t="s">
        <v>24</v>
      </c>
    </row>
    <row r="44225" ht="15.75" customHeight="1">
      <c r="A44225" s="7"/>
      <c r="B44225" s="7"/>
      <c r="M44225" s="9" t="s">
        <v>20</v>
      </c>
    </row>
    <row r="44226" ht="15.75" customHeight="1">
      <c r="A44226" s="7"/>
      <c r="B44226" s="7"/>
      <c r="M44226" s="9" t="s">
        <v>22</v>
      </c>
    </row>
    <row r="44227" ht="15.75" customHeight="1">
      <c r="A44227" s="7"/>
      <c r="B44227" s="7"/>
      <c r="M44227" s="9" t="s">
        <v>30</v>
      </c>
    </row>
    <row r="44228" ht="15.75" customHeight="1">
      <c r="A44228" s="7"/>
      <c r="B44228" s="7"/>
      <c r="M44228" s="9" t="s">
        <v>24</v>
      </c>
    </row>
    <row r="44229" ht="15.75" customHeight="1">
      <c r="A44229" s="7"/>
      <c r="B44229" s="7"/>
      <c r="M44229" s="9" t="s">
        <v>28</v>
      </c>
    </row>
    <row r="44230" ht="15.75" customHeight="1">
      <c r="A44230" s="7"/>
      <c r="B44230" s="7"/>
      <c r="M44230" s="9" t="s">
        <v>35</v>
      </c>
    </row>
    <row r="44231" ht="15.75" customHeight="1">
      <c r="A44231" s="7"/>
      <c r="B44231" s="7"/>
      <c r="M44231" s="9" t="s">
        <v>24</v>
      </c>
    </row>
    <row r="44232" ht="15.75" customHeight="1">
      <c r="A44232" s="7"/>
      <c r="B44232" s="7"/>
      <c r="M44232" s="9" t="s">
        <v>21</v>
      </c>
    </row>
    <row r="44233" ht="15.75" customHeight="1">
      <c r="A44233" s="7"/>
      <c r="B44233" s="7"/>
      <c r="M44233" s="9" t="s">
        <v>37</v>
      </c>
    </row>
    <row r="44234" ht="15.75" customHeight="1">
      <c r="A44234" s="7"/>
      <c r="B44234" s="7"/>
      <c r="M44234" s="9" t="s">
        <v>25</v>
      </c>
    </row>
    <row r="44235" ht="15.75" customHeight="1">
      <c r="A44235" s="7"/>
      <c r="B44235" s="7"/>
      <c r="M44235" s="9" t="s">
        <v>23</v>
      </c>
    </row>
    <row r="44236" ht="15.75" customHeight="1">
      <c r="A44236" s="7"/>
      <c r="B44236" s="7"/>
      <c r="M44236" s="9" t="s">
        <v>27</v>
      </c>
    </row>
    <row r="44237" ht="15.75" customHeight="1">
      <c r="A44237" s="7"/>
      <c r="B44237" s="7"/>
      <c r="M44237" s="9" t="s">
        <v>28</v>
      </c>
    </row>
    <row r="44238" ht="15.75" customHeight="1">
      <c r="A44238" s="7"/>
      <c r="B44238" s="7"/>
      <c r="M44238" s="9" t="s">
        <v>38</v>
      </c>
    </row>
    <row r="44239" ht="15.75" customHeight="1">
      <c r="A44239" s="7"/>
      <c r="B44239" s="7"/>
      <c r="M44239" s="9" t="s">
        <v>30</v>
      </c>
    </row>
    <row r="44240" ht="15.75" customHeight="1">
      <c r="A44240" s="7"/>
      <c r="B44240" s="7"/>
      <c r="M44240" s="9" t="s">
        <v>35</v>
      </c>
    </row>
    <row r="44241" ht="15.75" customHeight="1">
      <c r="A44241" s="7"/>
      <c r="B44241" s="7"/>
      <c r="M44241" s="9" t="s">
        <v>26</v>
      </c>
    </row>
    <row r="44242" ht="15.75" customHeight="1">
      <c r="A44242" s="7"/>
      <c r="B44242" s="7"/>
      <c r="M44242" s="9" t="s">
        <v>24</v>
      </c>
    </row>
    <row r="44243" ht="15.75" customHeight="1">
      <c r="A44243" s="7"/>
      <c r="B44243" s="7"/>
      <c r="M44243" s="9" t="s">
        <v>21</v>
      </c>
    </row>
    <row r="44244" ht="15.75" customHeight="1">
      <c r="A44244" s="7"/>
      <c r="B44244" s="7"/>
      <c r="M44244" s="9" t="s">
        <v>27</v>
      </c>
    </row>
    <row r="44245" ht="15.75" customHeight="1">
      <c r="A44245" s="7"/>
      <c r="B44245" s="7"/>
      <c r="M44245" s="9" t="s">
        <v>38</v>
      </c>
    </row>
    <row r="44246" ht="15.75" customHeight="1">
      <c r="A44246" s="7"/>
      <c r="B44246" s="7"/>
      <c r="M44246" s="9" t="s">
        <v>30</v>
      </c>
    </row>
    <row r="44247" ht="15.75" customHeight="1">
      <c r="A44247" s="7"/>
      <c r="B44247" s="7"/>
      <c r="M44247" s="9" t="s">
        <v>25</v>
      </c>
    </row>
    <row r="44248" ht="15.75" customHeight="1">
      <c r="A44248" s="7"/>
      <c r="B44248" s="7"/>
      <c r="M44248" s="9" t="s">
        <v>23</v>
      </c>
    </row>
    <row r="44249" ht="15.75" customHeight="1">
      <c r="A44249" s="7"/>
      <c r="B44249" s="7"/>
      <c r="M44249" s="9" t="s">
        <v>26</v>
      </c>
    </row>
    <row r="44250" ht="15.75" customHeight="1">
      <c r="A44250" s="7"/>
      <c r="B44250" s="7"/>
      <c r="M44250" s="9" t="s">
        <v>24</v>
      </c>
    </row>
    <row r="44251" ht="15.75" customHeight="1">
      <c r="A44251" s="7"/>
      <c r="B44251" s="7"/>
      <c r="M44251" s="9" t="s">
        <v>20</v>
      </c>
    </row>
    <row r="44252" ht="15.75" customHeight="1">
      <c r="A44252" s="7"/>
      <c r="B44252" s="7"/>
      <c r="M44252" s="9" t="s">
        <v>21</v>
      </c>
    </row>
    <row r="44253" ht="15.75" customHeight="1">
      <c r="A44253" s="7"/>
      <c r="B44253" s="7"/>
      <c r="M44253" s="9" t="s">
        <v>27</v>
      </c>
    </row>
    <row r="44254" ht="15.75" customHeight="1">
      <c r="A44254" s="7"/>
      <c r="B44254" s="7"/>
      <c r="M44254" s="9" t="s">
        <v>33</v>
      </c>
    </row>
    <row r="44255" ht="15.75" customHeight="1">
      <c r="A44255" s="7"/>
      <c r="B44255" s="7"/>
      <c r="M44255" s="9" t="s">
        <v>22</v>
      </c>
    </row>
    <row r="44256" ht="15.75" customHeight="1">
      <c r="A44256" s="7"/>
      <c r="B44256" s="7"/>
      <c r="M44256" s="9" t="s">
        <v>30</v>
      </c>
    </row>
    <row r="44257" ht="15.75" customHeight="1">
      <c r="A44257" s="7"/>
      <c r="B44257" s="7"/>
      <c r="M44257" s="9" t="s">
        <v>26</v>
      </c>
    </row>
    <row r="44258" ht="15.75" customHeight="1">
      <c r="A44258" s="7"/>
      <c r="B44258" s="7"/>
      <c r="M44258" s="9" t="s">
        <v>27</v>
      </c>
    </row>
    <row r="44259" ht="15.75" customHeight="1">
      <c r="A44259" s="7"/>
      <c r="B44259" s="7"/>
      <c r="M44259" s="9" t="s">
        <v>22</v>
      </c>
    </row>
    <row r="44260" ht="15.75" customHeight="1">
      <c r="A44260" s="7"/>
      <c r="B44260" s="7"/>
      <c r="M44260" s="9" t="s">
        <v>35</v>
      </c>
    </row>
    <row r="44261" ht="15.75" customHeight="1">
      <c r="A44261" s="7"/>
      <c r="B44261" s="7"/>
      <c r="M44261" s="9" t="s">
        <v>20</v>
      </c>
    </row>
    <row r="44262" ht="15.75" customHeight="1">
      <c r="A44262" s="7"/>
      <c r="B44262" s="7"/>
      <c r="M44262" s="9" t="s">
        <v>22</v>
      </c>
    </row>
    <row r="44263" ht="15.75" customHeight="1">
      <c r="A44263" s="7"/>
      <c r="B44263" s="7"/>
      <c r="M44263" s="9" t="s">
        <v>30</v>
      </c>
    </row>
    <row r="44264" ht="15.75" customHeight="1">
      <c r="A44264" s="7"/>
      <c r="B44264" s="7"/>
      <c r="M44264" s="9" t="s">
        <v>20</v>
      </c>
    </row>
    <row r="44265" ht="15.75" customHeight="1">
      <c r="A44265" s="7"/>
      <c r="B44265" s="7"/>
      <c r="M44265" s="9" t="s">
        <v>22</v>
      </c>
    </row>
    <row r="44266" ht="15.75" customHeight="1">
      <c r="A44266" s="7"/>
      <c r="B44266" s="7"/>
      <c r="M44266" s="9" t="s">
        <v>27</v>
      </c>
    </row>
    <row r="44267" ht="15.75" customHeight="1">
      <c r="A44267" s="7"/>
      <c r="B44267" s="7"/>
      <c r="M44267" s="9" t="s">
        <v>38</v>
      </c>
    </row>
    <row r="44268" ht="15.75" customHeight="1">
      <c r="A44268" s="7"/>
      <c r="B44268" s="7"/>
      <c r="M44268" s="9" t="s">
        <v>30</v>
      </c>
    </row>
    <row r="44269" ht="15.75" customHeight="1">
      <c r="A44269" s="7"/>
      <c r="B44269" s="7"/>
      <c r="M44269" s="9" t="s">
        <v>25</v>
      </c>
    </row>
    <row r="44270" ht="15.75" customHeight="1">
      <c r="A44270" s="7"/>
      <c r="B44270" s="7"/>
      <c r="M44270" s="9" t="s">
        <v>23</v>
      </c>
    </row>
    <row r="44271" ht="15.75" customHeight="1">
      <c r="A44271" s="7"/>
      <c r="B44271" s="7"/>
      <c r="M44271" s="9" t="s">
        <v>24</v>
      </c>
    </row>
    <row r="44272" ht="15.75" customHeight="1">
      <c r="A44272" s="7"/>
      <c r="B44272" s="7"/>
      <c r="M44272" s="9" t="s">
        <v>20</v>
      </c>
    </row>
    <row r="44273" ht="15.75" customHeight="1">
      <c r="A44273" s="7"/>
      <c r="B44273" s="7"/>
      <c r="M44273" s="9" t="s">
        <v>21</v>
      </c>
    </row>
    <row r="44274" ht="15.75" customHeight="1">
      <c r="A44274" s="7"/>
      <c r="B44274" s="7"/>
      <c r="M44274" s="9" t="s">
        <v>37</v>
      </c>
    </row>
    <row r="44275" ht="15.75" customHeight="1">
      <c r="A44275" s="7"/>
      <c r="B44275" s="7"/>
      <c r="M44275" s="9" t="s">
        <v>22</v>
      </c>
    </row>
    <row r="44276" ht="15.75" customHeight="1">
      <c r="A44276" s="7"/>
      <c r="B44276" s="7"/>
      <c r="M44276" s="9" t="s">
        <v>46</v>
      </c>
    </row>
    <row r="44277" ht="15.75" customHeight="1">
      <c r="A44277" s="7"/>
      <c r="B44277" s="7"/>
      <c r="M44277" s="9" t="s">
        <v>27</v>
      </c>
    </row>
    <row r="44278" ht="15.75" customHeight="1">
      <c r="A44278" s="7"/>
      <c r="B44278" s="7"/>
      <c r="M44278" s="9" t="s">
        <v>33</v>
      </c>
    </row>
    <row r="44279" ht="15.75" customHeight="1">
      <c r="A44279" s="7"/>
      <c r="B44279" s="7"/>
      <c r="M44279" s="9" t="s">
        <v>35</v>
      </c>
    </row>
    <row r="44280" ht="15.75" customHeight="1">
      <c r="A44280" s="7"/>
      <c r="B44280" s="7"/>
      <c r="M44280" s="9" t="s">
        <v>36</v>
      </c>
    </row>
    <row r="44281" ht="15.75" customHeight="1">
      <c r="A44281" s="7"/>
      <c r="B44281" s="7"/>
      <c r="M44281" s="9" t="s">
        <v>21</v>
      </c>
    </row>
    <row r="44282" ht="15.75" customHeight="1">
      <c r="A44282" s="7"/>
      <c r="B44282" s="7"/>
      <c r="M44282" s="9" t="s">
        <v>22</v>
      </c>
    </row>
    <row r="44283" ht="15.75" customHeight="1">
      <c r="A44283" s="7"/>
      <c r="B44283" s="7"/>
      <c r="M44283" s="9" t="s">
        <v>26</v>
      </c>
    </row>
    <row r="44284" ht="15.75" customHeight="1">
      <c r="A44284" s="7"/>
      <c r="B44284" s="7"/>
      <c r="M44284" s="9" t="s">
        <v>24</v>
      </c>
    </row>
    <row r="44285" ht="15.75" customHeight="1">
      <c r="A44285" s="7"/>
      <c r="B44285" s="7"/>
      <c r="M44285" s="9" t="s">
        <v>21</v>
      </c>
    </row>
    <row r="44286" ht="15.75" customHeight="1">
      <c r="A44286" s="7"/>
      <c r="B44286" s="7"/>
      <c r="M44286" s="9" t="s">
        <v>27</v>
      </c>
    </row>
    <row r="44287" ht="15.75" customHeight="1">
      <c r="A44287" s="7"/>
      <c r="B44287" s="7"/>
      <c r="M44287" s="9" t="s">
        <v>35</v>
      </c>
    </row>
    <row r="44288" ht="15.75" customHeight="1">
      <c r="A44288" s="7"/>
      <c r="B44288" s="7"/>
      <c r="M44288" s="9" t="s">
        <v>38</v>
      </c>
    </row>
    <row r="44289" ht="15.75" customHeight="1">
      <c r="A44289" s="7"/>
      <c r="B44289" s="7"/>
      <c r="M44289" s="9" t="s">
        <v>25</v>
      </c>
    </row>
    <row r="44290" ht="15.75" customHeight="1">
      <c r="A44290" s="7"/>
      <c r="B44290" s="7"/>
      <c r="M44290" s="9" t="s">
        <v>23</v>
      </c>
    </row>
    <row r="44291" ht="15.75" customHeight="1">
      <c r="A44291" s="7"/>
      <c r="B44291" s="7"/>
      <c r="M44291" s="9" t="s">
        <v>26</v>
      </c>
    </row>
    <row r="44292" ht="15.75" customHeight="1">
      <c r="A44292" s="7"/>
      <c r="B44292" s="7"/>
      <c r="M44292" s="9" t="s">
        <v>44</v>
      </c>
    </row>
    <row r="44293" ht="15.75" customHeight="1">
      <c r="A44293" s="7"/>
      <c r="B44293" s="7"/>
      <c r="M44293" s="9" t="s">
        <v>24</v>
      </c>
    </row>
    <row r="44294" ht="15.75" customHeight="1">
      <c r="A44294" s="7"/>
      <c r="B44294" s="7"/>
      <c r="M44294" s="9" t="s">
        <v>20</v>
      </c>
    </row>
    <row r="44295" ht="15.75" customHeight="1">
      <c r="A44295" s="7"/>
      <c r="B44295" s="7"/>
      <c r="M44295" s="9" t="s">
        <v>21</v>
      </c>
    </row>
    <row r="44296" ht="15.75" customHeight="1">
      <c r="A44296" s="7"/>
      <c r="B44296" s="7"/>
      <c r="M44296" s="9" t="s">
        <v>39</v>
      </c>
    </row>
    <row r="44297" ht="15.75" customHeight="1">
      <c r="A44297" s="7"/>
      <c r="B44297" s="7"/>
      <c r="M44297" s="9" t="s">
        <v>22</v>
      </c>
    </row>
    <row r="44298" ht="15.75" customHeight="1">
      <c r="A44298" s="7"/>
      <c r="B44298" s="7"/>
      <c r="M44298" s="9" t="s">
        <v>29</v>
      </c>
    </row>
    <row r="44299" ht="15.75" customHeight="1">
      <c r="A44299" s="7"/>
      <c r="B44299" s="7"/>
      <c r="M44299" s="9" t="s">
        <v>32</v>
      </c>
    </row>
    <row r="44300" ht="15.75" customHeight="1">
      <c r="A44300" s="7"/>
      <c r="B44300" s="7"/>
      <c r="M44300" s="9" t="s">
        <v>46</v>
      </c>
    </row>
    <row r="44301" ht="15.75" customHeight="1">
      <c r="A44301" s="7"/>
      <c r="B44301" s="7"/>
      <c r="M44301" s="9" t="s">
        <v>30</v>
      </c>
    </row>
    <row r="44302" ht="15.75" customHeight="1">
      <c r="A44302" s="7"/>
      <c r="B44302" s="7"/>
      <c r="M44302" s="9" t="s">
        <v>26</v>
      </c>
    </row>
    <row r="44303" ht="15.75" customHeight="1">
      <c r="A44303" s="7"/>
      <c r="B44303" s="7"/>
      <c r="M44303" s="9" t="s">
        <v>24</v>
      </c>
    </row>
    <row r="44304" ht="15.75" customHeight="1">
      <c r="A44304" s="7"/>
      <c r="B44304" s="7"/>
      <c r="M44304" s="9" t="s">
        <v>20</v>
      </c>
    </row>
    <row r="44305" ht="15.75" customHeight="1">
      <c r="A44305" s="7"/>
      <c r="B44305" s="7"/>
      <c r="M44305" s="9" t="s">
        <v>21</v>
      </c>
    </row>
    <row r="44306" ht="15.75" customHeight="1">
      <c r="A44306" s="7"/>
      <c r="B44306" s="7"/>
      <c r="M44306" s="9" t="s">
        <v>39</v>
      </c>
    </row>
    <row r="44307" ht="15.75" customHeight="1">
      <c r="A44307" s="7"/>
      <c r="B44307" s="7"/>
      <c r="M44307" s="9" t="s">
        <v>27</v>
      </c>
    </row>
    <row r="44308" ht="15.75" customHeight="1">
      <c r="A44308" s="7"/>
      <c r="B44308" s="7"/>
      <c r="M44308" s="9" t="s">
        <v>33</v>
      </c>
    </row>
    <row r="44309" ht="15.75" customHeight="1">
      <c r="A44309" s="7"/>
      <c r="B44309" s="7"/>
      <c r="M44309" s="9" t="s">
        <v>24</v>
      </c>
    </row>
    <row r="44310" ht="15.75" customHeight="1">
      <c r="A44310" s="7"/>
      <c r="B44310" s="7"/>
      <c r="M44310" s="9" t="s">
        <v>21</v>
      </c>
    </row>
    <row r="44311" ht="15.75" customHeight="1">
      <c r="A44311" s="7"/>
      <c r="B44311" s="7"/>
      <c r="M44311" s="9" t="s">
        <v>37</v>
      </c>
    </row>
    <row r="44312" ht="15.75" customHeight="1">
      <c r="A44312" s="7"/>
      <c r="B44312" s="7"/>
      <c r="M44312" s="9" t="s">
        <v>28</v>
      </c>
    </row>
    <row r="44313" ht="15.75" customHeight="1">
      <c r="A44313" s="7"/>
      <c r="B44313" s="7"/>
      <c r="M44313" s="9" t="s">
        <v>30</v>
      </c>
    </row>
    <row r="44314" ht="15.75" customHeight="1">
      <c r="A44314" s="7"/>
      <c r="B44314" s="7"/>
      <c r="M44314" s="9" t="s">
        <v>24</v>
      </c>
    </row>
    <row r="44315" ht="15.75" customHeight="1">
      <c r="A44315" s="7"/>
      <c r="B44315" s="7"/>
      <c r="M44315" s="9" t="s">
        <v>20</v>
      </c>
    </row>
    <row r="44316" ht="15.75" customHeight="1">
      <c r="A44316" s="7"/>
      <c r="B44316" s="7"/>
      <c r="M44316" s="9" t="s">
        <v>46</v>
      </c>
    </row>
    <row r="44317" ht="15.75" customHeight="1">
      <c r="A44317" s="7"/>
      <c r="B44317" s="7"/>
      <c r="M44317" s="9" t="s">
        <v>25</v>
      </c>
    </row>
    <row r="44318" ht="15.75" customHeight="1">
      <c r="A44318" s="7"/>
      <c r="B44318" s="7"/>
      <c r="M44318" s="9" t="s">
        <v>23</v>
      </c>
    </row>
    <row r="44319" ht="15.75" customHeight="1">
      <c r="A44319" s="7"/>
      <c r="B44319" s="7"/>
      <c r="M44319" s="9" t="s">
        <v>24</v>
      </c>
    </row>
    <row r="44320" ht="15.75" customHeight="1">
      <c r="A44320" s="7"/>
      <c r="B44320" s="7"/>
      <c r="M44320" s="9" t="s">
        <v>21</v>
      </c>
    </row>
    <row r="44321" ht="15.75" customHeight="1">
      <c r="A44321" s="7"/>
      <c r="B44321" s="7"/>
      <c r="M44321" s="9" t="s">
        <v>22</v>
      </c>
    </row>
    <row r="44322" ht="15.75" customHeight="1">
      <c r="A44322" s="7"/>
      <c r="B44322" s="7"/>
      <c r="M44322" s="9" t="s">
        <v>27</v>
      </c>
    </row>
    <row r="44323" ht="15.75" customHeight="1">
      <c r="A44323" s="7"/>
      <c r="B44323" s="7"/>
      <c r="M44323" s="9" t="s">
        <v>23</v>
      </c>
    </row>
    <row r="44324" ht="15.75" customHeight="1">
      <c r="A44324" s="7"/>
      <c r="B44324" s="7"/>
      <c r="M44324" s="9" t="s">
        <v>26</v>
      </c>
    </row>
    <row r="44325" ht="15.75" customHeight="1">
      <c r="A44325" s="7"/>
      <c r="B44325" s="7"/>
      <c r="M44325" s="9" t="s">
        <v>22</v>
      </c>
    </row>
    <row r="44326" ht="15.75" customHeight="1">
      <c r="A44326" s="7"/>
      <c r="B44326" s="7"/>
      <c r="M44326" s="9" t="s">
        <v>23</v>
      </c>
    </row>
    <row r="44327" ht="15.75" customHeight="1">
      <c r="A44327" s="7"/>
      <c r="B44327" s="7"/>
      <c r="M44327" s="9" t="s">
        <v>26</v>
      </c>
    </row>
    <row r="44328" ht="15.75" customHeight="1">
      <c r="A44328" s="7"/>
      <c r="B44328" s="7"/>
      <c r="M44328" s="9" t="s">
        <v>20</v>
      </c>
    </row>
    <row r="44329" ht="15.75" customHeight="1">
      <c r="A44329" s="7"/>
      <c r="B44329" s="7"/>
      <c r="M44329" s="9" t="s">
        <v>22</v>
      </c>
    </row>
    <row r="44330" ht="15.75" customHeight="1">
      <c r="A44330" s="7"/>
      <c r="B44330" s="7"/>
      <c r="M44330" s="9" t="s">
        <v>31</v>
      </c>
    </row>
    <row r="44331" ht="15.75" customHeight="1">
      <c r="A44331" s="7"/>
      <c r="B44331" s="7"/>
      <c r="M44331" s="9" t="s">
        <v>46</v>
      </c>
    </row>
    <row r="44332" ht="15.75" customHeight="1">
      <c r="A44332" s="7"/>
      <c r="B44332" s="7"/>
      <c r="M44332" s="9" t="s">
        <v>22</v>
      </c>
    </row>
    <row r="44333" ht="15.75" customHeight="1">
      <c r="A44333" s="7"/>
      <c r="B44333" s="7"/>
      <c r="M44333" s="9" t="s">
        <v>27</v>
      </c>
    </row>
    <row r="44334" ht="15.75" customHeight="1">
      <c r="A44334" s="7"/>
      <c r="B44334" s="7"/>
      <c r="M44334" s="9" t="s">
        <v>26</v>
      </c>
    </row>
    <row r="44335" ht="15.75" customHeight="1">
      <c r="A44335" s="7"/>
      <c r="B44335" s="7"/>
      <c r="M44335" s="9" t="s">
        <v>22</v>
      </c>
    </row>
    <row r="44336" ht="15.75" customHeight="1">
      <c r="A44336" s="7"/>
      <c r="B44336" s="7"/>
      <c r="M44336" s="9" t="s">
        <v>27</v>
      </c>
    </row>
    <row r="44337" ht="15.75" customHeight="1">
      <c r="A44337" s="7"/>
      <c r="B44337" s="7"/>
      <c r="M44337" s="9" t="s">
        <v>30</v>
      </c>
    </row>
    <row r="44338" ht="15.75" customHeight="1">
      <c r="A44338" s="7"/>
      <c r="B44338" s="7"/>
      <c r="M44338" s="9" t="s">
        <v>24</v>
      </c>
    </row>
    <row r="44339" ht="15.75" customHeight="1">
      <c r="A44339" s="7"/>
      <c r="B44339" s="7"/>
      <c r="M44339" s="9" t="s">
        <v>20</v>
      </c>
    </row>
    <row r="44340" ht="15.75" customHeight="1">
      <c r="A44340" s="7"/>
      <c r="B44340" s="7"/>
      <c r="M44340" s="9" t="s">
        <v>21</v>
      </c>
    </row>
    <row r="44341" ht="15.75" customHeight="1">
      <c r="A44341" s="7"/>
      <c r="B44341" s="7"/>
      <c r="M44341" s="9" t="s">
        <v>22</v>
      </c>
    </row>
    <row r="44342" ht="15.75" customHeight="1">
      <c r="A44342" s="7"/>
      <c r="B44342" s="7"/>
      <c r="M44342" s="9" t="s">
        <v>32</v>
      </c>
    </row>
    <row r="44343" ht="15.75" customHeight="1">
      <c r="A44343" s="7"/>
      <c r="B44343" s="7"/>
      <c r="M44343" s="9" t="s">
        <v>27</v>
      </c>
    </row>
    <row r="44344" ht="15.75" customHeight="1">
      <c r="A44344" s="7"/>
      <c r="B44344" s="7"/>
      <c r="M44344" s="9" t="s">
        <v>33</v>
      </c>
    </row>
    <row r="44345" ht="15.75" customHeight="1">
      <c r="A44345" s="7"/>
      <c r="B44345" s="7"/>
      <c r="M44345" s="9" t="s">
        <v>25</v>
      </c>
    </row>
    <row r="44346" ht="15.75" customHeight="1">
      <c r="A44346" s="7"/>
      <c r="B44346" s="7"/>
      <c r="M44346" s="9" t="s">
        <v>23</v>
      </c>
    </row>
    <row r="44347" ht="15.75" customHeight="1">
      <c r="A44347" s="7"/>
      <c r="B44347" s="7"/>
      <c r="M44347" s="9" t="s">
        <v>26</v>
      </c>
    </row>
    <row r="44348" ht="15.75" customHeight="1">
      <c r="A44348" s="7"/>
      <c r="B44348" s="7"/>
      <c r="M44348" s="9" t="s">
        <v>24</v>
      </c>
    </row>
    <row r="44349" ht="15.75" customHeight="1">
      <c r="A44349" s="7"/>
      <c r="B44349" s="7"/>
      <c r="M44349" s="9" t="s">
        <v>21</v>
      </c>
    </row>
    <row r="44350" ht="15.75" customHeight="1">
      <c r="A44350" s="7"/>
      <c r="B44350" s="7"/>
      <c r="M44350" s="9" t="s">
        <v>22</v>
      </c>
    </row>
    <row r="44351" ht="15.75" customHeight="1">
      <c r="A44351" s="7"/>
      <c r="B44351" s="7"/>
      <c r="M44351" s="9" t="s">
        <v>31</v>
      </c>
    </row>
    <row r="44352" ht="15.75" customHeight="1">
      <c r="A44352" s="7"/>
      <c r="B44352" s="7"/>
      <c r="M44352" s="9" t="s">
        <v>27</v>
      </c>
    </row>
    <row r="44353" ht="15.75" customHeight="1">
      <c r="A44353" s="7"/>
      <c r="B44353" s="7"/>
      <c r="M44353" s="9" t="s">
        <v>23</v>
      </c>
    </row>
    <row r="44354" ht="15.75" customHeight="1">
      <c r="A44354" s="7"/>
      <c r="B44354" s="7"/>
      <c r="M44354" s="9" t="s">
        <v>22</v>
      </c>
    </row>
    <row r="44355" ht="15.75" customHeight="1">
      <c r="A44355" s="7"/>
      <c r="B44355" s="7"/>
      <c r="M44355" s="9" t="s">
        <v>27</v>
      </c>
    </row>
    <row r="44356" ht="15.75" customHeight="1">
      <c r="A44356" s="7"/>
      <c r="B44356" s="7"/>
      <c r="M44356" s="9" t="s">
        <v>30</v>
      </c>
    </row>
    <row r="44357" ht="15.75" customHeight="1">
      <c r="A44357" s="7"/>
      <c r="B44357" s="7"/>
      <c r="M44357" s="9" t="s">
        <v>26</v>
      </c>
    </row>
    <row r="44358" ht="15.75" customHeight="1">
      <c r="A44358" s="7"/>
      <c r="B44358" s="7"/>
      <c r="M44358" s="9" t="s">
        <v>24</v>
      </c>
    </row>
    <row r="44359" ht="15.75" customHeight="1">
      <c r="A44359" s="7"/>
      <c r="B44359" s="7"/>
      <c r="M44359" s="9" t="s">
        <v>21</v>
      </c>
    </row>
    <row r="44360" ht="15.75" customHeight="1">
      <c r="A44360" s="7"/>
      <c r="B44360" s="7"/>
      <c r="M44360" s="9" t="s">
        <v>22</v>
      </c>
    </row>
    <row r="44361" ht="15.75" customHeight="1">
      <c r="A44361" s="7"/>
      <c r="B44361" s="7"/>
      <c r="M44361" s="9" t="s">
        <v>27</v>
      </c>
    </row>
    <row r="44362" ht="15.75" customHeight="1">
      <c r="A44362" s="7"/>
      <c r="B44362" s="7"/>
      <c r="M44362" s="9" t="s">
        <v>33</v>
      </c>
    </row>
    <row r="44363" ht="15.75" customHeight="1">
      <c r="A44363" s="7"/>
      <c r="B44363" s="7"/>
      <c r="M44363" s="9" t="s">
        <v>22</v>
      </c>
    </row>
    <row r="44364" ht="15.75" customHeight="1">
      <c r="A44364" s="7"/>
      <c r="B44364" s="7"/>
      <c r="M44364" s="9" t="s">
        <v>25</v>
      </c>
    </row>
    <row r="44365" ht="15.75" customHeight="1">
      <c r="A44365" s="7"/>
      <c r="B44365" s="7"/>
      <c r="M44365" s="9" t="s">
        <v>23</v>
      </c>
    </row>
    <row r="44366" ht="15.75" customHeight="1">
      <c r="A44366" s="7"/>
      <c r="B44366" s="7"/>
      <c r="M44366" s="9" t="s">
        <v>36</v>
      </c>
    </row>
    <row r="44367" ht="15.75" customHeight="1">
      <c r="A44367" s="7"/>
      <c r="B44367" s="7"/>
      <c r="M44367" s="9" t="s">
        <v>21</v>
      </c>
    </row>
    <row r="44368" ht="15.75" customHeight="1">
      <c r="A44368" s="7"/>
      <c r="B44368" s="7"/>
      <c r="M44368" s="9" t="s">
        <v>22</v>
      </c>
    </row>
    <row r="44369" ht="15.75" customHeight="1">
      <c r="A44369" s="7"/>
      <c r="B44369" s="7"/>
      <c r="M44369" s="9" t="s">
        <v>32</v>
      </c>
    </row>
    <row r="44370" ht="15.75" customHeight="1">
      <c r="A44370" s="7"/>
      <c r="B44370" s="7"/>
      <c r="M44370" s="9" t="s">
        <v>27</v>
      </c>
    </row>
    <row r="44371" ht="15.75" customHeight="1">
      <c r="A44371" s="7"/>
      <c r="B44371" s="7"/>
      <c r="M44371" s="9" t="s">
        <v>33</v>
      </c>
    </row>
    <row r="44372" ht="15.75" customHeight="1">
      <c r="A44372" s="7"/>
      <c r="B44372" s="7"/>
      <c r="M44372" s="9" t="s">
        <v>24</v>
      </c>
    </row>
    <row r="44373" ht="15.75" customHeight="1">
      <c r="A44373" s="7"/>
      <c r="B44373" s="7"/>
      <c r="M44373" s="9" t="s">
        <v>21</v>
      </c>
    </row>
    <row r="44374" ht="15.75" customHeight="1">
      <c r="A44374" s="7"/>
      <c r="B44374" s="7"/>
      <c r="M44374" s="9" t="s">
        <v>29</v>
      </c>
    </row>
    <row r="44375" ht="15.75" customHeight="1">
      <c r="A44375" s="7"/>
      <c r="B44375" s="7"/>
      <c r="M44375" s="9" t="s">
        <v>25</v>
      </c>
    </row>
    <row r="44376" ht="15.75" customHeight="1">
      <c r="A44376" s="7"/>
      <c r="B44376" s="7"/>
      <c r="M44376" s="9" t="s">
        <v>30</v>
      </c>
    </row>
    <row r="44377" ht="15.75" customHeight="1">
      <c r="A44377" s="7"/>
      <c r="B44377" s="7"/>
      <c r="M44377" s="9" t="s">
        <v>26</v>
      </c>
    </row>
    <row r="44378" ht="15.75" customHeight="1">
      <c r="A44378" s="7"/>
      <c r="B44378" s="7"/>
      <c r="M44378" s="9" t="s">
        <v>27</v>
      </c>
    </row>
    <row r="44379" ht="15.75" customHeight="1">
      <c r="A44379" s="7"/>
      <c r="B44379" s="7"/>
      <c r="M44379" s="9" t="s">
        <v>38</v>
      </c>
    </row>
    <row r="44380" ht="15.75" customHeight="1">
      <c r="A44380" s="7"/>
      <c r="B44380" s="7"/>
      <c r="M44380" s="9" t="s">
        <v>24</v>
      </c>
    </row>
    <row r="44381" ht="15.75" customHeight="1">
      <c r="A44381" s="7"/>
      <c r="B44381" s="7"/>
      <c r="M44381" s="9" t="s">
        <v>20</v>
      </c>
    </row>
    <row r="44382" ht="15.75" customHeight="1">
      <c r="A44382" s="7"/>
      <c r="B44382" s="7"/>
      <c r="M44382" s="9" t="s">
        <v>21</v>
      </c>
    </row>
    <row r="44383" ht="15.75" customHeight="1">
      <c r="A44383" s="7"/>
      <c r="B44383" s="7"/>
      <c r="M44383" s="9" t="s">
        <v>33</v>
      </c>
    </row>
    <row r="44384" ht="15.75" customHeight="1">
      <c r="A44384" s="7"/>
      <c r="B44384" s="7"/>
      <c r="M44384" s="9" t="s">
        <v>26</v>
      </c>
    </row>
    <row r="44385" ht="15.75" customHeight="1">
      <c r="A44385" s="7"/>
      <c r="B44385" s="7"/>
      <c r="M44385" s="9" t="s">
        <v>24</v>
      </c>
    </row>
    <row r="44386" ht="15.75" customHeight="1">
      <c r="A44386" s="7"/>
      <c r="B44386" s="7"/>
      <c r="M44386" s="9" t="s">
        <v>27</v>
      </c>
    </row>
    <row r="44387" ht="15.75" customHeight="1">
      <c r="A44387" s="7"/>
      <c r="B44387" s="7"/>
      <c r="M44387" s="9" t="s">
        <v>30</v>
      </c>
    </row>
    <row r="44388" ht="15.75" customHeight="1">
      <c r="A44388" s="7"/>
      <c r="B44388" s="7"/>
      <c r="M44388" s="9" t="s">
        <v>25</v>
      </c>
    </row>
    <row r="44389" ht="15.75" customHeight="1">
      <c r="A44389" s="7"/>
      <c r="B44389" s="7"/>
      <c r="M44389" s="9" t="s">
        <v>24</v>
      </c>
    </row>
    <row r="44390" ht="15.75" customHeight="1">
      <c r="A44390" s="7"/>
      <c r="B44390" s="7"/>
      <c r="M44390" s="9" t="s">
        <v>20</v>
      </c>
    </row>
    <row r="44391" ht="15.75" customHeight="1">
      <c r="A44391" s="7"/>
      <c r="B44391" s="7"/>
      <c r="M44391" s="9" t="s">
        <v>21</v>
      </c>
    </row>
    <row r="44392" ht="15.75" customHeight="1">
      <c r="A44392" s="7"/>
      <c r="B44392" s="7"/>
      <c r="M44392" s="9" t="s">
        <v>37</v>
      </c>
    </row>
    <row r="44393" ht="15.75" customHeight="1">
      <c r="A44393" s="7"/>
      <c r="B44393" s="7"/>
      <c r="M44393" s="9" t="s">
        <v>27</v>
      </c>
    </row>
    <row r="44394" ht="15.75" customHeight="1">
      <c r="A44394" s="7"/>
      <c r="B44394" s="7"/>
      <c r="M44394" s="9" t="s">
        <v>25</v>
      </c>
    </row>
    <row r="44395" ht="15.75" customHeight="1">
      <c r="A44395" s="7"/>
      <c r="B44395" s="7"/>
      <c r="M44395" s="9" t="s">
        <v>23</v>
      </c>
    </row>
    <row r="44396" ht="15.75" customHeight="1">
      <c r="A44396" s="7"/>
      <c r="B44396" s="7"/>
      <c r="M44396" s="9" t="s">
        <v>20</v>
      </c>
    </row>
    <row r="44397" ht="15.75" customHeight="1">
      <c r="A44397" s="7"/>
      <c r="B44397" s="7"/>
      <c r="M44397" s="9" t="s">
        <v>22</v>
      </c>
    </row>
    <row r="44398" ht="15.75" customHeight="1">
      <c r="A44398" s="7"/>
      <c r="B44398" s="7"/>
      <c r="M44398" s="9" t="s">
        <v>30</v>
      </c>
    </row>
    <row r="44399" ht="15.75" customHeight="1">
      <c r="A44399" s="7"/>
      <c r="B44399" s="7"/>
      <c r="M44399" s="9" t="s">
        <v>26</v>
      </c>
    </row>
    <row r="44400" ht="15.75" customHeight="1">
      <c r="A44400" s="7"/>
      <c r="B44400" s="7"/>
      <c r="M44400" s="9" t="s">
        <v>47</v>
      </c>
    </row>
    <row r="44401" ht="15.75" customHeight="1">
      <c r="A44401" s="7"/>
      <c r="B44401" s="7"/>
      <c r="M44401" s="9" t="s">
        <v>24</v>
      </c>
    </row>
    <row r="44402" ht="15.75" customHeight="1">
      <c r="A44402" s="7"/>
      <c r="B44402" s="7"/>
      <c r="M44402" s="9" t="s">
        <v>21</v>
      </c>
    </row>
    <row r="44403" ht="15.75" customHeight="1">
      <c r="A44403" s="7"/>
      <c r="B44403" s="7"/>
      <c r="M44403" s="9" t="s">
        <v>27</v>
      </c>
    </row>
    <row r="44404" ht="15.75" customHeight="1">
      <c r="A44404" s="7"/>
      <c r="B44404" s="7"/>
      <c r="M44404" s="9" t="s">
        <v>35</v>
      </c>
    </row>
    <row r="44405" ht="15.75" customHeight="1">
      <c r="A44405" s="7"/>
      <c r="B44405" s="7"/>
      <c r="M44405" s="9" t="s">
        <v>30</v>
      </c>
    </row>
    <row r="44406" ht="15.75" customHeight="1">
      <c r="A44406" s="7"/>
      <c r="B44406" s="7"/>
      <c r="M44406" s="9" t="s">
        <v>20</v>
      </c>
    </row>
    <row r="44407" ht="15.75" customHeight="1">
      <c r="A44407" s="7"/>
      <c r="B44407" s="7"/>
      <c r="M44407" s="9" t="s">
        <v>22</v>
      </c>
    </row>
    <row r="44408" ht="15.75" customHeight="1">
      <c r="A44408" s="7"/>
      <c r="B44408" s="7"/>
      <c r="M44408" s="9" t="s">
        <v>30</v>
      </c>
    </row>
    <row r="44409" ht="15.75" customHeight="1">
      <c r="A44409" s="7"/>
      <c r="B44409" s="7"/>
      <c r="M44409" s="9" t="s">
        <v>24</v>
      </c>
    </row>
    <row r="44410" ht="15.75" customHeight="1">
      <c r="A44410" s="7"/>
      <c r="B44410" s="7"/>
      <c r="M44410" s="9" t="s">
        <v>20</v>
      </c>
    </row>
    <row r="44411" ht="15.75" customHeight="1">
      <c r="A44411" s="7"/>
      <c r="B44411" s="7"/>
      <c r="M44411" s="9" t="s">
        <v>21</v>
      </c>
    </row>
    <row r="44412" ht="15.75" customHeight="1">
      <c r="A44412" s="7"/>
      <c r="B44412" s="7"/>
      <c r="M44412" s="9" t="s">
        <v>29</v>
      </c>
    </row>
    <row r="44413" ht="15.75" customHeight="1">
      <c r="A44413" s="7"/>
      <c r="B44413" s="7"/>
      <c r="M44413" s="9" t="s">
        <v>27</v>
      </c>
    </row>
    <row r="44414" ht="15.75" customHeight="1">
      <c r="A44414" s="7"/>
      <c r="B44414" s="7"/>
      <c r="M44414" s="9" t="s">
        <v>28</v>
      </c>
    </row>
    <row r="44415" ht="15.75" customHeight="1">
      <c r="A44415" s="7"/>
      <c r="B44415" s="7"/>
      <c r="M44415" s="9" t="s">
        <v>30</v>
      </c>
    </row>
    <row r="44416" ht="15.75" customHeight="1">
      <c r="A44416" s="7"/>
      <c r="B44416" s="7"/>
      <c r="M44416" s="9" t="s">
        <v>24</v>
      </c>
    </row>
    <row r="44417" ht="15.75" customHeight="1">
      <c r="A44417" s="7"/>
      <c r="B44417" s="7"/>
      <c r="M44417" s="9" t="s">
        <v>21</v>
      </c>
    </row>
    <row r="44418" ht="15.75" customHeight="1">
      <c r="A44418" s="7"/>
      <c r="B44418" s="7"/>
      <c r="M44418" s="9" t="s">
        <v>22</v>
      </c>
    </row>
    <row r="44419" ht="15.75" customHeight="1">
      <c r="A44419" s="7"/>
      <c r="B44419" s="7"/>
      <c r="M44419" s="9" t="s">
        <v>29</v>
      </c>
    </row>
    <row r="44420" ht="15.75" customHeight="1">
      <c r="A44420" s="7"/>
      <c r="B44420" s="7"/>
      <c r="M44420" s="9" t="s">
        <v>27</v>
      </c>
    </row>
    <row r="44421" ht="15.75" customHeight="1">
      <c r="A44421" s="7"/>
      <c r="B44421" s="7"/>
      <c r="M44421" s="9" t="s">
        <v>33</v>
      </c>
    </row>
    <row r="44422" ht="15.75" customHeight="1">
      <c r="A44422" s="7"/>
      <c r="B44422" s="7"/>
      <c r="M44422" s="9" t="s">
        <v>38</v>
      </c>
    </row>
    <row r="44423" ht="15.75" customHeight="1">
      <c r="A44423" s="7"/>
      <c r="B44423" s="7"/>
      <c r="M44423" s="9" t="s">
        <v>30</v>
      </c>
    </row>
    <row r="44424" ht="15.75" customHeight="1">
      <c r="A44424" s="7"/>
      <c r="B44424" s="7"/>
      <c r="M44424" s="9" t="s">
        <v>25</v>
      </c>
    </row>
    <row r="44425" ht="15.75" customHeight="1">
      <c r="A44425" s="7"/>
      <c r="B44425" s="7"/>
      <c r="M44425" s="9" t="s">
        <v>24</v>
      </c>
    </row>
    <row r="44426" ht="15.75" customHeight="1">
      <c r="A44426" s="7"/>
      <c r="B44426" s="7"/>
      <c r="M44426" s="9" t="s">
        <v>20</v>
      </c>
    </row>
    <row r="44427" ht="15.75" customHeight="1">
      <c r="A44427" s="7"/>
      <c r="B44427" s="7"/>
      <c r="M44427" s="9" t="s">
        <v>22</v>
      </c>
    </row>
    <row r="44428" ht="15.75" customHeight="1">
      <c r="A44428" s="7"/>
      <c r="B44428" s="7"/>
      <c r="M44428" s="9" t="s">
        <v>30</v>
      </c>
    </row>
    <row r="44429" ht="15.75" customHeight="1">
      <c r="A44429" s="7"/>
      <c r="B44429" s="7"/>
      <c r="M44429" s="9" t="s">
        <v>21</v>
      </c>
    </row>
    <row r="44430" ht="15.75" customHeight="1">
      <c r="A44430" s="7"/>
      <c r="B44430" s="7"/>
      <c r="M44430" s="9" t="s">
        <v>22</v>
      </c>
    </row>
    <row r="44431" ht="15.75" customHeight="1">
      <c r="A44431" s="7"/>
      <c r="B44431" s="7"/>
      <c r="M44431" s="9" t="s">
        <v>33</v>
      </c>
    </row>
    <row r="44432" ht="15.75" customHeight="1">
      <c r="A44432" s="7"/>
      <c r="B44432" s="7"/>
      <c r="M44432" s="9" t="s">
        <v>26</v>
      </c>
    </row>
    <row r="44433" ht="15.75" customHeight="1">
      <c r="A44433" s="7"/>
      <c r="B44433" s="7"/>
      <c r="M44433" s="9" t="s">
        <v>27</v>
      </c>
    </row>
    <row r="44434" ht="15.75" customHeight="1">
      <c r="A44434" s="7"/>
      <c r="B44434" s="7"/>
      <c r="M44434" s="9" t="s">
        <v>26</v>
      </c>
    </row>
    <row r="44435" ht="15.75" customHeight="1">
      <c r="A44435" s="7"/>
      <c r="B44435" s="7"/>
      <c r="M44435" s="9" t="s">
        <v>45</v>
      </c>
    </row>
    <row r="44436" ht="15.75" customHeight="1">
      <c r="A44436" s="7"/>
      <c r="B44436" s="7"/>
      <c r="M44436" s="9" t="s">
        <v>24</v>
      </c>
    </row>
    <row r="44437" ht="15.75" customHeight="1">
      <c r="A44437" s="7"/>
      <c r="B44437" s="7"/>
      <c r="M44437" s="9" t="s">
        <v>21</v>
      </c>
    </row>
    <row r="44438" ht="15.75" customHeight="1">
      <c r="A44438" s="7"/>
      <c r="B44438" s="7"/>
      <c r="M44438" s="9" t="s">
        <v>27</v>
      </c>
    </row>
    <row r="44439" ht="15.75" customHeight="1">
      <c r="A44439" s="7"/>
      <c r="B44439" s="7"/>
      <c r="M44439" s="9" t="s">
        <v>33</v>
      </c>
    </row>
    <row r="44440" ht="15.75" customHeight="1">
      <c r="A44440" s="7"/>
      <c r="B44440" s="7"/>
      <c r="M44440" s="9" t="s">
        <v>26</v>
      </c>
    </row>
    <row r="44441" ht="15.75" customHeight="1">
      <c r="A44441" s="7"/>
      <c r="B44441" s="7"/>
      <c r="M44441" s="9" t="s">
        <v>24</v>
      </c>
    </row>
    <row r="44442" ht="15.75" customHeight="1">
      <c r="A44442" s="7"/>
      <c r="B44442" s="7"/>
      <c r="M44442" s="9" t="s">
        <v>21</v>
      </c>
    </row>
    <row r="44443" ht="15.75" customHeight="1">
      <c r="A44443" s="7"/>
      <c r="B44443" s="7"/>
      <c r="M44443" s="9" t="s">
        <v>41</v>
      </c>
    </row>
    <row r="44444" ht="15.75" customHeight="1">
      <c r="A44444" s="7"/>
      <c r="B44444" s="7"/>
      <c r="M44444" s="9" t="s">
        <v>33</v>
      </c>
    </row>
    <row r="44445" ht="15.75" customHeight="1">
      <c r="A44445" s="7"/>
      <c r="B44445" s="7"/>
      <c r="M44445" s="9" t="s">
        <v>20</v>
      </c>
    </row>
    <row r="44446" ht="15.75" customHeight="1">
      <c r="A44446" s="7"/>
      <c r="B44446" s="7"/>
      <c r="M44446" s="9" t="s">
        <v>44</v>
      </c>
    </row>
    <row r="44447" ht="15.75" customHeight="1">
      <c r="A44447" s="7"/>
      <c r="B44447" s="7"/>
      <c r="M44447" s="9" t="s">
        <v>24</v>
      </c>
    </row>
    <row r="44448" ht="15.75" customHeight="1">
      <c r="A44448" s="7"/>
      <c r="B44448" s="7"/>
      <c r="M44448" s="9" t="s">
        <v>20</v>
      </c>
    </row>
    <row r="44449" ht="15.75" customHeight="1">
      <c r="A44449" s="7"/>
      <c r="B44449" s="7"/>
      <c r="M44449" s="9" t="s">
        <v>21</v>
      </c>
    </row>
    <row r="44450" ht="15.75" customHeight="1">
      <c r="A44450" s="7"/>
      <c r="B44450" s="7"/>
      <c r="M44450" s="9" t="s">
        <v>33</v>
      </c>
    </row>
    <row r="44451" ht="15.75" customHeight="1">
      <c r="A44451" s="7"/>
      <c r="B44451" s="7"/>
      <c r="M44451" s="9" t="s">
        <v>26</v>
      </c>
    </row>
    <row r="44452" ht="15.75" customHeight="1">
      <c r="A44452" s="7"/>
      <c r="B44452" s="7"/>
      <c r="M44452" s="9" t="s">
        <v>26</v>
      </c>
    </row>
    <row r="44453" ht="15.75" customHeight="1">
      <c r="A44453" s="7"/>
      <c r="B44453" s="7"/>
      <c r="M44453" s="9" t="s">
        <v>21</v>
      </c>
    </row>
    <row r="44454" ht="15.75" customHeight="1">
      <c r="A44454" s="7"/>
      <c r="B44454" s="7"/>
      <c r="M44454" s="9" t="s">
        <v>27</v>
      </c>
    </row>
    <row r="44455" ht="15.75" customHeight="1">
      <c r="A44455" s="7"/>
      <c r="B44455" s="7"/>
      <c r="M44455" s="9" t="s">
        <v>35</v>
      </c>
    </row>
    <row r="44456" ht="15.75" customHeight="1">
      <c r="A44456" s="7"/>
      <c r="B44456" s="7"/>
      <c r="M44456" s="9" t="s">
        <v>24</v>
      </c>
    </row>
    <row r="44457" ht="15.75" customHeight="1">
      <c r="A44457" s="7"/>
      <c r="B44457" s="7"/>
      <c r="M44457" s="9" t="s">
        <v>20</v>
      </c>
    </row>
    <row r="44458" ht="15.75" customHeight="1">
      <c r="A44458" s="7"/>
      <c r="B44458" s="7"/>
      <c r="M44458" s="9" t="s">
        <v>21</v>
      </c>
    </row>
    <row r="44459" ht="15.75" customHeight="1">
      <c r="A44459" s="7"/>
      <c r="B44459" s="7"/>
      <c r="M44459" s="9" t="s">
        <v>37</v>
      </c>
    </row>
    <row r="44460" ht="15.75" customHeight="1">
      <c r="A44460" s="7"/>
      <c r="B44460" s="7"/>
      <c r="M44460" s="9" t="s">
        <v>32</v>
      </c>
    </row>
    <row r="44461" ht="15.75" customHeight="1">
      <c r="A44461" s="7"/>
      <c r="B44461" s="7"/>
      <c r="M44461" s="9" t="s">
        <v>27</v>
      </c>
    </row>
    <row r="44462" ht="15.75" customHeight="1">
      <c r="A44462" s="7"/>
      <c r="B44462" s="7"/>
      <c r="M44462" s="9" t="s">
        <v>25</v>
      </c>
    </row>
    <row r="44463" ht="15.75" customHeight="1">
      <c r="A44463" s="7"/>
      <c r="B44463" s="7"/>
      <c r="M44463" s="9" t="s">
        <v>22</v>
      </c>
    </row>
    <row r="44464" ht="15.75" customHeight="1">
      <c r="A44464" s="7"/>
      <c r="B44464" s="7"/>
      <c r="M44464" s="9" t="s">
        <v>30</v>
      </c>
    </row>
    <row r="44465" ht="15.75" customHeight="1">
      <c r="A44465" s="7"/>
      <c r="B44465" s="7"/>
      <c r="M44465" s="9" t="s">
        <v>25</v>
      </c>
    </row>
    <row r="44466" ht="15.75" customHeight="1">
      <c r="A44466" s="7"/>
      <c r="B44466" s="7"/>
      <c r="M44466" s="9" t="s">
        <v>23</v>
      </c>
    </row>
    <row r="44467" ht="15.75" customHeight="1">
      <c r="A44467" s="7"/>
      <c r="B44467" s="7"/>
      <c r="M44467" s="9" t="s">
        <v>26</v>
      </c>
    </row>
    <row r="44468" ht="15.75" customHeight="1">
      <c r="A44468" s="7"/>
      <c r="B44468" s="7"/>
      <c r="M44468" s="9" t="s">
        <v>24</v>
      </c>
    </row>
    <row r="44469" ht="15.75" customHeight="1">
      <c r="A44469" s="7"/>
      <c r="B44469" s="7"/>
      <c r="M44469" s="9" t="s">
        <v>20</v>
      </c>
    </row>
    <row r="44470" ht="15.75" customHeight="1">
      <c r="A44470" s="7"/>
      <c r="B44470" s="7"/>
      <c r="M44470" s="9" t="s">
        <v>21</v>
      </c>
    </row>
    <row r="44471" ht="15.75" customHeight="1">
      <c r="A44471" s="7"/>
      <c r="B44471" s="7"/>
      <c r="M44471" s="9" t="s">
        <v>37</v>
      </c>
    </row>
    <row r="44472" ht="15.75" customHeight="1">
      <c r="A44472" s="7"/>
      <c r="B44472" s="7"/>
      <c r="M44472" s="9" t="s">
        <v>22</v>
      </c>
    </row>
    <row r="44473" ht="15.75" customHeight="1">
      <c r="A44473" s="7"/>
      <c r="B44473" s="7"/>
      <c r="M44473" s="9" t="s">
        <v>38</v>
      </c>
    </row>
    <row r="44474" ht="15.75" customHeight="1">
      <c r="A44474" s="7"/>
      <c r="B44474" s="7"/>
      <c r="M44474" s="9" t="s">
        <v>30</v>
      </c>
    </row>
    <row r="44475" ht="15.75" customHeight="1">
      <c r="A44475" s="7"/>
      <c r="B44475" s="7"/>
      <c r="M44475" s="9" t="s">
        <v>23</v>
      </c>
    </row>
    <row r="44476" ht="15.75" customHeight="1">
      <c r="A44476" s="7"/>
      <c r="B44476" s="7"/>
      <c r="M44476" s="9" t="s">
        <v>26</v>
      </c>
    </row>
    <row r="44477" ht="15.75" customHeight="1">
      <c r="A44477" s="7"/>
      <c r="B44477" s="7"/>
      <c r="M44477" s="9" t="s">
        <v>44</v>
      </c>
    </row>
    <row r="44478" ht="15.75" customHeight="1">
      <c r="A44478" s="7"/>
      <c r="B44478" s="7"/>
      <c r="M44478" s="9" t="s">
        <v>36</v>
      </c>
    </row>
    <row r="44479" ht="15.75" customHeight="1">
      <c r="A44479" s="7"/>
      <c r="B44479" s="7"/>
      <c r="M44479" s="9" t="s">
        <v>22</v>
      </c>
    </row>
    <row r="44480" ht="15.75" customHeight="1">
      <c r="A44480" s="7"/>
      <c r="B44480" s="7"/>
      <c r="M44480" s="9" t="s">
        <v>30</v>
      </c>
    </row>
    <row r="44481" ht="15.75" customHeight="1">
      <c r="A44481" s="7"/>
      <c r="B44481" s="7"/>
      <c r="M44481" s="9" t="s">
        <v>24</v>
      </c>
    </row>
    <row r="44482" ht="15.75" customHeight="1">
      <c r="A44482" s="7"/>
      <c r="B44482" s="7"/>
      <c r="M44482" s="9" t="s">
        <v>20</v>
      </c>
    </row>
    <row r="44483" ht="15.75" customHeight="1">
      <c r="A44483" s="7"/>
      <c r="B44483" s="7"/>
      <c r="M44483" s="9" t="s">
        <v>21</v>
      </c>
    </row>
    <row r="44484" ht="15.75" customHeight="1">
      <c r="A44484" s="7"/>
      <c r="B44484" s="7"/>
      <c r="M44484" s="9" t="s">
        <v>37</v>
      </c>
    </row>
    <row r="44485" ht="15.75" customHeight="1">
      <c r="A44485" s="7"/>
      <c r="B44485" s="7"/>
      <c r="M44485" s="9" t="s">
        <v>27</v>
      </c>
    </row>
    <row r="44486" ht="15.75" customHeight="1">
      <c r="A44486" s="7"/>
      <c r="B44486" s="7"/>
      <c r="M44486" s="9" t="s">
        <v>30</v>
      </c>
    </row>
    <row r="44487" ht="15.75" customHeight="1">
      <c r="A44487" s="7"/>
      <c r="B44487" s="7"/>
      <c r="M44487" s="9" t="s">
        <v>24</v>
      </c>
    </row>
    <row r="44488" ht="15.75" customHeight="1">
      <c r="A44488" s="7"/>
      <c r="B44488" s="7"/>
      <c r="M44488" s="9" t="s">
        <v>21</v>
      </c>
    </row>
    <row r="44489" ht="15.75" customHeight="1">
      <c r="A44489" s="7"/>
      <c r="B44489" s="7"/>
      <c r="M44489" s="9" t="s">
        <v>37</v>
      </c>
    </row>
    <row r="44490" ht="15.75" customHeight="1">
      <c r="A44490" s="7"/>
      <c r="B44490" s="7"/>
      <c r="M44490" s="9" t="s">
        <v>22</v>
      </c>
    </row>
    <row r="44491" ht="15.75" customHeight="1">
      <c r="A44491" s="7"/>
      <c r="B44491" s="7"/>
      <c r="M44491" s="9" t="s">
        <v>27</v>
      </c>
    </row>
    <row r="44492" ht="15.75" customHeight="1">
      <c r="A44492" s="7"/>
      <c r="B44492" s="7"/>
      <c r="M44492" s="9" t="s">
        <v>24</v>
      </c>
    </row>
    <row r="44493" ht="15.75" customHeight="1">
      <c r="A44493" s="7"/>
      <c r="B44493" s="7"/>
      <c r="M44493" s="9" t="s">
        <v>21</v>
      </c>
    </row>
    <row r="44494" ht="15.75" customHeight="1">
      <c r="A44494" s="7"/>
      <c r="B44494" s="7"/>
      <c r="M44494" s="9" t="s">
        <v>37</v>
      </c>
    </row>
    <row r="44495" ht="15.75" customHeight="1">
      <c r="A44495" s="7"/>
      <c r="B44495" s="7"/>
      <c r="M44495" s="9" t="s">
        <v>27</v>
      </c>
    </row>
    <row r="44496" ht="15.75" customHeight="1">
      <c r="A44496" s="7"/>
      <c r="B44496" s="7"/>
      <c r="M44496" s="9" t="s">
        <v>35</v>
      </c>
    </row>
    <row r="44497" ht="15.75" customHeight="1">
      <c r="A44497" s="7"/>
      <c r="B44497" s="7"/>
      <c r="M44497" s="9" t="s">
        <v>26</v>
      </c>
    </row>
    <row r="44498" ht="15.75" customHeight="1">
      <c r="A44498" s="7"/>
      <c r="B44498" s="7"/>
      <c r="M44498" s="9" t="s">
        <v>24</v>
      </c>
    </row>
    <row r="44499" ht="15.75" customHeight="1">
      <c r="A44499" s="7"/>
      <c r="B44499" s="7"/>
      <c r="M44499" s="9" t="s">
        <v>20</v>
      </c>
    </row>
    <row r="44500" ht="15.75" customHeight="1">
      <c r="A44500" s="7"/>
      <c r="B44500" s="7"/>
      <c r="M44500" s="9" t="s">
        <v>21</v>
      </c>
    </row>
    <row r="44501" ht="15.75" customHeight="1">
      <c r="A44501" s="7"/>
      <c r="B44501" s="7"/>
      <c r="M44501" s="9" t="s">
        <v>39</v>
      </c>
    </row>
    <row r="44502" ht="15.75" customHeight="1">
      <c r="A44502" s="7"/>
      <c r="B44502" s="7"/>
      <c r="M44502" s="9" t="s">
        <v>27</v>
      </c>
    </row>
    <row r="44503" ht="15.75" customHeight="1">
      <c r="A44503" s="7"/>
      <c r="B44503" s="7"/>
      <c r="M44503" s="9" t="s">
        <v>28</v>
      </c>
    </row>
    <row r="44504" ht="15.75" customHeight="1">
      <c r="A44504" s="7"/>
      <c r="B44504" s="7"/>
      <c r="M44504" s="9" t="s">
        <v>30</v>
      </c>
    </row>
    <row r="44505" ht="15.75" customHeight="1">
      <c r="A44505" s="7"/>
      <c r="B44505" s="7"/>
      <c r="M44505" s="9" t="s">
        <v>25</v>
      </c>
    </row>
    <row r="44506" ht="15.75" customHeight="1">
      <c r="A44506" s="7"/>
      <c r="B44506" s="7"/>
      <c r="M44506" s="9" t="s">
        <v>23</v>
      </c>
    </row>
    <row r="44507" ht="15.75" customHeight="1">
      <c r="A44507" s="7"/>
      <c r="B44507" s="7"/>
      <c r="M44507" s="9" t="s">
        <v>26</v>
      </c>
    </row>
    <row r="44508" ht="15.75" customHeight="1">
      <c r="A44508" s="7"/>
      <c r="B44508" s="7"/>
      <c r="M44508" s="9" t="s">
        <v>27</v>
      </c>
    </row>
    <row r="44509" ht="15.75" customHeight="1">
      <c r="A44509" s="7"/>
      <c r="B44509" s="7"/>
      <c r="M44509" s="9" t="s">
        <v>24</v>
      </c>
    </row>
    <row r="44510" ht="15.75" customHeight="1">
      <c r="A44510" s="7"/>
      <c r="B44510" s="7"/>
      <c r="M44510" s="9" t="s">
        <v>20</v>
      </c>
    </row>
    <row r="44511" ht="15.75" customHeight="1">
      <c r="A44511" s="7"/>
      <c r="B44511" s="7"/>
      <c r="M44511" s="9" t="s">
        <v>21</v>
      </c>
    </row>
    <row r="44512" ht="15.75" customHeight="1">
      <c r="A44512" s="7"/>
      <c r="B44512" s="7"/>
      <c r="M44512" s="9" t="s">
        <v>27</v>
      </c>
    </row>
    <row r="44513" ht="15.75" customHeight="1">
      <c r="A44513" s="7"/>
      <c r="B44513" s="7"/>
      <c r="M44513" s="9" t="s">
        <v>33</v>
      </c>
    </row>
    <row r="44514" ht="15.75" customHeight="1">
      <c r="A44514" s="7"/>
      <c r="B44514" s="7"/>
      <c r="M44514" s="9" t="s">
        <v>30</v>
      </c>
    </row>
    <row r="44515" ht="15.75" customHeight="1">
      <c r="A44515" s="7"/>
      <c r="B44515" s="7"/>
      <c r="M44515" s="9" t="s">
        <v>24</v>
      </c>
    </row>
    <row r="44516" ht="15.75" customHeight="1">
      <c r="A44516" s="7"/>
      <c r="B44516" s="7"/>
      <c r="M44516" s="9" t="s">
        <v>21</v>
      </c>
    </row>
    <row r="44517" ht="15.75" customHeight="1">
      <c r="A44517" s="7"/>
      <c r="B44517" s="7"/>
      <c r="M44517" s="9" t="s">
        <v>22</v>
      </c>
    </row>
    <row r="44518" ht="15.75" customHeight="1">
      <c r="A44518" s="7"/>
      <c r="B44518" s="7"/>
      <c r="M44518" s="9" t="s">
        <v>27</v>
      </c>
    </row>
    <row r="44519" ht="15.75" customHeight="1">
      <c r="A44519" s="7"/>
      <c r="B44519" s="7"/>
      <c r="M44519" s="9" t="s">
        <v>40</v>
      </c>
    </row>
    <row r="44520" ht="15.75" customHeight="1">
      <c r="A44520" s="7"/>
      <c r="B44520" s="7"/>
      <c r="M44520" s="9" t="s">
        <v>33</v>
      </c>
    </row>
    <row r="44521" ht="15.75" customHeight="1">
      <c r="A44521" s="7"/>
      <c r="B44521" s="7"/>
      <c r="M44521" s="9" t="s">
        <v>26</v>
      </c>
    </row>
    <row r="44522" ht="15.75" customHeight="1">
      <c r="A44522" s="7"/>
      <c r="B44522" s="7"/>
      <c r="M44522" s="9" t="s">
        <v>21</v>
      </c>
    </row>
    <row r="44523" ht="15.75" customHeight="1">
      <c r="A44523" s="7"/>
      <c r="B44523" s="7"/>
      <c r="M44523" s="9" t="s">
        <v>22</v>
      </c>
    </row>
    <row r="44524" ht="15.75" customHeight="1">
      <c r="A44524" s="7"/>
      <c r="B44524" s="7"/>
      <c r="M44524" s="9" t="s">
        <v>27</v>
      </c>
    </row>
    <row r="44525" ht="15.75" customHeight="1">
      <c r="A44525" s="7"/>
      <c r="B44525" s="7"/>
      <c r="M44525" s="9" t="s">
        <v>26</v>
      </c>
    </row>
    <row r="44526" ht="15.75" customHeight="1">
      <c r="A44526" s="7"/>
      <c r="B44526" s="7"/>
      <c r="M44526" s="9" t="s">
        <v>24</v>
      </c>
    </row>
    <row r="44527" ht="15.75" customHeight="1">
      <c r="A44527" s="7"/>
      <c r="B44527" s="7"/>
      <c r="M44527" s="9" t="s">
        <v>21</v>
      </c>
    </row>
    <row r="44528" ht="15.75" customHeight="1">
      <c r="A44528" s="7"/>
      <c r="B44528" s="7"/>
      <c r="M44528" s="9" t="s">
        <v>30</v>
      </c>
    </row>
    <row r="44529" ht="15.75" customHeight="1">
      <c r="A44529" s="7"/>
      <c r="B44529" s="7"/>
      <c r="M44529" s="9" t="s">
        <v>26</v>
      </c>
    </row>
    <row r="44530" ht="15.75" customHeight="1">
      <c r="A44530" s="7"/>
      <c r="B44530" s="7"/>
      <c r="M44530" s="9" t="s">
        <v>24</v>
      </c>
    </row>
    <row r="44531" ht="15.75" customHeight="1">
      <c r="A44531" s="7"/>
      <c r="B44531" s="7"/>
      <c r="M44531" s="9" t="s">
        <v>21</v>
      </c>
    </row>
    <row r="44532" ht="15.75" customHeight="1">
      <c r="A44532" s="7"/>
      <c r="B44532" s="7"/>
      <c r="M44532" s="9" t="s">
        <v>27</v>
      </c>
    </row>
    <row r="44533" ht="15.75" customHeight="1">
      <c r="A44533" s="7"/>
      <c r="B44533" s="7"/>
      <c r="M44533" s="9" t="s">
        <v>35</v>
      </c>
    </row>
    <row r="44534" ht="15.75" customHeight="1">
      <c r="A44534" s="7"/>
      <c r="B44534" s="7"/>
      <c r="M44534" s="9" t="s">
        <v>24</v>
      </c>
    </row>
    <row r="44535" ht="15.75" customHeight="1">
      <c r="A44535" s="7"/>
      <c r="B44535" s="7"/>
      <c r="M44535" s="9" t="s">
        <v>20</v>
      </c>
    </row>
    <row r="44536" ht="15.75" customHeight="1">
      <c r="A44536" s="7"/>
      <c r="B44536" s="7"/>
      <c r="M44536" s="9" t="s">
        <v>21</v>
      </c>
    </row>
    <row r="44537" ht="15.75" customHeight="1">
      <c r="A44537" s="7"/>
      <c r="B44537" s="7"/>
      <c r="M44537" s="9" t="s">
        <v>22</v>
      </c>
    </row>
    <row r="44538" ht="15.75" customHeight="1">
      <c r="A44538" s="7"/>
      <c r="B44538" s="7"/>
      <c r="M44538" s="9" t="s">
        <v>24</v>
      </c>
    </row>
    <row r="44539" ht="15.75" customHeight="1">
      <c r="A44539" s="7"/>
      <c r="B44539" s="7"/>
      <c r="M44539" s="9" t="s">
        <v>21</v>
      </c>
    </row>
    <row r="44540" ht="15.75" customHeight="1">
      <c r="A44540" s="7"/>
      <c r="B44540" s="7"/>
      <c r="M44540" s="9" t="s">
        <v>37</v>
      </c>
    </row>
    <row r="44541" ht="15.75" customHeight="1">
      <c r="A44541" s="7"/>
      <c r="B44541" s="7"/>
      <c r="M44541" s="9" t="s">
        <v>33</v>
      </c>
    </row>
    <row r="44542" ht="15.75" customHeight="1">
      <c r="A44542" s="7"/>
      <c r="B44542" s="7"/>
      <c r="M44542" s="9" t="s">
        <v>30</v>
      </c>
    </row>
    <row r="44543" ht="15.75" customHeight="1">
      <c r="A44543" s="7"/>
      <c r="B44543" s="7"/>
      <c r="M44543" s="9" t="s">
        <v>20</v>
      </c>
    </row>
    <row r="44544" ht="15.75" customHeight="1">
      <c r="A44544" s="7"/>
      <c r="B44544" s="7"/>
      <c r="M44544" s="9" t="s">
        <v>22</v>
      </c>
    </row>
    <row r="44545" ht="15.75" customHeight="1">
      <c r="A44545" s="7"/>
      <c r="B44545" s="7"/>
      <c r="M44545" s="9" t="s">
        <v>27</v>
      </c>
    </row>
    <row r="44546" ht="15.75" customHeight="1">
      <c r="A44546" s="7"/>
      <c r="B44546" s="7"/>
      <c r="M44546" s="9" t="s">
        <v>24</v>
      </c>
    </row>
    <row r="44547" ht="15.75" customHeight="1">
      <c r="A44547" s="7"/>
      <c r="B44547" s="7"/>
      <c r="M44547" s="9" t="s">
        <v>20</v>
      </c>
    </row>
    <row r="44548" ht="15.75" customHeight="1">
      <c r="A44548" s="7"/>
      <c r="B44548" s="7"/>
      <c r="M44548" s="9" t="s">
        <v>21</v>
      </c>
    </row>
    <row r="44549" ht="15.75" customHeight="1">
      <c r="A44549" s="7"/>
      <c r="B44549" s="7"/>
      <c r="M44549" s="9" t="s">
        <v>37</v>
      </c>
    </row>
    <row r="44550" ht="15.75" customHeight="1">
      <c r="A44550" s="7"/>
      <c r="B44550" s="7"/>
      <c r="M44550" s="9" t="s">
        <v>33</v>
      </c>
    </row>
    <row r="44551" ht="15.75" customHeight="1">
      <c r="A44551" s="7"/>
      <c r="B44551" s="7"/>
      <c r="M44551" s="9" t="s">
        <v>26</v>
      </c>
    </row>
    <row r="44552" ht="15.75" customHeight="1">
      <c r="A44552" s="7"/>
      <c r="B44552" s="7"/>
      <c r="M44552" s="9" t="s">
        <v>24</v>
      </c>
    </row>
    <row r="44553" ht="15.75" customHeight="1">
      <c r="A44553" s="7"/>
      <c r="B44553" s="7"/>
      <c r="M44553" s="9" t="s">
        <v>21</v>
      </c>
    </row>
    <row r="44554" ht="15.75" customHeight="1">
      <c r="A44554" s="7"/>
      <c r="B44554" s="7"/>
      <c r="M44554" s="9" t="s">
        <v>37</v>
      </c>
    </row>
    <row r="44555" ht="15.75" customHeight="1">
      <c r="A44555" s="7"/>
      <c r="B44555" s="7"/>
      <c r="M44555" s="9" t="s">
        <v>22</v>
      </c>
    </row>
    <row r="44556" ht="15.75" customHeight="1">
      <c r="A44556" s="7"/>
      <c r="B44556" s="7"/>
      <c r="M44556" s="9" t="s">
        <v>27</v>
      </c>
    </row>
    <row r="44557" ht="15.75" customHeight="1">
      <c r="A44557" s="7"/>
      <c r="B44557" s="7"/>
      <c r="M44557" s="9" t="s">
        <v>33</v>
      </c>
    </row>
    <row r="44558" ht="15.75" customHeight="1">
      <c r="A44558" s="7"/>
      <c r="B44558" s="7"/>
      <c r="M44558" s="9" t="s">
        <v>30</v>
      </c>
    </row>
    <row r="44559" ht="15.75" customHeight="1">
      <c r="A44559" s="7"/>
      <c r="B44559" s="7"/>
      <c r="M44559" s="9" t="s">
        <v>21</v>
      </c>
    </row>
    <row r="44560" ht="15.75" customHeight="1">
      <c r="A44560" s="7"/>
      <c r="B44560" s="7"/>
      <c r="M44560" s="9" t="s">
        <v>27</v>
      </c>
    </row>
    <row r="44561" ht="15.75" customHeight="1">
      <c r="A44561" s="7"/>
      <c r="B44561" s="7"/>
      <c r="M44561" s="9" t="s">
        <v>33</v>
      </c>
    </row>
    <row r="44562" ht="15.75" customHeight="1">
      <c r="A44562" s="7"/>
      <c r="B44562" s="7"/>
      <c r="M44562" s="9" t="s">
        <v>35</v>
      </c>
    </row>
    <row r="44563" ht="15.75" customHeight="1">
      <c r="A44563" s="7"/>
      <c r="B44563" s="7"/>
      <c r="M44563" s="9" t="s">
        <v>24</v>
      </c>
    </row>
    <row r="44564" ht="15.75" customHeight="1">
      <c r="A44564" s="7"/>
      <c r="B44564" s="7"/>
      <c r="M44564" s="9" t="s">
        <v>21</v>
      </c>
    </row>
    <row r="44565" ht="15.75" customHeight="1">
      <c r="A44565" s="7"/>
      <c r="B44565" s="7"/>
      <c r="M44565" s="9" t="s">
        <v>38</v>
      </c>
    </row>
    <row r="44566" ht="15.75" customHeight="1">
      <c r="A44566" s="7"/>
      <c r="B44566" s="7"/>
      <c r="M44566" s="9" t="s">
        <v>30</v>
      </c>
    </row>
    <row r="44567" ht="15.75" customHeight="1">
      <c r="A44567" s="7"/>
      <c r="B44567" s="7"/>
      <c r="M44567" s="9" t="s">
        <v>25</v>
      </c>
    </row>
    <row r="44568" ht="15.75" customHeight="1">
      <c r="A44568" s="7"/>
      <c r="B44568" s="7"/>
      <c r="M44568" s="9" t="s">
        <v>23</v>
      </c>
    </row>
    <row r="44569" ht="15.75" customHeight="1">
      <c r="A44569" s="7"/>
      <c r="B44569" s="7"/>
      <c r="M44569" s="9" t="s">
        <v>26</v>
      </c>
    </row>
    <row r="44570" ht="15.75" customHeight="1">
      <c r="A44570" s="7"/>
      <c r="B44570" s="7"/>
      <c r="M44570" s="9" t="s">
        <v>43</v>
      </c>
    </row>
    <row r="44571" ht="15.75" customHeight="1">
      <c r="A44571" s="7"/>
      <c r="B44571" s="7"/>
      <c r="M44571" s="9" t="s">
        <v>24</v>
      </c>
    </row>
    <row r="44572" ht="15.75" customHeight="1">
      <c r="A44572" s="7"/>
      <c r="B44572" s="7"/>
      <c r="M44572" s="9" t="s">
        <v>20</v>
      </c>
    </row>
    <row r="44573" ht="15.75" customHeight="1">
      <c r="A44573" s="7"/>
      <c r="B44573" s="7"/>
      <c r="M44573" s="9" t="s">
        <v>21</v>
      </c>
    </row>
    <row r="44574" ht="15.75" customHeight="1">
      <c r="A44574" s="7"/>
      <c r="B44574" s="7"/>
      <c r="M44574" s="9" t="s">
        <v>22</v>
      </c>
    </row>
    <row r="44575" ht="15.75" customHeight="1">
      <c r="A44575" s="7"/>
      <c r="B44575" s="7"/>
      <c r="M44575" s="9" t="s">
        <v>27</v>
      </c>
    </row>
    <row r="44576" ht="15.75" customHeight="1">
      <c r="A44576" s="7"/>
      <c r="B44576" s="7"/>
      <c r="M44576" s="9" t="s">
        <v>30</v>
      </c>
    </row>
    <row r="44577" ht="15.75" customHeight="1">
      <c r="A44577" s="7"/>
      <c r="B44577" s="7"/>
      <c r="M44577" s="9" t="s">
        <v>24</v>
      </c>
    </row>
    <row r="44578" ht="15.75" customHeight="1">
      <c r="A44578" s="7"/>
      <c r="B44578" s="7"/>
      <c r="M44578" s="9" t="s">
        <v>20</v>
      </c>
    </row>
    <row r="44579" ht="15.75" customHeight="1">
      <c r="A44579" s="7"/>
      <c r="B44579" s="7"/>
      <c r="M44579" s="9" t="s">
        <v>21</v>
      </c>
    </row>
    <row r="44580" ht="15.75" customHeight="1">
      <c r="A44580" s="7"/>
      <c r="B44580" s="7"/>
      <c r="M44580" s="9" t="s">
        <v>27</v>
      </c>
    </row>
    <row r="44581" ht="15.75" customHeight="1">
      <c r="A44581" s="7"/>
      <c r="B44581" s="7"/>
      <c r="M44581" s="9" t="s">
        <v>30</v>
      </c>
    </row>
    <row r="44582" ht="15.75" customHeight="1">
      <c r="A44582" s="7"/>
      <c r="B44582" s="7"/>
      <c r="M44582" s="9" t="s">
        <v>36</v>
      </c>
    </row>
    <row r="44583" ht="15.75" customHeight="1">
      <c r="A44583" s="7"/>
      <c r="B44583" s="7"/>
      <c r="M44583" s="9" t="s">
        <v>24</v>
      </c>
    </row>
    <row r="44584" ht="15.75" customHeight="1">
      <c r="A44584" s="7"/>
      <c r="B44584" s="7"/>
      <c r="M44584" s="9" t="s">
        <v>20</v>
      </c>
    </row>
    <row r="44585" ht="15.75" customHeight="1">
      <c r="A44585" s="7"/>
      <c r="B44585" s="7"/>
      <c r="M44585" s="9" t="s">
        <v>21</v>
      </c>
    </row>
    <row r="44586" ht="15.75" customHeight="1">
      <c r="A44586" s="7"/>
      <c r="B44586" s="7"/>
      <c r="M44586" s="9" t="s">
        <v>27</v>
      </c>
    </row>
    <row r="44587" ht="15.75" customHeight="1">
      <c r="A44587" s="7"/>
      <c r="B44587" s="7"/>
      <c r="M44587" s="9" t="s">
        <v>33</v>
      </c>
    </row>
    <row r="44588" ht="15.75" customHeight="1">
      <c r="A44588" s="7"/>
      <c r="B44588" s="7"/>
      <c r="M44588" s="9" t="s">
        <v>38</v>
      </c>
    </row>
    <row r="44589" ht="15.75" customHeight="1">
      <c r="A44589" s="7"/>
      <c r="B44589" s="7"/>
      <c r="M44589" s="9" t="s">
        <v>30</v>
      </c>
    </row>
    <row r="44590" ht="15.75" customHeight="1">
      <c r="A44590" s="7"/>
      <c r="B44590" s="7"/>
      <c r="M44590" s="9" t="s">
        <v>25</v>
      </c>
    </row>
    <row r="44591" ht="15.75" customHeight="1">
      <c r="A44591" s="7"/>
      <c r="B44591" s="7"/>
      <c r="M44591" s="9" t="s">
        <v>23</v>
      </c>
    </row>
    <row r="44592" ht="15.75" customHeight="1">
      <c r="A44592" s="7"/>
      <c r="B44592" s="7"/>
      <c r="M44592" s="9" t="s">
        <v>24</v>
      </c>
    </row>
    <row r="44593" ht="15.75" customHeight="1">
      <c r="A44593" s="7"/>
      <c r="B44593" s="7"/>
      <c r="M44593" s="9" t="s">
        <v>20</v>
      </c>
    </row>
    <row r="44594" ht="15.75" customHeight="1">
      <c r="A44594" s="7"/>
      <c r="B44594" s="7"/>
      <c r="M44594" s="9" t="s">
        <v>21</v>
      </c>
    </row>
    <row r="44595" ht="15.75" customHeight="1">
      <c r="A44595" s="7"/>
      <c r="B44595" s="7"/>
      <c r="M44595" s="9" t="s">
        <v>37</v>
      </c>
    </row>
    <row r="44596" ht="15.75" customHeight="1">
      <c r="A44596" s="7"/>
      <c r="B44596" s="7"/>
      <c r="M44596" s="9" t="s">
        <v>22</v>
      </c>
    </row>
    <row r="44597" ht="15.75" customHeight="1">
      <c r="A44597" s="7"/>
      <c r="B44597" s="7"/>
      <c r="M44597" s="9" t="s">
        <v>27</v>
      </c>
    </row>
    <row r="44598" ht="15.75" customHeight="1">
      <c r="A44598" s="7"/>
      <c r="B44598" s="7"/>
      <c r="M44598" s="9" t="s">
        <v>20</v>
      </c>
    </row>
    <row r="44599" ht="15.75" customHeight="1">
      <c r="A44599" s="7"/>
      <c r="B44599" s="7"/>
      <c r="M44599" s="9" t="s">
        <v>35</v>
      </c>
    </row>
    <row r="44600" ht="15.75" customHeight="1">
      <c r="A44600" s="7"/>
      <c r="B44600" s="7"/>
      <c r="M44600" s="9" t="s">
        <v>30</v>
      </c>
    </row>
    <row r="44601" ht="15.75" customHeight="1">
      <c r="A44601" s="7"/>
      <c r="B44601" s="7"/>
      <c r="M44601" s="9" t="s">
        <v>24</v>
      </c>
    </row>
    <row r="44602" ht="15.75" customHeight="1">
      <c r="A44602" s="7"/>
      <c r="B44602" s="7"/>
      <c r="M44602" s="9" t="s">
        <v>21</v>
      </c>
    </row>
    <row r="44603" ht="15.75" customHeight="1">
      <c r="A44603" s="7"/>
      <c r="B44603" s="7"/>
      <c r="M44603" s="9" t="s">
        <v>31</v>
      </c>
    </row>
    <row r="44604" ht="15.75" customHeight="1">
      <c r="A44604" s="7"/>
      <c r="B44604" s="7"/>
      <c r="M44604" s="9" t="s">
        <v>27</v>
      </c>
    </row>
    <row r="44605" ht="15.75" customHeight="1">
      <c r="A44605" s="7"/>
      <c r="B44605" s="7"/>
      <c r="M44605" s="9" t="s">
        <v>20</v>
      </c>
    </row>
    <row r="44606" ht="15.75" customHeight="1">
      <c r="A44606" s="7"/>
      <c r="B44606" s="7"/>
      <c r="M44606" s="9" t="s">
        <v>21</v>
      </c>
    </row>
    <row r="44607" ht="15.75" customHeight="1">
      <c r="A44607" s="7"/>
      <c r="B44607" s="7"/>
      <c r="M44607" s="9" t="s">
        <v>20</v>
      </c>
    </row>
    <row r="44608" ht="15.75" customHeight="1">
      <c r="A44608" s="7"/>
      <c r="B44608" s="7"/>
      <c r="M44608" s="9" t="s">
        <v>39</v>
      </c>
    </row>
    <row r="44609" ht="15.75" customHeight="1">
      <c r="A44609" s="7"/>
      <c r="B44609" s="7"/>
      <c r="M44609" s="9" t="s">
        <v>22</v>
      </c>
    </row>
    <row r="44610" ht="15.75" customHeight="1">
      <c r="A44610" s="7"/>
      <c r="B44610" s="7"/>
      <c r="M44610" s="9" t="s">
        <v>46</v>
      </c>
    </row>
    <row r="44611" ht="15.75" customHeight="1">
      <c r="A44611" s="7"/>
      <c r="B44611" s="7"/>
      <c r="M44611" s="9" t="s">
        <v>26</v>
      </c>
    </row>
    <row r="44612" ht="15.75" customHeight="1">
      <c r="A44612" s="7"/>
      <c r="B44612" s="7"/>
      <c r="M44612" s="9" t="s">
        <v>21</v>
      </c>
    </row>
    <row r="44613" ht="15.75" customHeight="1">
      <c r="A44613" s="7"/>
      <c r="B44613" s="7"/>
      <c r="M44613" s="9" t="s">
        <v>27</v>
      </c>
    </row>
    <row r="44614" ht="15.75" customHeight="1">
      <c r="A44614" s="7"/>
      <c r="B44614" s="7"/>
      <c r="M44614" s="9" t="s">
        <v>30</v>
      </c>
    </row>
    <row r="44615" ht="15.75" customHeight="1">
      <c r="A44615" s="7"/>
      <c r="B44615" s="7"/>
      <c r="M44615" s="9" t="s">
        <v>43</v>
      </c>
    </row>
    <row r="44616" ht="15.75" customHeight="1">
      <c r="A44616" s="7"/>
      <c r="B44616" s="7"/>
      <c r="M44616" s="9" t="s">
        <v>20</v>
      </c>
    </row>
    <row r="44617" ht="15.75" customHeight="1">
      <c r="A44617" s="7"/>
      <c r="B44617" s="7"/>
      <c r="M44617" s="9" t="s">
        <v>27</v>
      </c>
    </row>
    <row r="44618" ht="15.75" customHeight="1">
      <c r="A44618" s="7"/>
      <c r="B44618" s="7"/>
      <c r="M44618" s="9" t="s">
        <v>23</v>
      </c>
    </row>
    <row r="44619" ht="15.75" customHeight="1">
      <c r="A44619" s="7"/>
      <c r="B44619" s="7"/>
      <c r="M44619" s="9" t="s">
        <v>26</v>
      </c>
    </row>
    <row r="44620" ht="15.75" customHeight="1">
      <c r="A44620" s="7"/>
      <c r="B44620" s="7"/>
      <c r="M44620" s="9" t="s">
        <v>24</v>
      </c>
    </row>
    <row r="44621" ht="15.75" customHeight="1">
      <c r="A44621" s="7"/>
      <c r="B44621" s="7"/>
      <c r="M44621" s="9" t="s">
        <v>20</v>
      </c>
    </row>
    <row r="44622" ht="15.75" customHeight="1">
      <c r="A44622" s="7"/>
      <c r="B44622" s="7"/>
      <c r="M44622" s="9" t="s">
        <v>21</v>
      </c>
    </row>
    <row r="44623" ht="15.75" customHeight="1">
      <c r="A44623" s="7"/>
      <c r="B44623" s="7"/>
      <c r="M44623" s="9" t="s">
        <v>22</v>
      </c>
    </row>
    <row r="44624" ht="15.75" customHeight="1">
      <c r="A44624" s="7"/>
      <c r="B44624" s="7"/>
      <c r="M44624" s="9" t="s">
        <v>27</v>
      </c>
    </row>
    <row r="44625" ht="15.75" customHeight="1">
      <c r="A44625" s="7"/>
      <c r="B44625" s="7"/>
      <c r="M44625" s="9" t="s">
        <v>26</v>
      </c>
    </row>
    <row r="44626" ht="15.75" customHeight="1">
      <c r="A44626" s="7"/>
      <c r="B44626" s="7"/>
      <c r="M44626" s="9" t="s">
        <v>20</v>
      </c>
    </row>
    <row r="44627" ht="15.75" customHeight="1">
      <c r="A44627" s="7"/>
      <c r="B44627" s="7"/>
      <c r="M44627" s="9" t="s">
        <v>21</v>
      </c>
    </row>
    <row r="44628" ht="15.75" customHeight="1">
      <c r="A44628" s="7"/>
      <c r="B44628" s="7"/>
      <c r="M44628" s="9" t="s">
        <v>26</v>
      </c>
    </row>
    <row r="44629" ht="15.75" customHeight="1">
      <c r="A44629" s="7"/>
      <c r="B44629" s="7"/>
      <c r="M44629" s="9" t="s">
        <v>24</v>
      </c>
    </row>
    <row r="44630" ht="15.75" customHeight="1">
      <c r="A44630" s="7"/>
      <c r="B44630" s="7"/>
      <c r="M44630" s="9" t="s">
        <v>21</v>
      </c>
    </row>
    <row r="44631" ht="15.75" customHeight="1">
      <c r="A44631" s="7"/>
      <c r="B44631" s="7"/>
      <c r="M44631" s="9" t="s">
        <v>31</v>
      </c>
    </row>
    <row r="44632" ht="15.75" customHeight="1">
      <c r="A44632" s="7"/>
      <c r="B44632" s="7"/>
      <c r="M44632" s="9" t="s">
        <v>27</v>
      </c>
    </row>
    <row r="44633" ht="15.75" customHeight="1">
      <c r="A44633" s="7"/>
      <c r="B44633" s="7"/>
      <c r="M44633" s="9" t="s">
        <v>24</v>
      </c>
    </row>
    <row r="44634" ht="15.75" customHeight="1">
      <c r="A44634" s="7"/>
      <c r="B44634" s="7"/>
      <c r="M44634" s="9" t="s">
        <v>37</v>
      </c>
    </row>
    <row r="44635" ht="15.75" customHeight="1">
      <c r="A44635" s="7"/>
      <c r="B44635" s="7"/>
      <c r="M44635" s="9" t="s">
        <v>31</v>
      </c>
    </row>
    <row r="44636" ht="15.75" customHeight="1">
      <c r="A44636" s="7"/>
      <c r="B44636" s="7"/>
      <c r="M44636" s="9" t="s">
        <v>26</v>
      </c>
    </row>
    <row r="44637" ht="15.75" customHeight="1">
      <c r="A44637" s="7"/>
      <c r="B44637" s="7"/>
      <c r="M44637" s="9" t="s">
        <v>21</v>
      </c>
    </row>
    <row r="44638" ht="15.75" customHeight="1">
      <c r="A44638" s="7"/>
      <c r="B44638" s="7"/>
      <c r="M44638" s="9" t="s">
        <v>27</v>
      </c>
    </row>
    <row r="44639" ht="15.75" customHeight="1">
      <c r="A44639" s="7"/>
      <c r="B44639" s="7"/>
      <c r="M44639" s="9" t="s">
        <v>30</v>
      </c>
    </row>
    <row r="44640" ht="15.75" customHeight="1">
      <c r="A44640" s="7"/>
      <c r="B44640" s="7"/>
      <c r="M44640" s="9" t="s">
        <v>36</v>
      </c>
    </row>
    <row r="44641" ht="15.75" customHeight="1">
      <c r="A44641" s="7"/>
      <c r="B44641" s="7"/>
      <c r="M44641" s="9" t="s">
        <v>20</v>
      </c>
    </row>
    <row r="44642" ht="15.75" customHeight="1">
      <c r="A44642" s="7"/>
      <c r="B44642" s="7"/>
      <c r="M44642" s="9" t="s">
        <v>27</v>
      </c>
    </row>
    <row r="44643" ht="15.75" customHeight="1">
      <c r="A44643" s="7"/>
      <c r="B44643" s="7"/>
      <c r="M44643" s="9" t="s">
        <v>36</v>
      </c>
    </row>
    <row r="44644" ht="15.75" customHeight="1">
      <c r="A44644" s="7"/>
      <c r="B44644" s="7"/>
      <c r="M44644" s="9" t="s">
        <v>24</v>
      </c>
    </row>
    <row r="44645" ht="15.75" customHeight="1">
      <c r="A44645" s="7"/>
      <c r="B44645" s="7"/>
      <c r="M44645" s="9" t="s">
        <v>20</v>
      </c>
    </row>
    <row r="44646" ht="15.75" customHeight="1">
      <c r="A44646" s="7"/>
      <c r="B44646" s="7"/>
      <c r="M44646" s="9" t="s">
        <v>21</v>
      </c>
    </row>
    <row r="44647" ht="15.75" customHeight="1">
      <c r="A44647" s="7"/>
      <c r="B44647" s="7"/>
      <c r="M44647" s="9" t="s">
        <v>39</v>
      </c>
    </row>
    <row r="44648" ht="15.75" customHeight="1">
      <c r="A44648" s="7"/>
      <c r="B44648" s="7"/>
      <c r="M44648" s="9" t="s">
        <v>22</v>
      </c>
    </row>
    <row r="44649" ht="15.75" customHeight="1">
      <c r="A44649" s="7"/>
      <c r="B44649" s="7"/>
      <c r="M44649" s="9" t="s">
        <v>23</v>
      </c>
    </row>
    <row r="44650" ht="15.75" customHeight="1">
      <c r="A44650" s="7"/>
      <c r="B44650" s="7"/>
      <c r="M44650" s="9" t="s">
        <v>22</v>
      </c>
    </row>
    <row r="44651" ht="15.75" customHeight="1">
      <c r="A44651" s="7"/>
      <c r="B44651" s="7"/>
      <c r="M44651" s="9" t="s">
        <v>47</v>
      </c>
    </row>
    <row r="44652" ht="15.75" customHeight="1">
      <c r="A44652" s="7"/>
      <c r="B44652" s="7"/>
      <c r="M44652" s="9" t="s">
        <v>36</v>
      </c>
    </row>
    <row r="44653" ht="15.75" customHeight="1">
      <c r="A44653" s="7"/>
      <c r="B44653" s="7"/>
      <c r="M44653" s="9" t="s">
        <v>22</v>
      </c>
    </row>
    <row r="44654" ht="15.75" customHeight="1">
      <c r="A44654" s="7"/>
      <c r="B44654" s="7"/>
      <c r="M44654" s="9" t="s">
        <v>30</v>
      </c>
    </row>
    <row r="44655" ht="15.75" customHeight="1">
      <c r="A44655" s="7"/>
      <c r="B44655" s="7"/>
      <c r="M44655" s="9" t="s">
        <v>25</v>
      </c>
    </row>
    <row r="44656" ht="15.75" customHeight="1">
      <c r="A44656" s="7"/>
      <c r="B44656" s="7"/>
      <c r="M44656" s="9" t="s">
        <v>23</v>
      </c>
    </row>
    <row r="44657" ht="15.75" customHeight="1">
      <c r="A44657" s="7"/>
      <c r="B44657" s="7"/>
      <c r="M44657" s="9" t="s">
        <v>47</v>
      </c>
    </row>
    <row r="44658" ht="15.75" customHeight="1">
      <c r="A44658" s="7"/>
      <c r="B44658" s="7"/>
      <c r="M44658" s="9" t="s">
        <v>20</v>
      </c>
    </row>
    <row r="44659" ht="15.75" customHeight="1">
      <c r="A44659" s="7"/>
      <c r="B44659" s="7"/>
      <c r="M44659" s="9" t="s">
        <v>39</v>
      </c>
    </row>
    <row r="44660" ht="15.75" customHeight="1">
      <c r="A44660" s="7"/>
      <c r="B44660" s="7"/>
      <c r="M44660" s="9" t="s">
        <v>37</v>
      </c>
    </row>
    <row r="44661" ht="15.75" customHeight="1">
      <c r="A44661" s="7"/>
      <c r="B44661" s="7"/>
      <c r="M44661" s="9" t="s">
        <v>22</v>
      </c>
    </row>
    <row r="44662" ht="15.75" customHeight="1">
      <c r="A44662" s="7"/>
      <c r="B44662" s="7"/>
      <c r="M44662" s="9" t="s">
        <v>32</v>
      </c>
    </row>
    <row r="44663" ht="15.75" customHeight="1">
      <c r="A44663" s="7"/>
      <c r="B44663" s="7"/>
      <c r="M44663" s="9" t="s">
        <v>40</v>
      </c>
    </row>
    <row r="44664" ht="15.75" customHeight="1">
      <c r="A44664" s="7"/>
      <c r="B44664" s="7"/>
      <c r="M44664" s="9" t="s">
        <v>33</v>
      </c>
    </row>
    <row r="44665" ht="15.75" customHeight="1">
      <c r="A44665" s="7"/>
      <c r="B44665" s="7"/>
      <c r="M44665" s="9" t="s">
        <v>24</v>
      </c>
    </row>
    <row r="44666" ht="15.75" customHeight="1">
      <c r="A44666" s="7"/>
      <c r="B44666" s="7"/>
      <c r="M44666" s="9" t="s">
        <v>20</v>
      </c>
    </row>
    <row r="44667" ht="15.75" customHeight="1">
      <c r="A44667" s="7"/>
      <c r="B44667" s="7"/>
      <c r="M44667" s="9" t="s">
        <v>21</v>
      </c>
    </row>
    <row r="44668" ht="15.75" customHeight="1">
      <c r="A44668" s="7"/>
      <c r="B44668" s="7"/>
      <c r="M44668" s="9" t="s">
        <v>24</v>
      </c>
    </row>
    <row r="44669" ht="15.75" customHeight="1">
      <c r="A44669" s="7"/>
      <c r="B44669" s="7"/>
      <c r="M44669" s="9" t="s">
        <v>21</v>
      </c>
    </row>
    <row r="44670" ht="15.75" customHeight="1">
      <c r="A44670" s="7"/>
      <c r="B44670" s="7"/>
      <c r="M44670" s="9" t="s">
        <v>22</v>
      </c>
    </row>
    <row r="44671" ht="15.75" customHeight="1">
      <c r="A44671" s="7"/>
      <c r="B44671" s="7"/>
      <c r="M44671" s="9" t="s">
        <v>31</v>
      </c>
    </row>
    <row r="44672" ht="15.75" customHeight="1">
      <c r="A44672" s="7"/>
      <c r="B44672" s="7"/>
      <c r="M44672" s="9" t="s">
        <v>27</v>
      </c>
    </row>
    <row r="44673" ht="15.75" customHeight="1">
      <c r="A44673" s="7"/>
      <c r="B44673" s="7"/>
      <c r="M44673" s="9" t="s">
        <v>24</v>
      </c>
    </row>
    <row r="44674" ht="15.75" customHeight="1">
      <c r="A44674" s="7"/>
      <c r="B44674" s="7"/>
      <c r="M44674" s="9" t="s">
        <v>21</v>
      </c>
    </row>
    <row r="44675" ht="15.75" customHeight="1">
      <c r="A44675" s="7"/>
      <c r="B44675" s="7"/>
      <c r="M44675" s="9" t="s">
        <v>37</v>
      </c>
    </row>
    <row r="44676" ht="15.75" customHeight="1">
      <c r="A44676" s="7"/>
      <c r="B44676" s="7"/>
      <c r="M44676" s="9" t="s">
        <v>27</v>
      </c>
    </row>
    <row r="44677" ht="15.75" customHeight="1">
      <c r="A44677" s="7"/>
      <c r="B44677" s="7"/>
      <c r="M44677" s="9" t="s">
        <v>33</v>
      </c>
    </row>
    <row r="44678" ht="15.75" customHeight="1">
      <c r="A44678" s="7"/>
      <c r="B44678" s="7"/>
      <c r="M44678" s="9" t="s">
        <v>23</v>
      </c>
    </row>
    <row r="44679" ht="15.75" customHeight="1">
      <c r="A44679" s="7"/>
      <c r="B44679" s="7"/>
      <c r="M44679" s="9" t="s">
        <v>22</v>
      </c>
    </row>
    <row r="44680" ht="15.75" customHeight="1">
      <c r="A44680" s="7"/>
      <c r="B44680" s="7"/>
      <c r="M44680" s="9" t="s">
        <v>25</v>
      </c>
    </row>
    <row r="44681" ht="15.75" customHeight="1">
      <c r="A44681" s="7"/>
      <c r="B44681" s="7"/>
      <c r="M44681" s="9" t="s">
        <v>47</v>
      </c>
    </row>
    <row r="44682" ht="15.75" customHeight="1">
      <c r="A44682" s="7"/>
      <c r="B44682" s="7"/>
      <c r="M44682" s="9" t="s">
        <v>42</v>
      </c>
    </row>
    <row r="44683" ht="15.75" customHeight="1">
      <c r="A44683" s="7"/>
      <c r="B44683" s="7"/>
      <c r="M44683" s="9" t="s">
        <v>24</v>
      </c>
    </row>
    <row r="44684" ht="15.75" customHeight="1">
      <c r="A44684" s="7"/>
      <c r="B44684" s="7"/>
      <c r="M44684" s="9" t="s">
        <v>20</v>
      </c>
    </row>
    <row r="44685" ht="15.75" customHeight="1">
      <c r="A44685" s="7"/>
      <c r="B44685" s="7"/>
      <c r="M44685" s="9" t="s">
        <v>21</v>
      </c>
    </row>
    <row r="44686" ht="15.75" customHeight="1">
      <c r="A44686" s="7"/>
      <c r="B44686" s="7"/>
      <c r="M44686" s="9" t="s">
        <v>39</v>
      </c>
    </row>
    <row r="44687" ht="15.75" customHeight="1">
      <c r="A44687" s="7"/>
      <c r="B44687" s="7"/>
      <c r="M44687" s="9" t="s">
        <v>37</v>
      </c>
    </row>
    <row r="44688" ht="15.75" customHeight="1">
      <c r="A44688" s="7"/>
      <c r="B44688" s="7"/>
      <c r="M44688" s="9" t="s">
        <v>22</v>
      </c>
    </row>
    <row r="44689" ht="15.75" customHeight="1">
      <c r="A44689" s="7"/>
      <c r="B44689" s="7"/>
      <c r="M44689" s="9" t="s">
        <v>27</v>
      </c>
    </row>
    <row r="44690" ht="15.75" customHeight="1">
      <c r="A44690" s="7"/>
      <c r="B44690" s="7"/>
      <c r="M44690" s="9" t="s">
        <v>24</v>
      </c>
    </row>
    <row r="44691" ht="15.75" customHeight="1">
      <c r="A44691" s="7"/>
      <c r="B44691" s="7"/>
      <c r="M44691" s="9" t="s">
        <v>21</v>
      </c>
    </row>
    <row r="44692" ht="15.75" customHeight="1">
      <c r="A44692" s="7"/>
      <c r="B44692" s="7"/>
      <c r="M44692" s="9" t="s">
        <v>37</v>
      </c>
    </row>
    <row r="44693" ht="15.75" customHeight="1">
      <c r="A44693" s="7"/>
      <c r="B44693" s="7"/>
      <c r="M44693" s="9" t="s">
        <v>30</v>
      </c>
    </row>
    <row r="44694" ht="15.75" customHeight="1">
      <c r="A44694" s="7"/>
      <c r="B44694" s="7"/>
      <c r="M44694" s="9" t="s">
        <v>20</v>
      </c>
    </row>
    <row r="44695" ht="15.75" customHeight="1">
      <c r="A44695" s="7"/>
      <c r="B44695" s="7"/>
      <c r="M44695" s="9" t="s">
        <v>27</v>
      </c>
    </row>
    <row r="44696" ht="15.75" customHeight="1">
      <c r="A44696" s="7"/>
      <c r="B44696" s="7"/>
      <c r="M44696" s="9" t="s">
        <v>28</v>
      </c>
    </row>
    <row r="44697" ht="15.75" customHeight="1">
      <c r="A44697" s="7"/>
      <c r="B44697" s="7"/>
      <c r="M44697" s="9" t="s">
        <v>24</v>
      </c>
    </row>
    <row r="44698" ht="15.75" customHeight="1">
      <c r="A44698" s="7"/>
      <c r="B44698" s="7"/>
      <c r="M44698" s="9" t="s">
        <v>20</v>
      </c>
    </row>
    <row r="44699" ht="15.75" customHeight="1">
      <c r="A44699" s="7"/>
      <c r="B44699" s="7"/>
      <c r="M44699" s="9" t="s">
        <v>21</v>
      </c>
    </row>
    <row r="44700" ht="15.75" customHeight="1">
      <c r="A44700" s="7"/>
      <c r="B44700" s="7"/>
      <c r="M44700" s="9" t="s">
        <v>41</v>
      </c>
    </row>
    <row r="44701" ht="15.75" customHeight="1">
      <c r="A44701" s="7"/>
      <c r="B44701" s="7"/>
      <c r="M44701" s="9" t="s">
        <v>22</v>
      </c>
    </row>
    <row r="44702" ht="15.75" customHeight="1">
      <c r="A44702" s="7"/>
      <c r="B44702" s="7"/>
      <c r="M44702" s="9" t="s">
        <v>26</v>
      </c>
    </row>
    <row r="44703" ht="15.75" customHeight="1">
      <c r="A44703" s="7"/>
      <c r="B44703" s="7"/>
      <c r="M44703" s="9" t="s">
        <v>24</v>
      </c>
    </row>
    <row r="44704" ht="15.75" customHeight="1">
      <c r="A44704" s="7"/>
      <c r="B44704" s="7"/>
      <c r="M44704" s="9" t="s">
        <v>21</v>
      </c>
    </row>
    <row r="44705" ht="15.75" customHeight="1">
      <c r="A44705" s="7"/>
      <c r="B44705" s="7"/>
      <c r="M44705" s="9" t="s">
        <v>27</v>
      </c>
    </row>
    <row r="44706" ht="15.75" customHeight="1">
      <c r="A44706" s="7"/>
      <c r="B44706" s="7"/>
      <c r="M44706" s="9" t="s">
        <v>28</v>
      </c>
    </row>
    <row r="44707" ht="15.75" customHeight="1">
      <c r="A44707" s="7"/>
      <c r="B44707" s="7"/>
      <c r="M44707" s="9" t="s">
        <v>24</v>
      </c>
    </row>
    <row r="44708" ht="15.75" customHeight="1">
      <c r="A44708" s="7"/>
      <c r="B44708" s="7"/>
      <c r="M44708" s="9" t="s">
        <v>21</v>
      </c>
    </row>
    <row r="44709" ht="15.75" customHeight="1">
      <c r="A44709" s="7"/>
      <c r="B44709" s="7"/>
      <c r="M44709" s="9" t="s">
        <v>37</v>
      </c>
    </row>
    <row r="44710" ht="15.75" customHeight="1">
      <c r="A44710" s="7"/>
      <c r="B44710" s="7"/>
      <c r="M44710" s="9" t="s">
        <v>27</v>
      </c>
    </row>
    <row r="44711" ht="15.75" customHeight="1">
      <c r="A44711" s="7"/>
      <c r="B44711" s="7"/>
      <c r="M44711" s="9" t="s">
        <v>23</v>
      </c>
    </row>
    <row r="44712" ht="15.75" customHeight="1">
      <c r="A44712" s="7"/>
      <c r="B44712" s="7"/>
      <c r="M44712" s="9" t="s">
        <v>24</v>
      </c>
    </row>
    <row r="44713" ht="15.75" customHeight="1">
      <c r="A44713" s="7"/>
      <c r="B44713" s="7"/>
      <c r="M44713" s="9" t="s">
        <v>37</v>
      </c>
    </row>
    <row r="44714" ht="15.75" customHeight="1">
      <c r="A44714" s="7"/>
      <c r="B44714" s="7"/>
      <c r="M44714" s="9" t="s">
        <v>27</v>
      </c>
    </row>
    <row r="44715" ht="15.75" customHeight="1">
      <c r="A44715" s="7"/>
      <c r="B44715" s="7"/>
      <c r="M44715" s="9" t="s">
        <v>30</v>
      </c>
    </row>
    <row r="44716" ht="15.75" customHeight="1">
      <c r="A44716" s="7"/>
      <c r="B44716" s="7"/>
      <c r="M44716" s="9" t="s">
        <v>26</v>
      </c>
    </row>
    <row r="44717" ht="15.75" customHeight="1">
      <c r="A44717" s="7"/>
      <c r="B44717" s="7"/>
      <c r="M44717" s="9" t="s">
        <v>24</v>
      </c>
    </row>
    <row r="44718" ht="15.75" customHeight="1">
      <c r="A44718" s="7"/>
      <c r="B44718" s="7"/>
      <c r="M44718" s="9" t="s">
        <v>20</v>
      </c>
    </row>
    <row r="44719" ht="15.75" customHeight="1">
      <c r="A44719" s="7"/>
      <c r="B44719" s="7"/>
      <c r="M44719" s="9" t="s">
        <v>21</v>
      </c>
    </row>
    <row r="44720" ht="15.75" customHeight="1">
      <c r="A44720" s="7"/>
      <c r="B44720" s="7"/>
      <c r="M44720" s="9" t="s">
        <v>37</v>
      </c>
    </row>
    <row r="44721" ht="15.75" customHeight="1">
      <c r="A44721" s="7"/>
      <c r="B44721" s="7"/>
      <c r="M44721" s="9" t="s">
        <v>27</v>
      </c>
    </row>
    <row r="44722" ht="15.75" customHeight="1">
      <c r="A44722" s="7"/>
      <c r="B44722" s="7"/>
      <c r="M44722" s="9" t="s">
        <v>35</v>
      </c>
    </row>
    <row r="44723" ht="15.75" customHeight="1">
      <c r="A44723" s="7"/>
      <c r="B44723" s="7"/>
      <c r="M44723" s="9" t="s">
        <v>20</v>
      </c>
    </row>
    <row r="44724" ht="15.75" customHeight="1">
      <c r="A44724" s="7"/>
      <c r="B44724" s="7"/>
      <c r="M44724" s="9" t="s">
        <v>39</v>
      </c>
    </row>
    <row r="44725" ht="15.75" customHeight="1">
      <c r="A44725" s="7"/>
      <c r="B44725" s="7"/>
      <c r="M44725" s="9" t="s">
        <v>21</v>
      </c>
    </row>
    <row r="44726" ht="15.75" customHeight="1">
      <c r="A44726" s="7"/>
      <c r="B44726" s="7"/>
      <c r="M44726" s="9" t="s">
        <v>22</v>
      </c>
    </row>
    <row r="44727" ht="15.75" customHeight="1">
      <c r="A44727" s="7"/>
      <c r="B44727" s="7"/>
      <c r="M44727" s="9" t="s">
        <v>29</v>
      </c>
    </row>
    <row r="44728" ht="15.75" customHeight="1">
      <c r="A44728" s="7"/>
      <c r="B44728" s="7"/>
      <c r="M44728" s="9" t="s">
        <v>20</v>
      </c>
    </row>
    <row r="44729" ht="15.75" customHeight="1">
      <c r="A44729" s="7"/>
      <c r="B44729" s="7"/>
      <c r="M44729" s="9" t="s">
        <v>27</v>
      </c>
    </row>
    <row r="44730" ht="15.75" customHeight="1">
      <c r="A44730" s="7"/>
      <c r="B44730" s="7"/>
      <c r="M44730" s="9" t="s">
        <v>42</v>
      </c>
    </row>
    <row r="44731" ht="15.75" customHeight="1">
      <c r="A44731" s="7"/>
      <c r="B44731" s="7"/>
      <c r="M44731" s="9" t="s">
        <v>21</v>
      </c>
    </row>
    <row r="44732" ht="15.75" customHeight="1">
      <c r="A44732" s="7"/>
      <c r="B44732" s="7"/>
      <c r="M44732" s="9" t="s">
        <v>41</v>
      </c>
    </row>
    <row r="44733" ht="15.75" customHeight="1">
      <c r="A44733" s="7"/>
      <c r="B44733" s="7"/>
      <c r="M44733" s="9" t="s">
        <v>40</v>
      </c>
    </row>
    <row r="44734" ht="15.75" customHeight="1">
      <c r="A44734" s="7"/>
      <c r="B44734" s="7"/>
      <c r="M44734" s="9" t="s">
        <v>35</v>
      </c>
    </row>
    <row r="44735" ht="15.75" customHeight="1">
      <c r="A44735" s="7"/>
      <c r="B44735" s="7"/>
      <c r="M44735" s="9" t="s">
        <v>30</v>
      </c>
    </row>
    <row r="44736" ht="15.75" customHeight="1">
      <c r="A44736" s="7"/>
      <c r="B44736" s="7"/>
      <c r="M44736" s="9" t="s">
        <v>23</v>
      </c>
    </row>
    <row r="44737" ht="15.75" customHeight="1">
      <c r="A44737" s="7"/>
      <c r="B44737" s="7"/>
      <c r="M44737" s="9" t="s">
        <v>26</v>
      </c>
    </row>
    <row r="44738" ht="15.75" customHeight="1">
      <c r="A44738" s="7"/>
      <c r="B44738" s="7"/>
      <c r="M44738" s="9" t="s">
        <v>24</v>
      </c>
    </row>
    <row r="44739" ht="15.75" customHeight="1">
      <c r="A44739" s="7"/>
      <c r="B44739" s="7"/>
      <c r="M44739" s="9" t="s">
        <v>21</v>
      </c>
    </row>
    <row r="44740" ht="15.75" customHeight="1">
      <c r="A44740" s="7"/>
      <c r="B44740" s="7"/>
      <c r="M44740" s="9" t="s">
        <v>37</v>
      </c>
    </row>
    <row r="44741" ht="15.75" customHeight="1">
      <c r="A44741" s="7"/>
      <c r="B44741" s="7"/>
      <c r="M44741" s="9" t="s">
        <v>22</v>
      </c>
    </row>
    <row r="44742" ht="15.75" customHeight="1">
      <c r="A44742" s="7"/>
      <c r="B44742" s="7"/>
      <c r="M44742" s="9" t="s">
        <v>27</v>
      </c>
    </row>
    <row r="44743" ht="15.75" customHeight="1">
      <c r="A44743" s="7"/>
      <c r="B44743" s="7"/>
      <c r="M44743" s="9" t="s">
        <v>33</v>
      </c>
    </row>
    <row r="44744" ht="15.75" customHeight="1">
      <c r="A44744" s="7"/>
      <c r="B44744" s="7"/>
      <c r="M44744" s="9" t="s">
        <v>28</v>
      </c>
    </row>
    <row r="44745" ht="15.75" customHeight="1">
      <c r="A44745" s="7"/>
      <c r="B44745" s="7"/>
      <c r="M44745" s="9" t="s">
        <v>25</v>
      </c>
    </row>
    <row r="44746" ht="15.75" customHeight="1">
      <c r="A44746" s="7"/>
      <c r="B44746" s="7"/>
      <c r="M44746" s="9" t="s">
        <v>23</v>
      </c>
    </row>
    <row r="44747" ht="15.75" customHeight="1">
      <c r="A44747" s="7"/>
      <c r="B44747" s="7"/>
      <c r="M44747" s="9" t="s">
        <v>24</v>
      </c>
    </row>
    <row r="44748" ht="15.75" customHeight="1">
      <c r="A44748" s="7"/>
      <c r="B44748" s="7"/>
      <c r="M44748" s="9" t="s">
        <v>20</v>
      </c>
    </row>
    <row r="44749" ht="15.75" customHeight="1">
      <c r="A44749" s="7"/>
      <c r="B44749" s="7"/>
      <c r="M44749" s="9" t="s">
        <v>21</v>
      </c>
    </row>
    <row r="44750" ht="15.75" customHeight="1">
      <c r="A44750" s="7"/>
      <c r="B44750" s="7"/>
      <c r="M44750" s="9" t="s">
        <v>41</v>
      </c>
    </row>
    <row r="44751" ht="15.75" customHeight="1">
      <c r="A44751" s="7"/>
      <c r="B44751" s="7"/>
      <c r="M44751" s="9" t="s">
        <v>37</v>
      </c>
    </row>
    <row r="44752" ht="15.75" customHeight="1">
      <c r="A44752" s="7"/>
      <c r="B44752" s="7"/>
      <c r="M44752" s="9" t="s">
        <v>27</v>
      </c>
    </row>
    <row r="44753" ht="15.75" customHeight="1">
      <c r="A44753" s="7"/>
      <c r="B44753" s="7"/>
      <c r="M44753" s="9" t="s">
        <v>33</v>
      </c>
    </row>
    <row r="44754" ht="15.75" customHeight="1">
      <c r="A44754" s="7"/>
      <c r="B44754" s="7"/>
      <c r="M44754" s="9" t="s">
        <v>20</v>
      </c>
    </row>
    <row r="44755" ht="15.75" customHeight="1">
      <c r="A44755" s="7"/>
      <c r="B44755" s="7"/>
      <c r="M44755" s="9" t="s">
        <v>21</v>
      </c>
    </row>
    <row r="44756" ht="15.75" customHeight="1">
      <c r="A44756" s="7"/>
      <c r="B44756" s="7"/>
      <c r="M44756" s="9" t="s">
        <v>22</v>
      </c>
    </row>
    <row r="44757" ht="15.75" customHeight="1">
      <c r="A44757" s="7"/>
      <c r="B44757" s="7"/>
      <c r="M44757" s="9" t="s">
        <v>33</v>
      </c>
    </row>
    <row r="44758" ht="15.75" customHeight="1">
      <c r="A44758" s="7"/>
      <c r="B44758" s="7"/>
      <c r="M44758" s="9" t="s">
        <v>30</v>
      </c>
    </row>
    <row r="44759" ht="15.75" customHeight="1">
      <c r="A44759" s="7"/>
      <c r="B44759" s="7"/>
      <c r="M44759" s="9" t="s">
        <v>20</v>
      </c>
    </row>
    <row r="44760" ht="15.75" customHeight="1">
      <c r="A44760" s="7"/>
      <c r="B44760" s="7"/>
      <c r="M44760" s="9" t="s">
        <v>22</v>
      </c>
    </row>
    <row r="44761" ht="15.75" customHeight="1">
      <c r="A44761" s="7"/>
      <c r="B44761" s="7"/>
      <c r="M44761" s="9" t="s">
        <v>27</v>
      </c>
    </row>
    <row r="44762" ht="15.75" customHeight="1">
      <c r="A44762" s="7"/>
      <c r="B44762" s="7"/>
      <c r="M44762" s="9" t="s">
        <v>36</v>
      </c>
    </row>
    <row r="44763" ht="15.75" customHeight="1">
      <c r="A44763" s="7"/>
      <c r="B44763" s="7"/>
      <c r="M44763" s="9" t="s">
        <v>24</v>
      </c>
    </row>
    <row r="44764" ht="15.75" customHeight="1">
      <c r="A44764" s="7"/>
      <c r="B44764" s="7"/>
      <c r="M44764" s="9" t="s">
        <v>21</v>
      </c>
    </row>
    <row r="44765" ht="15.75" customHeight="1">
      <c r="A44765" s="7"/>
      <c r="B44765" s="7"/>
      <c r="M44765" s="9" t="s">
        <v>37</v>
      </c>
    </row>
    <row r="44766" ht="15.75" customHeight="1">
      <c r="A44766" s="7"/>
      <c r="B44766" s="7"/>
      <c r="M44766" s="9" t="s">
        <v>27</v>
      </c>
    </row>
    <row r="44767" ht="15.75" customHeight="1">
      <c r="A44767" s="7"/>
      <c r="B44767" s="7"/>
      <c r="M44767" s="9" t="s">
        <v>38</v>
      </c>
    </row>
    <row r="44768" ht="15.75" customHeight="1">
      <c r="A44768" s="7"/>
      <c r="B44768" s="7"/>
      <c r="M44768" s="9" t="s">
        <v>30</v>
      </c>
    </row>
    <row r="44769" ht="15.75" customHeight="1">
      <c r="A44769" s="7"/>
      <c r="B44769" s="7"/>
      <c r="M44769" s="9" t="s">
        <v>25</v>
      </c>
    </row>
    <row r="44770" ht="15.75" customHeight="1">
      <c r="A44770" s="7"/>
      <c r="B44770" s="7"/>
      <c r="M44770" s="9" t="s">
        <v>24</v>
      </c>
    </row>
    <row r="44771" ht="15.75" customHeight="1">
      <c r="A44771" s="7"/>
      <c r="B44771" s="7"/>
      <c r="M44771" s="9" t="s">
        <v>20</v>
      </c>
    </row>
    <row r="44772" ht="15.75" customHeight="1">
      <c r="A44772" s="7"/>
      <c r="B44772" s="7"/>
      <c r="M44772" s="9" t="s">
        <v>21</v>
      </c>
    </row>
    <row r="44773" ht="15.75" customHeight="1">
      <c r="A44773" s="7"/>
      <c r="B44773" s="7"/>
      <c r="M44773" s="9" t="s">
        <v>37</v>
      </c>
    </row>
    <row r="44774" ht="15.75" customHeight="1">
      <c r="A44774" s="7"/>
      <c r="B44774" s="7"/>
      <c r="M44774" s="9" t="s">
        <v>27</v>
      </c>
    </row>
    <row r="44775" ht="15.75" customHeight="1">
      <c r="A44775" s="7"/>
      <c r="B44775" s="7"/>
      <c r="M44775" s="9" t="s">
        <v>26</v>
      </c>
    </row>
    <row r="44776" ht="15.75" customHeight="1">
      <c r="A44776" s="7"/>
      <c r="B44776" s="7"/>
      <c r="M44776" s="9" t="s">
        <v>36</v>
      </c>
    </row>
    <row r="44777" ht="15.75" customHeight="1">
      <c r="A44777" s="7"/>
      <c r="B44777" s="7"/>
      <c r="M44777" s="9" t="s">
        <v>24</v>
      </c>
    </row>
    <row r="44778" ht="15.75" customHeight="1">
      <c r="A44778" s="7"/>
      <c r="B44778" s="7"/>
      <c r="M44778" s="9" t="s">
        <v>20</v>
      </c>
    </row>
    <row r="44779" ht="15.75" customHeight="1">
      <c r="A44779" s="7"/>
      <c r="B44779" s="7"/>
      <c r="M44779" s="9" t="s">
        <v>21</v>
      </c>
    </row>
    <row r="44780" ht="15.75" customHeight="1">
      <c r="A44780" s="7"/>
      <c r="B44780" s="7"/>
      <c r="M44780" s="9" t="s">
        <v>22</v>
      </c>
    </row>
    <row r="44781" ht="15.75" customHeight="1">
      <c r="A44781" s="7"/>
      <c r="B44781" s="7"/>
      <c r="M44781" s="9" t="s">
        <v>27</v>
      </c>
    </row>
    <row r="44782" ht="15.75" customHeight="1">
      <c r="A44782" s="7"/>
      <c r="B44782" s="7"/>
      <c r="M44782" s="9" t="s">
        <v>33</v>
      </c>
    </row>
    <row r="44783" ht="15.75" customHeight="1">
      <c r="A44783" s="7"/>
      <c r="B44783" s="7"/>
      <c r="M44783" s="9" t="s">
        <v>26</v>
      </c>
    </row>
    <row r="44784" ht="15.75" customHeight="1">
      <c r="A44784" s="7"/>
      <c r="B44784" s="7"/>
      <c r="M44784" s="9" t="s">
        <v>33</v>
      </c>
    </row>
    <row r="44785" ht="15.75" customHeight="1">
      <c r="A44785" s="7"/>
      <c r="B44785" s="7"/>
      <c r="M44785" s="9" t="s">
        <v>26</v>
      </c>
    </row>
    <row r="44786" ht="15.75" customHeight="1">
      <c r="A44786" s="7"/>
      <c r="B44786" s="7"/>
      <c r="M44786" s="9" t="s">
        <v>24</v>
      </c>
    </row>
    <row r="44787" ht="15.75" customHeight="1">
      <c r="A44787" s="7"/>
      <c r="B44787" s="7"/>
      <c r="M44787" s="9" t="s">
        <v>20</v>
      </c>
    </row>
    <row r="44788" ht="15.75" customHeight="1">
      <c r="A44788" s="7"/>
      <c r="B44788" s="7"/>
      <c r="M44788" s="9" t="s">
        <v>21</v>
      </c>
    </row>
    <row r="44789" ht="15.75" customHeight="1">
      <c r="A44789" s="7"/>
      <c r="B44789" s="7"/>
      <c r="M44789" s="9" t="s">
        <v>41</v>
      </c>
    </row>
    <row r="44790" ht="15.75" customHeight="1">
      <c r="A44790" s="7"/>
      <c r="B44790" s="7"/>
      <c r="M44790" s="9" t="s">
        <v>27</v>
      </c>
    </row>
    <row r="44791" ht="15.75" customHeight="1">
      <c r="A44791" s="7"/>
      <c r="B44791" s="7"/>
      <c r="M44791" s="9" t="s">
        <v>40</v>
      </c>
    </row>
    <row r="44792" ht="15.75" customHeight="1">
      <c r="A44792" s="7"/>
      <c r="B44792" s="7"/>
      <c r="M44792" s="9" t="s">
        <v>33</v>
      </c>
    </row>
    <row r="44793" ht="15.75" customHeight="1">
      <c r="A44793" s="7"/>
      <c r="B44793" s="7"/>
      <c r="M44793" s="9" t="s">
        <v>22</v>
      </c>
    </row>
    <row r="44794" ht="15.75" customHeight="1">
      <c r="A44794" s="7"/>
      <c r="B44794" s="7"/>
      <c r="M44794" s="9" t="s">
        <v>29</v>
      </c>
    </row>
    <row r="44795" ht="15.75" customHeight="1">
      <c r="A44795" s="7"/>
      <c r="B44795" s="7"/>
      <c r="M44795" s="9" t="s">
        <v>27</v>
      </c>
    </row>
    <row r="44796" ht="15.75" customHeight="1">
      <c r="A44796" s="7"/>
      <c r="B44796" s="7"/>
      <c r="M44796" s="9" t="s">
        <v>26</v>
      </c>
    </row>
    <row r="44797" ht="15.75" customHeight="1">
      <c r="A44797" s="7"/>
      <c r="B44797" s="7"/>
      <c r="M44797" s="9" t="s">
        <v>24</v>
      </c>
    </row>
    <row r="44798" ht="15.75" customHeight="1">
      <c r="A44798" s="7"/>
      <c r="B44798" s="7"/>
      <c r="M44798" s="9" t="s">
        <v>20</v>
      </c>
    </row>
    <row r="44799" ht="15.75" customHeight="1">
      <c r="A44799" s="7"/>
      <c r="B44799" s="7"/>
      <c r="M44799" s="9" t="s">
        <v>21</v>
      </c>
    </row>
    <row r="44800" ht="15.75" customHeight="1">
      <c r="A44800" s="7"/>
      <c r="B44800" s="7"/>
      <c r="M44800" s="9" t="s">
        <v>37</v>
      </c>
    </row>
    <row r="44801" ht="15.75" customHeight="1">
      <c r="A44801" s="7"/>
      <c r="B44801" s="7"/>
      <c r="M44801" s="9" t="s">
        <v>27</v>
      </c>
    </row>
    <row r="44802" ht="15.75" customHeight="1">
      <c r="A44802" s="7"/>
      <c r="B44802" s="7"/>
      <c r="M44802" s="9" t="s">
        <v>26</v>
      </c>
    </row>
    <row r="44803" ht="15.75" customHeight="1">
      <c r="A44803" s="7"/>
      <c r="B44803" s="7"/>
      <c r="M44803" s="9" t="s">
        <v>24</v>
      </c>
    </row>
    <row r="44804" ht="15.75" customHeight="1">
      <c r="A44804" s="7"/>
      <c r="B44804" s="7"/>
      <c r="M44804" s="9" t="s">
        <v>21</v>
      </c>
    </row>
    <row r="44805" ht="15.75" customHeight="1">
      <c r="A44805" s="7"/>
      <c r="B44805" s="7"/>
      <c r="M44805" s="9" t="s">
        <v>27</v>
      </c>
    </row>
    <row r="44806" ht="15.75" customHeight="1">
      <c r="A44806" s="7"/>
      <c r="B44806" s="7"/>
      <c r="M44806" s="9" t="s">
        <v>33</v>
      </c>
    </row>
    <row r="44807" ht="15.75" customHeight="1">
      <c r="A44807" s="7"/>
      <c r="B44807" s="7"/>
      <c r="M44807" s="9" t="s">
        <v>20</v>
      </c>
    </row>
    <row r="44808" ht="15.75" customHeight="1">
      <c r="A44808" s="7"/>
      <c r="B44808" s="7"/>
      <c r="M44808" s="9" t="s">
        <v>39</v>
      </c>
    </row>
    <row r="44809" ht="15.75" customHeight="1">
      <c r="A44809" s="7"/>
      <c r="B44809" s="7"/>
      <c r="M44809" s="9" t="s">
        <v>26</v>
      </c>
    </row>
    <row r="44810" ht="15.75" customHeight="1">
      <c r="A44810" s="7"/>
      <c r="B44810" s="7"/>
      <c r="M44810" s="9" t="s">
        <v>24</v>
      </c>
    </row>
    <row r="44811" ht="15.75" customHeight="1">
      <c r="A44811" s="7"/>
      <c r="B44811" s="7"/>
      <c r="M44811" s="9" t="s">
        <v>21</v>
      </c>
    </row>
    <row r="44812" ht="15.75" customHeight="1">
      <c r="A44812" s="7"/>
      <c r="B44812" s="7"/>
      <c r="M44812" s="9" t="s">
        <v>27</v>
      </c>
    </row>
    <row r="44813" ht="15.75" customHeight="1">
      <c r="A44813" s="7"/>
      <c r="B44813" s="7"/>
      <c r="M44813" s="9" t="s">
        <v>26</v>
      </c>
    </row>
    <row r="44814" ht="15.75" customHeight="1">
      <c r="A44814" s="7"/>
      <c r="B44814" s="7"/>
      <c r="M44814" s="9" t="s">
        <v>24</v>
      </c>
    </row>
    <row r="44815" ht="15.75" customHeight="1">
      <c r="A44815" s="7"/>
      <c r="B44815" s="7"/>
      <c r="M44815" s="9" t="s">
        <v>21</v>
      </c>
    </row>
    <row r="44816" ht="15.75" customHeight="1">
      <c r="A44816" s="7"/>
      <c r="B44816" s="7"/>
      <c r="M44816" s="9" t="s">
        <v>33</v>
      </c>
    </row>
    <row r="44817" ht="15.75" customHeight="1">
      <c r="A44817" s="7"/>
      <c r="B44817" s="7"/>
      <c r="M44817" s="9" t="s">
        <v>24</v>
      </c>
    </row>
    <row r="44818" ht="15.75" customHeight="1">
      <c r="A44818" s="7"/>
      <c r="B44818" s="7"/>
      <c r="M44818" s="9" t="s">
        <v>21</v>
      </c>
    </row>
    <row r="44819" ht="15.75" customHeight="1">
      <c r="A44819" s="7"/>
      <c r="B44819" s="7"/>
      <c r="M44819" s="9" t="s">
        <v>30</v>
      </c>
    </row>
    <row r="44820" ht="15.75" customHeight="1">
      <c r="A44820" s="7"/>
      <c r="B44820" s="7"/>
      <c r="M44820" s="9" t="s">
        <v>23</v>
      </c>
    </row>
    <row r="44821" ht="15.75" customHeight="1">
      <c r="A44821" s="7"/>
      <c r="B44821" s="7"/>
      <c r="M44821" s="9" t="s">
        <v>22</v>
      </c>
    </row>
    <row r="44822" ht="15.75" customHeight="1">
      <c r="A44822" s="7"/>
      <c r="B44822" s="7"/>
      <c r="M44822" s="9" t="s">
        <v>38</v>
      </c>
    </row>
    <row r="44823" ht="15.75" customHeight="1">
      <c r="A44823" s="7"/>
      <c r="B44823" s="7"/>
      <c r="M44823" s="9" t="s">
        <v>26</v>
      </c>
    </row>
    <row r="44824" ht="15.75" customHeight="1">
      <c r="A44824" s="7"/>
      <c r="B44824" s="7"/>
      <c r="M44824" s="9" t="s">
        <v>32</v>
      </c>
    </row>
    <row r="44825" ht="15.75" customHeight="1">
      <c r="A44825" s="7"/>
      <c r="B44825" s="7"/>
      <c r="M44825" s="9" t="s">
        <v>26</v>
      </c>
    </row>
    <row r="44826" ht="15.75" customHeight="1">
      <c r="A44826" s="7"/>
      <c r="B44826" s="7"/>
      <c r="M44826" s="9" t="s">
        <v>20</v>
      </c>
    </row>
    <row r="44827" ht="15.75" customHeight="1">
      <c r="A44827" s="7"/>
      <c r="B44827" s="7"/>
      <c r="M44827" s="9" t="s">
        <v>26</v>
      </c>
    </row>
    <row r="44828" ht="15.75" customHeight="1">
      <c r="A44828" s="7"/>
      <c r="B44828" s="7"/>
      <c r="M44828" s="9" t="s">
        <v>24</v>
      </c>
    </row>
    <row r="44829" ht="15.75" customHeight="1">
      <c r="A44829" s="7"/>
      <c r="B44829" s="7"/>
      <c r="M44829" s="9" t="s">
        <v>21</v>
      </c>
    </row>
    <row r="44830" ht="15.75" customHeight="1">
      <c r="A44830" s="7"/>
      <c r="B44830" s="7"/>
      <c r="M44830" s="9" t="s">
        <v>27</v>
      </c>
    </row>
    <row r="44831" ht="15.75" customHeight="1">
      <c r="A44831" s="7"/>
      <c r="B44831" s="7"/>
      <c r="M44831" s="9" t="s">
        <v>38</v>
      </c>
    </row>
    <row r="44832" ht="15.75" customHeight="1">
      <c r="A44832" s="7"/>
      <c r="B44832" s="7"/>
      <c r="M44832" s="9" t="s">
        <v>25</v>
      </c>
    </row>
    <row r="44833" ht="15.75" customHeight="1">
      <c r="A44833" s="7"/>
      <c r="B44833" s="7"/>
      <c r="M44833" s="9" t="s">
        <v>23</v>
      </c>
    </row>
    <row r="44834" ht="15.75" customHeight="1">
      <c r="A44834" s="7"/>
      <c r="B44834" s="7"/>
      <c r="M44834" s="9" t="s">
        <v>21</v>
      </c>
    </row>
    <row r="44835" ht="15.75" customHeight="1">
      <c r="A44835" s="7"/>
      <c r="B44835" s="7"/>
      <c r="M44835" s="9" t="s">
        <v>22</v>
      </c>
    </row>
    <row r="44836" ht="15.75" customHeight="1">
      <c r="A44836" s="7"/>
      <c r="B44836" s="7"/>
      <c r="M44836" s="9" t="s">
        <v>31</v>
      </c>
    </row>
    <row r="44837" ht="15.75" customHeight="1">
      <c r="A44837" s="7"/>
      <c r="B44837" s="7"/>
      <c r="M44837" s="9" t="s">
        <v>32</v>
      </c>
    </row>
    <row r="44838" ht="15.75" customHeight="1">
      <c r="A44838" s="7"/>
      <c r="B44838" s="7"/>
      <c r="M44838" s="9" t="s">
        <v>30</v>
      </c>
    </row>
    <row r="44839" ht="15.75" customHeight="1">
      <c r="A44839" s="7"/>
      <c r="B44839" s="7"/>
      <c r="M44839" s="9" t="s">
        <v>25</v>
      </c>
    </row>
    <row r="44840" ht="15.75" customHeight="1">
      <c r="A44840" s="7"/>
      <c r="B44840" s="7"/>
      <c r="M44840" s="9" t="s">
        <v>23</v>
      </c>
    </row>
    <row r="44841" ht="15.75" customHeight="1">
      <c r="A44841" s="7"/>
      <c r="B44841" s="7"/>
      <c r="M44841" s="9" t="s">
        <v>26</v>
      </c>
    </row>
    <row r="44842" ht="15.75" customHeight="1">
      <c r="A44842" s="7"/>
      <c r="B44842" s="7"/>
      <c r="M44842" s="9" t="s">
        <v>24</v>
      </c>
    </row>
    <row r="44843" ht="15.75" customHeight="1">
      <c r="A44843" s="7"/>
      <c r="B44843" s="7"/>
      <c r="M44843" s="9" t="s">
        <v>21</v>
      </c>
    </row>
    <row r="44844" ht="15.75" customHeight="1">
      <c r="A44844" s="7"/>
      <c r="B44844" s="7"/>
      <c r="M44844" s="9" t="s">
        <v>25</v>
      </c>
    </row>
    <row r="44845" ht="15.75" customHeight="1">
      <c r="A44845" s="7"/>
      <c r="B44845" s="7"/>
      <c r="M44845" s="9" t="s">
        <v>36</v>
      </c>
    </row>
    <row r="44846" ht="15.75" customHeight="1">
      <c r="A44846" s="7"/>
      <c r="B44846" s="7"/>
      <c r="M44846" s="9" t="s">
        <v>21</v>
      </c>
    </row>
    <row r="44847" ht="15.75" customHeight="1">
      <c r="A44847" s="7"/>
      <c r="B44847" s="7"/>
      <c r="M44847" s="9" t="s">
        <v>32</v>
      </c>
    </row>
    <row r="44848" ht="15.75" customHeight="1">
      <c r="A44848" s="7"/>
      <c r="B44848" s="7"/>
      <c r="M44848" s="9" t="s">
        <v>33</v>
      </c>
    </row>
    <row r="44849" ht="15.75" customHeight="1">
      <c r="A44849" s="7"/>
      <c r="B44849" s="7"/>
      <c r="M44849" s="9" t="s">
        <v>24</v>
      </c>
    </row>
    <row r="44850" ht="15.75" customHeight="1">
      <c r="A44850" s="7"/>
      <c r="B44850" s="7"/>
      <c r="M44850" s="9" t="s">
        <v>20</v>
      </c>
    </row>
    <row r="44851" ht="15.75" customHeight="1">
      <c r="A44851" s="7"/>
      <c r="B44851" s="7"/>
      <c r="M44851" s="9" t="s">
        <v>21</v>
      </c>
    </row>
    <row r="44852" ht="15.75" customHeight="1">
      <c r="A44852" s="7"/>
      <c r="B44852" s="7"/>
      <c r="M44852" s="9" t="s">
        <v>37</v>
      </c>
    </row>
    <row r="44853" ht="15.75" customHeight="1">
      <c r="A44853" s="7"/>
      <c r="B44853" s="7"/>
      <c r="M44853" s="9" t="s">
        <v>25</v>
      </c>
    </row>
    <row r="44854" ht="15.75" customHeight="1">
      <c r="A44854" s="7"/>
      <c r="B44854" s="7"/>
      <c r="M44854" s="9" t="s">
        <v>23</v>
      </c>
    </row>
    <row r="44855" ht="15.75" customHeight="1">
      <c r="A44855" s="7"/>
      <c r="B44855" s="7"/>
      <c r="M44855" s="9" t="s">
        <v>26</v>
      </c>
    </row>
    <row r="44856" ht="15.75" customHeight="1">
      <c r="A44856" s="7"/>
      <c r="B44856" s="7"/>
      <c r="M44856" s="9" t="s">
        <v>26</v>
      </c>
    </row>
    <row r="44857" ht="15.75" customHeight="1">
      <c r="A44857" s="7"/>
      <c r="B44857" s="7"/>
      <c r="M44857" s="9" t="s">
        <v>24</v>
      </c>
    </row>
    <row r="44858" ht="15.75" customHeight="1">
      <c r="A44858" s="7"/>
      <c r="B44858" s="7"/>
      <c r="M44858" s="9" t="s">
        <v>21</v>
      </c>
    </row>
    <row r="44859" ht="15.75" customHeight="1">
      <c r="A44859" s="7"/>
      <c r="B44859" s="7"/>
      <c r="M44859" s="9" t="s">
        <v>37</v>
      </c>
    </row>
    <row r="44860" ht="15.75" customHeight="1">
      <c r="A44860" s="7"/>
      <c r="B44860" s="7"/>
      <c r="M44860" s="9" t="s">
        <v>27</v>
      </c>
    </row>
    <row r="44861" ht="15.75" customHeight="1">
      <c r="A44861" s="7"/>
      <c r="B44861" s="7"/>
      <c r="M44861" s="9" t="s">
        <v>30</v>
      </c>
    </row>
    <row r="44862" ht="15.75" customHeight="1">
      <c r="A44862" s="7"/>
      <c r="B44862" s="7"/>
      <c r="M44862" s="9" t="s">
        <v>25</v>
      </c>
    </row>
    <row r="44863" ht="15.75" customHeight="1">
      <c r="A44863" s="7"/>
      <c r="B44863" s="7"/>
      <c r="M44863" s="9" t="s">
        <v>23</v>
      </c>
    </row>
    <row r="44864" ht="15.75" customHeight="1">
      <c r="A44864" s="7"/>
      <c r="B44864" s="7"/>
      <c r="M44864" s="9" t="s">
        <v>24</v>
      </c>
    </row>
    <row r="44865" ht="15.75" customHeight="1">
      <c r="A44865" s="7"/>
      <c r="B44865" s="7"/>
      <c r="M44865" s="9" t="s">
        <v>20</v>
      </c>
    </row>
    <row r="44866" ht="15.75" customHeight="1">
      <c r="A44866" s="7"/>
      <c r="B44866" s="7"/>
      <c r="M44866" s="9" t="s">
        <v>21</v>
      </c>
    </row>
    <row r="44867" ht="15.75" customHeight="1">
      <c r="A44867" s="7"/>
      <c r="B44867" s="7"/>
      <c r="M44867" s="9" t="s">
        <v>22</v>
      </c>
    </row>
    <row r="44868" ht="15.75" customHeight="1">
      <c r="A44868" s="7"/>
      <c r="B44868" s="7"/>
      <c r="M44868" s="9" t="s">
        <v>27</v>
      </c>
    </row>
    <row r="44869" ht="15.75" customHeight="1">
      <c r="A44869" s="7"/>
      <c r="B44869" s="7"/>
      <c r="M44869" s="9" t="s">
        <v>24</v>
      </c>
    </row>
    <row r="44870" ht="15.75" customHeight="1">
      <c r="A44870" s="7"/>
      <c r="B44870" s="7"/>
      <c r="M44870" s="9" t="s">
        <v>21</v>
      </c>
    </row>
    <row r="44871" ht="15.75" customHeight="1">
      <c r="A44871" s="7"/>
      <c r="B44871" s="7"/>
      <c r="M44871" s="9" t="s">
        <v>37</v>
      </c>
    </row>
    <row r="44872" ht="15.75" customHeight="1">
      <c r="A44872" s="7"/>
      <c r="B44872" s="7"/>
      <c r="M44872" s="9" t="s">
        <v>24</v>
      </c>
    </row>
    <row r="44873" ht="15.75" customHeight="1">
      <c r="A44873" s="7"/>
      <c r="B44873" s="7"/>
      <c r="M44873" s="9" t="s">
        <v>22</v>
      </c>
    </row>
    <row r="44874" ht="15.75" customHeight="1">
      <c r="A44874" s="7"/>
      <c r="B44874" s="7"/>
      <c r="M44874" s="9" t="s">
        <v>29</v>
      </c>
    </row>
    <row r="44875" ht="15.75" customHeight="1">
      <c r="A44875" s="7"/>
      <c r="B44875" s="7"/>
      <c r="M44875" s="9" t="s">
        <v>27</v>
      </c>
    </row>
    <row r="44876" ht="15.75" customHeight="1">
      <c r="A44876" s="7"/>
      <c r="B44876" s="7"/>
      <c r="M44876" s="9" t="s">
        <v>26</v>
      </c>
    </row>
    <row r="44877" ht="15.75" customHeight="1">
      <c r="A44877" s="7"/>
      <c r="B44877" s="7"/>
      <c r="M44877" s="9" t="s">
        <v>35</v>
      </c>
    </row>
    <row r="44878" ht="15.75" customHeight="1">
      <c r="A44878" s="7"/>
      <c r="B44878" s="7"/>
      <c r="M44878" s="9" t="s">
        <v>26</v>
      </c>
    </row>
    <row r="44879" ht="15.75" customHeight="1">
      <c r="A44879" s="7"/>
      <c r="B44879" s="7"/>
      <c r="M44879" s="9" t="s">
        <v>24</v>
      </c>
    </row>
    <row r="44880" ht="15.75" customHeight="1">
      <c r="A44880" s="7"/>
      <c r="B44880" s="7"/>
      <c r="M44880" s="9" t="s">
        <v>21</v>
      </c>
    </row>
    <row r="44881" ht="15.75" customHeight="1">
      <c r="A44881" s="7"/>
      <c r="B44881" s="7"/>
      <c r="M44881" s="9" t="s">
        <v>24</v>
      </c>
    </row>
    <row r="44882" ht="15.75" customHeight="1">
      <c r="A44882" s="7"/>
      <c r="B44882" s="7"/>
      <c r="M44882" s="9" t="s">
        <v>20</v>
      </c>
    </row>
    <row r="44883" ht="15.75" customHeight="1">
      <c r="A44883" s="7"/>
      <c r="B44883" s="7"/>
      <c r="M44883" s="9" t="s">
        <v>21</v>
      </c>
    </row>
    <row r="44884" ht="15.75" customHeight="1">
      <c r="A44884" s="7"/>
      <c r="B44884" s="7"/>
      <c r="M44884" s="9" t="s">
        <v>39</v>
      </c>
    </row>
    <row r="44885" ht="15.75" customHeight="1">
      <c r="A44885" s="7"/>
      <c r="B44885" s="7"/>
      <c r="M44885" s="9" t="s">
        <v>27</v>
      </c>
    </row>
    <row r="44886" ht="15.75" customHeight="1">
      <c r="A44886" s="7"/>
      <c r="B44886" s="7"/>
      <c r="M44886" s="9" t="s">
        <v>33</v>
      </c>
    </row>
    <row r="44887" ht="15.75" customHeight="1">
      <c r="A44887" s="7"/>
      <c r="B44887" s="7"/>
      <c r="M44887" s="9" t="s">
        <v>25</v>
      </c>
    </row>
    <row r="44888" ht="15.75" customHeight="1">
      <c r="A44888" s="7"/>
      <c r="B44888" s="7"/>
      <c r="M44888" s="9" t="s">
        <v>26</v>
      </c>
    </row>
    <row r="44889" ht="15.75" customHeight="1">
      <c r="A44889" s="7"/>
      <c r="B44889" s="7"/>
      <c r="M44889" s="9" t="s">
        <v>24</v>
      </c>
    </row>
    <row r="44890" ht="15.75" customHeight="1">
      <c r="A44890" s="7"/>
      <c r="B44890" s="7"/>
      <c r="M44890" s="9" t="s">
        <v>20</v>
      </c>
    </row>
    <row r="44891" ht="15.75" customHeight="1">
      <c r="A44891" s="7"/>
      <c r="B44891" s="7"/>
      <c r="M44891" s="9" t="s">
        <v>21</v>
      </c>
    </row>
    <row r="44892" ht="15.75" customHeight="1">
      <c r="A44892" s="7"/>
      <c r="B44892" s="7"/>
      <c r="M44892" s="9" t="s">
        <v>37</v>
      </c>
    </row>
    <row r="44893" ht="15.75" customHeight="1">
      <c r="A44893" s="7"/>
      <c r="B44893" s="7"/>
      <c r="M44893" s="9" t="s">
        <v>27</v>
      </c>
    </row>
    <row r="44894" ht="15.75" customHeight="1">
      <c r="A44894" s="7"/>
      <c r="B44894" s="7"/>
      <c r="M44894" s="9" t="s">
        <v>26</v>
      </c>
    </row>
    <row r="44895" ht="15.75" customHeight="1">
      <c r="A44895" s="7"/>
      <c r="B44895" s="7"/>
      <c r="M44895" s="9" t="s">
        <v>24</v>
      </c>
    </row>
    <row r="44896" ht="15.75" customHeight="1">
      <c r="A44896" s="7"/>
      <c r="B44896" s="7"/>
      <c r="M44896" s="9" t="s">
        <v>21</v>
      </c>
    </row>
    <row r="44897" ht="15.75" customHeight="1">
      <c r="A44897" s="7"/>
      <c r="B44897" s="7"/>
      <c r="M44897" s="9" t="s">
        <v>27</v>
      </c>
    </row>
    <row r="44898" ht="15.75" customHeight="1">
      <c r="A44898" s="7"/>
      <c r="B44898" s="7"/>
      <c r="M44898" s="9" t="s">
        <v>23</v>
      </c>
    </row>
    <row r="44899" ht="15.75" customHeight="1">
      <c r="A44899" s="7"/>
      <c r="B44899" s="7"/>
      <c r="M44899" s="9" t="s">
        <v>26</v>
      </c>
    </row>
    <row r="44900" ht="15.75" customHeight="1">
      <c r="A44900" s="7"/>
      <c r="B44900" s="7"/>
      <c r="M44900" s="9" t="s">
        <v>26</v>
      </c>
    </row>
    <row r="44901" ht="15.75" customHeight="1">
      <c r="A44901" s="7"/>
      <c r="B44901" s="7"/>
      <c r="M44901" s="9" t="s">
        <v>24</v>
      </c>
    </row>
    <row r="44902" ht="15.75" customHeight="1">
      <c r="A44902" s="7"/>
      <c r="B44902" s="7"/>
      <c r="M44902" s="9" t="s">
        <v>21</v>
      </c>
    </row>
    <row r="44903" ht="15.75" customHeight="1">
      <c r="A44903" s="7"/>
      <c r="B44903" s="7"/>
      <c r="M44903" s="9" t="s">
        <v>27</v>
      </c>
    </row>
    <row r="44904" ht="15.75" customHeight="1">
      <c r="A44904" s="7"/>
      <c r="B44904" s="7"/>
      <c r="M44904" s="9" t="s">
        <v>33</v>
      </c>
    </row>
    <row r="44905" ht="15.75" customHeight="1">
      <c r="A44905" s="7"/>
      <c r="B44905" s="7"/>
      <c r="M44905" s="9" t="s">
        <v>30</v>
      </c>
    </row>
    <row r="44906" ht="15.75" customHeight="1">
      <c r="A44906" s="7"/>
      <c r="B44906" s="7"/>
      <c r="M44906" s="9" t="s">
        <v>24</v>
      </c>
    </row>
    <row r="44907" ht="15.75" customHeight="1">
      <c r="A44907" s="7"/>
      <c r="B44907" s="7"/>
      <c r="M44907" s="9" t="s">
        <v>21</v>
      </c>
    </row>
    <row r="44908" ht="15.75" customHeight="1">
      <c r="A44908" s="7"/>
      <c r="B44908" s="7"/>
      <c r="M44908" s="9" t="s">
        <v>37</v>
      </c>
    </row>
    <row r="44909" ht="15.75" customHeight="1">
      <c r="A44909" s="7"/>
      <c r="B44909" s="7"/>
      <c r="M44909" s="9" t="s">
        <v>22</v>
      </c>
    </row>
    <row r="44910" ht="15.75" customHeight="1">
      <c r="A44910" s="7"/>
      <c r="B44910" s="7"/>
      <c r="M44910" s="9" t="s">
        <v>27</v>
      </c>
    </row>
    <row r="44911" ht="15.75" customHeight="1">
      <c r="A44911" s="7"/>
      <c r="B44911" s="7"/>
      <c r="M44911" s="9" t="s">
        <v>33</v>
      </c>
    </row>
    <row r="44912" ht="15.75" customHeight="1">
      <c r="A44912" s="7"/>
      <c r="B44912" s="7"/>
      <c r="M44912" s="9" t="s">
        <v>24</v>
      </c>
    </row>
    <row r="44913" ht="15.75" customHeight="1">
      <c r="A44913" s="7"/>
      <c r="B44913" s="7"/>
      <c r="M44913" s="9" t="s">
        <v>20</v>
      </c>
    </row>
    <row r="44914" ht="15.75" customHeight="1">
      <c r="A44914" s="7"/>
      <c r="B44914" s="7"/>
      <c r="M44914" s="9" t="s">
        <v>21</v>
      </c>
    </row>
    <row r="44915" ht="15.75" customHeight="1">
      <c r="A44915" s="7"/>
      <c r="B44915" s="7"/>
      <c r="M44915" s="9" t="s">
        <v>27</v>
      </c>
    </row>
    <row r="44916" ht="15.75" customHeight="1">
      <c r="A44916" s="7"/>
      <c r="B44916" s="7"/>
      <c r="M44916" s="9" t="s">
        <v>33</v>
      </c>
    </row>
    <row r="44917" ht="15.75" customHeight="1">
      <c r="A44917" s="7"/>
      <c r="B44917" s="7"/>
      <c r="M44917" s="9" t="s">
        <v>20</v>
      </c>
    </row>
    <row r="44918" ht="15.75" customHeight="1">
      <c r="A44918" s="7"/>
      <c r="B44918" s="7"/>
      <c r="M44918" s="9" t="s">
        <v>39</v>
      </c>
    </row>
    <row r="44919" ht="15.75" customHeight="1">
      <c r="A44919" s="7"/>
      <c r="B44919" s="7"/>
      <c r="M44919" s="9" t="s">
        <v>22</v>
      </c>
    </row>
    <row r="44920" ht="15.75" customHeight="1">
      <c r="A44920" s="7"/>
      <c r="B44920" s="7"/>
      <c r="M44920" s="9" t="s">
        <v>30</v>
      </c>
    </row>
    <row r="44921" ht="15.75" customHeight="1">
      <c r="A44921" s="7"/>
      <c r="B44921" s="7"/>
      <c r="M44921" s="9" t="s">
        <v>26</v>
      </c>
    </row>
    <row r="44922" ht="15.75" customHeight="1">
      <c r="A44922" s="7"/>
      <c r="B44922" s="7"/>
      <c r="M44922" s="9" t="s">
        <v>24</v>
      </c>
    </row>
    <row r="44923" ht="15.75" customHeight="1">
      <c r="A44923" s="7"/>
      <c r="B44923" s="7"/>
      <c r="M44923" s="9" t="s">
        <v>21</v>
      </c>
    </row>
    <row r="44924" ht="15.75" customHeight="1">
      <c r="A44924" s="7"/>
      <c r="B44924" s="7"/>
      <c r="M44924" s="9" t="s">
        <v>27</v>
      </c>
    </row>
    <row r="44925" ht="15.75" customHeight="1">
      <c r="A44925" s="7"/>
      <c r="B44925" s="7"/>
      <c r="M44925" s="9" t="s">
        <v>33</v>
      </c>
    </row>
    <row r="44926" ht="15.75" customHeight="1">
      <c r="A44926" s="7"/>
      <c r="B44926" s="7"/>
      <c r="M44926" s="9" t="s">
        <v>24</v>
      </c>
    </row>
    <row r="44927" ht="15.75" customHeight="1">
      <c r="A44927" s="7"/>
      <c r="B44927" s="7"/>
      <c r="M44927" s="9" t="s">
        <v>21</v>
      </c>
    </row>
    <row r="44928" ht="15.75" customHeight="1">
      <c r="A44928" s="7"/>
      <c r="B44928" s="7"/>
      <c r="M44928" s="9" t="s">
        <v>37</v>
      </c>
    </row>
    <row r="44929" ht="15.75" customHeight="1">
      <c r="A44929" s="7"/>
      <c r="B44929" s="7"/>
      <c r="M44929" s="9" t="s">
        <v>30</v>
      </c>
    </row>
    <row r="44930" ht="15.75" customHeight="1">
      <c r="A44930" s="7"/>
      <c r="B44930" s="7"/>
      <c r="M44930" s="9" t="s">
        <v>36</v>
      </c>
    </row>
    <row r="44931" ht="15.75" customHeight="1">
      <c r="A44931" s="7"/>
      <c r="B44931" s="7"/>
      <c r="M44931" s="9" t="s">
        <v>21</v>
      </c>
    </row>
    <row r="44932" ht="15.75" customHeight="1">
      <c r="A44932" s="7"/>
      <c r="B44932" s="7"/>
      <c r="M44932" s="9" t="s">
        <v>22</v>
      </c>
    </row>
    <row r="44933" ht="15.75" customHeight="1">
      <c r="A44933" s="7"/>
      <c r="B44933" s="7"/>
      <c r="M44933" s="9" t="s">
        <v>27</v>
      </c>
    </row>
    <row r="44934" ht="15.75" customHeight="1">
      <c r="A44934" s="7"/>
      <c r="B44934" s="7"/>
      <c r="M44934" s="9" t="s">
        <v>30</v>
      </c>
    </row>
    <row r="44935" ht="15.75" customHeight="1">
      <c r="A44935" s="7"/>
      <c r="B44935" s="7"/>
      <c r="M44935" s="9" t="s">
        <v>25</v>
      </c>
    </row>
    <row r="44936" ht="15.75" customHeight="1">
      <c r="A44936" s="7"/>
      <c r="B44936" s="7"/>
      <c r="M44936" s="9" t="s">
        <v>23</v>
      </c>
    </row>
    <row r="44937" ht="15.75" customHeight="1">
      <c r="A44937" s="7"/>
      <c r="B44937" s="7"/>
      <c r="M44937" s="9" t="s">
        <v>20</v>
      </c>
    </row>
    <row r="44938" ht="15.75" customHeight="1">
      <c r="A44938" s="7"/>
      <c r="B44938" s="7"/>
      <c r="M44938" s="9" t="s">
        <v>22</v>
      </c>
    </row>
    <row r="44939" ht="15.75" customHeight="1">
      <c r="A44939" s="7"/>
      <c r="B44939" s="7"/>
      <c r="M44939" s="9" t="s">
        <v>32</v>
      </c>
    </row>
    <row r="44940" ht="15.75" customHeight="1">
      <c r="A44940" s="7"/>
      <c r="B44940" s="7"/>
      <c r="M44940" s="9" t="s">
        <v>30</v>
      </c>
    </row>
    <row r="44941" ht="15.75" customHeight="1">
      <c r="A44941" s="7"/>
      <c r="B44941" s="7"/>
      <c r="M44941" s="9" t="s">
        <v>25</v>
      </c>
    </row>
    <row r="44942" ht="15.75" customHeight="1">
      <c r="A44942" s="7"/>
      <c r="B44942" s="7"/>
      <c r="M44942" s="9" t="s">
        <v>36</v>
      </c>
    </row>
    <row r="44943" ht="15.75" customHeight="1">
      <c r="A44943" s="7"/>
      <c r="B44943" s="7"/>
      <c r="M44943" s="9" t="s">
        <v>24</v>
      </c>
    </row>
    <row r="44944" ht="15.75" customHeight="1">
      <c r="A44944" s="7"/>
      <c r="B44944" s="7"/>
      <c r="M44944" s="9" t="s">
        <v>21</v>
      </c>
    </row>
    <row r="44945" ht="15.75" customHeight="1">
      <c r="A44945" s="7"/>
      <c r="B44945" s="7"/>
      <c r="M44945" s="9" t="s">
        <v>22</v>
      </c>
    </row>
    <row r="44946" ht="15.75" customHeight="1">
      <c r="A44946" s="7"/>
      <c r="B44946" s="7"/>
      <c r="M44946" s="9" t="s">
        <v>31</v>
      </c>
    </row>
    <row r="44947" ht="15.75" customHeight="1">
      <c r="A44947" s="7"/>
      <c r="B44947" s="7"/>
      <c r="M44947" s="9" t="s">
        <v>32</v>
      </c>
    </row>
    <row r="44948" ht="15.75" customHeight="1">
      <c r="A44948" s="7"/>
      <c r="B44948" s="7"/>
      <c r="M44948" s="9" t="s">
        <v>27</v>
      </c>
    </row>
    <row r="44949" ht="15.75" customHeight="1">
      <c r="A44949" s="7"/>
      <c r="B44949" s="7"/>
      <c r="M44949" s="9" t="s">
        <v>40</v>
      </c>
    </row>
    <row r="44950" ht="15.75" customHeight="1">
      <c r="A44950" s="7"/>
      <c r="B44950" s="7"/>
      <c r="M44950" s="9" t="s">
        <v>33</v>
      </c>
    </row>
    <row r="44951" ht="15.75" customHeight="1">
      <c r="A44951" s="7"/>
      <c r="B44951" s="7"/>
      <c r="M44951" s="9" t="s">
        <v>34</v>
      </c>
    </row>
    <row r="44952" ht="15.75" customHeight="1">
      <c r="A44952" s="7"/>
      <c r="B44952" s="7"/>
      <c r="M44952" s="9" t="s">
        <v>35</v>
      </c>
    </row>
    <row r="44953" ht="15.75" customHeight="1">
      <c r="A44953" s="7"/>
      <c r="B44953" s="7"/>
      <c r="M44953" s="9" t="s">
        <v>21</v>
      </c>
    </row>
    <row r="44954" ht="15.75" customHeight="1">
      <c r="A44954" s="7"/>
      <c r="B44954" s="7"/>
      <c r="M44954" s="9" t="s">
        <v>31</v>
      </c>
    </row>
    <row r="44955" ht="15.75" customHeight="1">
      <c r="A44955" s="7"/>
      <c r="B44955" s="7"/>
      <c r="M44955" s="9" t="s">
        <v>33</v>
      </c>
    </row>
    <row r="44956" ht="15.75" customHeight="1">
      <c r="A44956" s="7"/>
      <c r="B44956" s="7"/>
      <c r="M44956" s="9" t="s">
        <v>23</v>
      </c>
    </row>
    <row r="44957" ht="15.75" customHeight="1">
      <c r="A44957" s="7"/>
      <c r="B44957" s="7"/>
      <c r="M44957" s="9" t="s">
        <v>26</v>
      </c>
    </row>
    <row r="44958" ht="15.75" customHeight="1">
      <c r="A44958" s="7"/>
      <c r="B44958" s="7"/>
      <c r="M44958" s="9" t="s">
        <v>22</v>
      </c>
    </row>
    <row r="44959" ht="15.75" customHeight="1">
      <c r="A44959" s="7"/>
      <c r="B44959" s="7"/>
      <c r="M44959" s="9" t="s">
        <v>32</v>
      </c>
    </row>
    <row r="44960" ht="15.75" customHeight="1">
      <c r="A44960" s="7"/>
      <c r="B44960" s="7"/>
      <c r="M44960" s="9" t="s">
        <v>35</v>
      </c>
    </row>
    <row r="44961" ht="15.75" customHeight="1">
      <c r="A44961" s="7"/>
      <c r="B44961" s="7"/>
      <c r="M44961" s="9" t="s">
        <v>38</v>
      </c>
    </row>
    <row r="44962" ht="15.75" customHeight="1">
      <c r="A44962" s="7"/>
      <c r="B44962" s="7"/>
      <c r="M44962" s="9" t="s">
        <v>25</v>
      </c>
    </row>
    <row r="44963" ht="15.75" customHeight="1">
      <c r="A44963" s="7"/>
      <c r="B44963" s="7"/>
      <c r="M44963" s="9" t="s">
        <v>23</v>
      </c>
    </row>
    <row r="44964" ht="15.75" customHeight="1">
      <c r="A44964" s="7"/>
      <c r="B44964" s="7"/>
      <c r="M44964" s="9" t="s">
        <v>26</v>
      </c>
    </row>
    <row r="44965" ht="15.75" customHeight="1">
      <c r="A44965" s="7"/>
      <c r="B44965" s="7"/>
      <c r="M44965" s="9" t="s">
        <v>24</v>
      </c>
    </row>
    <row r="44966" ht="15.75" customHeight="1">
      <c r="A44966" s="7"/>
      <c r="B44966" s="7"/>
      <c r="M44966" s="9" t="s">
        <v>20</v>
      </c>
    </row>
    <row r="44967" ht="15.75" customHeight="1">
      <c r="A44967" s="7"/>
      <c r="B44967" s="7"/>
      <c r="M44967" s="9" t="s">
        <v>21</v>
      </c>
    </row>
    <row r="44968" ht="15.75" customHeight="1">
      <c r="A44968" s="7"/>
      <c r="B44968" s="7"/>
      <c r="M44968" s="9" t="s">
        <v>37</v>
      </c>
    </row>
    <row r="44969" ht="15.75" customHeight="1">
      <c r="A44969" s="7"/>
      <c r="B44969" s="7"/>
      <c r="M44969" s="9" t="s">
        <v>27</v>
      </c>
    </row>
    <row r="44970" ht="15.75" customHeight="1">
      <c r="A44970" s="7"/>
      <c r="B44970" s="7"/>
      <c r="M44970" s="9" t="s">
        <v>20</v>
      </c>
    </row>
    <row r="44971" ht="15.75" customHeight="1">
      <c r="A44971" s="7"/>
      <c r="B44971" s="7"/>
      <c r="M44971" s="9" t="s">
        <v>26</v>
      </c>
    </row>
    <row r="44972" ht="15.75" customHeight="1">
      <c r="A44972" s="7"/>
      <c r="B44972" s="7"/>
      <c r="M44972" s="9" t="s">
        <v>36</v>
      </c>
    </row>
    <row r="44973" ht="15.75" customHeight="1">
      <c r="A44973" s="7"/>
      <c r="B44973" s="7"/>
      <c r="M44973" s="9" t="s">
        <v>24</v>
      </c>
    </row>
    <row r="44974" ht="15.75" customHeight="1">
      <c r="A44974" s="7"/>
      <c r="B44974" s="7"/>
      <c r="M44974" s="9" t="s">
        <v>20</v>
      </c>
    </row>
    <row r="44975" ht="15.75" customHeight="1">
      <c r="A44975" s="7"/>
      <c r="B44975" s="7"/>
      <c r="M44975" s="9" t="s">
        <v>21</v>
      </c>
    </row>
    <row r="44976" ht="15.75" customHeight="1">
      <c r="A44976" s="7"/>
      <c r="B44976" s="7"/>
      <c r="M44976" s="9" t="s">
        <v>27</v>
      </c>
    </row>
    <row r="44977" ht="15.75" customHeight="1">
      <c r="A44977" s="7"/>
      <c r="B44977" s="7"/>
      <c r="M44977" s="9" t="s">
        <v>30</v>
      </c>
    </row>
    <row r="44978" ht="15.75" customHeight="1">
      <c r="A44978" s="7"/>
      <c r="B44978" s="7"/>
      <c r="M44978" s="9" t="s">
        <v>25</v>
      </c>
    </row>
    <row r="44979" ht="15.75" customHeight="1">
      <c r="A44979" s="7"/>
      <c r="B44979" s="7"/>
      <c r="M44979" s="9" t="s">
        <v>23</v>
      </c>
    </row>
    <row r="44980" ht="15.75" customHeight="1">
      <c r="A44980" s="7"/>
      <c r="B44980" s="7"/>
      <c r="M44980" s="9" t="s">
        <v>24</v>
      </c>
    </row>
    <row r="44981" ht="15.75" customHeight="1">
      <c r="A44981" s="7"/>
      <c r="B44981" s="7"/>
      <c r="M44981" s="9" t="s">
        <v>20</v>
      </c>
    </row>
    <row r="44982" ht="15.75" customHeight="1">
      <c r="A44982" s="7"/>
      <c r="B44982" s="7"/>
      <c r="M44982" s="9" t="s">
        <v>22</v>
      </c>
    </row>
    <row r="44983" ht="15.75" customHeight="1">
      <c r="A44983" s="7"/>
      <c r="B44983" s="7"/>
      <c r="M44983" s="9" t="s">
        <v>27</v>
      </c>
    </row>
    <row r="44984" ht="15.75" customHeight="1">
      <c r="A44984" s="7"/>
      <c r="B44984" s="7"/>
      <c r="M44984" s="9" t="s">
        <v>28</v>
      </c>
    </row>
    <row r="44985" ht="15.75" customHeight="1">
      <c r="A44985" s="7"/>
      <c r="B44985" s="7"/>
      <c r="M44985" s="9" t="s">
        <v>30</v>
      </c>
    </row>
    <row r="44986" ht="15.75" customHeight="1">
      <c r="A44986" s="7"/>
      <c r="B44986" s="7"/>
      <c r="M44986" s="9" t="s">
        <v>23</v>
      </c>
    </row>
    <row r="44987" ht="15.75" customHeight="1">
      <c r="A44987" s="7"/>
      <c r="B44987" s="7"/>
      <c r="M44987" s="9" t="s">
        <v>42</v>
      </c>
    </row>
    <row r="44988" ht="15.75" customHeight="1">
      <c r="A44988" s="7"/>
      <c r="B44988" s="7"/>
      <c r="M44988" s="9" t="s">
        <v>36</v>
      </c>
    </row>
    <row r="44989" ht="15.75" customHeight="1">
      <c r="A44989" s="7"/>
      <c r="B44989" s="7"/>
      <c r="M44989" s="9" t="s">
        <v>24</v>
      </c>
    </row>
    <row r="44990" ht="15.75" customHeight="1">
      <c r="A44990" s="7"/>
      <c r="B44990" s="7"/>
      <c r="M44990" s="9" t="s">
        <v>20</v>
      </c>
    </row>
    <row r="44991" ht="15.75" customHeight="1">
      <c r="A44991" s="7"/>
      <c r="B44991" s="7"/>
      <c r="M44991" s="9" t="s">
        <v>21</v>
      </c>
    </row>
    <row r="44992" ht="15.75" customHeight="1">
      <c r="A44992" s="7"/>
      <c r="B44992" s="7"/>
      <c r="M44992" s="9" t="s">
        <v>37</v>
      </c>
    </row>
    <row r="44993" ht="15.75" customHeight="1">
      <c r="A44993" s="7"/>
      <c r="B44993" s="7"/>
      <c r="M44993" s="9" t="s">
        <v>31</v>
      </c>
    </row>
    <row r="44994" ht="15.75" customHeight="1">
      <c r="A44994" s="7"/>
      <c r="B44994" s="7"/>
      <c r="M44994" s="9" t="s">
        <v>27</v>
      </c>
    </row>
    <row r="44995" ht="15.75" customHeight="1">
      <c r="A44995" s="7"/>
      <c r="B44995" s="7"/>
      <c r="M44995" s="9" t="s">
        <v>35</v>
      </c>
    </row>
    <row r="44996" ht="15.75" customHeight="1">
      <c r="A44996" s="7"/>
      <c r="B44996" s="7"/>
      <c r="M44996" s="9" t="s">
        <v>25</v>
      </c>
    </row>
    <row r="44997" ht="15.75" customHeight="1">
      <c r="A44997" s="7"/>
      <c r="B44997" s="7"/>
      <c r="M44997" s="9" t="s">
        <v>23</v>
      </c>
    </row>
    <row r="44998" ht="15.75" customHeight="1">
      <c r="A44998" s="7"/>
      <c r="B44998" s="7"/>
      <c r="M44998" s="9" t="s">
        <v>47</v>
      </c>
    </row>
    <row r="44999" ht="15.75" customHeight="1">
      <c r="A44999" s="7"/>
      <c r="B44999" s="7"/>
      <c r="M44999" s="9" t="s">
        <v>24</v>
      </c>
    </row>
    <row r="45000" ht="15.75" customHeight="1">
      <c r="A45000" s="7"/>
      <c r="B45000" s="7"/>
      <c r="M45000" s="9" t="s">
        <v>20</v>
      </c>
    </row>
    <row r="45001" ht="15.75" customHeight="1">
      <c r="A45001" s="7"/>
      <c r="B45001" s="7"/>
      <c r="M45001" s="9" t="s">
        <v>21</v>
      </c>
    </row>
    <row r="45002" ht="15.75" customHeight="1">
      <c r="A45002" s="7"/>
      <c r="B45002" s="7"/>
      <c r="M45002" s="9" t="s">
        <v>28</v>
      </c>
    </row>
    <row r="45003" ht="15.75" customHeight="1">
      <c r="A45003" s="7"/>
      <c r="B45003" s="7"/>
      <c r="M45003" s="9" t="s">
        <v>25</v>
      </c>
    </row>
    <row r="45004" ht="15.75" customHeight="1">
      <c r="A45004" s="7"/>
      <c r="B45004" s="7"/>
      <c r="M45004" s="9" t="s">
        <v>23</v>
      </c>
    </row>
    <row r="45005" ht="15.75" customHeight="1">
      <c r="A45005" s="7"/>
      <c r="B45005" s="7"/>
      <c r="M45005" s="9" t="s">
        <v>36</v>
      </c>
    </row>
    <row r="45006" ht="15.75" customHeight="1">
      <c r="A45006" s="7"/>
      <c r="B45006" s="7"/>
      <c r="M45006" s="9" t="s">
        <v>24</v>
      </c>
    </row>
    <row r="45007" ht="15.75" customHeight="1">
      <c r="A45007" s="7"/>
      <c r="B45007" s="7"/>
      <c r="M45007" s="9" t="s">
        <v>21</v>
      </c>
    </row>
    <row r="45008" ht="15.75" customHeight="1">
      <c r="A45008" s="7"/>
      <c r="B45008" s="7"/>
      <c r="M45008" s="9" t="s">
        <v>22</v>
      </c>
    </row>
    <row r="45009" ht="15.75" customHeight="1">
      <c r="A45009" s="7"/>
      <c r="B45009" s="7"/>
      <c r="M45009" s="9" t="s">
        <v>31</v>
      </c>
    </row>
    <row r="45010" ht="15.75" customHeight="1">
      <c r="A45010" s="7"/>
      <c r="B45010" s="7"/>
      <c r="M45010" s="9" t="s">
        <v>33</v>
      </c>
    </row>
    <row r="45011" ht="15.75" customHeight="1">
      <c r="A45011" s="7"/>
      <c r="B45011" s="7"/>
      <c r="M45011" s="9" t="s">
        <v>26</v>
      </c>
    </row>
    <row r="45012" ht="15.75" customHeight="1">
      <c r="A45012" s="7"/>
      <c r="B45012" s="7"/>
      <c r="M45012" s="9" t="s">
        <v>24</v>
      </c>
    </row>
    <row r="45013" ht="15.75" customHeight="1">
      <c r="A45013" s="7"/>
      <c r="B45013" s="7"/>
      <c r="M45013" s="9" t="s">
        <v>21</v>
      </c>
    </row>
    <row r="45014" ht="15.75" customHeight="1">
      <c r="A45014" s="7"/>
      <c r="B45014" s="7"/>
      <c r="M45014" s="9" t="s">
        <v>27</v>
      </c>
    </row>
    <row r="45015" ht="15.75" customHeight="1">
      <c r="A45015" s="7"/>
      <c r="B45015" s="7"/>
      <c r="M45015" s="9" t="s">
        <v>24</v>
      </c>
    </row>
    <row r="45016" ht="15.75" customHeight="1">
      <c r="A45016" s="7"/>
      <c r="B45016" s="7"/>
      <c r="M45016" s="9" t="s">
        <v>21</v>
      </c>
    </row>
    <row r="45017" ht="15.75" customHeight="1">
      <c r="A45017" s="7"/>
      <c r="B45017" s="7"/>
      <c r="M45017" s="9" t="s">
        <v>27</v>
      </c>
    </row>
    <row r="45018" ht="15.75" customHeight="1">
      <c r="A45018" s="7"/>
      <c r="B45018" s="7"/>
      <c r="M45018" s="9" t="s">
        <v>30</v>
      </c>
    </row>
    <row r="45019" ht="15.75" customHeight="1">
      <c r="A45019" s="7"/>
      <c r="B45019" s="7"/>
      <c r="M45019" s="9" t="s">
        <v>20</v>
      </c>
    </row>
    <row r="45020" ht="15.75" customHeight="1">
      <c r="A45020" s="7"/>
      <c r="B45020" s="7"/>
      <c r="M45020" s="9" t="s">
        <v>27</v>
      </c>
    </row>
    <row r="45021" ht="15.75" customHeight="1">
      <c r="A45021" s="7"/>
      <c r="B45021" s="7"/>
      <c r="M45021" s="9" t="s">
        <v>24</v>
      </c>
    </row>
    <row r="45022" ht="15.75" customHeight="1">
      <c r="A45022" s="7"/>
      <c r="B45022" s="7"/>
      <c r="M45022" s="9" t="s">
        <v>21</v>
      </c>
    </row>
    <row r="45023" ht="15.75" customHeight="1">
      <c r="A45023" s="7"/>
      <c r="B45023" s="7"/>
      <c r="M45023" s="9" t="s">
        <v>37</v>
      </c>
    </row>
    <row r="45024" ht="15.75" customHeight="1">
      <c r="A45024" s="7"/>
      <c r="B45024" s="7"/>
      <c r="M45024" s="9" t="s">
        <v>27</v>
      </c>
    </row>
    <row r="45025" ht="15.75" customHeight="1">
      <c r="A45025" s="7"/>
      <c r="B45025" s="7"/>
      <c r="M45025" s="9" t="s">
        <v>30</v>
      </c>
    </row>
    <row r="45026" ht="15.75" customHeight="1">
      <c r="A45026" s="7"/>
      <c r="B45026" s="7"/>
      <c r="M45026" s="9" t="s">
        <v>23</v>
      </c>
    </row>
    <row r="45027" ht="15.75" customHeight="1">
      <c r="A45027" s="7"/>
      <c r="B45027" s="7"/>
      <c r="M45027" s="9" t="s">
        <v>24</v>
      </c>
    </row>
    <row r="45028" ht="15.75" customHeight="1">
      <c r="A45028" s="7"/>
      <c r="B45028" s="7"/>
      <c r="M45028" s="9" t="s">
        <v>20</v>
      </c>
    </row>
    <row r="45029" ht="15.75" customHeight="1">
      <c r="A45029" s="7"/>
      <c r="B45029" s="7"/>
      <c r="M45029" s="9" t="s">
        <v>21</v>
      </c>
    </row>
    <row r="45030" ht="15.75" customHeight="1">
      <c r="A45030" s="7"/>
      <c r="B45030" s="7"/>
      <c r="M45030" s="9" t="s">
        <v>22</v>
      </c>
    </row>
    <row r="45031" ht="15.75" customHeight="1">
      <c r="A45031" s="7"/>
      <c r="B45031" s="7"/>
      <c r="M45031" s="9" t="s">
        <v>27</v>
      </c>
    </row>
    <row r="45032" ht="15.75" customHeight="1">
      <c r="A45032" s="7"/>
      <c r="B45032" s="7"/>
      <c r="M45032" s="9" t="s">
        <v>30</v>
      </c>
    </row>
    <row r="45033" ht="15.75" customHeight="1">
      <c r="A45033" s="7"/>
      <c r="B45033" s="7"/>
      <c r="M45033" s="9" t="s">
        <v>36</v>
      </c>
    </row>
    <row r="45034" ht="15.75" customHeight="1">
      <c r="A45034" s="7"/>
      <c r="B45034" s="7"/>
      <c r="M45034" s="9" t="s">
        <v>24</v>
      </c>
    </row>
    <row r="45035" ht="15.75" customHeight="1">
      <c r="A45035" s="7"/>
      <c r="B45035" s="7"/>
      <c r="M45035" s="9" t="s">
        <v>21</v>
      </c>
    </row>
    <row r="45036" ht="15.75" customHeight="1">
      <c r="A45036" s="7"/>
      <c r="B45036" s="7"/>
      <c r="M45036" s="9" t="s">
        <v>26</v>
      </c>
    </row>
    <row r="45037" ht="15.75" customHeight="1">
      <c r="A45037" s="7"/>
      <c r="B45037" s="7"/>
      <c r="M45037" s="9" t="s">
        <v>24</v>
      </c>
    </row>
    <row r="45038" ht="15.75" customHeight="1">
      <c r="A45038" s="7"/>
      <c r="B45038" s="7"/>
      <c r="M45038" s="9" t="s">
        <v>21</v>
      </c>
    </row>
    <row r="45039" ht="15.75" customHeight="1">
      <c r="A45039" s="7"/>
      <c r="B45039" s="7"/>
      <c r="M45039" s="9" t="s">
        <v>27</v>
      </c>
    </row>
    <row r="45040" ht="15.75" customHeight="1">
      <c r="A45040" s="7"/>
      <c r="B45040" s="7"/>
      <c r="M45040" s="9" t="s">
        <v>26</v>
      </c>
    </row>
    <row r="45041" ht="15.75" customHeight="1">
      <c r="A45041" s="7"/>
      <c r="B45041" s="7"/>
      <c r="M45041" s="9" t="s">
        <v>24</v>
      </c>
    </row>
    <row r="45042" ht="15.75" customHeight="1">
      <c r="A45042" s="7"/>
      <c r="B45042" s="7"/>
      <c r="M45042" s="9" t="s">
        <v>21</v>
      </c>
    </row>
    <row r="45043" ht="15.75" customHeight="1">
      <c r="A45043" s="7"/>
      <c r="B45043" s="7"/>
      <c r="M45043" s="9" t="s">
        <v>27</v>
      </c>
    </row>
    <row r="45044" ht="15.75" customHeight="1">
      <c r="A45044" s="7"/>
      <c r="B45044" s="7"/>
      <c r="M45044" s="9" t="s">
        <v>30</v>
      </c>
    </row>
    <row r="45045" ht="15.75" customHeight="1">
      <c r="A45045" s="7"/>
      <c r="B45045" s="7"/>
      <c r="M45045" s="9" t="s">
        <v>25</v>
      </c>
    </row>
    <row r="45046" ht="15.75" customHeight="1">
      <c r="A45046" s="7"/>
      <c r="B45046" s="7"/>
      <c r="M45046" s="9" t="s">
        <v>47</v>
      </c>
    </row>
    <row r="45047" ht="15.75" customHeight="1">
      <c r="A45047" s="7"/>
      <c r="B45047" s="7"/>
      <c r="M45047" s="9" t="s">
        <v>24</v>
      </c>
    </row>
    <row r="45048" ht="15.75" customHeight="1">
      <c r="A45048" s="7"/>
      <c r="B45048" s="7"/>
      <c r="M45048" s="9" t="s">
        <v>20</v>
      </c>
    </row>
    <row r="45049" ht="15.75" customHeight="1">
      <c r="A45049" s="7"/>
      <c r="B45049" s="7"/>
      <c r="M45049" s="9" t="s">
        <v>21</v>
      </c>
    </row>
    <row r="45050" ht="15.75" customHeight="1">
      <c r="A45050" s="7"/>
      <c r="B45050" s="7"/>
      <c r="M45050" s="9" t="s">
        <v>37</v>
      </c>
    </row>
    <row r="45051" ht="15.75" customHeight="1">
      <c r="A45051" s="7"/>
      <c r="B45051" s="7"/>
      <c r="M45051" s="9" t="s">
        <v>27</v>
      </c>
    </row>
    <row r="45052" ht="15.75" customHeight="1">
      <c r="A45052" s="7"/>
      <c r="B45052" s="7"/>
      <c r="M45052" s="9" t="s">
        <v>35</v>
      </c>
    </row>
    <row r="45053" ht="15.75" customHeight="1">
      <c r="A45053" s="7"/>
      <c r="B45053" s="7"/>
      <c r="M45053" s="9" t="s">
        <v>24</v>
      </c>
    </row>
    <row r="45054" ht="15.75" customHeight="1">
      <c r="A45054" s="7"/>
      <c r="B45054" s="7"/>
      <c r="M45054" s="9" t="s">
        <v>21</v>
      </c>
    </row>
    <row r="45055" ht="15.75" customHeight="1">
      <c r="A45055" s="7"/>
      <c r="B45055" s="7"/>
      <c r="M45055" s="9" t="s">
        <v>27</v>
      </c>
    </row>
    <row r="45056" ht="15.75" customHeight="1">
      <c r="A45056" s="7"/>
      <c r="B45056" s="7"/>
      <c r="M45056" s="9" t="s">
        <v>28</v>
      </c>
    </row>
    <row r="45057" ht="15.75" customHeight="1">
      <c r="A45057" s="7"/>
      <c r="B45057" s="7"/>
      <c r="M45057" s="9" t="s">
        <v>35</v>
      </c>
    </row>
    <row r="45058" ht="15.75" customHeight="1">
      <c r="A45058" s="7"/>
      <c r="B45058" s="7"/>
      <c r="M45058" s="9" t="s">
        <v>26</v>
      </c>
    </row>
    <row r="45059" ht="15.75" customHeight="1">
      <c r="A45059" s="7"/>
      <c r="B45059" s="7"/>
      <c r="M45059" s="9" t="s">
        <v>24</v>
      </c>
    </row>
    <row r="45060" ht="15.75" customHeight="1">
      <c r="A45060" s="7"/>
      <c r="B45060" s="7"/>
      <c r="M45060" s="9" t="s">
        <v>21</v>
      </c>
    </row>
    <row r="45061" ht="15.75" customHeight="1">
      <c r="A45061" s="7"/>
      <c r="B45061" s="7"/>
      <c r="M45061" s="9" t="s">
        <v>23</v>
      </c>
    </row>
    <row r="45062" ht="15.75" customHeight="1">
      <c r="A45062" s="7"/>
      <c r="B45062" s="7"/>
      <c r="M45062" s="9" t="s">
        <v>21</v>
      </c>
    </row>
    <row r="45063" ht="15.75" customHeight="1">
      <c r="A45063" s="7"/>
      <c r="B45063" s="7"/>
      <c r="M45063" s="9" t="s">
        <v>22</v>
      </c>
    </row>
    <row r="45064" ht="15.75" customHeight="1">
      <c r="A45064" s="7"/>
      <c r="B45064" s="7"/>
      <c r="M45064" s="9" t="s">
        <v>28</v>
      </c>
    </row>
    <row r="45065" ht="15.75" customHeight="1">
      <c r="A45065" s="7"/>
      <c r="B45065" s="7"/>
      <c r="M45065" s="9" t="s">
        <v>24</v>
      </c>
    </row>
    <row r="45066" ht="15.75" customHeight="1">
      <c r="A45066" s="7"/>
      <c r="B45066" s="7"/>
      <c r="M45066" s="9" t="s">
        <v>21</v>
      </c>
    </row>
    <row r="45067" ht="15.75" customHeight="1">
      <c r="A45067" s="7"/>
      <c r="B45067" s="7"/>
      <c r="M45067" s="9" t="s">
        <v>25</v>
      </c>
    </row>
    <row r="45068" ht="15.75" customHeight="1">
      <c r="A45068" s="7"/>
      <c r="B45068" s="7"/>
      <c r="M45068" s="9" t="s">
        <v>23</v>
      </c>
    </row>
    <row r="45069" ht="15.75" customHeight="1">
      <c r="A45069" s="7"/>
      <c r="B45069" s="7"/>
      <c r="M45069" s="9" t="s">
        <v>20</v>
      </c>
    </row>
    <row r="45070" ht="15.75" customHeight="1">
      <c r="A45070" s="7"/>
      <c r="B45070" s="7"/>
      <c r="M45070" s="9" t="s">
        <v>21</v>
      </c>
    </row>
    <row r="45071" ht="15.75" customHeight="1">
      <c r="A45071" s="7"/>
      <c r="B45071" s="7"/>
      <c r="M45071" s="9" t="s">
        <v>22</v>
      </c>
    </row>
    <row r="45072" ht="15.75" customHeight="1">
      <c r="A45072" s="7"/>
      <c r="B45072" s="7"/>
      <c r="M45072" s="9" t="s">
        <v>30</v>
      </c>
    </row>
    <row r="45073" ht="15.75" customHeight="1">
      <c r="A45073" s="7"/>
      <c r="B45073" s="7"/>
      <c r="M45073" s="9" t="s">
        <v>24</v>
      </c>
    </row>
    <row r="45074" ht="15.75" customHeight="1">
      <c r="A45074" s="7"/>
      <c r="B45074" s="7"/>
      <c r="M45074" s="9" t="s">
        <v>20</v>
      </c>
    </row>
    <row r="45075" ht="15.75" customHeight="1">
      <c r="A45075" s="7"/>
      <c r="B45075" s="7"/>
      <c r="M45075" s="9" t="s">
        <v>21</v>
      </c>
    </row>
    <row r="45076" ht="15.75" customHeight="1">
      <c r="A45076" s="7"/>
      <c r="B45076" s="7"/>
      <c r="M45076" s="9" t="s">
        <v>37</v>
      </c>
    </row>
    <row r="45077" ht="15.75" customHeight="1">
      <c r="A45077" s="7"/>
      <c r="B45077" s="7"/>
      <c r="M45077" s="9" t="s">
        <v>30</v>
      </c>
    </row>
    <row r="45078" ht="15.75" customHeight="1">
      <c r="A45078" s="7"/>
      <c r="B45078" s="7"/>
      <c r="M45078" s="9" t="s">
        <v>25</v>
      </c>
    </row>
    <row r="45079" ht="15.75" customHeight="1">
      <c r="A45079" s="7"/>
      <c r="B45079" s="7"/>
      <c r="M45079" s="9" t="s">
        <v>22</v>
      </c>
    </row>
    <row r="45080" ht="15.75" customHeight="1">
      <c r="A45080" s="7"/>
      <c r="B45080" s="7"/>
      <c r="M45080" s="9" t="s">
        <v>35</v>
      </c>
    </row>
    <row r="45081" ht="15.75" customHeight="1">
      <c r="A45081" s="7"/>
      <c r="B45081" s="7"/>
      <c r="M45081" s="9" t="s">
        <v>24</v>
      </c>
    </row>
    <row r="45082" ht="15.75" customHeight="1">
      <c r="A45082" s="7"/>
      <c r="B45082" s="7"/>
      <c r="M45082" s="9" t="s">
        <v>21</v>
      </c>
    </row>
    <row r="45083" ht="15.75" customHeight="1">
      <c r="A45083" s="7"/>
      <c r="B45083" s="7"/>
      <c r="M45083" s="9" t="s">
        <v>22</v>
      </c>
    </row>
    <row r="45084" ht="15.75" customHeight="1">
      <c r="A45084" s="7"/>
      <c r="B45084" s="7"/>
      <c r="M45084" s="9" t="s">
        <v>30</v>
      </c>
    </row>
    <row r="45085" ht="15.75" customHeight="1">
      <c r="A45085" s="7"/>
      <c r="B45085" s="7"/>
      <c r="M45085" s="9" t="s">
        <v>24</v>
      </c>
    </row>
    <row r="45086" ht="15.75" customHeight="1">
      <c r="A45086" s="7"/>
      <c r="B45086" s="7"/>
      <c r="M45086" s="9" t="s">
        <v>37</v>
      </c>
    </row>
    <row r="45087" ht="15.75" customHeight="1">
      <c r="A45087" s="7"/>
      <c r="B45087" s="7"/>
      <c r="M45087" s="9" t="s">
        <v>22</v>
      </c>
    </row>
    <row r="45088" ht="15.75" customHeight="1">
      <c r="A45088" s="7"/>
      <c r="B45088" s="7"/>
      <c r="M45088" s="9" t="s">
        <v>27</v>
      </c>
    </row>
    <row r="45089" ht="15.75" customHeight="1">
      <c r="A45089" s="7"/>
      <c r="B45089" s="7"/>
      <c r="M45089" s="9" t="s">
        <v>26</v>
      </c>
    </row>
    <row r="45090" ht="15.75" customHeight="1">
      <c r="A45090" s="7"/>
      <c r="B45090" s="7"/>
      <c r="M45090" s="9" t="s">
        <v>24</v>
      </c>
    </row>
    <row r="45091" ht="15.75" customHeight="1">
      <c r="A45091" s="7"/>
      <c r="B45091" s="7"/>
      <c r="M45091" s="9" t="s">
        <v>21</v>
      </c>
    </row>
    <row r="45092" ht="15.75" customHeight="1">
      <c r="A45092" s="7"/>
      <c r="B45092" s="7"/>
      <c r="M45092" s="9" t="s">
        <v>37</v>
      </c>
    </row>
    <row r="45093" ht="15.75" customHeight="1">
      <c r="A45093" s="7"/>
      <c r="B45093" s="7"/>
      <c r="M45093" s="9" t="s">
        <v>27</v>
      </c>
    </row>
    <row r="45094" ht="15.75" customHeight="1">
      <c r="A45094" s="7"/>
      <c r="B45094" s="7"/>
      <c r="M45094" s="9" t="s">
        <v>30</v>
      </c>
    </row>
    <row r="45095" ht="15.75" customHeight="1">
      <c r="A45095" s="7"/>
      <c r="B45095" s="7"/>
      <c r="M45095" s="9" t="s">
        <v>23</v>
      </c>
    </row>
    <row r="45096" ht="15.75" customHeight="1">
      <c r="A45096" s="7"/>
      <c r="B45096" s="7"/>
      <c r="M45096" s="9" t="s">
        <v>20</v>
      </c>
    </row>
    <row r="45097" ht="15.75" customHeight="1">
      <c r="A45097" s="7"/>
      <c r="B45097" s="7"/>
      <c r="M45097" s="9" t="s">
        <v>37</v>
      </c>
    </row>
    <row r="45098" ht="15.75" customHeight="1">
      <c r="A45098" s="7"/>
      <c r="B45098" s="7"/>
      <c r="M45098" s="9" t="s">
        <v>31</v>
      </c>
    </row>
    <row r="45099" ht="15.75" customHeight="1">
      <c r="A45099" s="7"/>
      <c r="B45099" s="7"/>
      <c r="M45099" s="9" t="s">
        <v>46</v>
      </c>
    </row>
    <row r="45100" ht="15.75" customHeight="1">
      <c r="A45100" s="7"/>
      <c r="B45100" s="7"/>
      <c r="M45100" s="9" t="s">
        <v>26</v>
      </c>
    </row>
    <row r="45101" ht="15.75" customHeight="1">
      <c r="A45101" s="7"/>
      <c r="B45101" s="7"/>
      <c r="M45101" s="9" t="s">
        <v>24</v>
      </c>
    </row>
    <row r="45102" ht="15.75" customHeight="1">
      <c r="A45102" s="7"/>
      <c r="B45102" s="7"/>
      <c r="M45102" s="9" t="s">
        <v>21</v>
      </c>
    </row>
    <row r="45103" ht="15.75" customHeight="1">
      <c r="A45103" s="7"/>
      <c r="B45103" s="7"/>
      <c r="M45103" s="9" t="s">
        <v>22</v>
      </c>
    </row>
    <row r="45104" ht="15.75" customHeight="1">
      <c r="A45104" s="7"/>
      <c r="B45104" s="7"/>
      <c r="M45104" s="9" t="s">
        <v>33</v>
      </c>
    </row>
    <row r="45105" ht="15.75" customHeight="1">
      <c r="A45105" s="7"/>
      <c r="B45105" s="7"/>
      <c r="M45105" s="9" t="s">
        <v>30</v>
      </c>
    </row>
    <row r="45106" ht="15.75" customHeight="1">
      <c r="A45106" s="7"/>
      <c r="B45106" s="7"/>
      <c r="M45106" s="9" t="s">
        <v>24</v>
      </c>
    </row>
    <row r="45107" ht="15.75" customHeight="1">
      <c r="A45107" s="7"/>
      <c r="B45107" s="7"/>
      <c r="M45107" s="9" t="s">
        <v>20</v>
      </c>
    </row>
    <row r="45108" ht="15.75" customHeight="1">
      <c r="A45108" s="7"/>
      <c r="B45108" s="7"/>
      <c r="M45108" s="9" t="s">
        <v>21</v>
      </c>
    </row>
    <row r="45109" ht="15.75" customHeight="1">
      <c r="A45109" s="7"/>
      <c r="B45109" s="7"/>
      <c r="M45109" s="9" t="s">
        <v>41</v>
      </c>
    </row>
    <row r="45110" ht="15.75" customHeight="1">
      <c r="A45110" s="7"/>
      <c r="B45110" s="7"/>
      <c r="M45110" s="9" t="s">
        <v>22</v>
      </c>
    </row>
    <row r="45111" ht="15.75" customHeight="1">
      <c r="A45111" s="7"/>
      <c r="B45111" s="7"/>
      <c r="M45111" s="9" t="s">
        <v>27</v>
      </c>
    </row>
    <row r="45112" ht="15.75" customHeight="1">
      <c r="A45112" s="7"/>
      <c r="B45112" s="7"/>
      <c r="M45112" s="9" t="s">
        <v>25</v>
      </c>
    </row>
    <row r="45113" ht="15.75" customHeight="1">
      <c r="A45113" s="7"/>
      <c r="B45113" s="7"/>
      <c r="M45113" s="9" t="s">
        <v>23</v>
      </c>
    </row>
    <row r="45114" ht="15.75" customHeight="1">
      <c r="A45114" s="7"/>
      <c r="B45114" s="7"/>
      <c r="M45114" s="9" t="s">
        <v>26</v>
      </c>
    </row>
    <row r="45115" ht="15.75" customHeight="1">
      <c r="A45115" s="7"/>
      <c r="B45115" s="7"/>
      <c r="M45115" s="9" t="s">
        <v>24</v>
      </c>
    </row>
    <row r="45116" ht="15.75" customHeight="1">
      <c r="A45116" s="7"/>
      <c r="B45116" s="7"/>
      <c r="M45116" s="9" t="s">
        <v>20</v>
      </c>
    </row>
    <row r="45117" ht="15.75" customHeight="1">
      <c r="A45117" s="7"/>
      <c r="B45117" s="7"/>
      <c r="M45117" s="9" t="s">
        <v>21</v>
      </c>
    </row>
    <row r="45118" ht="15.75" customHeight="1">
      <c r="A45118" s="7"/>
      <c r="B45118" s="7"/>
      <c r="M45118" s="9" t="s">
        <v>37</v>
      </c>
    </row>
    <row r="45119" ht="15.75" customHeight="1">
      <c r="A45119" s="7"/>
      <c r="B45119" s="7"/>
      <c r="M45119" s="9" t="s">
        <v>22</v>
      </c>
    </row>
    <row r="45120" ht="15.75" customHeight="1">
      <c r="A45120" s="7"/>
      <c r="B45120" s="7"/>
      <c r="M45120" s="9" t="s">
        <v>27</v>
      </c>
    </row>
    <row r="45121" ht="15.75" customHeight="1">
      <c r="A45121" s="7"/>
      <c r="B45121" s="7"/>
      <c r="M45121" s="9" t="s">
        <v>30</v>
      </c>
    </row>
    <row r="45122" ht="15.75" customHeight="1">
      <c r="A45122" s="7"/>
      <c r="B45122" s="7"/>
      <c r="M45122" s="9" t="s">
        <v>21</v>
      </c>
    </row>
    <row r="45123" ht="15.75" customHeight="1">
      <c r="A45123" s="7"/>
      <c r="B45123" s="7"/>
      <c r="M45123" s="9" t="s">
        <v>22</v>
      </c>
    </row>
    <row r="45124" ht="15.75" customHeight="1">
      <c r="A45124" s="7"/>
      <c r="B45124" s="7"/>
      <c r="M45124" s="9" t="s">
        <v>20</v>
      </c>
    </row>
    <row r="45125" ht="15.75" customHeight="1">
      <c r="A45125" s="7"/>
      <c r="B45125" s="7"/>
      <c r="M45125" s="9" t="s">
        <v>21</v>
      </c>
    </row>
    <row r="45126" ht="15.75" customHeight="1">
      <c r="A45126" s="7"/>
      <c r="B45126" s="7"/>
      <c r="M45126" s="9" t="s">
        <v>27</v>
      </c>
    </row>
    <row r="45127" ht="15.75" customHeight="1">
      <c r="A45127" s="7"/>
      <c r="B45127" s="7"/>
      <c r="M45127" s="9" t="s">
        <v>30</v>
      </c>
    </row>
    <row r="45128" ht="15.75" customHeight="1">
      <c r="A45128" s="7"/>
      <c r="B45128" s="7"/>
      <c r="M45128" s="9" t="s">
        <v>26</v>
      </c>
    </row>
    <row r="45129" ht="15.75" customHeight="1">
      <c r="A45129" s="7"/>
      <c r="B45129" s="7"/>
      <c r="M45129" s="9" t="s">
        <v>24</v>
      </c>
    </row>
    <row r="45130" ht="15.75" customHeight="1">
      <c r="A45130" s="7"/>
      <c r="B45130" s="7"/>
      <c r="M45130" s="9" t="s">
        <v>21</v>
      </c>
    </row>
    <row r="45131" ht="15.75" customHeight="1">
      <c r="A45131" s="7"/>
      <c r="B45131" s="7"/>
      <c r="M45131" s="9" t="s">
        <v>27</v>
      </c>
    </row>
    <row r="45132" ht="15.75" customHeight="1">
      <c r="A45132" s="7"/>
      <c r="B45132" s="7"/>
      <c r="M45132" s="9" t="s">
        <v>33</v>
      </c>
    </row>
    <row r="45133" ht="15.75" customHeight="1">
      <c r="A45133" s="7"/>
      <c r="B45133" s="7"/>
      <c r="M45133" s="9" t="s">
        <v>24</v>
      </c>
    </row>
    <row r="45134" ht="15.75" customHeight="1">
      <c r="A45134" s="7"/>
      <c r="B45134" s="7"/>
      <c r="M45134" s="9" t="s">
        <v>21</v>
      </c>
    </row>
    <row r="45135" ht="15.75" customHeight="1">
      <c r="A45135" s="7"/>
      <c r="B45135" s="7"/>
      <c r="M45135" s="9" t="s">
        <v>27</v>
      </c>
    </row>
    <row r="45136" ht="15.75" customHeight="1">
      <c r="A45136" s="7"/>
      <c r="B45136" s="7"/>
      <c r="M45136" s="9" t="s">
        <v>33</v>
      </c>
    </row>
    <row r="45137" ht="15.75" customHeight="1">
      <c r="A45137" s="7"/>
      <c r="B45137" s="7"/>
      <c r="M45137" s="9" t="s">
        <v>30</v>
      </c>
    </row>
    <row r="45138" ht="15.75" customHeight="1">
      <c r="A45138" s="7"/>
      <c r="B45138" s="7"/>
      <c r="M45138" s="9" t="s">
        <v>25</v>
      </c>
    </row>
    <row r="45139" ht="15.75" customHeight="1">
      <c r="A45139" s="7"/>
      <c r="B45139" s="7"/>
      <c r="M45139" s="9" t="s">
        <v>36</v>
      </c>
    </row>
    <row r="45140" ht="15.75" customHeight="1">
      <c r="A45140" s="7"/>
      <c r="B45140" s="7"/>
      <c r="M45140" s="9" t="s">
        <v>24</v>
      </c>
    </row>
    <row r="45141" ht="15.75" customHeight="1">
      <c r="A45141" s="7"/>
      <c r="B45141" s="7"/>
      <c r="M45141" s="9" t="s">
        <v>20</v>
      </c>
    </row>
    <row r="45142" ht="15.75" customHeight="1">
      <c r="A45142" s="7"/>
      <c r="B45142" s="7"/>
      <c r="M45142" s="9" t="s">
        <v>21</v>
      </c>
    </row>
    <row r="45143" ht="15.75" customHeight="1">
      <c r="A45143" s="7"/>
      <c r="B45143" s="7"/>
      <c r="M45143" s="9" t="s">
        <v>39</v>
      </c>
    </row>
    <row r="45144" ht="15.75" customHeight="1">
      <c r="A45144" s="7"/>
      <c r="B45144" s="7"/>
      <c r="M45144" s="9" t="s">
        <v>41</v>
      </c>
    </row>
    <row r="45145" ht="15.75" customHeight="1">
      <c r="A45145" s="7"/>
      <c r="B45145" s="7"/>
      <c r="M45145" s="9" t="s">
        <v>22</v>
      </c>
    </row>
    <row r="45146" ht="15.75" customHeight="1">
      <c r="A45146" s="7"/>
      <c r="B45146" s="7"/>
      <c r="M45146" s="9" t="s">
        <v>31</v>
      </c>
    </row>
    <row r="45147" ht="15.75" customHeight="1">
      <c r="A45147" s="7"/>
      <c r="B45147" s="7"/>
      <c r="M45147" s="9" t="s">
        <v>40</v>
      </c>
    </row>
    <row r="45148" ht="15.75" customHeight="1">
      <c r="A45148" s="7"/>
      <c r="B45148" s="7"/>
      <c r="M45148" s="9" t="s">
        <v>21</v>
      </c>
    </row>
    <row r="45149" ht="15.75" customHeight="1">
      <c r="A45149" s="7"/>
      <c r="B45149" s="7"/>
      <c r="M45149" s="9" t="s">
        <v>33</v>
      </c>
    </row>
    <row r="45150" ht="15.75" customHeight="1">
      <c r="A45150" s="7"/>
      <c r="B45150" s="7"/>
      <c r="M45150" s="9" t="s">
        <v>22</v>
      </c>
    </row>
    <row r="45151" ht="15.75" customHeight="1">
      <c r="A45151" s="7"/>
      <c r="B45151" s="7"/>
      <c r="M45151" s="9" t="s">
        <v>20</v>
      </c>
    </row>
    <row r="45152" ht="15.75" customHeight="1">
      <c r="A45152" s="7"/>
      <c r="B45152" s="7"/>
      <c r="M45152" s="9" t="s">
        <v>21</v>
      </c>
    </row>
    <row r="45153" ht="15.75" customHeight="1">
      <c r="A45153" s="7"/>
      <c r="B45153" s="7"/>
      <c r="M45153" s="9" t="s">
        <v>27</v>
      </c>
    </row>
    <row r="45154" ht="15.75" customHeight="1">
      <c r="A45154" s="7"/>
      <c r="B45154" s="7"/>
      <c r="M45154" s="9" t="s">
        <v>30</v>
      </c>
    </row>
    <row r="45155" ht="15.75" customHeight="1">
      <c r="A45155" s="7"/>
      <c r="B45155" s="7"/>
      <c r="M45155" s="9" t="s">
        <v>24</v>
      </c>
    </row>
    <row r="45156" ht="15.75" customHeight="1">
      <c r="A45156" s="7"/>
      <c r="B45156" s="7"/>
      <c r="M45156" s="9" t="s">
        <v>21</v>
      </c>
    </row>
    <row r="45157" ht="15.75" customHeight="1">
      <c r="A45157" s="7"/>
      <c r="B45157" s="7"/>
      <c r="M45157" s="9" t="s">
        <v>27</v>
      </c>
    </row>
    <row r="45158" ht="15.75" customHeight="1">
      <c r="A45158" s="7"/>
      <c r="B45158" s="7"/>
      <c r="M45158" s="9" t="s">
        <v>35</v>
      </c>
    </row>
    <row r="45159" ht="15.75" customHeight="1">
      <c r="A45159" s="7"/>
      <c r="B45159" s="7"/>
      <c r="M45159" s="9" t="s">
        <v>25</v>
      </c>
    </row>
    <row r="45160" ht="15.75" customHeight="1">
      <c r="A45160" s="7"/>
      <c r="B45160" s="7"/>
      <c r="M45160" s="9" t="s">
        <v>23</v>
      </c>
    </row>
    <row r="45161" ht="15.75" customHeight="1">
      <c r="A45161" s="7"/>
      <c r="B45161" s="7"/>
      <c r="M45161" s="9" t="s">
        <v>26</v>
      </c>
    </row>
    <row r="45162" ht="15.75" customHeight="1">
      <c r="A45162" s="7"/>
      <c r="B45162" s="7"/>
      <c r="M45162" s="9" t="s">
        <v>30</v>
      </c>
    </row>
    <row r="45163" ht="15.75" customHeight="1">
      <c r="A45163" s="7"/>
      <c r="B45163" s="7"/>
      <c r="M45163" s="9" t="s">
        <v>42</v>
      </c>
    </row>
    <row r="45164" ht="15.75" customHeight="1">
      <c r="A45164" s="7"/>
      <c r="B45164" s="7"/>
      <c r="M45164" s="9" t="s">
        <v>24</v>
      </c>
    </row>
    <row r="45165" ht="15.75" customHeight="1">
      <c r="A45165" s="7"/>
      <c r="B45165" s="7"/>
      <c r="M45165" s="9" t="s">
        <v>20</v>
      </c>
    </row>
    <row r="45166" ht="15.75" customHeight="1">
      <c r="A45166" s="7"/>
      <c r="B45166" s="7"/>
      <c r="M45166" s="9" t="s">
        <v>21</v>
      </c>
    </row>
    <row r="45167" ht="15.75" customHeight="1">
      <c r="A45167" s="7"/>
      <c r="B45167" s="7"/>
      <c r="M45167" s="9" t="s">
        <v>22</v>
      </c>
    </row>
    <row r="45168" ht="15.75" customHeight="1">
      <c r="A45168" s="7"/>
      <c r="B45168" s="7"/>
      <c r="M45168" s="9" t="s">
        <v>27</v>
      </c>
    </row>
    <row r="45169" ht="15.75" customHeight="1">
      <c r="A45169" s="7"/>
      <c r="B45169" s="7"/>
      <c r="M45169" s="9" t="s">
        <v>28</v>
      </c>
    </row>
    <row r="45170" ht="15.75" customHeight="1">
      <c r="A45170" s="7"/>
      <c r="B45170" s="7"/>
      <c r="M45170" s="9" t="s">
        <v>25</v>
      </c>
    </row>
    <row r="45171" ht="15.75" customHeight="1">
      <c r="A45171" s="7"/>
      <c r="B45171" s="7"/>
      <c r="M45171" s="9" t="s">
        <v>23</v>
      </c>
    </row>
    <row r="45172" ht="15.75" customHeight="1">
      <c r="A45172" s="7"/>
      <c r="B45172" s="7"/>
      <c r="M45172" s="9" t="s">
        <v>22</v>
      </c>
    </row>
    <row r="45173" ht="15.75" customHeight="1">
      <c r="A45173" s="7"/>
      <c r="B45173" s="7"/>
      <c r="M45173" s="9" t="s">
        <v>40</v>
      </c>
    </row>
    <row r="45174" ht="15.75" customHeight="1">
      <c r="A45174" s="7"/>
      <c r="B45174" s="7"/>
      <c r="M45174" s="9" t="s">
        <v>30</v>
      </c>
    </row>
    <row r="45175" ht="15.75" customHeight="1">
      <c r="A45175" s="7"/>
      <c r="B45175" s="7"/>
      <c r="M45175" s="9" t="s">
        <v>24</v>
      </c>
    </row>
    <row r="45176" ht="15.75" customHeight="1">
      <c r="A45176" s="7"/>
      <c r="B45176" s="7"/>
      <c r="M45176" s="9" t="s">
        <v>20</v>
      </c>
    </row>
    <row r="45177" ht="15.75" customHeight="1">
      <c r="A45177" s="7"/>
      <c r="B45177" s="7"/>
      <c r="M45177" s="9" t="s">
        <v>21</v>
      </c>
    </row>
    <row r="45178" ht="15.75" customHeight="1">
      <c r="A45178" s="7"/>
      <c r="B45178" s="7"/>
      <c r="M45178" s="9" t="s">
        <v>38</v>
      </c>
    </row>
    <row r="45179" ht="15.75" customHeight="1">
      <c r="A45179" s="7"/>
      <c r="B45179" s="7"/>
      <c r="M45179" s="9" t="s">
        <v>30</v>
      </c>
    </row>
    <row r="45180" ht="15.75" customHeight="1">
      <c r="A45180" s="7"/>
      <c r="B45180" s="7"/>
      <c r="M45180" s="9" t="s">
        <v>25</v>
      </c>
    </row>
    <row r="45181" ht="15.75" customHeight="1">
      <c r="A45181" s="7"/>
      <c r="B45181" s="7"/>
      <c r="M45181" s="9" t="s">
        <v>23</v>
      </c>
    </row>
    <row r="45182" ht="15.75" customHeight="1">
      <c r="A45182" s="7"/>
      <c r="B45182" s="7"/>
      <c r="M45182" s="9" t="s">
        <v>24</v>
      </c>
    </row>
    <row r="45183" ht="15.75" customHeight="1">
      <c r="A45183" s="7"/>
      <c r="B45183" s="7"/>
      <c r="M45183" s="9" t="s">
        <v>21</v>
      </c>
    </row>
    <row r="45184" ht="15.75" customHeight="1">
      <c r="A45184" s="7"/>
      <c r="B45184" s="7"/>
      <c r="M45184" s="9" t="s">
        <v>37</v>
      </c>
    </row>
    <row r="45185" ht="15.75" customHeight="1">
      <c r="A45185" s="7"/>
      <c r="B45185" s="7"/>
      <c r="M45185" s="9" t="s">
        <v>22</v>
      </c>
    </row>
    <row r="45186" ht="15.75" customHeight="1">
      <c r="A45186" s="7"/>
      <c r="B45186" s="7"/>
      <c r="M45186" s="9" t="s">
        <v>27</v>
      </c>
    </row>
    <row r="45187" ht="15.75" customHeight="1">
      <c r="A45187" s="7"/>
      <c r="B45187" s="7"/>
      <c r="M45187" s="9" t="s">
        <v>28</v>
      </c>
    </row>
    <row r="45188" ht="15.75" customHeight="1">
      <c r="A45188" s="7"/>
      <c r="B45188" s="7"/>
      <c r="M45188" s="9" t="s">
        <v>20</v>
      </c>
    </row>
    <row r="45189" ht="15.75" customHeight="1">
      <c r="A45189" s="7"/>
      <c r="B45189" s="7"/>
      <c r="M45189" s="9" t="s">
        <v>39</v>
      </c>
    </row>
    <row r="45190" ht="15.75" customHeight="1">
      <c r="A45190" s="7"/>
      <c r="B45190" s="7"/>
      <c r="M45190" s="9" t="s">
        <v>24</v>
      </c>
    </row>
    <row r="45191" ht="15.75" customHeight="1">
      <c r="A45191" s="7"/>
      <c r="B45191" s="7"/>
      <c r="M45191" s="9" t="s">
        <v>21</v>
      </c>
    </row>
    <row r="45192" ht="15.75" customHeight="1">
      <c r="A45192" s="7"/>
      <c r="B45192" s="7"/>
      <c r="M45192" s="9" t="s">
        <v>37</v>
      </c>
    </row>
    <row r="45193" ht="15.75" customHeight="1">
      <c r="A45193" s="7"/>
      <c r="B45193" s="7"/>
      <c r="M45193" s="9" t="s">
        <v>27</v>
      </c>
    </row>
    <row r="45194" ht="15.75" customHeight="1">
      <c r="A45194" s="7"/>
      <c r="B45194" s="7"/>
      <c r="M45194" s="9" t="s">
        <v>25</v>
      </c>
    </row>
    <row r="45195" ht="15.75" customHeight="1">
      <c r="A45195" s="7"/>
      <c r="B45195" s="7"/>
      <c r="M45195" s="9" t="s">
        <v>23</v>
      </c>
    </row>
    <row r="45196" ht="15.75" customHeight="1">
      <c r="A45196" s="7"/>
      <c r="B45196" s="7"/>
      <c r="M45196" s="9" t="s">
        <v>24</v>
      </c>
    </row>
    <row r="45197" ht="15.75" customHeight="1">
      <c r="A45197" s="7"/>
      <c r="B45197" s="7"/>
      <c r="M45197" s="9" t="s">
        <v>21</v>
      </c>
    </row>
    <row r="45198" ht="15.75" customHeight="1">
      <c r="A45198" s="7"/>
      <c r="B45198" s="7"/>
      <c r="M45198" s="9" t="s">
        <v>37</v>
      </c>
    </row>
    <row r="45199" ht="15.75" customHeight="1">
      <c r="A45199" s="7"/>
      <c r="B45199" s="7"/>
      <c r="M45199" s="9" t="s">
        <v>27</v>
      </c>
    </row>
    <row r="45200" ht="15.75" customHeight="1">
      <c r="A45200" s="7"/>
      <c r="B45200" s="7"/>
      <c r="M45200" s="9" t="s">
        <v>25</v>
      </c>
    </row>
    <row r="45201" ht="15.75" customHeight="1">
      <c r="A45201" s="7"/>
      <c r="B45201" s="7"/>
      <c r="M45201" s="9" t="s">
        <v>20</v>
      </c>
    </row>
    <row r="45202" ht="15.75" customHeight="1">
      <c r="A45202" s="7"/>
      <c r="B45202" s="7"/>
      <c r="M45202" s="9" t="s">
        <v>22</v>
      </c>
    </row>
    <row r="45203" ht="15.75" customHeight="1">
      <c r="A45203" s="7"/>
      <c r="B45203" s="7"/>
      <c r="M45203" s="9" t="s">
        <v>30</v>
      </c>
    </row>
    <row r="45204" ht="15.75" customHeight="1">
      <c r="A45204" s="7"/>
      <c r="B45204" s="7"/>
      <c r="M45204" s="9" t="s">
        <v>24</v>
      </c>
    </row>
    <row r="45205" ht="15.75" customHeight="1">
      <c r="A45205" s="7"/>
      <c r="B45205" s="7"/>
      <c r="M45205" s="9" t="s">
        <v>21</v>
      </c>
    </row>
    <row r="45206" ht="15.75" customHeight="1">
      <c r="A45206" s="7"/>
      <c r="B45206" s="7"/>
      <c r="M45206" s="9" t="s">
        <v>37</v>
      </c>
    </row>
    <row r="45207" ht="15.75" customHeight="1">
      <c r="A45207" s="7"/>
      <c r="B45207" s="7"/>
      <c r="M45207" s="9" t="s">
        <v>46</v>
      </c>
    </row>
    <row r="45208" ht="15.75" customHeight="1">
      <c r="A45208" s="7"/>
      <c r="B45208" s="7"/>
      <c r="M45208" s="9" t="s">
        <v>30</v>
      </c>
    </row>
    <row r="45209" ht="15.75" customHeight="1">
      <c r="A45209" s="7"/>
      <c r="B45209" s="7"/>
      <c r="M45209" s="9" t="s">
        <v>24</v>
      </c>
    </row>
    <row r="45210" ht="15.75" customHeight="1">
      <c r="A45210" s="7"/>
      <c r="B45210" s="7"/>
      <c r="M45210" s="9" t="s">
        <v>21</v>
      </c>
    </row>
    <row r="45211" ht="15.75" customHeight="1">
      <c r="A45211" s="7"/>
      <c r="B45211" s="7"/>
      <c r="M45211" s="9" t="s">
        <v>37</v>
      </c>
    </row>
    <row r="45212" ht="15.75" customHeight="1">
      <c r="A45212" s="7"/>
      <c r="B45212" s="7"/>
      <c r="M45212" s="9" t="s">
        <v>22</v>
      </c>
    </row>
    <row r="45213" ht="15.75" customHeight="1">
      <c r="A45213" s="7"/>
      <c r="B45213" s="7"/>
      <c r="M45213" s="9" t="s">
        <v>33</v>
      </c>
    </row>
    <row r="45214" ht="15.75" customHeight="1">
      <c r="A45214" s="7"/>
      <c r="B45214" s="7"/>
      <c r="M45214" s="9" t="s">
        <v>30</v>
      </c>
    </row>
    <row r="45215" ht="15.75" customHeight="1">
      <c r="A45215" s="7"/>
      <c r="B45215" s="7"/>
      <c r="M45215" s="9" t="s">
        <v>25</v>
      </c>
    </row>
    <row r="45216" ht="15.75" customHeight="1">
      <c r="A45216" s="7"/>
      <c r="B45216" s="7"/>
      <c r="M45216" s="9" t="s">
        <v>23</v>
      </c>
    </row>
    <row r="45217" ht="15.75" customHeight="1">
      <c r="A45217" s="7"/>
      <c r="B45217" s="7"/>
      <c r="M45217" s="9" t="s">
        <v>24</v>
      </c>
    </row>
    <row r="45218" ht="15.75" customHeight="1">
      <c r="A45218" s="7"/>
      <c r="B45218" s="7"/>
      <c r="M45218" s="9" t="s">
        <v>20</v>
      </c>
    </row>
    <row r="45219" ht="15.75" customHeight="1">
      <c r="A45219" s="7"/>
      <c r="B45219" s="7"/>
      <c r="M45219" s="9" t="s">
        <v>21</v>
      </c>
    </row>
    <row r="45220" ht="15.75" customHeight="1">
      <c r="A45220" s="7"/>
      <c r="B45220" s="7"/>
      <c r="M45220" s="9" t="s">
        <v>39</v>
      </c>
    </row>
    <row r="45221" ht="15.75" customHeight="1">
      <c r="A45221" s="7"/>
      <c r="B45221" s="7"/>
      <c r="M45221" s="9" t="s">
        <v>37</v>
      </c>
    </row>
    <row r="45222" ht="15.75" customHeight="1">
      <c r="A45222" s="7"/>
      <c r="B45222" s="7"/>
      <c r="M45222" s="9" t="s">
        <v>22</v>
      </c>
    </row>
    <row r="45223" ht="15.75" customHeight="1">
      <c r="A45223" s="7"/>
      <c r="B45223" s="7"/>
      <c r="M45223" s="9" t="s">
        <v>27</v>
      </c>
    </row>
    <row r="45224" ht="15.75" customHeight="1">
      <c r="A45224" s="7"/>
      <c r="B45224" s="7"/>
      <c r="M45224" s="9" t="s">
        <v>33</v>
      </c>
    </row>
    <row r="45225" ht="15.75" customHeight="1">
      <c r="A45225" s="7"/>
      <c r="B45225" s="7"/>
      <c r="M45225" s="9" t="s">
        <v>35</v>
      </c>
    </row>
    <row r="45226" ht="15.75" customHeight="1">
      <c r="A45226" s="7"/>
      <c r="B45226" s="7"/>
      <c r="M45226" s="9" t="s">
        <v>24</v>
      </c>
    </row>
    <row r="45227" ht="15.75" customHeight="1">
      <c r="A45227" s="7"/>
      <c r="B45227" s="7"/>
      <c r="M45227" s="9" t="s">
        <v>20</v>
      </c>
    </row>
    <row r="45228" ht="15.75" customHeight="1">
      <c r="A45228" s="7"/>
      <c r="B45228" s="7"/>
      <c r="M45228" s="9" t="s">
        <v>21</v>
      </c>
    </row>
    <row r="45229" ht="15.75" customHeight="1">
      <c r="A45229" s="7"/>
      <c r="B45229" s="7"/>
      <c r="M45229" s="9" t="s">
        <v>27</v>
      </c>
    </row>
    <row r="45230" ht="15.75" customHeight="1">
      <c r="A45230" s="7"/>
      <c r="B45230" s="7"/>
      <c r="M45230" s="9" t="s">
        <v>30</v>
      </c>
    </row>
    <row r="45231" ht="15.75" customHeight="1">
      <c r="A45231" s="7"/>
      <c r="B45231" s="7"/>
      <c r="M45231" s="9" t="s">
        <v>44</v>
      </c>
    </row>
    <row r="45232" ht="15.75" customHeight="1">
      <c r="A45232" s="7"/>
      <c r="B45232" s="7"/>
      <c r="M45232" s="9" t="s">
        <v>36</v>
      </c>
    </row>
    <row r="45233" ht="15.75" customHeight="1">
      <c r="A45233" s="7"/>
      <c r="B45233" s="7"/>
      <c r="M45233" s="9" t="s">
        <v>20</v>
      </c>
    </row>
    <row r="45234" ht="15.75" customHeight="1">
      <c r="A45234" s="7"/>
      <c r="B45234" s="7"/>
      <c r="M45234" s="9" t="s">
        <v>21</v>
      </c>
    </row>
    <row r="45235" ht="15.75" customHeight="1">
      <c r="A45235" s="7"/>
      <c r="B45235" s="7"/>
      <c r="M45235" s="9" t="s">
        <v>27</v>
      </c>
    </row>
    <row r="45236" ht="15.75" customHeight="1">
      <c r="A45236" s="7"/>
      <c r="B45236" s="7"/>
      <c r="M45236" s="9" t="s">
        <v>30</v>
      </c>
    </row>
    <row r="45237" ht="15.75" customHeight="1">
      <c r="A45237" s="7"/>
      <c r="B45237" s="7"/>
      <c r="M45237" s="9" t="s">
        <v>26</v>
      </c>
    </row>
    <row r="45238" ht="15.75" customHeight="1">
      <c r="A45238" s="7"/>
      <c r="B45238" s="7"/>
      <c r="M45238" s="9" t="s">
        <v>27</v>
      </c>
    </row>
    <row r="45239" ht="15.75" customHeight="1">
      <c r="A45239" s="7"/>
      <c r="B45239" s="7"/>
      <c r="M45239" s="9" t="s">
        <v>20</v>
      </c>
    </row>
    <row r="45240" ht="15.75" customHeight="1">
      <c r="A45240" s="7"/>
      <c r="B45240" s="7"/>
      <c r="M45240" s="9" t="s">
        <v>38</v>
      </c>
    </row>
    <row r="45241" ht="15.75" customHeight="1">
      <c r="A45241" s="7"/>
      <c r="B45241" s="7"/>
      <c r="M45241" s="9" t="s">
        <v>30</v>
      </c>
    </row>
    <row r="45242" ht="15.75" customHeight="1">
      <c r="A45242" s="7"/>
      <c r="B45242" s="7"/>
      <c r="M45242" s="9" t="s">
        <v>24</v>
      </c>
    </row>
    <row r="45243" ht="15.75" customHeight="1">
      <c r="A45243" s="7"/>
      <c r="B45243" s="7"/>
      <c r="M45243" s="9" t="s">
        <v>20</v>
      </c>
    </row>
    <row r="45244" ht="15.75" customHeight="1">
      <c r="A45244" s="7"/>
      <c r="B45244" s="7"/>
      <c r="M45244" s="9" t="s">
        <v>21</v>
      </c>
    </row>
    <row r="45245" ht="15.75" customHeight="1">
      <c r="A45245" s="7"/>
      <c r="B45245" s="7"/>
      <c r="M45245" s="9" t="s">
        <v>22</v>
      </c>
    </row>
    <row r="45246" ht="15.75" customHeight="1">
      <c r="A45246" s="7"/>
      <c r="B45246" s="7"/>
      <c r="M45246" s="9" t="s">
        <v>33</v>
      </c>
    </row>
    <row r="45247" ht="15.75" customHeight="1">
      <c r="A45247" s="7"/>
      <c r="B45247" s="7"/>
      <c r="M45247" s="9" t="s">
        <v>24</v>
      </c>
    </row>
    <row r="45248" ht="15.75" customHeight="1">
      <c r="A45248" s="7"/>
      <c r="B45248" s="7"/>
      <c r="M45248" s="9" t="s">
        <v>20</v>
      </c>
    </row>
    <row r="45249" ht="15.75" customHeight="1">
      <c r="A45249" s="7"/>
      <c r="B45249" s="7"/>
      <c r="M45249" s="9" t="s">
        <v>21</v>
      </c>
    </row>
    <row r="45250" ht="15.75" customHeight="1">
      <c r="A45250" s="7"/>
      <c r="B45250" s="7"/>
      <c r="M45250" s="9" t="s">
        <v>37</v>
      </c>
    </row>
    <row r="45251" ht="15.75" customHeight="1">
      <c r="A45251" s="7"/>
      <c r="B45251" s="7"/>
      <c r="M45251" s="9" t="s">
        <v>27</v>
      </c>
    </row>
    <row r="45252" ht="15.75" customHeight="1">
      <c r="A45252" s="7"/>
      <c r="B45252" s="7"/>
      <c r="M45252" s="9" t="s">
        <v>30</v>
      </c>
    </row>
    <row r="45253" ht="15.75" customHeight="1">
      <c r="A45253" s="7"/>
      <c r="B45253" s="7"/>
      <c r="M45253" s="9" t="s">
        <v>24</v>
      </c>
    </row>
    <row r="45254" ht="15.75" customHeight="1">
      <c r="A45254" s="7"/>
      <c r="B45254" s="7"/>
      <c r="M45254" s="9" t="s">
        <v>20</v>
      </c>
    </row>
    <row r="45255" ht="15.75" customHeight="1">
      <c r="A45255" s="7"/>
      <c r="B45255" s="7"/>
      <c r="M45255" s="9" t="s">
        <v>21</v>
      </c>
    </row>
    <row r="45256" ht="15.75" customHeight="1">
      <c r="A45256" s="7"/>
      <c r="B45256" s="7"/>
      <c r="M45256" s="9" t="s">
        <v>39</v>
      </c>
    </row>
    <row r="45257" ht="15.75" customHeight="1">
      <c r="A45257" s="7"/>
      <c r="B45257" s="7"/>
      <c r="M45257" s="9" t="s">
        <v>22</v>
      </c>
    </row>
    <row r="45258" ht="15.75" customHeight="1">
      <c r="A45258" s="7"/>
      <c r="B45258" s="7"/>
      <c r="M45258" s="9" t="s">
        <v>27</v>
      </c>
    </row>
    <row r="45259" ht="15.75" customHeight="1">
      <c r="A45259" s="7"/>
      <c r="B45259" s="7"/>
      <c r="M45259" s="9" t="s">
        <v>33</v>
      </c>
    </row>
    <row r="45260" ht="15.75" customHeight="1">
      <c r="A45260" s="7"/>
      <c r="B45260" s="7"/>
      <c r="M45260" s="9" t="s">
        <v>35</v>
      </c>
    </row>
    <row r="45261" ht="15.75" customHeight="1">
      <c r="A45261" s="7"/>
      <c r="B45261" s="7"/>
      <c r="M45261" s="9" t="s">
        <v>24</v>
      </c>
    </row>
    <row r="45262" ht="15.75" customHeight="1">
      <c r="A45262" s="7"/>
      <c r="B45262" s="7"/>
      <c r="M45262" s="9" t="s">
        <v>21</v>
      </c>
    </row>
    <row r="45263" ht="15.75" customHeight="1">
      <c r="A45263" s="7"/>
      <c r="B45263" s="7"/>
      <c r="M45263" s="9" t="s">
        <v>37</v>
      </c>
    </row>
    <row r="45264" ht="15.75" customHeight="1">
      <c r="A45264" s="7"/>
      <c r="B45264" s="7"/>
      <c r="M45264" s="9" t="s">
        <v>27</v>
      </c>
    </row>
    <row r="45265" ht="15.75" customHeight="1">
      <c r="A45265" s="7"/>
      <c r="B45265" s="7"/>
      <c r="M45265" s="9" t="s">
        <v>25</v>
      </c>
    </row>
    <row r="45266" ht="15.75" customHeight="1">
      <c r="A45266" s="7"/>
      <c r="B45266" s="7"/>
      <c r="M45266" s="9" t="s">
        <v>20</v>
      </c>
    </row>
    <row r="45267" ht="15.75" customHeight="1">
      <c r="A45267" s="7"/>
      <c r="B45267" s="7"/>
      <c r="M45267" s="9" t="s">
        <v>39</v>
      </c>
    </row>
    <row r="45268" ht="15.75" customHeight="1">
      <c r="A45268" s="7"/>
      <c r="B45268" s="7"/>
      <c r="M45268" s="9" t="s">
        <v>37</v>
      </c>
    </row>
    <row r="45269" ht="15.75" customHeight="1">
      <c r="A45269" s="7"/>
      <c r="B45269" s="7"/>
      <c r="M45269" s="9" t="s">
        <v>27</v>
      </c>
    </row>
    <row r="45270" ht="15.75" customHeight="1">
      <c r="A45270" s="7"/>
      <c r="B45270" s="7"/>
      <c r="M45270" s="9" t="s">
        <v>40</v>
      </c>
    </row>
    <row r="45271" ht="15.75" customHeight="1">
      <c r="A45271" s="7"/>
      <c r="B45271" s="7"/>
      <c r="M45271" s="9" t="s">
        <v>20</v>
      </c>
    </row>
    <row r="45272" ht="15.75" customHeight="1">
      <c r="A45272" s="7"/>
      <c r="B45272" s="7"/>
      <c r="M45272" s="9" t="s">
        <v>22</v>
      </c>
    </row>
    <row r="45273" ht="15.75" customHeight="1">
      <c r="A45273" s="7"/>
      <c r="B45273" s="7"/>
      <c r="M45273" s="9" t="s">
        <v>22</v>
      </c>
    </row>
    <row r="45274" ht="15.75" customHeight="1">
      <c r="A45274" s="7"/>
      <c r="B45274" s="7"/>
      <c r="M45274" s="9" t="s">
        <v>23</v>
      </c>
    </row>
    <row r="45275" ht="15.75" customHeight="1">
      <c r="A45275" s="7"/>
      <c r="B45275" s="7"/>
      <c r="M45275" s="9" t="s">
        <v>22</v>
      </c>
    </row>
    <row r="45276" ht="15.75" customHeight="1">
      <c r="A45276" s="7"/>
      <c r="B45276" s="7"/>
      <c r="M45276" s="9" t="s">
        <v>38</v>
      </c>
    </row>
    <row r="45277" ht="15.75" customHeight="1">
      <c r="A45277" s="7"/>
      <c r="B45277" s="7"/>
      <c r="M45277" s="9" t="s">
        <v>30</v>
      </c>
    </row>
    <row r="45278" ht="15.75" customHeight="1">
      <c r="A45278" s="7"/>
      <c r="B45278" s="7"/>
      <c r="M45278" s="9" t="s">
        <v>25</v>
      </c>
    </row>
    <row r="45279" ht="15.75" customHeight="1">
      <c r="A45279" s="7"/>
      <c r="B45279" s="7"/>
      <c r="M45279" s="9" t="s">
        <v>23</v>
      </c>
    </row>
    <row r="45280" ht="15.75" customHeight="1">
      <c r="A45280" s="7"/>
      <c r="B45280" s="7"/>
      <c r="M45280" s="9" t="s">
        <v>29</v>
      </c>
    </row>
    <row r="45281" ht="15.75" customHeight="1">
      <c r="A45281" s="7"/>
      <c r="B45281" s="7"/>
      <c r="M45281" s="9" t="s">
        <v>35</v>
      </c>
    </row>
    <row r="45282" ht="15.75" customHeight="1">
      <c r="A45282" s="7"/>
      <c r="B45282" s="7"/>
      <c r="M45282" s="9" t="s">
        <v>30</v>
      </c>
    </row>
    <row r="45283" ht="15.75" customHeight="1">
      <c r="A45283" s="7"/>
      <c r="B45283" s="7"/>
      <c r="M45283" s="9" t="s">
        <v>26</v>
      </c>
    </row>
    <row r="45284" ht="15.75" customHeight="1">
      <c r="A45284" s="7"/>
      <c r="B45284" s="7"/>
      <c r="M45284" s="9" t="s">
        <v>24</v>
      </c>
    </row>
    <row r="45285" ht="15.75" customHeight="1">
      <c r="A45285" s="7"/>
      <c r="B45285" s="7"/>
      <c r="M45285" s="9" t="s">
        <v>21</v>
      </c>
    </row>
    <row r="45286" ht="15.75" customHeight="1">
      <c r="A45286" s="7"/>
      <c r="B45286" s="7"/>
      <c r="M45286" s="9" t="s">
        <v>27</v>
      </c>
    </row>
    <row r="45287" ht="15.75" customHeight="1">
      <c r="A45287" s="7"/>
      <c r="B45287" s="7"/>
      <c r="M45287" s="9" t="s">
        <v>33</v>
      </c>
    </row>
    <row r="45288" ht="15.75" customHeight="1">
      <c r="A45288" s="7"/>
      <c r="B45288" s="7"/>
      <c r="M45288" s="9" t="s">
        <v>20</v>
      </c>
    </row>
    <row r="45289" ht="15.75" customHeight="1">
      <c r="A45289" s="7"/>
      <c r="B45289" s="7"/>
      <c r="M45289" s="9" t="s">
        <v>35</v>
      </c>
    </row>
    <row r="45290" ht="15.75" customHeight="1">
      <c r="A45290" s="7"/>
      <c r="B45290" s="7"/>
      <c r="M45290" s="9" t="s">
        <v>24</v>
      </c>
    </row>
    <row r="45291" ht="15.75" customHeight="1">
      <c r="A45291" s="7"/>
      <c r="B45291" s="7"/>
      <c r="M45291" s="9" t="s">
        <v>21</v>
      </c>
    </row>
    <row r="45292" ht="15.75" customHeight="1">
      <c r="A45292" s="7"/>
      <c r="B45292" s="7"/>
      <c r="M45292" s="9" t="s">
        <v>37</v>
      </c>
    </row>
    <row r="45293" ht="15.75" customHeight="1">
      <c r="A45293" s="7"/>
      <c r="B45293" s="7"/>
      <c r="M45293" s="9" t="s">
        <v>27</v>
      </c>
    </row>
    <row r="45294" ht="15.75" customHeight="1">
      <c r="A45294" s="7"/>
      <c r="B45294" s="7"/>
      <c r="M45294" s="9" t="s">
        <v>33</v>
      </c>
    </row>
    <row r="45295" ht="15.75" customHeight="1">
      <c r="A45295" s="7"/>
      <c r="B45295" s="7"/>
      <c r="M45295" s="9" t="s">
        <v>30</v>
      </c>
    </row>
    <row r="45296" ht="15.75" customHeight="1">
      <c r="A45296" s="7"/>
      <c r="B45296" s="7"/>
      <c r="M45296" s="9" t="s">
        <v>26</v>
      </c>
    </row>
    <row r="45297" ht="15.75" customHeight="1">
      <c r="A45297" s="7"/>
      <c r="B45297" s="7"/>
      <c r="M45297" s="9" t="s">
        <v>24</v>
      </c>
    </row>
    <row r="45298" ht="15.75" customHeight="1">
      <c r="A45298" s="7"/>
      <c r="B45298" s="7"/>
      <c r="M45298" s="9" t="s">
        <v>21</v>
      </c>
    </row>
    <row r="45299" ht="15.75" customHeight="1">
      <c r="A45299" s="7"/>
      <c r="B45299" s="7"/>
      <c r="M45299" s="9" t="s">
        <v>27</v>
      </c>
    </row>
    <row r="45300" ht="15.75" customHeight="1">
      <c r="A45300" s="7"/>
      <c r="B45300" s="7"/>
      <c r="M45300" s="9" t="s">
        <v>23</v>
      </c>
    </row>
    <row r="45301" ht="15.75" customHeight="1">
      <c r="A45301" s="7"/>
      <c r="B45301" s="7"/>
      <c r="M45301" s="9" t="s">
        <v>20</v>
      </c>
    </row>
    <row r="45302" ht="15.75" customHeight="1">
      <c r="A45302" s="7"/>
      <c r="B45302" s="7"/>
      <c r="M45302" s="9" t="s">
        <v>22</v>
      </c>
    </row>
    <row r="45303" ht="15.75" customHeight="1">
      <c r="A45303" s="7"/>
      <c r="B45303" s="7"/>
      <c r="M45303" s="9" t="s">
        <v>31</v>
      </c>
    </row>
    <row r="45304" ht="15.75" customHeight="1">
      <c r="A45304" s="7"/>
      <c r="B45304" s="7"/>
      <c r="M45304" s="9" t="s">
        <v>21</v>
      </c>
    </row>
    <row r="45305" ht="15.75" customHeight="1">
      <c r="A45305" s="7"/>
      <c r="B45305" s="7"/>
      <c r="M45305" s="9" t="s">
        <v>37</v>
      </c>
    </row>
    <row r="45306" ht="15.75" customHeight="1">
      <c r="A45306" s="7"/>
      <c r="B45306" s="7"/>
      <c r="M45306" s="9" t="s">
        <v>22</v>
      </c>
    </row>
    <row r="45307" ht="15.75" customHeight="1">
      <c r="A45307" s="7"/>
      <c r="B45307" s="7"/>
      <c r="M45307" s="9" t="s">
        <v>30</v>
      </c>
    </row>
    <row r="45308" ht="15.75" customHeight="1">
      <c r="A45308" s="7"/>
      <c r="B45308" s="7"/>
      <c r="M45308" s="9" t="s">
        <v>20</v>
      </c>
    </row>
    <row r="45309" ht="15.75" customHeight="1">
      <c r="A45309" s="7"/>
      <c r="B45309" s="7"/>
      <c r="M45309" s="9" t="s">
        <v>21</v>
      </c>
    </row>
    <row r="45310" ht="15.75" customHeight="1">
      <c r="A45310" s="7"/>
      <c r="B45310" s="7"/>
      <c r="M45310" s="9" t="s">
        <v>39</v>
      </c>
    </row>
    <row r="45311" ht="15.75" customHeight="1">
      <c r="A45311" s="7"/>
      <c r="B45311" s="7"/>
      <c r="M45311" s="9" t="s">
        <v>37</v>
      </c>
    </row>
    <row r="45312" ht="15.75" customHeight="1">
      <c r="A45312" s="7"/>
      <c r="B45312" s="7"/>
      <c r="M45312" s="9" t="s">
        <v>31</v>
      </c>
    </row>
    <row r="45313" ht="15.75" customHeight="1">
      <c r="A45313" s="7"/>
      <c r="B45313" s="7"/>
      <c r="M45313" s="9" t="s">
        <v>30</v>
      </c>
    </row>
    <row r="45314" ht="15.75" customHeight="1">
      <c r="A45314" s="7"/>
      <c r="B45314" s="7"/>
      <c r="M45314" s="9" t="s">
        <v>25</v>
      </c>
    </row>
    <row r="45315" ht="15.75" customHeight="1">
      <c r="A45315" s="7"/>
      <c r="B45315" s="7"/>
      <c r="M45315" s="9" t="s">
        <v>24</v>
      </c>
    </row>
    <row r="45316" ht="15.75" customHeight="1">
      <c r="A45316" s="7"/>
      <c r="B45316" s="7"/>
      <c r="M45316" s="9" t="s">
        <v>21</v>
      </c>
    </row>
    <row r="45317" ht="15.75" customHeight="1">
      <c r="A45317" s="7"/>
      <c r="B45317" s="7"/>
      <c r="M45317" s="9" t="s">
        <v>37</v>
      </c>
    </row>
    <row r="45318" ht="15.75" customHeight="1">
      <c r="A45318" s="7"/>
      <c r="B45318" s="7"/>
      <c r="M45318" s="9" t="s">
        <v>27</v>
      </c>
    </row>
    <row r="45319" ht="15.75" customHeight="1">
      <c r="A45319" s="7"/>
      <c r="B45319" s="7"/>
      <c r="M45319" s="9" t="s">
        <v>25</v>
      </c>
    </row>
    <row r="45320" ht="15.75" customHeight="1">
      <c r="A45320" s="7"/>
      <c r="B45320" s="7"/>
      <c r="M45320" s="9" t="s">
        <v>23</v>
      </c>
    </row>
    <row r="45321" ht="15.75" customHeight="1">
      <c r="A45321" s="7"/>
      <c r="B45321" s="7"/>
      <c r="M45321" s="9" t="s">
        <v>24</v>
      </c>
    </row>
    <row r="45322" ht="15.75" customHeight="1">
      <c r="A45322" s="7"/>
      <c r="B45322" s="7"/>
      <c r="M45322" s="9" t="s">
        <v>20</v>
      </c>
    </row>
    <row r="45323" ht="15.75" customHeight="1">
      <c r="A45323" s="7"/>
      <c r="B45323" s="7"/>
      <c r="M45323" s="9" t="s">
        <v>21</v>
      </c>
    </row>
    <row r="45324" ht="15.75" customHeight="1">
      <c r="A45324" s="7"/>
      <c r="B45324" s="7"/>
      <c r="M45324" s="9" t="s">
        <v>37</v>
      </c>
    </row>
    <row r="45325" ht="15.75" customHeight="1">
      <c r="A45325" s="7"/>
      <c r="B45325" s="7"/>
      <c r="M45325" s="9" t="s">
        <v>27</v>
      </c>
    </row>
    <row r="45326" ht="15.75" customHeight="1">
      <c r="A45326" s="7"/>
      <c r="B45326" s="7"/>
      <c r="M45326" s="9" t="s">
        <v>30</v>
      </c>
    </row>
    <row r="45327" ht="15.75" customHeight="1">
      <c r="A45327" s="7"/>
      <c r="B45327" s="7"/>
      <c r="M45327" s="9" t="s">
        <v>26</v>
      </c>
    </row>
    <row r="45328" ht="15.75" customHeight="1">
      <c r="A45328" s="7"/>
      <c r="B45328" s="7"/>
      <c r="M45328" s="9" t="s">
        <v>47</v>
      </c>
    </row>
    <row r="45329" ht="15.75" customHeight="1">
      <c r="A45329" s="7"/>
      <c r="B45329" s="7"/>
      <c r="M45329" s="9" t="s">
        <v>45</v>
      </c>
    </row>
    <row r="45330" ht="15.75" customHeight="1">
      <c r="A45330" s="7"/>
      <c r="B45330" s="7"/>
      <c r="M45330" s="9" t="s">
        <v>24</v>
      </c>
    </row>
    <row r="45331" ht="15.75" customHeight="1">
      <c r="A45331" s="7"/>
      <c r="B45331" s="7"/>
      <c r="M45331" s="9" t="s">
        <v>21</v>
      </c>
    </row>
    <row r="45332" ht="15.75" customHeight="1">
      <c r="A45332" s="7"/>
      <c r="B45332" s="7"/>
      <c r="M45332" s="9" t="s">
        <v>35</v>
      </c>
    </row>
    <row r="45333" ht="15.75" customHeight="1">
      <c r="A45333" s="7"/>
      <c r="B45333" s="7"/>
      <c r="M45333" s="9" t="s">
        <v>24</v>
      </c>
    </row>
    <row r="45334" ht="15.75" customHeight="1">
      <c r="A45334" s="7"/>
      <c r="B45334" s="7"/>
      <c r="M45334" s="9" t="s">
        <v>20</v>
      </c>
    </row>
    <row r="45335" ht="15.75" customHeight="1">
      <c r="A45335" s="7"/>
      <c r="B45335" s="7"/>
      <c r="M45335" s="9" t="s">
        <v>21</v>
      </c>
    </row>
    <row r="45336" ht="15.75" customHeight="1">
      <c r="A45336" s="7"/>
      <c r="B45336" s="7"/>
      <c r="M45336" s="9" t="s">
        <v>33</v>
      </c>
    </row>
    <row r="45337" ht="15.75" customHeight="1">
      <c r="A45337" s="7"/>
      <c r="B45337" s="7"/>
      <c r="M45337" s="9" t="s">
        <v>24</v>
      </c>
    </row>
    <row r="45338" ht="15.75" customHeight="1">
      <c r="A45338" s="7"/>
      <c r="B45338" s="7"/>
      <c r="M45338" s="9" t="s">
        <v>20</v>
      </c>
    </row>
    <row r="45339" ht="15.75" customHeight="1">
      <c r="A45339" s="7"/>
      <c r="B45339" s="7"/>
      <c r="M45339" s="9" t="s">
        <v>21</v>
      </c>
    </row>
    <row r="45340" ht="15.75" customHeight="1">
      <c r="A45340" s="7"/>
      <c r="B45340" s="7"/>
      <c r="M45340" s="9" t="s">
        <v>22</v>
      </c>
    </row>
    <row r="45341" ht="15.75" customHeight="1">
      <c r="A45341" s="7"/>
      <c r="B45341" s="7"/>
      <c r="M45341" s="9" t="s">
        <v>27</v>
      </c>
    </row>
    <row r="45342" ht="15.75" customHeight="1">
      <c r="A45342" s="7"/>
      <c r="B45342" s="7"/>
      <c r="M45342" s="9" t="s">
        <v>24</v>
      </c>
    </row>
    <row r="45343" ht="15.75" customHeight="1">
      <c r="A45343" s="7"/>
      <c r="B45343" s="7"/>
      <c r="M45343" s="9" t="s">
        <v>21</v>
      </c>
    </row>
    <row r="45344" ht="15.75" customHeight="1">
      <c r="A45344" s="7"/>
      <c r="B45344" s="7"/>
      <c r="M45344" s="9" t="s">
        <v>37</v>
      </c>
    </row>
    <row r="45345" ht="15.75" customHeight="1">
      <c r="A45345" s="7"/>
      <c r="B45345" s="7"/>
      <c r="M45345" s="9" t="s">
        <v>31</v>
      </c>
    </row>
    <row r="45346" ht="15.75" customHeight="1">
      <c r="A45346" s="7"/>
      <c r="B45346" s="7"/>
      <c r="M45346" s="9" t="s">
        <v>27</v>
      </c>
    </row>
    <row r="45347" ht="15.75" customHeight="1">
      <c r="A45347" s="7"/>
      <c r="B45347" s="7"/>
      <c r="M45347" s="9" t="s">
        <v>24</v>
      </c>
    </row>
    <row r="45348" ht="15.75" customHeight="1">
      <c r="A45348" s="7"/>
      <c r="B45348" s="7"/>
      <c r="M45348" s="9" t="s">
        <v>21</v>
      </c>
    </row>
    <row r="45349" ht="15.75" customHeight="1">
      <c r="A45349" s="7"/>
      <c r="B45349" s="7"/>
      <c r="M45349" s="9" t="s">
        <v>37</v>
      </c>
    </row>
    <row r="45350" ht="15.75" customHeight="1">
      <c r="A45350" s="7"/>
      <c r="B45350" s="7"/>
      <c r="M45350" s="9" t="s">
        <v>27</v>
      </c>
    </row>
    <row r="45351" ht="15.75" customHeight="1">
      <c r="A45351" s="7"/>
      <c r="B45351" s="7"/>
      <c r="M45351" s="9" t="s">
        <v>28</v>
      </c>
    </row>
    <row r="45352" ht="15.75" customHeight="1">
      <c r="A45352" s="7"/>
      <c r="B45352" s="7"/>
      <c r="M45352" s="9" t="s">
        <v>24</v>
      </c>
    </row>
    <row r="45353" ht="15.75" customHeight="1">
      <c r="A45353" s="7"/>
      <c r="B45353" s="7"/>
      <c r="M45353" s="9" t="s">
        <v>20</v>
      </c>
    </row>
    <row r="45354" ht="15.75" customHeight="1">
      <c r="A45354" s="7"/>
      <c r="B45354" s="7"/>
      <c r="M45354" s="9" t="s">
        <v>21</v>
      </c>
    </row>
    <row r="45355" ht="15.75" customHeight="1">
      <c r="A45355" s="7"/>
      <c r="B45355" s="7"/>
      <c r="M45355" s="9" t="s">
        <v>22</v>
      </c>
    </row>
    <row r="45356" ht="15.75" customHeight="1">
      <c r="A45356" s="7"/>
      <c r="B45356" s="7"/>
      <c r="M45356" s="9" t="s">
        <v>27</v>
      </c>
    </row>
    <row r="45357" ht="15.75" customHeight="1">
      <c r="A45357" s="7"/>
      <c r="B45357" s="7"/>
      <c r="M45357" s="9" t="s">
        <v>26</v>
      </c>
    </row>
    <row r="45358" ht="15.75" customHeight="1">
      <c r="A45358" s="7"/>
      <c r="B45358" s="7"/>
      <c r="M45358" s="9" t="s">
        <v>24</v>
      </c>
    </row>
    <row r="45359" ht="15.75" customHeight="1">
      <c r="A45359" s="7"/>
      <c r="B45359" s="7"/>
      <c r="M45359" s="9" t="s">
        <v>21</v>
      </c>
    </row>
    <row r="45360" ht="15.75" customHeight="1">
      <c r="A45360" s="7"/>
      <c r="B45360" s="7"/>
      <c r="M45360" s="9" t="s">
        <v>27</v>
      </c>
    </row>
    <row r="45361" ht="15.75" customHeight="1">
      <c r="A45361" s="7"/>
      <c r="B45361" s="7"/>
      <c r="M45361" s="9" t="s">
        <v>25</v>
      </c>
    </row>
    <row r="45362" ht="15.75" customHeight="1">
      <c r="A45362" s="7"/>
      <c r="B45362" s="7"/>
      <c r="M45362" s="9" t="s">
        <v>23</v>
      </c>
    </row>
    <row r="45363" ht="15.75" customHeight="1">
      <c r="A45363" s="7"/>
      <c r="B45363" s="7"/>
      <c r="M45363" s="9" t="s">
        <v>26</v>
      </c>
    </row>
    <row r="45364" ht="15.75" customHeight="1">
      <c r="A45364" s="7"/>
      <c r="B45364" s="7"/>
      <c r="M45364" s="9" t="s">
        <v>20</v>
      </c>
    </row>
    <row r="45365" ht="15.75" customHeight="1">
      <c r="A45365" s="7"/>
      <c r="B45365" s="7"/>
      <c r="M45365" s="9" t="s">
        <v>21</v>
      </c>
    </row>
    <row r="45366" ht="15.75" customHeight="1">
      <c r="A45366" s="7"/>
      <c r="B45366" s="7"/>
      <c r="M45366" s="9" t="s">
        <v>37</v>
      </c>
    </row>
    <row r="45367" ht="15.75" customHeight="1">
      <c r="A45367" s="7"/>
      <c r="B45367" s="7"/>
      <c r="M45367" s="9" t="s">
        <v>22</v>
      </c>
    </row>
    <row r="45368" ht="15.75" customHeight="1">
      <c r="A45368" s="7"/>
      <c r="B45368" s="7"/>
      <c r="M45368" s="9" t="s">
        <v>27</v>
      </c>
    </row>
    <row r="45369" ht="15.75" customHeight="1">
      <c r="A45369" s="7"/>
      <c r="B45369" s="7"/>
      <c r="M45369" s="9" t="s">
        <v>33</v>
      </c>
    </row>
    <row r="45370" ht="15.75" customHeight="1">
      <c r="A45370" s="7"/>
      <c r="B45370" s="7"/>
      <c r="M45370" s="9" t="s">
        <v>30</v>
      </c>
    </row>
    <row r="45371" ht="15.75" customHeight="1">
      <c r="A45371" s="7"/>
      <c r="B45371" s="7"/>
      <c r="M45371" s="9" t="s">
        <v>24</v>
      </c>
    </row>
    <row r="45372" ht="15.75" customHeight="1">
      <c r="A45372" s="7"/>
      <c r="B45372" s="7"/>
      <c r="M45372" s="9" t="s">
        <v>20</v>
      </c>
    </row>
    <row r="45373" ht="15.75" customHeight="1">
      <c r="A45373" s="7"/>
      <c r="B45373" s="7"/>
      <c r="M45373" s="9" t="s">
        <v>21</v>
      </c>
    </row>
    <row r="45374" ht="15.75" customHeight="1">
      <c r="A45374" s="7"/>
      <c r="B45374" s="7"/>
      <c r="M45374" s="9" t="s">
        <v>27</v>
      </c>
    </row>
    <row r="45375" ht="15.75" customHeight="1">
      <c r="A45375" s="7"/>
      <c r="B45375" s="7"/>
      <c r="M45375" s="9" t="s">
        <v>30</v>
      </c>
    </row>
    <row r="45376" ht="15.75" customHeight="1">
      <c r="A45376" s="7"/>
      <c r="B45376" s="7"/>
      <c r="M45376" s="9" t="s">
        <v>25</v>
      </c>
    </row>
    <row r="45377" ht="15.75" customHeight="1">
      <c r="A45377" s="7"/>
      <c r="B45377" s="7"/>
      <c r="M45377" s="9" t="s">
        <v>22</v>
      </c>
    </row>
    <row r="45378" ht="15.75" customHeight="1">
      <c r="A45378" s="7"/>
      <c r="B45378" s="7"/>
      <c r="M45378" s="9" t="s">
        <v>29</v>
      </c>
    </row>
    <row r="45379" ht="15.75" customHeight="1">
      <c r="A45379" s="7"/>
      <c r="B45379" s="7"/>
      <c r="M45379" s="9" t="s">
        <v>24</v>
      </c>
    </row>
    <row r="45380" ht="15.75" customHeight="1">
      <c r="A45380" s="7"/>
      <c r="B45380" s="7"/>
      <c r="M45380" s="9" t="s">
        <v>20</v>
      </c>
    </row>
    <row r="45381" ht="15.75" customHeight="1">
      <c r="A45381" s="7"/>
      <c r="B45381" s="7"/>
      <c r="M45381" s="9" t="s">
        <v>21</v>
      </c>
    </row>
    <row r="45382" ht="15.75" customHeight="1">
      <c r="A45382" s="7"/>
      <c r="B45382" s="7"/>
      <c r="M45382" s="9" t="s">
        <v>23</v>
      </c>
    </row>
    <row r="45383" ht="15.75" customHeight="1">
      <c r="A45383" s="7"/>
      <c r="B45383" s="7"/>
      <c r="M45383" s="9" t="s">
        <v>26</v>
      </c>
    </row>
    <row r="45384" ht="15.75" customHeight="1">
      <c r="A45384" s="7"/>
      <c r="B45384" s="7"/>
      <c r="M45384" s="9" t="s">
        <v>24</v>
      </c>
    </row>
    <row r="45385" ht="15.75" customHeight="1">
      <c r="A45385" s="7"/>
      <c r="B45385" s="7"/>
      <c r="M45385" s="9" t="s">
        <v>21</v>
      </c>
    </row>
    <row r="45386" ht="15.75" customHeight="1">
      <c r="A45386" s="7"/>
      <c r="B45386" s="7"/>
      <c r="M45386" s="9" t="s">
        <v>22</v>
      </c>
    </row>
    <row r="45387" ht="15.75" customHeight="1">
      <c r="A45387" s="7"/>
      <c r="B45387" s="7"/>
      <c r="M45387" s="9" t="s">
        <v>27</v>
      </c>
    </row>
    <row r="45388" ht="15.75" customHeight="1">
      <c r="A45388" s="7"/>
      <c r="B45388" s="7"/>
      <c r="M45388" s="9" t="s">
        <v>33</v>
      </c>
    </row>
    <row r="45389" ht="15.75" customHeight="1">
      <c r="A45389" s="7"/>
      <c r="B45389" s="7"/>
      <c r="M45389" s="9" t="s">
        <v>29</v>
      </c>
    </row>
    <row r="45390" ht="15.75" customHeight="1">
      <c r="A45390" s="7"/>
      <c r="B45390" s="7"/>
      <c r="M45390" s="9" t="s">
        <v>27</v>
      </c>
    </row>
    <row r="45391" ht="15.75" customHeight="1">
      <c r="A45391" s="7"/>
      <c r="B45391" s="7"/>
      <c r="M45391" s="9" t="s">
        <v>30</v>
      </c>
    </row>
    <row r="45392" ht="15.75" customHeight="1">
      <c r="A45392" s="7"/>
      <c r="B45392" s="7"/>
      <c r="M45392" s="9" t="s">
        <v>24</v>
      </c>
    </row>
    <row r="45393" ht="15.75" customHeight="1">
      <c r="A45393" s="7"/>
      <c r="B45393" s="7"/>
      <c r="M45393" s="9" t="s">
        <v>21</v>
      </c>
    </row>
    <row r="45394" ht="15.75" customHeight="1">
      <c r="A45394" s="7"/>
      <c r="B45394" s="7"/>
      <c r="M45394" s="9" t="s">
        <v>22</v>
      </c>
    </row>
    <row r="45395" ht="15.75" customHeight="1">
      <c r="A45395" s="7"/>
      <c r="B45395" s="7"/>
      <c r="M45395" s="9" t="s">
        <v>31</v>
      </c>
    </row>
    <row r="45396" ht="15.75" customHeight="1">
      <c r="A45396" s="7"/>
      <c r="B45396" s="7"/>
      <c r="M45396" s="9" t="s">
        <v>27</v>
      </c>
    </row>
    <row r="45397" ht="15.75" customHeight="1">
      <c r="A45397" s="7"/>
      <c r="B45397" s="7"/>
      <c r="M45397" s="9" t="s">
        <v>26</v>
      </c>
    </row>
    <row r="45398" ht="15.75" customHeight="1">
      <c r="A45398" s="7"/>
      <c r="B45398" s="7"/>
      <c r="M45398" s="9" t="s">
        <v>24</v>
      </c>
    </row>
    <row r="45399" ht="15.75" customHeight="1">
      <c r="A45399" s="7"/>
      <c r="B45399" s="7"/>
      <c r="M45399" s="9" t="s">
        <v>21</v>
      </c>
    </row>
    <row r="45400" ht="15.75" customHeight="1">
      <c r="A45400" s="7"/>
      <c r="B45400" s="7"/>
      <c r="M45400" s="9" t="s">
        <v>27</v>
      </c>
    </row>
    <row r="45401" ht="15.75" customHeight="1">
      <c r="A45401" s="7"/>
      <c r="B45401" s="7"/>
      <c r="M45401" s="9" t="s">
        <v>20</v>
      </c>
    </row>
    <row r="45402" ht="15.75" customHeight="1">
      <c r="A45402" s="7"/>
      <c r="B45402" s="7"/>
      <c r="M45402" s="9" t="s">
        <v>21</v>
      </c>
    </row>
    <row r="45403" ht="15.75" customHeight="1">
      <c r="A45403" s="7"/>
      <c r="B45403" s="7"/>
      <c r="M45403" s="9" t="s">
        <v>39</v>
      </c>
    </row>
    <row r="45404" ht="15.75" customHeight="1">
      <c r="A45404" s="7"/>
      <c r="B45404" s="7"/>
      <c r="M45404" s="9" t="s">
        <v>41</v>
      </c>
    </row>
    <row r="45405" ht="15.75" customHeight="1">
      <c r="A45405" s="7"/>
      <c r="B45405" s="7"/>
      <c r="M45405" s="9" t="s">
        <v>22</v>
      </c>
    </row>
    <row r="45406" ht="15.75" customHeight="1">
      <c r="A45406" s="7"/>
      <c r="B45406" s="7"/>
      <c r="M45406" s="9" t="s">
        <v>40</v>
      </c>
    </row>
    <row r="45407" ht="15.75" customHeight="1">
      <c r="A45407" s="7"/>
      <c r="B45407" s="7"/>
      <c r="M45407" s="9" t="s">
        <v>33</v>
      </c>
    </row>
    <row r="45408" ht="15.75" customHeight="1">
      <c r="A45408" s="7"/>
      <c r="B45408" s="7"/>
      <c r="M45408" s="9" t="s">
        <v>27</v>
      </c>
    </row>
    <row r="45409" ht="15.75" customHeight="1">
      <c r="A45409" s="7"/>
      <c r="B45409" s="7"/>
      <c r="M45409" s="9" t="s">
        <v>23</v>
      </c>
    </row>
    <row r="45410" ht="15.75" customHeight="1">
      <c r="A45410" s="7"/>
      <c r="B45410" s="7"/>
      <c r="M45410" s="9" t="s">
        <v>24</v>
      </c>
    </row>
    <row r="45411" ht="15.75" customHeight="1">
      <c r="A45411" s="7"/>
      <c r="B45411" s="7"/>
      <c r="M45411" s="9" t="s">
        <v>20</v>
      </c>
    </row>
    <row r="45412" ht="15.75" customHeight="1">
      <c r="A45412" s="7"/>
      <c r="B45412" s="7"/>
      <c r="M45412" s="9" t="s">
        <v>21</v>
      </c>
    </row>
    <row r="45413" ht="15.75" customHeight="1">
      <c r="A45413" s="7"/>
      <c r="B45413" s="7"/>
      <c r="M45413" s="9" t="s">
        <v>22</v>
      </c>
    </row>
    <row r="45414" ht="15.75" customHeight="1">
      <c r="A45414" s="7"/>
      <c r="B45414" s="7"/>
      <c r="M45414" s="9" t="s">
        <v>30</v>
      </c>
    </row>
    <row r="45415" ht="15.75" customHeight="1">
      <c r="A45415" s="7"/>
      <c r="B45415" s="7"/>
      <c r="M45415" s="9" t="s">
        <v>24</v>
      </c>
    </row>
    <row r="45416" ht="15.75" customHeight="1">
      <c r="A45416" s="7"/>
      <c r="B45416" s="7"/>
      <c r="M45416" s="9" t="s">
        <v>21</v>
      </c>
    </row>
    <row r="45417" ht="15.75" customHeight="1">
      <c r="A45417" s="7"/>
      <c r="B45417" s="7"/>
      <c r="M45417" s="9" t="s">
        <v>37</v>
      </c>
    </row>
    <row r="45418" ht="15.75" customHeight="1">
      <c r="A45418" s="7"/>
      <c r="B45418" s="7"/>
      <c r="M45418" s="9" t="s">
        <v>27</v>
      </c>
    </row>
    <row r="45419" ht="15.75" customHeight="1">
      <c r="A45419" s="7"/>
      <c r="B45419" s="7"/>
      <c r="M45419" s="9" t="s">
        <v>25</v>
      </c>
    </row>
    <row r="45420" ht="15.75" customHeight="1">
      <c r="A45420" s="7"/>
      <c r="B45420" s="7"/>
      <c r="M45420" s="9" t="s">
        <v>23</v>
      </c>
    </row>
    <row r="45421" ht="15.75" customHeight="1">
      <c r="A45421" s="7"/>
      <c r="B45421" s="7"/>
      <c r="M45421" s="9" t="s">
        <v>24</v>
      </c>
    </row>
    <row r="45422" ht="15.75" customHeight="1">
      <c r="A45422" s="7"/>
      <c r="B45422" s="7"/>
      <c r="M45422" s="9" t="s">
        <v>21</v>
      </c>
    </row>
    <row r="45423" ht="15.75" customHeight="1">
      <c r="A45423" s="7"/>
      <c r="B45423" s="7"/>
      <c r="M45423" s="9" t="s">
        <v>22</v>
      </c>
    </row>
    <row r="45424" ht="15.75" customHeight="1">
      <c r="A45424" s="7"/>
      <c r="B45424" s="7"/>
      <c r="M45424" s="9" t="s">
        <v>29</v>
      </c>
    </row>
    <row r="45425" ht="15.75" customHeight="1">
      <c r="A45425" s="7"/>
      <c r="B45425" s="7"/>
      <c r="M45425" s="9" t="s">
        <v>26</v>
      </c>
    </row>
    <row r="45426" ht="15.75" customHeight="1">
      <c r="A45426" s="7"/>
      <c r="B45426" s="7"/>
      <c r="M45426" s="9" t="s">
        <v>24</v>
      </c>
    </row>
    <row r="45427" ht="15.75" customHeight="1">
      <c r="A45427" s="7"/>
      <c r="B45427" s="7"/>
      <c r="M45427" s="9" t="s">
        <v>30</v>
      </c>
    </row>
    <row r="45428" ht="15.75" customHeight="1">
      <c r="A45428" s="7"/>
      <c r="B45428" s="7"/>
      <c r="M45428" s="9" t="s">
        <v>25</v>
      </c>
    </row>
    <row r="45429" ht="15.75" customHeight="1">
      <c r="A45429" s="7"/>
      <c r="B45429" s="7"/>
      <c r="M45429" s="9" t="s">
        <v>23</v>
      </c>
    </row>
    <row r="45430" ht="15.75" customHeight="1">
      <c r="A45430" s="7"/>
      <c r="B45430" s="7"/>
      <c r="M45430" s="9" t="s">
        <v>26</v>
      </c>
    </row>
    <row r="45431" ht="15.75" customHeight="1">
      <c r="A45431" s="7"/>
      <c r="B45431" s="7"/>
      <c r="M45431" s="9" t="s">
        <v>20</v>
      </c>
    </row>
    <row r="45432" ht="15.75" customHeight="1">
      <c r="A45432" s="7"/>
      <c r="B45432" s="7"/>
      <c r="M45432" s="9" t="s">
        <v>21</v>
      </c>
    </row>
    <row r="45433" ht="15.75" customHeight="1">
      <c r="A45433" s="7"/>
      <c r="B45433" s="7"/>
      <c r="M45433" s="9" t="s">
        <v>31</v>
      </c>
    </row>
    <row r="45434" ht="15.75" customHeight="1">
      <c r="A45434" s="7"/>
      <c r="B45434" s="7"/>
      <c r="M45434" s="9" t="s">
        <v>27</v>
      </c>
    </row>
    <row r="45435" ht="15.75" customHeight="1">
      <c r="A45435" s="7"/>
      <c r="B45435" s="7"/>
      <c r="M45435" s="9" t="s">
        <v>35</v>
      </c>
    </row>
    <row r="45436" ht="15.75" customHeight="1">
      <c r="A45436" s="7"/>
      <c r="B45436" s="7"/>
      <c r="M45436" s="9" t="s">
        <v>30</v>
      </c>
    </row>
    <row r="45437" ht="15.75" customHeight="1">
      <c r="A45437" s="7"/>
      <c r="B45437" s="7"/>
      <c r="M45437" s="9" t="s">
        <v>26</v>
      </c>
    </row>
    <row r="45438" ht="15.75" customHeight="1">
      <c r="A45438" s="7"/>
      <c r="B45438" s="7"/>
      <c r="M45438" s="9" t="s">
        <v>24</v>
      </c>
    </row>
    <row r="45439" ht="15.75" customHeight="1">
      <c r="A45439" s="7"/>
      <c r="B45439" s="7"/>
      <c r="M45439" s="9" t="s">
        <v>21</v>
      </c>
    </row>
    <row r="45440" ht="15.75" customHeight="1">
      <c r="A45440" s="7"/>
      <c r="B45440" s="7"/>
      <c r="M45440" s="9" t="s">
        <v>27</v>
      </c>
    </row>
    <row r="45441" ht="15.75" customHeight="1">
      <c r="A45441" s="7"/>
      <c r="B45441" s="7"/>
      <c r="M45441" s="9" t="s">
        <v>24</v>
      </c>
    </row>
    <row r="45442" ht="15.75" customHeight="1">
      <c r="A45442" s="7"/>
      <c r="B45442" s="7"/>
      <c r="M45442" s="9" t="s">
        <v>21</v>
      </c>
    </row>
    <row r="45443" ht="15.75" customHeight="1">
      <c r="A45443" s="7"/>
      <c r="B45443" s="7"/>
      <c r="M45443" s="9" t="s">
        <v>24</v>
      </c>
    </row>
    <row r="45444" ht="15.75" customHeight="1">
      <c r="A45444" s="7"/>
      <c r="B45444" s="7"/>
      <c r="M45444" s="9" t="s">
        <v>20</v>
      </c>
    </row>
    <row r="45445" ht="15.75" customHeight="1">
      <c r="A45445" s="7"/>
      <c r="B45445" s="7"/>
      <c r="M45445" s="9" t="s">
        <v>21</v>
      </c>
    </row>
    <row r="45446" ht="15.75" customHeight="1">
      <c r="A45446" s="7"/>
      <c r="B45446" s="7"/>
      <c r="M45446" s="9" t="s">
        <v>33</v>
      </c>
    </row>
    <row r="45447" ht="15.75" customHeight="1">
      <c r="A45447" s="7"/>
      <c r="B45447" s="7"/>
      <c r="M45447" s="9" t="s">
        <v>38</v>
      </c>
    </row>
    <row r="45448" ht="15.75" customHeight="1">
      <c r="A45448" s="7"/>
      <c r="B45448" s="7"/>
      <c r="M45448" s="9" t="s">
        <v>30</v>
      </c>
    </row>
    <row r="45449" ht="15.75" customHeight="1">
      <c r="A45449" s="7"/>
      <c r="B45449" s="7"/>
      <c r="M45449" s="9" t="s">
        <v>25</v>
      </c>
    </row>
    <row r="45450" ht="15.75" customHeight="1">
      <c r="A45450" s="7"/>
      <c r="B45450" s="7"/>
      <c r="M45450" s="9" t="s">
        <v>23</v>
      </c>
    </row>
    <row r="45451" ht="15.75" customHeight="1">
      <c r="A45451" s="7"/>
      <c r="B45451" s="7"/>
      <c r="M45451" s="9" t="s">
        <v>22</v>
      </c>
    </row>
    <row r="45452" ht="15.75" customHeight="1">
      <c r="A45452" s="7"/>
      <c r="B45452" s="7"/>
      <c r="M45452" s="9" t="s">
        <v>38</v>
      </c>
    </row>
    <row r="45453" ht="15.75" customHeight="1">
      <c r="A45453" s="7"/>
      <c r="B45453" s="7"/>
      <c r="M45453" s="9" t="s">
        <v>30</v>
      </c>
    </row>
    <row r="45454" ht="15.75" customHeight="1">
      <c r="A45454" s="7"/>
      <c r="B45454" s="7"/>
      <c r="M45454" s="9" t="s">
        <v>25</v>
      </c>
    </row>
    <row r="45455" ht="15.75" customHeight="1">
      <c r="A45455" s="7"/>
      <c r="B45455" s="7"/>
      <c r="M45455" s="9" t="s">
        <v>23</v>
      </c>
    </row>
    <row r="45456" ht="15.75" customHeight="1">
      <c r="A45456" s="7"/>
      <c r="B45456" s="7"/>
      <c r="M45456" s="9" t="s">
        <v>26</v>
      </c>
    </row>
    <row r="45457" ht="15.75" customHeight="1">
      <c r="A45457" s="7"/>
      <c r="B45457" s="7"/>
      <c r="M45457" s="9" t="s">
        <v>24</v>
      </c>
    </row>
    <row r="45458" ht="15.75" customHeight="1">
      <c r="A45458" s="7"/>
      <c r="B45458" s="7"/>
      <c r="M45458" s="9" t="s">
        <v>21</v>
      </c>
    </row>
    <row r="45459" ht="15.75" customHeight="1">
      <c r="A45459" s="7"/>
      <c r="B45459" s="7"/>
      <c r="M45459" s="9" t="s">
        <v>27</v>
      </c>
    </row>
    <row r="45460" ht="15.75" customHeight="1">
      <c r="A45460" s="7"/>
      <c r="B45460" s="7"/>
      <c r="M45460" s="9" t="s">
        <v>33</v>
      </c>
    </row>
    <row r="45461" ht="15.75" customHeight="1">
      <c r="A45461" s="7"/>
      <c r="B45461" s="7"/>
      <c r="M45461" s="9" t="s">
        <v>26</v>
      </c>
    </row>
    <row r="45462" ht="15.75" customHeight="1">
      <c r="A45462" s="7"/>
      <c r="B45462" s="7"/>
      <c r="M45462" s="9" t="s">
        <v>24</v>
      </c>
    </row>
    <row r="45463" ht="15.75" customHeight="1">
      <c r="A45463" s="7"/>
      <c r="B45463" s="7"/>
      <c r="M45463" s="9" t="s">
        <v>22</v>
      </c>
    </row>
    <row r="45464" ht="15.75" customHeight="1">
      <c r="A45464" s="7"/>
      <c r="B45464" s="7"/>
      <c r="M45464" s="9" t="s">
        <v>27</v>
      </c>
    </row>
    <row r="45465" ht="15.75" customHeight="1">
      <c r="A45465" s="7"/>
      <c r="B45465" s="7"/>
      <c r="M45465" s="9" t="s">
        <v>38</v>
      </c>
    </row>
    <row r="45466" ht="15.75" customHeight="1">
      <c r="A45466" s="7"/>
      <c r="B45466" s="7"/>
      <c r="M45466" s="9" t="s">
        <v>30</v>
      </c>
    </row>
    <row r="45467" ht="15.75" customHeight="1">
      <c r="A45467" s="7"/>
      <c r="B45467" s="7"/>
      <c r="M45467" s="9" t="s">
        <v>25</v>
      </c>
    </row>
    <row r="45468" ht="15.75" customHeight="1">
      <c r="A45468" s="7"/>
      <c r="B45468" s="7"/>
      <c r="M45468" s="9" t="s">
        <v>24</v>
      </c>
    </row>
    <row r="45469" ht="15.75" customHeight="1">
      <c r="A45469" s="7"/>
      <c r="B45469" s="7"/>
      <c r="M45469" s="9" t="s">
        <v>20</v>
      </c>
    </row>
    <row r="45470" ht="15.75" customHeight="1">
      <c r="A45470" s="7"/>
      <c r="B45470" s="7"/>
      <c r="M45470" s="9" t="s">
        <v>21</v>
      </c>
    </row>
    <row r="45471" ht="15.75" customHeight="1">
      <c r="A45471" s="7"/>
      <c r="B45471" s="7"/>
      <c r="M45471" s="9" t="s">
        <v>37</v>
      </c>
    </row>
    <row r="45472" ht="15.75" customHeight="1">
      <c r="A45472" s="7"/>
      <c r="B45472" s="7"/>
      <c r="M45472" s="9" t="s">
        <v>22</v>
      </c>
    </row>
    <row r="45473" ht="15.75" customHeight="1">
      <c r="A45473" s="7"/>
      <c r="B45473" s="7"/>
      <c r="M45473" s="9" t="s">
        <v>27</v>
      </c>
    </row>
    <row r="45474" ht="15.75" customHeight="1">
      <c r="A45474" s="7"/>
      <c r="B45474" s="7"/>
      <c r="M45474" s="9" t="s">
        <v>33</v>
      </c>
    </row>
    <row r="45475" ht="15.75" customHeight="1">
      <c r="A45475" s="7"/>
      <c r="B45475" s="7"/>
      <c r="M45475" s="9" t="s">
        <v>30</v>
      </c>
    </row>
    <row r="45476" ht="15.75" customHeight="1">
      <c r="A45476" s="7"/>
      <c r="B45476" s="7"/>
      <c r="M45476" s="9" t="s">
        <v>42</v>
      </c>
    </row>
    <row r="45477" ht="15.75" customHeight="1">
      <c r="A45477" s="7"/>
      <c r="B45477" s="7"/>
      <c r="M45477" s="9" t="s">
        <v>36</v>
      </c>
    </row>
    <row r="45478" ht="15.75" customHeight="1">
      <c r="A45478" s="7"/>
      <c r="B45478" s="7"/>
      <c r="M45478" s="9" t="s">
        <v>22</v>
      </c>
    </row>
    <row r="45479" ht="15.75" customHeight="1">
      <c r="A45479" s="7"/>
      <c r="B45479" s="7"/>
      <c r="M45479" s="9" t="s">
        <v>27</v>
      </c>
    </row>
    <row r="45480" ht="15.75" customHeight="1">
      <c r="A45480" s="7"/>
      <c r="B45480" s="7"/>
      <c r="M45480" s="9" t="s">
        <v>26</v>
      </c>
    </row>
    <row r="45481" ht="15.75" customHeight="1">
      <c r="A45481" s="7"/>
      <c r="B45481" s="7"/>
      <c r="M45481" s="9" t="s">
        <v>24</v>
      </c>
    </row>
    <row r="45482" ht="15.75" customHeight="1">
      <c r="A45482" s="7"/>
      <c r="B45482" s="7"/>
      <c r="M45482" s="9" t="s">
        <v>22</v>
      </c>
    </row>
    <row r="45483" ht="15.75" customHeight="1">
      <c r="A45483" s="7"/>
      <c r="B45483" s="7"/>
      <c r="M45483" s="9" t="s">
        <v>32</v>
      </c>
    </row>
    <row r="45484" ht="15.75" customHeight="1">
      <c r="A45484" s="7"/>
      <c r="B45484" s="7"/>
      <c r="M45484" s="9" t="s">
        <v>27</v>
      </c>
    </row>
    <row r="45485" ht="15.75" customHeight="1">
      <c r="A45485" s="7"/>
      <c r="B45485" s="7"/>
      <c r="M45485" s="9" t="s">
        <v>30</v>
      </c>
    </row>
    <row r="45486" ht="15.75" customHeight="1">
      <c r="A45486" s="7"/>
      <c r="B45486" s="7"/>
      <c r="M45486" s="9" t="s">
        <v>25</v>
      </c>
    </row>
    <row r="45487" ht="15.75" customHeight="1">
      <c r="A45487" s="7"/>
      <c r="B45487" s="7"/>
      <c r="M45487" s="9" t="s">
        <v>23</v>
      </c>
    </row>
    <row r="45488" ht="15.75" customHeight="1">
      <c r="A45488" s="7"/>
      <c r="B45488" s="7"/>
      <c r="M45488" s="9" t="s">
        <v>26</v>
      </c>
    </row>
    <row r="45489" ht="15.75" customHeight="1">
      <c r="A45489" s="7"/>
      <c r="B45489" s="7"/>
      <c r="M45489" s="9" t="s">
        <v>24</v>
      </c>
    </row>
    <row r="45490" ht="15.75" customHeight="1">
      <c r="A45490" s="7"/>
      <c r="B45490" s="7"/>
      <c r="M45490" s="9" t="s">
        <v>20</v>
      </c>
    </row>
    <row r="45491" ht="15.75" customHeight="1">
      <c r="A45491" s="7"/>
      <c r="B45491" s="7"/>
      <c r="M45491" s="9" t="s">
        <v>22</v>
      </c>
    </row>
    <row r="45492" ht="15.75" customHeight="1">
      <c r="A45492" s="7"/>
      <c r="B45492" s="7"/>
      <c r="M45492" s="9" t="s">
        <v>24</v>
      </c>
    </row>
    <row r="45493" ht="15.75" customHeight="1">
      <c r="A45493" s="7"/>
      <c r="B45493" s="7"/>
      <c r="M45493" s="9" t="s">
        <v>22</v>
      </c>
    </row>
    <row r="45494" ht="15.75" customHeight="1">
      <c r="A45494" s="7"/>
      <c r="B45494" s="7"/>
      <c r="M45494" s="9" t="s">
        <v>29</v>
      </c>
    </row>
    <row r="45495" ht="15.75" customHeight="1">
      <c r="A45495" s="7"/>
      <c r="B45495" s="7"/>
      <c r="M45495" s="9" t="s">
        <v>27</v>
      </c>
    </row>
    <row r="45496" ht="15.75" customHeight="1">
      <c r="A45496" s="7"/>
      <c r="B45496" s="7"/>
      <c r="M45496" s="9" t="s">
        <v>30</v>
      </c>
    </row>
    <row r="45497" ht="15.75" customHeight="1">
      <c r="A45497" s="7"/>
      <c r="B45497" s="7"/>
      <c r="M45497" s="9" t="s">
        <v>23</v>
      </c>
    </row>
    <row r="45498" ht="15.75" customHeight="1">
      <c r="A45498" s="7"/>
      <c r="B45498" s="7"/>
      <c r="M45498" s="9" t="s">
        <v>26</v>
      </c>
    </row>
    <row r="45499" ht="15.75" customHeight="1">
      <c r="A45499" s="7"/>
      <c r="B45499" s="7"/>
      <c r="M45499" s="9" t="s">
        <v>24</v>
      </c>
    </row>
    <row r="45500" ht="15.75" customHeight="1">
      <c r="A45500" s="7"/>
      <c r="B45500" s="7"/>
      <c r="M45500" s="9" t="s">
        <v>20</v>
      </c>
    </row>
    <row r="45501" ht="15.75" customHeight="1">
      <c r="A45501" s="7"/>
      <c r="B45501" s="7"/>
      <c r="M45501" s="9" t="s">
        <v>21</v>
      </c>
    </row>
    <row r="45502" ht="15.75" customHeight="1">
      <c r="A45502" s="7"/>
      <c r="B45502" s="7"/>
      <c r="M45502" s="9" t="s">
        <v>27</v>
      </c>
    </row>
    <row r="45503" ht="15.75" customHeight="1">
      <c r="A45503" s="7"/>
      <c r="B45503" s="7"/>
      <c r="M45503" s="9" t="s">
        <v>24</v>
      </c>
    </row>
    <row r="45504" ht="15.75" customHeight="1">
      <c r="A45504" s="7"/>
      <c r="B45504" s="7"/>
      <c r="M45504" s="9" t="s">
        <v>21</v>
      </c>
    </row>
    <row r="45505" ht="15.75" customHeight="1">
      <c r="A45505" s="7"/>
      <c r="B45505" s="7"/>
      <c r="M45505" s="9" t="s">
        <v>37</v>
      </c>
    </row>
    <row r="45506" ht="15.75" customHeight="1">
      <c r="A45506" s="7"/>
      <c r="B45506" s="7"/>
      <c r="M45506" s="9" t="s">
        <v>22</v>
      </c>
    </row>
    <row r="45507" ht="15.75" customHeight="1">
      <c r="A45507" s="7"/>
      <c r="B45507" s="7"/>
      <c r="M45507" s="9" t="s">
        <v>29</v>
      </c>
    </row>
    <row r="45508" ht="15.75" customHeight="1">
      <c r="A45508" s="7"/>
      <c r="B45508" s="7"/>
      <c r="M45508" s="9" t="s">
        <v>27</v>
      </c>
    </row>
    <row r="45509" ht="15.75" customHeight="1">
      <c r="A45509" s="7"/>
      <c r="B45509" s="7"/>
      <c r="M45509" s="9" t="s">
        <v>28</v>
      </c>
    </row>
    <row r="45510" ht="15.75" customHeight="1">
      <c r="A45510" s="7"/>
      <c r="B45510" s="7"/>
      <c r="M45510" s="9" t="s">
        <v>26</v>
      </c>
    </row>
    <row r="45511" ht="15.75" customHeight="1">
      <c r="A45511" s="7"/>
      <c r="B45511" s="7"/>
      <c r="M45511" s="9" t="s">
        <v>24</v>
      </c>
    </row>
    <row r="45512" ht="15.75" customHeight="1">
      <c r="A45512" s="7"/>
      <c r="B45512" s="7"/>
      <c r="M45512" s="9" t="s">
        <v>20</v>
      </c>
    </row>
    <row r="45513" ht="15.75" customHeight="1">
      <c r="A45513" s="7"/>
      <c r="B45513" s="7"/>
      <c r="M45513" s="9" t="s">
        <v>27</v>
      </c>
    </row>
    <row r="45514" ht="15.75" customHeight="1">
      <c r="A45514" s="7"/>
      <c r="B45514" s="7"/>
      <c r="M45514" s="9" t="s">
        <v>33</v>
      </c>
    </row>
    <row r="45515" ht="15.75" customHeight="1">
      <c r="A45515" s="7"/>
      <c r="B45515" s="7"/>
      <c r="M45515" s="9" t="s">
        <v>24</v>
      </c>
    </row>
    <row r="45516" ht="15.75" customHeight="1">
      <c r="A45516" s="7"/>
      <c r="B45516" s="7"/>
      <c r="M45516" s="9" t="s">
        <v>21</v>
      </c>
    </row>
    <row r="45517" ht="15.75" customHeight="1">
      <c r="A45517" s="7"/>
      <c r="B45517" s="7"/>
      <c r="M45517" s="9" t="s">
        <v>23</v>
      </c>
    </row>
    <row r="45518" ht="15.75" customHeight="1">
      <c r="A45518" s="7"/>
      <c r="B45518" s="7"/>
      <c r="M45518" s="9" t="s">
        <v>24</v>
      </c>
    </row>
    <row r="45519" ht="15.75" customHeight="1">
      <c r="A45519" s="7"/>
      <c r="B45519" s="7"/>
      <c r="M45519" s="9" t="s">
        <v>20</v>
      </c>
    </row>
    <row r="45520" ht="15.75" customHeight="1">
      <c r="A45520" s="7"/>
      <c r="B45520" s="7"/>
      <c r="M45520" s="9" t="s">
        <v>21</v>
      </c>
    </row>
    <row r="45521" ht="15.75" customHeight="1">
      <c r="A45521" s="7"/>
      <c r="B45521" s="7"/>
      <c r="M45521" s="9" t="s">
        <v>37</v>
      </c>
    </row>
    <row r="45522" ht="15.75" customHeight="1">
      <c r="A45522" s="7"/>
      <c r="B45522" s="7"/>
      <c r="M45522" s="9" t="s">
        <v>22</v>
      </c>
    </row>
    <row r="45523" ht="15.75" customHeight="1">
      <c r="A45523" s="7"/>
      <c r="B45523" s="7"/>
      <c r="M45523" s="9" t="s">
        <v>31</v>
      </c>
    </row>
    <row r="45524" ht="15.75" customHeight="1">
      <c r="A45524" s="7"/>
      <c r="B45524" s="7"/>
      <c r="M45524" s="9" t="s">
        <v>27</v>
      </c>
    </row>
    <row r="45525" ht="15.75" customHeight="1">
      <c r="A45525" s="7"/>
      <c r="B45525" s="7"/>
      <c r="M45525" s="9" t="s">
        <v>33</v>
      </c>
    </row>
    <row r="45526" ht="15.75" customHeight="1">
      <c r="A45526" s="7"/>
      <c r="B45526" s="7"/>
      <c r="M45526" s="9" t="s">
        <v>24</v>
      </c>
    </row>
    <row r="45527" ht="15.75" customHeight="1">
      <c r="A45527" s="7"/>
      <c r="B45527" s="7"/>
      <c r="M45527" s="9" t="s">
        <v>31</v>
      </c>
    </row>
    <row r="45528" ht="15.75" customHeight="1">
      <c r="A45528" s="7"/>
      <c r="B45528" s="7"/>
      <c r="M45528" s="9" t="s">
        <v>27</v>
      </c>
    </row>
    <row r="45529" ht="15.75" customHeight="1">
      <c r="A45529" s="7"/>
      <c r="B45529" s="7"/>
      <c r="M45529" s="9" t="s">
        <v>25</v>
      </c>
    </row>
    <row r="45530" ht="15.75" customHeight="1">
      <c r="A45530" s="7"/>
      <c r="B45530" s="7"/>
      <c r="M45530" s="9" t="s">
        <v>23</v>
      </c>
    </row>
    <row r="45531" ht="15.75" customHeight="1">
      <c r="A45531" s="7"/>
      <c r="B45531" s="7"/>
      <c r="M45531" s="9" t="s">
        <v>24</v>
      </c>
    </row>
    <row r="45532" ht="15.75" customHeight="1">
      <c r="A45532" s="7"/>
      <c r="B45532" s="7"/>
      <c r="M45532" s="9" t="s">
        <v>20</v>
      </c>
    </row>
    <row r="45533" ht="15.75" customHeight="1">
      <c r="A45533" s="7"/>
      <c r="B45533" s="7"/>
      <c r="M45533" s="9" t="s">
        <v>21</v>
      </c>
    </row>
    <row r="45534" ht="15.75" customHeight="1">
      <c r="A45534" s="7"/>
      <c r="B45534" s="7"/>
      <c r="M45534" s="9" t="s">
        <v>31</v>
      </c>
    </row>
    <row r="45535" ht="15.75" customHeight="1">
      <c r="A45535" s="7"/>
      <c r="B45535" s="7"/>
      <c r="M45535" s="9" t="s">
        <v>27</v>
      </c>
    </row>
    <row r="45536" ht="15.75" customHeight="1">
      <c r="A45536" s="7"/>
      <c r="B45536" s="7"/>
      <c r="M45536" s="9" t="s">
        <v>40</v>
      </c>
    </row>
    <row r="45537" ht="15.75" customHeight="1">
      <c r="A45537" s="7"/>
      <c r="B45537" s="7"/>
      <c r="M45537" s="9" t="s">
        <v>24</v>
      </c>
    </row>
    <row r="45538" ht="15.75" customHeight="1">
      <c r="A45538" s="7"/>
      <c r="B45538" s="7"/>
      <c r="M45538" s="9" t="s">
        <v>31</v>
      </c>
    </row>
    <row r="45539" ht="15.75" customHeight="1">
      <c r="A45539" s="7"/>
      <c r="B45539" s="7"/>
      <c r="M45539" s="9" t="s">
        <v>27</v>
      </c>
    </row>
    <row r="45540" ht="15.75" customHeight="1">
      <c r="A45540" s="7"/>
      <c r="B45540" s="7"/>
      <c r="M45540" s="9" t="s">
        <v>35</v>
      </c>
    </row>
    <row r="45541" ht="15.75" customHeight="1">
      <c r="A45541" s="7"/>
      <c r="B45541" s="7"/>
      <c r="M45541" s="9" t="s">
        <v>20</v>
      </c>
    </row>
    <row r="45542" ht="15.75" customHeight="1">
      <c r="A45542" s="7"/>
      <c r="B45542" s="7"/>
      <c r="M45542" s="9" t="s">
        <v>39</v>
      </c>
    </row>
    <row r="45543" ht="15.75" customHeight="1">
      <c r="A45543" s="7"/>
      <c r="B45543" s="7"/>
      <c r="M45543" s="9" t="s">
        <v>25</v>
      </c>
    </row>
    <row r="45544" ht="15.75" customHeight="1">
      <c r="A45544" s="7"/>
      <c r="B45544" s="7"/>
      <c r="M45544" s="9" t="s">
        <v>20</v>
      </c>
    </row>
    <row r="45545" ht="15.75" customHeight="1">
      <c r="A45545" s="7"/>
      <c r="B45545" s="7"/>
      <c r="M45545" s="9" t="s">
        <v>30</v>
      </c>
    </row>
    <row r="45546" ht="15.75" customHeight="1">
      <c r="A45546" s="7"/>
      <c r="B45546" s="7"/>
      <c r="M45546" s="9" t="s">
        <v>26</v>
      </c>
    </row>
    <row r="45547" ht="15.75" customHeight="1">
      <c r="A45547" s="7"/>
      <c r="B45547" s="7"/>
      <c r="M45547" s="9" t="s">
        <v>24</v>
      </c>
    </row>
    <row r="45548" ht="15.75" customHeight="1">
      <c r="A45548" s="7"/>
      <c r="B45548" s="7"/>
      <c r="M45548" s="9" t="s">
        <v>21</v>
      </c>
    </row>
    <row r="45549" ht="15.75" customHeight="1">
      <c r="A45549" s="7"/>
      <c r="B45549" s="7"/>
      <c r="M45549" s="9" t="s">
        <v>22</v>
      </c>
    </row>
    <row r="45550" ht="15.75" customHeight="1">
      <c r="A45550" s="7"/>
      <c r="B45550" s="7"/>
      <c r="M45550" s="9" t="s">
        <v>31</v>
      </c>
    </row>
    <row r="45551" ht="15.75" customHeight="1">
      <c r="A45551" s="7"/>
      <c r="B45551" s="7"/>
      <c r="M45551" s="9" t="s">
        <v>27</v>
      </c>
    </row>
    <row r="45552" ht="15.75" customHeight="1">
      <c r="A45552" s="7"/>
      <c r="B45552" s="7"/>
      <c r="M45552" s="9" t="s">
        <v>20</v>
      </c>
    </row>
    <row r="45553" ht="15.75" customHeight="1">
      <c r="A45553" s="7"/>
      <c r="B45553" s="7"/>
      <c r="M45553" s="9" t="s">
        <v>30</v>
      </c>
    </row>
    <row r="45554" ht="15.75" customHeight="1">
      <c r="A45554" s="7"/>
      <c r="B45554" s="7"/>
      <c r="M45554" s="9" t="s">
        <v>23</v>
      </c>
    </row>
    <row r="45555" ht="15.75" customHeight="1">
      <c r="A45555" s="7"/>
      <c r="B45555" s="7"/>
      <c r="M45555" s="9" t="s">
        <v>24</v>
      </c>
    </row>
    <row r="45556" ht="15.75" customHeight="1">
      <c r="A45556" s="7"/>
      <c r="B45556" s="7"/>
      <c r="M45556" s="9" t="s">
        <v>21</v>
      </c>
    </row>
    <row r="45557" ht="15.75" customHeight="1">
      <c r="A45557" s="7"/>
      <c r="B45557" s="7"/>
      <c r="M45557" s="9" t="s">
        <v>22</v>
      </c>
    </row>
    <row r="45558" ht="15.75" customHeight="1">
      <c r="A45558" s="7"/>
      <c r="B45558" s="7"/>
      <c r="M45558" s="9" t="s">
        <v>29</v>
      </c>
    </row>
    <row r="45559" ht="15.75" customHeight="1">
      <c r="A45559" s="7"/>
      <c r="B45559" s="7"/>
      <c r="M45559" s="9" t="s">
        <v>24</v>
      </c>
    </row>
    <row r="45560" ht="15.75" customHeight="1">
      <c r="A45560" s="7"/>
      <c r="B45560" s="7"/>
      <c r="M45560" s="9" t="s">
        <v>21</v>
      </c>
    </row>
    <row r="45561" ht="15.75" customHeight="1">
      <c r="A45561" s="7"/>
      <c r="B45561" s="7"/>
      <c r="M45561" s="9" t="s">
        <v>22</v>
      </c>
    </row>
    <row r="45562" ht="15.75" customHeight="1">
      <c r="A45562" s="7"/>
      <c r="B45562" s="7"/>
      <c r="M45562" s="9" t="s">
        <v>27</v>
      </c>
    </row>
    <row r="45563" ht="15.75" customHeight="1">
      <c r="A45563" s="7"/>
      <c r="B45563" s="7"/>
      <c r="M45563" s="9" t="s">
        <v>20</v>
      </c>
    </row>
    <row r="45564" ht="15.75" customHeight="1">
      <c r="A45564" s="7"/>
      <c r="B45564" s="7"/>
      <c r="M45564" s="9" t="s">
        <v>26</v>
      </c>
    </row>
    <row r="45565" ht="15.75" customHeight="1">
      <c r="A45565" s="7"/>
      <c r="B45565" s="7"/>
      <c r="M45565" s="9" t="s">
        <v>24</v>
      </c>
    </row>
    <row r="45566" ht="15.75" customHeight="1">
      <c r="A45566" s="7"/>
      <c r="B45566" s="7"/>
      <c r="M45566" s="9" t="s">
        <v>21</v>
      </c>
    </row>
    <row r="45567" ht="15.75" customHeight="1">
      <c r="A45567" s="7"/>
      <c r="B45567" s="7"/>
      <c r="M45567" s="9" t="s">
        <v>33</v>
      </c>
    </row>
    <row r="45568" ht="15.75" customHeight="1">
      <c r="A45568" s="7"/>
      <c r="B45568" s="7"/>
      <c r="M45568" s="9" t="s">
        <v>42</v>
      </c>
    </row>
    <row r="45569" ht="15.75" customHeight="1">
      <c r="A45569" s="7"/>
      <c r="B45569" s="7"/>
      <c r="M45569" s="9" t="s">
        <v>24</v>
      </c>
    </row>
    <row r="45570" ht="15.75" customHeight="1">
      <c r="A45570" s="7"/>
      <c r="B45570" s="7"/>
      <c r="M45570" s="9" t="s">
        <v>21</v>
      </c>
    </row>
    <row r="45571" ht="15.75" customHeight="1">
      <c r="A45571" s="7"/>
      <c r="B45571" s="7"/>
      <c r="M45571" s="9" t="s">
        <v>31</v>
      </c>
    </row>
    <row r="45572" ht="15.75" customHeight="1">
      <c r="A45572" s="7"/>
      <c r="B45572" s="7"/>
      <c r="M45572" s="9" t="s">
        <v>32</v>
      </c>
    </row>
    <row r="45573" ht="15.75" customHeight="1">
      <c r="A45573" s="7"/>
      <c r="B45573" s="7"/>
      <c r="M45573" s="9" t="s">
        <v>27</v>
      </c>
    </row>
    <row r="45574" ht="15.75" customHeight="1">
      <c r="A45574" s="7"/>
      <c r="B45574" s="7"/>
      <c r="M45574" s="9" t="s">
        <v>33</v>
      </c>
    </row>
    <row r="45575" ht="15.75" customHeight="1">
      <c r="A45575" s="7"/>
      <c r="B45575" s="7"/>
      <c r="M45575" s="9" t="s">
        <v>34</v>
      </c>
    </row>
    <row r="45576" ht="15.75" customHeight="1">
      <c r="A45576" s="7"/>
      <c r="B45576" s="7"/>
      <c r="M45576" s="9" t="s">
        <v>26</v>
      </c>
    </row>
    <row r="45577" ht="15.75" customHeight="1">
      <c r="A45577" s="7"/>
      <c r="B45577" s="7"/>
      <c r="M45577" s="9" t="s">
        <v>24</v>
      </c>
    </row>
    <row r="45578" ht="15.75" customHeight="1">
      <c r="A45578" s="7"/>
      <c r="B45578" s="7"/>
      <c r="M45578" s="9" t="s">
        <v>21</v>
      </c>
    </row>
    <row r="45579" ht="15.75" customHeight="1">
      <c r="A45579" s="7"/>
      <c r="B45579" s="7"/>
      <c r="M45579" s="9" t="s">
        <v>27</v>
      </c>
    </row>
    <row r="45580" ht="15.75" customHeight="1">
      <c r="A45580" s="7"/>
      <c r="B45580" s="7"/>
      <c r="M45580" s="9" t="s">
        <v>30</v>
      </c>
    </row>
    <row r="45581" ht="15.75" customHeight="1">
      <c r="A45581" s="7"/>
      <c r="B45581" s="7"/>
      <c r="M45581" s="9" t="s">
        <v>23</v>
      </c>
    </row>
    <row r="45582" ht="15.75" customHeight="1">
      <c r="A45582" s="7"/>
      <c r="B45582" s="7"/>
      <c r="M45582" s="9" t="s">
        <v>24</v>
      </c>
    </row>
    <row r="45583" ht="15.75" customHeight="1">
      <c r="A45583" s="7"/>
      <c r="B45583" s="7"/>
      <c r="M45583" s="9" t="s">
        <v>22</v>
      </c>
    </row>
    <row r="45584" ht="15.75" customHeight="1">
      <c r="A45584" s="7"/>
      <c r="B45584" s="7"/>
      <c r="M45584" s="9" t="s">
        <v>24</v>
      </c>
    </row>
    <row r="45585" ht="15.75" customHeight="1">
      <c r="A45585" s="7"/>
      <c r="B45585" s="7"/>
      <c r="M45585" s="9" t="s">
        <v>21</v>
      </c>
    </row>
    <row r="45586" ht="15.75" customHeight="1">
      <c r="A45586" s="7"/>
      <c r="B45586" s="7"/>
      <c r="M45586" s="9" t="s">
        <v>27</v>
      </c>
    </row>
    <row r="45587" ht="15.75" customHeight="1">
      <c r="A45587" s="7"/>
      <c r="B45587" s="7"/>
      <c r="M45587" s="9" t="s">
        <v>33</v>
      </c>
    </row>
    <row r="45588" ht="15.75" customHeight="1">
      <c r="A45588" s="7"/>
      <c r="B45588" s="7"/>
      <c r="M45588" s="9" t="s">
        <v>24</v>
      </c>
    </row>
    <row r="45589" ht="15.75" customHeight="1">
      <c r="A45589" s="7"/>
      <c r="B45589" s="7"/>
      <c r="M45589" s="9" t="s">
        <v>20</v>
      </c>
    </row>
    <row r="45590" ht="15.75" customHeight="1">
      <c r="A45590" s="7"/>
      <c r="B45590" s="7"/>
      <c r="M45590" s="9" t="s">
        <v>21</v>
      </c>
    </row>
    <row r="45591" ht="15.75" customHeight="1">
      <c r="A45591" s="7"/>
      <c r="B45591" s="7"/>
      <c r="M45591" s="9" t="s">
        <v>27</v>
      </c>
    </row>
    <row r="45592" ht="15.75" customHeight="1">
      <c r="A45592" s="7"/>
      <c r="B45592" s="7"/>
      <c r="M45592" s="9" t="s">
        <v>30</v>
      </c>
    </row>
    <row r="45593" ht="15.75" customHeight="1">
      <c r="A45593" s="7"/>
      <c r="B45593" s="7"/>
      <c r="M45593" s="9" t="s">
        <v>25</v>
      </c>
    </row>
    <row r="45594" ht="15.75" customHeight="1">
      <c r="A45594" s="7"/>
      <c r="B45594" s="7"/>
      <c r="M45594" s="9" t="s">
        <v>23</v>
      </c>
    </row>
    <row r="45595" ht="15.75" customHeight="1">
      <c r="A45595" s="7"/>
      <c r="B45595" s="7"/>
      <c r="M45595" s="9" t="s">
        <v>26</v>
      </c>
    </row>
    <row r="45596" ht="15.75" customHeight="1">
      <c r="A45596" s="7"/>
      <c r="B45596" s="7"/>
      <c r="M45596" s="9" t="s">
        <v>20</v>
      </c>
    </row>
    <row r="45597" ht="15.75" customHeight="1">
      <c r="A45597" s="7"/>
      <c r="B45597" s="7"/>
      <c r="M45597" s="9" t="s">
        <v>22</v>
      </c>
    </row>
    <row r="45598" ht="15.75" customHeight="1">
      <c r="A45598" s="7"/>
      <c r="B45598" s="7"/>
      <c r="M45598" s="9" t="s">
        <v>30</v>
      </c>
    </row>
    <row r="45599" ht="15.75" customHeight="1">
      <c r="A45599" s="7"/>
      <c r="B45599" s="7"/>
      <c r="M45599" s="9" t="s">
        <v>24</v>
      </c>
    </row>
    <row r="45600" ht="15.75" customHeight="1">
      <c r="A45600" s="7"/>
      <c r="B45600" s="7"/>
      <c r="M45600" s="9" t="s">
        <v>20</v>
      </c>
    </row>
    <row r="45601" ht="15.75" customHeight="1">
      <c r="A45601" s="7"/>
      <c r="B45601" s="7"/>
      <c r="M45601" s="9" t="s">
        <v>22</v>
      </c>
    </row>
    <row r="45602" ht="15.75" customHeight="1">
      <c r="A45602" s="7"/>
      <c r="B45602" s="7"/>
      <c r="M45602" s="9" t="s">
        <v>24</v>
      </c>
    </row>
    <row r="45603" ht="15.75" customHeight="1">
      <c r="A45603" s="7"/>
      <c r="B45603" s="7"/>
      <c r="M45603" s="9" t="s">
        <v>21</v>
      </c>
    </row>
    <row r="45604" ht="15.75" customHeight="1">
      <c r="A45604" s="7"/>
      <c r="B45604" s="7"/>
      <c r="M45604" s="9" t="s">
        <v>37</v>
      </c>
    </row>
    <row r="45605" ht="15.75" customHeight="1">
      <c r="A45605" s="7"/>
      <c r="B45605" s="7"/>
      <c r="M45605" s="9" t="s">
        <v>33</v>
      </c>
    </row>
    <row r="45606" ht="15.75" customHeight="1">
      <c r="A45606" s="7"/>
      <c r="B45606" s="7"/>
      <c r="M45606" s="9" t="s">
        <v>20</v>
      </c>
    </row>
    <row r="45607" ht="15.75" customHeight="1">
      <c r="A45607" s="7"/>
      <c r="B45607" s="7"/>
      <c r="M45607" s="9" t="s">
        <v>21</v>
      </c>
    </row>
    <row r="45608" ht="15.75" customHeight="1">
      <c r="A45608" s="7"/>
      <c r="B45608" s="7"/>
      <c r="M45608" s="9" t="s">
        <v>22</v>
      </c>
    </row>
    <row r="45609" ht="15.75" customHeight="1">
      <c r="A45609" s="7"/>
      <c r="B45609" s="7"/>
      <c r="M45609" s="9" t="s">
        <v>32</v>
      </c>
    </row>
    <row r="45610" ht="15.75" customHeight="1">
      <c r="A45610" s="7"/>
      <c r="B45610" s="7"/>
      <c r="M45610" s="9" t="s">
        <v>27</v>
      </c>
    </row>
    <row r="45611" ht="15.75" customHeight="1">
      <c r="A45611" s="7"/>
      <c r="B45611" s="7"/>
      <c r="M45611" s="9" t="s">
        <v>38</v>
      </c>
    </row>
    <row r="45612" ht="15.75" customHeight="1">
      <c r="A45612" s="7"/>
      <c r="B45612" s="7"/>
      <c r="M45612" s="9" t="s">
        <v>24</v>
      </c>
    </row>
    <row r="45613" ht="15.75" customHeight="1">
      <c r="A45613" s="7"/>
      <c r="B45613" s="7"/>
      <c r="M45613" s="9" t="s">
        <v>21</v>
      </c>
    </row>
    <row r="45614" ht="15.75" customHeight="1">
      <c r="A45614" s="7"/>
      <c r="B45614" s="7"/>
      <c r="M45614" s="9" t="s">
        <v>37</v>
      </c>
    </row>
    <row r="45615" ht="15.75" customHeight="1">
      <c r="A45615" s="7"/>
      <c r="B45615" s="7"/>
      <c r="M45615" s="9" t="s">
        <v>27</v>
      </c>
    </row>
    <row r="45616" ht="15.75" customHeight="1">
      <c r="A45616" s="7"/>
      <c r="B45616" s="7"/>
      <c r="M45616" s="9" t="s">
        <v>24</v>
      </c>
    </row>
    <row r="45617" ht="15.75" customHeight="1">
      <c r="A45617" s="7"/>
      <c r="B45617" s="7"/>
      <c r="M45617" s="9" t="s">
        <v>21</v>
      </c>
    </row>
    <row r="45618" ht="15.75" customHeight="1">
      <c r="A45618" s="7"/>
      <c r="B45618" s="7"/>
      <c r="M45618" s="9" t="s">
        <v>27</v>
      </c>
    </row>
    <row r="45619" ht="15.75" customHeight="1">
      <c r="A45619" s="7"/>
      <c r="B45619" s="7"/>
      <c r="M45619" s="9" t="s">
        <v>33</v>
      </c>
    </row>
    <row r="45620" ht="15.75" customHeight="1">
      <c r="A45620" s="7"/>
      <c r="B45620" s="7"/>
      <c r="M45620" s="9" t="s">
        <v>25</v>
      </c>
    </row>
    <row r="45621" ht="15.75" customHeight="1">
      <c r="A45621" s="7"/>
      <c r="B45621" s="7"/>
      <c r="M45621" s="9" t="s">
        <v>20</v>
      </c>
    </row>
    <row r="45622" ht="15.75" customHeight="1">
      <c r="A45622" s="7"/>
      <c r="B45622" s="7"/>
      <c r="M45622" s="9" t="s">
        <v>41</v>
      </c>
    </row>
    <row r="45623" ht="15.75" customHeight="1">
      <c r="A45623" s="7"/>
      <c r="B45623" s="7"/>
      <c r="M45623" s="9" t="s">
        <v>22</v>
      </c>
    </row>
    <row r="45624" ht="15.75" customHeight="1">
      <c r="A45624" s="7"/>
      <c r="B45624" s="7"/>
      <c r="M45624" s="9" t="s">
        <v>27</v>
      </c>
    </row>
    <row r="45625" ht="15.75" customHeight="1">
      <c r="A45625" s="7"/>
      <c r="B45625" s="7"/>
      <c r="M45625" s="9" t="s">
        <v>24</v>
      </c>
    </row>
    <row r="45626" ht="15.75" customHeight="1">
      <c r="A45626" s="7"/>
      <c r="B45626" s="7"/>
      <c r="M45626" s="9" t="s">
        <v>20</v>
      </c>
    </row>
    <row r="45627" ht="15.75" customHeight="1">
      <c r="A45627" s="7"/>
      <c r="B45627" s="7"/>
      <c r="M45627" s="9" t="s">
        <v>21</v>
      </c>
    </row>
    <row r="45628" ht="15.75" customHeight="1">
      <c r="A45628" s="7"/>
      <c r="B45628" s="7"/>
      <c r="M45628" s="9" t="s">
        <v>27</v>
      </c>
    </row>
    <row r="45629" ht="15.75" customHeight="1">
      <c r="A45629" s="7"/>
      <c r="B45629" s="7"/>
      <c r="M45629" s="9" t="s">
        <v>24</v>
      </c>
    </row>
    <row r="45630" ht="15.75" customHeight="1">
      <c r="A45630" s="7"/>
      <c r="B45630" s="7"/>
      <c r="M45630" s="9" t="s">
        <v>21</v>
      </c>
    </row>
    <row r="45631" ht="15.75" customHeight="1">
      <c r="A45631" s="7"/>
      <c r="B45631" s="7"/>
      <c r="M45631" s="9" t="s">
        <v>39</v>
      </c>
    </row>
    <row r="45632" ht="15.75" customHeight="1">
      <c r="A45632" s="7"/>
      <c r="B45632" s="7"/>
      <c r="M45632" s="9" t="s">
        <v>41</v>
      </c>
    </row>
    <row r="45633" ht="15.75" customHeight="1">
      <c r="A45633" s="7"/>
      <c r="B45633" s="7"/>
      <c r="M45633" s="9" t="s">
        <v>37</v>
      </c>
    </row>
    <row r="45634" ht="15.75" customHeight="1">
      <c r="A45634" s="7"/>
      <c r="B45634" s="7"/>
      <c r="M45634" s="9" t="s">
        <v>22</v>
      </c>
    </row>
    <row r="45635" ht="15.75" customHeight="1">
      <c r="A45635" s="7"/>
      <c r="B45635" s="7"/>
      <c r="M45635" s="9" t="s">
        <v>27</v>
      </c>
    </row>
    <row r="45636" ht="15.75" customHeight="1">
      <c r="A45636" s="7"/>
      <c r="B45636" s="7"/>
      <c r="M45636" s="9" t="s">
        <v>24</v>
      </c>
    </row>
    <row r="45637" ht="15.75" customHeight="1">
      <c r="A45637" s="7"/>
      <c r="B45637" s="7"/>
      <c r="M45637" s="9" t="s">
        <v>21</v>
      </c>
    </row>
    <row r="45638" ht="15.75" customHeight="1">
      <c r="A45638" s="7"/>
      <c r="B45638" s="7"/>
      <c r="M45638" s="9" t="s">
        <v>37</v>
      </c>
    </row>
    <row r="45639" ht="15.75" customHeight="1">
      <c r="A45639" s="7"/>
      <c r="B45639" s="7"/>
      <c r="M45639" s="9" t="s">
        <v>27</v>
      </c>
    </row>
    <row r="45640" ht="15.75" customHeight="1">
      <c r="A45640" s="7"/>
      <c r="B45640" s="7"/>
      <c r="M45640" s="9" t="s">
        <v>25</v>
      </c>
    </row>
    <row r="45641" ht="15.75" customHeight="1">
      <c r="A45641" s="7"/>
      <c r="B45641" s="7"/>
      <c r="M45641" s="9" t="s">
        <v>24</v>
      </c>
    </row>
    <row r="45642" ht="15.75" customHeight="1">
      <c r="A45642" s="7"/>
      <c r="B45642" s="7"/>
      <c r="M45642" s="9" t="s">
        <v>20</v>
      </c>
    </row>
    <row r="45643" ht="15.75" customHeight="1">
      <c r="A45643" s="7"/>
      <c r="B45643" s="7"/>
      <c r="M45643" s="9" t="s">
        <v>21</v>
      </c>
    </row>
    <row r="45644" ht="15.75" customHeight="1">
      <c r="A45644" s="7"/>
      <c r="B45644" s="7"/>
      <c r="M45644" s="9" t="s">
        <v>37</v>
      </c>
    </row>
    <row r="45645" ht="15.75" customHeight="1">
      <c r="A45645" s="7"/>
      <c r="B45645" s="7"/>
      <c r="M45645" s="9" t="s">
        <v>27</v>
      </c>
    </row>
    <row r="45646" ht="15.75" customHeight="1">
      <c r="A45646" s="7"/>
      <c r="B45646" s="7"/>
      <c r="M45646" s="9" t="s">
        <v>37</v>
      </c>
    </row>
    <row r="45647" ht="15.75" customHeight="1">
      <c r="A45647" s="7"/>
      <c r="B45647" s="7"/>
      <c r="M45647" s="9" t="s">
        <v>22</v>
      </c>
    </row>
    <row r="45648" ht="15.75" customHeight="1">
      <c r="A45648" s="7"/>
      <c r="B45648" s="7"/>
      <c r="M45648" s="9" t="s">
        <v>27</v>
      </c>
    </row>
    <row r="45649" ht="15.75" customHeight="1">
      <c r="A45649" s="7"/>
      <c r="B45649" s="7"/>
      <c r="M45649" s="9" t="s">
        <v>26</v>
      </c>
    </row>
    <row r="45650" ht="15.75" customHeight="1">
      <c r="A45650" s="7"/>
      <c r="B45650" s="7"/>
      <c r="M45650" s="9" t="s">
        <v>24</v>
      </c>
    </row>
    <row r="45651" ht="15.75" customHeight="1">
      <c r="A45651" s="7"/>
      <c r="B45651" s="7"/>
      <c r="M45651" s="9" t="s">
        <v>21</v>
      </c>
    </row>
    <row r="45652" ht="15.75" customHeight="1">
      <c r="A45652" s="7"/>
      <c r="B45652" s="7"/>
      <c r="M45652" s="9" t="s">
        <v>37</v>
      </c>
    </row>
    <row r="45653" ht="15.75" customHeight="1">
      <c r="A45653" s="7"/>
      <c r="B45653" s="7"/>
      <c r="M45653" s="9" t="s">
        <v>27</v>
      </c>
    </row>
    <row r="45654" ht="15.75" customHeight="1">
      <c r="A45654" s="7"/>
      <c r="B45654" s="7"/>
      <c r="M45654" s="9" t="s">
        <v>33</v>
      </c>
    </row>
    <row r="45655" ht="15.75" customHeight="1">
      <c r="A45655" s="7"/>
      <c r="B45655" s="7"/>
      <c r="M45655" s="9" t="s">
        <v>26</v>
      </c>
    </row>
    <row r="45656" ht="15.75" customHeight="1">
      <c r="A45656" s="7"/>
      <c r="B45656" s="7"/>
      <c r="M45656" s="9" t="s">
        <v>24</v>
      </c>
    </row>
    <row r="45657" ht="15.75" customHeight="1">
      <c r="A45657" s="7"/>
      <c r="B45657" s="7"/>
      <c r="M45657" s="9" t="s">
        <v>21</v>
      </c>
    </row>
    <row r="45658" ht="15.75" customHeight="1">
      <c r="A45658" s="7"/>
      <c r="B45658" s="7"/>
      <c r="M45658" s="9" t="s">
        <v>22</v>
      </c>
    </row>
    <row r="45659" ht="15.75" customHeight="1">
      <c r="A45659" s="7"/>
      <c r="B45659" s="7"/>
      <c r="M45659" s="9" t="s">
        <v>27</v>
      </c>
    </row>
    <row r="45660" ht="15.75" customHeight="1">
      <c r="A45660" s="7"/>
      <c r="B45660" s="7"/>
      <c r="M45660" s="9" t="s">
        <v>33</v>
      </c>
    </row>
    <row r="45661" ht="15.75" customHeight="1">
      <c r="A45661" s="7"/>
      <c r="B45661" s="7"/>
      <c r="M45661" s="9" t="s">
        <v>24</v>
      </c>
    </row>
    <row r="45662" ht="15.75" customHeight="1">
      <c r="A45662" s="7"/>
      <c r="B45662" s="7"/>
      <c r="M45662" s="9" t="s">
        <v>20</v>
      </c>
    </row>
    <row r="45663" ht="15.75" customHeight="1">
      <c r="A45663" s="7"/>
      <c r="B45663" s="7"/>
      <c r="M45663" s="9" t="s">
        <v>22</v>
      </c>
    </row>
    <row r="45664" ht="15.75" customHeight="1">
      <c r="A45664" s="7"/>
      <c r="B45664" s="7"/>
      <c r="M45664" s="9" t="s">
        <v>29</v>
      </c>
    </row>
    <row r="45665" ht="15.75" customHeight="1">
      <c r="A45665" s="7"/>
      <c r="B45665" s="7"/>
      <c r="M45665" s="9" t="s">
        <v>27</v>
      </c>
    </row>
    <row r="45666" ht="15.75" customHeight="1">
      <c r="A45666" s="7"/>
      <c r="B45666" s="7"/>
      <c r="M45666" s="9" t="s">
        <v>24</v>
      </c>
    </row>
    <row r="45667" ht="15.75" customHeight="1">
      <c r="A45667" s="7"/>
      <c r="B45667" s="7"/>
      <c r="M45667" s="9" t="s">
        <v>21</v>
      </c>
    </row>
    <row r="45668" ht="15.75" customHeight="1">
      <c r="A45668" s="7"/>
      <c r="B45668" s="7"/>
      <c r="M45668" s="9" t="s">
        <v>22</v>
      </c>
    </row>
    <row r="45669" ht="15.75" customHeight="1">
      <c r="A45669" s="7"/>
      <c r="B45669" s="7"/>
      <c r="M45669" s="9" t="s">
        <v>20</v>
      </c>
    </row>
    <row r="45670" ht="15.75" customHeight="1">
      <c r="A45670" s="7"/>
      <c r="B45670" s="7"/>
      <c r="M45670" s="9" t="s">
        <v>39</v>
      </c>
    </row>
    <row r="45671" ht="15.75" customHeight="1">
      <c r="A45671" s="7"/>
      <c r="B45671" s="7"/>
      <c r="M45671" s="9" t="s">
        <v>22</v>
      </c>
    </row>
    <row r="45672" ht="15.75" customHeight="1">
      <c r="A45672" s="7"/>
      <c r="B45672" s="7"/>
      <c r="M45672" s="9" t="s">
        <v>40</v>
      </c>
    </row>
    <row r="45673" ht="15.75" customHeight="1">
      <c r="A45673" s="7"/>
      <c r="B45673" s="7"/>
      <c r="M45673" s="9" t="s">
        <v>24</v>
      </c>
    </row>
    <row r="45674" ht="15.75" customHeight="1">
      <c r="A45674" s="7"/>
      <c r="B45674" s="7"/>
      <c r="M45674" s="9" t="s">
        <v>20</v>
      </c>
    </row>
    <row r="45675" ht="15.75" customHeight="1">
      <c r="A45675" s="7"/>
      <c r="B45675" s="7"/>
      <c r="M45675" s="9" t="s">
        <v>21</v>
      </c>
    </row>
    <row r="45676" ht="15.75" customHeight="1">
      <c r="A45676" s="7"/>
      <c r="B45676" s="7"/>
      <c r="M45676" s="9" t="s">
        <v>30</v>
      </c>
    </row>
    <row r="45677" ht="15.75" customHeight="1">
      <c r="A45677" s="7"/>
      <c r="B45677" s="7"/>
      <c r="M45677" s="9" t="s">
        <v>23</v>
      </c>
    </row>
    <row r="45678" ht="15.75" customHeight="1">
      <c r="A45678" s="7"/>
      <c r="B45678" s="7"/>
      <c r="M45678" s="9" t="s">
        <v>20</v>
      </c>
    </row>
    <row r="45679" ht="15.75" customHeight="1">
      <c r="A45679" s="7"/>
      <c r="B45679" s="7"/>
      <c r="M45679" s="9" t="s">
        <v>46</v>
      </c>
    </row>
    <row r="45680" ht="15.75" customHeight="1">
      <c r="A45680" s="7"/>
      <c r="B45680" s="7"/>
      <c r="M45680" s="9" t="s">
        <v>21</v>
      </c>
    </row>
    <row r="45681" ht="15.75" customHeight="1">
      <c r="A45681" s="7"/>
      <c r="B45681" s="7"/>
      <c r="M45681" s="9" t="s">
        <v>24</v>
      </c>
    </row>
    <row r="45682" ht="15.75" customHeight="1">
      <c r="A45682" s="7"/>
      <c r="B45682" s="7"/>
      <c r="M45682" s="9" t="s">
        <v>21</v>
      </c>
    </row>
    <row r="45683" ht="15.75" customHeight="1">
      <c r="A45683" s="7"/>
      <c r="B45683" s="7"/>
      <c r="M45683" s="9" t="s">
        <v>37</v>
      </c>
    </row>
    <row r="45684" ht="15.75" customHeight="1">
      <c r="A45684" s="7"/>
      <c r="B45684" s="7"/>
      <c r="M45684" s="9" t="s">
        <v>24</v>
      </c>
    </row>
    <row r="45685" ht="15.75" customHeight="1">
      <c r="A45685" s="7"/>
      <c r="B45685" s="7"/>
      <c r="M45685" s="9" t="s">
        <v>20</v>
      </c>
    </row>
    <row r="45686" ht="15.75" customHeight="1">
      <c r="A45686" s="7"/>
      <c r="B45686" s="7"/>
      <c r="M45686" s="9" t="s">
        <v>21</v>
      </c>
    </row>
    <row r="45687" ht="15.75" customHeight="1">
      <c r="A45687" s="7"/>
      <c r="B45687" s="7"/>
      <c r="M45687" s="9" t="s">
        <v>27</v>
      </c>
    </row>
    <row r="45688" ht="15.75" customHeight="1">
      <c r="A45688" s="7"/>
      <c r="B45688" s="7"/>
      <c r="M45688" s="9" t="s">
        <v>38</v>
      </c>
    </row>
    <row r="45689" ht="15.75" customHeight="1">
      <c r="A45689" s="7"/>
      <c r="B45689" s="7"/>
      <c r="M45689" s="9" t="s">
        <v>30</v>
      </c>
    </row>
    <row r="45690" ht="15.75" customHeight="1">
      <c r="A45690" s="7"/>
      <c r="B45690" s="7"/>
      <c r="M45690" s="9" t="s">
        <v>25</v>
      </c>
    </row>
    <row r="45691" ht="15.75" customHeight="1">
      <c r="A45691" s="7"/>
      <c r="B45691" s="7"/>
      <c r="M45691" s="9" t="s">
        <v>23</v>
      </c>
    </row>
    <row r="45692" ht="15.75" customHeight="1">
      <c r="A45692" s="7"/>
      <c r="B45692" s="7"/>
      <c r="M45692" s="9" t="s">
        <v>36</v>
      </c>
    </row>
    <row r="45693" ht="15.75" customHeight="1">
      <c r="A45693" s="7"/>
      <c r="B45693" s="7"/>
      <c r="M45693" s="9" t="s">
        <v>22</v>
      </c>
    </row>
    <row r="45694" ht="15.75" customHeight="1">
      <c r="A45694" s="7"/>
      <c r="B45694" s="7"/>
      <c r="M45694" s="9" t="s">
        <v>27</v>
      </c>
    </row>
    <row r="45695" ht="15.75" customHeight="1">
      <c r="A45695" s="7"/>
      <c r="B45695" s="7"/>
      <c r="M45695" s="9" t="s">
        <v>30</v>
      </c>
    </row>
    <row r="45696" ht="15.75" customHeight="1">
      <c r="A45696" s="7"/>
      <c r="B45696" s="7"/>
      <c r="M45696" s="9" t="s">
        <v>23</v>
      </c>
    </row>
    <row r="45697" ht="15.75" customHeight="1">
      <c r="A45697" s="7"/>
      <c r="B45697" s="7"/>
      <c r="M45697" s="9" t="s">
        <v>36</v>
      </c>
    </row>
    <row r="45698" ht="15.75" customHeight="1">
      <c r="A45698" s="7"/>
      <c r="B45698" s="7"/>
      <c r="M45698" s="9" t="s">
        <v>22</v>
      </c>
    </row>
    <row r="45699" ht="15.75" customHeight="1">
      <c r="A45699" s="7"/>
      <c r="B45699" s="7"/>
      <c r="M45699" s="9" t="s">
        <v>38</v>
      </c>
    </row>
    <row r="45700" ht="15.75" customHeight="1">
      <c r="A45700" s="7"/>
      <c r="B45700" s="7"/>
      <c r="M45700" s="9" t="s">
        <v>30</v>
      </c>
    </row>
    <row r="45701" ht="15.75" customHeight="1">
      <c r="A45701" s="7"/>
      <c r="B45701" s="7"/>
      <c r="M45701" s="9" t="s">
        <v>25</v>
      </c>
    </row>
    <row r="45702" ht="15.75" customHeight="1">
      <c r="A45702" s="7"/>
      <c r="B45702" s="7"/>
      <c r="M45702" s="9" t="s">
        <v>23</v>
      </c>
    </row>
    <row r="45703" ht="15.75" customHeight="1">
      <c r="A45703" s="7"/>
      <c r="B45703" s="7"/>
      <c r="M45703" s="9" t="s">
        <v>26</v>
      </c>
    </row>
    <row r="45704" ht="15.75" customHeight="1">
      <c r="A45704" s="7"/>
      <c r="B45704" s="7"/>
      <c r="M45704" s="9" t="s">
        <v>42</v>
      </c>
    </row>
    <row r="45705" ht="15.75" customHeight="1">
      <c r="A45705" s="7"/>
      <c r="B45705" s="7"/>
      <c r="M45705" s="9" t="s">
        <v>24</v>
      </c>
    </row>
    <row r="45706" ht="15.75" customHeight="1">
      <c r="A45706" s="7"/>
      <c r="B45706" s="7"/>
      <c r="M45706" s="9" t="s">
        <v>20</v>
      </c>
    </row>
    <row r="45707" ht="15.75" customHeight="1">
      <c r="A45707" s="7"/>
      <c r="B45707" s="7"/>
      <c r="M45707" s="9" t="s">
        <v>21</v>
      </c>
    </row>
    <row r="45708" ht="15.75" customHeight="1">
      <c r="A45708" s="7"/>
      <c r="B45708" s="7"/>
      <c r="M45708" s="9" t="s">
        <v>37</v>
      </c>
    </row>
    <row r="45709" ht="15.75" customHeight="1">
      <c r="A45709" s="7"/>
      <c r="B45709" s="7"/>
      <c r="M45709" s="9" t="s">
        <v>22</v>
      </c>
    </row>
    <row r="45710" ht="15.75" customHeight="1">
      <c r="A45710" s="7"/>
      <c r="B45710" s="7"/>
      <c r="M45710" s="9" t="s">
        <v>27</v>
      </c>
    </row>
    <row r="45711" ht="15.75" customHeight="1">
      <c r="A45711" s="7"/>
      <c r="B45711" s="7"/>
      <c r="M45711" s="9" t="s">
        <v>28</v>
      </c>
    </row>
    <row r="45712" ht="15.75" customHeight="1">
      <c r="A45712" s="7"/>
      <c r="B45712" s="7"/>
      <c r="M45712" s="9" t="s">
        <v>20</v>
      </c>
    </row>
    <row r="45713" ht="15.75" customHeight="1">
      <c r="A45713" s="7"/>
      <c r="B45713" s="7"/>
      <c r="M45713" s="9" t="s">
        <v>37</v>
      </c>
    </row>
    <row r="45714" ht="15.75" customHeight="1">
      <c r="A45714" s="7"/>
      <c r="B45714" s="7"/>
      <c r="M45714" s="9" t="s">
        <v>38</v>
      </c>
    </row>
    <row r="45715" ht="15.75" customHeight="1">
      <c r="A45715" s="7"/>
      <c r="B45715" s="7"/>
      <c r="M45715" s="9" t="s">
        <v>30</v>
      </c>
    </row>
    <row r="45716" ht="15.75" customHeight="1">
      <c r="A45716" s="7"/>
      <c r="B45716" s="7"/>
      <c r="M45716" s="9" t="s">
        <v>25</v>
      </c>
    </row>
    <row r="45717" ht="15.75" customHeight="1">
      <c r="A45717" s="7"/>
      <c r="B45717" s="7"/>
      <c r="M45717" s="9" t="s">
        <v>24</v>
      </c>
    </row>
    <row r="45718" ht="15.75" customHeight="1">
      <c r="A45718" s="7"/>
      <c r="B45718" s="7"/>
      <c r="M45718" s="9" t="s">
        <v>21</v>
      </c>
    </row>
    <row r="45719" ht="15.75" customHeight="1">
      <c r="A45719" s="7"/>
      <c r="B45719" s="7"/>
      <c r="M45719" s="9" t="s">
        <v>22</v>
      </c>
    </row>
    <row r="45720" ht="15.75" customHeight="1">
      <c r="A45720" s="7"/>
      <c r="B45720" s="7"/>
      <c r="M45720" s="9" t="s">
        <v>27</v>
      </c>
    </row>
    <row r="45721" ht="15.75" customHeight="1">
      <c r="A45721" s="7"/>
      <c r="B45721" s="7"/>
      <c r="M45721" s="9" t="s">
        <v>35</v>
      </c>
    </row>
    <row r="45722" ht="15.75" customHeight="1">
      <c r="A45722" s="7"/>
      <c r="B45722" s="7"/>
      <c r="M45722" s="9" t="s">
        <v>30</v>
      </c>
    </row>
    <row r="45723" ht="15.75" customHeight="1">
      <c r="A45723" s="7"/>
      <c r="B45723" s="7"/>
      <c r="M45723" s="9" t="s">
        <v>36</v>
      </c>
    </row>
    <row r="45724" ht="15.75" customHeight="1">
      <c r="A45724" s="7"/>
      <c r="B45724" s="7"/>
      <c r="M45724" s="9" t="s">
        <v>20</v>
      </c>
    </row>
    <row r="45725" ht="15.75" customHeight="1">
      <c r="A45725" s="7"/>
      <c r="B45725" s="7"/>
      <c r="M45725" s="9" t="s">
        <v>21</v>
      </c>
    </row>
    <row r="45726" ht="15.75" customHeight="1">
      <c r="A45726" s="7"/>
      <c r="B45726" s="7"/>
      <c r="M45726" s="9" t="s">
        <v>37</v>
      </c>
    </row>
    <row r="45727" ht="15.75" customHeight="1">
      <c r="A45727" s="7"/>
      <c r="B45727" s="7"/>
      <c r="M45727" s="9" t="s">
        <v>22</v>
      </c>
    </row>
    <row r="45728" ht="15.75" customHeight="1">
      <c r="A45728" s="7"/>
      <c r="B45728" s="7"/>
      <c r="M45728" s="9" t="s">
        <v>27</v>
      </c>
    </row>
    <row r="45729" ht="15.75" customHeight="1">
      <c r="A45729" s="7"/>
      <c r="B45729" s="7"/>
      <c r="M45729" s="9" t="s">
        <v>24</v>
      </c>
    </row>
    <row r="45730" ht="15.75" customHeight="1">
      <c r="A45730" s="7"/>
      <c r="B45730" s="7"/>
      <c r="M45730" s="9" t="s">
        <v>21</v>
      </c>
    </row>
    <row r="45731" ht="15.75" customHeight="1">
      <c r="A45731" s="7"/>
      <c r="B45731" s="7"/>
      <c r="M45731" s="9" t="s">
        <v>37</v>
      </c>
    </row>
    <row r="45732" ht="15.75" customHeight="1">
      <c r="A45732" s="7"/>
      <c r="B45732" s="7"/>
      <c r="M45732" s="9" t="s">
        <v>22</v>
      </c>
    </row>
    <row r="45733" ht="15.75" customHeight="1">
      <c r="A45733" s="7"/>
      <c r="B45733" s="7"/>
      <c r="M45733" s="9" t="s">
        <v>23</v>
      </c>
    </row>
    <row r="45734" ht="15.75" customHeight="1">
      <c r="A45734" s="7"/>
      <c r="B45734" s="7"/>
      <c r="M45734" s="9" t="s">
        <v>26</v>
      </c>
    </row>
    <row r="45735" ht="15.75" customHeight="1">
      <c r="A45735" s="7"/>
      <c r="B45735" s="7"/>
      <c r="M45735" s="9" t="s">
        <v>24</v>
      </c>
    </row>
    <row r="45736" ht="15.75" customHeight="1">
      <c r="A45736" s="7"/>
      <c r="B45736" s="7"/>
      <c r="M45736" s="9" t="s">
        <v>27</v>
      </c>
    </row>
    <row r="45737" ht="15.75" customHeight="1">
      <c r="A45737" s="7"/>
      <c r="B45737" s="7"/>
      <c r="M45737" s="9" t="s">
        <v>33</v>
      </c>
    </row>
    <row r="45738" ht="15.75" customHeight="1">
      <c r="A45738" s="7"/>
      <c r="B45738" s="7"/>
      <c r="M45738" s="9" t="s">
        <v>30</v>
      </c>
    </row>
    <row r="45739" ht="15.75" customHeight="1">
      <c r="A45739" s="7"/>
      <c r="B45739" s="7"/>
      <c r="M45739" s="9" t="s">
        <v>36</v>
      </c>
    </row>
    <row r="45740" ht="15.75" customHeight="1">
      <c r="A45740" s="7"/>
      <c r="B45740" s="7"/>
      <c r="M45740" s="9" t="s">
        <v>24</v>
      </c>
    </row>
    <row r="45741" ht="15.75" customHeight="1">
      <c r="A45741" s="7"/>
      <c r="B45741" s="7"/>
      <c r="M45741" s="9" t="s">
        <v>20</v>
      </c>
    </row>
    <row r="45742" ht="15.75" customHeight="1">
      <c r="A45742" s="7"/>
      <c r="B45742" s="7"/>
      <c r="M45742" s="9" t="s">
        <v>21</v>
      </c>
    </row>
    <row r="45743" ht="15.75" customHeight="1">
      <c r="A45743" s="7"/>
      <c r="B45743" s="7"/>
      <c r="M45743" s="9" t="s">
        <v>22</v>
      </c>
    </row>
    <row r="45744" ht="15.75" customHeight="1">
      <c r="A45744" s="7"/>
      <c r="B45744" s="7"/>
      <c r="M45744" s="9" t="s">
        <v>33</v>
      </c>
    </row>
    <row r="45745" ht="15.75" customHeight="1">
      <c r="A45745" s="7"/>
      <c r="B45745" s="7"/>
      <c r="M45745" s="9" t="s">
        <v>25</v>
      </c>
    </row>
    <row r="45746" ht="15.75" customHeight="1">
      <c r="A45746" s="7"/>
      <c r="B45746" s="7"/>
      <c r="M45746" s="9" t="s">
        <v>23</v>
      </c>
    </row>
    <row r="45747" ht="15.75" customHeight="1">
      <c r="A45747" s="7"/>
      <c r="B45747" s="7"/>
      <c r="M45747" s="9" t="s">
        <v>20</v>
      </c>
    </row>
    <row r="45748" ht="15.75" customHeight="1">
      <c r="A45748" s="7"/>
      <c r="B45748" s="7"/>
      <c r="M45748" s="9" t="s">
        <v>38</v>
      </c>
    </row>
    <row r="45749" ht="15.75" customHeight="1">
      <c r="A45749" s="7"/>
      <c r="B45749" s="7"/>
      <c r="M45749" s="9" t="s">
        <v>30</v>
      </c>
    </row>
    <row r="45750" ht="15.75" customHeight="1">
      <c r="A45750" s="7"/>
      <c r="B45750" s="7"/>
      <c r="M45750" s="9" t="s">
        <v>36</v>
      </c>
    </row>
    <row r="45751" ht="15.75" customHeight="1">
      <c r="A45751" s="7"/>
      <c r="B45751" s="7"/>
      <c r="M45751" s="9" t="s">
        <v>24</v>
      </c>
    </row>
    <row r="45752" ht="15.75" customHeight="1">
      <c r="A45752" s="7"/>
      <c r="B45752" s="7"/>
      <c r="M45752" s="9" t="s">
        <v>20</v>
      </c>
    </row>
    <row r="45753" ht="15.75" customHeight="1">
      <c r="A45753" s="7"/>
      <c r="B45753" s="7"/>
      <c r="M45753" s="9" t="s">
        <v>21</v>
      </c>
    </row>
    <row r="45754" ht="15.75" customHeight="1">
      <c r="A45754" s="7"/>
      <c r="B45754" s="7"/>
      <c r="M45754" s="9" t="s">
        <v>22</v>
      </c>
    </row>
    <row r="45755" ht="15.75" customHeight="1">
      <c r="A45755" s="7"/>
      <c r="B45755" s="7"/>
      <c r="M45755" s="9" t="s">
        <v>33</v>
      </c>
    </row>
    <row r="45756" ht="15.75" customHeight="1">
      <c r="A45756" s="7"/>
      <c r="B45756" s="7"/>
      <c r="M45756" s="9" t="s">
        <v>22</v>
      </c>
    </row>
    <row r="45757" ht="15.75" customHeight="1">
      <c r="A45757" s="7"/>
      <c r="B45757" s="7"/>
      <c r="M45757" s="9" t="s">
        <v>27</v>
      </c>
    </row>
    <row r="45758" ht="15.75" customHeight="1">
      <c r="A45758" s="7"/>
      <c r="B45758" s="7"/>
      <c r="M45758" s="9" t="s">
        <v>28</v>
      </c>
    </row>
    <row r="45759" ht="15.75" customHeight="1">
      <c r="A45759" s="7"/>
      <c r="B45759" s="7"/>
      <c r="M45759" s="9" t="s">
        <v>20</v>
      </c>
    </row>
    <row r="45760" ht="15.75" customHeight="1">
      <c r="A45760" s="7"/>
      <c r="B45760" s="7"/>
      <c r="M45760" s="9" t="s">
        <v>26</v>
      </c>
    </row>
    <row r="45761" ht="15.75" customHeight="1">
      <c r="A45761" s="7"/>
      <c r="B45761" s="7"/>
      <c r="M45761" s="9" t="s">
        <v>24</v>
      </c>
    </row>
    <row r="45762" ht="15.75" customHeight="1">
      <c r="A45762" s="7"/>
      <c r="B45762" s="7"/>
      <c r="M45762" s="9" t="s">
        <v>21</v>
      </c>
    </row>
    <row r="45763" ht="15.75" customHeight="1">
      <c r="A45763" s="7"/>
      <c r="B45763" s="7"/>
      <c r="M45763" s="9" t="s">
        <v>27</v>
      </c>
    </row>
    <row r="45764" ht="15.75" customHeight="1">
      <c r="A45764" s="7"/>
      <c r="B45764" s="7"/>
      <c r="M45764" s="9" t="s">
        <v>36</v>
      </c>
    </row>
    <row r="45765" ht="15.75" customHeight="1">
      <c r="A45765" s="7"/>
      <c r="B45765" s="7"/>
      <c r="M45765" s="9" t="s">
        <v>20</v>
      </c>
    </row>
    <row r="45766" ht="15.75" customHeight="1">
      <c r="A45766" s="7"/>
      <c r="B45766" s="7"/>
      <c r="M45766" s="9" t="s">
        <v>21</v>
      </c>
    </row>
    <row r="45767" ht="15.75" customHeight="1">
      <c r="A45767" s="7"/>
      <c r="B45767" s="7"/>
      <c r="M45767" s="9" t="s">
        <v>31</v>
      </c>
    </row>
    <row r="45768" ht="15.75" customHeight="1">
      <c r="A45768" s="7"/>
      <c r="B45768" s="7"/>
      <c r="M45768" s="9" t="s">
        <v>27</v>
      </c>
    </row>
    <row r="45769" ht="15.75" customHeight="1">
      <c r="A45769" s="7"/>
      <c r="B45769" s="7"/>
      <c r="M45769" s="9" t="s">
        <v>20</v>
      </c>
    </row>
    <row r="45770" ht="15.75" customHeight="1">
      <c r="A45770" s="7"/>
      <c r="B45770" s="7"/>
      <c r="M45770" s="9" t="s">
        <v>21</v>
      </c>
    </row>
    <row r="45771" ht="15.75" customHeight="1">
      <c r="A45771" s="7"/>
      <c r="B45771" s="7"/>
      <c r="M45771" s="9" t="s">
        <v>30</v>
      </c>
    </row>
    <row r="45772" ht="15.75" customHeight="1">
      <c r="A45772" s="7"/>
      <c r="B45772" s="7"/>
      <c r="M45772" s="9" t="s">
        <v>26</v>
      </c>
    </row>
    <row r="45773" ht="15.75" customHeight="1">
      <c r="A45773" s="7"/>
      <c r="B45773" s="7"/>
      <c r="M45773" s="9" t="s">
        <v>24</v>
      </c>
    </row>
    <row r="45774" ht="15.75" customHeight="1">
      <c r="A45774" s="7"/>
      <c r="B45774" s="7"/>
      <c r="M45774" s="9" t="s">
        <v>20</v>
      </c>
    </row>
    <row r="45775" ht="15.75" customHeight="1">
      <c r="A45775" s="7"/>
      <c r="B45775" s="7"/>
      <c r="M45775" s="9" t="s">
        <v>21</v>
      </c>
    </row>
    <row r="45776" ht="15.75" customHeight="1">
      <c r="A45776" s="7"/>
      <c r="B45776" s="7"/>
      <c r="M45776" s="9" t="s">
        <v>37</v>
      </c>
    </row>
    <row r="45777" ht="15.75" customHeight="1">
      <c r="A45777" s="7"/>
      <c r="B45777" s="7"/>
      <c r="M45777" s="9" t="s">
        <v>22</v>
      </c>
    </row>
    <row r="45778" ht="15.75" customHeight="1">
      <c r="A45778" s="7"/>
      <c r="B45778" s="7"/>
      <c r="M45778" s="9" t="s">
        <v>33</v>
      </c>
    </row>
    <row r="45779" ht="15.75" customHeight="1">
      <c r="A45779" s="7"/>
      <c r="B45779" s="7"/>
      <c r="M45779" s="9" t="s">
        <v>25</v>
      </c>
    </row>
    <row r="45780" ht="15.75" customHeight="1">
      <c r="A45780" s="7"/>
      <c r="B45780" s="7"/>
      <c r="M45780" s="9" t="s">
        <v>20</v>
      </c>
    </row>
    <row r="45781" ht="15.75" customHeight="1">
      <c r="A45781" s="7"/>
      <c r="B45781" s="7"/>
      <c r="M45781" s="9" t="s">
        <v>22</v>
      </c>
    </row>
    <row r="45782" ht="15.75" customHeight="1">
      <c r="A45782" s="7"/>
      <c r="B45782" s="7"/>
      <c r="M45782" s="9" t="s">
        <v>24</v>
      </c>
    </row>
    <row r="45783" ht="15.75" customHeight="1">
      <c r="A45783" s="7"/>
      <c r="B45783" s="7"/>
      <c r="M45783" s="9" t="s">
        <v>21</v>
      </c>
    </row>
    <row r="45784" ht="15.75" customHeight="1">
      <c r="A45784" s="7"/>
      <c r="B45784" s="7"/>
      <c r="M45784" s="9" t="s">
        <v>37</v>
      </c>
    </row>
    <row r="45785" ht="15.75" customHeight="1">
      <c r="A45785" s="7"/>
      <c r="B45785" s="7"/>
      <c r="M45785" s="9" t="s">
        <v>26</v>
      </c>
    </row>
    <row r="45786" ht="15.75" customHeight="1">
      <c r="A45786" s="7"/>
      <c r="B45786" s="7"/>
      <c r="M45786" s="9" t="s">
        <v>24</v>
      </c>
    </row>
    <row r="45787" ht="15.75" customHeight="1">
      <c r="A45787" s="7"/>
      <c r="B45787" s="7"/>
      <c r="M45787" s="9" t="s">
        <v>21</v>
      </c>
    </row>
    <row r="45788" ht="15.75" customHeight="1">
      <c r="A45788" s="7"/>
      <c r="B45788" s="7"/>
      <c r="M45788" s="9" t="s">
        <v>27</v>
      </c>
    </row>
    <row r="45789" ht="15.75" customHeight="1">
      <c r="A45789" s="7"/>
      <c r="B45789" s="7"/>
      <c r="M45789" s="9" t="s">
        <v>33</v>
      </c>
    </row>
    <row r="45790" ht="15.75" customHeight="1">
      <c r="A45790" s="7"/>
      <c r="B45790" s="7"/>
      <c r="M45790" s="9" t="s">
        <v>30</v>
      </c>
    </row>
    <row r="45791" ht="15.75" customHeight="1">
      <c r="A45791" s="7"/>
      <c r="B45791" s="7"/>
      <c r="M45791" s="9" t="s">
        <v>24</v>
      </c>
    </row>
    <row r="45792" ht="15.75" customHeight="1">
      <c r="A45792" s="7"/>
      <c r="B45792" s="7"/>
      <c r="M45792" s="9" t="s">
        <v>20</v>
      </c>
    </row>
    <row r="45793" ht="15.75" customHeight="1">
      <c r="A45793" s="7"/>
      <c r="B45793" s="7"/>
      <c r="M45793" s="9" t="s">
        <v>21</v>
      </c>
    </row>
    <row r="45794" ht="15.75" customHeight="1">
      <c r="A45794" s="7"/>
      <c r="B45794" s="7"/>
      <c r="M45794" s="9" t="s">
        <v>27</v>
      </c>
    </row>
    <row r="45795" ht="15.75" customHeight="1">
      <c r="A45795" s="7"/>
      <c r="B45795" s="7"/>
      <c r="M45795" s="9" t="s">
        <v>30</v>
      </c>
    </row>
    <row r="45796" ht="15.75" customHeight="1">
      <c r="A45796" s="7"/>
      <c r="B45796" s="7"/>
      <c r="M45796" s="9" t="s">
        <v>26</v>
      </c>
    </row>
    <row r="45797" ht="15.75" customHeight="1">
      <c r="A45797" s="7"/>
      <c r="B45797" s="7"/>
      <c r="M45797" s="9" t="s">
        <v>24</v>
      </c>
    </row>
    <row r="45798" ht="15.75" customHeight="1">
      <c r="A45798" s="7"/>
      <c r="B45798" s="7"/>
      <c r="M45798" s="9" t="s">
        <v>20</v>
      </c>
    </row>
    <row r="45799" ht="15.75" customHeight="1">
      <c r="A45799" s="7"/>
      <c r="B45799" s="7"/>
      <c r="M45799" s="9" t="s">
        <v>21</v>
      </c>
    </row>
    <row r="45800" ht="15.75" customHeight="1">
      <c r="A45800" s="7"/>
      <c r="B45800" s="7"/>
      <c r="M45800" s="9" t="s">
        <v>37</v>
      </c>
    </row>
    <row r="45801" ht="15.75" customHeight="1">
      <c r="A45801" s="7"/>
      <c r="B45801" s="7"/>
      <c r="M45801" s="9" t="s">
        <v>22</v>
      </c>
    </row>
    <row r="45802" ht="15.75" customHeight="1">
      <c r="A45802" s="7"/>
      <c r="B45802" s="7"/>
      <c r="M45802" s="9" t="s">
        <v>27</v>
      </c>
    </row>
    <row r="45803" ht="15.75" customHeight="1">
      <c r="A45803" s="7"/>
      <c r="B45803" s="7"/>
      <c r="M45803" s="9" t="s">
        <v>40</v>
      </c>
    </row>
    <row r="45804" ht="15.75" customHeight="1">
      <c r="A45804" s="7"/>
      <c r="B45804" s="7"/>
      <c r="M45804" s="9" t="s">
        <v>33</v>
      </c>
    </row>
    <row r="45805" ht="15.75" customHeight="1">
      <c r="A45805" s="7"/>
      <c r="B45805" s="7"/>
      <c r="M45805" s="9" t="s">
        <v>30</v>
      </c>
    </row>
    <row r="45806" ht="15.75" customHeight="1">
      <c r="A45806" s="7"/>
      <c r="B45806" s="7"/>
      <c r="M45806" s="9" t="s">
        <v>20</v>
      </c>
    </row>
    <row r="45807" ht="15.75" customHeight="1">
      <c r="A45807" s="7"/>
      <c r="B45807" s="7"/>
      <c r="M45807" s="9" t="s">
        <v>41</v>
      </c>
    </row>
    <row r="45808" ht="15.75" customHeight="1">
      <c r="A45808" s="7"/>
      <c r="B45808" s="7"/>
      <c r="M45808" s="9" t="s">
        <v>22</v>
      </c>
    </row>
    <row r="45809" ht="15.75" customHeight="1">
      <c r="A45809" s="7"/>
      <c r="B45809" s="7"/>
      <c r="M45809" s="9" t="s">
        <v>26</v>
      </c>
    </row>
    <row r="45810" ht="15.75" customHeight="1">
      <c r="A45810" s="7"/>
      <c r="B45810" s="7"/>
      <c r="M45810" s="9" t="s">
        <v>24</v>
      </c>
    </row>
    <row r="45811" ht="15.75" customHeight="1">
      <c r="A45811" s="7"/>
      <c r="B45811" s="7"/>
      <c r="M45811" s="9" t="s">
        <v>21</v>
      </c>
    </row>
    <row r="45812" ht="15.75" customHeight="1">
      <c r="A45812" s="7"/>
      <c r="B45812" s="7"/>
      <c r="M45812" s="9" t="s">
        <v>22</v>
      </c>
    </row>
    <row r="45813" ht="15.75" customHeight="1">
      <c r="A45813" s="7"/>
      <c r="B45813" s="7"/>
      <c r="M45813" s="9" t="s">
        <v>27</v>
      </c>
    </row>
    <row r="45814" ht="15.75" customHeight="1">
      <c r="A45814" s="7"/>
      <c r="B45814" s="7"/>
      <c r="M45814" s="9" t="s">
        <v>36</v>
      </c>
    </row>
    <row r="45815" ht="15.75" customHeight="1">
      <c r="A45815" s="7"/>
      <c r="B45815" s="7"/>
      <c r="M45815" s="9" t="s">
        <v>22</v>
      </c>
    </row>
    <row r="45816" ht="15.75" customHeight="1">
      <c r="A45816" s="7"/>
      <c r="B45816" s="7"/>
      <c r="M45816" s="9" t="s">
        <v>32</v>
      </c>
    </row>
    <row r="45817" ht="15.75" customHeight="1">
      <c r="A45817" s="7"/>
      <c r="B45817" s="7"/>
      <c r="M45817" s="9" t="s">
        <v>20</v>
      </c>
    </row>
    <row r="45818" ht="15.75" customHeight="1">
      <c r="A45818" s="7"/>
      <c r="B45818" s="7"/>
      <c r="M45818" s="9" t="s">
        <v>39</v>
      </c>
    </row>
    <row r="45819" ht="15.75" customHeight="1">
      <c r="A45819" s="7"/>
      <c r="B45819" s="7"/>
      <c r="M45819" s="9" t="s">
        <v>21</v>
      </c>
    </row>
    <row r="45820" ht="15.75" customHeight="1">
      <c r="A45820" s="7"/>
      <c r="B45820" s="7"/>
      <c r="M45820" s="9" t="s">
        <v>37</v>
      </c>
    </row>
    <row r="45821" ht="15.75" customHeight="1">
      <c r="A45821" s="7"/>
      <c r="B45821" s="7"/>
      <c r="M45821" s="9" t="s">
        <v>22</v>
      </c>
    </row>
    <row r="45822" ht="15.75" customHeight="1">
      <c r="A45822" s="7"/>
      <c r="B45822" s="7"/>
      <c r="M45822" s="9" t="s">
        <v>27</v>
      </c>
    </row>
    <row r="45823" ht="15.75" customHeight="1">
      <c r="A45823" s="7"/>
      <c r="B45823" s="7"/>
      <c r="M45823" s="9" t="s">
        <v>30</v>
      </c>
    </row>
    <row r="45824" ht="15.75" customHeight="1">
      <c r="A45824" s="7"/>
      <c r="B45824" s="7"/>
      <c r="M45824" s="9" t="s">
        <v>26</v>
      </c>
    </row>
    <row r="45825" ht="15.75" customHeight="1">
      <c r="A45825" s="7"/>
      <c r="B45825" s="7"/>
      <c r="M45825" s="9" t="s">
        <v>24</v>
      </c>
    </row>
    <row r="45826" ht="15.75" customHeight="1">
      <c r="A45826" s="7"/>
      <c r="B45826" s="7"/>
      <c r="M45826" s="9" t="s">
        <v>21</v>
      </c>
    </row>
    <row r="45827" ht="15.75" customHeight="1">
      <c r="A45827" s="7"/>
      <c r="B45827" s="7"/>
      <c r="M45827" s="9" t="s">
        <v>22</v>
      </c>
    </row>
    <row r="45828" ht="15.75" customHeight="1">
      <c r="A45828" s="7"/>
      <c r="B45828" s="7"/>
      <c r="M45828" s="9" t="s">
        <v>27</v>
      </c>
    </row>
    <row r="45829" ht="15.75" customHeight="1">
      <c r="A45829" s="7"/>
      <c r="B45829" s="7"/>
      <c r="M45829" s="9" t="s">
        <v>33</v>
      </c>
    </row>
    <row r="45830" ht="15.75" customHeight="1">
      <c r="A45830" s="7"/>
      <c r="B45830" s="7"/>
      <c r="M45830" s="9" t="s">
        <v>30</v>
      </c>
    </row>
    <row r="45831" ht="15.75" customHeight="1">
      <c r="A45831" s="7"/>
      <c r="B45831" s="7"/>
      <c r="M45831" s="9" t="s">
        <v>24</v>
      </c>
    </row>
    <row r="45832" ht="15.75" customHeight="1">
      <c r="A45832" s="7"/>
      <c r="B45832" s="7"/>
      <c r="M45832" s="9" t="s">
        <v>20</v>
      </c>
    </row>
    <row r="45833" ht="15.75" customHeight="1">
      <c r="A45833" s="7"/>
      <c r="B45833" s="7"/>
      <c r="M45833" s="9" t="s">
        <v>21</v>
      </c>
    </row>
    <row r="45834" ht="15.75" customHeight="1">
      <c r="A45834" s="7"/>
      <c r="B45834" s="7"/>
      <c r="M45834" s="9" t="s">
        <v>27</v>
      </c>
    </row>
    <row r="45835" ht="15.75" customHeight="1">
      <c r="A45835" s="7"/>
      <c r="B45835" s="7"/>
      <c r="M45835" s="9" t="s">
        <v>26</v>
      </c>
    </row>
    <row r="45836" ht="15.75" customHeight="1">
      <c r="A45836" s="7"/>
      <c r="B45836" s="7"/>
      <c r="M45836" s="9" t="s">
        <v>44</v>
      </c>
    </row>
    <row r="45837" ht="15.75" customHeight="1">
      <c r="A45837" s="7"/>
      <c r="B45837" s="7"/>
      <c r="M45837" s="9" t="s">
        <v>47</v>
      </c>
    </row>
    <row r="45838" ht="15.75" customHeight="1">
      <c r="A45838" s="7"/>
      <c r="B45838" s="7"/>
      <c r="M45838" s="9" t="s">
        <v>24</v>
      </c>
    </row>
    <row r="45839" ht="15.75" customHeight="1">
      <c r="A45839" s="7"/>
      <c r="B45839" s="7"/>
      <c r="M45839" s="9" t="s">
        <v>21</v>
      </c>
    </row>
    <row r="45840" ht="15.75" customHeight="1">
      <c r="A45840" s="7"/>
      <c r="B45840" s="7"/>
      <c r="M45840" s="9" t="s">
        <v>32</v>
      </c>
    </row>
    <row r="45841" ht="15.75" customHeight="1">
      <c r="A45841" s="7"/>
      <c r="B45841" s="7"/>
      <c r="M45841" s="9" t="s">
        <v>33</v>
      </c>
    </row>
    <row r="45842" ht="15.75" customHeight="1">
      <c r="A45842" s="7"/>
      <c r="B45842" s="7"/>
      <c r="M45842" s="9" t="s">
        <v>34</v>
      </c>
    </row>
    <row r="45843" ht="15.75" customHeight="1">
      <c r="A45843" s="7"/>
      <c r="B45843" s="7"/>
      <c r="M45843" s="9" t="s">
        <v>25</v>
      </c>
    </row>
    <row r="45844" ht="15.75" customHeight="1">
      <c r="A45844" s="7"/>
      <c r="B45844" s="7"/>
      <c r="M45844" s="9" t="s">
        <v>23</v>
      </c>
    </row>
    <row r="45845" ht="15.75" customHeight="1">
      <c r="A45845" s="7"/>
      <c r="B45845" s="7"/>
      <c r="M45845" s="9" t="s">
        <v>20</v>
      </c>
    </row>
    <row r="45846" ht="15.75" customHeight="1">
      <c r="A45846" s="7"/>
      <c r="B45846" s="7"/>
      <c r="M45846" s="9" t="s">
        <v>46</v>
      </c>
    </row>
    <row r="45847" ht="15.75" customHeight="1">
      <c r="A45847" s="7"/>
      <c r="B45847" s="7"/>
      <c r="M45847" s="9" t="s">
        <v>30</v>
      </c>
    </row>
    <row r="45848" ht="15.75" customHeight="1">
      <c r="A45848" s="7"/>
      <c r="B45848" s="7"/>
      <c r="M45848" s="9" t="s">
        <v>25</v>
      </c>
    </row>
    <row r="45849" ht="15.75" customHeight="1">
      <c r="A45849" s="7"/>
      <c r="B45849" s="7"/>
      <c r="M45849" s="9" t="s">
        <v>24</v>
      </c>
    </row>
    <row r="45850" ht="15.75" customHeight="1">
      <c r="A45850" s="7"/>
      <c r="B45850" s="7"/>
      <c r="M45850" s="9" t="s">
        <v>20</v>
      </c>
    </row>
    <row r="45851" ht="15.75" customHeight="1">
      <c r="A45851" s="7"/>
      <c r="B45851" s="7"/>
      <c r="M45851" s="9" t="s">
        <v>21</v>
      </c>
    </row>
    <row r="45852" ht="15.75" customHeight="1">
      <c r="A45852" s="7"/>
      <c r="B45852" s="7"/>
      <c r="M45852" s="9" t="s">
        <v>41</v>
      </c>
    </row>
    <row r="45853" ht="15.75" customHeight="1">
      <c r="A45853" s="7"/>
      <c r="B45853" s="7"/>
      <c r="M45853" s="9" t="s">
        <v>37</v>
      </c>
    </row>
    <row r="45854" ht="15.75" customHeight="1">
      <c r="A45854" s="7"/>
      <c r="B45854" s="7"/>
      <c r="M45854" s="9" t="s">
        <v>22</v>
      </c>
    </row>
    <row r="45855" ht="15.75" customHeight="1">
      <c r="A45855" s="7"/>
      <c r="B45855" s="7"/>
      <c r="M45855" s="9" t="s">
        <v>27</v>
      </c>
    </row>
    <row r="45856" ht="15.75" customHeight="1">
      <c r="A45856" s="7"/>
      <c r="B45856" s="7"/>
      <c r="M45856" s="9" t="s">
        <v>38</v>
      </c>
    </row>
    <row r="45857" ht="15.75" customHeight="1">
      <c r="A45857" s="7"/>
      <c r="B45857" s="7"/>
      <c r="M45857" s="9" t="s">
        <v>24</v>
      </c>
    </row>
    <row r="45858" ht="15.75" customHeight="1">
      <c r="A45858" s="7"/>
      <c r="B45858" s="7"/>
      <c r="M45858" s="9" t="s">
        <v>20</v>
      </c>
    </row>
    <row r="45859" ht="15.75" customHeight="1">
      <c r="A45859" s="7"/>
      <c r="B45859" s="7"/>
      <c r="M45859" s="9" t="s">
        <v>40</v>
      </c>
    </row>
    <row r="45860" ht="15.75" customHeight="1">
      <c r="A45860" s="7"/>
      <c r="B45860" s="7"/>
      <c r="M45860" s="9" t="s">
        <v>24</v>
      </c>
    </row>
    <row r="45861" ht="15.75" customHeight="1">
      <c r="A45861" s="7"/>
      <c r="B45861" s="7"/>
      <c r="M45861" s="9" t="s">
        <v>21</v>
      </c>
    </row>
    <row r="45862" ht="15.75" customHeight="1">
      <c r="A45862" s="7"/>
      <c r="B45862" s="7"/>
      <c r="M45862" s="9" t="s">
        <v>33</v>
      </c>
    </row>
    <row r="45863" ht="15.75" customHeight="1">
      <c r="A45863" s="7"/>
      <c r="B45863" s="7"/>
      <c r="M45863" s="9" t="s">
        <v>25</v>
      </c>
    </row>
    <row r="45864" ht="15.75" customHeight="1">
      <c r="A45864" s="7"/>
      <c r="B45864" s="7"/>
      <c r="M45864" s="9" t="s">
        <v>26</v>
      </c>
    </row>
    <row r="45865" ht="15.75" customHeight="1">
      <c r="A45865" s="7"/>
      <c r="B45865" s="7"/>
      <c r="M45865" s="9" t="s">
        <v>22</v>
      </c>
    </row>
    <row r="45866" ht="15.75" customHeight="1">
      <c r="A45866" s="7"/>
      <c r="B45866" s="7"/>
      <c r="M45866" s="9" t="s">
        <v>40</v>
      </c>
    </row>
    <row r="45867" ht="15.75" customHeight="1">
      <c r="A45867" s="7"/>
      <c r="B45867" s="7"/>
      <c r="M45867" s="9" t="s">
        <v>30</v>
      </c>
    </row>
    <row r="45868" ht="15.75" customHeight="1">
      <c r="A45868" s="7"/>
      <c r="B45868" s="7"/>
      <c r="M45868" s="9" t="s">
        <v>25</v>
      </c>
    </row>
    <row r="45869" ht="15.75" customHeight="1">
      <c r="A45869" s="7"/>
      <c r="B45869" s="7"/>
      <c r="M45869" s="9" t="s">
        <v>23</v>
      </c>
    </row>
    <row r="45870" ht="15.75" customHeight="1">
      <c r="A45870" s="7"/>
      <c r="B45870" s="7"/>
      <c r="M45870" s="9" t="s">
        <v>26</v>
      </c>
    </row>
    <row r="45871" ht="15.75" customHeight="1">
      <c r="A45871" s="7"/>
      <c r="B45871" s="7"/>
      <c r="M45871" s="9" t="s">
        <v>24</v>
      </c>
    </row>
    <row r="45872" ht="15.75" customHeight="1">
      <c r="A45872" s="7"/>
      <c r="B45872" s="7"/>
      <c r="M45872" s="9" t="s">
        <v>21</v>
      </c>
    </row>
    <row r="45873" ht="15.75" customHeight="1">
      <c r="A45873" s="7"/>
      <c r="B45873" s="7"/>
      <c r="M45873" s="9" t="s">
        <v>22</v>
      </c>
    </row>
    <row r="45874" ht="15.75" customHeight="1">
      <c r="A45874" s="7"/>
      <c r="B45874" s="7"/>
      <c r="M45874" s="9" t="s">
        <v>32</v>
      </c>
    </row>
    <row r="45875" ht="15.75" customHeight="1">
      <c r="A45875" s="7"/>
      <c r="B45875" s="7"/>
      <c r="M45875" s="9" t="s">
        <v>34</v>
      </c>
    </row>
    <row r="45876" ht="15.75" customHeight="1">
      <c r="A45876" s="7"/>
      <c r="B45876" s="7"/>
      <c r="M45876" s="9" t="s">
        <v>26</v>
      </c>
    </row>
    <row r="45877" ht="15.75" customHeight="1">
      <c r="A45877" s="7"/>
      <c r="B45877" s="7"/>
      <c r="M45877" s="9" t="s">
        <v>20</v>
      </c>
    </row>
    <row r="45878" ht="15.75" customHeight="1">
      <c r="A45878" s="7"/>
      <c r="B45878" s="7"/>
      <c r="M45878" s="9" t="s">
        <v>21</v>
      </c>
    </row>
    <row r="45879" ht="15.75" customHeight="1">
      <c r="A45879" s="7"/>
      <c r="B45879" s="7"/>
      <c r="M45879" s="9" t="s">
        <v>33</v>
      </c>
    </row>
    <row r="45880" ht="15.75" customHeight="1">
      <c r="A45880" s="7"/>
      <c r="B45880" s="7"/>
      <c r="M45880" s="9" t="s">
        <v>30</v>
      </c>
    </row>
    <row r="45881" ht="15.75" customHeight="1">
      <c r="A45881" s="7"/>
      <c r="B45881" s="7"/>
      <c r="M45881" s="9" t="s">
        <v>20</v>
      </c>
    </row>
    <row r="45882" ht="15.75" customHeight="1">
      <c r="A45882" s="7"/>
      <c r="B45882" s="7"/>
      <c r="M45882" s="9" t="s">
        <v>27</v>
      </c>
    </row>
    <row r="45883" ht="15.75" customHeight="1">
      <c r="A45883" s="7"/>
      <c r="B45883" s="7"/>
      <c r="M45883" s="9" t="s">
        <v>38</v>
      </c>
    </row>
    <row r="45884" ht="15.75" customHeight="1">
      <c r="A45884" s="7"/>
      <c r="B45884" s="7"/>
      <c r="M45884" s="9" t="s">
        <v>23</v>
      </c>
    </row>
    <row r="45885" ht="15.75" customHeight="1">
      <c r="A45885" s="7"/>
      <c r="B45885" s="7"/>
      <c r="M45885" s="9" t="s">
        <v>24</v>
      </c>
    </row>
    <row r="45886" ht="15.75" customHeight="1">
      <c r="A45886" s="7"/>
      <c r="B45886" s="7"/>
      <c r="M45886" s="9" t="s">
        <v>21</v>
      </c>
    </row>
    <row r="45887" ht="15.75" customHeight="1">
      <c r="A45887" s="7"/>
      <c r="B45887" s="7"/>
      <c r="M45887" s="9" t="s">
        <v>22</v>
      </c>
    </row>
    <row r="45888" ht="15.75" customHeight="1">
      <c r="A45888" s="7"/>
      <c r="B45888" s="7"/>
      <c r="M45888" s="9" t="s">
        <v>40</v>
      </c>
    </row>
    <row r="45889" ht="15.75" customHeight="1">
      <c r="A45889" s="7"/>
      <c r="B45889" s="7"/>
      <c r="M45889" s="9" t="s">
        <v>30</v>
      </c>
    </row>
    <row r="45890" ht="15.75" customHeight="1">
      <c r="A45890" s="7"/>
      <c r="B45890" s="7"/>
      <c r="M45890" s="9" t="s">
        <v>44</v>
      </c>
    </row>
    <row r="45891" ht="15.75" customHeight="1">
      <c r="A45891" s="7"/>
      <c r="B45891" s="7"/>
      <c r="M45891" s="9" t="s">
        <v>24</v>
      </c>
    </row>
    <row r="45892" ht="15.75" customHeight="1">
      <c r="A45892" s="7"/>
      <c r="B45892" s="7"/>
      <c r="M45892" s="9" t="s">
        <v>21</v>
      </c>
    </row>
    <row r="45893" ht="15.75" customHeight="1">
      <c r="A45893" s="7"/>
      <c r="B45893" s="7"/>
      <c r="M45893" s="9" t="s">
        <v>37</v>
      </c>
    </row>
    <row r="45894" ht="15.75" customHeight="1">
      <c r="A45894" s="7"/>
      <c r="B45894" s="7"/>
      <c r="M45894" s="9" t="s">
        <v>22</v>
      </c>
    </row>
    <row r="45895" ht="15.75" customHeight="1">
      <c r="A45895" s="7"/>
      <c r="B45895" s="7"/>
      <c r="M45895" s="9" t="s">
        <v>29</v>
      </c>
    </row>
    <row r="45896" ht="15.75" customHeight="1">
      <c r="A45896" s="7"/>
      <c r="B45896" s="7"/>
      <c r="M45896" s="9" t="s">
        <v>27</v>
      </c>
    </row>
    <row r="45897" ht="15.75" customHeight="1">
      <c r="A45897" s="7"/>
      <c r="B45897" s="7"/>
      <c r="M45897" s="9" t="s">
        <v>24</v>
      </c>
    </row>
    <row r="45898" ht="15.75" customHeight="1">
      <c r="A45898" s="7"/>
      <c r="B45898" s="7"/>
      <c r="M45898" s="9" t="s">
        <v>21</v>
      </c>
    </row>
    <row r="45899" ht="15.75" customHeight="1">
      <c r="A45899" s="7"/>
      <c r="B45899" s="7"/>
      <c r="M45899" s="9" t="s">
        <v>22</v>
      </c>
    </row>
    <row r="45900" ht="15.75" customHeight="1">
      <c r="A45900" s="7"/>
      <c r="B45900" s="7"/>
      <c r="M45900" s="9" t="s">
        <v>30</v>
      </c>
    </row>
    <row r="45901" ht="15.75" customHeight="1">
      <c r="A45901" s="7"/>
      <c r="B45901" s="7"/>
      <c r="M45901" s="9" t="s">
        <v>42</v>
      </c>
    </row>
    <row r="45902" ht="15.75" customHeight="1">
      <c r="A45902" s="7"/>
      <c r="B45902" s="7"/>
      <c r="M45902" s="9" t="s">
        <v>37</v>
      </c>
    </row>
    <row r="45903" ht="15.75" customHeight="1">
      <c r="A45903" s="7"/>
      <c r="B45903" s="7"/>
      <c r="M45903" s="9" t="s">
        <v>22</v>
      </c>
    </row>
    <row r="45904" ht="15.75" customHeight="1">
      <c r="A45904" s="7"/>
      <c r="B45904" s="7"/>
      <c r="M45904" s="9" t="s">
        <v>31</v>
      </c>
    </row>
    <row r="45905" ht="15.75" customHeight="1">
      <c r="A45905" s="7"/>
      <c r="B45905" s="7"/>
      <c r="M45905" s="9" t="s">
        <v>32</v>
      </c>
    </row>
    <row r="45906" ht="15.75" customHeight="1">
      <c r="A45906" s="7"/>
      <c r="B45906" s="7"/>
      <c r="M45906" s="9" t="s">
        <v>27</v>
      </c>
    </row>
    <row r="45907" ht="15.75" customHeight="1">
      <c r="A45907" s="7"/>
      <c r="B45907" s="7"/>
      <c r="M45907" s="9" t="s">
        <v>20</v>
      </c>
    </row>
    <row r="45908" ht="15.75" customHeight="1">
      <c r="A45908" s="7"/>
      <c r="B45908" s="7"/>
      <c r="M45908" s="9" t="s">
        <v>21</v>
      </c>
    </row>
    <row r="45909" ht="15.75" customHeight="1">
      <c r="A45909" s="7"/>
      <c r="B45909" s="7"/>
      <c r="M45909" s="9" t="s">
        <v>24</v>
      </c>
    </row>
    <row r="45910" ht="15.75" customHeight="1">
      <c r="A45910" s="7"/>
      <c r="B45910" s="7"/>
      <c r="M45910" s="9" t="s">
        <v>20</v>
      </c>
    </row>
    <row r="45911" ht="15.75" customHeight="1">
      <c r="A45911" s="7"/>
      <c r="B45911" s="7"/>
      <c r="M45911" s="9" t="s">
        <v>21</v>
      </c>
    </row>
    <row r="45912" ht="15.75" customHeight="1">
      <c r="A45912" s="7"/>
      <c r="B45912" s="7"/>
      <c r="M45912" s="9" t="s">
        <v>37</v>
      </c>
    </row>
    <row r="45913" ht="15.75" customHeight="1">
      <c r="A45913" s="7"/>
      <c r="B45913" s="7"/>
      <c r="M45913" s="9" t="s">
        <v>27</v>
      </c>
    </row>
    <row r="45914" ht="15.75" customHeight="1">
      <c r="A45914" s="7"/>
      <c r="B45914" s="7"/>
      <c r="M45914" s="9" t="s">
        <v>33</v>
      </c>
    </row>
    <row r="45915" ht="15.75" customHeight="1">
      <c r="A45915" s="7"/>
      <c r="B45915" s="7"/>
      <c r="M45915" s="9" t="s">
        <v>23</v>
      </c>
    </row>
    <row r="45916" ht="15.75" customHeight="1">
      <c r="A45916" s="7"/>
      <c r="B45916" s="7"/>
      <c r="M45916" s="9" t="s">
        <v>22</v>
      </c>
    </row>
    <row r="45917" ht="15.75" customHeight="1">
      <c r="A45917" s="7"/>
      <c r="B45917" s="7"/>
      <c r="M45917" s="9" t="s">
        <v>20</v>
      </c>
    </row>
    <row r="45918" ht="15.75" customHeight="1">
      <c r="A45918" s="7"/>
      <c r="B45918" s="7"/>
      <c r="M45918" s="9" t="s">
        <v>21</v>
      </c>
    </row>
    <row r="45919" ht="15.75" customHeight="1">
      <c r="A45919" s="7"/>
      <c r="B45919" s="7"/>
      <c r="M45919" s="9" t="s">
        <v>37</v>
      </c>
    </row>
    <row r="45920" ht="15.75" customHeight="1">
      <c r="A45920" s="7"/>
      <c r="B45920" s="7"/>
      <c r="M45920" s="9" t="s">
        <v>27</v>
      </c>
    </row>
    <row r="45921" ht="15.75" customHeight="1">
      <c r="A45921" s="7"/>
      <c r="B45921" s="7"/>
      <c r="M45921" s="9" t="s">
        <v>24</v>
      </c>
    </row>
    <row r="45922" ht="15.75" customHeight="1">
      <c r="A45922" s="7"/>
      <c r="B45922" s="7"/>
      <c r="M45922" s="9" t="s">
        <v>37</v>
      </c>
    </row>
    <row r="45923" ht="15.75" customHeight="1">
      <c r="A45923" s="7"/>
      <c r="B45923" s="7"/>
      <c r="M45923" s="9" t="s">
        <v>22</v>
      </c>
    </row>
    <row r="45924" ht="15.75" customHeight="1">
      <c r="A45924" s="7"/>
      <c r="B45924" s="7"/>
      <c r="M45924" s="9" t="s">
        <v>27</v>
      </c>
    </row>
    <row r="45925" ht="15.75" customHeight="1">
      <c r="A45925" s="7"/>
      <c r="B45925" s="7"/>
      <c r="M45925" s="9" t="s">
        <v>28</v>
      </c>
    </row>
    <row r="45926" ht="15.75" customHeight="1">
      <c r="A45926" s="7"/>
      <c r="B45926" s="7"/>
      <c r="M45926" s="9" t="s">
        <v>38</v>
      </c>
    </row>
    <row r="45927" ht="15.75" customHeight="1">
      <c r="A45927" s="7"/>
      <c r="B45927" s="7"/>
      <c r="M45927" s="9" t="s">
        <v>36</v>
      </c>
    </row>
    <row r="45928" ht="15.75" customHeight="1">
      <c r="A45928" s="7"/>
      <c r="B45928" s="7"/>
      <c r="M45928" s="9" t="s">
        <v>26</v>
      </c>
    </row>
    <row r="45929" ht="15.75" customHeight="1">
      <c r="A45929" s="7"/>
      <c r="B45929" s="7"/>
      <c r="M45929" s="9" t="s">
        <v>24</v>
      </c>
    </row>
    <row r="45930" ht="15.75" customHeight="1">
      <c r="A45930" s="7"/>
      <c r="B45930" s="7"/>
      <c r="M45930" s="9" t="s">
        <v>21</v>
      </c>
    </row>
    <row r="45931" ht="15.75" customHeight="1">
      <c r="A45931" s="7"/>
      <c r="B45931" s="7"/>
      <c r="M45931" s="9" t="s">
        <v>27</v>
      </c>
    </row>
    <row r="45932" ht="15.75" customHeight="1">
      <c r="A45932" s="7"/>
      <c r="B45932" s="7"/>
      <c r="M45932" s="9" t="s">
        <v>33</v>
      </c>
    </row>
    <row r="45933" ht="15.75" customHeight="1">
      <c r="A45933" s="7"/>
      <c r="B45933" s="7"/>
      <c r="M45933" s="9" t="s">
        <v>28</v>
      </c>
    </row>
    <row r="45934" ht="15.75" customHeight="1">
      <c r="A45934" s="7"/>
      <c r="B45934" s="7"/>
      <c r="M45934" s="9" t="s">
        <v>25</v>
      </c>
    </row>
    <row r="45935" ht="15.75" customHeight="1">
      <c r="A45935" s="7"/>
      <c r="B45935" s="7"/>
      <c r="M45935" s="9" t="s">
        <v>23</v>
      </c>
    </row>
    <row r="45936" ht="15.75" customHeight="1">
      <c r="A45936" s="7"/>
      <c r="B45936" s="7"/>
      <c r="M45936" s="9" t="s">
        <v>26</v>
      </c>
    </row>
    <row r="45937" ht="15.75" customHeight="1">
      <c r="A45937" s="7"/>
      <c r="B45937" s="7"/>
      <c r="M45937" s="9" t="s">
        <v>24</v>
      </c>
    </row>
    <row r="45938" ht="15.75" customHeight="1">
      <c r="A45938" s="7"/>
      <c r="B45938" s="7"/>
      <c r="M45938" s="9" t="s">
        <v>20</v>
      </c>
    </row>
    <row r="45939" ht="15.75" customHeight="1">
      <c r="A45939" s="7"/>
      <c r="B45939" s="7"/>
      <c r="M45939" s="9" t="s">
        <v>21</v>
      </c>
    </row>
    <row r="45940" ht="15.75" customHeight="1">
      <c r="A45940" s="7"/>
      <c r="B45940" s="7"/>
      <c r="M45940" s="9" t="s">
        <v>37</v>
      </c>
    </row>
    <row r="45941" ht="15.75" customHeight="1">
      <c r="A45941" s="7"/>
      <c r="B45941" s="7"/>
      <c r="M45941" s="9" t="s">
        <v>22</v>
      </c>
    </row>
    <row r="45942" ht="15.75" customHeight="1">
      <c r="A45942" s="7"/>
      <c r="B45942" s="7"/>
      <c r="M45942" s="9" t="s">
        <v>46</v>
      </c>
    </row>
    <row r="45943" ht="15.75" customHeight="1">
      <c r="A45943" s="7"/>
      <c r="B45943" s="7"/>
      <c r="M45943" s="9" t="s">
        <v>27</v>
      </c>
    </row>
    <row r="45944" ht="15.75" customHeight="1">
      <c r="A45944" s="7"/>
      <c r="B45944" s="7"/>
      <c r="M45944" s="9" t="s">
        <v>30</v>
      </c>
    </row>
    <row r="45945" ht="15.75" customHeight="1">
      <c r="A45945" s="7"/>
      <c r="B45945" s="7"/>
      <c r="M45945" s="9" t="s">
        <v>26</v>
      </c>
    </row>
    <row r="45946" ht="15.75" customHeight="1">
      <c r="A45946" s="7"/>
      <c r="B45946" s="7"/>
      <c r="M45946" s="9" t="s">
        <v>24</v>
      </c>
    </row>
    <row r="45947" ht="15.75" customHeight="1">
      <c r="A45947" s="7"/>
      <c r="B45947" s="7"/>
      <c r="M45947" s="9" t="s">
        <v>21</v>
      </c>
    </row>
    <row r="45948" ht="15.75" customHeight="1">
      <c r="A45948" s="7"/>
      <c r="B45948" s="7"/>
      <c r="M45948" s="9" t="s">
        <v>27</v>
      </c>
    </row>
    <row r="45949" ht="15.75" customHeight="1">
      <c r="A45949" s="7"/>
      <c r="B45949" s="7"/>
      <c r="M45949" s="9" t="s">
        <v>33</v>
      </c>
    </row>
    <row r="45950" ht="15.75" customHeight="1">
      <c r="A45950" s="7"/>
      <c r="B45950" s="7"/>
      <c r="M45950" s="9" t="s">
        <v>28</v>
      </c>
    </row>
    <row r="45951" ht="15.75" customHeight="1">
      <c r="A45951" s="7"/>
      <c r="B45951" s="7"/>
      <c r="M45951" s="9" t="s">
        <v>26</v>
      </c>
    </row>
    <row r="45952" ht="15.75" customHeight="1">
      <c r="A45952" s="7"/>
      <c r="B45952" s="7"/>
      <c r="M45952" s="9" t="s">
        <v>20</v>
      </c>
    </row>
    <row r="45953" ht="15.75" customHeight="1">
      <c r="A45953" s="7"/>
      <c r="B45953" s="7"/>
      <c r="M45953" s="9" t="s">
        <v>39</v>
      </c>
    </row>
    <row r="45954" ht="15.75" customHeight="1">
      <c r="A45954" s="7"/>
      <c r="B45954" s="7"/>
      <c r="M45954" s="9" t="s">
        <v>40</v>
      </c>
    </row>
    <row r="45955" ht="15.75" customHeight="1">
      <c r="A45955" s="7"/>
      <c r="B45955" s="7"/>
      <c r="M45955" s="9" t="s">
        <v>38</v>
      </c>
    </row>
    <row r="45956" ht="15.75" customHeight="1">
      <c r="A45956" s="7"/>
      <c r="B45956" s="7"/>
      <c r="M45956" s="9" t="s">
        <v>25</v>
      </c>
    </row>
    <row r="45957" ht="15.75" customHeight="1">
      <c r="A45957" s="7"/>
      <c r="B45957" s="7"/>
      <c r="M45957" s="9" t="s">
        <v>23</v>
      </c>
    </row>
    <row r="45958" ht="15.75" customHeight="1">
      <c r="A45958" s="7"/>
      <c r="B45958" s="7"/>
      <c r="M45958" s="9" t="s">
        <v>24</v>
      </c>
    </row>
    <row r="45959" ht="15.75" customHeight="1">
      <c r="A45959" s="7"/>
      <c r="B45959" s="7"/>
      <c r="M45959" s="9" t="s">
        <v>20</v>
      </c>
    </row>
    <row r="45960" ht="15.75" customHeight="1">
      <c r="A45960" s="7"/>
      <c r="B45960" s="7"/>
      <c r="M45960" s="9" t="s">
        <v>21</v>
      </c>
    </row>
    <row r="45961" ht="15.75" customHeight="1">
      <c r="A45961" s="7"/>
      <c r="B45961" s="7"/>
      <c r="M45961" s="9" t="s">
        <v>33</v>
      </c>
    </row>
    <row r="45962" ht="15.75" customHeight="1">
      <c r="A45962" s="7"/>
      <c r="B45962" s="7"/>
      <c r="M45962" s="9" t="s">
        <v>36</v>
      </c>
    </row>
    <row r="45963" ht="15.75" customHeight="1">
      <c r="A45963" s="7"/>
      <c r="B45963" s="7"/>
      <c r="M45963" s="9" t="s">
        <v>24</v>
      </c>
    </row>
    <row r="45964" ht="15.75" customHeight="1">
      <c r="A45964" s="7"/>
      <c r="B45964" s="7"/>
      <c r="M45964" s="9" t="s">
        <v>21</v>
      </c>
    </row>
    <row r="45965" ht="15.75" customHeight="1">
      <c r="A45965" s="7"/>
      <c r="B45965" s="7"/>
      <c r="M45965" s="9" t="s">
        <v>22</v>
      </c>
    </row>
    <row r="45966" ht="15.75" customHeight="1">
      <c r="A45966" s="7"/>
      <c r="B45966" s="7"/>
      <c r="M45966" s="9" t="s">
        <v>33</v>
      </c>
    </row>
    <row r="45967" ht="15.75" customHeight="1">
      <c r="A45967" s="7"/>
      <c r="B45967" s="7"/>
      <c r="M45967" s="9" t="s">
        <v>34</v>
      </c>
    </row>
    <row r="45968" ht="15.75" customHeight="1">
      <c r="A45968" s="7"/>
      <c r="B45968" s="7"/>
      <c r="M45968" s="9" t="s">
        <v>26</v>
      </c>
    </row>
    <row r="45969" ht="15.75" customHeight="1">
      <c r="A45969" s="7"/>
      <c r="B45969" s="7"/>
      <c r="M45969" s="9" t="s">
        <v>24</v>
      </c>
    </row>
    <row r="45970" ht="15.75" customHeight="1">
      <c r="A45970" s="7"/>
      <c r="B45970" s="7"/>
      <c r="M45970" s="9" t="s">
        <v>21</v>
      </c>
    </row>
    <row r="45971" ht="15.75" customHeight="1">
      <c r="A45971" s="7"/>
      <c r="B45971" s="7"/>
      <c r="M45971" s="9" t="s">
        <v>27</v>
      </c>
    </row>
    <row r="45972" ht="15.75" customHeight="1">
      <c r="A45972" s="7"/>
      <c r="B45972" s="7"/>
      <c r="M45972" s="9" t="s">
        <v>33</v>
      </c>
    </row>
    <row r="45973" ht="15.75" customHeight="1">
      <c r="A45973" s="7"/>
      <c r="B45973" s="7"/>
      <c r="M45973" s="9" t="s">
        <v>24</v>
      </c>
    </row>
    <row r="45974" ht="15.75" customHeight="1">
      <c r="A45974" s="7"/>
      <c r="B45974" s="7"/>
      <c r="M45974" s="9" t="s">
        <v>21</v>
      </c>
    </row>
    <row r="45975" ht="15.75" customHeight="1">
      <c r="A45975" s="7"/>
      <c r="B45975" s="7"/>
      <c r="M45975" s="9" t="s">
        <v>31</v>
      </c>
    </row>
    <row r="45976" ht="15.75" customHeight="1">
      <c r="A45976" s="7"/>
      <c r="B45976" s="7"/>
      <c r="M45976" s="9" t="s">
        <v>27</v>
      </c>
    </row>
    <row r="45977" ht="15.75" customHeight="1">
      <c r="A45977" s="7"/>
      <c r="B45977" s="7"/>
      <c r="M45977" s="9" t="s">
        <v>30</v>
      </c>
    </row>
    <row r="45978" ht="15.75" customHeight="1">
      <c r="A45978" s="7"/>
      <c r="B45978" s="7"/>
      <c r="M45978" s="9" t="s">
        <v>24</v>
      </c>
    </row>
    <row r="45979" ht="15.75" customHeight="1">
      <c r="A45979" s="7"/>
      <c r="B45979" s="7"/>
      <c r="M45979" s="9" t="s">
        <v>21</v>
      </c>
    </row>
    <row r="45980" ht="15.75" customHeight="1">
      <c r="A45980" s="7"/>
      <c r="B45980" s="7"/>
      <c r="M45980" s="9" t="s">
        <v>37</v>
      </c>
    </row>
    <row r="45981" ht="15.75" customHeight="1">
      <c r="A45981" s="7"/>
      <c r="B45981" s="7"/>
      <c r="M45981" s="9" t="s">
        <v>27</v>
      </c>
    </row>
    <row r="45982" ht="15.75" customHeight="1">
      <c r="A45982" s="7"/>
      <c r="B45982" s="7"/>
      <c r="M45982" s="9" t="s">
        <v>24</v>
      </c>
    </row>
    <row r="45983" ht="15.75" customHeight="1">
      <c r="A45983" s="7"/>
      <c r="B45983" s="7"/>
      <c r="M45983" s="9" t="s">
        <v>21</v>
      </c>
    </row>
    <row r="45984" ht="15.75" customHeight="1">
      <c r="A45984" s="7"/>
      <c r="B45984" s="7"/>
      <c r="M45984" s="9" t="s">
        <v>37</v>
      </c>
    </row>
    <row r="45985" ht="15.75" customHeight="1">
      <c r="A45985" s="7"/>
      <c r="B45985" s="7"/>
      <c r="M45985" s="9" t="s">
        <v>27</v>
      </c>
    </row>
    <row r="45986" ht="15.75" customHeight="1">
      <c r="A45986" s="7"/>
      <c r="B45986" s="7"/>
      <c r="M45986" s="9" t="s">
        <v>36</v>
      </c>
    </row>
    <row r="45987" ht="15.75" customHeight="1">
      <c r="A45987" s="7"/>
      <c r="B45987" s="7"/>
      <c r="M45987" s="9" t="s">
        <v>24</v>
      </c>
    </row>
    <row r="45988" ht="15.75" customHeight="1">
      <c r="A45988" s="7"/>
      <c r="B45988" s="7"/>
      <c r="M45988" s="9" t="s">
        <v>21</v>
      </c>
    </row>
    <row r="45989" ht="15.75" customHeight="1">
      <c r="A45989" s="7"/>
      <c r="B45989" s="7"/>
      <c r="M45989" s="9" t="s">
        <v>31</v>
      </c>
    </row>
    <row r="45990" ht="15.75" customHeight="1">
      <c r="A45990" s="7"/>
      <c r="B45990" s="7"/>
      <c r="M45990" s="9" t="s">
        <v>30</v>
      </c>
    </row>
    <row r="45991" ht="15.75" customHeight="1">
      <c r="A45991" s="7"/>
      <c r="B45991" s="7"/>
      <c r="M45991" s="9" t="s">
        <v>26</v>
      </c>
    </row>
    <row r="45992" ht="15.75" customHeight="1">
      <c r="A45992" s="7"/>
      <c r="B45992" s="7"/>
      <c r="M45992" s="9" t="s">
        <v>24</v>
      </c>
    </row>
    <row r="45993" ht="15.75" customHeight="1">
      <c r="A45993" s="7"/>
      <c r="B45993" s="7"/>
      <c r="M45993" s="9" t="s">
        <v>21</v>
      </c>
    </row>
    <row r="45994" ht="15.75" customHeight="1">
      <c r="A45994" s="7"/>
      <c r="B45994" s="7"/>
      <c r="M45994" s="9" t="s">
        <v>41</v>
      </c>
    </row>
    <row r="45995" ht="15.75" customHeight="1">
      <c r="A45995" s="7"/>
      <c r="B45995" s="7"/>
      <c r="M45995" s="9" t="s">
        <v>27</v>
      </c>
    </row>
    <row r="45996" ht="15.75" customHeight="1">
      <c r="A45996" s="7"/>
      <c r="B45996" s="7"/>
      <c r="M45996" s="9" t="s">
        <v>30</v>
      </c>
    </row>
    <row r="45997" ht="15.75" customHeight="1">
      <c r="A45997" s="7"/>
      <c r="B45997" s="7"/>
      <c r="M45997" s="9" t="s">
        <v>44</v>
      </c>
    </row>
    <row r="45998" ht="15.75" customHeight="1">
      <c r="A45998" s="7"/>
      <c r="B45998" s="7"/>
      <c r="M45998" s="9" t="s">
        <v>24</v>
      </c>
    </row>
    <row r="45999" ht="15.75" customHeight="1">
      <c r="A45999" s="7"/>
      <c r="B45999" s="7"/>
      <c r="M45999" s="9" t="s">
        <v>27</v>
      </c>
    </row>
    <row r="46000" ht="15.75" customHeight="1">
      <c r="A46000" s="7"/>
      <c r="B46000" s="7"/>
      <c r="M46000" s="9" t="s">
        <v>30</v>
      </c>
    </row>
    <row r="46001" ht="15.75" customHeight="1">
      <c r="A46001" s="7"/>
      <c r="B46001" s="7"/>
      <c r="M46001" s="9" t="s">
        <v>26</v>
      </c>
    </row>
    <row r="46002" ht="15.75" customHeight="1">
      <c r="A46002" s="7"/>
      <c r="B46002" s="7"/>
      <c r="M46002" s="9" t="s">
        <v>24</v>
      </c>
    </row>
    <row r="46003" ht="15.75" customHeight="1">
      <c r="A46003" s="7"/>
      <c r="B46003" s="7"/>
      <c r="M46003" s="9" t="s">
        <v>21</v>
      </c>
    </row>
    <row r="46004" ht="15.75" customHeight="1">
      <c r="A46004" s="7"/>
      <c r="B46004" s="7"/>
      <c r="M46004" s="9" t="s">
        <v>27</v>
      </c>
    </row>
    <row r="46005" ht="15.75" customHeight="1">
      <c r="A46005" s="7"/>
      <c r="B46005" s="7"/>
      <c r="M46005" s="9" t="s">
        <v>33</v>
      </c>
    </row>
    <row r="46006" ht="15.75" customHeight="1">
      <c r="A46006" s="7"/>
      <c r="B46006" s="7"/>
      <c r="M46006" s="9" t="s">
        <v>30</v>
      </c>
    </row>
    <row r="46007" ht="15.75" customHeight="1">
      <c r="A46007" s="7"/>
      <c r="B46007" s="7"/>
      <c r="M46007" s="9" t="s">
        <v>24</v>
      </c>
    </row>
    <row r="46008" ht="15.75" customHeight="1">
      <c r="A46008" s="7"/>
      <c r="B46008" s="7"/>
      <c r="M46008" s="9" t="s">
        <v>21</v>
      </c>
    </row>
    <row r="46009" ht="15.75" customHeight="1">
      <c r="A46009" s="7"/>
      <c r="B46009" s="7"/>
      <c r="M46009" s="9" t="s">
        <v>22</v>
      </c>
    </row>
    <row r="46010" ht="15.75" customHeight="1">
      <c r="A46010" s="7"/>
      <c r="B46010" s="7"/>
      <c r="M46010" s="9" t="s">
        <v>27</v>
      </c>
    </row>
    <row r="46011" ht="15.75" customHeight="1">
      <c r="A46011" s="7"/>
      <c r="B46011" s="7"/>
      <c r="M46011" s="9" t="s">
        <v>30</v>
      </c>
    </row>
    <row r="46012" ht="15.75" customHeight="1">
      <c r="A46012" s="7"/>
      <c r="B46012" s="7"/>
      <c r="M46012" s="9" t="s">
        <v>26</v>
      </c>
    </row>
    <row r="46013" ht="15.75" customHeight="1">
      <c r="A46013" s="7"/>
      <c r="B46013" s="7"/>
      <c r="M46013" s="9" t="s">
        <v>27</v>
      </c>
    </row>
    <row r="46014" ht="15.75" customHeight="1">
      <c r="A46014" s="7"/>
      <c r="B46014" s="7"/>
      <c r="M46014" s="9" t="s">
        <v>26</v>
      </c>
    </row>
    <row r="46015" ht="15.75" customHeight="1">
      <c r="A46015" s="7"/>
      <c r="B46015" s="7"/>
      <c r="M46015" s="9" t="s">
        <v>24</v>
      </c>
    </row>
    <row r="46016" ht="15.75" customHeight="1">
      <c r="A46016" s="7"/>
      <c r="B46016" s="7"/>
      <c r="M46016" s="9" t="s">
        <v>37</v>
      </c>
    </row>
    <row r="46017" ht="15.75" customHeight="1">
      <c r="A46017" s="7"/>
      <c r="B46017" s="7"/>
      <c r="M46017" s="9" t="s">
        <v>27</v>
      </c>
    </row>
    <row r="46018" ht="15.75" customHeight="1">
      <c r="A46018" s="7"/>
      <c r="B46018" s="7"/>
      <c r="M46018" s="9" t="s">
        <v>35</v>
      </c>
    </row>
    <row r="46019" ht="15.75" customHeight="1">
      <c r="A46019" s="7"/>
      <c r="B46019" s="7"/>
      <c r="M46019" s="9" t="s">
        <v>25</v>
      </c>
    </row>
    <row r="46020" ht="15.75" customHeight="1">
      <c r="A46020" s="7"/>
      <c r="B46020" s="7"/>
      <c r="M46020" s="9" t="s">
        <v>26</v>
      </c>
    </row>
    <row r="46021" ht="15.75" customHeight="1">
      <c r="A46021" s="7"/>
      <c r="B46021" s="7"/>
      <c r="M46021" s="9" t="s">
        <v>24</v>
      </c>
    </row>
    <row r="46022" ht="15.75" customHeight="1">
      <c r="A46022" s="7"/>
      <c r="B46022" s="7"/>
      <c r="M46022" s="9" t="s">
        <v>21</v>
      </c>
    </row>
    <row r="46023" ht="15.75" customHeight="1">
      <c r="A46023" s="7"/>
      <c r="B46023" s="7"/>
      <c r="M46023" s="9" t="s">
        <v>37</v>
      </c>
    </row>
    <row r="46024" ht="15.75" customHeight="1">
      <c r="A46024" s="7"/>
      <c r="B46024" s="7"/>
      <c r="M46024" s="9" t="s">
        <v>22</v>
      </c>
    </row>
    <row r="46025" ht="15.75" customHeight="1">
      <c r="A46025" s="7"/>
      <c r="B46025" s="7"/>
      <c r="M46025" s="9" t="s">
        <v>27</v>
      </c>
    </row>
    <row r="46026" ht="15.75" customHeight="1">
      <c r="A46026" s="7"/>
      <c r="B46026" s="7"/>
      <c r="M46026" s="9" t="s">
        <v>36</v>
      </c>
    </row>
    <row r="46027" ht="15.75" customHeight="1">
      <c r="A46027" s="7"/>
      <c r="B46027" s="7"/>
      <c r="M46027" s="9" t="s">
        <v>24</v>
      </c>
    </row>
    <row r="46028" ht="15.75" customHeight="1">
      <c r="A46028" s="7"/>
      <c r="B46028" s="7"/>
      <c r="M46028" s="9" t="s">
        <v>21</v>
      </c>
    </row>
    <row r="46029" ht="15.75" customHeight="1">
      <c r="A46029" s="7"/>
      <c r="B46029" s="7"/>
      <c r="M46029" s="9" t="s">
        <v>37</v>
      </c>
    </row>
    <row r="46030" ht="15.75" customHeight="1">
      <c r="A46030" s="7"/>
      <c r="B46030" s="7"/>
      <c r="M46030" s="9" t="s">
        <v>22</v>
      </c>
    </row>
    <row r="46031" ht="15.75" customHeight="1">
      <c r="A46031" s="7"/>
      <c r="B46031" s="7"/>
      <c r="M46031" s="9" t="s">
        <v>27</v>
      </c>
    </row>
    <row r="46032" ht="15.75" customHeight="1">
      <c r="A46032" s="7"/>
      <c r="B46032" s="7"/>
      <c r="M46032" s="9" t="s">
        <v>33</v>
      </c>
    </row>
    <row r="46033" ht="15.75" customHeight="1">
      <c r="A46033" s="7"/>
      <c r="B46033" s="7"/>
      <c r="M46033" s="9" t="s">
        <v>30</v>
      </c>
    </row>
    <row r="46034" ht="15.75" customHeight="1">
      <c r="A46034" s="7"/>
      <c r="B46034" s="7"/>
      <c r="M46034" s="9" t="s">
        <v>36</v>
      </c>
    </row>
    <row r="46035" ht="15.75" customHeight="1">
      <c r="A46035" s="7"/>
      <c r="B46035" s="7"/>
      <c r="M46035" s="9" t="s">
        <v>20</v>
      </c>
    </row>
    <row r="46036" ht="15.75" customHeight="1">
      <c r="A46036" s="7"/>
      <c r="B46036" s="7"/>
      <c r="M46036" s="9" t="s">
        <v>22</v>
      </c>
    </row>
    <row r="46037" ht="15.75" customHeight="1">
      <c r="A46037" s="7"/>
      <c r="B46037" s="7"/>
      <c r="M46037" s="9" t="s">
        <v>23</v>
      </c>
    </row>
    <row r="46038" ht="15.75" customHeight="1">
      <c r="A46038" s="7"/>
      <c r="B46038" s="7"/>
      <c r="M46038" s="9" t="s">
        <v>21</v>
      </c>
    </row>
    <row r="46039" ht="15.75" customHeight="1">
      <c r="A46039" s="7"/>
      <c r="B46039" s="7"/>
      <c r="M46039" s="9" t="s">
        <v>27</v>
      </c>
    </row>
    <row r="46040" ht="15.75" customHeight="1">
      <c r="A46040" s="7"/>
      <c r="B46040" s="7"/>
      <c r="M46040" s="9" t="s">
        <v>33</v>
      </c>
    </row>
    <row r="46041" ht="15.75" customHeight="1">
      <c r="A46041" s="7"/>
      <c r="B46041" s="7"/>
      <c r="M46041" s="9" t="s">
        <v>30</v>
      </c>
    </row>
    <row r="46042" ht="15.75" customHeight="1">
      <c r="A46042" s="7"/>
      <c r="B46042" s="7"/>
      <c r="M46042" s="9" t="s">
        <v>20</v>
      </c>
    </row>
    <row r="46043" ht="15.75" customHeight="1">
      <c r="A46043" s="7"/>
      <c r="B46043" s="7"/>
      <c r="M46043" s="9" t="s">
        <v>22</v>
      </c>
    </row>
    <row r="46044" ht="15.75" customHeight="1">
      <c r="A46044" s="7"/>
      <c r="B46044" s="7"/>
      <c r="M46044" s="9" t="s">
        <v>46</v>
      </c>
    </row>
    <row r="46045" ht="15.75" customHeight="1">
      <c r="A46045" s="7"/>
      <c r="B46045" s="7"/>
      <c r="M46045" s="9" t="s">
        <v>27</v>
      </c>
    </row>
    <row r="46046" ht="15.75" customHeight="1">
      <c r="A46046" s="7"/>
      <c r="B46046" s="7"/>
      <c r="M46046" s="9" t="s">
        <v>30</v>
      </c>
    </row>
    <row r="46047" ht="15.75" customHeight="1">
      <c r="A46047" s="7"/>
      <c r="B46047" s="7"/>
      <c r="M46047" s="9" t="s">
        <v>43</v>
      </c>
    </row>
    <row r="46048" ht="15.75" customHeight="1">
      <c r="A46048" s="7"/>
      <c r="B46048" s="7"/>
      <c r="M46048" s="9" t="s">
        <v>36</v>
      </c>
    </row>
    <row r="46049" ht="15.75" customHeight="1">
      <c r="A46049" s="7"/>
      <c r="B46049" s="7"/>
      <c r="M46049" s="9" t="s">
        <v>24</v>
      </c>
    </row>
    <row r="46050" ht="15.75" customHeight="1">
      <c r="A46050" s="7"/>
      <c r="B46050" s="7"/>
      <c r="M46050" s="9" t="s">
        <v>21</v>
      </c>
    </row>
    <row r="46051" ht="15.75" customHeight="1">
      <c r="A46051" s="7"/>
      <c r="B46051" s="7"/>
      <c r="M46051" s="9" t="s">
        <v>37</v>
      </c>
    </row>
    <row r="46052" ht="15.75" customHeight="1">
      <c r="A46052" s="7"/>
      <c r="B46052" s="7"/>
      <c r="M46052" s="9" t="s">
        <v>22</v>
      </c>
    </row>
    <row r="46053" ht="15.75" customHeight="1">
      <c r="A46053" s="7"/>
      <c r="B46053" s="7"/>
      <c r="M46053" s="9" t="s">
        <v>27</v>
      </c>
    </row>
    <row r="46054" ht="15.75" customHeight="1">
      <c r="A46054" s="7"/>
      <c r="B46054" s="7"/>
      <c r="M46054" s="9" t="s">
        <v>30</v>
      </c>
    </row>
    <row r="46055" ht="15.75" customHeight="1">
      <c r="A46055" s="7"/>
      <c r="B46055" s="7"/>
      <c r="M46055" s="9" t="s">
        <v>25</v>
      </c>
    </row>
    <row r="46056" ht="15.75" customHeight="1">
      <c r="A46056" s="7"/>
      <c r="B46056" s="7"/>
      <c r="M46056" s="9" t="s">
        <v>36</v>
      </c>
    </row>
    <row r="46057" ht="15.75" customHeight="1">
      <c r="A46057" s="7"/>
      <c r="B46057" s="7"/>
      <c r="M46057" s="9" t="s">
        <v>24</v>
      </c>
    </row>
    <row r="46058" ht="15.75" customHeight="1">
      <c r="A46058" s="7"/>
      <c r="B46058" s="7"/>
      <c r="M46058" s="9" t="s">
        <v>21</v>
      </c>
    </row>
    <row r="46059" ht="15.75" customHeight="1">
      <c r="A46059" s="7"/>
      <c r="B46059" s="7"/>
      <c r="M46059" s="9" t="s">
        <v>22</v>
      </c>
    </row>
    <row r="46060" ht="15.75" customHeight="1">
      <c r="A46060" s="7"/>
      <c r="B46060" s="7"/>
      <c r="M46060" s="9" t="s">
        <v>27</v>
      </c>
    </row>
    <row r="46061" ht="15.75" customHeight="1">
      <c r="A46061" s="7"/>
      <c r="B46061" s="7"/>
      <c r="M46061" s="9" t="s">
        <v>30</v>
      </c>
    </row>
    <row r="46062" ht="15.75" customHeight="1">
      <c r="A46062" s="7"/>
      <c r="B46062" s="7"/>
      <c r="M46062" s="9" t="s">
        <v>36</v>
      </c>
    </row>
    <row r="46063" ht="15.75" customHeight="1">
      <c r="A46063" s="7"/>
      <c r="B46063" s="7"/>
      <c r="M46063" s="9" t="s">
        <v>20</v>
      </c>
    </row>
    <row r="46064" ht="15.75" customHeight="1">
      <c r="A46064" s="7"/>
      <c r="B46064" s="7"/>
      <c r="M46064" s="9" t="s">
        <v>22</v>
      </c>
    </row>
    <row r="46065" ht="15.75" customHeight="1">
      <c r="A46065" s="7"/>
      <c r="B46065" s="7"/>
      <c r="M46065" s="9" t="s">
        <v>27</v>
      </c>
    </row>
    <row r="46066" ht="15.75" customHeight="1">
      <c r="A46066" s="7"/>
      <c r="B46066" s="7"/>
      <c r="M46066" s="9" t="s">
        <v>24</v>
      </c>
    </row>
    <row r="46067" ht="15.75" customHeight="1">
      <c r="A46067" s="7"/>
      <c r="B46067" s="7"/>
      <c r="M46067" s="9" t="s">
        <v>21</v>
      </c>
    </row>
    <row r="46068" ht="15.75" customHeight="1">
      <c r="A46068" s="7"/>
      <c r="B46068" s="7"/>
      <c r="M46068" s="9" t="s">
        <v>37</v>
      </c>
    </row>
    <row r="46069" ht="15.75" customHeight="1">
      <c r="A46069" s="7"/>
      <c r="B46069" s="7"/>
      <c r="M46069" s="9" t="s">
        <v>27</v>
      </c>
    </row>
    <row r="46070" ht="15.75" customHeight="1">
      <c r="A46070" s="7"/>
      <c r="B46070" s="7"/>
      <c r="M46070" s="9" t="s">
        <v>33</v>
      </c>
    </row>
    <row r="46071" ht="15.75" customHeight="1">
      <c r="A46071" s="7"/>
      <c r="B46071" s="7"/>
      <c r="M46071" s="9" t="s">
        <v>30</v>
      </c>
    </row>
    <row r="46072" ht="15.75" customHeight="1">
      <c r="A46072" s="7"/>
      <c r="B46072" s="7"/>
      <c r="M46072" s="9" t="s">
        <v>24</v>
      </c>
    </row>
    <row r="46073" ht="15.75" customHeight="1">
      <c r="A46073" s="7"/>
      <c r="B46073" s="7"/>
      <c r="M46073" s="9" t="s">
        <v>20</v>
      </c>
    </row>
    <row r="46074" ht="15.75" customHeight="1">
      <c r="A46074" s="7"/>
      <c r="B46074" s="7"/>
      <c r="M46074" s="9" t="s">
        <v>21</v>
      </c>
    </row>
    <row r="46075" ht="15.75" customHeight="1">
      <c r="A46075" s="7"/>
      <c r="B46075" s="7"/>
      <c r="M46075" s="9" t="s">
        <v>27</v>
      </c>
    </row>
    <row r="46076" ht="15.75" customHeight="1">
      <c r="A46076" s="7"/>
      <c r="B46076" s="7"/>
      <c r="M46076" s="9" t="s">
        <v>33</v>
      </c>
    </row>
    <row r="46077" ht="15.75" customHeight="1">
      <c r="A46077" s="7"/>
      <c r="B46077" s="7"/>
      <c r="M46077" s="9" t="s">
        <v>23</v>
      </c>
    </row>
    <row r="46078" ht="15.75" customHeight="1">
      <c r="A46078" s="7"/>
      <c r="B46078" s="7"/>
      <c r="M46078" s="9" t="s">
        <v>26</v>
      </c>
    </row>
    <row r="46079" ht="15.75" customHeight="1">
      <c r="A46079" s="7"/>
      <c r="B46079" s="7"/>
      <c r="M46079" s="9" t="s">
        <v>24</v>
      </c>
    </row>
    <row r="46080" ht="15.75" customHeight="1">
      <c r="A46080" s="7"/>
      <c r="B46080" s="7"/>
      <c r="M46080" s="9" t="s">
        <v>20</v>
      </c>
    </row>
    <row r="46081" ht="15.75" customHeight="1">
      <c r="A46081" s="7"/>
      <c r="B46081" s="7"/>
      <c r="M46081" s="9" t="s">
        <v>30</v>
      </c>
    </row>
    <row r="46082" ht="15.75" customHeight="1">
      <c r="A46082" s="7"/>
      <c r="B46082" s="7"/>
      <c r="M46082" s="9" t="s">
        <v>25</v>
      </c>
    </row>
    <row r="46083" ht="15.75" customHeight="1">
      <c r="A46083" s="7"/>
      <c r="B46083" s="7"/>
      <c r="M46083" s="9" t="s">
        <v>23</v>
      </c>
    </row>
    <row r="46084" ht="15.75" customHeight="1">
      <c r="A46084" s="7"/>
      <c r="B46084" s="7"/>
      <c r="M46084" s="9" t="s">
        <v>26</v>
      </c>
    </row>
    <row r="46085" ht="15.75" customHeight="1">
      <c r="A46085" s="7"/>
      <c r="B46085" s="7"/>
      <c r="M46085" s="9" t="s">
        <v>20</v>
      </c>
    </row>
    <row r="46086" ht="15.75" customHeight="1">
      <c r="A46086" s="7"/>
      <c r="B46086" s="7"/>
      <c r="M46086" s="9" t="s">
        <v>21</v>
      </c>
    </row>
    <row r="46087" ht="15.75" customHeight="1">
      <c r="A46087" s="7"/>
      <c r="B46087" s="7"/>
      <c r="M46087" s="9" t="s">
        <v>37</v>
      </c>
    </row>
    <row r="46088" ht="15.75" customHeight="1">
      <c r="A46088" s="7"/>
      <c r="B46088" s="7"/>
      <c r="M46088" s="9" t="s">
        <v>22</v>
      </c>
    </row>
    <row r="46089" ht="15.75" customHeight="1">
      <c r="A46089" s="7"/>
      <c r="B46089" s="7"/>
      <c r="M46089" s="9" t="s">
        <v>27</v>
      </c>
    </row>
    <row r="46090" ht="15.75" customHeight="1">
      <c r="A46090" s="7"/>
      <c r="B46090" s="7"/>
      <c r="M46090" s="9" t="s">
        <v>30</v>
      </c>
    </row>
    <row r="46091" ht="15.75" customHeight="1">
      <c r="A46091" s="7"/>
      <c r="B46091" s="7"/>
      <c r="M46091" s="9" t="s">
        <v>25</v>
      </c>
    </row>
    <row r="46092" ht="15.75" customHeight="1">
      <c r="A46092" s="7"/>
      <c r="B46092" s="7"/>
      <c r="M46092" s="9" t="s">
        <v>23</v>
      </c>
    </row>
    <row r="46093" ht="15.75" customHeight="1">
      <c r="A46093" s="7"/>
      <c r="B46093" s="7"/>
      <c r="M46093" s="9" t="s">
        <v>26</v>
      </c>
    </row>
    <row r="46094" ht="15.75" customHeight="1">
      <c r="A46094" s="7"/>
      <c r="B46094" s="7"/>
      <c r="M46094" s="9" t="s">
        <v>22</v>
      </c>
    </row>
    <row r="46095" ht="15.75" customHeight="1">
      <c r="A46095" s="7"/>
      <c r="B46095" s="7"/>
      <c r="M46095" s="9" t="s">
        <v>30</v>
      </c>
    </row>
    <row r="46096" ht="15.75" customHeight="1">
      <c r="A46096" s="7"/>
      <c r="B46096" s="7"/>
      <c r="M46096" s="9" t="s">
        <v>26</v>
      </c>
    </row>
    <row r="46097" ht="15.75" customHeight="1">
      <c r="A46097" s="7"/>
      <c r="B46097" s="7"/>
      <c r="M46097" s="9" t="s">
        <v>24</v>
      </c>
    </row>
    <row r="46098" ht="15.75" customHeight="1">
      <c r="A46098" s="7"/>
      <c r="B46098" s="7"/>
      <c r="M46098" s="9" t="s">
        <v>21</v>
      </c>
    </row>
    <row r="46099" ht="15.75" customHeight="1">
      <c r="A46099" s="7"/>
      <c r="B46099" s="7"/>
      <c r="M46099" s="9" t="s">
        <v>37</v>
      </c>
    </row>
    <row r="46100" ht="15.75" customHeight="1">
      <c r="A46100" s="7"/>
      <c r="B46100" s="7"/>
      <c r="M46100" s="9" t="s">
        <v>22</v>
      </c>
    </row>
    <row r="46101" ht="15.75" customHeight="1">
      <c r="A46101" s="7"/>
      <c r="B46101" s="7"/>
      <c r="M46101" s="9" t="s">
        <v>27</v>
      </c>
    </row>
    <row r="46102" ht="15.75" customHeight="1">
      <c r="A46102" s="7"/>
      <c r="B46102" s="7"/>
      <c r="M46102" s="9" t="s">
        <v>23</v>
      </c>
    </row>
    <row r="46103" ht="15.75" customHeight="1">
      <c r="A46103" s="7"/>
      <c r="B46103" s="7"/>
      <c r="M46103" s="9" t="s">
        <v>26</v>
      </c>
    </row>
    <row r="46104" ht="15.75" customHeight="1">
      <c r="A46104" s="7"/>
      <c r="B46104" s="7"/>
      <c r="M46104" s="9" t="s">
        <v>24</v>
      </c>
    </row>
    <row r="46105" ht="15.75" customHeight="1">
      <c r="A46105" s="7"/>
      <c r="B46105" s="7"/>
      <c r="M46105" s="9" t="s">
        <v>21</v>
      </c>
    </row>
    <row r="46106" ht="15.75" customHeight="1">
      <c r="A46106" s="7"/>
      <c r="B46106" s="7"/>
      <c r="M46106" s="9" t="s">
        <v>37</v>
      </c>
    </row>
    <row r="46107" ht="15.75" customHeight="1">
      <c r="A46107" s="7"/>
      <c r="B46107" s="7"/>
      <c r="M46107" s="9" t="s">
        <v>27</v>
      </c>
    </row>
    <row r="46108" ht="15.75" customHeight="1">
      <c r="A46108" s="7"/>
      <c r="B46108" s="7"/>
      <c r="M46108" s="9" t="s">
        <v>24</v>
      </c>
    </row>
    <row r="46109" ht="15.75" customHeight="1">
      <c r="A46109" s="7"/>
      <c r="B46109" s="7"/>
      <c r="M46109" s="9" t="s">
        <v>21</v>
      </c>
    </row>
    <row r="46110" ht="15.75" customHeight="1">
      <c r="A46110" s="7"/>
      <c r="B46110" s="7"/>
      <c r="M46110" s="9" t="s">
        <v>37</v>
      </c>
    </row>
    <row r="46111" ht="15.75" customHeight="1">
      <c r="A46111" s="7"/>
      <c r="B46111" s="7"/>
      <c r="M46111" s="9" t="s">
        <v>27</v>
      </c>
    </row>
    <row r="46112" ht="15.75" customHeight="1">
      <c r="A46112" s="7"/>
      <c r="B46112" s="7"/>
      <c r="M46112" s="9" t="s">
        <v>24</v>
      </c>
    </row>
    <row r="46113" ht="15.75" customHeight="1">
      <c r="A46113" s="7"/>
      <c r="B46113" s="7"/>
      <c r="M46113" s="9" t="s">
        <v>21</v>
      </c>
    </row>
    <row r="46114" ht="15.75" customHeight="1">
      <c r="A46114" s="7"/>
      <c r="B46114" s="7"/>
      <c r="M46114" s="9" t="s">
        <v>22</v>
      </c>
    </row>
    <row r="46115" ht="15.75" customHeight="1">
      <c r="A46115" s="7"/>
      <c r="B46115" s="7"/>
      <c r="M46115" s="9" t="s">
        <v>25</v>
      </c>
    </row>
    <row r="46116" ht="15.75" customHeight="1">
      <c r="A46116" s="7"/>
      <c r="B46116" s="7"/>
      <c r="M46116" s="9" t="s">
        <v>23</v>
      </c>
    </row>
    <row r="46117" ht="15.75" customHeight="1">
      <c r="A46117" s="7"/>
      <c r="B46117" s="7"/>
      <c r="M46117" s="9" t="s">
        <v>20</v>
      </c>
    </row>
    <row r="46118" ht="15.75" customHeight="1">
      <c r="A46118" s="7"/>
      <c r="B46118" s="7"/>
      <c r="M46118" s="9" t="s">
        <v>22</v>
      </c>
    </row>
    <row r="46119" ht="15.75" customHeight="1">
      <c r="A46119" s="7"/>
      <c r="B46119" s="7"/>
      <c r="M46119" s="9" t="s">
        <v>30</v>
      </c>
    </row>
    <row r="46120" ht="15.75" customHeight="1">
      <c r="A46120" s="7"/>
      <c r="B46120" s="7"/>
      <c r="M46120" s="9" t="s">
        <v>22</v>
      </c>
    </row>
    <row r="46121" ht="15.75" customHeight="1">
      <c r="A46121" s="7"/>
      <c r="B46121" s="7"/>
      <c r="M46121" s="9" t="s">
        <v>29</v>
      </c>
    </row>
    <row r="46122" ht="15.75" customHeight="1">
      <c r="A46122" s="7"/>
      <c r="B46122" s="7"/>
      <c r="M46122" s="9" t="s">
        <v>35</v>
      </c>
    </row>
    <row r="46123" ht="15.75" customHeight="1">
      <c r="A46123" s="7"/>
      <c r="B46123" s="7"/>
      <c r="M46123" s="9" t="s">
        <v>38</v>
      </c>
    </row>
    <row r="46124" ht="15.75" customHeight="1">
      <c r="A46124" s="7"/>
      <c r="B46124" s="7"/>
      <c r="M46124" s="9" t="s">
        <v>30</v>
      </c>
    </row>
    <row r="46125" ht="15.75" customHeight="1">
      <c r="A46125" s="7"/>
      <c r="B46125" s="7"/>
      <c r="M46125" s="9" t="s">
        <v>25</v>
      </c>
    </row>
    <row r="46126" ht="15.75" customHeight="1">
      <c r="A46126" s="7"/>
      <c r="B46126" s="7"/>
      <c r="M46126" s="9" t="s">
        <v>23</v>
      </c>
    </row>
    <row r="46127" ht="15.75" customHeight="1">
      <c r="A46127" s="7"/>
      <c r="B46127" s="7"/>
      <c r="M46127" s="9" t="s">
        <v>24</v>
      </c>
    </row>
    <row r="46128" ht="15.75" customHeight="1">
      <c r="A46128" s="7"/>
      <c r="B46128" s="7"/>
      <c r="M46128" s="9" t="s">
        <v>21</v>
      </c>
    </row>
    <row r="46129" ht="15.75" customHeight="1">
      <c r="A46129" s="7"/>
      <c r="B46129" s="7"/>
      <c r="M46129" s="9" t="s">
        <v>22</v>
      </c>
    </row>
    <row r="46130" ht="15.75" customHeight="1">
      <c r="A46130" s="7"/>
      <c r="B46130" s="7"/>
      <c r="M46130" s="9" t="s">
        <v>27</v>
      </c>
    </row>
    <row r="46131" ht="15.75" customHeight="1">
      <c r="A46131" s="7"/>
      <c r="B46131" s="7"/>
      <c r="M46131" s="9" t="s">
        <v>35</v>
      </c>
    </row>
    <row r="46132" ht="15.75" customHeight="1">
      <c r="A46132" s="7"/>
      <c r="B46132" s="7"/>
      <c r="M46132" s="9" t="s">
        <v>24</v>
      </c>
    </row>
    <row r="46133" ht="15.75" customHeight="1">
      <c r="A46133" s="7"/>
      <c r="B46133" s="7"/>
      <c r="M46133" s="9" t="s">
        <v>21</v>
      </c>
    </row>
    <row r="46134" ht="15.75" customHeight="1">
      <c r="A46134" s="7"/>
      <c r="B46134" s="7"/>
      <c r="M46134" s="9" t="s">
        <v>37</v>
      </c>
    </row>
    <row r="46135" ht="15.75" customHeight="1">
      <c r="A46135" s="7"/>
      <c r="B46135" s="7"/>
      <c r="M46135" s="9" t="s">
        <v>36</v>
      </c>
    </row>
    <row r="46136" ht="15.75" customHeight="1">
      <c r="A46136" s="7"/>
      <c r="B46136" s="7"/>
      <c r="M46136" s="9" t="s">
        <v>37</v>
      </c>
    </row>
    <row r="46137" ht="15.75" customHeight="1">
      <c r="A46137" s="7"/>
      <c r="B46137" s="7"/>
      <c r="M46137" s="9" t="s">
        <v>27</v>
      </c>
    </row>
    <row r="46138" ht="15.75" customHeight="1">
      <c r="A46138" s="7"/>
      <c r="B46138" s="7"/>
      <c r="M46138" s="9" t="s">
        <v>30</v>
      </c>
    </row>
    <row r="46139" ht="15.75" customHeight="1">
      <c r="A46139" s="7"/>
      <c r="B46139" s="7"/>
      <c r="M46139" s="9" t="s">
        <v>25</v>
      </c>
    </row>
    <row r="46140" ht="15.75" customHeight="1">
      <c r="A46140" s="7"/>
      <c r="B46140" s="7"/>
      <c r="M46140" s="9" t="s">
        <v>36</v>
      </c>
    </row>
    <row r="46141" ht="15.75" customHeight="1">
      <c r="A46141" s="7"/>
      <c r="B46141" s="7"/>
      <c r="M46141" s="9" t="s">
        <v>24</v>
      </c>
    </row>
    <row r="46142" ht="15.75" customHeight="1">
      <c r="A46142" s="7"/>
      <c r="B46142" s="7"/>
      <c r="M46142" s="9" t="s">
        <v>20</v>
      </c>
    </row>
    <row r="46143" ht="15.75" customHeight="1">
      <c r="A46143" s="7"/>
      <c r="B46143" s="7"/>
      <c r="M46143" s="9" t="s">
        <v>21</v>
      </c>
    </row>
    <row r="46144" ht="15.75" customHeight="1">
      <c r="A46144" s="7"/>
      <c r="B46144" s="7"/>
      <c r="M46144" s="9" t="s">
        <v>39</v>
      </c>
    </row>
    <row r="46145" ht="15.75" customHeight="1">
      <c r="A46145" s="7"/>
      <c r="B46145" s="7"/>
      <c r="M46145" s="9" t="s">
        <v>22</v>
      </c>
    </row>
    <row r="46146" ht="15.75" customHeight="1">
      <c r="A46146" s="7"/>
      <c r="B46146" s="7"/>
      <c r="M46146" s="9" t="s">
        <v>29</v>
      </c>
    </row>
    <row r="46147" ht="15.75" customHeight="1">
      <c r="A46147" s="7"/>
      <c r="B46147" s="7"/>
      <c r="M46147" s="9" t="s">
        <v>31</v>
      </c>
    </row>
    <row r="46148" ht="15.75" customHeight="1">
      <c r="A46148" s="7"/>
      <c r="B46148" s="7"/>
      <c r="M46148" s="9" t="s">
        <v>46</v>
      </c>
    </row>
    <row r="46149" ht="15.75" customHeight="1">
      <c r="A46149" s="7"/>
      <c r="B46149" s="7"/>
      <c r="M46149" s="9" t="s">
        <v>27</v>
      </c>
    </row>
    <row r="46150" ht="15.75" customHeight="1">
      <c r="A46150" s="7"/>
      <c r="B46150" s="7"/>
      <c r="M46150" s="9" t="s">
        <v>33</v>
      </c>
    </row>
    <row r="46151" ht="15.75" customHeight="1">
      <c r="A46151" s="7"/>
      <c r="B46151" s="7"/>
      <c r="M46151" s="9" t="s">
        <v>30</v>
      </c>
    </row>
    <row r="46152" ht="15.75" customHeight="1">
      <c r="A46152" s="7"/>
      <c r="B46152" s="7"/>
      <c r="M46152" s="9" t="s">
        <v>36</v>
      </c>
    </row>
    <row r="46153" ht="15.75" customHeight="1">
      <c r="A46153" s="7"/>
      <c r="B46153" s="7"/>
      <c r="M46153" s="9" t="s">
        <v>24</v>
      </c>
    </row>
    <row r="46154" ht="15.75" customHeight="1">
      <c r="A46154" s="7"/>
      <c r="B46154" s="7"/>
      <c r="M46154" s="9" t="s">
        <v>20</v>
      </c>
    </row>
    <row r="46155" ht="15.75" customHeight="1">
      <c r="A46155" s="7"/>
      <c r="B46155" s="7"/>
      <c r="M46155" s="9" t="s">
        <v>21</v>
      </c>
    </row>
    <row r="46156" ht="15.75" customHeight="1">
      <c r="A46156" s="7"/>
      <c r="B46156" s="7"/>
      <c r="M46156" s="9" t="s">
        <v>22</v>
      </c>
    </row>
    <row r="46157" ht="15.75" customHeight="1">
      <c r="A46157" s="7"/>
      <c r="B46157" s="7"/>
      <c r="M46157" s="9" t="s">
        <v>35</v>
      </c>
    </row>
    <row r="46158" ht="15.75" customHeight="1">
      <c r="A46158" s="7"/>
      <c r="B46158" s="7"/>
      <c r="M46158" s="9" t="s">
        <v>30</v>
      </c>
    </row>
    <row r="46159" ht="15.75" customHeight="1">
      <c r="A46159" s="7"/>
      <c r="B46159" s="7"/>
      <c r="M46159" s="9" t="s">
        <v>25</v>
      </c>
    </row>
    <row r="46160" ht="15.75" customHeight="1">
      <c r="A46160" s="7"/>
      <c r="B46160" s="7"/>
      <c r="M46160" s="9" t="s">
        <v>23</v>
      </c>
    </row>
    <row r="46161" ht="15.75" customHeight="1">
      <c r="A46161" s="7"/>
      <c r="B46161" s="7"/>
      <c r="M46161" s="9" t="s">
        <v>26</v>
      </c>
    </row>
    <row r="46162" ht="15.75" customHeight="1">
      <c r="A46162" s="7"/>
      <c r="B46162" s="7"/>
      <c r="M46162" s="9" t="s">
        <v>24</v>
      </c>
    </row>
    <row r="46163" ht="15.75" customHeight="1">
      <c r="A46163" s="7"/>
      <c r="B46163" s="7"/>
      <c r="M46163" s="9" t="s">
        <v>21</v>
      </c>
    </row>
    <row r="46164" ht="15.75" customHeight="1">
      <c r="A46164" s="7"/>
      <c r="B46164" s="7"/>
      <c r="M46164" s="9" t="s">
        <v>37</v>
      </c>
    </row>
    <row r="46165" ht="15.75" customHeight="1">
      <c r="A46165" s="7"/>
      <c r="B46165" s="7"/>
      <c r="M46165" s="9" t="s">
        <v>22</v>
      </c>
    </row>
    <row r="46166" ht="15.75" customHeight="1">
      <c r="A46166" s="7"/>
      <c r="B46166" s="7"/>
      <c r="M46166" s="9" t="s">
        <v>27</v>
      </c>
    </row>
    <row r="46167" ht="15.75" customHeight="1">
      <c r="A46167" s="7"/>
      <c r="B46167" s="7"/>
      <c r="M46167" s="9" t="s">
        <v>30</v>
      </c>
    </row>
    <row r="46168" ht="15.75" customHeight="1">
      <c r="A46168" s="7"/>
      <c r="B46168" s="7"/>
      <c r="M46168" s="9" t="s">
        <v>24</v>
      </c>
    </row>
    <row r="46169" ht="15.75" customHeight="1">
      <c r="A46169" s="7"/>
      <c r="B46169" s="7"/>
      <c r="M46169" s="9" t="s">
        <v>21</v>
      </c>
    </row>
    <row r="46170" ht="15.75" customHeight="1">
      <c r="A46170" s="7"/>
      <c r="B46170" s="7"/>
      <c r="M46170" s="9" t="s">
        <v>37</v>
      </c>
    </row>
    <row r="46171" ht="15.75" customHeight="1">
      <c r="A46171" s="7"/>
      <c r="B46171" s="7"/>
      <c r="M46171" s="9" t="s">
        <v>40</v>
      </c>
    </row>
    <row r="46172" ht="15.75" customHeight="1">
      <c r="A46172" s="7"/>
      <c r="B46172" s="7"/>
      <c r="M46172" s="9" t="s">
        <v>24</v>
      </c>
    </row>
    <row r="46173" ht="15.75" customHeight="1">
      <c r="A46173" s="7"/>
      <c r="B46173" s="7"/>
      <c r="M46173" s="9" t="s">
        <v>21</v>
      </c>
    </row>
    <row r="46174" ht="15.75" customHeight="1">
      <c r="A46174" s="7"/>
      <c r="B46174" s="7"/>
      <c r="M46174" s="9" t="s">
        <v>37</v>
      </c>
    </row>
    <row r="46175" ht="15.75" customHeight="1">
      <c r="A46175" s="7"/>
      <c r="B46175" s="7"/>
      <c r="M46175" s="9" t="s">
        <v>27</v>
      </c>
    </row>
    <row r="46176" ht="15.75" customHeight="1">
      <c r="A46176" s="7"/>
      <c r="B46176" s="7"/>
      <c r="M46176" s="9" t="s">
        <v>30</v>
      </c>
    </row>
    <row r="46177" ht="15.75" customHeight="1">
      <c r="A46177" s="7"/>
      <c r="B46177" s="7"/>
      <c r="M46177" s="9" t="s">
        <v>25</v>
      </c>
    </row>
    <row r="46178" ht="15.75" customHeight="1">
      <c r="A46178" s="7"/>
      <c r="B46178" s="7"/>
      <c r="M46178" s="9" t="s">
        <v>23</v>
      </c>
    </row>
    <row r="46179" ht="15.75" customHeight="1">
      <c r="A46179" s="7"/>
      <c r="B46179" s="7"/>
      <c r="M46179" s="9" t="s">
        <v>26</v>
      </c>
    </row>
    <row r="46180" ht="15.75" customHeight="1">
      <c r="A46180" s="7"/>
      <c r="B46180" s="7"/>
      <c r="M46180" s="9" t="s">
        <v>42</v>
      </c>
    </row>
    <row r="46181" ht="15.75" customHeight="1">
      <c r="A46181" s="7"/>
      <c r="B46181" s="7"/>
      <c r="M46181" s="9" t="s">
        <v>36</v>
      </c>
    </row>
    <row r="46182" ht="15.75" customHeight="1">
      <c r="A46182" s="7"/>
      <c r="B46182" s="7"/>
      <c r="M46182" s="9" t="s">
        <v>24</v>
      </c>
    </row>
    <row r="46183" ht="15.75" customHeight="1">
      <c r="A46183" s="7"/>
      <c r="B46183" s="7"/>
      <c r="M46183" s="9" t="s">
        <v>20</v>
      </c>
    </row>
    <row r="46184" ht="15.75" customHeight="1">
      <c r="A46184" s="7"/>
      <c r="B46184" s="7"/>
      <c r="M46184" s="9" t="s">
        <v>21</v>
      </c>
    </row>
    <row r="46185" ht="15.75" customHeight="1">
      <c r="A46185" s="7"/>
      <c r="B46185" s="7"/>
      <c r="M46185" s="9" t="s">
        <v>37</v>
      </c>
    </row>
    <row r="46186" ht="15.75" customHeight="1">
      <c r="A46186" s="7"/>
      <c r="B46186" s="7"/>
      <c r="M46186" s="9" t="s">
        <v>22</v>
      </c>
    </row>
    <row r="46187" ht="15.75" customHeight="1">
      <c r="A46187" s="7"/>
      <c r="B46187" s="7"/>
      <c r="M46187" s="9" t="s">
        <v>32</v>
      </c>
    </row>
    <row r="46188" ht="15.75" customHeight="1">
      <c r="A46188" s="7"/>
      <c r="B46188" s="7"/>
      <c r="M46188" s="9" t="s">
        <v>27</v>
      </c>
    </row>
    <row r="46189" ht="15.75" customHeight="1">
      <c r="A46189" s="7"/>
      <c r="B46189" s="7"/>
      <c r="M46189" s="9" t="s">
        <v>33</v>
      </c>
    </row>
    <row r="46190" ht="15.75" customHeight="1">
      <c r="A46190" s="7"/>
      <c r="B46190" s="7"/>
      <c r="M46190" s="9" t="s">
        <v>35</v>
      </c>
    </row>
    <row r="46191" ht="15.75" customHeight="1">
      <c r="A46191" s="7"/>
      <c r="B46191" s="7"/>
      <c r="M46191" s="9" t="s">
        <v>24</v>
      </c>
    </row>
    <row r="46192" ht="15.75" customHeight="1">
      <c r="A46192" s="7"/>
      <c r="B46192" s="7"/>
      <c r="M46192" s="9" t="s">
        <v>20</v>
      </c>
    </row>
    <row r="46193" ht="15.75" customHeight="1">
      <c r="A46193" s="7"/>
      <c r="B46193" s="7"/>
      <c r="M46193" s="9" t="s">
        <v>21</v>
      </c>
    </row>
    <row r="46194" ht="15.75" customHeight="1">
      <c r="A46194" s="7"/>
      <c r="B46194" s="7"/>
      <c r="M46194" s="9" t="s">
        <v>37</v>
      </c>
    </row>
    <row r="46195" ht="15.75" customHeight="1">
      <c r="A46195" s="7"/>
      <c r="B46195" s="7"/>
      <c r="M46195" s="9" t="s">
        <v>22</v>
      </c>
    </row>
    <row r="46196" ht="15.75" customHeight="1">
      <c r="A46196" s="7"/>
      <c r="B46196" s="7"/>
      <c r="M46196" s="9" t="s">
        <v>27</v>
      </c>
    </row>
    <row r="46197" ht="15.75" customHeight="1">
      <c r="A46197" s="7"/>
      <c r="B46197" s="7"/>
      <c r="M46197" s="9" t="s">
        <v>36</v>
      </c>
    </row>
    <row r="46198" ht="15.75" customHeight="1">
      <c r="A46198" s="7"/>
      <c r="B46198" s="7"/>
      <c r="M46198" s="9" t="s">
        <v>32</v>
      </c>
    </row>
    <row r="46199" ht="15.75" customHeight="1">
      <c r="A46199" s="7"/>
      <c r="B46199" s="7"/>
      <c r="M46199" s="9" t="s">
        <v>30</v>
      </c>
    </row>
    <row r="46200" ht="15.75" customHeight="1">
      <c r="A46200" s="7"/>
      <c r="B46200" s="7"/>
      <c r="M46200" s="9" t="s">
        <v>24</v>
      </c>
    </row>
    <row r="46201" ht="15.75" customHeight="1">
      <c r="A46201" s="7"/>
      <c r="B46201" s="7"/>
      <c r="M46201" s="9" t="s">
        <v>21</v>
      </c>
    </row>
    <row r="46202" ht="15.75" customHeight="1">
      <c r="A46202" s="7"/>
      <c r="B46202" s="7"/>
      <c r="M46202" s="9" t="s">
        <v>22</v>
      </c>
    </row>
    <row r="46203" ht="15.75" customHeight="1">
      <c r="A46203" s="7"/>
      <c r="B46203" s="7"/>
      <c r="M46203" s="9" t="s">
        <v>38</v>
      </c>
    </row>
    <row r="46204" ht="15.75" customHeight="1">
      <c r="A46204" s="7"/>
      <c r="B46204" s="7"/>
      <c r="M46204" s="9" t="s">
        <v>30</v>
      </c>
    </row>
    <row r="46205" ht="15.75" customHeight="1">
      <c r="A46205" s="7"/>
      <c r="B46205" s="7"/>
      <c r="M46205" s="9" t="s">
        <v>25</v>
      </c>
    </row>
    <row r="46206" ht="15.75" customHeight="1">
      <c r="A46206" s="7"/>
      <c r="B46206" s="7"/>
      <c r="M46206" s="9" t="s">
        <v>23</v>
      </c>
    </row>
    <row r="46207" ht="15.75" customHeight="1">
      <c r="A46207" s="7"/>
      <c r="B46207" s="7"/>
      <c r="M46207" s="9" t="s">
        <v>26</v>
      </c>
    </row>
    <row r="46208" ht="15.75" customHeight="1">
      <c r="A46208" s="7"/>
      <c r="B46208" s="7"/>
      <c r="M46208" s="9" t="s">
        <v>47</v>
      </c>
    </row>
    <row r="46209" ht="15.75" customHeight="1">
      <c r="A46209" s="7"/>
      <c r="B46209" s="7"/>
      <c r="M46209" s="9" t="s">
        <v>24</v>
      </c>
    </row>
    <row r="46210" ht="15.75" customHeight="1">
      <c r="A46210" s="7"/>
      <c r="B46210" s="7"/>
      <c r="M46210" s="9" t="s">
        <v>21</v>
      </c>
    </row>
    <row r="46211" ht="15.75" customHeight="1">
      <c r="A46211" s="7"/>
      <c r="B46211" s="7"/>
      <c r="M46211" s="9" t="s">
        <v>37</v>
      </c>
    </row>
    <row r="46212" ht="15.75" customHeight="1">
      <c r="A46212" s="7"/>
      <c r="B46212" s="7"/>
      <c r="M46212" s="9" t="s">
        <v>22</v>
      </c>
    </row>
    <row r="46213" ht="15.75" customHeight="1">
      <c r="A46213" s="7"/>
      <c r="B46213" s="7"/>
      <c r="M46213" s="9" t="s">
        <v>27</v>
      </c>
    </row>
    <row r="46214" ht="15.75" customHeight="1">
      <c r="A46214" s="7"/>
      <c r="B46214" s="7"/>
      <c r="M46214" s="9" t="s">
        <v>28</v>
      </c>
    </row>
    <row r="46215" ht="15.75" customHeight="1">
      <c r="A46215" s="7"/>
      <c r="B46215" s="7"/>
      <c r="M46215" s="9" t="s">
        <v>30</v>
      </c>
    </row>
    <row r="46216" ht="15.75" customHeight="1">
      <c r="A46216" s="7"/>
      <c r="B46216" s="7"/>
      <c r="M46216" s="9" t="s">
        <v>43</v>
      </c>
    </row>
    <row r="46217" ht="15.75" customHeight="1">
      <c r="A46217" s="7"/>
      <c r="B46217" s="7"/>
      <c r="M46217" s="9" t="s">
        <v>20</v>
      </c>
    </row>
    <row r="46218" ht="15.75" customHeight="1">
      <c r="A46218" s="7"/>
      <c r="B46218" s="7"/>
      <c r="M46218" s="9" t="s">
        <v>46</v>
      </c>
    </row>
    <row r="46219" ht="15.75" customHeight="1">
      <c r="A46219" s="7"/>
      <c r="B46219" s="7"/>
      <c r="M46219" s="9" t="s">
        <v>27</v>
      </c>
    </row>
    <row r="46220" ht="15.75" customHeight="1">
      <c r="A46220" s="7"/>
      <c r="B46220" s="7"/>
      <c r="M46220" s="9" t="s">
        <v>22</v>
      </c>
    </row>
    <row r="46221" ht="15.75" customHeight="1">
      <c r="A46221" s="7"/>
      <c r="B46221" s="7"/>
      <c r="M46221" s="9" t="s">
        <v>26</v>
      </c>
    </row>
    <row r="46222" ht="15.75" customHeight="1">
      <c r="A46222" s="7"/>
      <c r="B46222" s="7"/>
      <c r="M46222" s="9" t="s">
        <v>24</v>
      </c>
    </row>
    <row r="46223" ht="15.75" customHeight="1">
      <c r="A46223" s="7"/>
      <c r="B46223" s="7"/>
      <c r="M46223" s="9" t="s">
        <v>21</v>
      </c>
    </row>
    <row r="46224" ht="15.75" customHeight="1">
      <c r="A46224" s="7"/>
      <c r="B46224" s="7"/>
      <c r="M46224" s="9" t="s">
        <v>27</v>
      </c>
    </row>
    <row r="46225" ht="15.75" customHeight="1">
      <c r="A46225" s="7"/>
      <c r="B46225" s="7"/>
      <c r="M46225" s="9" t="s">
        <v>33</v>
      </c>
    </row>
    <row r="46226" ht="15.75" customHeight="1">
      <c r="A46226" s="7"/>
      <c r="B46226" s="7"/>
      <c r="M46226" s="9" t="s">
        <v>24</v>
      </c>
    </row>
    <row r="46227" ht="15.75" customHeight="1">
      <c r="A46227" s="7"/>
      <c r="B46227" s="7"/>
      <c r="M46227" s="9" t="s">
        <v>37</v>
      </c>
    </row>
    <row r="46228" ht="15.75" customHeight="1">
      <c r="A46228" s="7"/>
      <c r="B46228" s="7"/>
      <c r="M46228" s="9" t="s">
        <v>27</v>
      </c>
    </row>
    <row r="46229" ht="15.75" customHeight="1">
      <c r="A46229" s="7"/>
      <c r="B46229" s="7"/>
      <c r="M46229" s="9" t="s">
        <v>25</v>
      </c>
    </row>
    <row r="46230" ht="15.75" customHeight="1">
      <c r="A46230" s="7"/>
      <c r="B46230" s="7"/>
      <c r="M46230" s="9" t="s">
        <v>20</v>
      </c>
    </row>
    <row r="46231" ht="15.75" customHeight="1">
      <c r="A46231" s="7"/>
      <c r="B46231" s="7"/>
      <c r="M46231" s="9" t="s">
        <v>22</v>
      </c>
    </row>
    <row r="46232" ht="15.75" customHeight="1">
      <c r="A46232" s="7"/>
      <c r="B46232" s="7"/>
      <c r="M46232" s="9" t="s">
        <v>29</v>
      </c>
    </row>
    <row r="46233" ht="15.75" customHeight="1">
      <c r="A46233" s="7"/>
      <c r="B46233" s="7"/>
      <c r="M46233" s="9" t="s">
        <v>27</v>
      </c>
    </row>
    <row r="46234" ht="15.75" customHeight="1">
      <c r="A46234" s="7"/>
      <c r="B46234" s="7"/>
      <c r="M46234" s="9" t="s">
        <v>30</v>
      </c>
    </row>
    <row r="46235" ht="15.75" customHeight="1">
      <c r="A46235" s="7"/>
      <c r="B46235" s="7"/>
      <c r="M46235" s="9" t="s">
        <v>26</v>
      </c>
    </row>
    <row r="46236" ht="15.75" customHeight="1">
      <c r="A46236" s="7"/>
      <c r="B46236" s="7"/>
      <c r="M46236" s="9" t="s">
        <v>27</v>
      </c>
    </row>
    <row r="46237" ht="15.75" customHeight="1">
      <c r="A46237" s="7"/>
      <c r="B46237" s="7"/>
      <c r="M46237" s="9" t="s">
        <v>30</v>
      </c>
    </row>
    <row r="46238" ht="15.75" customHeight="1">
      <c r="A46238" s="7"/>
      <c r="B46238" s="7"/>
      <c r="M46238" s="9" t="s">
        <v>25</v>
      </c>
    </row>
    <row r="46239" ht="15.75" customHeight="1">
      <c r="A46239" s="7"/>
      <c r="B46239" s="7"/>
      <c r="M46239" s="9" t="s">
        <v>23</v>
      </c>
    </row>
    <row r="46240" ht="15.75" customHeight="1">
      <c r="A46240" s="7"/>
      <c r="B46240" s="7"/>
      <c r="M46240" s="9" t="s">
        <v>36</v>
      </c>
    </row>
    <row r="46241" ht="15.75" customHeight="1">
      <c r="A46241" s="7"/>
      <c r="B46241" s="7"/>
      <c r="M46241" s="9" t="s">
        <v>21</v>
      </c>
    </row>
    <row r="46242" ht="15.75" customHeight="1">
      <c r="A46242" s="7"/>
      <c r="B46242" s="7"/>
      <c r="M46242" s="9" t="s">
        <v>22</v>
      </c>
    </row>
    <row r="46243" ht="15.75" customHeight="1">
      <c r="A46243" s="7"/>
      <c r="B46243" s="7"/>
      <c r="M46243" s="9" t="s">
        <v>33</v>
      </c>
    </row>
    <row r="46244" ht="15.75" customHeight="1">
      <c r="A46244" s="7"/>
      <c r="B46244" s="7"/>
      <c r="M46244" s="9" t="s">
        <v>30</v>
      </c>
    </row>
    <row r="46245" ht="15.75" customHeight="1">
      <c r="A46245" s="7"/>
      <c r="B46245" s="7"/>
      <c r="M46245" s="9" t="s">
        <v>26</v>
      </c>
    </row>
    <row r="46246" ht="15.75" customHeight="1">
      <c r="A46246" s="7"/>
      <c r="B46246" s="7"/>
      <c r="M46246" s="9" t="s">
        <v>25</v>
      </c>
    </row>
    <row r="46247" ht="15.75" customHeight="1">
      <c r="A46247" s="7"/>
      <c r="B46247" s="7"/>
      <c r="M46247" s="9" t="s">
        <v>24</v>
      </c>
    </row>
    <row r="46248" ht="15.75" customHeight="1">
      <c r="A46248" s="7"/>
      <c r="B46248" s="7"/>
      <c r="M46248" s="9" t="s">
        <v>21</v>
      </c>
    </row>
    <row r="46249" ht="15.75" customHeight="1">
      <c r="A46249" s="7"/>
      <c r="B46249" s="7"/>
      <c r="M46249" s="9" t="s">
        <v>33</v>
      </c>
    </row>
    <row r="46250" ht="15.75" customHeight="1">
      <c r="A46250" s="7"/>
      <c r="B46250" s="7"/>
      <c r="M46250" s="9" t="s">
        <v>25</v>
      </c>
    </row>
    <row r="46251" ht="15.75" customHeight="1">
      <c r="A46251" s="7"/>
      <c r="B46251" s="7"/>
      <c r="M46251" s="9" t="s">
        <v>23</v>
      </c>
    </row>
    <row r="46252" ht="15.75" customHeight="1">
      <c r="A46252" s="7"/>
      <c r="B46252" s="7"/>
      <c r="M46252" s="9" t="s">
        <v>26</v>
      </c>
    </row>
    <row r="46253" ht="15.75" customHeight="1">
      <c r="A46253" s="7"/>
      <c r="B46253" s="7"/>
      <c r="M46253" s="9" t="s">
        <v>25</v>
      </c>
    </row>
    <row r="46254" ht="15.75" customHeight="1">
      <c r="A46254" s="7"/>
      <c r="B46254" s="7"/>
      <c r="M46254" s="9" t="s">
        <v>23</v>
      </c>
    </row>
    <row r="46255" ht="15.75" customHeight="1">
      <c r="A46255" s="7"/>
      <c r="B46255" s="7"/>
      <c r="M46255" s="9" t="s">
        <v>24</v>
      </c>
    </row>
    <row r="46256" ht="15.75" customHeight="1">
      <c r="A46256" s="7"/>
      <c r="B46256" s="7"/>
      <c r="M46256" s="9" t="s">
        <v>20</v>
      </c>
    </row>
    <row r="46257" ht="15.75" customHeight="1">
      <c r="A46257" s="7"/>
      <c r="B46257" s="7"/>
      <c r="M46257" s="9" t="s">
        <v>21</v>
      </c>
    </row>
    <row r="46258" ht="15.75" customHeight="1">
      <c r="A46258" s="7"/>
      <c r="B46258" s="7"/>
      <c r="M46258" s="9" t="s">
        <v>31</v>
      </c>
    </row>
    <row r="46259" ht="15.75" customHeight="1">
      <c r="A46259" s="7"/>
      <c r="B46259" s="7"/>
      <c r="M46259" s="9" t="s">
        <v>27</v>
      </c>
    </row>
    <row r="46260" ht="15.75" customHeight="1">
      <c r="A46260" s="7"/>
      <c r="B46260" s="7"/>
      <c r="M46260" s="9" t="s">
        <v>28</v>
      </c>
    </row>
    <row r="46261" ht="15.75" customHeight="1">
      <c r="A46261" s="7"/>
      <c r="B46261" s="7"/>
      <c r="M46261" s="9" t="s">
        <v>30</v>
      </c>
    </row>
    <row r="46262" ht="15.75" customHeight="1">
      <c r="A46262" s="7"/>
      <c r="B46262" s="7"/>
      <c r="M46262" s="9" t="s">
        <v>25</v>
      </c>
    </row>
    <row r="46263" ht="15.75" customHeight="1">
      <c r="A46263" s="7"/>
      <c r="B46263" s="7"/>
      <c r="M46263" s="9" t="s">
        <v>36</v>
      </c>
    </row>
    <row r="46264" ht="15.75" customHeight="1">
      <c r="A46264" s="7"/>
      <c r="B46264" s="7"/>
      <c r="M46264" s="9" t="s">
        <v>24</v>
      </c>
    </row>
    <row r="46265" ht="15.75" customHeight="1">
      <c r="A46265" s="7"/>
      <c r="B46265" s="7"/>
      <c r="M46265" s="9" t="s">
        <v>21</v>
      </c>
    </row>
    <row r="46266" ht="15.75" customHeight="1">
      <c r="A46266" s="7"/>
      <c r="B46266" s="7"/>
      <c r="M46266" s="9" t="s">
        <v>37</v>
      </c>
    </row>
    <row r="46267" ht="15.75" customHeight="1">
      <c r="A46267" s="7"/>
      <c r="B46267" s="7"/>
      <c r="M46267" s="9" t="s">
        <v>22</v>
      </c>
    </row>
    <row r="46268" ht="15.75" customHeight="1">
      <c r="A46268" s="7"/>
      <c r="B46268" s="7"/>
      <c r="M46268" s="9" t="s">
        <v>27</v>
      </c>
    </row>
    <row r="46269" ht="15.75" customHeight="1">
      <c r="A46269" s="7"/>
      <c r="B46269" s="7"/>
      <c r="M46269" s="9" t="s">
        <v>35</v>
      </c>
    </row>
    <row r="46270" ht="15.75" customHeight="1">
      <c r="A46270" s="7"/>
      <c r="B46270" s="7"/>
      <c r="M46270" s="9" t="s">
        <v>30</v>
      </c>
    </row>
    <row r="46271" ht="15.75" customHeight="1">
      <c r="A46271" s="7"/>
      <c r="B46271" s="7"/>
      <c r="M46271" s="9" t="s">
        <v>24</v>
      </c>
    </row>
    <row r="46272" ht="15.75" customHeight="1">
      <c r="A46272" s="7"/>
      <c r="B46272" s="7"/>
      <c r="M46272" s="9" t="s">
        <v>21</v>
      </c>
    </row>
    <row r="46273" ht="15.75" customHeight="1">
      <c r="A46273" s="7"/>
      <c r="B46273" s="7"/>
      <c r="M46273" s="9" t="s">
        <v>37</v>
      </c>
    </row>
    <row r="46274" ht="15.75" customHeight="1">
      <c r="A46274" s="7"/>
      <c r="B46274" s="7"/>
      <c r="M46274" s="9" t="s">
        <v>22</v>
      </c>
    </row>
    <row r="46275" ht="15.75" customHeight="1">
      <c r="A46275" s="7"/>
      <c r="B46275" s="7"/>
      <c r="M46275" s="9" t="s">
        <v>27</v>
      </c>
    </row>
    <row r="46276" ht="15.75" customHeight="1">
      <c r="A46276" s="7"/>
      <c r="B46276" s="7"/>
      <c r="M46276" s="9" t="s">
        <v>26</v>
      </c>
    </row>
    <row r="46277" ht="15.75" customHeight="1">
      <c r="A46277" s="7"/>
      <c r="B46277" s="7"/>
      <c r="M46277" s="9" t="s">
        <v>24</v>
      </c>
    </row>
    <row r="46278" ht="15.75" customHeight="1">
      <c r="A46278" s="7"/>
      <c r="B46278" s="7"/>
      <c r="M46278" s="9" t="s">
        <v>20</v>
      </c>
    </row>
    <row r="46279" ht="15.75" customHeight="1">
      <c r="A46279" s="7"/>
      <c r="B46279" s="7"/>
      <c r="M46279" s="9" t="s">
        <v>30</v>
      </c>
    </row>
    <row r="46280" ht="15.75" customHeight="1">
      <c r="A46280" s="7"/>
      <c r="B46280" s="7"/>
      <c r="M46280" s="9" t="s">
        <v>26</v>
      </c>
    </row>
    <row r="46281" ht="15.75" customHeight="1">
      <c r="A46281" s="7"/>
      <c r="B46281" s="7"/>
      <c r="M46281" s="9" t="s">
        <v>24</v>
      </c>
    </row>
    <row r="46282" ht="15.75" customHeight="1">
      <c r="A46282" s="7"/>
      <c r="B46282" s="7"/>
      <c r="M46282" s="9" t="s">
        <v>21</v>
      </c>
    </row>
    <row r="46283" ht="15.75" customHeight="1">
      <c r="A46283" s="7"/>
      <c r="B46283" s="7"/>
      <c r="M46283" s="9" t="s">
        <v>31</v>
      </c>
    </row>
    <row r="46284" ht="15.75" customHeight="1">
      <c r="A46284" s="7"/>
      <c r="B46284" s="7"/>
      <c r="M46284" s="9" t="s">
        <v>27</v>
      </c>
    </row>
    <row r="46285" ht="15.75" customHeight="1">
      <c r="A46285" s="7"/>
      <c r="B46285" s="7"/>
      <c r="M46285" s="9" t="s">
        <v>28</v>
      </c>
    </row>
    <row r="46286" ht="15.75" customHeight="1">
      <c r="A46286" s="7"/>
      <c r="B46286" s="7"/>
      <c r="M46286" s="9" t="s">
        <v>24</v>
      </c>
    </row>
    <row r="46287" ht="15.75" customHeight="1">
      <c r="A46287" s="7"/>
      <c r="B46287" s="7"/>
      <c r="M46287" s="9" t="s">
        <v>21</v>
      </c>
    </row>
    <row r="46288" ht="15.75" customHeight="1">
      <c r="A46288" s="7"/>
      <c r="B46288" s="7"/>
      <c r="M46288" s="9" t="s">
        <v>24</v>
      </c>
    </row>
    <row r="46289" ht="15.75" customHeight="1">
      <c r="A46289" s="7"/>
      <c r="B46289" s="7"/>
      <c r="M46289" s="9" t="s">
        <v>20</v>
      </c>
    </row>
    <row r="46290" ht="15.75" customHeight="1">
      <c r="A46290" s="7"/>
      <c r="B46290" s="7"/>
      <c r="M46290" s="9" t="s">
        <v>21</v>
      </c>
    </row>
    <row r="46291" ht="15.75" customHeight="1">
      <c r="A46291" s="7"/>
      <c r="B46291" s="7"/>
      <c r="M46291" s="9" t="s">
        <v>22</v>
      </c>
    </row>
    <row r="46292" ht="15.75" customHeight="1">
      <c r="A46292" s="7"/>
      <c r="B46292" s="7"/>
      <c r="M46292" s="9" t="s">
        <v>29</v>
      </c>
    </row>
    <row r="46293" ht="15.75" customHeight="1">
      <c r="A46293" s="7"/>
      <c r="B46293" s="7"/>
      <c r="M46293" s="9" t="s">
        <v>26</v>
      </c>
    </row>
    <row r="46294" ht="15.75" customHeight="1">
      <c r="A46294" s="7"/>
      <c r="B46294" s="7"/>
      <c r="M46294" s="9" t="s">
        <v>24</v>
      </c>
    </row>
    <row r="46295" ht="15.75" customHeight="1">
      <c r="A46295" s="7"/>
      <c r="B46295" s="7"/>
      <c r="M46295" s="9" t="s">
        <v>21</v>
      </c>
    </row>
    <row r="46296" ht="15.75" customHeight="1">
      <c r="A46296" s="7"/>
      <c r="B46296" s="7"/>
      <c r="M46296" s="9" t="s">
        <v>37</v>
      </c>
    </row>
    <row r="46297" ht="15.75" customHeight="1">
      <c r="A46297" s="7"/>
      <c r="B46297" s="7"/>
      <c r="M46297" s="9" t="s">
        <v>27</v>
      </c>
    </row>
    <row r="46298" ht="15.75" customHeight="1">
      <c r="A46298" s="7"/>
      <c r="B46298" s="7"/>
      <c r="M46298" s="9" t="s">
        <v>33</v>
      </c>
    </row>
    <row r="46299" ht="15.75" customHeight="1">
      <c r="A46299" s="7"/>
      <c r="B46299" s="7"/>
      <c r="M46299" s="9" t="s">
        <v>30</v>
      </c>
    </row>
    <row r="46300" ht="15.75" customHeight="1">
      <c r="A46300" s="7"/>
      <c r="B46300" s="7"/>
      <c r="M46300" s="9" t="s">
        <v>23</v>
      </c>
    </row>
    <row r="46301" ht="15.75" customHeight="1">
      <c r="A46301" s="7"/>
      <c r="B46301" s="7"/>
      <c r="M46301" s="9" t="s">
        <v>26</v>
      </c>
    </row>
    <row r="46302" ht="15.75" customHeight="1">
      <c r="A46302" s="7"/>
      <c r="B46302" s="7"/>
      <c r="M46302" s="9" t="s">
        <v>22</v>
      </c>
    </row>
    <row r="46303" ht="15.75" customHeight="1">
      <c r="A46303" s="7"/>
      <c r="B46303" s="7"/>
      <c r="M46303" s="9" t="s">
        <v>46</v>
      </c>
    </row>
    <row r="46304" ht="15.75" customHeight="1">
      <c r="A46304" s="7"/>
      <c r="B46304" s="7"/>
      <c r="M46304" s="9" t="s">
        <v>27</v>
      </c>
    </row>
    <row r="46305" ht="15.75" customHeight="1">
      <c r="A46305" s="7"/>
      <c r="B46305" s="7"/>
      <c r="M46305" s="9" t="s">
        <v>30</v>
      </c>
    </row>
    <row r="46306" ht="15.75" customHeight="1">
      <c r="A46306" s="7"/>
      <c r="B46306" s="7"/>
      <c r="M46306" s="9" t="s">
        <v>26</v>
      </c>
    </row>
    <row r="46307" ht="15.75" customHeight="1">
      <c r="A46307" s="7"/>
      <c r="B46307" s="7"/>
      <c r="M46307" s="9" t="s">
        <v>24</v>
      </c>
    </row>
    <row r="46308" ht="15.75" customHeight="1">
      <c r="A46308" s="7"/>
      <c r="B46308" s="7"/>
      <c r="M46308" s="9" t="s">
        <v>21</v>
      </c>
    </row>
    <row r="46309" ht="15.75" customHeight="1">
      <c r="A46309" s="7"/>
      <c r="B46309" s="7"/>
      <c r="M46309" s="9" t="s">
        <v>37</v>
      </c>
    </row>
    <row r="46310" ht="15.75" customHeight="1">
      <c r="A46310" s="7"/>
      <c r="B46310" s="7"/>
      <c r="M46310" s="9" t="s">
        <v>22</v>
      </c>
    </row>
    <row r="46311" ht="15.75" customHeight="1">
      <c r="A46311" s="7"/>
      <c r="B46311" s="7"/>
      <c r="M46311" s="9" t="s">
        <v>31</v>
      </c>
    </row>
    <row r="46312" ht="15.75" customHeight="1">
      <c r="A46312" s="7"/>
      <c r="B46312" s="7"/>
      <c r="M46312" s="9" t="s">
        <v>27</v>
      </c>
    </row>
    <row r="46313" ht="15.75" customHeight="1">
      <c r="A46313" s="7"/>
      <c r="B46313" s="7"/>
      <c r="M46313" s="9" t="s">
        <v>30</v>
      </c>
    </row>
    <row r="46314" ht="15.75" customHeight="1">
      <c r="A46314" s="7"/>
      <c r="B46314" s="7"/>
      <c r="M46314" s="9" t="s">
        <v>20</v>
      </c>
    </row>
    <row r="46315" ht="15.75" customHeight="1">
      <c r="A46315" s="7"/>
      <c r="B46315" s="7"/>
      <c r="M46315" s="9" t="s">
        <v>21</v>
      </c>
    </row>
    <row r="46316" ht="15.75" customHeight="1">
      <c r="A46316" s="7"/>
      <c r="B46316" s="7"/>
      <c r="M46316" s="9" t="s">
        <v>31</v>
      </c>
    </row>
    <row r="46317" ht="15.75" customHeight="1">
      <c r="A46317" s="7"/>
      <c r="B46317" s="7"/>
      <c r="M46317" s="9" t="s">
        <v>27</v>
      </c>
    </row>
    <row r="46318" ht="15.75" customHeight="1">
      <c r="A46318" s="7"/>
      <c r="B46318" s="7"/>
      <c r="M46318" s="9" t="s">
        <v>26</v>
      </c>
    </row>
    <row r="46319" ht="15.75" customHeight="1">
      <c r="A46319" s="7"/>
      <c r="B46319" s="7"/>
      <c r="M46319" s="9" t="s">
        <v>36</v>
      </c>
    </row>
    <row r="46320" ht="15.75" customHeight="1">
      <c r="A46320" s="7"/>
      <c r="B46320" s="7"/>
      <c r="M46320" s="9" t="s">
        <v>24</v>
      </c>
    </row>
    <row r="46321" ht="15.75" customHeight="1">
      <c r="A46321" s="7"/>
      <c r="B46321" s="7"/>
      <c r="M46321" s="9" t="s">
        <v>20</v>
      </c>
    </row>
    <row r="46322" ht="15.75" customHeight="1">
      <c r="A46322" s="7"/>
      <c r="B46322" s="7"/>
      <c r="M46322" s="9" t="s">
        <v>21</v>
      </c>
    </row>
    <row r="46323" ht="15.75" customHeight="1">
      <c r="A46323" s="7"/>
      <c r="B46323" s="7"/>
      <c r="M46323" s="9" t="s">
        <v>37</v>
      </c>
    </row>
    <row r="46324" ht="15.75" customHeight="1">
      <c r="A46324" s="7"/>
      <c r="B46324" s="7"/>
      <c r="M46324" s="9" t="s">
        <v>22</v>
      </c>
    </row>
    <row r="46325" ht="15.75" customHeight="1">
      <c r="A46325" s="7"/>
      <c r="B46325" s="7"/>
      <c r="M46325" s="9" t="s">
        <v>27</v>
      </c>
    </row>
    <row r="46326" ht="15.75" customHeight="1">
      <c r="A46326" s="7"/>
      <c r="B46326" s="7"/>
      <c r="M46326" s="9" t="s">
        <v>42</v>
      </c>
    </row>
    <row r="46327" ht="15.75" customHeight="1">
      <c r="A46327" s="7"/>
      <c r="B46327" s="7"/>
      <c r="M46327" s="9" t="s">
        <v>43</v>
      </c>
    </row>
    <row r="46328" ht="15.75" customHeight="1">
      <c r="A46328" s="7"/>
      <c r="B46328" s="7"/>
      <c r="M46328" s="9" t="s">
        <v>24</v>
      </c>
    </row>
    <row r="46329" ht="15.75" customHeight="1">
      <c r="A46329" s="7"/>
      <c r="B46329" s="7"/>
      <c r="M46329" s="9" t="s">
        <v>21</v>
      </c>
    </row>
    <row r="46330" ht="15.75" customHeight="1">
      <c r="A46330" s="7"/>
      <c r="B46330" s="7"/>
      <c r="M46330" s="9" t="s">
        <v>37</v>
      </c>
    </row>
    <row r="46331" ht="15.75" customHeight="1">
      <c r="A46331" s="7"/>
      <c r="B46331" s="7"/>
      <c r="M46331" s="9" t="s">
        <v>27</v>
      </c>
    </row>
    <row r="46332" ht="15.75" customHeight="1">
      <c r="A46332" s="7"/>
      <c r="B46332" s="7"/>
      <c r="M46332" s="9" t="s">
        <v>28</v>
      </c>
    </row>
    <row r="46333" ht="15.75" customHeight="1">
      <c r="A46333" s="7"/>
      <c r="B46333" s="7"/>
      <c r="M46333" s="9" t="s">
        <v>26</v>
      </c>
    </row>
    <row r="46334" ht="15.75" customHeight="1">
      <c r="A46334" s="7"/>
      <c r="B46334" s="7"/>
      <c r="M46334" s="9" t="s">
        <v>26</v>
      </c>
    </row>
    <row r="46335" ht="15.75" customHeight="1">
      <c r="A46335" s="7"/>
      <c r="B46335" s="7"/>
      <c r="M46335" s="9" t="s">
        <v>30</v>
      </c>
    </row>
    <row r="46336" ht="15.75" customHeight="1">
      <c r="A46336" s="7"/>
      <c r="B46336" s="7"/>
      <c r="M46336" s="9" t="s">
        <v>26</v>
      </c>
    </row>
    <row r="46337" ht="15.75" customHeight="1">
      <c r="A46337" s="7"/>
      <c r="B46337" s="7"/>
      <c r="M46337" s="9" t="s">
        <v>24</v>
      </c>
    </row>
    <row r="46338" ht="15.75" customHeight="1">
      <c r="A46338" s="7"/>
      <c r="B46338" s="7"/>
      <c r="M46338" s="9" t="s">
        <v>21</v>
      </c>
    </row>
    <row r="46339" ht="15.75" customHeight="1">
      <c r="A46339" s="7"/>
      <c r="B46339" s="7"/>
      <c r="M46339" s="9" t="s">
        <v>33</v>
      </c>
    </row>
    <row r="46340" ht="15.75" customHeight="1">
      <c r="A46340" s="7"/>
      <c r="B46340" s="7"/>
      <c r="M46340" s="9" t="s">
        <v>26</v>
      </c>
    </row>
    <row r="46341" ht="15.75" customHeight="1">
      <c r="A46341" s="7"/>
      <c r="B46341" s="7"/>
      <c r="M46341" s="9" t="s">
        <v>21</v>
      </c>
    </row>
    <row r="46342" ht="15.75" customHeight="1">
      <c r="A46342" s="7"/>
      <c r="B46342" s="7"/>
      <c r="M46342" s="9" t="s">
        <v>33</v>
      </c>
    </row>
    <row r="46343" ht="15.75" customHeight="1">
      <c r="A46343" s="7"/>
      <c r="B46343" s="7"/>
      <c r="M46343" s="9" t="s">
        <v>24</v>
      </c>
    </row>
    <row r="46344" ht="15.75" customHeight="1">
      <c r="A46344" s="7"/>
      <c r="B46344" s="7"/>
      <c r="M46344" s="9" t="s">
        <v>21</v>
      </c>
    </row>
    <row r="46345" ht="15.75" customHeight="1">
      <c r="A46345" s="7"/>
      <c r="B46345" s="7"/>
      <c r="M46345" s="9" t="s">
        <v>33</v>
      </c>
    </row>
    <row r="46346" ht="15.75" customHeight="1">
      <c r="A46346" s="7"/>
      <c r="B46346" s="7"/>
      <c r="M46346" s="9" t="s">
        <v>24</v>
      </c>
    </row>
    <row r="46347" ht="15.75" customHeight="1">
      <c r="A46347" s="7"/>
      <c r="B46347" s="7"/>
      <c r="M46347" s="9" t="s">
        <v>21</v>
      </c>
    </row>
    <row r="46348" ht="15.75" customHeight="1">
      <c r="A46348" s="7"/>
      <c r="B46348" s="7"/>
      <c r="M46348" s="9" t="s">
        <v>37</v>
      </c>
    </row>
    <row r="46349" ht="15.75" customHeight="1">
      <c r="A46349" s="7"/>
      <c r="B46349" s="7"/>
      <c r="M46349" s="9" t="s">
        <v>27</v>
      </c>
    </row>
    <row r="46350" ht="15.75" customHeight="1">
      <c r="A46350" s="7"/>
      <c r="B46350" s="7"/>
      <c r="M46350" s="9" t="s">
        <v>24</v>
      </c>
    </row>
    <row r="46351" ht="15.75" customHeight="1">
      <c r="A46351" s="7"/>
      <c r="B46351" s="7"/>
      <c r="M46351" s="9" t="s">
        <v>21</v>
      </c>
    </row>
    <row r="46352" ht="15.75" customHeight="1">
      <c r="A46352" s="7"/>
      <c r="B46352" s="7"/>
      <c r="M46352" s="9" t="s">
        <v>37</v>
      </c>
    </row>
    <row r="46353" ht="15.75" customHeight="1">
      <c r="A46353" s="7"/>
      <c r="B46353" s="7"/>
      <c r="M46353" s="9" t="s">
        <v>27</v>
      </c>
    </row>
    <row r="46354" ht="15.75" customHeight="1">
      <c r="A46354" s="7"/>
      <c r="B46354" s="7"/>
      <c r="M46354" s="9" t="s">
        <v>30</v>
      </c>
    </row>
    <row r="46355" ht="15.75" customHeight="1">
      <c r="A46355" s="7"/>
      <c r="B46355" s="7"/>
      <c r="M46355" s="9" t="s">
        <v>24</v>
      </c>
    </row>
    <row r="46356" ht="15.75" customHeight="1">
      <c r="A46356" s="7"/>
      <c r="B46356" s="7"/>
      <c r="M46356" s="9" t="s">
        <v>21</v>
      </c>
    </row>
    <row r="46357" ht="15.75" customHeight="1">
      <c r="A46357" s="7"/>
      <c r="B46357" s="7"/>
      <c r="M46357" s="9" t="s">
        <v>33</v>
      </c>
    </row>
    <row r="46358" ht="15.75" customHeight="1">
      <c r="A46358" s="7"/>
      <c r="B46358" s="7"/>
      <c r="M46358" s="9" t="s">
        <v>22</v>
      </c>
    </row>
    <row r="46359" ht="15.75" customHeight="1">
      <c r="A46359" s="7"/>
      <c r="B46359" s="7"/>
      <c r="M46359" s="9" t="s">
        <v>27</v>
      </c>
    </row>
    <row r="46360" ht="15.75" customHeight="1">
      <c r="A46360" s="7"/>
      <c r="B46360" s="7"/>
      <c r="M46360" s="9" t="s">
        <v>38</v>
      </c>
    </row>
    <row r="46361" ht="15.75" customHeight="1">
      <c r="A46361" s="7"/>
      <c r="B46361" s="7"/>
      <c r="M46361" s="9" t="s">
        <v>30</v>
      </c>
    </row>
    <row r="46362" ht="15.75" customHeight="1">
      <c r="A46362" s="7"/>
      <c r="B46362" s="7"/>
      <c r="M46362" s="9" t="s">
        <v>26</v>
      </c>
    </row>
    <row r="46363" ht="15.75" customHeight="1">
      <c r="A46363" s="7"/>
      <c r="B46363" s="7"/>
      <c r="M46363" s="9" t="s">
        <v>24</v>
      </c>
    </row>
    <row r="46364" ht="15.75" customHeight="1">
      <c r="A46364" s="7"/>
      <c r="B46364" s="7"/>
      <c r="M46364" s="9" t="s">
        <v>20</v>
      </c>
    </row>
    <row r="46365" ht="15.75" customHeight="1">
      <c r="A46365" s="7"/>
      <c r="B46365" s="7"/>
      <c r="M46365" s="9" t="s">
        <v>21</v>
      </c>
    </row>
    <row r="46366" ht="15.75" customHeight="1">
      <c r="A46366" s="7"/>
      <c r="B46366" s="7"/>
      <c r="M46366" s="9" t="s">
        <v>27</v>
      </c>
    </row>
    <row r="46367" ht="15.75" customHeight="1">
      <c r="A46367" s="7"/>
      <c r="B46367" s="7"/>
      <c r="M46367" s="9" t="s">
        <v>28</v>
      </c>
    </row>
    <row r="46368" ht="15.75" customHeight="1">
      <c r="A46368" s="7"/>
      <c r="B46368" s="7"/>
      <c r="M46368" s="9" t="s">
        <v>25</v>
      </c>
    </row>
    <row r="46369" ht="15.75" customHeight="1">
      <c r="A46369" s="7"/>
      <c r="B46369" s="7"/>
      <c r="M46369" s="9" t="s">
        <v>24</v>
      </c>
    </row>
    <row r="46370" ht="15.75" customHeight="1">
      <c r="A46370" s="7"/>
      <c r="B46370" s="7"/>
      <c r="M46370" s="9" t="s">
        <v>21</v>
      </c>
    </row>
    <row r="46371" ht="15.75" customHeight="1">
      <c r="A46371" s="7"/>
      <c r="B46371" s="7"/>
      <c r="M46371" s="9" t="s">
        <v>35</v>
      </c>
    </row>
    <row r="46372" ht="15.75" customHeight="1">
      <c r="A46372" s="7"/>
      <c r="B46372" s="7"/>
      <c r="M46372" s="9" t="s">
        <v>24</v>
      </c>
    </row>
    <row r="46373" ht="15.75" customHeight="1">
      <c r="A46373" s="7"/>
      <c r="B46373" s="7"/>
      <c r="M46373" s="9" t="s">
        <v>21</v>
      </c>
    </row>
    <row r="46374" ht="15.75" customHeight="1">
      <c r="A46374" s="7"/>
      <c r="B46374" s="7"/>
      <c r="M46374" s="9" t="s">
        <v>22</v>
      </c>
    </row>
    <row r="46375" ht="15.75" customHeight="1">
      <c r="A46375" s="7"/>
      <c r="B46375" s="7"/>
      <c r="M46375" s="9" t="s">
        <v>46</v>
      </c>
    </row>
    <row r="46376" ht="15.75" customHeight="1">
      <c r="A46376" s="7"/>
      <c r="B46376" s="7"/>
      <c r="M46376" s="9" t="s">
        <v>27</v>
      </c>
    </row>
    <row r="46377" ht="15.75" customHeight="1">
      <c r="A46377" s="7"/>
      <c r="B46377" s="7"/>
      <c r="M46377" s="9" t="s">
        <v>33</v>
      </c>
    </row>
    <row r="46378" ht="15.75" customHeight="1">
      <c r="A46378" s="7"/>
      <c r="B46378" s="7"/>
      <c r="M46378" s="9" t="s">
        <v>30</v>
      </c>
    </row>
    <row r="46379" ht="15.75" customHeight="1">
      <c r="A46379" s="7"/>
      <c r="B46379" s="7"/>
      <c r="M46379" s="9" t="s">
        <v>22</v>
      </c>
    </row>
    <row r="46380" ht="15.75" customHeight="1">
      <c r="A46380" s="7"/>
      <c r="B46380" s="7"/>
      <c r="M46380" s="9" t="s">
        <v>30</v>
      </c>
    </row>
    <row r="46381" ht="15.75" customHeight="1">
      <c r="A46381" s="7"/>
      <c r="B46381" s="7"/>
      <c r="M46381" s="9" t="s">
        <v>26</v>
      </c>
    </row>
    <row r="46382" ht="15.75" customHeight="1">
      <c r="A46382" s="7"/>
      <c r="B46382" s="7"/>
      <c r="M46382" s="9" t="s">
        <v>24</v>
      </c>
    </row>
    <row r="46383" ht="15.75" customHeight="1">
      <c r="A46383" s="7"/>
      <c r="B46383" s="7"/>
      <c r="M46383" s="9" t="s">
        <v>27</v>
      </c>
    </row>
    <row r="46384" ht="15.75" customHeight="1">
      <c r="A46384" s="7"/>
      <c r="B46384" s="7"/>
      <c r="M46384" s="9" t="s">
        <v>28</v>
      </c>
    </row>
    <row r="46385" ht="15.75" customHeight="1">
      <c r="A46385" s="7"/>
      <c r="B46385" s="7"/>
      <c r="M46385" s="9" t="s">
        <v>30</v>
      </c>
    </row>
    <row r="46386" ht="15.75" customHeight="1">
      <c r="A46386" s="7"/>
      <c r="B46386" s="7"/>
      <c r="M46386" s="9" t="s">
        <v>25</v>
      </c>
    </row>
    <row r="46387" ht="15.75" customHeight="1">
      <c r="A46387" s="7"/>
      <c r="B46387" s="7"/>
      <c r="M46387" s="9" t="s">
        <v>24</v>
      </c>
    </row>
    <row r="46388" ht="15.75" customHeight="1">
      <c r="A46388" s="7"/>
      <c r="B46388" s="7"/>
      <c r="M46388" s="9" t="s">
        <v>21</v>
      </c>
    </row>
    <row r="46389" ht="15.75" customHeight="1">
      <c r="A46389" s="7"/>
      <c r="B46389" s="7"/>
      <c r="M46389" s="9" t="s">
        <v>22</v>
      </c>
    </row>
    <row r="46390" ht="15.75" customHeight="1">
      <c r="A46390" s="7"/>
      <c r="B46390" s="7"/>
      <c r="M46390" s="9" t="s">
        <v>27</v>
      </c>
    </row>
    <row r="46391" ht="15.75" customHeight="1">
      <c r="A46391" s="7"/>
      <c r="B46391" s="7"/>
      <c r="M46391" s="9" t="s">
        <v>30</v>
      </c>
    </row>
    <row r="46392" ht="15.75" customHeight="1">
      <c r="A46392" s="7"/>
      <c r="B46392" s="7"/>
      <c r="M46392" s="9" t="s">
        <v>24</v>
      </c>
    </row>
    <row r="46393" ht="15.75" customHeight="1">
      <c r="A46393" s="7"/>
      <c r="B46393" s="7"/>
      <c r="M46393" s="9" t="s">
        <v>20</v>
      </c>
    </row>
    <row r="46394" ht="15.75" customHeight="1">
      <c r="A46394" s="7"/>
      <c r="B46394" s="7"/>
      <c r="M46394" s="9" t="s">
        <v>21</v>
      </c>
    </row>
    <row r="46395" ht="15.75" customHeight="1">
      <c r="A46395" s="7"/>
      <c r="B46395" s="7"/>
      <c r="M46395" s="9" t="s">
        <v>27</v>
      </c>
    </row>
    <row r="46396" ht="15.75" customHeight="1">
      <c r="A46396" s="7"/>
      <c r="B46396" s="7"/>
      <c r="M46396" s="9" t="s">
        <v>24</v>
      </c>
    </row>
    <row r="46397" ht="15.75" customHeight="1">
      <c r="A46397" s="7"/>
      <c r="B46397" s="7"/>
      <c r="M46397" s="9" t="s">
        <v>20</v>
      </c>
    </row>
    <row r="46398" ht="15.75" customHeight="1">
      <c r="A46398" s="7"/>
      <c r="B46398" s="7"/>
      <c r="M46398" s="9" t="s">
        <v>27</v>
      </c>
    </row>
    <row r="46399" ht="15.75" customHeight="1">
      <c r="A46399" s="7"/>
      <c r="B46399" s="7"/>
      <c r="M46399" s="9" t="s">
        <v>30</v>
      </c>
    </row>
    <row r="46400" ht="15.75" customHeight="1">
      <c r="A46400" s="7"/>
      <c r="B46400" s="7"/>
      <c r="M46400" s="9" t="s">
        <v>24</v>
      </c>
    </row>
    <row r="46401" ht="15.75" customHeight="1">
      <c r="A46401" s="7"/>
      <c r="B46401" s="7"/>
      <c r="M46401" s="9" t="s">
        <v>20</v>
      </c>
    </row>
    <row r="46402" ht="15.75" customHeight="1">
      <c r="A46402" s="7"/>
      <c r="B46402" s="7"/>
      <c r="M46402" s="9" t="s">
        <v>21</v>
      </c>
    </row>
    <row r="46403" ht="15.75" customHeight="1">
      <c r="A46403" s="7"/>
      <c r="B46403" s="7"/>
      <c r="M46403" s="9" t="s">
        <v>31</v>
      </c>
    </row>
    <row r="46404" ht="15.75" customHeight="1">
      <c r="A46404" s="7"/>
      <c r="B46404" s="7"/>
      <c r="M46404" s="9" t="s">
        <v>27</v>
      </c>
    </row>
    <row r="46405" ht="15.75" customHeight="1">
      <c r="A46405" s="7"/>
      <c r="B46405" s="7"/>
      <c r="M46405" s="9" t="s">
        <v>33</v>
      </c>
    </row>
    <row r="46406" ht="15.75" customHeight="1">
      <c r="A46406" s="7"/>
      <c r="B46406" s="7"/>
      <c r="M46406" s="9" t="s">
        <v>23</v>
      </c>
    </row>
    <row r="46407" ht="15.75" customHeight="1">
      <c r="A46407" s="7"/>
      <c r="B46407" s="7"/>
      <c r="M46407" s="9" t="s">
        <v>24</v>
      </c>
    </row>
    <row r="46408" ht="15.75" customHeight="1">
      <c r="A46408" s="7"/>
      <c r="B46408" s="7"/>
      <c r="M46408" s="9" t="s">
        <v>21</v>
      </c>
    </row>
    <row r="46409" ht="15.75" customHeight="1">
      <c r="A46409" s="7"/>
      <c r="B46409" s="7"/>
      <c r="M46409" s="9" t="s">
        <v>37</v>
      </c>
    </row>
    <row r="46410" ht="15.75" customHeight="1">
      <c r="A46410" s="7"/>
      <c r="B46410" s="7"/>
      <c r="M46410" s="9" t="s">
        <v>22</v>
      </c>
    </row>
    <row r="46411" ht="15.75" customHeight="1">
      <c r="A46411" s="7"/>
      <c r="B46411" s="7"/>
      <c r="M46411" s="9" t="s">
        <v>24</v>
      </c>
    </row>
    <row r="46412" ht="15.75" customHeight="1">
      <c r="A46412" s="7"/>
      <c r="B46412" s="7"/>
      <c r="M46412" s="9" t="s">
        <v>21</v>
      </c>
    </row>
    <row r="46413" ht="15.75" customHeight="1">
      <c r="A46413" s="7"/>
      <c r="B46413" s="7"/>
      <c r="M46413" s="9" t="s">
        <v>26</v>
      </c>
    </row>
    <row r="46414" ht="15.75" customHeight="1">
      <c r="A46414" s="7"/>
      <c r="B46414" s="7"/>
      <c r="M46414" s="9" t="s">
        <v>24</v>
      </c>
    </row>
    <row r="46415" ht="15.75" customHeight="1">
      <c r="A46415" s="7"/>
      <c r="B46415" s="7"/>
      <c r="M46415" s="9" t="s">
        <v>21</v>
      </c>
    </row>
    <row r="46416" ht="15.75" customHeight="1">
      <c r="A46416" s="7"/>
      <c r="B46416" s="7"/>
      <c r="M46416" s="9" t="s">
        <v>37</v>
      </c>
    </row>
    <row r="46417" ht="15.75" customHeight="1">
      <c r="A46417" s="7"/>
      <c r="B46417" s="7"/>
      <c r="M46417" s="9" t="s">
        <v>22</v>
      </c>
    </row>
    <row r="46418" ht="15.75" customHeight="1">
      <c r="A46418" s="7"/>
      <c r="B46418" s="7"/>
      <c r="M46418" s="9" t="s">
        <v>27</v>
      </c>
    </row>
    <row r="46419" ht="15.75" customHeight="1">
      <c r="A46419" s="7"/>
      <c r="B46419" s="7"/>
      <c r="M46419" s="9" t="s">
        <v>30</v>
      </c>
    </row>
    <row r="46420" ht="15.75" customHeight="1">
      <c r="A46420" s="7"/>
      <c r="B46420" s="7"/>
      <c r="M46420" s="9" t="s">
        <v>24</v>
      </c>
    </row>
    <row r="46421" ht="15.75" customHeight="1">
      <c r="A46421" s="7"/>
      <c r="B46421" s="7"/>
      <c r="M46421" s="9" t="s">
        <v>20</v>
      </c>
    </row>
    <row r="46422" ht="15.75" customHeight="1">
      <c r="A46422" s="7"/>
      <c r="B46422" s="7"/>
      <c r="M46422" s="9" t="s">
        <v>21</v>
      </c>
    </row>
    <row r="46423" ht="15.75" customHeight="1">
      <c r="A46423" s="7"/>
      <c r="B46423" s="7"/>
      <c r="M46423" s="9" t="s">
        <v>41</v>
      </c>
    </row>
    <row r="46424" ht="15.75" customHeight="1">
      <c r="A46424" s="7"/>
      <c r="B46424" s="7"/>
      <c r="M46424" s="9" t="s">
        <v>27</v>
      </c>
    </row>
    <row r="46425" ht="15.75" customHeight="1">
      <c r="A46425" s="7"/>
      <c r="B46425" s="7"/>
      <c r="M46425" s="9" t="s">
        <v>33</v>
      </c>
    </row>
    <row r="46426" ht="15.75" customHeight="1">
      <c r="A46426" s="7"/>
      <c r="B46426" s="7"/>
      <c r="M46426" s="9" t="s">
        <v>20</v>
      </c>
    </row>
    <row r="46427" ht="15.75" customHeight="1">
      <c r="A46427" s="7"/>
      <c r="B46427" s="7"/>
      <c r="M46427" s="9" t="s">
        <v>30</v>
      </c>
    </row>
    <row r="46428" ht="15.75" customHeight="1">
      <c r="A46428" s="7"/>
      <c r="B46428" s="7"/>
      <c r="M46428" s="9" t="s">
        <v>26</v>
      </c>
    </row>
    <row r="46429" ht="15.75" customHeight="1">
      <c r="A46429" s="7"/>
      <c r="B46429" s="7"/>
      <c r="M46429" s="9" t="s">
        <v>24</v>
      </c>
    </row>
    <row r="46430" ht="15.75" customHeight="1">
      <c r="A46430" s="7"/>
      <c r="B46430" s="7"/>
      <c r="M46430" s="9" t="s">
        <v>20</v>
      </c>
    </row>
    <row r="46431" ht="15.75" customHeight="1">
      <c r="A46431" s="7"/>
      <c r="B46431" s="7"/>
      <c r="M46431" s="9" t="s">
        <v>21</v>
      </c>
    </row>
    <row r="46432" ht="15.75" customHeight="1">
      <c r="A46432" s="7"/>
      <c r="B46432" s="7"/>
      <c r="M46432" s="9" t="s">
        <v>30</v>
      </c>
    </row>
    <row r="46433" ht="15.75" customHeight="1">
      <c r="A46433" s="7"/>
      <c r="B46433" s="7"/>
      <c r="M46433" s="9" t="s">
        <v>25</v>
      </c>
    </row>
    <row r="46434" ht="15.75" customHeight="1">
      <c r="A46434" s="7"/>
      <c r="B46434" s="7"/>
      <c r="M46434" s="9" t="s">
        <v>23</v>
      </c>
    </row>
    <row r="46435" ht="15.75" customHeight="1">
      <c r="A46435" s="7"/>
      <c r="B46435" s="7"/>
      <c r="M46435" s="9" t="s">
        <v>22</v>
      </c>
    </row>
    <row r="46436" ht="15.75" customHeight="1">
      <c r="A46436" s="7"/>
      <c r="B46436" s="7"/>
      <c r="M46436" s="9" t="s">
        <v>27</v>
      </c>
    </row>
    <row r="46437" ht="15.75" customHeight="1">
      <c r="A46437" s="7"/>
      <c r="B46437" s="7"/>
      <c r="M46437" s="9" t="s">
        <v>38</v>
      </c>
    </row>
    <row r="46438" ht="15.75" customHeight="1">
      <c r="A46438" s="7"/>
      <c r="B46438" s="7"/>
      <c r="M46438" s="9" t="s">
        <v>30</v>
      </c>
    </row>
    <row r="46439" ht="15.75" customHeight="1">
      <c r="A46439" s="7"/>
      <c r="B46439" s="7"/>
      <c r="M46439" s="9" t="s">
        <v>25</v>
      </c>
    </row>
    <row r="46440" ht="15.75" customHeight="1">
      <c r="A46440" s="7"/>
      <c r="B46440" s="7"/>
      <c r="M46440" s="9" t="s">
        <v>23</v>
      </c>
    </row>
    <row r="46441" ht="15.75" customHeight="1">
      <c r="A46441" s="7"/>
      <c r="B46441" s="7"/>
      <c r="M46441" s="9" t="s">
        <v>47</v>
      </c>
    </row>
    <row r="46442" ht="15.75" customHeight="1">
      <c r="A46442" s="7"/>
      <c r="B46442" s="7"/>
      <c r="M46442" s="9" t="s">
        <v>42</v>
      </c>
    </row>
    <row r="46443" ht="15.75" customHeight="1">
      <c r="A46443" s="7"/>
      <c r="B46443" s="7"/>
      <c r="M46443" s="9" t="s">
        <v>36</v>
      </c>
    </row>
    <row r="46444" ht="15.75" customHeight="1">
      <c r="A46444" s="7"/>
      <c r="B46444" s="7"/>
      <c r="M46444" s="9" t="s">
        <v>24</v>
      </c>
    </row>
    <row r="46445" ht="15.75" customHeight="1">
      <c r="A46445" s="7"/>
      <c r="B46445" s="7"/>
      <c r="M46445" s="9" t="s">
        <v>21</v>
      </c>
    </row>
    <row r="46446" ht="15.75" customHeight="1">
      <c r="A46446" s="7"/>
      <c r="B46446" s="7"/>
      <c r="M46446" s="9" t="s">
        <v>31</v>
      </c>
    </row>
    <row r="46447" ht="15.75" customHeight="1">
      <c r="A46447" s="7"/>
      <c r="B46447" s="7"/>
      <c r="M46447" s="9" t="s">
        <v>27</v>
      </c>
    </row>
    <row r="46448" ht="15.75" customHeight="1">
      <c r="A46448" s="7"/>
      <c r="B46448" s="7"/>
      <c r="M46448" s="9" t="s">
        <v>21</v>
      </c>
    </row>
    <row r="46449" ht="15.75" customHeight="1">
      <c r="A46449" s="7"/>
      <c r="B46449" s="7"/>
      <c r="M46449" s="9" t="s">
        <v>37</v>
      </c>
    </row>
    <row r="46450" ht="15.75" customHeight="1">
      <c r="A46450" s="7"/>
      <c r="B46450" s="7"/>
      <c r="M46450" s="9" t="s">
        <v>27</v>
      </c>
    </row>
    <row r="46451" ht="15.75" customHeight="1">
      <c r="A46451" s="7"/>
      <c r="B46451" s="7"/>
      <c r="M46451" s="9" t="s">
        <v>38</v>
      </c>
    </row>
    <row r="46452" ht="15.75" customHeight="1">
      <c r="A46452" s="7"/>
      <c r="B46452" s="7"/>
      <c r="M46452" s="9" t="s">
        <v>26</v>
      </c>
    </row>
    <row r="46453" ht="15.75" customHeight="1">
      <c r="A46453" s="7"/>
      <c r="B46453" s="7"/>
      <c r="M46453" s="9" t="s">
        <v>24</v>
      </c>
    </row>
    <row r="46454" ht="15.75" customHeight="1">
      <c r="A46454" s="7"/>
      <c r="B46454" s="7"/>
      <c r="M46454" s="9" t="s">
        <v>20</v>
      </c>
    </row>
    <row r="46455" ht="15.75" customHeight="1">
      <c r="A46455" s="7"/>
      <c r="B46455" s="7"/>
      <c r="M46455" s="9" t="s">
        <v>26</v>
      </c>
    </row>
    <row r="46456" ht="15.75" customHeight="1">
      <c r="A46456" s="7"/>
      <c r="B46456" s="7"/>
      <c r="M46456" s="9" t="s">
        <v>24</v>
      </c>
    </row>
    <row r="46457" ht="15.75" customHeight="1">
      <c r="A46457" s="7"/>
      <c r="B46457" s="7"/>
      <c r="M46457" s="9" t="s">
        <v>20</v>
      </c>
    </row>
    <row r="46458" ht="15.75" customHeight="1">
      <c r="A46458" s="7"/>
      <c r="B46458" s="7"/>
      <c r="M46458" s="9" t="s">
        <v>21</v>
      </c>
    </row>
    <row r="46459" ht="15.75" customHeight="1">
      <c r="A46459" s="7"/>
      <c r="B46459" s="7"/>
      <c r="M46459" s="9" t="s">
        <v>27</v>
      </c>
    </row>
    <row r="46460" ht="15.75" customHeight="1">
      <c r="A46460" s="7"/>
      <c r="B46460" s="7"/>
      <c r="M46460" s="9" t="s">
        <v>33</v>
      </c>
    </row>
    <row r="46461" ht="15.75" customHeight="1">
      <c r="A46461" s="7"/>
      <c r="B46461" s="7"/>
      <c r="M46461" s="9" t="s">
        <v>24</v>
      </c>
    </row>
    <row r="46462" ht="15.75" customHeight="1">
      <c r="A46462" s="7"/>
      <c r="B46462" s="7"/>
      <c r="M46462" s="9" t="s">
        <v>21</v>
      </c>
    </row>
    <row r="46463" ht="15.75" customHeight="1">
      <c r="A46463" s="7"/>
      <c r="B46463" s="7"/>
      <c r="M46463" s="9" t="s">
        <v>22</v>
      </c>
    </row>
    <row r="46464" ht="15.75" customHeight="1">
      <c r="A46464" s="7"/>
      <c r="B46464" s="7"/>
      <c r="M46464" s="9" t="s">
        <v>24</v>
      </c>
    </row>
    <row r="46465" ht="15.75" customHeight="1">
      <c r="A46465" s="7"/>
      <c r="B46465" s="7"/>
      <c r="M46465" s="9" t="s">
        <v>21</v>
      </c>
    </row>
    <row r="46466" ht="15.75" customHeight="1">
      <c r="A46466" s="7"/>
      <c r="B46466" s="7"/>
      <c r="M46466" s="9" t="s">
        <v>37</v>
      </c>
    </row>
    <row r="46467" ht="15.75" customHeight="1">
      <c r="A46467" s="7"/>
      <c r="B46467" s="7"/>
      <c r="M46467" s="9" t="s">
        <v>27</v>
      </c>
    </row>
    <row r="46468" ht="15.75" customHeight="1">
      <c r="A46468" s="7"/>
      <c r="B46468" s="7"/>
      <c r="M46468" s="9" t="s">
        <v>33</v>
      </c>
    </row>
    <row r="46469" ht="15.75" customHeight="1">
      <c r="A46469" s="7"/>
      <c r="B46469" s="7"/>
      <c r="M46469" s="9" t="s">
        <v>26</v>
      </c>
    </row>
    <row r="46470" ht="15.75" customHeight="1">
      <c r="A46470" s="7"/>
      <c r="B46470" s="7"/>
      <c r="M46470" s="9" t="s">
        <v>21</v>
      </c>
    </row>
    <row r="46471" ht="15.75" customHeight="1">
      <c r="A46471" s="7"/>
      <c r="B46471" s="7"/>
      <c r="M46471" s="9" t="s">
        <v>27</v>
      </c>
    </row>
    <row r="46472" ht="15.75" customHeight="1">
      <c r="A46472" s="7"/>
      <c r="B46472" s="7"/>
      <c r="M46472" s="9" t="s">
        <v>30</v>
      </c>
    </row>
    <row r="46473" ht="15.75" customHeight="1">
      <c r="A46473" s="7"/>
      <c r="B46473" s="7"/>
      <c r="M46473" s="9" t="s">
        <v>24</v>
      </c>
    </row>
    <row r="46474" ht="15.75" customHeight="1">
      <c r="A46474" s="7"/>
      <c r="B46474" s="7"/>
      <c r="M46474" s="9" t="s">
        <v>20</v>
      </c>
    </row>
    <row r="46475" ht="15.75" customHeight="1">
      <c r="A46475" s="7"/>
      <c r="B46475" s="7"/>
      <c r="M46475" s="9" t="s">
        <v>21</v>
      </c>
    </row>
    <row r="46476" ht="15.75" customHeight="1">
      <c r="A46476" s="7"/>
      <c r="B46476" s="7"/>
      <c r="M46476" s="9" t="s">
        <v>37</v>
      </c>
    </row>
    <row r="46477" ht="15.75" customHeight="1">
      <c r="A46477" s="7"/>
      <c r="B46477" s="7"/>
      <c r="M46477" s="9" t="s">
        <v>27</v>
      </c>
    </row>
    <row r="46478" ht="15.75" customHeight="1">
      <c r="A46478" s="7"/>
      <c r="B46478" s="7"/>
      <c r="M46478" s="9" t="s">
        <v>33</v>
      </c>
    </row>
    <row r="46479" ht="15.75" customHeight="1">
      <c r="A46479" s="7"/>
      <c r="B46479" s="7"/>
      <c r="M46479" s="9" t="s">
        <v>44</v>
      </c>
    </row>
    <row r="46480" ht="15.75" customHeight="1">
      <c r="A46480" s="7"/>
      <c r="B46480" s="7"/>
      <c r="M46480" s="9" t="s">
        <v>24</v>
      </c>
    </row>
    <row r="46481" ht="15.75" customHeight="1">
      <c r="A46481" s="7"/>
      <c r="B46481" s="7"/>
      <c r="M46481" s="9" t="s">
        <v>20</v>
      </c>
    </row>
    <row r="46482" ht="15.75" customHeight="1">
      <c r="A46482" s="7"/>
      <c r="B46482" s="7"/>
      <c r="M46482" s="9" t="s">
        <v>21</v>
      </c>
    </row>
    <row r="46483" ht="15.75" customHeight="1">
      <c r="A46483" s="7"/>
      <c r="B46483" s="7"/>
      <c r="M46483" s="9" t="s">
        <v>26</v>
      </c>
    </row>
    <row r="46484" ht="15.75" customHeight="1">
      <c r="A46484" s="7"/>
      <c r="B46484" s="7"/>
      <c r="M46484" s="9" t="s">
        <v>24</v>
      </c>
    </row>
    <row r="46485" ht="15.75" customHeight="1">
      <c r="A46485" s="7"/>
      <c r="B46485" s="7"/>
      <c r="M46485" s="9" t="s">
        <v>21</v>
      </c>
    </row>
    <row r="46486" ht="15.75" customHeight="1">
      <c r="A46486" s="7"/>
      <c r="B46486" s="7"/>
      <c r="M46486" s="9" t="s">
        <v>37</v>
      </c>
    </row>
    <row r="46487" ht="15.75" customHeight="1">
      <c r="A46487" s="7"/>
      <c r="B46487" s="7"/>
      <c r="M46487" s="9" t="s">
        <v>27</v>
      </c>
    </row>
    <row r="46488" ht="15.75" customHeight="1">
      <c r="A46488" s="7"/>
      <c r="B46488" s="7"/>
      <c r="M46488" s="9" t="s">
        <v>30</v>
      </c>
    </row>
    <row r="46489" ht="15.75" customHeight="1">
      <c r="A46489" s="7"/>
      <c r="B46489" s="7"/>
      <c r="M46489" s="9" t="s">
        <v>23</v>
      </c>
    </row>
    <row r="46490" ht="15.75" customHeight="1">
      <c r="A46490" s="7"/>
      <c r="B46490" s="7"/>
      <c r="M46490" s="9" t="s">
        <v>25</v>
      </c>
    </row>
    <row r="46491" ht="15.75" customHeight="1">
      <c r="A46491" s="7"/>
      <c r="B46491" s="7"/>
      <c r="M46491" s="9" t="s">
        <v>22</v>
      </c>
    </row>
    <row r="46492" ht="15.75" customHeight="1">
      <c r="A46492" s="7"/>
      <c r="B46492" s="7"/>
      <c r="M46492" s="9" t="s">
        <v>30</v>
      </c>
    </row>
    <row r="46493" ht="15.75" customHeight="1">
      <c r="A46493" s="7"/>
      <c r="B46493" s="7"/>
      <c r="M46493" s="9" t="s">
        <v>26</v>
      </c>
    </row>
    <row r="46494" ht="15.75" customHeight="1">
      <c r="A46494" s="7"/>
      <c r="B46494" s="7"/>
      <c r="M46494" s="9" t="s">
        <v>24</v>
      </c>
    </row>
    <row r="46495" ht="15.75" customHeight="1">
      <c r="A46495" s="7"/>
      <c r="B46495" s="7"/>
      <c r="M46495" s="9" t="s">
        <v>21</v>
      </c>
    </row>
    <row r="46496" ht="15.75" customHeight="1">
      <c r="A46496" s="7"/>
      <c r="B46496" s="7"/>
      <c r="M46496" s="9" t="s">
        <v>27</v>
      </c>
    </row>
    <row r="46497" ht="15.75" customHeight="1">
      <c r="A46497" s="7"/>
      <c r="B46497" s="7"/>
      <c r="M46497" s="9" t="s">
        <v>33</v>
      </c>
    </row>
    <row r="46498" ht="15.75" customHeight="1">
      <c r="A46498" s="7"/>
      <c r="B46498" s="7"/>
      <c r="M46498" s="9" t="s">
        <v>25</v>
      </c>
    </row>
    <row r="46499" ht="15.75" customHeight="1">
      <c r="A46499" s="7"/>
      <c r="B46499" s="7"/>
      <c r="M46499" s="9" t="s">
        <v>23</v>
      </c>
    </row>
    <row r="46500" ht="15.75" customHeight="1">
      <c r="A46500" s="7"/>
      <c r="B46500" s="7"/>
      <c r="M46500" s="9" t="s">
        <v>24</v>
      </c>
    </row>
    <row r="46501" ht="15.75" customHeight="1">
      <c r="A46501" s="7"/>
      <c r="B46501" s="7"/>
      <c r="M46501" s="9" t="s">
        <v>21</v>
      </c>
    </row>
    <row r="46502" ht="15.75" customHeight="1">
      <c r="A46502" s="7"/>
      <c r="B46502" s="7"/>
      <c r="M46502" s="9" t="s">
        <v>37</v>
      </c>
    </row>
    <row r="46503" ht="15.75" customHeight="1">
      <c r="A46503" s="7"/>
      <c r="B46503" s="7"/>
      <c r="M46503" s="9" t="s">
        <v>27</v>
      </c>
    </row>
    <row r="46504" ht="15.75" customHeight="1">
      <c r="A46504" s="7"/>
      <c r="B46504" s="7"/>
      <c r="M46504" s="9" t="s">
        <v>30</v>
      </c>
    </row>
    <row r="46505" ht="15.75" customHeight="1">
      <c r="A46505" s="7"/>
      <c r="B46505" s="7"/>
      <c r="M46505" s="9" t="s">
        <v>26</v>
      </c>
    </row>
    <row r="46506" ht="15.75" customHeight="1">
      <c r="A46506" s="7"/>
      <c r="B46506" s="7"/>
      <c r="M46506" s="9" t="s">
        <v>24</v>
      </c>
    </row>
    <row r="46507" ht="15.75" customHeight="1">
      <c r="A46507" s="7"/>
      <c r="B46507" s="7"/>
      <c r="M46507" s="9" t="s">
        <v>20</v>
      </c>
    </row>
    <row r="46508" ht="15.75" customHeight="1">
      <c r="A46508" s="7"/>
      <c r="B46508" s="7"/>
      <c r="M46508" s="9" t="s">
        <v>21</v>
      </c>
    </row>
    <row r="46509" ht="15.75" customHeight="1">
      <c r="A46509" s="7"/>
      <c r="B46509" s="7"/>
      <c r="M46509" s="9" t="s">
        <v>37</v>
      </c>
    </row>
    <row r="46510" ht="15.75" customHeight="1">
      <c r="A46510" s="7"/>
      <c r="B46510" s="7"/>
      <c r="M46510" s="9" t="s">
        <v>22</v>
      </c>
    </row>
    <row r="46511" ht="15.75" customHeight="1">
      <c r="A46511" s="7"/>
      <c r="B46511" s="7"/>
      <c r="M46511" s="9" t="s">
        <v>27</v>
      </c>
    </row>
    <row r="46512" ht="15.75" customHeight="1">
      <c r="A46512" s="7"/>
      <c r="B46512" s="7"/>
      <c r="M46512" s="9" t="s">
        <v>33</v>
      </c>
    </row>
    <row r="46513" ht="15.75" customHeight="1">
      <c r="A46513" s="7"/>
      <c r="B46513" s="7"/>
      <c r="M46513" s="9" t="s">
        <v>30</v>
      </c>
    </row>
    <row r="46514" ht="15.75" customHeight="1">
      <c r="A46514" s="7"/>
      <c r="B46514" s="7"/>
      <c r="M46514" s="9" t="s">
        <v>26</v>
      </c>
    </row>
    <row r="46515" ht="15.75" customHeight="1">
      <c r="A46515" s="7"/>
      <c r="B46515" s="7"/>
      <c r="M46515" s="9" t="s">
        <v>24</v>
      </c>
    </row>
    <row r="46516" ht="15.75" customHeight="1">
      <c r="A46516" s="7"/>
      <c r="B46516" s="7"/>
      <c r="M46516" s="9" t="s">
        <v>21</v>
      </c>
    </row>
    <row r="46517" ht="15.75" customHeight="1">
      <c r="A46517" s="7"/>
      <c r="B46517" s="7"/>
      <c r="M46517" s="9" t="s">
        <v>37</v>
      </c>
    </row>
    <row r="46518" ht="15.75" customHeight="1">
      <c r="A46518" s="7"/>
      <c r="B46518" s="7"/>
      <c r="M46518" s="9" t="s">
        <v>27</v>
      </c>
    </row>
    <row r="46519" ht="15.75" customHeight="1">
      <c r="A46519" s="7"/>
      <c r="B46519" s="7"/>
      <c r="M46519" s="9" t="s">
        <v>33</v>
      </c>
    </row>
    <row r="46520" ht="15.75" customHeight="1">
      <c r="A46520" s="7"/>
      <c r="B46520" s="7"/>
      <c r="M46520" s="9" t="s">
        <v>26</v>
      </c>
    </row>
    <row r="46521" ht="15.75" customHeight="1">
      <c r="A46521" s="7"/>
      <c r="B46521" s="7"/>
      <c r="M46521" s="9" t="s">
        <v>24</v>
      </c>
    </row>
    <row r="46522" ht="15.75" customHeight="1">
      <c r="A46522" s="7"/>
      <c r="B46522" s="7"/>
      <c r="M46522" s="9" t="s">
        <v>21</v>
      </c>
    </row>
    <row r="46523" ht="15.75" customHeight="1">
      <c r="A46523" s="7"/>
      <c r="B46523" s="7"/>
      <c r="M46523" s="9" t="s">
        <v>27</v>
      </c>
    </row>
    <row r="46524" ht="15.75" customHeight="1">
      <c r="A46524" s="7"/>
      <c r="B46524" s="7"/>
      <c r="M46524" s="9" t="s">
        <v>25</v>
      </c>
    </row>
    <row r="46525" ht="15.75" customHeight="1">
      <c r="A46525" s="7"/>
      <c r="B46525" s="7"/>
      <c r="M46525" s="9" t="s">
        <v>20</v>
      </c>
    </row>
    <row r="46526" ht="15.75" customHeight="1">
      <c r="A46526" s="7"/>
      <c r="B46526" s="7"/>
      <c r="M46526" s="9" t="s">
        <v>23</v>
      </c>
    </row>
    <row r="46527" ht="15.75" customHeight="1">
      <c r="A46527" s="7"/>
      <c r="B46527" s="7"/>
      <c r="M46527" s="9" t="s">
        <v>26</v>
      </c>
    </row>
    <row r="46528" ht="15.75" customHeight="1">
      <c r="A46528" s="7"/>
      <c r="B46528" s="7"/>
      <c r="M46528" s="9" t="s">
        <v>24</v>
      </c>
    </row>
    <row r="46529" ht="15.75" customHeight="1">
      <c r="A46529" s="7"/>
      <c r="B46529" s="7"/>
      <c r="M46529" s="9" t="s">
        <v>21</v>
      </c>
    </row>
    <row r="46530" ht="15.75" customHeight="1">
      <c r="A46530" s="7"/>
      <c r="B46530" s="7"/>
      <c r="M46530" s="9" t="s">
        <v>37</v>
      </c>
    </row>
    <row r="46531" ht="15.75" customHeight="1">
      <c r="A46531" s="7"/>
      <c r="B46531" s="7"/>
      <c r="M46531" s="9" t="s">
        <v>27</v>
      </c>
    </row>
    <row r="46532" ht="15.75" customHeight="1">
      <c r="A46532" s="7"/>
      <c r="B46532" s="7"/>
      <c r="M46532" s="9" t="s">
        <v>33</v>
      </c>
    </row>
    <row r="46533" ht="15.75" customHeight="1">
      <c r="A46533" s="7"/>
      <c r="B46533" s="7"/>
      <c r="M46533" s="9" t="s">
        <v>28</v>
      </c>
    </row>
    <row r="46534" ht="15.75" customHeight="1">
      <c r="A46534" s="7"/>
      <c r="B46534" s="7"/>
      <c r="M46534" s="9" t="s">
        <v>41</v>
      </c>
    </row>
    <row r="46535" ht="15.75" customHeight="1">
      <c r="A46535" s="7"/>
      <c r="B46535" s="7"/>
      <c r="M46535" s="9" t="s">
        <v>40</v>
      </c>
    </row>
    <row r="46536" ht="15.75" customHeight="1">
      <c r="A46536" s="7"/>
      <c r="B46536" s="7"/>
      <c r="M46536" s="9" t="s">
        <v>38</v>
      </c>
    </row>
    <row r="46537" ht="15.75" customHeight="1">
      <c r="A46537" s="7"/>
      <c r="B46537" s="7"/>
      <c r="M46537" s="9" t="s">
        <v>30</v>
      </c>
    </row>
    <row r="46538" ht="15.75" customHeight="1">
      <c r="A46538" s="7"/>
      <c r="B46538" s="7"/>
      <c r="M46538" s="9" t="s">
        <v>25</v>
      </c>
    </row>
    <row r="46539" ht="15.75" customHeight="1">
      <c r="A46539" s="7"/>
      <c r="B46539" s="7"/>
      <c r="M46539" s="9" t="s">
        <v>23</v>
      </c>
    </row>
    <row r="46540" ht="15.75" customHeight="1">
      <c r="A46540" s="7"/>
      <c r="B46540" s="7"/>
      <c r="M46540" s="9" t="s">
        <v>26</v>
      </c>
    </row>
    <row r="46541" ht="15.75" customHeight="1">
      <c r="A46541" s="7"/>
      <c r="B46541" s="7"/>
      <c r="M46541" s="9" t="s">
        <v>24</v>
      </c>
    </row>
    <row r="46542" ht="15.75" customHeight="1">
      <c r="A46542" s="7"/>
      <c r="B46542" s="7"/>
      <c r="M46542" s="9" t="s">
        <v>20</v>
      </c>
    </row>
    <row r="46543" ht="15.75" customHeight="1">
      <c r="A46543" s="7"/>
      <c r="B46543" s="7"/>
      <c r="M46543" s="9" t="s">
        <v>37</v>
      </c>
    </row>
    <row r="46544" ht="15.75" customHeight="1">
      <c r="A46544" s="7"/>
      <c r="B46544" s="7"/>
      <c r="M46544" s="9" t="s">
        <v>22</v>
      </c>
    </row>
    <row r="46545" ht="15.75" customHeight="1">
      <c r="A46545" s="7"/>
      <c r="B46545" s="7"/>
      <c r="M46545" s="9" t="s">
        <v>27</v>
      </c>
    </row>
    <row r="46546" ht="15.75" customHeight="1">
      <c r="A46546" s="7"/>
      <c r="B46546" s="7"/>
      <c r="M46546" s="9" t="s">
        <v>30</v>
      </c>
    </row>
    <row r="46547" ht="15.75" customHeight="1">
      <c r="A46547" s="7"/>
      <c r="B46547" s="7"/>
      <c r="M46547" s="9" t="s">
        <v>26</v>
      </c>
    </row>
    <row r="46548" ht="15.75" customHeight="1">
      <c r="A46548" s="7"/>
      <c r="B46548" s="7"/>
      <c r="M46548" s="9" t="s">
        <v>24</v>
      </c>
    </row>
    <row r="46549" ht="15.75" customHeight="1">
      <c r="A46549" s="7"/>
      <c r="B46549" s="7"/>
      <c r="M46549" s="9" t="s">
        <v>21</v>
      </c>
    </row>
    <row r="46550" ht="15.75" customHeight="1">
      <c r="A46550" s="7"/>
      <c r="B46550" s="7"/>
      <c r="M46550" s="9" t="s">
        <v>27</v>
      </c>
    </row>
    <row r="46551" ht="15.75" customHeight="1">
      <c r="A46551" s="7"/>
      <c r="B46551" s="7"/>
      <c r="M46551" s="9" t="s">
        <v>30</v>
      </c>
    </row>
    <row r="46552" ht="15.75" customHeight="1">
      <c r="A46552" s="7"/>
      <c r="B46552" s="7"/>
      <c r="M46552" s="9" t="s">
        <v>43</v>
      </c>
    </row>
    <row r="46553" ht="15.75" customHeight="1">
      <c r="A46553" s="7"/>
      <c r="B46553" s="7"/>
      <c r="M46553" s="9" t="s">
        <v>36</v>
      </c>
    </row>
    <row r="46554" ht="15.75" customHeight="1">
      <c r="A46554" s="7"/>
      <c r="B46554" s="7"/>
      <c r="M46554" s="9" t="s">
        <v>24</v>
      </c>
    </row>
    <row r="46555" ht="15.75" customHeight="1">
      <c r="A46555" s="7"/>
      <c r="B46555" s="7"/>
      <c r="M46555" s="9" t="s">
        <v>21</v>
      </c>
    </row>
    <row r="46556" ht="15.75" customHeight="1">
      <c r="A46556" s="7"/>
      <c r="B46556" s="7"/>
      <c r="M46556" s="9" t="s">
        <v>22</v>
      </c>
    </row>
    <row r="46557" ht="15.75" customHeight="1">
      <c r="A46557" s="7"/>
      <c r="B46557" s="7"/>
      <c r="M46557" s="9" t="s">
        <v>33</v>
      </c>
    </row>
    <row r="46558" ht="15.75" customHeight="1">
      <c r="A46558" s="7"/>
      <c r="B46558" s="7"/>
      <c r="M46558" s="9" t="s">
        <v>38</v>
      </c>
    </row>
    <row r="46559" ht="15.75" customHeight="1">
      <c r="A46559" s="7"/>
      <c r="B46559" s="7"/>
      <c r="M46559" s="9" t="s">
        <v>20</v>
      </c>
    </row>
    <row r="46560" ht="15.75" customHeight="1">
      <c r="A46560" s="7"/>
      <c r="B46560" s="7"/>
      <c r="M46560" s="9" t="s">
        <v>22</v>
      </c>
    </row>
    <row r="46561" ht="15.75" customHeight="1">
      <c r="A46561" s="7"/>
      <c r="B46561" s="7"/>
      <c r="M46561" s="9" t="s">
        <v>23</v>
      </c>
    </row>
    <row r="46562" ht="15.75" customHeight="1">
      <c r="A46562" s="7"/>
      <c r="B46562" s="7"/>
      <c r="M46562" s="9" t="s">
        <v>20</v>
      </c>
    </row>
    <row r="46563" ht="15.75" customHeight="1">
      <c r="A46563" s="7"/>
      <c r="B46563" s="7"/>
      <c r="M46563" s="9" t="s">
        <v>33</v>
      </c>
    </row>
    <row r="46564" ht="15.75" customHeight="1">
      <c r="A46564" s="7"/>
      <c r="B46564" s="7"/>
      <c r="M46564" s="9" t="s">
        <v>23</v>
      </c>
    </row>
    <row r="46565" ht="15.75" customHeight="1">
      <c r="A46565" s="7"/>
      <c r="B46565" s="7"/>
      <c r="M46565" s="9" t="s">
        <v>22</v>
      </c>
    </row>
    <row r="46566" ht="15.75" customHeight="1">
      <c r="A46566" s="7"/>
      <c r="B46566" s="7"/>
      <c r="M46566" s="9" t="s">
        <v>27</v>
      </c>
    </row>
    <row r="46567" ht="15.75" customHeight="1">
      <c r="A46567" s="7"/>
      <c r="B46567" s="7"/>
      <c r="M46567" s="9" t="s">
        <v>28</v>
      </c>
    </row>
    <row r="46568" ht="15.75" customHeight="1">
      <c r="A46568" s="7"/>
      <c r="B46568" s="7"/>
      <c r="M46568" s="9" t="s">
        <v>23</v>
      </c>
    </row>
    <row r="46569" ht="15.75" customHeight="1">
      <c r="A46569" s="7"/>
      <c r="B46569" s="7"/>
      <c r="M46569" s="9" t="s">
        <v>26</v>
      </c>
    </row>
    <row r="46570" ht="15.75" customHeight="1">
      <c r="A46570" s="7"/>
      <c r="B46570" s="7"/>
      <c r="M46570" s="9" t="s">
        <v>24</v>
      </c>
    </row>
    <row r="46571" ht="15.75" customHeight="1">
      <c r="A46571" s="7"/>
      <c r="B46571" s="7"/>
      <c r="M46571" s="9" t="s">
        <v>21</v>
      </c>
    </row>
    <row r="46572" ht="15.75" customHeight="1">
      <c r="A46572" s="7"/>
      <c r="B46572" s="7"/>
      <c r="M46572" s="9" t="s">
        <v>22</v>
      </c>
    </row>
    <row r="46573" ht="15.75" customHeight="1">
      <c r="A46573" s="7"/>
      <c r="B46573" s="7"/>
      <c r="M46573" s="9" t="s">
        <v>33</v>
      </c>
    </row>
    <row r="46574" ht="15.75" customHeight="1">
      <c r="A46574" s="7"/>
      <c r="B46574" s="7"/>
      <c r="M46574" s="9" t="s">
        <v>36</v>
      </c>
    </row>
    <row r="46575" ht="15.75" customHeight="1">
      <c r="A46575" s="7"/>
      <c r="B46575" s="7"/>
      <c r="M46575" s="9" t="s">
        <v>24</v>
      </c>
    </row>
    <row r="46576" ht="15.75" customHeight="1">
      <c r="A46576" s="7"/>
      <c r="B46576" s="7"/>
      <c r="M46576" s="9" t="s">
        <v>39</v>
      </c>
    </row>
    <row r="46577" ht="15.75" customHeight="1">
      <c r="A46577" s="7"/>
      <c r="B46577" s="7"/>
      <c r="M46577" s="9" t="s">
        <v>41</v>
      </c>
    </row>
    <row r="46578" ht="15.75" customHeight="1">
      <c r="A46578" s="7"/>
      <c r="B46578" s="7"/>
      <c r="M46578" s="9" t="s">
        <v>31</v>
      </c>
    </row>
    <row r="46579" ht="15.75" customHeight="1">
      <c r="A46579" s="7"/>
      <c r="B46579" s="7"/>
      <c r="M46579" s="9" t="s">
        <v>40</v>
      </c>
    </row>
    <row r="46580" ht="15.75" customHeight="1">
      <c r="A46580" s="7"/>
      <c r="B46580" s="7"/>
      <c r="M46580" s="9" t="s">
        <v>33</v>
      </c>
    </row>
    <row r="46581" ht="15.75" customHeight="1">
      <c r="A46581" s="7"/>
      <c r="B46581" s="7"/>
      <c r="M46581" s="9" t="s">
        <v>30</v>
      </c>
    </row>
    <row r="46582" ht="15.75" customHeight="1">
      <c r="A46582" s="7"/>
      <c r="B46582" s="7"/>
      <c r="M46582" s="9" t="s">
        <v>24</v>
      </c>
    </row>
    <row r="46583" ht="15.75" customHeight="1">
      <c r="A46583" s="7"/>
      <c r="B46583" s="7"/>
      <c r="M46583" s="9" t="s">
        <v>21</v>
      </c>
    </row>
    <row r="46584" ht="15.75" customHeight="1">
      <c r="A46584" s="7"/>
      <c r="B46584" s="7"/>
      <c r="M46584" s="9" t="s">
        <v>37</v>
      </c>
    </row>
    <row r="46585" ht="15.75" customHeight="1">
      <c r="A46585" s="7"/>
      <c r="B46585" s="7"/>
      <c r="M46585" s="9" t="s">
        <v>25</v>
      </c>
    </row>
    <row r="46586" ht="15.75" customHeight="1">
      <c r="A46586" s="7"/>
      <c r="B46586" s="7"/>
      <c r="M46586" s="9" t="s">
        <v>23</v>
      </c>
    </row>
    <row r="46587" ht="15.75" customHeight="1">
      <c r="A46587" s="7"/>
      <c r="B46587" s="7"/>
      <c r="M46587" s="9" t="s">
        <v>24</v>
      </c>
    </row>
    <row r="46588" ht="15.75" customHeight="1">
      <c r="A46588" s="7"/>
      <c r="B46588" s="7"/>
      <c r="M46588" s="9" t="s">
        <v>20</v>
      </c>
    </row>
    <row r="46589" ht="15.75" customHeight="1">
      <c r="A46589" s="7"/>
      <c r="B46589" s="7"/>
      <c r="M46589" s="9" t="s">
        <v>21</v>
      </c>
    </row>
    <row r="46590" ht="15.75" customHeight="1">
      <c r="A46590" s="7"/>
      <c r="B46590" s="7"/>
      <c r="M46590" s="9" t="s">
        <v>37</v>
      </c>
    </row>
    <row r="46591" ht="15.75" customHeight="1">
      <c r="A46591" s="7"/>
      <c r="B46591" s="7"/>
      <c r="M46591" s="9" t="s">
        <v>27</v>
      </c>
    </row>
    <row r="46592" ht="15.75" customHeight="1">
      <c r="A46592" s="7"/>
      <c r="B46592" s="7"/>
      <c r="M46592" s="9" t="s">
        <v>26</v>
      </c>
    </row>
    <row r="46593" ht="15.75" customHeight="1">
      <c r="A46593" s="7"/>
      <c r="B46593" s="7"/>
      <c r="M46593" s="9" t="s">
        <v>24</v>
      </c>
    </row>
    <row r="46594" ht="15.75" customHeight="1">
      <c r="A46594" s="7"/>
      <c r="B46594" s="7"/>
      <c r="M46594" s="9" t="s">
        <v>21</v>
      </c>
    </row>
    <row r="46595" ht="15.75" customHeight="1">
      <c r="A46595" s="7"/>
      <c r="B46595" s="7"/>
      <c r="M46595" s="9" t="s">
        <v>27</v>
      </c>
    </row>
    <row r="46596" ht="15.75" customHeight="1">
      <c r="A46596" s="7"/>
      <c r="B46596" s="7"/>
      <c r="M46596" s="9" t="s">
        <v>20</v>
      </c>
    </row>
    <row r="46597" ht="15.75" customHeight="1">
      <c r="A46597" s="7"/>
      <c r="B46597" s="7"/>
      <c r="M46597" s="9" t="s">
        <v>22</v>
      </c>
    </row>
    <row r="46598" ht="15.75" customHeight="1">
      <c r="A46598" s="7"/>
      <c r="B46598" s="7"/>
      <c r="M46598" s="9" t="s">
        <v>27</v>
      </c>
    </row>
    <row r="46599" ht="15.75" customHeight="1">
      <c r="A46599" s="7"/>
      <c r="B46599" s="7"/>
      <c r="M46599" s="9" t="s">
        <v>24</v>
      </c>
    </row>
    <row r="46600" ht="15.75" customHeight="1">
      <c r="A46600" s="7"/>
      <c r="B46600" s="7"/>
      <c r="M46600" s="9" t="s">
        <v>20</v>
      </c>
    </row>
    <row r="46601" ht="15.75" customHeight="1">
      <c r="A46601" s="7"/>
      <c r="B46601" s="7"/>
      <c r="M46601" s="9" t="s">
        <v>21</v>
      </c>
    </row>
    <row r="46602" ht="15.75" customHeight="1">
      <c r="A46602" s="7"/>
      <c r="B46602" s="7"/>
      <c r="M46602" s="9" t="s">
        <v>22</v>
      </c>
    </row>
    <row r="46603" ht="15.75" customHeight="1">
      <c r="A46603" s="7"/>
      <c r="B46603" s="7"/>
      <c r="M46603" s="9" t="s">
        <v>27</v>
      </c>
    </row>
    <row r="46604" ht="15.75" customHeight="1">
      <c r="A46604" s="7"/>
      <c r="B46604" s="7"/>
      <c r="M46604" s="9" t="s">
        <v>33</v>
      </c>
    </row>
    <row r="46605" ht="15.75" customHeight="1">
      <c r="A46605" s="7"/>
      <c r="B46605" s="7"/>
      <c r="M46605" s="9" t="s">
        <v>30</v>
      </c>
    </row>
    <row r="46606" ht="15.75" customHeight="1">
      <c r="A46606" s="7"/>
      <c r="B46606" s="7"/>
      <c r="M46606" s="9" t="s">
        <v>26</v>
      </c>
    </row>
    <row r="46607" ht="15.75" customHeight="1">
      <c r="A46607" s="7"/>
      <c r="B46607" s="7"/>
      <c r="M46607" s="9" t="s">
        <v>36</v>
      </c>
    </row>
    <row r="46608" ht="15.75" customHeight="1">
      <c r="A46608" s="7"/>
      <c r="B46608" s="7"/>
      <c r="M46608" s="9" t="s">
        <v>20</v>
      </c>
    </row>
    <row r="46609" ht="15.75" customHeight="1">
      <c r="A46609" s="7"/>
      <c r="B46609" s="7"/>
      <c r="M46609" s="9" t="s">
        <v>22</v>
      </c>
    </row>
    <row r="46610" ht="15.75" customHeight="1">
      <c r="A46610" s="7"/>
      <c r="B46610" s="7"/>
      <c r="M46610" s="9" t="s">
        <v>38</v>
      </c>
    </row>
    <row r="46611" ht="15.75" customHeight="1">
      <c r="A46611" s="7"/>
      <c r="B46611" s="7"/>
      <c r="M46611" s="9" t="s">
        <v>25</v>
      </c>
    </row>
    <row r="46612" ht="15.75" customHeight="1">
      <c r="A46612" s="7"/>
      <c r="B46612" s="7"/>
      <c r="M46612" s="9" t="s">
        <v>23</v>
      </c>
    </row>
    <row r="46613" ht="15.75" customHeight="1">
      <c r="A46613" s="7"/>
      <c r="B46613" s="7"/>
      <c r="M46613" s="9" t="s">
        <v>26</v>
      </c>
    </row>
    <row r="46614" ht="15.75" customHeight="1">
      <c r="A46614" s="7"/>
      <c r="B46614" s="7"/>
      <c r="M46614" s="9" t="s">
        <v>47</v>
      </c>
    </row>
    <row r="46615" ht="15.75" customHeight="1">
      <c r="A46615" s="7"/>
      <c r="B46615" s="7"/>
      <c r="M46615" s="9" t="s">
        <v>24</v>
      </c>
    </row>
    <row r="46616" ht="15.75" customHeight="1">
      <c r="A46616" s="7"/>
      <c r="B46616" s="7"/>
      <c r="M46616" s="9" t="s">
        <v>20</v>
      </c>
    </row>
    <row r="46617" ht="15.75" customHeight="1">
      <c r="A46617" s="7"/>
      <c r="B46617" s="7"/>
      <c r="M46617" s="9" t="s">
        <v>21</v>
      </c>
    </row>
    <row r="46618" ht="15.75" customHeight="1">
      <c r="A46618" s="7"/>
      <c r="B46618" s="7"/>
      <c r="M46618" s="9" t="s">
        <v>37</v>
      </c>
    </row>
    <row r="46619" ht="15.75" customHeight="1">
      <c r="A46619" s="7"/>
      <c r="B46619" s="7"/>
      <c r="M46619" s="9" t="s">
        <v>22</v>
      </c>
    </row>
    <row r="46620" ht="15.75" customHeight="1">
      <c r="A46620" s="7"/>
      <c r="B46620" s="7"/>
      <c r="M46620" s="9" t="s">
        <v>27</v>
      </c>
    </row>
    <row r="46621" ht="15.75" customHeight="1">
      <c r="A46621" s="7"/>
      <c r="B46621" s="7"/>
      <c r="M46621" s="9" t="s">
        <v>22</v>
      </c>
    </row>
    <row r="46622" ht="15.75" customHeight="1">
      <c r="A46622" s="7"/>
      <c r="B46622" s="7"/>
      <c r="M46622" s="9" t="s">
        <v>46</v>
      </c>
    </row>
    <row r="46623" ht="15.75" customHeight="1">
      <c r="A46623" s="7"/>
      <c r="B46623" s="7"/>
      <c r="M46623" s="9" t="s">
        <v>27</v>
      </c>
    </row>
    <row r="46624" ht="15.75" customHeight="1">
      <c r="A46624" s="7"/>
      <c r="B46624" s="7"/>
      <c r="M46624" s="9" t="s">
        <v>30</v>
      </c>
    </row>
    <row r="46625" ht="15.75" customHeight="1">
      <c r="A46625" s="7"/>
      <c r="B46625" s="7"/>
      <c r="M46625" s="9" t="s">
        <v>24</v>
      </c>
    </row>
    <row r="46626" ht="15.75" customHeight="1">
      <c r="A46626" s="7"/>
      <c r="B46626" s="7"/>
      <c r="M46626" s="9" t="s">
        <v>27</v>
      </c>
    </row>
    <row r="46627" ht="15.75" customHeight="1">
      <c r="A46627" s="7"/>
      <c r="B46627" s="7"/>
      <c r="M46627" s="9" t="s">
        <v>28</v>
      </c>
    </row>
    <row r="46628" ht="15.75" customHeight="1">
      <c r="A46628" s="7"/>
      <c r="B46628" s="7"/>
      <c r="M46628" s="9" t="s">
        <v>25</v>
      </c>
    </row>
    <row r="46629" ht="15.75" customHeight="1">
      <c r="A46629" s="7"/>
      <c r="B46629" s="7"/>
      <c r="M46629" s="9" t="s">
        <v>26</v>
      </c>
    </row>
    <row r="46630" ht="15.75" customHeight="1">
      <c r="A46630" s="7"/>
      <c r="B46630" s="7"/>
      <c r="M46630" s="9" t="s">
        <v>24</v>
      </c>
    </row>
    <row r="46631" ht="15.75" customHeight="1">
      <c r="A46631" s="7"/>
      <c r="B46631" s="7"/>
      <c r="M46631" s="9" t="s">
        <v>20</v>
      </c>
    </row>
    <row r="46632" ht="15.75" customHeight="1">
      <c r="A46632" s="7"/>
      <c r="B46632" s="7"/>
      <c r="M46632" s="9" t="s">
        <v>21</v>
      </c>
    </row>
    <row r="46633" ht="15.75" customHeight="1">
      <c r="A46633" s="7"/>
      <c r="B46633" s="7"/>
      <c r="M46633" s="9" t="s">
        <v>37</v>
      </c>
    </row>
    <row r="46634" ht="15.75" customHeight="1">
      <c r="A46634" s="7"/>
      <c r="B46634" s="7"/>
      <c r="M46634" s="9" t="s">
        <v>22</v>
      </c>
    </row>
    <row r="46635" ht="15.75" customHeight="1">
      <c r="A46635" s="7"/>
      <c r="B46635" s="7"/>
      <c r="M46635" s="9" t="s">
        <v>27</v>
      </c>
    </row>
    <row r="46636" ht="15.75" customHeight="1">
      <c r="A46636" s="7"/>
      <c r="B46636" s="7"/>
      <c r="M46636" s="9" t="s">
        <v>33</v>
      </c>
    </row>
    <row r="46637" ht="15.75" customHeight="1">
      <c r="A46637" s="7"/>
      <c r="B46637" s="7"/>
      <c r="M46637" s="9" t="s">
        <v>26</v>
      </c>
    </row>
    <row r="46638" ht="15.75" customHeight="1">
      <c r="A46638" s="7"/>
      <c r="B46638" s="7"/>
      <c r="M46638" s="9" t="s">
        <v>24</v>
      </c>
    </row>
    <row r="46639" ht="15.75" customHeight="1">
      <c r="A46639" s="7"/>
      <c r="B46639" s="7"/>
      <c r="M46639" s="9" t="s">
        <v>21</v>
      </c>
    </row>
    <row r="46640" ht="15.75" customHeight="1">
      <c r="A46640" s="7"/>
      <c r="B46640" s="7"/>
      <c r="M46640" s="9" t="s">
        <v>32</v>
      </c>
    </row>
    <row r="46641" ht="15.75" customHeight="1">
      <c r="A46641" s="7"/>
      <c r="B46641" s="7"/>
      <c r="M46641" s="9" t="s">
        <v>27</v>
      </c>
    </row>
    <row r="46642" ht="15.75" customHeight="1">
      <c r="A46642" s="7"/>
      <c r="B46642" s="7"/>
      <c r="M46642" s="9" t="s">
        <v>33</v>
      </c>
    </row>
    <row r="46643" ht="15.75" customHeight="1">
      <c r="A46643" s="7"/>
      <c r="B46643" s="7"/>
      <c r="M46643" s="9" t="s">
        <v>26</v>
      </c>
    </row>
    <row r="46644" ht="15.75" customHeight="1">
      <c r="A46644" s="7"/>
      <c r="B46644" s="7"/>
      <c r="M46644" s="9" t="s">
        <v>22</v>
      </c>
    </row>
    <row r="46645" ht="15.75" customHeight="1">
      <c r="A46645" s="7"/>
      <c r="B46645" s="7"/>
      <c r="M46645" s="9" t="s">
        <v>30</v>
      </c>
    </row>
    <row r="46646" ht="15.75" customHeight="1">
      <c r="A46646" s="7"/>
      <c r="B46646" s="7"/>
      <c r="M46646" s="9" t="s">
        <v>24</v>
      </c>
    </row>
    <row r="46647" ht="15.75" customHeight="1">
      <c r="A46647" s="7"/>
      <c r="B46647" s="7"/>
      <c r="M46647" s="9" t="s">
        <v>20</v>
      </c>
    </row>
    <row r="46648" ht="15.75" customHeight="1">
      <c r="A46648" s="7"/>
      <c r="B46648" s="7"/>
      <c r="M46648" s="9" t="s">
        <v>21</v>
      </c>
    </row>
    <row r="46649" ht="15.75" customHeight="1">
      <c r="A46649" s="7"/>
      <c r="B46649" s="7"/>
      <c r="M46649" s="9" t="s">
        <v>22</v>
      </c>
    </row>
    <row r="46650" ht="15.75" customHeight="1">
      <c r="A46650" s="7"/>
      <c r="B46650" s="7"/>
      <c r="M46650" s="9" t="s">
        <v>31</v>
      </c>
    </row>
    <row r="46651" ht="15.75" customHeight="1">
      <c r="A46651" s="7"/>
      <c r="B46651" s="7"/>
      <c r="M46651" s="9" t="s">
        <v>25</v>
      </c>
    </row>
    <row r="46652" ht="15.75" customHeight="1">
      <c r="A46652" s="7"/>
      <c r="B46652" s="7"/>
      <c r="M46652" s="9" t="s">
        <v>23</v>
      </c>
    </row>
    <row r="46653" ht="15.75" customHeight="1">
      <c r="A46653" s="7"/>
      <c r="B46653" s="7"/>
      <c r="M46653" s="9" t="s">
        <v>26</v>
      </c>
    </row>
    <row r="46654" ht="15.75" customHeight="1">
      <c r="A46654" s="7"/>
      <c r="B46654" s="7"/>
      <c r="M46654" s="9" t="s">
        <v>36</v>
      </c>
    </row>
    <row r="46655" ht="15.75" customHeight="1">
      <c r="A46655" s="7"/>
      <c r="B46655" s="7"/>
      <c r="M46655" s="9" t="s">
        <v>24</v>
      </c>
    </row>
    <row r="46656" ht="15.75" customHeight="1">
      <c r="A46656" s="7"/>
      <c r="B46656" s="7"/>
      <c r="M46656" s="9" t="s">
        <v>20</v>
      </c>
    </row>
    <row r="46657" ht="15.75" customHeight="1">
      <c r="A46657" s="7"/>
      <c r="B46657" s="7"/>
      <c r="M46657" s="9" t="s">
        <v>21</v>
      </c>
    </row>
    <row r="46658" ht="15.75" customHeight="1">
      <c r="A46658" s="7"/>
      <c r="B46658" s="7"/>
      <c r="M46658" s="9" t="s">
        <v>37</v>
      </c>
    </row>
    <row r="46659" ht="15.75" customHeight="1">
      <c r="A46659" s="7"/>
      <c r="B46659" s="7"/>
      <c r="M46659" s="9" t="s">
        <v>22</v>
      </c>
    </row>
    <row r="46660" ht="15.75" customHeight="1">
      <c r="A46660" s="7"/>
      <c r="B46660" s="7"/>
      <c r="M46660" s="9" t="s">
        <v>27</v>
      </c>
    </row>
    <row r="46661" ht="15.75" customHeight="1">
      <c r="A46661" s="7"/>
      <c r="B46661" s="7"/>
      <c r="M46661" s="9" t="s">
        <v>33</v>
      </c>
    </row>
    <row r="46662" ht="15.75" customHeight="1">
      <c r="A46662" s="7"/>
      <c r="B46662" s="7"/>
      <c r="M46662" s="9" t="s">
        <v>30</v>
      </c>
    </row>
    <row r="46663" ht="15.75" customHeight="1">
      <c r="A46663" s="7"/>
      <c r="B46663" s="7"/>
      <c r="M46663" s="9" t="s">
        <v>25</v>
      </c>
    </row>
    <row r="46664" ht="15.75" customHeight="1">
      <c r="A46664" s="7"/>
      <c r="B46664" s="7"/>
      <c r="M46664" s="9" t="s">
        <v>23</v>
      </c>
    </row>
    <row r="46665" ht="15.75" customHeight="1">
      <c r="A46665" s="7"/>
      <c r="B46665" s="7"/>
      <c r="M46665" s="9" t="s">
        <v>20</v>
      </c>
    </row>
    <row r="46666" ht="15.75" customHeight="1">
      <c r="A46666" s="7"/>
      <c r="B46666" s="7"/>
      <c r="M46666" s="9" t="s">
        <v>21</v>
      </c>
    </row>
    <row r="46667" ht="15.75" customHeight="1">
      <c r="A46667" s="7"/>
      <c r="B46667" s="7"/>
      <c r="M46667" s="9" t="s">
        <v>25</v>
      </c>
    </row>
    <row r="46668" ht="15.75" customHeight="1">
      <c r="A46668" s="7"/>
      <c r="B46668" s="7"/>
      <c r="M46668" s="9" t="s">
        <v>23</v>
      </c>
    </row>
    <row r="46669" ht="15.75" customHeight="1">
      <c r="A46669" s="7"/>
      <c r="B46669" s="7"/>
      <c r="M46669" s="9" t="s">
        <v>26</v>
      </c>
    </row>
    <row r="46670" ht="15.75" customHeight="1">
      <c r="A46670" s="7"/>
      <c r="B46670" s="7"/>
      <c r="M46670" s="9" t="s">
        <v>24</v>
      </c>
    </row>
    <row r="46671" ht="15.75" customHeight="1">
      <c r="A46671" s="7"/>
      <c r="B46671" s="7"/>
      <c r="M46671" s="9" t="s">
        <v>20</v>
      </c>
    </row>
    <row r="46672" ht="15.75" customHeight="1">
      <c r="A46672" s="7"/>
      <c r="B46672" s="7"/>
      <c r="M46672" s="9" t="s">
        <v>21</v>
      </c>
    </row>
    <row r="46673" ht="15.75" customHeight="1">
      <c r="A46673" s="7"/>
      <c r="B46673" s="7"/>
      <c r="M46673" s="9" t="s">
        <v>37</v>
      </c>
    </row>
    <row r="46674" ht="15.75" customHeight="1">
      <c r="A46674" s="7"/>
      <c r="B46674" s="7"/>
      <c r="M46674" s="9" t="s">
        <v>27</v>
      </c>
    </row>
    <row r="46675" ht="15.75" customHeight="1">
      <c r="A46675" s="7"/>
      <c r="B46675" s="7"/>
      <c r="M46675" s="9" t="s">
        <v>23</v>
      </c>
    </row>
    <row r="46676" ht="15.75" customHeight="1">
      <c r="A46676" s="7"/>
      <c r="B46676" s="7"/>
      <c r="M46676" s="9" t="s">
        <v>26</v>
      </c>
    </row>
    <row r="46677" ht="15.75" customHeight="1">
      <c r="A46677" s="7"/>
      <c r="B46677" s="7"/>
      <c r="M46677" s="9" t="s">
        <v>24</v>
      </c>
    </row>
    <row r="46678" ht="15.75" customHeight="1">
      <c r="A46678" s="7"/>
      <c r="B46678" s="7"/>
      <c r="M46678" s="9" t="s">
        <v>21</v>
      </c>
    </row>
    <row r="46679" ht="15.75" customHeight="1">
      <c r="A46679" s="7"/>
      <c r="B46679" s="7"/>
      <c r="M46679" s="9" t="s">
        <v>37</v>
      </c>
    </row>
    <row r="46680" ht="15.75" customHeight="1">
      <c r="A46680" s="7"/>
      <c r="B46680" s="7"/>
      <c r="M46680" s="9" t="s">
        <v>27</v>
      </c>
    </row>
    <row r="46681" ht="15.75" customHeight="1">
      <c r="A46681" s="7"/>
      <c r="B46681" s="7"/>
      <c r="M46681" s="9" t="s">
        <v>24</v>
      </c>
    </row>
    <row r="46682" ht="15.75" customHeight="1">
      <c r="A46682" s="7"/>
      <c r="B46682" s="7"/>
      <c r="M46682" s="9" t="s">
        <v>21</v>
      </c>
    </row>
    <row r="46683" ht="15.75" customHeight="1">
      <c r="A46683" s="7"/>
      <c r="B46683" s="7"/>
      <c r="M46683" s="9" t="s">
        <v>22</v>
      </c>
    </row>
    <row r="46684" ht="15.75" customHeight="1">
      <c r="A46684" s="7"/>
      <c r="B46684" s="7"/>
      <c r="M46684" s="9" t="s">
        <v>32</v>
      </c>
    </row>
    <row r="46685" ht="15.75" customHeight="1">
      <c r="A46685" s="7"/>
      <c r="B46685" s="7"/>
      <c r="M46685" s="9" t="s">
        <v>27</v>
      </c>
    </row>
    <row r="46686" ht="15.75" customHeight="1">
      <c r="A46686" s="7"/>
      <c r="B46686" s="7"/>
      <c r="M46686" s="9" t="s">
        <v>33</v>
      </c>
    </row>
    <row r="46687" ht="15.75" customHeight="1">
      <c r="A46687" s="7"/>
      <c r="B46687" s="7"/>
      <c r="M46687" s="9" t="s">
        <v>30</v>
      </c>
    </row>
    <row r="46688" ht="15.75" customHeight="1">
      <c r="A46688" s="7"/>
      <c r="B46688" s="7"/>
      <c r="M46688" s="9" t="s">
        <v>26</v>
      </c>
    </row>
    <row r="46689" ht="15.75" customHeight="1">
      <c r="A46689" s="7"/>
      <c r="B46689" s="7"/>
      <c r="M46689" s="9" t="s">
        <v>36</v>
      </c>
    </row>
    <row r="46690" ht="15.75" customHeight="1">
      <c r="A46690" s="7"/>
      <c r="B46690" s="7"/>
      <c r="M46690" s="9" t="s">
        <v>24</v>
      </c>
    </row>
    <row r="46691" ht="15.75" customHeight="1">
      <c r="A46691" s="7"/>
      <c r="B46691" s="7"/>
      <c r="M46691" s="9" t="s">
        <v>21</v>
      </c>
    </row>
    <row r="46692" ht="15.75" customHeight="1">
      <c r="A46692" s="7"/>
      <c r="B46692" s="7"/>
      <c r="M46692" s="9" t="s">
        <v>37</v>
      </c>
    </row>
    <row r="46693" ht="15.75" customHeight="1">
      <c r="A46693" s="7"/>
      <c r="B46693" s="7"/>
      <c r="M46693" s="9" t="s">
        <v>27</v>
      </c>
    </row>
    <row r="46694" ht="15.75" customHeight="1">
      <c r="A46694" s="7"/>
      <c r="B46694" s="7"/>
      <c r="M46694" s="9" t="s">
        <v>34</v>
      </c>
    </row>
    <row r="46695" ht="15.75" customHeight="1">
      <c r="A46695" s="7"/>
      <c r="B46695" s="7"/>
      <c r="M46695" s="9" t="s">
        <v>38</v>
      </c>
    </row>
    <row r="46696" ht="15.75" customHeight="1">
      <c r="A46696" s="7"/>
      <c r="B46696" s="7"/>
      <c r="M46696" s="9" t="s">
        <v>25</v>
      </c>
    </row>
    <row r="46697" ht="15.75" customHeight="1">
      <c r="A46697" s="7"/>
      <c r="B46697" s="7"/>
      <c r="M46697" s="9" t="s">
        <v>23</v>
      </c>
    </row>
    <row r="46698" ht="15.75" customHeight="1">
      <c r="A46698" s="7"/>
      <c r="B46698" s="7"/>
      <c r="M46698" s="9" t="s">
        <v>26</v>
      </c>
    </row>
    <row r="46699" ht="15.75" customHeight="1">
      <c r="A46699" s="7"/>
      <c r="B46699" s="7"/>
      <c r="M46699" s="9" t="s">
        <v>24</v>
      </c>
    </row>
    <row r="46700" ht="15.75" customHeight="1">
      <c r="A46700" s="7"/>
      <c r="B46700" s="7"/>
      <c r="M46700" s="9" t="s">
        <v>21</v>
      </c>
    </row>
    <row r="46701" ht="15.75" customHeight="1">
      <c r="A46701" s="7"/>
      <c r="B46701" s="7"/>
      <c r="M46701" s="9" t="s">
        <v>37</v>
      </c>
    </row>
    <row r="46702" ht="15.75" customHeight="1">
      <c r="A46702" s="7"/>
      <c r="B46702" s="7"/>
      <c r="M46702" s="9" t="s">
        <v>22</v>
      </c>
    </row>
    <row r="46703" ht="15.75" customHeight="1">
      <c r="A46703" s="7"/>
      <c r="B46703" s="7"/>
      <c r="M46703" s="9" t="s">
        <v>29</v>
      </c>
    </row>
    <row r="46704" ht="15.75" customHeight="1">
      <c r="A46704" s="7"/>
      <c r="B46704" s="7"/>
      <c r="M46704" s="9" t="s">
        <v>27</v>
      </c>
    </row>
    <row r="46705" ht="15.75" customHeight="1">
      <c r="A46705" s="7"/>
      <c r="B46705" s="7"/>
      <c r="M46705" s="9" t="s">
        <v>30</v>
      </c>
    </row>
    <row r="46706" ht="15.75" customHeight="1">
      <c r="A46706" s="7"/>
      <c r="B46706" s="7"/>
      <c r="M46706" s="9" t="s">
        <v>23</v>
      </c>
    </row>
    <row r="46707" ht="15.75" customHeight="1">
      <c r="A46707" s="7"/>
      <c r="B46707" s="7"/>
      <c r="M46707" s="9" t="s">
        <v>21</v>
      </c>
    </row>
    <row r="46708" ht="15.75" customHeight="1">
      <c r="A46708" s="7"/>
      <c r="B46708" s="7"/>
      <c r="M46708" s="9" t="s">
        <v>22</v>
      </c>
    </row>
    <row r="46709" ht="15.75" customHeight="1">
      <c r="A46709" s="7"/>
      <c r="B46709" s="7"/>
      <c r="M46709" s="9" t="s">
        <v>27</v>
      </c>
    </row>
    <row r="46710" ht="15.75" customHeight="1">
      <c r="A46710" s="7"/>
      <c r="B46710" s="7"/>
      <c r="M46710" s="9" t="s">
        <v>38</v>
      </c>
    </row>
    <row r="46711" ht="15.75" customHeight="1">
      <c r="A46711" s="7"/>
      <c r="B46711" s="7"/>
      <c r="M46711" s="9" t="s">
        <v>30</v>
      </c>
    </row>
    <row r="46712" ht="15.75" customHeight="1">
      <c r="A46712" s="7"/>
      <c r="B46712" s="7"/>
      <c r="M46712" s="9" t="s">
        <v>23</v>
      </c>
    </row>
    <row r="46713" ht="15.75" customHeight="1">
      <c r="A46713" s="7"/>
      <c r="B46713" s="7"/>
      <c r="M46713" s="9" t="s">
        <v>24</v>
      </c>
    </row>
    <row r="46714" ht="15.75" customHeight="1">
      <c r="A46714" s="7"/>
      <c r="B46714" s="7"/>
      <c r="M46714" s="9" t="s">
        <v>21</v>
      </c>
    </row>
    <row r="46715" ht="15.75" customHeight="1">
      <c r="A46715" s="7"/>
      <c r="B46715" s="7"/>
      <c r="M46715" s="9" t="s">
        <v>33</v>
      </c>
    </row>
    <row r="46716" ht="15.75" customHeight="1">
      <c r="A46716" s="7"/>
      <c r="B46716" s="7"/>
      <c r="M46716" s="9" t="s">
        <v>24</v>
      </c>
    </row>
    <row r="46717" ht="15.75" customHeight="1">
      <c r="A46717" s="7"/>
      <c r="B46717" s="7"/>
      <c r="M46717" s="9" t="s">
        <v>37</v>
      </c>
    </row>
    <row r="46718" ht="15.75" customHeight="1">
      <c r="A46718" s="7"/>
      <c r="B46718" s="7"/>
      <c r="M46718" s="9" t="s">
        <v>27</v>
      </c>
    </row>
    <row r="46719" ht="15.75" customHeight="1">
      <c r="A46719" s="7"/>
      <c r="B46719" s="7"/>
      <c r="M46719" s="9" t="s">
        <v>30</v>
      </c>
    </row>
    <row r="46720" ht="15.75" customHeight="1">
      <c r="A46720" s="7"/>
      <c r="B46720" s="7"/>
      <c r="M46720" s="9" t="s">
        <v>20</v>
      </c>
    </row>
    <row r="46721" ht="15.75" customHeight="1">
      <c r="A46721" s="7"/>
      <c r="B46721" s="7"/>
      <c r="M46721" s="9" t="s">
        <v>21</v>
      </c>
    </row>
    <row r="46722" ht="15.75" customHeight="1">
      <c r="A46722" s="7"/>
      <c r="B46722" s="7"/>
      <c r="M46722" s="9" t="s">
        <v>22</v>
      </c>
    </row>
    <row r="46723" ht="15.75" customHeight="1">
      <c r="A46723" s="7"/>
      <c r="B46723" s="7"/>
      <c r="M46723" s="9" t="s">
        <v>27</v>
      </c>
    </row>
    <row r="46724" ht="15.75" customHeight="1">
      <c r="A46724" s="7"/>
      <c r="B46724" s="7"/>
      <c r="M46724" s="9" t="s">
        <v>24</v>
      </c>
    </row>
    <row r="46725" ht="15.75" customHeight="1">
      <c r="A46725" s="7"/>
      <c r="B46725" s="7"/>
      <c r="M46725" s="9" t="s">
        <v>21</v>
      </c>
    </row>
    <row r="46726" ht="15.75" customHeight="1">
      <c r="A46726" s="7"/>
      <c r="B46726" s="7"/>
      <c r="M46726" s="9" t="s">
        <v>37</v>
      </c>
    </row>
    <row r="46727" ht="15.75" customHeight="1">
      <c r="A46727" s="7"/>
      <c r="B46727" s="7"/>
      <c r="M46727" s="9" t="s">
        <v>27</v>
      </c>
    </row>
    <row r="46728" ht="15.75" customHeight="1">
      <c r="A46728" s="7"/>
      <c r="B46728" s="7"/>
      <c r="M46728" s="9" t="s">
        <v>30</v>
      </c>
    </row>
    <row r="46729" ht="15.75" customHeight="1">
      <c r="A46729" s="7"/>
      <c r="B46729" s="7"/>
      <c r="M46729" s="9" t="s">
        <v>26</v>
      </c>
    </row>
    <row r="46730" ht="15.75" customHeight="1">
      <c r="A46730" s="7"/>
      <c r="B46730" s="7"/>
      <c r="M46730" s="9" t="s">
        <v>36</v>
      </c>
    </row>
    <row r="46731" ht="15.75" customHeight="1">
      <c r="A46731" s="7"/>
      <c r="B46731" s="7"/>
      <c r="M46731" s="9" t="s">
        <v>24</v>
      </c>
    </row>
    <row r="46732" ht="15.75" customHeight="1">
      <c r="A46732" s="7"/>
      <c r="B46732" s="7"/>
      <c r="M46732" s="9" t="s">
        <v>20</v>
      </c>
    </row>
    <row r="46733" ht="15.75" customHeight="1">
      <c r="A46733" s="7"/>
      <c r="B46733" s="7"/>
      <c r="M46733" s="9" t="s">
        <v>21</v>
      </c>
    </row>
    <row r="46734" ht="15.75" customHeight="1">
      <c r="A46734" s="7"/>
      <c r="B46734" s="7"/>
      <c r="M46734" s="9" t="s">
        <v>41</v>
      </c>
    </row>
    <row r="46735" ht="15.75" customHeight="1">
      <c r="A46735" s="7"/>
      <c r="B46735" s="7"/>
      <c r="M46735" s="9" t="s">
        <v>31</v>
      </c>
    </row>
    <row r="46736" ht="15.75" customHeight="1">
      <c r="A46736" s="7"/>
      <c r="B46736" s="7"/>
      <c r="M46736" s="9" t="s">
        <v>40</v>
      </c>
    </row>
    <row r="46737" ht="15.75" customHeight="1">
      <c r="A46737" s="7"/>
      <c r="B46737" s="7"/>
      <c r="M46737" s="9" t="s">
        <v>23</v>
      </c>
    </row>
    <row r="46738" ht="15.75" customHeight="1">
      <c r="A46738" s="7"/>
      <c r="B46738" s="7"/>
      <c r="M46738" s="9" t="s">
        <v>26</v>
      </c>
    </row>
    <row r="46739" ht="15.75" customHeight="1">
      <c r="A46739" s="7"/>
      <c r="B46739" s="7"/>
      <c r="M46739" s="9" t="s">
        <v>24</v>
      </c>
    </row>
    <row r="46740" ht="15.75" customHeight="1">
      <c r="A46740" s="7"/>
      <c r="B46740" s="7"/>
      <c r="M46740" s="9" t="s">
        <v>20</v>
      </c>
    </row>
    <row r="46741" ht="15.75" customHeight="1">
      <c r="A46741" s="7"/>
      <c r="B46741" s="7"/>
      <c r="M46741" s="9" t="s">
        <v>21</v>
      </c>
    </row>
    <row r="46742" ht="15.75" customHeight="1">
      <c r="A46742" s="7"/>
      <c r="B46742" s="7"/>
      <c r="M46742" s="9" t="s">
        <v>37</v>
      </c>
    </row>
    <row r="46743" ht="15.75" customHeight="1">
      <c r="A46743" s="7"/>
      <c r="B46743" s="7"/>
      <c r="M46743" s="9" t="s">
        <v>22</v>
      </c>
    </row>
    <row r="46744" ht="15.75" customHeight="1">
      <c r="A46744" s="7"/>
      <c r="B46744" s="7"/>
      <c r="M46744" s="9" t="s">
        <v>27</v>
      </c>
    </row>
    <row r="46745" ht="15.75" customHeight="1">
      <c r="A46745" s="7"/>
      <c r="B46745" s="7"/>
      <c r="M46745" s="9" t="s">
        <v>33</v>
      </c>
    </row>
    <row r="46746" ht="15.75" customHeight="1">
      <c r="A46746" s="7"/>
      <c r="B46746" s="7"/>
      <c r="M46746" s="9" t="s">
        <v>30</v>
      </c>
    </row>
    <row r="46747" ht="15.75" customHeight="1">
      <c r="A46747" s="7"/>
      <c r="B46747" s="7"/>
      <c r="M46747" s="9" t="s">
        <v>23</v>
      </c>
    </row>
    <row r="46748" ht="15.75" customHeight="1">
      <c r="A46748" s="7"/>
      <c r="B46748" s="7"/>
      <c r="M46748" s="9" t="s">
        <v>26</v>
      </c>
    </row>
    <row r="46749" ht="15.75" customHeight="1">
      <c r="A46749" s="7"/>
      <c r="B46749" s="7"/>
      <c r="M46749" s="9" t="s">
        <v>20</v>
      </c>
    </row>
    <row r="46750" ht="15.75" customHeight="1">
      <c r="A46750" s="7"/>
      <c r="B46750" s="7"/>
      <c r="M46750" s="9" t="s">
        <v>21</v>
      </c>
    </row>
    <row r="46751" ht="15.75" customHeight="1">
      <c r="A46751" s="7"/>
      <c r="B46751" s="7"/>
      <c r="M46751" s="9" t="s">
        <v>22</v>
      </c>
    </row>
    <row r="46752" ht="15.75" customHeight="1">
      <c r="A46752" s="7"/>
      <c r="B46752" s="7"/>
      <c r="M46752" s="9" t="s">
        <v>27</v>
      </c>
    </row>
    <row r="46753" ht="15.75" customHeight="1">
      <c r="A46753" s="7"/>
      <c r="B46753" s="7"/>
      <c r="M46753" s="9" t="s">
        <v>24</v>
      </c>
    </row>
    <row r="46754" ht="15.75" customHeight="1">
      <c r="A46754" s="7"/>
      <c r="B46754" s="7"/>
      <c r="M46754" s="9" t="s">
        <v>21</v>
      </c>
    </row>
    <row r="46755" ht="15.75" customHeight="1">
      <c r="A46755" s="7"/>
      <c r="B46755" s="7"/>
      <c r="M46755" s="9" t="s">
        <v>24</v>
      </c>
    </row>
    <row r="46756" ht="15.75" customHeight="1">
      <c r="A46756" s="7"/>
      <c r="B46756" s="7"/>
      <c r="M46756" s="9" t="s">
        <v>21</v>
      </c>
    </row>
    <row r="46757" ht="15.75" customHeight="1">
      <c r="A46757" s="7"/>
      <c r="B46757" s="7"/>
      <c r="M46757" s="9" t="s">
        <v>37</v>
      </c>
    </row>
    <row r="46758" ht="15.75" customHeight="1">
      <c r="A46758" s="7"/>
      <c r="B46758" s="7"/>
      <c r="M46758" s="9" t="s">
        <v>27</v>
      </c>
    </row>
    <row r="46759" ht="15.75" customHeight="1">
      <c r="A46759" s="7"/>
      <c r="B46759" s="7"/>
      <c r="M46759" s="9" t="s">
        <v>30</v>
      </c>
    </row>
    <row r="46760" ht="15.75" customHeight="1">
      <c r="A46760" s="7"/>
      <c r="B46760" s="7"/>
      <c r="M46760" s="9" t="s">
        <v>25</v>
      </c>
    </row>
    <row r="46761" ht="15.75" customHeight="1">
      <c r="A46761" s="7"/>
      <c r="B46761" s="7"/>
      <c r="M46761" s="9" t="s">
        <v>24</v>
      </c>
    </row>
    <row r="46762" ht="15.75" customHeight="1">
      <c r="A46762" s="7"/>
      <c r="B46762" s="7"/>
      <c r="M46762" s="9" t="s">
        <v>20</v>
      </c>
    </row>
    <row r="46763" ht="15.75" customHeight="1">
      <c r="A46763" s="7"/>
      <c r="B46763" s="7"/>
      <c r="M46763" s="9" t="s">
        <v>21</v>
      </c>
    </row>
    <row r="46764" ht="15.75" customHeight="1">
      <c r="A46764" s="7"/>
      <c r="B46764" s="7"/>
      <c r="M46764" s="9" t="s">
        <v>22</v>
      </c>
    </row>
    <row r="46765" ht="15.75" customHeight="1">
      <c r="A46765" s="7"/>
      <c r="B46765" s="7"/>
      <c r="M46765" s="9" t="s">
        <v>27</v>
      </c>
    </row>
    <row r="46766" ht="15.75" customHeight="1">
      <c r="A46766" s="7"/>
      <c r="B46766" s="7"/>
      <c r="M46766" s="9" t="s">
        <v>26</v>
      </c>
    </row>
    <row r="46767" ht="15.75" customHeight="1">
      <c r="A46767" s="7"/>
      <c r="B46767" s="7"/>
      <c r="M46767" s="9" t="s">
        <v>27</v>
      </c>
    </row>
    <row r="46768" ht="15.75" customHeight="1">
      <c r="A46768" s="7"/>
      <c r="B46768" s="7"/>
      <c r="M46768" s="9" t="s">
        <v>33</v>
      </c>
    </row>
    <row r="46769" ht="15.75" customHeight="1">
      <c r="A46769" s="7"/>
      <c r="B46769" s="7"/>
      <c r="M46769" s="9" t="s">
        <v>30</v>
      </c>
    </row>
    <row r="46770" ht="15.75" customHeight="1">
      <c r="A46770" s="7"/>
      <c r="B46770" s="7"/>
      <c r="M46770" s="9" t="s">
        <v>25</v>
      </c>
    </row>
    <row r="46771" ht="15.75" customHeight="1">
      <c r="A46771" s="7"/>
      <c r="B46771" s="7"/>
      <c r="M46771" s="9" t="s">
        <v>23</v>
      </c>
    </row>
    <row r="46772" ht="15.75" customHeight="1">
      <c r="A46772" s="7"/>
      <c r="B46772" s="7"/>
      <c r="M46772" s="9" t="s">
        <v>36</v>
      </c>
    </row>
    <row r="46773" ht="15.75" customHeight="1">
      <c r="A46773" s="7"/>
      <c r="B46773" s="7"/>
      <c r="M46773" s="9" t="s">
        <v>24</v>
      </c>
    </row>
    <row r="46774" ht="15.75" customHeight="1">
      <c r="A46774" s="7"/>
      <c r="B46774" s="7"/>
      <c r="M46774" s="9" t="s">
        <v>21</v>
      </c>
    </row>
    <row r="46775" ht="15.75" customHeight="1">
      <c r="A46775" s="7"/>
      <c r="B46775" s="7"/>
      <c r="M46775" s="9" t="s">
        <v>37</v>
      </c>
    </row>
    <row r="46776" ht="15.75" customHeight="1">
      <c r="A46776" s="7"/>
      <c r="B46776" s="7"/>
      <c r="M46776" s="9" t="s">
        <v>32</v>
      </c>
    </row>
    <row r="46777" ht="15.75" customHeight="1">
      <c r="A46777" s="7"/>
      <c r="B46777" s="7"/>
      <c r="M46777" s="9" t="s">
        <v>27</v>
      </c>
    </row>
    <row r="46778" ht="15.75" customHeight="1">
      <c r="A46778" s="7"/>
      <c r="B46778" s="7"/>
      <c r="M46778" s="9" t="s">
        <v>33</v>
      </c>
    </row>
    <row r="46779" ht="15.75" customHeight="1">
      <c r="A46779" s="7"/>
      <c r="B46779" s="7"/>
      <c r="M46779" s="9" t="s">
        <v>20</v>
      </c>
    </row>
    <row r="46780" ht="15.75" customHeight="1">
      <c r="A46780" s="7"/>
      <c r="B46780" s="7"/>
      <c r="M46780" s="9" t="s">
        <v>21</v>
      </c>
    </row>
    <row r="46781" ht="15.75" customHeight="1">
      <c r="A46781" s="7"/>
      <c r="B46781" s="7"/>
      <c r="M46781" s="9" t="s">
        <v>22</v>
      </c>
    </row>
    <row r="46782" ht="15.75" customHeight="1">
      <c r="A46782" s="7"/>
      <c r="B46782" s="7"/>
      <c r="M46782" s="9" t="s">
        <v>21</v>
      </c>
    </row>
    <row r="46783" ht="15.75" customHeight="1">
      <c r="A46783" s="7"/>
      <c r="B46783" s="7"/>
      <c r="M46783" s="9" t="s">
        <v>41</v>
      </c>
    </row>
    <row r="46784" ht="15.75" customHeight="1">
      <c r="A46784" s="7"/>
      <c r="B46784" s="7"/>
      <c r="M46784" s="9" t="s">
        <v>40</v>
      </c>
    </row>
    <row r="46785" ht="15.75" customHeight="1">
      <c r="A46785" s="7"/>
      <c r="B46785" s="7"/>
      <c r="M46785" s="9" t="s">
        <v>24</v>
      </c>
    </row>
    <row r="46786" ht="15.75" customHeight="1">
      <c r="A46786" s="7"/>
      <c r="B46786" s="7"/>
      <c r="M46786" s="9" t="s">
        <v>21</v>
      </c>
    </row>
    <row r="46787" ht="15.75" customHeight="1">
      <c r="A46787" s="7"/>
      <c r="B46787" s="7"/>
      <c r="M46787" s="9" t="s">
        <v>37</v>
      </c>
    </row>
    <row r="46788" ht="15.75" customHeight="1">
      <c r="A46788" s="7"/>
      <c r="B46788" s="7"/>
      <c r="M46788" s="9" t="s">
        <v>27</v>
      </c>
    </row>
    <row r="46789" ht="15.75" customHeight="1">
      <c r="A46789" s="7"/>
      <c r="B46789" s="7"/>
      <c r="M46789" s="9" t="s">
        <v>20</v>
      </c>
    </row>
    <row r="46790" ht="15.75" customHeight="1">
      <c r="A46790" s="7"/>
      <c r="B46790" s="7"/>
      <c r="M46790" s="9" t="s">
        <v>21</v>
      </c>
    </row>
    <row r="46791" ht="15.75" customHeight="1">
      <c r="A46791" s="7"/>
      <c r="B46791" s="7"/>
      <c r="M46791" s="9" t="s">
        <v>24</v>
      </c>
    </row>
    <row r="46792" ht="15.75" customHeight="1">
      <c r="A46792" s="7"/>
      <c r="B46792" s="7"/>
      <c r="M46792" s="9" t="s">
        <v>21</v>
      </c>
    </row>
    <row r="46793" ht="15.75" customHeight="1">
      <c r="A46793" s="7"/>
      <c r="B46793" s="7"/>
      <c r="M46793" s="9" t="s">
        <v>22</v>
      </c>
    </row>
    <row r="46794" ht="15.75" customHeight="1">
      <c r="A46794" s="7"/>
      <c r="B46794" s="7"/>
      <c r="M46794" s="9" t="s">
        <v>27</v>
      </c>
    </row>
    <row r="46795" ht="15.75" customHeight="1">
      <c r="A46795" s="7"/>
      <c r="B46795" s="7"/>
      <c r="M46795" s="9" t="s">
        <v>33</v>
      </c>
    </row>
    <row r="46796" ht="15.75" customHeight="1">
      <c r="A46796" s="7"/>
      <c r="B46796" s="7"/>
      <c r="M46796" s="9" t="s">
        <v>20</v>
      </c>
    </row>
    <row r="46797" ht="15.75" customHeight="1">
      <c r="A46797" s="7"/>
      <c r="B46797" s="7"/>
      <c r="M46797" s="9" t="s">
        <v>21</v>
      </c>
    </row>
    <row r="46798" ht="15.75" customHeight="1">
      <c r="A46798" s="7"/>
      <c r="B46798" s="7"/>
      <c r="M46798" s="9" t="s">
        <v>37</v>
      </c>
    </row>
    <row r="46799" ht="15.75" customHeight="1">
      <c r="A46799" s="7"/>
      <c r="B46799" s="7"/>
      <c r="M46799" s="9" t="s">
        <v>22</v>
      </c>
    </row>
    <row r="46800" ht="15.75" customHeight="1">
      <c r="A46800" s="7"/>
      <c r="B46800" s="7"/>
      <c r="M46800" s="9" t="s">
        <v>27</v>
      </c>
    </row>
    <row r="46801" ht="15.75" customHeight="1">
      <c r="A46801" s="7"/>
      <c r="B46801" s="7"/>
      <c r="M46801" s="9" t="s">
        <v>30</v>
      </c>
    </row>
    <row r="46802" ht="15.75" customHeight="1">
      <c r="A46802" s="7"/>
      <c r="B46802" s="7"/>
      <c r="M46802" s="9" t="s">
        <v>24</v>
      </c>
    </row>
    <row r="46803" ht="15.75" customHeight="1">
      <c r="A46803" s="7"/>
      <c r="B46803" s="7"/>
      <c r="M46803" s="9" t="s">
        <v>27</v>
      </c>
    </row>
    <row r="46804" ht="15.75" customHeight="1">
      <c r="A46804" s="7"/>
      <c r="B46804" s="7"/>
      <c r="M46804" s="9" t="s">
        <v>40</v>
      </c>
    </row>
    <row r="46805" ht="15.75" customHeight="1">
      <c r="A46805" s="7"/>
      <c r="B46805" s="7"/>
      <c r="M46805" s="9" t="s">
        <v>33</v>
      </c>
    </row>
    <row r="46806" ht="15.75" customHeight="1">
      <c r="A46806" s="7"/>
      <c r="B46806" s="7"/>
      <c r="M46806" s="9" t="s">
        <v>30</v>
      </c>
    </row>
    <row r="46807" ht="15.75" customHeight="1">
      <c r="A46807" s="7"/>
      <c r="B46807" s="7"/>
      <c r="M46807" s="9" t="s">
        <v>23</v>
      </c>
    </row>
    <row r="46808" ht="15.75" customHeight="1">
      <c r="A46808" s="7"/>
      <c r="B46808" s="7"/>
      <c r="M46808" s="9" t="s">
        <v>22</v>
      </c>
    </row>
    <row r="46809" ht="15.75" customHeight="1">
      <c r="A46809" s="7"/>
      <c r="B46809" s="7"/>
      <c r="M46809" s="9" t="s">
        <v>22</v>
      </c>
    </row>
    <row r="46810" ht="15.75" customHeight="1">
      <c r="A46810" s="7"/>
      <c r="B46810" s="7"/>
      <c r="M46810" s="9" t="s">
        <v>29</v>
      </c>
    </row>
    <row r="46811" ht="15.75" customHeight="1">
      <c r="A46811" s="7"/>
      <c r="B46811" s="7"/>
      <c r="M46811" s="9" t="s">
        <v>27</v>
      </c>
    </row>
    <row r="46812" ht="15.75" customHeight="1">
      <c r="A46812" s="7"/>
      <c r="B46812" s="7"/>
      <c r="M46812" s="9" t="s">
        <v>28</v>
      </c>
    </row>
    <row r="46813" ht="15.75" customHeight="1">
      <c r="A46813" s="7"/>
      <c r="B46813" s="7"/>
      <c r="M46813" s="9" t="s">
        <v>30</v>
      </c>
    </row>
    <row r="46814" ht="15.75" customHeight="1">
      <c r="A46814" s="7"/>
      <c r="B46814" s="7"/>
      <c r="M46814" s="9" t="s">
        <v>24</v>
      </c>
    </row>
    <row r="46815" ht="15.75" customHeight="1">
      <c r="A46815" s="7"/>
      <c r="B46815" s="7"/>
      <c r="M46815" s="9" t="s">
        <v>20</v>
      </c>
    </row>
    <row r="46816" ht="15.75" customHeight="1">
      <c r="A46816" s="7"/>
      <c r="B46816" s="7"/>
      <c r="M46816" s="9" t="s">
        <v>22</v>
      </c>
    </row>
    <row r="46817" ht="15.75" customHeight="1">
      <c r="A46817" s="7"/>
      <c r="B46817" s="7"/>
      <c r="M46817" s="9" t="s">
        <v>46</v>
      </c>
    </row>
    <row r="46818" ht="15.75" customHeight="1">
      <c r="A46818" s="7"/>
      <c r="B46818" s="7"/>
      <c r="M46818" s="9" t="s">
        <v>27</v>
      </c>
    </row>
    <row r="46819" ht="15.75" customHeight="1">
      <c r="A46819" s="7"/>
      <c r="B46819" s="7"/>
      <c r="M46819" s="9" t="s">
        <v>38</v>
      </c>
    </row>
    <row r="46820" ht="15.75" customHeight="1">
      <c r="A46820" s="7"/>
      <c r="B46820" s="7"/>
      <c r="M46820" s="9" t="s">
        <v>23</v>
      </c>
    </row>
    <row r="46821" ht="15.75" customHeight="1">
      <c r="A46821" s="7"/>
      <c r="B46821" s="7"/>
      <c r="M46821" s="9" t="s">
        <v>24</v>
      </c>
    </row>
    <row r="46822" ht="15.75" customHeight="1">
      <c r="A46822" s="7"/>
      <c r="B46822" s="7"/>
      <c r="M46822" s="9" t="s">
        <v>21</v>
      </c>
    </row>
    <row r="46823" ht="15.75" customHeight="1">
      <c r="A46823" s="7"/>
      <c r="B46823" s="7"/>
      <c r="M46823" s="9" t="s">
        <v>23</v>
      </c>
    </row>
    <row r="46824" ht="15.75" customHeight="1">
      <c r="A46824" s="7"/>
      <c r="B46824" s="7"/>
      <c r="M46824" s="9" t="s">
        <v>26</v>
      </c>
    </row>
    <row r="46825" ht="15.75" customHeight="1">
      <c r="A46825" s="7"/>
      <c r="B46825" s="7"/>
      <c r="M46825" s="9" t="s">
        <v>24</v>
      </c>
    </row>
    <row r="46826" ht="15.75" customHeight="1">
      <c r="A46826" s="7"/>
      <c r="B46826" s="7"/>
      <c r="M46826" s="9" t="s">
        <v>22</v>
      </c>
    </row>
    <row r="46827" ht="15.75" customHeight="1">
      <c r="A46827" s="7"/>
      <c r="B46827" s="7"/>
      <c r="M46827" s="9" t="s">
        <v>27</v>
      </c>
    </row>
    <row r="46828" ht="15.75" customHeight="1">
      <c r="A46828" s="7"/>
      <c r="B46828" s="7"/>
      <c r="M46828" s="9" t="s">
        <v>28</v>
      </c>
    </row>
    <row r="46829" ht="15.75" customHeight="1">
      <c r="A46829" s="7"/>
      <c r="B46829" s="7"/>
      <c r="M46829" s="9" t="s">
        <v>35</v>
      </c>
    </row>
    <row r="46830" ht="15.75" customHeight="1">
      <c r="A46830" s="7"/>
      <c r="B46830" s="7"/>
      <c r="M46830" s="9" t="s">
        <v>30</v>
      </c>
    </row>
    <row r="46831" ht="15.75" customHeight="1">
      <c r="A46831" s="7"/>
      <c r="B46831" s="7"/>
      <c r="M46831" s="9" t="s">
        <v>24</v>
      </c>
    </row>
    <row r="46832" ht="15.75" customHeight="1">
      <c r="A46832" s="7"/>
      <c r="B46832" s="7"/>
      <c r="M46832" s="9" t="s">
        <v>21</v>
      </c>
    </row>
    <row r="46833" ht="15.75" customHeight="1">
      <c r="A46833" s="7"/>
      <c r="B46833" s="7"/>
      <c r="M46833" s="9" t="s">
        <v>38</v>
      </c>
    </row>
    <row r="46834" ht="15.75" customHeight="1">
      <c r="A46834" s="7"/>
      <c r="B46834" s="7"/>
      <c r="M46834" s="9" t="s">
        <v>30</v>
      </c>
    </row>
    <row r="46835" ht="15.75" customHeight="1">
      <c r="A46835" s="7"/>
      <c r="B46835" s="7"/>
      <c r="M46835" s="9" t="s">
        <v>25</v>
      </c>
    </row>
    <row r="46836" ht="15.75" customHeight="1">
      <c r="A46836" s="7"/>
      <c r="B46836" s="7"/>
      <c r="M46836" s="9" t="s">
        <v>30</v>
      </c>
    </row>
    <row r="46837" ht="15.75" customHeight="1">
      <c r="A46837" s="7"/>
      <c r="B46837" s="7"/>
      <c r="M46837" s="9" t="s">
        <v>25</v>
      </c>
    </row>
    <row r="46838" ht="15.75" customHeight="1">
      <c r="A46838" s="7"/>
      <c r="B46838" s="7"/>
      <c r="M46838" s="9" t="s">
        <v>23</v>
      </c>
    </row>
    <row r="46839" ht="15.75" customHeight="1">
      <c r="A46839" s="7"/>
      <c r="B46839" s="7"/>
      <c r="M46839" s="9" t="s">
        <v>26</v>
      </c>
    </row>
    <row r="46840" ht="15.75" customHeight="1">
      <c r="A46840" s="7"/>
      <c r="B46840" s="7"/>
      <c r="M46840" s="9" t="s">
        <v>24</v>
      </c>
    </row>
    <row r="46841" ht="15.75" customHeight="1">
      <c r="A46841" s="7"/>
      <c r="B46841" s="7"/>
      <c r="M46841" s="9" t="s">
        <v>21</v>
      </c>
    </row>
    <row r="46842" ht="15.75" customHeight="1">
      <c r="A46842" s="7"/>
      <c r="B46842" s="7"/>
      <c r="M46842" s="9" t="s">
        <v>41</v>
      </c>
    </row>
    <row r="46843" ht="15.75" customHeight="1">
      <c r="A46843" s="7"/>
      <c r="B46843" s="7"/>
      <c r="M46843" s="9" t="s">
        <v>37</v>
      </c>
    </row>
    <row r="46844" ht="15.75" customHeight="1">
      <c r="A46844" s="7"/>
      <c r="B46844" s="7"/>
      <c r="M46844" s="9" t="s">
        <v>22</v>
      </c>
    </row>
    <row r="46845" ht="15.75" customHeight="1">
      <c r="A46845" s="7"/>
      <c r="B46845" s="7"/>
      <c r="M46845" s="9" t="s">
        <v>27</v>
      </c>
    </row>
    <row r="46846" ht="15.75" customHeight="1">
      <c r="A46846" s="7"/>
      <c r="B46846" s="7"/>
      <c r="M46846" s="9" t="s">
        <v>33</v>
      </c>
    </row>
    <row r="46847" ht="15.75" customHeight="1">
      <c r="A46847" s="7"/>
      <c r="B46847" s="7"/>
      <c r="M46847" s="9" t="s">
        <v>38</v>
      </c>
    </row>
    <row r="46848" ht="15.75" customHeight="1">
      <c r="A46848" s="7"/>
      <c r="B46848" s="7"/>
      <c r="M46848" s="9" t="s">
        <v>30</v>
      </c>
    </row>
    <row r="46849" ht="15.75" customHeight="1">
      <c r="A46849" s="7"/>
      <c r="B46849" s="7"/>
      <c r="M46849" s="9" t="s">
        <v>25</v>
      </c>
    </row>
    <row r="46850" ht="15.75" customHeight="1">
      <c r="A46850" s="7"/>
      <c r="B46850" s="7"/>
      <c r="M46850" s="9" t="s">
        <v>23</v>
      </c>
    </row>
    <row r="46851" ht="15.75" customHeight="1">
      <c r="A46851" s="7"/>
      <c r="B46851" s="7"/>
      <c r="M46851" s="9" t="s">
        <v>24</v>
      </c>
    </row>
    <row r="46852" ht="15.75" customHeight="1">
      <c r="A46852" s="7"/>
      <c r="B46852" s="7"/>
      <c r="M46852" s="9" t="s">
        <v>20</v>
      </c>
    </row>
    <row r="46853" ht="15.75" customHeight="1">
      <c r="A46853" s="7"/>
      <c r="B46853" s="7"/>
      <c r="M46853" s="9" t="s">
        <v>41</v>
      </c>
    </row>
    <row r="46854" ht="15.75" customHeight="1">
      <c r="A46854" s="7"/>
      <c r="B46854" s="7"/>
      <c r="M46854" s="9" t="s">
        <v>37</v>
      </c>
    </row>
    <row r="46855" ht="15.75" customHeight="1">
      <c r="A46855" s="7"/>
      <c r="B46855" s="7"/>
      <c r="M46855" s="9" t="s">
        <v>27</v>
      </c>
    </row>
    <row r="46856" ht="15.75" customHeight="1">
      <c r="A46856" s="7"/>
      <c r="B46856" s="7"/>
      <c r="M46856" s="9" t="s">
        <v>24</v>
      </c>
    </row>
    <row r="46857" ht="15.75" customHeight="1">
      <c r="A46857" s="7"/>
      <c r="B46857" s="7"/>
      <c r="M46857" s="9" t="s">
        <v>20</v>
      </c>
    </row>
    <row r="46858" ht="15.75" customHeight="1">
      <c r="A46858" s="7"/>
      <c r="B46858" s="7"/>
      <c r="M46858" s="9" t="s">
        <v>21</v>
      </c>
    </row>
    <row r="46859" ht="15.75" customHeight="1">
      <c r="A46859" s="7"/>
      <c r="B46859" s="7"/>
      <c r="M46859" s="9" t="s">
        <v>33</v>
      </c>
    </row>
    <row r="46860" ht="15.75" customHeight="1">
      <c r="A46860" s="7"/>
      <c r="B46860" s="7"/>
      <c r="M46860" s="9" t="s">
        <v>24</v>
      </c>
    </row>
    <row r="46861" ht="15.75" customHeight="1">
      <c r="A46861" s="7"/>
      <c r="B46861" s="7"/>
      <c r="M46861" s="9" t="s">
        <v>21</v>
      </c>
    </row>
    <row r="46862" ht="15.75" customHeight="1">
      <c r="A46862" s="7"/>
      <c r="B46862" s="7"/>
      <c r="M46862" s="9" t="s">
        <v>37</v>
      </c>
    </row>
    <row r="46863" ht="15.75" customHeight="1">
      <c r="A46863" s="7"/>
      <c r="B46863" s="7"/>
      <c r="M46863" s="9" t="s">
        <v>27</v>
      </c>
    </row>
    <row r="46864" ht="15.75" customHeight="1">
      <c r="A46864" s="7"/>
      <c r="B46864" s="7"/>
      <c r="M46864" s="9" t="s">
        <v>30</v>
      </c>
    </row>
    <row r="46865" ht="15.75" customHeight="1">
      <c r="A46865" s="7"/>
      <c r="B46865" s="7"/>
      <c r="M46865" s="9" t="s">
        <v>25</v>
      </c>
    </row>
    <row r="46866" ht="15.75" customHeight="1">
      <c r="A46866" s="7"/>
      <c r="B46866" s="7"/>
      <c r="M46866" s="9" t="s">
        <v>24</v>
      </c>
    </row>
    <row r="46867" ht="15.75" customHeight="1">
      <c r="A46867" s="7"/>
      <c r="B46867" s="7"/>
      <c r="M46867" s="9" t="s">
        <v>20</v>
      </c>
    </row>
    <row r="46868" ht="15.75" customHeight="1">
      <c r="A46868" s="7"/>
      <c r="B46868" s="7"/>
      <c r="M46868" s="9" t="s">
        <v>22</v>
      </c>
    </row>
    <row r="46869" ht="15.75" customHeight="1">
      <c r="A46869" s="7"/>
      <c r="B46869" s="7"/>
      <c r="M46869" s="9" t="s">
        <v>29</v>
      </c>
    </row>
    <row r="46870" ht="15.75" customHeight="1">
      <c r="A46870" s="7"/>
      <c r="B46870" s="7"/>
      <c r="M46870" s="9" t="s">
        <v>27</v>
      </c>
    </row>
    <row r="46871" ht="15.75" customHeight="1">
      <c r="A46871" s="7"/>
      <c r="B46871" s="7"/>
      <c r="M46871" s="9" t="s">
        <v>41</v>
      </c>
    </row>
    <row r="46872" ht="15.75" customHeight="1">
      <c r="A46872" s="7"/>
      <c r="B46872" s="7"/>
      <c r="M46872" s="9" t="s">
        <v>40</v>
      </c>
    </row>
    <row r="46873" ht="15.75" customHeight="1">
      <c r="A46873" s="7"/>
      <c r="B46873" s="7"/>
      <c r="M46873" s="9" t="s">
        <v>30</v>
      </c>
    </row>
    <row r="46874" ht="15.75" customHeight="1">
      <c r="A46874" s="7"/>
      <c r="B46874" s="7"/>
      <c r="M46874" s="9" t="s">
        <v>26</v>
      </c>
    </row>
    <row r="46875" ht="15.75" customHeight="1">
      <c r="A46875" s="7"/>
      <c r="B46875" s="7"/>
      <c r="M46875" s="9" t="s">
        <v>36</v>
      </c>
    </row>
    <row r="46876" ht="15.75" customHeight="1">
      <c r="A46876" s="7"/>
      <c r="B46876" s="7"/>
      <c r="M46876" s="9" t="s">
        <v>24</v>
      </c>
    </row>
    <row r="46877" ht="15.75" customHeight="1">
      <c r="A46877" s="7"/>
      <c r="B46877" s="7"/>
      <c r="M46877" s="9" t="s">
        <v>21</v>
      </c>
    </row>
    <row r="46878" ht="15.75" customHeight="1">
      <c r="A46878" s="7"/>
      <c r="B46878" s="7"/>
      <c r="M46878" s="9" t="s">
        <v>22</v>
      </c>
    </row>
    <row r="46879" ht="15.75" customHeight="1">
      <c r="A46879" s="7"/>
      <c r="B46879" s="7"/>
      <c r="M46879" s="9" t="s">
        <v>27</v>
      </c>
    </row>
    <row r="46880" ht="15.75" customHeight="1">
      <c r="A46880" s="7"/>
      <c r="B46880" s="7"/>
      <c r="M46880" s="9" t="s">
        <v>24</v>
      </c>
    </row>
    <row r="46881" ht="15.75" customHeight="1">
      <c r="A46881" s="7"/>
      <c r="B46881" s="7"/>
      <c r="M46881" s="9" t="s">
        <v>20</v>
      </c>
    </row>
    <row r="46882" ht="15.75" customHeight="1">
      <c r="A46882" s="7"/>
      <c r="B46882" s="7"/>
      <c r="M46882" s="9" t="s">
        <v>21</v>
      </c>
    </row>
    <row r="46883" ht="15.75" customHeight="1">
      <c r="A46883" s="7"/>
      <c r="B46883" s="7"/>
      <c r="M46883" s="9" t="s">
        <v>46</v>
      </c>
    </row>
    <row r="46884" ht="15.75" customHeight="1">
      <c r="A46884" s="7"/>
      <c r="B46884" s="7"/>
      <c r="M46884" s="9" t="s">
        <v>27</v>
      </c>
    </row>
    <row r="46885" ht="15.75" customHeight="1">
      <c r="A46885" s="7"/>
      <c r="B46885" s="7"/>
      <c r="M46885" s="9" t="s">
        <v>23</v>
      </c>
    </row>
    <row r="46886" ht="15.75" customHeight="1">
      <c r="A46886" s="7"/>
      <c r="B46886" s="7"/>
      <c r="M46886" s="9" t="s">
        <v>24</v>
      </c>
    </row>
    <row r="46887" ht="15.75" customHeight="1">
      <c r="A46887" s="7"/>
      <c r="B46887" s="7"/>
      <c r="M46887" s="9" t="s">
        <v>20</v>
      </c>
    </row>
    <row r="46888" ht="15.75" customHeight="1">
      <c r="A46888" s="7"/>
      <c r="B46888" s="7"/>
      <c r="M46888" s="9" t="s">
        <v>21</v>
      </c>
    </row>
    <row r="46889" ht="15.75" customHeight="1">
      <c r="A46889" s="7"/>
      <c r="B46889" s="7"/>
      <c r="M46889" s="9" t="s">
        <v>37</v>
      </c>
    </row>
    <row r="46890" ht="15.75" customHeight="1">
      <c r="A46890" s="7"/>
      <c r="B46890" s="7"/>
      <c r="M46890" s="9" t="s">
        <v>22</v>
      </c>
    </row>
    <row r="46891" ht="15.75" customHeight="1">
      <c r="A46891" s="7"/>
      <c r="B46891" s="7"/>
      <c r="M46891" s="9" t="s">
        <v>31</v>
      </c>
    </row>
    <row r="46892" ht="15.75" customHeight="1">
      <c r="A46892" s="7"/>
      <c r="B46892" s="7"/>
      <c r="M46892" s="9" t="s">
        <v>27</v>
      </c>
    </row>
    <row r="46893" ht="15.75" customHeight="1">
      <c r="A46893" s="7"/>
      <c r="B46893" s="7"/>
      <c r="M46893" s="9" t="s">
        <v>30</v>
      </c>
    </row>
    <row r="46894" ht="15.75" customHeight="1">
      <c r="A46894" s="7"/>
      <c r="B46894" s="7"/>
      <c r="M46894" s="9" t="s">
        <v>23</v>
      </c>
    </row>
    <row r="46895" ht="15.75" customHeight="1">
      <c r="A46895" s="7"/>
      <c r="B46895" s="7"/>
      <c r="M46895" s="9" t="s">
        <v>26</v>
      </c>
    </row>
    <row r="46896" ht="15.75" customHeight="1">
      <c r="A46896" s="7"/>
      <c r="B46896" s="7"/>
      <c r="M46896" s="9" t="s">
        <v>22</v>
      </c>
    </row>
    <row r="46897" ht="15.75" customHeight="1">
      <c r="A46897" s="7"/>
      <c r="B46897" s="7"/>
      <c r="M46897" s="9" t="s">
        <v>26</v>
      </c>
    </row>
    <row r="46898" ht="15.75" customHeight="1">
      <c r="A46898" s="7"/>
      <c r="B46898" s="7"/>
      <c r="M46898" s="9" t="s">
        <v>24</v>
      </c>
    </row>
    <row r="46899" ht="15.75" customHeight="1">
      <c r="A46899" s="7"/>
      <c r="B46899" s="7"/>
      <c r="M46899" s="9" t="s">
        <v>21</v>
      </c>
    </row>
    <row r="46900" ht="15.75" customHeight="1">
      <c r="A46900" s="7"/>
      <c r="B46900" s="7"/>
      <c r="M46900" s="9" t="s">
        <v>30</v>
      </c>
    </row>
    <row r="46901" ht="15.75" customHeight="1">
      <c r="A46901" s="7"/>
      <c r="B46901" s="7"/>
      <c r="M46901" s="9" t="s">
        <v>21</v>
      </c>
    </row>
    <row r="46902" ht="15.75" customHeight="1">
      <c r="A46902" s="7"/>
      <c r="B46902" s="7"/>
      <c r="M46902" s="9" t="s">
        <v>33</v>
      </c>
    </row>
    <row r="46903" ht="15.75" customHeight="1">
      <c r="A46903" s="7"/>
      <c r="B46903" s="7"/>
      <c r="M46903" s="9" t="s">
        <v>26</v>
      </c>
    </row>
    <row r="46904" ht="15.75" customHeight="1">
      <c r="A46904" s="7"/>
      <c r="B46904" s="7"/>
      <c r="M46904" s="9" t="s">
        <v>28</v>
      </c>
    </row>
    <row r="46905" ht="15.75" customHeight="1">
      <c r="A46905" s="7"/>
      <c r="B46905" s="7"/>
      <c r="M46905" s="9" t="s">
        <v>30</v>
      </c>
    </row>
    <row r="46906" ht="15.75" customHeight="1">
      <c r="A46906" s="7"/>
      <c r="B46906" s="7"/>
      <c r="M46906" s="9" t="s">
        <v>23</v>
      </c>
    </row>
    <row r="46907" ht="15.75" customHeight="1">
      <c r="A46907" s="7"/>
      <c r="B46907" s="7"/>
      <c r="M46907" s="9" t="s">
        <v>21</v>
      </c>
    </row>
    <row r="46908" ht="15.75" customHeight="1">
      <c r="A46908" s="7"/>
      <c r="B46908" s="7"/>
      <c r="M46908" s="9" t="s">
        <v>22</v>
      </c>
    </row>
    <row r="46909" ht="15.75" customHeight="1">
      <c r="A46909" s="7"/>
      <c r="B46909" s="7"/>
      <c r="M46909" s="9" t="s">
        <v>40</v>
      </c>
    </row>
    <row r="46910" ht="15.75" customHeight="1">
      <c r="A46910" s="7"/>
      <c r="B46910" s="7"/>
      <c r="M46910" s="9" t="s">
        <v>35</v>
      </c>
    </row>
    <row r="46911" ht="15.75" customHeight="1">
      <c r="A46911" s="7"/>
      <c r="B46911" s="7"/>
      <c r="M46911" s="9" t="s">
        <v>25</v>
      </c>
    </row>
    <row r="46912" ht="15.75" customHeight="1">
      <c r="A46912" s="7"/>
      <c r="B46912" s="7"/>
      <c r="M46912" s="9" t="s">
        <v>23</v>
      </c>
    </row>
    <row r="46913" ht="15.75" customHeight="1">
      <c r="A46913" s="7"/>
      <c r="B46913" s="7"/>
      <c r="M46913" s="9" t="s">
        <v>26</v>
      </c>
    </row>
    <row r="46914" ht="15.75" customHeight="1">
      <c r="A46914" s="7"/>
      <c r="B46914" s="7"/>
      <c r="M46914" s="9" t="s">
        <v>25</v>
      </c>
    </row>
    <row r="46915" ht="15.75" customHeight="1">
      <c r="A46915" s="7"/>
      <c r="B46915" s="7"/>
      <c r="M46915" s="9" t="s">
        <v>23</v>
      </c>
    </row>
    <row r="46916" ht="15.75" customHeight="1">
      <c r="A46916" s="7"/>
      <c r="B46916" s="7"/>
      <c r="M46916" s="9" t="s">
        <v>26</v>
      </c>
    </row>
    <row r="46917" ht="15.75" customHeight="1">
      <c r="A46917" s="7"/>
      <c r="B46917" s="7"/>
      <c r="M46917" s="9" t="s">
        <v>24</v>
      </c>
    </row>
    <row r="46918" ht="15.75" customHeight="1">
      <c r="A46918" s="7"/>
      <c r="B46918" s="7"/>
      <c r="M46918" s="9" t="s">
        <v>21</v>
      </c>
    </row>
    <row r="46919" ht="15.75" customHeight="1">
      <c r="A46919" s="7"/>
      <c r="B46919" s="7"/>
      <c r="M46919" s="9" t="s">
        <v>37</v>
      </c>
    </row>
    <row r="46920" ht="15.75" customHeight="1">
      <c r="A46920" s="7"/>
      <c r="B46920" s="7"/>
      <c r="M46920" s="9" t="s">
        <v>27</v>
      </c>
    </row>
    <row r="46921" ht="15.75" customHeight="1">
      <c r="A46921" s="7"/>
      <c r="B46921" s="7"/>
      <c r="M46921" s="9" t="s">
        <v>20</v>
      </c>
    </row>
    <row r="46922" ht="15.75" customHeight="1">
      <c r="A46922" s="7"/>
      <c r="B46922" s="7"/>
      <c r="M46922" s="9" t="s">
        <v>21</v>
      </c>
    </row>
    <row r="46923" ht="15.75" customHeight="1">
      <c r="A46923" s="7"/>
      <c r="B46923" s="7"/>
      <c r="M46923" s="9" t="s">
        <v>27</v>
      </c>
    </row>
    <row r="46924" ht="15.75" customHeight="1">
      <c r="A46924" s="7"/>
      <c r="B46924" s="7"/>
      <c r="M46924" s="9" t="s">
        <v>24</v>
      </c>
    </row>
    <row r="46925" ht="15.75" customHeight="1">
      <c r="A46925" s="7"/>
      <c r="B46925" s="7"/>
      <c r="M46925" s="9" t="s">
        <v>21</v>
      </c>
    </row>
    <row r="46926" ht="15.75" customHeight="1">
      <c r="A46926" s="7"/>
      <c r="B46926" s="7"/>
      <c r="M46926" s="9" t="s">
        <v>37</v>
      </c>
    </row>
    <row r="46927" ht="15.75" customHeight="1">
      <c r="A46927" s="7"/>
      <c r="B46927" s="7"/>
      <c r="M46927" s="9" t="s">
        <v>24</v>
      </c>
    </row>
    <row r="46928" ht="15.75" customHeight="1">
      <c r="A46928" s="7"/>
      <c r="B46928" s="7"/>
      <c r="M46928" s="9" t="s">
        <v>20</v>
      </c>
    </row>
    <row r="46929" ht="15.75" customHeight="1">
      <c r="A46929" s="7"/>
      <c r="B46929" s="7"/>
      <c r="M46929" s="9" t="s">
        <v>30</v>
      </c>
    </row>
    <row r="46930" ht="15.75" customHeight="1">
      <c r="A46930" s="7"/>
      <c r="B46930" s="7"/>
      <c r="M46930" s="9" t="s">
        <v>26</v>
      </c>
    </row>
    <row r="46931" ht="15.75" customHeight="1">
      <c r="A46931" s="7"/>
      <c r="B46931" s="7"/>
      <c r="M46931" s="9" t="s">
        <v>24</v>
      </c>
    </row>
    <row r="46932" ht="15.75" customHeight="1">
      <c r="A46932" s="7"/>
      <c r="B46932" s="7"/>
      <c r="M46932" s="9" t="s">
        <v>21</v>
      </c>
    </row>
    <row r="46933" ht="15.75" customHeight="1">
      <c r="A46933" s="7"/>
      <c r="B46933" s="7"/>
      <c r="M46933" s="9" t="s">
        <v>27</v>
      </c>
    </row>
    <row r="46934" ht="15.75" customHeight="1">
      <c r="A46934" s="7"/>
      <c r="B46934" s="7"/>
      <c r="M46934" s="9" t="s">
        <v>24</v>
      </c>
    </row>
    <row r="46935" ht="15.75" customHeight="1">
      <c r="A46935" s="7"/>
      <c r="B46935" s="7"/>
      <c r="M46935" s="9" t="s">
        <v>37</v>
      </c>
    </row>
    <row r="46936" ht="15.75" customHeight="1">
      <c r="A46936" s="7"/>
      <c r="B46936" s="7"/>
      <c r="M46936" s="9" t="s">
        <v>22</v>
      </c>
    </row>
    <row r="46937" ht="15.75" customHeight="1">
      <c r="A46937" s="7"/>
      <c r="B46937" s="7"/>
      <c r="M46937" s="9" t="s">
        <v>26</v>
      </c>
    </row>
    <row r="46938" ht="15.75" customHeight="1">
      <c r="A46938" s="7"/>
      <c r="B46938" s="7"/>
      <c r="M46938" s="9" t="s">
        <v>24</v>
      </c>
    </row>
    <row r="46939" ht="15.75" customHeight="1">
      <c r="A46939" s="7"/>
      <c r="B46939" s="7"/>
      <c r="M46939" s="9" t="s">
        <v>21</v>
      </c>
    </row>
    <row r="46940" ht="15.75" customHeight="1">
      <c r="A46940" s="7"/>
      <c r="B46940" s="7"/>
      <c r="M46940" s="9" t="s">
        <v>35</v>
      </c>
    </row>
    <row r="46941" ht="15.75" customHeight="1">
      <c r="A46941" s="7"/>
      <c r="B46941" s="7"/>
      <c r="M46941" s="9" t="s">
        <v>20</v>
      </c>
    </row>
    <row r="46942" ht="15.75" customHeight="1">
      <c r="A46942" s="7"/>
      <c r="B46942" s="7"/>
      <c r="M46942" s="9" t="s">
        <v>30</v>
      </c>
    </row>
    <row r="46943" ht="15.75" customHeight="1">
      <c r="A46943" s="7"/>
      <c r="B46943" s="7"/>
      <c r="M46943" s="9" t="s">
        <v>24</v>
      </c>
    </row>
    <row r="46944" ht="15.75" customHeight="1">
      <c r="A46944" s="7"/>
      <c r="B46944" s="7"/>
      <c r="M46944" s="9" t="s">
        <v>21</v>
      </c>
    </row>
    <row r="46945" ht="15.75" customHeight="1">
      <c r="A46945" s="7"/>
      <c r="B46945" s="7"/>
      <c r="M46945" s="9" t="s">
        <v>37</v>
      </c>
    </row>
    <row r="46946" ht="15.75" customHeight="1">
      <c r="A46946" s="7"/>
      <c r="B46946" s="7"/>
      <c r="M46946" s="9" t="s">
        <v>22</v>
      </c>
    </row>
    <row r="46947" ht="15.75" customHeight="1">
      <c r="A46947" s="7"/>
      <c r="B46947" s="7"/>
      <c r="M46947" s="9" t="s">
        <v>27</v>
      </c>
    </row>
    <row r="46948" ht="15.75" customHeight="1">
      <c r="A46948" s="7"/>
      <c r="B46948" s="7"/>
      <c r="M46948" s="9" t="s">
        <v>33</v>
      </c>
    </row>
    <row r="46949" ht="15.75" customHeight="1">
      <c r="A46949" s="7"/>
      <c r="B46949" s="7"/>
      <c r="M46949" s="9" t="s">
        <v>22</v>
      </c>
    </row>
    <row r="46950" ht="15.75" customHeight="1">
      <c r="A46950" s="7"/>
      <c r="B46950" s="7"/>
      <c r="M46950" s="9" t="s">
        <v>30</v>
      </c>
    </row>
    <row r="46951" ht="15.75" customHeight="1">
      <c r="A46951" s="7"/>
      <c r="B46951" s="7"/>
      <c r="M46951" s="9" t="s">
        <v>23</v>
      </c>
    </row>
    <row r="46952" ht="15.75" customHeight="1">
      <c r="A46952" s="7"/>
      <c r="B46952" s="7"/>
      <c r="M46952" s="9" t="s">
        <v>20</v>
      </c>
    </row>
    <row r="46953" ht="15.75" customHeight="1">
      <c r="A46953" s="7"/>
      <c r="B46953" s="7"/>
      <c r="M46953" s="9" t="s">
        <v>39</v>
      </c>
    </row>
    <row r="46954" ht="15.75" customHeight="1">
      <c r="A46954" s="7"/>
      <c r="B46954" s="7"/>
      <c r="M46954" s="9" t="s">
        <v>30</v>
      </c>
    </row>
    <row r="46955" ht="15.75" customHeight="1">
      <c r="A46955" s="7"/>
      <c r="B46955" s="7"/>
      <c r="M46955" s="9" t="s">
        <v>22</v>
      </c>
    </row>
    <row r="46956" ht="15.75" customHeight="1">
      <c r="A46956" s="7"/>
      <c r="B46956" s="7"/>
      <c r="M46956" s="9" t="s">
        <v>30</v>
      </c>
    </row>
    <row r="46957" ht="15.75" customHeight="1">
      <c r="A46957" s="7"/>
      <c r="B46957" s="7"/>
      <c r="M46957" s="9" t="s">
        <v>25</v>
      </c>
    </row>
    <row r="46958" ht="15.75" customHeight="1">
      <c r="A46958" s="7"/>
      <c r="B46958" s="7"/>
      <c r="M46958" s="9" t="s">
        <v>23</v>
      </c>
    </row>
    <row r="46959" ht="15.75" customHeight="1">
      <c r="A46959" s="7"/>
      <c r="B46959" s="7"/>
      <c r="M46959" s="9" t="s">
        <v>26</v>
      </c>
    </row>
    <row r="46960" ht="15.75" customHeight="1">
      <c r="A46960" s="7"/>
      <c r="B46960" s="7"/>
      <c r="M46960" s="9" t="s">
        <v>20</v>
      </c>
    </row>
    <row r="46961" ht="15.75" customHeight="1">
      <c r="A46961" s="7"/>
      <c r="B46961" s="7"/>
      <c r="M46961" s="9" t="s">
        <v>30</v>
      </c>
    </row>
    <row r="46962" ht="15.75" customHeight="1">
      <c r="A46962" s="7"/>
      <c r="B46962" s="7"/>
      <c r="M46962" s="9" t="s">
        <v>24</v>
      </c>
    </row>
    <row r="46963" ht="15.75" customHeight="1">
      <c r="A46963" s="7"/>
      <c r="B46963" s="7"/>
      <c r="M46963" s="9" t="s">
        <v>21</v>
      </c>
    </row>
    <row r="46964" ht="15.75" customHeight="1">
      <c r="A46964" s="7"/>
      <c r="B46964" s="7"/>
      <c r="M46964" s="9" t="s">
        <v>37</v>
      </c>
    </row>
    <row r="46965" ht="15.75" customHeight="1">
      <c r="A46965" s="7"/>
      <c r="B46965" s="7"/>
      <c r="M46965" s="9" t="s">
        <v>22</v>
      </c>
    </row>
    <row r="46966" ht="15.75" customHeight="1">
      <c r="A46966" s="7"/>
      <c r="B46966" s="7"/>
      <c r="M46966" s="9" t="s">
        <v>32</v>
      </c>
    </row>
    <row r="46967" ht="15.75" customHeight="1">
      <c r="A46967" s="7"/>
      <c r="B46967" s="7"/>
      <c r="M46967" s="9" t="s">
        <v>27</v>
      </c>
    </row>
    <row r="46968" ht="15.75" customHeight="1">
      <c r="A46968" s="7"/>
      <c r="B46968" s="7"/>
      <c r="M46968" s="9" t="s">
        <v>35</v>
      </c>
    </row>
    <row r="46969" ht="15.75" customHeight="1">
      <c r="A46969" s="7"/>
      <c r="B46969" s="7"/>
      <c r="M46969" s="9" t="s">
        <v>25</v>
      </c>
    </row>
    <row r="46970" ht="15.75" customHeight="1">
      <c r="A46970" s="7"/>
      <c r="B46970" s="7"/>
      <c r="M46970" s="9" t="s">
        <v>21</v>
      </c>
    </row>
    <row r="46971" ht="15.75" customHeight="1">
      <c r="A46971" s="7"/>
      <c r="B46971" s="7"/>
      <c r="M46971" s="9" t="s">
        <v>22</v>
      </c>
    </row>
    <row r="46972" ht="15.75" customHeight="1">
      <c r="A46972" s="7"/>
      <c r="B46972" s="7"/>
      <c r="M46972" s="9" t="s">
        <v>27</v>
      </c>
    </row>
    <row r="46973" ht="15.75" customHeight="1">
      <c r="A46973" s="7"/>
      <c r="B46973" s="7"/>
      <c r="M46973" s="9" t="s">
        <v>20</v>
      </c>
    </row>
    <row r="46974" ht="15.75" customHeight="1">
      <c r="A46974" s="7"/>
      <c r="B46974" s="7"/>
      <c r="M46974" s="9" t="s">
        <v>21</v>
      </c>
    </row>
    <row r="46975" ht="15.75" customHeight="1">
      <c r="A46975" s="7"/>
      <c r="B46975" s="7"/>
      <c r="M46975" s="9" t="s">
        <v>27</v>
      </c>
    </row>
    <row r="46976" ht="15.75" customHeight="1">
      <c r="A46976" s="7"/>
      <c r="B46976" s="7"/>
      <c r="M46976" s="9" t="s">
        <v>40</v>
      </c>
    </row>
    <row r="46977" ht="15.75" customHeight="1">
      <c r="A46977" s="7"/>
      <c r="B46977" s="7"/>
      <c r="M46977" s="9" t="s">
        <v>26</v>
      </c>
    </row>
    <row r="46978" ht="15.75" customHeight="1">
      <c r="A46978" s="7"/>
      <c r="B46978" s="7"/>
      <c r="M46978" s="9" t="s">
        <v>21</v>
      </c>
    </row>
    <row r="46979" ht="15.75" customHeight="1">
      <c r="A46979" s="7"/>
      <c r="B46979" s="7"/>
      <c r="M46979" s="9" t="s">
        <v>22</v>
      </c>
    </row>
    <row r="46980" ht="15.75" customHeight="1">
      <c r="A46980" s="7"/>
      <c r="B46980" s="7"/>
      <c r="M46980" s="9" t="s">
        <v>29</v>
      </c>
    </row>
    <row r="46981" ht="15.75" customHeight="1">
      <c r="A46981" s="7"/>
      <c r="B46981" s="7"/>
      <c r="M46981" s="9" t="s">
        <v>27</v>
      </c>
    </row>
    <row r="46982" ht="15.75" customHeight="1">
      <c r="A46982" s="7"/>
      <c r="B46982" s="7"/>
      <c r="M46982" s="9" t="s">
        <v>30</v>
      </c>
    </row>
    <row r="46983" ht="15.75" customHeight="1">
      <c r="A46983" s="7"/>
      <c r="B46983" s="7"/>
      <c r="M46983" s="9" t="s">
        <v>25</v>
      </c>
    </row>
    <row r="46984" ht="15.75" customHeight="1">
      <c r="A46984" s="7"/>
      <c r="B46984" s="7"/>
      <c r="M46984" s="9" t="s">
        <v>22</v>
      </c>
    </row>
    <row r="46985" ht="15.75" customHeight="1">
      <c r="A46985" s="7"/>
      <c r="B46985" s="7"/>
      <c r="M46985" s="9" t="s">
        <v>27</v>
      </c>
    </row>
    <row r="46986" ht="15.75" customHeight="1">
      <c r="A46986" s="7"/>
      <c r="B46986" s="7"/>
      <c r="M46986" s="9" t="s">
        <v>28</v>
      </c>
    </row>
    <row r="46987" ht="15.75" customHeight="1">
      <c r="A46987" s="7"/>
      <c r="B46987" s="7"/>
      <c r="M46987" s="9" t="s">
        <v>30</v>
      </c>
    </row>
    <row r="46988" ht="15.75" customHeight="1">
      <c r="A46988" s="7"/>
      <c r="B46988" s="7"/>
      <c r="M46988" s="9" t="s">
        <v>26</v>
      </c>
    </row>
    <row r="46989" ht="15.75" customHeight="1">
      <c r="A46989" s="7"/>
      <c r="B46989" s="7"/>
      <c r="M46989" s="9" t="s">
        <v>22</v>
      </c>
    </row>
    <row r="46990" ht="15.75" customHeight="1">
      <c r="A46990" s="7"/>
      <c r="B46990" s="7"/>
      <c r="M46990" s="9" t="s">
        <v>26</v>
      </c>
    </row>
    <row r="46991" ht="15.75" customHeight="1">
      <c r="A46991" s="7"/>
      <c r="B46991" s="7"/>
      <c r="M46991" s="9" t="s">
        <v>24</v>
      </c>
    </row>
    <row r="46992" ht="15.75" customHeight="1">
      <c r="A46992" s="7"/>
      <c r="B46992" s="7"/>
      <c r="M46992" s="9" t="s">
        <v>21</v>
      </c>
    </row>
    <row r="46993" ht="15.75" customHeight="1">
      <c r="A46993" s="7"/>
      <c r="B46993" s="7"/>
      <c r="M46993" s="9" t="s">
        <v>27</v>
      </c>
    </row>
    <row r="46994" ht="15.75" customHeight="1">
      <c r="A46994" s="7"/>
      <c r="B46994" s="7"/>
      <c r="M46994" s="9" t="s">
        <v>25</v>
      </c>
    </row>
    <row r="46995" ht="15.75" customHeight="1">
      <c r="A46995" s="7"/>
      <c r="B46995" s="7"/>
      <c r="M46995" s="9" t="s">
        <v>23</v>
      </c>
    </row>
    <row r="46996" ht="15.75" customHeight="1">
      <c r="A46996" s="7"/>
      <c r="B46996" s="7"/>
      <c r="M46996" s="9" t="s">
        <v>20</v>
      </c>
    </row>
    <row r="46997" ht="15.75" customHeight="1">
      <c r="A46997" s="7"/>
      <c r="B46997" s="7"/>
      <c r="M46997" s="9" t="s">
        <v>22</v>
      </c>
    </row>
    <row r="46998" ht="15.75" customHeight="1">
      <c r="A46998" s="7"/>
      <c r="B46998" s="7"/>
      <c r="M46998" s="9" t="s">
        <v>27</v>
      </c>
    </row>
    <row r="46999" ht="15.75" customHeight="1">
      <c r="A46999" s="7"/>
      <c r="B46999" s="7"/>
      <c r="M46999" s="9" t="s">
        <v>30</v>
      </c>
    </row>
    <row r="47000" ht="15.75" customHeight="1">
      <c r="A47000" s="7"/>
      <c r="B47000" s="7"/>
      <c r="M47000" s="9" t="s">
        <v>26</v>
      </c>
    </row>
    <row r="47001" ht="15.75" customHeight="1">
      <c r="A47001" s="7"/>
      <c r="B47001" s="7"/>
      <c r="M47001" s="9" t="s">
        <v>40</v>
      </c>
    </row>
    <row r="47002" ht="15.75" customHeight="1">
      <c r="A47002" s="7"/>
      <c r="B47002" s="7"/>
      <c r="M47002" s="9" t="s">
        <v>20</v>
      </c>
    </row>
    <row r="47003" ht="15.75" customHeight="1">
      <c r="A47003" s="7"/>
      <c r="B47003" s="7"/>
      <c r="M47003" s="9" t="s">
        <v>39</v>
      </c>
    </row>
    <row r="47004" ht="15.75" customHeight="1">
      <c r="A47004" s="7"/>
      <c r="B47004" s="7"/>
      <c r="M47004" s="9" t="s">
        <v>41</v>
      </c>
    </row>
    <row r="47005" ht="15.75" customHeight="1">
      <c r="A47005" s="7"/>
      <c r="B47005" s="7"/>
      <c r="M47005" s="9" t="s">
        <v>38</v>
      </c>
    </row>
    <row r="47006" ht="15.75" customHeight="1">
      <c r="A47006" s="7"/>
      <c r="B47006" s="7"/>
      <c r="M47006" s="9" t="s">
        <v>25</v>
      </c>
    </row>
    <row r="47007" ht="15.75" customHeight="1">
      <c r="A47007" s="7"/>
      <c r="B47007" s="7"/>
      <c r="M47007" s="9" t="s">
        <v>20</v>
      </c>
    </row>
    <row r="47008" ht="15.75" customHeight="1">
      <c r="A47008" s="7"/>
      <c r="B47008" s="7"/>
      <c r="M47008" s="9" t="s">
        <v>21</v>
      </c>
    </row>
    <row r="47009" ht="15.75" customHeight="1">
      <c r="A47009" s="7"/>
      <c r="B47009" s="7"/>
      <c r="M47009" s="9" t="s">
        <v>22</v>
      </c>
    </row>
    <row r="47010" ht="15.75" customHeight="1">
      <c r="A47010" s="7"/>
      <c r="B47010" s="7"/>
      <c r="M47010" s="9" t="s">
        <v>22</v>
      </c>
    </row>
    <row r="47011" ht="15.75" customHeight="1">
      <c r="A47011" s="7"/>
      <c r="B47011" s="7"/>
      <c r="M47011" s="9" t="s">
        <v>22</v>
      </c>
    </row>
    <row r="47012" ht="15.75" customHeight="1">
      <c r="A47012" s="7"/>
      <c r="B47012" s="7"/>
      <c r="M47012" s="9" t="s">
        <v>29</v>
      </c>
    </row>
    <row r="47013" ht="15.75" customHeight="1">
      <c r="A47013" s="7"/>
      <c r="B47013" s="7"/>
      <c r="M47013" s="9" t="s">
        <v>27</v>
      </c>
    </row>
    <row r="47014" ht="15.75" customHeight="1">
      <c r="A47014" s="7"/>
      <c r="B47014" s="7"/>
      <c r="M47014" s="9" t="s">
        <v>28</v>
      </c>
    </row>
    <row r="47015" ht="15.75" customHeight="1">
      <c r="A47015" s="7"/>
      <c r="B47015" s="7"/>
      <c r="M47015" s="9" t="s">
        <v>26</v>
      </c>
    </row>
    <row r="47016" ht="15.75" customHeight="1">
      <c r="A47016" s="7"/>
      <c r="B47016" s="7"/>
      <c r="M47016" s="9" t="s">
        <v>24</v>
      </c>
    </row>
    <row r="47017" ht="15.75" customHeight="1">
      <c r="A47017" s="7"/>
      <c r="B47017" s="7"/>
      <c r="M47017" s="9" t="s">
        <v>22</v>
      </c>
    </row>
    <row r="47018" ht="15.75" customHeight="1">
      <c r="A47018" s="7"/>
      <c r="B47018" s="7"/>
      <c r="M47018" s="9" t="s">
        <v>28</v>
      </c>
    </row>
    <row r="47019" ht="15.75" customHeight="1">
      <c r="A47019" s="7"/>
      <c r="B47019" s="7"/>
      <c r="M47019" s="9" t="s">
        <v>25</v>
      </c>
    </row>
    <row r="47020" ht="15.75" customHeight="1">
      <c r="A47020" s="7"/>
      <c r="B47020" s="7"/>
      <c r="M47020" s="9" t="s">
        <v>23</v>
      </c>
    </row>
    <row r="47021" ht="15.75" customHeight="1">
      <c r="A47021" s="7"/>
      <c r="B47021" s="7"/>
      <c r="M47021" s="9" t="s">
        <v>24</v>
      </c>
    </row>
    <row r="47022" ht="15.75" customHeight="1">
      <c r="A47022" s="7"/>
      <c r="B47022" s="7"/>
      <c r="M47022" s="9" t="s">
        <v>20</v>
      </c>
    </row>
    <row r="47023" ht="15.75" customHeight="1">
      <c r="A47023" s="7"/>
      <c r="B47023" s="7"/>
      <c r="M47023" s="9" t="s">
        <v>21</v>
      </c>
    </row>
    <row r="47024" ht="15.75" customHeight="1">
      <c r="A47024" s="7"/>
      <c r="B47024" s="7"/>
      <c r="M47024" s="9" t="s">
        <v>37</v>
      </c>
    </row>
    <row r="47025" ht="15.75" customHeight="1">
      <c r="A47025" s="7"/>
      <c r="B47025" s="7"/>
      <c r="M47025" s="9" t="s">
        <v>27</v>
      </c>
    </row>
    <row r="47026" ht="15.75" customHeight="1">
      <c r="A47026" s="7"/>
      <c r="B47026" s="7"/>
      <c r="M47026" s="9" t="s">
        <v>30</v>
      </c>
    </row>
    <row r="47027" ht="15.75" customHeight="1">
      <c r="A47027" s="7"/>
      <c r="B47027" s="7"/>
      <c r="M47027" s="9" t="s">
        <v>25</v>
      </c>
    </row>
    <row r="47028" ht="15.75" customHeight="1">
      <c r="A47028" s="7"/>
      <c r="B47028" s="7"/>
      <c r="M47028" s="9" t="s">
        <v>23</v>
      </c>
    </row>
    <row r="47029" ht="15.75" customHeight="1">
      <c r="A47029" s="7"/>
      <c r="B47029" s="7"/>
      <c r="M47029" s="9" t="s">
        <v>36</v>
      </c>
    </row>
    <row r="47030" ht="15.75" customHeight="1">
      <c r="A47030" s="7"/>
      <c r="B47030" s="7"/>
      <c r="M47030" s="9" t="s">
        <v>24</v>
      </c>
    </row>
    <row r="47031" ht="15.75" customHeight="1">
      <c r="A47031" s="7"/>
      <c r="B47031" s="7"/>
      <c r="M47031" s="9" t="s">
        <v>20</v>
      </c>
    </row>
    <row r="47032" ht="15.75" customHeight="1">
      <c r="A47032" s="7"/>
      <c r="B47032" s="7"/>
      <c r="M47032" s="9" t="s">
        <v>21</v>
      </c>
    </row>
    <row r="47033" ht="15.75" customHeight="1">
      <c r="A47033" s="7"/>
      <c r="B47033" s="7"/>
      <c r="M47033" s="9" t="s">
        <v>22</v>
      </c>
    </row>
    <row r="47034" ht="15.75" customHeight="1">
      <c r="A47034" s="7"/>
      <c r="B47034" s="7"/>
      <c r="M47034" s="9" t="s">
        <v>42</v>
      </c>
    </row>
    <row r="47035" ht="15.75" customHeight="1">
      <c r="A47035" s="7"/>
      <c r="B47035" s="7"/>
      <c r="M47035" s="9" t="s">
        <v>31</v>
      </c>
    </row>
    <row r="47036" ht="15.75" customHeight="1">
      <c r="A47036" s="7"/>
      <c r="B47036" s="7"/>
      <c r="M47036" s="9" t="s">
        <v>30</v>
      </c>
    </row>
    <row r="47037" ht="15.75" customHeight="1">
      <c r="A47037" s="7"/>
      <c r="B47037" s="7"/>
      <c r="M47037" s="9" t="s">
        <v>25</v>
      </c>
    </row>
    <row r="47038" ht="15.75" customHeight="1">
      <c r="A47038" s="7"/>
      <c r="B47038" s="7"/>
      <c r="M47038" s="9" t="s">
        <v>26</v>
      </c>
    </row>
    <row r="47039" ht="15.75" customHeight="1">
      <c r="A47039" s="7"/>
      <c r="B47039" s="7"/>
      <c r="M47039" s="9" t="s">
        <v>24</v>
      </c>
    </row>
    <row r="47040" ht="15.75" customHeight="1">
      <c r="A47040" s="7"/>
      <c r="B47040" s="7"/>
      <c r="M47040" s="9" t="s">
        <v>20</v>
      </c>
    </row>
    <row r="47041" ht="15.75" customHeight="1">
      <c r="A47041" s="7"/>
      <c r="B47041" s="7"/>
      <c r="M47041" s="9" t="s">
        <v>21</v>
      </c>
    </row>
    <row r="47042" ht="15.75" customHeight="1">
      <c r="A47042" s="7"/>
      <c r="B47042" s="7"/>
      <c r="M47042" s="9" t="s">
        <v>37</v>
      </c>
    </row>
    <row r="47043" ht="15.75" customHeight="1">
      <c r="A47043" s="7"/>
      <c r="B47043" s="7"/>
      <c r="M47043" s="9" t="s">
        <v>22</v>
      </c>
    </row>
    <row r="47044" ht="15.75" customHeight="1">
      <c r="A47044" s="7"/>
      <c r="B47044" s="7"/>
      <c r="M47044" s="9" t="s">
        <v>31</v>
      </c>
    </row>
    <row r="47045" ht="15.75" customHeight="1">
      <c r="A47045" s="7"/>
      <c r="B47045" s="7"/>
      <c r="M47045" s="9" t="s">
        <v>27</v>
      </c>
    </row>
    <row r="47046" ht="15.75" customHeight="1">
      <c r="A47046" s="7"/>
      <c r="B47046" s="7"/>
      <c r="M47046" s="9" t="s">
        <v>24</v>
      </c>
    </row>
    <row r="47047" ht="15.75" customHeight="1">
      <c r="A47047" s="7"/>
      <c r="B47047" s="7"/>
      <c r="M47047" s="9" t="s">
        <v>20</v>
      </c>
    </row>
    <row r="47048" ht="15.75" customHeight="1">
      <c r="A47048" s="7"/>
      <c r="B47048" s="7"/>
      <c r="M47048" s="9" t="s">
        <v>21</v>
      </c>
    </row>
    <row r="47049" ht="15.75" customHeight="1">
      <c r="A47049" s="7"/>
      <c r="B47049" s="7"/>
      <c r="M47049" s="9" t="s">
        <v>24</v>
      </c>
    </row>
    <row r="47050" ht="15.75" customHeight="1">
      <c r="A47050" s="7"/>
      <c r="B47050" s="7"/>
      <c r="M47050" s="9" t="s">
        <v>20</v>
      </c>
    </row>
    <row r="47051" ht="15.75" customHeight="1">
      <c r="A47051" s="7"/>
      <c r="B47051" s="7"/>
      <c r="M47051" s="9" t="s">
        <v>22</v>
      </c>
    </row>
    <row r="47052" ht="15.75" customHeight="1">
      <c r="A47052" s="7"/>
      <c r="B47052" s="7"/>
      <c r="M47052" s="9" t="s">
        <v>29</v>
      </c>
    </row>
    <row r="47053" ht="15.75" customHeight="1">
      <c r="A47053" s="7"/>
      <c r="B47053" s="7"/>
      <c r="M47053" s="9" t="s">
        <v>28</v>
      </c>
    </row>
    <row r="47054" ht="15.75" customHeight="1">
      <c r="A47054" s="7"/>
      <c r="B47054" s="7"/>
      <c r="M47054" s="9" t="s">
        <v>21</v>
      </c>
    </row>
    <row r="47055" ht="15.75" customHeight="1">
      <c r="A47055" s="7"/>
      <c r="B47055" s="7"/>
      <c r="M47055" s="9" t="s">
        <v>33</v>
      </c>
    </row>
    <row r="47056" ht="15.75" customHeight="1">
      <c r="A47056" s="7"/>
      <c r="B47056" s="7"/>
      <c r="M47056" s="9" t="s">
        <v>30</v>
      </c>
    </row>
    <row r="47057" ht="15.75" customHeight="1">
      <c r="A47057" s="7"/>
      <c r="B47057" s="7"/>
      <c r="M47057" s="9" t="s">
        <v>26</v>
      </c>
    </row>
    <row r="47058" ht="15.75" customHeight="1">
      <c r="A47058" s="7"/>
      <c r="B47058" s="7"/>
      <c r="M47058" s="9" t="s">
        <v>24</v>
      </c>
    </row>
    <row r="47059" ht="15.75" customHeight="1">
      <c r="A47059" s="7"/>
      <c r="B47059" s="7"/>
      <c r="M47059" s="9" t="s">
        <v>21</v>
      </c>
    </row>
    <row r="47060" ht="15.75" customHeight="1">
      <c r="A47060" s="7"/>
      <c r="B47060" s="7"/>
      <c r="M47060" s="9" t="s">
        <v>27</v>
      </c>
    </row>
    <row r="47061" ht="15.75" customHeight="1">
      <c r="A47061" s="7"/>
      <c r="B47061" s="7"/>
      <c r="M47061" s="9" t="s">
        <v>38</v>
      </c>
    </row>
    <row r="47062" ht="15.75" customHeight="1">
      <c r="A47062" s="7"/>
      <c r="B47062" s="7"/>
      <c r="M47062" s="9" t="s">
        <v>30</v>
      </c>
    </row>
    <row r="47063" ht="15.75" customHeight="1">
      <c r="A47063" s="7"/>
      <c r="B47063" s="7"/>
      <c r="M47063" s="9" t="s">
        <v>25</v>
      </c>
    </row>
    <row r="47064" ht="15.75" customHeight="1">
      <c r="A47064" s="7"/>
      <c r="B47064" s="7"/>
      <c r="M47064" s="9" t="s">
        <v>23</v>
      </c>
    </row>
    <row r="47065" ht="15.75" customHeight="1">
      <c r="A47065" s="7"/>
      <c r="B47065" s="7"/>
      <c r="M47065" s="9" t="s">
        <v>36</v>
      </c>
    </row>
    <row r="47066" ht="15.75" customHeight="1">
      <c r="A47066" s="7"/>
      <c r="B47066" s="7"/>
      <c r="M47066" s="9" t="s">
        <v>20</v>
      </c>
    </row>
    <row r="47067" ht="15.75" customHeight="1">
      <c r="A47067" s="7"/>
      <c r="B47067" s="7"/>
      <c r="M47067" s="9" t="s">
        <v>21</v>
      </c>
    </row>
    <row r="47068" ht="15.75" customHeight="1">
      <c r="A47068" s="7"/>
      <c r="B47068" s="7"/>
      <c r="M47068" s="9" t="s">
        <v>22</v>
      </c>
    </row>
    <row r="47069" ht="15.75" customHeight="1">
      <c r="A47069" s="7"/>
      <c r="B47069" s="7"/>
      <c r="M47069" s="9" t="s">
        <v>27</v>
      </c>
    </row>
    <row r="47070" ht="15.75" customHeight="1">
      <c r="A47070" s="7"/>
      <c r="B47070" s="7"/>
      <c r="M47070" s="9" t="s">
        <v>30</v>
      </c>
    </row>
    <row r="47071" ht="15.75" customHeight="1">
      <c r="A47071" s="7"/>
      <c r="B47071" s="7"/>
      <c r="M47071" s="9" t="s">
        <v>22</v>
      </c>
    </row>
    <row r="47072" ht="15.75" customHeight="1">
      <c r="A47072" s="7"/>
      <c r="B47072" s="7"/>
      <c r="M47072" s="9" t="s">
        <v>29</v>
      </c>
    </row>
    <row r="47073" ht="15.75" customHeight="1">
      <c r="A47073" s="7"/>
      <c r="B47073" s="7"/>
      <c r="M47073" s="9" t="s">
        <v>27</v>
      </c>
    </row>
    <row r="47074" ht="15.75" customHeight="1">
      <c r="A47074" s="7"/>
      <c r="B47074" s="7"/>
      <c r="M47074" s="9" t="s">
        <v>28</v>
      </c>
    </row>
    <row r="47075" ht="15.75" customHeight="1">
      <c r="A47075" s="7"/>
      <c r="B47075" s="7"/>
      <c r="M47075" s="9" t="s">
        <v>30</v>
      </c>
    </row>
    <row r="47076" ht="15.75" customHeight="1">
      <c r="A47076" s="7"/>
      <c r="B47076" s="7"/>
      <c r="M47076" s="9" t="s">
        <v>25</v>
      </c>
    </row>
    <row r="47077" ht="15.75" customHeight="1">
      <c r="A47077" s="7"/>
      <c r="B47077" s="7"/>
      <c r="M47077" s="9" t="s">
        <v>24</v>
      </c>
    </row>
    <row r="47078" ht="15.75" customHeight="1">
      <c r="A47078" s="7"/>
      <c r="B47078" s="7"/>
      <c r="M47078" s="9" t="s">
        <v>21</v>
      </c>
    </row>
    <row r="47079" ht="15.75" customHeight="1">
      <c r="A47079" s="7"/>
      <c r="B47079" s="7"/>
      <c r="M47079" s="9" t="s">
        <v>41</v>
      </c>
    </row>
    <row r="47080" ht="15.75" customHeight="1">
      <c r="A47080" s="7"/>
      <c r="B47080" s="7"/>
      <c r="M47080" s="9" t="s">
        <v>33</v>
      </c>
    </row>
    <row r="47081" ht="15.75" customHeight="1">
      <c r="A47081" s="7"/>
      <c r="B47081" s="7"/>
      <c r="M47081" s="9" t="s">
        <v>25</v>
      </c>
    </row>
    <row r="47082" ht="15.75" customHeight="1">
      <c r="A47082" s="7"/>
      <c r="B47082" s="7"/>
      <c r="M47082" s="9" t="s">
        <v>26</v>
      </c>
    </row>
    <row r="47083" ht="15.75" customHeight="1">
      <c r="A47083" s="7"/>
      <c r="B47083" s="7"/>
      <c r="M47083" s="9" t="s">
        <v>20</v>
      </c>
    </row>
    <row r="47084" ht="15.75" customHeight="1">
      <c r="A47084" s="7"/>
      <c r="B47084" s="7"/>
      <c r="M47084" s="9" t="s">
        <v>22</v>
      </c>
    </row>
    <row r="47085" ht="15.75" customHeight="1">
      <c r="A47085" s="7"/>
      <c r="B47085" s="7"/>
      <c r="M47085" s="9" t="s">
        <v>26</v>
      </c>
    </row>
    <row r="47086" ht="15.75" customHeight="1">
      <c r="A47086" s="7"/>
      <c r="B47086" s="7"/>
      <c r="M47086" s="9" t="s">
        <v>24</v>
      </c>
    </row>
    <row r="47087" ht="15.75" customHeight="1">
      <c r="A47087" s="7"/>
      <c r="B47087" s="7"/>
      <c r="M47087" s="9" t="s">
        <v>21</v>
      </c>
    </row>
    <row r="47088" ht="15.75" customHeight="1">
      <c r="A47088" s="7"/>
      <c r="B47088" s="7"/>
      <c r="M47088" s="9" t="s">
        <v>27</v>
      </c>
    </row>
    <row r="47089" ht="15.75" customHeight="1">
      <c r="A47089" s="7"/>
      <c r="B47089" s="7"/>
      <c r="M47089" s="9" t="s">
        <v>34</v>
      </c>
    </row>
    <row r="47090" ht="15.75" customHeight="1">
      <c r="A47090" s="7"/>
      <c r="B47090" s="7"/>
      <c r="M47090" s="9" t="s">
        <v>35</v>
      </c>
    </row>
    <row r="47091" ht="15.75" customHeight="1">
      <c r="A47091" s="7"/>
      <c r="B47091" s="7"/>
      <c r="M47091" s="9" t="s">
        <v>38</v>
      </c>
    </row>
    <row r="47092" ht="15.75" customHeight="1">
      <c r="A47092" s="7"/>
      <c r="B47092" s="7"/>
      <c r="M47092" s="9" t="s">
        <v>25</v>
      </c>
    </row>
    <row r="47093" ht="15.75" customHeight="1">
      <c r="A47093" s="7"/>
      <c r="B47093" s="7"/>
      <c r="M47093" s="9" t="s">
        <v>40</v>
      </c>
    </row>
    <row r="47094" ht="15.75" customHeight="1">
      <c r="A47094" s="7"/>
      <c r="B47094" s="7"/>
      <c r="M47094" s="9" t="s">
        <v>41</v>
      </c>
    </row>
    <row r="47095" ht="15.75" customHeight="1">
      <c r="A47095" s="7"/>
      <c r="B47095" s="7"/>
      <c r="M47095" s="9" t="s">
        <v>40</v>
      </c>
    </row>
    <row r="47096" ht="15.75" customHeight="1">
      <c r="A47096" s="7"/>
      <c r="B47096" s="7"/>
      <c r="M47096" s="9" t="s">
        <v>25</v>
      </c>
    </row>
    <row r="47097" ht="15.75" customHeight="1">
      <c r="A47097" s="7"/>
      <c r="B47097" s="7"/>
      <c r="M47097" s="9" t="s">
        <v>23</v>
      </c>
    </row>
    <row r="47098" ht="15.75" customHeight="1">
      <c r="A47098" s="7"/>
      <c r="B47098" s="7"/>
      <c r="M47098" s="9" t="s">
        <v>36</v>
      </c>
    </row>
    <row r="47099" ht="15.75" customHeight="1">
      <c r="A47099" s="7"/>
      <c r="B47099" s="7"/>
      <c r="M47099" s="9" t="s">
        <v>24</v>
      </c>
    </row>
    <row r="47100" ht="15.75" customHeight="1">
      <c r="A47100" s="7"/>
      <c r="B47100" s="7"/>
      <c r="M47100" s="9" t="s">
        <v>21</v>
      </c>
    </row>
    <row r="47101" ht="15.75" customHeight="1">
      <c r="A47101" s="7"/>
      <c r="B47101" s="7"/>
      <c r="M47101" s="9" t="s">
        <v>37</v>
      </c>
    </row>
    <row r="47102" ht="15.75" customHeight="1">
      <c r="A47102" s="7"/>
      <c r="B47102" s="7"/>
      <c r="M47102" s="9" t="s">
        <v>22</v>
      </c>
    </row>
    <row r="47103" ht="15.75" customHeight="1">
      <c r="A47103" s="7"/>
      <c r="B47103" s="7"/>
      <c r="M47103" s="9" t="s">
        <v>27</v>
      </c>
    </row>
    <row r="47104" ht="15.75" customHeight="1">
      <c r="A47104" s="7"/>
      <c r="B47104" s="7"/>
      <c r="M47104" s="9" t="s">
        <v>33</v>
      </c>
    </row>
    <row r="47105" ht="15.75" customHeight="1">
      <c r="A47105" s="7"/>
      <c r="B47105" s="7"/>
      <c r="M47105" s="9" t="s">
        <v>26</v>
      </c>
    </row>
    <row r="47106" ht="15.75" customHeight="1">
      <c r="A47106" s="7"/>
      <c r="B47106" s="7"/>
      <c r="M47106" s="9" t="s">
        <v>24</v>
      </c>
    </row>
    <row r="47107" ht="15.75" customHeight="1">
      <c r="A47107" s="7"/>
      <c r="B47107" s="7"/>
      <c r="M47107" s="9" t="s">
        <v>21</v>
      </c>
    </row>
    <row r="47108" ht="15.75" customHeight="1">
      <c r="A47108" s="7"/>
      <c r="B47108" s="7"/>
      <c r="M47108" s="9" t="s">
        <v>27</v>
      </c>
    </row>
    <row r="47109" ht="15.75" customHeight="1">
      <c r="A47109" s="7"/>
      <c r="B47109" s="7"/>
      <c r="M47109" s="9" t="s">
        <v>33</v>
      </c>
    </row>
    <row r="47110" ht="15.75" customHeight="1">
      <c r="A47110" s="7"/>
      <c r="B47110" s="7"/>
      <c r="M47110" s="9" t="s">
        <v>21</v>
      </c>
    </row>
    <row r="47111" ht="15.75" customHeight="1">
      <c r="A47111" s="7"/>
      <c r="B47111" s="7"/>
      <c r="M47111" s="9" t="s">
        <v>22</v>
      </c>
    </row>
    <row r="47112" ht="15.75" customHeight="1">
      <c r="A47112" s="7"/>
      <c r="B47112" s="7"/>
      <c r="M47112" s="9" t="s">
        <v>25</v>
      </c>
    </row>
    <row r="47113" ht="15.75" customHeight="1">
      <c r="A47113" s="7"/>
      <c r="B47113" s="7"/>
      <c r="M47113" s="9" t="s">
        <v>36</v>
      </c>
    </row>
    <row r="47114" ht="15.75" customHeight="1">
      <c r="A47114" s="7"/>
      <c r="B47114" s="7"/>
      <c r="M47114" s="9" t="s">
        <v>29</v>
      </c>
    </row>
    <row r="47115" ht="15.75" customHeight="1">
      <c r="A47115" s="7"/>
      <c r="B47115" s="7"/>
      <c r="M47115" s="9" t="s">
        <v>24</v>
      </c>
    </row>
    <row r="47116" ht="15.75" customHeight="1">
      <c r="A47116" s="7"/>
      <c r="B47116" s="7"/>
      <c r="M47116" s="9" t="s">
        <v>20</v>
      </c>
    </row>
    <row r="47117" ht="15.75" customHeight="1">
      <c r="A47117" s="7"/>
      <c r="B47117" s="7"/>
      <c r="M47117" s="9" t="s">
        <v>21</v>
      </c>
    </row>
    <row r="47118" ht="15.75" customHeight="1">
      <c r="A47118" s="7"/>
      <c r="B47118" s="7"/>
      <c r="M47118" s="9" t="s">
        <v>37</v>
      </c>
    </row>
    <row r="47119" ht="15.75" customHeight="1">
      <c r="A47119" s="7"/>
      <c r="B47119" s="7"/>
      <c r="M47119" s="9" t="s">
        <v>22</v>
      </c>
    </row>
    <row r="47120" ht="15.75" customHeight="1">
      <c r="A47120" s="7"/>
      <c r="B47120" s="7"/>
      <c r="M47120" s="9" t="s">
        <v>31</v>
      </c>
    </row>
    <row r="47121" ht="15.75" customHeight="1">
      <c r="A47121" s="7"/>
      <c r="B47121" s="7"/>
      <c r="M47121" s="9" t="s">
        <v>27</v>
      </c>
    </row>
    <row r="47122" ht="15.75" customHeight="1">
      <c r="A47122" s="7"/>
      <c r="B47122" s="7"/>
      <c r="M47122" s="9" t="s">
        <v>30</v>
      </c>
    </row>
    <row r="47123" ht="15.75" customHeight="1">
      <c r="A47123" s="7"/>
      <c r="B47123" s="7"/>
      <c r="M47123" s="9" t="s">
        <v>26</v>
      </c>
    </row>
    <row r="47124" ht="15.75" customHeight="1">
      <c r="A47124" s="7"/>
      <c r="B47124" s="7"/>
      <c r="M47124" s="9" t="s">
        <v>26</v>
      </c>
    </row>
    <row r="47125" ht="15.75" customHeight="1">
      <c r="A47125" s="7"/>
      <c r="B47125" s="7"/>
      <c r="M47125" s="9" t="s">
        <v>24</v>
      </c>
    </row>
    <row r="47126" ht="15.75" customHeight="1">
      <c r="A47126" s="7"/>
      <c r="B47126" s="7"/>
      <c r="M47126" s="9" t="s">
        <v>21</v>
      </c>
    </row>
    <row r="47127" ht="15.75" customHeight="1">
      <c r="A47127" s="7"/>
      <c r="B47127" s="7"/>
      <c r="M47127" s="9" t="s">
        <v>22</v>
      </c>
    </row>
    <row r="47128" ht="15.75" customHeight="1">
      <c r="A47128" s="7"/>
      <c r="B47128" s="7"/>
      <c r="M47128" s="9" t="s">
        <v>26</v>
      </c>
    </row>
    <row r="47129" ht="15.75" customHeight="1">
      <c r="A47129" s="7"/>
      <c r="B47129" s="7"/>
      <c r="M47129" s="9" t="s">
        <v>27</v>
      </c>
    </row>
    <row r="47130" ht="15.75" customHeight="1">
      <c r="A47130" s="7"/>
      <c r="B47130" s="7"/>
      <c r="M47130" s="9" t="s">
        <v>23</v>
      </c>
    </row>
    <row r="47131" ht="15.75" customHeight="1">
      <c r="A47131" s="7"/>
      <c r="B47131" s="7"/>
      <c r="M47131" s="9" t="s">
        <v>22</v>
      </c>
    </row>
    <row r="47132" ht="15.75" customHeight="1">
      <c r="A47132" s="7"/>
      <c r="B47132" s="7"/>
      <c r="M47132" s="9" t="s">
        <v>42</v>
      </c>
    </row>
    <row r="47133" ht="15.75" customHeight="1">
      <c r="A47133" s="7"/>
      <c r="B47133" s="7"/>
      <c r="M47133" s="9" t="s">
        <v>21</v>
      </c>
    </row>
    <row r="47134" ht="15.75" customHeight="1">
      <c r="A47134" s="7"/>
      <c r="B47134" s="7"/>
      <c r="M47134" s="9" t="s">
        <v>22</v>
      </c>
    </row>
    <row r="47135" ht="15.75" customHeight="1">
      <c r="A47135" s="7"/>
      <c r="B47135" s="7"/>
      <c r="M47135" s="9" t="s">
        <v>31</v>
      </c>
    </row>
    <row r="47136" ht="15.75" customHeight="1">
      <c r="A47136" s="7"/>
      <c r="B47136" s="7"/>
      <c r="M47136" s="9" t="s">
        <v>25</v>
      </c>
    </row>
    <row r="47137" ht="15.75" customHeight="1">
      <c r="A47137" s="7"/>
      <c r="B47137" s="7"/>
      <c r="M47137" s="9" t="s">
        <v>36</v>
      </c>
    </row>
    <row r="47138" ht="15.75" customHeight="1">
      <c r="A47138" s="7"/>
      <c r="B47138" s="7"/>
      <c r="M47138" s="9" t="s">
        <v>22</v>
      </c>
    </row>
    <row r="47139" ht="15.75" customHeight="1">
      <c r="A47139" s="7"/>
      <c r="B47139" s="7"/>
      <c r="M47139" s="9" t="s">
        <v>30</v>
      </c>
    </row>
    <row r="47140" ht="15.75" customHeight="1">
      <c r="A47140" s="7"/>
      <c r="B47140" s="7"/>
      <c r="M47140" s="9" t="s">
        <v>26</v>
      </c>
    </row>
    <row r="47141" ht="15.75" customHeight="1">
      <c r="A47141" s="7"/>
      <c r="B47141" s="7"/>
      <c r="M47141" s="9" t="s">
        <v>36</v>
      </c>
    </row>
    <row r="47142" ht="15.75" customHeight="1">
      <c r="A47142" s="7"/>
      <c r="B47142" s="7"/>
      <c r="M47142" s="9" t="s">
        <v>24</v>
      </c>
    </row>
    <row r="47143" ht="15.75" customHeight="1">
      <c r="A47143" s="7"/>
      <c r="B47143" s="7"/>
      <c r="M47143" s="9" t="s">
        <v>20</v>
      </c>
    </row>
    <row r="47144" ht="15.75" customHeight="1">
      <c r="A47144" s="7"/>
      <c r="B47144" s="7"/>
      <c r="M47144" s="9" t="s">
        <v>21</v>
      </c>
    </row>
    <row r="47145" ht="15.75" customHeight="1">
      <c r="A47145" s="7"/>
      <c r="B47145" s="7"/>
      <c r="M47145" s="9" t="s">
        <v>27</v>
      </c>
    </row>
    <row r="47146" ht="15.75" customHeight="1">
      <c r="A47146" s="7"/>
      <c r="B47146" s="7"/>
      <c r="M47146" s="9" t="s">
        <v>33</v>
      </c>
    </row>
    <row r="47147" ht="15.75" customHeight="1">
      <c r="A47147" s="7"/>
      <c r="B47147" s="7"/>
      <c r="M47147" s="9" t="s">
        <v>30</v>
      </c>
    </row>
    <row r="47148" ht="15.75" customHeight="1">
      <c r="A47148" s="7"/>
      <c r="B47148" s="7"/>
      <c r="M47148" s="9" t="s">
        <v>24</v>
      </c>
    </row>
    <row r="47149" ht="15.75" customHeight="1">
      <c r="A47149" s="7"/>
      <c r="B47149" s="7"/>
      <c r="M47149" s="9" t="s">
        <v>20</v>
      </c>
    </row>
    <row r="47150" ht="15.75" customHeight="1">
      <c r="A47150" s="7"/>
      <c r="B47150" s="7"/>
      <c r="M47150" s="9" t="s">
        <v>21</v>
      </c>
    </row>
    <row r="47151" ht="15.75" customHeight="1">
      <c r="A47151" s="7"/>
      <c r="B47151" s="7"/>
      <c r="M47151" s="9" t="s">
        <v>37</v>
      </c>
    </row>
    <row r="47152" ht="15.75" customHeight="1">
      <c r="A47152" s="7"/>
      <c r="B47152" s="7"/>
      <c r="M47152" s="9" t="s">
        <v>22</v>
      </c>
    </row>
    <row r="47153" ht="15.75" customHeight="1">
      <c r="A47153" s="7"/>
      <c r="B47153" s="7"/>
      <c r="M47153" s="9" t="s">
        <v>27</v>
      </c>
    </row>
    <row r="47154" ht="15.75" customHeight="1">
      <c r="A47154" s="7"/>
      <c r="B47154" s="7"/>
      <c r="M47154" s="9" t="s">
        <v>30</v>
      </c>
    </row>
    <row r="47155" ht="15.75" customHeight="1">
      <c r="A47155" s="7"/>
      <c r="B47155" s="7"/>
      <c r="M47155" s="9" t="s">
        <v>24</v>
      </c>
    </row>
    <row r="47156" ht="15.75" customHeight="1">
      <c r="A47156" s="7"/>
      <c r="B47156" s="7"/>
      <c r="M47156" s="9" t="s">
        <v>20</v>
      </c>
    </row>
    <row r="47157" ht="15.75" customHeight="1">
      <c r="A47157" s="7"/>
      <c r="B47157" s="7"/>
      <c r="M47157" s="9" t="s">
        <v>21</v>
      </c>
    </row>
    <row r="47158" ht="15.75" customHeight="1">
      <c r="A47158" s="7"/>
      <c r="B47158" s="7"/>
      <c r="M47158" s="9" t="s">
        <v>22</v>
      </c>
    </row>
    <row r="47159" ht="15.75" customHeight="1">
      <c r="A47159" s="7"/>
      <c r="B47159" s="7"/>
      <c r="M47159" s="9" t="s">
        <v>27</v>
      </c>
    </row>
    <row r="47160" ht="15.75" customHeight="1">
      <c r="A47160" s="7"/>
      <c r="B47160" s="7"/>
      <c r="M47160" s="9" t="s">
        <v>26</v>
      </c>
    </row>
    <row r="47161" ht="15.75" customHeight="1">
      <c r="A47161" s="7"/>
      <c r="B47161" s="7"/>
      <c r="M47161" s="9" t="s">
        <v>24</v>
      </c>
    </row>
    <row r="47162" ht="15.75" customHeight="1">
      <c r="A47162" s="7"/>
      <c r="B47162" s="7"/>
      <c r="M47162" s="9" t="s">
        <v>21</v>
      </c>
    </row>
    <row r="47163" ht="15.75" customHeight="1">
      <c r="A47163" s="7"/>
      <c r="B47163" s="7"/>
      <c r="M47163" s="9" t="s">
        <v>33</v>
      </c>
    </row>
    <row r="47164" ht="15.75" customHeight="1">
      <c r="A47164" s="7"/>
      <c r="B47164" s="7"/>
      <c r="M47164" s="9" t="s">
        <v>35</v>
      </c>
    </row>
    <row r="47165" ht="15.75" customHeight="1">
      <c r="A47165" s="7"/>
      <c r="B47165" s="7"/>
      <c r="M47165" s="9" t="s">
        <v>24</v>
      </c>
    </row>
    <row r="47166" ht="15.75" customHeight="1">
      <c r="A47166" s="7"/>
      <c r="B47166" s="7"/>
      <c r="M47166" s="9" t="s">
        <v>37</v>
      </c>
    </row>
    <row r="47167" ht="15.75" customHeight="1">
      <c r="A47167" s="7"/>
      <c r="B47167" s="7"/>
      <c r="M47167" s="9" t="s">
        <v>22</v>
      </c>
    </row>
    <row r="47168" ht="15.75" customHeight="1">
      <c r="A47168" s="7"/>
      <c r="B47168" s="7"/>
      <c r="M47168" s="9" t="s">
        <v>30</v>
      </c>
    </row>
    <row r="47169" ht="15.75" customHeight="1">
      <c r="A47169" s="7"/>
      <c r="B47169" s="7"/>
      <c r="M47169" s="9" t="s">
        <v>36</v>
      </c>
    </row>
    <row r="47170" ht="15.75" customHeight="1">
      <c r="A47170" s="7"/>
      <c r="B47170" s="7"/>
      <c r="M47170" s="9" t="s">
        <v>22</v>
      </c>
    </row>
    <row r="47171" ht="15.75" customHeight="1">
      <c r="A47171" s="7"/>
      <c r="B47171" s="7"/>
      <c r="M47171" s="9" t="s">
        <v>32</v>
      </c>
    </row>
    <row r="47172" ht="15.75" customHeight="1">
      <c r="A47172" s="7"/>
      <c r="B47172" s="7"/>
      <c r="M47172" s="9" t="s">
        <v>30</v>
      </c>
    </row>
    <row r="47173" ht="15.75" customHeight="1">
      <c r="A47173" s="7"/>
      <c r="B47173" s="7"/>
      <c r="M47173" s="9" t="s">
        <v>24</v>
      </c>
    </row>
    <row r="47174" ht="15.75" customHeight="1">
      <c r="A47174" s="7"/>
      <c r="B47174" s="7"/>
      <c r="M47174" s="9" t="s">
        <v>21</v>
      </c>
    </row>
    <row r="47175" ht="15.75" customHeight="1">
      <c r="A47175" s="7"/>
      <c r="B47175" s="7"/>
      <c r="M47175" s="9" t="s">
        <v>22</v>
      </c>
    </row>
    <row r="47176" ht="15.75" customHeight="1">
      <c r="A47176" s="7"/>
      <c r="B47176" s="7"/>
      <c r="M47176" s="9" t="s">
        <v>29</v>
      </c>
    </row>
    <row r="47177" ht="15.75" customHeight="1">
      <c r="A47177" s="7"/>
      <c r="B47177" s="7"/>
      <c r="M47177" s="9" t="s">
        <v>27</v>
      </c>
    </row>
    <row r="47178" ht="15.75" customHeight="1">
      <c r="A47178" s="7"/>
      <c r="B47178" s="7"/>
      <c r="M47178" s="9" t="s">
        <v>25</v>
      </c>
    </row>
    <row r="47179" ht="15.75" customHeight="1">
      <c r="A47179" s="7"/>
      <c r="B47179" s="7"/>
      <c r="M47179" s="9" t="s">
        <v>23</v>
      </c>
    </row>
    <row r="47180" ht="15.75" customHeight="1">
      <c r="A47180" s="7"/>
      <c r="B47180" s="7"/>
      <c r="M47180" s="9" t="s">
        <v>26</v>
      </c>
    </row>
    <row r="47181" ht="15.75" customHeight="1">
      <c r="A47181" s="7"/>
      <c r="B47181" s="7"/>
      <c r="M47181" s="9" t="s">
        <v>20</v>
      </c>
    </row>
    <row r="47182" ht="15.75" customHeight="1">
      <c r="A47182" s="7"/>
      <c r="B47182" s="7"/>
      <c r="M47182" s="9" t="s">
        <v>27</v>
      </c>
    </row>
    <row r="47183" ht="15.75" customHeight="1">
      <c r="A47183" s="7"/>
      <c r="B47183" s="7"/>
      <c r="M47183" s="9" t="s">
        <v>26</v>
      </c>
    </row>
    <row r="47184" ht="15.75" customHeight="1">
      <c r="A47184" s="7"/>
      <c r="B47184" s="7"/>
      <c r="M47184" s="9" t="s">
        <v>24</v>
      </c>
    </row>
    <row r="47185" ht="15.75" customHeight="1">
      <c r="A47185" s="7"/>
      <c r="B47185" s="7"/>
      <c r="M47185" s="9" t="s">
        <v>21</v>
      </c>
    </row>
    <row r="47186" ht="15.75" customHeight="1">
      <c r="A47186" s="7"/>
      <c r="B47186" s="7"/>
      <c r="M47186" s="9" t="s">
        <v>37</v>
      </c>
    </row>
    <row r="47187" ht="15.75" customHeight="1">
      <c r="A47187" s="7"/>
      <c r="B47187" s="7"/>
      <c r="M47187" s="9" t="s">
        <v>22</v>
      </c>
    </row>
    <row r="47188" ht="15.75" customHeight="1">
      <c r="A47188" s="7"/>
      <c r="B47188" s="7"/>
      <c r="M47188" s="9" t="s">
        <v>33</v>
      </c>
    </row>
    <row r="47189" ht="15.75" customHeight="1">
      <c r="A47189" s="7"/>
      <c r="B47189" s="7"/>
      <c r="M47189" s="9" t="s">
        <v>26</v>
      </c>
    </row>
    <row r="47190" ht="15.75" customHeight="1">
      <c r="A47190" s="7"/>
      <c r="B47190" s="7"/>
      <c r="M47190" s="9" t="s">
        <v>24</v>
      </c>
    </row>
    <row r="47191" ht="15.75" customHeight="1">
      <c r="A47191" s="7"/>
      <c r="B47191" s="7"/>
      <c r="M47191" s="9" t="s">
        <v>20</v>
      </c>
    </row>
    <row r="47192" ht="15.75" customHeight="1">
      <c r="A47192" s="7"/>
      <c r="B47192" s="7"/>
      <c r="M47192" s="9" t="s">
        <v>21</v>
      </c>
    </row>
    <row r="47193" ht="15.75" customHeight="1">
      <c r="A47193" s="7"/>
      <c r="B47193" s="7"/>
      <c r="M47193" s="9" t="s">
        <v>27</v>
      </c>
    </row>
    <row r="47194" ht="15.75" customHeight="1">
      <c r="A47194" s="7"/>
      <c r="B47194" s="7"/>
      <c r="M47194" s="9" t="s">
        <v>33</v>
      </c>
    </row>
    <row r="47195" ht="15.75" customHeight="1">
      <c r="A47195" s="7"/>
      <c r="B47195" s="7"/>
      <c r="M47195" s="9" t="s">
        <v>30</v>
      </c>
    </row>
    <row r="47196" ht="15.75" customHeight="1">
      <c r="A47196" s="7"/>
      <c r="B47196" s="7"/>
      <c r="M47196" s="9" t="s">
        <v>24</v>
      </c>
    </row>
    <row r="47197" ht="15.75" customHeight="1">
      <c r="A47197" s="7"/>
      <c r="B47197" s="7"/>
      <c r="M47197" s="9" t="s">
        <v>21</v>
      </c>
    </row>
    <row r="47198" ht="15.75" customHeight="1">
      <c r="A47198" s="7"/>
      <c r="B47198" s="7"/>
      <c r="M47198" s="9" t="s">
        <v>22</v>
      </c>
    </row>
    <row r="47199" ht="15.75" customHeight="1">
      <c r="A47199" s="7"/>
      <c r="B47199" s="7"/>
      <c r="M47199" s="9" t="s">
        <v>31</v>
      </c>
    </row>
    <row r="47200" ht="15.75" customHeight="1">
      <c r="A47200" s="7"/>
      <c r="B47200" s="7"/>
      <c r="M47200" s="9" t="s">
        <v>40</v>
      </c>
    </row>
    <row r="47201" ht="15.75" customHeight="1">
      <c r="A47201" s="7"/>
      <c r="B47201" s="7"/>
      <c r="M47201" s="9" t="s">
        <v>30</v>
      </c>
    </row>
    <row r="47202" ht="15.75" customHeight="1">
      <c r="A47202" s="7"/>
      <c r="B47202" s="7"/>
      <c r="M47202" s="9" t="s">
        <v>24</v>
      </c>
    </row>
    <row r="47203" ht="15.75" customHeight="1">
      <c r="A47203" s="7"/>
      <c r="B47203" s="7"/>
      <c r="M47203" s="9" t="s">
        <v>21</v>
      </c>
    </row>
    <row r="47204" ht="15.75" customHeight="1">
      <c r="A47204" s="7"/>
      <c r="B47204" s="7"/>
      <c r="M47204" s="9" t="s">
        <v>37</v>
      </c>
    </row>
    <row r="47205" ht="15.75" customHeight="1">
      <c r="A47205" s="7"/>
      <c r="B47205" s="7"/>
      <c r="M47205" s="9" t="s">
        <v>33</v>
      </c>
    </row>
    <row r="47206" ht="15.75" customHeight="1">
      <c r="A47206" s="7"/>
      <c r="B47206" s="7"/>
      <c r="M47206" s="9" t="s">
        <v>26</v>
      </c>
    </row>
    <row r="47207" ht="15.75" customHeight="1">
      <c r="A47207" s="7"/>
      <c r="B47207" s="7"/>
      <c r="M47207" s="9" t="s">
        <v>24</v>
      </c>
    </row>
    <row r="47208" ht="15.75" customHeight="1">
      <c r="A47208" s="7"/>
      <c r="B47208" s="7"/>
      <c r="M47208" s="9" t="s">
        <v>21</v>
      </c>
    </row>
    <row r="47209" ht="15.75" customHeight="1">
      <c r="A47209" s="7"/>
      <c r="B47209" s="7"/>
      <c r="M47209" s="9" t="s">
        <v>37</v>
      </c>
    </row>
    <row r="47210" ht="15.75" customHeight="1">
      <c r="A47210" s="7"/>
      <c r="B47210" s="7"/>
      <c r="M47210" s="9" t="s">
        <v>27</v>
      </c>
    </row>
    <row r="47211" ht="15.75" customHeight="1">
      <c r="A47211" s="7"/>
      <c r="B47211" s="7"/>
      <c r="M47211" s="9" t="s">
        <v>33</v>
      </c>
    </row>
    <row r="47212" ht="15.75" customHeight="1">
      <c r="A47212" s="7"/>
      <c r="B47212" s="7"/>
      <c r="M47212" s="9" t="s">
        <v>26</v>
      </c>
    </row>
    <row r="47213" ht="15.75" customHeight="1">
      <c r="A47213" s="7"/>
      <c r="B47213" s="7"/>
      <c r="M47213" s="9" t="s">
        <v>27</v>
      </c>
    </row>
    <row r="47214" ht="15.75" customHeight="1">
      <c r="A47214" s="7"/>
      <c r="B47214" s="7"/>
      <c r="M47214" s="9" t="s">
        <v>26</v>
      </c>
    </row>
    <row r="47215" ht="15.75" customHeight="1">
      <c r="A47215" s="7"/>
      <c r="B47215" s="7"/>
      <c r="M47215" s="9" t="s">
        <v>24</v>
      </c>
    </row>
    <row r="47216" ht="15.75" customHeight="1">
      <c r="A47216" s="7"/>
      <c r="B47216" s="7"/>
      <c r="M47216" s="9" t="s">
        <v>21</v>
      </c>
    </row>
    <row r="47217" ht="15.75" customHeight="1">
      <c r="A47217" s="7"/>
      <c r="B47217" s="7"/>
      <c r="M47217" s="9" t="s">
        <v>27</v>
      </c>
    </row>
    <row r="47218" ht="15.75" customHeight="1">
      <c r="A47218" s="7"/>
      <c r="B47218" s="7"/>
      <c r="M47218" s="9" t="s">
        <v>38</v>
      </c>
    </row>
    <row r="47219" ht="15.75" customHeight="1">
      <c r="A47219" s="7"/>
      <c r="B47219" s="7"/>
      <c r="M47219" s="9" t="s">
        <v>30</v>
      </c>
    </row>
    <row r="47220" ht="15.75" customHeight="1">
      <c r="A47220" s="7"/>
      <c r="B47220" s="7"/>
      <c r="M47220" s="9" t="s">
        <v>25</v>
      </c>
    </row>
    <row r="47221" ht="15.75" customHeight="1">
      <c r="A47221" s="7"/>
      <c r="B47221" s="7"/>
      <c r="M47221" s="9" t="s">
        <v>23</v>
      </c>
    </row>
    <row r="47222" ht="15.75" customHeight="1">
      <c r="A47222" s="7"/>
      <c r="B47222" s="7"/>
      <c r="M47222" s="9" t="s">
        <v>26</v>
      </c>
    </row>
    <row r="47223" ht="15.75" customHeight="1">
      <c r="A47223" s="7"/>
      <c r="B47223" s="7"/>
      <c r="M47223" s="9" t="s">
        <v>47</v>
      </c>
    </row>
    <row r="47224" ht="15.75" customHeight="1">
      <c r="A47224" s="7"/>
      <c r="B47224" s="7"/>
      <c r="M47224" s="9" t="s">
        <v>24</v>
      </c>
    </row>
    <row r="47225" ht="15.75" customHeight="1">
      <c r="A47225" s="7"/>
      <c r="B47225" s="7"/>
      <c r="M47225" s="9" t="s">
        <v>20</v>
      </c>
    </row>
    <row r="47226" ht="15.75" customHeight="1">
      <c r="A47226" s="7"/>
      <c r="B47226" s="7"/>
      <c r="M47226" s="9" t="s">
        <v>21</v>
      </c>
    </row>
    <row r="47227" ht="15.75" customHeight="1">
      <c r="A47227" s="7"/>
      <c r="B47227" s="7"/>
      <c r="M47227" s="9" t="s">
        <v>22</v>
      </c>
    </row>
    <row r="47228" ht="15.75" customHeight="1">
      <c r="A47228" s="7"/>
      <c r="B47228" s="7"/>
      <c r="M47228" s="9" t="s">
        <v>29</v>
      </c>
    </row>
    <row r="47229" ht="15.75" customHeight="1">
      <c r="A47229" s="7"/>
      <c r="B47229" s="7"/>
      <c r="M47229" s="9" t="s">
        <v>32</v>
      </c>
    </row>
    <row r="47230" ht="15.75" customHeight="1">
      <c r="A47230" s="7"/>
      <c r="B47230" s="7"/>
      <c r="M47230" s="9" t="s">
        <v>27</v>
      </c>
    </row>
    <row r="47231" ht="15.75" customHeight="1">
      <c r="A47231" s="7"/>
      <c r="B47231" s="7"/>
      <c r="M47231" s="9" t="s">
        <v>33</v>
      </c>
    </row>
    <row r="47232" ht="15.75" customHeight="1">
      <c r="A47232" s="7"/>
      <c r="B47232" s="7"/>
      <c r="M47232" s="9" t="s">
        <v>20</v>
      </c>
    </row>
    <row r="47233" ht="15.75" customHeight="1">
      <c r="A47233" s="7"/>
      <c r="B47233" s="7"/>
      <c r="M47233" s="9" t="s">
        <v>37</v>
      </c>
    </row>
    <row r="47234" ht="15.75" customHeight="1">
      <c r="A47234" s="7"/>
      <c r="B47234" s="7"/>
      <c r="M47234" s="9" t="s">
        <v>32</v>
      </c>
    </row>
    <row r="47235" ht="15.75" customHeight="1">
      <c r="A47235" s="7"/>
      <c r="B47235" s="7"/>
      <c r="M47235" s="9" t="s">
        <v>30</v>
      </c>
    </row>
    <row r="47236" ht="15.75" customHeight="1">
      <c r="A47236" s="7"/>
      <c r="B47236" s="7"/>
      <c r="M47236" s="9" t="s">
        <v>22</v>
      </c>
    </row>
    <row r="47237" ht="15.75" customHeight="1">
      <c r="A47237" s="7"/>
      <c r="B47237" s="7"/>
      <c r="M47237" s="9" t="s">
        <v>35</v>
      </c>
    </row>
    <row r="47238" ht="15.75" customHeight="1">
      <c r="A47238" s="7"/>
      <c r="B47238" s="7"/>
      <c r="M47238" s="9" t="s">
        <v>20</v>
      </c>
    </row>
    <row r="47239" ht="15.75" customHeight="1">
      <c r="A47239" s="7"/>
      <c r="B47239" s="7"/>
      <c r="M47239" s="9" t="s">
        <v>22</v>
      </c>
    </row>
    <row r="47240" ht="15.75" customHeight="1">
      <c r="A47240" s="7"/>
      <c r="B47240" s="7"/>
      <c r="M47240" s="9" t="s">
        <v>29</v>
      </c>
    </row>
    <row r="47241" ht="15.75" customHeight="1">
      <c r="A47241" s="7"/>
      <c r="B47241" s="7"/>
      <c r="M47241" s="9" t="s">
        <v>28</v>
      </c>
    </row>
    <row r="47242" ht="15.75" customHeight="1">
      <c r="A47242" s="7"/>
      <c r="B47242" s="7"/>
      <c r="M47242" s="9" t="s">
        <v>23</v>
      </c>
    </row>
    <row r="47243" ht="15.75" customHeight="1">
      <c r="A47243" s="7"/>
      <c r="B47243" s="7"/>
      <c r="M47243" s="9" t="s">
        <v>26</v>
      </c>
    </row>
    <row r="47244" ht="15.75" customHeight="1">
      <c r="A47244" s="7"/>
      <c r="B47244" s="7"/>
      <c r="M47244" s="9" t="s">
        <v>24</v>
      </c>
    </row>
    <row r="47245" ht="15.75" customHeight="1">
      <c r="A47245" s="7"/>
      <c r="B47245" s="7"/>
      <c r="M47245" s="9" t="s">
        <v>20</v>
      </c>
    </row>
    <row r="47246" ht="15.75" customHeight="1">
      <c r="A47246" s="7"/>
      <c r="B47246" s="7"/>
      <c r="M47246" s="9" t="s">
        <v>21</v>
      </c>
    </row>
    <row r="47247" ht="15.75" customHeight="1">
      <c r="A47247" s="7"/>
      <c r="B47247" s="7"/>
      <c r="M47247" s="9" t="s">
        <v>37</v>
      </c>
    </row>
    <row r="47248" ht="15.75" customHeight="1">
      <c r="A47248" s="7"/>
      <c r="B47248" s="7"/>
      <c r="M47248" s="9" t="s">
        <v>31</v>
      </c>
    </row>
    <row r="47249" ht="15.75" customHeight="1">
      <c r="A47249" s="7"/>
      <c r="B47249" s="7"/>
      <c r="M47249" s="9" t="s">
        <v>27</v>
      </c>
    </row>
    <row r="47250" ht="15.75" customHeight="1">
      <c r="A47250" s="7"/>
      <c r="B47250" s="7"/>
      <c r="M47250" s="9" t="s">
        <v>38</v>
      </c>
    </row>
    <row r="47251" ht="15.75" customHeight="1">
      <c r="A47251" s="7"/>
      <c r="B47251" s="7"/>
      <c r="M47251" s="9" t="s">
        <v>30</v>
      </c>
    </row>
    <row r="47252" ht="15.75" customHeight="1">
      <c r="A47252" s="7"/>
      <c r="B47252" s="7"/>
      <c r="M47252" s="9" t="s">
        <v>25</v>
      </c>
    </row>
    <row r="47253" ht="15.75" customHeight="1">
      <c r="A47253" s="7"/>
      <c r="B47253" s="7"/>
      <c r="M47253" s="9" t="s">
        <v>23</v>
      </c>
    </row>
    <row r="47254" ht="15.75" customHeight="1">
      <c r="A47254" s="7"/>
      <c r="B47254" s="7"/>
      <c r="M47254" s="9" t="s">
        <v>20</v>
      </c>
    </row>
    <row r="47255" ht="15.75" customHeight="1">
      <c r="A47255" s="7"/>
      <c r="B47255" s="7"/>
      <c r="M47255" s="9" t="s">
        <v>21</v>
      </c>
    </row>
    <row r="47256" ht="15.75" customHeight="1">
      <c r="A47256" s="7"/>
      <c r="B47256" s="7"/>
      <c r="M47256" s="9" t="s">
        <v>22</v>
      </c>
    </row>
    <row r="47257" ht="15.75" customHeight="1">
      <c r="A47257" s="7"/>
      <c r="B47257" s="7"/>
      <c r="M47257" s="9" t="s">
        <v>27</v>
      </c>
    </row>
    <row r="47258" ht="15.75" customHeight="1">
      <c r="A47258" s="7"/>
      <c r="B47258" s="7"/>
      <c r="M47258" s="9" t="s">
        <v>35</v>
      </c>
    </row>
    <row r="47259" ht="15.75" customHeight="1">
      <c r="A47259" s="7"/>
      <c r="B47259" s="7"/>
      <c r="M47259" s="9" t="s">
        <v>26</v>
      </c>
    </row>
    <row r="47260" ht="15.75" customHeight="1">
      <c r="A47260" s="7"/>
      <c r="B47260" s="7"/>
      <c r="M47260" s="9" t="s">
        <v>24</v>
      </c>
    </row>
    <row r="47261" ht="15.75" customHeight="1">
      <c r="A47261" s="7"/>
      <c r="B47261" s="7"/>
      <c r="M47261" s="9" t="s">
        <v>21</v>
      </c>
    </row>
    <row r="47262" ht="15.75" customHeight="1">
      <c r="A47262" s="7"/>
      <c r="B47262" s="7"/>
      <c r="M47262" s="9" t="s">
        <v>27</v>
      </c>
    </row>
    <row r="47263" ht="15.75" customHeight="1">
      <c r="A47263" s="7"/>
      <c r="B47263" s="7"/>
      <c r="M47263" s="9" t="s">
        <v>24</v>
      </c>
    </row>
    <row r="47264" ht="15.75" customHeight="1">
      <c r="A47264" s="7"/>
      <c r="B47264" s="7"/>
      <c r="M47264" s="9" t="s">
        <v>21</v>
      </c>
    </row>
    <row r="47265" ht="15.75" customHeight="1">
      <c r="A47265" s="7"/>
      <c r="B47265" s="7"/>
      <c r="M47265" s="9" t="s">
        <v>22</v>
      </c>
    </row>
    <row r="47266" ht="15.75" customHeight="1">
      <c r="A47266" s="7"/>
      <c r="B47266" s="7"/>
      <c r="M47266" s="9" t="s">
        <v>30</v>
      </c>
    </row>
    <row r="47267" ht="15.75" customHeight="1">
      <c r="A47267" s="7"/>
      <c r="B47267" s="7"/>
      <c r="M47267" s="9" t="s">
        <v>24</v>
      </c>
    </row>
    <row r="47268" ht="15.75" customHeight="1">
      <c r="A47268" s="7"/>
      <c r="B47268" s="7"/>
      <c r="M47268" s="9" t="s">
        <v>21</v>
      </c>
    </row>
    <row r="47269" ht="15.75" customHeight="1">
      <c r="A47269" s="7"/>
      <c r="B47269" s="7"/>
      <c r="M47269" s="9" t="s">
        <v>37</v>
      </c>
    </row>
    <row r="47270" ht="15.75" customHeight="1">
      <c r="A47270" s="7"/>
      <c r="B47270" s="7"/>
      <c r="M47270" s="9" t="s">
        <v>27</v>
      </c>
    </row>
    <row r="47271" ht="15.75" customHeight="1">
      <c r="A47271" s="7"/>
      <c r="B47271" s="7"/>
      <c r="M47271" s="9" t="s">
        <v>20</v>
      </c>
    </row>
    <row r="47272" ht="15.75" customHeight="1">
      <c r="A47272" s="7"/>
      <c r="B47272" s="7"/>
      <c r="M47272" s="9" t="s">
        <v>27</v>
      </c>
    </row>
    <row r="47273" ht="15.75" customHeight="1">
      <c r="A47273" s="7"/>
      <c r="B47273" s="7"/>
      <c r="M47273" s="9" t="s">
        <v>24</v>
      </c>
    </row>
    <row r="47274" ht="15.75" customHeight="1">
      <c r="A47274" s="7"/>
      <c r="B47274" s="7"/>
      <c r="M47274" s="9" t="s">
        <v>21</v>
      </c>
    </row>
    <row r="47275" ht="15.75" customHeight="1">
      <c r="A47275" s="7"/>
      <c r="B47275" s="7"/>
      <c r="M47275" s="9" t="s">
        <v>33</v>
      </c>
    </row>
    <row r="47276" ht="15.75" customHeight="1">
      <c r="A47276" s="7"/>
      <c r="B47276" s="7"/>
      <c r="M47276" s="9" t="s">
        <v>30</v>
      </c>
    </row>
    <row r="47277" ht="15.75" customHeight="1">
      <c r="A47277" s="7"/>
      <c r="B47277" s="7"/>
      <c r="M47277" s="9" t="s">
        <v>21</v>
      </c>
    </row>
    <row r="47278" ht="15.75" customHeight="1">
      <c r="A47278" s="7"/>
      <c r="B47278" s="7"/>
      <c r="M47278" s="9" t="s">
        <v>40</v>
      </c>
    </row>
    <row r="47279" ht="15.75" customHeight="1">
      <c r="A47279" s="7"/>
      <c r="B47279" s="7"/>
      <c r="M47279" s="9" t="s">
        <v>25</v>
      </c>
    </row>
    <row r="47280" ht="15.75" customHeight="1">
      <c r="A47280" s="7"/>
      <c r="B47280" s="7"/>
      <c r="M47280" s="9" t="s">
        <v>23</v>
      </c>
    </row>
    <row r="47281" ht="15.75" customHeight="1">
      <c r="A47281" s="7"/>
      <c r="B47281" s="7"/>
      <c r="M47281" s="9" t="s">
        <v>26</v>
      </c>
    </row>
    <row r="47282" ht="15.75" customHeight="1">
      <c r="A47282" s="7"/>
      <c r="B47282" s="7"/>
      <c r="M47282" s="9" t="s">
        <v>36</v>
      </c>
    </row>
    <row r="47283" ht="15.75" customHeight="1">
      <c r="A47283" s="7"/>
      <c r="B47283" s="7"/>
      <c r="M47283" s="9" t="s">
        <v>24</v>
      </c>
    </row>
    <row r="47284" ht="15.75" customHeight="1">
      <c r="A47284" s="7"/>
      <c r="B47284" s="7"/>
      <c r="M47284" s="9" t="s">
        <v>20</v>
      </c>
    </row>
    <row r="47285" ht="15.75" customHeight="1">
      <c r="A47285" s="7"/>
      <c r="B47285" s="7"/>
      <c r="M47285" s="9" t="s">
        <v>21</v>
      </c>
    </row>
    <row r="47286" ht="15.75" customHeight="1">
      <c r="A47286" s="7"/>
      <c r="B47286" s="7"/>
      <c r="M47286" s="9" t="s">
        <v>37</v>
      </c>
    </row>
    <row r="47287" ht="15.75" customHeight="1">
      <c r="A47287" s="7"/>
      <c r="B47287" s="7"/>
      <c r="M47287" s="9" t="s">
        <v>33</v>
      </c>
    </row>
    <row r="47288" ht="15.75" customHeight="1">
      <c r="A47288" s="7"/>
      <c r="B47288" s="7"/>
      <c r="M47288" s="9" t="s">
        <v>30</v>
      </c>
    </row>
    <row r="47289" ht="15.75" customHeight="1">
      <c r="A47289" s="7"/>
      <c r="B47289" s="7"/>
      <c r="M47289" s="9" t="s">
        <v>22</v>
      </c>
    </row>
    <row r="47290" ht="15.75" customHeight="1">
      <c r="A47290" s="7"/>
      <c r="B47290" s="7"/>
      <c r="M47290" s="9" t="s">
        <v>27</v>
      </c>
    </row>
    <row r="47291" ht="15.75" customHeight="1">
      <c r="A47291" s="7"/>
      <c r="B47291" s="7"/>
      <c r="M47291" s="9" t="s">
        <v>26</v>
      </c>
    </row>
    <row r="47292" ht="15.75" customHeight="1">
      <c r="A47292" s="7"/>
      <c r="B47292" s="7"/>
      <c r="M47292" s="9" t="s">
        <v>24</v>
      </c>
    </row>
    <row r="47293" ht="15.75" customHeight="1">
      <c r="A47293" s="7"/>
      <c r="B47293" s="7"/>
      <c r="M47293" s="9" t="s">
        <v>21</v>
      </c>
    </row>
    <row r="47294" ht="15.75" customHeight="1">
      <c r="A47294" s="7"/>
      <c r="B47294" s="7"/>
      <c r="M47294" s="9" t="s">
        <v>27</v>
      </c>
    </row>
    <row r="47295" ht="15.75" customHeight="1">
      <c r="A47295" s="7"/>
      <c r="B47295" s="7"/>
      <c r="M47295" s="9" t="s">
        <v>22</v>
      </c>
    </row>
    <row r="47296" ht="15.75" customHeight="1">
      <c r="A47296" s="7"/>
      <c r="B47296" s="7"/>
      <c r="M47296" s="9" t="s">
        <v>25</v>
      </c>
    </row>
    <row r="47297" ht="15.75" customHeight="1">
      <c r="A47297" s="7"/>
      <c r="B47297" s="7"/>
      <c r="M47297" s="9" t="s">
        <v>23</v>
      </c>
    </row>
    <row r="47298" ht="15.75" customHeight="1">
      <c r="A47298" s="7"/>
      <c r="B47298" s="7"/>
      <c r="M47298" s="9" t="s">
        <v>26</v>
      </c>
    </row>
    <row r="47299" ht="15.75" customHeight="1">
      <c r="A47299" s="7"/>
      <c r="B47299" s="7"/>
      <c r="M47299" s="9" t="s">
        <v>22</v>
      </c>
    </row>
    <row r="47300" ht="15.75" customHeight="1">
      <c r="A47300" s="7"/>
      <c r="B47300" s="7"/>
      <c r="M47300" s="9" t="s">
        <v>24</v>
      </c>
    </row>
    <row r="47301" ht="15.75" customHeight="1">
      <c r="A47301" s="7"/>
      <c r="B47301" s="7"/>
      <c r="M47301" s="9" t="s">
        <v>20</v>
      </c>
    </row>
    <row r="47302" ht="15.75" customHeight="1">
      <c r="A47302" s="7"/>
      <c r="B47302" s="7"/>
      <c r="M47302" s="9" t="s">
        <v>21</v>
      </c>
    </row>
    <row r="47303" ht="15.75" customHeight="1">
      <c r="A47303" s="7"/>
      <c r="B47303" s="7"/>
      <c r="M47303" s="9" t="s">
        <v>27</v>
      </c>
    </row>
    <row r="47304" ht="15.75" customHeight="1">
      <c r="A47304" s="7"/>
      <c r="B47304" s="7"/>
      <c r="M47304" s="9" t="s">
        <v>26</v>
      </c>
    </row>
    <row r="47305" ht="15.75" customHeight="1">
      <c r="A47305" s="7"/>
      <c r="B47305" s="7"/>
      <c r="M47305" s="9" t="s">
        <v>27</v>
      </c>
    </row>
    <row r="47306" ht="15.75" customHeight="1">
      <c r="A47306" s="7"/>
      <c r="B47306" s="7"/>
      <c r="M47306" s="9" t="s">
        <v>23</v>
      </c>
    </row>
    <row r="47307" ht="15.75" customHeight="1">
      <c r="A47307" s="7"/>
      <c r="B47307" s="7"/>
      <c r="M47307" s="9" t="s">
        <v>36</v>
      </c>
    </row>
    <row r="47308" ht="15.75" customHeight="1">
      <c r="A47308" s="7"/>
      <c r="B47308" s="7"/>
      <c r="M47308" s="9" t="s">
        <v>20</v>
      </c>
    </row>
    <row r="47309" ht="15.75" customHeight="1">
      <c r="A47309" s="7"/>
      <c r="B47309" s="7"/>
      <c r="M47309" s="9" t="s">
        <v>21</v>
      </c>
    </row>
    <row r="47310" ht="15.75" customHeight="1">
      <c r="A47310" s="7"/>
      <c r="B47310" s="7"/>
      <c r="M47310" s="9" t="s">
        <v>22</v>
      </c>
    </row>
    <row r="47311" ht="15.75" customHeight="1">
      <c r="A47311" s="7"/>
      <c r="B47311" s="7"/>
      <c r="M47311" s="9" t="s">
        <v>31</v>
      </c>
    </row>
    <row r="47312" ht="15.75" customHeight="1">
      <c r="A47312" s="7"/>
      <c r="B47312" s="7"/>
      <c r="M47312" s="9" t="s">
        <v>32</v>
      </c>
    </row>
    <row r="47313" ht="15.75" customHeight="1">
      <c r="A47313" s="7"/>
      <c r="B47313" s="7"/>
      <c r="M47313" s="9" t="s">
        <v>46</v>
      </c>
    </row>
    <row r="47314" ht="15.75" customHeight="1">
      <c r="A47314" s="7"/>
      <c r="B47314" s="7"/>
      <c r="M47314" s="9" t="s">
        <v>27</v>
      </c>
    </row>
    <row r="47315" ht="15.75" customHeight="1">
      <c r="A47315" s="7"/>
      <c r="B47315" s="7"/>
      <c r="M47315" s="9" t="s">
        <v>33</v>
      </c>
    </row>
    <row r="47316" ht="15.75" customHeight="1">
      <c r="A47316" s="7"/>
      <c r="B47316" s="7"/>
      <c r="M47316" s="9" t="s">
        <v>23</v>
      </c>
    </row>
    <row r="47317" ht="15.75" customHeight="1">
      <c r="A47317" s="7"/>
      <c r="B47317" s="7"/>
      <c r="M47317" s="9" t="s">
        <v>24</v>
      </c>
    </row>
    <row r="47318" ht="15.75" customHeight="1">
      <c r="A47318" s="7"/>
      <c r="B47318" s="7"/>
      <c r="M47318" s="9" t="s">
        <v>21</v>
      </c>
    </row>
    <row r="47319" ht="15.75" customHeight="1">
      <c r="A47319" s="7"/>
      <c r="B47319" s="7"/>
      <c r="M47319" s="9" t="s">
        <v>37</v>
      </c>
    </row>
    <row r="47320" ht="15.75" customHeight="1">
      <c r="A47320" s="7"/>
      <c r="B47320" s="7"/>
      <c r="M47320" s="9" t="s">
        <v>40</v>
      </c>
    </row>
    <row r="47321" ht="15.75" customHeight="1">
      <c r="A47321" s="7"/>
      <c r="B47321" s="7"/>
      <c r="M47321" s="9" t="s">
        <v>26</v>
      </c>
    </row>
    <row r="47322" ht="15.75" customHeight="1">
      <c r="A47322" s="7"/>
      <c r="B47322" s="7"/>
      <c r="M47322" s="9" t="s">
        <v>24</v>
      </c>
    </row>
    <row r="47323" ht="15.75" customHeight="1">
      <c r="A47323" s="7"/>
      <c r="B47323" s="7"/>
      <c r="M47323" s="9" t="s">
        <v>21</v>
      </c>
    </row>
    <row r="47324" ht="15.75" customHeight="1">
      <c r="A47324" s="7"/>
      <c r="B47324" s="7"/>
      <c r="M47324" s="9" t="s">
        <v>27</v>
      </c>
    </row>
    <row r="47325" ht="15.75" customHeight="1">
      <c r="A47325" s="7"/>
      <c r="B47325" s="7"/>
      <c r="M47325" s="9" t="s">
        <v>33</v>
      </c>
    </row>
    <row r="47326" ht="15.75" customHeight="1">
      <c r="A47326" s="7"/>
      <c r="B47326" s="7"/>
      <c r="M47326" s="9" t="s">
        <v>26</v>
      </c>
    </row>
    <row r="47327" ht="15.75" customHeight="1">
      <c r="A47327" s="7"/>
      <c r="B47327" s="7"/>
      <c r="M47327" s="9" t="s">
        <v>24</v>
      </c>
    </row>
    <row r="47328" ht="15.75" customHeight="1">
      <c r="A47328" s="7"/>
      <c r="B47328" s="7"/>
      <c r="M47328" s="9" t="s">
        <v>21</v>
      </c>
    </row>
    <row r="47329" ht="15.75" customHeight="1">
      <c r="A47329" s="7"/>
      <c r="B47329" s="7"/>
      <c r="M47329" s="9" t="s">
        <v>27</v>
      </c>
    </row>
    <row r="47330" ht="15.75" customHeight="1">
      <c r="A47330" s="7"/>
      <c r="B47330" s="7"/>
      <c r="M47330" s="9" t="s">
        <v>33</v>
      </c>
    </row>
    <row r="47331" ht="15.75" customHeight="1">
      <c r="A47331" s="7"/>
      <c r="B47331" s="7"/>
      <c r="M47331" s="9" t="s">
        <v>47</v>
      </c>
    </row>
    <row r="47332" ht="15.75" customHeight="1">
      <c r="A47332" s="7"/>
      <c r="B47332" s="7"/>
      <c r="M47332" s="9" t="s">
        <v>21</v>
      </c>
    </row>
    <row r="47333" ht="15.75" customHeight="1">
      <c r="A47333" s="7"/>
      <c r="B47333" s="7"/>
      <c r="M47333" s="9" t="s">
        <v>27</v>
      </c>
    </row>
    <row r="47334" ht="15.75" customHeight="1">
      <c r="A47334" s="7"/>
      <c r="B47334" s="7"/>
      <c r="M47334" s="9" t="s">
        <v>33</v>
      </c>
    </row>
    <row r="47335" ht="15.75" customHeight="1">
      <c r="A47335" s="7"/>
      <c r="B47335" s="7"/>
      <c r="M47335" s="9" t="s">
        <v>30</v>
      </c>
    </row>
    <row r="47336" ht="15.75" customHeight="1">
      <c r="A47336" s="7"/>
      <c r="B47336" s="7"/>
      <c r="M47336" s="9" t="s">
        <v>24</v>
      </c>
    </row>
    <row r="47337" ht="15.75" customHeight="1">
      <c r="A47337" s="7"/>
      <c r="B47337" s="7"/>
      <c r="M47337" s="9" t="s">
        <v>20</v>
      </c>
    </row>
    <row r="47338" ht="15.75" customHeight="1">
      <c r="A47338" s="7"/>
      <c r="B47338" s="7"/>
      <c r="M47338" s="9" t="s">
        <v>21</v>
      </c>
    </row>
    <row r="47339" ht="15.75" customHeight="1">
      <c r="A47339" s="7"/>
      <c r="B47339" s="7"/>
      <c r="M47339" s="9" t="s">
        <v>30</v>
      </c>
    </row>
    <row r="47340" ht="15.75" customHeight="1">
      <c r="A47340" s="7"/>
      <c r="B47340" s="7"/>
      <c r="M47340" s="9" t="s">
        <v>26</v>
      </c>
    </row>
    <row r="47341" ht="15.75" customHeight="1">
      <c r="A47341" s="7"/>
      <c r="B47341" s="7"/>
      <c r="M47341" s="9" t="s">
        <v>24</v>
      </c>
    </row>
    <row r="47342" ht="15.75" customHeight="1">
      <c r="A47342" s="7"/>
      <c r="B47342" s="7"/>
      <c r="M47342" s="9" t="s">
        <v>20</v>
      </c>
    </row>
    <row r="47343" ht="15.75" customHeight="1">
      <c r="A47343" s="7"/>
      <c r="B47343" s="7"/>
      <c r="M47343" s="9" t="s">
        <v>21</v>
      </c>
    </row>
    <row r="47344" ht="15.75" customHeight="1">
      <c r="A47344" s="7"/>
      <c r="B47344" s="7"/>
      <c r="M47344" s="9" t="s">
        <v>37</v>
      </c>
    </row>
    <row r="47345" ht="15.75" customHeight="1">
      <c r="A47345" s="7"/>
      <c r="B47345" s="7"/>
      <c r="M47345" s="9" t="s">
        <v>27</v>
      </c>
    </row>
    <row r="47346" ht="15.75" customHeight="1">
      <c r="A47346" s="7"/>
      <c r="B47346" s="7"/>
      <c r="M47346" s="9" t="s">
        <v>24</v>
      </c>
    </row>
    <row r="47347" ht="15.75" customHeight="1">
      <c r="A47347" s="7"/>
      <c r="B47347" s="7"/>
      <c r="M47347" s="9" t="s">
        <v>20</v>
      </c>
    </row>
    <row r="47348" ht="15.75" customHeight="1">
      <c r="A47348" s="7"/>
      <c r="B47348" s="7"/>
      <c r="M47348" s="9" t="s">
        <v>21</v>
      </c>
    </row>
    <row r="47349" ht="15.75" customHeight="1">
      <c r="A47349" s="7"/>
      <c r="B47349" s="7"/>
      <c r="M47349" s="9" t="s">
        <v>27</v>
      </c>
    </row>
    <row r="47350" ht="15.75" customHeight="1">
      <c r="A47350" s="7"/>
      <c r="B47350" s="7"/>
      <c r="M47350" s="9" t="s">
        <v>47</v>
      </c>
    </row>
    <row r="47351" ht="15.75" customHeight="1">
      <c r="A47351" s="7"/>
      <c r="B47351" s="7"/>
      <c r="M47351" s="9" t="s">
        <v>20</v>
      </c>
    </row>
    <row r="47352" ht="15.75" customHeight="1">
      <c r="A47352" s="7"/>
      <c r="B47352" s="7"/>
      <c r="M47352" s="9" t="s">
        <v>39</v>
      </c>
    </row>
    <row r="47353" ht="15.75" customHeight="1">
      <c r="A47353" s="7"/>
      <c r="B47353" s="7"/>
      <c r="M47353" s="9" t="s">
        <v>37</v>
      </c>
    </row>
    <row r="47354" ht="15.75" customHeight="1">
      <c r="A47354" s="7"/>
      <c r="B47354" s="7"/>
      <c r="M47354" s="9" t="s">
        <v>40</v>
      </c>
    </row>
    <row r="47355" ht="15.75" customHeight="1">
      <c r="A47355" s="7"/>
      <c r="B47355" s="7"/>
      <c r="M47355" s="9" t="s">
        <v>23</v>
      </c>
    </row>
    <row r="47356" ht="15.75" customHeight="1">
      <c r="A47356" s="7"/>
      <c r="B47356" s="7"/>
      <c r="M47356" s="9" t="s">
        <v>26</v>
      </c>
    </row>
    <row r="47357" ht="15.75" customHeight="1">
      <c r="A47357" s="7"/>
      <c r="B47357" s="7"/>
      <c r="M47357" s="9" t="s">
        <v>21</v>
      </c>
    </row>
    <row r="47358" ht="15.75" customHeight="1">
      <c r="A47358" s="7"/>
      <c r="B47358" s="7"/>
      <c r="M47358" s="9" t="s">
        <v>27</v>
      </c>
    </row>
    <row r="47359" ht="15.75" customHeight="1">
      <c r="A47359" s="7"/>
      <c r="B47359" s="7"/>
      <c r="M47359" s="9" t="s">
        <v>33</v>
      </c>
    </row>
    <row r="47360" ht="15.75" customHeight="1">
      <c r="A47360" s="7"/>
      <c r="B47360" s="7"/>
      <c r="M47360" s="9" t="s">
        <v>26</v>
      </c>
    </row>
    <row r="47361" ht="15.75" customHeight="1">
      <c r="A47361" s="7"/>
      <c r="B47361" s="7"/>
      <c r="M47361" s="9" t="s">
        <v>24</v>
      </c>
    </row>
    <row r="47362" ht="15.75" customHeight="1">
      <c r="A47362" s="7"/>
      <c r="B47362" s="7"/>
      <c r="M47362" s="9" t="s">
        <v>21</v>
      </c>
    </row>
    <row r="47363" ht="15.75" customHeight="1">
      <c r="A47363" s="7"/>
      <c r="B47363" s="7"/>
      <c r="M47363" s="9" t="s">
        <v>22</v>
      </c>
    </row>
    <row r="47364" ht="15.75" customHeight="1">
      <c r="A47364" s="7"/>
      <c r="B47364" s="7"/>
      <c r="M47364" s="9" t="s">
        <v>27</v>
      </c>
    </row>
    <row r="47365" ht="15.75" customHeight="1">
      <c r="A47365" s="7"/>
      <c r="B47365" s="7"/>
      <c r="M47365" s="9" t="s">
        <v>38</v>
      </c>
    </row>
    <row r="47366" ht="15.75" customHeight="1">
      <c r="A47366" s="7"/>
      <c r="B47366" s="7"/>
      <c r="M47366" s="9" t="s">
        <v>30</v>
      </c>
    </row>
    <row r="47367" ht="15.75" customHeight="1">
      <c r="A47367" s="7"/>
      <c r="B47367" s="7"/>
      <c r="M47367" s="9" t="s">
        <v>25</v>
      </c>
    </row>
    <row r="47368" ht="15.75" customHeight="1">
      <c r="A47368" s="7"/>
      <c r="B47368" s="7"/>
      <c r="M47368" s="9" t="s">
        <v>23</v>
      </c>
    </row>
    <row r="47369" ht="15.75" customHeight="1">
      <c r="A47369" s="7"/>
      <c r="B47369" s="7"/>
      <c r="M47369" s="9" t="s">
        <v>24</v>
      </c>
    </row>
    <row r="47370" ht="15.75" customHeight="1">
      <c r="A47370" s="7"/>
      <c r="B47370" s="7"/>
      <c r="M47370" s="9" t="s">
        <v>20</v>
      </c>
    </row>
    <row r="47371" ht="15.75" customHeight="1">
      <c r="A47371" s="7"/>
      <c r="B47371" s="7"/>
      <c r="M47371" s="9" t="s">
        <v>22</v>
      </c>
    </row>
    <row r="47372" ht="15.75" customHeight="1">
      <c r="A47372" s="7"/>
      <c r="B47372" s="7"/>
      <c r="M47372" s="9" t="s">
        <v>29</v>
      </c>
    </row>
    <row r="47373" ht="15.75" customHeight="1">
      <c r="A47373" s="7"/>
      <c r="B47373" s="7"/>
      <c r="M47373" s="9" t="s">
        <v>27</v>
      </c>
    </row>
    <row r="47374" ht="15.75" customHeight="1">
      <c r="A47374" s="7"/>
      <c r="B47374" s="7"/>
      <c r="M47374" s="9" t="s">
        <v>30</v>
      </c>
    </row>
    <row r="47375" ht="15.75" customHeight="1">
      <c r="A47375" s="7"/>
      <c r="B47375" s="7"/>
      <c r="M47375" s="9" t="s">
        <v>24</v>
      </c>
    </row>
    <row r="47376" ht="15.75" customHeight="1">
      <c r="A47376" s="7"/>
      <c r="B47376" s="7"/>
      <c r="M47376" s="9" t="s">
        <v>21</v>
      </c>
    </row>
    <row r="47377" ht="15.75" customHeight="1">
      <c r="A47377" s="7"/>
      <c r="B47377" s="7"/>
      <c r="M47377" s="9" t="s">
        <v>39</v>
      </c>
    </row>
    <row r="47378" ht="15.75" customHeight="1">
      <c r="A47378" s="7"/>
      <c r="B47378" s="7"/>
      <c r="M47378" s="9" t="s">
        <v>27</v>
      </c>
    </row>
    <row r="47379" ht="15.75" customHeight="1">
      <c r="A47379" s="7"/>
      <c r="B47379" s="7"/>
      <c r="M47379" s="9" t="s">
        <v>34</v>
      </c>
    </row>
    <row r="47380" ht="15.75" customHeight="1">
      <c r="A47380" s="7"/>
      <c r="B47380" s="7"/>
      <c r="M47380" s="9" t="s">
        <v>24</v>
      </c>
    </row>
    <row r="47381" ht="15.75" customHeight="1">
      <c r="A47381" s="7"/>
      <c r="B47381" s="7"/>
      <c r="M47381" s="9" t="s">
        <v>21</v>
      </c>
    </row>
    <row r="47382" ht="15.75" customHeight="1">
      <c r="A47382" s="7"/>
      <c r="B47382" s="7"/>
      <c r="M47382" s="9" t="s">
        <v>33</v>
      </c>
    </row>
    <row r="47383" ht="15.75" customHeight="1">
      <c r="A47383" s="7"/>
      <c r="B47383" s="7"/>
      <c r="M47383" s="9" t="s">
        <v>30</v>
      </c>
    </row>
    <row r="47384" ht="15.75" customHeight="1">
      <c r="A47384" s="7"/>
      <c r="B47384" s="7"/>
      <c r="M47384" s="9" t="s">
        <v>36</v>
      </c>
    </row>
    <row r="47385" ht="15.75" customHeight="1">
      <c r="A47385" s="7"/>
      <c r="B47385" s="7"/>
      <c r="M47385" s="9" t="s">
        <v>22</v>
      </c>
    </row>
    <row r="47386" ht="15.75" customHeight="1">
      <c r="A47386" s="7"/>
      <c r="B47386" s="7"/>
      <c r="M47386" s="9" t="s">
        <v>35</v>
      </c>
    </row>
    <row r="47387" ht="15.75" customHeight="1">
      <c r="A47387" s="7"/>
      <c r="B47387" s="7"/>
      <c r="M47387" s="9" t="s">
        <v>24</v>
      </c>
    </row>
    <row r="47388" ht="15.75" customHeight="1">
      <c r="A47388" s="7"/>
      <c r="B47388" s="7"/>
      <c r="M47388" s="9" t="s">
        <v>21</v>
      </c>
    </row>
    <row r="47389" ht="15.75" customHeight="1">
      <c r="A47389" s="7"/>
      <c r="B47389" s="7"/>
      <c r="M47389" s="9" t="s">
        <v>22</v>
      </c>
    </row>
    <row r="47390" ht="15.75" customHeight="1">
      <c r="A47390" s="7"/>
      <c r="B47390" s="7"/>
      <c r="M47390" s="9" t="s">
        <v>25</v>
      </c>
    </row>
    <row r="47391" ht="15.75" customHeight="1">
      <c r="A47391" s="7"/>
      <c r="B47391" s="7"/>
      <c r="M47391" s="9" t="s">
        <v>23</v>
      </c>
    </row>
    <row r="47392" ht="15.75" customHeight="1">
      <c r="A47392" s="7"/>
      <c r="B47392" s="7"/>
      <c r="M47392" s="9" t="s">
        <v>26</v>
      </c>
    </row>
    <row r="47393" ht="15.75" customHeight="1">
      <c r="A47393" s="7"/>
      <c r="B47393" s="7"/>
      <c r="M47393" s="9" t="s">
        <v>24</v>
      </c>
    </row>
    <row r="47394" ht="15.75" customHeight="1">
      <c r="A47394" s="7"/>
      <c r="B47394" s="7"/>
      <c r="M47394" s="9" t="s">
        <v>20</v>
      </c>
    </row>
    <row r="47395" ht="15.75" customHeight="1">
      <c r="A47395" s="7"/>
      <c r="B47395" s="7"/>
      <c r="M47395" s="9" t="s">
        <v>21</v>
      </c>
    </row>
    <row r="47396" ht="15.75" customHeight="1">
      <c r="A47396" s="7"/>
      <c r="B47396" s="7"/>
      <c r="M47396" s="9" t="s">
        <v>37</v>
      </c>
    </row>
    <row r="47397" ht="15.75" customHeight="1">
      <c r="A47397" s="7"/>
      <c r="B47397" s="7"/>
      <c r="M47397" s="9" t="s">
        <v>22</v>
      </c>
    </row>
    <row r="47398" ht="15.75" customHeight="1">
      <c r="A47398" s="7"/>
      <c r="B47398" s="7"/>
      <c r="M47398" s="9" t="s">
        <v>27</v>
      </c>
    </row>
    <row r="47399" ht="15.75" customHeight="1">
      <c r="A47399" s="7"/>
      <c r="B47399" s="7"/>
      <c r="M47399" s="9" t="s">
        <v>33</v>
      </c>
    </row>
    <row r="47400" ht="15.75" customHeight="1">
      <c r="A47400" s="7"/>
      <c r="B47400" s="7"/>
      <c r="M47400" s="9" t="s">
        <v>28</v>
      </c>
    </row>
    <row r="47401" ht="15.75" customHeight="1">
      <c r="A47401" s="7"/>
      <c r="B47401" s="7"/>
      <c r="M47401" s="9" t="s">
        <v>26</v>
      </c>
    </row>
    <row r="47402" ht="15.75" customHeight="1">
      <c r="A47402" s="7"/>
      <c r="B47402" s="7"/>
      <c r="M47402" s="9" t="s">
        <v>45</v>
      </c>
    </row>
    <row r="47403" ht="15.75" customHeight="1">
      <c r="A47403" s="7"/>
      <c r="B47403" s="7"/>
      <c r="M47403" s="9" t="s">
        <v>24</v>
      </c>
    </row>
    <row r="47404" ht="15.75" customHeight="1">
      <c r="A47404" s="7"/>
      <c r="B47404" s="7"/>
      <c r="M47404" s="9" t="s">
        <v>21</v>
      </c>
    </row>
    <row r="47405" ht="15.75" customHeight="1">
      <c r="A47405" s="7"/>
      <c r="B47405" s="7"/>
      <c r="M47405" s="9" t="s">
        <v>27</v>
      </c>
    </row>
    <row r="47406" ht="15.75" customHeight="1">
      <c r="A47406" s="7"/>
      <c r="B47406" s="7"/>
      <c r="M47406" s="9" t="s">
        <v>38</v>
      </c>
    </row>
    <row r="47407" ht="15.75" customHeight="1">
      <c r="A47407" s="7"/>
      <c r="B47407" s="7"/>
      <c r="M47407" s="9" t="s">
        <v>30</v>
      </c>
    </row>
    <row r="47408" ht="15.75" customHeight="1">
      <c r="A47408" s="7"/>
      <c r="B47408" s="7"/>
      <c r="M47408" s="9" t="s">
        <v>25</v>
      </c>
    </row>
    <row r="47409" ht="15.75" customHeight="1">
      <c r="A47409" s="7"/>
      <c r="B47409" s="7"/>
      <c r="M47409" s="9" t="s">
        <v>26</v>
      </c>
    </row>
    <row r="47410" ht="15.75" customHeight="1">
      <c r="A47410" s="7"/>
      <c r="B47410" s="7"/>
      <c r="M47410" s="9" t="s">
        <v>42</v>
      </c>
    </row>
    <row r="47411" ht="15.75" customHeight="1">
      <c r="A47411" s="7"/>
      <c r="B47411" s="7"/>
      <c r="M47411" s="9" t="s">
        <v>36</v>
      </c>
    </row>
    <row r="47412" ht="15.75" customHeight="1">
      <c r="A47412" s="7"/>
      <c r="B47412" s="7"/>
      <c r="M47412" s="9" t="s">
        <v>24</v>
      </c>
    </row>
    <row r="47413" ht="15.75" customHeight="1">
      <c r="A47413" s="7"/>
      <c r="B47413" s="7"/>
      <c r="M47413" s="9" t="s">
        <v>21</v>
      </c>
    </row>
    <row r="47414" ht="15.75" customHeight="1">
      <c r="A47414" s="7"/>
      <c r="B47414" s="7"/>
      <c r="M47414" s="9" t="s">
        <v>39</v>
      </c>
    </row>
    <row r="47415" ht="15.75" customHeight="1">
      <c r="A47415" s="7"/>
      <c r="B47415" s="7"/>
      <c r="M47415" s="9" t="s">
        <v>22</v>
      </c>
    </row>
    <row r="47416" ht="15.75" customHeight="1">
      <c r="A47416" s="7"/>
      <c r="B47416" s="7"/>
      <c r="M47416" s="9" t="s">
        <v>29</v>
      </c>
    </row>
    <row r="47417" ht="15.75" customHeight="1">
      <c r="A47417" s="7"/>
      <c r="B47417" s="7"/>
      <c r="M47417" s="9" t="s">
        <v>31</v>
      </c>
    </row>
    <row r="47418" ht="15.75" customHeight="1">
      <c r="A47418" s="7"/>
      <c r="B47418" s="7"/>
      <c r="M47418" s="9" t="s">
        <v>32</v>
      </c>
    </row>
    <row r="47419" ht="15.75" customHeight="1">
      <c r="A47419" s="7"/>
      <c r="B47419" s="7"/>
      <c r="M47419" s="9" t="s">
        <v>27</v>
      </c>
    </row>
    <row r="47420" ht="15.75" customHeight="1">
      <c r="A47420" s="7"/>
      <c r="B47420" s="7"/>
      <c r="M47420" s="9" t="s">
        <v>40</v>
      </c>
    </row>
    <row r="47421" ht="15.75" customHeight="1">
      <c r="A47421" s="7"/>
      <c r="B47421" s="7"/>
      <c r="M47421" s="9" t="s">
        <v>33</v>
      </c>
    </row>
    <row r="47422" ht="15.75" customHeight="1">
      <c r="A47422" s="7"/>
      <c r="B47422" s="7"/>
      <c r="M47422" s="9" t="s">
        <v>34</v>
      </c>
    </row>
    <row r="47423" ht="15.75" customHeight="1">
      <c r="A47423" s="7"/>
      <c r="B47423" s="7"/>
      <c r="M47423" s="9" t="s">
        <v>30</v>
      </c>
    </row>
    <row r="47424" ht="15.75" customHeight="1">
      <c r="A47424" s="7"/>
      <c r="B47424" s="7"/>
      <c r="M47424" s="9" t="s">
        <v>25</v>
      </c>
    </row>
    <row r="47425" ht="15.75" customHeight="1">
      <c r="A47425" s="7"/>
      <c r="B47425" s="7"/>
      <c r="M47425" s="9" t="s">
        <v>23</v>
      </c>
    </row>
    <row r="47426" ht="15.75" customHeight="1">
      <c r="A47426" s="7"/>
      <c r="B47426" s="7"/>
      <c r="M47426" s="9" t="s">
        <v>24</v>
      </c>
    </row>
    <row r="47427" ht="15.75" customHeight="1">
      <c r="A47427" s="7"/>
      <c r="B47427" s="7"/>
      <c r="M47427" s="9" t="s">
        <v>21</v>
      </c>
    </row>
    <row r="47428" ht="15.75" customHeight="1">
      <c r="A47428" s="7"/>
      <c r="B47428" s="7"/>
      <c r="M47428" s="9" t="s">
        <v>22</v>
      </c>
    </row>
    <row r="47429" ht="15.75" customHeight="1">
      <c r="A47429" s="7"/>
      <c r="B47429" s="7"/>
      <c r="M47429" s="9" t="s">
        <v>20</v>
      </c>
    </row>
    <row r="47430" ht="15.75" customHeight="1">
      <c r="A47430" s="7"/>
      <c r="B47430" s="7"/>
      <c r="M47430" s="9" t="s">
        <v>21</v>
      </c>
    </row>
    <row r="47431" ht="15.75" customHeight="1">
      <c r="A47431" s="7"/>
      <c r="B47431" s="7"/>
      <c r="M47431" s="9" t="s">
        <v>37</v>
      </c>
    </row>
    <row r="47432" ht="15.75" customHeight="1">
      <c r="A47432" s="7"/>
      <c r="B47432" s="7"/>
      <c r="M47432" s="9" t="s">
        <v>27</v>
      </c>
    </row>
    <row r="47433" ht="15.75" customHeight="1">
      <c r="A47433" s="7"/>
      <c r="B47433" s="7"/>
      <c r="M47433" s="9" t="s">
        <v>23</v>
      </c>
    </row>
    <row r="47434" ht="15.75" customHeight="1">
      <c r="A47434" s="7"/>
      <c r="B47434" s="7"/>
      <c r="M47434" s="9" t="s">
        <v>24</v>
      </c>
    </row>
    <row r="47435" ht="15.75" customHeight="1">
      <c r="A47435" s="7"/>
      <c r="B47435" s="7"/>
      <c r="M47435" s="9" t="s">
        <v>20</v>
      </c>
    </row>
    <row r="47436" ht="15.75" customHeight="1">
      <c r="A47436" s="7"/>
      <c r="B47436" s="7"/>
      <c r="M47436" s="9" t="s">
        <v>21</v>
      </c>
    </row>
    <row r="47437" ht="15.75" customHeight="1">
      <c r="A47437" s="7"/>
      <c r="B47437" s="7"/>
      <c r="M47437" s="9" t="s">
        <v>37</v>
      </c>
    </row>
    <row r="47438" ht="15.75" customHeight="1">
      <c r="A47438" s="7"/>
      <c r="B47438" s="7"/>
      <c r="M47438" s="9" t="s">
        <v>27</v>
      </c>
    </row>
    <row r="47439" ht="15.75" customHeight="1">
      <c r="A47439" s="7"/>
      <c r="B47439" s="7"/>
      <c r="M47439" s="9" t="s">
        <v>33</v>
      </c>
    </row>
    <row r="47440" ht="15.75" customHeight="1">
      <c r="A47440" s="7"/>
      <c r="B47440" s="7"/>
      <c r="M47440" s="9" t="s">
        <v>30</v>
      </c>
    </row>
    <row r="47441" ht="15.75" customHeight="1">
      <c r="A47441" s="7"/>
      <c r="B47441" s="7"/>
      <c r="M47441" s="9" t="s">
        <v>24</v>
      </c>
    </row>
    <row r="47442" ht="15.75" customHeight="1">
      <c r="A47442" s="7"/>
      <c r="B47442" s="7"/>
      <c r="M47442" s="9" t="s">
        <v>20</v>
      </c>
    </row>
    <row r="47443" ht="15.75" customHeight="1">
      <c r="A47443" s="7"/>
      <c r="B47443" s="7"/>
      <c r="M47443" s="9" t="s">
        <v>21</v>
      </c>
    </row>
    <row r="47444" ht="15.75" customHeight="1">
      <c r="A47444" s="7"/>
      <c r="B47444" s="7"/>
      <c r="M47444" s="9" t="s">
        <v>37</v>
      </c>
    </row>
    <row r="47445" ht="15.75" customHeight="1">
      <c r="A47445" s="7"/>
      <c r="B47445" s="7"/>
      <c r="M47445" s="9" t="s">
        <v>27</v>
      </c>
    </row>
    <row r="47446" ht="15.75" customHeight="1">
      <c r="A47446" s="7"/>
      <c r="B47446" s="7"/>
      <c r="M47446" s="9" t="s">
        <v>28</v>
      </c>
    </row>
    <row r="47447" ht="15.75" customHeight="1">
      <c r="A47447" s="7"/>
      <c r="B47447" s="7"/>
      <c r="M47447" s="9" t="s">
        <v>30</v>
      </c>
    </row>
    <row r="47448" ht="15.75" customHeight="1">
      <c r="A47448" s="7"/>
      <c r="B47448" s="7"/>
      <c r="M47448" s="9" t="s">
        <v>44</v>
      </c>
    </row>
    <row r="47449" ht="15.75" customHeight="1">
      <c r="A47449" s="7"/>
      <c r="B47449" s="7"/>
      <c r="M47449" s="9" t="s">
        <v>22</v>
      </c>
    </row>
    <row r="47450" ht="15.75" customHeight="1">
      <c r="A47450" s="7"/>
      <c r="B47450" s="7"/>
      <c r="M47450" s="9" t="s">
        <v>29</v>
      </c>
    </row>
    <row r="47451" ht="15.75" customHeight="1">
      <c r="A47451" s="7"/>
      <c r="B47451" s="7"/>
      <c r="M47451" s="9" t="s">
        <v>30</v>
      </c>
    </row>
    <row r="47452" ht="15.75" customHeight="1">
      <c r="A47452" s="7"/>
      <c r="B47452" s="7"/>
      <c r="M47452" s="9" t="s">
        <v>26</v>
      </c>
    </row>
    <row r="47453" ht="15.75" customHeight="1">
      <c r="A47453" s="7"/>
      <c r="B47453" s="7"/>
      <c r="M47453" s="9" t="s">
        <v>24</v>
      </c>
    </row>
    <row r="47454" ht="15.75" customHeight="1">
      <c r="A47454" s="7"/>
      <c r="B47454" s="7"/>
      <c r="M47454" s="9" t="s">
        <v>21</v>
      </c>
    </row>
    <row r="47455" ht="15.75" customHeight="1">
      <c r="A47455" s="7"/>
      <c r="B47455" s="7"/>
      <c r="M47455" s="9" t="s">
        <v>27</v>
      </c>
    </row>
    <row r="47456" ht="15.75" customHeight="1">
      <c r="A47456" s="7"/>
      <c r="B47456" s="7"/>
      <c r="M47456" s="9" t="s">
        <v>44</v>
      </c>
    </row>
    <row r="47457" ht="15.75" customHeight="1">
      <c r="A47457" s="7"/>
      <c r="B47457" s="7"/>
      <c r="M47457" s="9" t="s">
        <v>21</v>
      </c>
    </row>
    <row r="47458" ht="15.75" customHeight="1">
      <c r="A47458" s="7"/>
      <c r="B47458" s="7"/>
      <c r="M47458" s="9" t="s">
        <v>30</v>
      </c>
    </row>
    <row r="47459" ht="15.75" customHeight="1">
      <c r="A47459" s="7"/>
      <c r="B47459" s="7"/>
      <c r="M47459" s="9" t="s">
        <v>20</v>
      </c>
    </row>
    <row r="47460" ht="15.75" customHeight="1">
      <c r="A47460" s="7"/>
      <c r="B47460" s="7"/>
      <c r="M47460" s="9" t="s">
        <v>22</v>
      </c>
    </row>
    <row r="47461" ht="15.75" customHeight="1">
      <c r="A47461" s="7"/>
      <c r="B47461" s="7"/>
      <c r="M47461" s="9" t="s">
        <v>26</v>
      </c>
    </row>
    <row r="47462" ht="15.75" customHeight="1">
      <c r="A47462" s="7"/>
      <c r="B47462" s="7"/>
      <c r="M47462" s="9" t="s">
        <v>21</v>
      </c>
    </row>
    <row r="47463" ht="15.75" customHeight="1">
      <c r="A47463" s="7"/>
      <c r="B47463" s="7"/>
      <c r="M47463" s="9" t="s">
        <v>41</v>
      </c>
    </row>
    <row r="47464" ht="15.75" customHeight="1">
      <c r="A47464" s="7"/>
      <c r="B47464" s="7"/>
      <c r="M47464" s="9" t="s">
        <v>40</v>
      </c>
    </row>
    <row r="47465" ht="15.75" customHeight="1">
      <c r="A47465" s="7"/>
      <c r="B47465" s="7"/>
      <c r="M47465" s="9" t="s">
        <v>26</v>
      </c>
    </row>
    <row r="47466" ht="15.75" customHeight="1">
      <c r="A47466" s="7"/>
      <c r="B47466" s="7"/>
      <c r="M47466" s="9" t="s">
        <v>24</v>
      </c>
    </row>
    <row r="47467" ht="15.75" customHeight="1">
      <c r="A47467" s="7"/>
      <c r="B47467" s="7"/>
      <c r="M47467" s="9" t="s">
        <v>20</v>
      </c>
    </row>
    <row r="47468" ht="15.75" customHeight="1">
      <c r="A47468" s="7"/>
      <c r="B47468" s="7"/>
      <c r="M47468" s="9" t="s">
        <v>21</v>
      </c>
    </row>
    <row r="47469" ht="15.75" customHeight="1">
      <c r="A47469" s="7"/>
      <c r="B47469" s="7"/>
      <c r="M47469" s="9" t="s">
        <v>41</v>
      </c>
    </row>
    <row r="47470" ht="15.75" customHeight="1">
      <c r="A47470" s="7"/>
      <c r="B47470" s="7"/>
      <c r="M47470" s="9" t="s">
        <v>22</v>
      </c>
    </row>
    <row r="47471" ht="15.75" customHeight="1">
      <c r="A47471" s="7"/>
      <c r="B47471" s="7"/>
      <c r="M47471" s="9" t="s">
        <v>26</v>
      </c>
    </row>
    <row r="47472" ht="15.75" customHeight="1">
      <c r="A47472" s="7"/>
      <c r="B47472" s="7"/>
      <c r="M47472" s="9" t="s">
        <v>27</v>
      </c>
    </row>
    <row r="47473" ht="15.75" customHeight="1">
      <c r="A47473" s="7"/>
      <c r="B47473" s="7"/>
      <c r="M47473" s="9" t="s">
        <v>35</v>
      </c>
    </row>
    <row r="47474" ht="15.75" customHeight="1">
      <c r="A47474" s="7"/>
      <c r="B47474" s="7"/>
      <c r="M47474" s="9" t="s">
        <v>38</v>
      </c>
    </row>
    <row r="47475" ht="15.75" customHeight="1">
      <c r="A47475" s="7"/>
      <c r="B47475" s="7"/>
      <c r="M47475" s="9" t="s">
        <v>30</v>
      </c>
    </row>
    <row r="47476" ht="15.75" customHeight="1">
      <c r="A47476" s="7"/>
      <c r="B47476" s="7"/>
      <c r="M47476" s="9" t="s">
        <v>25</v>
      </c>
    </row>
    <row r="47477" ht="15.75" customHeight="1">
      <c r="A47477" s="7"/>
      <c r="B47477" s="7"/>
      <c r="M47477" s="9" t="s">
        <v>24</v>
      </c>
    </row>
    <row r="47478" ht="15.75" customHeight="1">
      <c r="A47478" s="7"/>
      <c r="B47478" s="7"/>
      <c r="M47478" s="9" t="s">
        <v>20</v>
      </c>
    </row>
    <row r="47479" ht="15.75" customHeight="1">
      <c r="A47479" s="7"/>
      <c r="B47479" s="7"/>
      <c r="M47479" s="9" t="s">
        <v>21</v>
      </c>
    </row>
    <row r="47480" ht="15.75" customHeight="1">
      <c r="A47480" s="7"/>
      <c r="B47480" s="7"/>
      <c r="M47480" s="9" t="s">
        <v>37</v>
      </c>
    </row>
    <row r="47481" ht="15.75" customHeight="1">
      <c r="A47481" s="7"/>
      <c r="B47481" s="7"/>
      <c r="M47481" s="9" t="s">
        <v>27</v>
      </c>
    </row>
    <row r="47482" ht="15.75" customHeight="1">
      <c r="A47482" s="7"/>
      <c r="B47482" s="7"/>
      <c r="M47482" s="9" t="s">
        <v>20</v>
      </c>
    </row>
    <row r="47483" ht="15.75" customHeight="1">
      <c r="A47483" s="7"/>
      <c r="B47483" s="7"/>
      <c r="M47483" s="9" t="s">
        <v>24</v>
      </c>
    </row>
    <row r="47484" ht="15.75" customHeight="1">
      <c r="A47484" s="7"/>
      <c r="B47484" s="7"/>
      <c r="M47484" s="9" t="s">
        <v>21</v>
      </c>
    </row>
    <row r="47485" ht="15.75" customHeight="1">
      <c r="A47485" s="7"/>
      <c r="B47485" s="7"/>
      <c r="M47485" s="9" t="s">
        <v>36</v>
      </c>
    </row>
    <row r="47486" ht="15.75" customHeight="1">
      <c r="A47486" s="7"/>
      <c r="B47486" s="7"/>
      <c r="M47486" s="9" t="s">
        <v>37</v>
      </c>
    </row>
    <row r="47487" ht="15.75" customHeight="1">
      <c r="A47487" s="7"/>
      <c r="B47487" s="7"/>
      <c r="M47487" s="9" t="s">
        <v>30</v>
      </c>
    </row>
    <row r="47488" ht="15.75" customHeight="1">
      <c r="A47488" s="7"/>
      <c r="B47488" s="7"/>
      <c r="M47488" s="9" t="s">
        <v>24</v>
      </c>
    </row>
    <row r="47489" ht="15.75" customHeight="1">
      <c r="A47489" s="7"/>
      <c r="B47489" s="7"/>
      <c r="M47489" s="9" t="s">
        <v>21</v>
      </c>
    </row>
    <row r="47490" ht="15.75" customHeight="1">
      <c r="A47490" s="7"/>
      <c r="B47490" s="7"/>
      <c r="M47490" s="9" t="s">
        <v>27</v>
      </c>
    </row>
    <row r="47491" ht="15.75" customHeight="1">
      <c r="A47491" s="7"/>
      <c r="B47491" s="7"/>
      <c r="M47491" s="9" t="s">
        <v>28</v>
      </c>
    </row>
    <row r="47492" ht="15.75" customHeight="1">
      <c r="A47492" s="7"/>
      <c r="B47492" s="7"/>
      <c r="M47492" s="9" t="s">
        <v>35</v>
      </c>
    </row>
    <row r="47493" ht="15.75" customHeight="1">
      <c r="A47493" s="7"/>
      <c r="B47493" s="7"/>
      <c r="M47493" s="9" t="s">
        <v>24</v>
      </c>
    </row>
    <row r="47494" ht="15.75" customHeight="1">
      <c r="A47494" s="7"/>
      <c r="B47494" s="7"/>
      <c r="M47494" s="9" t="s">
        <v>20</v>
      </c>
    </row>
    <row r="47495" ht="15.75" customHeight="1">
      <c r="A47495" s="7"/>
      <c r="B47495" s="7"/>
      <c r="M47495" s="9" t="s">
        <v>21</v>
      </c>
    </row>
    <row r="47496" ht="15.75" customHeight="1">
      <c r="A47496" s="7"/>
      <c r="B47496" s="7"/>
      <c r="M47496" s="9" t="s">
        <v>37</v>
      </c>
    </row>
    <row r="47497" ht="15.75" customHeight="1">
      <c r="A47497" s="7"/>
      <c r="B47497" s="7"/>
      <c r="M47497" s="9" t="s">
        <v>22</v>
      </c>
    </row>
    <row r="47498" ht="15.75" customHeight="1">
      <c r="A47498" s="7"/>
      <c r="B47498" s="7"/>
      <c r="M47498" s="9" t="s">
        <v>33</v>
      </c>
    </row>
    <row r="47499" ht="15.75" customHeight="1">
      <c r="A47499" s="7"/>
      <c r="B47499" s="7"/>
      <c r="M47499" s="9" t="s">
        <v>20</v>
      </c>
    </row>
    <row r="47500" ht="15.75" customHeight="1">
      <c r="A47500" s="7"/>
      <c r="B47500" s="7"/>
      <c r="M47500" s="9" t="s">
        <v>22</v>
      </c>
    </row>
    <row r="47501" ht="15.75" customHeight="1">
      <c r="A47501" s="7"/>
      <c r="B47501" s="7"/>
      <c r="M47501" s="9" t="s">
        <v>28</v>
      </c>
    </row>
    <row r="47502" ht="15.75" customHeight="1">
      <c r="A47502" s="7"/>
      <c r="B47502" s="7"/>
      <c r="M47502" s="9" t="s">
        <v>30</v>
      </c>
    </row>
    <row r="47503" ht="15.75" customHeight="1">
      <c r="A47503" s="7"/>
      <c r="B47503" s="7"/>
      <c r="M47503" s="9" t="s">
        <v>23</v>
      </c>
    </row>
    <row r="47504" ht="15.75" customHeight="1">
      <c r="A47504" s="7"/>
      <c r="B47504" s="7"/>
      <c r="M47504" s="9" t="s">
        <v>36</v>
      </c>
    </row>
    <row r="47505" ht="15.75" customHeight="1">
      <c r="A47505" s="7"/>
      <c r="B47505" s="7"/>
      <c r="M47505" s="9" t="s">
        <v>24</v>
      </c>
    </row>
    <row r="47506" ht="15.75" customHeight="1">
      <c r="A47506" s="7"/>
      <c r="B47506" s="7"/>
      <c r="M47506" s="9" t="s">
        <v>20</v>
      </c>
    </row>
    <row r="47507" ht="15.75" customHeight="1">
      <c r="A47507" s="7"/>
      <c r="B47507" s="7"/>
      <c r="M47507" s="9" t="s">
        <v>21</v>
      </c>
    </row>
    <row r="47508" ht="15.75" customHeight="1">
      <c r="A47508" s="7"/>
      <c r="B47508" s="7"/>
      <c r="M47508" s="9" t="s">
        <v>39</v>
      </c>
    </row>
    <row r="47509" ht="15.75" customHeight="1">
      <c r="A47509" s="7"/>
      <c r="B47509" s="7"/>
      <c r="M47509" s="9" t="s">
        <v>22</v>
      </c>
    </row>
    <row r="47510" ht="15.75" customHeight="1">
      <c r="A47510" s="7"/>
      <c r="B47510" s="7"/>
      <c r="M47510" s="9" t="s">
        <v>31</v>
      </c>
    </row>
    <row r="47511" ht="15.75" customHeight="1">
      <c r="A47511" s="7"/>
      <c r="B47511" s="7"/>
      <c r="M47511" s="9" t="s">
        <v>32</v>
      </c>
    </row>
    <row r="47512" ht="15.75" customHeight="1">
      <c r="A47512" s="7"/>
      <c r="B47512" s="7"/>
      <c r="M47512" s="9" t="s">
        <v>33</v>
      </c>
    </row>
    <row r="47513" ht="15.75" customHeight="1">
      <c r="A47513" s="7"/>
      <c r="B47513" s="7"/>
      <c r="M47513" s="9" t="s">
        <v>26</v>
      </c>
    </row>
    <row r="47514" ht="15.75" customHeight="1">
      <c r="A47514" s="7"/>
      <c r="B47514" s="7"/>
      <c r="M47514" s="9" t="s">
        <v>24</v>
      </c>
    </row>
    <row r="47515" ht="15.75" customHeight="1">
      <c r="A47515" s="7"/>
      <c r="B47515" s="7"/>
      <c r="M47515" s="9" t="s">
        <v>20</v>
      </c>
    </row>
    <row r="47516" ht="15.75" customHeight="1">
      <c r="A47516" s="7"/>
      <c r="B47516" s="7"/>
      <c r="M47516" s="9" t="s">
        <v>21</v>
      </c>
    </row>
    <row r="47517" ht="15.75" customHeight="1">
      <c r="A47517" s="7"/>
      <c r="B47517" s="7"/>
      <c r="M47517" s="9" t="s">
        <v>27</v>
      </c>
    </row>
    <row r="47518" ht="15.75" customHeight="1">
      <c r="A47518" s="7"/>
      <c r="B47518" s="7"/>
      <c r="M47518" s="9" t="s">
        <v>33</v>
      </c>
    </row>
    <row r="47519" ht="15.75" customHeight="1">
      <c r="A47519" s="7"/>
      <c r="B47519" s="7"/>
      <c r="M47519" s="9" t="s">
        <v>35</v>
      </c>
    </row>
    <row r="47520" ht="15.75" customHeight="1">
      <c r="A47520" s="7"/>
      <c r="B47520" s="7"/>
      <c r="M47520" s="9" t="s">
        <v>21</v>
      </c>
    </row>
    <row r="47521" ht="15.75" customHeight="1">
      <c r="A47521" s="7"/>
      <c r="B47521" s="7"/>
      <c r="M47521" s="9" t="s">
        <v>22</v>
      </c>
    </row>
    <row r="47522" ht="15.75" customHeight="1">
      <c r="A47522" s="7"/>
      <c r="B47522" s="7"/>
      <c r="M47522" s="9" t="s">
        <v>27</v>
      </c>
    </row>
    <row r="47523" ht="15.75" customHeight="1">
      <c r="A47523" s="7"/>
      <c r="B47523" s="7"/>
      <c r="M47523" s="9" t="s">
        <v>33</v>
      </c>
    </row>
    <row r="47524" ht="15.75" customHeight="1">
      <c r="A47524" s="7"/>
      <c r="B47524" s="7"/>
      <c r="M47524" s="9" t="s">
        <v>26</v>
      </c>
    </row>
    <row r="47525" ht="15.75" customHeight="1">
      <c r="A47525" s="7"/>
      <c r="B47525" s="7"/>
      <c r="M47525" s="9" t="s">
        <v>24</v>
      </c>
    </row>
    <row r="47526" ht="15.75" customHeight="1">
      <c r="A47526" s="7"/>
      <c r="B47526" s="7"/>
      <c r="M47526" s="9" t="s">
        <v>21</v>
      </c>
    </row>
    <row r="47527" ht="15.75" customHeight="1">
      <c r="A47527" s="7"/>
      <c r="B47527" s="7"/>
      <c r="M47527" s="9" t="s">
        <v>27</v>
      </c>
    </row>
    <row r="47528" ht="15.75" customHeight="1">
      <c r="A47528" s="7"/>
      <c r="B47528" s="7"/>
      <c r="M47528" s="9" t="s">
        <v>33</v>
      </c>
    </row>
    <row r="47529" ht="15.75" customHeight="1">
      <c r="A47529" s="7"/>
      <c r="B47529" s="7"/>
      <c r="M47529" s="9" t="s">
        <v>30</v>
      </c>
    </row>
    <row r="47530" ht="15.75" customHeight="1">
      <c r="A47530" s="7"/>
      <c r="B47530" s="7"/>
      <c r="M47530" s="9" t="s">
        <v>25</v>
      </c>
    </row>
    <row r="47531" ht="15.75" customHeight="1">
      <c r="A47531" s="7"/>
      <c r="B47531" s="7"/>
      <c r="M47531" s="9" t="s">
        <v>23</v>
      </c>
    </row>
    <row r="47532" ht="15.75" customHeight="1">
      <c r="A47532" s="7"/>
      <c r="B47532" s="7"/>
      <c r="M47532" s="9" t="s">
        <v>24</v>
      </c>
    </row>
    <row r="47533" ht="15.75" customHeight="1">
      <c r="A47533" s="7"/>
      <c r="B47533" s="7"/>
      <c r="M47533" s="9" t="s">
        <v>20</v>
      </c>
    </row>
    <row r="47534" ht="15.75" customHeight="1">
      <c r="A47534" s="7"/>
      <c r="B47534" s="7"/>
      <c r="M47534" s="9" t="s">
        <v>21</v>
      </c>
    </row>
    <row r="47535" ht="15.75" customHeight="1">
      <c r="A47535" s="7"/>
      <c r="B47535" s="7"/>
      <c r="M47535" s="9" t="s">
        <v>39</v>
      </c>
    </row>
    <row r="47536" ht="15.75" customHeight="1">
      <c r="A47536" s="7"/>
      <c r="B47536" s="7"/>
      <c r="M47536" s="9" t="s">
        <v>37</v>
      </c>
    </row>
    <row r="47537" ht="15.75" customHeight="1">
      <c r="A47537" s="7"/>
      <c r="B47537" s="7"/>
      <c r="M47537" s="9" t="s">
        <v>22</v>
      </c>
    </row>
    <row r="47538" ht="15.75" customHeight="1">
      <c r="A47538" s="7"/>
      <c r="B47538" s="7"/>
      <c r="M47538" s="9" t="s">
        <v>29</v>
      </c>
    </row>
    <row r="47539" ht="15.75" customHeight="1">
      <c r="A47539" s="7"/>
      <c r="B47539" s="7"/>
      <c r="M47539" s="9" t="s">
        <v>27</v>
      </c>
    </row>
    <row r="47540" ht="15.75" customHeight="1">
      <c r="A47540" s="7"/>
      <c r="B47540" s="7"/>
      <c r="M47540" s="9" t="s">
        <v>40</v>
      </c>
    </row>
    <row r="47541" ht="15.75" customHeight="1">
      <c r="A47541" s="7"/>
      <c r="B47541" s="7"/>
      <c r="M47541" s="9" t="s">
        <v>26</v>
      </c>
    </row>
    <row r="47542" ht="15.75" customHeight="1">
      <c r="A47542" s="7"/>
      <c r="B47542" s="7"/>
      <c r="M47542" s="9" t="s">
        <v>20</v>
      </c>
    </row>
    <row r="47543" ht="15.75" customHeight="1">
      <c r="A47543" s="7"/>
      <c r="B47543" s="7"/>
      <c r="M47543" s="9" t="s">
        <v>21</v>
      </c>
    </row>
    <row r="47544" ht="15.75" customHeight="1">
      <c r="A47544" s="7"/>
      <c r="B47544" s="7"/>
      <c r="M47544" s="9" t="s">
        <v>33</v>
      </c>
    </row>
    <row r="47545" ht="15.75" customHeight="1">
      <c r="A47545" s="7"/>
      <c r="B47545" s="7"/>
      <c r="M47545" s="9" t="s">
        <v>26</v>
      </c>
    </row>
    <row r="47546" ht="15.75" customHeight="1">
      <c r="A47546" s="7"/>
      <c r="B47546" s="7"/>
      <c r="M47546" s="9" t="s">
        <v>24</v>
      </c>
    </row>
    <row r="47547" ht="15.75" customHeight="1">
      <c r="A47547" s="7"/>
      <c r="B47547" s="7"/>
      <c r="M47547" s="9" t="s">
        <v>21</v>
      </c>
    </row>
    <row r="47548" ht="15.75" customHeight="1">
      <c r="A47548" s="7"/>
      <c r="B47548" s="7"/>
      <c r="M47548" s="9" t="s">
        <v>37</v>
      </c>
    </row>
    <row r="47549" ht="15.75" customHeight="1">
      <c r="A47549" s="7"/>
      <c r="B47549" s="7"/>
      <c r="M47549" s="9" t="s">
        <v>27</v>
      </c>
    </row>
    <row r="47550" ht="15.75" customHeight="1">
      <c r="A47550" s="7"/>
      <c r="B47550" s="7"/>
      <c r="M47550" s="9" t="s">
        <v>24</v>
      </c>
    </row>
    <row r="47551" ht="15.75" customHeight="1">
      <c r="A47551" s="7"/>
      <c r="B47551" s="7"/>
      <c r="M47551" s="9" t="s">
        <v>20</v>
      </c>
    </row>
    <row r="47552" ht="15.75" customHeight="1">
      <c r="A47552" s="7"/>
      <c r="B47552" s="7"/>
      <c r="M47552" s="9" t="s">
        <v>21</v>
      </c>
    </row>
    <row r="47553" ht="15.75" customHeight="1">
      <c r="A47553" s="7"/>
      <c r="B47553" s="7"/>
      <c r="M47553" s="9" t="s">
        <v>27</v>
      </c>
    </row>
    <row r="47554" ht="15.75" customHeight="1">
      <c r="A47554" s="7"/>
      <c r="B47554" s="7"/>
      <c r="M47554" s="9" t="s">
        <v>33</v>
      </c>
    </row>
    <row r="47555" ht="15.75" customHeight="1">
      <c r="A47555" s="7"/>
      <c r="B47555" s="7"/>
      <c r="M47555" s="9" t="s">
        <v>30</v>
      </c>
    </row>
    <row r="47556" ht="15.75" customHeight="1">
      <c r="A47556" s="7"/>
      <c r="B47556" s="7"/>
      <c r="M47556" s="9" t="s">
        <v>42</v>
      </c>
    </row>
    <row r="47557" ht="15.75" customHeight="1">
      <c r="A47557" s="7"/>
      <c r="B47557" s="7"/>
      <c r="M47557" s="9" t="s">
        <v>24</v>
      </c>
    </row>
    <row r="47558" ht="15.75" customHeight="1">
      <c r="A47558" s="7"/>
      <c r="B47558" s="7"/>
      <c r="M47558" s="9" t="s">
        <v>21</v>
      </c>
    </row>
    <row r="47559" ht="15.75" customHeight="1">
      <c r="A47559" s="7"/>
      <c r="B47559" s="7"/>
      <c r="M47559" s="9" t="s">
        <v>41</v>
      </c>
    </row>
    <row r="47560" ht="15.75" customHeight="1">
      <c r="A47560" s="7"/>
      <c r="B47560" s="7"/>
      <c r="M47560" s="9" t="s">
        <v>31</v>
      </c>
    </row>
    <row r="47561" ht="15.75" customHeight="1">
      <c r="A47561" s="7"/>
      <c r="B47561" s="7"/>
      <c r="M47561" s="9" t="s">
        <v>27</v>
      </c>
    </row>
    <row r="47562" ht="15.75" customHeight="1">
      <c r="A47562" s="7"/>
      <c r="B47562" s="7"/>
      <c r="M47562" s="9" t="s">
        <v>33</v>
      </c>
    </row>
    <row r="47563" ht="15.75" customHeight="1">
      <c r="A47563" s="7"/>
      <c r="B47563" s="7"/>
      <c r="M47563" s="9" t="s">
        <v>35</v>
      </c>
    </row>
    <row r="47564" ht="15.75" customHeight="1">
      <c r="A47564" s="7"/>
      <c r="B47564" s="7"/>
      <c r="M47564" s="9" t="s">
        <v>44</v>
      </c>
    </row>
    <row r="47565" ht="15.75" customHeight="1">
      <c r="A47565" s="7"/>
      <c r="B47565" s="7"/>
      <c r="M47565" s="9" t="s">
        <v>24</v>
      </c>
    </row>
    <row r="47566" ht="15.75" customHeight="1">
      <c r="A47566" s="7"/>
      <c r="B47566" s="7"/>
      <c r="M47566" s="9" t="s">
        <v>20</v>
      </c>
    </row>
    <row r="47567" ht="15.75" customHeight="1">
      <c r="A47567" s="7"/>
      <c r="B47567" s="7"/>
      <c r="M47567" s="9" t="s">
        <v>21</v>
      </c>
    </row>
    <row r="47568" ht="15.75" customHeight="1">
      <c r="A47568" s="7"/>
      <c r="B47568" s="7"/>
      <c r="M47568" s="9" t="s">
        <v>22</v>
      </c>
    </row>
    <row r="47569" ht="15.75" customHeight="1">
      <c r="A47569" s="7"/>
      <c r="B47569" s="7"/>
      <c r="M47569" s="9" t="s">
        <v>20</v>
      </c>
    </row>
    <row r="47570" ht="15.75" customHeight="1">
      <c r="A47570" s="7"/>
      <c r="B47570" s="7"/>
      <c r="M47570" s="9" t="s">
        <v>21</v>
      </c>
    </row>
    <row r="47571" ht="15.75" customHeight="1">
      <c r="A47571" s="7"/>
      <c r="B47571" s="7"/>
      <c r="M47571" s="9" t="s">
        <v>26</v>
      </c>
    </row>
    <row r="47572" ht="15.75" customHeight="1">
      <c r="A47572" s="7"/>
      <c r="B47572" s="7"/>
      <c r="M47572" s="9" t="s">
        <v>24</v>
      </c>
    </row>
    <row r="47573" ht="15.75" customHeight="1">
      <c r="A47573" s="7"/>
      <c r="B47573" s="7"/>
      <c r="M47573" s="9" t="s">
        <v>20</v>
      </c>
    </row>
    <row r="47574" ht="15.75" customHeight="1">
      <c r="A47574" s="7"/>
      <c r="B47574" s="7"/>
      <c r="M47574" s="9" t="s">
        <v>21</v>
      </c>
    </row>
    <row r="47575" ht="15.75" customHeight="1">
      <c r="A47575" s="7"/>
      <c r="B47575" s="7"/>
      <c r="M47575" s="9" t="s">
        <v>37</v>
      </c>
    </row>
    <row r="47576" ht="15.75" customHeight="1">
      <c r="A47576" s="7"/>
      <c r="B47576" s="7"/>
      <c r="M47576" s="9" t="s">
        <v>22</v>
      </c>
    </row>
    <row r="47577" ht="15.75" customHeight="1">
      <c r="A47577" s="7"/>
      <c r="B47577" s="7"/>
      <c r="M47577" s="9" t="s">
        <v>27</v>
      </c>
    </row>
    <row r="47578" ht="15.75" customHeight="1">
      <c r="A47578" s="7"/>
      <c r="B47578" s="7"/>
      <c r="M47578" s="9" t="s">
        <v>33</v>
      </c>
    </row>
    <row r="47579" ht="15.75" customHeight="1">
      <c r="A47579" s="7"/>
      <c r="B47579" s="7"/>
      <c r="M47579" s="9" t="s">
        <v>30</v>
      </c>
    </row>
    <row r="47580" ht="15.75" customHeight="1">
      <c r="A47580" s="7"/>
      <c r="B47580" s="7"/>
      <c r="M47580" s="9" t="s">
        <v>24</v>
      </c>
    </row>
    <row r="47581" ht="15.75" customHeight="1">
      <c r="A47581" s="7"/>
      <c r="B47581" s="7"/>
      <c r="M47581" s="9" t="s">
        <v>21</v>
      </c>
    </row>
    <row r="47582" ht="15.75" customHeight="1">
      <c r="A47582" s="7"/>
      <c r="B47582" s="7"/>
      <c r="M47582" s="9" t="s">
        <v>37</v>
      </c>
    </row>
    <row r="47583" ht="15.75" customHeight="1">
      <c r="A47583" s="7"/>
      <c r="B47583" s="7"/>
      <c r="M47583" s="9" t="s">
        <v>22</v>
      </c>
    </row>
    <row r="47584" ht="15.75" customHeight="1">
      <c r="A47584" s="7"/>
      <c r="B47584" s="7"/>
      <c r="M47584" s="9" t="s">
        <v>46</v>
      </c>
    </row>
    <row r="47585" ht="15.75" customHeight="1">
      <c r="A47585" s="7"/>
      <c r="B47585" s="7"/>
      <c r="M47585" s="9" t="s">
        <v>27</v>
      </c>
    </row>
    <row r="47586" ht="15.75" customHeight="1">
      <c r="A47586" s="7"/>
      <c r="B47586" s="7"/>
      <c r="M47586" s="9" t="s">
        <v>33</v>
      </c>
    </row>
    <row r="47587" ht="15.75" customHeight="1">
      <c r="A47587" s="7"/>
      <c r="B47587" s="7"/>
      <c r="M47587" s="9" t="s">
        <v>30</v>
      </c>
    </row>
    <row r="47588" ht="15.75" customHeight="1">
      <c r="A47588" s="7"/>
      <c r="B47588" s="7"/>
      <c r="M47588" s="9" t="s">
        <v>24</v>
      </c>
    </row>
    <row r="47589" ht="15.75" customHeight="1">
      <c r="A47589" s="7"/>
      <c r="B47589" s="7"/>
      <c r="M47589" s="9" t="s">
        <v>20</v>
      </c>
    </row>
    <row r="47590" ht="15.75" customHeight="1">
      <c r="A47590" s="7"/>
      <c r="B47590" s="7"/>
      <c r="M47590" s="9" t="s">
        <v>21</v>
      </c>
    </row>
    <row r="47591" ht="15.75" customHeight="1">
      <c r="A47591" s="7"/>
      <c r="B47591" s="7"/>
      <c r="M47591" s="9" t="s">
        <v>39</v>
      </c>
    </row>
    <row r="47592" ht="15.75" customHeight="1">
      <c r="A47592" s="7"/>
      <c r="B47592" s="7"/>
      <c r="M47592" s="9" t="s">
        <v>22</v>
      </c>
    </row>
    <row r="47593" ht="15.75" customHeight="1">
      <c r="A47593" s="7"/>
      <c r="B47593" s="7"/>
      <c r="M47593" s="9" t="s">
        <v>27</v>
      </c>
    </row>
    <row r="47594" ht="15.75" customHeight="1">
      <c r="A47594" s="7"/>
      <c r="B47594" s="7"/>
      <c r="M47594" s="9" t="s">
        <v>33</v>
      </c>
    </row>
    <row r="47595" ht="15.75" customHeight="1">
      <c r="A47595" s="7"/>
      <c r="B47595" s="7"/>
      <c r="M47595" s="9" t="s">
        <v>26</v>
      </c>
    </row>
    <row r="47596" ht="15.75" customHeight="1">
      <c r="A47596" s="7"/>
      <c r="B47596" s="7"/>
      <c r="M47596" s="9" t="s">
        <v>24</v>
      </c>
    </row>
    <row r="47597" ht="15.75" customHeight="1">
      <c r="A47597" s="7"/>
      <c r="B47597" s="7"/>
      <c r="M47597" s="9" t="s">
        <v>21</v>
      </c>
    </row>
    <row r="47598" ht="15.75" customHeight="1">
      <c r="A47598" s="7"/>
      <c r="B47598" s="7"/>
      <c r="M47598" s="9" t="s">
        <v>37</v>
      </c>
    </row>
    <row r="47599" ht="15.75" customHeight="1">
      <c r="A47599" s="7"/>
      <c r="B47599" s="7"/>
      <c r="M47599" s="9" t="s">
        <v>27</v>
      </c>
    </row>
    <row r="47600" ht="15.75" customHeight="1">
      <c r="A47600" s="7"/>
      <c r="B47600" s="7"/>
      <c r="M47600" s="9" t="s">
        <v>33</v>
      </c>
    </row>
    <row r="47601" ht="15.75" customHeight="1">
      <c r="A47601" s="7"/>
      <c r="B47601" s="7"/>
      <c r="M47601" s="9" t="s">
        <v>30</v>
      </c>
    </row>
    <row r="47602" ht="15.75" customHeight="1">
      <c r="A47602" s="7"/>
      <c r="B47602" s="7"/>
      <c r="M47602" s="9" t="s">
        <v>23</v>
      </c>
    </row>
    <row r="47603" ht="15.75" customHeight="1">
      <c r="A47603" s="7"/>
      <c r="B47603" s="7"/>
      <c r="M47603" s="9" t="s">
        <v>36</v>
      </c>
    </row>
    <row r="47604" ht="15.75" customHeight="1">
      <c r="A47604" s="7"/>
      <c r="B47604" s="7"/>
      <c r="M47604" s="9" t="s">
        <v>22</v>
      </c>
    </row>
    <row r="47605" ht="15.75" customHeight="1">
      <c r="A47605" s="7"/>
      <c r="B47605" s="7"/>
      <c r="M47605" s="9" t="s">
        <v>27</v>
      </c>
    </row>
    <row r="47606" ht="15.75" customHeight="1">
      <c r="A47606" s="7"/>
      <c r="B47606" s="7"/>
      <c r="M47606" s="9" t="s">
        <v>24</v>
      </c>
    </row>
    <row r="47607" ht="15.75" customHeight="1">
      <c r="A47607" s="7"/>
      <c r="B47607" s="7"/>
      <c r="M47607" s="9" t="s">
        <v>20</v>
      </c>
    </row>
    <row r="47608" ht="15.75" customHeight="1">
      <c r="A47608" s="7"/>
      <c r="B47608" s="7"/>
      <c r="M47608" s="9" t="s">
        <v>21</v>
      </c>
    </row>
    <row r="47609" ht="15.75" customHeight="1">
      <c r="A47609" s="7"/>
      <c r="B47609" s="7"/>
      <c r="M47609" s="9" t="s">
        <v>22</v>
      </c>
    </row>
    <row r="47610" ht="15.75" customHeight="1">
      <c r="A47610" s="7"/>
      <c r="B47610" s="7"/>
      <c r="M47610" s="9" t="s">
        <v>25</v>
      </c>
    </row>
    <row r="47611" ht="15.75" customHeight="1">
      <c r="A47611" s="7"/>
      <c r="B47611" s="7"/>
      <c r="M47611" s="9" t="s">
        <v>24</v>
      </c>
    </row>
    <row r="47612" ht="15.75" customHeight="1">
      <c r="A47612" s="7"/>
      <c r="B47612" s="7"/>
      <c r="M47612" s="9" t="s">
        <v>20</v>
      </c>
    </row>
    <row r="47613" ht="15.75" customHeight="1">
      <c r="A47613" s="7"/>
      <c r="B47613" s="7"/>
      <c r="M47613" s="9" t="s">
        <v>21</v>
      </c>
    </row>
    <row r="47614" ht="15.75" customHeight="1">
      <c r="A47614" s="7"/>
      <c r="B47614" s="7"/>
      <c r="M47614" s="9" t="s">
        <v>37</v>
      </c>
    </row>
    <row r="47615" ht="15.75" customHeight="1">
      <c r="A47615" s="7"/>
      <c r="B47615" s="7"/>
      <c r="M47615" s="9" t="s">
        <v>22</v>
      </c>
    </row>
    <row r="47616" ht="15.75" customHeight="1">
      <c r="A47616" s="7"/>
      <c r="B47616" s="7"/>
      <c r="M47616" s="9" t="s">
        <v>29</v>
      </c>
    </row>
    <row r="47617" ht="15.75" customHeight="1">
      <c r="A47617" s="7"/>
      <c r="B47617" s="7"/>
      <c r="M47617" s="9" t="s">
        <v>27</v>
      </c>
    </row>
    <row r="47618" ht="15.75" customHeight="1">
      <c r="A47618" s="7"/>
      <c r="B47618" s="7"/>
      <c r="M47618" s="9" t="s">
        <v>24</v>
      </c>
    </row>
    <row r="47619" ht="15.75" customHeight="1">
      <c r="A47619" s="7"/>
      <c r="B47619" s="7"/>
      <c r="M47619" s="9" t="s">
        <v>21</v>
      </c>
    </row>
    <row r="47620" ht="15.75" customHeight="1">
      <c r="A47620" s="7"/>
      <c r="B47620" s="7"/>
      <c r="M47620" s="9" t="s">
        <v>37</v>
      </c>
    </row>
    <row r="47621" ht="15.75" customHeight="1">
      <c r="A47621" s="7"/>
      <c r="B47621" s="7"/>
      <c r="M47621" s="9" t="s">
        <v>22</v>
      </c>
    </row>
    <row r="47622" ht="15.75" customHeight="1">
      <c r="A47622" s="7"/>
      <c r="B47622" s="7"/>
      <c r="M47622" s="9" t="s">
        <v>27</v>
      </c>
    </row>
    <row r="47623" ht="15.75" customHeight="1">
      <c r="A47623" s="7"/>
      <c r="B47623" s="7"/>
      <c r="M47623" s="9" t="s">
        <v>33</v>
      </c>
    </row>
    <row r="47624" ht="15.75" customHeight="1">
      <c r="A47624" s="7"/>
      <c r="B47624" s="7"/>
      <c r="M47624" s="9" t="s">
        <v>20</v>
      </c>
    </row>
    <row r="47625" ht="15.75" customHeight="1">
      <c r="A47625" s="7"/>
      <c r="B47625" s="7"/>
      <c r="M47625" s="9" t="s">
        <v>21</v>
      </c>
    </row>
    <row r="47626" ht="15.75" customHeight="1">
      <c r="A47626" s="7"/>
      <c r="B47626" s="7"/>
      <c r="M47626" s="9" t="s">
        <v>37</v>
      </c>
    </row>
    <row r="47627" ht="15.75" customHeight="1">
      <c r="A47627" s="7"/>
      <c r="B47627" s="7"/>
      <c r="M47627" s="9" t="s">
        <v>33</v>
      </c>
    </row>
    <row r="47628" ht="15.75" customHeight="1">
      <c r="A47628" s="7"/>
      <c r="B47628" s="7"/>
      <c r="M47628" s="9" t="s">
        <v>30</v>
      </c>
    </row>
    <row r="47629" ht="15.75" customHeight="1">
      <c r="A47629" s="7"/>
      <c r="B47629" s="7"/>
      <c r="M47629" s="9" t="s">
        <v>24</v>
      </c>
    </row>
    <row r="47630" ht="15.75" customHeight="1">
      <c r="A47630" s="7"/>
      <c r="B47630" s="7"/>
      <c r="M47630" s="9" t="s">
        <v>20</v>
      </c>
    </row>
    <row r="47631" ht="15.75" customHeight="1">
      <c r="A47631" s="7"/>
      <c r="B47631" s="7"/>
      <c r="M47631" s="9" t="s">
        <v>21</v>
      </c>
    </row>
    <row r="47632" ht="15.75" customHeight="1">
      <c r="A47632" s="7"/>
      <c r="B47632" s="7"/>
      <c r="M47632" s="9" t="s">
        <v>22</v>
      </c>
    </row>
    <row r="47633" ht="15.75" customHeight="1">
      <c r="A47633" s="7"/>
      <c r="B47633" s="7"/>
      <c r="M47633" s="9" t="s">
        <v>33</v>
      </c>
    </row>
    <row r="47634" ht="15.75" customHeight="1">
      <c r="A47634" s="7"/>
      <c r="B47634" s="7"/>
      <c r="M47634" s="9" t="s">
        <v>24</v>
      </c>
    </row>
    <row r="47635" ht="15.75" customHeight="1">
      <c r="A47635" s="7"/>
      <c r="B47635" s="7"/>
      <c r="M47635" s="9" t="s">
        <v>20</v>
      </c>
    </row>
    <row r="47636" ht="15.75" customHeight="1">
      <c r="A47636" s="7"/>
      <c r="B47636" s="7"/>
      <c r="M47636" s="9" t="s">
        <v>21</v>
      </c>
    </row>
    <row r="47637" ht="15.75" customHeight="1">
      <c r="A47637" s="7"/>
      <c r="B47637" s="7"/>
      <c r="M47637" s="9" t="s">
        <v>46</v>
      </c>
    </row>
    <row r="47638" ht="15.75" customHeight="1">
      <c r="A47638" s="7"/>
      <c r="B47638" s="7"/>
      <c r="M47638" s="9" t="s">
        <v>22</v>
      </c>
    </row>
    <row r="47639" ht="15.75" customHeight="1">
      <c r="A47639" s="7"/>
      <c r="B47639" s="7"/>
      <c r="M47639" s="9" t="s">
        <v>26</v>
      </c>
    </row>
    <row r="47640" ht="15.75" customHeight="1">
      <c r="A47640" s="7"/>
      <c r="B47640" s="7"/>
      <c r="M47640" s="9" t="s">
        <v>24</v>
      </c>
    </row>
    <row r="47641" ht="15.75" customHeight="1">
      <c r="A47641" s="7"/>
      <c r="B47641" s="7"/>
      <c r="M47641" s="9" t="s">
        <v>20</v>
      </c>
    </row>
    <row r="47642" ht="15.75" customHeight="1">
      <c r="A47642" s="7"/>
      <c r="B47642" s="7"/>
      <c r="M47642" s="9" t="s">
        <v>37</v>
      </c>
    </row>
    <row r="47643" ht="15.75" customHeight="1">
      <c r="A47643" s="7"/>
      <c r="B47643" s="7"/>
      <c r="M47643" s="9" t="s">
        <v>20</v>
      </c>
    </row>
    <row r="47644" ht="15.75" customHeight="1">
      <c r="A47644" s="7"/>
      <c r="B47644" s="7"/>
      <c r="M47644" s="9" t="s">
        <v>27</v>
      </c>
    </row>
    <row r="47645" ht="15.75" customHeight="1">
      <c r="A47645" s="7"/>
      <c r="B47645" s="7"/>
      <c r="M47645" s="9" t="s">
        <v>26</v>
      </c>
    </row>
    <row r="47646" ht="15.75" customHeight="1">
      <c r="A47646" s="7"/>
      <c r="B47646" s="7"/>
      <c r="M47646" s="9" t="s">
        <v>24</v>
      </c>
    </row>
    <row r="47647" ht="15.75" customHeight="1">
      <c r="A47647" s="7"/>
      <c r="B47647" s="7"/>
      <c r="M47647" s="9" t="s">
        <v>21</v>
      </c>
    </row>
    <row r="47648" ht="15.75" customHeight="1">
      <c r="A47648" s="7"/>
      <c r="B47648" s="7"/>
      <c r="M47648" s="9" t="s">
        <v>22</v>
      </c>
    </row>
    <row r="47649" ht="15.75" customHeight="1">
      <c r="A47649" s="7"/>
      <c r="B47649" s="7"/>
      <c r="M47649" s="9" t="s">
        <v>27</v>
      </c>
    </row>
    <row r="47650" ht="15.75" customHeight="1">
      <c r="A47650" s="7"/>
      <c r="B47650" s="7"/>
      <c r="M47650" s="9" t="s">
        <v>30</v>
      </c>
    </row>
    <row r="47651" ht="15.75" customHeight="1">
      <c r="A47651" s="7"/>
      <c r="B47651" s="7"/>
      <c r="M47651" s="9" t="s">
        <v>24</v>
      </c>
    </row>
    <row r="47652" ht="15.75" customHeight="1">
      <c r="A47652" s="7"/>
      <c r="B47652" s="7"/>
      <c r="M47652" s="9" t="s">
        <v>21</v>
      </c>
    </row>
    <row r="47653" ht="15.75" customHeight="1">
      <c r="A47653" s="7"/>
      <c r="B47653" s="7"/>
      <c r="M47653" s="9" t="s">
        <v>37</v>
      </c>
    </row>
    <row r="47654" ht="15.75" customHeight="1">
      <c r="A47654" s="7"/>
      <c r="B47654" s="7"/>
      <c r="M47654" s="9" t="s">
        <v>30</v>
      </c>
    </row>
    <row r="47655" ht="15.75" customHeight="1">
      <c r="A47655" s="7"/>
      <c r="B47655" s="7"/>
      <c r="M47655" s="9" t="s">
        <v>21</v>
      </c>
    </row>
    <row r="47656" ht="15.75" customHeight="1">
      <c r="A47656" s="7"/>
      <c r="B47656" s="7"/>
      <c r="M47656" s="9" t="s">
        <v>22</v>
      </c>
    </row>
    <row r="47657" ht="15.75" customHeight="1">
      <c r="A47657" s="7"/>
      <c r="B47657" s="7"/>
      <c r="M47657" s="9" t="s">
        <v>24</v>
      </c>
    </row>
    <row r="47658" ht="15.75" customHeight="1">
      <c r="A47658" s="7"/>
      <c r="B47658" s="7"/>
      <c r="M47658" s="9" t="s">
        <v>21</v>
      </c>
    </row>
    <row r="47659" ht="15.75" customHeight="1">
      <c r="A47659" s="7"/>
      <c r="B47659" s="7"/>
      <c r="M47659" s="9" t="s">
        <v>37</v>
      </c>
    </row>
    <row r="47660" ht="15.75" customHeight="1">
      <c r="A47660" s="7"/>
      <c r="B47660" s="7"/>
      <c r="M47660" s="9" t="s">
        <v>27</v>
      </c>
    </row>
    <row r="47661" ht="15.75" customHeight="1">
      <c r="A47661" s="7"/>
      <c r="B47661" s="7"/>
      <c r="M47661" s="9" t="s">
        <v>33</v>
      </c>
    </row>
    <row r="47662" ht="15.75" customHeight="1">
      <c r="A47662" s="7"/>
      <c r="B47662" s="7"/>
      <c r="M47662" s="9" t="s">
        <v>24</v>
      </c>
    </row>
    <row r="47663" ht="15.75" customHeight="1">
      <c r="A47663" s="7"/>
      <c r="B47663" s="7"/>
      <c r="M47663" s="9" t="s">
        <v>21</v>
      </c>
    </row>
    <row r="47664" ht="15.75" customHeight="1">
      <c r="A47664" s="7"/>
      <c r="B47664" s="7"/>
      <c r="M47664" s="9" t="s">
        <v>22</v>
      </c>
    </row>
    <row r="47665" ht="15.75" customHeight="1">
      <c r="A47665" s="7"/>
      <c r="B47665" s="7"/>
      <c r="M47665" s="9" t="s">
        <v>32</v>
      </c>
    </row>
    <row r="47666" ht="15.75" customHeight="1">
      <c r="A47666" s="7"/>
      <c r="B47666" s="7"/>
      <c r="M47666" s="9" t="s">
        <v>27</v>
      </c>
    </row>
    <row r="47667" ht="15.75" customHeight="1">
      <c r="A47667" s="7"/>
      <c r="B47667" s="7"/>
      <c r="M47667" s="9" t="s">
        <v>30</v>
      </c>
    </row>
    <row r="47668" ht="15.75" customHeight="1">
      <c r="A47668" s="7"/>
      <c r="B47668" s="7"/>
      <c r="M47668" s="9" t="s">
        <v>26</v>
      </c>
    </row>
    <row r="47669" ht="15.75" customHeight="1">
      <c r="A47669" s="7"/>
      <c r="B47669" s="7"/>
      <c r="M47669" s="9" t="s">
        <v>24</v>
      </c>
    </row>
    <row r="47670" ht="15.75" customHeight="1">
      <c r="A47670" s="7"/>
      <c r="B47670" s="7"/>
      <c r="M47670" s="9" t="s">
        <v>20</v>
      </c>
    </row>
    <row r="47671" ht="15.75" customHeight="1">
      <c r="A47671" s="7"/>
      <c r="B47671" s="7"/>
      <c r="M47671" s="9" t="s">
        <v>21</v>
      </c>
    </row>
    <row r="47672" ht="15.75" customHeight="1">
      <c r="A47672" s="7"/>
      <c r="B47672" s="7"/>
      <c r="M47672" s="9" t="s">
        <v>22</v>
      </c>
    </row>
    <row r="47673" ht="15.75" customHeight="1">
      <c r="A47673" s="7"/>
      <c r="B47673" s="7"/>
      <c r="M47673" s="9" t="s">
        <v>27</v>
      </c>
    </row>
    <row r="47674" ht="15.75" customHeight="1">
      <c r="A47674" s="7"/>
      <c r="B47674" s="7"/>
      <c r="M47674" s="9" t="s">
        <v>35</v>
      </c>
    </row>
    <row r="47675" ht="15.75" customHeight="1">
      <c r="A47675" s="7"/>
      <c r="B47675" s="7"/>
      <c r="M47675" s="9" t="s">
        <v>30</v>
      </c>
    </row>
    <row r="47676" ht="15.75" customHeight="1">
      <c r="A47676" s="7"/>
      <c r="B47676" s="7"/>
      <c r="M47676" s="9" t="s">
        <v>23</v>
      </c>
    </row>
    <row r="47677" ht="15.75" customHeight="1">
      <c r="A47677" s="7"/>
      <c r="B47677" s="7"/>
      <c r="M47677" s="9" t="s">
        <v>26</v>
      </c>
    </row>
    <row r="47678" ht="15.75" customHeight="1">
      <c r="A47678" s="7"/>
      <c r="B47678" s="7"/>
      <c r="M47678" s="9" t="s">
        <v>24</v>
      </c>
    </row>
    <row r="47679" ht="15.75" customHeight="1">
      <c r="A47679" s="7"/>
      <c r="B47679" s="7"/>
      <c r="M47679" s="9" t="s">
        <v>20</v>
      </c>
    </row>
    <row r="47680" ht="15.75" customHeight="1">
      <c r="A47680" s="7"/>
      <c r="B47680" s="7"/>
      <c r="M47680" s="9" t="s">
        <v>21</v>
      </c>
    </row>
    <row r="47681" ht="15.75" customHeight="1">
      <c r="A47681" s="7"/>
      <c r="B47681" s="7"/>
      <c r="M47681" s="9" t="s">
        <v>41</v>
      </c>
    </row>
    <row r="47682" ht="15.75" customHeight="1">
      <c r="A47682" s="7"/>
      <c r="B47682" s="7"/>
      <c r="M47682" s="9" t="s">
        <v>27</v>
      </c>
    </row>
    <row r="47683" ht="15.75" customHeight="1">
      <c r="A47683" s="7"/>
      <c r="B47683" s="7"/>
      <c r="M47683" s="9" t="s">
        <v>40</v>
      </c>
    </row>
    <row r="47684" ht="15.75" customHeight="1">
      <c r="A47684" s="7"/>
      <c r="B47684" s="7"/>
      <c r="M47684" s="9" t="s">
        <v>24</v>
      </c>
    </row>
    <row r="47685" ht="15.75" customHeight="1">
      <c r="A47685" s="7"/>
      <c r="B47685" s="7"/>
      <c r="M47685" s="9" t="s">
        <v>21</v>
      </c>
    </row>
    <row r="47686" ht="15.75" customHeight="1">
      <c r="A47686" s="7"/>
      <c r="B47686" s="7"/>
      <c r="M47686" s="9" t="s">
        <v>30</v>
      </c>
    </row>
    <row r="47687" ht="15.75" customHeight="1">
      <c r="A47687" s="7"/>
      <c r="B47687" s="7"/>
      <c r="M47687" s="9" t="s">
        <v>25</v>
      </c>
    </row>
    <row r="47688" ht="15.75" customHeight="1">
      <c r="A47688" s="7"/>
      <c r="B47688" s="7"/>
      <c r="M47688" s="9" t="s">
        <v>36</v>
      </c>
    </row>
    <row r="47689" ht="15.75" customHeight="1">
      <c r="A47689" s="7"/>
      <c r="B47689" s="7"/>
      <c r="M47689" s="9" t="s">
        <v>21</v>
      </c>
    </row>
    <row r="47690" ht="15.75" customHeight="1">
      <c r="A47690" s="7"/>
      <c r="B47690" s="7"/>
      <c r="M47690" s="9" t="s">
        <v>22</v>
      </c>
    </row>
    <row r="47691" ht="15.75" customHeight="1">
      <c r="A47691" s="7"/>
      <c r="B47691" s="7"/>
      <c r="M47691" s="9" t="s">
        <v>31</v>
      </c>
    </row>
    <row r="47692" ht="15.75" customHeight="1">
      <c r="A47692" s="7"/>
      <c r="B47692" s="7"/>
      <c r="M47692" s="9" t="s">
        <v>36</v>
      </c>
    </row>
    <row r="47693" ht="15.75" customHeight="1">
      <c r="A47693" s="7"/>
      <c r="B47693" s="7"/>
      <c r="M47693" s="9" t="s">
        <v>21</v>
      </c>
    </row>
    <row r="47694" ht="15.75" customHeight="1">
      <c r="A47694" s="7"/>
      <c r="B47694" s="7"/>
      <c r="M47694" s="9" t="s">
        <v>37</v>
      </c>
    </row>
    <row r="47695" ht="15.75" customHeight="1">
      <c r="A47695" s="7"/>
      <c r="B47695" s="7"/>
      <c r="M47695" s="9" t="s">
        <v>27</v>
      </c>
    </row>
    <row r="47696" ht="15.75" customHeight="1">
      <c r="A47696" s="7"/>
      <c r="B47696" s="7"/>
      <c r="M47696" s="9" t="s">
        <v>24</v>
      </c>
    </row>
    <row r="47697" ht="15.75" customHeight="1">
      <c r="A47697" s="7"/>
      <c r="B47697" s="7"/>
      <c r="M47697" s="9" t="s">
        <v>21</v>
      </c>
    </row>
    <row r="47698" ht="15.75" customHeight="1">
      <c r="A47698" s="7"/>
      <c r="B47698" s="7"/>
      <c r="M47698" s="9" t="s">
        <v>37</v>
      </c>
    </row>
    <row r="47699" ht="15.75" customHeight="1">
      <c r="A47699" s="7"/>
      <c r="B47699" s="7"/>
      <c r="M47699" s="9" t="s">
        <v>27</v>
      </c>
    </row>
    <row r="47700" ht="15.75" customHeight="1">
      <c r="A47700" s="7"/>
      <c r="B47700" s="7"/>
      <c r="M47700" s="9" t="s">
        <v>30</v>
      </c>
    </row>
    <row r="47701" ht="15.75" customHeight="1">
      <c r="A47701" s="7"/>
      <c r="B47701" s="7"/>
      <c r="M47701" s="9" t="s">
        <v>24</v>
      </c>
    </row>
    <row r="47702" ht="15.75" customHeight="1">
      <c r="A47702" s="7"/>
      <c r="B47702" s="7"/>
      <c r="M47702" s="9" t="s">
        <v>21</v>
      </c>
    </row>
    <row r="47703" ht="15.75" customHeight="1">
      <c r="A47703" s="7"/>
      <c r="B47703" s="7"/>
      <c r="M47703" s="9" t="s">
        <v>22</v>
      </c>
    </row>
    <row r="47704" ht="15.75" customHeight="1">
      <c r="A47704" s="7"/>
      <c r="B47704" s="7"/>
      <c r="M47704" s="9" t="s">
        <v>23</v>
      </c>
    </row>
    <row r="47705" ht="15.75" customHeight="1">
      <c r="A47705" s="7"/>
      <c r="B47705" s="7"/>
      <c r="M47705" s="9" t="s">
        <v>26</v>
      </c>
    </row>
    <row r="47706" ht="15.75" customHeight="1">
      <c r="A47706" s="7"/>
      <c r="B47706" s="7"/>
      <c r="M47706" s="9" t="s">
        <v>24</v>
      </c>
    </row>
    <row r="47707" ht="15.75" customHeight="1">
      <c r="A47707" s="7"/>
      <c r="B47707" s="7"/>
      <c r="M47707" s="9" t="s">
        <v>20</v>
      </c>
    </row>
    <row r="47708" ht="15.75" customHeight="1">
      <c r="A47708" s="7"/>
      <c r="B47708" s="7"/>
      <c r="M47708" s="9" t="s">
        <v>21</v>
      </c>
    </row>
    <row r="47709" ht="15.75" customHeight="1">
      <c r="A47709" s="7"/>
      <c r="B47709" s="7"/>
      <c r="M47709" s="9" t="s">
        <v>37</v>
      </c>
    </row>
    <row r="47710" ht="15.75" customHeight="1">
      <c r="A47710" s="7"/>
      <c r="B47710" s="7"/>
      <c r="M47710" s="9" t="s">
        <v>27</v>
      </c>
    </row>
    <row r="47711" ht="15.75" customHeight="1">
      <c r="A47711" s="7"/>
      <c r="B47711" s="7"/>
      <c r="M47711" s="9" t="s">
        <v>22</v>
      </c>
    </row>
    <row r="47712" ht="15.75" customHeight="1">
      <c r="A47712" s="7"/>
      <c r="B47712" s="7"/>
      <c r="M47712" s="9" t="s">
        <v>30</v>
      </c>
    </row>
    <row r="47713" ht="15.75" customHeight="1">
      <c r="A47713" s="7"/>
      <c r="B47713" s="7"/>
      <c r="M47713" s="9" t="s">
        <v>24</v>
      </c>
    </row>
    <row r="47714" ht="15.75" customHeight="1">
      <c r="A47714" s="7"/>
      <c r="B47714" s="7"/>
      <c r="M47714" s="9" t="s">
        <v>20</v>
      </c>
    </row>
    <row r="47715" ht="15.75" customHeight="1">
      <c r="A47715" s="7"/>
      <c r="B47715" s="7"/>
      <c r="M47715" s="9" t="s">
        <v>21</v>
      </c>
    </row>
    <row r="47716" ht="15.75" customHeight="1">
      <c r="A47716" s="7"/>
      <c r="B47716" s="7"/>
      <c r="M47716" s="9" t="s">
        <v>22</v>
      </c>
    </row>
    <row r="47717" ht="15.75" customHeight="1">
      <c r="A47717" s="7"/>
      <c r="B47717" s="7"/>
      <c r="M47717" s="9" t="s">
        <v>27</v>
      </c>
    </row>
    <row r="47718" ht="15.75" customHeight="1">
      <c r="A47718" s="7"/>
      <c r="B47718" s="7"/>
      <c r="M47718" s="9" t="s">
        <v>35</v>
      </c>
    </row>
    <row r="47719" ht="15.75" customHeight="1">
      <c r="A47719" s="7"/>
      <c r="B47719" s="7"/>
      <c r="M47719" s="9" t="s">
        <v>23</v>
      </c>
    </row>
    <row r="47720" ht="15.75" customHeight="1">
      <c r="A47720" s="7"/>
      <c r="B47720" s="7"/>
      <c r="M47720" s="9" t="s">
        <v>26</v>
      </c>
    </row>
    <row r="47721" ht="15.75" customHeight="1">
      <c r="A47721" s="7"/>
      <c r="B47721" s="7"/>
      <c r="M47721" s="9" t="s">
        <v>24</v>
      </c>
    </row>
    <row r="47722" ht="15.75" customHeight="1">
      <c r="A47722" s="7"/>
      <c r="B47722" s="7"/>
      <c r="M47722" s="9" t="s">
        <v>20</v>
      </c>
    </row>
    <row r="47723" ht="15.75" customHeight="1">
      <c r="A47723" s="7"/>
      <c r="B47723" s="7"/>
      <c r="M47723" s="9" t="s">
        <v>21</v>
      </c>
    </row>
    <row r="47724" ht="15.75" customHeight="1">
      <c r="A47724" s="7"/>
      <c r="B47724" s="7"/>
      <c r="M47724" s="9" t="s">
        <v>37</v>
      </c>
    </row>
    <row r="47725" ht="15.75" customHeight="1">
      <c r="A47725" s="7"/>
      <c r="B47725" s="7"/>
      <c r="M47725" s="9" t="s">
        <v>27</v>
      </c>
    </row>
    <row r="47726" ht="15.75" customHeight="1">
      <c r="A47726" s="7"/>
      <c r="B47726" s="7"/>
      <c r="M47726" s="9" t="s">
        <v>22</v>
      </c>
    </row>
    <row r="47727" ht="15.75" customHeight="1">
      <c r="A47727" s="7"/>
      <c r="B47727" s="7"/>
      <c r="M47727" s="9" t="s">
        <v>29</v>
      </c>
    </row>
    <row r="47728" ht="15.75" customHeight="1">
      <c r="A47728" s="7"/>
      <c r="B47728" s="7"/>
      <c r="M47728" s="9" t="s">
        <v>28</v>
      </c>
    </row>
    <row r="47729" ht="15.75" customHeight="1">
      <c r="A47729" s="7"/>
      <c r="B47729" s="7"/>
      <c r="M47729" s="9" t="s">
        <v>38</v>
      </c>
    </row>
    <row r="47730" ht="15.75" customHeight="1">
      <c r="A47730" s="7"/>
      <c r="B47730" s="7"/>
      <c r="M47730" s="9" t="s">
        <v>24</v>
      </c>
    </row>
    <row r="47731" ht="15.75" customHeight="1">
      <c r="A47731" s="7"/>
      <c r="B47731" s="7"/>
      <c r="M47731" s="9" t="s">
        <v>20</v>
      </c>
    </row>
    <row r="47732" ht="15.75" customHeight="1">
      <c r="A47732" s="7"/>
      <c r="B47732" s="7"/>
      <c r="M47732" s="9" t="s">
        <v>21</v>
      </c>
    </row>
    <row r="47733" ht="15.75" customHeight="1">
      <c r="A47733" s="7"/>
      <c r="B47733" s="7"/>
      <c r="M47733" s="9" t="s">
        <v>37</v>
      </c>
    </row>
    <row r="47734" ht="15.75" customHeight="1">
      <c r="A47734" s="7"/>
      <c r="B47734" s="7"/>
      <c r="M47734" s="9" t="s">
        <v>22</v>
      </c>
    </row>
    <row r="47735" ht="15.75" customHeight="1">
      <c r="A47735" s="7"/>
      <c r="B47735" s="7"/>
      <c r="M47735" s="9" t="s">
        <v>27</v>
      </c>
    </row>
    <row r="47736" ht="15.75" customHeight="1">
      <c r="A47736" s="7"/>
      <c r="B47736" s="7"/>
      <c r="M47736" s="9" t="s">
        <v>33</v>
      </c>
    </row>
    <row r="47737" ht="15.75" customHeight="1">
      <c r="A47737" s="7"/>
      <c r="B47737" s="7"/>
      <c r="M47737" s="9" t="s">
        <v>23</v>
      </c>
    </row>
    <row r="47738" ht="15.75" customHeight="1">
      <c r="A47738" s="7"/>
      <c r="B47738" s="7"/>
      <c r="M47738" s="9" t="s">
        <v>26</v>
      </c>
    </row>
    <row r="47739" ht="15.75" customHeight="1">
      <c r="A47739" s="7"/>
      <c r="B47739" s="7"/>
      <c r="M47739" s="9" t="s">
        <v>47</v>
      </c>
    </row>
    <row r="47740" ht="15.75" customHeight="1">
      <c r="A47740" s="7"/>
      <c r="B47740" s="7"/>
      <c r="M47740" s="9" t="s">
        <v>24</v>
      </c>
    </row>
    <row r="47741" ht="15.75" customHeight="1">
      <c r="A47741" s="7"/>
      <c r="B47741" s="7"/>
      <c r="M47741" s="9" t="s">
        <v>20</v>
      </c>
    </row>
    <row r="47742" ht="15.75" customHeight="1">
      <c r="A47742" s="7"/>
      <c r="B47742" s="7"/>
      <c r="M47742" s="9" t="s">
        <v>21</v>
      </c>
    </row>
    <row r="47743" ht="15.75" customHeight="1">
      <c r="A47743" s="7"/>
      <c r="B47743" s="7"/>
      <c r="M47743" s="9" t="s">
        <v>27</v>
      </c>
    </row>
    <row r="47744" ht="15.75" customHeight="1">
      <c r="A47744" s="7"/>
      <c r="B47744" s="7"/>
      <c r="M47744" s="9" t="s">
        <v>33</v>
      </c>
    </row>
    <row r="47745" ht="15.75" customHeight="1">
      <c r="A47745" s="7"/>
      <c r="B47745" s="7"/>
      <c r="M47745" s="9" t="s">
        <v>34</v>
      </c>
    </row>
    <row r="47746" ht="15.75" customHeight="1">
      <c r="A47746" s="7"/>
      <c r="B47746" s="7"/>
      <c r="M47746" s="9" t="s">
        <v>30</v>
      </c>
    </row>
    <row r="47747" ht="15.75" customHeight="1">
      <c r="A47747" s="7"/>
      <c r="B47747" s="7"/>
      <c r="M47747" s="9" t="s">
        <v>23</v>
      </c>
    </row>
    <row r="47748" ht="15.75" customHeight="1">
      <c r="A47748" s="7"/>
      <c r="B47748" s="7"/>
      <c r="M47748" s="9" t="s">
        <v>24</v>
      </c>
    </row>
    <row r="47749" ht="15.75" customHeight="1">
      <c r="A47749" s="7"/>
      <c r="B47749" s="7"/>
      <c r="M47749" s="9" t="s">
        <v>20</v>
      </c>
    </row>
    <row r="47750" ht="15.75" customHeight="1">
      <c r="A47750" s="7"/>
      <c r="B47750" s="7"/>
      <c r="M47750" s="9" t="s">
        <v>21</v>
      </c>
    </row>
    <row r="47751" ht="15.75" customHeight="1">
      <c r="A47751" s="7"/>
      <c r="B47751" s="7"/>
      <c r="M47751" s="9" t="s">
        <v>37</v>
      </c>
    </row>
    <row r="47752" ht="15.75" customHeight="1">
      <c r="A47752" s="7"/>
      <c r="B47752" s="7"/>
      <c r="M47752" s="9" t="s">
        <v>22</v>
      </c>
    </row>
    <row r="47753" ht="15.75" customHeight="1">
      <c r="A47753" s="7"/>
      <c r="B47753" s="7"/>
      <c r="M47753" s="9" t="s">
        <v>27</v>
      </c>
    </row>
    <row r="47754" ht="15.75" customHeight="1">
      <c r="A47754" s="7"/>
      <c r="B47754" s="7"/>
      <c r="M47754" s="9" t="s">
        <v>30</v>
      </c>
    </row>
    <row r="47755" ht="15.75" customHeight="1">
      <c r="A47755" s="7"/>
      <c r="B47755" s="7"/>
      <c r="M47755" s="9" t="s">
        <v>27</v>
      </c>
    </row>
    <row r="47756" ht="15.75" customHeight="1">
      <c r="A47756" s="7"/>
      <c r="B47756" s="7"/>
      <c r="M47756" s="9" t="s">
        <v>22</v>
      </c>
    </row>
    <row r="47757" ht="15.75" customHeight="1">
      <c r="A47757" s="7"/>
      <c r="B47757" s="7"/>
      <c r="M47757" s="9" t="s">
        <v>25</v>
      </c>
    </row>
    <row r="47758" ht="15.75" customHeight="1">
      <c r="A47758" s="7"/>
      <c r="B47758" s="7"/>
      <c r="M47758" s="9" t="s">
        <v>23</v>
      </c>
    </row>
    <row r="47759" ht="15.75" customHeight="1">
      <c r="A47759" s="7"/>
      <c r="B47759" s="7"/>
      <c r="M47759" s="9" t="s">
        <v>24</v>
      </c>
    </row>
    <row r="47760" ht="15.75" customHeight="1">
      <c r="A47760" s="7"/>
      <c r="B47760" s="7"/>
      <c r="M47760" s="9" t="s">
        <v>20</v>
      </c>
    </row>
    <row r="47761" ht="15.75" customHeight="1">
      <c r="A47761" s="7"/>
      <c r="B47761" s="7"/>
      <c r="M47761" s="9" t="s">
        <v>22</v>
      </c>
    </row>
    <row r="47762" ht="15.75" customHeight="1">
      <c r="A47762" s="7"/>
      <c r="B47762" s="7"/>
      <c r="M47762" s="9" t="s">
        <v>23</v>
      </c>
    </row>
    <row r="47763" ht="15.75" customHeight="1">
      <c r="A47763" s="7"/>
      <c r="B47763" s="7"/>
      <c r="M47763" s="9" t="s">
        <v>22</v>
      </c>
    </row>
    <row r="47764" ht="15.75" customHeight="1">
      <c r="A47764" s="7"/>
      <c r="B47764" s="7"/>
      <c r="M47764" s="9" t="s">
        <v>24</v>
      </c>
    </row>
    <row r="47765" ht="15.75" customHeight="1">
      <c r="A47765" s="7"/>
      <c r="B47765" s="7"/>
      <c r="M47765" s="9" t="s">
        <v>21</v>
      </c>
    </row>
    <row r="47766" ht="15.75" customHeight="1">
      <c r="A47766" s="7"/>
      <c r="B47766" s="7"/>
      <c r="M47766" s="9" t="s">
        <v>37</v>
      </c>
    </row>
    <row r="47767" ht="15.75" customHeight="1">
      <c r="A47767" s="7"/>
      <c r="B47767" s="7"/>
      <c r="M47767" s="9" t="s">
        <v>30</v>
      </c>
    </row>
    <row r="47768" ht="15.75" customHeight="1">
      <c r="A47768" s="7"/>
      <c r="B47768" s="7"/>
      <c r="M47768" s="9" t="s">
        <v>36</v>
      </c>
    </row>
    <row r="47769" ht="15.75" customHeight="1">
      <c r="A47769" s="7"/>
      <c r="B47769" s="7"/>
      <c r="M47769" s="9" t="s">
        <v>20</v>
      </c>
    </row>
    <row r="47770" ht="15.75" customHeight="1">
      <c r="A47770" s="7"/>
      <c r="B47770" s="7"/>
      <c r="M47770" s="9" t="s">
        <v>22</v>
      </c>
    </row>
    <row r="47771" ht="15.75" customHeight="1">
      <c r="A47771" s="7"/>
      <c r="B47771" s="7"/>
      <c r="M47771" s="9" t="s">
        <v>27</v>
      </c>
    </row>
    <row r="47772" ht="15.75" customHeight="1">
      <c r="A47772" s="7"/>
      <c r="B47772" s="7"/>
      <c r="M47772" s="9" t="s">
        <v>36</v>
      </c>
    </row>
    <row r="47773" ht="15.75" customHeight="1">
      <c r="A47773" s="7"/>
      <c r="B47773" s="7"/>
      <c r="M47773" s="9" t="s">
        <v>24</v>
      </c>
    </row>
    <row r="47774" ht="15.75" customHeight="1">
      <c r="A47774" s="7"/>
      <c r="B47774" s="7"/>
      <c r="M47774" s="9" t="s">
        <v>21</v>
      </c>
    </row>
    <row r="47775" ht="15.75" customHeight="1">
      <c r="A47775" s="7"/>
      <c r="B47775" s="7"/>
      <c r="M47775" s="9" t="s">
        <v>22</v>
      </c>
    </row>
    <row r="47776" ht="15.75" customHeight="1">
      <c r="A47776" s="7"/>
      <c r="B47776" s="7"/>
      <c r="M47776" s="9" t="s">
        <v>35</v>
      </c>
    </row>
    <row r="47777" ht="15.75" customHeight="1">
      <c r="A47777" s="7"/>
      <c r="B47777" s="7"/>
      <c r="M47777" s="9" t="s">
        <v>25</v>
      </c>
    </row>
    <row r="47778" ht="15.75" customHeight="1">
      <c r="A47778" s="7"/>
      <c r="B47778" s="7"/>
      <c r="M47778" s="9" t="s">
        <v>30</v>
      </c>
    </row>
    <row r="47779" ht="15.75" customHeight="1">
      <c r="A47779" s="7"/>
      <c r="B47779" s="7"/>
      <c r="M47779" s="9" t="s">
        <v>25</v>
      </c>
    </row>
    <row r="47780" ht="15.75" customHeight="1">
      <c r="A47780" s="7"/>
      <c r="B47780" s="7"/>
      <c r="M47780" s="9" t="s">
        <v>23</v>
      </c>
    </row>
    <row r="47781" ht="15.75" customHeight="1">
      <c r="A47781" s="7"/>
      <c r="B47781" s="7"/>
      <c r="M47781" s="9" t="s">
        <v>24</v>
      </c>
    </row>
    <row r="47782" ht="15.75" customHeight="1">
      <c r="A47782" s="7"/>
      <c r="B47782" s="7"/>
      <c r="M47782" s="9" t="s">
        <v>20</v>
      </c>
    </row>
    <row r="47783" ht="15.75" customHeight="1">
      <c r="A47783" s="7"/>
      <c r="B47783" s="7"/>
      <c r="M47783" s="9" t="s">
        <v>21</v>
      </c>
    </row>
    <row r="47784" ht="15.75" customHeight="1">
      <c r="A47784" s="7"/>
      <c r="B47784" s="7"/>
      <c r="M47784" s="9" t="s">
        <v>22</v>
      </c>
    </row>
    <row r="47785" ht="15.75" customHeight="1">
      <c r="A47785" s="7"/>
      <c r="B47785" s="7"/>
      <c r="M47785" s="9" t="s">
        <v>30</v>
      </c>
    </row>
    <row r="47786" ht="15.75" customHeight="1">
      <c r="A47786" s="7"/>
      <c r="B47786" s="7"/>
      <c r="M47786" s="9" t="s">
        <v>25</v>
      </c>
    </row>
    <row r="47787" ht="15.75" customHeight="1">
      <c r="A47787" s="7"/>
      <c r="B47787" s="7"/>
      <c r="M47787" s="9" t="s">
        <v>23</v>
      </c>
    </row>
    <row r="47788" ht="15.75" customHeight="1">
      <c r="A47788" s="7"/>
      <c r="B47788" s="7"/>
      <c r="M47788" s="9" t="s">
        <v>30</v>
      </c>
    </row>
    <row r="47789" ht="15.75" customHeight="1">
      <c r="A47789" s="7"/>
      <c r="B47789" s="7"/>
      <c r="M47789" s="9" t="s">
        <v>24</v>
      </c>
    </row>
    <row r="47790" ht="15.75" customHeight="1">
      <c r="A47790" s="7"/>
      <c r="B47790" s="7"/>
      <c r="M47790" s="9" t="s">
        <v>21</v>
      </c>
    </row>
    <row r="47791" ht="15.75" customHeight="1">
      <c r="A47791" s="7"/>
      <c r="B47791" s="7"/>
      <c r="M47791" s="9" t="s">
        <v>22</v>
      </c>
    </row>
    <row r="47792" ht="15.75" customHeight="1">
      <c r="A47792" s="7"/>
      <c r="B47792" s="7"/>
      <c r="M47792" s="9" t="s">
        <v>27</v>
      </c>
    </row>
    <row r="47793" ht="15.75" customHeight="1">
      <c r="A47793" s="7"/>
      <c r="B47793" s="7"/>
      <c r="M47793" s="9" t="s">
        <v>30</v>
      </c>
    </row>
    <row r="47794" ht="15.75" customHeight="1">
      <c r="A47794" s="7"/>
      <c r="B47794" s="7"/>
      <c r="M47794" s="9" t="s">
        <v>24</v>
      </c>
    </row>
    <row r="47795" ht="15.75" customHeight="1">
      <c r="A47795" s="7"/>
      <c r="B47795" s="7"/>
      <c r="M47795" s="9" t="s">
        <v>20</v>
      </c>
    </row>
    <row r="47796" ht="15.75" customHeight="1">
      <c r="A47796" s="7"/>
      <c r="B47796" s="7"/>
      <c r="M47796" s="9" t="s">
        <v>21</v>
      </c>
    </row>
    <row r="47797" ht="15.75" customHeight="1">
      <c r="A47797" s="7"/>
      <c r="B47797" s="7"/>
      <c r="M47797" s="9" t="s">
        <v>46</v>
      </c>
    </row>
    <row r="47798" ht="15.75" customHeight="1">
      <c r="A47798" s="7"/>
      <c r="B47798" s="7"/>
      <c r="M47798" s="9" t="s">
        <v>27</v>
      </c>
    </row>
    <row r="47799" ht="15.75" customHeight="1">
      <c r="A47799" s="7"/>
      <c r="B47799" s="7"/>
      <c r="M47799" s="9" t="s">
        <v>30</v>
      </c>
    </row>
    <row r="47800" ht="15.75" customHeight="1">
      <c r="A47800" s="7"/>
      <c r="B47800" s="7"/>
      <c r="M47800" s="9" t="s">
        <v>24</v>
      </c>
    </row>
    <row r="47801" ht="15.75" customHeight="1">
      <c r="A47801" s="7"/>
      <c r="B47801" s="7"/>
      <c r="M47801" s="9" t="s">
        <v>20</v>
      </c>
    </row>
    <row r="47802" ht="15.75" customHeight="1">
      <c r="A47802" s="7"/>
      <c r="B47802" s="7"/>
      <c r="M47802" s="9" t="s">
        <v>21</v>
      </c>
    </row>
    <row r="47803" ht="15.75" customHeight="1">
      <c r="A47803" s="7"/>
      <c r="B47803" s="7"/>
      <c r="M47803" s="9" t="s">
        <v>22</v>
      </c>
    </row>
    <row r="47804" ht="15.75" customHeight="1">
      <c r="A47804" s="7"/>
      <c r="B47804" s="7"/>
      <c r="M47804" s="9" t="s">
        <v>24</v>
      </c>
    </row>
    <row r="47805" ht="15.75" customHeight="1">
      <c r="A47805" s="7"/>
      <c r="B47805" s="7"/>
      <c r="M47805" s="9" t="s">
        <v>20</v>
      </c>
    </row>
    <row r="47806" ht="15.75" customHeight="1">
      <c r="A47806" s="7"/>
      <c r="B47806" s="7"/>
      <c r="M47806" s="9" t="s">
        <v>21</v>
      </c>
    </row>
    <row r="47807" ht="15.75" customHeight="1">
      <c r="A47807" s="7"/>
      <c r="B47807" s="7"/>
      <c r="M47807" s="9" t="s">
        <v>29</v>
      </c>
    </row>
    <row r="47808" ht="15.75" customHeight="1">
      <c r="A47808" s="7"/>
      <c r="B47808" s="7"/>
      <c r="M47808" s="9" t="s">
        <v>27</v>
      </c>
    </row>
    <row r="47809" ht="15.75" customHeight="1">
      <c r="A47809" s="7"/>
      <c r="B47809" s="7"/>
      <c r="M47809" s="9" t="s">
        <v>28</v>
      </c>
    </row>
    <row r="47810" ht="15.75" customHeight="1">
      <c r="A47810" s="7"/>
      <c r="B47810" s="7"/>
      <c r="M47810" s="9" t="s">
        <v>30</v>
      </c>
    </row>
    <row r="47811" ht="15.75" customHeight="1">
      <c r="A47811" s="7"/>
      <c r="B47811" s="7"/>
      <c r="M47811" s="9" t="s">
        <v>24</v>
      </c>
    </row>
    <row r="47812" ht="15.75" customHeight="1">
      <c r="A47812" s="7"/>
      <c r="B47812" s="7"/>
      <c r="M47812" s="9" t="s">
        <v>20</v>
      </c>
    </row>
    <row r="47813" ht="15.75" customHeight="1">
      <c r="A47813" s="7"/>
      <c r="B47813" s="7"/>
      <c r="M47813" s="9" t="s">
        <v>21</v>
      </c>
    </row>
    <row r="47814" ht="15.75" customHeight="1">
      <c r="A47814" s="7"/>
      <c r="B47814" s="7"/>
      <c r="M47814" s="9" t="s">
        <v>22</v>
      </c>
    </row>
    <row r="47815" ht="15.75" customHeight="1">
      <c r="A47815" s="7"/>
      <c r="B47815" s="7"/>
      <c r="M47815" s="9" t="s">
        <v>27</v>
      </c>
    </row>
    <row r="47816" ht="15.75" customHeight="1">
      <c r="A47816" s="7"/>
      <c r="B47816" s="7"/>
      <c r="M47816" s="9" t="s">
        <v>33</v>
      </c>
    </row>
    <row r="47817" ht="15.75" customHeight="1">
      <c r="A47817" s="7"/>
      <c r="B47817" s="7"/>
      <c r="M47817" s="9" t="s">
        <v>35</v>
      </c>
    </row>
    <row r="47818" ht="15.75" customHeight="1">
      <c r="A47818" s="7"/>
      <c r="B47818" s="7"/>
      <c r="M47818" s="9" t="s">
        <v>24</v>
      </c>
    </row>
    <row r="47819" ht="15.75" customHeight="1">
      <c r="A47819" s="7"/>
      <c r="B47819" s="7"/>
      <c r="M47819" s="9" t="s">
        <v>21</v>
      </c>
    </row>
    <row r="47820" ht="15.75" customHeight="1">
      <c r="A47820" s="7"/>
      <c r="B47820" s="7"/>
      <c r="M47820" s="9" t="s">
        <v>22</v>
      </c>
    </row>
    <row r="47821" ht="15.75" customHeight="1">
      <c r="A47821" s="7"/>
      <c r="B47821" s="7"/>
      <c r="M47821" s="9" t="s">
        <v>24</v>
      </c>
    </row>
    <row r="47822" ht="15.75" customHeight="1">
      <c r="A47822" s="7"/>
      <c r="B47822" s="7"/>
      <c r="M47822" s="9" t="s">
        <v>20</v>
      </c>
    </row>
    <row r="47823" ht="15.75" customHeight="1">
      <c r="A47823" s="7"/>
      <c r="B47823" s="7"/>
      <c r="M47823" s="9" t="s">
        <v>21</v>
      </c>
    </row>
    <row r="47824" ht="15.75" customHeight="1">
      <c r="A47824" s="7"/>
      <c r="B47824" s="7"/>
      <c r="M47824" s="9" t="s">
        <v>30</v>
      </c>
    </row>
    <row r="47825" ht="15.75" customHeight="1">
      <c r="A47825" s="7"/>
      <c r="B47825" s="7"/>
      <c r="M47825" s="9" t="s">
        <v>26</v>
      </c>
    </row>
    <row r="47826" ht="15.75" customHeight="1">
      <c r="A47826" s="7"/>
      <c r="B47826" s="7"/>
      <c r="M47826" s="9" t="s">
        <v>36</v>
      </c>
    </row>
    <row r="47827" ht="15.75" customHeight="1">
      <c r="A47827" s="7"/>
      <c r="B47827" s="7"/>
      <c r="M47827" s="9" t="s">
        <v>24</v>
      </c>
    </row>
    <row r="47828" ht="15.75" customHeight="1">
      <c r="A47828" s="7"/>
      <c r="B47828" s="7"/>
      <c r="M47828" s="9" t="s">
        <v>21</v>
      </c>
    </row>
    <row r="47829" ht="15.75" customHeight="1">
      <c r="A47829" s="7"/>
      <c r="B47829" s="7"/>
      <c r="M47829" s="9" t="s">
        <v>22</v>
      </c>
    </row>
    <row r="47830" ht="15.75" customHeight="1">
      <c r="A47830" s="7"/>
      <c r="B47830" s="7"/>
      <c r="M47830" s="9" t="s">
        <v>27</v>
      </c>
    </row>
    <row r="47831" ht="15.75" customHeight="1">
      <c r="A47831" s="7"/>
      <c r="B47831" s="7"/>
      <c r="M47831" s="9" t="s">
        <v>33</v>
      </c>
    </row>
    <row r="47832" ht="15.75" customHeight="1">
      <c r="A47832" s="7"/>
      <c r="B47832" s="7"/>
      <c r="M47832" s="9" t="s">
        <v>30</v>
      </c>
    </row>
    <row r="47833" ht="15.75" customHeight="1">
      <c r="A47833" s="7"/>
      <c r="B47833" s="7"/>
      <c r="M47833" s="9" t="s">
        <v>36</v>
      </c>
    </row>
    <row r="47834" ht="15.75" customHeight="1">
      <c r="A47834" s="7"/>
      <c r="B47834" s="7"/>
      <c r="M47834" s="9" t="s">
        <v>24</v>
      </c>
    </row>
    <row r="47835" ht="15.75" customHeight="1">
      <c r="A47835" s="7"/>
      <c r="B47835" s="7"/>
      <c r="M47835" s="9" t="s">
        <v>20</v>
      </c>
    </row>
    <row r="47836" ht="15.75" customHeight="1">
      <c r="A47836" s="7"/>
      <c r="B47836" s="7"/>
      <c r="M47836" s="9" t="s">
        <v>21</v>
      </c>
    </row>
    <row r="47837" ht="15.75" customHeight="1">
      <c r="A47837" s="7"/>
      <c r="B47837" s="7"/>
      <c r="M47837" s="9" t="s">
        <v>22</v>
      </c>
    </row>
    <row r="47838" ht="15.75" customHeight="1">
      <c r="A47838" s="7"/>
      <c r="B47838" s="7"/>
      <c r="M47838" s="9" t="s">
        <v>31</v>
      </c>
    </row>
    <row r="47839" ht="15.75" customHeight="1">
      <c r="A47839" s="7"/>
      <c r="B47839" s="7"/>
      <c r="M47839" s="9" t="s">
        <v>46</v>
      </c>
    </row>
    <row r="47840" ht="15.75" customHeight="1">
      <c r="A47840" s="7"/>
      <c r="B47840" s="7"/>
      <c r="M47840" s="9" t="s">
        <v>27</v>
      </c>
    </row>
    <row r="47841" ht="15.75" customHeight="1">
      <c r="A47841" s="7"/>
      <c r="B47841" s="7"/>
      <c r="M47841" s="9" t="s">
        <v>25</v>
      </c>
    </row>
    <row r="47842" ht="15.75" customHeight="1">
      <c r="A47842" s="7"/>
      <c r="B47842" s="7"/>
      <c r="M47842" s="9" t="s">
        <v>21</v>
      </c>
    </row>
    <row r="47843" ht="15.75" customHeight="1">
      <c r="A47843" s="7"/>
      <c r="B47843" s="7"/>
      <c r="M47843" s="9" t="s">
        <v>31</v>
      </c>
    </row>
    <row r="47844" ht="15.75" customHeight="1">
      <c r="A47844" s="7"/>
      <c r="B47844" s="7"/>
      <c r="M47844" s="9" t="s">
        <v>32</v>
      </c>
    </row>
    <row r="47845" ht="15.75" customHeight="1">
      <c r="A47845" s="7"/>
      <c r="B47845" s="7"/>
      <c r="M47845" s="9" t="s">
        <v>27</v>
      </c>
    </row>
    <row r="47846" ht="15.75" customHeight="1">
      <c r="A47846" s="7"/>
      <c r="B47846" s="7"/>
      <c r="M47846" s="9" t="s">
        <v>23</v>
      </c>
    </row>
    <row r="47847" ht="15.75" customHeight="1">
      <c r="A47847" s="7"/>
      <c r="B47847" s="7"/>
      <c r="M47847" s="9" t="s">
        <v>26</v>
      </c>
    </row>
    <row r="47848" ht="15.75" customHeight="1">
      <c r="A47848" s="7"/>
      <c r="B47848" s="7"/>
      <c r="M47848" s="9" t="s">
        <v>20</v>
      </c>
    </row>
    <row r="47849" ht="15.75" customHeight="1">
      <c r="A47849" s="7"/>
      <c r="B47849" s="7"/>
      <c r="M47849" s="9" t="s">
        <v>22</v>
      </c>
    </row>
    <row r="47850" ht="15.75" customHeight="1">
      <c r="A47850" s="7"/>
      <c r="B47850" s="7"/>
      <c r="M47850" s="9" t="s">
        <v>36</v>
      </c>
    </row>
    <row r="47851" ht="15.75" customHeight="1">
      <c r="A47851" s="7"/>
      <c r="B47851" s="7"/>
      <c r="M47851" s="9" t="s">
        <v>21</v>
      </c>
    </row>
    <row r="47852" ht="15.75" customHeight="1">
      <c r="A47852" s="7"/>
      <c r="B47852" s="7"/>
      <c r="M47852" s="9" t="s">
        <v>33</v>
      </c>
    </row>
    <row r="47853" ht="15.75" customHeight="1">
      <c r="A47853" s="7"/>
      <c r="B47853" s="7"/>
      <c r="M47853" s="9" t="s">
        <v>30</v>
      </c>
    </row>
    <row r="47854" ht="15.75" customHeight="1">
      <c r="A47854" s="7"/>
      <c r="B47854" s="7"/>
      <c r="M47854" s="9" t="s">
        <v>23</v>
      </c>
    </row>
    <row r="47855" ht="15.75" customHeight="1">
      <c r="A47855" s="7"/>
      <c r="B47855" s="7"/>
      <c r="M47855" s="9" t="s">
        <v>26</v>
      </c>
    </row>
    <row r="47856" ht="15.75" customHeight="1">
      <c r="A47856" s="7"/>
      <c r="B47856" s="7"/>
      <c r="M47856" s="9" t="s">
        <v>24</v>
      </c>
    </row>
    <row r="47857" ht="15.75" customHeight="1">
      <c r="A47857" s="7"/>
      <c r="B47857" s="7"/>
      <c r="M47857" s="9" t="s">
        <v>21</v>
      </c>
    </row>
    <row r="47858" ht="15.75" customHeight="1">
      <c r="A47858" s="7"/>
      <c r="B47858" s="7"/>
      <c r="M47858" s="9" t="s">
        <v>22</v>
      </c>
    </row>
    <row r="47859" ht="15.75" customHeight="1">
      <c r="A47859" s="7"/>
      <c r="B47859" s="7"/>
      <c r="M47859" s="9" t="s">
        <v>24</v>
      </c>
    </row>
    <row r="47860" ht="15.75" customHeight="1">
      <c r="A47860" s="7"/>
      <c r="B47860" s="7"/>
      <c r="M47860" s="9" t="s">
        <v>21</v>
      </c>
    </row>
    <row r="47861" ht="15.75" customHeight="1">
      <c r="A47861" s="7"/>
      <c r="B47861" s="7"/>
      <c r="M47861" s="9" t="s">
        <v>37</v>
      </c>
    </row>
    <row r="47862" ht="15.75" customHeight="1">
      <c r="A47862" s="7"/>
      <c r="B47862" s="7"/>
      <c r="M47862" s="9" t="s">
        <v>31</v>
      </c>
    </row>
    <row r="47863" ht="15.75" customHeight="1">
      <c r="A47863" s="7"/>
      <c r="B47863" s="7"/>
      <c r="M47863" s="9" t="s">
        <v>20</v>
      </c>
    </row>
    <row r="47864" ht="15.75" customHeight="1">
      <c r="A47864" s="7"/>
      <c r="B47864" s="7"/>
      <c r="M47864" s="9" t="s">
        <v>25</v>
      </c>
    </row>
    <row r="47865" ht="15.75" customHeight="1">
      <c r="A47865" s="7"/>
      <c r="B47865" s="7"/>
      <c r="M47865" s="9" t="s">
        <v>23</v>
      </c>
    </row>
    <row r="47866" ht="15.75" customHeight="1">
      <c r="A47866" s="7"/>
      <c r="B47866" s="7"/>
      <c r="M47866" s="9" t="s">
        <v>20</v>
      </c>
    </row>
    <row r="47867" ht="15.75" customHeight="1">
      <c r="A47867" s="7"/>
      <c r="B47867" s="7"/>
      <c r="M47867" s="9" t="s">
        <v>22</v>
      </c>
    </row>
    <row r="47868" ht="15.75" customHeight="1">
      <c r="A47868" s="7"/>
      <c r="B47868" s="7"/>
      <c r="M47868" s="9" t="s">
        <v>29</v>
      </c>
    </row>
    <row r="47869" ht="15.75" customHeight="1">
      <c r="A47869" s="7"/>
      <c r="B47869" s="7"/>
      <c r="M47869" s="9" t="s">
        <v>27</v>
      </c>
    </row>
    <row r="47870" ht="15.75" customHeight="1">
      <c r="A47870" s="7"/>
      <c r="B47870" s="7"/>
      <c r="M47870" s="9" t="s">
        <v>26</v>
      </c>
    </row>
    <row r="47871" ht="15.75" customHeight="1">
      <c r="A47871" s="7"/>
      <c r="B47871" s="7"/>
      <c r="M47871" s="9" t="s">
        <v>24</v>
      </c>
    </row>
    <row r="47872" ht="15.75" customHeight="1">
      <c r="A47872" s="7"/>
      <c r="B47872" s="7"/>
      <c r="M47872" s="9" t="s">
        <v>21</v>
      </c>
    </row>
    <row r="47873" ht="15.75" customHeight="1">
      <c r="A47873" s="7"/>
      <c r="B47873" s="7"/>
      <c r="M47873" s="9" t="s">
        <v>27</v>
      </c>
    </row>
    <row r="47874" ht="15.75" customHeight="1">
      <c r="A47874" s="7"/>
      <c r="B47874" s="7"/>
      <c r="M47874" s="9" t="s">
        <v>26</v>
      </c>
    </row>
    <row r="47875" ht="15.75" customHeight="1">
      <c r="A47875" s="7"/>
      <c r="B47875" s="7"/>
      <c r="M47875" s="9" t="s">
        <v>24</v>
      </c>
    </row>
    <row r="47876" ht="15.75" customHeight="1">
      <c r="A47876" s="7"/>
      <c r="B47876" s="7"/>
      <c r="M47876" s="9" t="s">
        <v>21</v>
      </c>
    </row>
    <row r="47877" ht="15.75" customHeight="1">
      <c r="A47877" s="7"/>
      <c r="B47877" s="7"/>
      <c r="M47877" s="9" t="s">
        <v>22</v>
      </c>
    </row>
    <row r="47878" ht="15.75" customHeight="1">
      <c r="A47878" s="7"/>
      <c r="B47878" s="7"/>
      <c r="M47878" s="9" t="s">
        <v>27</v>
      </c>
    </row>
    <row r="47879" ht="15.75" customHeight="1">
      <c r="A47879" s="7"/>
      <c r="B47879" s="7"/>
      <c r="M47879" s="9" t="s">
        <v>26</v>
      </c>
    </row>
    <row r="47880" ht="15.75" customHeight="1">
      <c r="A47880" s="7"/>
      <c r="B47880" s="7"/>
      <c r="M47880" s="9" t="s">
        <v>24</v>
      </c>
    </row>
    <row r="47881" ht="15.75" customHeight="1">
      <c r="A47881" s="7"/>
      <c r="B47881" s="7"/>
      <c r="M47881" s="9" t="s">
        <v>21</v>
      </c>
    </row>
    <row r="47882" ht="15.75" customHeight="1">
      <c r="A47882" s="7"/>
      <c r="B47882" s="7"/>
      <c r="M47882" s="9" t="s">
        <v>37</v>
      </c>
    </row>
    <row r="47883" ht="15.75" customHeight="1">
      <c r="A47883" s="7"/>
      <c r="B47883" s="7"/>
      <c r="M47883" s="9" t="s">
        <v>27</v>
      </c>
    </row>
    <row r="47884" ht="15.75" customHeight="1">
      <c r="A47884" s="7"/>
      <c r="B47884" s="7"/>
      <c r="M47884" s="9" t="s">
        <v>33</v>
      </c>
    </row>
    <row r="47885" ht="15.75" customHeight="1">
      <c r="A47885" s="7"/>
      <c r="B47885" s="7"/>
      <c r="M47885" s="9" t="s">
        <v>28</v>
      </c>
    </row>
    <row r="47886" ht="15.75" customHeight="1">
      <c r="A47886" s="7"/>
      <c r="B47886" s="7"/>
      <c r="M47886" s="9" t="s">
        <v>35</v>
      </c>
    </row>
    <row r="47887" ht="15.75" customHeight="1">
      <c r="A47887" s="7"/>
      <c r="B47887" s="7"/>
      <c r="M47887" s="9" t="s">
        <v>26</v>
      </c>
    </row>
    <row r="47888" ht="15.75" customHeight="1">
      <c r="A47888" s="7"/>
      <c r="B47888" s="7"/>
      <c r="M47888" s="9" t="s">
        <v>29</v>
      </c>
    </row>
    <row r="47889" ht="15.75" customHeight="1">
      <c r="A47889" s="7"/>
      <c r="B47889" s="7"/>
      <c r="M47889" s="9" t="s">
        <v>27</v>
      </c>
    </row>
    <row r="47890" ht="15.75" customHeight="1">
      <c r="A47890" s="7"/>
      <c r="B47890" s="7"/>
      <c r="M47890" s="9" t="s">
        <v>24</v>
      </c>
    </row>
    <row r="47891" ht="15.75" customHeight="1">
      <c r="A47891" s="7"/>
      <c r="B47891" s="7"/>
      <c r="M47891" s="9" t="s">
        <v>20</v>
      </c>
    </row>
    <row r="47892" ht="15.75" customHeight="1">
      <c r="A47892" s="7"/>
      <c r="B47892" s="7"/>
      <c r="M47892" s="9" t="s">
        <v>21</v>
      </c>
    </row>
    <row r="47893" ht="15.75" customHeight="1">
      <c r="A47893" s="7"/>
      <c r="B47893" s="7"/>
      <c r="M47893" s="9" t="s">
        <v>31</v>
      </c>
    </row>
    <row r="47894" ht="15.75" customHeight="1">
      <c r="A47894" s="7"/>
      <c r="B47894" s="7"/>
      <c r="M47894" s="9" t="s">
        <v>24</v>
      </c>
    </row>
    <row r="47895" ht="15.75" customHeight="1">
      <c r="A47895" s="7"/>
      <c r="B47895" s="7"/>
      <c r="M47895" s="9" t="s">
        <v>21</v>
      </c>
    </row>
    <row r="47896" ht="15.75" customHeight="1">
      <c r="A47896" s="7"/>
      <c r="B47896" s="7"/>
      <c r="M47896" s="9" t="s">
        <v>41</v>
      </c>
    </row>
    <row r="47897" ht="15.75" customHeight="1">
      <c r="A47897" s="7"/>
      <c r="B47897" s="7"/>
      <c r="M47897" s="9" t="s">
        <v>40</v>
      </c>
    </row>
    <row r="47898" ht="15.75" customHeight="1">
      <c r="A47898" s="7"/>
      <c r="B47898" s="7"/>
      <c r="M47898" s="9" t="s">
        <v>30</v>
      </c>
    </row>
    <row r="47899" ht="15.75" customHeight="1">
      <c r="A47899" s="7"/>
      <c r="B47899" s="7"/>
      <c r="M47899" s="9" t="s">
        <v>24</v>
      </c>
    </row>
    <row r="47900" ht="15.75" customHeight="1">
      <c r="A47900" s="7"/>
      <c r="B47900" s="7"/>
      <c r="M47900" s="9" t="s">
        <v>20</v>
      </c>
    </row>
    <row r="47901" ht="15.75" customHeight="1">
      <c r="A47901" s="7"/>
      <c r="B47901" s="7"/>
      <c r="M47901" s="9" t="s">
        <v>21</v>
      </c>
    </row>
    <row r="47902" ht="15.75" customHeight="1">
      <c r="A47902" s="7"/>
      <c r="B47902" s="7"/>
      <c r="M47902" s="9" t="s">
        <v>27</v>
      </c>
    </row>
    <row r="47903" ht="15.75" customHeight="1">
      <c r="A47903" s="7"/>
      <c r="B47903" s="7"/>
      <c r="M47903" s="9" t="s">
        <v>33</v>
      </c>
    </row>
    <row r="47904" ht="15.75" customHeight="1">
      <c r="A47904" s="7"/>
      <c r="B47904" s="7"/>
      <c r="M47904" s="9" t="s">
        <v>30</v>
      </c>
    </row>
    <row r="47905" ht="15.75" customHeight="1">
      <c r="A47905" s="7"/>
      <c r="B47905" s="7"/>
      <c r="M47905" s="9" t="s">
        <v>26</v>
      </c>
    </row>
    <row r="47906" ht="15.75" customHeight="1">
      <c r="A47906" s="7"/>
      <c r="B47906" s="7"/>
      <c r="M47906" s="9" t="s">
        <v>22</v>
      </c>
    </row>
    <row r="47907" ht="15.75" customHeight="1">
      <c r="A47907" s="7"/>
      <c r="B47907" s="7"/>
      <c r="M47907" s="9" t="s">
        <v>30</v>
      </c>
    </row>
    <row r="47908" ht="15.75" customHeight="1">
      <c r="A47908" s="7"/>
      <c r="B47908" s="7"/>
      <c r="M47908" s="9" t="s">
        <v>24</v>
      </c>
    </row>
    <row r="47909" ht="15.75" customHeight="1">
      <c r="A47909" s="7"/>
      <c r="B47909" s="7"/>
      <c r="M47909" s="9" t="s">
        <v>21</v>
      </c>
    </row>
    <row r="47910" ht="15.75" customHeight="1">
      <c r="A47910" s="7"/>
      <c r="B47910" s="7"/>
      <c r="M47910" s="9" t="s">
        <v>37</v>
      </c>
    </row>
    <row r="47911" ht="15.75" customHeight="1">
      <c r="A47911" s="7"/>
      <c r="B47911" s="7"/>
      <c r="M47911" s="9" t="s">
        <v>22</v>
      </c>
    </row>
    <row r="47912" ht="15.75" customHeight="1">
      <c r="A47912" s="7"/>
      <c r="B47912" s="7"/>
      <c r="M47912" s="9" t="s">
        <v>27</v>
      </c>
    </row>
    <row r="47913" ht="15.75" customHeight="1">
      <c r="A47913" s="7"/>
      <c r="B47913" s="7"/>
      <c r="M47913" s="9" t="s">
        <v>35</v>
      </c>
    </row>
    <row r="47914" ht="15.75" customHeight="1">
      <c r="A47914" s="7"/>
      <c r="B47914" s="7"/>
      <c r="M47914" s="9" t="s">
        <v>24</v>
      </c>
    </row>
    <row r="47915" ht="15.75" customHeight="1">
      <c r="A47915" s="7"/>
      <c r="B47915" s="7"/>
      <c r="M47915" s="9" t="s">
        <v>21</v>
      </c>
    </row>
    <row r="47916" ht="15.75" customHeight="1">
      <c r="A47916" s="7"/>
      <c r="B47916" s="7"/>
      <c r="M47916" s="9" t="s">
        <v>37</v>
      </c>
    </row>
    <row r="47917" ht="15.75" customHeight="1">
      <c r="A47917" s="7"/>
      <c r="B47917" s="7"/>
      <c r="M47917" s="9" t="s">
        <v>27</v>
      </c>
    </row>
    <row r="47918" ht="15.75" customHeight="1">
      <c r="A47918" s="7"/>
      <c r="B47918" s="7"/>
      <c r="M47918" s="9" t="s">
        <v>24</v>
      </c>
    </row>
    <row r="47919" ht="15.75" customHeight="1">
      <c r="A47919" s="7"/>
      <c r="B47919" s="7"/>
      <c r="M47919" s="9" t="s">
        <v>21</v>
      </c>
    </row>
    <row r="47920" ht="15.75" customHeight="1">
      <c r="A47920" s="7"/>
      <c r="B47920" s="7"/>
      <c r="M47920" s="9" t="s">
        <v>37</v>
      </c>
    </row>
    <row r="47921" ht="15.75" customHeight="1">
      <c r="A47921" s="7"/>
      <c r="B47921" s="7"/>
      <c r="M47921" s="9" t="s">
        <v>22</v>
      </c>
    </row>
    <row r="47922" ht="15.75" customHeight="1">
      <c r="A47922" s="7"/>
      <c r="B47922" s="7"/>
      <c r="M47922" s="9" t="s">
        <v>33</v>
      </c>
    </row>
    <row r="47923" ht="15.75" customHeight="1">
      <c r="A47923" s="7"/>
      <c r="B47923" s="7"/>
      <c r="M47923" s="9" t="s">
        <v>24</v>
      </c>
    </row>
    <row r="47924" ht="15.75" customHeight="1">
      <c r="A47924" s="7"/>
      <c r="B47924" s="7"/>
      <c r="M47924" s="9" t="s">
        <v>21</v>
      </c>
    </row>
    <row r="47925" ht="15.75" customHeight="1">
      <c r="A47925" s="7"/>
      <c r="B47925" s="7"/>
      <c r="M47925" s="9" t="s">
        <v>37</v>
      </c>
    </row>
    <row r="47926" ht="15.75" customHeight="1">
      <c r="A47926" s="7"/>
      <c r="B47926" s="7"/>
      <c r="M47926" s="9" t="s">
        <v>27</v>
      </c>
    </row>
    <row r="47927" ht="15.75" customHeight="1">
      <c r="A47927" s="7"/>
      <c r="B47927" s="7"/>
      <c r="M47927" s="9" t="s">
        <v>33</v>
      </c>
    </row>
    <row r="47928" ht="15.75" customHeight="1">
      <c r="A47928" s="7"/>
      <c r="B47928" s="7"/>
      <c r="M47928" s="9" t="s">
        <v>20</v>
      </c>
    </row>
    <row r="47929" ht="15.75" customHeight="1">
      <c r="A47929" s="7"/>
      <c r="B47929" s="7"/>
      <c r="M47929" s="9" t="s">
        <v>21</v>
      </c>
    </row>
    <row r="47930" ht="15.75" customHeight="1">
      <c r="A47930" s="7"/>
      <c r="B47930" s="7"/>
      <c r="M47930" s="9" t="s">
        <v>26</v>
      </c>
    </row>
    <row r="47931" ht="15.75" customHeight="1">
      <c r="A47931" s="7"/>
      <c r="B47931" s="7"/>
      <c r="M47931" s="9" t="s">
        <v>24</v>
      </c>
    </row>
    <row r="47932" ht="15.75" customHeight="1">
      <c r="A47932" s="7"/>
      <c r="B47932" s="7"/>
      <c r="M47932" s="9" t="s">
        <v>21</v>
      </c>
    </row>
    <row r="47933" ht="15.75" customHeight="1">
      <c r="A47933" s="7"/>
      <c r="B47933" s="7"/>
      <c r="M47933" s="9" t="s">
        <v>41</v>
      </c>
    </row>
    <row r="47934" ht="15.75" customHeight="1">
      <c r="A47934" s="7"/>
      <c r="B47934" s="7"/>
      <c r="M47934" s="9" t="s">
        <v>24</v>
      </c>
    </row>
    <row r="47935" ht="15.75" customHeight="1">
      <c r="A47935" s="7"/>
      <c r="B47935" s="7"/>
      <c r="M47935" s="9" t="s">
        <v>21</v>
      </c>
    </row>
    <row r="47936" ht="15.75" customHeight="1">
      <c r="A47936" s="7"/>
      <c r="B47936" s="7"/>
      <c r="M47936" s="9" t="s">
        <v>37</v>
      </c>
    </row>
    <row r="47937" ht="15.75" customHeight="1">
      <c r="A47937" s="7"/>
      <c r="B47937" s="7"/>
      <c r="M47937" s="9" t="s">
        <v>27</v>
      </c>
    </row>
    <row r="47938" ht="15.75" customHeight="1">
      <c r="A47938" s="7"/>
      <c r="B47938" s="7"/>
      <c r="M47938" s="9" t="s">
        <v>25</v>
      </c>
    </row>
    <row r="47939" ht="15.75" customHeight="1">
      <c r="A47939" s="7"/>
      <c r="B47939" s="7"/>
      <c r="M47939" s="9" t="s">
        <v>23</v>
      </c>
    </row>
    <row r="47940" ht="15.75" customHeight="1">
      <c r="A47940" s="7"/>
      <c r="B47940" s="7"/>
      <c r="M47940" s="9" t="s">
        <v>20</v>
      </c>
    </row>
    <row r="47941" ht="15.75" customHeight="1">
      <c r="A47941" s="7"/>
      <c r="B47941" s="7"/>
      <c r="M47941" s="9" t="s">
        <v>22</v>
      </c>
    </row>
    <row r="47942" ht="15.75" customHeight="1">
      <c r="A47942" s="7"/>
      <c r="B47942" s="7"/>
      <c r="M47942" s="9" t="s">
        <v>38</v>
      </c>
    </row>
    <row r="47943" ht="15.75" customHeight="1">
      <c r="A47943" s="7"/>
      <c r="B47943" s="7"/>
      <c r="M47943" s="9" t="s">
        <v>25</v>
      </c>
    </row>
    <row r="47944" ht="15.75" customHeight="1">
      <c r="A47944" s="7"/>
      <c r="B47944" s="7"/>
      <c r="M47944" s="9" t="s">
        <v>23</v>
      </c>
    </row>
    <row r="47945" ht="15.75" customHeight="1">
      <c r="A47945" s="7"/>
      <c r="B47945" s="7"/>
      <c r="M47945" s="9" t="s">
        <v>24</v>
      </c>
    </row>
    <row r="47946" ht="15.75" customHeight="1">
      <c r="A47946" s="7"/>
      <c r="B47946" s="7"/>
      <c r="M47946" s="9" t="s">
        <v>20</v>
      </c>
    </row>
    <row r="47947" ht="15.75" customHeight="1">
      <c r="A47947" s="7"/>
      <c r="B47947" s="7"/>
      <c r="M47947" s="9" t="s">
        <v>21</v>
      </c>
    </row>
    <row r="47948" ht="15.75" customHeight="1">
      <c r="A47948" s="7"/>
      <c r="B47948" s="7"/>
      <c r="M47948" s="9" t="s">
        <v>22</v>
      </c>
    </row>
    <row r="47949" ht="15.75" customHeight="1">
      <c r="A47949" s="7"/>
      <c r="B47949" s="7"/>
      <c r="M47949" s="9" t="s">
        <v>40</v>
      </c>
    </row>
    <row r="47950" ht="15.75" customHeight="1">
      <c r="A47950" s="7"/>
      <c r="B47950" s="7"/>
      <c r="M47950" s="9" t="s">
        <v>20</v>
      </c>
    </row>
    <row r="47951" ht="15.75" customHeight="1">
      <c r="A47951" s="7"/>
      <c r="B47951" s="7"/>
      <c r="M47951" s="9" t="s">
        <v>22</v>
      </c>
    </row>
    <row r="47952" ht="15.75" customHeight="1">
      <c r="A47952" s="7"/>
      <c r="B47952" s="7"/>
      <c r="M47952" s="9" t="s">
        <v>29</v>
      </c>
    </row>
    <row r="47953" ht="15.75" customHeight="1">
      <c r="A47953" s="7"/>
      <c r="B47953" s="7"/>
      <c r="M47953" s="9" t="s">
        <v>32</v>
      </c>
    </row>
    <row r="47954" ht="15.75" customHeight="1">
      <c r="A47954" s="7"/>
      <c r="B47954" s="7"/>
      <c r="M47954" s="9" t="s">
        <v>46</v>
      </c>
    </row>
    <row r="47955" ht="15.75" customHeight="1">
      <c r="A47955" s="7"/>
      <c r="B47955" s="7"/>
      <c r="M47955" s="9" t="s">
        <v>27</v>
      </c>
    </row>
    <row r="47956" ht="15.75" customHeight="1">
      <c r="A47956" s="7"/>
      <c r="B47956" s="7"/>
      <c r="M47956" s="9" t="s">
        <v>40</v>
      </c>
    </row>
    <row r="47957" ht="15.75" customHeight="1">
      <c r="A47957" s="7"/>
      <c r="B47957" s="7"/>
      <c r="M47957" s="9" t="s">
        <v>30</v>
      </c>
    </row>
    <row r="47958" ht="15.75" customHeight="1">
      <c r="A47958" s="7"/>
      <c r="B47958" s="7"/>
      <c r="M47958" s="9" t="s">
        <v>24</v>
      </c>
    </row>
    <row r="47959" ht="15.75" customHeight="1">
      <c r="A47959" s="7"/>
      <c r="B47959" s="7"/>
      <c r="M47959" s="9" t="s">
        <v>21</v>
      </c>
    </row>
    <row r="47960" ht="15.75" customHeight="1">
      <c r="A47960" s="7"/>
      <c r="B47960" s="7"/>
      <c r="M47960" s="9" t="s">
        <v>37</v>
      </c>
    </row>
    <row r="47961" ht="15.75" customHeight="1">
      <c r="A47961" s="7"/>
      <c r="B47961" s="7"/>
      <c r="M47961" s="9" t="s">
        <v>22</v>
      </c>
    </row>
    <row r="47962" ht="15.75" customHeight="1">
      <c r="A47962" s="7"/>
      <c r="B47962" s="7"/>
      <c r="M47962" s="9" t="s">
        <v>27</v>
      </c>
    </row>
    <row r="47963" ht="15.75" customHeight="1">
      <c r="A47963" s="7"/>
      <c r="B47963" s="7"/>
      <c r="M47963" s="9" t="s">
        <v>26</v>
      </c>
    </row>
    <row r="47964" ht="15.75" customHeight="1">
      <c r="A47964" s="7"/>
      <c r="B47964" s="7"/>
      <c r="M47964" s="9" t="s">
        <v>24</v>
      </c>
    </row>
    <row r="47965" ht="15.75" customHeight="1">
      <c r="A47965" s="7"/>
      <c r="B47965" s="7"/>
      <c r="M47965" s="9" t="s">
        <v>21</v>
      </c>
    </row>
    <row r="47966" ht="15.75" customHeight="1">
      <c r="A47966" s="7"/>
      <c r="B47966" s="7"/>
      <c r="M47966" s="9" t="s">
        <v>33</v>
      </c>
    </row>
    <row r="47967" ht="15.75" customHeight="1">
      <c r="A47967" s="7"/>
      <c r="B47967" s="7"/>
      <c r="M47967" s="9" t="s">
        <v>22</v>
      </c>
    </row>
    <row r="47968" ht="15.75" customHeight="1">
      <c r="A47968" s="7"/>
      <c r="B47968" s="7"/>
      <c r="M47968" s="9" t="s">
        <v>35</v>
      </c>
    </row>
    <row r="47969" ht="15.75" customHeight="1">
      <c r="A47969" s="7"/>
      <c r="B47969" s="7"/>
      <c r="M47969" s="9" t="s">
        <v>26</v>
      </c>
    </row>
    <row r="47970" ht="15.75" customHeight="1">
      <c r="A47970" s="7"/>
      <c r="B47970" s="7"/>
      <c r="M47970" s="9" t="s">
        <v>24</v>
      </c>
    </row>
    <row r="47971" ht="15.75" customHeight="1">
      <c r="A47971" s="7"/>
      <c r="B47971" s="7"/>
      <c r="M47971" s="9" t="s">
        <v>20</v>
      </c>
    </row>
    <row r="47972" ht="15.75" customHeight="1">
      <c r="A47972" s="7"/>
      <c r="B47972" s="7"/>
      <c r="M47972" s="9" t="s">
        <v>21</v>
      </c>
    </row>
    <row r="47973" ht="15.75" customHeight="1">
      <c r="A47973" s="7"/>
      <c r="B47973" s="7"/>
      <c r="M47973" s="9" t="s">
        <v>27</v>
      </c>
    </row>
    <row r="47974" ht="15.75" customHeight="1">
      <c r="A47974" s="7"/>
      <c r="B47974" s="7"/>
      <c r="M47974" s="9" t="s">
        <v>33</v>
      </c>
    </row>
    <row r="47975" ht="15.75" customHeight="1">
      <c r="A47975" s="7"/>
      <c r="B47975" s="7"/>
      <c r="M47975" s="9" t="s">
        <v>30</v>
      </c>
    </row>
    <row r="47976" ht="15.75" customHeight="1">
      <c r="A47976" s="7"/>
      <c r="B47976" s="7"/>
      <c r="M47976" s="9" t="s">
        <v>24</v>
      </c>
    </row>
    <row r="47977" ht="15.75" customHeight="1">
      <c r="A47977" s="7"/>
      <c r="B47977" s="7"/>
      <c r="M47977" s="9" t="s">
        <v>21</v>
      </c>
    </row>
    <row r="47978" ht="15.75" customHeight="1">
      <c r="A47978" s="7"/>
      <c r="B47978" s="7"/>
      <c r="M47978" s="9" t="s">
        <v>22</v>
      </c>
    </row>
    <row r="47979" ht="15.75" customHeight="1">
      <c r="A47979" s="7"/>
      <c r="B47979" s="7"/>
      <c r="M47979" s="9" t="s">
        <v>22</v>
      </c>
    </row>
    <row r="47980" ht="15.75" customHeight="1">
      <c r="A47980" s="7"/>
      <c r="B47980" s="7"/>
      <c r="M47980" s="9" t="s">
        <v>25</v>
      </c>
    </row>
    <row r="47981" ht="15.75" customHeight="1">
      <c r="A47981" s="7"/>
      <c r="B47981" s="7"/>
      <c r="M47981" s="9" t="s">
        <v>23</v>
      </c>
    </row>
    <row r="47982" ht="15.75" customHeight="1">
      <c r="A47982" s="7"/>
      <c r="B47982" s="7"/>
      <c r="M47982" s="9" t="s">
        <v>26</v>
      </c>
    </row>
    <row r="47983" ht="15.75" customHeight="1">
      <c r="A47983" s="7"/>
      <c r="B47983" s="7"/>
      <c r="M47983" s="9" t="s">
        <v>47</v>
      </c>
    </row>
    <row r="47984" ht="15.75" customHeight="1">
      <c r="A47984" s="7"/>
      <c r="B47984" s="7"/>
      <c r="M47984" s="9" t="s">
        <v>36</v>
      </c>
    </row>
    <row r="47985" ht="15.75" customHeight="1">
      <c r="A47985" s="7"/>
      <c r="B47985" s="7"/>
      <c r="M47985" s="9" t="s">
        <v>24</v>
      </c>
    </row>
    <row r="47986" ht="15.75" customHeight="1">
      <c r="A47986" s="7"/>
      <c r="B47986" s="7"/>
      <c r="M47986" s="9" t="s">
        <v>20</v>
      </c>
    </row>
    <row r="47987" ht="15.75" customHeight="1">
      <c r="A47987" s="7"/>
      <c r="B47987" s="7"/>
      <c r="M47987" s="9" t="s">
        <v>21</v>
      </c>
    </row>
    <row r="47988" ht="15.75" customHeight="1">
      <c r="A47988" s="7"/>
      <c r="B47988" s="7"/>
      <c r="M47988" s="9" t="s">
        <v>37</v>
      </c>
    </row>
    <row r="47989" ht="15.75" customHeight="1">
      <c r="A47989" s="7"/>
      <c r="B47989" s="7"/>
      <c r="M47989" s="9" t="s">
        <v>27</v>
      </c>
    </row>
    <row r="47990" ht="15.75" customHeight="1">
      <c r="A47990" s="7"/>
      <c r="B47990" s="7"/>
      <c r="M47990" s="9" t="s">
        <v>33</v>
      </c>
    </row>
    <row r="47991" ht="15.75" customHeight="1">
      <c r="A47991" s="7"/>
      <c r="B47991" s="7"/>
      <c r="M47991" s="9" t="s">
        <v>30</v>
      </c>
    </row>
    <row r="47992" ht="15.75" customHeight="1">
      <c r="A47992" s="7"/>
      <c r="B47992" s="7"/>
      <c r="M47992" s="9" t="s">
        <v>26</v>
      </c>
    </row>
    <row r="47993" ht="15.75" customHeight="1">
      <c r="A47993" s="7"/>
      <c r="B47993" s="7"/>
      <c r="M47993" s="9" t="s">
        <v>21</v>
      </c>
    </row>
    <row r="47994" ht="15.75" customHeight="1">
      <c r="A47994" s="7"/>
      <c r="B47994" s="7"/>
      <c r="M47994" s="9" t="s">
        <v>27</v>
      </c>
    </row>
    <row r="47995" ht="15.75" customHeight="1">
      <c r="A47995" s="7"/>
      <c r="B47995" s="7"/>
      <c r="M47995" s="9" t="s">
        <v>35</v>
      </c>
    </row>
    <row r="47996" ht="15.75" customHeight="1">
      <c r="A47996" s="7"/>
      <c r="B47996" s="7"/>
      <c r="M47996" s="9" t="s">
        <v>30</v>
      </c>
    </row>
    <row r="47997" ht="15.75" customHeight="1">
      <c r="A47997" s="7"/>
      <c r="B47997" s="7"/>
      <c r="M47997" s="9" t="s">
        <v>25</v>
      </c>
    </row>
    <row r="47998" ht="15.75" customHeight="1">
      <c r="A47998" s="7"/>
      <c r="B47998" s="7"/>
      <c r="M47998" s="9" t="s">
        <v>23</v>
      </c>
    </row>
    <row r="47999" ht="15.75" customHeight="1">
      <c r="A47999" s="7"/>
      <c r="B47999" s="7"/>
      <c r="M47999" s="9" t="s">
        <v>20</v>
      </c>
    </row>
    <row r="48000" ht="15.75" customHeight="1">
      <c r="A48000" s="7"/>
      <c r="B48000" s="7"/>
      <c r="M48000" s="9" t="s">
        <v>22</v>
      </c>
    </row>
    <row r="48001" ht="15.75" customHeight="1">
      <c r="A48001" s="7"/>
      <c r="B48001" s="7"/>
      <c r="M48001" s="9" t="s">
        <v>29</v>
      </c>
    </row>
    <row r="48002" ht="15.75" customHeight="1">
      <c r="A48002" s="7"/>
      <c r="B48002" s="7"/>
      <c r="M48002" s="9" t="s">
        <v>24</v>
      </c>
    </row>
    <row r="48003" ht="15.75" customHeight="1">
      <c r="A48003" s="7"/>
      <c r="B48003" s="7"/>
      <c r="M48003" s="9" t="s">
        <v>21</v>
      </c>
    </row>
    <row r="48004" ht="15.75" customHeight="1">
      <c r="A48004" s="7"/>
      <c r="B48004" s="7"/>
      <c r="M48004" s="9" t="s">
        <v>22</v>
      </c>
    </row>
    <row r="48005" ht="15.75" customHeight="1">
      <c r="A48005" s="7"/>
      <c r="B48005" s="7"/>
      <c r="M48005" s="9" t="s">
        <v>31</v>
      </c>
    </row>
    <row r="48006" ht="15.75" customHeight="1">
      <c r="A48006" s="7"/>
      <c r="B48006" s="7"/>
      <c r="M48006" s="9" t="s">
        <v>35</v>
      </c>
    </row>
    <row r="48007" ht="15.75" customHeight="1">
      <c r="A48007" s="7"/>
      <c r="B48007" s="7"/>
      <c r="M48007" s="9" t="s">
        <v>21</v>
      </c>
    </row>
    <row r="48008" ht="15.75" customHeight="1">
      <c r="A48008" s="7"/>
      <c r="B48008" s="7"/>
      <c r="M48008" s="9" t="s">
        <v>33</v>
      </c>
    </row>
    <row r="48009" ht="15.75" customHeight="1">
      <c r="A48009" s="7"/>
      <c r="B48009" s="7"/>
      <c r="M48009" s="9" t="s">
        <v>30</v>
      </c>
    </row>
    <row r="48010" ht="15.75" customHeight="1">
      <c r="A48010" s="7"/>
      <c r="B48010" s="7"/>
      <c r="M48010" s="9" t="s">
        <v>25</v>
      </c>
    </row>
    <row r="48011" ht="15.75" customHeight="1">
      <c r="A48011" s="7"/>
      <c r="B48011" s="7"/>
      <c r="M48011" s="9" t="s">
        <v>23</v>
      </c>
    </row>
    <row r="48012" ht="15.75" customHeight="1">
      <c r="A48012" s="7"/>
      <c r="B48012" s="7"/>
      <c r="M48012" s="9" t="s">
        <v>24</v>
      </c>
    </row>
    <row r="48013" ht="15.75" customHeight="1">
      <c r="A48013" s="7"/>
      <c r="B48013" s="7"/>
      <c r="M48013" s="9" t="s">
        <v>22</v>
      </c>
    </row>
    <row r="48014" ht="15.75" customHeight="1">
      <c r="A48014" s="7"/>
      <c r="B48014" s="7"/>
      <c r="M48014" s="9" t="s">
        <v>27</v>
      </c>
    </row>
    <row r="48015" ht="15.75" customHeight="1">
      <c r="A48015" s="7"/>
      <c r="B48015" s="7"/>
      <c r="M48015" s="9" t="s">
        <v>35</v>
      </c>
    </row>
    <row r="48016" ht="15.75" customHeight="1">
      <c r="A48016" s="7"/>
      <c r="B48016" s="7"/>
      <c r="M48016" s="9" t="s">
        <v>30</v>
      </c>
    </row>
    <row r="48017" ht="15.75" customHeight="1">
      <c r="A48017" s="7"/>
      <c r="B48017" s="7"/>
      <c r="M48017" s="9" t="s">
        <v>25</v>
      </c>
    </row>
    <row r="48018" ht="15.75" customHeight="1">
      <c r="A48018" s="7"/>
      <c r="B48018" s="7"/>
      <c r="M48018" s="9" t="s">
        <v>23</v>
      </c>
    </row>
    <row r="48019" ht="15.75" customHeight="1">
      <c r="A48019" s="7"/>
      <c r="B48019" s="7"/>
      <c r="M48019" s="9" t="s">
        <v>24</v>
      </c>
    </row>
    <row r="48020" ht="15.75" customHeight="1">
      <c r="A48020" s="7"/>
      <c r="B48020" s="7"/>
      <c r="M48020" s="9" t="s">
        <v>20</v>
      </c>
    </row>
    <row r="48021" ht="15.75" customHeight="1">
      <c r="A48021" s="7"/>
      <c r="B48021" s="7"/>
      <c r="M48021" s="9" t="s">
        <v>22</v>
      </c>
    </row>
    <row r="48022" ht="15.75" customHeight="1">
      <c r="A48022" s="7"/>
      <c r="B48022" s="7"/>
      <c r="M48022" s="9" t="s">
        <v>27</v>
      </c>
    </row>
    <row r="48023" ht="15.75" customHeight="1">
      <c r="A48023" s="7"/>
      <c r="B48023" s="7"/>
      <c r="M48023" s="9" t="s">
        <v>25</v>
      </c>
    </row>
    <row r="48024" ht="15.75" customHeight="1">
      <c r="A48024" s="7"/>
      <c r="B48024" s="7"/>
      <c r="M48024" s="9" t="s">
        <v>23</v>
      </c>
    </row>
    <row r="48025" ht="15.75" customHeight="1">
      <c r="A48025" s="7"/>
      <c r="B48025" s="7"/>
      <c r="M48025" s="9" t="s">
        <v>24</v>
      </c>
    </row>
    <row r="48026" ht="15.75" customHeight="1">
      <c r="A48026" s="7"/>
      <c r="B48026" s="7"/>
      <c r="M48026" s="9" t="s">
        <v>20</v>
      </c>
    </row>
    <row r="48027" ht="15.75" customHeight="1">
      <c r="A48027" s="7"/>
      <c r="B48027" s="7"/>
      <c r="M48027" s="9" t="s">
        <v>22</v>
      </c>
    </row>
    <row r="48028" ht="15.75" customHeight="1">
      <c r="A48028" s="7"/>
      <c r="B48028" s="7"/>
      <c r="M48028" s="9" t="s">
        <v>25</v>
      </c>
    </row>
    <row r="48029" ht="15.75" customHeight="1">
      <c r="A48029" s="7"/>
      <c r="B48029" s="7"/>
      <c r="M48029" s="9" t="s">
        <v>47</v>
      </c>
    </row>
    <row r="48030" ht="15.75" customHeight="1">
      <c r="A48030" s="7"/>
      <c r="B48030" s="7"/>
      <c r="M48030" s="9" t="s">
        <v>21</v>
      </c>
    </row>
    <row r="48031" ht="15.75" customHeight="1">
      <c r="A48031" s="7"/>
      <c r="B48031" s="7"/>
      <c r="M48031" s="9" t="s">
        <v>22</v>
      </c>
    </row>
    <row r="48032" ht="15.75" customHeight="1">
      <c r="A48032" s="7"/>
      <c r="B48032" s="7"/>
      <c r="M48032" s="9" t="s">
        <v>26</v>
      </c>
    </row>
    <row r="48033" ht="15.75" customHeight="1">
      <c r="A48033" s="7"/>
      <c r="B48033" s="7"/>
      <c r="M48033" s="9" t="s">
        <v>24</v>
      </c>
    </row>
    <row r="48034" ht="15.75" customHeight="1">
      <c r="A48034" s="7"/>
      <c r="B48034" s="7"/>
      <c r="M48034" s="9" t="s">
        <v>21</v>
      </c>
    </row>
    <row r="48035" ht="15.75" customHeight="1">
      <c r="A48035" s="7"/>
      <c r="B48035" s="7"/>
      <c r="M48035" s="9" t="s">
        <v>37</v>
      </c>
    </row>
    <row r="48036" ht="15.75" customHeight="1">
      <c r="A48036" s="7"/>
      <c r="B48036" s="7"/>
      <c r="M48036" s="9" t="s">
        <v>27</v>
      </c>
    </row>
    <row r="48037" ht="15.75" customHeight="1">
      <c r="A48037" s="7"/>
      <c r="B48037" s="7"/>
      <c r="M48037" s="9" t="s">
        <v>33</v>
      </c>
    </row>
    <row r="48038" ht="15.75" customHeight="1">
      <c r="A48038" s="7"/>
      <c r="B48038" s="7"/>
      <c r="M48038" s="9" t="s">
        <v>30</v>
      </c>
    </row>
    <row r="48039" ht="15.75" customHeight="1">
      <c r="A48039" s="7"/>
      <c r="B48039" s="7"/>
      <c r="M48039" s="9" t="s">
        <v>25</v>
      </c>
    </row>
    <row r="48040" ht="15.75" customHeight="1">
      <c r="A48040" s="7"/>
      <c r="B48040" s="7"/>
      <c r="M48040" s="9" t="s">
        <v>23</v>
      </c>
    </row>
    <row r="48041" ht="15.75" customHeight="1">
      <c r="A48041" s="7"/>
      <c r="B48041" s="7"/>
      <c r="M48041" s="9" t="s">
        <v>26</v>
      </c>
    </row>
    <row r="48042" ht="15.75" customHeight="1">
      <c r="A48042" s="7"/>
      <c r="B48042" s="7"/>
      <c r="M48042" s="9" t="s">
        <v>24</v>
      </c>
    </row>
    <row r="48043" ht="15.75" customHeight="1">
      <c r="A48043" s="7"/>
      <c r="B48043" s="7"/>
      <c r="M48043" s="9" t="s">
        <v>20</v>
      </c>
    </row>
    <row r="48044" ht="15.75" customHeight="1">
      <c r="A48044" s="7"/>
      <c r="B48044" s="7"/>
      <c r="M48044" s="9" t="s">
        <v>21</v>
      </c>
    </row>
    <row r="48045" ht="15.75" customHeight="1">
      <c r="A48045" s="7"/>
      <c r="B48045" s="7"/>
      <c r="M48045" s="9" t="s">
        <v>37</v>
      </c>
    </row>
    <row r="48046" ht="15.75" customHeight="1">
      <c r="A48046" s="7"/>
      <c r="B48046" s="7"/>
      <c r="M48046" s="9" t="s">
        <v>22</v>
      </c>
    </row>
    <row r="48047" ht="15.75" customHeight="1">
      <c r="A48047" s="7"/>
      <c r="B48047" s="7"/>
      <c r="M48047" s="9" t="s">
        <v>29</v>
      </c>
    </row>
    <row r="48048" ht="15.75" customHeight="1">
      <c r="A48048" s="7"/>
      <c r="B48048" s="7"/>
      <c r="M48048" s="9" t="s">
        <v>27</v>
      </c>
    </row>
    <row r="48049" ht="15.75" customHeight="1">
      <c r="A48049" s="7"/>
      <c r="B48049" s="7"/>
      <c r="M48049" s="9" t="s">
        <v>30</v>
      </c>
    </row>
    <row r="48050" ht="15.75" customHeight="1">
      <c r="A48050" s="7"/>
      <c r="B48050" s="7"/>
      <c r="M48050" s="9" t="s">
        <v>25</v>
      </c>
    </row>
    <row r="48051" ht="15.75" customHeight="1">
      <c r="A48051" s="7"/>
      <c r="B48051" s="7"/>
      <c r="M48051" s="9" t="s">
        <v>23</v>
      </c>
    </row>
    <row r="48052" ht="15.75" customHeight="1">
      <c r="A48052" s="7"/>
      <c r="B48052" s="7"/>
      <c r="M48052" s="9" t="s">
        <v>36</v>
      </c>
    </row>
    <row r="48053" ht="15.75" customHeight="1">
      <c r="A48053" s="7"/>
      <c r="B48053" s="7"/>
      <c r="M48053" s="9" t="s">
        <v>24</v>
      </c>
    </row>
    <row r="48054" ht="15.75" customHeight="1">
      <c r="A48054" s="7"/>
      <c r="B48054" s="7"/>
      <c r="M48054" s="9" t="s">
        <v>21</v>
      </c>
    </row>
    <row r="48055" ht="15.75" customHeight="1">
      <c r="A48055" s="7"/>
      <c r="B48055" s="7"/>
      <c r="M48055" s="9" t="s">
        <v>31</v>
      </c>
    </row>
    <row r="48056" ht="15.75" customHeight="1">
      <c r="A48056" s="7"/>
      <c r="B48056" s="7"/>
      <c r="M48056" s="9" t="s">
        <v>26</v>
      </c>
    </row>
    <row r="48057" ht="15.75" customHeight="1">
      <c r="A48057" s="7"/>
      <c r="B48057" s="7"/>
      <c r="M48057" s="9" t="s">
        <v>24</v>
      </c>
    </row>
    <row r="48058" ht="15.75" customHeight="1">
      <c r="A48058" s="7"/>
      <c r="B48058" s="7"/>
      <c r="M48058" s="9" t="s">
        <v>21</v>
      </c>
    </row>
    <row r="48059" ht="15.75" customHeight="1">
      <c r="A48059" s="7"/>
      <c r="B48059" s="7"/>
      <c r="M48059" s="9" t="s">
        <v>27</v>
      </c>
    </row>
    <row r="48060" ht="15.75" customHeight="1">
      <c r="A48060" s="7"/>
      <c r="B48060" s="7"/>
      <c r="M48060" s="9" t="s">
        <v>33</v>
      </c>
    </row>
    <row r="48061" ht="15.75" customHeight="1">
      <c r="A48061" s="7"/>
      <c r="B48061" s="7"/>
      <c r="M48061" s="9" t="s">
        <v>30</v>
      </c>
    </row>
    <row r="48062" ht="15.75" customHeight="1">
      <c r="A48062" s="7"/>
      <c r="B48062" s="7"/>
      <c r="M48062" s="9" t="s">
        <v>25</v>
      </c>
    </row>
    <row r="48063" ht="15.75" customHeight="1">
      <c r="A48063" s="7"/>
      <c r="B48063" s="7"/>
      <c r="M48063" s="9" t="s">
        <v>24</v>
      </c>
    </row>
    <row r="48064" ht="15.75" customHeight="1">
      <c r="A48064" s="7"/>
      <c r="B48064" s="7"/>
      <c r="M48064" s="9" t="s">
        <v>21</v>
      </c>
    </row>
    <row r="48065" ht="15.75" customHeight="1">
      <c r="A48065" s="7"/>
      <c r="B48065" s="7"/>
      <c r="M48065" s="9" t="s">
        <v>22</v>
      </c>
    </row>
    <row r="48066" ht="15.75" customHeight="1">
      <c r="A48066" s="7"/>
      <c r="B48066" s="7"/>
      <c r="M48066" s="9" t="s">
        <v>27</v>
      </c>
    </row>
    <row r="48067" ht="15.75" customHeight="1">
      <c r="A48067" s="7"/>
      <c r="B48067" s="7"/>
      <c r="M48067" s="9" t="s">
        <v>24</v>
      </c>
    </row>
    <row r="48068" ht="15.75" customHeight="1">
      <c r="A48068" s="7"/>
      <c r="B48068" s="7"/>
      <c r="M48068" s="9" t="s">
        <v>20</v>
      </c>
    </row>
    <row r="48069" ht="15.75" customHeight="1">
      <c r="A48069" s="7"/>
      <c r="B48069" s="7"/>
      <c r="M48069" s="9" t="s">
        <v>21</v>
      </c>
    </row>
    <row r="48070" ht="15.75" customHeight="1">
      <c r="A48070" s="7"/>
      <c r="B48070" s="7"/>
      <c r="M48070" s="9" t="s">
        <v>27</v>
      </c>
    </row>
    <row r="48071" ht="15.75" customHeight="1">
      <c r="A48071" s="7"/>
      <c r="B48071" s="7"/>
      <c r="M48071" s="9" t="s">
        <v>33</v>
      </c>
    </row>
    <row r="48072" ht="15.75" customHeight="1">
      <c r="A48072" s="7"/>
      <c r="B48072" s="7"/>
      <c r="M48072" s="9" t="s">
        <v>25</v>
      </c>
    </row>
    <row r="48073" ht="15.75" customHeight="1">
      <c r="A48073" s="7"/>
      <c r="B48073" s="7"/>
      <c r="M48073" s="9" t="s">
        <v>23</v>
      </c>
    </row>
    <row r="48074" ht="15.75" customHeight="1">
      <c r="A48074" s="7"/>
      <c r="B48074" s="7"/>
      <c r="M48074" s="9" t="s">
        <v>24</v>
      </c>
    </row>
    <row r="48075" ht="15.75" customHeight="1">
      <c r="A48075" s="7"/>
      <c r="B48075" s="7"/>
      <c r="M48075" s="9" t="s">
        <v>22</v>
      </c>
    </row>
    <row r="48076" ht="15.75" customHeight="1">
      <c r="A48076" s="7"/>
      <c r="B48076" s="7"/>
      <c r="M48076" s="9" t="s">
        <v>26</v>
      </c>
    </row>
    <row r="48077" ht="15.75" customHeight="1">
      <c r="A48077" s="7"/>
      <c r="B48077" s="7"/>
      <c r="M48077" s="9" t="s">
        <v>24</v>
      </c>
    </row>
    <row r="48078" ht="15.75" customHeight="1">
      <c r="A48078" s="7"/>
      <c r="B48078" s="7"/>
      <c r="M48078" s="9" t="s">
        <v>20</v>
      </c>
    </row>
    <row r="48079" ht="15.75" customHeight="1">
      <c r="A48079" s="7"/>
      <c r="B48079" s="7"/>
      <c r="M48079" s="9" t="s">
        <v>21</v>
      </c>
    </row>
    <row r="48080" ht="15.75" customHeight="1">
      <c r="A48080" s="7"/>
      <c r="B48080" s="7"/>
      <c r="M48080" s="9" t="s">
        <v>22</v>
      </c>
    </row>
    <row r="48081" ht="15.75" customHeight="1">
      <c r="A48081" s="7"/>
      <c r="B48081" s="7"/>
      <c r="M48081" s="9" t="s">
        <v>27</v>
      </c>
    </row>
    <row r="48082" ht="15.75" customHeight="1">
      <c r="A48082" s="7"/>
      <c r="B48082" s="7"/>
      <c r="M48082" s="9" t="s">
        <v>40</v>
      </c>
    </row>
    <row r="48083" ht="15.75" customHeight="1">
      <c r="A48083" s="7"/>
      <c r="B48083" s="7"/>
      <c r="M48083" s="9" t="s">
        <v>24</v>
      </c>
    </row>
    <row r="48084" ht="15.75" customHeight="1">
      <c r="A48084" s="7"/>
      <c r="B48084" s="7"/>
      <c r="M48084" s="9" t="s">
        <v>20</v>
      </c>
    </row>
    <row r="48085" ht="15.75" customHeight="1">
      <c r="A48085" s="7"/>
      <c r="B48085" s="7"/>
      <c r="M48085" s="9" t="s">
        <v>33</v>
      </c>
    </row>
    <row r="48086" ht="15.75" customHeight="1">
      <c r="A48086" s="7"/>
      <c r="B48086" s="7"/>
      <c r="M48086" s="9" t="s">
        <v>26</v>
      </c>
    </row>
    <row r="48087" ht="15.75" customHeight="1">
      <c r="A48087" s="7"/>
      <c r="B48087" s="7"/>
      <c r="M48087" s="9" t="s">
        <v>24</v>
      </c>
    </row>
    <row r="48088" ht="15.75" customHeight="1">
      <c r="A48088" s="7"/>
      <c r="B48088" s="7"/>
      <c r="M48088" s="9" t="s">
        <v>21</v>
      </c>
    </row>
    <row r="48089" ht="15.75" customHeight="1">
      <c r="A48089" s="7"/>
      <c r="B48089" s="7"/>
      <c r="M48089" s="9" t="s">
        <v>33</v>
      </c>
    </row>
    <row r="48090" ht="15.75" customHeight="1">
      <c r="A48090" s="7"/>
      <c r="B48090" s="7"/>
      <c r="M48090" s="9" t="s">
        <v>38</v>
      </c>
    </row>
    <row r="48091" ht="15.75" customHeight="1">
      <c r="A48091" s="7"/>
      <c r="B48091" s="7"/>
      <c r="M48091" s="9" t="s">
        <v>30</v>
      </c>
    </row>
    <row r="48092" ht="15.75" customHeight="1">
      <c r="A48092" s="7"/>
      <c r="B48092" s="7"/>
      <c r="M48092" s="9" t="s">
        <v>25</v>
      </c>
    </row>
    <row r="48093" ht="15.75" customHeight="1">
      <c r="A48093" s="7"/>
      <c r="B48093" s="7"/>
      <c r="M48093" s="9" t="s">
        <v>23</v>
      </c>
    </row>
    <row r="48094" ht="15.75" customHeight="1">
      <c r="A48094" s="7"/>
      <c r="B48094" s="7"/>
      <c r="M48094" s="9" t="s">
        <v>26</v>
      </c>
    </row>
    <row r="48095" ht="15.75" customHeight="1">
      <c r="A48095" s="7"/>
      <c r="B48095" s="7"/>
      <c r="M48095" s="9" t="s">
        <v>24</v>
      </c>
    </row>
    <row r="48096" ht="15.75" customHeight="1">
      <c r="A48096" s="7"/>
      <c r="B48096" s="7"/>
      <c r="M48096" s="9" t="s">
        <v>20</v>
      </c>
    </row>
    <row r="48097" ht="15.75" customHeight="1">
      <c r="A48097" s="7"/>
      <c r="B48097" s="7"/>
      <c r="M48097" s="9" t="s">
        <v>21</v>
      </c>
    </row>
    <row r="48098" ht="15.75" customHeight="1">
      <c r="A48098" s="7"/>
      <c r="B48098" s="7"/>
      <c r="M48098" s="9" t="s">
        <v>37</v>
      </c>
    </row>
    <row r="48099" ht="15.75" customHeight="1">
      <c r="A48099" s="7"/>
      <c r="B48099" s="7"/>
      <c r="M48099" s="9" t="s">
        <v>27</v>
      </c>
    </row>
    <row r="48100" ht="15.75" customHeight="1">
      <c r="A48100" s="7"/>
      <c r="B48100" s="7"/>
      <c r="M48100" s="9" t="s">
        <v>28</v>
      </c>
    </row>
    <row r="48101" ht="15.75" customHeight="1">
      <c r="A48101" s="7"/>
      <c r="B48101" s="7"/>
      <c r="M48101" s="9" t="s">
        <v>30</v>
      </c>
    </row>
    <row r="48102" ht="15.75" customHeight="1">
      <c r="A48102" s="7"/>
      <c r="B48102" s="7"/>
      <c r="M48102" s="9" t="s">
        <v>24</v>
      </c>
    </row>
    <row r="48103" ht="15.75" customHeight="1">
      <c r="A48103" s="7"/>
      <c r="B48103" s="7"/>
      <c r="M48103" s="9" t="s">
        <v>20</v>
      </c>
    </row>
    <row r="48104" ht="15.75" customHeight="1">
      <c r="A48104" s="7"/>
      <c r="B48104" s="7"/>
      <c r="M48104" s="9" t="s">
        <v>21</v>
      </c>
    </row>
    <row r="48105" ht="15.75" customHeight="1">
      <c r="A48105" s="7"/>
      <c r="B48105" s="7"/>
      <c r="M48105" s="9" t="s">
        <v>39</v>
      </c>
    </row>
    <row r="48106" ht="15.75" customHeight="1">
      <c r="A48106" s="7"/>
      <c r="B48106" s="7"/>
      <c r="M48106" s="9" t="s">
        <v>37</v>
      </c>
    </row>
    <row r="48107" ht="15.75" customHeight="1">
      <c r="A48107" s="7"/>
      <c r="B48107" s="7"/>
      <c r="M48107" s="9" t="s">
        <v>22</v>
      </c>
    </row>
    <row r="48108" ht="15.75" customHeight="1">
      <c r="A48108" s="7"/>
      <c r="B48108" s="7"/>
      <c r="M48108" s="9" t="s">
        <v>33</v>
      </c>
    </row>
    <row r="48109" ht="15.75" customHeight="1">
      <c r="A48109" s="7"/>
      <c r="B48109" s="7"/>
      <c r="M48109" s="9" t="s">
        <v>35</v>
      </c>
    </row>
    <row r="48110" ht="15.75" customHeight="1">
      <c r="A48110" s="7"/>
      <c r="B48110" s="7"/>
      <c r="M48110" s="9" t="s">
        <v>30</v>
      </c>
    </row>
    <row r="48111" ht="15.75" customHeight="1">
      <c r="A48111" s="7"/>
      <c r="B48111" s="7"/>
      <c r="M48111" s="9" t="s">
        <v>26</v>
      </c>
    </row>
    <row r="48112" ht="15.75" customHeight="1">
      <c r="A48112" s="7"/>
      <c r="B48112" s="7"/>
      <c r="M48112" s="9" t="s">
        <v>24</v>
      </c>
    </row>
    <row r="48113" ht="15.75" customHeight="1">
      <c r="A48113" s="7"/>
      <c r="B48113" s="7"/>
      <c r="M48113" s="9" t="s">
        <v>20</v>
      </c>
    </row>
    <row r="48114" ht="15.75" customHeight="1">
      <c r="A48114" s="7"/>
      <c r="B48114" s="7"/>
      <c r="M48114" s="9" t="s">
        <v>21</v>
      </c>
    </row>
    <row r="48115" ht="15.75" customHeight="1">
      <c r="A48115" s="7"/>
      <c r="B48115" s="7"/>
      <c r="M48115" s="9" t="s">
        <v>27</v>
      </c>
    </row>
    <row r="48116" ht="15.75" customHeight="1">
      <c r="A48116" s="7"/>
      <c r="B48116" s="7"/>
      <c r="M48116" s="9" t="s">
        <v>30</v>
      </c>
    </row>
    <row r="48117" ht="15.75" customHeight="1">
      <c r="A48117" s="7"/>
      <c r="B48117" s="7"/>
      <c r="M48117" s="9" t="s">
        <v>25</v>
      </c>
    </row>
    <row r="48118" ht="15.75" customHeight="1">
      <c r="A48118" s="7"/>
      <c r="B48118" s="7"/>
      <c r="M48118" s="9" t="s">
        <v>24</v>
      </c>
    </row>
    <row r="48119" ht="15.75" customHeight="1">
      <c r="A48119" s="7"/>
      <c r="B48119" s="7"/>
      <c r="M48119" s="9" t="s">
        <v>21</v>
      </c>
    </row>
    <row r="48120" ht="15.75" customHeight="1">
      <c r="A48120" s="7"/>
      <c r="B48120" s="7"/>
      <c r="M48120" s="9" t="s">
        <v>37</v>
      </c>
    </row>
    <row r="48121" ht="15.75" customHeight="1">
      <c r="A48121" s="7"/>
      <c r="B48121" s="7"/>
      <c r="M48121" s="9" t="s">
        <v>22</v>
      </c>
    </row>
    <row r="48122" ht="15.75" customHeight="1">
      <c r="A48122" s="7"/>
      <c r="B48122" s="7"/>
      <c r="M48122" s="9" t="s">
        <v>27</v>
      </c>
    </row>
    <row r="48123" ht="15.75" customHeight="1">
      <c r="A48123" s="7"/>
      <c r="B48123" s="7"/>
      <c r="M48123" s="9" t="s">
        <v>30</v>
      </c>
    </row>
    <row r="48124" ht="15.75" customHeight="1">
      <c r="A48124" s="7"/>
      <c r="B48124" s="7"/>
      <c r="M48124" s="9" t="s">
        <v>23</v>
      </c>
    </row>
    <row r="48125" ht="15.75" customHeight="1">
      <c r="A48125" s="7"/>
      <c r="B48125" s="7"/>
      <c r="M48125" s="9" t="s">
        <v>26</v>
      </c>
    </row>
    <row r="48126" ht="15.75" customHeight="1">
      <c r="A48126" s="7"/>
      <c r="B48126" s="7"/>
      <c r="M48126" s="9" t="s">
        <v>24</v>
      </c>
    </row>
    <row r="48127" ht="15.75" customHeight="1">
      <c r="A48127" s="7"/>
      <c r="B48127" s="7"/>
      <c r="M48127" s="9" t="s">
        <v>20</v>
      </c>
    </row>
    <row r="48128" ht="15.75" customHeight="1">
      <c r="A48128" s="7"/>
      <c r="B48128" s="7"/>
      <c r="M48128" s="9" t="s">
        <v>21</v>
      </c>
    </row>
    <row r="48129" ht="15.75" customHeight="1">
      <c r="A48129" s="7"/>
      <c r="B48129" s="7"/>
      <c r="M48129" s="9" t="s">
        <v>37</v>
      </c>
    </row>
    <row r="48130" ht="15.75" customHeight="1">
      <c r="A48130" s="7"/>
      <c r="B48130" s="7"/>
      <c r="M48130" s="9" t="s">
        <v>22</v>
      </c>
    </row>
    <row r="48131" ht="15.75" customHeight="1">
      <c r="A48131" s="7"/>
      <c r="B48131" s="7"/>
      <c r="M48131" s="9" t="s">
        <v>27</v>
      </c>
    </row>
    <row r="48132" ht="15.75" customHeight="1">
      <c r="A48132" s="7"/>
      <c r="B48132" s="7"/>
      <c r="M48132" s="9" t="s">
        <v>26</v>
      </c>
    </row>
    <row r="48133" ht="15.75" customHeight="1">
      <c r="A48133" s="7"/>
      <c r="B48133" s="7"/>
      <c r="M48133" s="9" t="s">
        <v>24</v>
      </c>
    </row>
    <row r="48134" ht="15.75" customHeight="1">
      <c r="A48134" s="7"/>
      <c r="B48134" s="7"/>
      <c r="M48134" s="9" t="s">
        <v>21</v>
      </c>
    </row>
    <row r="48135" ht="15.75" customHeight="1">
      <c r="A48135" s="7"/>
      <c r="B48135" s="7"/>
      <c r="M48135" s="9" t="s">
        <v>27</v>
      </c>
    </row>
    <row r="48136" ht="15.75" customHeight="1">
      <c r="A48136" s="7"/>
      <c r="B48136" s="7"/>
      <c r="M48136" s="9" t="s">
        <v>30</v>
      </c>
    </row>
    <row r="48137" ht="15.75" customHeight="1">
      <c r="A48137" s="7"/>
      <c r="B48137" s="7"/>
      <c r="M48137" s="9" t="s">
        <v>21</v>
      </c>
    </row>
    <row r="48138" ht="15.75" customHeight="1">
      <c r="A48138" s="7"/>
      <c r="B48138" s="7"/>
      <c r="M48138" s="9" t="s">
        <v>37</v>
      </c>
    </row>
    <row r="48139" ht="15.75" customHeight="1">
      <c r="A48139" s="7"/>
      <c r="B48139" s="7"/>
      <c r="M48139" s="9" t="s">
        <v>27</v>
      </c>
    </row>
    <row r="48140" ht="15.75" customHeight="1">
      <c r="A48140" s="7"/>
      <c r="B48140" s="7"/>
      <c r="M48140" s="9" t="s">
        <v>33</v>
      </c>
    </row>
    <row r="48141" ht="15.75" customHeight="1">
      <c r="A48141" s="7"/>
      <c r="B48141" s="7"/>
      <c r="M48141" s="9" t="s">
        <v>30</v>
      </c>
    </row>
    <row r="48142" ht="15.75" customHeight="1">
      <c r="A48142" s="7"/>
      <c r="B48142" s="7"/>
      <c r="M48142" s="9" t="s">
        <v>20</v>
      </c>
    </row>
    <row r="48143" ht="15.75" customHeight="1">
      <c r="A48143" s="7"/>
      <c r="B48143" s="7"/>
      <c r="M48143" s="9" t="s">
        <v>37</v>
      </c>
    </row>
    <row r="48144" ht="15.75" customHeight="1">
      <c r="A48144" s="7"/>
      <c r="B48144" s="7"/>
      <c r="M48144" s="9" t="s">
        <v>22</v>
      </c>
    </row>
    <row r="48145" ht="15.75" customHeight="1">
      <c r="A48145" s="7"/>
      <c r="B48145" s="7"/>
      <c r="M48145" s="9" t="s">
        <v>27</v>
      </c>
    </row>
    <row r="48146" ht="15.75" customHeight="1">
      <c r="A48146" s="7"/>
      <c r="B48146" s="7"/>
      <c r="M48146" s="9" t="s">
        <v>28</v>
      </c>
    </row>
    <row r="48147" ht="15.75" customHeight="1">
      <c r="A48147" s="7"/>
      <c r="B48147" s="7"/>
      <c r="M48147" s="9" t="s">
        <v>26</v>
      </c>
    </row>
    <row r="48148" ht="15.75" customHeight="1">
      <c r="A48148" s="7"/>
      <c r="B48148" s="7"/>
      <c r="M48148" s="9" t="s">
        <v>24</v>
      </c>
    </row>
    <row r="48149" ht="15.75" customHeight="1">
      <c r="A48149" s="7"/>
      <c r="B48149" s="7"/>
      <c r="M48149" s="9" t="s">
        <v>20</v>
      </c>
    </row>
    <row r="48150" ht="15.75" customHeight="1">
      <c r="A48150" s="7"/>
      <c r="B48150" s="7"/>
      <c r="M48150" s="9" t="s">
        <v>21</v>
      </c>
    </row>
    <row r="48151" ht="15.75" customHeight="1">
      <c r="A48151" s="7"/>
      <c r="B48151" s="7"/>
      <c r="M48151" s="9" t="s">
        <v>22</v>
      </c>
    </row>
    <row r="48152" ht="15.75" customHeight="1">
      <c r="A48152" s="7"/>
      <c r="B48152" s="7"/>
      <c r="M48152" s="9" t="s">
        <v>27</v>
      </c>
    </row>
    <row r="48153" ht="15.75" customHeight="1">
      <c r="A48153" s="7"/>
      <c r="B48153" s="7"/>
      <c r="M48153" s="9" t="s">
        <v>33</v>
      </c>
    </row>
    <row r="48154" ht="15.75" customHeight="1">
      <c r="A48154" s="7"/>
      <c r="B48154" s="7"/>
      <c r="M48154" s="9" t="s">
        <v>35</v>
      </c>
    </row>
    <row r="48155" ht="15.75" customHeight="1">
      <c r="A48155" s="7"/>
      <c r="B48155" s="7"/>
      <c r="M48155" s="9" t="s">
        <v>30</v>
      </c>
    </row>
    <row r="48156" ht="15.75" customHeight="1">
      <c r="A48156" s="7"/>
      <c r="B48156" s="7"/>
      <c r="M48156" s="9" t="s">
        <v>22</v>
      </c>
    </row>
    <row r="48157" ht="15.75" customHeight="1">
      <c r="A48157" s="7"/>
      <c r="B48157" s="7"/>
      <c r="M48157" s="9" t="s">
        <v>38</v>
      </c>
    </row>
    <row r="48158" ht="15.75" customHeight="1">
      <c r="A48158" s="7"/>
      <c r="B48158" s="7"/>
      <c r="M48158" s="9" t="s">
        <v>23</v>
      </c>
    </row>
    <row r="48159" ht="15.75" customHeight="1">
      <c r="A48159" s="7"/>
      <c r="B48159" s="7"/>
      <c r="M48159" s="9" t="s">
        <v>24</v>
      </c>
    </row>
    <row r="48160" ht="15.75" customHeight="1">
      <c r="A48160" s="7"/>
      <c r="B48160" s="7"/>
      <c r="M48160" s="9" t="s">
        <v>21</v>
      </c>
    </row>
    <row r="48161" ht="15.75" customHeight="1">
      <c r="A48161" s="7"/>
      <c r="B48161" s="7"/>
      <c r="M48161" s="9" t="s">
        <v>37</v>
      </c>
    </row>
    <row r="48162" ht="15.75" customHeight="1">
      <c r="A48162" s="7"/>
      <c r="B48162" s="7"/>
      <c r="M48162" s="9" t="s">
        <v>27</v>
      </c>
    </row>
    <row r="48163" ht="15.75" customHeight="1">
      <c r="A48163" s="7"/>
      <c r="B48163" s="7"/>
      <c r="M48163" s="9" t="s">
        <v>26</v>
      </c>
    </row>
    <row r="48164" ht="15.75" customHeight="1">
      <c r="A48164" s="7"/>
      <c r="B48164" s="7"/>
      <c r="M48164" s="9" t="s">
        <v>24</v>
      </c>
    </row>
    <row r="48165" ht="15.75" customHeight="1">
      <c r="A48165" s="7"/>
      <c r="B48165" s="7"/>
      <c r="M48165" s="9" t="s">
        <v>21</v>
      </c>
    </row>
    <row r="48166" ht="15.75" customHeight="1">
      <c r="A48166" s="7"/>
      <c r="B48166" s="7"/>
      <c r="M48166" s="9" t="s">
        <v>27</v>
      </c>
    </row>
    <row r="48167" ht="15.75" customHeight="1">
      <c r="A48167" s="7"/>
      <c r="B48167" s="7"/>
      <c r="M48167" s="9" t="s">
        <v>33</v>
      </c>
    </row>
    <row r="48168" ht="15.75" customHeight="1">
      <c r="A48168" s="7"/>
      <c r="B48168" s="7"/>
      <c r="M48168" s="9" t="s">
        <v>38</v>
      </c>
    </row>
    <row r="48169" ht="15.75" customHeight="1">
      <c r="A48169" s="7"/>
      <c r="B48169" s="7"/>
      <c r="M48169" s="9" t="s">
        <v>24</v>
      </c>
    </row>
    <row r="48170" ht="15.75" customHeight="1">
      <c r="A48170" s="7"/>
      <c r="B48170" s="7"/>
      <c r="M48170" s="9" t="s">
        <v>20</v>
      </c>
    </row>
    <row r="48171" ht="15.75" customHeight="1">
      <c r="A48171" s="7"/>
      <c r="B48171" s="7"/>
      <c r="M48171" s="9" t="s">
        <v>21</v>
      </c>
    </row>
    <row r="48172" ht="15.75" customHeight="1">
      <c r="A48172" s="7"/>
      <c r="B48172" s="7"/>
      <c r="M48172" s="9" t="s">
        <v>37</v>
      </c>
    </row>
    <row r="48173" ht="15.75" customHeight="1">
      <c r="A48173" s="7"/>
      <c r="B48173" s="7"/>
      <c r="M48173" s="9" t="s">
        <v>27</v>
      </c>
    </row>
    <row r="48174" ht="15.75" customHeight="1">
      <c r="A48174" s="7"/>
      <c r="B48174" s="7"/>
      <c r="M48174" s="9" t="s">
        <v>33</v>
      </c>
    </row>
    <row r="48175" ht="15.75" customHeight="1">
      <c r="A48175" s="7"/>
      <c r="B48175" s="7"/>
      <c r="M48175" s="9" t="s">
        <v>28</v>
      </c>
    </row>
    <row r="48176" ht="15.75" customHeight="1">
      <c r="A48176" s="7"/>
      <c r="B48176" s="7"/>
      <c r="M48176" s="9" t="s">
        <v>35</v>
      </c>
    </row>
    <row r="48177" ht="15.75" customHeight="1">
      <c r="A48177" s="7"/>
      <c r="B48177" s="7"/>
      <c r="M48177" s="9" t="s">
        <v>26</v>
      </c>
    </row>
    <row r="48178" ht="15.75" customHeight="1">
      <c r="A48178" s="7"/>
      <c r="B48178" s="7"/>
      <c r="M48178" s="9" t="s">
        <v>24</v>
      </c>
    </row>
    <row r="48179" ht="15.75" customHeight="1">
      <c r="A48179" s="7"/>
      <c r="B48179" s="7"/>
      <c r="M48179" s="9" t="s">
        <v>21</v>
      </c>
    </row>
    <row r="48180" ht="15.75" customHeight="1">
      <c r="A48180" s="7"/>
      <c r="B48180" s="7"/>
      <c r="M48180" s="9" t="s">
        <v>27</v>
      </c>
    </row>
    <row r="48181" ht="15.75" customHeight="1">
      <c r="A48181" s="7"/>
      <c r="B48181" s="7"/>
      <c r="M48181" s="9" t="s">
        <v>28</v>
      </c>
    </row>
    <row r="48182" ht="15.75" customHeight="1">
      <c r="A48182" s="7"/>
      <c r="B48182" s="7"/>
      <c r="M48182" s="9" t="s">
        <v>30</v>
      </c>
    </row>
    <row r="48183" ht="15.75" customHeight="1">
      <c r="A48183" s="7"/>
      <c r="B48183" s="7"/>
      <c r="M48183" s="9" t="s">
        <v>23</v>
      </c>
    </row>
    <row r="48184" ht="15.75" customHeight="1">
      <c r="A48184" s="7"/>
      <c r="B48184" s="7"/>
      <c r="M48184" s="9" t="s">
        <v>20</v>
      </c>
    </row>
    <row r="48185" ht="15.75" customHeight="1">
      <c r="A48185" s="7"/>
      <c r="B48185" s="7"/>
      <c r="M48185" s="9" t="s">
        <v>39</v>
      </c>
    </row>
    <row r="48186" ht="15.75" customHeight="1">
      <c r="A48186" s="7"/>
      <c r="B48186" s="7"/>
      <c r="M48186" s="9" t="s">
        <v>22</v>
      </c>
    </row>
    <row r="48187" ht="15.75" customHeight="1">
      <c r="A48187" s="7"/>
      <c r="B48187" s="7"/>
      <c r="M48187" s="9" t="s">
        <v>30</v>
      </c>
    </row>
    <row r="48188" ht="15.75" customHeight="1">
      <c r="A48188" s="7"/>
      <c r="B48188" s="7"/>
      <c r="M48188" s="9" t="s">
        <v>36</v>
      </c>
    </row>
    <row r="48189" ht="15.75" customHeight="1">
      <c r="A48189" s="7"/>
      <c r="B48189" s="7"/>
      <c r="M48189" s="9" t="s">
        <v>20</v>
      </c>
    </row>
    <row r="48190" ht="15.75" customHeight="1">
      <c r="A48190" s="7"/>
      <c r="B48190" s="7"/>
      <c r="M48190" s="9" t="s">
        <v>21</v>
      </c>
    </row>
    <row r="48191" ht="15.75" customHeight="1">
      <c r="A48191" s="7"/>
      <c r="B48191" s="7"/>
      <c r="M48191" s="9" t="s">
        <v>39</v>
      </c>
    </row>
    <row r="48192" ht="15.75" customHeight="1">
      <c r="A48192" s="7"/>
      <c r="B48192" s="7"/>
      <c r="M48192" s="9" t="s">
        <v>22</v>
      </c>
    </row>
    <row r="48193" ht="15.75" customHeight="1">
      <c r="A48193" s="7"/>
      <c r="B48193" s="7"/>
      <c r="M48193" s="9" t="s">
        <v>26</v>
      </c>
    </row>
    <row r="48194" ht="15.75" customHeight="1">
      <c r="A48194" s="7"/>
      <c r="B48194" s="7"/>
      <c r="M48194" s="9" t="s">
        <v>24</v>
      </c>
    </row>
    <row r="48195" ht="15.75" customHeight="1">
      <c r="A48195" s="7"/>
      <c r="B48195" s="7"/>
      <c r="M48195" s="9" t="s">
        <v>21</v>
      </c>
    </row>
    <row r="48196" ht="15.75" customHeight="1">
      <c r="A48196" s="7"/>
      <c r="B48196" s="7"/>
      <c r="M48196" s="9" t="s">
        <v>27</v>
      </c>
    </row>
    <row r="48197" ht="15.75" customHeight="1">
      <c r="A48197" s="7"/>
      <c r="B48197" s="7"/>
      <c r="M48197" s="9" t="s">
        <v>25</v>
      </c>
    </row>
    <row r="48198" ht="15.75" customHeight="1">
      <c r="A48198" s="7"/>
      <c r="B48198" s="7"/>
      <c r="M48198" s="9" t="s">
        <v>23</v>
      </c>
    </row>
    <row r="48199" ht="15.75" customHeight="1">
      <c r="A48199" s="7"/>
      <c r="B48199" s="7"/>
      <c r="M48199" s="9" t="s">
        <v>36</v>
      </c>
    </row>
    <row r="48200" ht="15.75" customHeight="1">
      <c r="A48200" s="7"/>
      <c r="B48200" s="7"/>
      <c r="M48200" s="9" t="s">
        <v>24</v>
      </c>
    </row>
    <row r="48201" ht="15.75" customHeight="1">
      <c r="A48201" s="7"/>
      <c r="B48201" s="7"/>
      <c r="M48201" s="9" t="s">
        <v>20</v>
      </c>
    </row>
    <row r="48202" ht="15.75" customHeight="1">
      <c r="A48202" s="7"/>
      <c r="B48202" s="7"/>
      <c r="M48202" s="9" t="s">
        <v>21</v>
      </c>
    </row>
    <row r="48203" ht="15.75" customHeight="1">
      <c r="A48203" s="7"/>
      <c r="B48203" s="7"/>
      <c r="M48203" s="9" t="s">
        <v>41</v>
      </c>
    </row>
    <row r="48204" ht="15.75" customHeight="1">
      <c r="A48204" s="7"/>
      <c r="B48204" s="7"/>
      <c r="M48204" s="9" t="s">
        <v>37</v>
      </c>
    </row>
    <row r="48205" ht="15.75" customHeight="1">
      <c r="A48205" s="7"/>
      <c r="B48205" s="7"/>
      <c r="M48205" s="9" t="s">
        <v>22</v>
      </c>
    </row>
    <row r="48206" ht="15.75" customHeight="1">
      <c r="A48206" s="7"/>
      <c r="B48206" s="7"/>
      <c r="M48206" s="9" t="s">
        <v>31</v>
      </c>
    </row>
    <row r="48207" ht="15.75" customHeight="1">
      <c r="A48207" s="7"/>
      <c r="B48207" s="7"/>
      <c r="M48207" s="9" t="s">
        <v>27</v>
      </c>
    </row>
    <row r="48208" ht="15.75" customHeight="1">
      <c r="A48208" s="7"/>
      <c r="B48208" s="7"/>
      <c r="M48208" s="9" t="s">
        <v>40</v>
      </c>
    </row>
    <row r="48209" ht="15.75" customHeight="1">
      <c r="A48209" s="7"/>
      <c r="B48209" s="7"/>
      <c r="M48209" s="9" t="s">
        <v>26</v>
      </c>
    </row>
    <row r="48210" ht="15.75" customHeight="1">
      <c r="A48210" s="7"/>
      <c r="B48210" s="7"/>
      <c r="M48210" s="9" t="s">
        <v>24</v>
      </c>
    </row>
    <row r="48211" ht="15.75" customHeight="1">
      <c r="A48211" s="7"/>
      <c r="B48211" s="7"/>
      <c r="M48211" s="9" t="s">
        <v>20</v>
      </c>
    </row>
    <row r="48212" ht="15.75" customHeight="1">
      <c r="A48212" s="7"/>
      <c r="B48212" s="7"/>
      <c r="M48212" s="9" t="s">
        <v>21</v>
      </c>
    </row>
    <row r="48213" ht="15.75" customHeight="1">
      <c r="A48213" s="7"/>
      <c r="B48213" s="7"/>
      <c r="M48213" s="9" t="s">
        <v>37</v>
      </c>
    </row>
    <row r="48214" ht="15.75" customHeight="1">
      <c r="A48214" s="7"/>
      <c r="B48214" s="7"/>
      <c r="M48214" s="9" t="s">
        <v>22</v>
      </c>
    </row>
    <row r="48215" ht="15.75" customHeight="1">
      <c r="A48215" s="7"/>
      <c r="B48215" s="7"/>
      <c r="M48215" s="9" t="s">
        <v>27</v>
      </c>
    </row>
    <row r="48216" ht="15.75" customHeight="1">
      <c r="A48216" s="7"/>
      <c r="B48216" s="7"/>
      <c r="M48216" s="9" t="s">
        <v>30</v>
      </c>
    </row>
    <row r="48217" ht="15.75" customHeight="1">
      <c r="A48217" s="7"/>
      <c r="B48217" s="7"/>
      <c r="M48217" s="9" t="s">
        <v>24</v>
      </c>
    </row>
    <row r="48218" ht="15.75" customHeight="1">
      <c r="A48218" s="7"/>
      <c r="B48218" s="7"/>
      <c r="M48218" s="9" t="s">
        <v>20</v>
      </c>
    </row>
    <row r="48219" ht="15.75" customHeight="1">
      <c r="A48219" s="7"/>
      <c r="B48219" s="7"/>
      <c r="M48219" s="9" t="s">
        <v>21</v>
      </c>
    </row>
    <row r="48220" ht="15.75" customHeight="1">
      <c r="A48220" s="7"/>
      <c r="B48220" s="7"/>
      <c r="M48220" s="9" t="s">
        <v>27</v>
      </c>
    </row>
    <row r="48221" ht="15.75" customHeight="1">
      <c r="A48221" s="7"/>
      <c r="B48221" s="7"/>
      <c r="M48221" s="9" t="s">
        <v>24</v>
      </c>
    </row>
    <row r="48222" ht="15.75" customHeight="1">
      <c r="A48222" s="7"/>
      <c r="B48222" s="7"/>
      <c r="M48222" s="9" t="s">
        <v>21</v>
      </c>
    </row>
    <row r="48223" ht="15.75" customHeight="1">
      <c r="A48223" s="7"/>
      <c r="B48223" s="7"/>
      <c r="M48223" s="9" t="s">
        <v>27</v>
      </c>
    </row>
    <row r="48224" ht="15.75" customHeight="1">
      <c r="A48224" s="7"/>
      <c r="B48224" s="7"/>
      <c r="M48224" s="9" t="s">
        <v>30</v>
      </c>
    </row>
    <row r="48225" ht="15.75" customHeight="1">
      <c r="A48225" s="7"/>
      <c r="B48225" s="7"/>
      <c r="M48225" s="9" t="s">
        <v>26</v>
      </c>
    </row>
    <row r="48226" ht="15.75" customHeight="1">
      <c r="A48226" s="7"/>
      <c r="B48226" s="7"/>
      <c r="M48226" s="9" t="s">
        <v>24</v>
      </c>
    </row>
    <row r="48227" ht="15.75" customHeight="1">
      <c r="A48227" s="7"/>
      <c r="B48227" s="7"/>
      <c r="M48227" s="9" t="s">
        <v>21</v>
      </c>
    </row>
    <row r="48228" ht="15.75" customHeight="1">
      <c r="A48228" s="7"/>
      <c r="B48228" s="7"/>
      <c r="M48228" s="9" t="s">
        <v>33</v>
      </c>
    </row>
    <row r="48229" ht="15.75" customHeight="1">
      <c r="A48229" s="7"/>
      <c r="B48229" s="7"/>
      <c r="M48229" s="9" t="s">
        <v>24</v>
      </c>
    </row>
    <row r="48230" ht="15.75" customHeight="1">
      <c r="A48230" s="7"/>
      <c r="B48230" s="7"/>
      <c r="M48230" s="9" t="s">
        <v>21</v>
      </c>
    </row>
    <row r="48231" ht="15.75" customHeight="1">
      <c r="A48231" s="7"/>
      <c r="B48231" s="7"/>
      <c r="M48231" s="9" t="s">
        <v>37</v>
      </c>
    </row>
    <row r="48232" ht="15.75" customHeight="1">
      <c r="A48232" s="7"/>
      <c r="B48232" s="7"/>
      <c r="M48232" s="9" t="s">
        <v>27</v>
      </c>
    </row>
    <row r="48233" ht="15.75" customHeight="1">
      <c r="A48233" s="7"/>
      <c r="B48233" s="7"/>
      <c r="M48233" s="9" t="s">
        <v>26</v>
      </c>
    </row>
    <row r="48234" ht="15.75" customHeight="1">
      <c r="A48234" s="7"/>
      <c r="B48234" s="7"/>
      <c r="M48234" s="9" t="s">
        <v>20</v>
      </c>
    </row>
    <row r="48235" ht="15.75" customHeight="1">
      <c r="A48235" s="7"/>
      <c r="B48235" s="7"/>
      <c r="M48235" s="9" t="s">
        <v>21</v>
      </c>
    </row>
    <row r="48236" ht="15.75" customHeight="1">
      <c r="A48236" s="7"/>
      <c r="B48236" s="7"/>
      <c r="M48236" s="9" t="s">
        <v>27</v>
      </c>
    </row>
    <row r="48237" ht="15.75" customHeight="1">
      <c r="A48237" s="7"/>
      <c r="B48237" s="7"/>
      <c r="M48237" s="9" t="s">
        <v>33</v>
      </c>
    </row>
    <row r="48238" ht="15.75" customHeight="1">
      <c r="A48238" s="7"/>
      <c r="B48238" s="7"/>
      <c r="M48238" s="9" t="s">
        <v>24</v>
      </c>
    </row>
    <row r="48239" ht="15.75" customHeight="1">
      <c r="A48239" s="7"/>
      <c r="B48239" s="7"/>
      <c r="M48239" s="9" t="s">
        <v>21</v>
      </c>
    </row>
    <row r="48240" ht="15.75" customHeight="1">
      <c r="A48240" s="7"/>
      <c r="B48240" s="7"/>
      <c r="M48240" s="9" t="s">
        <v>22</v>
      </c>
    </row>
    <row r="48241" ht="15.75" customHeight="1">
      <c r="A48241" s="7"/>
      <c r="B48241" s="7"/>
      <c r="M48241" s="9" t="s">
        <v>30</v>
      </c>
    </row>
    <row r="48242" ht="15.75" customHeight="1">
      <c r="A48242" s="7"/>
      <c r="B48242" s="7"/>
      <c r="M48242" s="9" t="s">
        <v>25</v>
      </c>
    </row>
    <row r="48243" ht="15.75" customHeight="1">
      <c r="A48243" s="7"/>
      <c r="B48243" s="7"/>
      <c r="M48243" s="9" t="s">
        <v>23</v>
      </c>
    </row>
    <row r="48244" ht="15.75" customHeight="1">
      <c r="A48244" s="7"/>
      <c r="B48244" s="7"/>
      <c r="M48244" s="9" t="s">
        <v>24</v>
      </c>
    </row>
    <row r="48245" ht="15.75" customHeight="1">
      <c r="A48245" s="7"/>
      <c r="B48245" s="7"/>
      <c r="M48245" s="9" t="s">
        <v>20</v>
      </c>
    </row>
    <row r="48246" ht="15.75" customHeight="1">
      <c r="A48246" s="7"/>
      <c r="B48246" s="7"/>
      <c r="M48246" s="9" t="s">
        <v>21</v>
      </c>
    </row>
    <row r="48247" ht="15.75" customHeight="1">
      <c r="A48247" s="7"/>
      <c r="B48247" s="7"/>
      <c r="M48247" s="9" t="s">
        <v>37</v>
      </c>
    </row>
    <row r="48248" ht="15.75" customHeight="1">
      <c r="A48248" s="7"/>
      <c r="B48248" s="7"/>
      <c r="M48248" s="9" t="s">
        <v>22</v>
      </c>
    </row>
    <row r="48249" ht="15.75" customHeight="1">
      <c r="A48249" s="7"/>
      <c r="B48249" s="7"/>
      <c r="M48249" s="9" t="s">
        <v>27</v>
      </c>
    </row>
    <row r="48250" ht="15.75" customHeight="1">
      <c r="A48250" s="7"/>
      <c r="B48250" s="7"/>
      <c r="M48250" s="9" t="s">
        <v>36</v>
      </c>
    </row>
    <row r="48251" ht="15.75" customHeight="1">
      <c r="A48251" s="7"/>
      <c r="B48251" s="7"/>
      <c r="M48251" s="9" t="s">
        <v>20</v>
      </c>
    </row>
    <row r="48252" ht="15.75" customHeight="1">
      <c r="A48252" s="7"/>
      <c r="B48252" s="7"/>
      <c r="M48252" s="9" t="s">
        <v>21</v>
      </c>
    </row>
    <row r="48253" ht="15.75" customHeight="1">
      <c r="A48253" s="7"/>
      <c r="B48253" s="7"/>
      <c r="M48253" s="9" t="s">
        <v>39</v>
      </c>
    </row>
    <row r="48254" ht="15.75" customHeight="1">
      <c r="A48254" s="7"/>
      <c r="B48254" s="7"/>
      <c r="M48254" s="9" t="s">
        <v>27</v>
      </c>
    </row>
    <row r="48255" ht="15.75" customHeight="1">
      <c r="A48255" s="7"/>
      <c r="B48255" s="7"/>
      <c r="M48255" s="9" t="s">
        <v>26</v>
      </c>
    </row>
    <row r="48256" ht="15.75" customHeight="1">
      <c r="A48256" s="7"/>
      <c r="B48256" s="7"/>
      <c r="M48256" s="9" t="s">
        <v>24</v>
      </c>
    </row>
    <row r="48257" ht="15.75" customHeight="1">
      <c r="A48257" s="7"/>
      <c r="B48257" s="7"/>
      <c r="M48257" s="9" t="s">
        <v>21</v>
      </c>
    </row>
    <row r="48258" ht="15.75" customHeight="1">
      <c r="A48258" s="7"/>
      <c r="B48258" s="7"/>
      <c r="M48258" s="9" t="s">
        <v>33</v>
      </c>
    </row>
    <row r="48259" ht="15.75" customHeight="1">
      <c r="A48259" s="7"/>
      <c r="B48259" s="7"/>
      <c r="M48259" s="9" t="s">
        <v>26</v>
      </c>
    </row>
    <row r="48260" ht="15.75" customHeight="1">
      <c r="A48260" s="7"/>
      <c r="B48260" s="7"/>
      <c r="M48260" s="9" t="s">
        <v>24</v>
      </c>
    </row>
    <row r="48261" ht="15.75" customHeight="1">
      <c r="A48261" s="7"/>
      <c r="B48261" s="7"/>
      <c r="M48261" s="9" t="s">
        <v>21</v>
      </c>
    </row>
    <row r="48262" ht="15.75" customHeight="1">
      <c r="A48262" s="7"/>
      <c r="B48262" s="7"/>
      <c r="M48262" s="9" t="s">
        <v>27</v>
      </c>
    </row>
    <row r="48263" ht="15.75" customHeight="1">
      <c r="A48263" s="7"/>
      <c r="B48263" s="7"/>
      <c r="M48263" s="9" t="s">
        <v>38</v>
      </c>
    </row>
    <row r="48264" ht="15.75" customHeight="1">
      <c r="A48264" s="7"/>
      <c r="B48264" s="7"/>
      <c r="M48264" s="9" t="s">
        <v>30</v>
      </c>
    </row>
    <row r="48265" ht="15.75" customHeight="1">
      <c r="A48265" s="7"/>
      <c r="B48265" s="7"/>
      <c r="M48265" s="9" t="s">
        <v>25</v>
      </c>
    </row>
    <row r="48266" ht="15.75" customHeight="1">
      <c r="A48266" s="7"/>
      <c r="B48266" s="7"/>
      <c r="M48266" s="9" t="s">
        <v>26</v>
      </c>
    </row>
    <row r="48267" ht="15.75" customHeight="1">
      <c r="A48267" s="7"/>
      <c r="B48267" s="7"/>
      <c r="M48267" s="9" t="s">
        <v>24</v>
      </c>
    </row>
    <row r="48268" ht="15.75" customHeight="1">
      <c r="A48268" s="7"/>
      <c r="B48268" s="7"/>
      <c r="M48268" s="9" t="s">
        <v>20</v>
      </c>
    </row>
    <row r="48269" ht="15.75" customHeight="1">
      <c r="A48269" s="7"/>
      <c r="B48269" s="7"/>
      <c r="M48269" s="9" t="s">
        <v>21</v>
      </c>
    </row>
    <row r="48270" ht="15.75" customHeight="1">
      <c r="A48270" s="7"/>
      <c r="B48270" s="7"/>
      <c r="M48270" s="9" t="s">
        <v>37</v>
      </c>
    </row>
    <row r="48271" ht="15.75" customHeight="1">
      <c r="A48271" s="7"/>
      <c r="B48271" s="7"/>
      <c r="M48271" s="9" t="s">
        <v>27</v>
      </c>
    </row>
    <row r="48272" ht="15.75" customHeight="1">
      <c r="A48272" s="7"/>
      <c r="B48272" s="7"/>
      <c r="M48272" s="9" t="s">
        <v>33</v>
      </c>
    </row>
    <row r="48273" ht="15.75" customHeight="1">
      <c r="A48273" s="7"/>
      <c r="B48273" s="7"/>
      <c r="M48273" s="9" t="s">
        <v>30</v>
      </c>
    </row>
    <row r="48274" ht="15.75" customHeight="1">
      <c r="A48274" s="7"/>
      <c r="B48274" s="7"/>
      <c r="M48274" s="9" t="s">
        <v>26</v>
      </c>
    </row>
    <row r="48275" ht="15.75" customHeight="1">
      <c r="A48275" s="7"/>
      <c r="B48275" s="7"/>
      <c r="M48275" s="9" t="s">
        <v>24</v>
      </c>
    </row>
    <row r="48276" ht="15.75" customHeight="1">
      <c r="A48276" s="7"/>
      <c r="B48276" s="7"/>
      <c r="M48276" s="9" t="s">
        <v>20</v>
      </c>
    </row>
    <row r="48277" ht="15.75" customHeight="1">
      <c r="A48277" s="7"/>
      <c r="B48277" s="7"/>
      <c r="M48277" s="9" t="s">
        <v>21</v>
      </c>
    </row>
    <row r="48278" ht="15.75" customHeight="1">
      <c r="A48278" s="7"/>
      <c r="B48278" s="7"/>
      <c r="M48278" s="9" t="s">
        <v>29</v>
      </c>
    </row>
    <row r="48279" ht="15.75" customHeight="1">
      <c r="A48279" s="7"/>
      <c r="B48279" s="7"/>
      <c r="M48279" s="9" t="s">
        <v>46</v>
      </c>
    </row>
    <row r="48280" ht="15.75" customHeight="1">
      <c r="A48280" s="7"/>
      <c r="B48280" s="7"/>
      <c r="M48280" s="9" t="s">
        <v>27</v>
      </c>
    </row>
    <row r="48281" ht="15.75" customHeight="1">
      <c r="A48281" s="7"/>
      <c r="B48281" s="7"/>
      <c r="M48281" s="9" t="s">
        <v>24</v>
      </c>
    </row>
    <row r="48282" ht="15.75" customHeight="1">
      <c r="A48282" s="7"/>
      <c r="B48282" s="7"/>
      <c r="M48282" s="9" t="s">
        <v>21</v>
      </c>
    </row>
    <row r="48283" ht="15.75" customHeight="1">
      <c r="A48283" s="7"/>
      <c r="B48283" s="7"/>
      <c r="M48283" s="9" t="s">
        <v>33</v>
      </c>
    </row>
    <row r="48284" ht="15.75" customHeight="1">
      <c r="A48284" s="7"/>
      <c r="B48284" s="7"/>
      <c r="M48284" s="9" t="s">
        <v>23</v>
      </c>
    </row>
    <row r="48285" ht="15.75" customHeight="1">
      <c r="A48285" s="7"/>
      <c r="B48285" s="7"/>
      <c r="M48285" s="9" t="s">
        <v>32</v>
      </c>
    </row>
    <row r="48286" ht="15.75" customHeight="1">
      <c r="A48286" s="7"/>
      <c r="B48286" s="7"/>
      <c r="M48286" s="9" t="s">
        <v>30</v>
      </c>
    </row>
    <row r="48287" ht="15.75" customHeight="1">
      <c r="A48287" s="7"/>
      <c r="B48287" s="7"/>
      <c r="M48287" s="9" t="s">
        <v>44</v>
      </c>
    </row>
    <row r="48288" ht="15.75" customHeight="1">
      <c r="A48288" s="7"/>
      <c r="B48288" s="7"/>
      <c r="M48288" s="9" t="s">
        <v>24</v>
      </c>
    </row>
    <row r="48289" ht="15.75" customHeight="1">
      <c r="A48289" s="7"/>
      <c r="B48289" s="7"/>
      <c r="M48289" s="9" t="s">
        <v>21</v>
      </c>
    </row>
    <row r="48290" ht="15.75" customHeight="1">
      <c r="A48290" s="7"/>
      <c r="B48290" s="7"/>
      <c r="M48290" s="9" t="s">
        <v>37</v>
      </c>
    </row>
    <row r="48291" ht="15.75" customHeight="1">
      <c r="A48291" s="7"/>
      <c r="B48291" s="7"/>
      <c r="M48291" s="9" t="s">
        <v>31</v>
      </c>
    </row>
    <row r="48292" ht="15.75" customHeight="1">
      <c r="A48292" s="7"/>
      <c r="B48292" s="7"/>
      <c r="M48292" s="9" t="s">
        <v>30</v>
      </c>
    </row>
    <row r="48293" ht="15.75" customHeight="1">
      <c r="A48293" s="7"/>
      <c r="B48293" s="7"/>
      <c r="M48293" s="9" t="s">
        <v>20</v>
      </c>
    </row>
    <row r="48294" ht="15.75" customHeight="1">
      <c r="A48294" s="7"/>
      <c r="B48294" s="7"/>
      <c r="M48294" s="9" t="s">
        <v>30</v>
      </c>
    </row>
    <row r="48295" ht="15.75" customHeight="1">
      <c r="A48295" s="7"/>
      <c r="B48295" s="7"/>
      <c r="M48295" s="9" t="s">
        <v>24</v>
      </c>
    </row>
    <row r="48296" ht="15.75" customHeight="1">
      <c r="A48296" s="7"/>
      <c r="B48296" s="7"/>
      <c r="M48296" s="9" t="s">
        <v>22</v>
      </c>
    </row>
    <row r="48297" ht="15.75" customHeight="1">
      <c r="A48297" s="7"/>
      <c r="B48297" s="7"/>
      <c r="M48297" s="9" t="s">
        <v>27</v>
      </c>
    </row>
    <row r="48298" ht="15.75" customHeight="1">
      <c r="A48298" s="7"/>
      <c r="B48298" s="7"/>
      <c r="M48298" s="9" t="s">
        <v>38</v>
      </c>
    </row>
    <row r="48299" ht="15.75" customHeight="1">
      <c r="A48299" s="7"/>
      <c r="B48299" s="7"/>
      <c r="M48299" s="9" t="s">
        <v>30</v>
      </c>
    </row>
    <row r="48300" ht="15.75" customHeight="1">
      <c r="A48300" s="7"/>
      <c r="B48300" s="7"/>
      <c r="M48300" s="9" t="s">
        <v>25</v>
      </c>
    </row>
    <row r="48301" ht="15.75" customHeight="1">
      <c r="A48301" s="7"/>
      <c r="B48301" s="7"/>
      <c r="M48301" s="9" t="s">
        <v>23</v>
      </c>
    </row>
    <row r="48302" ht="15.75" customHeight="1">
      <c r="A48302" s="7"/>
      <c r="B48302" s="7"/>
      <c r="M48302" s="9" t="s">
        <v>26</v>
      </c>
    </row>
    <row r="48303" ht="15.75" customHeight="1">
      <c r="A48303" s="7"/>
      <c r="B48303" s="7"/>
      <c r="M48303" s="9" t="s">
        <v>44</v>
      </c>
    </row>
    <row r="48304" ht="15.75" customHeight="1">
      <c r="A48304" s="7"/>
      <c r="B48304" s="7"/>
      <c r="M48304" s="9" t="s">
        <v>20</v>
      </c>
    </row>
    <row r="48305" ht="15.75" customHeight="1">
      <c r="A48305" s="7"/>
      <c r="B48305" s="7"/>
      <c r="M48305" s="9" t="s">
        <v>27</v>
      </c>
    </row>
    <row r="48306" ht="15.75" customHeight="1">
      <c r="A48306" s="7"/>
      <c r="B48306" s="7"/>
      <c r="M48306" s="9" t="s">
        <v>30</v>
      </c>
    </row>
    <row r="48307" ht="15.75" customHeight="1">
      <c r="A48307" s="7"/>
      <c r="B48307" s="7"/>
      <c r="M48307" s="9" t="s">
        <v>36</v>
      </c>
    </row>
    <row r="48308" ht="15.75" customHeight="1">
      <c r="A48308" s="7"/>
      <c r="B48308" s="7"/>
      <c r="M48308" s="9" t="s">
        <v>24</v>
      </c>
    </row>
    <row r="48309" ht="15.75" customHeight="1">
      <c r="A48309" s="7"/>
      <c r="B48309" s="7"/>
      <c r="M48309" s="9" t="s">
        <v>21</v>
      </c>
    </row>
    <row r="48310" ht="15.75" customHeight="1">
      <c r="A48310" s="7"/>
      <c r="B48310" s="7"/>
      <c r="M48310" s="9" t="s">
        <v>22</v>
      </c>
    </row>
    <row r="48311" ht="15.75" customHeight="1">
      <c r="A48311" s="7"/>
      <c r="B48311" s="7"/>
      <c r="M48311" s="9" t="s">
        <v>27</v>
      </c>
    </row>
    <row r="48312" ht="15.75" customHeight="1">
      <c r="A48312" s="7"/>
      <c r="B48312" s="7"/>
      <c r="M48312" s="9" t="s">
        <v>25</v>
      </c>
    </row>
    <row r="48313" ht="15.75" customHeight="1">
      <c r="A48313" s="7"/>
      <c r="B48313" s="7"/>
      <c r="M48313" s="9" t="s">
        <v>35</v>
      </c>
    </row>
    <row r="48314" ht="15.75" customHeight="1">
      <c r="A48314" s="7"/>
      <c r="B48314" s="7"/>
      <c r="M48314" s="9" t="s">
        <v>25</v>
      </c>
    </row>
    <row r="48315" ht="15.75" customHeight="1">
      <c r="A48315" s="7"/>
      <c r="B48315" s="7"/>
      <c r="M48315" s="9" t="s">
        <v>24</v>
      </c>
    </row>
    <row r="48316" ht="15.75" customHeight="1">
      <c r="A48316" s="7"/>
      <c r="B48316" s="7"/>
      <c r="M48316" s="9" t="s">
        <v>20</v>
      </c>
    </row>
    <row r="48317" ht="15.75" customHeight="1">
      <c r="A48317" s="7"/>
      <c r="B48317" s="7"/>
      <c r="M48317" s="9" t="s">
        <v>21</v>
      </c>
    </row>
    <row r="48318" ht="15.75" customHeight="1">
      <c r="A48318" s="7"/>
      <c r="B48318" s="7"/>
      <c r="M48318" s="9" t="s">
        <v>37</v>
      </c>
    </row>
    <row r="48319" ht="15.75" customHeight="1">
      <c r="A48319" s="7"/>
      <c r="B48319" s="7"/>
      <c r="M48319" s="9" t="s">
        <v>27</v>
      </c>
    </row>
    <row r="48320" ht="15.75" customHeight="1">
      <c r="A48320" s="7"/>
      <c r="B48320" s="7"/>
      <c r="M48320" s="9" t="s">
        <v>30</v>
      </c>
    </row>
    <row r="48321" ht="15.75" customHeight="1">
      <c r="A48321" s="7"/>
      <c r="B48321" s="7"/>
      <c r="M48321" s="9" t="s">
        <v>26</v>
      </c>
    </row>
    <row r="48322" ht="15.75" customHeight="1">
      <c r="A48322" s="7"/>
      <c r="B48322" s="7"/>
      <c r="M48322" s="9" t="s">
        <v>24</v>
      </c>
    </row>
    <row r="48323" ht="15.75" customHeight="1">
      <c r="A48323" s="7"/>
      <c r="B48323" s="7"/>
      <c r="M48323" s="9" t="s">
        <v>21</v>
      </c>
    </row>
    <row r="48324" ht="15.75" customHeight="1">
      <c r="A48324" s="7"/>
      <c r="B48324" s="7"/>
      <c r="M48324" s="9" t="s">
        <v>37</v>
      </c>
    </row>
    <row r="48325" ht="15.75" customHeight="1">
      <c r="A48325" s="7"/>
      <c r="B48325" s="7"/>
      <c r="M48325" s="9" t="s">
        <v>22</v>
      </c>
    </row>
    <row r="48326" ht="15.75" customHeight="1">
      <c r="A48326" s="7"/>
      <c r="B48326" s="7"/>
      <c r="M48326" s="9" t="s">
        <v>31</v>
      </c>
    </row>
    <row r="48327" ht="15.75" customHeight="1">
      <c r="A48327" s="7"/>
      <c r="B48327" s="7"/>
      <c r="M48327" s="9" t="s">
        <v>27</v>
      </c>
    </row>
    <row r="48328" ht="15.75" customHeight="1">
      <c r="A48328" s="7"/>
      <c r="B48328" s="7"/>
      <c r="M48328" s="9" t="s">
        <v>33</v>
      </c>
    </row>
    <row r="48329" ht="15.75" customHeight="1">
      <c r="A48329" s="7"/>
      <c r="B48329" s="7"/>
      <c r="M48329" s="9" t="s">
        <v>21</v>
      </c>
    </row>
    <row r="48330" ht="15.75" customHeight="1">
      <c r="A48330" s="7"/>
      <c r="B48330" s="7"/>
      <c r="M48330" s="9" t="s">
        <v>30</v>
      </c>
    </row>
    <row r="48331" ht="15.75" customHeight="1">
      <c r="A48331" s="7"/>
      <c r="B48331" s="7"/>
      <c r="M48331" s="9" t="s">
        <v>25</v>
      </c>
    </row>
    <row r="48332" ht="15.75" customHeight="1">
      <c r="A48332" s="7"/>
      <c r="B48332" s="7"/>
      <c r="M48332" s="9" t="s">
        <v>23</v>
      </c>
    </row>
    <row r="48333" ht="15.75" customHeight="1">
      <c r="A48333" s="7"/>
      <c r="B48333" s="7"/>
      <c r="M48333" s="9" t="s">
        <v>24</v>
      </c>
    </row>
    <row r="48334" ht="15.75" customHeight="1">
      <c r="A48334" s="7"/>
      <c r="B48334" s="7"/>
      <c r="M48334" s="9" t="s">
        <v>20</v>
      </c>
    </row>
    <row r="48335" ht="15.75" customHeight="1">
      <c r="A48335" s="7"/>
      <c r="B48335" s="7"/>
      <c r="M48335" s="9" t="s">
        <v>21</v>
      </c>
    </row>
    <row r="48336" ht="15.75" customHeight="1">
      <c r="A48336" s="7"/>
      <c r="B48336" s="7"/>
      <c r="M48336" s="9" t="s">
        <v>37</v>
      </c>
    </row>
    <row r="48337" ht="15.75" customHeight="1">
      <c r="A48337" s="7"/>
      <c r="B48337" s="7"/>
      <c r="M48337" s="9" t="s">
        <v>22</v>
      </c>
    </row>
    <row r="48338" ht="15.75" customHeight="1">
      <c r="A48338" s="7"/>
      <c r="B48338" s="7"/>
      <c r="M48338" s="9" t="s">
        <v>40</v>
      </c>
    </row>
    <row r="48339" ht="15.75" customHeight="1">
      <c r="A48339" s="7"/>
      <c r="B48339" s="7"/>
      <c r="M48339" s="9" t="s">
        <v>25</v>
      </c>
    </row>
    <row r="48340" ht="15.75" customHeight="1">
      <c r="A48340" s="7"/>
      <c r="B48340" s="7"/>
      <c r="M48340" s="9" t="s">
        <v>23</v>
      </c>
    </row>
    <row r="48341" ht="15.75" customHeight="1">
      <c r="A48341" s="7"/>
      <c r="B48341" s="7"/>
      <c r="M48341" s="9" t="s">
        <v>24</v>
      </c>
    </row>
    <row r="48342" ht="15.75" customHeight="1">
      <c r="A48342" s="7"/>
      <c r="B48342" s="7"/>
      <c r="M48342" s="9" t="s">
        <v>21</v>
      </c>
    </row>
    <row r="48343" ht="15.75" customHeight="1">
      <c r="A48343" s="7"/>
      <c r="B48343" s="7"/>
      <c r="M48343" s="9" t="s">
        <v>41</v>
      </c>
    </row>
    <row r="48344" ht="15.75" customHeight="1">
      <c r="A48344" s="7"/>
      <c r="B48344" s="7"/>
      <c r="M48344" s="9" t="s">
        <v>37</v>
      </c>
    </row>
    <row r="48345" ht="15.75" customHeight="1">
      <c r="A48345" s="7"/>
      <c r="B48345" s="7"/>
      <c r="M48345" s="9" t="s">
        <v>27</v>
      </c>
    </row>
    <row r="48346" ht="15.75" customHeight="1">
      <c r="A48346" s="7"/>
      <c r="B48346" s="7"/>
      <c r="M48346" s="9" t="s">
        <v>24</v>
      </c>
    </row>
    <row r="48347" ht="15.75" customHeight="1">
      <c r="A48347" s="7"/>
      <c r="B48347" s="7"/>
      <c r="M48347" s="9" t="s">
        <v>20</v>
      </c>
    </row>
    <row r="48348" ht="15.75" customHeight="1">
      <c r="A48348" s="7"/>
      <c r="B48348" s="7"/>
      <c r="M48348" s="9" t="s">
        <v>21</v>
      </c>
    </row>
    <row r="48349" ht="15.75" customHeight="1">
      <c r="A48349" s="7"/>
      <c r="B48349" s="7"/>
      <c r="M48349" s="9" t="s">
        <v>27</v>
      </c>
    </row>
    <row r="48350" ht="15.75" customHeight="1">
      <c r="A48350" s="7"/>
      <c r="B48350" s="7"/>
      <c r="M48350" s="9" t="s">
        <v>26</v>
      </c>
    </row>
    <row r="48351" ht="15.75" customHeight="1">
      <c r="A48351" s="7"/>
      <c r="B48351" s="7"/>
      <c r="M48351" s="9" t="s">
        <v>20</v>
      </c>
    </row>
    <row r="48352" ht="15.75" customHeight="1">
      <c r="A48352" s="7"/>
      <c r="B48352" s="7"/>
      <c r="M48352" s="9" t="s">
        <v>38</v>
      </c>
    </row>
    <row r="48353" ht="15.75" customHeight="1">
      <c r="A48353" s="7"/>
      <c r="B48353" s="7"/>
      <c r="M48353" s="9" t="s">
        <v>30</v>
      </c>
    </row>
    <row r="48354" ht="15.75" customHeight="1">
      <c r="A48354" s="7"/>
      <c r="B48354" s="7"/>
      <c r="M48354" s="9" t="s">
        <v>25</v>
      </c>
    </row>
    <row r="48355" ht="15.75" customHeight="1">
      <c r="A48355" s="7"/>
      <c r="B48355" s="7"/>
      <c r="M48355" s="9" t="s">
        <v>24</v>
      </c>
    </row>
    <row r="48356" ht="15.75" customHeight="1">
      <c r="A48356" s="7"/>
      <c r="B48356" s="7"/>
      <c r="M48356" s="9" t="s">
        <v>20</v>
      </c>
    </row>
    <row r="48357" ht="15.75" customHeight="1">
      <c r="A48357" s="7"/>
      <c r="B48357" s="7"/>
      <c r="M48357" s="9" t="s">
        <v>21</v>
      </c>
    </row>
    <row r="48358" ht="15.75" customHeight="1">
      <c r="A48358" s="7"/>
      <c r="B48358" s="7"/>
      <c r="M48358" s="9" t="s">
        <v>39</v>
      </c>
    </row>
    <row r="48359" ht="15.75" customHeight="1">
      <c r="A48359" s="7"/>
      <c r="B48359" s="7"/>
      <c r="M48359" s="9" t="s">
        <v>22</v>
      </c>
    </row>
    <row r="48360" ht="15.75" customHeight="1">
      <c r="A48360" s="7"/>
      <c r="B48360" s="7"/>
      <c r="M48360" s="9" t="s">
        <v>31</v>
      </c>
    </row>
    <row r="48361" ht="15.75" customHeight="1">
      <c r="A48361" s="7"/>
      <c r="B48361" s="7"/>
      <c r="M48361" s="9" t="s">
        <v>32</v>
      </c>
    </row>
    <row r="48362" ht="15.75" customHeight="1">
      <c r="A48362" s="7"/>
      <c r="B48362" s="7"/>
      <c r="M48362" s="9" t="s">
        <v>46</v>
      </c>
    </row>
    <row r="48363" ht="15.75" customHeight="1">
      <c r="A48363" s="7"/>
      <c r="B48363" s="7"/>
      <c r="M48363" s="9" t="s">
        <v>27</v>
      </c>
    </row>
    <row r="48364" ht="15.75" customHeight="1">
      <c r="A48364" s="7"/>
      <c r="B48364" s="7"/>
      <c r="M48364" s="9" t="s">
        <v>35</v>
      </c>
    </row>
    <row r="48365" ht="15.75" customHeight="1">
      <c r="A48365" s="7"/>
      <c r="B48365" s="7"/>
      <c r="M48365" s="9" t="s">
        <v>24</v>
      </c>
    </row>
    <row r="48366" ht="15.75" customHeight="1">
      <c r="A48366" s="7"/>
      <c r="B48366" s="7"/>
      <c r="M48366" s="9" t="s">
        <v>20</v>
      </c>
    </row>
    <row r="48367" ht="15.75" customHeight="1">
      <c r="A48367" s="7"/>
      <c r="B48367" s="7"/>
      <c r="M48367" s="9" t="s">
        <v>21</v>
      </c>
    </row>
    <row r="48368" ht="15.75" customHeight="1">
      <c r="A48368" s="7"/>
      <c r="B48368" s="7"/>
      <c r="M48368" s="9" t="s">
        <v>37</v>
      </c>
    </row>
    <row r="48369" ht="15.75" customHeight="1">
      <c r="A48369" s="7"/>
      <c r="B48369" s="7"/>
      <c r="M48369" s="9" t="s">
        <v>27</v>
      </c>
    </row>
    <row r="48370" ht="15.75" customHeight="1">
      <c r="A48370" s="7"/>
      <c r="B48370" s="7"/>
      <c r="M48370" s="9" t="s">
        <v>30</v>
      </c>
    </row>
    <row r="48371" ht="15.75" customHeight="1">
      <c r="A48371" s="7"/>
      <c r="B48371" s="7"/>
      <c r="M48371" s="9" t="s">
        <v>25</v>
      </c>
    </row>
    <row r="48372" ht="15.75" customHeight="1">
      <c r="A48372" s="7"/>
      <c r="B48372" s="7"/>
      <c r="M48372" s="9" t="s">
        <v>43</v>
      </c>
    </row>
    <row r="48373" ht="15.75" customHeight="1">
      <c r="A48373" s="7"/>
      <c r="B48373" s="7"/>
      <c r="M48373" s="9" t="s">
        <v>24</v>
      </c>
    </row>
    <row r="48374" ht="15.75" customHeight="1">
      <c r="A48374" s="7"/>
      <c r="B48374" s="7"/>
      <c r="M48374" s="9" t="s">
        <v>20</v>
      </c>
    </row>
    <row r="48375" ht="15.75" customHeight="1">
      <c r="A48375" s="7"/>
      <c r="B48375" s="7"/>
      <c r="M48375" s="9" t="s">
        <v>21</v>
      </c>
    </row>
    <row r="48376" ht="15.75" customHeight="1">
      <c r="A48376" s="7"/>
      <c r="B48376" s="7"/>
      <c r="M48376" s="9" t="s">
        <v>39</v>
      </c>
    </row>
    <row r="48377" ht="15.75" customHeight="1">
      <c r="A48377" s="7"/>
      <c r="B48377" s="7"/>
      <c r="M48377" s="9" t="s">
        <v>22</v>
      </c>
    </row>
    <row r="48378" ht="15.75" customHeight="1">
      <c r="A48378" s="7"/>
      <c r="B48378" s="7"/>
      <c r="M48378" s="9" t="s">
        <v>29</v>
      </c>
    </row>
    <row r="48379" ht="15.75" customHeight="1">
      <c r="A48379" s="7"/>
      <c r="B48379" s="7"/>
      <c r="M48379" s="9" t="s">
        <v>27</v>
      </c>
    </row>
    <row r="48380" ht="15.75" customHeight="1">
      <c r="A48380" s="7"/>
      <c r="B48380" s="7"/>
      <c r="M48380" s="9" t="s">
        <v>20</v>
      </c>
    </row>
    <row r="48381" ht="15.75" customHeight="1">
      <c r="A48381" s="7"/>
      <c r="B48381" s="7"/>
      <c r="M48381" s="9" t="s">
        <v>40</v>
      </c>
    </row>
    <row r="48382" ht="15.75" customHeight="1">
      <c r="A48382" s="7"/>
      <c r="B48382" s="7"/>
      <c r="M48382" s="9" t="s">
        <v>38</v>
      </c>
    </row>
    <row r="48383" ht="15.75" customHeight="1">
      <c r="A48383" s="7"/>
      <c r="B48383" s="7"/>
      <c r="M48383" s="9" t="s">
        <v>30</v>
      </c>
    </row>
    <row r="48384" ht="15.75" customHeight="1">
      <c r="A48384" s="7"/>
      <c r="B48384" s="7"/>
      <c r="M48384" s="9" t="s">
        <v>25</v>
      </c>
    </row>
    <row r="48385" ht="15.75" customHeight="1">
      <c r="A48385" s="7"/>
      <c r="B48385" s="7"/>
      <c r="M48385" s="9" t="s">
        <v>23</v>
      </c>
    </row>
    <row r="48386" ht="15.75" customHeight="1">
      <c r="A48386" s="7"/>
      <c r="B48386" s="7"/>
      <c r="M48386" s="9" t="s">
        <v>24</v>
      </c>
    </row>
    <row r="48387" ht="15.75" customHeight="1">
      <c r="A48387" s="7"/>
      <c r="B48387" s="7"/>
      <c r="M48387" s="9" t="s">
        <v>20</v>
      </c>
    </row>
    <row r="48388" ht="15.75" customHeight="1">
      <c r="A48388" s="7"/>
      <c r="B48388" s="7"/>
      <c r="M48388" s="9" t="s">
        <v>21</v>
      </c>
    </row>
    <row r="48389" ht="15.75" customHeight="1">
      <c r="A48389" s="7"/>
      <c r="B48389" s="7"/>
      <c r="M48389" s="9" t="s">
        <v>35</v>
      </c>
    </row>
    <row r="48390" ht="15.75" customHeight="1">
      <c r="A48390" s="7"/>
      <c r="B48390" s="7"/>
      <c r="M48390" s="9" t="s">
        <v>30</v>
      </c>
    </row>
    <row r="48391" ht="15.75" customHeight="1">
      <c r="A48391" s="7"/>
      <c r="B48391" s="7"/>
      <c r="M48391" s="9" t="s">
        <v>23</v>
      </c>
    </row>
    <row r="48392" ht="15.75" customHeight="1">
      <c r="A48392" s="7"/>
      <c r="B48392" s="7"/>
      <c r="M48392" s="9" t="s">
        <v>26</v>
      </c>
    </row>
    <row r="48393" ht="15.75" customHeight="1">
      <c r="A48393" s="7"/>
      <c r="B48393" s="7"/>
      <c r="M48393" s="9" t="s">
        <v>24</v>
      </c>
    </row>
    <row r="48394" ht="15.75" customHeight="1">
      <c r="A48394" s="7"/>
      <c r="B48394" s="7"/>
      <c r="M48394" s="9" t="s">
        <v>20</v>
      </c>
    </row>
    <row r="48395" ht="15.75" customHeight="1">
      <c r="A48395" s="7"/>
      <c r="B48395" s="7"/>
      <c r="M48395" s="9" t="s">
        <v>21</v>
      </c>
    </row>
    <row r="48396" ht="15.75" customHeight="1">
      <c r="A48396" s="7"/>
      <c r="B48396" s="7"/>
      <c r="M48396" s="9" t="s">
        <v>37</v>
      </c>
    </row>
    <row r="48397" ht="15.75" customHeight="1">
      <c r="A48397" s="7"/>
      <c r="B48397" s="7"/>
      <c r="M48397" s="9" t="s">
        <v>22</v>
      </c>
    </row>
    <row r="48398" ht="15.75" customHeight="1">
      <c r="A48398" s="7"/>
      <c r="B48398" s="7"/>
      <c r="M48398" s="9" t="s">
        <v>27</v>
      </c>
    </row>
    <row r="48399" ht="15.75" customHeight="1">
      <c r="A48399" s="7"/>
      <c r="B48399" s="7"/>
      <c r="M48399" s="9" t="s">
        <v>25</v>
      </c>
    </row>
    <row r="48400" ht="15.75" customHeight="1">
      <c r="A48400" s="7"/>
      <c r="B48400" s="7"/>
      <c r="M48400" s="9" t="s">
        <v>23</v>
      </c>
    </row>
    <row r="48401" ht="15.75" customHeight="1">
      <c r="A48401" s="7"/>
      <c r="B48401" s="7"/>
      <c r="M48401" s="9" t="s">
        <v>26</v>
      </c>
    </row>
    <row r="48402" ht="15.75" customHeight="1">
      <c r="A48402" s="7"/>
      <c r="B48402" s="7"/>
      <c r="M48402" s="9" t="s">
        <v>24</v>
      </c>
    </row>
    <row r="48403" ht="15.75" customHeight="1">
      <c r="A48403" s="7"/>
      <c r="B48403" s="7"/>
      <c r="M48403" s="9" t="s">
        <v>20</v>
      </c>
    </row>
    <row r="48404" ht="15.75" customHeight="1">
      <c r="A48404" s="7"/>
      <c r="B48404" s="7"/>
      <c r="M48404" s="9" t="s">
        <v>21</v>
      </c>
    </row>
    <row r="48405" ht="15.75" customHeight="1">
      <c r="A48405" s="7"/>
      <c r="B48405" s="7"/>
      <c r="M48405" s="9" t="s">
        <v>41</v>
      </c>
    </row>
    <row r="48406" ht="15.75" customHeight="1">
      <c r="A48406" s="7"/>
      <c r="B48406" s="7"/>
      <c r="M48406" s="9" t="s">
        <v>27</v>
      </c>
    </row>
    <row r="48407" ht="15.75" customHeight="1">
      <c r="A48407" s="7"/>
      <c r="B48407" s="7"/>
      <c r="M48407" s="9" t="s">
        <v>40</v>
      </c>
    </row>
    <row r="48408" ht="15.75" customHeight="1">
      <c r="A48408" s="7"/>
      <c r="B48408" s="7"/>
      <c r="M48408" s="9" t="s">
        <v>22</v>
      </c>
    </row>
    <row r="48409" ht="15.75" customHeight="1">
      <c r="A48409" s="7"/>
      <c r="B48409" s="7"/>
      <c r="M48409" s="9" t="s">
        <v>30</v>
      </c>
    </row>
    <row r="48410" ht="15.75" customHeight="1">
      <c r="A48410" s="7"/>
      <c r="B48410" s="7"/>
      <c r="M48410" s="9" t="s">
        <v>23</v>
      </c>
    </row>
    <row r="48411" ht="15.75" customHeight="1">
      <c r="A48411" s="7"/>
      <c r="B48411" s="7"/>
      <c r="M48411" s="9" t="s">
        <v>24</v>
      </c>
    </row>
    <row r="48412" ht="15.75" customHeight="1">
      <c r="A48412" s="7"/>
      <c r="B48412" s="7"/>
      <c r="M48412" s="9" t="s">
        <v>20</v>
      </c>
    </row>
    <row r="48413" ht="15.75" customHeight="1">
      <c r="A48413" s="7"/>
      <c r="B48413" s="7"/>
      <c r="M48413" s="9" t="s">
        <v>21</v>
      </c>
    </row>
    <row r="48414" ht="15.75" customHeight="1">
      <c r="A48414" s="7"/>
      <c r="B48414" s="7"/>
      <c r="M48414" s="9" t="s">
        <v>22</v>
      </c>
    </row>
    <row r="48415" ht="15.75" customHeight="1">
      <c r="A48415" s="7"/>
      <c r="B48415" s="7"/>
      <c r="M48415" s="9" t="s">
        <v>27</v>
      </c>
    </row>
    <row r="48416" ht="15.75" customHeight="1">
      <c r="A48416" s="7"/>
      <c r="B48416" s="7"/>
      <c r="M48416" s="9" t="s">
        <v>35</v>
      </c>
    </row>
    <row r="48417" ht="15.75" customHeight="1">
      <c r="A48417" s="7"/>
      <c r="B48417" s="7"/>
      <c r="M48417" s="9" t="s">
        <v>38</v>
      </c>
    </row>
    <row r="48418" ht="15.75" customHeight="1">
      <c r="A48418" s="7"/>
      <c r="B48418" s="7"/>
      <c r="M48418" s="9" t="s">
        <v>30</v>
      </c>
    </row>
    <row r="48419" ht="15.75" customHeight="1">
      <c r="A48419" s="7"/>
      <c r="B48419" s="7"/>
      <c r="M48419" s="9" t="s">
        <v>23</v>
      </c>
    </row>
    <row r="48420" ht="15.75" customHeight="1">
      <c r="A48420" s="7"/>
      <c r="B48420" s="7"/>
      <c r="M48420" s="9" t="s">
        <v>24</v>
      </c>
    </row>
    <row r="48421" ht="15.75" customHeight="1">
      <c r="A48421" s="7"/>
      <c r="B48421" s="7"/>
      <c r="M48421" s="9" t="s">
        <v>20</v>
      </c>
    </row>
    <row r="48422" ht="15.75" customHeight="1">
      <c r="A48422" s="7"/>
      <c r="B48422" s="7"/>
      <c r="M48422" s="9" t="s">
        <v>37</v>
      </c>
    </row>
    <row r="48423" ht="15.75" customHeight="1">
      <c r="A48423" s="7"/>
      <c r="B48423" s="7"/>
      <c r="M48423" s="9" t="s">
        <v>27</v>
      </c>
    </row>
    <row r="48424" ht="15.75" customHeight="1">
      <c r="A48424" s="7"/>
      <c r="B48424" s="7"/>
      <c r="M48424" s="9" t="s">
        <v>33</v>
      </c>
    </row>
    <row r="48425" ht="15.75" customHeight="1">
      <c r="A48425" s="7"/>
      <c r="B48425" s="7"/>
      <c r="M48425" s="9" t="s">
        <v>24</v>
      </c>
    </row>
    <row r="48426" ht="15.75" customHeight="1">
      <c r="A48426" s="7"/>
      <c r="B48426" s="7"/>
      <c r="M48426" s="9" t="s">
        <v>21</v>
      </c>
    </row>
    <row r="48427" ht="15.75" customHeight="1">
      <c r="A48427" s="7"/>
      <c r="B48427" s="7"/>
      <c r="M48427" s="9" t="s">
        <v>37</v>
      </c>
    </row>
    <row r="48428" ht="15.75" customHeight="1">
      <c r="A48428" s="7"/>
      <c r="B48428" s="7"/>
      <c r="M48428" s="9" t="s">
        <v>27</v>
      </c>
    </row>
    <row r="48429" ht="15.75" customHeight="1">
      <c r="A48429" s="7"/>
      <c r="B48429" s="7"/>
      <c r="M48429" s="9" t="s">
        <v>38</v>
      </c>
    </row>
    <row r="48430" ht="15.75" customHeight="1">
      <c r="A48430" s="7"/>
      <c r="B48430" s="7"/>
      <c r="M48430" s="9" t="s">
        <v>25</v>
      </c>
    </row>
    <row r="48431" ht="15.75" customHeight="1">
      <c r="A48431" s="7"/>
      <c r="B48431" s="7"/>
      <c r="M48431" s="9" t="s">
        <v>23</v>
      </c>
    </row>
    <row r="48432" ht="15.75" customHeight="1">
      <c r="A48432" s="7"/>
      <c r="B48432" s="7"/>
      <c r="M48432" s="9" t="s">
        <v>20</v>
      </c>
    </row>
    <row r="48433" ht="15.75" customHeight="1">
      <c r="A48433" s="7"/>
      <c r="B48433" s="7"/>
      <c r="M48433" s="9" t="s">
        <v>30</v>
      </c>
    </row>
    <row r="48434" ht="15.75" customHeight="1">
      <c r="A48434" s="7"/>
      <c r="B48434" s="7"/>
      <c r="M48434" s="9" t="s">
        <v>26</v>
      </c>
    </row>
    <row r="48435" ht="15.75" customHeight="1">
      <c r="A48435" s="7"/>
      <c r="B48435" s="7"/>
      <c r="M48435" s="9" t="s">
        <v>24</v>
      </c>
    </row>
    <row r="48436" ht="15.75" customHeight="1">
      <c r="A48436" s="7"/>
      <c r="B48436" s="7"/>
      <c r="M48436" s="9" t="s">
        <v>20</v>
      </c>
    </row>
    <row r="48437" ht="15.75" customHeight="1">
      <c r="A48437" s="7"/>
      <c r="B48437" s="7"/>
      <c r="M48437" s="9" t="s">
        <v>21</v>
      </c>
    </row>
    <row r="48438" ht="15.75" customHeight="1">
      <c r="A48438" s="7"/>
      <c r="B48438" s="7"/>
      <c r="M48438" s="9" t="s">
        <v>22</v>
      </c>
    </row>
    <row r="48439" ht="15.75" customHeight="1">
      <c r="A48439" s="7"/>
      <c r="B48439" s="7"/>
      <c r="M48439" s="9" t="s">
        <v>31</v>
      </c>
    </row>
    <row r="48440" ht="15.75" customHeight="1">
      <c r="A48440" s="7"/>
      <c r="B48440" s="7"/>
      <c r="M48440" s="9" t="s">
        <v>27</v>
      </c>
    </row>
    <row r="48441" ht="15.75" customHeight="1">
      <c r="A48441" s="7"/>
      <c r="B48441" s="7"/>
      <c r="M48441" s="9" t="s">
        <v>26</v>
      </c>
    </row>
    <row r="48442" ht="15.75" customHeight="1">
      <c r="A48442" s="7"/>
      <c r="B48442" s="7"/>
      <c r="M48442" s="9" t="s">
        <v>24</v>
      </c>
    </row>
    <row r="48443" ht="15.75" customHeight="1">
      <c r="A48443" s="7"/>
      <c r="B48443" s="7"/>
      <c r="M48443" s="9" t="s">
        <v>20</v>
      </c>
    </row>
    <row r="48444" ht="15.75" customHeight="1">
      <c r="A48444" s="7"/>
      <c r="B48444" s="7"/>
      <c r="M48444" s="9" t="s">
        <v>21</v>
      </c>
    </row>
    <row r="48445" ht="15.75" customHeight="1">
      <c r="A48445" s="7"/>
      <c r="B48445" s="7"/>
      <c r="M48445" s="9" t="s">
        <v>37</v>
      </c>
    </row>
    <row r="48446" ht="15.75" customHeight="1">
      <c r="A48446" s="7"/>
      <c r="B48446" s="7"/>
      <c r="M48446" s="9" t="s">
        <v>27</v>
      </c>
    </row>
    <row r="48447" ht="15.75" customHeight="1">
      <c r="A48447" s="7"/>
      <c r="B48447" s="7"/>
      <c r="M48447" s="9" t="s">
        <v>33</v>
      </c>
    </row>
    <row r="48448" ht="15.75" customHeight="1">
      <c r="A48448" s="7"/>
      <c r="B48448" s="7"/>
      <c r="M48448" s="9" t="s">
        <v>23</v>
      </c>
    </row>
    <row r="48449" ht="15.75" customHeight="1">
      <c r="A48449" s="7"/>
      <c r="B48449" s="7"/>
      <c r="M48449" s="9" t="s">
        <v>41</v>
      </c>
    </row>
    <row r="48450" ht="15.75" customHeight="1">
      <c r="A48450" s="7"/>
      <c r="B48450" s="7"/>
      <c r="M48450" s="9" t="s">
        <v>22</v>
      </c>
    </row>
    <row r="48451" ht="15.75" customHeight="1">
      <c r="A48451" s="7"/>
      <c r="B48451" s="7"/>
      <c r="M48451" s="9" t="s">
        <v>25</v>
      </c>
    </row>
    <row r="48452" ht="15.75" customHeight="1">
      <c r="A48452" s="7"/>
      <c r="B48452" s="7"/>
      <c r="M48452" s="9" t="s">
        <v>23</v>
      </c>
    </row>
    <row r="48453" ht="15.75" customHeight="1">
      <c r="A48453" s="7"/>
      <c r="B48453" s="7"/>
      <c r="M48453" s="9" t="s">
        <v>20</v>
      </c>
    </row>
    <row r="48454" ht="15.75" customHeight="1">
      <c r="A48454" s="7"/>
      <c r="B48454" s="7"/>
      <c r="M48454" s="9" t="s">
        <v>39</v>
      </c>
    </row>
    <row r="48455" ht="15.75" customHeight="1">
      <c r="A48455" s="7"/>
      <c r="B48455" s="7"/>
      <c r="M48455" s="9" t="s">
        <v>40</v>
      </c>
    </row>
    <row r="48456" ht="15.75" customHeight="1">
      <c r="A48456" s="7"/>
      <c r="B48456" s="7"/>
      <c r="M48456" s="9" t="s">
        <v>23</v>
      </c>
    </row>
    <row r="48457" ht="15.75" customHeight="1">
      <c r="A48457" s="7"/>
      <c r="B48457" s="7"/>
      <c r="M48457" s="9" t="s">
        <v>35</v>
      </c>
    </row>
    <row r="48458" ht="15.75" customHeight="1">
      <c r="A48458" s="7"/>
      <c r="B48458" s="7"/>
      <c r="M48458" s="9" t="s">
        <v>38</v>
      </c>
    </row>
    <row r="48459" ht="15.75" customHeight="1">
      <c r="A48459" s="7"/>
      <c r="B48459" s="7"/>
      <c r="M48459" s="9" t="s">
        <v>30</v>
      </c>
    </row>
    <row r="48460" ht="15.75" customHeight="1">
      <c r="A48460" s="7"/>
      <c r="B48460" s="7"/>
      <c r="M48460" s="9" t="s">
        <v>23</v>
      </c>
    </row>
    <row r="48461" ht="15.75" customHeight="1">
      <c r="A48461" s="7"/>
      <c r="B48461" s="7"/>
      <c r="M48461" s="9" t="s">
        <v>26</v>
      </c>
    </row>
    <row r="48462" ht="15.75" customHeight="1">
      <c r="A48462" s="7"/>
      <c r="B48462" s="7"/>
      <c r="M48462" s="9" t="s">
        <v>20</v>
      </c>
    </row>
    <row r="48463" ht="15.75" customHeight="1">
      <c r="A48463" s="7"/>
      <c r="B48463" s="7"/>
      <c r="M48463" s="9" t="s">
        <v>22</v>
      </c>
    </row>
    <row r="48464" ht="15.75" customHeight="1">
      <c r="A48464" s="7"/>
      <c r="B48464" s="7"/>
      <c r="M48464" s="9" t="s">
        <v>26</v>
      </c>
    </row>
    <row r="48465" ht="15.75" customHeight="1">
      <c r="A48465" s="7"/>
      <c r="B48465" s="7"/>
      <c r="M48465" s="9" t="s">
        <v>20</v>
      </c>
    </row>
    <row r="48466" ht="15.75" customHeight="1">
      <c r="A48466" s="7"/>
      <c r="B48466" s="7"/>
      <c r="M48466" s="9" t="s">
        <v>21</v>
      </c>
    </row>
    <row r="48467" ht="15.75" customHeight="1">
      <c r="A48467" s="7"/>
      <c r="B48467" s="7"/>
      <c r="M48467" s="9" t="s">
        <v>27</v>
      </c>
    </row>
    <row r="48468" ht="15.75" customHeight="1">
      <c r="A48468" s="7"/>
      <c r="B48468" s="7"/>
      <c r="M48468" s="9" t="s">
        <v>34</v>
      </c>
    </row>
    <row r="48469" ht="15.75" customHeight="1">
      <c r="A48469" s="7"/>
      <c r="B48469" s="7"/>
      <c r="M48469" s="9" t="s">
        <v>30</v>
      </c>
    </row>
    <row r="48470" ht="15.75" customHeight="1">
      <c r="A48470" s="7"/>
      <c r="B48470" s="7"/>
      <c r="M48470" s="9" t="s">
        <v>25</v>
      </c>
    </row>
    <row r="48471" ht="15.75" customHeight="1">
      <c r="A48471" s="7"/>
      <c r="B48471" s="7"/>
      <c r="M48471" s="9" t="s">
        <v>23</v>
      </c>
    </row>
    <row r="48472" ht="15.75" customHeight="1">
      <c r="A48472" s="7"/>
      <c r="B48472" s="7"/>
      <c r="M48472" s="9" t="s">
        <v>36</v>
      </c>
    </row>
    <row r="48473" ht="15.75" customHeight="1">
      <c r="A48473" s="7"/>
      <c r="B48473" s="7"/>
      <c r="M48473" s="9" t="s">
        <v>24</v>
      </c>
    </row>
    <row r="48474" ht="15.75" customHeight="1">
      <c r="A48474" s="7"/>
      <c r="B48474" s="7"/>
      <c r="M48474" s="9" t="s">
        <v>21</v>
      </c>
    </row>
    <row r="48475" ht="15.75" customHeight="1">
      <c r="A48475" s="7"/>
      <c r="B48475" s="7"/>
      <c r="M48475" s="9" t="s">
        <v>22</v>
      </c>
    </row>
    <row r="48476" ht="15.75" customHeight="1">
      <c r="A48476" s="7"/>
      <c r="B48476" s="7"/>
      <c r="M48476" s="9" t="s">
        <v>27</v>
      </c>
    </row>
    <row r="48477" ht="15.75" customHeight="1">
      <c r="A48477" s="7"/>
      <c r="B48477" s="7"/>
      <c r="M48477" s="9" t="s">
        <v>24</v>
      </c>
    </row>
    <row r="48478" ht="15.75" customHeight="1">
      <c r="A48478" s="7"/>
      <c r="B48478" s="7"/>
      <c r="M48478" s="9" t="s">
        <v>21</v>
      </c>
    </row>
    <row r="48479" ht="15.75" customHeight="1">
      <c r="A48479" s="7"/>
      <c r="B48479" s="7"/>
      <c r="M48479" s="9" t="s">
        <v>37</v>
      </c>
    </row>
    <row r="48480" ht="15.75" customHeight="1">
      <c r="A48480" s="7"/>
      <c r="B48480" s="7"/>
      <c r="M48480" s="9" t="s">
        <v>22</v>
      </c>
    </row>
    <row r="48481" ht="15.75" customHeight="1">
      <c r="A48481" s="7"/>
      <c r="B48481" s="7"/>
      <c r="M48481" s="9" t="s">
        <v>27</v>
      </c>
    </row>
    <row r="48482" ht="15.75" customHeight="1">
      <c r="A48482" s="7"/>
      <c r="B48482" s="7"/>
      <c r="M48482" s="9" t="s">
        <v>30</v>
      </c>
    </row>
    <row r="48483" ht="15.75" customHeight="1">
      <c r="A48483" s="7"/>
      <c r="B48483" s="7"/>
      <c r="M48483" s="9" t="s">
        <v>36</v>
      </c>
    </row>
    <row r="48484" ht="15.75" customHeight="1">
      <c r="A48484" s="7"/>
      <c r="B48484" s="7"/>
      <c r="M48484" s="9" t="s">
        <v>24</v>
      </c>
    </row>
    <row r="48485" ht="15.75" customHeight="1">
      <c r="A48485" s="7"/>
      <c r="B48485" s="7"/>
      <c r="M48485" s="9" t="s">
        <v>20</v>
      </c>
    </row>
    <row r="48486" ht="15.75" customHeight="1">
      <c r="A48486" s="7"/>
      <c r="B48486" s="7"/>
      <c r="M48486" s="9" t="s">
        <v>21</v>
      </c>
    </row>
    <row r="48487" ht="15.75" customHeight="1">
      <c r="A48487" s="7"/>
      <c r="B48487" s="7"/>
      <c r="M48487" s="9" t="s">
        <v>37</v>
      </c>
    </row>
    <row r="48488" ht="15.75" customHeight="1">
      <c r="A48488" s="7"/>
      <c r="B48488" s="7"/>
      <c r="M48488" s="9" t="s">
        <v>22</v>
      </c>
    </row>
    <row r="48489" ht="15.75" customHeight="1">
      <c r="A48489" s="7"/>
      <c r="B48489" s="7"/>
      <c r="M48489" s="9" t="s">
        <v>33</v>
      </c>
    </row>
    <row r="48490" ht="15.75" customHeight="1">
      <c r="A48490" s="7"/>
      <c r="B48490" s="7"/>
      <c r="M48490" s="9" t="s">
        <v>30</v>
      </c>
    </row>
    <row r="48491" ht="15.75" customHeight="1">
      <c r="A48491" s="7"/>
      <c r="B48491" s="7"/>
      <c r="M48491" s="9" t="s">
        <v>24</v>
      </c>
    </row>
    <row r="48492" ht="15.75" customHeight="1">
      <c r="A48492" s="7"/>
      <c r="B48492" s="7"/>
      <c r="M48492" s="9" t="s">
        <v>21</v>
      </c>
    </row>
    <row r="48493" ht="15.75" customHeight="1">
      <c r="A48493" s="7"/>
      <c r="B48493" s="7"/>
      <c r="M48493" s="9" t="s">
        <v>22</v>
      </c>
    </row>
    <row r="48494" ht="15.75" customHeight="1">
      <c r="A48494" s="7"/>
      <c r="B48494" s="7"/>
      <c r="M48494" s="9" t="s">
        <v>33</v>
      </c>
    </row>
    <row r="48495" ht="15.75" customHeight="1">
      <c r="A48495" s="7"/>
      <c r="B48495" s="7"/>
      <c r="M48495" s="9" t="s">
        <v>30</v>
      </c>
    </row>
    <row r="48496" ht="15.75" customHeight="1">
      <c r="A48496" s="7"/>
      <c r="B48496" s="7"/>
      <c r="M48496" s="9" t="s">
        <v>24</v>
      </c>
    </row>
    <row r="48497" ht="15.75" customHeight="1">
      <c r="A48497" s="7"/>
      <c r="B48497" s="7"/>
      <c r="M48497" s="9" t="s">
        <v>21</v>
      </c>
    </row>
    <row r="48498" ht="15.75" customHeight="1">
      <c r="A48498" s="7"/>
      <c r="B48498" s="7"/>
      <c r="M48498" s="9" t="s">
        <v>39</v>
      </c>
    </row>
    <row r="48499" ht="15.75" customHeight="1">
      <c r="A48499" s="7"/>
      <c r="B48499" s="7"/>
      <c r="M48499" s="9" t="s">
        <v>37</v>
      </c>
    </row>
    <row r="48500" ht="15.75" customHeight="1">
      <c r="A48500" s="7"/>
      <c r="B48500" s="7"/>
      <c r="M48500" s="9" t="s">
        <v>40</v>
      </c>
    </row>
    <row r="48501" ht="15.75" customHeight="1">
      <c r="A48501" s="7"/>
      <c r="B48501" s="7"/>
      <c r="M48501" s="9" t="s">
        <v>33</v>
      </c>
    </row>
    <row r="48502" ht="15.75" customHeight="1">
      <c r="A48502" s="7"/>
      <c r="B48502" s="7"/>
      <c r="M48502" s="9" t="s">
        <v>22</v>
      </c>
    </row>
    <row r="48503" ht="15.75" customHeight="1">
      <c r="A48503" s="7"/>
      <c r="B48503" s="7"/>
      <c r="M48503" s="9" t="s">
        <v>24</v>
      </c>
    </row>
    <row r="48504" ht="15.75" customHeight="1">
      <c r="A48504" s="7"/>
      <c r="B48504" s="7"/>
      <c r="M48504" s="9" t="s">
        <v>20</v>
      </c>
    </row>
    <row r="48505" ht="15.75" customHeight="1">
      <c r="A48505" s="7"/>
      <c r="B48505" s="7"/>
      <c r="M48505" s="9" t="s">
        <v>21</v>
      </c>
    </row>
    <row r="48506" ht="15.75" customHeight="1">
      <c r="A48506" s="7"/>
      <c r="B48506" s="7"/>
      <c r="M48506" s="9" t="s">
        <v>39</v>
      </c>
    </row>
    <row r="48507" ht="15.75" customHeight="1">
      <c r="A48507" s="7"/>
      <c r="B48507" s="7"/>
      <c r="M48507" s="9" t="s">
        <v>37</v>
      </c>
    </row>
    <row r="48508" ht="15.75" customHeight="1">
      <c r="A48508" s="7"/>
      <c r="B48508" s="7"/>
      <c r="M48508" s="9" t="s">
        <v>27</v>
      </c>
    </row>
    <row r="48509" ht="15.75" customHeight="1">
      <c r="A48509" s="7"/>
      <c r="B48509" s="7"/>
      <c r="M48509" s="9" t="s">
        <v>33</v>
      </c>
    </row>
    <row r="48510" ht="15.75" customHeight="1">
      <c r="A48510" s="7"/>
      <c r="B48510" s="7"/>
      <c r="M48510" s="9" t="s">
        <v>30</v>
      </c>
    </row>
    <row r="48511" ht="15.75" customHeight="1">
      <c r="A48511" s="7"/>
      <c r="B48511" s="7"/>
      <c r="M48511" s="9" t="s">
        <v>23</v>
      </c>
    </row>
    <row r="48512" ht="15.75" customHeight="1">
      <c r="A48512" s="7"/>
      <c r="B48512" s="7"/>
      <c r="M48512" s="9" t="s">
        <v>26</v>
      </c>
    </row>
    <row r="48513" ht="15.75" customHeight="1">
      <c r="A48513" s="7"/>
      <c r="B48513" s="7"/>
      <c r="M48513" s="9" t="s">
        <v>24</v>
      </c>
    </row>
    <row r="48514" ht="15.75" customHeight="1">
      <c r="A48514" s="7"/>
      <c r="B48514" s="7"/>
      <c r="M48514" s="9" t="s">
        <v>21</v>
      </c>
    </row>
    <row r="48515" ht="15.75" customHeight="1">
      <c r="A48515" s="7"/>
      <c r="B48515" s="7"/>
      <c r="M48515" s="9" t="s">
        <v>37</v>
      </c>
    </row>
    <row r="48516" ht="15.75" customHeight="1">
      <c r="A48516" s="7"/>
      <c r="B48516" s="7"/>
      <c r="M48516" s="9" t="s">
        <v>20</v>
      </c>
    </row>
    <row r="48517" ht="15.75" customHeight="1">
      <c r="A48517" s="7"/>
      <c r="B48517" s="7"/>
      <c r="M48517" s="9" t="s">
        <v>39</v>
      </c>
    </row>
    <row r="48518" ht="15.75" customHeight="1">
      <c r="A48518" s="7"/>
      <c r="B48518" s="7"/>
      <c r="M48518" s="9" t="s">
        <v>30</v>
      </c>
    </row>
    <row r="48519" ht="15.75" customHeight="1">
      <c r="A48519" s="7"/>
      <c r="B48519" s="7"/>
      <c r="M48519" s="9" t="s">
        <v>25</v>
      </c>
    </row>
    <row r="48520" ht="15.75" customHeight="1">
      <c r="A48520" s="7"/>
      <c r="B48520" s="7"/>
      <c r="M48520" s="9" t="s">
        <v>23</v>
      </c>
    </row>
    <row r="48521" ht="15.75" customHeight="1">
      <c r="A48521" s="7"/>
      <c r="B48521" s="7"/>
      <c r="M48521" s="9" t="s">
        <v>24</v>
      </c>
    </row>
    <row r="48522" ht="15.75" customHeight="1">
      <c r="A48522" s="7"/>
      <c r="B48522" s="7"/>
      <c r="M48522" s="9" t="s">
        <v>21</v>
      </c>
    </row>
    <row r="48523" ht="15.75" customHeight="1">
      <c r="A48523" s="7"/>
      <c r="B48523" s="7"/>
      <c r="M48523" s="9" t="s">
        <v>22</v>
      </c>
    </row>
    <row r="48524" ht="15.75" customHeight="1">
      <c r="A48524" s="7"/>
      <c r="B48524" s="7"/>
      <c r="M48524" s="9" t="s">
        <v>28</v>
      </c>
    </row>
    <row r="48525" ht="15.75" customHeight="1">
      <c r="A48525" s="7"/>
      <c r="B48525" s="7"/>
      <c r="M48525" s="9" t="s">
        <v>25</v>
      </c>
    </row>
    <row r="48526" ht="15.75" customHeight="1">
      <c r="A48526" s="7"/>
      <c r="B48526" s="7"/>
      <c r="M48526" s="9" t="s">
        <v>23</v>
      </c>
    </row>
    <row r="48527" ht="15.75" customHeight="1">
      <c r="A48527" s="7"/>
      <c r="B48527" s="7"/>
      <c r="M48527" s="9" t="s">
        <v>20</v>
      </c>
    </row>
    <row r="48528" ht="15.75" customHeight="1">
      <c r="A48528" s="7"/>
      <c r="B48528" s="7"/>
      <c r="M48528" s="9" t="s">
        <v>21</v>
      </c>
    </row>
    <row r="48529" ht="15.75" customHeight="1">
      <c r="A48529" s="7"/>
      <c r="B48529" s="7"/>
      <c r="M48529" s="9" t="s">
        <v>40</v>
      </c>
    </row>
    <row r="48530" ht="15.75" customHeight="1">
      <c r="A48530" s="7"/>
      <c r="B48530" s="7"/>
      <c r="M48530" s="9" t="s">
        <v>26</v>
      </c>
    </row>
    <row r="48531" ht="15.75" customHeight="1">
      <c r="A48531" s="7"/>
      <c r="B48531" s="7"/>
      <c r="M48531" s="9" t="s">
        <v>24</v>
      </c>
    </row>
    <row r="48532" ht="15.75" customHeight="1">
      <c r="A48532" s="7"/>
      <c r="B48532" s="7"/>
      <c r="M48532" s="9" t="s">
        <v>20</v>
      </c>
    </row>
    <row r="48533" ht="15.75" customHeight="1">
      <c r="A48533" s="7"/>
      <c r="B48533" s="7"/>
      <c r="M48533" s="9" t="s">
        <v>21</v>
      </c>
    </row>
    <row r="48534" ht="15.75" customHeight="1">
      <c r="A48534" s="7"/>
      <c r="B48534" s="7"/>
      <c r="M48534" s="9" t="s">
        <v>39</v>
      </c>
    </row>
    <row r="48535" ht="15.75" customHeight="1">
      <c r="A48535" s="7"/>
      <c r="B48535" s="7"/>
      <c r="M48535" s="9" t="s">
        <v>22</v>
      </c>
    </row>
    <row r="48536" ht="15.75" customHeight="1">
      <c r="A48536" s="7"/>
      <c r="B48536" s="7"/>
      <c r="M48536" s="9" t="s">
        <v>27</v>
      </c>
    </row>
    <row r="48537" ht="15.75" customHeight="1">
      <c r="A48537" s="7"/>
      <c r="B48537" s="7"/>
      <c r="M48537" s="9" t="s">
        <v>26</v>
      </c>
    </row>
    <row r="48538" ht="15.75" customHeight="1">
      <c r="A48538" s="7"/>
      <c r="B48538" s="7"/>
      <c r="M48538" s="9" t="s">
        <v>24</v>
      </c>
    </row>
    <row r="48539" ht="15.75" customHeight="1">
      <c r="A48539" s="7"/>
      <c r="B48539" s="7"/>
      <c r="M48539" s="9" t="s">
        <v>21</v>
      </c>
    </row>
    <row r="48540" ht="15.75" customHeight="1">
      <c r="A48540" s="7"/>
      <c r="B48540" s="7"/>
      <c r="M48540" s="9" t="s">
        <v>27</v>
      </c>
    </row>
    <row r="48541" ht="15.75" customHeight="1">
      <c r="A48541" s="7"/>
      <c r="B48541" s="7"/>
      <c r="M48541" s="9" t="s">
        <v>24</v>
      </c>
    </row>
    <row r="48542" ht="15.75" customHeight="1">
      <c r="A48542" s="7"/>
      <c r="B48542" s="7"/>
      <c r="M48542" s="9" t="s">
        <v>20</v>
      </c>
    </row>
    <row r="48543" ht="15.75" customHeight="1">
      <c r="A48543" s="7"/>
      <c r="B48543" s="7"/>
      <c r="M48543" s="9" t="s">
        <v>21</v>
      </c>
    </row>
    <row r="48544" ht="15.75" customHeight="1">
      <c r="A48544" s="7"/>
      <c r="B48544" s="7"/>
      <c r="M48544" s="9" t="s">
        <v>27</v>
      </c>
    </row>
    <row r="48545" ht="15.75" customHeight="1">
      <c r="A48545" s="7"/>
      <c r="B48545" s="7"/>
      <c r="M48545" s="9" t="s">
        <v>33</v>
      </c>
    </row>
    <row r="48546" ht="15.75" customHeight="1">
      <c r="A48546" s="7"/>
      <c r="B48546" s="7"/>
      <c r="M48546" s="9" t="s">
        <v>36</v>
      </c>
    </row>
    <row r="48547" ht="15.75" customHeight="1">
      <c r="A48547" s="7"/>
      <c r="B48547" s="7"/>
      <c r="M48547" s="9" t="s">
        <v>20</v>
      </c>
    </row>
    <row r="48548" ht="15.75" customHeight="1">
      <c r="A48548" s="7"/>
      <c r="B48548" s="7"/>
      <c r="M48548" s="9" t="s">
        <v>22</v>
      </c>
    </row>
    <row r="48549" ht="15.75" customHeight="1">
      <c r="A48549" s="7"/>
      <c r="B48549" s="7"/>
      <c r="M48549" s="9" t="s">
        <v>27</v>
      </c>
    </row>
    <row r="48550" ht="15.75" customHeight="1">
      <c r="A48550" s="7"/>
      <c r="B48550" s="7"/>
      <c r="M48550" s="9" t="s">
        <v>30</v>
      </c>
    </row>
    <row r="48551" ht="15.75" customHeight="1">
      <c r="A48551" s="7"/>
      <c r="B48551" s="7"/>
      <c r="M48551" s="9" t="s">
        <v>26</v>
      </c>
    </row>
    <row r="48552" ht="15.75" customHeight="1">
      <c r="A48552" s="7"/>
      <c r="B48552" s="7"/>
      <c r="M48552" s="9" t="s">
        <v>24</v>
      </c>
    </row>
    <row r="48553" ht="15.75" customHeight="1">
      <c r="A48553" s="7"/>
      <c r="B48553" s="7"/>
      <c r="M48553" s="9" t="s">
        <v>21</v>
      </c>
    </row>
    <row r="48554" ht="15.75" customHeight="1">
      <c r="A48554" s="7"/>
      <c r="B48554" s="7"/>
      <c r="M48554" s="9" t="s">
        <v>22</v>
      </c>
    </row>
    <row r="48555" ht="15.75" customHeight="1">
      <c r="A48555" s="7"/>
      <c r="B48555" s="7"/>
      <c r="M48555" s="9" t="s">
        <v>29</v>
      </c>
    </row>
    <row r="48556" ht="15.75" customHeight="1">
      <c r="A48556" s="7"/>
      <c r="B48556" s="7"/>
      <c r="M48556" s="9" t="s">
        <v>27</v>
      </c>
    </row>
    <row r="48557" ht="15.75" customHeight="1">
      <c r="A48557" s="7"/>
      <c r="B48557" s="7"/>
      <c r="M48557" s="9" t="s">
        <v>22</v>
      </c>
    </row>
    <row r="48558" ht="15.75" customHeight="1">
      <c r="A48558" s="7"/>
      <c r="B48558" s="7"/>
      <c r="M48558" s="9" t="s">
        <v>35</v>
      </c>
    </row>
    <row r="48559" ht="15.75" customHeight="1">
      <c r="A48559" s="7"/>
      <c r="B48559" s="7"/>
      <c r="M48559" s="9" t="s">
        <v>38</v>
      </c>
    </row>
    <row r="48560" ht="15.75" customHeight="1">
      <c r="A48560" s="7"/>
      <c r="B48560" s="7"/>
      <c r="M48560" s="9" t="s">
        <v>30</v>
      </c>
    </row>
    <row r="48561" ht="15.75" customHeight="1">
      <c r="A48561" s="7"/>
      <c r="B48561" s="7"/>
      <c r="M48561" s="9" t="s">
        <v>25</v>
      </c>
    </row>
    <row r="48562" ht="15.75" customHeight="1">
      <c r="A48562" s="7"/>
      <c r="B48562" s="7"/>
      <c r="M48562" s="9" t="s">
        <v>23</v>
      </c>
    </row>
    <row r="48563" ht="15.75" customHeight="1">
      <c r="A48563" s="7"/>
      <c r="B48563" s="7"/>
      <c r="M48563" s="9" t="s">
        <v>22</v>
      </c>
    </row>
    <row r="48564" ht="15.75" customHeight="1">
      <c r="A48564" s="7"/>
      <c r="B48564" s="7"/>
      <c r="M48564" s="9" t="s">
        <v>40</v>
      </c>
    </row>
    <row r="48565" ht="15.75" customHeight="1">
      <c r="A48565" s="7"/>
      <c r="B48565" s="7"/>
      <c r="M48565" s="9" t="s">
        <v>24</v>
      </c>
    </row>
    <row r="48566" ht="15.75" customHeight="1">
      <c r="A48566" s="7"/>
      <c r="B48566" s="7"/>
      <c r="M48566" s="9" t="s">
        <v>21</v>
      </c>
    </row>
    <row r="48567" ht="15.75" customHeight="1">
      <c r="A48567" s="7"/>
      <c r="B48567" s="7"/>
      <c r="M48567" s="9" t="s">
        <v>37</v>
      </c>
    </row>
    <row r="48568" ht="15.75" customHeight="1">
      <c r="A48568" s="7"/>
      <c r="B48568" s="7"/>
      <c r="M48568" s="9" t="s">
        <v>25</v>
      </c>
    </row>
    <row r="48569" ht="15.75" customHeight="1">
      <c r="A48569" s="7"/>
      <c r="B48569" s="7"/>
      <c r="M48569" s="9" t="s">
        <v>20</v>
      </c>
    </row>
    <row r="48570" ht="15.75" customHeight="1">
      <c r="A48570" s="7"/>
      <c r="B48570" s="7"/>
      <c r="M48570" s="9" t="s">
        <v>37</v>
      </c>
    </row>
    <row r="48571" ht="15.75" customHeight="1">
      <c r="A48571" s="7"/>
      <c r="B48571" s="7"/>
      <c r="M48571" s="9" t="s">
        <v>22</v>
      </c>
    </row>
    <row r="48572" ht="15.75" customHeight="1">
      <c r="A48572" s="7"/>
      <c r="B48572" s="7"/>
      <c r="M48572" s="9" t="s">
        <v>27</v>
      </c>
    </row>
    <row r="48573" ht="15.75" customHeight="1">
      <c r="A48573" s="7"/>
      <c r="B48573" s="7"/>
      <c r="M48573" s="9" t="s">
        <v>25</v>
      </c>
    </row>
    <row r="48574" ht="15.75" customHeight="1">
      <c r="A48574" s="7"/>
      <c r="B48574" s="7"/>
      <c r="M48574" s="9" t="s">
        <v>23</v>
      </c>
    </row>
    <row r="48575" ht="15.75" customHeight="1">
      <c r="A48575" s="7"/>
      <c r="B48575" s="7"/>
      <c r="M48575" s="9" t="s">
        <v>26</v>
      </c>
    </row>
    <row r="48576" ht="15.75" customHeight="1">
      <c r="A48576" s="7"/>
      <c r="B48576" s="7"/>
      <c r="M48576" s="9" t="s">
        <v>20</v>
      </c>
    </row>
    <row r="48577" ht="15.75" customHeight="1">
      <c r="A48577" s="7"/>
      <c r="B48577" s="7"/>
      <c r="M48577" s="9" t="s">
        <v>30</v>
      </c>
    </row>
    <row r="48578" ht="15.75" customHeight="1">
      <c r="A48578" s="7"/>
      <c r="B48578" s="7"/>
      <c r="M48578" s="9" t="s">
        <v>24</v>
      </c>
    </row>
    <row r="48579" ht="15.75" customHeight="1">
      <c r="A48579" s="7"/>
      <c r="B48579" s="7"/>
      <c r="M48579" s="9" t="s">
        <v>21</v>
      </c>
    </row>
    <row r="48580" ht="15.75" customHeight="1">
      <c r="A48580" s="7"/>
      <c r="B48580" s="7"/>
      <c r="M48580" s="9" t="s">
        <v>37</v>
      </c>
    </row>
    <row r="48581" ht="15.75" customHeight="1">
      <c r="A48581" s="7"/>
      <c r="B48581" s="7"/>
      <c r="M48581" s="9" t="s">
        <v>27</v>
      </c>
    </row>
    <row r="48582" ht="15.75" customHeight="1">
      <c r="A48582" s="7"/>
      <c r="B48582" s="7"/>
      <c r="M48582" s="9" t="s">
        <v>30</v>
      </c>
    </row>
    <row r="48583" ht="15.75" customHeight="1">
      <c r="A48583" s="7"/>
      <c r="B48583" s="7"/>
      <c r="M48583" s="9" t="s">
        <v>36</v>
      </c>
    </row>
    <row r="48584" ht="15.75" customHeight="1">
      <c r="A48584" s="7"/>
      <c r="B48584" s="7"/>
      <c r="M48584" s="9" t="s">
        <v>24</v>
      </c>
    </row>
    <row r="48585" ht="15.75" customHeight="1">
      <c r="A48585" s="7"/>
      <c r="B48585" s="7"/>
      <c r="M48585" s="9" t="s">
        <v>21</v>
      </c>
    </row>
    <row r="48586" ht="15.75" customHeight="1">
      <c r="A48586" s="7"/>
      <c r="B48586" s="7"/>
      <c r="M48586" s="9" t="s">
        <v>37</v>
      </c>
    </row>
    <row r="48587" ht="15.75" customHeight="1">
      <c r="A48587" s="7"/>
      <c r="B48587" s="7"/>
      <c r="M48587" s="9" t="s">
        <v>27</v>
      </c>
    </row>
    <row r="48588" ht="15.75" customHeight="1">
      <c r="A48588" s="7"/>
      <c r="B48588" s="7"/>
      <c r="M48588" s="9" t="s">
        <v>26</v>
      </c>
    </row>
    <row r="48589" ht="15.75" customHeight="1">
      <c r="A48589" s="7"/>
      <c r="B48589" s="7"/>
      <c r="M48589" s="9" t="s">
        <v>24</v>
      </c>
    </row>
    <row r="48590" ht="15.75" customHeight="1">
      <c r="A48590" s="7"/>
      <c r="B48590" s="7"/>
      <c r="M48590" s="9" t="s">
        <v>20</v>
      </c>
    </row>
    <row r="48591" ht="15.75" customHeight="1">
      <c r="A48591" s="7"/>
      <c r="B48591" s="7"/>
      <c r="M48591" s="9" t="s">
        <v>21</v>
      </c>
    </row>
    <row r="48592" ht="15.75" customHeight="1">
      <c r="A48592" s="7"/>
      <c r="B48592" s="7"/>
      <c r="M48592" s="9" t="s">
        <v>22</v>
      </c>
    </row>
    <row r="48593" ht="15.75" customHeight="1">
      <c r="A48593" s="7"/>
      <c r="B48593" s="7"/>
      <c r="M48593" s="9" t="s">
        <v>27</v>
      </c>
    </row>
    <row r="48594" ht="15.75" customHeight="1">
      <c r="A48594" s="7"/>
      <c r="B48594" s="7"/>
      <c r="M48594" s="9" t="s">
        <v>25</v>
      </c>
    </row>
    <row r="48595" ht="15.75" customHeight="1">
      <c r="A48595" s="7"/>
      <c r="B48595" s="7"/>
      <c r="M48595" s="9" t="s">
        <v>23</v>
      </c>
    </row>
    <row r="48596" ht="15.75" customHeight="1">
      <c r="A48596" s="7"/>
      <c r="B48596" s="7"/>
      <c r="M48596" s="9" t="s">
        <v>47</v>
      </c>
    </row>
    <row r="48597" ht="15.75" customHeight="1">
      <c r="A48597" s="7"/>
      <c r="B48597" s="7"/>
      <c r="M48597" s="9" t="s">
        <v>24</v>
      </c>
    </row>
    <row r="48598" ht="15.75" customHeight="1">
      <c r="A48598" s="7"/>
      <c r="B48598" s="7"/>
      <c r="M48598" s="9" t="s">
        <v>20</v>
      </c>
    </row>
    <row r="48599" ht="15.75" customHeight="1">
      <c r="A48599" s="7"/>
      <c r="B48599" s="7"/>
      <c r="M48599" s="9" t="s">
        <v>21</v>
      </c>
    </row>
    <row r="48600" ht="15.75" customHeight="1">
      <c r="A48600" s="7"/>
      <c r="B48600" s="7"/>
      <c r="M48600" s="9" t="s">
        <v>39</v>
      </c>
    </row>
    <row r="48601" ht="15.75" customHeight="1">
      <c r="A48601" s="7"/>
      <c r="B48601" s="7"/>
      <c r="M48601" s="9" t="s">
        <v>41</v>
      </c>
    </row>
    <row r="48602" ht="15.75" customHeight="1">
      <c r="A48602" s="7"/>
      <c r="B48602" s="7"/>
      <c r="M48602" s="9" t="s">
        <v>37</v>
      </c>
    </row>
    <row r="48603" ht="15.75" customHeight="1">
      <c r="A48603" s="7"/>
      <c r="B48603" s="7"/>
      <c r="M48603" s="9" t="s">
        <v>22</v>
      </c>
    </row>
    <row r="48604" ht="15.75" customHeight="1">
      <c r="A48604" s="7"/>
      <c r="B48604" s="7"/>
      <c r="M48604" s="9" t="s">
        <v>40</v>
      </c>
    </row>
    <row r="48605" ht="15.75" customHeight="1">
      <c r="A48605" s="7"/>
      <c r="B48605" s="7"/>
      <c r="M48605" s="9" t="s">
        <v>24</v>
      </c>
    </row>
    <row r="48606" ht="15.75" customHeight="1">
      <c r="A48606" s="7"/>
      <c r="B48606" s="7"/>
      <c r="M48606" s="9" t="s">
        <v>21</v>
      </c>
    </row>
    <row r="48607" ht="15.75" customHeight="1">
      <c r="A48607" s="7"/>
      <c r="B48607" s="7"/>
      <c r="M48607" s="9" t="s">
        <v>37</v>
      </c>
    </row>
    <row r="48608" ht="15.75" customHeight="1">
      <c r="A48608" s="7"/>
      <c r="B48608" s="7"/>
      <c r="M48608" s="9" t="s">
        <v>24</v>
      </c>
    </row>
    <row r="48609" ht="15.75" customHeight="1">
      <c r="A48609" s="7"/>
      <c r="B48609" s="7"/>
      <c r="M48609" s="9" t="s">
        <v>21</v>
      </c>
    </row>
    <row r="48610" ht="15.75" customHeight="1">
      <c r="A48610" s="7"/>
      <c r="B48610" s="7"/>
      <c r="M48610" s="9" t="s">
        <v>37</v>
      </c>
    </row>
    <row r="48611" ht="15.75" customHeight="1">
      <c r="A48611" s="7"/>
      <c r="B48611" s="7"/>
      <c r="M48611" s="9" t="s">
        <v>22</v>
      </c>
    </row>
    <row r="48612" ht="15.75" customHeight="1">
      <c r="A48612" s="7"/>
      <c r="B48612" s="7"/>
      <c r="M48612" s="9" t="s">
        <v>26</v>
      </c>
    </row>
    <row r="48613" ht="15.75" customHeight="1">
      <c r="A48613" s="7"/>
      <c r="B48613" s="7"/>
      <c r="M48613" s="9" t="s">
        <v>24</v>
      </c>
    </row>
    <row r="48614" ht="15.75" customHeight="1">
      <c r="A48614" s="7"/>
      <c r="B48614" s="7"/>
      <c r="M48614" s="9" t="s">
        <v>21</v>
      </c>
    </row>
    <row r="48615" ht="15.75" customHeight="1">
      <c r="A48615" s="7"/>
      <c r="B48615" s="7"/>
      <c r="M48615" s="9" t="s">
        <v>27</v>
      </c>
    </row>
    <row r="48616" ht="15.75" customHeight="1">
      <c r="A48616" s="7"/>
      <c r="B48616" s="7"/>
      <c r="M48616" s="9" t="s">
        <v>24</v>
      </c>
    </row>
    <row r="48617" ht="15.75" customHeight="1">
      <c r="A48617" s="7"/>
      <c r="B48617" s="7"/>
      <c r="M48617" s="9" t="s">
        <v>21</v>
      </c>
    </row>
    <row r="48618" ht="15.75" customHeight="1">
      <c r="A48618" s="7"/>
      <c r="B48618" s="7"/>
      <c r="M48618" s="9" t="s">
        <v>27</v>
      </c>
    </row>
    <row r="48619" ht="15.75" customHeight="1">
      <c r="A48619" s="7"/>
      <c r="B48619" s="7"/>
      <c r="M48619" s="9" t="s">
        <v>33</v>
      </c>
    </row>
    <row r="48620" ht="15.75" customHeight="1">
      <c r="A48620" s="7"/>
      <c r="B48620" s="7"/>
      <c r="M48620" s="9" t="s">
        <v>27</v>
      </c>
    </row>
    <row r="48621" ht="15.75" customHeight="1">
      <c r="A48621" s="7"/>
      <c r="B48621" s="7"/>
      <c r="M48621" s="9" t="s">
        <v>23</v>
      </c>
    </row>
    <row r="48622" ht="15.75" customHeight="1">
      <c r="A48622" s="7"/>
      <c r="B48622" s="7"/>
      <c r="M48622" s="9" t="s">
        <v>20</v>
      </c>
    </row>
    <row r="48623" ht="15.75" customHeight="1">
      <c r="A48623" s="7"/>
      <c r="B48623" s="7"/>
      <c r="M48623" s="9" t="s">
        <v>22</v>
      </c>
    </row>
    <row r="48624" ht="15.75" customHeight="1">
      <c r="A48624" s="7"/>
      <c r="B48624" s="7"/>
      <c r="M48624" s="9" t="s">
        <v>38</v>
      </c>
    </row>
    <row r="48625" ht="15.75" customHeight="1">
      <c r="A48625" s="7"/>
      <c r="B48625" s="7"/>
      <c r="M48625" s="9" t="s">
        <v>30</v>
      </c>
    </row>
    <row r="48626" ht="15.75" customHeight="1">
      <c r="A48626" s="7"/>
      <c r="B48626" s="7"/>
      <c r="M48626" s="9" t="s">
        <v>25</v>
      </c>
    </row>
    <row r="48627" ht="15.75" customHeight="1">
      <c r="A48627" s="7"/>
      <c r="B48627" s="7"/>
      <c r="M48627" s="9" t="s">
        <v>23</v>
      </c>
    </row>
    <row r="48628" ht="15.75" customHeight="1">
      <c r="A48628" s="7"/>
      <c r="B48628" s="7"/>
      <c r="M48628" s="9" t="s">
        <v>36</v>
      </c>
    </row>
    <row r="48629" ht="15.75" customHeight="1">
      <c r="A48629" s="7"/>
      <c r="B48629" s="7"/>
      <c r="M48629" s="9" t="s">
        <v>20</v>
      </c>
    </row>
    <row r="48630" ht="15.75" customHeight="1">
      <c r="A48630" s="7"/>
      <c r="B48630" s="7"/>
      <c r="M48630" s="9" t="s">
        <v>22</v>
      </c>
    </row>
    <row r="48631" ht="15.75" customHeight="1">
      <c r="A48631" s="7"/>
      <c r="B48631" s="7"/>
      <c r="M48631" s="9" t="s">
        <v>38</v>
      </c>
    </row>
    <row r="48632" ht="15.75" customHeight="1">
      <c r="A48632" s="7"/>
      <c r="B48632" s="7"/>
      <c r="M48632" s="9" t="s">
        <v>30</v>
      </c>
    </row>
    <row r="48633" ht="15.75" customHeight="1">
      <c r="A48633" s="7"/>
      <c r="B48633" s="7"/>
      <c r="M48633" s="9" t="s">
        <v>25</v>
      </c>
    </row>
    <row r="48634" ht="15.75" customHeight="1">
      <c r="A48634" s="7"/>
      <c r="B48634" s="7"/>
      <c r="M48634" s="9" t="s">
        <v>21</v>
      </c>
    </row>
    <row r="48635" ht="15.75" customHeight="1">
      <c r="A48635" s="7"/>
      <c r="B48635" s="7"/>
      <c r="M48635" s="9" t="s">
        <v>22</v>
      </c>
    </row>
    <row r="48636" ht="15.75" customHeight="1">
      <c r="A48636" s="7"/>
      <c r="B48636" s="7"/>
      <c r="M48636" s="9" t="s">
        <v>22</v>
      </c>
    </row>
    <row r="48637" ht="15.75" customHeight="1">
      <c r="A48637" s="7"/>
      <c r="B48637" s="7"/>
      <c r="M48637" s="9" t="s">
        <v>26</v>
      </c>
    </row>
    <row r="48638" ht="15.75" customHeight="1">
      <c r="A48638" s="7"/>
      <c r="B48638" s="7"/>
      <c r="M48638" s="9" t="s">
        <v>24</v>
      </c>
    </row>
    <row r="48639" ht="15.75" customHeight="1">
      <c r="A48639" s="7"/>
      <c r="B48639" s="7"/>
      <c r="M48639" s="9" t="s">
        <v>21</v>
      </c>
    </row>
    <row r="48640" ht="15.75" customHeight="1">
      <c r="A48640" s="7"/>
      <c r="B48640" s="7"/>
      <c r="M48640" s="9" t="s">
        <v>27</v>
      </c>
    </row>
    <row r="48641" ht="15.75" customHeight="1">
      <c r="A48641" s="7"/>
      <c r="B48641" s="7"/>
      <c r="M48641" s="9" t="s">
        <v>33</v>
      </c>
    </row>
    <row r="48642" ht="15.75" customHeight="1">
      <c r="A48642" s="7"/>
      <c r="B48642" s="7"/>
      <c r="M48642" s="9" t="s">
        <v>20</v>
      </c>
    </row>
    <row r="48643" ht="15.75" customHeight="1">
      <c r="A48643" s="7"/>
      <c r="B48643" s="7"/>
      <c r="M48643" s="9" t="s">
        <v>41</v>
      </c>
    </row>
    <row r="48644" ht="15.75" customHeight="1">
      <c r="A48644" s="7"/>
      <c r="B48644" s="7"/>
      <c r="M48644" s="9" t="s">
        <v>40</v>
      </c>
    </row>
    <row r="48645" ht="15.75" customHeight="1">
      <c r="A48645" s="7"/>
      <c r="B48645" s="7"/>
      <c r="M48645" s="9" t="s">
        <v>30</v>
      </c>
    </row>
    <row r="48646" ht="15.75" customHeight="1">
      <c r="A48646" s="7"/>
      <c r="B48646" s="7"/>
      <c r="M48646" s="9" t="s">
        <v>25</v>
      </c>
    </row>
    <row r="48647" ht="15.75" customHeight="1">
      <c r="A48647" s="7"/>
      <c r="B48647" s="7"/>
      <c r="M48647" s="9" t="s">
        <v>23</v>
      </c>
    </row>
    <row r="48648" ht="15.75" customHeight="1">
      <c r="A48648" s="7"/>
      <c r="B48648" s="7"/>
      <c r="M48648" s="9" t="s">
        <v>20</v>
      </c>
    </row>
    <row r="48649" ht="15.75" customHeight="1">
      <c r="A48649" s="7"/>
      <c r="B48649" s="7"/>
      <c r="M48649" s="9" t="s">
        <v>22</v>
      </c>
    </row>
    <row r="48650" ht="15.75" customHeight="1">
      <c r="A48650" s="7"/>
      <c r="B48650" s="7"/>
      <c r="M48650" s="9" t="s">
        <v>35</v>
      </c>
    </row>
    <row r="48651" ht="15.75" customHeight="1">
      <c r="A48651" s="7"/>
      <c r="B48651" s="7"/>
      <c r="M48651" s="9" t="s">
        <v>30</v>
      </c>
    </row>
    <row r="48652" ht="15.75" customHeight="1">
      <c r="A48652" s="7"/>
      <c r="B48652" s="7"/>
      <c r="M48652" s="9" t="s">
        <v>26</v>
      </c>
    </row>
    <row r="48653" ht="15.75" customHeight="1">
      <c r="A48653" s="7"/>
      <c r="B48653" s="7"/>
      <c r="M48653" s="9" t="s">
        <v>24</v>
      </c>
    </row>
    <row r="48654" ht="15.75" customHeight="1">
      <c r="A48654" s="7"/>
      <c r="B48654" s="7"/>
      <c r="M48654" s="9" t="s">
        <v>20</v>
      </c>
    </row>
    <row r="48655" ht="15.75" customHeight="1">
      <c r="A48655" s="7"/>
      <c r="B48655" s="7"/>
      <c r="M48655" s="9" t="s">
        <v>21</v>
      </c>
    </row>
    <row r="48656" ht="15.75" customHeight="1">
      <c r="A48656" s="7"/>
      <c r="B48656" s="7"/>
      <c r="M48656" s="9" t="s">
        <v>27</v>
      </c>
    </row>
    <row r="48657" ht="15.75" customHeight="1">
      <c r="A48657" s="7"/>
      <c r="B48657" s="7"/>
      <c r="M48657" s="9" t="s">
        <v>35</v>
      </c>
    </row>
    <row r="48658" ht="15.75" customHeight="1">
      <c r="A48658" s="7"/>
      <c r="B48658" s="7"/>
      <c r="M48658" s="9" t="s">
        <v>26</v>
      </c>
    </row>
    <row r="48659" ht="15.75" customHeight="1">
      <c r="A48659" s="7"/>
      <c r="B48659" s="7"/>
      <c r="M48659" s="9" t="s">
        <v>24</v>
      </c>
    </row>
    <row r="48660" ht="15.75" customHeight="1">
      <c r="A48660" s="7"/>
      <c r="B48660" s="7"/>
      <c r="M48660" s="9" t="s">
        <v>21</v>
      </c>
    </row>
    <row r="48661" ht="15.75" customHeight="1">
      <c r="A48661" s="7"/>
      <c r="B48661" s="7"/>
      <c r="M48661" s="9" t="s">
        <v>37</v>
      </c>
    </row>
    <row r="48662" ht="15.75" customHeight="1">
      <c r="A48662" s="7"/>
      <c r="B48662" s="7"/>
      <c r="M48662" s="9" t="s">
        <v>27</v>
      </c>
    </row>
    <row r="48663" ht="15.75" customHeight="1">
      <c r="A48663" s="7"/>
      <c r="B48663" s="7"/>
      <c r="M48663" s="9" t="s">
        <v>33</v>
      </c>
    </row>
    <row r="48664" ht="15.75" customHeight="1">
      <c r="A48664" s="7"/>
      <c r="B48664" s="7"/>
      <c r="M48664" s="9" t="s">
        <v>20</v>
      </c>
    </row>
    <row r="48665" ht="15.75" customHeight="1">
      <c r="A48665" s="7"/>
      <c r="B48665" s="7"/>
      <c r="M48665" s="9" t="s">
        <v>21</v>
      </c>
    </row>
    <row r="48666" ht="15.75" customHeight="1">
      <c r="A48666" s="7"/>
      <c r="B48666" s="7"/>
      <c r="M48666" s="9" t="s">
        <v>27</v>
      </c>
    </row>
    <row r="48667" ht="15.75" customHeight="1">
      <c r="A48667" s="7"/>
      <c r="B48667" s="7"/>
      <c r="M48667" s="9" t="s">
        <v>24</v>
      </c>
    </row>
    <row r="48668" ht="15.75" customHeight="1">
      <c r="A48668" s="7"/>
      <c r="B48668" s="7"/>
      <c r="M48668" s="9" t="s">
        <v>21</v>
      </c>
    </row>
    <row r="48669" ht="15.75" customHeight="1">
      <c r="A48669" s="7"/>
      <c r="B48669" s="7"/>
      <c r="M48669" s="9" t="s">
        <v>33</v>
      </c>
    </row>
    <row r="48670" ht="15.75" customHeight="1">
      <c r="A48670" s="7"/>
      <c r="B48670" s="7"/>
      <c r="M48670" s="9" t="s">
        <v>25</v>
      </c>
    </row>
    <row r="48671" ht="15.75" customHeight="1">
      <c r="A48671" s="7"/>
      <c r="B48671" s="7"/>
      <c r="M48671" s="9" t="s">
        <v>23</v>
      </c>
    </row>
    <row r="48672" ht="15.75" customHeight="1">
      <c r="A48672" s="7"/>
      <c r="B48672" s="7"/>
      <c r="M48672" s="9" t="s">
        <v>24</v>
      </c>
    </row>
    <row r="48673" ht="15.75" customHeight="1">
      <c r="A48673" s="7"/>
      <c r="B48673" s="7"/>
      <c r="M48673" s="9" t="s">
        <v>21</v>
      </c>
    </row>
    <row r="48674" ht="15.75" customHeight="1">
      <c r="A48674" s="7"/>
      <c r="B48674" s="7"/>
      <c r="M48674" s="9" t="s">
        <v>37</v>
      </c>
    </row>
    <row r="48675" ht="15.75" customHeight="1">
      <c r="A48675" s="7"/>
      <c r="B48675" s="7"/>
      <c r="M48675" s="9" t="s">
        <v>22</v>
      </c>
    </row>
    <row r="48676" ht="15.75" customHeight="1">
      <c r="A48676" s="7"/>
      <c r="B48676" s="7"/>
      <c r="M48676" s="9" t="s">
        <v>33</v>
      </c>
    </row>
    <row r="48677" ht="15.75" customHeight="1">
      <c r="A48677" s="7"/>
      <c r="B48677" s="7"/>
      <c r="M48677" s="9" t="s">
        <v>24</v>
      </c>
    </row>
    <row r="48678" ht="15.75" customHeight="1">
      <c r="A48678" s="7"/>
      <c r="B48678" s="7"/>
      <c r="M48678" s="9" t="s">
        <v>37</v>
      </c>
    </row>
    <row r="48679" ht="15.75" customHeight="1">
      <c r="A48679" s="7"/>
      <c r="B48679" s="7"/>
      <c r="M48679" s="9" t="s">
        <v>27</v>
      </c>
    </row>
    <row r="48680" ht="15.75" customHeight="1">
      <c r="A48680" s="7"/>
      <c r="B48680" s="7"/>
      <c r="M48680" s="9" t="s">
        <v>26</v>
      </c>
    </row>
    <row r="48681" ht="15.75" customHeight="1">
      <c r="A48681" s="7"/>
      <c r="B48681" s="7"/>
      <c r="M48681" s="9" t="s">
        <v>20</v>
      </c>
    </row>
    <row r="48682" ht="15.75" customHeight="1">
      <c r="A48682" s="7"/>
      <c r="B48682" s="7"/>
      <c r="M48682" s="9" t="s">
        <v>21</v>
      </c>
    </row>
    <row r="48683" ht="15.75" customHeight="1">
      <c r="A48683" s="7"/>
      <c r="B48683" s="7"/>
      <c r="M48683" s="9" t="s">
        <v>22</v>
      </c>
    </row>
    <row r="48684" ht="15.75" customHeight="1">
      <c r="A48684" s="7"/>
      <c r="B48684" s="7"/>
      <c r="M48684" s="9" t="s">
        <v>29</v>
      </c>
    </row>
    <row r="48685" ht="15.75" customHeight="1">
      <c r="A48685" s="7"/>
      <c r="B48685" s="7"/>
      <c r="M48685" s="9" t="s">
        <v>27</v>
      </c>
    </row>
    <row r="48686" ht="15.75" customHeight="1">
      <c r="A48686" s="7"/>
      <c r="B48686" s="7"/>
      <c r="M48686" s="9" t="s">
        <v>24</v>
      </c>
    </row>
    <row r="48687" ht="15.75" customHeight="1">
      <c r="A48687" s="7"/>
      <c r="B48687" s="7"/>
      <c r="M48687" s="9" t="s">
        <v>20</v>
      </c>
    </row>
    <row r="48688" ht="15.75" customHeight="1">
      <c r="A48688" s="7"/>
      <c r="B48688" s="7"/>
      <c r="M48688" s="9" t="s">
        <v>21</v>
      </c>
    </row>
    <row r="48689" ht="15.75" customHeight="1">
      <c r="A48689" s="7"/>
      <c r="B48689" s="7"/>
      <c r="M48689" s="9" t="s">
        <v>22</v>
      </c>
    </row>
    <row r="48690" ht="15.75" customHeight="1">
      <c r="A48690" s="7"/>
      <c r="B48690" s="7"/>
      <c r="M48690" s="9" t="s">
        <v>27</v>
      </c>
    </row>
    <row r="48691" ht="15.75" customHeight="1">
      <c r="A48691" s="7"/>
      <c r="B48691" s="7"/>
      <c r="M48691" s="9" t="s">
        <v>42</v>
      </c>
    </row>
    <row r="48692" ht="15.75" customHeight="1">
      <c r="A48692" s="7"/>
      <c r="B48692" s="7"/>
      <c r="M48692" s="9" t="s">
        <v>21</v>
      </c>
    </row>
    <row r="48693" ht="15.75" customHeight="1">
      <c r="A48693" s="7"/>
      <c r="B48693" s="7"/>
      <c r="M48693" s="9" t="s">
        <v>31</v>
      </c>
    </row>
    <row r="48694" ht="15.75" customHeight="1">
      <c r="A48694" s="7"/>
      <c r="B48694" s="7"/>
      <c r="M48694" s="9" t="s">
        <v>27</v>
      </c>
    </row>
    <row r="48695" ht="15.75" customHeight="1">
      <c r="A48695" s="7"/>
      <c r="B48695" s="7"/>
      <c r="M48695" s="9" t="s">
        <v>30</v>
      </c>
    </row>
    <row r="48696" ht="15.75" customHeight="1">
      <c r="A48696" s="7"/>
      <c r="B48696" s="7"/>
      <c r="M48696" s="9" t="s">
        <v>23</v>
      </c>
    </row>
    <row r="48697" ht="15.75" customHeight="1">
      <c r="A48697" s="7"/>
      <c r="B48697" s="7"/>
      <c r="M48697" s="9" t="s">
        <v>26</v>
      </c>
    </row>
    <row r="48698" ht="15.75" customHeight="1">
      <c r="A48698" s="7"/>
      <c r="B48698" s="7"/>
      <c r="M48698" s="9" t="s">
        <v>45</v>
      </c>
    </row>
    <row r="48699" ht="15.75" customHeight="1">
      <c r="A48699" s="7"/>
      <c r="B48699" s="7"/>
      <c r="M48699" s="9" t="s">
        <v>24</v>
      </c>
    </row>
    <row r="48700" ht="15.75" customHeight="1">
      <c r="A48700" s="7"/>
      <c r="B48700" s="7"/>
      <c r="M48700" s="9" t="s">
        <v>21</v>
      </c>
    </row>
    <row r="48701" ht="15.75" customHeight="1">
      <c r="A48701" s="7"/>
      <c r="B48701" s="7"/>
      <c r="M48701" s="9" t="s">
        <v>37</v>
      </c>
    </row>
    <row r="48702" ht="15.75" customHeight="1">
      <c r="A48702" s="7"/>
      <c r="B48702" s="7"/>
      <c r="M48702" s="9" t="s">
        <v>22</v>
      </c>
    </row>
    <row r="48703" ht="15.75" customHeight="1">
      <c r="A48703" s="7"/>
      <c r="B48703" s="7"/>
      <c r="M48703" s="9" t="s">
        <v>27</v>
      </c>
    </row>
    <row r="48704" ht="15.75" customHeight="1">
      <c r="A48704" s="7"/>
      <c r="B48704" s="7"/>
      <c r="M48704" s="9" t="s">
        <v>30</v>
      </c>
    </row>
    <row r="48705" ht="15.75" customHeight="1">
      <c r="A48705" s="7"/>
      <c r="B48705" s="7"/>
      <c r="M48705" s="9" t="s">
        <v>22</v>
      </c>
    </row>
    <row r="48706" ht="15.75" customHeight="1">
      <c r="A48706" s="7"/>
      <c r="B48706" s="7"/>
      <c r="M48706" s="9" t="s">
        <v>32</v>
      </c>
    </row>
    <row r="48707" ht="15.75" customHeight="1">
      <c r="A48707" s="7"/>
      <c r="B48707" s="7"/>
      <c r="M48707" s="9" t="s">
        <v>27</v>
      </c>
    </row>
    <row r="48708" ht="15.75" customHeight="1">
      <c r="A48708" s="7"/>
      <c r="B48708" s="7"/>
      <c r="M48708" s="9" t="s">
        <v>24</v>
      </c>
    </row>
    <row r="48709" ht="15.75" customHeight="1">
      <c r="A48709" s="7"/>
      <c r="B48709" s="7"/>
      <c r="M48709" s="9" t="s">
        <v>21</v>
      </c>
    </row>
    <row r="48710" ht="15.75" customHeight="1">
      <c r="A48710" s="7"/>
      <c r="B48710" s="7"/>
      <c r="M48710" s="9" t="s">
        <v>37</v>
      </c>
    </row>
    <row r="48711" ht="15.75" customHeight="1">
      <c r="A48711" s="7"/>
      <c r="B48711" s="7"/>
      <c r="M48711" s="9" t="s">
        <v>33</v>
      </c>
    </row>
    <row r="48712" ht="15.75" customHeight="1">
      <c r="A48712" s="7"/>
      <c r="B48712" s="7"/>
      <c r="M48712" s="9" t="s">
        <v>20</v>
      </c>
    </row>
    <row r="48713" ht="15.75" customHeight="1">
      <c r="A48713" s="7"/>
      <c r="B48713" s="7"/>
      <c r="M48713" s="9" t="s">
        <v>37</v>
      </c>
    </row>
    <row r="48714" ht="15.75" customHeight="1">
      <c r="A48714" s="7"/>
      <c r="B48714" s="7"/>
      <c r="M48714" s="9" t="s">
        <v>27</v>
      </c>
    </row>
    <row r="48715" ht="15.75" customHeight="1">
      <c r="A48715" s="7"/>
      <c r="B48715" s="7"/>
      <c r="M48715" s="9" t="s">
        <v>25</v>
      </c>
    </row>
    <row r="48716" ht="15.75" customHeight="1">
      <c r="A48716" s="7"/>
      <c r="B48716" s="7"/>
      <c r="M48716" s="9" t="s">
        <v>26</v>
      </c>
    </row>
    <row r="48717" ht="15.75" customHeight="1">
      <c r="A48717" s="7"/>
      <c r="B48717" s="7"/>
      <c r="M48717" s="9" t="s">
        <v>24</v>
      </c>
    </row>
    <row r="48718" ht="15.75" customHeight="1">
      <c r="A48718" s="7"/>
      <c r="B48718" s="7"/>
      <c r="M48718" s="9" t="s">
        <v>20</v>
      </c>
    </row>
    <row r="48719" ht="15.75" customHeight="1">
      <c r="A48719" s="7"/>
      <c r="B48719" s="7"/>
      <c r="M48719" s="9" t="s">
        <v>21</v>
      </c>
    </row>
    <row r="48720" ht="15.75" customHeight="1">
      <c r="A48720" s="7"/>
      <c r="B48720" s="7"/>
      <c r="M48720" s="9" t="s">
        <v>27</v>
      </c>
    </row>
    <row r="48721" ht="15.75" customHeight="1">
      <c r="A48721" s="7"/>
      <c r="B48721" s="7"/>
      <c r="M48721" s="9" t="s">
        <v>25</v>
      </c>
    </row>
    <row r="48722" ht="15.75" customHeight="1">
      <c r="A48722" s="7"/>
      <c r="B48722" s="7"/>
      <c r="M48722" s="9" t="s">
        <v>23</v>
      </c>
    </row>
    <row r="48723" ht="15.75" customHeight="1">
      <c r="A48723" s="7"/>
      <c r="B48723" s="7"/>
      <c r="M48723" s="9" t="s">
        <v>24</v>
      </c>
    </row>
    <row r="48724" ht="15.75" customHeight="1">
      <c r="A48724" s="7"/>
      <c r="B48724" s="7"/>
      <c r="M48724" s="9" t="s">
        <v>20</v>
      </c>
    </row>
    <row r="48725" ht="15.75" customHeight="1">
      <c r="A48725" s="7"/>
      <c r="B48725" s="7"/>
      <c r="M48725" s="9" t="s">
        <v>21</v>
      </c>
    </row>
    <row r="48726" ht="15.75" customHeight="1">
      <c r="A48726" s="7"/>
      <c r="B48726" s="7"/>
      <c r="M48726" s="9" t="s">
        <v>37</v>
      </c>
    </row>
    <row r="48727" ht="15.75" customHeight="1">
      <c r="A48727" s="7"/>
      <c r="B48727" s="7"/>
      <c r="M48727" s="9" t="s">
        <v>27</v>
      </c>
    </row>
    <row r="48728" ht="15.75" customHeight="1">
      <c r="A48728" s="7"/>
      <c r="B48728" s="7"/>
      <c r="M48728" s="9" t="s">
        <v>25</v>
      </c>
    </row>
    <row r="48729" ht="15.75" customHeight="1">
      <c r="A48729" s="7"/>
      <c r="B48729" s="7"/>
      <c r="M48729" s="9" t="s">
        <v>23</v>
      </c>
    </row>
    <row r="48730" ht="15.75" customHeight="1">
      <c r="A48730" s="7"/>
      <c r="B48730" s="7"/>
      <c r="M48730" s="9" t="s">
        <v>26</v>
      </c>
    </row>
    <row r="48731" ht="15.75" customHeight="1">
      <c r="A48731" s="7"/>
      <c r="B48731" s="7"/>
      <c r="M48731" s="9" t="s">
        <v>25</v>
      </c>
    </row>
    <row r="48732" ht="15.75" customHeight="1">
      <c r="A48732" s="7"/>
      <c r="B48732" s="7"/>
      <c r="M48732" s="9" t="s">
        <v>36</v>
      </c>
    </row>
    <row r="48733" ht="15.75" customHeight="1">
      <c r="A48733" s="7"/>
      <c r="B48733" s="7"/>
      <c r="M48733" s="9" t="s">
        <v>24</v>
      </c>
    </row>
    <row r="48734" ht="15.75" customHeight="1">
      <c r="A48734" s="7"/>
      <c r="B48734" s="7"/>
      <c r="M48734" s="9" t="s">
        <v>21</v>
      </c>
    </row>
    <row r="48735" ht="15.75" customHeight="1">
      <c r="A48735" s="7"/>
      <c r="B48735" s="7"/>
      <c r="M48735" s="9" t="s">
        <v>37</v>
      </c>
    </row>
    <row r="48736" ht="15.75" customHeight="1">
      <c r="A48736" s="7"/>
      <c r="B48736" s="7"/>
      <c r="M48736" s="9" t="s">
        <v>22</v>
      </c>
    </row>
    <row r="48737" ht="15.75" customHeight="1">
      <c r="A48737" s="7"/>
      <c r="B48737" s="7"/>
      <c r="M48737" s="9" t="s">
        <v>29</v>
      </c>
    </row>
    <row r="48738" ht="15.75" customHeight="1">
      <c r="A48738" s="7"/>
      <c r="B48738" s="7"/>
      <c r="M48738" s="9" t="s">
        <v>27</v>
      </c>
    </row>
    <row r="48739" ht="15.75" customHeight="1">
      <c r="A48739" s="7"/>
      <c r="B48739" s="7"/>
      <c r="M48739" s="9" t="s">
        <v>21</v>
      </c>
    </row>
    <row r="48740" ht="15.75" customHeight="1">
      <c r="A48740" s="7"/>
      <c r="B48740" s="7"/>
      <c r="M48740" s="9" t="s">
        <v>37</v>
      </c>
    </row>
    <row r="48741" ht="15.75" customHeight="1">
      <c r="A48741" s="7"/>
      <c r="B48741" s="7"/>
      <c r="M48741" s="9" t="s">
        <v>39</v>
      </c>
    </row>
    <row r="48742" ht="15.75" customHeight="1">
      <c r="A48742" s="7"/>
      <c r="B48742" s="7"/>
      <c r="M48742" s="9" t="s">
        <v>30</v>
      </c>
    </row>
    <row r="48743" ht="15.75" customHeight="1">
      <c r="A48743" s="7"/>
      <c r="B48743" s="7"/>
      <c r="M48743" s="9" t="s">
        <v>25</v>
      </c>
    </row>
    <row r="48744" ht="15.75" customHeight="1">
      <c r="A48744" s="7"/>
      <c r="B48744" s="7"/>
      <c r="M48744" s="9" t="s">
        <v>23</v>
      </c>
    </row>
    <row r="48745" ht="15.75" customHeight="1">
      <c r="A48745" s="7"/>
      <c r="B48745" s="7"/>
      <c r="M48745" s="9" t="s">
        <v>26</v>
      </c>
    </row>
    <row r="48746" ht="15.75" customHeight="1">
      <c r="A48746" s="7"/>
      <c r="B48746" s="7"/>
      <c r="M48746" s="9" t="s">
        <v>24</v>
      </c>
    </row>
    <row r="48747" ht="15.75" customHeight="1">
      <c r="A48747" s="7"/>
      <c r="B48747" s="7"/>
      <c r="M48747" s="9" t="s">
        <v>21</v>
      </c>
    </row>
    <row r="48748" ht="15.75" customHeight="1">
      <c r="A48748" s="7"/>
      <c r="B48748" s="7"/>
      <c r="M48748" s="9" t="s">
        <v>41</v>
      </c>
    </row>
    <row r="48749" ht="15.75" customHeight="1">
      <c r="A48749" s="7"/>
      <c r="B48749" s="7"/>
      <c r="M48749" s="9" t="s">
        <v>37</v>
      </c>
    </row>
    <row r="48750" ht="15.75" customHeight="1">
      <c r="A48750" s="7"/>
      <c r="B48750" s="7"/>
      <c r="M48750" s="9" t="s">
        <v>22</v>
      </c>
    </row>
    <row r="48751" ht="15.75" customHeight="1">
      <c r="A48751" s="7"/>
      <c r="B48751" s="7"/>
      <c r="M48751" s="9" t="s">
        <v>35</v>
      </c>
    </row>
    <row r="48752" ht="15.75" customHeight="1">
      <c r="A48752" s="7"/>
      <c r="B48752" s="7"/>
      <c r="M48752" s="9" t="s">
        <v>23</v>
      </c>
    </row>
    <row r="48753" ht="15.75" customHeight="1">
      <c r="A48753" s="7"/>
      <c r="B48753" s="7"/>
      <c r="M48753" s="9" t="s">
        <v>44</v>
      </c>
    </row>
    <row r="48754" ht="15.75" customHeight="1">
      <c r="A48754" s="7"/>
      <c r="B48754" s="7"/>
      <c r="M48754" s="9" t="s">
        <v>47</v>
      </c>
    </row>
    <row r="48755" ht="15.75" customHeight="1">
      <c r="A48755" s="7"/>
      <c r="B48755" s="7"/>
      <c r="M48755" s="9" t="s">
        <v>36</v>
      </c>
    </row>
    <row r="48756" ht="15.75" customHeight="1">
      <c r="A48756" s="7"/>
      <c r="B48756" s="7"/>
      <c r="M48756" s="9" t="s">
        <v>24</v>
      </c>
    </row>
    <row r="48757" ht="15.75" customHeight="1">
      <c r="A48757" s="7"/>
      <c r="B48757" s="7"/>
      <c r="M48757" s="9" t="s">
        <v>21</v>
      </c>
    </row>
    <row r="48758" ht="15.75" customHeight="1">
      <c r="A48758" s="7"/>
      <c r="B48758" s="7"/>
      <c r="M48758" s="9" t="s">
        <v>31</v>
      </c>
    </row>
    <row r="48759" ht="15.75" customHeight="1">
      <c r="A48759" s="7"/>
      <c r="B48759" s="7"/>
      <c r="M48759" s="9" t="s">
        <v>40</v>
      </c>
    </row>
    <row r="48760" ht="15.75" customHeight="1">
      <c r="A48760" s="7"/>
      <c r="B48760" s="7"/>
      <c r="M48760" s="9" t="s">
        <v>33</v>
      </c>
    </row>
    <row r="48761" ht="15.75" customHeight="1">
      <c r="A48761" s="7"/>
      <c r="B48761" s="7"/>
      <c r="M48761" s="9" t="s">
        <v>40</v>
      </c>
    </row>
    <row r="48762" ht="15.75" customHeight="1">
      <c r="A48762" s="7"/>
      <c r="B48762" s="7"/>
      <c r="M48762" s="9" t="s">
        <v>24</v>
      </c>
    </row>
    <row r="48763" ht="15.75" customHeight="1">
      <c r="A48763" s="7"/>
      <c r="B48763" s="7"/>
      <c r="M48763" s="9" t="s">
        <v>31</v>
      </c>
    </row>
    <row r="48764" ht="15.75" customHeight="1">
      <c r="A48764" s="7"/>
      <c r="B48764" s="7"/>
      <c r="M48764" s="9" t="s">
        <v>26</v>
      </c>
    </row>
    <row r="48765" ht="15.75" customHeight="1">
      <c r="A48765" s="7"/>
      <c r="B48765" s="7"/>
      <c r="M48765" s="9" t="s">
        <v>20</v>
      </c>
    </row>
    <row r="48766" ht="15.75" customHeight="1">
      <c r="A48766" s="7"/>
      <c r="B48766" s="7"/>
      <c r="M48766" s="9" t="s">
        <v>27</v>
      </c>
    </row>
    <row r="48767" ht="15.75" customHeight="1">
      <c r="A48767" s="7"/>
      <c r="B48767" s="7"/>
      <c r="M48767" s="9" t="s">
        <v>30</v>
      </c>
    </row>
    <row r="48768" ht="15.75" customHeight="1">
      <c r="A48768" s="7"/>
      <c r="B48768" s="7"/>
      <c r="M48768" s="9" t="s">
        <v>24</v>
      </c>
    </row>
    <row r="48769" ht="15.75" customHeight="1">
      <c r="A48769" s="7"/>
      <c r="B48769" s="7"/>
      <c r="M48769" s="9" t="s">
        <v>20</v>
      </c>
    </row>
    <row r="48770" ht="15.75" customHeight="1">
      <c r="A48770" s="7"/>
      <c r="B48770" s="7"/>
      <c r="M48770" s="9" t="s">
        <v>21</v>
      </c>
    </row>
    <row r="48771" ht="15.75" customHeight="1">
      <c r="A48771" s="7"/>
      <c r="B48771" s="7"/>
      <c r="M48771" s="9" t="s">
        <v>33</v>
      </c>
    </row>
    <row r="48772" ht="15.75" customHeight="1">
      <c r="A48772" s="7"/>
      <c r="B48772" s="7"/>
      <c r="M48772" s="9" t="s">
        <v>30</v>
      </c>
    </row>
    <row r="48773" ht="15.75" customHeight="1">
      <c r="A48773" s="7"/>
      <c r="B48773" s="7"/>
      <c r="M48773" s="9" t="s">
        <v>25</v>
      </c>
    </row>
    <row r="48774" ht="15.75" customHeight="1">
      <c r="A48774" s="7"/>
      <c r="B48774" s="7"/>
      <c r="M48774" s="9" t="s">
        <v>23</v>
      </c>
    </row>
    <row r="48775" ht="15.75" customHeight="1">
      <c r="A48775" s="7"/>
      <c r="B48775" s="7"/>
      <c r="M48775" s="9" t="s">
        <v>36</v>
      </c>
    </row>
    <row r="48776" ht="15.75" customHeight="1">
      <c r="A48776" s="7"/>
      <c r="B48776" s="7"/>
      <c r="M48776" s="9" t="s">
        <v>24</v>
      </c>
    </row>
    <row r="48777" ht="15.75" customHeight="1">
      <c r="A48777" s="7"/>
      <c r="B48777" s="7"/>
      <c r="M48777" s="9" t="s">
        <v>21</v>
      </c>
    </row>
    <row r="48778" ht="15.75" customHeight="1">
      <c r="A48778" s="7"/>
      <c r="B48778" s="7"/>
      <c r="M48778" s="9" t="s">
        <v>33</v>
      </c>
    </row>
    <row r="48779" ht="15.75" customHeight="1">
      <c r="A48779" s="7"/>
      <c r="B48779" s="7"/>
      <c r="M48779" s="9" t="s">
        <v>35</v>
      </c>
    </row>
    <row r="48780" ht="15.75" customHeight="1">
      <c r="A48780" s="7"/>
      <c r="B48780" s="7"/>
      <c r="M48780" s="9" t="s">
        <v>20</v>
      </c>
    </row>
    <row r="48781" ht="15.75" customHeight="1">
      <c r="A48781" s="7"/>
      <c r="B48781" s="7"/>
      <c r="M48781" s="9" t="s">
        <v>21</v>
      </c>
    </row>
    <row r="48782" ht="15.75" customHeight="1">
      <c r="A48782" s="7"/>
      <c r="B48782" s="7"/>
      <c r="M48782" s="9" t="s">
        <v>27</v>
      </c>
    </row>
    <row r="48783" ht="15.75" customHeight="1">
      <c r="A48783" s="7"/>
      <c r="B48783" s="7"/>
      <c r="M48783" s="9" t="s">
        <v>40</v>
      </c>
    </row>
    <row r="48784" ht="15.75" customHeight="1">
      <c r="A48784" s="7"/>
      <c r="B48784" s="7"/>
      <c r="M48784" s="9" t="s">
        <v>25</v>
      </c>
    </row>
    <row r="48785" ht="15.75" customHeight="1">
      <c r="A48785" s="7"/>
      <c r="B48785" s="7"/>
      <c r="M48785" s="9" t="s">
        <v>24</v>
      </c>
    </row>
    <row r="48786" ht="15.75" customHeight="1">
      <c r="A48786" s="7"/>
      <c r="B48786" s="7"/>
      <c r="M48786" s="9" t="s">
        <v>21</v>
      </c>
    </row>
    <row r="48787" ht="15.75" customHeight="1">
      <c r="A48787" s="7"/>
      <c r="B48787" s="7"/>
      <c r="M48787" s="9" t="s">
        <v>37</v>
      </c>
    </row>
    <row r="48788" ht="15.75" customHeight="1">
      <c r="A48788" s="7"/>
      <c r="B48788" s="7"/>
      <c r="M48788" s="9" t="s">
        <v>27</v>
      </c>
    </row>
    <row r="48789" ht="15.75" customHeight="1">
      <c r="A48789" s="7"/>
      <c r="B48789" s="7"/>
      <c r="M48789" s="9" t="s">
        <v>23</v>
      </c>
    </row>
    <row r="48790" ht="15.75" customHeight="1">
      <c r="A48790" s="7"/>
      <c r="B48790" s="7"/>
      <c r="M48790" s="9" t="s">
        <v>24</v>
      </c>
    </row>
    <row r="48791" ht="15.75" customHeight="1">
      <c r="A48791" s="7"/>
      <c r="B48791" s="7"/>
      <c r="M48791" s="9" t="s">
        <v>20</v>
      </c>
    </row>
    <row r="48792" ht="15.75" customHeight="1">
      <c r="A48792" s="7"/>
      <c r="B48792" s="7"/>
      <c r="M48792" s="9" t="s">
        <v>21</v>
      </c>
    </row>
    <row r="48793" ht="15.75" customHeight="1">
      <c r="A48793" s="7"/>
      <c r="B48793" s="7"/>
      <c r="M48793" s="9" t="s">
        <v>41</v>
      </c>
    </row>
    <row r="48794" ht="15.75" customHeight="1">
      <c r="A48794" s="7"/>
      <c r="B48794" s="7"/>
      <c r="M48794" s="9" t="s">
        <v>40</v>
      </c>
    </row>
    <row r="48795" ht="15.75" customHeight="1">
      <c r="A48795" s="7"/>
      <c r="B48795" s="7"/>
      <c r="M48795" s="9" t="s">
        <v>23</v>
      </c>
    </row>
    <row r="48796" ht="15.75" customHeight="1">
      <c r="A48796" s="7"/>
      <c r="B48796" s="7"/>
      <c r="M48796" s="9" t="s">
        <v>20</v>
      </c>
    </row>
    <row r="48797" ht="15.75" customHeight="1">
      <c r="A48797" s="7"/>
      <c r="B48797" s="7"/>
      <c r="M48797" s="9" t="s">
        <v>22</v>
      </c>
    </row>
    <row r="48798" ht="15.75" customHeight="1">
      <c r="A48798" s="7"/>
      <c r="B48798" s="7"/>
      <c r="M48798" s="9" t="s">
        <v>21</v>
      </c>
    </row>
    <row r="48799" ht="15.75" customHeight="1">
      <c r="A48799" s="7"/>
      <c r="B48799" s="7"/>
      <c r="M48799" s="9" t="s">
        <v>33</v>
      </c>
    </row>
    <row r="48800" ht="15.75" customHeight="1">
      <c r="A48800" s="7"/>
      <c r="B48800" s="7"/>
      <c r="M48800" s="9" t="s">
        <v>30</v>
      </c>
    </row>
    <row r="48801" ht="15.75" customHeight="1">
      <c r="A48801" s="7"/>
      <c r="B48801" s="7"/>
      <c r="M48801" s="9" t="s">
        <v>24</v>
      </c>
    </row>
    <row r="48802" ht="15.75" customHeight="1">
      <c r="A48802" s="7"/>
      <c r="B48802" s="7"/>
      <c r="M48802" s="9" t="s">
        <v>22</v>
      </c>
    </row>
    <row r="48803" ht="15.75" customHeight="1">
      <c r="A48803" s="7"/>
      <c r="B48803" s="7"/>
      <c r="M48803" s="9" t="s">
        <v>27</v>
      </c>
    </row>
    <row r="48804" ht="15.75" customHeight="1">
      <c r="A48804" s="7"/>
      <c r="B48804" s="7"/>
      <c r="M48804" s="9" t="s">
        <v>30</v>
      </c>
    </row>
    <row r="48805" ht="15.75" customHeight="1">
      <c r="A48805" s="7"/>
      <c r="B48805" s="7"/>
      <c r="M48805" s="9" t="s">
        <v>25</v>
      </c>
    </row>
    <row r="48806" ht="15.75" customHeight="1">
      <c r="A48806" s="7"/>
      <c r="B48806" s="7"/>
      <c r="M48806" s="9" t="s">
        <v>23</v>
      </c>
    </row>
    <row r="48807" ht="15.75" customHeight="1">
      <c r="A48807" s="7"/>
      <c r="B48807" s="7"/>
      <c r="M48807" s="9" t="s">
        <v>30</v>
      </c>
    </row>
    <row r="48808" ht="15.75" customHeight="1">
      <c r="A48808" s="7"/>
      <c r="B48808" s="7"/>
      <c r="M48808" s="9" t="s">
        <v>20</v>
      </c>
    </row>
    <row r="48809" ht="15.75" customHeight="1">
      <c r="A48809" s="7"/>
      <c r="B48809" s="7"/>
      <c r="M48809" s="9" t="s">
        <v>22</v>
      </c>
    </row>
    <row r="48810" ht="15.75" customHeight="1">
      <c r="A48810" s="7"/>
      <c r="B48810" s="7"/>
      <c r="M48810" s="9" t="s">
        <v>27</v>
      </c>
    </row>
    <row r="48811" ht="15.75" customHeight="1">
      <c r="A48811" s="7"/>
      <c r="B48811" s="7"/>
      <c r="M48811" s="9" t="s">
        <v>24</v>
      </c>
    </row>
    <row r="48812" ht="15.75" customHeight="1">
      <c r="A48812" s="7"/>
      <c r="B48812" s="7"/>
      <c r="M48812" s="9" t="s">
        <v>33</v>
      </c>
    </row>
    <row r="48813" ht="15.75" customHeight="1">
      <c r="A48813" s="7"/>
      <c r="B48813" s="7"/>
      <c r="M48813" s="9" t="s">
        <v>24</v>
      </c>
    </row>
    <row r="48814" ht="15.75" customHeight="1">
      <c r="A48814" s="7"/>
      <c r="B48814" s="7"/>
      <c r="M48814" s="9" t="s">
        <v>21</v>
      </c>
    </row>
    <row r="48815" ht="15.75" customHeight="1">
      <c r="A48815" s="7"/>
      <c r="B48815" s="7"/>
      <c r="M48815" s="9" t="s">
        <v>31</v>
      </c>
    </row>
    <row r="48816" ht="15.75" customHeight="1">
      <c r="A48816" s="7"/>
      <c r="B48816" s="7"/>
      <c r="M48816" s="9" t="s">
        <v>30</v>
      </c>
    </row>
    <row r="48817" ht="15.75" customHeight="1">
      <c r="A48817" s="7"/>
      <c r="B48817" s="7"/>
      <c r="M48817" s="9" t="s">
        <v>25</v>
      </c>
    </row>
    <row r="48818" ht="15.75" customHeight="1">
      <c r="A48818" s="7"/>
      <c r="B48818" s="7"/>
      <c r="M48818" s="9" t="s">
        <v>23</v>
      </c>
    </row>
    <row r="48819" ht="15.75" customHeight="1">
      <c r="A48819" s="7"/>
      <c r="B48819" s="7"/>
      <c r="M48819" s="9" t="s">
        <v>20</v>
      </c>
    </row>
    <row r="48820" ht="15.75" customHeight="1">
      <c r="A48820" s="7"/>
      <c r="B48820" s="7"/>
      <c r="M48820" s="9" t="s">
        <v>31</v>
      </c>
    </row>
    <row r="48821" ht="15.75" customHeight="1">
      <c r="A48821" s="7"/>
      <c r="B48821" s="7"/>
      <c r="M48821" s="9" t="s">
        <v>46</v>
      </c>
    </row>
    <row r="48822" ht="15.75" customHeight="1">
      <c r="A48822" s="7"/>
      <c r="B48822" s="7"/>
      <c r="M48822" s="9" t="s">
        <v>27</v>
      </c>
    </row>
    <row r="48823" ht="15.75" customHeight="1">
      <c r="A48823" s="7"/>
      <c r="B48823" s="7"/>
      <c r="M48823" s="9" t="s">
        <v>26</v>
      </c>
    </row>
    <row r="48824" ht="15.75" customHeight="1">
      <c r="A48824" s="7"/>
      <c r="B48824" s="7"/>
      <c r="M48824" s="9" t="s">
        <v>24</v>
      </c>
    </row>
    <row r="48825" ht="15.75" customHeight="1">
      <c r="A48825" s="7"/>
      <c r="B48825" s="7"/>
      <c r="M48825" s="9" t="s">
        <v>20</v>
      </c>
    </row>
    <row r="48826" ht="15.75" customHeight="1">
      <c r="A48826" s="7"/>
      <c r="B48826" s="7"/>
      <c r="M48826" s="9" t="s">
        <v>21</v>
      </c>
    </row>
    <row r="48827" ht="15.75" customHeight="1">
      <c r="A48827" s="7"/>
      <c r="B48827" s="7"/>
      <c r="M48827" s="9" t="s">
        <v>27</v>
      </c>
    </row>
    <row r="48828" ht="15.75" customHeight="1">
      <c r="A48828" s="7"/>
      <c r="B48828" s="7"/>
      <c r="M48828" s="9" t="s">
        <v>30</v>
      </c>
    </row>
    <row r="48829" ht="15.75" customHeight="1">
      <c r="A48829" s="7"/>
      <c r="B48829" s="7"/>
      <c r="M48829" s="9" t="s">
        <v>24</v>
      </c>
    </row>
    <row r="48830" ht="15.75" customHeight="1">
      <c r="A48830" s="7"/>
      <c r="B48830" s="7"/>
      <c r="M48830" s="9" t="s">
        <v>21</v>
      </c>
    </row>
    <row r="48831" ht="15.75" customHeight="1">
      <c r="A48831" s="7"/>
      <c r="B48831" s="7"/>
      <c r="M48831" s="9" t="s">
        <v>22</v>
      </c>
    </row>
    <row r="48832" ht="15.75" customHeight="1">
      <c r="A48832" s="7"/>
      <c r="B48832" s="7"/>
      <c r="M48832" s="9" t="s">
        <v>27</v>
      </c>
    </row>
    <row r="48833" ht="15.75" customHeight="1">
      <c r="A48833" s="7"/>
      <c r="B48833" s="7"/>
      <c r="M48833" s="9" t="s">
        <v>33</v>
      </c>
    </row>
    <row r="48834" ht="15.75" customHeight="1">
      <c r="A48834" s="7"/>
      <c r="B48834" s="7"/>
      <c r="M48834" s="9" t="s">
        <v>30</v>
      </c>
    </row>
    <row r="48835" ht="15.75" customHeight="1">
      <c r="A48835" s="7"/>
      <c r="B48835" s="7"/>
      <c r="M48835" s="9" t="s">
        <v>20</v>
      </c>
    </row>
    <row r="48836" ht="15.75" customHeight="1">
      <c r="A48836" s="7"/>
      <c r="B48836" s="7"/>
      <c r="M48836" s="9" t="s">
        <v>29</v>
      </c>
    </row>
    <row r="48837" ht="15.75" customHeight="1">
      <c r="A48837" s="7"/>
      <c r="B48837" s="7"/>
      <c r="M48837" s="9" t="s">
        <v>47</v>
      </c>
    </row>
    <row r="48838" ht="15.75" customHeight="1">
      <c r="A48838" s="7"/>
      <c r="B48838" s="7"/>
      <c r="M48838" s="9" t="s">
        <v>24</v>
      </c>
    </row>
    <row r="48839" ht="15.75" customHeight="1">
      <c r="A48839" s="7"/>
      <c r="B48839" s="7"/>
      <c r="M48839" s="9" t="s">
        <v>20</v>
      </c>
    </row>
    <row r="48840" ht="15.75" customHeight="1">
      <c r="A48840" s="7"/>
      <c r="B48840" s="7"/>
      <c r="M48840" s="9" t="s">
        <v>21</v>
      </c>
    </row>
    <row r="48841" ht="15.75" customHeight="1">
      <c r="A48841" s="7"/>
      <c r="B48841" s="7"/>
      <c r="M48841" s="9" t="s">
        <v>39</v>
      </c>
    </row>
    <row r="48842" ht="15.75" customHeight="1">
      <c r="A48842" s="7"/>
      <c r="B48842" s="7"/>
      <c r="M48842" s="9" t="s">
        <v>41</v>
      </c>
    </row>
    <row r="48843" ht="15.75" customHeight="1">
      <c r="A48843" s="7"/>
      <c r="B48843" s="7"/>
      <c r="M48843" s="9" t="s">
        <v>37</v>
      </c>
    </row>
    <row r="48844" ht="15.75" customHeight="1">
      <c r="A48844" s="7"/>
      <c r="B48844" s="7"/>
      <c r="M48844" s="9" t="s">
        <v>22</v>
      </c>
    </row>
    <row r="48845" ht="15.75" customHeight="1">
      <c r="A48845" s="7"/>
      <c r="B48845" s="7"/>
      <c r="M48845" s="9" t="s">
        <v>27</v>
      </c>
    </row>
    <row r="48846" ht="15.75" customHeight="1">
      <c r="A48846" s="7"/>
      <c r="B48846" s="7"/>
      <c r="M48846" s="9" t="s">
        <v>40</v>
      </c>
    </row>
    <row r="48847" ht="15.75" customHeight="1">
      <c r="A48847" s="7"/>
      <c r="B48847" s="7"/>
      <c r="M48847" s="9" t="s">
        <v>26</v>
      </c>
    </row>
    <row r="48848" ht="15.75" customHeight="1">
      <c r="A48848" s="7"/>
      <c r="B48848" s="7"/>
      <c r="M48848" s="9" t="s">
        <v>24</v>
      </c>
    </row>
    <row r="48849" ht="15.75" customHeight="1">
      <c r="A48849" s="7"/>
      <c r="B48849" s="7"/>
      <c r="M48849" s="9" t="s">
        <v>21</v>
      </c>
    </row>
    <row r="48850" ht="15.75" customHeight="1">
      <c r="A48850" s="7"/>
      <c r="B48850" s="7"/>
      <c r="M48850" s="9" t="s">
        <v>26</v>
      </c>
    </row>
    <row r="48851" ht="15.75" customHeight="1">
      <c r="A48851" s="7"/>
      <c r="B48851" s="7"/>
      <c r="M48851" s="9" t="s">
        <v>22</v>
      </c>
    </row>
    <row r="48852" ht="15.75" customHeight="1">
      <c r="A48852" s="7"/>
      <c r="B48852" s="7"/>
      <c r="M48852" s="9" t="s">
        <v>26</v>
      </c>
    </row>
    <row r="48853" ht="15.75" customHeight="1">
      <c r="A48853" s="7"/>
      <c r="B48853" s="7"/>
      <c r="M48853" s="9" t="s">
        <v>24</v>
      </c>
    </row>
    <row r="48854" ht="15.75" customHeight="1">
      <c r="A48854" s="7"/>
      <c r="B48854" s="7"/>
      <c r="M48854" s="9" t="s">
        <v>21</v>
      </c>
    </row>
    <row r="48855" ht="15.75" customHeight="1">
      <c r="A48855" s="7"/>
      <c r="B48855" s="7"/>
      <c r="M48855" s="9" t="s">
        <v>22</v>
      </c>
    </row>
    <row r="48856" ht="15.75" customHeight="1">
      <c r="A48856" s="7"/>
      <c r="B48856" s="7"/>
      <c r="M48856" s="9" t="s">
        <v>27</v>
      </c>
    </row>
    <row r="48857" ht="15.75" customHeight="1">
      <c r="A48857" s="7"/>
      <c r="B48857" s="7"/>
      <c r="M48857" s="9" t="s">
        <v>30</v>
      </c>
    </row>
    <row r="48858" ht="15.75" customHeight="1">
      <c r="A48858" s="7"/>
      <c r="B48858" s="7"/>
      <c r="M48858" s="9" t="s">
        <v>36</v>
      </c>
    </row>
    <row r="48859" ht="15.75" customHeight="1">
      <c r="A48859" s="7"/>
      <c r="B48859" s="7"/>
      <c r="M48859" s="9" t="s">
        <v>24</v>
      </c>
    </row>
    <row r="48860" ht="15.75" customHeight="1">
      <c r="A48860" s="7"/>
      <c r="B48860" s="7"/>
      <c r="M48860" s="9" t="s">
        <v>21</v>
      </c>
    </row>
    <row r="48861" ht="15.75" customHeight="1">
      <c r="A48861" s="7"/>
      <c r="B48861" s="7"/>
      <c r="M48861" s="9" t="s">
        <v>22</v>
      </c>
    </row>
    <row r="48862" ht="15.75" customHeight="1">
      <c r="A48862" s="7"/>
      <c r="B48862" s="7"/>
      <c r="M48862" s="9" t="s">
        <v>29</v>
      </c>
    </row>
    <row r="48863" ht="15.75" customHeight="1">
      <c r="A48863" s="7"/>
      <c r="B48863" s="7"/>
      <c r="M48863" s="9" t="s">
        <v>27</v>
      </c>
    </row>
    <row r="48864" ht="15.75" customHeight="1">
      <c r="A48864" s="7"/>
      <c r="B48864" s="7"/>
      <c r="M48864" s="9" t="s">
        <v>25</v>
      </c>
    </row>
    <row r="48865" ht="15.75" customHeight="1">
      <c r="A48865" s="7"/>
      <c r="B48865" s="7"/>
      <c r="M48865" s="9" t="s">
        <v>23</v>
      </c>
    </row>
    <row r="48866" ht="15.75" customHeight="1">
      <c r="A48866" s="7"/>
      <c r="B48866" s="7"/>
      <c r="M48866" s="9" t="s">
        <v>37</v>
      </c>
    </row>
    <row r="48867" ht="15.75" customHeight="1">
      <c r="A48867" s="7"/>
      <c r="B48867" s="7"/>
      <c r="M48867" s="9" t="s">
        <v>27</v>
      </c>
    </row>
    <row r="48868" ht="15.75" customHeight="1">
      <c r="A48868" s="7"/>
      <c r="B48868" s="7"/>
      <c r="M48868" s="9" t="s">
        <v>25</v>
      </c>
    </row>
    <row r="48869" ht="15.75" customHeight="1">
      <c r="A48869" s="7"/>
      <c r="B48869" s="7"/>
      <c r="M48869" s="9" t="s">
        <v>24</v>
      </c>
    </row>
    <row r="48870" ht="15.75" customHeight="1">
      <c r="A48870" s="7"/>
      <c r="B48870" s="7"/>
      <c r="M48870" s="9" t="s">
        <v>20</v>
      </c>
    </row>
    <row r="48871" ht="15.75" customHeight="1">
      <c r="A48871" s="7"/>
      <c r="B48871" s="7"/>
      <c r="M48871" s="9" t="s">
        <v>21</v>
      </c>
    </row>
    <row r="48872" ht="15.75" customHeight="1">
      <c r="A48872" s="7"/>
      <c r="B48872" s="7"/>
      <c r="M48872" s="9" t="s">
        <v>37</v>
      </c>
    </row>
    <row r="48873" ht="15.75" customHeight="1">
      <c r="A48873" s="7"/>
      <c r="B48873" s="7"/>
      <c r="M48873" s="9" t="s">
        <v>27</v>
      </c>
    </row>
    <row r="48874" ht="15.75" customHeight="1">
      <c r="A48874" s="7"/>
      <c r="B48874" s="7"/>
      <c r="M48874" s="9" t="s">
        <v>30</v>
      </c>
    </row>
    <row r="48875" ht="15.75" customHeight="1">
      <c r="A48875" s="7"/>
      <c r="B48875" s="7"/>
      <c r="M48875" s="9" t="s">
        <v>42</v>
      </c>
    </row>
    <row r="48876" ht="15.75" customHeight="1">
      <c r="A48876" s="7"/>
      <c r="B48876" s="7"/>
      <c r="M48876" s="9" t="s">
        <v>24</v>
      </c>
    </row>
    <row r="48877" ht="15.75" customHeight="1">
      <c r="A48877" s="7"/>
      <c r="B48877" s="7"/>
      <c r="M48877" s="9" t="s">
        <v>21</v>
      </c>
    </row>
    <row r="48878" ht="15.75" customHeight="1">
      <c r="A48878" s="7"/>
      <c r="B48878" s="7"/>
      <c r="M48878" s="9" t="s">
        <v>26</v>
      </c>
    </row>
    <row r="48879" ht="15.75" customHeight="1">
      <c r="A48879" s="7"/>
      <c r="B48879" s="7"/>
      <c r="M48879" s="9" t="s">
        <v>26</v>
      </c>
    </row>
    <row r="48880" ht="15.75" customHeight="1">
      <c r="A48880" s="7"/>
      <c r="B48880" s="7"/>
      <c r="M48880" s="9" t="s">
        <v>21</v>
      </c>
    </row>
    <row r="48881" ht="15.75" customHeight="1">
      <c r="A48881" s="7"/>
      <c r="B48881" s="7"/>
      <c r="M48881" s="9" t="s">
        <v>22</v>
      </c>
    </row>
    <row r="48882" ht="15.75" customHeight="1">
      <c r="A48882" s="7"/>
      <c r="B48882" s="7"/>
      <c r="M48882" s="9" t="s">
        <v>27</v>
      </c>
    </row>
    <row r="48883" ht="15.75" customHeight="1">
      <c r="A48883" s="7"/>
      <c r="B48883" s="7"/>
      <c r="M48883" s="9" t="s">
        <v>30</v>
      </c>
    </row>
    <row r="48884" ht="15.75" customHeight="1">
      <c r="A48884" s="7"/>
      <c r="B48884" s="7"/>
      <c r="M48884" s="9" t="s">
        <v>26</v>
      </c>
    </row>
    <row r="48885" ht="15.75" customHeight="1">
      <c r="A48885" s="7"/>
      <c r="B48885" s="7"/>
      <c r="M48885" s="9" t="s">
        <v>47</v>
      </c>
    </row>
    <row r="48886" ht="15.75" customHeight="1">
      <c r="A48886" s="7"/>
      <c r="B48886" s="7"/>
      <c r="M48886" s="9" t="s">
        <v>24</v>
      </c>
    </row>
    <row r="48887" ht="15.75" customHeight="1">
      <c r="A48887" s="7"/>
      <c r="B48887" s="7"/>
      <c r="M48887" s="9" t="s">
        <v>20</v>
      </c>
    </row>
    <row r="48888" ht="15.75" customHeight="1">
      <c r="A48888" s="7"/>
      <c r="B48888" s="7"/>
      <c r="M48888" s="9" t="s">
        <v>24</v>
      </c>
    </row>
    <row r="48889" ht="15.75" customHeight="1">
      <c r="A48889" s="7"/>
      <c r="B48889" s="7"/>
      <c r="M48889" s="9" t="s">
        <v>21</v>
      </c>
    </row>
    <row r="48890" ht="15.75" customHeight="1">
      <c r="A48890" s="7"/>
      <c r="B48890" s="7"/>
      <c r="M48890" s="9" t="s">
        <v>30</v>
      </c>
    </row>
    <row r="48891" ht="15.75" customHeight="1">
      <c r="A48891" s="7"/>
      <c r="B48891" s="7"/>
      <c r="M48891" s="9" t="s">
        <v>22</v>
      </c>
    </row>
    <row r="48892" ht="15.75" customHeight="1">
      <c r="A48892" s="7"/>
      <c r="B48892" s="7"/>
      <c r="M48892" s="9" t="s">
        <v>23</v>
      </c>
    </row>
    <row r="48893" ht="15.75" customHeight="1">
      <c r="A48893" s="7"/>
      <c r="B48893" s="7"/>
      <c r="M48893" s="9" t="s">
        <v>24</v>
      </c>
    </row>
    <row r="48894" ht="15.75" customHeight="1">
      <c r="A48894" s="7"/>
      <c r="B48894" s="7"/>
      <c r="M48894" s="9" t="s">
        <v>20</v>
      </c>
    </row>
    <row r="48895" ht="15.75" customHeight="1">
      <c r="A48895" s="7"/>
      <c r="B48895" s="7"/>
      <c r="M48895" s="9" t="s">
        <v>21</v>
      </c>
    </row>
    <row r="48896" ht="15.75" customHeight="1">
      <c r="A48896" s="7"/>
      <c r="B48896" s="7"/>
      <c r="M48896" s="9" t="s">
        <v>37</v>
      </c>
    </row>
    <row r="48897" ht="15.75" customHeight="1">
      <c r="A48897" s="7"/>
      <c r="B48897" s="7"/>
      <c r="M48897" s="9" t="s">
        <v>22</v>
      </c>
    </row>
    <row r="48898" ht="15.75" customHeight="1">
      <c r="A48898" s="7"/>
      <c r="B48898" s="7"/>
      <c r="M48898" s="9" t="s">
        <v>27</v>
      </c>
    </row>
    <row r="48899" ht="15.75" customHeight="1">
      <c r="A48899" s="7"/>
      <c r="B48899" s="7"/>
      <c r="M48899" s="9" t="s">
        <v>25</v>
      </c>
    </row>
    <row r="48900" ht="15.75" customHeight="1">
      <c r="A48900" s="7"/>
      <c r="B48900" s="7"/>
      <c r="M48900" s="9" t="s">
        <v>23</v>
      </c>
    </row>
    <row r="48901" ht="15.75" customHeight="1">
      <c r="A48901" s="7"/>
      <c r="B48901" s="7"/>
      <c r="M48901" s="9" t="s">
        <v>26</v>
      </c>
    </row>
    <row r="48902" ht="15.75" customHeight="1">
      <c r="A48902" s="7"/>
      <c r="B48902" s="7"/>
      <c r="M48902" s="9" t="s">
        <v>24</v>
      </c>
    </row>
    <row r="48903" ht="15.75" customHeight="1">
      <c r="A48903" s="7"/>
      <c r="B48903" s="7"/>
      <c r="M48903" s="9" t="s">
        <v>20</v>
      </c>
    </row>
    <row r="48904" ht="15.75" customHeight="1">
      <c r="A48904" s="7"/>
      <c r="B48904" s="7"/>
      <c r="M48904" s="9" t="s">
        <v>25</v>
      </c>
    </row>
    <row r="48905" ht="15.75" customHeight="1">
      <c r="A48905" s="7"/>
      <c r="B48905" s="7"/>
      <c r="M48905" s="9" t="s">
        <v>21</v>
      </c>
    </row>
    <row r="48906" ht="15.75" customHeight="1">
      <c r="A48906" s="7"/>
      <c r="B48906" s="7"/>
      <c r="M48906" s="9" t="s">
        <v>41</v>
      </c>
    </row>
    <row r="48907" ht="15.75" customHeight="1">
      <c r="A48907" s="7"/>
      <c r="B48907" s="7"/>
      <c r="M48907" s="9" t="s">
        <v>24</v>
      </c>
    </row>
    <row r="48908" ht="15.75" customHeight="1">
      <c r="A48908" s="7"/>
      <c r="B48908" s="7"/>
      <c r="M48908" s="9" t="s">
        <v>21</v>
      </c>
    </row>
    <row r="48909" ht="15.75" customHeight="1">
      <c r="A48909" s="7"/>
      <c r="B48909" s="7"/>
      <c r="M48909" s="9" t="s">
        <v>37</v>
      </c>
    </row>
    <row r="48910" ht="15.75" customHeight="1">
      <c r="A48910" s="7"/>
      <c r="B48910" s="7"/>
      <c r="M48910" s="9" t="s">
        <v>27</v>
      </c>
    </row>
    <row r="48911" ht="15.75" customHeight="1">
      <c r="A48911" s="7"/>
      <c r="B48911" s="7"/>
      <c r="M48911" s="9" t="s">
        <v>25</v>
      </c>
    </row>
    <row r="48912" ht="15.75" customHeight="1">
      <c r="A48912" s="7"/>
      <c r="B48912" s="7"/>
      <c r="M48912" s="9" t="s">
        <v>23</v>
      </c>
    </row>
    <row r="48913" ht="15.75" customHeight="1">
      <c r="A48913" s="7"/>
      <c r="B48913" s="7"/>
      <c r="M48913" s="9" t="s">
        <v>24</v>
      </c>
    </row>
    <row r="48914" ht="15.75" customHeight="1">
      <c r="A48914" s="7"/>
      <c r="B48914" s="7"/>
      <c r="M48914" s="9" t="s">
        <v>20</v>
      </c>
    </row>
    <row r="48915" ht="15.75" customHeight="1">
      <c r="A48915" s="7"/>
      <c r="B48915" s="7"/>
      <c r="M48915" s="9" t="s">
        <v>21</v>
      </c>
    </row>
    <row r="48916" ht="15.75" customHeight="1">
      <c r="A48916" s="7"/>
      <c r="B48916" s="7"/>
      <c r="M48916" s="9" t="s">
        <v>39</v>
      </c>
    </row>
    <row r="48917" ht="15.75" customHeight="1">
      <c r="A48917" s="7"/>
      <c r="B48917" s="7"/>
      <c r="M48917" s="9" t="s">
        <v>37</v>
      </c>
    </row>
    <row r="48918" ht="15.75" customHeight="1">
      <c r="A48918" s="7"/>
      <c r="B48918" s="7"/>
      <c r="M48918" s="9" t="s">
        <v>22</v>
      </c>
    </row>
    <row r="48919" ht="15.75" customHeight="1">
      <c r="A48919" s="7"/>
      <c r="B48919" s="7"/>
      <c r="M48919" s="9" t="s">
        <v>27</v>
      </c>
    </row>
    <row r="48920" ht="15.75" customHeight="1">
      <c r="A48920" s="7"/>
      <c r="B48920" s="7"/>
      <c r="M48920" s="9" t="s">
        <v>26</v>
      </c>
    </row>
    <row r="48921" ht="15.75" customHeight="1">
      <c r="A48921" s="7"/>
      <c r="B48921" s="7"/>
      <c r="M48921" s="9" t="s">
        <v>20</v>
      </c>
    </row>
    <row r="48922" ht="15.75" customHeight="1">
      <c r="A48922" s="7"/>
      <c r="B48922" s="7"/>
      <c r="M48922" s="9" t="s">
        <v>31</v>
      </c>
    </row>
    <row r="48923" ht="15.75" customHeight="1">
      <c r="A48923" s="7"/>
      <c r="B48923" s="7"/>
      <c r="M48923" s="9" t="s">
        <v>30</v>
      </c>
    </row>
    <row r="48924" ht="15.75" customHeight="1">
      <c r="A48924" s="7"/>
      <c r="B48924" s="7"/>
      <c r="M48924" s="9" t="s">
        <v>24</v>
      </c>
    </row>
    <row r="48925" ht="15.75" customHeight="1">
      <c r="A48925" s="7"/>
      <c r="B48925" s="7"/>
      <c r="M48925" s="9" t="s">
        <v>20</v>
      </c>
    </row>
    <row r="48926" ht="15.75" customHeight="1">
      <c r="A48926" s="7"/>
      <c r="B48926" s="7"/>
      <c r="M48926" s="9" t="s">
        <v>21</v>
      </c>
    </row>
    <row r="48927" ht="15.75" customHeight="1">
      <c r="A48927" s="7"/>
      <c r="B48927" s="7"/>
      <c r="M48927" s="9" t="s">
        <v>39</v>
      </c>
    </row>
    <row r="48928" ht="15.75" customHeight="1">
      <c r="A48928" s="7"/>
      <c r="B48928" s="7"/>
      <c r="M48928" s="9" t="s">
        <v>46</v>
      </c>
    </row>
    <row r="48929" ht="15.75" customHeight="1">
      <c r="A48929" s="7"/>
      <c r="B48929" s="7"/>
      <c r="M48929" s="9" t="s">
        <v>30</v>
      </c>
    </row>
    <row r="48930" ht="15.75" customHeight="1">
      <c r="A48930" s="7"/>
      <c r="B48930" s="7"/>
      <c r="M48930" s="9" t="s">
        <v>26</v>
      </c>
    </row>
    <row r="48931" ht="15.75" customHeight="1">
      <c r="A48931" s="7"/>
      <c r="B48931" s="7"/>
      <c r="M48931" s="9" t="s">
        <v>20</v>
      </c>
    </row>
    <row r="48932" ht="15.75" customHeight="1">
      <c r="A48932" s="7"/>
      <c r="B48932" s="7"/>
      <c r="M48932" s="9" t="s">
        <v>41</v>
      </c>
    </row>
    <row r="48933" ht="15.75" customHeight="1">
      <c r="A48933" s="7"/>
      <c r="B48933" s="7"/>
      <c r="M48933" s="9" t="s">
        <v>24</v>
      </c>
    </row>
    <row r="48934" ht="15.75" customHeight="1">
      <c r="A48934" s="7"/>
      <c r="B48934" s="7"/>
      <c r="M48934" s="9" t="s">
        <v>21</v>
      </c>
    </row>
    <row r="48935" ht="15.75" customHeight="1">
      <c r="A48935" s="7"/>
      <c r="B48935" s="7"/>
      <c r="M48935" s="9" t="s">
        <v>25</v>
      </c>
    </row>
    <row r="48936" ht="15.75" customHeight="1">
      <c r="A48936" s="7"/>
      <c r="B48936" s="7"/>
      <c r="M48936" s="9" t="s">
        <v>23</v>
      </c>
    </row>
    <row r="48937" ht="15.75" customHeight="1">
      <c r="A48937" s="7"/>
      <c r="B48937" s="7"/>
      <c r="M48937" s="9" t="s">
        <v>26</v>
      </c>
    </row>
    <row r="48938" ht="15.75" customHeight="1">
      <c r="A48938" s="7"/>
      <c r="B48938" s="7"/>
      <c r="M48938" s="9" t="s">
        <v>24</v>
      </c>
    </row>
    <row r="48939" ht="15.75" customHeight="1">
      <c r="A48939" s="7"/>
      <c r="B48939" s="7"/>
      <c r="M48939" s="9" t="s">
        <v>20</v>
      </c>
    </row>
    <row r="48940" ht="15.75" customHeight="1">
      <c r="A48940" s="7"/>
      <c r="B48940" s="7"/>
      <c r="M48940" s="9" t="s">
        <v>21</v>
      </c>
    </row>
    <row r="48941" ht="15.75" customHeight="1">
      <c r="A48941" s="7"/>
      <c r="B48941" s="7"/>
      <c r="M48941" s="9" t="s">
        <v>37</v>
      </c>
    </row>
    <row r="48942" ht="15.75" customHeight="1">
      <c r="A48942" s="7"/>
      <c r="B48942" s="7"/>
      <c r="M48942" s="9" t="s">
        <v>22</v>
      </c>
    </row>
    <row r="48943" ht="15.75" customHeight="1">
      <c r="A48943" s="7"/>
      <c r="B48943" s="7"/>
      <c r="M48943" s="9" t="s">
        <v>29</v>
      </c>
    </row>
    <row r="48944" ht="15.75" customHeight="1">
      <c r="A48944" s="7"/>
      <c r="B48944" s="7"/>
      <c r="M48944" s="9" t="s">
        <v>27</v>
      </c>
    </row>
    <row r="48945" ht="15.75" customHeight="1">
      <c r="A48945" s="7"/>
      <c r="B48945" s="7"/>
      <c r="M48945" s="9" t="s">
        <v>25</v>
      </c>
    </row>
    <row r="48946" ht="15.75" customHeight="1">
      <c r="A48946" s="7"/>
      <c r="B48946" s="7"/>
      <c r="M48946" s="9" t="s">
        <v>23</v>
      </c>
    </row>
    <row r="48947" ht="15.75" customHeight="1">
      <c r="A48947" s="7"/>
      <c r="B48947" s="7"/>
      <c r="M48947" s="9" t="s">
        <v>20</v>
      </c>
    </row>
    <row r="48948" ht="15.75" customHeight="1">
      <c r="A48948" s="7"/>
      <c r="B48948" s="7"/>
      <c r="M48948" s="9" t="s">
        <v>21</v>
      </c>
    </row>
    <row r="48949" ht="15.75" customHeight="1">
      <c r="A48949" s="7"/>
      <c r="B48949" s="7"/>
      <c r="M48949" s="9" t="s">
        <v>39</v>
      </c>
    </row>
    <row r="48950" ht="15.75" customHeight="1">
      <c r="A48950" s="7"/>
      <c r="B48950" s="7"/>
      <c r="M48950" s="9" t="s">
        <v>24</v>
      </c>
    </row>
    <row r="48951" ht="15.75" customHeight="1">
      <c r="A48951" s="7"/>
      <c r="B48951" s="7"/>
      <c r="M48951" s="9" t="s">
        <v>21</v>
      </c>
    </row>
    <row r="48952" ht="15.75" customHeight="1">
      <c r="A48952" s="7"/>
      <c r="B48952" s="7"/>
      <c r="M48952" s="9" t="s">
        <v>37</v>
      </c>
    </row>
    <row r="48953" ht="15.75" customHeight="1">
      <c r="A48953" s="7"/>
      <c r="B48953" s="7"/>
      <c r="M48953" s="9" t="s">
        <v>24</v>
      </c>
    </row>
    <row r="48954" ht="15.75" customHeight="1">
      <c r="A48954" s="7"/>
      <c r="B48954" s="7"/>
      <c r="M48954" s="9" t="s">
        <v>20</v>
      </c>
    </row>
    <row r="48955" ht="15.75" customHeight="1">
      <c r="A48955" s="7"/>
      <c r="B48955" s="7"/>
      <c r="M48955" s="9" t="s">
        <v>21</v>
      </c>
    </row>
    <row r="48956" ht="15.75" customHeight="1">
      <c r="A48956" s="7"/>
      <c r="B48956" s="7"/>
      <c r="M48956" s="9" t="s">
        <v>26</v>
      </c>
    </row>
    <row r="48957" ht="15.75" customHeight="1">
      <c r="A48957" s="7"/>
      <c r="B48957" s="7"/>
      <c r="M48957" s="9" t="s">
        <v>24</v>
      </c>
    </row>
    <row r="48958" ht="15.75" customHeight="1">
      <c r="A48958" s="7"/>
      <c r="B48958" s="7"/>
      <c r="M48958" s="9" t="s">
        <v>21</v>
      </c>
    </row>
    <row r="48959" ht="15.75" customHeight="1">
      <c r="A48959" s="7"/>
      <c r="B48959" s="7"/>
      <c r="M48959" s="9" t="s">
        <v>37</v>
      </c>
    </row>
    <row r="48960" ht="15.75" customHeight="1">
      <c r="A48960" s="7"/>
      <c r="B48960" s="7"/>
      <c r="M48960" s="9" t="s">
        <v>35</v>
      </c>
    </row>
    <row r="48961" ht="15.75" customHeight="1">
      <c r="A48961" s="7"/>
      <c r="B48961" s="7"/>
      <c r="M48961" s="9" t="s">
        <v>30</v>
      </c>
    </row>
    <row r="48962" ht="15.75" customHeight="1">
      <c r="A48962" s="7"/>
      <c r="B48962" s="7"/>
      <c r="M48962" s="9" t="s">
        <v>24</v>
      </c>
    </row>
    <row r="48963" ht="15.75" customHeight="1">
      <c r="A48963" s="7"/>
      <c r="B48963" s="7"/>
      <c r="M48963" s="9" t="s">
        <v>20</v>
      </c>
    </row>
    <row r="48964" ht="15.75" customHeight="1">
      <c r="A48964" s="7"/>
      <c r="B48964" s="7"/>
      <c r="M48964" s="9" t="s">
        <v>21</v>
      </c>
    </row>
    <row r="48965" ht="15.75" customHeight="1">
      <c r="A48965" s="7"/>
      <c r="B48965" s="7"/>
      <c r="M48965" s="9" t="s">
        <v>22</v>
      </c>
    </row>
    <row r="48966" ht="15.75" customHeight="1">
      <c r="A48966" s="7"/>
      <c r="B48966" s="7"/>
      <c r="M48966" s="9" t="s">
        <v>29</v>
      </c>
    </row>
    <row r="48967" ht="15.75" customHeight="1">
      <c r="A48967" s="7"/>
      <c r="B48967" s="7"/>
      <c r="M48967" s="9" t="s">
        <v>46</v>
      </c>
    </row>
    <row r="48968" ht="15.75" customHeight="1">
      <c r="A48968" s="7"/>
      <c r="B48968" s="7"/>
      <c r="M48968" s="9" t="s">
        <v>27</v>
      </c>
    </row>
    <row r="48969" ht="15.75" customHeight="1">
      <c r="A48969" s="7"/>
      <c r="B48969" s="7"/>
      <c r="M48969" s="9" t="s">
        <v>33</v>
      </c>
    </row>
    <row r="48970" ht="15.75" customHeight="1">
      <c r="A48970" s="7"/>
      <c r="B48970" s="7"/>
      <c r="M48970" s="9" t="s">
        <v>24</v>
      </c>
    </row>
    <row r="48971" ht="15.75" customHeight="1">
      <c r="A48971" s="7"/>
      <c r="B48971" s="7"/>
      <c r="M48971" s="9" t="s">
        <v>20</v>
      </c>
    </row>
    <row r="48972" ht="15.75" customHeight="1">
      <c r="A48972" s="7"/>
      <c r="B48972" s="7"/>
      <c r="M48972" s="9" t="s">
        <v>24</v>
      </c>
    </row>
    <row r="48973" ht="15.75" customHeight="1">
      <c r="A48973" s="7"/>
      <c r="B48973" s="7"/>
      <c r="M48973" s="9" t="s">
        <v>21</v>
      </c>
    </row>
    <row r="48974" ht="15.75" customHeight="1">
      <c r="A48974" s="7"/>
      <c r="B48974" s="7"/>
      <c r="M48974" s="9" t="s">
        <v>37</v>
      </c>
    </row>
    <row r="48975" ht="15.75" customHeight="1">
      <c r="A48975" s="7"/>
      <c r="B48975" s="7"/>
      <c r="M48975" s="9" t="s">
        <v>24</v>
      </c>
    </row>
    <row r="48976" ht="15.75" customHeight="1">
      <c r="A48976" s="7"/>
      <c r="B48976" s="7"/>
      <c r="M48976" s="9" t="s">
        <v>20</v>
      </c>
    </row>
    <row r="48977" ht="15.75" customHeight="1">
      <c r="A48977" s="7"/>
      <c r="B48977" s="7"/>
      <c r="M48977" s="9" t="s">
        <v>21</v>
      </c>
    </row>
    <row r="48978" ht="15.75" customHeight="1">
      <c r="A48978" s="7"/>
      <c r="B48978" s="7"/>
      <c r="M48978" s="9" t="s">
        <v>38</v>
      </c>
    </row>
    <row r="48979" ht="15.75" customHeight="1">
      <c r="A48979" s="7"/>
      <c r="B48979" s="7"/>
      <c r="M48979" s="9" t="s">
        <v>30</v>
      </c>
    </row>
    <row r="48980" ht="15.75" customHeight="1">
      <c r="A48980" s="7"/>
      <c r="B48980" s="7"/>
      <c r="M48980" s="9" t="s">
        <v>25</v>
      </c>
    </row>
    <row r="48981" ht="15.75" customHeight="1">
      <c r="A48981" s="7"/>
      <c r="B48981" s="7"/>
      <c r="M48981" s="9" t="s">
        <v>23</v>
      </c>
    </row>
    <row r="48982" ht="15.75" customHeight="1">
      <c r="A48982" s="7"/>
      <c r="B48982" s="7"/>
      <c r="M48982" s="9" t="s">
        <v>26</v>
      </c>
    </row>
    <row r="48983" ht="15.75" customHeight="1">
      <c r="A48983" s="7"/>
      <c r="B48983" s="7"/>
      <c r="M48983" s="9" t="s">
        <v>24</v>
      </c>
    </row>
    <row r="48984" ht="15.75" customHeight="1">
      <c r="A48984" s="7"/>
      <c r="B48984" s="7"/>
      <c r="M48984" s="9" t="s">
        <v>20</v>
      </c>
    </row>
    <row r="48985" ht="15.75" customHeight="1">
      <c r="A48985" s="7"/>
      <c r="B48985" s="7"/>
      <c r="M48985" s="9" t="s">
        <v>21</v>
      </c>
    </row>
    <row r="48986" ht="15.75" customHeight="1">
      <c r="A48986" s="7"/>
      <c r="B48986" s="7"/>
      <c r="M48986" s="9" t="s">
        <v>22</v>
      </c>
    </row>
    <row r="48987" ht="15.75" customHeight="1">
      <c r="A48987" s="7"/>
      <c r="B48987" s="7"/>
      <c r="M48987" s="9" t="s">
        <v>27</v>
      </c>
    </row>
    <row r="48988" ht="15.75" customHeight="1">
      <c r="A48988" s="7"/>
      <c r="B48988" s="7"/>
      <c r="M48988" s="9" t="s">
        <v>33</v>
      </c>
    </row>
    <row r="48989" ht="15.75" customHeight="1">
      <c r="A48989" s="7"/>
      <c r="B48989" s="7"/>
      <c r="M48989" s="9" t="s">
        <v>30</v>
      </c>
    </row>
    <row r="48990" ht="15.75" customHeight="1">
      <c r="A48990" s="7"/>
      <c r="B48990" s="7"/>
      <c r="M48990" s="9" t="s">
        <v>25</v>
      </c>
    </row>
    <row r="48991" ht="15.75" customHeight="1">
      <c r="A48991" s="7"/>
      <c r="B48991" s="7"/>
      <c r="M48991" s="9" t="s">
        <v>23</v>
      </c>
    </row>
    <row r="48992" ht="15.75" customHeight="1">
      <c r="A48992" s="7"/>
      <c r="B48992" s="7"/>
      <c r="M48992" s="9" t="s">
        <v>24</v>
      </c>
    </row>
    <row r="48993" ht="15.75" customHeight="1">
      <c r="A48993" s="7"/>
      <c r="B48993" s="7"/>
      <c r="M48993" s="9" t="s">
        <v>20</v>
      </c>
    </row>
    <row r="48994" ht="15.75" customHeight="1">
      <c r="A48994" s="7"/>
      <c r="B48994" s="7"/>
      <c r="M48994" s="9" t="s">
        <v>22</v>
      </c>
    </row>
    <row r="48995" ht="15.75" customHeight="1">
      <c r="A48995" s="7"/>
      <c r="B48995" s="7"/>
      <c r="M48995" s="9" t="s">
        <v>35</v>
      </c>
    </row>
    <row r="48996" ht="15.75" customHeight="1">
      <c r="A48996" s="7"/>
      <c r="B48996" s="7"/>
      <c r="M48996" s="9" t="s">
        <v>30</v>
      </c>
    </row>
    <row r="48997" ht="15.75" customHeight="1">
      <c r="A48997" s="7"/>
      <c r="B48997" s="7"/>
      <c r="M48997" s="9" t="s">
        <v>36</v>
      </c>
    </row>
    <row r="48998" ht="15.75" customHeight="1">
      <c r="A48998" s="7"/>
      <c r="B48998" s="7"/>
      <c r="M48998" s="9" t="s">
        <v>24</v>
      </c>
    </row>
    <row r="48999" ht="15.75" customHeight="1">
      <c r="A48999" s="7"/>
      <c r="B48999" s="7"/>
      <c r="M48999" s="9" t="s">
        <v>21</v>
      </c>
    </row>
    <row r="49000" ht="15.75" customHeight="1">
      <c r="A49000" s="7"/>
      <c r="B49000" s="7"/>
      <c r="M49000" s="9" t="s">
        <v>22</v>
      </c>
    </row>
    <row r="49001" ht="15.75" customHeight="1">
      <c r="A49001" s="7"/>
      <c r="B49001" s="7"/>
      <c r="M49001" s="9" t="s">
        <v>27</v>
      </c>
    </row>
    <row r="49002" ht="15.75" customHeight="1">
      <c r="A49002" s="7"/>
      <c r="B49002" s="7"/>
      <c r="M49002" s="9" t="s">
        <v>26</v>
      </c>
    </row>
    <row r="49003" ht="15.75" customHeight="1">
      <c r="A49003" s="7"/>
      <c r="B49003" s="7"/>
      <c r="M49003" s="9" t="s">
        <v>24</v>
      </c>
    </row>
    <row r="49004" ht="15.75" customHeight="1">
      <c r="A49004" s="7"/>
      <c r="B49004" s="7"/>
      <c r="M49004" s="9" t="s">
        <v>21</v>
      </c>
    </row>
    <row r="49005" ht="15.75" customHeight="1">
      <c r="A49005" s="7"/>
      <c r="B49005" s="7"/>
      <c r="M49005" s="9" t="s">
        <v>37</v>
      </c>
    </row>
    <row r="49006" ht="15.75" customHeight="1">
      <c r="A49006" s="7"/>
      <c r="B49006" s="7"/>
      <c r="M49006" s="9" t="s">
        <v>27</v>
      </c>
    </row>
    <row r="49007" ht="15.75" customHeight="1">
      <c r="A49007" s="7"/>
      <c r="B49007" s="7"/>
      <c r="M49007" s="9" t="s">
        <v>33</v>
      </c>
    </row>
    <row r="49008" ht="15.75" customHeight="1">
      <c r="A49008" s="7"/>
      <c r="B49008" s="7"/>
      <c r="M49008" s="9" t="s">
        <v>30</v>
      </c>
    </row>
    <row r="49009" ht="15.75" customHeight="1">
      <c r="A49009" s="7"/>
      <c r="B49009" s="7"/>
      <c r="M49009" s="9" t="s">
        <v>20</v>
      </c>
    </row>
    <row r="49010" ht="15.75" customHeight="1">
      <c r="A49010" s="7"/>
      <c r="B49010" s="7"/>
      <c r="M49010" s="9" t="s">
        <v>22</v>
      </c>
    </row>
    <row r="49011" ht="15.75" customHeight="1">
      <c r="A49011" s="7"/>
      <c r="B49011" s="7"/>
      <c r="M49011" s="9" t="s">
        <v>32</v>
      </c>
    </row>
    <row r="49012" ht="15.75" customHeight="1">
      <c r="A49012" s="7"/>
      <c r="B49012" s="7"/>
      <c r="M49012" s="9" t="s">
        <v>26</v>
      </c>
    </row>
    <row r="49013" ht="15.75" customHeight="1">
      <c r="A49013" s="7"/>
      <c r="B49013" s="7"/>
      <c r="M49013" s="9" t="s">
        <v>30</v>
      </c>
    </row>
    <row r="49014" ht="15.75" customHeight="1">
      <c r="A49014" s="7"/>
      <c r="B49014" s="7"/>
      <c r="M49014" s="9" t="s">
        <v>25</v>
      </c>
    </row>
    <row r="49015" ht="15.75" customHeight="1">
      <c r="A49015" s="7"/>
      <c r="B49015" s="7"/>
      <c r="M49015" s="9" t="s">
        <v>24</v>
      </c>
    </row>
    <row r="49016" ht="15.75" customHeight="1">
      <c r="A49016" s="7"/>
      <c r="B49016" s="7"/>
      <c r="M49016" s="9" t="s">
        <v>21</v>
      </c>
    </row>
    <row r="49017" ht="15.75" customHeight="1">
      <c r="A49017" s="7"/>
      <c r="B49017" s="7"/>
      <c r="M49017" s="9" t="s">
        <v>37</v>
      </c>
    </row>
    <row r="49018" ht="15.75" customHeight="1">
      <c r="A49018" s="7"/>
      <c r="B49018" s="7"/>
      <c r="M49018" s="9" t="s">
        <v>22</v>
      </c>
    </row>
    <row r="49019" ht="15.75" customHeight="1">
      <c r="A49019" s="7"/>
      <c r="B49019" s="7"/>
      <c r="M49019" s="9" t="s">
        <v>27</v>
      </c>
    </row>
    <row r="49020" ht="15.75" customHeight="1">
      <c r="A49020" s="7"/>
      <c r="B49020" s="7"/>
      <c r="M49020" s="9" t="s">
        <v>33</v>
      </c>
    </row>
    <row r="49021" ht="15.75" customHeight="1">
      <c r="A49021" s="7"/>
      <c r="B49021" s="7"/>
      <c r="M49021" s="9" t="s">
        <v>23</v>
      </c>
    </row>
    <row r="49022" ht="15.75" customHeight="1">
      <c r="A49022" s="7"/>
      <c r="B49022" s="7"/>
      <c r="M49022" s="9" t="s">
        <v>24</v>
      </c>
    </row>
    <row r="49023" ht="15.75" customHeight="1">
      <c r="A49023" s="7"/>
      <c r="B49023" s="7"/>
      <c r="M49023" s="9" t="s">
        <v>21</v>
      </c>
    </row>
    <row r="49024" ht="15.75" customHeight="1">
      <c r="A49024" s="7"/>
      <c r="B49024" s="7"/>
      <c r="M49024" s="9" t="s">
        <v>22</v>
      </c>
    </row>
    <row r="49025" ht="15.75" customHeight="1">
      <c r="A49025" s="7"/>
      <c r="B49025" s="7"/>
      <c r="M49025" s="9" t="s">
        <v>30</v>
      </c>
    </row>
    <row r="49026" ht="15.75" customHeight="1">
      <c r="A49026" s="7"/>
      <c r="B49026" s="7"/>
      <c r="M49026" s="9" t="s">
        <v>24</v>
      </c>
    </row>
    <row r="49027" ht="15.75" customHeight="1">
      <c r="A49027" s="7"/>
      <c r="B49027" s="7"/>
      <c r="M49027" s="9" t="s">
        <v>20</v>
      </c>
    </row>
    <row r="49028" ht="15.75" customHeight="1">
      <c r="A49028" s="7"/>
      <c r="B49028" s="7"/>
      <c r="M49028" s="9" t="s">
        <v>21</v>
      </c>
    </row>
    <row r="49029" ht="15.75" customHeight="1">
      <c r="A49029" s="7"/>
      <c r="B49029" s="7"/>
      <c r="M49029" s="9" t="s">
        <v>37</v>
      </c>
    </row>
    <row r="49030" ht="15.75" customHeight="1">
      <c r="A49030" s="7"/>
      <c r="B49030" s="7"/>
      <c r="M49030" s="9" t="s">
        <v>46</v>
      </c>
    </row>
    <row r="49031" ht="15.75" customHeight="1">
      <c r="A49031" s="7"/>
      <c r="B49031" s="7"/>
      <c r="M49031" s="9" t="s">
        <v>27</v>
      </c>
    </row>
    <row r="49032" ht="15.75" customHeight="1">
      <c r="A49032" s="7"/>
      <c r="B49032" s="7"/>
      <c r="M49032" s="9" t="s">
        <v>38</v>
      </c>
    </row>
    <row r="49033" ht="15.75" customHeight="1">
      <c r="A49033" s="7"/>
      <c r="B49033" s="7"/>
      <c r="M49033" s="9" t="s">
        <v>25</v>
      </c>
    </row>
    <row r="49034" ht="15.75" customHeight="1">
      <c r="A49034" s="7"/>
      <c r="B49034" s="7"/>
      <c r="M49034" s="9" t="s">
        <v>23</v>
      </c>
    </row>
    <row r="49035" ht="15.75" customHeight="1">
      <c r="A49035" s="7"/>
      <c r="B49035" s="7"/>
      <c r="M49035" s="9" t="s">
        <v>26</v>
      </c>
    </row>
    <row r="49036" ht="15.75" customHeight="1">
      <c r="A49036" s="7"/>
      <c r="B49036" s="7"/>
      <c r="M49036" s="9" t="s">
        <v>24</v>
      </c>
    </row>
    <row r="49037" ht="15.75" customHeight="1">
      <c r="A49037" s="7"/>
      <c r="B49037" s="7"/>
      <c r="M49037" s="9" t="s">
        <v>20</v>
      </c>
    </row>
    <row r="49038" ht="15.75" customHeight="1">
      <c r="A49038" s="7"/>
      <c r="B49038" s="7"/>
      <c r="M49038" s="9" t="s">
        <v>22</v>
      </c>
    </row>
    <row r="49039" ht="15.75" customHeight="1">
      <c r="A49039" s="7"/>
      <c r="B49039" s="7"/>
      <c r="M49039" s="9" t="s">
        <v>30</v>
      </c>
    </row>
    <row r="49040" ht="15.75" customHeight="1">
      <c r="A49040" s="7"/>
      <c r="B49040" s="7"/>
      <c r="M49040" s="9" t="s">
        <v>35</v>
      </c>
    </row>
    <row r="49041" ht="15.75" customHeight="1">
      <c r="A49041" s="7"/>
      <c r="B49041" s="7"/>
      <c r="M49041" s="9" t="s">
        <v>30</v>
      </c>
    </row>
    <row r="49042" ht="15.75" customHeight="1">
      <c r="A49042" s="7"/>
      <c r="B49042" s="7"/>
      <c r="M49042" s="9" t="s">
        <v>25</v>
      </c>
    </row>
    <row r="49043" ht="15.75" customHeight="1">
      <c r="A49043" s="7"/>
      <c r="B49043" s="7"/>
      <c r="M49043" s="9" t="s">
        <v>23</v>
      </c>
    </row>
    <row r="49044" ht="15.75" customHeight="1">
      <c r="A49044" s="7"/>
      <c r="B49044" s="7"/>
      <c r="M49044" s="9" t="s">
        <v>24</v>
      </c>
    </row>
    <row r="49045" ht="15.75" customHeight="1">
      <c r="A49045" s="7"/>
      <c r="B49045" s="7"/>
      <c r="M49045" s="9" t="s">
        <v>21</v>
      </c>
    </row>
    <row r="49046" ht="15.75" customHeight="1">
      <c r="A49046" s="7"/>
      <c r="B49046" s="7"/>
      <c r="M49046" s="9" t="s">
        <v>22</v>
      </c>
    </row>
    <row r="49047" ht="15.75" customHeight="1">
      <c r="A49047" s="7"/>
      <c r="B49047" s="7"/>
      <c r="M49047" s="9" t="s">
        <v>27</v>
      </c>
    </row>
    <row r="49048" ht="15.75" customHeight="1">
      <c r="A49048" s="7"/>
      <c r="B49048" s="7"/>
      <c r="M49048" s="9" t="s">
        <v>26</v>
      </c>
    </row>
    <row r="49049" ht="15.75" customHeight="1">
      <c r="A49049" s="7"/>
      <c r="B49049" s="7"/>
      <c r="M49049" s="9" t="s">
        <v>27</v>
      </c>
    </row>
    <row r="49050" ht="15.75" customHeight="1">
      <c r="A49050" s="7"/>
      <c r="B49050" s="7"/>
      <c r="M49050" s="9" t="s">
        <v>22</v>
      </c>
    </row>
    <row r="49051" ht="15.75" customHeight="1">
      <c r="A49051" s="7"/>
      <c r="B49051" s="7"/>
      <c r="M49051" s="9" t="s">
        <v>29</v>
      </c>
    </row>
    <row r="49052" ht="15.75" customHeight="1">
      <c r="A49052" s="7"/>
      <c r="B49052" s="7"/>
      <c r="M49052" s="9" t="s">
        <v>46</v>
      </c>
    </row>
    <row r="49053" ht="15.75" customHeight="1">
      <c r="A49053" s="7"/>
      <c r="B49053" s="7"/>
      <c r="M49053" s="9" t="s">
        <v>27</v>
      </c>
    </row>
    <row r="49054" ht="15.75" customHeight="1">
      <c r="A49054" s="7"/>
      <c r="B49054" s="7"/>
      <c r="M49054" s="9" t="s">
        <v>30</v>
      </c>
    </row>
    <row r="49055" ht="15.75" customHeight="1">
      <c r="A49055" s="7"/>
      <c r="B49055" s="7"/>
      <c r="M49055" s="9" t="s">
        <v>26</v>
      </c>
    </row>
    <row r="49056" ht="15.75" customHeight="1">
      <c r="A49056" s="7"/>
      <c r="B49056" s="7"/>
      <c r="M49056" s="9" t="s">
        <v>24</v>
      </c>
    </row>
    <row r="49057" ht="15.75" customHeight="1">
      <c r="A49057" s="7"/>
      <c r="B49057" s="7"/>
      <c r="M49057" s="9" t="s">
        <v>20</v>
      </c>
    </row>
    <row r="49058" ht="15.75" customHeight="1">
      <c r="A49058" s="7"/>
      <c r="B49058" s="7"/>
      <c r="M49058" s="9" t="s">
        <v>21</v>
      </c>
    </row>
    <row r="49059" ht="15.75" customHeight="1">
      <c r="A49059" s="7"/>
      <c r="B49059" s="7"/>
      <c r="M49059" s="9" t="s">
        <v>39</v>
      </c>
    </row>
    <row r="49060" ht="15.75" customHeight="1">
      <c r="A49060" s="7"/>
      <c r="B49060" s="7"/>
      <c r="M49060" s="9" t="s">
        <v>41</v>
      </c>
    </row>
    <row r="49061" ht="15.75" customHeight="1">
      <c r="A49061" s="7"/>
      <c r="B49061" s="7"/>
      <c r="M49061" s="9" t="s">
        <v>37</v>
      </c>
    </row>
    <row r="49062" ht="15.75" customHeight="1">
      <c r="A49062" s="7"/>
      <c r="B49062" s="7"/>
      <c r="M49062" s="9" t="s">
        <v>31</v>
      </c>
    </row>
    <row r="49063" ht="15.75" customHeight="1">
      <c r="A49063" s="7"/>
      <c r="B49063" s="7"/>
      <c r="M49063" s="9" t="s">
        <v>27</v>
      </c>
    </row>
    <row r="49064" ht="15.75" customHeight="1">
      <c r="A49064" s="7"/>
      <c r="B49064" s="7"/>
      <c r="M49064" s="9" t="s">
        <v>40</v>
      </c>
    </row>
    <row r="49065" ht="15.75" customHeight="1">
      <c r="A49065" s="7"/>
      <c r="B49065" s="7"/>
      <c r="M49065" s="9" t="s">
        <v>33</v>
      </c>
    </row>
    <row r="49066" ht="15.75" customHeight="1">
      <c r="A49066" s="7"/>
      <c r="B49066" s="7"/>
      <c r="M49066" s="9" t="s">
        <v>30</v>
      </c>
    </row>
    <row r="49067" ht="15.75" customHeight="1">
      <c r="A49067" s="7"/>
      <c r="B49067" s="7"/>
      <c r="M49067" s="9" t="s">
        <v>26</v>
      </c>
    </row>
    <row r="49068" ht="15.75" customHeight="1">
      <c r="A49068" s="7"/>
      <c r="B49068" s="7"/>
      <c r="M49068" s="9" t="s">
        <v>24</v>
      </c>
    </row>
    <row r="49069" ht="15.75" customHeight="1">
      <c r="A49069" s="7"/>
      <c r="B49069" s="7"/>
      <c r="M49069" s="9" t="s">
        <v>21</v>
      </c>
    </row>
    <row r="49070" ht="15.75" customHeight="1">
      <c r="A49070" s="7"/>
      <c r="B49070" s="7"/>
      <c r="M49070" s="9" t="s">
        <v>27</v>
      </c>
    </row>
    <row r="49071" ht="15.75" customHeight="1">
      <c r="A49071" s="7"/>
      <c r="B49071" s="7"/>
      <c r="M49071" s="9" t="s">
        <v>23</v>
      </c>
    </row>
    <row r="49072" ht="15.75" customHeight="1">
      <c r="A49072" s="7"/>
      <c r="B49072" s="7"/>
      <c r="M49072" s="9" t="s">
        <v>24</v>
      </c>
    </row>
    <row r="49073" ht="15.75" customHeight="1">
      <c r="A49073" s="7"/>
      <c r="B49073" s="7"/>
      <c r="M49073" s="9" t="s">
        <v>22</v>
      </c>
    </row>
    <row r="49074" ht="15.75" customHeight="1">
      <c r="A49074" s="7"/>
      <c r="B49074" s="7"/>
      <c r="M49074" s="9" t="s">
        <v>26</v>
      </c>
    </row>
    <row r="49075" ht="15.75" customHeight="1">
      <c r="A49075" s="7"/>
      <c r="B49075" s="7"/>
      <c r="M49075" s="9" t="s">
        <v>24</v>
      </c>
    </row>
    <row r="49076" ht="15.75" customHeight="1">
      <c r="A49076" s="7"/>
      <c r="B49076" s="7"/>
      <c r="M49076" s="9" t="s">
        <v>20</v>
      </c>
    </row>
    <row r="49077" ht="15.75" customHeight="1">
      <c r="A49077" s="7"/>
      <c r="B49077" s="7"/>
      <c r="M49077" s="9" t="s">
        <v>21</v>
      </c>
    </row>
    <row r="49078" ht="15.75" customHeight="1">
      <c r="A49078" s="7"/>
      <c r="B49078" s="7"/>
      <c r="M49078" s="9" t="s">
        <v>27</v>
      </c>
    </row>
    <row r="49079" ht="15.75" customHeight="1">
      <c r="A49079" s="7"/>
      <c r="B49079" s="7"/>
      <c r="M49079" s="9" t="s">
        <v>40</v>
      </c>
    </row>
    <row r="49080" ht="15.75" customHeight="1">
      <c r="A49080" s="7"/>
      <c r="B49080" s="7"/>
      <c r="M49080" s="9" t="s">
        <v>24</v>
      </c>
    </row>
    <row r="49081" ht="15.75" customHeight="1">
      <c r="A49081" s="7"/>
      <c r="B49081" s="7"/>
      <c r="M49081" s="9" t="s">
        <v>21</v>
      </c>
    </row>
    <row r="49082" ht="15.75" customHeight="1">
      <c r="A49082" s="7"/>
      <c r="B49082" s="7"/>
      <c r="M49082" s="9" t="s">
        <v>37</v>
      </c>
    </row>
    <row r="49083" ht="15.75" customHeight="1">
      <c r="A49083" s="7"/>
      <c r="B49083" s="7"/>
      <c r="M49083" s="9" t="s">
        <v>23</v>
      </c>
    </row>
    <row r="49084" ht="15.75" customHeight="1">
      <c r="A49084" s="7"/>
      <c r="B49084" s="7"/>
      <c r="M49084" s="9" t="s">
        <v>22</v>
      </c>
    </row>
    <row r="49085" ht="15.75" customHeight="1">
      <c r="A49085" s="7"/>
      <c r="B49085" s="7"/>
      <c r="M49085" s="9" t="s">
        <v>26</v>
      </c>
    </row>
    <row r="49086" ht="15.75" customHeight="1">
      <c r="A49086" s="7"/>
      <c r="B49086" s="7"/>
      <c r="M49086" s="9" t="s">
        <v>24</v>
      </c>
    </row>
    <row r="49087" ht="15.75" customHeight="1">
      <c r="A49087" s="7"/>
      <c r="B49087" s="7"/>
      <c r="M49087" s="9" t="s">
        <v>21</v>
      </c>
    </row>
    <row r="49088" ht="15.75" customHeight="1">
      <c r="A49088" s="7"/>
      <c r="B49088" s="7"/>
      <c r="M49088" s="9" t="s">
        <v>22</v>
      </c>
    </row>
    <row r="49089" ht="15.75" customHeight="1">
      <c r="A49089" s="7"/>
      <c r="B49089" s="7"/>
      <c r="M49089" s="9" t="s">
        <v>27</v>
      </c>
    </row>
    <row r="49090" ht="15.75" customHeight="1">
      <c r="A49090" s="7"/>
      <c r="B49090" s="7"/>
      <c r="M49090" s="9" t="s">
        <v>33</v>
      </c>
    </row>
    <row r="49091" ht="15.75" customHeight="1">
      <c r="A49091" s="7"/>
      <c r="B49091" s="7"/>
      <c r="M49091" s="9" t="s">
        <v>46</v>
      </c>
    </row>
    <row r="49092" ht="15.75" customHeight="1">
      <c r="A49092" s="7"/>
      <c r="B49092" s="7"/>
      <c r="M49092" s="9" t="s">
        <v>33</v>
      </c>
    </row>
    <row r="49093" ht="15.75" customHeight="1">
      <c r="A49093" s="7"/>
      <c r="B49093" s="7"/>
      <c r="M49093" s="9" t="s">
        <v>25</v>
      </c>
    </row>
    <row r="49094" ht="15.75" customHeight="1">
      <c r="A49094" s="7"/>
      <c r="B49094" s="7"/>
      <c r="M49094" s="9" t="s">
        <v>23</v>
      </c>
    </row>
    <row r="49095" ht="15.75" customHeight="1">
      <c r="A49095" s="7"/>
      <c r="B49095" s="7"/>
      <c r="M49095" s="9" t="s">
        <v>26</v>
      </c>
    </row>
    <row r="49096" ht="15.75" customHeight="1">
      <c r="A49096" s="7"/>
      <c r="B49096" s="7"/>
      <c r="M49096" s="9" t="s">
        <v>24</v>
      </c>
    </row>
    <row r="49097" ht="15.75" customHeight="1">
      <c r="A49097" s="7"/>
      <c r="B49097" s="7"/>
      <c r="M49097" s="9" t="s">
        <v>20</v>
      </c>
    </row>
    <row r="49098" ht="15.75" customHeight="1">
      <c r="A49098" s="7"/>
      <c r="B49098" s="7"/>
      <c r="M49098" s="9" t="s">
        <v>21</v>
      </c>
    </row>
    <row r="49099" ht="15.75" customHeight="1">
      <c r="A49099" s="7"/>
      <c r="B49099" s="7"/>
      <c r="M49099" s="9" t="s">
        <v>37</v>
      </c>
    </row>
    <row r="49100" ht="15.75" customHeight="1">
      <c r="A49100" s="7"/>
      <c r="B49100" s="7"/>
      <c r="M49100" s="9" t="s">
        <v>22</v>
      </c>
    </row>
    <row r="49101" ht="15.75" customHeight="1">
      <c r="A49101" s="7"/>
      <c r="B49101" s="7"/>
      <c r="M49101" s="9" t="s">
        <v>29</v>
      </c>
    </row>
    <row r="49102" ht="15.75" customHeight="1">
      <c r="A49102" s="7"/>
      <c r="B49102" s="7"/>
      <c r="M49102" s="9" t="s">
        <v>27</v>
      </c>
    </row>
    <row r="49103" ht="15.75" customHeight="1">
      <c r="A49103" s="7"/>
      <c r="B49103" s="7"/>
      <c r="M49103" s="9" t="s">
        <v>25</v>
      </c>
    </row>
    <row r="49104" ht="15.75" customHeight="1">
      <c r="A49104" s="7"/>
      <c r="B49104" s="7"/>
      <c r="M49104" s="9" t="s">
        <v>23</v>
      </c>
    </row>
    <row r="49105" ht="15.75" customHeight="1">
      <c r="A49105" s="7"/>
      <c r="B49105" s="7"/>
      <c r="M49105" s="9" t="s">
        <v>26</v>
      </c>
    </row>
    <row r="49106" ht="15.75" customHeight="1">
      <c r="A49106" s="7"/>
      <c r="B49106" s="7"/>
      <c r="M49106" s="9" t="s">
        <v>24</v>
      </c>
    </row>
    <row r="49107" ht="15.75" customHeight="1">
      <c r="A49107" s="7"/>
      <c r="B49107" s="7"/>
      <c r="M49107" s="9" t="s">
        <v>20</v>
      </c>
    </row>
    <row r="49108" ht="15.75" customHeight="1">
      <c r="A49108" s="7"/>
      <c r="B49108" s="7"/>
      <c r="M49108" s="9" t="s">
        <v>21</v>
      </c>
    </row>
    <row r="49109" ht="15.75" customHeight="1">
      <c r="A49109" s="7"/>
      <c r="B49109" s="7"/>
      <c r="M49109" s="9" t="s">
        <v>22</v>
      </c>
    </row>
    <row r="49110" ht="15.75" customHeight="1">
      <c r="A49110" s="7"/>
      <c r="B49110" s="7"/>
      <c r="M49110" s="9" t="s">
        <v>26</v>
      </c>
    </row>
    <row r="49111" ht="15.75" customHeight="1">
      <c r="A49111" s="7"/>
      <c r="B49111" s="7"/>
      <c r="M49111" s="9" t="s">
        <v>24</v>
      </c>
    </row>
    <row r="49112" ht="15.75" customHeight="1">
      <c r="A49112" s="7"/>
      <c r="B49112" s="7"/>
      <c r="M49112" s="9" t="s">
        <v>21</v>
      </c>
    </row>
    <row r="49113" ht="15.75" customHeight="1">
      <c r="A49113" s="7"/>
      <c r="B49113" s="7"/>
      <c r="M49113" s="9" t="s">
        <v>22</v>
      </c>
    </row>
    <row r="49114" ht="15.75" customHeight="1">
      <c r="A49114" s="7"/>
      <c r="B49114" s="7"/>
      <c r="M49114" s="9" t="s">
        <v>27</v>
      </c>
    </row>
    <row r="49115" ht="15.75" customHeight="1">
      <c r="A49115" s="7"/>
      <c r="B49115" s="7"/>
      <c r="M49115" s="9" t="s">
        <v>28</v>
      </c>
    </row>
    <row r="49116" ht="15.75" customHeight="1">
      <c r="A49116" s="7"/>
      <c r="B49116" s="7"/>
      <c r="M49116" s="9" t="s">
        <v>25</v>
      </c>
    </row>
    <row r="49117" ht="15.75" customHeight="1">
      <c r="A49117" s="7"/>
      <c r="B49117" s="7"/>
      <c r="M49117" s="9" t="s">
        <v>26</v>
      </c>
    </row>
    <row r="49118" ht="15.75" customHeight="1">
      <c r="A49118" s="7"/>
      <c r="B49118" s="7"/>
      <c r="M49118" s="9" t="s">
        <v>44</v>
      </c>
    </row>
    <row r="49119" ht="15.75" customHeight="1">
      <c r="A49119" s="7"/>
      <c r="B49119" s="7"/>
      <c r="M49119" s="9" t="s">
        <v>24</v>
      </c>
    </row>
    <row r="49120" ht="15.75" customHeight="1">
      <c r="A49120" s="7"/>
      <c r="B49120" s="7"/>
      <c r="M49120" s="9" t="s">
        <v>21</v>
      </c>
    </row>
    <row r="49121" ht="15.75" customHeight="1">
      <c r="A49121" s="7"/>
      <c r="B49121" s="7"/>
      <c r="M49121" s="9" t="s">
        <v>22</v>
      </c>
    </row>
    <row r="49122" ht="15.75" customHeight="1">
      <c r="A49122" s="7"/>
      <c r="B49122" s="7"/>
      <c r="M49122" s="9" t="s">
        <v>33</v>
      </c>
    </row>
    <row r="49123" ht="15.75" customHeight="1">
      <c r="A49123" s="7"/>
      <c r="B49123" s="7"/>
      <c r="M49123" s="9" t="s">
        <v>30</v>
      </c>
    </row>
    <row r="49124" ht="15.75" customHeight="1">
      <c r="A49124" s="7"/>
      <c r="B49124" s="7"/>
      <c r="M49124" s="9" t="s">
        <v>24</v>
      </c>
    </row>
    <row r="49125" ht="15.75" customHeight="1">
      <c r="A49125" s="7"/>
      <c r="B49125" s="7"/>
      <c r="M49125" s="9" t="s">
        <v>20</v>
      </c>
    </row>
    <row r="49126" ht="15.75" customHeight="1">
      <c r="A49126" s="7"/>
      <c r="B49126" s="7"/>
      <c r="M49126" s="9" t="s">
        <v>21</v>
      </c>
    </row>
    <row r="49127" ht="15.75" customHeight="1">
      <c r="A49127" s="7"/>
      <c r="B49127" s="7"/>
      <c r="M49127" s="9" t="s">
        <v>33</v>
      </c>
    </row>
    <row r="49128" ht="15.75" customHeight="1">
      <c r="A49128" s="7"/>
      <c r="B49128" s="7"/>
      <c r="M49128" s="9" t="s">
        <v>24</v>
      </c>
    </row>
    <row r="49129" ht="15.75" customHeight="1">
      <c r="A49129" s="7"/>
      <c r="B49129" s="7"/>
      <c r="M49129" s="9" t="s">
        <v>20</v>
      </c>
    </row>
    <row r="49130" ht="15.75" customHeight="1">
      <c r="A49130" s="7"/>
      <c r="B49130" s="7"/>
      <c r="M49130" s="9" t="s">
        <v>27</v>
      </c>
    </row>
    <row r="49131" ht="15.75" customHeight="1">
      <c r="A49131" s="7"/>
      <c r="B49131" s="7"/>
      <c r="M49131" s="9" t="s">
        <v>30</v>
      </c>
    </row>
    <row r="49132" ht="15.75" customHeight="1">
      <c r="A49132" s="7"/>
      <c r="B49132" s="7"/>
      <c r="M49132" s="9" t="s">
        <v>25</v>
      </c>
    </row>
    <row r="49133" ht="15.75" customHeight="1">
      <c r="A49133" s="7"/>
      <c r="B49133" s="7"/>
      <c r="M49133" s="9" t="s">
        <v>23</v>
      </c>
    </row>
    <row r="49134" ht="15.75" customHeight="1">
      <c r="A49134" s="7"/>
      <c r="B49134" s="7"/>
      <c r="M49134" s="9" t="s">
        <v>26</v>
      </c>
    </row>
    <row r="49135" ht="15.75" customHeight="1">
      <c r="A49135" s="7"/>
      <c r="B49135" s="7"/>
      <c r="M49135" s="9" t="s">
        <v>20</v>
      </c>
    </row>
    <row r="49136" ht="15.75" customHeight="1">
      <c r="A49136" s="7"/>
      <c r="B49136" s="7"/>
      <c r="M49136" s="9" t="s">
        <v>27</v>
      </c>
    </row>
    <row r="49137" ht="15.75" customHeight="1">
      <c r="A49137" s="7"/>
      <c r="B49137" s="7"/>
      <c r="M49137" s="9" t="s">
        <v>30</v>
      </c>
    </row>
    <row r="49138" ht="15.75" customHeight="1">
      <c r="A49138" s="7"/>
      <c r="B49138" s="7"/>
      <c r="M49138" s="9" t="s">
        <v>24</v>
      </c>
    </row>
    <row r="49139" ht="15.75" customHeight="1">
      <c r="A49139" s="7"/>
      <c r="B49139" s="7"/>
      <c r="M49139" s="9" t="s">
        <v>20</v>
      </c>
    </row>
    <row r="49140" ht="15.75" customHeight="1">
      <c r="A49140" s="7"/>
      <c r="B49140" s="7"/>
      <c r="M49140" s="9" t="s">
        <v>21</v>
      </c>
    </row>
    <row r="49141" ht="15.75" customHeight="1">
      <c r="A49141" s="7"/>
      <c r="B49141" s="7"/>
      <c r="M49141" s="9" t="s">
        <v>27</v>
      </c>
    </row>
    <row r="49142" ht="15.75" customHeight="1">
      <c r="A49142" s="7"/>
      <c r="B49142" s="7"/>
      <c r="M49142" s="9" t="s">
        <v>24</v>
      </c>
    </row>
    <row r="49143" ht="15.75" customHeight="1">
      <c r="A49143" s="7"/>
      <c r="B49143" s="7"/>
      <c r="M49143" s="9" t="s">
        <v>20</v>
      </c>
    </row>
    <row r="49144" ht="15.75" customHeight="1">
      <c r="A49144" s="7"/>
      <c r="B49144" s="7"/>
      <c r="M49144" s="9" t="s">
        <v>21</v>
      </c>
    </row>
    <row r="49145" ht="15.75" customHeight="1">
      <c r="A49145" s="7"/>
      <c r="B49145" s="7"/>
      <c r="M49145" s="9" t="s">
        <v>37</v>
      </c>
    </row>
    <row r="49146" ht="15.75" customHeight="1">
      <c r="A49146" s="7"/>
      <c r="B49146" s="7"/>
      <c r="M49146" s="9" t="s">
        <v>27</v>
      </c>
    </row>
    <row r="49147" ht="15.75" customHeight="1">
      <c r="A49147" s="7"/>
      <c r="B49147" s="7"/>
      <c r="M49147" s="9" t="s">
        <v>33</v>
      </c>
    </row>
    <row r="49148" ht="15.75" customHeight="1">
      <c r="A49148" s="7"/>
      <c r="B49148" s="7"/>
      <c r="M49148" s="9" t="s">
        <v>30</v>
      </c>
    </row>
    <row r="49149" ht="15.75" customHeight="1">
      <c r="A49149" s="7"/>
      <c r="B49149" s="7"/>
      <c r="M49149" s="9" t="s">
        <v>25</v>
      </c>
    </row>
    <row r="49150" ht="15.75" customHeight="1">
      <c r="A49150" s="7"/>
      <c r="B49150" s="7"/>
      <c r="M49150" s="9" t="s">
        <v>23</v>
      </c>
    </row>
    <row r="49151" ht="15.75" customHeight="1">
      <c r="A49151" s="7"/>
      <c r="B49151" s="7"/>
      <c r="M49151" s="9" t="s">
        <v>36</v>
      </c>
    </row>
    <row r="49152" ht="15.75" customHeight="1">
      <c r="A49152" s="7"/>
      <c r="B49152" s="7"/>
      <c r="M49152" s="9" t="s">
        <v>41</v>
      </c>
    </row>
    <row r="49153" ht="15.75" customHeight="1">
      <c r="A49153" s="7"/>
      <c r="B49153" s="7"/>
      <c r="M49153" s="9" t="s">
        <v>22</v>
      </c>
    </row>
    <row r="49154" ht="15.75" customHeight="1">
      <c r="A49154" s="7"/>
      <c r="B49154" s="7"/>
      <c r="M49154" s="9" t="s">
        <v>31</v>
      </c>
    </row>
    <row r="49155" ht="15.75" customHeight="1">
      <c r="A49155" s="7"/>
      <c r="B49155" s="7"/>
      <c r="M49155" s="9" t="s">
        <v>40</v>
      </c>
    </row>
    <row r="49156" ht="15.75" customHeight="1">
      <c r="A49156" s="7"/>
      <c r="B49156" s="7"/>
      <c r="M49156" s="9" t="s">
        <v>21</v>
      </c>
    </row>
    <row r="49157" ht="15.75" customHeight="1">
      <c r="A49157" s="7"/>
      <c r="B49157" s="7"/>
      <c r="M49157" s="9" t="s">
        <v>22</v>
      </c>
    </row>
    <row r="49158" ht="15.75" customHeight="1">
      <c r="A49158" s="7"/>
      <c r="B49158" s="7"/>
      <c r="M49158" s="9" t="s">
        <v>29</v>
      </c>
    </row>
    <row r="49159" ht="15.75" customHeight="1">
      <c r="A49159" s="7"/>
      <c r="B49159" s="7"/>
      <c r="M49159" s="9" t="s">
        <v>27</v>
      </c>
    </row>
    <row r="49160" ht="15.75" customHeight="1">
      <c r="A49160" s="7"/>
      <c r="B49160" s="7"/>
      <c r="M49160" s="9" t="s">
        <v>28</v>
      </c>
    </row>
    <row r="49161" ht="15.75" customHeight="1">
      <c r="A49161" s="7"/>
      <c r="B49161" s="7"/>
      <c r="M49161" s="9" t="s">
        <v>30</v>
      </c>
    </row>
    <row r="49162" ht="15.75" customHeight="1">
      <c r="A49162" s="7"/>
      <c r="B49162" s="7"/>
      <c r="M49162" s="9" t="s">
        <v>47</v>
      </c>
    </row>
    <row r="49163" ht="15.75" customHeight="1">
      <c r="A49163" s="7"/>
      <c r="B49163" s="7"/>
      <c r="M49163" s="9" t="s">
        <v>24</v>
      </c>
    </row>
    <row r="49164" ht="15.75" customHeight="1">
      <c r="A49164" s="7"/>
      <c r="B49164" s="7"/>
      <c r="M49164" s="9" t="s">
        <v>21</v>
      </c>
    </row>
    <row r="49165" ht="15.75" customHeight="1">
      <c r="A49165" s="7"/>
      <c r="B49165" s="7"/>
      <c r="M49165" s="9" t="s">
        <v>37</v>
      </c>
    </row>
    <row r="49166" ht="15.75" customHeight="1">
      <c r="A49166" s="7"/>
      <c r="B49166" s="7"/>
      <c r="M49166" s="9" t="s">
        <v>27</v>
      </c>
    </row>
    <row r="49167" ht="15.75" customHeight="1">
      <c r="A49167" s="7"/>
      <c r="B49167" s="7"/>
      <c r="M49167" s="9" t="s">
        <v>33</v>
      </c>
    </row>
    <row r="49168" ht="15.75" customHeight="1">
      <c r="A49168" s="7"/>
      <c r="B49168" s="7"/>
      <c r="M49168" s="9" t="s">
        <v>26</v>
      </c>
    </row>
    <row r="49169" ht="15.75" customHeight="1">
      <c r="A49169" s="7"/>
      <c r="B49169" s="7"/>
      <c r="M49169" s="9" t="s">
        <v>20</v>
      </c>
    </row>
    <row r="49170" ht="15.75" customHeight="1">
      <c r="A49170" s="7"/>
      <c r="B49170" s="7"/>
      <c r="M49170" s="9" t="s">
        <v>22</v>
      </c>
    </row>
    <row r="49171" ht="15.75" customHeight="1">
      <c r="A49171" s="7"/>
      <c r="B49171" s="7"/>
      <c r="M49171" s="9" t="s">
        <v>24</v>
      </c>
    </row>
    <row r="49172" ht="15.75" customHeight="1">
      <c r="A49172" s="7"/>
      <c r="B49172" s="7"/>
      <c r="M49172" s="9" t="s">
        <v>21</v>
      </c>
    </row>
    <row r="49173" ht="15.75" customHeight="1">
      <c r="A49173" s="7"/>
      <c r="B49173" s="7"/>
      <c r="M49173" s="9" t="s">
        <v>37</v>
      </c>
    </row>
    <row r="49174" ht="15.75" customHeight="1">
      <c r="A49174" s="7"/>
      <c r="B49174" s="7"/>
      <c r="M49174" s="9" t="s">
        <v>22</v>
      </c>
    </row>
    <row r="49175" ht="15.75" customHeight="1">
      <c r="A49175" s="7"/>
      <c r="B49175" s="7"/>
      <c r="M49175" s="9" t="s">
        <v>28</v>
      </c>
    </row>
    <row r="49176" ht="15.75" customHeight="1">
      <c r="A49176" s="7"/>
      <c r="B49176" s="7"/>
      <c r="M49176" s="9" t="s">
        <v>44</v>
      </c>
    </row>
    <row r="49177" ht="15.75" customHeight="1">
      <c r="A49177" s="7"/>
      <c r="B49177" s="7"/>
      <c r="M49177" s="9" t="s">
        <v>24</v>
      </c>
    </row>
    <row r="49178" ht="15.75" customHeight="1">
      <c r="A49178" s="7"/>
      <c r="B49178" s="7"/>
      <c r="M49178" s="9" t="s">
        <v>20</v>
      </c>
    </row>
    <row r="49179" ht="15.75" customHeight="1">
      <c r="A49179" s="7"/>
      <c r="B49179" s="7"/>
      <c r="M49179" s="9" t="s">
        <v>21</v>
      </c>
    </row>
    <row r="49180" ht="15.75" customHeight="1">
      <c r="A49180" s="7"/>
      <c r="B49180" s="7"/>
      <c r="M49180" s="9" t="s">
        <v>27</v>
      </c>
    </row>
    <row r="49181" ht="15.75" customHeight="1">
      <c r="A49181" s="7"/>
      <c r="B49181" s="7"/>
      <c r="M49181" s="9" t="s">
        <v>27</v>
      </c>
    </row>
    <row r="49182" ht="15.75" customHeight="1">
      <c r="A49182" s="7"/>
      <c r="B49182" s="7"/>
      <c r="M49182" s="9" t="s">
        <v>26</v>
      </c>
    </row>
    <row r="49183" ht="15.75" customHeight="1">
      <c r="A49183" s="7"/>
      <c r="B49183" s="7"/>
      <c r="M49183" s="9" t="s">
        <v>24</v>
      </c>
    </row>
    <row r="49184" ht="15.75" customHeight="1">
      <c r="A49184" s="7"/>
      <c r="B49184" s="7"/>
      <c r="M49184" s="9" t="s">
        <v>21</v>
      </c>
    </row>
    <row r="49185" ht="15.75" customHeight="1">
      <c r="A49185" s="7"/>
      <c r="B49185" s="7"/>
      <c r="M49185" s="9" t="s">
        <v>37</v>
      </c>
    </row>
    <row r="49186" ht="15.75" customHeight="1">
      <c r="A49186" s="7"/>
      <c r="B49186" s="7"/>
      <c r="M49186" s="9" t="s">
        <v>27</v>
      </c>
    </row>
    <row r="49187" ht="15.75" customHeight="1">
      <c r="A49187" s="7"/>
      <c r="B49187" s="7"/>
      <c r="M49187" s="9" t="s">
        <v>26</v>
      </c>
    </row>
    <row r="49188" ht="15.75" customHeight="1">
      <c r="A49188" s="7"/>
      <c r="B49188" s="7"/>
      <c r="M49188" s="9" t="s">
        <v>24</v>
      </c>
    </row>
    <row r="49189" ht="15.75" customHeight="1">
      <c r="A49189" s="7"/>
      <c r="B49189" s="7"/>
      <c r="M49189" s="9" t="s">
        <v>21</v>
      </c>
    </row>
    <row r="49190" ht="15.75" customHeight="1">
      <c r="A49190" s="7"/>
      <c r="B49190" s="7"/>
      <c r="M49190" s="9" t="s">
        <v>27</v>
      </c>
    </row>
    <row r="49191" ht="15.75" customHeight="1">
      <c r="A49191" s="7"/>
      <c r="B49191" s="7"/>
      <c r="M49191" s="9" t="s">
        <v>33</v>
      </c>
    </row>
    <row r="49192" ht="15.75" customHeight="1">
      <c r="A49192" s="7"/>
      <c r="B49192" s="7"/>
      <c r="M49192" s="9" t="s">
        <v>26</v>
      </c>
    </row>
    <row r="49193" ht="15.75" customHeight="1">
      <c r="A49193" s="7"/>
      <c r="B49193" s="7"/>
      <c r="M49193" s="9" t="s">
        <v>24</v>
      </c>
    </row>
    <row r="49194" ht="15.75" customHeight="1">
      <c r="A49194" s="7"/>
      <c r="B49194" s="7"/>
      <c r="M49194" s="9" t="s">
        <v>20</v>
      </c>
    </row>
    <row r="49195" ht="15.75" customHeight="1">
      <c r="A49195" s="7"/>
      <c r="B49195" s="7"/>
      <c r="M49195" s="9" t="s">
        <v>37</v>
      </c>
    </row>
    <row r="49196" ht="15.75" customHeight="1">
      <c r="A49196" s="7"/>
      <c r="B49196" s="7"/>
      <c r="M49196" s="9" t="s">
        <v>27</v>
      </c>
    </row>
    <row r="49197" ht="15.75" customHeight="1">
      <c r="A49197" s="7"/>
      <c r="B49197" s="7"/>
      <c r="M49197" s="9" t="s">
        <v>24</v>
      </c>
    </row>
    <row r="49198" ht="15.75" customHeight="1">
      <c r="A49198" s="7"/>
      <c r="B49198" s="7"/>
      <c r="M49198" s="9" t="s">
        <v>21</v>
      </c>
    </row>
    <row r="49199" ht="15.75" customHeight="1">
      <c r="A49199" s="7"/>
      <c r="B49199" s="7"/>
      <c r="M49199" s="9" t="s">
        <v>31</v>
      </c>
    </row>
    <row r="49200" ht="15.75" customHeight="1">
      <c r="A49200" s="7"/>
      <c r="B49200" s="7"/>
      <c r="M49200" s="9" t="s">
        <v>27</v>
      </c>
    </row>
    <row r="49201" ht="15.75" customHeight="1">
      <c r="A49201" s="7"/>
      <c r="B49201" s="7"/>
      <c r="M49201" s="9" t="s">
        <v>24</v>
      </c>
    </row>
    <row r="49202" ht="15.75" customHeight="1">
      <c r="A49202" s="7"/>
      <c r="B49202" s="7"/>
      <c r="M49202" s="9" t="s">
        <v>21</v>
      </c>
    </row>
    <row r="49203" ht="15.75" customHeight="1">
      <c r="A49203" s="7"/>
      <c r="B49203" s="7"/>
      <c r="M49203" s="9" t="s">
        <v>37</v>
      </c>
    </row>
    <row r="49204" ht="15.75" customHeight="1">
      <c r="A49204" s="7"/>
      <c r="B49204" s="7"/>
      <c r="M49204" s="9" t="s">
        <v>27</v>
      </c>
    </row>
    <row r="49205" ht="15.75" customHeight="1">
      <c r="A49205" s="7"/>
      <c r="B49205" s="7"/>
      <c r="M49205" s="9" t="s">
        <v>30</v>
      </c>
    </row>
    <row r="49206" ht="15.75" customHeight="1">
      <c r="A49206" s="7"/>
      <c r="B49206" s="7"/>
      <c r="M49206" s="9" t="s">
        <v>24</v>
      </c>
    </row>
    <row r="49207" ht="15.75" customHeight="1">
      <c r="A49207" s="7"/>
      <c r="B49207" s="7"/>
      <c r="M49207" s="9" t="s">
        <v>20</v>
      </c>
    </row>
    <row r="49208" ht="15.75" customHeight="1">
      <c r="A49208" s="7"/>
      <c r="B49208" s="7"/>
      <c r="M49208" s="9" t="s">
        <v>21</v>
      </c>
    </row>
    <row r="49209" ht="15.75" customHeight="1">
      <c r="A49209" s="7"/>
      <c r="B49209" s="7"/>
      <c r="M49209" s="9" t="s">
        <v>37</v>
      </c>
    </row>
    <row r="49210" ht="15.75" customHeight="1">
      <c r="A49210" s="7"/>
      <c r="B49210" s="7"/>
      <c r="M49210" s="9" t="s">
        <v>31</v>
      </c>
    </row>
    <row r="49211" ht="15.75" customHeight="1">
      <c r="A49211" s="7"/>
      <c r="B49211" s="7"/>
      <c r="M49211" s="9" t="s">
        <v>33</v>
      </c>
    </row>
    <row r="49212" ht="15.75" customHeight="1">
      <c r="A49212" s="7"/>
      <c r="B49212" s="7"/>
      <c r="M49212" s="9" t="s">
        <v>30</v>
      </c>
    </row>
    <row r="49213" ht="15.75" customHeight="1">
      <c r="A49213" s="7"/>
      <c r="B49213" s="7"/>
      <c r="M49213" s="9" t="s">
        <v>26</v>
      </c>
    </row>
    <row r="49214" ht="15.75" customHeight="1">
      <c r="A49214" s="7"/>
      <c r="B49214" s="7"/>
      <c r="M49214" s="9" t="s">
        <v>24</v>
      </c>
    </row>
    <row r="49215" ht="15.75" customHeight="1">
      <c r="A49215" s="7"/>
      <c r="B49215" s="7"/>
      <c r="M49215" s="9" t="s">
        <v>20</v>
      </c>
    </row>
    <row r="49216" ht="15.75" customHeight="1">
      <c r="A49216" s="7"/>
      <c r="B49216" s="7"/>
      <c r="M49216" s="9" t="s">
        <v>21</v>
      </c>
    </row>
    <row r="49217" ht="15.75" customHeight="1">
      <c r="A49217" s="7"/>
      <c r="B49217" s="7"/>
      <c r="M49217" s="9" t="s">
        <v>39</v>
      </c>
    </row>
    <row r="49218" ht="15.75" customHeight="1">
      <c r="A49218" s="7"/>
      <c r="B49218" s="7"/>
      <c r="M49218" s="9" t="s">
        <v>27</v>
      </c>
    </row>
    <row r="49219" ht="15.75" customHeight="1">
      <c r="A49219" s="7"/>
      <c r="B49219" s="7"/>
      <c r="M49219" s="9" t="s">
        <v>26</v>
      </c>
    </row>
    <row r="49220" ht="15.75" customHeight="1">
      <c r="A49220" s="7"/>
      <c r="B49220" s="7"/>
      <c r="M49220" s="9" t="s">
        <v>24</v>
      </c>
    </row>
    <row r="49221" ht="15.75" customHeight="1">
      <c r="A49221" s="7"/>
      <c r="B49221" s="7"/>
      <c r="M49221" s="9" t="s">
        <v>27</v>
      </c>
    </row>
    <row r="49222" ht="15.75" customHeight="1">
      <c r="A49222" s="7"/>
      <c r="B49222" s="7"/>
      <c r="M49222" s="9" t="s">
        <v>20</v>
      </c>
    </row>
    <row r="49223" ht="15.75" customHeight="1">
      <c r="A49223" s="7"/>
      <c r="B49223" s="7"/>
      <c r="M49223" s="9" t="s">
        <v>27</v>
      </c>
    </row>
    <row r="49224" ht="15.75" customHeight="1">
      <c r="A49224" s="7"/>
      <c r="B49224" s="7"/>
      <c r="M49224" s="9" t="s">
        <v>30</v>
      </c>
    </row>
    <row r="49225" ht="15.75" customHeight="1">
      <c r="A49225" s="7"/>
      <c r="B49225" s="7"/>
      <c r="M49225" s="9" t="s">
        <v>26</v>
      </c>
    </row>
    <row r="49226" ht="15.75" customHeight="1">
      <c r="A49226" s="7"/>
      <c r="B49226" s="7"/>
      <c r="M49226" s="9" t="s">
        <v>24</v>
      </c>
    </row>
    <row r="49227" ht="15.75" customHeight="1">
      <c r="A49227" s="7"/>
      <c r="B49227" s="7"/>
      <c r="M49227" s="9" t="s">
        <v>21</v>
      </c>
    </row>
    <row r="49228" ht="15.75" customHeight="1">
      <c r="A49228" s="7"/>
      <c r="B49228" s="7"/>
      <c r="M49228" s="9" t="s">
        <v>37</v>
      </c>
    </row>
    <row r="49229" ht="15.75" customHeight="1">
      <c r="A49229" s="7"/>
      <c r="B49229" s="7"/>
      <c r="M49229" s="9" t="s">
        <v>27</v>
      </c>
    </row>
    <row r="49230" ht="15.75" customHeight="1">
      <c r="A49230" s="7"/>
      <c r="B49230" s="7"/>
      <c r="M49230" s="9" t="s">
        <v>30</v>
      </c>
    </row>
    <row r="49231" ht="15.75" customHeight="1">
      <c r="A49231" s="7"/>
      <c r="B49231" s="7"/>
      <c r="M49231" s="9" t="s">
        <v>25</v>
      </c>
    </row>
    <row r="49232" ht="15.75" customHeight="1">
      <c r="A49232" s="7"/>
      <c r="B49232" s="7"/>
      <c r="M49232" s="9" t="s">
        <v>26</v>
      </c>
    </row>
    <row r="49233" ht="15.75" customHeight="1">
      <c r="A49233" s="7"/>
      <c r="B49233" s="7"/>
      <c r="M49233" s="9" t="s">
        <v>24</v>
      </c>
    </row>
    <row r="49234" ht="15.75" customHeight="1">
      <c r="A49234" s="7"/>
      <c r="B49234" s="7"/>
      <c r="M49234" s="9" t="s">
        <v>31</v>
      </c>
    </row>
    <row r="49235" ht="15.75" customHeight="1">
      <c r="A49235" s="7"/>
      <c r="B49235" s="7"/>
      <c r="M49235" s="9" t="s">
        <v>27</v>
      </c>
    </row>
    <row r="49236" ht="15.75" customHeight="1">
      <c r="A49236" s="7"/>
      <c r="B49236" s="7"/>
      <c r="M49236" s="9" t="s">
        <v>25</v>
      </c>
    </row>
    <row r="49237" ht="15.75" customHeight="1">
      <c r="A49237" s="7"/>
      <c r="B49237" s="7"/>
      <c r="M49237" s="9" t="s">
        <v>23</v>
      </c>
    </row>
    <row r="49238" ht="15.75" customHeight="1">
      <c r="A49238" s="7"/>
      <c r="B49238" s="7"/>
      <c r="M49238" s="9" t="s">
        <v>24</v>
      </c>
    </row>
    <row r="49239" ht="15.75" customHeight="1">
      <c r="A49239" s="7"/>
      <c r="B49239" s="7"/>
      <c r="M49239" s="9" t="s">
        <v>20</v>
      </c>
    </row>
    <row r="49240" ht="15.75" customHeight="1">
      <c r="A49240" s="7"/>
      <c r="B49240" s="7"/>
      <c r="M49240" s="9" t="s">
        <v>21</v>
      </c>
    </row>
    <row r="49241" ht="15.75" customHeight="1">
      <c r="A49241" s="7"/>
      <c r="B49241" s="7"/>
      <c r="M49241" s="9" t="s">
        <v>39</v>
      </c>
    </row>
    <row r="49242" ht="15.75" customHeight="1">
      <c r="A49242" s="7"/>
      <c r="B49242" s="7"/>
      <c r="M49242" s="9" t="s">
        <v>37</v>
      </c>
    </row>
    <row r="49243" ht="15.75" customHeight="1">
      <c r="A49243" s="7"/>
      <c r="B49243" s="7"/>
      <c r="M49243" s="9" t="s">
        <v>22</v>
      </c>
    </row>
    <row r="49244" ht="15.75" customHeight="1">
      <c r="A49244" s="7"/>
      <c r="B49244" s="7"/>
      <c r="M49244" s="9" t="s">
        <v>30</v>
      </c>
    </row>
    <row r="49245" ht="15.75" customHeight="1">
      <c r="A49245" s="7"/>
      <c r="B49245" s="7"/>
      <c r="M49245" s="9" t="s">
        <v>24</v>
      </c>
    </row>
    <row r="49246" ht="15.75" customHeight="1">
      <c r="A49246" s="7"/>
      <c r="B49246" s="7"/>
      <c r="M49246" s="9" t="s">
        <v>21</v>
      </c>
    </row>
    <row r="49247" ht="15.75" customHeight="1">
      <c r="A49247" s="7"/>
      <c r="B49247" s="7"/>
      <c r="M49247" s="9" t="s">
        <v>23</v>
      </c>
    </row>
    <row r="49248" ht="15.75" customHeight="1">
      <c r="A49248" s="7"/>
      <c r="B49248" s="7"/>
      <c r="M49248" s="9" t="s">
        <v>24</v>
      </c>
    </row>
    <row r="49249" ht="15.75" customHeight="1">
      <c r="A49249" s="7"/>
      <c r="B49249" s="7"/>
      <c r="M49249" s="9" t="s">
        <v>21</v>
      </c>
    </row>
    <row r="49250" ht="15.75" customHeight="1">
      <c r="A49250" s="7"/>
      <c r="B49250" s="7"/>
      <c r="M49250" s="9" t="s">
        <v>37</v>
      </c>
    </row>
    <row r="49251" ht="15.75" customHeight="1">
      <c r="A49251" s="7"/>
      <c r="B49251" s="7"/>
      <c r="M49251" s="9" t="s">
        <v>25</v>
      </c>
    </row>
    <row r="49252" ht="15.75" customHeight="1">
      <c r="A49252" s="7"/>
      <c r="B49252" s="7"/>
      <c r="M49252" s="9" t="s">
        <v>23</v>
      </c>
    </row>
    <row r="49253" ht="15.75" customHeight="1">
      <c r="A49253" s="7"/>
      <c r="B49253" s="7"/>
      <c r="M49253" s="9" t="s">
        <v>24</v>
      </c>
    </row>
    <row r="49254" ht="15.75" customHeight="1">
      <c r="A49254" s="7"/>
      <c r="B49254" s="7"/>
      <c r="M49254" s="9" t="s">
        <v>21</v>
      </c>
    </row>
    <row r="49255" ht="15.75" customHeight="1">
      <c r="A49255" s="7"/>
      <c r="B49255" s="7"/>
      <c r="M49255" s="9" t="s">
        <v>37</v>
      </c>
    </row>
    <row r="49256" ht="15.75" customHeight="1">
      <c r="A49256" s="7"/>
      <c r="B49256" s="7"/>
      <c r="M49256" s="9" t="s">
        <v>27</v>
      </c>
    </row>
    <row r="49257" ht="15.75" customHeight="1">
      <c r="A49257" s="7"/>
      <c r="B49257" s="7"/>
      <c r="M49257" s="9" t="s">
        <v>28</v>
      </c>
    </row>
    <row r="49258" ht="15.75" customHeight="1">
      <c r="A49258" s="7"/>
      <c r="B49258" s="7"/>
      <c r="M49258" s="9" t="s">
        <v>35</v>
      </c>
    </row>
    <row r="49259" ht="15.75" customHeight="1">
      <c r="A49259" s="7"/>
      <c r="B49259" s="7"/>
      <c r="M49259" s="9" t="s">
        <v>24</v>
      </c>
    </row>
    <row r="49260" ht="15.75" customHeight="1">
      <c r="A49260" s="7"/>
      <c r="B49260" s="7"/>
      <c r="M49260" s="9" t="s">
        <v>20</v>
      </c>
    </row>
    <row r="49261" ht="15.75" customHeight="1">
      <c r="A49261" s="7"/>
      <c r="B49261" s="7"/>
      <c r="M49261" s="9" t="s">
        <v>21</v>
      </c>
    </row>
    <row r="49262" ht="15.75" customHeight="1">
      <c r="A49262" s="7"/>
      <c r="B49262" s="7"/>
      <c r="M49262" s="9" t="s">
        <v>37</v>
      </c>
    </row>
    <row r="49263" ht="15.75" customHeight="1">
      <c r="A49263" s="7"/>
      <c r="B49263" s="7"/>
      <c r="M49263" s="9" t="s">
        <v>27</v>
      </c>
    </row>
    <row r="49264" ht="15.75" customHeight="1">
      <c r="A49264" s="7"/>
      <c r="B49264" s="7"/>
      <c r="M49264" s="9" t="s">
        <v>26</v>
      </c>
    </row>
    <row r="49265" ht="15.75" customHeight="1">
      <c r="A49265" s="7"/>
      <c r="B49265" s="7"/>
      <c r="M49265" s="9" t="s">
        <v>24</v>
      </c>
    </row>
    <row r="49266" ht="15.75" customHeight="1">
      <c r="A49266" s="7"/>
      <c r="B49266" s="7"/>
      <c r="M49266" s="9" t="s">
        <v>21</v>
      </c>
    </row>
    <row r="49267" ht="15.75" customHeight="1">
      <c r="A49267" s="7"/>
      <c r="B49267" s="7"/>
      <c r="M49267" s="9" t="s">
        <v>27</v>
      </c>
    </row>
    <row r="49268" ht="15.75" customHeight="1">
      <c r="A49268" s="7"/>
      <c r="B49268" s="7"/>
      <c r="M49268" s="9" t="s">
        <v>33</v>
      </c>
    </row>
    <row r="49269" ht="15.75" customHeight="1">
      <c r="A49269" s="7"/>
      <c r="B49269" s="7"/>
      <c r="M49269" s="9" t="s">
        <v>28</v>
      </c>
    </row>
    <row r="49270" ht="15.75" customHeight="1">
      <c r="A49270" s="7"/>
      <c r="B49270" s="7"/>
      <c r="M49270" s="9" t="s">
        <v>30</v>
      </c>
    </row>
    <row r="49271" ht="15.75" customHeight="1">
      <c r="A49271" s="7"/>
      <c r="B49271" s="7"/>
      <c r="M49271" s="9" t="s">
        <v>24</v>
      </c>
    </row>
    <row r="49272" ht="15.75" customHeight="1">
      <c r="A49272" s="7"/>
      <c r="B49272" s="7"/>
      <c r="M49272" s="9" t="s">
        <v>21</v>
      </c>
    </row>
    <row r="49273" ht="15.75" customHeight="1">
      <c r="A49273" s="7"/>
      <c r="B49273" s="7"/>
      <c r="M49273" s="9" t="s">
        <v>37</v>
      </c>
    </row>
    <row r="49274" ht="15.75" customHeight="1">
      <c r="A49274" s="7"/>
      <c r="B49274" s="7"/>
      <c r="M49274" s="9" t="s">
        <v>27</v>
      </c>
    </row>
    <row r="49275" ht="15.75" customHeight="1">
      <c r="A49275" s="7"/>
      <c r="B49275" s="7"/>
      <c r="M49275" s="9" t="s">
        <v>24</v>
      </c>
    </row>
    <row r="49276" ht="15.75" customHeight="1">
      <c r="A49276" s="7"/>
      <c r="B49276" s="7"/>
      <c r="M49276" s="9" t="s">
        <v>20</v>
      </c>
    </row>
    <row r="49277" ht="15.75" customHeight="1">
      <c r="A49277" s="7"/>
      <c r="B49277" s="7"/>
      <c r="M49277" s="9" t="s">
        <v>21</v>
      </c>
    </row>
    <row r="49278" ht="15.75" customHeight="1">
      <c r="A49278" s="7"/>
      <c r="B49278" s="7"/>
      <c r="M49278" s="9" t="s">
        <v>39</v>
      </c>
    </row>
    <row r="49279" ht="15.75" customHeight="1">
      <c r="A49279" s="7"/>
      <c r="B49279" s="7"/>
      <c r="M49279" s="9" t="s">
        <v>38</v>
      </c>
    </row>
    <row r="49280" ht="15.75" customHeight="1">
      <c r="A49280" s="7"/>
      <c r="B49280" s="7"/>
      <c r="M49280" s="9" t="s">
        <v>25</v>
      </c>
    </row>
    <row r="49281" ht="15.75" customHeight="1">
      <c r="A49281" s="7"/>
      <c r="B49281" s="7"/>
      <c r="M49281" s="9" t="s">
        <v>26</v>
      </c>
    </row>
    <row r="49282" ht="15.75" customHeight="1">
      <c r="A49282" s="7"/>
      <c r="B49282" s="7"/>
      <c r="M49282" s="9" t="s">
        <v>22</v>
      </c>
    </row>
    <row r="49283" ht="15.75" customHeight="1">
      <c r="A49283" s="7"/>
      <c r="B49283" s="7"/>
      <c r="M49283" s="9" t="s">
        <v>32</v>
      </c>
    </row>
    <row r="49284" ht="15.75" customHeight="1">
      <c r="A49284" s="7"/>
      <c r="B49284" s="7"/>
      <c r="M49284" s="9" t="s">
        <v>30</v>
      </c>
    </row>
    <row r="49285" ht="15.75" customHeight="1">
      <c r="A49285" s="7"/>
      <c r="B49285" s="7"/>
      <c r="M49285" s="9" t="s">
        <v>26</v>
      </c>
    </row>
    <row r="49286" ht="15.75" customHeight="1">
      <c r="A49286" s="7"/>
      <c r="B49286" s="7"/>
      <c r="M49286" s="9" t="s">
        <v>21</v>
      </c>
    </row>
    <row r="49287" ht="15.75" customHeight="1">
      <c r="A49287" s="7"/>
      <c r="B49287" s="7"/>
      <c r="M49287" s="9" t="s">
        <v>37</v>
      </c>
    </row>
    <row r="49288" ht="15.75" customHeight="1">
      <c r="A49288" s="7"/>
      <c r="B49288" s="7"/>
      <c r="M49288" s="9" t="s">
        <v>22</v>
      </c>
    </row>
    <row r="49289" ht="15.75" customHeight="1">
      <c r="A49289" s="7"/>
      <c r="B49289" s="7"/>
      <c r="M49289" s="9" t="s">
        <v>31</v>
      </c>
    </row>
    <row r="49290" ht="15.75" customHeight="1">
      <c r="A49290" s="7"/>
      <c r="B49290" s="7"/>
      <c r="M49290" s="9" t="s">
        <v>27</v>
      </c>
    </row>
    <row r="49291" ht="15.75" customHeight="1">
      <c r="A49291" s="7"/>
      <c r="B49291" s="7"/>
      <c r="M49291" s="9" t="s">
        <v>33</v>
      </c>
    </row>
    <row r="49292" ht="15.75" customHeight="1">
      <c r="A49292" s="7"/>
      <c r="B49292" s="7"/>
      <c r="M49292" s="9" t="s">
        <v>30</v>
      </c>
    </row>
    <row r="49293" ht="15.75" customHeight="1">
      <c r="A49293" s="7"/>
      <c r="B49293" s="7"/>
      <c r="M49293" s="9" t="s">
        <v>23</v>
      </c>
    </row>
    <row r="49294" ht="15.75" customHeight="1">
      <c r="A49294" s="7"/>
      <c r="B49294" s="7"/>
      <c r="M49294" s="9" t="s">
        <v>36</v>
      </c>
    </row>
    <row r="49295" ht="15.75" customHeight="1">
      <c r="A49295" s="7"/>
      <c r="B49295" s="7"/>
      <c r="M49295" s="9" t="s">
        <v>24</v>
      </c>
    </row>
    <row r="49296" ht="15.75" customHeight="1">
      <c r="A49296" s="7"/>
      <c r="B49296" s="7"/>
      <c r="M49296" s="9" t="s">
        <v>20</v>
      </c>
    </row>
    <row r="49297" ht="15.75" customHeight="1">
      <c r="A49297" s="7"/>
      <c r="B49297" s="7"/>
      <c r="M49297" s="9" t="s">
        <v>21</v>
      </c>
    </row>
    <row r="49298" ht="15.75" customHeight="1">
      <c r="A49298" s="7"/>
      <c r="B49298" s="7"/>
      <c r="M49298" s="9" t="s">
        <v>37</v>
      </c>
    </row>
    <row r="49299" ht="15.75" customHeight="1">
      <c r="A49299" s="7"/>
      <c r="B49299" s="7"/>
      <c r="M49299" s="9" t="s">
        <v>22</v>
      </c>
    </row>
    <row r="49300" ht="15.75" customHeight="1">
      <c r="A49300" s="7"/>
      <c r="B49300" s="7"/>
      <c r="M49300" s="9" t="s">
        <v>31</v>
      </c>
    </row>
    <row r="49301" ht="15.75" customHeight="1">
      <c r="A49301" s="7"/>
      <c r="B49301" s="7"/>
      <c r="M49301" s="9" t="s">
        <v>27</v>
      </c>
    </row>
    <row r="49302" ht="15.75" customHeight="1">
      <c r="A49302" s="7"/>
      <c r="B49302" s="7"/>
      <c r="M49302" s="9" t="s">
        <v>30</v>
      </c>
    </row>
    <row r="49303" ht="15.75" customHeight="1">
      <c r="A49303" s="7"/>
      <c r="B49303" s="7"/>
      <c r="M49303" s="9" t="s">
        <v>22</v>
      </c>
    </row>
    <row r="49304" ht="15.75" customHeight="1">
      <c r="A49304" s="7"/>
      <c r="B49304" s="7"/>
      <c r="M49304" s="9" t="s">
        <v>27</v>
      </c>
    </row>
    <row r="49305" ht="15.75" customHeight="1">
      <c r="A49305" s="7"/>
      <c r="B49305" s="7"/>
      <c r="M49305" s="9" t="s">
        <v>35</v>
      </c>
    </row>
    <row r="49306" ht="15.75" customHeight="1">
      <c r="A49306" s="7"/>
      <c r="B49306" s="7"/>
      <c r="M49306" s="9" t="s">
        <v>38</v>
      </c>
    </row>
    <row r="49307" ht="15.75" customHeight="1">
      <c r="A49307" s="7"/>
      <c r="B49307" s="7"/>
      <c r="M49307" s="9" t="s">
        <v>30</v>
      </c>
    </row>
    <row r="49308" ht="15.75" customHeight="1">
      <c r="A49308" s="7"/>
      <c r="B49308" s="7"/>
      <c r="M49308" s="9" t="s">
        <v>25</v>
      </c>
    </row>
    <row r="49309" ht="15.75" customHeight="1">
      <c r="A49309" s="7"/>
      <c r="B49309" s="7"/>
      <c r="M49309" s="9" t="s">
        <v>23</v>
      </c>
    </row>
    <row r="49310" ht="15.75" customHeight="1">
      <c r="A49310" s="7"/>
      <c r="B49310" s="7"/>
      <c r="M49310" s="9" t="s">
        <v>26</v>
      </c>
    </row>
    <row r="49311" ht="15.75" customHeight="1">
      <c r="A49311" s="7"/>
      <c r="B49311" s="7"/>
      <c r="M49311" s="9" t="s">
        <v>24</v>
      </c>
    </row>
    <row r="49312" ht="15.75" customHeight="1">
      <c r="A49312" s="7"/>
      <c r="B49312" s="7"/>
      <c r="M49312" s="9" t="s">
        <v>21</v>
      </c>
    </row>
    <row r="49313" ht="15.75" customHeight="1">
      <c r="A49313" s="7"/>
      <c r="B49313" s="7"/>
      <c r="M49313" s="9" t="s">
        <v>37</v>
      </c>
    </row>
    <row r="49314" ht="15.75" customHeight="1">
      <c r="A49314" s="7"/>
      <c r="B49314" s="7"/>
      <c r="M49314" s="9" t="s">
        <v>22</v>
      </c>
    </row>
    <row r="49315" ht="15.75" customHeight="1">
      <c r="A49315" s="7"/>
      <c r="B49315" s="7"/>
      <c r="M49315" s="9" t="s">
        <v>32</v>
      </c>
    </row>
    <row r="49316" ht="15.75" customHeight="1">
      <c r="A49316" s="7"/>
      <c r="B49316" s="7"/>
      <c r="M49316" s="9" t="s">
        <v>27</v>
      </c>
    </row>
    <row r="49317" ht="15.75" customHeight="1">
      <c r="A49317" s="7"/>
      <c r="B49317" s="7"/>
      <c r="M49317" s="9" t="s">
        <v>26</v>
      </c>
    </row>
    <row r="49318" ht="15.75" customHeight="1">
      <c r="A49318" s="7"/>
      <c r="B49318" s="7"/>
      <c r="M49318" s="9" t="s">
        <v>21</v>
      </c>
    </row>
    <row r="49319" ht="15.75" customHeight="1">
      <c r="A49319" s="7"/>
      <c r="B49319" s="7"/>
      <c r="M49319" s="9" t="s">
        <v>37</v>
      </c>
    </row>
    <row r="49320" ht="15.75" customHeight="1">
      <c r="A49320" s="7"/>
      <c r="B49320" s="7"/>
      <c r="M49320" s="9" t="s">
        <v>27</v>
      </c>
    </row>
    <row r="49321" ht="15.75" customHeight="1">
      <c r="A49321" s="7"/>
      <c r="B49321" s="7"/>
      <c r="M49321" s="9" t="s">
        <v>35</v>
      </c>
    </row>
    <row r="49322" ht="15.75" customHeight="1">
      <c r="A49322" s="7"/>
      <c r="B49322" s="7"/>
      <c r="M49322" s="9" t="s">
        <v>24</v>
      </c>
    </row>
    <row r="49323" ht="15.75" customHeight="1">
      <c r="A49323" s="7"/>
      <c r="B49323" s="7"/>
      <c r="M49323" s="9" t="s">
        <v>21</v>
      </c>
    </row>
    <row r="49324" ht="15.75" customHeight="1">
      <c r="A49324" s="7"/>
      <c r="B49324" s="7"/>
      <c r="M49324" s="9" t="s">
        <v>27</v>
      </c>
    </row>
    <row r="49325" ht="15.75" customHeight="1">
      <c r="A49325" s="7"/>
      <c r="B49325" s="7"/>
      <c r="M49325" s="9" t="s">
        <v>20</v>
      </c>
    </row>
    <row r="49326" ht="15.75" customHeight="1">
      <c r="A49326" s="7"/>
      <c r="B49326" s="7"/>
      <c r="M49326" s="9" t="s">
        <v>21</v>
      </c>
    </row>
    <row r="49327" ht="15.75" customHeight="1">
      <c r="A49327" s="7"/>
      <c r="B49327" s="7"/>
      <c r="M49327" s="9" t="s">
        <v>46</v>
      </c>
    </row>
    <row r="49328" ht="15.75" customHeight="1">
      <c r="A49328" s="7"/>
      <c r="B49328" s="7"/>
      <c r="M49328" s="9" t="s">
        <v>24</v>
      </c>
    </row>
    <row r="49329" ht="15.75" customHeight="1">
      <c r="A49329" s="7"/>
      <c r="B49329" s="7"/>
      <c r="M49329" s="9" t="s">
        <v>21</v>
      </c>
    </row>
    <row r="49330" ht="15.75" customHeight="1">
      <c r="A49330" s="7"/>
      <c r="B49330" s="7"/>
      <c r="M49330" s="9" t="s">
        <v>37</v>
      </c>
    </row>
    <row r="49331" ht="15.75" customHeight="1">
      <c r="A49331" s="7"/>
      <c r="B49331" s="7"/>
      <c r="M49331" s="9" t="s">
        <v>25</v>
      </c>
    </row>
    <row r="49332" ht="15.75" customHeight="1">
      <c r="A49332" s="7"/>
      <c r="B49332" s="7"/>
      <c r="M49332" s="9" t="s">
        <v>23</v>
      </c>
    </row>
    <row r="49333" ht="15.75" customHeight="1">
      <c r="A49333" s="7"/>
      <c r="B49333" s="7"/>
      <c r="M49333" s="9" t="s">
        <v>26</v>
      </c>
    </row>
    <row r="49334" ht="15.75" customHeight="1">
      <c r="A49334" s="7"/>
      <c r="B49334" s="7"/>
      <c r="M49334" s="9" t="s">
        <v>24</v>
      </c>
    </row>
    <row r="49335" ht="15.75" customHeight="1">
      <c r="A49335" s="7"/>
      <c r="B49335" s="7"/>
      <c r="M49335" s="9" t="s">
        <v>21</v>
      </c>
    </row>
    <row r="49336" ht="15.75" customHeight="1">
      <c r="A49336" s="7"/>
      <c r="B49336" s="7"/>
      <c r="M49336" s="9" t="s">
        <v>37</v>
      </c>
    </row>
    <row r="49337" ht="15.75" customHeight="1">
      <c r="A49337" s="7"/>
      <c r="B49337" s="7"/>
      <c r="M49337" s="9" t="s">
        <v>27</v>
      </c>
    </row>
    <row r="49338" ht="15.75" customHeight="1">
      <c r="A49338" s="7"/>
      <c r="B49338" s="7"/>
      <c r="M49338" s="9" t="s">
        <v>24</v>
      </c>
    </row>
    <row r="49339" ht="15.75" customHeight="1">
      <c r="A49339" s="7"/>
      <c r="B49339" s="7"/>
      <c r="M49339" s="9" t="s">
        <v>21</v>
      </c>
    </row>
    <row r="49340" ht="15.75" customHeight="1">
      <c r="A49340" s="7"/>
      <c r="B49340" s="7"/>
      <c r="M49340" s="9" t="s">
        <v>35</v>
      </c>
    </row>
    <row r="49341" ht="15.75" customHeight="1">
      <c r="A49341" s="7"/>
      <c r="B49341" s="7"/>
      <c r="M49341" s="9" t="s">
        <v>30</v>
      </c>
    </row>
    <row r="49342" ht="15.75" customHeight="1">
      <c r="A49342" s="7"/>
      <c r="B49342" s="7"/>
      <c r="M49342" s="9" t="s">
        <v>23</v>
      </c>
    </row>
    <row r="49343" ht="15.75" customHeight="1">
      <c r="A49343" s="7"/>
      <c r="B49343" s="7"/>
      <c r="M49343" s="9" t="s">
        <v>26</v>
      </c>
    </row>
    <row r="49344" ht="15.75" customHeight="1">
      <c r="A49344" s="7"/>
      <c r="B49344" s="7"/>
      <c r="M49344" s="9" t="s">
        <v>24</v>
      </c>
    </row>
    <row r="49345" ht="15.75" customHeight="1">
      <c r="A49345" s="7"/>
      <c r="B49345" s="7"/>
      <c r="M49345" s="9" t="s">
        <v>20</v>
      </c>
    </row>
    <row r="49346" ht="15.75" customHeight="1">
      <c r="A49346" s="7"/>
      <c r="B49346" s="7"/>
      <c r="M49346" s="9" t="s">
        <v>21</v>
      </c>
    </row>
    <row r="49347" ht="15.75" customHeight="1">
      <c r="A49347" s="7"/>
      <c r="B49347" s="7"/>
      <c r="M49347" s="9" t="s">
        <v>27</v>
      </c>
    </row>
    <row r="49348" ht="15.75" customHeight="1">
      <c r="A49348" s="7"/>
      <c r="B49348" s="7"/>
      <c r="M49348" s="9" t="s">
        <v>33</v>
      </c>
    </row>
    <row r="49349" ht="15.75" customHeight="1">
      <c r="A49349" s="7"/>
      <c r="B49349" s="7"/>
      <c r="M49349" s="9" t="s">
        <v>26</v>
      </c>
    </row>
    <row r="49350" ht="15.75" customHeight="1">
      <c r="A49350" s="7"/>
      <c r="B49350" s="7"/>
      <c r="M49350" s="9" t="s">
        <v>24</v>
      </c>
    </row>
    <row r="49351" ht="15.75" customHeight="1">
      <c r="A49351" s="7"/>
      <c r="B49351" s="7"/>
      <c r="M49351" s="9" t="s">
        <v>33</v>
      </c>
    </row>
    <row r="49352" ht="15.75" customHeight="1">
      <c r="A49352" s="7"/>
      <c r="B49352" s="7"/>
      <c r="M49352" s="9" t="s">
        <v>24</v>
      </c>
    </row>
    <row r="49353" ht="15.75" customHeight="1">
      <c r="A49353" s="7"/>
      <c r="B49353" s="7"/>
      <c r="M49353" s="9" t="s">
        <v>20</v>
      </c>
    </row>
    <row r="49354" ht="15.75" customHeight="1">
      <c r="A49354" s="7"/>
      <c r="B49354" s="7"/>
      <c r="M49354" s="9" t="s">
        <v>21</v>
      </c>
    </row>
    <row r="49355" ht="15.75" customHeight="1">
      <c r="A49355" s="7"/>
      <c r="B49355" s="7"/>
      <c r="M49355" s="9" t="s">
        <v>37</v>
      </c>
    </row>
    <row r="49356" ht="15.75" customHeight="1">
      <c r="A49356" s="7"/>
      <c r="B49356" s="7"/>
      <c r="M49356" s="9" t="s">
        <v>31</v>
      </c>
    </row>
    <row r="49357" ht="15.75" customHeight="1">
      <c r="A49357" s="7"/>
      <c r="B49357" s="7"/>
      <c r="M49357" s="9" t="s">
        <v>25</v>
      </c>
    </row>
    <row r="49358" ht="15.75" customHeight="1">
      <c r="A49358" s="7"/>
      <c r="B49358" s="7"/>
      <c r="M49358" s="9" t="s">
        <v>23</v>
      </c>
    </row>
    <row r="49359" ht="15.75" customHeight="1">
      <c r="A49359" s="7"/>
      <c r="B49359" s="7"/>
      <c r="M49359" s="9" t="s">
        <v>26</v>
      </c>
    </row>
    <row r="49360" ht="15.75" customHeight="1">
      <c r="A49360" s="7"/>
      <c r="B49360" s="7"/>
      <c r="M49360" s="9" t="s">
        <v>24</v>
      </c>
    </row>
    <row r="49361" ht="15.75" customHeight="1">
      <c r="A49361" s="7"/>
      <c r="B49361" s="7"/>
      <c r="M49361" s="9" t="s">
        <v>20</v>
      </c>
    </row>
    <row r="49362" ht="15.75" customHeight="1">
      <c r="A49362" s="7"/>
      <c r="B49362" s="7"/>
      <c r="M49362" s="9" t="s">
        <v>37</v>
      </c>
    </row>
    <row r="49363" ht="15.75" customHeight="1">
      <c r="A49363" s="7"/>
      <c r="B49363" s="7"/>
      <c r="M49363" s="9" t="s">
        <v>26</v>
      </c>
    </row>
    <row r="49364" ht="15.75" customHeight="1">
      <c r="A49364" s="7"/>
      <c r="B49364" s="7"/>
      <c r="M49364" s="9" t="s">
        <v>24</v>
      </c>
    </row>
    <row r="49365" ht="15.75" customHeight="1">
      <c r="A49365" s="7"/>
      <c r="B49365" s="7"/>
      <c r="M49365" s="9" t="s">
        <v>21</v>
      </c>
    </row>
    <row r="49366" ht="15.75" customHeight="1">
      <c r="A49366" s="7"/>
      <c r="B49366" s="7"/>
      <c r="M49366" s="9" t="s">
        <v>37</v>
      </c>
    </row>
    <row r="49367" ht="15.75" customHeight="1">
      <c r="A49367" s="7"/>
      <c r="B49367" s="7"/>
      <c r="M49367" s="9" t="s">
        <v>31</v>
      </c>
    </row>
    <row r="49368" ht="15.75" customHeight="1">
      <c r="A49368" s="7"/>
      <c r="B49368" s="7"/>
      <c r="M49368" s="9" t="s">
        <v>27</v>
      </c>
    </row>
    <row r="49369" ht="15.75" customHeight="1">
      <c r="A49369" s="7"/>
      <c r="B49369" s="7"/>
      <c r="M49369" s="9" t="s">
        <v>33</v>
      </c>
    </row>
    <row r="49370" ht="15.75" customHeight="1">
      <c r="A49370" s="7"/>
      <c r="B49370" s="7"/>
      <c r="M49370" s="9" t="s">
        <v>30</v>
      </c>
    </row>
    <row r="49371" ht="15.75" customHeight="1">
      <c r="A49371" s="7"/>
      <c r="B49371" s="7"/>
      <c r="M49371" s="9" t="s">
        <v>24</v>
      </c>
    </row>
    <row r="49372" ht="15.75" customHeight="1">
      <c r="A49372" s="7"/>
      <c r="B49372" s="7"/>
      <c r="M49372" s="9" t="s">
        <v>20</v>
      </c>
    </row>
    <row r="49373" ht="15.75" customHeight="1">
      <c r="A49373" s="7"/>
      <c r="B49373" s="7"/>
      <c r="M49373" s="9" t="s">
        <v>21</v>
      </c>
    </row>
    <row r="49374" ht="15.75" customHeight="1">
      <c r="A49374" s="7"/>
      <c r="B49374" s="7"/>
      <c r="M49374" s="9" t="s">
        <v>37</v>
      </c>
    </row>
    <row r="49375" ht="15.75" customHeight="1">
      <c r="A49375" s="7"/>
      <c r="B49375" s="7"/>
      <c r="M49375" s="9" t="s">
        <v>27</v>
      </c>
    </row>
    <row r="49376" ht="15.75" customHeight="1">
      <c r="A49376" s="7"/>
      <c r="B49376" s="7"/>
      <c r="M49376" s="9" t="s">
        <v>40</v>
      </c>
    </row>
    <row r="49377" ht="15.75" customHeight="1">
      <c r="A49377" s="7"/>
      <c r="B49377" s="7"/>
      <c r="M49377" s="9" t="s">
        <v>26</v>
      </c>
    </row>
    <row r="49378" ht="15.75" customHeight="1">
      <c r="A49378" s="7"/>
      <c r="B49378" s="7"/>
      <c r="M49378" s="9" t="s">
        <v>24</v>
      </c>
    </row>
    <row r="49379" ht="15.75" customHeight="1">
      <c r="A49379" s="7"/>
      <c r="B49379" s="7"/>
      <c r="M49379" s="9" t="s">
        <v>20</v>
      </c>
    </row>
    <row r="49380" ht="15.75" customHeight="1">
      <c r="A49380" s="7"/>
      <c r="B49380" s="7"/>
      <c r="M49380" s="9" t="s">
        <v>21</v>
      </c>
    </row>
    <row r="49381" ht="15.75" customHeight="1">
      <c r="A49381" s="7"/>
      <c r="B49381" s="7"/>
      <c r="M49381" s="9" t="s">
        <v>33</v>
      </c>
    </row>
    <row r="49382" ht="15.75" customHeight="1">
      <c r="A49382" s="7"/>
      <c r="B49382" s="7"/>
      <c r="M49382" s="9" t="s">
        <v>23</v>
      </c>
    </row>
    <row r="49383" ht="15.75" customHeight="1">
      <c r="A49383" s="7"/>
      <c r="B49383" s="7"/>
      <c r="M49383" s="9" t="s">
        <v>26</v>
      </c>
    </row>
    <row r="49384" ht="15.75" customHeight="1">
      <c r="A49384" s="7"/>
      <c r="B49384" s="7"/>
      <c r="M49384" s="9" t="s">
        <v>26</v>
      </c>
    </row>
    <row r="49385" ht="15.75" customHeight="1">
      <c r="A49385" s="7"/>
      <c r="B49385" s="7"/>
      <c r="M49385" s="9" t="s">
        <v>26</v>
      </c>
    </row>
    <row r="49386" ht="15.75" customHeight="1">
      <c r="A49386" s="7"/>
      <c r="B49386" s="7"/>
      <c r="M49386" s="9" t="s">
        <v>24</v>
      </c>
    </row>
    <row r="49387" ht="15.75" customHeight="1">
      <c r="A49387" s="7"/>
      <c r="B49387" s="7"/>
      <c r="M49387" s="9" t="s">
        <v>21</v>
      </c>
    </row>
    <row r="49388" ht="15.75" customHeight="1">
      <c r="A49388" s="7"/>
      <c r="B49388" s="7"/>
      <c r="M49388" s="9" t="s">
        <v>27</v>
      </c>
    </row>
    <row r="49389" ht="15.75" customHeight="1">
      <c r="A49389" s="7"/>
      <c r="B49389" s="7"/>
      <c r="M49389" s="9" t="s">
        <v>33</v>
      </c>
    </row>
    <row r="49390" ht="15.75" customHeight="1">
      <c r="A49390" s="7"/>
      <c r="B49390" s="7"/>
      <c r="M49390" s="9" t="s">
        <v>35</v>
      </c>
    </row>
    <row r="49391" ht="15.75" customHeight="1">
      <c r="A49391" s="7"/>
      <c r="B49391" s="7"/>
      <c r="M49391" s="9" t="s">
        <v>25</v>
      </c>
    </row>
    <row r="49392" ht="15.75" customHeight="1">
      <c r="A49392" s="7"/>
      <c r="B49392" s="7"/>
      <c r="M49392" s="9" t="s">
        <v>23</v>
      </c>
    </row>
    <row r="49393" ht="15.75" customHeight="1">
      <c r="A49393" s="7"/>
      <c r="B49393" s="7"/>
      <c r="M49393" s="9" t="s">
        <v>26</v>
      </c>
    </row>
    <row r="49394" ht="15.75" customHeight="1">
      <c r="A49394" s="7"/>
      <c r="B49394" s="7"/>
      <c r="M49394" s="9" t="s">
        <v>24</v>
      </c>
    </row>
    <row r="49395" ht="15.75" customHeight="1">
      <c r="A49395" s="7"/>
      <c r="B49395" s="7"/>
      <c r="M49395" s="9" t="s">
        <v>21</v>
      </c>
    </row>
    <row r="49396" ht="15.75" customHeight="1">
      <c r="A49396" s="7"/>
      <c r="B49396" s="7"/>
      <c r="M49396" s="9" t="s">
        <v>41</v>
      </c>
    </row>
    <row r="49397" ht="15.75" customHeight="1">
      <c r="A49397" s="7"/>
      <c r="B49397" s="7"/>
      <c r="M49397" s="9" t="s">
        <v>27</v>
      </c>
    </row>
    <row r="49398" ht="15.75" customHeight="1">
      <c r="A49398" s="7"/>
      <c r="B49398" s="7"/>
      <c r="M49398" s="9" t="s">
        <v>24</v>
      </c>
    </row>
    <row r="49399" ht="15.75" customHeight="1">
      <c r="A49399" s="7"/>
      <c r="B49399" s="7"/>
      <c r="M49399" s="9" t="s">
        <v>21</v>
      </c>
    </row>
    <row r="49400" ht="15.75" customHeight="1">
      <c r="A49400" s="7"/>
      <c r="B49400" s="7"/>
      <c r="M49400" s="9" t="s">
        <v>33</v>
      </c>
    </row>
    <row r="49401" ht="15.75" customHeight="1">
      <c r="A49401" s="7"/>
      <c r="B49401" s="7"/>
      <c r="M49401" s="9" t="s">
        <v>30</v>
      </c>
    </row>
    <row r="49402" ht="15.75" customHeight="1">
      <c r="A49402" s="7"/>
      <c r="B49402" s="7"/>
      <c r="M49402" s="9" t="s">
        <v>23</v>
      </c>
    </row>
    <row r="49403" ht="15.75" customHeight="1">
      <c r="A49403" s="7"/>
      <c r="B49403" s="7"/>
      <c r="M49403" s="9" t="s">
        <v>26</v>
      </c>
    </row>
    <row r="49404" ht="15.75" customHeight="1">
      <c r="A49404" s="7"/>
      <c r="B49404" s="7"/>
      <c r="M49404" s="9" t="s">
        <v>24</v>
      </c>
    </row>
    <row r="49405" ht="15.75" customHeight="1">
      <c r="A49405" s="7"/>
      <c r="B49405" s="7"/>
      <c r="M49405" s="9" t="s">
        <v>22</v>
      </c>
    </row>
    <row r="49406" ht="15.75" customHeight="1">
      <c r="A49406" s="7"/>
      <c r="B49406" s="7"/>
      <c r="M49406" s="9" t="s">
        <v>27</v>
      </c>
    </row>
    <row r="49407" ht="15.75" customHeight="1">
      <c r="A49407" s="7"/>
      <c r="B49407" s="7"/>
      <c r="M49407" s="9" t="s">
        <v>33</v>
      </c>
    </row>
    <row r="49408" ht="15.75" customHeight="1">
      <c r="A49408" s="7"/>
      <c r="B49408" s="7"/>
      <c r="M49408" s="9" t="s">
        <v>30</v>
      </c>
    </row>
    <row r="49409" ht="15.75" customHeight="1">
      <c r="A49409" s="7"/>
      <c r="B49409" s="7"/>
      <c r="M49409" s="9" t="s">
        <v>22</v>
      </c>
    </row>
    <row r="49410" ht="15.75" customHeight="1">
      <c r="A49410" s="7"/>
      <c r="B49410" s="7"/>
      <c r="M49410" s="9" t="s">
        <v>27</v>
      </c>
    </row>
    <row r="49411" ht="15.75" customHeight="1">
      <c r="A49411" s="7"/>
      <c r="B49411" s="7"/>
      <c r="M49411" s="9" t="s">
        <v>21</v>
      </c>
    </row>
    <row r="49412" ht="15.75" customHeight="1">
      <c r="A49412" s="7"/>
      <c r="B49412" s="7"/>
      <c r="M49412" s="9" t="s">
        <v>22</v>
      </c>
    </row>
    <row r="49413" ht="15.75" customHeight="1">
      <c r="A49413" s="7"/>
      <c r="B49413" s="7"/>
      <c r="M49413" s="9" t="s">
        <v>27</v>
      </c>
    </row>
    <row r="49414" ht="15.75" customHeight="1">
      <c r="A49414" s="7"/>
      <c r="B49414" s="7"/>
      <c r="M49414" s="9" t="s">
        <v>33</v>
      </c>
    </row>
    <row r="49415" ht="15.75" customHeight="1">
      <c r="A49415" s="7"/>
      <c r="B49415" s="7"/>
      <c r="M49415" s="9" t="s">
        <v>20</v>
      </c>
    </row>
    <row r="49416" ht="15.75" customHeight="1">
      <c r="A49416" s="7"/>
      <c r="B49416" s="7"/>
      <c r="M49416" s="9" t="s">
        <v>39</v>
      </c>
    </row>
    <row r="49417" ht="15.75" customHeight="1">
      <c r="A49417" s="7"/>
      <c r="B49417" s="7"/>
      <c r="M49417" s="9" t="s">
        <v>37</v>
      </c>
    </row>
    <row r="49418" ht="15.75" customHeight="1">
      <c r="A49418" s="7"/>
      <c r="B49418" s="7"/>
      <c r="M49418" s="9" t="s">
        <v>27</v>
      </c>
    </row>
    <row r="49419" ht="15.75" customHeight="1">
      <c r="A49419" s="7"/>
      <c r="B49419" s="7"/>
      <c r="M49419" s="9" t="s">
        <v>25</v>
      </c>
    </row>
    <row r="49420" ht="15.75" customHeight="1">
      <c r="A49420" s="7"/>
      <c r="B49420" s="7"/>
      <c r="M49420" s="9" t="s">
        <v>23</v>
      </c>
    </row>
    <row r="49421" ht="15.75" customHeight="1">
      <c r="A49421" s="7"/>
      <c r="B49421" s="7"/>
      <c r="M49421" s="9" t="s">
        <v>26</v>
      </c>
    </row>
    <row r="49422" ht="15.75" customHeight="1">
      <c r="A49422" s="7"/>
      <c r="B49422" s="7"/>
      <c r="M49422" s="9" t="s">
        <v>24</v>
      </c>
    </row>
    <row r="49423" ht="15.75" customHeight="1">
      <c r="A49423" s="7"/>
      <c r="B49423" s="7"/>
      <c r="M49423" s="9" t="s">
        <v>21</v>
      </c>
    </row>
    <row r="49424" ht="15.75" customHeight="1">
      <c r="A49424" s="7"/>
      <c r="B49424" s="7"/>
      <c r="M49424" s="9" t="s">
        <v>37</v>
      </c>
    </row>
    <row r="49425" ht="15.75" customHeight="1">
      <c r="A49425" s="7"/>
      <c r="B49425" s="7"/>
      <c r="M49425" s="9" t="s">
        <v>31</v>
      </c>
    </row>
    <row r="49426" ht="15.75" customHeight="1">
      <c r="A49426" s="7"/>
      <c r="B49426" s="7"/>
      <c r="M49426" s="9" t="s">
        <v>30</v>
      </c>
    </row>
    <row r="49427" ht="15.75" customHeight="1">
      <c r="A49427" s="7"/>
      <c r="B49427" s="7"/>
      <c r="M49427" s="9" t="s">
        <v>23</v>
      </c>
    </row>
    <row r="49428" ht="15.75" customHeight="1">
      <c r="A49428" s="7"/>
      <c r="B49428" s="7"/>
      <c r="M49428" s="9" t="s">
        <v>26</v>
      </c>
    </row>
    <row r="49429" ht="15.75" customHeight="1">
      <c r="A49429" s="7"/>
      <c r="B49429" s="7"/>
      <c r="M49429" s="9" t="s">
        <v>24</v>
      </c>
    </row>
    <row r="49430" ht="15.75" customHeight="1">
      <c r="A49430" s="7"/>
      <c r="B49430" s="7"/>
      <c r="M49430" s="9" t="s">
        <v>21</v>
      </c>
    </row>
    <row r="49431" ht="15.75" customHeight="1">
      <c r="A49431" s="7"/>
      <c r="B49431" s="7"/>
      <c r="M49431" s="9" t="s">
        <v>27</v>
      </c>
    </row>
    <row r="49432" ht="15.75" customHeight="1">
      <c r="A49432" s="7"/>
      <c r="B49432" s="7"/>
      <c r="M49432" s="9" t="s">
        <v>35</v>
      </c>
    </row>
    <row r="49433" ht="15.75" customHeight="1">
      <c r="A49433" s="7"/>
      <c r="B49433" s="7"/>
      <c r="M49433" s="9" t="s">
        <v>30</v>
      </c>
    </row>
    <row r="49434" ht="15.75" customHeight="1">
      <c r="A49434" s="7"/>
      <c r="B49434" s="7"/>
      <c r="M49434" s="9" t="s">
        <v>24</v>
      </c>
    </row>
    <row r="49435" ht="15.75" customHeight="1">
      <c r="A49435" s="7"/>
      <c r="B49435" s="7"/>
      <c r="M49435" s="9" t="s">
        <v>21</v>
      </c>
    </row>
    <row r="49436" ht="15.75" customHeight="1">
      <c r="A49436" s="7"/>
      <c r="B49436" s="7"/>
      <c r="M49436" s="9" t="s">
        <v>37</v>
      </c>
    </row>
    <row r="49437" ht="15.75" customHeight="1">
      <c r="A49437" s="7"/>
      <c r="B49437" s="7"/>
      <c r="M49437" s="9" t="s">
        <v>27</v>
      </c>
    </row>
    <row r="49438" ht="15.75" customHeight="1">
      <c r="A49438" s="7"/>
      <c r="B49438" s="7"/>
      <c r="M49438" s="9" t="s">
        <v>20</v>
      </c>
    </row>
    <row r="49439" ht="15.75" customHeight="1">
      <c r="A49439" s="7"/>
      <c r="B49439" s="7"/>
      <c r="M49439" s="9" t="s">
        <v>21</v>
      </c>
    </row>
    <row r="49440" ht="15.75" customHeight="1">
      <c r="A49440" s="7"/>
      <c r="B49440" s="7"/>
      <c r="M49440" s="9" t="s">
        <v>27</v>
      </c>
    </row>
    <row r="49441" ht="15.75" customHeight="1">
      <c r="A49441" s="7"/>
      <c r="B49441" s="7"/>
      <c r="M49441" s="9" t="s">
        <v>23</v>
      </c>
    </row>
    <row r="49442" ht="15.75" customHeight="1">
      <c r="A49442" s="7"/>
      <c r="B49442" s="7"/>
      <c r="M49442" s="9" t="s">
        <v>26</v>
      </c>
    </row>
    <row r="49443" ht="15.75" customHeight="1">
      <c r="A49443" s="7"/>
      <c r="B49443" s="7"/>
      <c r="M49443" s="9" t="s">
        <v>24</v>
      </c>
    </row>
    <row r="49444" ht="15.75" customHeight="1">
      <c r="A49444" s="7"/>
      <c r="B49444" s="7"/>
      <c r="M49444" s="9" t="s">
        <v>20</v>
      </c>
    </row>
    <row r="49445" ht="15.75" customHeight="1">
      <c r="A49445" s="7"/>
      <c r="B49445" s="7"/>
      <c r="M49445" s="9" t="s">
        <v>21</v>
      </c>
    </row>
    <row r="49446" ht="15.75" customHeight="1">
      <c r="A49446" s="7"/>
      <c r="B49446" s="7"/>
      <c r="M49446" s="9" t="s">
        <v>27</v>
      </c>
    </row>
    <row r="49447" ht="15.75" customHeight="1">
      <c r="A49447" s="7"/>
      <c r="B49447" s="7"/>
      <c r="M49447" s="9" t="s">
        <v>33</v>
      </c>
    </row>
    <row r="49448" ht="15.75" customHeight="1">
      <c r="A49448" s="7"/>
      <c r="B49448" s="7"/>
      <c r="M49448" s="9" t="s">
        <v>25</v>
      </c>
    </row>
    <row r="49449" ht="15.75" customHeight="1">
      <c r="A49449" s="7"/>
      <c r="B49449" s="7"/>
      <c r="M49449" s="9" t="s">
        <v>26</v>
      </c>
    </row>
    <row r="49450" ht="15.75" customHeight="1">
      <c r="A49450" s="7"/>
      <c r="B49450" s="7"/>
      <c r="M49450" s="9" t="s">
        <v>20</v>
      </c>
    </row>
    <row r="49451" ht="15.75" customHeight="1">
      <c r="A49451" s="7"/>
      <c r="B49451" s="7"/>
      <c r="M49451" s="9" t="s">
        <v>21</v>
      </c>
    </row>
    <row r="49452" ht="15.75" customHeight="1">
      <c r="A49452" s="7"/>
      <c r="B49452" s="7"/>
      <c r="M49452" s="9" t="s">
        <v>39</v>
      </c>
    </row>
    <row r="49453" ht="15.75" customHeight="1">
      <c r="A49453" s="7"/>
      <c r="B49453" s="7"/>
      <c r="M49453" s="9" t="s">
        <v>27</v>
      </c>
    </row>
    <row r="49454" ht="15.75" customHeight="1">
      <c r="A49454" s="7"/>
      <c r="B49454" s="7"/>
      <c r="M49454" s="9" t="s">
        <v>38</v>
      </c>
    </row>
    <row r="49455" ht="15.75" customHeight="1">
      <c r="A49455" s="7"/>
      <c r="B49455" s="7"/>
      <c r="M49455" s="9" t="s">
        <v>25</v>
      </c>
    </row>
    <row r="49456" ht="15.75" customHeight="1">
      <c r="A49456" s="7"/>
      <c r="B49456" s="7"/>
      <c r="M49456" s="9" t="s">
        <v>22</v>
      </c>
    </row>
    <row r="49457" ht="15.75" customHeight="1">
      <c r="A49457" s="7"/>
      <c r="B49457" s="7"/>
      <c r="M49457" s="9" t="s">
        <v>32</v>
      </c>
    </row>
    <row r="49458" ht="15.75" customHeight="1">
      <c r="A49458" s="7"/>
      <c r="B49458" s="7"/>
      <c r="M49458" s="9" t="s">
        <v>30</v>
      </c>
    </row>
    <row r="49459" ht="15.75" customHeight="1">
      <c r="A49459" s="7"/>
      <c r="B49459" s="7"/>
      <c r="M49459" s="9" t="s">
        <v>25</v>
      </c>
    </row>
    <row r="49460" ht="15.75" customHeight="1">
      <c r="A49460" s="7"/>
      <c r="B49460" s="7"/>
      <c r="M49460" s="9" t="s">
        <v>36</v>
      </c>
    </row>
    <row r="49461" ht="15.75" customHeight="1">
      <c r="A49461" s="7"/>
      <c r="B49461" s="7"/>
      <c r="M49461" s="9" t="s">
        <v>37</v>
      </c>
    </row>
    <row r="49462" ht="15.75" customHeight="1">
      <c r="A49462" s="7"/>
      <c r="B49462" s="7"/>
      <c r="M49462" s="9" t="s">
        <v>22</v>
      </c>
    </row>
    <row r="49463" ht="15.75" customHeight="1">
      <c r="A49463" s="7"/>
      <c r="B49463" s="7"/>
      <c r="M49463" s="9" t="s">
        <v>27</v>
      </c>
    </row>
    <row r="49464" ht="15.75" customHeight="1">
      <c r="A49464" s="7"/>
      <c r="B49464" s="7"/>
      <c r="M49464" s="9" t="s">
        <v>35</v>
      </c>
    </row>
    <row r="49465" ht="15.75" customHeight="1">
      <c r="A49465" s="7"/>
      <c r="B49465" s="7"/>
      <c r="M49465" s="9" t="s">
        <v>26</v>
      </c>
    </row>
    <row r="49466" ht="15.75" customHeight="1">
      <c r="A49466" s="7"/>
      <c r="B49466" s="7"/>
      <c r="M49466" s="9" t="s">
        <v>24</v>
      </c>
    </row>
    <row r="49467" ht="15.75" customHeight="1">
      <c r="A49467" s="7"/>
      <c r="B49467" s="7"/>
      <c r="M49467" s="9" t="s">
        <v>21</v>
      </c>
    </row>
    <row r="49468" ht="15.75" customHeight="1">
      <c r="A49468" s="7"/>
      <c r="B49468" s="7"/>
      <c r="M49468" s="9" t="s">
        <v>27</v>
      </c>
    </row>
    <row r="49469" ht="15.75" customHeight="1">
      <c r="A49469" s="7"/>
      <c r="B49469" s="7"/>
      <c r="M49469" s="9" t="s">
        <v>22</v>
      </c>
    </row>
    <row r="49470" ht="15.75" customHeight="1">
      <c r="A49470" s="7"/>
      <c r="B49470" s="7"/>
      <c r="M49470" s="9" t="s">
        <v>27</v>
      </c>
    </row>
    <row r="49471" ht="15.75" customHeight="1">
      <c r="A49471" s="7"/>
      <c r="B49471" s="7"/>
      <c r="M49471" s="9" t="s">
        <v>23</v>
      </c>
    </row>
    <row r="49472" ht="15.75" customHeight="1">
      <c r="A49472" s="7"/>
      <c r="B49472" s="7"/>
      <c r="M49472" s="9" t="s">
        <v>21</v>
      </c>
    </row>
    <row r="49473" ht="15.75" customHeight="1">
      <c r="A49473" s="7"/>
      <c r="B49473" s="7"/>
      <c r="M49473" s="9" t="s">
        <v>22</v>
      </c>
    </row>
    <row r="49474" ht="15.75" customHeight="1">
      <c r="A49474" s="7"/>
      <c r="B49474" s="7"/>
      <c r="M49474" s="9" t="s">
        <v>31</v>
      </c>
    </row>
    <row r="49475" ht="15.75" customHeight="1">
      <c r="A49475" s="7"/>
      <c r="B49475" s="7"/>
      <c r="M49475" s="9" t="s">
        <v>24</v>
      </c>
    </row>
    <row r="49476" ht="15.75" customHeight="1">
      <c r="A49476" s="7"/>
      <c r="B49476" s="7"/>
      <c r="M49476" s="9" t="s">
        <v>21</v>
      </c>
    </row>
    <row r="49477" ht="15.75" customHeight="1">
      <c r="A49477" s="7"/>
      <c r="B49477" s="7"/>
      <c r="M49477" s="9" t="s">
        <v>37</v>
      </c>
    </row>
    <row r="49478" ht="15.75" customHeight="1">
      <c r="A49478" s="7"/>
      <c r="B49478" s="7"/>
      <c r="M49478" s="9" t="s">
        <v>27</v>
      </c>
    </row>
    <row r="49479" ht="15.75" customHeight="1">
      <c r="A49479" s="7"/>
      <c r="B49479" s="7"/>
      <c r="M49479" s="9" t="s">
        <v>33</v>
      </c>
    </row>
    <row r="49480" ht="15.75" customHeight="1">
      <c r="A49480" s="7"/>
      <c r="B49480" s="7"/>
      <c r="M49480" s="9" t="s">
        <v>30</v>
      </c>
    </row>
    <row r="49481" ht="15.75" customHeight="1">
      <c r="A49481" s="7"/>
      <c r="B49481" s="7"/>
      <c r="M49481" s="9" t="s">
        <v>23</v>
      </c>
    </row>
    <row r="49482" ht="15.75" customHeight="1">
      <c r="A49482" s="7"/>
      <c r="B49482" s="7"/>
      <c r="M49482" s="9" t="s">
        <v>24</v>
      </c>
    </row>
    <row r="49483" ht="15.75" customHeight="1">
      <c r="A49483" s="7"/>
      <c r="B49483" s="7"/>
      <c r="M49483" s="9" t="s">
        <v>21</v>
      </c>
    </row>
    <row r="49484" ht="15.75" customHeight="1">
      <c r="A49484" s="7"/>
      <c r="B49484" s="7"/>
      <c r="M49484" s="9" t="s">
        <v>22</v>
      </c>
    </row>
    <row r="49485" ht="15.75" customHeight="1">
      <c r="A49485" s="7"/>
      <c r="B49485" s="7"/>
      <c r="M49485" s="9" t="s">
        <v>33</v>
      </c>
    </row>
    <row r="49486" ht="15.75" customHeight="1">
      <c r="A49486" s="7"/>
      <c r="B49486" s="7"/>
      <c r="M49486" s="9" t="s">
        <v>20</v>
      </c>
    </row>
    <row r="49487" ht="15.75" customHeight="1">
      <c r="A49487" s="7"/>
      <c r="B49487" s="7"/>
      <c r="M49487" s="9" t="s">
        <v>21</v>
      </c>
    </row>
    <row r="49488" ht="15.75" customHeight="1">
      <c r="A49488" s="7"/>
      <c r="B49488" s="7"/>
      <c r="M49488" s="9" t="s">
        <v>27</v>
      </c>
    </row>
    <row r="49489" ht="15.75" customHeight="1">
      <c r="A49489" s="7"/>
      <c r="B49489" s="7"/>
      <c r="M49489" s="9" t="s">
        <v>26</v>
      </c>
    </row>
    <row r="49490" ht="15.75" customHeight="1">
      <c r="A49490" s="7"/>
      <c r="B49490" s="7"/>
      <c r="M49490" s="9" t="s">
        <v>24</v>
      </c>
    </row>
    <row r="49491" ht="15.75" customHeight="1">
      <c r="A49491" s="7"/>
      <c r="B49491" s="7"/>
      <c r="M49491" s="9" t="s">
        <v>21</v>
      </c>
    </row>
    <row r="49492" ht="15.75" customHeight="1">
      <c r="A49492" s="7"/>
      <c r="B49492" s="7"/>
      <c r="M49492" s="9" t="s">
        <v>33</v>
      </c>
    </row>
    <row r="49493" ht="15.75" customHeight="1">
      <c r="A49493" s="7"/>
      <c r="B49493" s="7"/>
      <c r="M49493" s="9" t="s">
        <v>20</v>
      </c>
    </row>
    <row r="49494" ht="15.75" customHeight="1">
      <c r="A49494" s="7"/>
      <c r="B49494" s="7"/>
      <c r="M49494" s="9" t="s">
        <v>46</v>
      </c>
    </row>
    <row r="49495" ht="15.75" customHeight="1">
      <c r="A49495" s="7"/>
      <c r="B49495" s="7"/>
      <c r="M49495" s="9" t="s">
        <v>35</v>
      </c>
    </row>
    <row r="49496" ht="15.75" customHeight="1">
      <c r="A49496" s="7"/>
      <c r="B49496" s="7"/>
      <c r="M49496" s="9" t="s">
        <v>24</v>
      </c>
    </row>
    <row r="49497" ht="15.75" customHeight="1">
      <c r="A49497" s="7"/>
      <c r="B49497" s="7"/>
      <c r="M49497" s="9" t="s">
        <v>39</v>
      </c>
    </row>
    <row r="49498" ht="15.75" customHeight="1">
      <c r="A49498" s="7"/>
      <c r="B49498" s="7"/>
      <c r="M49498" s="9" t="s">
        <v>33</v>
      </c>
    </row>
    <row r="49499" ht="15.75" customHeight="1">
      <c r="A49499" s="7"/>
      <c r="B49499" s="7"/>
      <c r="M49499" s="9" t="s">
        <v>35</v>
      </c>
    </row>
    <row r="49500" ht="15.75" customHeight="1">
      <c r="A49500" s="7"/>
      <c r="B49500" s="7"/>
      <c r="M49500" s="9" t="s">
        <v>30</v>
      </c>
    </row>
    <row r="49501" ht="15.75" customHeight="1">
      <c r="A49501" s="7"/>
      <c r="B49501" s="7"/>
      <c r="M49501" s="9" t="s">
        <v>26</v>
      </c>
    </row>
    <row r="49502" ht="15.75" customHeight="1">
      <c r="A49502" s="7"/>
      <c r="B49502" s="7"/>
      <c r="M49502" s="9" t="s">
        <v>30</v>
      </c>
    </row>
    <row r="49503" ht="15.75" customHeight="1">
      <c r="A49503" s="7"/>
      <c r="B49503" s="7"/>
      <c r="M49503" s="9" t="s">
        <v>24</v>
      </c>
    </row>
    <row r="49504" ht="15.75" customHeight="1">
      <c r="A49504" s="7"/>
      <c r="B49504" s="7"/>
      <c r="M49504" s="9" t="s">
        <v>20</v>
      </c>
    </row>
    <row r="49505" ht="15.75" customHeight="1">
      <c r="A49505" s="7"/>
      <c r="B49505" s="7"/>
      <c r="M49505" s="9" t="s">
        <v>21</v>
      </c>
    </row>
    <row r="49506" ht="15.75" customHeight="1">
      <c r="A49506" s="7"/>
      <c r="B49506" s="7"/>
      <c r="M49506" s="9" t="s">
        <v>22</v>
      </c>
    </row>
    <row r="49507" ht="15.75" customHeight="1">
      <c r="A49507" s="7"/>
      <c r="B49507" s="7"/>
      <c r="M49507" s="9" t="s">
        <v>46</v>
      </c>
    </row>
    <row r="49508" ht="15.75" customHeight="1">
      <c r="A49508" s="7"/>
      <c r="B49508" s="7"/>
      <c r="M49508" s="9" t="s">
        <v>27</v>
      </c>
    </row>
    <row r="49509" ht="15.75" customHeight="1">
      <c r="A49509" s="7"/>
      <c r="B49509" s="7"/>
      <c r="M49509" s="9" t="s">
        <v>30</v>
      </c>
    </row>
    <row r="49510" ht="15.75" customHeight="1">
      <c r="A49510" s="7"/>
      <c r="B49510" s="7"/>
      <c r="M49510" s="9" t="s">
        <v>26</v>
      </c>
    </row>
    <row r="49511" ht="15.75" customHeight="1">
      <c r="A49511" s="7"/>
      <c r="B49511" s="7"/>
      <c r="M49511" s="9" t="s">
        <v>24</v>
      </c>
    </row>
    <row r="49512" ht="15.75" customHeight="1">
      <c r="A49512" s="7"/>
      <c r="B49512" s="7"/>
      <c r="M49512" s="9" t="s">
        <v>22</v>
      </c>
    </row>
    <row r="49513" ht="15.75" customHeight="1">
      <c r="A49513" s="7"/>
      <c r="B49513" s="7"/>
      <c r="M49513" s="9" t="s">
        <v>24</v>
      </c>
    </row>
    <row r="49514" ht="15.75" customHeight="1">
      <c r="A49514" s="7"/>
      <c r="B49514" s="7"/>
      <c r="M49514" s="9" t="s">
        <v>21</v>
      </c>
    </row>
    <row r="49515" ht="15.75" customHeight="1">
      <c r="A49515" s="7"/>
      <c r="B49515" s="7"/>
      <c r="M49515" s="9" t="s">
        <v>22</v>
      </c>
    </row>
    <row r="49516" ht="15.75" customHeight="1">
      <c r="A49516" s="7"/>
      <c r="B49516" s="7"/>
      <c r="M49516" s="9" t="s">
        <v>24</v>
      </c>
    </row>
    <row r="49517" ht="15.75" customHeight="1">
      <c r="A49517" s="7"/>
      <c r="B49517" s="7"/>
      <c r="M49517" s="9" t="s">
        <v>21</v>
      </c>
    </row>
    <row r="49518" ht="15.75" customHeight="1">
      <c r="A49518" s="7"/>
      <c r="B49518" s="7"/>
      <c r="M49518" s="9" t="s">
        <v>37</v>
      </c>
    </row>
    <row r="49519" ht="15.75" customHeight="1">
      <c r="A49519" s="7"/>
      <c r="B49519" s="7"/>
      <c r="M49519" s="9" t="s">
        <v>27</v>
      </c>
    </row>
    <row r="49520" ht="15.75" customHeight="1">
      <c r="A49520" s="7"/>
      <c r="B49520" s="7"/>
      <c r="M49520" s="9" t="s">
        <v>28</v>
      </c>
    </row>
    <row r="49521" ht="15.75" customHeight="1">
      <c r="A49521" s="7"/>
      <c r="B49521" s="7"/>
      <c r="M49521" s="9" t="s">
        <v>30</v>
      </c>
    </row>
    <row r="49522" ht="15.75" customHeight="1">
      <c r="A49522" s="7"/>
      <c r="B49522" s="7"/>
      <c r="M49522" s="9" t="s">
        <v>24</v>
      </c>
    </row>
    <row r="49523" ht="15.75" customHeight="1">
      <c r="A49523" s="7"/>
      <c r="B49523" s="7"/>
      <c r="M49523" s="9" t="s">
        <v>20</v>
      </c>
    </row>
    <row r="49524" ht="15.75" customHeight="1">
      <c r="A49524" s="7"/>
      <c r="B49524" s="7"/>
      <c r="M49524" s="9" t="s">
        <v>21</v>
      </c>
    </row>
    <row r="49525" ht="15.75" customHeight="1">
      <c r="A49525" s="7"/>
      <c r="B49525" s="7"/>
      <c r="M49525" s="9" t="s">
        <v>26</v>
      </c>
    </row>
    <row r="49526" ht="15.75" customHeight="1">
      <c r="A49526" s="7"/>
      <c r="B49526" s="7"/>
      <c r="M49526" s="9" t="s">
        <v>24</v>
      </c>
    </row>
    <row r="49527" ht="15.75" customHeight="1">
      <c r="A49527" s="7"/>
      <c r="B49527" s="7"/>
      <c r="M49527" s="9" t="s">
        <v>21</v>
      </c>
    </row>
    <row r="49528" ht="15.75" customHeight="1">
      <c r="A49528" s="7"/>
      <c r="B49528" s="7"/>
      <c r="M49528" s="9" t="s">
        <v>27</v>
      </c>
    </row>
    <row r="49529" ht="15.75" customHeight="1">
      <c r="A49529" s="7"/>
      <c r="B49529" s="7"/>
      <c r="M49529" s="9" t="s">
        <v>33</v>
      </c>
    </row>
    <row r="49530" ht="15.75" customHeight="1">
      <c r="A49530" s="7"/>
      <c r="B49530" s="7"/>
      <c r="M49530" s="9" t="s">
        <v>30</v>
      </c>
    </row>
    <row r="49531" ht="15.75" customHeight="1">
      <c r="A49531" s="7"/>
      <c r="B49531" s="7"/>
      <c r="M49531" s="9" t="s">
        <v>23</v>
      </c>
    </row>
    <row r="49532" ht="15.75" customHeight="1">
      <c r="A49532" s="7"/>
      <c r="B49532" s="7"/>
      <c r="M49532" s="9" t="s">
        <v>20</v>
      </c>
    </row>
    <row r="49533" ht="15.75" customHeight="1">
      <c r="A49533" s="7"/>
      <c r="B49533" s="7"/>
      <c r="M49533" s="9" t="s">
        <v>35</v>
      </c>
    </row>
    <row r="49534" ht="15.75" customHeight="1">
      <c r="A49534" s="7"/>
      <c r="B49534" s="7"/>
      <c r="M49534" s="9" t="s">
        <v>26</v>
      </c>
    </row>
    <row r="49535" ht="15.75" customHeight="1">
      <c r="A49535" s="7"/>
      <c r="B49535" s="7"/>
      <c r="M49535" s="9" t="s">
        <v>24</v>
      </c>
    </row>
    <row r="49536" ht="15.75" customHeight="1">
      <c r="A49536" s="7"/>
      <c r="B49536" s="7"/>
      <c r="M49536" s="9" t="s">
        <v>21</v>
      </c>
    </row>
    <row r="49537" ht="15.75" customHeight="1">
      <c r="A49537" s="7"/>
      <c r="B49537" s="7"/>
      <c r="M49537" s="9" t="s">
        <v>27</v>
      </c>
    </row>
    <row r="49538" ht="15.75" customHeight="1">
      <c r="A49538" s="7"/>
      <c r="B49538" s="7"/>
      <c r="M49538" s="9" t="s">
        <v>25</v>
      </c>
    </row>
    <row r="49539" ht="15.75" customHeight="1">
      <c r="A49539" s="7"/>
      <c r="B49539" s="7"/>
      <c r="M49539" s="9" t="s">
        <v>23</v>
      </c>
    </row>
    <row r="49540" ht="15.75" customHeight="1">
      <c r="A49540" s="7"/>
      <c r="B49540" s="7"/>
      <c r="M49540" s="9" t="s">
        <v>26</v>
      </c>
    </row>
    <row r="49541" ht="15.75" customHeight="1">
      <c r="A49541" s="7"/>
      <c r="B49541" s="7"/>
      <c r="M49541" s="9" t="s">
        <v>24</v>
      </c>
    </row>
    <row r="49542" ht="15.75" customHeight="1">
      <c r="A49542" s="7"/>
      <c r="B49542" s="7"/>
      <c r="M49542" s="9" t="s">
        <v>20</v>
      </c>
    </row>
    <row r="49543" ht="15.75" customHeight="1">
      <c r="A49543" s="7"/>
      <c r="B49543" s="7"/>
      <c r="M49543" s="9" t="s">
        <v>21</v>
      </c>
    </row>
    <row r="49544" ht="15.75" customHeight="1">
      <c r="A49544" s="7"/>
      <c r="B49544" s="7"/>
      <c r="M49544" s="9" t="s">
        <v>37</v>
      </c>
    </row>
    <row r="49545" ht="15.75" customHeight="1">
      <c r="A49545" s="7"/>
      <c r="B49545" s="7"/>
      <c r="M49545" s="9" t="s">
        <v>27</v>
      </c>
    </row>
    <row r="49546" ht="15.75" customHeight="1">
      <c r="A49546" s="7"/>
      <c r="B49546" s="7"/>
      <c r="M49546" s="9" t="s">
        <v>30</v>
      </c>
    </row>
    <row r="49547" ht="15.75" customHeight="1">
      <c r="A49547" s="7"/>
      <c r="B49547" s="7"/>
      <c r="M49547" s="9" t="s">
        <v>25</v>
      </c>
    </row>
    <row r="49548" ht="15.75" customHeight="1">
      <c r="A49548" s="7"/>
      <c r="B49548" s="7"/>
      <c r="M49548" s="9" t="s">
        <v>23</v>
      </c>
    </row>
    <row r="49549" ht="15.75" customHeight="1">
      <c r="A49549" s="7"/>
      <c r="B49549" s="7"/>
      <c r="M49549" s="9" t="s">
        <v>24</v>
      </c>
    </row>
    <row r="49550" ht="15.75" customHeight="1">
      <c r="A49550" s="7"/>
      <c r="B49550" s="7"/>
      <c r="M49550" s="9" t="s">
        <v>20</v>
      </c>
    </row>
    <row r="49551" ht="15.75" customHeight="1">
      <c r="A49551" s="7"/>
      <c r="B49551" s="7"/>
      <c r="M49551" s="9" t="s">
        <v>21</v>
      </c>
    </row>
    <row r="49552" ht="15.75" customHeight="1">
      <c r="A49552" s="7"/>
      <c r="B49552" s="7"/>
      <c r="M49552" s="9" t="s">
        <v>22</v>
      </c>
    </row>
    <row r="49553" ht="15.75" customHeight="1">
      <c r="A49553" s="7"/>
      <c r="B49553" s="7"/>
      <c r="M49553" s="9" t="s">
        <v>30</v>
      </c>
    </row>
    <row r="49554" ht="15.75" customHeight="1">
      <c r="A49554" s="7"/>
      <c r="B49554" s="7"/>
      <c r="M49554" s="9" t="s">
        <v>25</v>
      </c>
    </row>
    <row r="49555" ht="15.75" customHeight="1">
      <c r="A49555" s="7"/>
      <c r="B49555" s="7"/>
      <c r="M49555" s="9" t="s">
        <v>23</v>
      </c>
    </row>
    <row r="49556" ht="15.75" customHeight="1">
      <c r="A49556" s="7"/>
      <c r="B49556" s="7"/>
      <c r="M49556" s="9" t="s">
        <v>36</v>
      </c>
    </row>
    <row r="49557" ht="15.75" customHeight="1">
      <c r="A49557" s="7"/>
      <c r="B49557" s="7"/>
      <c r="M49557" s="9" t="s">
        <v>24</v>
      </c>
    </row>
    <row r="49558" ht="15.75" customHeight="1">
      <c r="A49558" s="7"/>
      <c r="B49558" s="7"/>
      <c r="M49558" s="9" t="s">
        <v>21</v>
      </c>
    </row>
    <row r="49559" ht="15.75" customHeight="1">
      <c r="A49559" s="7"/>
      <c r="B49559" s="7"/>
      <c r="M49559" s="9" t="s">
        <v>22</v>
      </c>
    </row>
    <row r="49560" ht="15.75" customHeight="1">
      <c r="A49560" s="7"/>
      <c r="B49560" s="7"/>
      <c r="M49560" s="9" t="s">
        <v>27</v>
      </c>
    </row>
    <row r="49561" ht="15.75" customHeight="1">
      <c r="A49561" s="7"/>
      <c r="B49561" s="7"/>
      <c r="M49561" s="9" t="s">
        <v>24</v>
      </c>
    </row>
    <row r="49562" ht="15.75" customHeight="1">
      <c r="A49562" s="7"/>
      <c r="B49562" s="7"/>
      <c r="M49562" s="9" t="s">
        <v>20</v>
      </c>
    </row>
    <row r="49563" ht="15.75" customHeight="1">
      <c r="A49563" s="7"/>
      <c r="B49563" s="7"/>
      <c r="M49563" s="9" t="s">
        <v>22</v>
      </c>
    </row>
    <row r="49564" ht="15.75" customHeight="1">
      <c r="A49564" s="7"/>
      <c r="B49564" s="7"/>
      <c r="M49564" s="9" t="s">
        <v>27</v>
      </c>
    </row>
    <row r="49565" ht="15.75" customHeight="1">
      <c r="A49565" s="7"/>
      <c r="B49565" s="7"/>
      <c r="M49565" s="9" t="s">
        <v>30</v>
      </c>
    </row>
    <row r="49566" ht="15.75" customHeight="1">
      <c r="A49566" s="7"/>
      <c r="B49566" s="7"/>
      <c r="M49566" s="9" t="s">
        <v>24</v>
      </c>
    </row>
    <row r="49567" ht="15.75" customHeight="1">
      <c r="A49567" s="7"/>
      <c r="B49567" s="7"/>
      <c r="M49567" s="9" t="s">
        <v>21</v>
      </c>
    </row>
    <row r="49568" ht="15.75" customHeight="1">
      <c r="A49568" s="7"/>
      <c r="B49568" s="7"/>
      <c r="M49568" s="9" t="s">
        <v>37</v>
      </c>
    </row>
    <row r="49569" ht="15.75" customHeight="1">
      <c r="A49569" s="7"/>
      <c r="B49569" s="7"/>
      <c r="M49569" s="9" t="s">
        <v>22</v>
      </c>
    </row>
    <row r="49570" ht="15.75" customHeight="1">
      <c r="A49570" s="7"/>
      <c r="B49570" s="7"/>
      <c r="M49570" s="9" t="s">
        <v>27</v>
      </c>
    </row>
    <row r="49571" ht="15.75" customHeight="1">
      <c r="A49571" s="7"/>
      <c r="B49571" s="7"/>
      <c r="M49571" s="9" t="s">
        <v>30</v>
      </c>
    </row>
    <row r="49572" ht="15.75" customHeight="1">
      <c r="A49572" s="7"/>
      <c r="B49572" s="7"/>
      <c r="M49572" s="9" t="s">
        <v>24</v>
      </c>
    </row>
    <row r="49573" ht="15.75" customHeight="1">
      <c r="A49573" s="7"/>
      <c r="B49573" s="7"/>
      <c r="M49573" s="9" t="s">
        <v>21</v>
      </c>
    </row>
    <row r="49574" ht="15.75" customHeight="1">
      <c r="A49574" s="7"/>
      <c r="B49574" s="7"/>
      <c r="M49574" s="9" t="s">
        <v>37</v>
      </c>
    </row>
    <row r="49575" ht="15.75" customHeight="1">
      <c r="A49575" s="7"/>
      <c r="B49575" s="7"/>
      <c r="M49575" s="9" t="s">
        <v>22</v>
      </c>
    </row>
    <row r="49576" ht="15.75" customHeight="1">
      <c r="A49576" s="7"/>
      <c r="B49576" s="7"/>
      <c r="M49576" s="9" t="s">
        <v>27</v>
      </c>
    </row>
    <row r="49577" ht="15.75" customHeight="1">
      <c r="A49577" s="7"/>
      <c r="B49577" s="7"/>
      <c r="M49577" s="9" t="s">
        <v>26</v>
      </c>
    </row>
    <row r="49578" ht="15.75" customHeight="1">
      <c r="A49578" s="7"/>
      <c r="B49578" s="7"/>
      <c r="M49578" s="9" t="s">
        <v>24</v>
      </c>
    </row>
    <row r="49579" ht="15.75" customHeight="1">
      <c r="A49579" s="7"/>
      <c r="B49579" s="7"/>
      <c r="M49579" s="9" t="s">
        <v>20</v>
      </c>
    </row>
    <row r="49580" ht="15.75" customHeight="1">
      <c r="A49580" s="7"/>
      <c r="B49580" s="7"/>
      <c r="M49580" s="9" t="s">
        <v>21</v>
      </c>
    </row>
    <row r="49581" ht="15.75" customHeight="1">
      <c r="A49581" s="7"/>
      <c r="B49581" s="7"/>
      <c r="M49581" s="9" t="s">
        <v>27</v>
      </c>
    </row>
    <row r="49582" ht="15.75" customHeight="1">
      <c r="A49582" s="7"/>
      <c r="B49582" s="7"/>
      <c r="M49582" s="9" t="s">
        <v>33</v>
      </c>
    </row>
    <row r="49583" ht="15.75" customHeight="1">
      <c r="A49583" s="7"/>
      <c r="B49583" s="7"/>
      <c r="M49583" s="9" t="s">
        <v>28</v>
      </c>
    </row>
    <row r="49584" ht="15.75" customHeight="1">
      <c r="A49584" s="7"/>
      <c r="B49584" s="7"/>
      <c r="M49584" s="9" t="s">
        <v>25</v>
      </c>
    </row>
    <row r="49585" ht="15.75" customHeight="1">
      <c r="A49585" s="7"/>
      <c r="B49585" s="7"/>
      <c r="M49585" s="9" t="s">
        <v>21</v>
      </c>
    </row>
    <row r="49586" ht="15.75" customHeight="1">
      <c r="A49586" s="7"/>
      <c r="B49586" s="7"/>
      <c r="M49586" s="9" t="s">
        <v>33</v>
      </c>
    </row>
    <row r="49587" ht="15.75" customHeight="1">
      <c r="A49587" s="7"/>
      <c r="B49587" s="7"/>
      <c r="M49587" s="9" t="s">
        <v>30</v>
      </c>
    </row>
    <row r="49588" ht="15.75" customHeight="1">
      <c r="A49588" s="7"/>
      <c r="B49588" s="7"/>
      <c r="M49588" s="9" t="s">
        <v>26</v>
      </c>
    </row>
    <row r="49589" ht="15.75" customHeight="1">
      <c r="A49589" s="7"/>
      <c r="B49589" s="7"/>
      <c r="M49589" s="9" t="s">
        <v>24</v>
      </c>
    </row>
    <row r="49590" ht="15.75" customHeight="1">
      <c r="A49590" s="7"/>
      <c r="B49590" s="7"/>
      <c r="M49590" s="9" t="s">
        <v>21</v>
      </c>
    </row>
    <row r="49591" ht="15.75" customHeight="1">
      <c r="A49591" s="7"/>
      <c r="B49591" s="7"/>
      <c r="M49591" s="9" t="s">
        <v>27</v>
      </c>
    </row>
    <row r="49592" ht="15.75" customHeight="1">
      <c r="A49592" s="7"/>
      <c r="B49592" s="7"/>
      <c r="M49592" s="9" t="s">
        <v>28</v>
      </c>
    </row>
    <row r="49593" ht="15.75" customHeight="1">
      <c r="A49593" s="7"/>
      <c r="B49593" s="7"/>
      <c r="M49593" s="9" t="s">
        <v>35</v>
      </c>
    </row>
    <row r="49594" ht="15.75" customHeight="1">
      <c r="A49594" s="7"/>
      <c r="B49594" s="7"/>
      <c r="M49594" s="9" t="s">
        <v>30</v>
      </c>
    </row>
    <row r="49595" ht="15.75" customHeight="1">
      <c r="A49595" s="7"/>
      <c r="B49595" s="7"/>
      <c r="M49595" s="9" t="s">
        <v>26</v>
      </c>
    </row>
    <row r="49596" ht="15.75" customHeight="1">
      <c r="A49596" s="7"/>
      <c r="B49596" s="7"/>
      <c r="M49596" s="9" t="s">
        <v>24</v>
      </c>
    </row>
    <row r="49597" ht="15.75" customHeight="1">
      <c r="A49597" s="7"/>
      <c r="B49597" s="7"/>
      <c r="M49597" s="9" t="s">
        <v>21</v>
      </c>
    </row>
    <row r="49598" ht="15.75" customHeight="1">
      <c r="A49598" s="7"/>
      <c r="B49598" s="7"/>
      <c r="M49598" s="9" t="s">
        <v>27</v>
      </c>
    </row>
    <row r="49599" ht="15.75" customHeight="1">
      <c r="A49599" s="7"/>
      <c r="B49599" s="7"/>
      <c r="M49599" s="9" t="s">
        <v>25</v>
      </c>
    </row>
    <row r="49600" ht="15.75" customHeight="1">
      <c r="A49600" s="7"/>
      <c r="B49600" s="7"/>
      <c r="M49600" s="9" t="s">
        <v>23</v>
      </c>
    </row>
    <row r="49601" ht="15.75" customHeight="1">
      <c r="A49601" s="7"/>
      <c r="B49601" s="7"/>
      <c r="M49601" s="9" t="s">
        <v>26</v>
      </c>
    </row>
    <row r="49602" ht="15.75" customHeight="1">
      <c r="A49602" s="7"/>
      <c r="B49602" s="7"/>
      <c r="M49602" s="9" t="s">
        <v>25</v>
      </c>
    </row>
    <row r="49603" ht="15.75" customHeight="1">
      <c r="A49603" s="7"/>
      <c r="B49603" s="7"/>
      <c r="M49603" s="9" t="s">
        <v>24</v>
      </c>
    </row>
    <row r="49604" ht="15.75" customHeight="1">
      <c r="A49604" s="7"/>
      <c r="B49604" s="7"/>
      <c r="M49604" s="9" t="s">
        <v>21</v>
      </c>
    </row>
    <row r="49605" ht="15.75" customHeight="1">
      <c r="A49605" s="7"/>
      <c r="B49605" s="7"/>
      <c r="M49605" s="9" t="s">
        <v>41</v>
      </c>
    </row>
    <row r="49606" ht="15.75" customHeight="1">
      <c r="A49606" s="7"/>
      <c r="B49606" s="7"/>
      <c r="M49606" s="9" t="s">
        <v>22</v>
      </c>
    </row>
    <row r="49607" ht="15.75" customHeight="1">
      <c r="A49607" s="7"/>
      <c r="B49607" s="7"/>
      <c r="M49607" s="9" t="s">
        <v>40</v>
      </c>
    </row>
    <row r="49608" ht="15.75" customHeight="1">
      <c r="A49608" s="7"/>
      <c r="B49608" s="7"/>
      <c r="M49608" s="9" t="s">
        <v>26</v>
      </c>
    </row>
    <row r="49609" ht="15.75" customHeight="1">
      <c r="A49609" s="7"/>
      <c r="B49609" s="7"/>
      <c r="M49609" s="9" t="s">
        <v>46</v>
      </c>
    </row>
    <row r="49610" ht="15.75" customHeight="1">
      <c r="A49610" s="7"/>
      <c r="B49610" s="7"/>
      <c r="M49610" s="9" t="s">
        <v>27</v>
      </c>
    </row>
    <row r="49611" ht="15.75" customHeight="1">
      <c r="A49611" s="7"/>
      <c r="B49611" s="7"/>
      <c r="M49611" s="9" t="s">
        <v>33</v>
      </c>
    </row>
    <row r="49612" ht="15.75" customHeight="1">
      <c r="A49612" s="7"/>
      <c r="B49612" s="7"/>
      <c r="M49612" s="9" t="s">
        <v>30</v>
      </c>
    </row>
    <row r="49613" ht="15.75" customHeight="1">
      <c r="A49613" s="7"/>
      <c r="B49613" s="7"/>
      <c r="M49613" s="9" t="s">
        <v>23</v>
      </c>
    </row>
    <row r="49614" ht="15.75" customHeight="1">
      <c r="A49614" s="7"/>
      <c r="B49614" s="7"/>
      <c r="M49614" s="9" t="s">
        <v>24</v>
      </c>
    </row>
    <row r="49615" ht="15.75" customHeight="1">
      <c r="A49615" s="7"/>
      <c r="B49615" s="7"/>
      <c r="M49615" s="9" t="s">
        <v>21</v>
      </c>
    </row>
    <row r="49616" ht="15.75" customHeight="1">
      <c r="A49616" s="7"/>
      <c r="B49616" s="7"/>
      <c r="M49616" s="9" t="s">
        <v>22</v>
      </c>
    </row>
    <row r="49617" ht="15.75" customHeight="1">
      <c r="A49617" s="7"/>
      <c r="B49617" s="7"/>
      <c r="M49617" s="9" t="s">
        <v>31</v>
      </c>
    </row>
    <row r="49618" ht="15.75" customHeight="1">
      <c r="A49618" s="7"/>
      <c r="B49618" s="7"/>
      <c r="M49618" s="9" t="s">
        <v>27</v>
      </c>
    </row>
    <row r="49619" ht="15.75" customHeight="1">
      <c r="A49619" s="7"/>
      <c r="B49619" s="7"/>
      <c r="M49619" s="9" t="s">
        <v>35</v>
      </c>
    </row>
    <row r="49620" ht="15.75" customHeight="1">
      <c r="A49620" s="7"/>
      <c r="B49620" s="7"/>
      <c r="M49620" s="9" t="s">
        <v>26</v>
      </c>
    </row>
    <row r="49621" ht="15.75" customHeight="1">
      <c r="A49621" s="7"/>
      <c r="B49621" s="7"/>
      <c r="M49621" s="9" t="s">
        <v>24</v>
      </c>
    </row>
    <row r="49622" ht="15.75" customHeight="1">
      <c r="A49622" s="7"/>
      <c r="B49622" s="7"/>
      <c r="M49622" s="9" t="s">
        <v>21</v>
      </c>
    </row>
    <row r="49623" ht="15.75" customHeight="1">
      <c r="A49623" s="7"/>
      <c r="B49623" s="7"/>
      <c r="M49623" s="9" t="s">
        <v>27</v>
      </c>
    </row>
    <row r="49624" ht="15.75" customHeight="1">
      <c r="A49624" s="7"/>
      <c r="B49624" s="7"/>
      <c r="M49624" s="9" t="s">
        <v>33</v>
      </c>
    </row>
    <row r="49625" ht="15.75" customHeight="1">
      <c r="A49625" s="7"/>
      <c r="B49625" s="7"/>
      <c r="M49625" s="9" t="s">
        <v>30</v>
      </c>
    </row>
    <row r="49626" ht="15.75" customHeight="1">
      <c r="A49626" s="7"/>
      <c r="B49626" s="7"/>
      <c r="M49626" s="9" t="s">
        <v>24</v>
      </c>
    </row>
    <row r="49627" ht="15.75" customHeight="1">
      <c r="A49627" s="7"/>
      <c r="B49627" s="7"/>
      <c r="M49627" s="9" t="s">
        <v>20</v>
      </c>
    </row>
    <row r="49628" ht="15.75" customHeight="1">
      <c r="A49628" s="7"/>
      <c r="B49628" s="7"/>
      <c r="M49628" s="9" t="s">
        <v>21</v>
      </c>
    </row>
    <row r="49629" ht="15.75" customHeight="1">
      <c r="A49629" s="7"/>
      <c r="B49629" s="7"/>
      <c r="M49629" s="9" t="s">
        <v>31</v>
      </c>
    </row>
    <row r="49630" ht="15.75" customHeight="1">
      <c r="A49630" s="7"/>
      <c r="B49630" s="7"/>
      <c r="M49630" s="9" t="s">
        <v>27</v>
      </c>
    </row>
    <row r="49631" ht="15.75" customHeight="1">
      <c r="A49631" s="7"/>
      <c r="B49631" s="7"/>
      <c r="M49631" s="9" t="s">
        <v>24</v>
      </c>
    </row>
    <row r="49632" ht="15.75" customHeight="1">
      <c r="A49632" s="7"/>
      <c r="B49632" s="7"/>
      <c r="M49632" s="9" t="s">
        <v>20</v>
      </c>
    </row>
    <row r="49633" ht="15.75" customHeight="1">
      <c r="A49633" s="7"/>
      <c r="B49633" s="7"/>
      <c r="M49633" s="9" t="s">
        <v>21</v>
      </c>
    </row>
    <row r="49634" ht="15.75" customHeight="1">
      <c r="A49634" s="7"/>
      <c r="B49634" s="7"/>
      <c r="M49634" s="9" t="s">
        <v>27</v>
      </c>
    </row>
    <row r="49635" ht="15.75" customHeight="1">
      <c r="A49635" s="7"/>
      <c r="B49635" s="7"/>
      <c r="M49635" s="9" t="s">
        <v>33</v>
      </c>
    </row>
    <row r="49636" ht="15.75" customHeight="1">
      <c r="A49636" s="7"/>
      <c r="B49636" s="7"/>
      <c r="M49636" s="9" t="s">
        <v>25</v>
      </c>
    </row>
    <row r="49637" ht="15.75" customHeight="1">
      <c r="A49637" s="7"/>
      <c r="B49637" s="7"/>
      <c r="M49637" s="9" t="s">
        <v>23</v>
      </c>
    </row>
    <row r="49638" ht="15.75" customHeight="1">
      <c r="A49638" s="7"/>
      <c r="B49638" s="7"/>
      <c r="M49638" s="9" t="s">
        <v>26</v>
      </c>
    </row>
    <row r="49639" ht="15.75" customHeight="1">
      <c r="A49639" s="7"/>
      <c r="B49639" s="7"/>
      <c r="M49639" s="9" t="s">
        <v>30</v>
      </c>
    </row>
    <row r="49640" ht="15.75" customHeight="1">
      <c r="A49640" s="7"/>
      <c r="B49640" s="7"/>
      <c r="M49640" s="9" t="s">
        <v>21</v>
      </c>
    </row>
    <row r="49641" ht="15.75" customHeight="1">
      <c r="A49641" s="7"/>
      <c r="B49641" s="7"/>
      <c r="M49641" s="9" t="s">
        <v>22</v>
      </c>
    </row>
    <row r="49642" ht="15.75" customHeight="1">
      <c r="A49642" s="7"/>
      <c r="B49642" s="7"/>
      <c r="M49642" s="9" t="s">
        <v>27</v>
      </c>
    </row>
    <row r="49643" ht="15.75" customHeight="1">
      <c r="A49643" s="7"/>
      <c r="B49643" s="7"/>
      <c r="M49643" s="9" t="s">
        <v>28</v>
      </c>
    </row>
    <row r="49644" ht="15.75" customHeight="1">
      <c r="A49644" s="7"/>
      <c r="B49644" s="7"/>
      <c r="M49644" s="9" t="s">
        <v>30</v>
      </c>
    </row>
    <row r="49645" ht="15.75" customHeight="1">
      <c r="A49645" s="7"/>
      <c r="B49645" s="7"/>
      <c r="M49645" s="9" t="s">
        <v>20</v>
      </c>
    </row>
    <row r="49646" ht="15.75" customHeight="1">
      <c r="A49646" s="7"/>
      <c r="B49646" s="7"/>
      <c r="M49646" s="9" t="s">
        <v>39</v>
      </c>
    </row>
    <row r="49647" ht="15.75" customHeight="1">
      <c r="A49647" s="7"/>
      <c r="B49647" s="7"/>
      <c r="M49647" s="9" t="s">
        <v>27</v>
      </c>
    </row>
    <row r="49648" ht="15.75" customHeight="1">
      <c r="A49648" s="7"/>
      <c r="B49648" s="7"/>
      <c r="M49648" s="9" t="s">
        <v>26</v>
      </c>
    </row>
    <row r="49649" ht="15.75" customHeight="1">
      <c r="A49649" s="7"/>
      <c r="B49649" s="7"/>
      <c r="M49649" s="9" t="s">
        <v>21</v>
      </c>
    </row>
    <row r="49650" ht="15.75" customHeight="1">
      <c r="A49650" s="7"/>
      <c r="B49650" s="7"/>
      <c r="M49650" s="9" t="s">
        <v>37</v>
      </c>
    </row>
    <row r="49651" ht="15.75" customHeight="1">
      <c r="A49651" s="7"/>
      <c r="B49651" s="7"/>
      <c r="M49651" s="9" t="s">
        <v>22</v>
      </c>
    </row>
    <row r="49652" ht="15.75" customHeight="1">
      <c r="A49652" s="7"/>
      <c r="B49652" s="7"/>
      <c r="M49652" s="9" t="s">
        <v>29</v>
      </c>
    </row>
    <row r="49653" ht="15.75" customHeight="1">
      <c r="A49653" s="7"/>
      <c r="B49653" s="7"/>
      <c r="M49653" s="9" t="s">
        <v>27</v>
      </c>
    </row>
    <row r="49654" ht="15.75" customHeight="1">
      <c r="A49654" s="7"/>
      <c r="B49654" s="7"/>
      <c r="M49654" s="9" t="s">
        <v>25</v>
      </c>
    </row>
    <row r="49655" ht="15.75" customHeight="1">
      <c r="A49655" s="7"/>
      <c r="B49655" s="7"/>
      <c r="M49655" s="9" t="s">
        <v>20</v>
      </c>
    </row>
    <row r="49656" ht="15.75" customHeight="1">
      <c r="A49656" s="7"/>
      <c r="B49656" s="7"/>
      <c r="M49656" s="9" t="s">
        <v>26</v>
      </c>
    </row>
    <row r="49657" ht="15.75" customHeight="1">
      <c r="A49657" s="7"/>
      <c r="B49657" s="7"/>
      <c r="M49657" s="9" t="s">
        <v>24</v>
      </c>
    </row>
    <row r="49658" ht="15.75" customHeight="1">
      <c r="A49658" s="7"/>
      <c r="B49658" s="7"/>
      <c r="M49658" s="9" t="s">
        <v>20</v>
      </c>
    </row>
    <row r="49659" ht="15.75" customHeight="1">
      <c r="A49659" s="7"/>
      <c r="B49659" s="7"/>
      <c r="M49659" s="9" t="s">
        <v>21</v>
      </c>
    </row>
    <row r="49660" ht="15.75" customHeight="1">
      <c r="A49660" s="7"/>
      <c r="B49660" s="7"/>
      <c r="M49660" s="9" t="s">
        <v>37</v>
      </c>
    </row>
    <row r="49661" ht="15.75" customHeight="1">
      <c r="A49661" s="7"/>
      <c r="B49661" s="7"/>
      <c r="M49661" s="9" t="s">
        <v>22</v>
      </c>
    </row>
    <row r="49662" ht="15.75" customHeight="1">
      <c r="A49662" s="7"/>
      <c r="B49662" s="7"/>
      <c r="M49662" s="9" t="s">
        <v>32</v>
      </c>
    </row>
    <row r="49663" ht="15.75" customHeight="1">
      <c r="A49663" s="7"/>
      <c r="B49663" s="7"/>
      <c r="M49663" s="9" t="s">
        <v>27</v>
      </c>
    </row>
    <row r="49664" ht="15.75" customHeight="1">
      <c r="A49664" s="7"/>
      <c r="B49664" s="7"/>
      <c r="M49664" s="9" t="s">
        <v>35</v>
      </c>
    </row>
    <row r="49665" ht="15.75" customHeight="1">
      <c r="A49665" s="7"/>
      <c r="B49665" s="7"/>
      <c r="M49665" s="9" t="s">
        <v>36</v>
      </c>
    </row>
    <row r="49666" ht="15.75" customHeight="1">
      <c r="A49666" s="7"/>
      <c r="B49666" s="7"/>
      <c r="M49666" s="9" t="s">
        <v>24</v>
      </c>
    </row>
    <row r="49667" ht="15.75" customHeight="1">
      <c r="A49667" s="7"/>
      <c r="B49667" s="7"/>
      <c r="M49667" s="9" t="s">
        <v>21</v>
      </c>
    </row>
    <row r="49668" ht="15.75" customHeight="1">
      <c r="A49668" s="7"/>
      <c r="B49668" s="7"/>
      <c r="M49668" s="9" t="s">
        <v>33</v>
      </c>
    </row>
    <row r="49669" ht="15.75" customHeight="1">
      <c r="A49669" s="7"/>
      <c r="B49669" s="7"/>
      <c r="M49669" s="9" t="s">
        <v>36</v>
      </c>
    </row>
    <row r="49670" ht="15.75" customHeight="1">
      <c r="A49670" s="7"/>
      <c r="B49670" s="7"/>
      <c r="M49670" s="9" t="s">
        <v>24</v>
      </c>
    </row>
    <row r="49671" ht="15.75" customHeight="1">
      <c r="A49671" s="7"/>
      <c r="B49671" s="7"/>
      <c r="M49671" s="9" t="s">
        <v>20</v>
      </c>
    </row>
    <row r="49672" ht="15.75" customHeight="1">
      <c r="A49672" s="7"/>
      <c r="B49672" s="7"/>
      <c r="M49672" s="9" t="s">
        <v>21</v>
      </c>
    </row>
    <row r="49673" ht="15.75" customHeight="1">
      <c r="A49673" s="7"/>
      <c r="B49673" s="7"/>
      <c r="M49673" s="9" t="s">
        <v>39</v>
      </c>
    </row>
    <row r="49674" ht="15.75" customHeight="1">
      <c r="A49674" s="7"/>
      <c r="B49674" s="7"/>
      <c r="M49674" s="9" t="s">
        <v>22</v>
      </c>
    </row>
    <row r="49675" ht="15.75" customHeight="1">
      <c r="A49675" s="7"/>
      <c r="B49675" s="7"/>
      <c r="M49675" s="9" t="s">
        <v>27</v>
      </c>
    </row>
    <row r="49676" ht="15.75" customHeight="1">
      <c r="A49676" s="7"/>
      <c r="B49676" s="7"/>
      <c r="M49676" s="9" t="s">
        <v>22</v>
      </c>
    </row>
    <row r="49677" ht="15.75" customHeight="1">
      <c r="A49677" s="7"/>
      <c r="B49677" s="7"/>
      <c r="M49677" s="9" t="s">
        <v>29</v>
      </c>
    </row>
    <row r="49678" ht="15.75" customHeight="1">
      <c r="A49678" s="7"/>
      <c r="B49678" s="7"/>
      <c r="M49678" s="9" t="s">
        <v>27</v>
      </c>
    </row>
    <row r="49679" ht="15.75" customHeight="1">
      <c r="A49679" s="7"/>
      <c r="B49679" s="7"/>
      <c r="M49679" s="9" t="s">
        <v>30</v>
      </c>
    </row>
    <row r="49680" ht="15.75" customHeight="1">
      <c r="A49680" s="7"/>
      <c r="B49680" s="7"/>
      <c r="M49680" s="9" t="s">
        <v>20</v>
      </c>
    </row>
    <row r="49681" ht="15.75" customHeight="1">
      <c r="A49681" s="7"/>
      <c r="B49681" s="7"/>
      <c r="M49681" s="9" t="s">
        <v>39</v>
      </c>
    </row>
    <row r="49682" ht="15.75" customHeight="1">
      <c r="A49682" s="7"/>
      <c r="B49682" s="7"/>
      <c r="M49682" s="9" t="s">
        <v>22</v>
      </c>
    </row>
    <row r="49683" ht="15.75" customHeight="1">
      <c r="A49683" s="7"/>
      <c r="B49683" s="7"/>
      <c r="M49683" s="9" t="s">
        <v>46</v>
      </c>
    </row>
    <row r="49684" ht="15.75" customHeight="1">
      <c r="A49684" s="7"/>
      <c r="B49684" s="7"/>
      <c r="M49684" s="9" t="s">
        <v>20</v>
      </c>
    </row>
    <row r="49685" ht="15.75" customHeight="1">
      <c r="A49685" s="7"/>
      <c r="B49685" s="7"/>
      <c r="M49685" s="9" t="s">
        <v>39</v>
      </c>
    </row>
    <row r="49686" ht="15.75" customHeight="1">
      <c r="A49686" s="7"/>
      <c r="B49686" s="7"/>
      <c r="M49686" s="9" t="s">
        <v>26</v>
      </c>
    </row>
    <row r="49687" ht="15.75" customHeight="1">
      <c r="A49687" s="7"/>
      <c r="B49687" s="7"/>
      <c r="M49687" s="9" t="s">
        <v>24</v>
      </c>
    </row>
    <row r="49688" ht="15.75" customHeight="1">
      <c r="A49688" s="7"/>
      <c r="B49688" s="7"/>
      <c r="M49688" s="9" t="s">
        <v>20</v>
      </c>
    </row>
    <row r="49689" ht="15.75" customHeight="1">
      <c r="A49689" s="7"/>
      <c r="B49689" s="7"/>
      <c r="M49689" s="9" t="s">
        <v>21</v>
      </c>
    </row>
    <row r="49690" ht="15.75" customHeight="1">
      <c r="A49690" s="7"/>
      <c r="B49690" s="7"/>
      <c r="M49690" s="9" t="s">
        <v>37</v>
      </c>
    </row>
    <row r="49691" ht="15.75" customHeight="1">
      <c r="A49691" s="7"/>
      <c r="B49691" s="7"/>
      <c r="M49691" s="9" t="s">
        <v>22</v>
      </c>
    </row>
    <row r="49692" ht="15.75" customHeight="1">
      <c r="A49692" s="7"/>
      <c r="B49692" s="7"/>
      <c r="M49692" s="9" t="s">
        <v>27</v>
      </c>
    </row>
    <row r="49693" ht="15.75" customHeight="1">
      <c r="A49693" s="7"/>
      <c r="B49693" s="7"/>
      <c r="M49693" s="9" t="s">
        <v>35</v>
      </c>
    </row>
    <row r="49694" ht="15.75" customHeight="1">
      <c r="A49694" s="7"/>
      <c r="B49694" s="7"/>
      <c r="M49694" s="9" t="s">
        <v>26</v>
      </c>
    </row>
    <row r="49695" ht="15.75" customHeight="1">
      <c r="A49695" s="7"/>
      <c r="B49695" s="7"/>
      <c r="M49695" s="9" t="s">
        <v>21</v>
      </c>
    </row>
    <row r="49696" ht="15.75" customHeight="1">
      <c r="A49696" s="7"/>
      <c r="B49696" s="7"/>
      <c r="M49696" s="9" t="s">
        <v>41</v>
      </c>
    </row>
    <row r="49697" ht="15.75" customHeight="1">
      <c r="A49697" s="7"/>
      <c r="B49697" s="7"/>
      <c r="M49697" s="9" t="s">
        <v>40</v>
      </c>
    </row>
    <row r="49698" ht="15.75" customHeight="1">
      <c r="A49698" s="7"/>
      <c r="B49698" s="7"/>
      <c r="M49698" s="9" t="s">
        <v>33</v>
      </c>
    </row>
    <row r="49699" ht="15.75" customHeight="1">
      <c r="A49699" s="7"/>
      <c r="B49699" s="7"/>
      <c r="M49699" s="9" t="s">
        <v>26</v>
      </c>
    </row>
    <row r="49700" ht="15.75" customHeight="1">
      <c r="A49700" s="7"/>
      <c r="B49700" s="7"/>
      <c r="M49700" s="9" t="s">
        <v>24</v>
      </c>
    </row>
    <row r="49701" ht="15.75" customHeight="1">
      <c r="A49701" s="7"/>
      <c r="B49701" s="7"/>
      <c r="M49701" s="9" t="s">
        <v>20</v>
      </c>
    </row>
    <row r="49702" ht="15.75" customHeight="1">
      <c r="A49702" s="7"/>
      <c r="B49702" s="7"/>
      <c r="M49702" s="9" t="s">
        <v>21</v>
      </c>
    </row>
    <row r="49703" ht="15.75" customHeight="1">
      <c r="A49703" s="7"/>
      <c r="B49703" s="7"/>
      <c r="M49703" s="9" t="s">
        <v>27</v>
      </c>
    </row>
    <row r="49704" ht="15.75" customHeight="1">
      <c r="A49704" s="7"/>
      <c r="B49704" s="7"/>
      <c r="M49704" s="9" t="s">
        <v>22</v>
      </c>
    </row>
    <row r="49705" ht="15.75" customHeight="1">
      <c r="A49705" s="7"/>
      <c r="B49705" s="7"/>
      <c r="M49705" s="9" t="s">
        <v>24</v>
      </c>
    </row>
    <row r="49706" ht="15.75" customHeight="1">
      <c r="A49706" s="7"/>
      <c r="B49706" s="7"/>
      <c r="M49706" s="9" t="s">
        <v>20</v>
      </c>
    </row>
    <row r="49707" ht="15.75" customHeight="1">
      <c r="A49707" s="7"/>
      <c r="B49707" s="7"/>
      <c r="M49707" s="9" t="s">
        <v>21</v>
      </c>
    </row>
    <row r="49708" ht="15.75" customHeight="1">
      <c r="A49708" s="7"/>
      <c r="B49708" s="7"/>
      <c r="M49708" s="9" t="s">
        <v>22</v>
      </c>
    </row>
    <row r="49709" ht="15.75" customHeight="1">
      <c r="A49709" s="7"/>
      <c r="B49709" s="7"/>
      <c r="M49709" s="9" t="s">
        <v>27</v>
      </c>
    </row>
    <row r="49710" ht="15.75" customHeight="1">
      <c r="A49710" s="7"/>
      <c r="B49710" s="7"/>
      <c r="M49710" s="9" t="s">
        <v>21</v>
      </c>
    </row>
    <row r="49711" ht="15.75" customHeight="1">
      <c r="A49711" s="7"/>
      <c r="B49711" s="7"/>
      <c r="M49711" s="9" t="s">
        <v>22</v>
      </c>
    </row>
    <row r="49712" ht="15.75" customHeight="1">
      <c r="A49712" s="7"/>
      <c r="B49712" s="7"/>
      <c r="M49712" s="9" t="s">
        <v>36</v>
      </c>
    </row>
    <row r="49713" ht="15.75" customHeight="1">
      <c r="A49713" s="7"/>
      <c r="B49713" s="7"/>
      <c r="M49713" s="9" t="s">
        <v>20</v>
      </c>
    </row>
    <row r="49714" ht="15.75" customHeight="1">
      <c r="A49714" s="7"/>
      <c r="B49714" s="7"/>
      <c r="M49714" s="9" t="s">
        <v>21</v>
      </c>
    </row>
    <row r="49715" ht="15.75" customHeight="1">
      <c r="A49715" s="7"/>
      <c r="B49715" s="7"/>
      <c r="M49715" s="9" t="s">
        <v>22</v>
      </c>
    </row>
    <row r="49716" ht="15.75" customHeight="1">
      <c r="A49716" s="7"/>
      <c r="B49716" s="7"/>
      <c r="M49716" s="9" t="s">
        <v>30</v>
      </c>
    </row>
    <row r="49717" ht="15.75" customHeight="1">
      <c r="A49717" s="7"/>
      <c r="B49717" s="7"/>
      <c r="M49717" s="9" t="s">
        <v>26</v>
      </c>
    </row>
    <row r="49718" ht="15.75" customHeight="1">
      <c r="A49718" s="7"/>
      <c r="B49718" s="7"/>
      <c r="M49718" s="9" t="s">
        <v>21</v>
      </c>
    </row>
    <row r="49719" ht="15.75" customHeight="1">
      <c r="A49719" s="7"/>
      <c r="B49719" s="7"/>
      <c r="M49719" s="9" t="s">
        <v>27</v>
      </c>
    </row>
    <row r="49720" ht="15.75" customHeight="1">
      <c r="A49720" s="7"/>
      <c r="B49720" s="7"/>
      <c r="M49720" s="9" t="s">
        <v>23</v>
      </c>
    </row>
    <row r="49721" ht="15.75" customHeight="1">
      <c r="A49721" s="7"/>
      <c r="B49721" s="7"/>
      <c r="M49721" s="9" t="s">
        <v>20</v>
      </c>
    </row>
    <row r="49722" ht="15.75" customHeight="1">
      <c r="A49722" s="7"/>
      <c r="B49722" s="7"/>
      <c r="M49722" s="9" t="s">
        <v>30</v>
      </c>
    </row>
    <row r="49723" ht="15.75" customHeight="1">
      <c r="A49723" s="7"/>
      <c r="B49723" s="7"/>
      <c r="M49723" s="9" t="s">
        <v>23</v>
      </c>
    </row>
    <row r="49724" ht="15.75" customHeight="1">
      <c r="A49724" s="7"/>
      <c r="B49724" s="7"/>
      <c r="M49724" s="9" t="s">
        <v>36</v>
      </c>
    </row>
    <row r="49725" ht="15.75" customHeight="1">
      <c r="A49725" s="7"/>
      <c r="B49725" s="7"/>
      <c r="M49725" s="9" t="s">
        <v>24</v>
      </c>
    </row>
    <row r="49726" ht="15.75" customHeight="1">
      <c r="A49726" s="7"/>
      <c r="B49726" s="7"/>
      <c r="M49726" s="9" t="s">
        <v>20</v>
      </c>
    </row>
    <row r="49727" ht="15.75" customHeight="1">
      <c r="A49727" s="7"/>
      <c r="B49727" s="7"/>
      <c r="M49727" s="9" t="s">
        <v>21</v>
      </c>
    </row>
    <row r="49728" ht="15.75" customHeight="1">
      <c r="A49728" s="7"/>
      <c r="B49728" s="7"/>
      <c r="M49728" s="9" t="s">
        <v>22</v>
      </c>
    </row>
    <row r="49729" ht="15.75" customHeight="1">
      <c r="A49729" s="7"/>
      <c r="B49729" s="7"/>
      <c r="M49729" s="9" t="s">
        <v>32</v>
      </c>
    </row>
    <row r="49730" ht="15.75" customHeight="1">
      <c r="A49730" s="7"/>
      <c r="B49730" s="7"/>
      <c r="M49730" s="9" t="s">
        <v>40</v>
      </c>
    </row>
    <row r="49731" ht="15.75" customHeight="1">
      <c r="A49731" s="7"/>
      <c r="B49731" s="7"/>
      <c r="M49731" s="9" t="s">
        <v>33</v>
      </c>
    </row>
    <row r="49732" ht="15.75" customHeight="1">
      <c r="A49732" s="7"/>
      <c r="B49732" s="7"/>
      <c r="M49732" s="9" t="s">
        <v>30</v>
      </c>
    </row>
    <row r="49733" ht="15.75" customHeight="1">
      <c r="A49733" s="7"/>
      <c r="B49733" s="7"/>
      <c r="M49733" s="9" t="s">
        <v>24</v>
      </c>
    </row>
    <row r="49734" ht="15.75" customHeight="1">
      <c r="A49734" s="7"/>
      <c r="B49734" s="7"/>
      <c r="M49734" s="9" t="s">
        <v>21</v>
      </c>
    </row>
    <row r="49735" ht="15.75" customHeight="1">
      <c r="A49735" s="7"/>
      <c r="B49735" s="7"/>
      <c r="M49735" s="9" t="s">
        <v>22</v>
      </c>
    </row>
    <row r="49736" ht="15.75" customHeight="1">
      <c r="A49736" s="7"/>
      <c r="B49736" s="7"/>
      <c r="M49736" s="9" t="s">
        <v>31</v>
      </c>
    </row>
    <row r="49737" ht="15.75" customHeight="1">
      <c r="A49737" s="7"/>
      <c r="B49737" s="7"/>
      <c r="M49737" s="9" t="s">
        <v>46</v>
      </c>
    </row>
    <row r="49738" ht="15.75" customHeight="1">
      <c r="A49738" s="7"/>
      <c r="B49738" s="7"/>
      <c r="M49738" s="9" t="s">
        <v>27</v>
      </c>
    </row>
    <row r="49739" ht="15.75" customHeight="1">
      <c r="A49739" s="7"/>
      <c r="B49739" s="7"/>
      <c r="M49739" s="9" t="s">
        <v>38</v>
      </c>
    </row>
    <row r="49740" ht="15.75" customHeight="1">
      <c r="A49740" s="7"/>
      <c r="B49740" s="7"/>
      <c r="M49740" s="9" t="s">
        <v>30</v>
      </c>
    </row>
    <row r="49741" ht="15.75" customHeight="1">
      <c r="A49741" s="7"/>
      <c r="B49741" s="7"/>
      <c r="M49741" s="9" t="s">
        <v>25</v>
      </c>
    </row>
    <row r="49742" ht="15.75" customHeight="1">
      <c r="A49742" s="7"/>
      <c r="B49742" s="7"/>
      <c r="M49742" s="9" t="s">
        <v>23</v>
      </c>
    </row>
    <row r="49743" ht="15.75" customHeight="1">
      <c r="A49743" s="7"/>
      <c r="B49743" s="7"/>
      <c r="M49743" s="9" t="s">
        <v>24</v>
      </c>
    </row>
    <row r="49744" ht="15.75" customHeight="1">
      <c r="A49744" s="7"/>
      <c r="B49744" s="7"/>
      <c r="M49744" s="9" t="s">
        <v>20</v>
      </c>
    </row>
    <row r="49745" ht="15.75" customHeight="1">
      <c r="A49745" s="7"/>
      <c r="B49745" s="7"/>
      <c r="M49745" s="9" t="s">
        <v>21</v>
      </c>
    </row>
    <row r="49746" ht="15.75" customHeight="1">
      <c r="A49746" s="7"/>
      <c r="B49746" s="7"/>
      <c r="M49746" s="9" t="s">
        <v>22</v>
      </c>
    </row>
    <row r="49747" ht="15.75" customHeight="1">
      <c r="A49747" s="7"/>
      <c r="B49747" s="7"/>
      <c r="M49747" s="9" t="s">
        <v>27</v>
      </c>
    </row>
    <row r="49748" ht="15.75" customHeight="1">
      <c r="A49748" s="7"/>
      <c r="B49748" s="7"/>
      <c r="M49748" s="9" t="s">
        <v>24</v>
      </c>
    </row>
    <row r="49749" ht="15.75" customHeight="1">
      <c r="A49749" s="7"/>
      <c r="B49749" s="7"/>
      <c r="M49749" s="9" t="s">
        <v>21</v>
      </c>
    </row>
    <row r="49750" ht="15.75" customHeight="1">
      <c r="A49750" s="7"/>
      <c r="B49750" s="7"/>
      <c r="M49750" s="9" t="s">
        <v>39</v>
      </c>
    </row>
    <row r="49751" ht="15.75" customHeight="1">
      <c r="A49751" s="7"/>
      <c r="B49751" s="7"/>
      <c r="M49751" s="9" t="s">
        <v>37</v>
      </c>
    </row>
    <row r="49752" ht="15.75" customHeight="1">
      <c r="A49752" s="7"/>
      <c r="B49752" s="7"/>
      <c r="M49752" s="9" t="s">
        <v>27</v>
      </c>
    </row>
    <row r="49753" ht="15.75" customHeight="1">
      <c r="A49753" s="7"/>
      <c r="B49753" s="7"/>
      <c r="M49753" s="9" t="s">
        <v>40</v>
      </c>
    </row>
    <row r="49754" ht="15.75" customHeight="1">
      <c r="A49754" s="7"/>
      <c r="B49754" s="7"/>
      <c r="M49754" s="9" t="s">
        <v>33</v>
      </c>
    </row>
    <row r="49755" ht="15.75" customHeight="1">
      <c r="A49755" s="7"/>
      <c r="B49755" s="7"/>
      <c r="M49755" s="9" t="s">
        <v>26</v>
      </c>
    </row>
    <row r="49756" ht="15.75" customHeight="1">
      <c r="A49756" s="7"/>
      <c r="B49756" s="7"/>
      <c r="M49756" s="9" t="s">
        <v>20</v>
      </c>
    </row>
    <row r="49757" ht="15.75" customHeight="1">
      <c r="A49757" s="7"/>
      <c r="B49757" s="7"/>
      <c r="M49757" s="9" t="s">
        <v>30</v>
      </c>
    </row>
    <row r="49758" ht="15.75" customHeight="1">
      <c r="A49758" s="7"/>
      <c r="B49758" s="7"/>
      <c r="M49758" s="9" t="s">
        <v>23</v>
      </c>
    </row>
    <row r="49759" ht="15.75" customHeight="1">
      <c r="A49759" s="7"/>
      <c r="B49759" s="7"/>
      <c r="M49759" s="9" t="s">
        <v>24</v>
      </c>
    </row>
    <row r="49760" ht="15.75" customHeight="1">
      <c r="A49760" s="7"/>
      <c r="B49760" s="7"/>
      <c r="M49760" s="9" t="s">
        <v>21</v>
      </c>
    </row>
    <row r="49761" ht="15.75" customHeight="1">
      <c r="A49761" s="7"/>
      <c r="B49761" s="7"/>
      <c r="M49761" s="9" t="s">
        <v>22</v>
      </c>
    </row>
    <row r="49762" ht="15.75" customHeight="1">
      <c r="A49762" s="7"/>
      <c r="B49762" s="7"/>
      <c r="M49762" s="9" t="s">
        <v>32</v>
      </c>
    </row>
    <row r="49763" ht="15.75" customHeight="1">
      <c r="A49763" s="7"/>
      <c r="B49763" s="7"/>
      <c r="M49763" s="9" t="s">
        <v>34</v>
      </c>
    </row>
    <row r="49764" ht="15.75" customHeight="1">
      <c r="A49764" s="7"/>
      <c r="B49764" s="7"/>
      <c r="M49764" s="9" t="s">
        <v>35</v>
      </c>
    </row>
    <row r="49765" ht="15.75" customHeight="1">
      <c r="A49765" s="7"/>
      <c r="B49765" s="7"/>
      <c r="M49765" s="9" t="s">
        <v>26</v>
      </c>
    </row>
    <row r="49766" ht="15.75" customHeight="1">
      <c r="A49766" s="7"/>
      <c r="B49766" s="7"/>
      <c r="M49766" s="9" t="s">
        <v>27</v>
      </c>
    </row>
    <row r="49767" ht="15.75" customHeight="1">
      <c r="A49767" s="7"/>
      <c r="B49767" s="7"/>
      <c r="M49767" s="9" t="s">
        <v>35</v>
      </c>
    </row>
    <row r="49768" ht="15.75" customHeight="1">
      <c r="A49768" s="7"/>
      <c r="B49768" s="7"/>
      <c r="M49768" s="9" t="s">
        <v>21</v>
      </c>
    </row>
    <row r="49769" ht="15.75" customHeight="1">
      <c r="A49769" s="7"/>
      <c r="B49769" s="7"/>
      <c r="M49769" s="9" t="s">
        <v>41</v>
      </c>
    </row>
    <row r="49770" ht="15.75" customHeight="1">
      <c r="A49770" s="7"/>
      <c r="B49770" s="7"/>
      <c r="M49770" s="9" t="s">
        <v>37</v>
      </c>
    </row>
    <row r="49771" ht="15.75" customHeight="1">
      <c r="A49771" s="7"/>
      <c r="B49771" s="7"/>
      <c r="M49771" s="9" t="s">
        <v>27</v>
      </c>
    </row>
    <row r="49772" ht="15.75" customHeight="1">
      <c r="A49772" s="7"/>
      <c r="B49772" s="7"/>
      <c r="M49772" s="9" t="s">
        <v>25</v>
      </c>
    </row>
    <row r="49773" ht="15.75" customHeight="1">
      <c r="A49773" s="7"/>
      <c r="B49773" s="7"/>
      <c r="M49773" s="9" t="s">
        <v>23</v>
      </c>
    </row>
    <row r="49774" ht="15.75" customHeight="1">
      <c r="A49774" s="7"/>
      <c r="B49774" s="7"/>
      <c r="M49774" s="9" t="s">
        <v>24</v>
      </c>
    </row>
    <row r="49775" ht="15.75" customHeight="1">
      <c r="A49775" s="7"/>
      <c r="B49775" s="7"/>
      <c r="M49775" s="9" t="s">
        <v>20</v>
      </c>
    </row>
    <row r="49776" ht="15.75" customHeight="1">
      <c r="A49776" s="7"/>
      <c r="B49776" s="7"/>
      <c r="M49776" s="9" t="s">
        <v>21</v>
      </c>
    </row>
    <row r="49777" ht="15.75" customHeight="1">
      <c r="A49777" s="7"/>
      <c r="B49777" s="7"/>
      <c r="M49777" s="9" t="s">
        <v>41</v>
      </c>
    </row>
    <row r="49778" ht="15.75" customHeight="1">
      <c r="A49778" s="7"/>
      <c r="B49778" s="7"/>
      <c r="M49778" s="9" t="s">
        <v>37</v>
      </c>
    </row>
    <row r="49779" ht="15.75" customHeight="1">
      <c r="A49779" s="7"/>
      <c r="B49779" s="7"/>
      <c r="M49779" s="9" t="s">
        <v>27</v>
      </c>
    </row>
    <row r="49780" ht="15.75" customHeight="1">
      <c r="A49780" s="7"/>
      <c r="B49780" s="7"/>
      <c r="M49780" s="9" t="s">
        <v>33</v>
      </c>
    </row>
    <row r="49781" ht="15.75" customHeight="1">
      <c r="A49781" s="7"/>
      <c r="B49781" s="7"/>
      <c r="M49781" s="9" t="s">
        <v>35</v>
      </c>
    </row>
    <row r="49782" ht="15.75" customHeight="1">
      <c r="A49782" s="7"/>
      <c r="B49782" s="7"/>
      <c r="M49782" s="9" t="s">
        <v>26</v>
      </c>
    </row>
    <row r="49783" ht="15.75" customHeight="1">
      <c r="A49783" s="7"/>
      <c r="B49783" s="7"/>
      <c r="M49783" s="9" t="s">
        <v>36</v>
      </c>
    </row>
    <row r="49784" ht="15.75" customHeight="1">
      <c r="A49784" s="7"/>
      <c r="B49784" s="7"/>
      <c r="M49784" s="9" t="s">
        <v>24</v>
      </c>
    </row>
    <row r="49785" ht="15.75" customHeight="1">
      <c r="A49785" s="7"/>
      <c r="B49785" s="7"/>
      <c r="M49785" s="9" t="s">
        <v>21</v>
      </c>
    </row>
    <row r="49786" ht="15.75" customHeight="1">
      <c r="A49786" s="7"/>
      <c r="B49786" s="7"/>
      <c r="M49786" s="9" t="s">
        <v>22</v>
      </c>
    </row>
    <row r="49787" ht="15.75" customHeight="1">
      <c r="A49787" s="7"/>
      <c r="B49787" s="7"/>
      <c r="M49787" s="9" t="s">
        <v>27</v>
      </c>
    </row>
    <row r="49788" ht="15.75" customHeight="1">
      <c r="A49788" s="7"/>
      <c r="B49788" s="7"/>
      <c r="M49788" s="9" t="s">
        <v>33</v>
      </c>
    </row>
    <row r="49789" ht="15.75" customHeight="1">
      <c r="A49789" s="7"/>
      <c r="B49789" s="7"/>
      <c r="M49789" s="9" t="s">
        <v>34</v>
      </c>
    </row>
    <row r="49790" ht="15.75" customHeight="1">
      <c r="A49790" s="7"/>
      <c r="B49790" s="7"/>
      <c r="M49790" s="9" t="s">
        <v>30</v>
      </c>
    </row>
    <row r="49791" ht="15.75" customHeight="1">
      <c r="A49791" s="7"/>
      <c r="B49791" s="7"/>
      <c r="M49791" s="9" t="s">
        <v>24</v>
      </c>
    </row>
    <row r="49792" ht="15.75" customHeight="1">
      <c r="A49792" s="7"/>
      <c r="B49792" s="7"/>
      <c r="M49792" s="9" t="s">
        <v>21</v>
      </c>
    </row>
    <row r="49793" ht="15.75" customHeight="1">
      <c r="A49793" s="7"/>
      <c r="B49793" s="7"/>
      <c r="M49793" s="9" t="s">
        <v>30</v>
      </c>
    </row>
    <row r="49794" ht="15.75" customHeight="1">
      <c r="A49794" s="7"/>
      <c r="B49794" s="7"/>
      <c r="M49794" s="9" t="s">
        <v>24</v>
      </c>
    </row>
    <row r="49795" ht="15.75" customHeight="1">
      <c r="A49795" s="7"/>
      <c r="B49795" s="7"/>
      <c r="M49795" s="9" t="s">
        <v>20</v>
      </c>
    </row>
    <row r="49796" ht="15.75" customHeight="1">
      <c r="A49796" s="7"/>
      <c r="B49796" s="7"/>
      <c r="M49796" s="9" t="s">
        <v>22</v>
      </c>
    </row>
    <row r="49797" ht="15.75" customHeight="1">
      <c r="A49797" s="7"/>
      <c r="B49797" s="7"/>
      <c r="M49797" s="9" t="s">
        <v>29</v>
      </c>
    </row>
    <row r="49798" ht="15.75" customHeight="1">
      <c r="A49798" s="7"/>
      <c r="B49798" s="7"/>
      <c r="M49798" s="9" t="s">
        <v>27</v>
      </c>
    </row>
    <row r="49799" ht="15.75" customHeight="1">
      <c r="A49799" s="7"/>
      <c r="B49799" s="7"/>
      <c r="M49799" s="9" t="s">
        <v>26</v>
      </c>
    </row>
    <row r="49800" ht="15.75" customHeight="1">
      <c r="A49800" s="7"/>
      <c r="B49800" s="7"/>
      <c r="M49800" s="9" t="s">
        <v>24</v>
      </c>
    </row>
    <row r="49801" ht="15.75" customHeight="1">
      <c r="A49801" s="7"/>
      <c r="B49801" s="7"/>
      <c r="M49801" s="9" t="s">
        <v>21</v>
      </c>
    </row>
    <row r="49802" ht="15.75" customHeight="1">
      <c r="A49802" s="7"/>
      <c r="B49802" s="7"/>
      <c r="M49802" s="9" t="s">
        <v>27</v>
      </c>
    </row>
    <row r="49803" ht="15.75" customHeight="1">
      <c r="A49803" s="7"/>
      <c r="B49803" s="7"/>
      <c r="M49803" s="9" t="s">
        <v>33</v>
      </c>
    </row>
    <row r="49804" ht="15.75" customHeight="1">
      <c r="A49804" s="7"/>
      <c r="B49804" s="7"/>
      <c r="M49804" s="9" t="s">
        <v>30</v>
      </c>
    </row>
    <row r="49805" ht="15.75" customHeight="1">
      <c r="A49805" s="7"/>
      <c r="B49805" s="7"/>
      <c r="M49805" s="9" t="s">
        <v>36</v>
      </c>
    </row>
    <row r="49806" ht="15.75" customHeight="1">
      <c r="A49806" s="7"/>
      <c r="B49806" s="7"/>
      <c r="M49806" s="9" t="s">
        <v>24</v>
      </c>
    </row>
    <row r="49807" ht="15.75" customHeight="1">
      <c r="A49807" s="7"/>
      <c r="B49807" s="7"/>
      <c r="M49807" s="9" t="s">
        <v>21</v>
      </c>
    </row>
    <row r="49808" ht="15.75" customHeight="1">
      <c r="A49808" s="7"/>
      <c r="B49808" s="7"/>
      <c r="M49808" s="9" t="s">
        <v>27</v>
      </c>
    </row>
    <row r="49809" ht="15.75" customHeight="1">
      <c r="A49809" s="7"/>
      <c r="B49809" s="7"/>
      <c r="M49809" s="9" t="s">
        <v>26</v>
      </c>
    </row>
    <row r="49810" ht="15.75" customHeight="1">
      <c r="A49810" s="7"/>
      <c r="B49810" s="7"/>
      <c r="M49810" s="9" t="s">
        <v>24</v>
      </c>
    </row>
    <row r="49811" ht="15.75" customHeight="1">
      <c r="A49811" s="7"/>
      <c r="B49811" s="7"/>
      <c r="M49811" s="9" t="s">
        <v>21</v>
      </c>
    </row>
    <row r="49812" ht="15.75" customHeight="1">
      <c r="A49812" s="7"/>
      <c r="B49812" s="7"/>
      <c r="M49812" s="9" t="s">
        <v>37</v>
      </c>
    </row>
    <row r="49813" ht="15.75" customHeight="1">
      <c r="A49813" s="7"/>
      <c r="B49813" s="7"/>
      <c r="M49813" s="9" t="s">
        <v>22</v>
      </c>
    </row>
    <row r="49814" ht="15.75" customHeight="1">
      <c r="A49814" s="7"/>
      <c r="B49814" s="7"/>
      <c r="M49814" s="9" t="s">
        <v>25</v>
      </c>
    </row>
    <row r="49815" ht="15.75" customHeight="1">
      <c r="A49815" s="7"/>
      <c r="B49815" s="7"/>
      <c r="M49815" s="9" t="s">
        <v>23</v>
      </c>
    </row>
    <row r="49816" ht="15.75" customHeight="1">
      <c r="A49816" s="7"/>
      <c r="B49816" s="7"/>
      <c r="M49816" s="9" t="s">
        <v>41</v>
      </c>
    </row>
    <row r="49817" ht="15.75" customHeight="1">
      <c r="A49817" s="7"/>
      <c r="B49817" s="7"/>
      <c r="M49817" s="9" t="s">
        <v>40</v>
      </c>
    </row>
    <row r="49818" ht="15.75" customHeight="1">
      <c r="A49818" s="7"/>
      <c r="B49818" s="7"/>
      <c r="M49818" s="9" t="s">
        <v>30</v>
      </c>
    </row>
    <row r="49819" ht="15.75" customHeight="1">
      <c r="A49819" s="7"/>
      <c r="B49819" s="7"/>
      <c r="M49819" s="9" t="s">
        <v>24</v>
      </c>
    </row>
    <row r="49820" ht="15.75" customHeight="1">
      <c r="A49820" s="7"/>
      <c r="B49820" s="7"/>
      <c r="M49820" s="9" t="s">
        <v>21</v>
      </c>
    </row>
    <row r="49821" ht="15.75" customHeight="1">
      <c r="A49821" s="7"/>
      <c r="B49821" s="7"/>
      <c r="M49821" s="9" t="s">
        <v>37</v>
      </c>
    </row>
    <row r="49822" ht="15.75" customHeight="1">
      <c r="A49822" s="7"/>
      <c r="B49822" s="7"/>
      <c r="M49822" s="9" t="s">
        <v>22</v>
      </c>
    </row>
    <row r="49823" ht="15.75" customHeight="1">
      <c r="A49823" s="7"/>
      <c r="B49823" s="7"/>
      <c r="M49823" s="9" t="s">
        <v>27</v>
      </c>
    </row>
    <row r="49824" ht="15.75" customHeight="1">
      <c r="A49824" s="7"/>
      <c r="B49824" s="7"/>
      <c r="M49824" s="9" t="s">
        <v>33</v>
      </c>
    </row>
    <row r="49825" ht="15.75" customHeight="1">
      <c r="A49825" s="7"/>
      <c r="B49825" s="7"/>
      <c r="M49825" s="9" t="s">
        <v>37</v>
      </c>
    </row>
    <row r="49826" ht="15.75" customHeight="1">
      <c r="A49826" s="7"/>
      <c r="B49826" s="7"/>
      <c r="M49826" s="9" t="s">
        <v>29</v>
      </c>
    </row>
    <row r="49827" ht="15.75" customHeight="1">
      <c r="A49827" s="7"/>
      <c r="B49827" s="7"/>
      <c r="M49827" s="9" t="s">
        <v>24</v>
      </c>
    </row>
    <row r="49828" ht="15.75" customHeight="1">
      <c r="A49828" s="7"/>
      <c r="B49828" s="7"/>
      <c r="M49828" s="9" t="s">
        <v>20</v>
      </c>
    </row>
    <row r="49829" ht="15.75" customHeight="1">
      <c r="A49829" s="7"/>
      <c r="B49829" s="7"/>
      <c r="M49829" s="9" t="s">
        <v>21</v>
      </c>
    </row>
    <row r="49830" ht="15.75" customHeight="1">
      <c r="A49830" s="7"/>
      <c r="B49830" s="7"/>
      <c r="M49830" s="9" t="s">
        <v>39</v>
      </c>
    </row>
    <row r="49831" ht="15.75" customHeight="1">
      <c r="A49831" s="7"/>
      <c r="B49831" s="7"/>
      <c r="M49831" s="9" t="s">
        <v>22</v>
      </c>
    </row>
    <row r="49832" ht="15.75" customHeight="1">
      <c r="A49832" s="7"/>
      <c r="B49832" s="7"/>
      <c r="M49832" s="9" t="s">
        <v>27</v>
      </c>
    </row>
    <row r="49833" ht="15.75" customHeight="1">
      <c r="A49833" s="7"/>
      <c r="B49833" s="7"/>
      <c r="M49833" s="9" t="s">
        <v>24</v>
      </c>
    </row>
    <row r="49834" ht="15.75" customHeight="1">
      <c r="A49834" s="7"/>
      <c r="B49834" s="7"/>
      <c r="M49834" s="9" t="s">
        <v>21</v>
      </c>
    </row>
    <row r="49835" ht="15.75" customHeight="1">
      <c r="A49835" s="7"/>
      <c r="B49835" s="7"/>
      <c r="M49835" s="9" t="s">
        <v>37</v>
      </c>
    </row>
    <row r="49836" ht="15.75" customHeight="1">
      <c r="A49836" s="7"/>
      <c r="B49836" s="7"/>
      <c r="M49836" s="9" t="s">
        <v>31</v>
      </c>
    </row>
    <row r="49837" ht="15.75" customHeight="1">
      <c r="A49837" s="7"/>
      <c r="B49837" s="7"/>
      <c r="M49837" s="9" t="s">
        <v>27</v>
      </c>
    </row>
    <row r="49838" ht="15.75" customHeight="1">
      <c r="A49838" s="7"/>
      <c r="B49838" s="7"/>
      <c r="M49838" s="9" t="s">
        <v>23</v>
      </c>
    </row>
    <row r="49839" ht="15.75" customHeight="1">
      <c r="A49839" s="7"/>
      <c r="B49839" s="7"/>
      <c r="M49839" s="9" t="s">
        <v>26</v>
      </c>
    </row>
    <row r="49840" ht="15.75" customHeight="1">
      <c r="A49840" s="7"/>
      <c r="B49840" s="7"/>
      <c r="M49840" s="9" t="s">
        <v>24</v>
      </c>
    </row>
    <row r="49841" ht="15.75" customHeight="1">
      <c r="A49841" s="7"/>
      <c r="B49841" s="7"/>
      <c r="M49841" s="9" t="s">
        <v>21</v>
      </c>
    </row>
    <row r="49842" ht="15.75" customHeight="1">
      <c r="A49842" s="7"/>
      <c r="B49842" s="7"/>
      <c r="M49842" s="9" t="s">
        <v>37</v>
      </c>
    </row>
    <row r="49843" ht="15.75" customHeight="1">
      <c r="A49843" s="7"/>
      <c r="B49843" s="7"/>
      <c r="M49843" s="9" t="s">
        <v>27</v>
      </c>
    </row>
    <row r="49844" ht="15.75" customHeight="1">
      <c r="A49844" s="7"/>
      <c r="B49844" s="7"/>
      <c r="M49844" s="9" t="s">
        <v>30</v>
      </c>
    </row>
    <row r="49845" ht="15.75" customHeight="1">
      <c r="A49845" s="7"/>
      <c r="B49845" s="7"/>
      <c r="M49845" s="9" t="s">
        <v>24</v>
      </c>
    </row>
    <row r="49846" ht="15.75" customHeight="1">
      <c r="A49846" s="7"/>
      <c r="B49846" s="7"/>
      <c r="M49846" s="9" t="s">
        <v>20</v>
      </c>
    </row>
    <row r="49847" ht="15.75" customHeight="1">
      <c r="A49847" s="7"/>
      <c r="B49847" s="7"/>
      <c r="M49847" s="9" t="s">
        <v>21</v>
      </c>
    </row>
    <row r="49848" ht="15.75" customHeight="1">
      <c r="A49848" s="7"/>
      <c r="B49848" s="7"/>
      <c r="M49848" s="9" t="s">
        <v>30</v>
      </c>
    </row>
    <row r="49849" ht="15.75" customHeight="1">
      <c r="A49849" s="7"/>
      <c r="B49849" s="7"/>
      <c r="M49849" s="9" t="s">
        <v>26</v>
      </c>
    </row>
    <row r="49850" ht="15.75" customHeight="1">
      <c r="A49850" s="7"/>
      <c r="B49850" s="7"/>
      <c r="M49850" s="9" t="s">
        <v>24</v>
      </c>
    </row>
    <row r="49851" ht="15.75" customHeight="1">
      <c r="A49851" s="7"/>
      <c r="B49851" s="7"/>
      <c r="M49851" s="9" t="s">
        <v>21</v>
      </c>
    </row>
    <row r="49852" ht="15.75" customHeight="1">
      <c r="A49852" s="7"/>
      <c r="B49852" s="7"/>
      <c r="M49852" s="9" t="s">
        <v>22</v>
      </c>
    </row>
    <row r="49853" ht="15.75" customHeight="1">
      <c r="A49853" s="7"/>
      <c r="B49853" s="7"/>
      <c r="M49853" s="9" t="s">
        <v>27</v>
      </c>
    </row>
    <row r="49854" ht="15.75" customHeight="1">
      <c r="A49854" s="7"/>
      <c r="B49854" s="7"/>
      <c r="M49854" s="9" t="s">
        <v>33</v>
      </c>
    </row>
    <row r="49855" ht="15.75" customHeight="1">
      <c r="A49855" s="7"/>
      <c r="B49855" s="7"/>
      <c r="M49855" s="9" t="s">
        <v>36</v>
      </c>
    </row>
    <row r="49856" ht="15.75" customHeight="1">
      <c r="A49856" s="7"/>
      <c r="B49856" s="7"/>
      <c r="M49856" s="9" t="s">
        <v>24</v>
      </c>
    </row>
    <row r="49857" ht="15.75" customHeight="1">
      <c r="A49857" s="7"/>
      <c r="B49857" s="7"/>
      <c r="M49857" s="9" t="s">
        <v>20</v>
      </c>
    </row>
    <row r="49858" ht="15.75" customHeight="1">
      <c r="A49858" s="7"/>
      <c r="B49858" s="7"/>
      <c r="M49858" s="9" t="s">
        <v>21</v>
      </c>
    </row>
    <row r="49859" ht="15.75" customHeight="1">
      <c r="A49859" s="7"/>
      <c r="B49859" s="7"/>
      <c r="M49859" s="9" t="s">
        <v>22</v>
      </c>
    </row>
    <row r="49860" ht="15.75" customHeight="1">
      <c r="A49860" s="7"/>
      <c r="B49860" s="7"/>
      <c r="M49860" s="9" t="s">
        <v>31</v>
      </c>
    </row>
    <row r="49861" ht="15.75" customHeight="1">
      <c r="A49861" s="7"/>
      <c r="B49861" s="7"/>
      <c r="M49861" s="9" t="s">
        <v>27</v>
      </c>
    </row>
    <row r="49862" ht="15.75" customHeight="1">
      <c r="A49862" s="7"/>
      <c r="B49862" s="7"/>
      <c r="M49862" s="9" t="s">
        <v>30</v>
      </c>
    </row>
    <row r="49863" ht="15.75" customHeight="1">
      <c r="A49863" s="7"/>
      <c r="B49863" s="7"/>
      <c r="M49863" s="9" t="s">
        <v>24</v>
      </c>
    </row>
    <row r="49864" ht="15.75" customHeight="1">
      <c r="A49864" s="7"/>
      <c r="B49864" s="7"/>
      <c r="M49864" s="9" t="s">
        <v>20</v>
      </c>
    </row>
    <row r="49865" ht="15.75" customHeight="1">
      <c r="A49865" s="7"/>
      <c r="B49865" s="7"/>
      <c r="M49865" s="9" t="s">
        <v>21</v>
      </c>
    </row>
    <row r="49866" ht="15.75" customHeight="1">
      <c r="A49866" s="7"/>
      <c r="B49866" s="7"/>
      <c r="M49866" s="9" t="s">
        <v>22</v>
      </c>
    </row>
    <row r="49867" ht="15.75" customHeight="1">
      <c r="A49867" s="7"/>
      <c r="B49867" s="7"/>
      <c r="M49867" s="9" t="s">
        <v>38</v>
      </c>
    </row>
    <row r="49868" ht="15.75" customHeight="1">
      <c r="A49868" s="7"/>
      <c r="B49868" s="7"/>
      <c r="M49868" s="9" t="s">
        <v>30</v>
      </c>
    </row>
    <row r="49869" ht="15.75" customHeight="1">
      <c r="A49869" s="7"/>
      <c r="B49869" s="7"/>
      <c r="M49869" s="9" t="s">
        <v>25</v>
      </c>
    </row>
    <row r="49870" ht="15.75" customHeight="1">
      <c r="A49870" s="7"/>
      <c r="B49870" s="7"/>
      <c r="M49870" s="9" t="s">
        <v>23</v>
      </c>
    </row>
    <row r="49871" ht="15.75" customHeight="1">
      <c r="A49871" s="7"/>
      <c r="B49871" s="7"/>
      <c r="M49871" s="9" t="s">
        <v>26</v>
      </c>
    </row>
    <row r="49872" ht="15.75" customHeight="1">
      <c r="A49872" s="7"/>
      <c r="B49872" s="7"/>
      <c r="M49872" s="9" t="s">
        <v>36</v>
      </c>
    </row>
    <row r="49873" ht="15.75" customHeight="1">
      <c r="A49873" s="7"/>
      <c r="B49873" s="7"/>
      <c r="M49873" s="9" t="s">
        <v>24</v>
      </c>
    </row>
    <row r="49874" ht="15.75" customHeight="1">
      <c r="A49874" s="7"/>
      <c r="B49874" s="7"/>
      <c r="M49874" s="9" t="s">
        <v>20</v>
      </c>
    </row>
    <row r="49875" ht="15.75" customHeight="1">
      <c r="A49875" s="7"/>
      <c r="B49875" s="7"/>
      <c r="M49875" s="9" t="s">
        <v>21</v>
      </c>
    </row>
    <row r="49876" ht="15.75" customHeight="1">
      <c r="A49876" s="7"/>
      <c r="B49876" s="7"/>
      <c r="M49876" s="9" t="s">
        <v>37</v>
      </c>
    </row>
    <row r="49877" ht="15.75" customHeight="1">
      <c r="A49877" s="7"/>
      <c r="B49877" s="7"/>
      <c r="M49877" s="9" t="s">
        <v>22</v>
      </c>
    </row>
    <row r="49878" ht="15.75" customHeight="1">
      <c r="A49878" s="7"/>
      <c r="B49878" s="7"/>
      <c r="M49878" s="9" t="s">
        <v>31</v>
      </c>
    </row>
    <row r="49879" ht="15.75" customHeight="1">
      <c r="A49879" s="7"/>
      <c r="B49879" s="7"/>
      <c r="M49879" s="9" t="s">
        <v>27</v>
      </c>
    </row>
    <row r="49880" ht="15.75" customHeight="1">
      <c r="A49880" s="7"/>
      <c r="B49880" s="7"/>
      <c r="M49880" s="9" t="s">
        <v>33</v>
      </c>
    </row>
    <row r="49881" ht="15.75" customHeight="1">
      <c r="A49881" s="7"/>
      <c r="B49881" s="7"/>
      <c r="M49881" s="9" t="s">
        <v>24</v>
      </c>
    </row>
    <row r="49882" ht="15.75" customHeight="1">
      <c r="A49882" s="7"/>
      <c r="B49882" s="7"/>
      <c r="M49882" s="9" t="s">
        <v>20</v>
      </c>
    </row>
    <row r="49883" ht="15.75" customHeight="1">
      <c r="A49883" s="7"/>
      <c r="B49883" s="7"/>
      <c r="M49883" s="9" t="s">
        <v>21</v>
      </c>
    </row>
    <row r="49884" ht="15.75" customHeight="1">
      <c r="A49884" s="7"/>
      <c r="B49884" s="7"/>
      <c r="M49884" s="9" t="s">
        <v>27</v>
      </c>
    </row>
    <row r="49885" ht="15.75" customHeight="1">
      <c r="A49885" s="7"/>
      <c r="B49885" s="7"/>
      <c r="M49885" s="9" t="s">
        <v>28</v>
      </c>
    </row>
    <row r="49886" ht="15.75" customHeight="1">
      <c r="A49886" s="7"/>
      <c r="B49886" s="7"/>
      <c r="M49886" s="9" t="s">
        <v>30</v>
      </c>
    </row>
    <row r="49887" ht="15.75" customHeight="1">
      <c r="A49887" s="7"/>
      <c r="B49887" s="7"/>
      <c r="M49887" s="9" t="s">
        <v>20</v>
      </c>
    </row>
    <row r="49888" ht="15.75" customHeight="1">
      <c r="A49888" s="7"/>
      <c r="B49888" s="7"/>
      <c r="M49888" s="9" t="s">
        <v>21</v>
      </c>
    </row>
    <row r="49889" ht="15.75" customHeight="1">
      <c r="A49889" s="7"/>
      <c r="B49889" s="7"/>
      <c r="M49889" s="9" t="s">
        <v>22</v>
      </c>
    </row>
    <row r="49890" ht="15.75" customHeight="1">
      <c r="A49890" s="7"/>
      <c r="B49890" s="7"/>
      <c r="M49890" s="9" t="s">
        <v>27</v>
      </c>
    </row>
    <row r="49891" ht="15.75" customHeight="1">
      <c r="A49891" s="7"/>
      <c r="B49891" s="7"/>
      <c r="M49891" s="9" t="s">
        <v>30</v>
      </c>
    </row>
    <row r="49892" ht="15.75" customHeight="1">
      <c r="A49892" s="7"/>
      <c r="B49892" s="7"/>
      <c r="M49892" s="9" t="s">
        <v>20</v>
      </c>
    </row>
    <row r="49893" ht="15.75" customHeight="1">
      <c r="A49893" s="7"/>
      <c r="B49893" s="7"/>
      <c r="M49893" s="9" t="s">
        <v>27</v>
      </c>
    </row>
    <row r="49894" ht="15.75" customHeight="1">
      <c r="A49894" s="7"/>
      <c r="B49894" s="7"/>
      <c r="M49894" s="9" t="s">
        <v>35</v>
      </c>
    </row>
    <row r="49895" ht="15.75" customHeight="1">
      <c r="A49895" s="7"/>
      <c r="B49895" s="7"/>
      <c r="M49895" s="9" t="s">
        <v>26</v>
      </c>
    </row>
    <row r="49896" ht="15.75" customHeight="1">
      <c r="A49896" s="7"/>
      <c r="B49896" s="7"/>
      <c r="M49896" s="9" t="s">
        <v>24</v>
      </c>
    </row>
    <row r="49897" ht="15.75" customHeight="1">
      <c r="A49897" s="7"/>
      <c r="B49897" s="7"/>
      <c r="M49897" s="9" t="s">
        <v>21</v>
      </c>
    </row>
    <row r="49898" ht="15.75" customHeight="1">
      <c r="A49898" s="7"/>
      <c r="B49898" s="7"/>
      <c r="M49898" s="9" t="s">
        <v>27</v>
      </c>
    </row>
    <row r="49899" ht="15.75" customHeight="1">
      <c r="A49899" s="7"/>
      <c r="B49899" s="7"/>
      <c r="M49899" s="9" t="s">
        <v>33</v>
      </c>
    </row>
    <row r="49900" ht="15.75" customHeight="1">
      <c r="A49900" s="7"/>
      <c r="B49900" s="7"/>
      <c r="M49900" s="9" t="s">
        <v>24</v>
      </c>
    </row>
    <row r="49901" ht="15.75" customHeight="1">
      <c r="A49901" s="7"/>
      <c r="B49901" s="7"/>
      <c r="M49901" s="9" t="s">
        <v>21</v>
      </c>
    </row>
    <row r="49902" ht="15.75" customHeight="1">
      <c r="A49902" s="7"/>
      <c r="B49902" s="7"/>
      <c r="M49902" s="9" t="s">
        <v>22</v>
      </c>
    </row>
    <row r="49903" ht="15.75" customHeight="1">
      <c r="A49903" s="7"/>
      <c r="B49903" s="7"/>
      <c r="M49903" s="9" t="s">
        <v>27</v>
      </c>
    </row>
    <row r="49904" ht="15.75" customHeight="1">
      <c r="A49904" s="7"/>
      <c r="B49904" s="7"/>
      <c r="M49904" s="9" t="s">
        <v>30</v>
      </c>
    </row>
    <row r="49905" ht="15.75" customHeight="1">
      <c r="A49905" s="7"/>
      <c r="B49905" s="7"/>
      <c r="M49905" s="9" t="s">
        <v>23</v>
      </c>
    </row>
    <row r="49906" ht="15.75" customHeight="1">
      <c r="A49906" s="7"/>
      <c r="B49906" s="7"/>
      <c r="M49906" s="9" t="s">
        <v>24</v>
      </c>
    </row>
    <row r="49907" ht="15.75" customHeight="1">
      <c r="A49907" s="7"/>
      <c r="B49907" s="7"/>
      <c r="M49907" s="9" t="s">
        <v>20</v>
      </c>
    </row>
    <row r="49908" ht="15.75" customHeight="1">
      <c r="A49908" s="7"/>
      <c r="B49908" s="7"/>
      <c r="M49908" s="9" t="s">
        <v>21</v>
      </c>
    </row>
    <row r="49909" ht="15.75" customHeight="1">
      <c r="A49909" s="7"/>
      <c r="B49909" s="7"/>
      <c r="M49909" s="9" t="s">
        <v>39</v>
      </c>
    </row>
    <row r="49910" ht="15.75" customHeight="1">
      <c r="A49910" s="7"/>
      <c r="B49910" s="7"/>
      <c r="M49910" s="9" t="s">
        <v>41</v>
      </c>
    </row>
    <row r="49911" ht="15.75" customHeight="1">
      <c r="A49911" s="7"/>
      <c r="B49911" s="7"/>
      <c r="M49911" s="9" t="s">
        <v>40</v>
      </c>
    </row>
    <row r="49912" ht="15.75" customHeight="1">
      <c r="A49912" s="7"/>
      <c r="B49912" s="7"/>
      <c r="M49912" s="9" t="s">
        <v>33</v>
      </c>
    </row>
    <row r="49913" ht="15.75" customHeight="1">
      <c r="A49913" s="7"/>
      <c r="B49913" s="7"/>
      <c r="M49913" s="9" t="s">
        <v>26</v>
      </c>
    </row>
    <row r="49914" ht="15.75" customHeight="1">
      <c r="A49914" s="7"/>
      <c r="B49914" s="7"/>
      <c r="M49914" s="9" t="s">
        <v>21</v>
      </c>
    </row>
    <row r="49915" ht="15.75" customHeight="1">
      <c r="A49915" s="7"/>
      <c r="B49915" s="7"/>
      <c r="M49915" s="9" t="s">
        <v>27</v>
      </c>
    </row>
    <row r="49916" ht="15.75" customHeight="1">
      <c r="A49916" s="7"/>
      <c r="B49916" s="7"/>
      <c r="M49916" s="9" t="s">
        <v>33</v>
      </c>
    </row>
    <row r="49917" ht="15.75" customHeight="1">
      <c r="A49917" s="7"/>
      <c r="B49917" s="7"/>
      <c r="M49917" s="9" t="s">
        <v>30</v>
      </c>
    </row>
    <row r="49918" ht="15.75" customHeight="1">
      <c r="A49918" s="7"/>
      <c r="B49918" s="7"/>
      <c r="M49918" s="9" t="s">
        <v>26</v>
      </c>
    </row>
    <row r="49919" ht="15.75" customHeight="1">
      <c r="A49919" s="7"/>
      <c r="B49919" s="7"/>
      <c r="M49919" s="9" t="s">
        <v>45</v>
      </c>
    </row>
    <row r="49920" ht="15.75" customHeight="1">
      <c r="A49920" s="7"/>
      <c r="B49920" s="7"/>
      <c r="M49920" s="9" t="s">
        <v>24</v>
      </c>
    </row>
    <row r="49921" ht="15.75" customHeight="1">
      <c r="A49921" s="7"/>
      <c r="B49921" s="7"/>
      <c r="M49921" s="9" t="s">
        <v>21</v>
      </c>
    </row>
    <row r="49922" ht="15.75" customHeight="1">
      <c r="A49922" s="7"/>
      <c r="B49922" s="7"/>
      <c r="M49922" s="9" t="s">
        <v>37</v>
      </c>
    </row>
    <row r="49923" ht="15.75" customHeight="1">
      <c r="A49923" s="7"/>
      <c r="B49923" s="7"/>
      <c r="M49923" s="9" t="s">
        <v>27</v>
      </c>
    </row>
    <row r="49924" ht="15.75" customHeight="1">
      <c r="A49924" s="7"/>
      <c r="B49924" s="7"/>
      <c r="M49924" s="9" t="s">
        <v>24</v>
      </c>
    </row>
    <row r="49925" ht="15.75" customHeight="1">
      <c r="A49925" s="7"/>
      <c r="B49925" s="7"/>
      <c r="M49925" s="9" t="s">
        <v>20</v>
      </c>
    </row>
    <row r="49926" ht="15.75" customHeight="1">
      <c r="A49926" s="7"/>
      <c r="B49926" s="7"/>
      <c r="M49926" s="9" t="s">
        <v>21</v>
      </c>
    </row>
    <row r="49927" ht="15.75" customHeight="1">
      <c r="A49927" s="7"/>
      <c r="B49927" s="7"/>
      <c r="M49927" s="9" t="s">
        <v>29</v>
      </c>
    </row>
    <row r="49928" ht="15.75" customHeight="1">
      <c r="A49928" s="7"/>
      <c r="B49928" s="7"/>
      <c r="M49928" s="9" t="s">
        <v>27</v>
      </c>
    </row>
    <row r="49929" ht="15.75" customHeight="1">
      <c r="A49929" s="7"/>
      <c r="B49929" s="7"/>
      <c r="M49929" s="9" t="s">
        <v>42</v>
      </c>
    </row>
    <row r="49930" ht="15.75" customHeight="1">
      <c r="A49930" s="7"/>
      <c r="B49930" s="7"/>
      <c r="M49930" s="9" t="s">
        <v>36</v>
      </c>
    </row>
    <row r="49931" ht="15.75" customHeight="1">
      <c r="A49931" s="7"/>
      <c r="B49931" s="7"/>
      <c r="M49931" s="9" t="s">
        <v>39</v>
      </c>
    </row>
    <row r="49932" ht="15.75" customHeight="1">
      <c r="A49932" s="7"/>
      <c r="B49932" s="7"/>
      <c r="M49932" s="9" t="s">
        <v>31</v>
      </c>
    </row>
    <row r="49933" ht="15.75" customHeight="1">
      <c r="A49933" s="7"/>
      <c r="B49933" s="7"/>
      <c r="M49933" s="9" t="s">
        <v>40</v>
      </c>
    </row>
    <row r="49934" ht="15.75" customHeight="1">
      <c r="A49934" s="7"/>
      <c r="B49934" s="7"/>
      <c r="M49934" s="9" t="s">
        <v>33</v>
      </c>
    </row>
    <row r="49935" ht="15.75" customHeight="1">
      <c r="A49935" s="7"/>
      <c r="B49935" s="7"/>
      <c r="M49935" s="9" t="s">
        <v>23</v>
      </c>
    </row>
    <row r="49936" ht="15.75" customHeight="1">
      <c r="A49936" s="7"/>
      <c r="B49936" s="7"/>
      <c r="M49936" s="9" t="s">
        <v>22</v>
      </c>
    </row>
    <row r="49937" ht="15.75" customHeight="1">
      <c r="A49937" s="7"/>
      <c r="B49937" s="7"/>
      <c r="M49937" s="9" t="s">
        <v>20</v>
      </c>
    </row>
    <row r="49938" ht="15.75" customHeight="1">
      <c r="A49938" s="7"/>
      <c r="B49938" s="7"/>
      <c r="M49938" s="9" t="s">
        <v>23</v>
      </c>
    </row>
    <row r="49939" ht="15.75" customHeight="1">
      <c r="A49939" s="7"/>
      <c r="B49939" s="7"/>
      <c r="M49939" s="9" t="s">
        <v>22</v>
      </c>
    </row>
    <row r="49940" ht="15.75" customHeight="1">
      <c r="A49940" s="7"/>
      <c r="B49940" s="7"/>
      <c r="M49940" s="9" t="s">
        <v>38</v>
      </c>
    </row>
    <row r="49941" ht="15.75" customHeight="1">
      <c r="A49941" s="7"/>
      <c r="B49941" s="7"/>
      <c r="M49941" s="9" t="s">
        <v>30</v>
      </c>
    </row>
    <row r="49942" ht="15.75" customHeight="1">
      <c r="A49942" s="7"/>
      <c r="B49942" s="7"/>
      <c r="M49942" s="9" t="s">
        <v>25</v>
      </c>
    </row>
    <row r="49943" ht="15.75" customHeight="1">
      <c r="A49943" s="7"/>
      <c r="B49943" s="7"/>
      <c r="M49943" s="9" t="s">
        <v>23</v>
      </c>
    </row>
    <row r="49944" ht="15.75" customHeight="1">
      <c r="A49944" s="7"/>
      <c r="B49944" s="7"/>
      <c r="M49944" s="9" t="s">
        <v>26</v>
      </c>
    </row>
    <row r="49945" ht="15.75" customHeight="1">
      <c r="A49945" s="7"/>
      <c r="B49945" s="7"/>
      <c r="M49945" s="9" t="s">
        <v>24</v>
      </c>
    </row>
    <row r="49946" ht="15.75" customHeight="1">
      <c r="A49946" s="7"/>
      <c r="B49946" s="7"/>
      <c r="M49946" s="9" t="s">
        <v>20</v>
      </c>
    </row>
    <row r="49947" ht="15.75" customHeight="1">
      <c r="A49947" s="7"/>
      <c r="B49947" s="7"/>
      <c r="M49947" s="9" t="s">
        <v>21</v>
      </c>
    </row>
    <row r="49948" ht="15.75" customHeight="1">
      <c r="A49948" s="7"/>
      <c r="B49948" s="7"/>
      <c r="M49948" s="9" t="s">
        <v>37</v>
      </c>
    </row>
    <row r="49949" ht="15.75" customHeight="1">
      <c r="A49949" s="7"/>
      <c r="B49949" s="7"/>
      <c r="M49949" s="9" t="s">
        <v>22</v>
      </c>
    </row>
    <row r="49950" ht="15.75" customHeight="1">
      <c r="A49950" s="7"/>
      <c r="B49950" s="7"/>
      <c r="M49950" s="9" t="s">
        <v>27</v>
      </c>
    </row>
    <row r="49951" ht="15.75" customHeight="1">
      <c r="A49951" s="7"/>
      <c r="B49951" s="7"/>
      <c r="M49951" s="9" t="s">
        <v>28</v>
      </c>
    </row>
    <row r="49952" ht="15.75" customHeight="1">
      <c r="A49952" s="7"/>
      <c r="B49952" s="7"/>
      <c r="M49952" s="9" t="s">
        <v>25</v>
      </c>
    </row>
    <row r="49953" ht="15.75" customHeight="1">
      <c r="A49953" s="7"/>
      <c r="B49953" s="7"/>
      <c r="M49953" s="9" t="s">
        <v>23</v>
      </c>
    </row>
    <row r="49954" ht="15.75" customHeight="1">
      <c r="A49954" s="7"/>
      <c r="B49954" s="7"/>
      <c r="M49954" s="9" t="s">
        <v>24</v>
      </c>
    </row>
    <row r="49955" ht="15.75" customHeight="1">
      <c r="A49955" s="7"/>
      <c r="B49955" s="7"/>
      <c r="M49955" s="9" t="s">
        <v>37</v>
      </c>
    </row>
    <row r="49956" ht="15.75" customHeight="1">
      <c r="A49956" s="7"/>
      <c r="B49956" s="7"/>
      <c r="M49956" s="9" t="s">
        <v>26</v>
      </c>
    </row>
    <row r="49957" ht="15.75" customHeight="1">
      <c r="A49957" s="7"/>
      <c r="B49957" s="7"/>
      <c r="M49957" s="9" t="s">
        <v>20</v>
      </c>
    </row>
    <row r="49958" ht="15.75" customHeight="1">
      <c r="A49958" s="7"/>
      <c r="B49958" s="7"/>
      <c r="M49958" s="9" t="s">
        <v>30</v>
      </c>
    </row>
    <row r="49959" ht="15.75" customHeight="1">
      <c r="A49959" s="7"/>
      <c r="B49959" s="7"/>
      <c r="M49959" s="9" t="s">
        <v>25</v>
      </c>
    </row>
    <row r="49960" ht="15.75" customHeight="1">
      <c r="A49960" s="7"/>
      <c r="B49960" s="7"/>
      <c r="M49960" s="9" t="s">
        <v>23</v>
      </c>
    </row>
    <row r="49961" ht="15.75" customHeight="1">
      <c r="A49961" s="7"/>
      <c r="B49961" s="7"/>
      <c r="M49961" s="9" t="s">
        <v>24</v>
      </c>
    </row>
    <row r="49962" ht="15.75" customHeight="1">
      <c r="A49962" s="7"/>
      <c r="B49962" s="7"/>
      <c r="M49962" s="9" t="s">
        <v>20</v>
      </c>
    </row>
    <row r="49963" ht="15.75" customHeight="1">
      <c r="A49963" s="7"/>
      <c r="B49963" s="7"/>
      <c r="M49963" s="9" t="s">
        <v>21</v>
      </c>
    </row>
    <row r="49964" ht="15.75" customHeight="1">
      <c r="A49964" s="7"/>
      <c r="B49964" s="7"/>
      <c r="M49964" s="9" t="s">
        <v>27</v>
      </c>
    </row>
    <row r="49965" ht="15.75" customHeight="1">
      <c r="A49965" s="7"/>
      <c r="B49965" s="7"/>
      <c r="M49965" s="9" t="s">
        <v>35</v>
      </c>
    </row>
    <row r="49966" ht="15.75" customHeight="1">
      <c r="A49966" s="7"/>
      <c r="B49966" s="7"/>
      <c r="M49966" s="9" t="s">
        <v>20</v>
      </c>
    </row>
    <row r="49967" ht="15.75" customHeight="1">
      <c r="A49967" s="7"/>
      <c r="B49967" s="7"/>
      <c r="M49967" s="9" t="s">
        <v>25</v>
      </c>
    </row>
    <row r="49968" ht="15.75" customHeight="1">
      <c r="A49968" s="7"/>
      <c r="B49968" s="7"/>
      <c r="M49968" s="9" t="s">
        <v>23</v>
      </c>
    </row>
    <row r="49969" ht="15.75" customHeight="1">
      <c r="A49969" s="7"/>
      <c r="B49969" s="7"/>
      <c r="M49969" s="9" t="s">
        <v>31</v>
      </c>
    </row>
    <row r="49970" ht="15.75" customHeight="1">
      <c r="A49970" s="7"/>
      <c r="B49970" s="7"/>
      <c r="M49970" s="9" t="s">
        <v>35</v>
      </c>
    </row>
    <row r="49971" ht="15.75" customHeight="1">
      <c r="A49971" s="7"/>
      <c r="B49971" s="7"/>
      <c r="M49971" s="9" t="s">
        <v>20</v>
      </c>
    </row>
    <row r="49972" ht="15.75" customHeight="1">
      <c r="A49972" s="7"/>
      <c r="B49972" s="7"/>
      <c r="M49972" s="9" t="s">
        <v>21</v>
      </c>
    </row>
    <row r="49973" ht="15.75" customHeight="1">
      <c r="A49973" s="7"/>
      <c r="B49973" s="7"/>
      <c r="M49973" s="9" t="s">
        <v>39</v>
      </c>
    </row>
    <row r="49974" ht="15.75" customHeight="1">
      <c r="A49974" s="7"/>
      <c r="B49974" s="7"/>
      <c r="M49974" s="9" t="s">
        <v>22</v>
      </c>
    </row>
    <row r="49975" ht="15.75" customHeight="1">
      <c r="A49975" s="7"/>
      <c r="B49975" s="7"/>
      <c r="M49975" s="9" t="s">
        <v>31</v>
      </c>
    </row>
    <row r="49976" ht="15.75" customHeight="1">
      <c r="A49976" s="7"/>
      <c r="B49976" s="7"/>
      <c r="M49976" s="9" t="s">
        <v>46</v>
      </c>
    </row>
    <row r="49977" ht="15.75" customHeight="1">
      <c r="A49977" s="7"/>
      <c r="B49977" s="7"/>
      <c r="M49977" s="9" t="s">
        <v>35</v>
      </c>
    </row>
    <row r="49978" ht="15.75" customHeight="1">
      <c r="A49978" s="7"/>
      <c r="B49978" s="7"/>
      <c r="M49978" s="9" t="s">
        <v>26</v>
      </c>
    </row>
    <row r="49979" ht="15.75" customHeight="1">
      <c r="A49979" s="7"/>
      <c r="B49979" s="7"/>
      <c r="M49979" s="9" t="s">
        <v>24</v>
      </c>
    </row>
    <row r="49980" ht="15.75" customHeight="1">
      <c r="A49980" s="7"/>
      <c r="B49980" s="7"/>
      <c r="M49980" s="9" t="s">
        <v>21</v>
      </c>
    </row>
    <row r="49981" ht="15.75" customHeight="1">
      <c r="A49981" s="7"/>
      <c r="B49981" s="7"/>
      <c r="M49981" s="9" t="s">
        <v>27</v>
      </c>
    </row>
    <row r="49982" ht="15.75" customHeight="1">
      <c r="A49982" s="7"/>
      <c r="B49982" s="7"/>
      <c r="M49982" s="9" t="s">
        <v>22</v>
      </c>
    </row>
    <row r="49983" ht="15.75" customHeight="1">
      <c r="A49983" s="7"/>
      <c r="B49983" s="7"/>
      <c r="M49983" s="9" t="s">
        <v>28</v>
      </c>
    </row>
    <row r="49984" ht="15.75" customHeight="1">
      <c r="A49984" s="7"/>
      <c r="B49984" s="7"/>
      <c r="M49984" s="9" t="s">
        <v>30</v>
      </c>
    </row>
    <row r="49985" ht="15.75" customHeight="1">
      <c r="A49985" s="7"/>
      <c r="B49985" s="7"/>
      <c r="M49985" s="9" t="s">
        <v>20</v>
      </c>
    </row>
    <row r="49986" ht="15.75" customHeight="1">
      <c r="A49986" s="7"/>
      <c r="B49986" s="7"/>
      <c r="M49986" s="9" t="s">
        <v>21</v>
      </c>
    </row>
    <row r="49987" ht="15.75" customHeight="1">
      <c r="A49987" s="7"/>
      <c r="B49987" s="7"/>
      <c r="M49987" s="9" t="s">
        <v>22</v>
      </c>
    </row>
    <row r="49988" ht="15.75" customHeight="1">
      <c r="A49988" s="7"/>
      <c r="B49988" s="7"/>
      <c r="M49988" s="9" t="s">
        <v>30</v>
      </c>
    </row>
    <row r="49989" ht="15.75" customHeight="1">
      <c r="A49989" s="7"/>
      <c r="B49989" s="7"/>
      <c r="M49989" s="9" t="s">
        <v>21</v>
      </c>
    </row>
    <row r="49990" ht="15.75" customHeight="1">
      <c r="A49990" s="7"/>
      <c r="B49990" s="7"/>
      <c r="M49990" s="9" t="s">
        <v>22</v>
      </c>
    </row>
    <row r="49991" ht="15.75" customHeight="1">
      <c r="A49991" s="7"/>
      <c r="B49991" s="7"/>
      <c r="M49991" s="9" t="s">
        <v>31</v>
      </c>
    </row>
    <row r="49992" ht="15.75" customHeight="1">
      <c r="A49992" s="7"/>
      <c r="B49992" s="7"/>
      <c r="M49992" s="9" t="s">
        <v>27</v>
      </c>
    </row>
    <row r="49993" ht="15.75" customHeight="1">
      <c r="A49993" s="7"/>
      <c r="B49993" s="7"/>
      <c r="M49993" s="9" t="s">
        <v>33</v>
      </c>
    </row>
    <row r="49994" ht="15.75" customHeight="1">
      <c r="A49994" s="7"/>
      <c r="B49994" s="7"/>
      <c r="M49994" s="9" t="s">
        <v>30</v>
      </c>
    </row>
    <row r="49995" ht="15.75" customHeight="1">
      <c r="A49995" s="7"/>
      <c r="B49995" s="7"/>
      <c r="M49995" s="9" t="s">
        <v>36</v>
      </c>
    </row>
    <row r="49996" ht="15.75" customHeight="1">
      <c r="A49996" s="7"/>
      <c r="B49996" s="7"/>
      <c r="M49996" s="9" t="s">
        <v>24</v>
      </c>
    </row>
    <row r="49997" ht="15.75" customHeight="1">
      <c r="A49997" s="7"/>
      <c r="B49997" s="7"/>
      <c r="M49997" s="9" t="s">
        <v>20</v>
      </c>
    </row>
    <row r="49998" ht="15.75" customHeight="1">
      <c r="A49998" s="7"/>
      <c r="B49998" s="7"/>
      <c r="M49998" s="9" t="s">
        <v>21</v>
      </c>
    </row>
    <row r="49999" ht="15.75" customHeight="1">
      <c r="A49999" s="7"/>
      <c r="B49999" s="7"/>
      <c r="M49999" s="9" t="s">
        <v>22</v>
      </c>
    </row>
    <row r="50000" ht="15.75" customHeight="1">
      <c r="A50000" s="7"/>
      <c r="B50000" s="7"/>
      <c r="M50000" s="9" t="s">
        <v>38</v>
      </c>
    </row>
    <row r="50001" ht="15.75" customHeight="1">
      <c r="A50001" s="7"/>
      <c r="B50001" s="7"/>
      <c r="M50001" s="9" t="s">
        <v>30</v>
      </c>
    </row>
    <row r="50002" ht="15.75" customHeight="1">
      <c r="A50002" s="7"/>
      <c r="B50002" s="7"/>
      <c r="M50002" s="9" t="s">
        <v>25</v>
      </c>
    </row>
    <row r="50003" ht="15.75" customHeight="1">
      <c r="A50003" s="7"/>
      <c r="B50003" s="7"/>
      <c r="M50003" s="9" t="s">
        <v>23</v>
      </c>
    </row>
    <row r="50004" ht="15.75" customHeight="1">
      <c r="A50004" s="7"/>
      <c r="B50004" s="7"/>
      <c r="M50004" s="9" t="s">
        <v>24</v>
      </c>
    </row>
    <row r="50005" ht="15.75" customHeight="1">
      <c r="A50005" s="7"/>
      <c r="B50005" s="7"/>
      <c r="M50005" s="9" t="s">
        <v>20</v>
      </c>
    </row>
    <row r="50006" ht="15.75" customHeight="1">
      <c r="A50006" s="7"/>
      <c r="B50006" s="7"/>
      <c r="M50006" s="9" t="s">
        <v>21</v>
      </c>
    </row>
    <row r="50007" ht="15.75" customHeight="1">
      <c r="A50007" s="7"/>
      <c r="B50007" s="7"/>
      <c r="M50007" s="9" t="s">
        <v>37</v>
      </c>
    </row>
    <row r="50008" ht="15.75" customHeight="1">
      <c r="A50008" s="7"/>
      <c r="B50008" s="7"/>
      <c r="M50008" s="9" t="s">
        <v>22</v>
      </c>
    </row>
    <row r="50009" ht="15.75" customHeight="1">
      <c r="A50009" s="7"/>
      <c r="B50009" s="7"/>
      <c r="M50009" s="9" t="s">
        <v>27</v>
      </c>
    </row>
    <row r="50010" ht="15.75" customHeight="1">
      <c r="A50010" s="7"/>
      <c r="B50010" s="7"/>
      <c r="M50010" s="9" t="s">
        <v>33</v>
      </c>
    </row>
    <row r="50011" ht="15.75" customHeight="1">
      <c r="A50011" s="7"/>
      <c r="B50011" s="7"/>
      <c r="M50011" s="9" t="s">
        <v>28</v>
      </c>
    </row>
    <row r="50012" ht="15.75" customHeight="1">
      <c r="A50012" s="7"/>
      <c r="B50012" s="7"/>
      <c r="M50012" s="9" t="s">
        <v>20</v>
      </c>
    </row>
    <row r="50013" ht="15.75" customHeight="1">
      <c r="A50013" s="7"/>
      <c r="B50013" s="7"/>
      <c r="M50013" s="9" t="s">
        <v>27</v>
      </c>
    </row>
    <row r="50014" ht="15.75" customHeight="1">
      <c r="A50014" s="7"/>
      <c r="B50014" s="7"/>
      <c r="M50014" s="9" t="s">
        <v>21</v>
      </c>
    </row>
    <row r="50015" ht="15.75" customHeight="1">
      <c r="A50015" s="7"/>
      <c r="B50015" s="7"/>
      <c r="M50015" s="9" t="s">
        <v>37</v>
      </c>
    </row>
    <row r="50016" ht="15.75" customHeight="1">
      <c r="A50016" s="7"/>
      <c r="B50016" s="7"/>
      <c r="M50016" s="9" t="s">
        <v>20</v>
      </c>
    </row>
    <row r="50017" ht="15.75" customHeight="1">
      <c r="A50017" s="7"/>
      <c r="B50017" s="7"/>
      <c r="M50017" s="9" t="s">
        <v>26</v>
      </c>
    </row>
    <row r="50018" ht="15.75" customHeight="1">
      <c r="A50018" s="7"/>
      <c r="B50018" s="7"/>
      <c r="M50018" s="9" t="s">
        <v>47</v>
      </c>
    </row>
    <row r="50019" ht="15.75" customHeight="1">
      <c r="A50019" s="7"/>
      <c r="B50019" s="7"/>
      <c r="M50019" s="9" t="s">
        <v>45</v>
      </c>
    </row>
    <row r="50020" ht="15.75" customHeight="1">
      <c r="A50020" s="7"/>
      <c r="B50020" s="7"/>
      <c r="M50020" s="9" t="s">
        <v>20</v>
      </c>
    </row>
    <row r="50021" ht="15.75" customHeight="1">
      <c r="A50021" s="7"/>
      <c r="B50021" s="7"/>
      <c r="M50021" s="9" t="s">
        <v>37</v>
      </c>
    </row>
    <row r="50022" ht="15.75" customHeight="1">
      <c r="A50022" s="7"/>
      <c r="B50022" s="7"/>
      <c r="M50022" s="9" t="s">
        <v>28</v>
      </c>
    </row>
    <row r="50023" ht="15.75" customHeight="1">
      <c r="A50023" s="7"/>
      <c r="B50023" s="7"/>
      <c r="M50023" s="9" t="s">
        <v>24</v>
      </c>
    </row>
    <row r="50024" ht="15.75" customHeight="1">
      <c r="A50024" s="7"/>
      <c r="B50024" s="7"/>
      <c r="M50024" s="9" t="s">
        <v>21</v>
      </c>
    </row>
    <row r="50025" ht="15.75" customHeight="1">
      <c r="A50025" s="7"/>
      <c r="B50025" s="7"/>
      <c r="M50025" s="9" t="s">
        <v>22</v>
      </c>
    </row>
    <row r="50026" ht="15.75" customHeight="1">
      <c r="A50026" s="7"/>
      <c r="B50026" s="7"/>
      <c r="M50026" s="9" t="s">
        <v>26</v>
      </c>
    </row>
    <row r="50027" ht="15.75" customHeight="1">
      <c r="A50027" s="7"/>
      <c r="B50027" s="7"/>
      <c r="M50027" s="9" t="s">
        <v>24</v>
      </c>
    </row>
    <row r="50028" ht="15.75" customHeight="1">
      <c r="A50028" s="7"/>
      <c r="B50028" s="7"/>
      <c r="M50028" s="9" t="s">
        <v>21</v>
      </c>
    </row>
    <row r="50029" ht="15.75" customHeight="1">
      <c r="A50029" s="7"/>
      <c r="B50029" s="7"/>
      <c r="M50029" s="9" t="s">
        <v>27</v>
      </c>
    </row>
    <row r="50030" ht="15.75" customHeight="1">
      <c r="A50030" s="7"/>
      <c r="B50030" s="7"/>
      <c r="M50030" s="9" t="s">
        <v>40</v>
      </c>
    </row>
    <row r="50031" ht="15.75" customHeight="1">
      <c r="A50031" s="7"/>
      <c r="B50031" s="7"/>
      <c r="M50031" s="9" t="s">
        <v>24</v>
      </c>
    </row>
    <row r="50032" ht="15.75" customHeight="1">
      <c r="A50032" s="7"/>
      <c r="B50032" s="7"/>
      <c r="M50032" s="9" t="s">
        <v>21</v>
      </c>
    </row>
    <row r="50033" ht="15.75" customHeight="1">
      <c r="A50033" s="7"/>
      <c r="B50033" s="7"/>
      <c r="M50033" s="9" t="s">
        <v>22</v>
      </c>
    </row>
    <row r="50034" ht="15.75" customHeight="1">
      <c r="A50034" s="7"/>
      <c r="B50034" s="7"/>
      <c r="M50034" s="9" t="s">
        <v>33</v>
      </c>
    </row>
    <row r="50035" ht="15.75" customHeight="1">
      <c r="A50035" s="7"/>
      <c r="B50035" s="7"/>
      <c r="M50035" s="9" t="s">
        <v>23</v>
      </c>
    </row>
    <row r="50036" ht="15.75" customHeight="1">
      <c r="A50036" s="7"/>
      <c r="B50036" s="7"/>
      <c r="M50036" s="9" t="s">
        <v>36</v>
      </c>
    </row>
    <row r="50037" ht="15.75" customHeight="1">
      <c r="A50037" s="7"/>
      <c r="B50037" s="7"/>
      <c r="M50037" s="9" t="s">
        <v>20</v>
      </c>
    </row>
    <row r="50038" ht="15.75" customHeight="1">
      <c r="A50038" s="7"/>
      <c r="B50038" s="7"/>
      <c r="M50038" s="9" t="s">
        <v>21</v>
      </c>
    </row>
    <row r="50039" ht="15.75" customHeight="1">
      <c r="A50039" s="7"/>
      <c r="B50039" s="7"/>
      <c r="M50039" s="9" t="s">
        <v>22</v>
      </c>
    </row>
    <row r="50040" ht="15.75" customHeight="1">
      <c r="A50040" s="7"/>
      <c r="B50040" s="7"/>
      <c r="M50040" s="9" t="s">
        <v>30</v>
      </c>
    </row>
    <row r="50041" ht="15.75" customHeight="1">
      <c r="A50041" s="7"/>
      <c r="B50041" s="7"/>
      <c r="M50041" s="9" t="s">
        <v>24</v>
      </c>
    </row>
    <row r="50042" ht="15.75" customHeight="1">
      <c r="A50042" s="7"/>
      <c r="B50042" s="7"/>
      <c r="M50042" s="9" t="s">
        <v>21</v>
      </c>
    </row>
    <row r="50043" ht="15.75" customHeight="1">
      <c r="A50043" s="7"/>
      <c r="B50043" s="7"/>
      <c r="M50043" s="9" t="s">
        <v>37</v>
      </c>
    </row>
    <row r="50044" ht="15.75" customHeight="1">
      <c r="A50044" s="7"/>
      <c r="B50044" s="7"/>
      <c r="M50044" s="9" t="s">
        <v>22</v>
      </c>
    </row>
    <row r="50045" ht="15.75" customHeight="1">
      <c r="A50045" s="7"/>
      <c r="B50045" s="7"/>
      <c r="M50045" s="9" t="s">
        <v>27</v>
      </c>
    </row>
    <row r="50046" ht="15.75" customHeight="1">
      <c r="A50046" s="7"/>
      <c r="B50046" s="7"/>
      <c r="M50046" s="9" t="s">
        <v>38</v>
      </c>
    </row>
    <row r="50047" ht="15.75" customHeight="1">
      <c r="A50047" s="7"/>
      <c r="B50047" s="7"/>
      <c r="M50047" s="9" t="s">
        <v>25</v>
      </c>
    </row>
    <row r="50048" ht="15.75" customHeight="1">
      <c r="A50048" s="7"/>
      <c r="B50048" s="7"/>
      <c r="M50048" s="9" t="s">
        <v>24</v>
      </c>
    </row>
    <row r="50049" ht="15.75" customHeight="1">
      <c r="A50049" s="7"/>
      <c r="B50049" s="7"/>
      <c r="M50049" s="9" t="s">
        <v>21</v>
      </c>
    </row>
    <row r="50050" ht="15.75" customHeight="1">
      <c r="A50050" s="7"/>
      <c r="B50050" s="7"/>
      <c r="M50050" s="9" t="s">
        <v>27</v>
      </c>
    </row>
    <row r="50051" ht="15.75" customHeight="1">
      <c r="A50051" s="7"/>
      <c r="B50051" s="7"/>
      <c r="M50051" s="9" t="s">
        <v>23</v>
      </c>
    </row>
    <row r="50052" ht="15.75" customHeight="1">
      <c r="A50052" s="7"/>
      <c r="B50052" s="7"/>
      <c r="M50052" s="9" t="s">
        <v>24</v>
      </c>
    </row>
    <row r="50053" ht="15.75" customHeight="1">
      <c r="A50053" s="7"/>
      <c r="B50053" s="7"/>
      <c r="M50053" s="9" t="s">
        <v>20</v>
      </c>
    </row>
    <row r="50054" ht="15.75" customHeight="1">
      <c r="A50054" s="7"/>
      <c r="B50054" s="7"/>
      <c r="M50054" s="9" t="s">
        <v>21</v>
      </c>
    </row>
    <row r="50055" ht="15.75" customHeight="1">
      <c r="A50055" s="7"/>
      <c r="B50055" s="7"/>
      <c r="M50055" s="9" t="s">
        <v>37</v>
      </c>
    </row>
    <row r="50056" ht="15.75" customHeight="1">
      <c r="A50056" s="7"/>
      <c r="B50056" s="7"/>
      <c r="M50056" s="9" t="s">
        <v>22</v>
      </c>
    </row>
    <row r="50057" ht="15.75" customHeight="1">
      <c r="A50057" s="7"/>
      <c r="B50057" s="7"/>
      <c r="M50057" s="9" t="s">
        <v>27</v>
      </c>
    </row>
    <row r="50058" ht="15.75" customHeight="1">
      <c r="A50058" s="7"/>
      <c r="B50058" s="7"/>
      <c r="M50058" s="9" t="s">
        <v>26</v>
      </c>
    </row>
    <row r="50059" ht="15.75" customHeight="1">
      <c r="A50059" s="7"/>
      <c r="B50059" s="7"/>
      <c r="M50059" s="9" t="s">
        <v>36</v>
      </c>
    </row>
    <row r="50060" ht="15.75" customHeight="1">
      <c r="A50060" s="7"/>
      <c r="B50060" s="7"/>
      <c r="M50060" s="9" t="s">
        <v>24</v>
      </c>
    </row>
    <row r="50061" ht="15.75" customHeight="1">
      <c r="A50061" s="7"/>
      <c r="B50061" s="7"/>
      <c r="M50061" s="9" t="s">
        <v>21</v>
      </c>
    </row>
    <row r="50062" ht="15.75" customHeight="1">
      <c r="A50062" s="7"/>
      <c r="B50062" s="7"/>
      <c r="M50062" s="9" t="s">
        <v>37</v>
      </c>
    </row>
    <row r="50063" ht="15.75" customHeight="1">
      <c r="A50063" s="7"/>
      <c r="B50063" s="7"/>
      <c r="M50063" s="9" t="s">
        <v>27</v>
      </c>
    </row>
    <row r="50064" ht="15.75" customHeight="1">
      <c r="A50064" s="7"/>
      <c r="B50064" s="7"/>
      <c r="M50064" s="9" t="s">
        <v>40</v>
      </c>
    </row>
    <row r="50065" ht="15.75" customHeight="1">
      <c r="A50065" s="7"/>
      <c r="B50065" s="7"/>
      <c r="M50065" s="9" t="s">
        <v>33</v>
      </c>
    </row>
    <row r="50066" ht="15.75" customHeight="1">
      <c r="A50066" s="7"/>
      <c r="B50066" s="7"/>
      <c r="M50066" s="9" t="s">
        <v>38</v>
      </c>
    </row>
    <row r="50067" ht="15.75" customHeight="1">
      <c r="A50067" s="7"/>
      <c r="B50067" s="7"/>
      <c r="M50067" s="9" t="s">
        <v>25</v>
      </c>
    </row>
    <row r="50068" ht="15.75" customHeight="1">
      <c r="A50068" s="7"/>
      <c r="B50068" s="7"/>
      <c r="M50068" s="9" t="s">
        <v>23</v>
      </c>
    </row>
    <row r="50069" ht="15.75" customHeight="1">
      <c r="A50069" s="7"/>
      <c r="B50069" s="7"/>
      <c r="M50069" s="9" t="s">
        <v>24</v>
      </c>
    </row>
    <row r="50070" ht="15.75" customHeight="1">
      <c r="A50070" s="7"/>
      <c r="B50070" s="7"/>
      <c r="M50070" s="9" t="s">
        <v>20</v>
      </c>
    </row>
    <row r="50071" ht="15.75" customHeight="1">
      <c r="A50071" s="7"/>
      <c r="B50071" s="7"/>
      <c r="M50071" s="9" t="s">
        <v>21</v>
      </c>
    </row>
    <row r="50072" ht="15.75" customHeight="1">
      <c r="A50072" s="7"/>
      <c r="B50072" s="7"/>
      <c r="M50072" s="9" t="s">
        <v>28</v>
      </c>
    </row>
    <row r="50073" ht="15.75" customHeight="1">
      <c r="A50073" s="7"/>
      <c r="B50073" s="7"/>
      <c r="M50073" s="9" t="s">
        <v>24</v>
      </c>
    </row>
    <row r="50074" ht="15.75" customHeight="1">
      <c r="A50074" s="7"/>
      <c r="B50074" s="7"/>
      <c r="M50074" s="9" t="s">
        <v>21</v>
      </c>
    </row>
    <row r="50075" ht="15.75" customHeight="1">
      <c r="A50075" s="7"/>
      <c r="B50075" s="7"/>
      <c r="M50075" s="9" t="s">
        <v>37</v>
      </c>
    </row>
    <row r="50076" ht="15.75" customHeight="1">
      <c r="A50076" s="7"/>
      <c r="B50076" s="7"/>
      <c r="M50076" s="9" t="s">
        <v>27</v>
      </c>
    </row>
    <row r="50077" ht="15.75" customHeight="1">
      <c r="A50077" s="7"/>
      <c r="B50077" s="7"/>
      <c r="M50077" s="9" t="s">
        <v>38</v>
      </c>
    </row>
    <row r="50078" ht="15.75" customHeight="1">
      <c r="A50078" s="7"/>
      <c r="B50078" s="7"/>
      <c r="M50078" s="9" t="s">
        <v>30</v>
      </c>
    </row>
    <row r="50079" ht="15.75" customHeight="1">
      <c r="A50079" s="7"/>
      <c r="B50079" s="7"/>
      <c r="M50079" s="9" t="s">
        <v>25</v>
      </c>
    </row>
    <row r="50080" ht="15.75" customHeight="1">
      <c r="A50080" s="7"/>
      <c r="B50080" s="7"/>
      <c r="M50080" s="9" t="s">
        <v>23</v>
      </c>
    </row>
    <row r="50081" ht="15.75" customHeight="1">
      <c r="A50081" s="7"/>
      <c r="B50081" s="7"/>
      <c r="M50081" s="9" t="s">
        <v>30</v>
      </c>
    </row>
    <row r="50082" ht="15.75" customHeight="1">
      <c r="A50082" s="7"/>
      <c r="B50082" s="7"/>
      <c r="M50082" s="9" t="s">
        <v>26</v>
      </c>
    </row>
    <row r="50083" ht="15.75" customHeight="1">
      <c r="A50083" s="7"/>
      <c r="B50083" s="7"/>
      <c r="M50083" s="9" t="s">
        <v>26</v>
      </c>
    </row>
    <row r="50084" ht="15.75" customHeight="1">
      <c r="A50084" s="7"/>
      <c r="B50084" s="7"/>
      <c r="M50084" s="9" t="s">
        <v>25</v>
      </c>
    </row>
    <row r="50085" ht="15.75" customHeight="1">
      <c r="A50085" s="7"/>
      <c r="B50085" s="7"/>
      <c r="M50085" s="9" t="s">
        <v>23</v>
      </c>
    </row>
    <row r="50086" ht="15.75" customHeight="1">
      <c r="A50086" s="7"/>
      <c r="B50086" s="7"/>
      <c r="M50086" s="9" t="s">
        <v>24</v>
      </c>
    </row>
    <row r="50087" ht="15.75" customHeight="1">
      <c r="A50087" s="7"/>
      <c r="B50087" s="7"/>
      <c r="M50087" s="9" t="s">
        <v>21</v>
      </c>
    </row>
    <row r="50088" ht="15.75" customHeight="1">
      <c r="A50088" s="7"/>
      <c r="B50088" s="7"/>
      <c r="M50088" s="9" t="s">
        <v>37</v>
      </c>
    </row>
    <row r="50089" ht="15.75" customHeight="1">
      <c r="A50089" s="7"/>
      <c r="B50089" s="7"/>
      <c r="M50089" s="9" t="s">
        <v>22</v>
      </c>
    </row>
    <row r="50090" ht="15.75" customHeight="1">
      <c r="A50090" s="7"/>
      <c r="B50090" s="7"/>
      <c r="M50090" s="9" t="s">
        <v>27</v>
      </c>
    </row>
    <row r="50091" ht="15.75" customHeight="1">
      <c r="A50091" s="7"/>
      <c r="B50091" s="7"/>
      <c r="M50091" s="9" t="s">
        <v>35</v>
      </c>
    </row>
    <row r="50092" ht="15.75" customHeight="1">
      <c r="A50092" s="7"/>
      <c r="B50092" s="7"/>
      <c r="M50092" s="9" t="s">
        <v>25</v>
      </c>
    </row>
    <row r="50093" ht="15.75" customHeight="1">
      <c r="A50093" s="7"/>
      <c r="B50093" s="7"/>
      <c r="M50093" s="9" t="s">
        <v>26</v>
      </c>
    </row>
    <row r="50094" ht="15.75" customHeight="1">
      <c r="A50094" s="7"/>
      <c r="B50094" s="7"/>
      <c r="M50094" s="9" t="s">
        <v>22</v>
      </c>
    </row>
    <row r="50095" ht="15.75" customHeight="1">
      <c r="A50095" s="7"/>
      <c r="B50095" s="7"/>
      <c r="M50095" s="9" t="s">
        <v>30</v>
      </c>
    </row>
    <row r="50096" ht="15.75" customHeight="1">
      <c r="A50096" s="7"/>
      <c r="B50096" s="7"/>
      <c r="M50096" s="9" t="s">
        <v>24</v>
      </c>
    </row>
    <row r="50097" ht="15.75" customHeight="1">
      <c r="A50097" s="7"/>
      <c r="B50097" s="7"/>
      <c r="M50097" s="9" t="s">
        <v>21</v>
      </c>
    </row>
    <row r="50098" ht="15.75" customHeight="1">
      <c r="A50098" s="7"/>
      <c r="B50098" s="7"/>
      <c r="M50098" s="9" t="s">
        <v>22</v>
      </c>
    </row>
    <row r="50099" ht="15.75" customHeight="1">
      <c r="A50099" s="7"/>
      <c r="B50099" s="7"/>
      <c r="M50099" s="9" t="s">
        <v>27</v>
      </c>
    </row>
    <row r="50100" ht="15.75" customHeight="1">
      <c r="A50100" s="7"/>
      <c r="B50100" s="7"/>
      <c r="M50100" s="9" t="s">
        <v>30</v>
      </c>
    </row>
    <row r="50101" ht="15.75" customHeight="1">
      <c r="A50101" s="7"/>
      <c r="B50101" s="7"/>
      <c r="M50101" s="9" t="s">
        <v>44</v>
      </c>
    </row>
    <row r="50102" ht="15.75" customHeight="1">
      <c r="A50102" s="7"/>
      <c r="B50102" s="7"/>
      <c r="M50102" s="9" t="s">
        <v>20</v>
      </c>
    </row>
    <row r="50103" ht="15.75" customHeight="1">
      <c r="A50103" s="7"/>
      <c r="B50103" s="7"/>
      <c r="M50103" s="9" t="s">
        <v>21</v>
      </c>
    </row>
    <row r="50104" ht="15.75" customHeight="1">
      <c r="A50104" s="7"/>
      <c r="B50104" s="7"/>
      <c r="M50104" s="9" t="s">
        <v>31</v>
      </c>
    </row>
    <row r="50105" ht="15.75" customHeight="1">
      <c r="A50105" s="7"/>
      <c r="B50105" s="7"/>
      <c r="M50105" s="9" t="s">
        <v>27</v>
      </c>
    </row>
    <row r="50106" ht="15.75" customHeight="1">
      <c r="A50106" s="7"/>
      <c r="B50106" s="7"/>
      <c r="M50106" s="9" t="s">
        <v>26</v>
      </c>
    </row>
    <row r="50107" ht="15.75" customHeight="1">
      <c r="A50107" s="7"/>
      <c r="B50107" s="7"/>
      <c r="M50107" s="9" t="s">
        <v>24</v>
      </c>
    </row>
    <row r="50108" ht="15.75" customHeight="1">
      <c r="A50108" s="7"/>
      <c r="B50108" s="7"/>
      <c r="M50108" s="9" t="s">
        <v>21</v>
      </c>
    </row>
    <row r="50109" ht="15.75" customHeight="1">
      <c r="A50109" s="7"/>
      <c r="B50109" s="7"/>
      <c r="M50109" s="9" t="s">
        <v>37</v>
      </c>
    </row>
    <row r="50110" ht="15.75" customHeight="1">
      <c r="A50110" s="7"/>
      <c r="B50110" s="7"/>
      <c r="M50110" s="9" t="s">
        <v>27</v>
      </c>
    </row>
    <row r="50111" ht="15.75" customHeight="1">
      <c r="A50111" s="7"/>
      <c r="B50111" s="7"/>
      <c r="M50111" s="9" t="s">
        <v>28</v>
      </c>
    </row>
    <row r="50112" ht="15.75" customHeight="1">
      <c r="A50112" s="7"/>
      <c r="B50112" s="7"/>
      <c r="M50112" s="9" t="s">
        <v>38</v>
      </c>
    </row>
    <row r="50113" ht="15.75" customHeight="1">
      <c r="A50113" s="7"/>
      <c r="B50113" s="7"/>
      <c r="M50113" s="9" t="s">
        <v>26</v>
      </c>
    </row>
    <row r="50114" ht="15.75" customHeight="1">
      <c r="A50114" s="7"/>
      <c r="B50114" s="7"/>
      <c r="M50114" s="9" t="s">
        <v>20</v>
      </c>
    </row>
    <row r="50115" ht="15.75" customHeight="1">
      <c r="A50115" s="7"/>
      <c r="B50115" s="7"/>
      <c r="M50115" s="9" t="s">
        <v>21</v>
      </c>
    </row>
    <row r="50116" ht="15.75" customHeight="1">
      <c r="A50116" s="7"/>
      <c r="B50116" s="7"/>
      <c r="M50116" s="9" t="s">
        <v>27</v>
      </c>
    </row>
    <row r="50117" ht="15.75" customHeight="1">
      <c r="A50117" s="7"/>
      <c r="B50117" s="7"/>
      <c r="M50117" s="9" t="s">
        <v>26</v>
      </c>
    </row>
    <row r="50118" ht="15.75" customHeight="1">
      <c r="A50118" s="7"/>
      <c r="B50118" s="7"/>
      <c r="M50118" s="9" t="s">
        <v>20</v>
      </c>
    </row>
    <row r="50119" ht="15.75" customHeight="1">
      <c r="A50119" s="7"/>
      <c r="B50119" s="7"/>
      <c r="M50119" s="9" t="s">
        <v>28</v>
      </c>
    </row>
    <row r="50120" ht="15.75" customHeight="1">
      <c r="A50120" s="7"/>
      <c r="B50120" s="7"/>
      <c r="M50120" s="9" t="s">
        <v>47</v>
      </c>
    </row>
    <row r="50121" ht="15.75" customHeight="1">
      <c r="A50121" s="7"/>
      <c r="B50121" s="7"/>
      <c r="M50121" s="9" t="s">
        <v>24</v>
      </c>
    </row>
    <row r="50122" ht="15.75" customHeight="1">
      <c r="A50122" s="7"/>
      <c r="B50122" s="7"/>
      <c r="M50122" s="9" t="s">
        <v>20</v>
      </c>
    </row>
    <row r="50123" ht="15.75" customHeight="1">
      <c r="A50123" s="7"/>
      <c r="B50123" s="7"/>
      <c r="M50123" s="9" t="s">
        <v>21</v>
      </c>
    </row>
    <row r="50124" ht="15.75" customHeight="1">
      <c r="A50124" s="7"/>
      <c r="B50124" s="7"/>
      <c r="M50124" s="9" t="s">
        <v>22</v>
      </c>
    </row>
    <row r="50125" ht="15.75" customHeight="1">
      <c r="A50125" s="7"/>
      <c r="B50125" s="7"/>
      <c r="M50125" s="9" t="s">
        <v>46</v>
      </c>
    </row>
    <row r="50126" ht="15.75" customHeight="1">
      <c r="A50126" s="7"/>
      <c r="B50126" s="7"/>
      <c r="M50126" s="9" t="s">
        <v>27</v>
      </c>
    </row>
    <row r="50127" ht="15.75" customHeight="1">
      <c r="A50127" s="7"/>
      <c r="B50127" s="7"/>
      <c r="M50127" s="9" t="s">
        <v>20</v>
      </c>
    </row>
    <row r="50128" ht="15.75" customHeight="1">
      <c r="A50128" s="7"/>
      <c r="B50128" s="7"/>
      <c r="M50128" s="9" t="s">
        <v>39</v>
      </c>
    </row>
    <row r="50129" ht="15.75" customHeight="1">
      <c r="A50129" s="7"/>
      <c r="B50129" s="7"/>
      <c r="M50129" s="9" t="s">
        <v>30</v>
      </c>
    </row>
    <row r="50130" ht="15.75" customHeight="1">
      <c r="A50130" s="7"/>
      <c r="B50130" s="7"/>
      <c r="M50130" s="9" t="s">
        <v>25</v>
      </c>
    </row>
    <row r="50131" ht="15.75" customHeight="1">
      <c r="A50131" s="7"/>
      <c r="B50131" s="7"/>
      <c r="M50131" s="9" t="s">
        <v>23</v>
      </c>
    </row>
    <row r="50132" ht="15.75" customHeight="1">
      <c r="A50132" s="7"/>
      <c r="B50132" s="7"/>
      <c r="M50132" s="9" t="s">
        <v>36</v>
      </c>
    </row>
    <row r="50133" ht="15.75" customHeight="1">
      <c r="A50133" s="7"/>
      <c r="B50133" s="7"/>
      <c r="M50133" s="9" t="s">
        <v>24</v>
      </c>
    </row>
    <row r="50134" ht="15.75" customHeight="1">
      <c r="A50134" s="7"/>
      <c r="B50134" s="7"/>
      <c r="M50134" s="9" t="s">
        <v>20</v>
      </c>
    </row>
    <row r="50135" ht="15.75" customHeight="1">
      <c r="A50135" s="7"/>
      <c r="B50135" s="7"/>
      <c r="M50135" s="9" t="s">
        <v>21</v>
      </c>
    </row>
    <row r="50136" ht="15.75" customHeight="1">
      <c r="A50136" s="7"/>
      <c r="B50136" s="7"/>
      <c r="M50136" s="9" t="s">
        <v>37</v>
      </c>
    </row>
    <row r="50137" ht="15.75" customHeight="1">
      <c r="A50137" s="7"/>
      <c r="B50137" s="7"/>
      <c r="M50137" s="9" t="s">
        <v>22</v>
      </c>
    </row>
    <row r="50138" ht="15.75" customHeight="1">
      <c r="A50138" s="7"/>
      <c r="B50138" s="7"/>
      <c r="M50138" s="9" t="s">
        <v>27</v>
      </c>
    </row>
    <row r="50139" ht="15.75" customHeight="1">
      <c r="A50139" s="7"/>
      <c r="B50139" s="7"/>
      <c r="M50139" s="9" t="s">
        <v>38</v>
      </c>
    </row>
    <row r="50140" ht="15.75" customHeight="1">
      <c r="A50140" s="7"/>
      <c r="B50140" s="7"/>
      <c r="M50140" s="9" t="s">
        <v>30</v>
      </c>
    </row>
    <row r="50141" ht="15.75" customHeight="1">
      <c r="A50141" s="7"/>
      <c r="B50141" s="7"/>
      <c r="M50141" s="9" t="s">
        <v>25</v>
      </c>
    </row>
    <row r="50142" ht="15.75" customHeight="1">
      <c r="A50142" s="7"/>
      <c r="B50142" s="7"/>
      <c r="M50142" s="9" t="s">
        <v>23</v>
      </c>
    </row>
    <row r="50143" ht="15.75" customHeight="1">
      <c r="A50143" s="7"/>
      <c r="B50143" s="7"/>
      <c r="M50143" s="9" t="s">
        <v>24</v>
      </c>
    </row>
    <row r="50144" ht="15.75" customHeight="1">
      <c r="A50144" s="7"/>
      <c r="B50144" s="7"/>
      <c r="M50144" s="9" t="s">
        <v>20</v>
      </c>
    </row>
    <row r="50145" ht="15.75" customHeight="1">
      <c r="A50145" s="7"/>
      <c r="B50145" s="7"/>
      <c r="M50145" s="9" t="s">
        <v>22</v>
      </c>
    </row>
    <row r="50146" ht="15.75" customHeight="1">
      <c r="A50146" s="7"/>
      <c r="B50146" s="7"/>
      <c r="M50146" s="9" t="s">
        <v>27</v>
      </c>
    </row>
    <row r="50147" ht="15.75" customHeight="1">
      <c r="A50147" s="7"/>
      <c r="B50147" s="7"/>
      <c r="M50147" s="9" t="s">
        <v>30</v>
      </c>
    </row>
    <row r="50148" ht="15.75" customHeight="1">
      <c r="A50148" s="7"/>
      <c r="B50148" s="7"/>
      <c r="M50148" s="9" t="s">
        <v>26</v>
      </c>
    </row>
    <row r="50149" ht="15.75" customHeight="1">
      <c r="A50149" s="7"/>
      <c r="B50149" s="7"/>
      <c r="M50149" s="9" t="s">
        <v>24</v>
      </c>
    </row>
    <row r="50150" ht="15.75" customHeight="1">
      <c r="A50150" s="7"/>
      <c r="B50150" s="7"/>
      <c r="M50150" s="9" t="s">
        <v>27</v>
      </c>
    </row>
    <row r="50151" ht="15.75" customHeight="1">
      <c r="A50151" s="7"/>
      <c r="B50151" s="7"/>
      <c r="M50151" s="9" t="s">
        <v>33</v>
      </c>
    </row>
    <row r="50152" ht="15.75" customHeight="1">
      <c r="A50152" s="7"/>
      <c r="B50152" s="7"/>
      <c r="M50152" s="9" t="s">
        <v>38</v>
      </c>
    </row>
    <row r="50153" ht="15.75" customHeight="1">
      <c r="A50153" s="7"/>
      <c r="B50153" s="7"/>
      <c r="M50153" s="9" t="s">
        <v>30</v>
      </c>
    </row>
    <row r="50154" ht="15.75" customHeight="1">
      <c r="A50154" s="7"/>
      <c r="B50154" s="7"/>
      <c r="M50154" s="9" t="s">
        <v>26</v>
      </c>
    </row>
    <row r="50155" ht="15.75" customHeight="1">
      <c r="A50155" s="7"/>
      <c r="B50155" s="7"/>
      <c r="M50155" s="9" t="s">
        <v>43</v>
      </c>
    </row>
    <row r="50156" ht="15.75" customHeight="1">
      <c r="A50156" s="7"/>
      <c r="B50156" s="7"/>
      <c r="M50156" s="9" t="s">
        <v>24</v>
      </c>
    </row>
    <row r="50157" ht="15.75" customHeight="1">
      <c r="A50157" s="7"/>
      <c r="B50157" s="7"/>
      <c r="M50157" s="9" t="s">
        <v>20</v>
      </c>
    </row>
    <row r="50158" ht="15.75" customHeight="1">
      <c r="A50158" s="7"/>
      <c r="B50158" s="7"/>
      <c r="M50158" s="9" t="s">
        <v>21</v>
      </c>
    </row>
    <row r="50159" ht="15.75" customHeight="1">
      <c r="A50159" s="7"/>
      <c r="B50159" s="7"/>
      <c r="M50159" s="9" t="s">
        <v>37</v>
      </c>
    </row>
    <row r="50160" ht="15.75" customHeight="1">
      <c r="A50160" s="7"/>
      <c r="B50160" s="7"/>
      <c r="M50160" s="9" t="s">
        <v>22</v>
      </c>
    </row>
    <row r="50161" ht="15.75" customHeight="1">
      <c r="A50161" s="7"/>
      <c r="B50161" s="7"/>
      <c r="M50161" s="9" t="s">
        <v>27</v>
      </c>
    </row>
    <row r="50162" ht="15.75" customHeight="1">
      <c r="A50162" s="7"/>
      <c r="B50162" s="7"/>
      <c r="M50162" s="9" t="s">
        <v>38</v>
      </c>
    </row>
    <row r="50163" ht="15.75" customHeight="1">
      <c r="A50163" s="7"/>
      <c r="B50163" s="7"/>
      <c r="M50163" s="9" t="s">
        <v>30</v>
      </c>
    </row>
    <row r="50164" ht="15.75" customHeight="1">
      <c r="A50164" s="7"/>
      <c r="B50164" s="7"/>
      <c r="M50164" s="9" t="s">
        <v>25</v>
      </c>
    </row>
    <row r="50165" ht="15.75" customHeight="1">
      <c r="A50165" s="7"/>
      <c r="B50165" s="7"/>
      <c r="M50165" s="9" t="s">
        <v>23</v>
      </c>
    </row>
    <row r="50166" ht="15.75" customHeight="1">
      <c r="A50166" s="7"/>
      <c r="B50166" s="7"/>
      <c r="M50166" s="9" t="s">
        <v>24</v>
      </c>
    </row>
    <row r="50167" ht="15.75" customHeight="1">
      <c r="A50167" s="7"/>
      <c r="B50167" s="7"/>
      <c r="M50167" s="9" t="s">
        <v>20</v>
      </c>
    </row>
    <row r="50168" ht="15.75" customHeight="1">
      <c r="A50168" s="7"/>
      <c r="B50168" s="7"/>
      <c r="M50168" s="9" t="s">
        <v>21</v>
      </c>
    </row>
    <row r="50169" ht="15.75" customHeight="1">
      <c r="A50169" s="7"/>
      <c r="B50169" s="7"/>
      <c r="M50169" s="9" t="s">
        <v>22</v>
      </c>
    </row>
    <row r="50170" ht="15.75" customHeight="1">
      <c r="A50170" s="7"/>
      <c r="B50170" s="7"/>
      <c r="M50170" s="9" t="s">
        <v>27</v>
      </c>
    </row>
    <row r="50171" ht="15.75" customHeight="1">
      <c r="A50171" s="7"/>
      <c r="B50171" s="7"/>
      <c r="M50171" s="9" t="s">
        <v>24</v>
      </c>
    </row>
    <row r="50172" ht="15.75" customHeight="1">
      <c r="A50172" s="7"/>
      <c r="B50172" s="7"/>
      <c r="M50172" s="9" t="s">
        <v>21</v>
      </c>
    </row>
    <row r="50173" ht="15.75" customHeight="1">
      <c r="A50173" s="7"/>
      <c r="B50173" s="7"/>
      <c r="M50173" s="9" t="s">
        <v>37</v>
      </c>
    </row>
    <row r="50174" ht="15.75" customHeight="1">
      <c r="A50174" s="7"/>
      <c r="B50174" s="7"/>
      <c r="M50174" s="9" t="s">
        <v>22</v>
      </c>
    </row>
    <row r="50175" ht="15.75" customHeight="1">
      <c r="A50175" s="7"/>
      <c r="B50175" s="7"/>
      <c r="M50175" s="9" t="s">
        <v>27</v>
      </c>
    </row>
    <row r="50176" ht="15.75" customHeight="1">
      <c r="A50176" s="7"/>
      <c r="B50176" s="7"/>
      <c r="M50176" s="9" t="s">
        <v>35</v>
      </c>
    </row>
    <row r="50177" ht="15.75" customHeight="1">
      <c r="A50177" s="7"/>
      <c r="B50177" s="7"/>
      <c r="M50177" s="9" t="s">
        <v>24</v>
      </c>
    </row>
    <row r="50178" ht="15.75" customHeight="1">
      <c r="A50178" s="7"/>
      <c r="B50178" s="7"/>
      <c r="M50178" s="9" t="s">
        <v>37</v>
      </c>
    </row>
    <row r="50179" ht="15.75" customHeight="1">
      <c r="A50179" s="7"/>
      <c r="B50179" s="7"/>
      <c r="M50179" s="9" t="s">
        <v>27</v>
      </c>
    </row>
    <row r="50180" ht="15.75" customHeight="1">
      <c r="A50180" s="7"/>
      <c r="B50180" s="7"/>
      <c r="M50180" s="9" t="s">
        <v>22</v>
      </c>
    </row>
    <row r="50181" ht="15.75" customHeight="1">
      <c r="A50181" s="7"/>
      <c r="B50181" s="7"/>
      <c r="M50181" s="9" t="s">
        <v>29</v>
      </c>
    </row>
    <row r="50182" ht="15.75" customHeight="1">
      <c r="A50182" s="7"/>
      <c r="B50182" s="7"/>
      <c r="M50182" s="9" t="s">
        <v>27</v>
      </c>
    </row>
    <row r="50183" ht="15.75" customHeight="1">
      <c r="A50183" s="7"/>
      <c r="B50183" s="7"/>
      <c r="M50183" s="9" t="s">
        <v>38</v>
      </c>
    </row>
    <row r="50184" ht="15.75" customHeight="1">
      <c r="A50184" s="7"/>
      <c r="B50184" s="7"/>
      <c r="M50184" s="9" t="s">
        <v>30</v>
      </c>
    </row>
    <row r="50185" ht="15.75" customHeight="1">
      <c r="A50185" s="7"/>
      <c r="B50185" s="7"/>
      <c r="M50185" s="9" t="s">
        <v>24</v>
      </c>
    </row>
    <row r="50186" ht="15.75" customHeight="1">
      <c r="A50186" s="7"/>
      <c r="B50186" s="7"/>
      <c r="M50186" s="9" t="s">
        <v>20</v>
      </c>
    </row>
    <row r="50187" ht="15.75" customHeight="1">
      <c r="A50187" s="7"/>
      <c r="B50187" s="7"/>
      <c r="M50187" s="9" t="s">
        <v>21</v>
      </c>
    </row>
    <row r="50188" ht="15.75" customHeight="1">
      <c r="A50188" s="7"/>
      <c r="B50188" s="7"/>
      <c r="M50188" s="9" t="s">
        <v>37</v>
      </c>
    </row>
    <row r="50189" ht="15.75" customHeight="1">
      <c r="A50189" s="7"/>
      <c r="B50189" s="7"/>
      <c r="M50189" s="9" t="s">
        <v>29</v>
      </c>
    </row>
    <row r="50190" ht="15.75" customHeight="1">
      <c r="A50190" s="7"/>
      <c r="B50190" s="7"/>
      <c r="M50190" s="9" t="s">
        <v>27</v>
      </c>
    </row>
    <row r="50191" ht="15.75" customHeight="1">
      <c r="A50191" s="7"/>
      <c r="B50191" s="7"/>
      <c r="M50191" s="9" t="s">
        <v>33</v>
      </c>
    </row>
    <row r="50192" ht="15.75" customHeight="1">
      <c r="A50192" s="7"/>
      <c r="B50192" s="7"/>
      <c r="M50192" s="9" t="s">
        <v>30</v>
      </c>
    </row>
    <row r="50193" ht="15.75" customHeight="1">
      <c r="A50193" s="7"/>
      <c r="B50193" s="7"/>
      <c r="M50193" s="9" t="s">
        <v>24</v>
      </c>
    </row>
    <row r="50194" ht="15.75" customHeight="1">
      <c r="A50194" s="7"/>
      <c r="B50194" s="7"/>
      <c r="M50194" s="9" t="s">
        <v>21</v>
      </c>
    </row>
    <row r="50195" ht="15.75" customHeight="1">
      <c r="A50195" s="7"/>
      <c r="B50195" s="7"/>
      <c r="M50195" s="9" t="s">
        <v>37</v>
      </c>
    </row>
    <row r="50196" ht="15.75" customHeight="1">
      <c r="A50196" s="7"/>
      <c r="B50196" s="7"/>
      <c r="M50196" s="9" t="s">
        <v>22</v>
      </c>
    </row>
    <row r="50197" ht="15.75" customHeight="1">
      <c r="A50197" s="7"/>
      <c r="B50197" s="7"/>
      <c r="M50197" s="9" t="s">
        <v>27</v>
      </c>
    </row>
    <row r="50198" ht="15.75" customHeight="1">
      <c r="A50198" s="7"/>
      <c r="B50198" s="7"/>
      <c r="M50198" s="9" t="s">
        <v>30</v>
      </c>
    </row>
    <row r="50199" ht="15.75" customHeight="1">
      <c r="A50199" s="7"/>
      <c r="B50199" s="7"/>
      <c r="M50199" s="9" t="s">
        <v>25</v>
      </c>
    </row>
    <row r="50200" ht="15.75" customHeight="1">
      <c r="A50200" s="7"/>
      <c r="B50200" s="7"/>
      <c r="M50200" s="9" t="s">
        <v>23</v>
      </c>
    </row>
    <row r="50201" ht="15.75" customHeight="1">
      <c r="A50201" s="7"/>
      <c r="B50201" s="7"/>
      <c r="M50201" s="9" t="s">
        <v>24</v>
      </c>
    </row>
    <row r="50202" ht="15.75" customHeight="1">
      <c r="A50202" s="7"/>
      <c r="B50202" s="7"/>
      <c r="M50202" s="9" t="s">
        <v>20</v>
      </c>
    </row>
    <row r="50203" ht="15.75" customHeight="1">
      <c r="A50203" s="7"/>
      <c r="B50203" s="7"/>
      <c r="M50203" s="9" t="s">
        <v>21</v>
      </c>
    </row>
    <row r="50204" ht="15.75" customHeight="1">
      <c r="A50204" s="7"/>
      <c r="B50204" s="7"/>
      <c r="M50204" s="9" t="s">
        <v>37</v>
      </c>
    </row>
    <row r="50205" ht="15.75" customHeight="1">
      <c r="A50205" s="7"/>
      <c r="B50205" s="7"/>
      <c r="M50205" s="9" t="s">
        <v>22</v>
      </c>
    </row>
    <row r="50206" ht="15.75" customHeight="1">
      <c r="A50206" s="7"/>
      <c r="B50206" s="7"/>
      <c r="M50206" s="9" t="s">
        <v>27</v>
      </c>
    </row>
    <row r="50207" ht="15.75" customHeight="1">
      <c r="A50207" s="7"/>
      <c r="B50207" s="7"/>
      <c r="M50207" s="9" t="s">
        <v>24</v>
      </c>
    </row>
    <row r="50208" ht="15.75" customHeight="1">
      <c r="A50208" s="7"/>
      <c r="B50208" s="7"/>
      <c r="M50208" s="9" t="s">
        <v>21</v>
      </c>
    </row>
    <row r="50209" ht="15.75" customHeight="1">
      <c r="A50209" s="7"/>
      <c r="B50209" s="7"/>
      <c r="M50209" s="9" t="s">
        <v>30</v>
      </c>
    </row>
    <row r="50210" ht="15.75" customHeight="1">
      <c r="A50210" s="7"/>
      <c r="B50210" s="7"/>
      <c r="M50210" s="9" t="s">
        <v>25</v>
      </c>
    </row>
    <row r="50211" ht="15.75" customHeight="1">
      <c r="A50211" s="7"/>
      <c r="B50211" s="7"/>
      <c r="M50211" s="9" t="s">
        <v>26</v>
      </c>
    </row>
    <row r="50212" ht="15.75" customHeight="1">
      <c r="A50212" s="7"/>
      <c r="B50212" s="7"/>
      <c r="M50212" s="9" t="s">
        <v>24</v>
      </c>
    </row>
    <row r="50213" ht="15.75" customHeight="1">
      <c r="A50213" s="7"/>
      <c r="B50213" s="7"/>
      <c r="M50213" s="9" t="s">
        <v>20</v>
      </c>
    </row>
    <row r="50214" ht="15.75" customHeight="1">
      <c r="A50214" s="7"/>
      <c r="B50214" s="7"/>
      <c r="M50214" s="9" t="s">
        <v>21</v>
      </c>
    </row>
    <row r="50215" ht="15.75" customHeight="1">
      <c r="A50215" s="7"/>
      <c r="B50215" s="7"/>
      <c r="M50215" s="9" t="s">
        <v>22</v>
      </c>
    </row>
    <row r="50216" ht="15.75" customHeight="1">
      <c r="A50216" s="7"/>
      <c r="B50216" s="7"/>
      <c r="M50216" s="9" t="s">
        <v>30</v>
      </c>
    </row>
    <row r="50217" ht="15.75" customHeight="1">
      <c r="A50217" s="7"/>
      <c r="B50217" s="7"/>
      <c r="M50217" s="9" t="s">
        <v>20</v>
      </c>
    </row>
    <row r="50218" ht="15.75" customHeight="1">
      <c r="A50218" s="7"/>
      <c r="B50218" s="7"/>
      <c r="M50218" s="9" t="s">
        <v>30</v>
      </c>
    </row>
    <row r="50219" ht="15.75" customHeight="1">
      <c r="A50219" s="7"/>
      <c r="B50219" s="7"/>
      <c r="M50219" s="9" t="s">
        <v>23</v>
      </c>
    </row>
    <row r="50220" ht="15.75" customHeight="1">
      <c r="A50220" s="7"/>
      <c r="B50220" s="7"/>
      <c r="M50220" s="9" t="s">
        <v>26</v>
      </c>
    </row>
    <row r="50221" ht="15.75" customHeight="1">
      <c r="A50221" s="7"/>
      <c r="B50221" s="7"/>
      <c r="M50221" s="9" t="s">
        <v>21</v>
      </c>
    </row>
    <row r="50222" ht="15.75" customHeight="1">
      <c r="A50222" s="7"/>
      <c r="B50222" s="7"/>
      <c r="M50222" s="9" t="s">
        <v>30</v>
      </c>
    </row>
    <row r="50223" ht="15.75" customHeight="1">
      <c r="A50223" s="7"/>
      <c r="B50223" s="7"/>
      <c r="M50223" s="9" t="s">
        <v>21</v>
      </c>
    </row>
    <row r="50224" ht="15.75" customHeight="1">
      <c r="A50224" s="7"/>
      <c r="B50224" s="7"/>
      <c r="M50224" s="9" t="s">
        <v>22</v>
      </c>
    </row>
    <row r="50225" ht="15.75" customHeight="1">
      <c r="A50225" s="7"/>
      <c r="B50225" s="7"/>
      <c r="M50225" s="9" t="s">
        <v>29</v>
      </c>
    </row>
    <row r="50226" ht="15.75" customHeight="1">
      <c r="A50226" s="7"/>
      <c r="B50226" s="7"/>
      <c r="M50226" s="9" t="s">
        <v>27</v>
      </c>
    </row>
    <row r="50227" ht="15.75" customHeight="1">
      <c r="A50227" s="7"/>
      <c r="B50227" s="7"/>
      <c r="M50227" s="9" t="s">
        <v>25</v>
      </c>
    </row>
    <row r="50228" ht="15.75" customHeight="1">
      <c r="A50228" s="7"/>
      <c r="B50228" s="7"/>
      <c r="M50228" s="9" t="s">
        <v>23</v>
      </c>
    </row>
    <row r="50229" ht="15.75" customHeight="1">
      <c r="A50229" s="7"/>
      <c r="B50229" s="7"/>
      <c r="M50229" s="9" t="s">
        <v>24</v>
      </c>
    </row>
    <row r="50230" ht="15.75" customHeight="1">
      <c r="A50230" s="7"/>
      <c r="B50230" s="7"/>
      <c r="M50230" s="9" t="s">
        <v>20</v>
      </c>
    </row>
    <row r="50231" ht="15.75" customHeight="1">
      <c r="A50231" s="7"/>
      <c r="B50231" s="7"/>
      <c r="M50231" s="9" t="s">
        <v>21</v>
      </c>
    </row>
    <row r="50232" ht="15.75" customHeight="1">
      <c r="A50232" s="7"/>
      <c r="B50232" s="7"/>
      <c r="M50232" s="9" t="s">
        <v>38</v>
      </c>
    </row>
    <row r="50233" ht="15.75" customHeight="1">
      <c r="A50233" s="7"/>
      <c r="B50233" s="7"/>
      <c r="M50233" s="9" t="s">
        <v>30</v>
      </c>
    </row>
    <row r="50234" ht="15.75" customHeight="1">
      <c r="A50234" s="7"/>
      <c r="B50234" s="7"/>
      <c r="M50234" s="9" t="s">
        <v>25</v>
      </c>
    </row>
    <row r="50235" ht="15.75" customHeight="1">
      <c r="A50235" s="7"/>
      <c r="B50235" s="7"/>
      <c r="M50235" s="9" t="s">
        <v>24</v>
      </c>
    </row>
    <row r="50236" ht="15.75" customHeight="1">
      <c r="A50236" s="7"/>
      <c r="B50236" s="7"/>
      <c r="M50236" s="9" t="s">
        <v>20</v>
      </c>
    </row>
    <row r="50237" ht="15.75" customHeight="1">
      <c r="A50237" s="7"/>
      <c r="B50237" s="7"/>
      <c r="M50237" s="9" t="s">
        <v>21</v>
      </c>
    </row>
    <row r="50238" ht="15.75" customHeight="1">
      <c r="A50238" s="7"/>
      <c r="B50238" s="7"/>
      <c r="M50238" s="9" t="s">
        <v>37</v>
      </c>
    </row>
    <row r="50239" ht="15.75" customHeight="1">
      <c r="A50239" s="7"/>
      <c r="B50239" s="7"/>
      <c r="M50239" s="9" t="s">
        <v>27</v>
      </c>
    </row>
    <row r="50240" ht="15.75" customHeight="1">
      <c r="A50240" s="7"/>
      <c r="B50240" s="7"/>
      <c r="M50240" s="9" t="s">
        <v>33</v>
      </c>
    </row>
    <row r="50241" ht="15.75" customHeight="1">
      <c r="A50241" s="7"/>
      <c r="B50241" s="7"/>
      <c r="M50241" s="9" t="s">
        <v>30</v>
      </c>
    </row>
    <row r="50242" ht="15.75" customHeight="1">
      <c r="A50242" s="7"/>
      <c r="B50242" s="7"/>
      <c r="M50242" s="9" t="s">
        <v>36</v>
      </c>
    </row>
    <row r="50243" ht="15.75" customHeight="1">
      <c r="A50243" s="7"/>
      <c r="B50243" s="7"/>
      <c r="M50243" s="9" t="s">
        <v>24</v>
      </c>
    </row>
    <row r="50244" ht="15.75" customHeight="1">
      <c r="A50244" s="7"/>
      <c r="B50244" s="7"/>
      <c r="M50244" s="9" t="s">
        <v>20</v>
      </c>
    </row>
    <row r="50245" ht="15.75" customHeight="1">
      <c r="A50245" s="7"/>
      <c r="B50245" s="7"/>
      <c r="M50245" s="9" t="s">
        <v>21</v>
      </c>
    </row>
    <row r="50246" ht="15.75" customHeight="1">
      <c r="A50246" s="7"/>
      <c r="B50246" s="7"/>
      <c r="M50246" s="9" t="s">
        <v>31</v>
      </c>
    </row>
    <row r="50247" ht="15.75" customHeight="1">
      <c r="A50247" s="7"/>
      <c r="B50247" s="7"/>
      <c r="M50247" s="9" t="s">
        <v>30</v>
      </c>
    </row>
    <row r="50248" ht="15.75" customHeight="1">
      <c r="A50248" s="7"/>
      <c r="B50248" s="7"/>
      <c r="M50248" s="9" t="s">
        <v>36</v>
      </c>
    </row>
    <row r="50249" ht="15.75" customHeight="1">
      <c r="A50249" s="7"/>
      <c r="B50249" s="7"/>
      <c r="M50249" s="9" t="s">
        <v>20</v>
      </c>
    </row>
    <row r="50250" ht="15.75" customHeight="1">
      <c r="A50250" s="7"/>
      <c r="B50250" s="7"/>
      <c r="M50250" s="9" t="s">
        <v>22</v>
      </c>
    </row>
    <row r="50251" ht="15.75" customHeight="1">
      <c r="A50251" s="7"/>
      <c r="B50251" s="7"/>
      <c r="M50251" s="9" t="s">
        <v>46</v>
      </c>
    </row>
    <row r="50252" ht="15.75" customHeight="1">
      <c r="A50252" s="7"/>
      <c r="B50252" s="7"/>
      <c r="M50252" s="9" t="s">
        <v>38</v>
      </c>
    </row>
    <row r="50253" ht="15.75" customHeight="1">
      <c r="A50253" s="7"/>
      <c r="B50253" s="7"/>
      <c r="M50253" s="9" t="s">
        <v>30</v>
      </c>
    </row>
    <row r="50254" ht="15.75" customHeight="1">
      <c r="A50254" s="7"/>
      <c r="B50254" s="7"/>
      <c r="M50254" s="9" t="s">
        <v>25</v>
      </c>
    </row>
    <row r="50255" ht="15.75" customHeight="1">
      <c r="A50255" s="7"/>
      <c r="B50255" s="7"/>
      <c r="M50255" s="9" t="s">
        <v>41</v>
      </c>
    </row>
    <row r="50256" ht="15.75" customHeight="1">
      <c r="A50256" s="7"/>
      <c r="B50256" s="7"/>
      <c r="M50256" s="9" t="s">
        <v>22</v>
      </c>
    </row>
    <row r="50257" ht="15.75" customHeight="1">
      <c r="A50257" s="7"/>
      <c r="B50257" s="7"/>
      <c r="M50257" s="9" t="s">
        <v>40</v>
      </c>
    </row>
    <row r="50258" ht="15.75" customHeight="1">
      <c r="A50258" s="7"/>
      <c r="B50258" s="7"/>
      <c r="M50258" s="9" t="s">
        <v>30</v>
      </c>
    </row>
    <row r="50259" ht="15.75" customHeight="1">
      <c r="A50259" s="7"/>
      <c r="B50259" s="7"/>
      <c r="M50259" s="9" t="s">
        <v>36</v>
      </c>
    </row>
    <row r="50260" ht="15.75" customHeight="1">
      <c r="A50260" s="7"/>
      <c r="B50260" s="7"/>
      <c r="M50260" s="9" t="s">
        <v>20</v>
      </c>
    </row>
    <row r="50261" ht="15.75" customHeight="1">
      <c r="A50261" s="7"/>
      <c r="B50261" s="7"/>
      <c r="M50261" s="9" t="s">
        <v>20</v>
      </c>
    </row>
    <row r="50262" ht="15.75" customHeight="1">
      <c r="A50262" s="7"/>
      <c r="B50262" s="7"/>
      <c r="M50262" s="9" t="s">
        <v>22</v>
      </c>
    </row>
    <row r="50263" ht="15.75" customHeight="1">
      <c r="A50263" s="7"/>
      <c r="B50263" s="7"/>
      <c r="M50263" s="9" t="s">
        <v>26</v>
      </c>
    </row>
    <row r="50264" ht="15.75" customHeight="1">
      <c r="A50264" s="7"/>
      <c r="B50264" s="7"/>
      <c r="M50264" s="9" t="s">
        <v>24</v>
      </c>
    </row>
    <row r="50265" ht="15.75" customHeight="1">
      <c r="A50265" s="7"/>
      <c r="B50265" s="7"/>
      <c r="M50265" s="9" t="s">
        <v>21</v>
      </c>
    </row>
    <row r="50266" ht="15.75" customHeight="1">
      <c r="A50266" s="7"/>
      <c r="B50266" s="7"/>
      <c r="M50266" s="9" t="s">
        <v>27</v>
      </c>
    </row>
    <row r="50267" ht="15.75" customHeight="1">
      <c r="A50267" s="7"/>
      <c r="B50267" s="7"/>
      <c r="M50267" s="9" t="s">
        <v>28</v>
      </c>
    </row>
    <row r="50268" ht="15.75" customHeight="1">
      <c r="A50268" s="7"/>
      <c r="B50268" s="7"/>
      <c r="M50268" s="9" t="s">
        <v>35</v>
      </c>
    </row>
    <row r="50269" ht="15.75" customHeight="1">
      <c r="A50269" s="7"/>
      <c r="B50269" s="7"/>
      <c r="M50269" s="9" t="s">
        <v>30</v>
      </c>
    </row>
    <row r="50270" ht="15.75" customHeight="1">
      <c r="A50270" s="7"/>
      <c r="B50270" s="7"/>
      <c r="M50270" s="9" t="s">
        <v>26</v>
      </c>
    </row>
    <row r="50271" ht="15.75" customHeight="1">
      <c r="A50271" s="7"/>
      <c r="B50271" s="7"/>
      <c r="M50271" s="9" t="s">
        <v>24</v>
      </c>
    </row>
    <row r="50272" ht="15.75" customHeight="1">
      <c r="A50272" s="7"/>
      <c r="B50272" s="7"/>
      <c r="M50272" s="9" t="s">
        <v>21</v>
      </c>
    </row>
    <row r="50273" ht="15.75" customHeight="1">
      <c r="A50273" s="7"/>
      <c r="B50273" s="7"/>
      <c r="M50273" s="9" t="s">
        <v>27</v>
      </c>
    </row>
    <row r="50274" ht="15.75" customHeight="1">
      <c r="A50274" s="7"/>
      <c r="B50274" s="7"/>
      <c r="M50274" s="9" t="s">
        <v>35</v>
      </c>
    </row>
    <row r="50275" ht="15.75" customHeight="1">
      <c r="A50275" s="7"/>
      <c r="B50275" s="7"/>
      <c r="M50275" s="9" t="s">
        <v>26</v>
      </c>
    </row>
    <row r="50276" ht="15.75" customHeight="1">
      <c r="A50276" s="7"/>
      <c r="B50276" s="7"/>
      <c r="M50276" s="9" t="s">
        <v>24</v>
      </c>
    </row>
    <row r="50277" ht="15.75" customHeight="1">
      <c r="A50277" s="7"/>
      <c r="B50277" s="7"/>
      <c r="M50277" s="9" t="s">
        <v>21</v>
      </c>
    </row>
    <row r="50278" ht="15.75" customHeight="1">
      <c r="A50278" s="7"/>
      <c r="B50278" s="7"/>
      <c r="M50278" s="9" t="s">
        <v>27</v>
      </c>
    </row>
    <row r="50279" ht="15.75" customHeight="1">
      <c r="A50279" s="7"/>
      <c r="B50279" s="7"/>
      <c r="M50279" s="9" t="s">
        <v>30</v>
      </c>
    </row>
    <row r="50280" ht="15.75" customHeight="1">
      <c r="A50280" s="7"/>
      <c r="B50280" s="7"/>
      <c r="M50280" s="9" t="s">
        <v>36</v>
      </c>
    </row>
    <row r="50281" ht="15.75" customHeight="1">
      <c r="A50281" s="7"/>
      <c r="B50281" s="7"/>
      <c r="M50281" s="9" t="s">
        <v>24</v>
      </c>
    </row>
    <row r="50282" ht="15.75" customHeight="1">
      <c r="A50282" s="7"/>
      <c r="B50282" s="7"/>
      <c r="M50282" s="9" t="s">
        <v>41</v>
      </c>
    </row>
    <row r="50283" ht="15.75" customHeight="1">
      <c r="A50283" s="7"/>
      <c r="B50283" s="7"/>
      <c r="M50283" s="9" t="s">
        <v>22</v>
      </c>
    </row>
    <row r="50284" ht="15.75" customHeight="1">
      <c r="A50284" s="7"/>
      <c r="B50284" s="7"/>
      <c r="M50284" s="9" t="s">
        <v>31</v>
      </c>
    </row>
    <row r="50285" ht="15.75" customHeight="1">
      <c r="A50285" s="7"/>
      <c r="B50285" s="7"/>
      <c r="M50285" s="9" t="s">
        <v>32</v>
      </c>
    </row>
    <row r="50286" ht="15.75" customHeight="1">
      <c r="A50286" s="7"/>
      <c r="B50286" s="7"/>
      <c r="M50286" s="9" t="s">
        <v>27</v>
      </c>
    </row>
    <row r="50287" ht="15.75" customHeight="1">
      <c r="A50287" s="7"/>
      <c r="B50287" s="7"/>
      <c r="M50287" s="9" t="s">
        <v>40</v>
      </c>
    </row>
    <row r="50288" ht="15.75" customHeight="1">
      <c r="A50288" s="7"/>
      <c r="B50288" s="7"/>
      <c r="M50288" s="9" t="s">
        <v>30</v>
      </c>
    </row>
    <row r="50289" ht="15.75" customHeight="1">
      <c r="A50289" s="7"/>
      <c r="B50289" s="7"/>
      <c r="M50289" s="9" t="s">
        <v>22</v>
      </c>
    </row>
    <row r="50290" ht="15.75" customHeight="1">
      <c r="A50290" s="7"/>
      <c r="B50290" s="7"/>
      <c r="M50290" s="9" t="s">
        <v>38</v>
      </c>
    </row>
    <row r="50291" ht="15.75" customHeight="1">
      <c r="A50291" s="7"/>
      <c r="B50291" s="7"/>
      <c r="M50291" s="9" t="s">
        <v>28</v>
      </c>
    </row>
    <row r="50292" ht="15.75" customHeight="1">
      <c r="A50292" s="7"/>
      <c r="B50292" s="7"/>
      <c r="M50292" s="9" t="s">
        <v>35</v>
      </c>
    </row>
    <row r="50293" ht="15.75" customHeight="1">
      <c r="A50293" s="7"/>
      <c r="B50293" s="7"/>
      <c r="M50293" s="9" t="s">
        <v>38</v>
      </c>
    </row>
    <row r="50294" ht="15.75" customHeight="1">
      <c r="A50294" s="7"/>
      <c r="B50294" s="7"/>
      <c r="M50294" s="9" t="s">
        <v>30</v>
      </c>
    </row>
    <row r="50295" ht="15.75" customHeight="1">
      <c r="A50295" s="7"/>
      <c r="B50295" s="7"/>
      <c r="M50295" s="9" t="s">
        <v>25</v>
      </c>
    </row>
    <row r="50296" ht="15.75" customHeight="1">
      <c r="A50296" s="7"/>
      <c r="B50296" s="7"/>
      <c r="M50296" s="9" t="s">
        <v>23</v>
      </c>
    </row>
    <row r="50297" ht="15.75" customHeight="1">
      <c r="A50297" s="7"/>
      <c r="B50297" s="7"/>
      <c r="M50297" s="9" t="s">
        <v>26</v>
      </c>
    </row>
    <row r="50298" ht="15.75" customHeight="1">
      <c r="A50298" s="7"/>
      <c r="B50298" s="7"/>
      <c r="M50298" s="9" t="s">
        <v>24</v>
      </c>
    </row>
    <row r="50299" ht="15.75" customHeight="1">
      <c r="A50299" s="7"/>
      <c r="B50299" s="7"/>
      <c r="M50299" s="9" t="s">
        <v>20</v>
      </c>
    </row>
    <row r="50300" ht="15.75" customHeight="1">
      <c r="A50300" s="7"/>
      <c r="B50300" s="7"/>
      <c r="M50300" s="9" t="s">
        <v>21</v>
      </c>
    </row>
    <row r="50301" ht="15.75" customHeight="1">
      <c r="A50301" s="7"/>
      <c r="B50301" s="7"/>
      <c r="M50301" s="9" t="s">
        <v>37</v>
      </c>
    </row>
    <row r="50302" ht="15.75" customHeight="1">
      <c r="A50302" s="7"/>
      <c r="B50302" s="7"/>
      <c r="M50302" s="9" t="s">
        <v>27</v>
      </c>
    </row>
    <row r="50303" ht="15.75" customHeight="1">
      <c r="A50303" s="7"/>
      <c r="B50303" s="7"/>
      <c r="M50303" s="9" t="s">
        <v>30</v>
      </c>
    </row>
    <row r="50304" ht="15.75" customHeight="1">
      <c r="A50304" s="7"/>
      <c r="B50304" s="7"/>
      <c r="M50304" s="9" t="s">
        <v>26</v>
      </c>
    </row>
    <row r="50305" ht="15.75" customHeight="1">
      <c r="A50305" s="7"/>
      <c r="B50305" s="7"/>
      <c r="M50305" s="9" t="s">
        <v>22</v>
      </c>
    </row>
    <row r="50306" ht="15.75" customHeight="1">
      <c r="A50306" s="7"/>
      <c r="B50306" s="7"/>
      <c r="M50306" s="9" t="s">
        <v>27</v>
      </c>
    </row>
    <row r="50307" ht="15.75" customHeight="1">
      <c r="A50307" s="7"/>
      <c r="B50307" s="7"/>
      <c r="M50307" s="9" t="s">
        <v>28</v>
      </c>
    </row>
    <row r="50308" ht="15.75" customHeight="1">
      <c r="A50308" s="7"/>
      <c r="B50308" s="7"/>
      <c r="M50308" s="9" t="s">
        <v>25</v>
      </c>
    </row>
    <row r="50309" ht="15.75" customHeight="1">
      <c r="A50309" s="7"/>
      <c r="B50309" s="7"/>
      <c r="M50309" s="9" t="s">
        <v>23</v>
      </c>
    </row>
    <row r="50310" ht="15.75" customHeight="1">
      <c r="A50310" s="7"/>
      <c r="B50310" s="7"/>
      <c r="M50310" s="9" t="s">
        <v>24</v>
      </c>
    </row>
    <row r="50311" ht="15.75" customHeight="1">
      <c r="A50311" s="7"/>
      <c r="B50311" s="7"/>
      <c r="M50311" s="9" t="s">
        <v>30</v>
      </c>
    </row>
    <row r="50312" ht="15.75" customHeight="1">
      <c r="A50312" s="7"/>
      <c r="B50312" s="7"/>
      <c r="M50312" s="9" t="s">
        <v>26</v>
      </c>
    </row>
    <row r="50313" ht="15.75" customHeight="1">
      <c r="A50313" s="7"/>
      <c r="B50313" s="7"/>
      <c r="M50313" s="9" t="s">
        <v>24</v>
      </c>
    </row>
    <row r="50314" ht="15.75" customHeight="1">
      <c r="A50314" s="7"/>
      <c r="B50314" s="7"/>
      <c r="M50314" s="9" t="s">
        <v>20</v>
      </c>
    </row>
    <row r="50315" ht="15.75" customHeight="1">
      <c r="A50315" s="7"/>
      <c r="B50315" s="7"/>
      <c r="M50315" s="9" t="s">
        <v>30</v>
      </c>
    </row>
    <row r="50316" ht="15.75" customHeight="1">
      <c r="A50316" s="7"/>
      <c r="B50316" s="7"/>
      <c r="M50316" s="9" t="s">
        <v>26</v>
      </c>
    </row>
    <row r="50317" ht="15.75" customHeight="1">
      <c r="A50317" s="7"/>
      <c r="B50317" s="7"/>
      <c r="M50317" s="9" t="s">
        <v>24</v>
      </c>
    </row>
    <row r="50318" ht="15.75" customHeight="1">
      <c r="A50318" s="7"/>
      <c r="B50318" s="7"/>
      <c r="M50318" s="9" t="s">
        <v>20</v>
      </c>
    </row>
    <row r="50319" ht="15.75" customHeight="1">
      <c r="A50319" s="7"/>
      <c r="B50319" s="7"/>
      <c r="M50319" s="9" t="s">
        <v>21</v>
      </c>
    </row>
    <row r="50320" ht="15.75" customHeight="1">
      <c r="A50320" s="7"/>
      <c r="B50320" s="7"/>
      <c r="M50320" s="9" t="s">
        <v>27</v>
      </c>
    </row>
    <row r="50321" ht="15.75" customHeight="1">
      <c r="A50321" s="7"/>
      <c r="B50321" s="7"/>
      <c r="M50321" s="9" t="s">
        <v>25</v>
      </c>
    </row>
    <row r="50322" ht="15.75" customHeight="1">
      <c r="A50322" s="7"/>
      <c r="B50322" s="7"/>
      <c r="M50322" s="9" t="s">
        <v>23</v>
      </c>
    </row>
    <row r="50323" ht="15.75" customHeight="1">
      <c r="A50323" s="7"/>
      <c r="B50323" s="7"/>
      <c r="M50323" s="9" t="s">
        <v>24</v>
      </c>
    </row>
    <row r="50324" ht="15.75" customHeight="1">
      <c r="A50324" s="7"/>
      <c r="B50324" s="7"/>
      <c r="M50324" s="9" t="s">
        <v>21</v>
      </c>
    </row>
    <row r="50325" ht="15.75" customHeight="1">
      <c r="A50325" s="7"/>
      <c r="B50325" s="7"/>
      <c r="M50325" s="9" t="s">
        <v>24</v>
      </c>
    </row>
    <row r="50326" ht="15.75" customHeight="1">
      <c r="A50326" s="7"/>
      <c r="B50326" s="7"/>
      <c r="M50326" s="9" t="s">
        <v>21</v>
      </c>
    </row>
    <row r="50327" ht="15.75" customHeight="1">
      <c r="A50327" s="7"/>
      <c r="B50327" s="7"/>
      <c r="M50327" s="9" t="s">
        <v>22</v>
      </c>
    </row>
    <row r="50328" ht="15.75" customHeight="1">
      <c r="A50328" s="7"/>
      <c r="B50328" s="7"/>
      <c r="M50328" s="9" t="s">
        <v>30</v>
      </c>
    </row>
    <row r="50329" ht="15.75" customHeight="1">
      <c r="A50329" s="7"/>
      <c r="B50329" s="7"/>
      <c r="M50329" s="9" t="s">
        <v>26</v>
      </c>
    </row>
    <row r="50330" ht="15.75" customHeight="1">
      <c r="A50330" s="7"/>
      <c r="B50330" s="7"/>
      <c r="M50330" s="9" t="s">
        <v>47</v>
      </c>
    </row>
    <row r="50331" ht="15.75" customHeight="1">
      <c r="A50331" s="7"/>
      <c r="B50331" s="7"/>
      <c r="M50331" s="9" t="s">
        <v>20</v>
      </c>
    </row>
    <row r="50332" ht="15.75" customHeight="1">
      <c r="A50332" s="7"/>
      <c r="B50332" s="7"/>
      <c r="M50332" s="9" t="s">
        <v>30</v>
      </c>
    </row>
    <row r="50333" ht="15.75" customHeight="1">
      <c r="A50333" s="7"/>
      <c r="B50333" s="7"/>
      <c r="M50333" s="9" t="s">
        <v>26</v>
      </c>
    </row>
    <row r="50334" ht="15.75" customHeight="1">
      <c r="A50334" s="7"/>
      <c r="B50334" s="7"/>
      <c r="M50334" s="9" t="s">
        <v>24</v>
      </c>
    </row>
    <row r="50335" ht="15.75" customHeight="1">
      <c r="A50335" s="7"/>
      <c r="B50335" s="7"/>
      <c r="M50335" s="9" t="s">
        <v>20</v>
      </c>
    </row>
    <row r="50336" ht="15.75" customHeight="1">
      <c r="A50336" s="7"/>
      <c r="B50336" s="7"/>
      <c r="M50336" s="9" t="s">
        <v>21</v>
      </c>
    </row>
    <row r="50337" ht="15.75" customHeight="1">
      <c r="A50337" s="7"/>
      <c r="B50337" s="7"/>
      <c r="M50337" s="9" t="s">
        <v>37</v>
      </c>
    </row>
    <row r="50338" ht="15.75" customHeight="1">
      <c r="A50338" s="7"/>
      <c r="B50338" s="7"/>
      <c r="M50338" s="9" t="s">
        <v>22</v>
      </c>
    </row>
    <row r="50339" ht="15.75" customHeight="1">
      <c r="A50339" s="7"/>
      <c r="B50339" s="7"/>
      <c r="M50339" s="9" t="s">
        <v>31</v>
      </c>
    </row>
    <row r="50340" ht="15.75" customHeight="1">
      <c r="A50340" s="7"/>
      <c r="B50340" s="7"/>
      <c r="M50340" s="9" t="s">
        <v>27</v>
      </c>
    </row>
    <row r="50341" ht="15.75" customHeight="1">
      <c r="A50341" s="7"/>
      <c r="B50341" s="7"/>
      <c r="M50341" s="9" t="s">
        <v>26</v>
      </c>
    </row>
    <row r="50342" ht="15.75" customHeight="1">
      <c r="A50342" s="7"/>
      <c r="B50342" s="7"/>
      <c r="M50342" s="9" t="s">
        <v>24</v>
      </c>
    </row>
    <row r="50343" ht="15.75" customHeight="1">
      <c r="A50343" s="7"/>
      <c r="B50343" s="7"/>
      <c r="M50343" s="9" t="s">
        <v>21</v>
      </c>
    </row>
    <row r="50344" ht="15.75" customHeight="1">
      <c r="A50344" s="7"/>
      <c r="B50344" s="7"/>
      <c r="M50344" s="9" t="s">
        <v>27</v>
      </c>
    </row>
    <row r="50345" ht="15.75" customHeight="1">
      <c r="A50345" s="7"/>
      <c r="B50345" s="7"/>
      <c r="M50345" s="9" t="s">
        <v>30</v>
      </c>
    </row>
    <row r="50346" ht="15.75" customHeight="1">
      <c r="A50346" s="7"/>
      <c r="B50346" s="7"/>
      <c r="M50346" s="9" t="s">
        <v>24</v>
      </c>
    </row>
    <row r="50347" ht="15.75" customHeight="1">
      <c r="A50347" s="7"/>
      <c r="B50347" s="7"/>
      <c r="M50347" s="9" t="s">
        <v>21</v>
      </c>
    </row>
    <row r="50348" ht="15.75" customHeight="1">
      <c r="A50348" s="7"/>
      <c r="B50348" s="7"/>
      <c r="M50348" s="9" t="s">
        <v>37</v>
      </c>
    </row>
    <row r="50349" ht="15.75" customHeight="1">
      <c r="A50349" s="7"/>
      <c r="B50349" s="7"/>
      <c r="M50349" s="9" t="s">
        <v>22</v>
      </c>
    </row>
    <row r="50350" ht="15.75" customHeight="1">
      <c r="A50350" s="7"/>
      <c r="B50350" s="7"/>
      <c r="M50350" s="9" t="s">
        <v>27</v>
      </c>
    </row>
    <row r="50351" ht="15.75" customHeight="1">
      <c r="A50351" s="7"/>
      <c r="B50351" s="7"/>
      <c r="M50351" s="9" t="s">
        <v>24</v>
      </c>
    </row>
    <row r="50352" ht="15.75" customHeight="1">
      <c r="A50352" s="7"/>
      <c r="B50352" s="7"/>
      <c r="M50352" s="9" t="s">
        <v>21</v>
      </c>
    </row>
    <row r="50353" ht="15.75" customHeight="1">
      <c r="A50353" s="7"/>
      <c r="B50353" s="7"/>
      <c r="M50353" s="9" t="s">
        <v>37</v>
      </c>
    </row>
    <row r="50354" ht="15.75" customHeight="1">
      <c r="A50354" s="7"/>
      <c r="B50354" s="7"/>
      <c r="M50354" s="9" t="s">
        <v>30</v>
      </c>
    </row>
    <row r="50355" ht="15.75" customHeight="1">
      <c r="A50355" s="7"/>
      <c r="B50355" s="7"/>
      <c r="M50355" s="9" t="s">
        <v>25</v>
      </c>
    </row>
    <row r="50356" ht="15.75" customHeight="1">
      <c r="A50356" s="7"/>
      <c r="B50356" s="7"/>
      <c r="M50356" s="9" t="s">
        <v>26</v>
      </c>
    </row>
    <row r="50357" ht="15.75" customHeight="1">
      <c r="A50357" s="7"/>
      <c r="B50357" s="7"/>
      <c r="M50357" s="9" t="s">
        <v>24</v>
      </c>
    </row>
    <row r="50358" ht="15.75" customHeight="1">
      <c r="A50358" s="7"/>
      <c r="B50358" s="7"/>
      <c r="M50358" s="9" t="s">
        <v>20</v>
      </c>
    </row>
    <row r="50359" ht="15.75" customHeight="1">
      <c r="A50359" s="7"/>
      <c r="B50359" s="7"/>
      <c r="M50359" s="9" t="s">
        <v>21</v>
      </c>
    </row>
    <row r="50360" ht="15.75" customHeight="1">
      <c r="A50360" s="7"/>
      <c r="B50360" s="7"/>
      <c r="M50360" s="9" t="s">
        <v>22</v>
      </c>
    </row>
    <row r="50361" ht="15.75" customHeight="1">
      <c r="A50361" s="7"/>
      <c r="B50361" s="7"/>
      <c r="M50361" s="9" t="s">
        <v>27</v>
      </c>
    </row>
    <row r="50362" ht="15.75" customHeight="1">
      <c r="A50362" s="7"/>
      <c r="B50362" s="7"/>
      <c r="M50362" s="9" t="s">
        <v>33</v>
      </c>
    </row>
    <row r="50363" ht="15.75" customHeight="1">
      <c r="A50363" s="7"/>
      <c r="B50363" s="7"/>
      <c r="M50363" s="9" t="s">
        <v>24</v>
      </c>
    </row>
    <row r="50364" ht="15.75" customHeight="1">
      <c r="A50364" s="7"/>
      <c r="B50364" s="7"/>
      <c r="M50364" s="9" t="s">
        <v>20</v>
      </c>
    </row>
    <row r="50365" ht="15.75" customHeight="1">
      <c r="A50365" s="7"/>
      <c r="B50365" s="7"/>
      <c r="M50365" s="9" t="s">
        <v>21</v>
      </c>
    </row>
    <row r="50366" ht="15.75" customHeight="1">
      <c r="A50366" s="7"/>
      <c r="B50366" s="7"/>
      <c r="M50366" s="9" t="s">
        <v>39</v>
      </c>
    </row>
    <row r="50367" ht="15.75" customHeight="1">
      <c r="A50367" s="7"/>
      <c r="B50367" s="7"/>
      <c r="M50367" s="9" t="s">
        <v>22</v>
      </c>
    </row>
    <row r="50368" ht="15.75" customHeight="1">
      <c r="A50368" s="7"/>
      <c r="B50368" s="7"/>
      <c r="M50368" s="9" t="s">
        <v>27</v>
      </c>
    </row>
    <row r="50369" ht="15.75" customHeight="1">
      <c r="A50369" s="7"/>
      <c r="B50369" s="7"/>
      <c r="M50369" s="9" t="s">
        <v>26</v>
      </c>
    </row>
    <row r="50370" ht="15.75" customHeight="1">
      <c r="A50370" s="7"/>
      <c r="B50370" s="7"/>
      <c r="M50370" s="9" t="s">
        <v>24</v>
      </c>
    </row>
    <row r="50371" ht="15.75" customHeight="1">
      <c r="A50371" s="7"/>
      <c r="B50371" s="7"/>
      <c r="M50371" s="9" t="s">
        <v>21</v>
      </c>
    </row>
    <row r="50372" ht="15.75" customHeight="1">
      <c r="A50372" s="7"/>
      <c r="B50372" s="7"/>
      <c r="M50372" s="9" t="s">
        <v>37</v>
      </c>
    </row>
    <row r="50373" ht="15.75" customHeight="1">
      <c r="A50373" s="7"/>
      <c r="B50373" s="7"/>
      <c r="M50373" s="9" t="s">
        <v>27</v>
      </c>
    </row>
    <row r="50374" ht="15.75" customHeight="1">
      <c r="A50374" s="7"/>
      <c r="B50374" s="7"/>
      <c r="M50374" s="9" t="s">
        <v>21</v>
      </c>
    </row>
    <row r="50375" ht="15.75" customHeight="1">
      <c r="A50375" s="7"/>
      <c r="B50375" s="7"/>
      <c r="M50375" s="9" t="s">
        <v>22</v>
      </c>
    </row>
    <row r="50376" ht="15.75" customHeight="1">
      <c r="A50376" s="7"/>
      <c r="B50376" s="7"/>
      <c r="M50376" s="9" t="s">
        <v>30</v>
      </c>
    </row>
    <row r="50377" ht="15.75" customHeight="1">
      <c r="A50377" s="7"/>
      <c r="B50377" s="7"/>
      <c r="M50377" s="9" t="s">
        <v>26</v>
      </c>
    </row>
    <row r="50378" ht="15.75" customHeight="1">
      <c r="A50378" s="7"/>
      <c r="B50378" s="7"/>
      <c r="M50378" s="9" t="s">
        <v>24</v>
      </c>
    </row>
    <row r="50379" ht="15.75" customHeight="1">
      <c r="A50379" s="7"/>
      <c r="B50379" s="7"/>
      <c r="M50379" s="9" t="s">
        <v>20</v>
      </c>
    </row>
    <row r="50380" ht="15.75" customHeight="1">
      <c r="A50380" s="7"/>
      <c r="B50380" s="7"/>
      <c r="M50380" s="9" t="s">
        <v>21</v>
      </c>
    </row>
    <row r="50381" ht="15.75" customHeight="1">
      <c r="A50381" s="7"/>
      <c r="B50381" s="7"/>
      <c r="M50381" s="9" t="s">
        <v>26</v>
      </c>
    </row>
    <row r="50382" ht="15.75" customHeight="1">
      <c r="A50382" s="7"/>
      <c r="B50382" s="7"/>
      <c r="M50382" s="9" t="s">
        <v>30</v>
      </c>
    </row>
    <row r="50383" ht="15.75" customHeight="1">
      <c r="A50383" s="7"/>
      <c r="B50383" s="7"/>
      <c r="M50383" s="9" t="s">
        <v>26</v>
      </c>
    </row>
    <row r="50384" ht="15.75" customHeight="1">
      <c r="A50384" s="7"/>
      <c r="B50384" s="7"/>
      <c r="M50384" s="9" t="s">
        <v>24</v>
      </c>
    </row>
    <row r="50385" ht="15.75" customHeight="1">
      <c r="A50385" s="7"/>
      <c r="B50385" s="7"/>
      <c r="M50385" s="9" t="s">
        <v>21</v>
      </c>
    </row>
    <row r="50386" ht="15.75" customHeight="1">
      <c r="A50386" s="7"/>
      <c r="B50386" s="7"/>
      <c r="M50386" s="9" t="s">
        <v>22</v>
      </c>
    </row>
    <row r="50387" ht="15.75" customHeight="1">
      <c r="A50387" s="7"/>
      <c r="B50387" s="7"/>
      <c r="M50387" s="9" t="s">
        <v>27</v>
      </c>
    </row>
    <row r="50388" ht="15.75" customHeight="1">
      <c r="A50388" s="7"/>
      <c r="B50388" s="7"/>
      <c r="M50388" s="9" t="s">
        <v>33</v>
      </c>
    </row>
    <row r="50389" ht="15.75" customHeight="1">
      <c r="A50389" s="7"/>
      <c r="B50389" s="7"/>
      <c r="M50389" s="9" t="s">
        <v>24</v>
      </c>
    </row>
    <row r="50390" ht="15.75" customHeight="1">
      <c r="A50390" s="7"/>
      <c r="B50390" s="7"/>
      <c r="M50390" s="9" t="s">
        <v>21</v>
      </c>
    </row>
    <row r="50391" ht="15.75" customHeight="1">
      <c r="A50391" s="7"/>
      <c r="B50391" s="7"/>
      <c r="M50391" s="9" t="s">
        <v>37</v>
      </c>
    </row>
    <row r="50392" ht="15.75" customHeight="1">
      <c r="A50392" s="7"/>
      <c r="B50392" s="7"/>
      <c r="M50392" s="9" t="s">
        <v>35</v>
      </c>
    </row>
    <row r="50393" ht="15.75" customHeight="1">
      <c r="A50393" s="7"/>
      <c r="B50393" s="7"/>
      <c r="M50393" s="9" t="s">
        <v>30</v>
      </c>
    </row>
    <row r="50394" ht="15.75" customHeight="1">
      <c r="A50394" s="7"/>
      <c r="B50394" s="7"/>
      <c r="M50394" s="9" t="s">
        <v>25</v>
      </c>
    </row>
    <row r="50395" ht="15.75" customHeight="1">
      <c r="A50395" s="7"/>
      <c r="B50395" s="7"/>
      <c r="M50395" s="9" t="s">
        <v>23</v>
      </c>
    </row>
    <row r="50396" ht="15.75" customHeight="1">
      <c r="A50396" s="7"/>
      <c r="B50396" s="7"/>
      <c r="M50396" s="9" t="s">
        <v>22</v>
      </c>
    </row>
    <row r="50397" ht="15.75" customHeight="1">
      <c r="A50397" s="7"/>
      <c r="B50397" s="7"/>
      <c r="M50397" s="9" t="s">
        <v>29</v>
      </c>
    </row>
    <row r="50398" ht="15.75" customHeight="1">
      <c r="A50398" s="7"/>
      <c r="B50398" s="7"/>
      <c r="M50398" s="9" t="s">
        <v>27</v>
      </c>
    </row>
    <row r="50399" ht="15.75" customHeight="1">
      <c r="A50399" s="7"/>
      <c r="B50399" s="7"/>
      <c r="M50399" s="9" t="s">
        <v>30</v>
      </c>
    </row>
    <row r="50400" ht="15.75" customHeight="1">
      <c r="A50400" s="7"/>
      <c r="B50400" s="7"/>
      <c r="M50400" s="9" t="s">
        <v>25</v>
      </c>
    </row>
    <row r="50401" ht="15.75" customHeight="1">
      <c r="A50401" s="7"/>
      <c r="B50401" s="7"/>
      <c r="M50401" s="9" t="s">
        <v>23</v>
      </c>
    </row>
    <row r="50402" ht="15.75" customHeight="1">
      <c r="A50402" s="7"/>
      <c r="B50402" s="7"/>
      <c r="M50402" s="9" t="s">
        <v>26</v>
      </c>
    </row>
    <row r="50403" ht="15.75" customHeight="1">
      <c r="A50403" s="7"/>
      <c r="B50403" s="7"/>
      <c r="M50403" s="9" t="s">
        <v>24</v>
      </c>
    </row>
    <row r="50404" ht="15.75" customHeight="1">
      <c r="A50404" s="7"/>
      <c r="B50404" s="7"/>
      <c r="M50404" s="9" t="s">
        <v>21</v>
      </c>
    </row>
    <row r="50405" ht="15.75" customHeight="1">
      <c r="A50405" s="7"/>
      <c r="B50405" s="7"/>
      <c r="M50405" s="9" t="s">
        <v>37</v>
      </c>
    </row>
    <row r="50406" ht="15.75" customHeight="1">
      <c r="A50406" s="7"/>
      <c r="B50406" s="7"/>
      <c r="M50406" s="9" t="s">
        <v>22</v>
      </c>
    </row>
    <row r="50407" ht="15.75" customHeight="1">
      <c r="A50407" s="7"/>
      <c r="B50407" s="7"/>
      <c r="M50407" s="9" t="s">
        <v>31</v>
      </c>
    </row>
    <row r="50408" ht="15.75" customHeight="1">
      <c r="A50408" s="7"/>
      <c r="B50408" s="7"/>
      <c r="M50408" s="9" t="s">
        <v>27</v>
      </c>
    </row>
    <row r="50409" ht="15.75" customHeight="1">
      <c r="A50409" s="7"/>
      <c r="B50409" s="7"/>
      <c r="M50409" s="9" t="s">
        <v>33</v>
      </c>
    </row>
    <row r="50410" ht="15.75" customHeight="1">
      <c r="A50410" s="7"/>
      <c r="B50410" s="7"/>
      <c r="M50410" s="9" t="s">
        <v>25</v>
      </c>
    </row>
    <row r="50411" ht="15.75" customHeight="1">
      <c r="A50411" s="7"/>
      <c r="B50411" s="7"/>
      <c r="M50411" s="9" t="s">
        <v>23</v>
      </c>
    </row>
    <row r="50412" ht="15.75" customHeight="1">
      <c r="A50412" s="7"/>
      <c r="B50412" s="7"/>
      <c r="M50412" s="9" t="s">
        <v>24</v>
      </c>
    </row>
    <row r="50413" ht="15.75" customHeight="1">
      <c r="A50413" s="7"/>
      <c r="B50413" s="7"/>
      <c r="M50413" s="9" t="s">
        <v>20</v>
      </c>
    </row>
    <row r="50414" ht="15.75" customHeight="1">
      <c r="A50414" s="7"/>
      <c r="B50414" s="7"/>
      <c r="M50414" s="9" t="s">
        <v>21</v>
      </c>
    </row>
    <row r="50415" ht="15.75" customHeight="1">
      <c r="A50415" s="7"/>
      <c r="B50415" s="7"/>
      <c r="M50415" s="9" t="s">
        <v>37</v>
      </c>
    </row>
    <row r="50416" ht="15.75" customHeight="1">
      <c r="A50416" s="7"/>
      <c r="B50416" s="7"/>
      <c r="M50416" s="9" t="s">
        <v>40</v>
      </c>
    </row>
    <row r="50417" ht="15.75" customHeight="1">
      <c r="A50417" s="7"/>
      <c r="B50417" s="7"/>
      <c r="M50417" s="9" t="s">
        <v>24</v>
      </c>
    </row>
    <row r="50418" ht="15.75" customHeight="1">
      <c r="A50418" s="7"/>
      <c r="B50418" s="7"/>
      <c r="M50418" s="9" t="s">
        <v>21</v>
      </c>
    </row>
    <row r="50419" ht="15.75" customHeight="1">
      <c r="A50419" s="7"/>
      <c r="B50419" s="7"/>
      <c r="M50419" s="9" t="s">
        <v>37</v>
      </c>
    </row>
    <row r="50420" ht="15.75" customHeight="1">
      <c r="A50420" s="7"/>
      <c r="B50420" s="7"/>
      <c r="M50420" s="9" t="s">
        <v>22</v>
      </c>
    </row>
    <row r="50421" ht="15.75" customHeight="1">
      <c r="A50421" s="7"/>
      <c r="B50421" s="7"/>
      <c r="M50421" s="9" t="s">
        <v>27</v>
      </c>
    </row>
    <row r="50422" ht="15.75" customHeight="1">
      <c r="A50422" s="7"/>
      <c r="B50422" s="7"/>
      <c r="M50422" s="9" t="s">
        <v>30</v>
      </c>
    </row>
    <row r="50423" ht="15.75" customHeight="1">
      <c r="A50423" s="7"/>
      <c r="B50423" s="7"/>
      <c r="M50423" s="9" t="s">
        <v>26</v>
      </c>
    </row>
    <row r="50424" ht="15.75" customHeight="1">
      <c r="A50424" s="7"/>
      <c r="B50424" s="7"/>
      <c r="M50424" s="9" t="s">
        <v>24</v>
      </c>
    </row>
    <row r="50425" ht="15.75" customHeight="1">
      <c r="A50425" s="7"/>
      <c r="B50425" s="7"/>
      <c r="M50425" s="9" t="s">
        <v>20</v>
      </c>
    </row>
    <row r="50426" ht="15.75" customHeight="1">
      <c r="A50426" s="7"/>
      <c r="B50426" s="7"/>
      <c r="M50426" s="9" t="s">
        <v>21</v>
      </c>
    </row>
    <row r="50427" ht="15.75" customHeight="1">
      <c r="A50427" s="7"/>
      <c r="B50427" s="7"/>
      <c r="M50427" s="9" t="s">
        <v>27</v>
      </c>
    </row>
    <row r="50428" ht="15.75" customHeight="1">
      <c r="A50428" s="7"/>
      <c r="B50428" s="7"/>
      <c r="M50428" s="9" t="s">
        <v>33</v>
      </c>
    </row>
    <row r="50429" ht="15.75" customHeight="1">
      <c r="A50429" s="7"/>
      <c r="B50429" s="7"/>
      <c r="M50429" s="9" t="s">
        <v>24</v>
      </c>
    </row>
    <row r="50430" ht="15.75" customHeight="1">
      <c r="A50430" s="7"/>
      <c r="B50430" s="7"/>
      <c r="M50430" s="9" t="s">
        <v>21</v>
      </c>
    </row>
    <row r="50431" ht="15.75" customHeight="1">
      <c r="A50431" s="7"/>
      <c r="B50431" s="7"/>
      <c r="M50431" s="9" t="s">
        <v>37</v>
      </c>
    </row>
    <row r="50432" ht="15.75" customHeight="1">
      <c r="A50432" s="7"/>
      <c r="B50432" s="7"/>
      <c r="M50432" s="9" t="s">
        <v>27</v>
      </c>
    </row>
    <row r="50433" ht="15.75" customHeight="1">
      <c r="A50433" s="7"/>
      <c r="B50433" s="7"/>
      <c r="M50433" s="9" t="s">
        <v>30</v>
      </c>
    </row>
    <row r="50434" ht="15.75" customHeight="1">
      <c r="A50434" s="7"/>
      <c r="B50434" s="7"/>
      <c r="M50434" s="9" t="s">
        <v>20</v>
      </c>
    </row>
    <row r="50435" ht="15.75" customHeight="1">
      <c r="A50435" s="7"/>
      <c r="B50435" s="7"/>
      <c r="M50435" s="9" t="s">
        <v>21</v>
      </c>
    </row>
    <row r="50436" ht="15.75" customHeight="1">
      <c r="A50436" s="7"/>
      <c r="B50436" s="7"/>
      <c r="M50436" s="9" t="s">
        <v>33</v>
      </c>
    </row>
    <row r="50437" ht="15.75" customHeight="1">
      <c r="A50437" s="7"/>
      <c r="B50437" s="7"/>
      <c r="M50437" s="9" t="s">
        <v>21</v>
      </c>
    </row>
    <row r="50438" ht="15.75" customHeight="1">
      <c r="A50438" s="7"/>
      <c r="B50438" s="7"/>
      <c r="M50438" s="9" t="s">
        <v>40</v>
      </c>
    </row>
    <row r="50439" ht="15.75" customHeight="1">
      <c r="A50439" s="7"/>
      <c r="B50439" s="7"/>
      <c r="M50439" s="9" t="s">
        <v>24</v>
      </c>
    </row>
    <row r="50440" ht="15.75" customHeight="1">
      <c r="A50440" s="7"/>
      <c r="B50440" s="7"/>
      <c r="M50440" s="9" t="s">
        <v>21</v>
      </c>
    </row>
    <row r="50441" ht="15.75" customHeight="1">
      <c r="A50441" s="7"/>
      <c r="B50441" s="7"/>
      <c r="M50441" s="9" t="s">
        <v>37</v>
      </c>
    </row>
    <row r="50442" ht="15.75" customHeight="1">
      <c r="A50442" s="7"/>
      <c r="B50442" s="7"/>
      <c r="M50442" s="9" t="s">
        <v>30</v>
      </c>
    </row>
    <row r="50443" ht="15.75" customHeight="1">
      <c r="A50443" s="7"/>
      <c r="B50443" s="7"/>
      <c r="M50443" s="9" t="s">
        <v>20</v>
      </c>
    </row>
    <row r="50444" ht="15.75" customHeight="1">
      <c r="A50444" s="7"/>
      <c r="B50444" s="7"/>
      <c r="M50444" s="9" t="s">
        <v>46</v>
      </c>
    </row>
    <row r="50445" ht="15.75" customHeight="1">
      <c r="A50445" s="7"/>
      <c r="B50445" s="7"/>
      <c r="M50445" s="9" t="s">
        <v>27</v>
      </c>
    </row>
    <row r="50446" ht="15.75" customHeight="1">
      <c r="A50446" s="7"/>
      <c r="B50446" s="7"/>
      <c r="M50446" s="9" t="s">
        <v>38</v>
      </c>
    </row>
    <row r="50447" ht="15.75" customHeight="1">
      <c r="A50447" s="7"/>
      <c r="B50447" s="7"/>
      <c r="M50447" s="9" t="s">
        <v>25</v>
      </c>
    </row>
    <row r="50448" ht="15.75" customHeight="1">
      <c r="A50448" s="7"/>
      <c r="B50448" s="7"/>
      <c r="M50448" s="9" t="s">
        <v>20</v>
      </c>
    </row>
    <row r="50449" ht="15.75" customHeight="1">
      <c r="A50449" s="7"/>
      <c r="B50449" s="7"/>
      <c r="M50449" s="9" t="s">
        <v>22</v>
      </c>
    </row>
    <row r="50450" ht="15.75" customHeight="1">
      <c r="A50450" s="7"/>
      <c r="B50450" s="7"/>
      <c r="M50450" s="9" t="s">
        <v>29</v>
      </c>
    </row>
    <row r="50451" ht="15.75" customHeight="1">
      <c r="A50451" s="7"/>
      <c r="B50451" s="7"/>
      <c r="M50451" s="9" t="s">
        <v>28</v>
      </c>
    </row>
    <row r="50452" ht="15.75" customHeight="1">
      <c r="A50452" s="7"/>
      <c r="B50452" s="7"/>
      <c r="M50452" s="9" t="s">
        <v>20</v>
      </c>
    </row>
    <row r="50453" ht="15.75" customHeight="1">
      <c r="A50453" s="7"/>
      <c r="B50453" s="7"/>
      <c r="M50453" s="9" t="s">
        <v>24</v>
      </c>
    </row>
    <row r="50454" ht="15.75" customHeight="1">
      <c r="A50454" s="7"/>
      <c r="B50454" s="7"/>
      <c r="M50454" s="9" t="s">
        <v>20</v>
      </c>
    </row>
    <row r="50455" ht="15.75" customHeight="1">
      <c r="A50455" s="7"/>
      <c r="B50455" s="7"/>
      <c r="M50455" s="9" t="s">
        <v>21</v>
      </c>
    </row>
    <row r="50456" ht="15.75" customHeight="1">
      <c r="A50456" s="7"/>
      <c r="B50456" s="7"/>
      <c r="M50456" s="9" t="s">
        <v>39</v>
      </c>
    </row>
    <row r="50457" ht="15.75" customHeight="1">
      <c r="A50457" s="7"/>
      <c r="B50457" s="7"/>
      <c r="M50457" s="9" t="s">
        <v>22</v>
      </c>
    </row>
    <row r="50458" ht="15.75" customHeight="1">
      <c r="A50458" s="7"/>
      <c r="B50458" s="7"/>
      <c r="M50458" s="9" t="s">
        <v>27</v>
      </c>
    </row>
    <row r="50459" ht="15.75" customHeight="1">
      <c r="A50459" s="7"/>
      <c r="B50459" s="7"/>
      <c r="M50459" s="9" t="s">
        <v>30</v>
      </c>
    </row>
    <row r="50460" ht="15.75" customHeight="1">
      <c r="A50460" s="7"/>
      <c r="B50460" s="7"/>
      <c r="M50460" s="9" t="s">
        <v>25</v>
      </c>
    </row>
    <row r="50461" ht="15.75" customHeight="1">
      <c r="A50461" s="7"/>
      <c r="B50461" s="7"/>
      <c r="M50461" s="9" t="s">
        <v>24</v>
      </c>
    </row>
    <row r="50462" ht="15.75" customHeight="1">
      <c r="A50462" s="7"/>
      <c r="B50462" s="7"/>
      <c r="M50462" s="9" t="s">
        <v>20</v>
      </c>
    </row>
    <row r="50463" ht="15.75" customHeight="1">
      <c r="A50463" s="7"/>
      <c r="B50463" s="7"/>
      <c r="M50463" s="9" t="s">
        <v>21</v>
      </c>
    </row>
    <row r="50464" ht="15.75" customHeight="1">
      <c r="A50464" s="7"/>
      <c r="B50464" s="7"/>
      <c r="M50464" s="9" t="s">
        <v>22</v>
      </c>
    </row>
    <row r="50465" ht="15.75" customHeight="1">
      <c r="A50465" s="7"/>
      <c r="B50465" s="7"/>
      <c r="M50465" s="9" t="s">
        <v>27</v>
      </c>
    </row>
    <row r="50466" ht="15.75" customHeight="1">
      <c r="A50466" s="7"/>
      <c r="B50466" s="7"/>
      <c r="M50466" s="9" t="s">
        <v>33</v>
      </c>
    </row>
    <row r="50467" ht="15.75" customHeight="1">
      <c r="A50467" s="7"/>
      <c r="B50467" s="7"/>
      <c r="M50467" s="9" t="s">
        <v>24</v>
      </c>
    </row>
    <row r="50468" ht="15.75" customHeight="1">
      <c r="A50468" s="7"/>
      <c r="B50468" s="7"/>
      <c r="M50468" s="9" t="s">
        <v>27</v>
      </c>
    </row>
    <row r="50469" ht="15.75" customHeight="1">
      <c r="A50469" s="7"/>
      <c r="B50469" s="7"/>
      <c r="M50469" s="9" t="s">
        <v>24</v>
      </c>
    </row>
    <row r="50470" ht="15.75" customHeight="1">
      <c r="A50470" s="7"/>
      <c r="B50470" s="7"/>
      <c r="M50470" s="9" t="s">
        <v>21</v>
      </c>
    </row>
    <row r="50471" ht="15.75" customHeight="1">
      <c r="A50471" s="7"/>
      <c r="B50471" s="7"/>
      <c r="M50471" s="9" t="s">
        <v>37</v>
      </c>
    </row>
    <row r="50472" ht="15.75" customHeight="1">
      <c r="A50472" s="7"/>
      <c r="B50472" s="7"/>
      <c r="M50472" s="9" t="s">
        <v>27</v>
      </c>
    </row>
    <row r="50473" ht="15.75" customHeight="1">
      <c r="A50473" s="7"/>
      <c r="B50473" s="7"/>
      <c r="M50473" s="9" t="s">
        <v>40</v>
      </c>
    </row>
    <row r="50474" ht="15.75" customHeight="1">
      <c r="A50474" s="7"/>
      <c r="B50474" s="7"/>
      <c r="M50474" s="9" t="s">
        <v>24</v>
      </c>
    </row>
    <row r="50475" ht="15.75" customHeight="1">
      <c r="A50475" s="7"/>
      <c r="B50475" s="7"/>
      <c r="M50475" s="9" t="s">
        <v>20</v>
      </c>
    </row>
    <row r="50476" ht="15.75" customHeight="1">
      <c r="A50476" s="7"/>
      <c r="B50476" s="7"/>
      <c r="M50476" s="9" t="s">
        <v>21</v>
      </c>
    </row>
    <row r="50477" ht="15.75" customHeight="1">
      <c r="A50477" s="7"/>
      <c r="B50477" s="7"/>
      <c r="M50477" s="9" t="s">
        <v>46</v>
      </c>
    </row>
    <row r="50478" ht="15.75" customHeight="1">
      <c r="A50478" s="7"/>
      <c r="B50478" s="7"/>
      <c r="M50478" s="9" t="s">
        <v>27</v>
      </c>
    </row>
    <row r="50479" ht="15.75" customHeight="1">
      <c r="A50479" s="7"/>
      <c r="B50479" s="7"/>
      <c r="M50479" s="9" t="s">
        <v>30</v>
      </c>
    </row>
    <row r="50480" ht="15.75" customHeight="1">
      <c r="A50480" s="7"/>
      <c r="B50480" s="7"/>
      <c r="M50480" s="9" t="s">
        <v>24</v>
      </c>
    </row>
    <row r="50481" ht="15.75" customHeight="1">
      <c r="A50481" s="7"/>
      <c r="B50481" s="7"/>
      <c r="M50481" s="9" t="s">
        <v>21</v>
      </c>
    </row>
    <row r="50482" ht="15.75" customHeight="1">
      <c r="A50482" s="7"/>
      <c r="B50482" s="7"/>
      <c r="M50482" s="9" t="s">
        <v>22</v>
      </c>
    </row>
    <row r="50483" ht="15.75" customHeight="1">
      <c r="A50483" s="7"/>
      <c r="B50483" s="7"/>
      <c r="M50483" s="9" t="s">
        <v>20</v>
      </c>
    </row>
    <row r="50484" ht="15.75" customHeight="1">
      <c r="A50484" s="7"/>
      <c r="B50484" s="7"/>
      <c r="M50484" s="9" t="s">
        <v>21</v>
      </c>
    </row>
    <row r="50485" ht="15.75" customHeight="1">
      <c r="A50485" s="7"/>
      <c r="B50485" s="7"/>
      <c r="M50485" s="9" t="s">
        <v>27</v>
      </c>
    </row>
    <row r="50486" ht="15.75" customHeight="1">
      <c r="A50486" s="7"/>
      <c r="B50486" s="7"/>
      <c r="M50486" s="9" t="s">
        <v>33</v>
      </c>
    </row>
    <row r="50487" ht="15.75" customHeight="1">
      <c r="A50487" s="7"/>
      <c r="B50487" s="7"/>
      <c r="M50487" s="9" t="s">
        <v>38</v>
      </c>
    </row>
    <row r="50488" ht="15.75" customHeight="1">
      <c r="A50488" s="7"/>
      <c r="B50488" s="7"/>
      <c r="M50488" s="9" t="s">
        <v>30</v>
      </c>
    </row>
    <row r="50489" ht="15.75" customHeight="1">
      <c r="A50489" s="7"/>
      <c r="B50489" s="7"/>
      <c r="M50489" s="9" t="s">
        <v>25</v>
      </c>
    </row>
    <row r="50490" ht="15.75" customHeight="1">
      <c r="A50490" s="7"/>
      <c r="B50490" s="7"/>
      <c r="M50490" s="9" t="s">
        <v>24</v>
      </c>
    </row>
    <row r="50491" ht="15.75" customHeight="1">
      <c r="A50491" s="7"/>
      <c r="B50491" s="7"/>
      <c r="M50491" s="9" t="s">
        <v>21</v>
      </c>
    </row>
    <row r="50492" ht="15.75" customHeight="1">
      <c r="A50492" s="7"/>
      <c r="B50492" s="7"/>
      <c r="M50492" s="9" t="s">
        <v>39</v>
      </c>
    </row>
    <row r="50493" ht="15.75" customHeight="1">
      <c r="A50493" s="7"/>
      <c r="B50493" s="7"/>
      <c r="M50493" s="9" t="s">
        <v>37</v>
      </c>
    </row>
    <row r="50494" ht="15.75" customHeight="1">
      <c r="A50494" s="7"/>
      <c r="B50494" s="7"/>
      <c r="M50494" s="9" t="s">
        <v>22</v>
      </c>
    </row>
    <row r="50495" ht="15.75" customHeight="1">
      <c r="A50495" s="7"/>
      <c r="B50495" s="7"/>
      <c r="M50495" s="9" t="s">
        <v>27</v>
      </c>
    </row>
    <row r="50496" ht="15.75" customHeight="1">
      <c r="A50496" s="7"/>
      <c r="B50496" s="7"/>
      <c r="M50496" s="9" t="s">
        <v>35</v>
      </c>
    </row>
    <row r="50497" ht="15.75" customHeight="1">
      <c r="A50497" s="7"/>
      <c r="B50497" s="7"/>
      <c r="M50497" s="9" t="s">
        <v>30</v>
      </c>
    </row>
    <row r="50498" ht="15.75" customHeight="1">
      <c r="A50498" s="7"/>
      <c r="B50498" s="7"/>
      <c r="M50498" s="9" t="s">
        <v>23</v>
      </c>
    </row>
    <row r="50499" ht="15.75" customHeight="1">
      <c r="A50499" s="7"/>
      <c r="B50499" s="7"/>
      <c r="M50499" s="9" t="s">
        <v>21</v>
      </c>
    </row>
    <row r="50500" ht="15.75" customHeight="1">
      <c r="A50500" s="7"/>
      <c r="B50500" s="7"/>
      <c r="M50500" s="9" t="s">
        <v>22</v>
      </c>
    </row>
    <row r="50501" ht="15.75" customHeight="1">
      <c r="A50501" s="7"/>
      <c r="B50501" s="7"/>
      <c r="M50501" s="9" t="s">
        <v>30</v>
      </c>
    </row>
    <row r="50502" ht="15.75" customHeight="1">
      <c r="A50502" s="7"/>
      <c r="B50502" s="7"/>
      <c r="M50502" s="9" t="s">
        <v>26</v>
      </c>
    </row>
    <row r="50503" ht="15.75" customHeight="1">
      <c r="A50503" s="7"/>
      <c r="B50503" s="7"/>
      <c r="M50503" s="9" t="s">
        <v>36</v>
      </c>
    </row>
    <row r="50504" ht="15.75" customHeight="1">
      <c r="A50504" s="7"/>
      <c r="B50504" s="7"/>
      <c r="M50504" s="9" t="s">
        <v>31</v>
      </c>
    </row>
    <row r="50505" ht="15.75" customHeight="1">
      <c r="A50505" s="7"/>
      <c r="B50505" s="7"/>
      <c r="M50505" s="9" t="s">
        <v>27</v>
      </c>
    </row>
    <row r="50506" ht="15.75" customHeight="1">
      <c r="A50506" s="7"/>
      <c r="B50506" s="7"/>
      <c r="M50506" s="9" t="s">
        <v>33</v>
      </c>
    </row>
    <row r="50507" ht="15.75" customHeight="1">
      <c r="A50507" s="7"/>
      <c r="B50507" s="7"/>
      <c r="M50507" s="9" t="s">
        <v>41</v>
      </c>
    </row>
    <row r="50508" ht="15.75" customHeight="1">
      <c r="A50508" s="7"/>
      <c r="B50508" s="7"/>
      <c r="M50508" s="9" t="s">
        <v>40</v>
      </c>
    </row>
    <row r="50509" ht="15.75" customHeight="1">
      <c r="A50509" s="7"/>
      <c r="B50509" s="7"/>
      <c r="M50509" s="9" t="s">
        <v>24</v>
      </c>
    </row>
    <row r="50510" ht="15.75" customHeight="1">
      <c r="A50510" s="7"/>
      <c r="B50510" s="7"/>
      <c r="M50510" s="9" t="s">
        <v>21</v>
      </c>
    </row>
    <row r="50511" ht="15.75" customHeight="1">
      <c r="A50511" s="7"/>
      <c r="B50511" s="7"/>
      <c r="M50511" s="9" t="s">
        <v>30</v>
      </c>
    </row>
    <row r="50512" ht="15.75" customHeight="1">
      <c r="A50512" s="7"/>
      <c r="B50512" s="7"/>
      <c r="M50512" s="9" t="s">
        <v>25</v>
      </c>
    </row>
    <row r="50513" ht="15.75" customHeight="1">
      <c r="A50513" s="7"/>
      <c r="B50513" s="7"/>
      <c r="M50513" s="9" t="s">
        <v>23</v>
      </c>
    </row>
    <row r="50514" ht="15.75" customHeight="1">
      <c r="A50514" s="7"/>
      <c r="B50514" s="7"/>
      <c r="M50514" s="9" t="s">
        <v>20</v>
      </c>
    </row>
    <row r="50515" ht="15.75" customHeight="1">
      <c r="A50515" s="7"/>
      <c r="B50515" s="7"/>
      <c r="M50515" s="9" t="s">
        <v>21</v>
      </c>
    </row>
    <row r="50516" ht="15.75" customHeight="1">
      <c r="A50516" s="7"/>
      <c r="B50516" s="7"/>
      <c r="M50516" s="9" t="s">
        <v>32</v>
      </c>
    </row>
    <row r="50517" ht="15.75" customHeight="1">
      <c r="A50517" s="7"/>
      <c r="B50517" s="7"/>
      <c r="M50517" s="9" t="s">
        <v>21</v>
      </c>
    </row>
    <row r="50518" ht="15.75" customHeight="1">
      <c r="A50518" s="7"/>
      <c r="B50518" s="7"/>
      <c r="M50518" s="9" t="s">
        <v>41</v>
      </c>
    </row>
    <row r="50519" ht="15.75" customHeight="1">
      <c r="A50519" s="7"/>
      <c r="B50519" s="7"/>
      <c r="M50519" s="9" t="s">
        <v>40</v>
      </c>
    </row>
    <row r="50520" ht="15.75" customHeight="1">
      <c r="A50520" s="7"/>
      <c r="B50520" s="7"/>
      <c r="M50520" s="9" t="s">
        <v>25</v>
      </c>
    </row>
    <row r="50521" ht="15.75" customHeight="1">
      <c r="A50521" s="7"/>
      <c r="B50521" s="7"/>
      <c r="M50521" s="9" t="s">
        <v>36</v>
      </c>
    </row>
    <row r="50522" ht="15.75" customHeight="1">
      <c r="A50522" s="7"/>
      <c r="B50522" s="7"/>
      <c r="M50522" s="9" t="s">
        <v>24</v>
      </c>
    </row>
    <row r="50523" ht="15.75" customHeight="1">
      <c r="A50523" s="7"/>
      <c r="B50523" s="7"/>
      <c r="M50523" s="9" t="s">
        <v>21</v>
      </c>
    </row>
    <row r="50524" ht="15.75" customHeight="1">
      <c r="A50524" s="7"/>
      <c r="B50524" s="7"/>
      <c r="M50524" s="9" t="s">
        <v>22</v>
      </c>
    </row>
    <row r="50525" ht="15.75" customHeight="1">
      <c r="A50525" s="7"/>
      <c r="B50525" s="7"/>
      <c r="M50525" s="9" t="s">
        <v>30</v>
      </c>
    </row>
    <row r="50526" ht="15.75" customHeight="1">
      <c r="A50526" s="7"/>
      <c r="B50526" s="7"/>
      <c r="M50526" s="9" t="s">
        <v>26</v>
      </c>
    </row>
    <row r="50527" ht="15.75" customHeight="1">
      <c r="A50527" s="7"/>
      <c r="B50527" s="7"/>
      <c r="M50527" s="9" t="s">
        <v>24</v>
      </c>
    </row>
    <row r="50528" ht="15.75" customHeight="1">
      <c r="A50528" s="7"/>
      <c r="B50528" s="7"/>
      <c r="M50528" s="9" t="s">
        <v>21</v>
      </c>
    </row>
    <row r="50529" ht="15.75" customHeight="1">
      <c r="A50529" s="7"/>
      <c r="B50529" s="7"/>
      <c r="M50529" s="9" t="s">
        <v>27</v>
      </c>
    </row>
    <row r="50530" ht="15.75" customHeight="1">
      <c r="A50530" s="7"/>
      <c r="B50530" s="7"/>
      <c r="M50530" s="9" t="s">
        <v>35</v>
      </c>
    </row>
    <row r="50531" ht="15.75" customHeight="1">
      <c r="A50531" s="7"/>
      <c r="B50531" s="7"/>
    </row>
    <row r="50532" ht="15.75" customHeight="1">
      <c r="A50532" s="7"/>
      <c r="B50532" s="7"/>
    </row>
    <row r="50533" ht="15.75" customHeight="1">
      <c r="A50533" s="7"/>
      <c r="B50533" s="7"/>
    </row>
    <row r="50534" ht="15.75" customHeight="1">
      <c r="A50534" s="7"/>
      <c r="B50534" s="7"/>
    </row>
    <row r="50535" ht="15.75" customHeight="1">
      <c r="A50535" s="7"/>
      <c r="B50535" s="7"/>
    </row>
    <row r="50536" ht="15.75" customHeight="1">
      <c r="A50536" s="7"/>
      <c r="B50536" s="7"/>
    </row>
    <row r="50537" ht="15.75" customHeight="1">
      <c r="A50537" s="7"/>
      <c r="B50537" s="7"/>
    </row>
    <row r="50538" ht="15.75" customHeight="1">
      <c r="A50538" s="7"/>
      <c r="B50538" s="7"/>
    </row>
    <row r="50539" ht="15.75" customHeight="1">
      <c r="A50539" s="7"/>
      <c r="B50539" s="7"/>
    </row>
    <row r="50540" ht="15.75" customHeight="1">
      <c r="A50540" s="7"/>
      <c r="B50540" s="7"/>
    </row>
    <row r="50541" ht="15.75" customHeight="1">
      <c r="A50541" s="7"/>
      <c r="B50541" s="7"/>
    </row>
    <row r="50542" ht="15.75" customHeight="1">
      <c r="A50542" s="7"/>
      <c r="B50542" s="7"/>
    </row>
    <row r="50543" ht="15.75" customHeight="1">
      <c r="A50543" s="7"/>
      <c r="B50543" s="7"/>
    </row>
    <row r="50544" ht="15.75" customHeight="1">
      <c r="A50544" s="7"/>
      <c r="B50544" s="7"/>
    </row>
    <row r="50545" ht="15.75" customHeight="1">
      <c r="A50545" s="7"/>
      <c r="B50545" s="7"/>
    </row>
    <row r="50546" ht="15.75" customHeight="1">
      <c r="A50546" s="7"/>
      <c r="B50546" s="7"/>
    </row>
    <row r="50547" ht="15.75" customHeight="1">
      <c r="A50547" s="7"/>
      <c r="B50547" s="7"/>
    </row>
    <row r="50548" ht="15.75" customHeight="1">
      <c r="A50548" s="7"/>
      <c r="B50548" s="7"/>
    </row>
    <row r="50549" ht="15.75" customHeight="1">
      <c r="A50549" s="7"/>
      <c r="B50549" s="7"/>
    </row>
    <row r="50550" ht="15.75" customHeight="1">
      <c r="A50550" s="7"/>
      <c r="B50550" s="7"/>
    </row>
    <row r="50551" ht="15.75" customHeight="1">
      <c r="A50551" s="7"/>
      <c r="B50551" s="7"/>
    </row>
    <row r="50552" ht="15.75" customHeight="1">
      <c r="A50552" s="7"/>
      <c r="B50552" s="7"/>
    </row>
    <row r="50553" ht="15.75" customHeight="1">
      <c r="A50553" s="7"/>
      <c r="B50553" s="7"/>
    </row>
    <row r="50554" ht="15.75" customHeight="1">
      <c r="A50554" s="7"/>
      <c r="B50554" s="7"/>
    </row>
    <row r="50555" ht="15.75" customHeight="1">
      <c r="A50555" s="7"/>
      <c r="B50555" s="7"/>
    </row>
    <row r="50556" ht="15.75" customHeight="1">
      <c r="A50556" s="7"/>
      <c r="B50556" s="7"/>
    </row>
    <row r="50557" ht="15.75" customHeight="1">
      <c r="A50557" s="7"/>
      <c r="B50557" s="7"/>
    </row>
    <row r="50558" ht="15.75" customHeight="1">
      <c r="A50558" s="7"/>
      <c r="B50558" s="7"/>
    </row>
    <row r="50559" ht="15.75" customHeight="1">
      <c r="A50559" s="7"/>
      <c r="B50559" s="7"/>
    </row>
    <row r="50560" ht="15.75" customHeight="1">
      <c r="A50560" s="7"/>
      <c r="B50560" s="7"/>
    </row>
    <row r="50561" ht="15.75" customHeight="1">
      <c r="A50561" s="7"/>
      <c r="B50561" s="7"/>
    </row>
    <row r="50562" ht="15.75" customHeight="1">
      <c r="A50562" s="7"/>
      <c r="B50562" s="7"/>
    </row>
    <row r="50563" ht="15.75" customHeight="1">
      <c r="A50563" s="7"/>
      <c r="B50563" s="7"/>
    </row>
    <row r="50564" ht="15.75" customHeight="1">
      <c r="A50564" s="7"/>
      <c r="B50564" s="7"/>
    </row>
    <row r="50565" ht="15.75" customHeight="1">
      <c r="A50565" s="7"/>
      <c r="B50565" s="7"/>
    </row>
    <row r="50566" ht="15.75" customHeight="1">
      <c r="A50566" s="7"/>
      <c r="B50566" s="7"/>
    </row>
    <row r="50567" ht="15.75" customHeight="1">
      <c r="A50567" s="7"/>
      <c r="B50567" s="7"/>
    </row>
    <row r="50568" ht="15.75" customHeight="1">
      <c r="A50568" s="7"/>
      <c r="B50568" s="7"/>
    </row>
    <row r="50569" ht="15.75" customHeight="1">
      <c r="A50569" s="7"/>
      <c r="B50569" s="7"/>
    </row>
    <row r="50570" ht="15.75" customHeight="1">
      <c r="A50570" s="7"/>
      <c r="B50570" s="7"/>
    </row>
    <row r="50571" ht="15.75" customHeight="1">
      <c r="A50571" s="7"/>
      <c r="B50571" s="7"/>
    </row>
    <row r="50572" ht="15.75" customHeight="1">
      <c r="A50572" s="7"/>
      <c r="B50572" s="7"/>
    </row>
    <row r="50573" ht="15.75" customHeight="1">
      <c r="A50573" s="7"/>
      <c r="B50573" s="7"/>
    </row>
    <row r="50574" ht="15.75" customHeight="1">
      <c r="A50574" s="7"/>
      <c r="B50574" s="7"/>
    </row>
    <row r="50575" ht="15.75" customHeight="1">
      <c r="A50575" s="7"/>
      <c r="B50575" s="7"/>
    </row>
    <row r="50576" ht="15.75" customHeight="1">
      <c r="A50576" s="7"/>
      <c r="B50576" s="7"/>
    </row>
    <row r="50577" ht="15.75" customHeight="1">
      <c r="A50577" s="7"/>
      <c r="B50577" s="7"/>
    </row>
    <row r="50578" ht="15.75" customHeight="1">
      <c r="A50578" s="7"/>
      <c r="B50578" s="7"/>
    </row>
    <row r="50579" ht="15.75" customHeight="1">
      <c r="A50579" s="7"/>
      <c r="B50579" s="7"/>
    </row>
    <row r="50580" ht="15.75" customHeight="1">
      <c r="A50580" s="7"/>
      <c r="B50580" s="7"/>
    </row>
    <row r="50581" ht="15.75" customHeight="1">
      <c r="A50581" s="7"/>
      <c r="B50581" s="7"/>
    </row>
    <row r="50582" ht="15.75" customHeight="1">
      <c r="A50582" s="7"/>
      <c r="B50582" s="7"/>
    </row>
    <row r="50583" ht="15.75" customHeight="1">
      <c r="A50583" s="7"/>
      <c r="B50583" s="7"/>
    </row>
    <row r="50584" ht="15.75" customHeight="1">
      <c r="A50584" s="7"/>
      <c r="B50584" s="7"/>
    </row>
    <row r="50585" ht="15.75" customHeight="1">
      <c r="A50585" s="7"/>
      <c r="B50585" s="7"/>
    </row>
    <row r="50586" ht="15.75" customHeight="1">
      <c r="A50586" s="7"/>
      <c r="B50586" s="7"/>
    </row>
    <row r="50587" ht="15.75" customHeight="1">
      <c r="A50587" s="7"/>
      <c r="B50587" s="7"/>
    </row>
    <row r="50588" ht="15.75" customHeight="1">
      <c r="A50588" s="7"/>
      <c r="B50588" s="7"/>
    </row>
    <row r="50589" ht="15.75" customHeight="1">
      <c r="A50589" s="7"/>
      <c r="B50589" s="7"/>
    </row>
    <row r="50590" ht="15.75" customHeight="1">
      <c r="A50590" s="7"/>
      <c r="B50590" s="7"/>
    </row>
    <row r="50591" ht="15.75" customHeight="1">
      <c r="A50591" s="7"/>
      <c r="B50591" s="7"/>
    </row>
    <row r="50592" ht="15.75" customHeight="1">
      <c r="A50592" s="7"/>
      <c r="B50592" s="7"/>
    </row>
    <row r="50593" ht="15.75" customHeight="1">
      <c r="A50593" s="7"/>
      <c r="B50593" s="7"/>
    </row>
    <row r="50594" ht="15.75" customHeight="1">
      <c r="A50594" s="7"/>
      <c r="B50594" s="7"/>
    </row>
    <row r="50595" ht="15.75" customHeight="1">
      <c r="A50595" s="7"/>
      <c r="B50595" s="7"/>
    </row>
    <row r="50596" ht="15.75" customHeight="1">
      <c r="A50596" s="7"/>
      <c r="B50596" s="7"/>
    </row>
    <row r="50597" ht="15.75" customHeight="1">
      <c r="A50597" s="7"/>
      <c r="B50597" s="7"/>
    </row>
    <row r="50598" ht="15.75" customHeight="1">
      <c r="A50598" s="7"/>
      <c r="B50598" s="7"/>
    </row>
    <row r="50599" ht="15.75" customHeight="1">
      <c r="A50599" s="7"/>
      <c r="B50599" s="7"/>
    </row>
    <row r="50600" ht="15.75" customHeight="1">
      <c r="A50600" s="7"/>
      <c r="B50600" s="7"/>
    </row>
    <row r="50601" ht="15.75" customHeight="1">
      <c r="A50601" s="7"/>
      <c r="B50601" s="7"/>
    </row>
    <row r="50602" ht="15.75" customHeight="1">
      <c r="A50602" s="7"/>
      <c r="B50602" s="7"/>
    </row>
    <row r="50603" ht="15.75" customHeight="1">
      <c r="A50603" s="7"/>
      <c r="B50603" s="7"/>
    </row>
    <row r="50604" ht="15.75" customHeight="1">
      <c r="A50604" s="7"/>
      <c r="B50604" s="7"/>
    </row>
    <row r="50605" ht="15.75" customHeight="1">
      <c r="A50605" s="7"/>
      <c r="B50605" s="7"/>
    </row>
    <row r="50606" ht="15.75" customHeight="1">
      <c r="A50606" s="7"/>
      <c r="B50606" s="7"/>
    </row>
    <row r="50607" ht="15.75" customHeight="1">
      <c r="A50607" s="7"/>
      <c r="B50607" s="7"/>
    </row>
    <row r="50608" ht="15.75" customHeight="1">
      <c r="A50608" s="7"/>
      <c r="B50608" s="7"/>
    </row>
    <row r="50609" ht="15.75" customHeight="1">
      <c r="A50609" s="7"/>
      <c r="B50609" s="7"/>
    </row>
    <row r="50610" ht="15.75" customHeight="1">
      <c r="A50610" s="7"/>
      <c r="B50610" s="7"/>
    </row>
    <row r="50611" ht="15.75" customHeight="1">
      <c r="A50611" s="7"/>
      <c r="B50611" s="7"/>
    </row>
    <row r="50612" ht="15.75" customHeight="1">
      <c r="A50612" s="7"/>
      <c r="B50612" s="7"/>
    </row>
    <row r="50613" ht="15.75" customHeight="1">
      <c r="A50613" s="7"/>
      <c r="B50613" s="7"/>
    </row>
    <row r="50614" ht="15.75" customHeight="1">
      <c r="A50614" s="7"/>
      <c r="B50614" s="7"/>
    </row>
    <row r="50615" ht="15.75" customHeight="1">
      <c r="A50615" s="7"/>
      <c r="B50615" s="7"/>
    </row>
    <row r="50616" ht="15.75" customHeight="1">
      <c r="A50616" s="7"/>
      <c r="B50616" s="7"/>
    </row>
    <row r="50617" ht="15.75" customHeight="1">
      <c r="A50617" s="7"/>
      <c r="B50617" s="7"/>
    </row>
    <row r="50618" ht="15.75" customHeight="1">
      <c r="A50618" s="7"/>
      <c r="B50618" s="7"/>
    </row>
    <row r="50619" ht="15.75" customHeight="1">
      <c r="A50619" s="7"/>
      <c r="B50619" s="7"/>
    </row>
    <row r="50620" ht="15.75" customHeight="1">
      <c r="A50620" s="7"/>
      <c r="B50620" s="7"/>
    </row>
    <row r="50621" ht="15.75" customHeight="1">
      <c r="A50621" s="7"/>
      <c r="B50621" s="7"/>
    </row>
    <row r="50622" ht="15.75" customHeight="1">
      <c r="A50622" s="7"/>
      <c r="B50622" s="7"/>
    </row>
    <row r="50623" ht="15.75" customHeight="1">
      <c r="A50623" s="7"/>
      <c r="B50623" s="7"/>
    </row>
    <row r="50624" ht="15.75" customHeight="1">
      <c r="A50624" s="7"/>
      <c r="B50624" s="7"/>
    </row>
    <row r="50625" ht="15.75" customHeight="1">
      <c r="A50625" s="7"/>
      <c r="B50625" s="7"/>
    </row>
    <row r="50626" ht="15.75" customHeight="1">
      <c r="A50626" s="7"/>
      <c r="B50626" s="7"/>
    </row>
    <row r="50627" ht="15.75" customHeight="1">
      <c r="A50627" s="7"/>
      <c r="B50627" s="7"/>
    </row>
    <row r="50628" ht="15.75" customHeight="1">
      <c r="A50628" s="7"/>
      <c r="B50628" s="7"/>
    </row>
    <row r="50629" ht="15.75" customHeight="1">
      <c r="A50629" s="7"/>
      <c r="B50629" s="7"/>
    </row>
    <row r="50630" ht="15.75" customHeight="1">
      <c r="A50630" s="7"/>
      <c r="B50630" s="7"/>
    </row>
    <row r="50631" ht="15.75" customHeight="1">
      <c r="A50631" s="7"/>
      <c r="B50631" s="7"/>
    </row>
    <row r="50632" ht="15.75" customHeight="1">
      <c r="A50632" s="7"/>
      <c r="B50632" s="7"/>
    </row>
    <row r="50633" ht="15.75" customHeight="1">
      <c r="A50633" s="7"/>
      <c r="B50633" s="7"/>
    </row>
    <row r="50634" ht="15.75" customHeight="1">
      <c r="A50634" s="7"/>
      <c r="B50634" s="7"/>
    </row>
    <row r="50635" ht="15.75" customHeight="1">
      <c r="A50635" s="7"/>
      <c r="B50635" s="7"/>
    </row>
    <row r="50636" ht="15.75" customHeight="1">
      <c r="A50636" s="7"/>
      <c r="B50636" s="7"/>
    </row>
    <row r="50637" ht="15.75" customHeight="1">
      <c r="A50637" s="7"/>
      <c r="B50637" s="7"/>
    </row>
    <row r="50638" ht="15.75" customHeight="1">
      <c r="A50638" s="7"/>
      <c r="B50638" s="7"/>
    </row>
    <row r="50639" ht="15.75" customHeight="1">
      <c r="A50639" s="7"/>
      <c r="B50639" s="7"/>
    </row>
    <row r="50640" ht="15.75" customHeight="1">
      <c r="A50640" s="7"/>
      <c r="B50640" s="7"/>
    </row>
    <row r="50641" ht="15.75" customHeight="1">
      <c r="A50641" s="7"/>
      <c r="B50641" s="7"/>
    </row>
    <row r="50642" ht="15.75" customHeight="1">
      <c r="A50642" s="7"/>
      <c r="B50642" s="7"/>
    </row>
    <row r="50643" ht="15.75" customHeight="1">
      <c r="A50643" s="7"/>
      <c r="B50643" s="7"/>
    </row>
    <row r="50644" ht="15.75" customHeight="1">
      <c r="A50644" s="7"/>
      <c r="B50644" s="7"/>
    </row>
    <row r="50645" ht="15.75" customHeight="1">
      <c r="A50645" s="7"/>
      <c r="B50645" s="7"/>
    </row>
    <row r="50646" ht="15.75" customHeight="1">
      <c r="A50646" s="7"/>
      <c r="B50646" s="7"/>
    </row>
    <row r="50647" ht="15.75" customHeight="1">
      <c r="A50647" s="7"/>
      <c r="B50647" s="7"/>
    </row>
    <row r="50648" ht="15.75" customHeight="1">
      <c r="A50648" s="7"/>
      <c r="B50648" s="7"/>
    </row>
    <row r="50649" ht="15.75" customHeight="1">
      <c r="A50649" s="7"/>
      <c r="B50649" s="7"/>
    </row>
    <row r="50650" ht="15.75" customHeight="1">
      <c r="A50650" s="7"/>
      <c r="B50650" s="7"/>
    </row>
    <row r="50651" ht="15.75" customHeight="1">
      <c r="A50651" s="7"/>
      <c r="B50651" s="7"/>
    </row>
    <row r="50652" ht="15.75" customHeight="1">
      <c r="A50652" s="7"/>
      <c r="B50652" s="7"/>
    </row>
    <row r="50653" ht="15.75" customHeight="1">
      <c r="A50653" s="7"/>
      <c r="B50653" s="7"/>
    </row>
    <row r="50654" ht="15.75" customHeight="1">
      <c r="A50654" s="7"/>
      <c r="B50654" s="7"/>
    </row>
    <row r="50655" ht="15.75" customHeight="1">
      <c r="A50655" s="7"/>
      <c r="B50655" s="7"/>
    </row>
    <row r="50656" ht="15.75" customHeight="1">
      <c r="A50656" s="7"/>
      <c r="B50656" s="7"/>
    </row>
    <row r="50657" ht="15.75" customHeight="1">
      <c r="A50657" s="7"/>
      <c r="B50657" s="7"/>
    </row>
    <row r="50658" ht="15.75" customHeight="1">
      <c r="A50658" s="7"/>
      <c r="B50658" s="7"/>
    </row>
    <row r="50659" ht="15.75" customHeight="1">
      <c r="A50659" s="7"/>
      <c r="B50659" s="7"/>
    </row>
    <row r="50660" ht="15.75" customHeight="1">
      <c r="A50660" s="7"/>
      <c r="B50660" s="7"/>
    </row>
    <row r="50661" ht="15.75" customHeight="1">
      <c r="A50661" s="7"/>
      <c r="B50661" s="7"/>
    </row>
    <row r="50662" ht="15.75" customHeight="1">
      <c r="A50662" s="7"/>
      <c r="B50662" s="7"/>
    </row>
    <row r="50663" ht="15.75" customHeight="1">
      <c r="A50663" s="7"/>
      <c r="B50663" s="7"/>
    </row>
    <row r="50664" ht="15.75" customHeight="1">
      <c r="A50664" s="7"/>
      <c r="B50664" s="7"/>
    </row>
    <row r="50665" ht="15.75" customHeight="1">
      <c r="A50665" s="7"/>
      <c r="B50665" s="7"/>
    </row>
    <row r="50666" ht="15.75" customHeight="1">
      <c r="A50666" s="7"/>
      <c r="B50666" s="7"/>
    </row>
    <row r="50667" ht="15.75" customHeight="1">
      <c r="A50667" s="7"/>
      <c r="B50667" s="7"/>
    </row>
    <row r="50668" ht="15.75" customHeight="1">
      <c r="A50668" s="7"/>
      <c r="B50668" s="7"/>
    </row>
    <row r="50669" ht="15.75" customHeight="1">
      <c r="A50669" s="7"/>
      <c r="B50669" s="7"/>
    </row>
    <row r="50670" ht="15.75" customHeight="1">
      <c r="A50670" s="7"/>
      <c r="B50670" s="7"/>
    </row>
    <row r="50671" ht="15.75" customHeight="1">
      <c r="A50671" s="7"/>
      <c r="B50671" s="7"/>
    </row>
    <row r="50672" ht="15.75" customHeight="1">
      <c r="A50672" s="7"/>
      <c r="B50672" s="7"/>
    </row>
    <row r="50673" ht="15.75" customHeight="1">
      <c r="A50673" s="7"/>
      <c r="B50673" s="7"/>
    </row>
    <row r="50674" ht="15.75" customHeight="1">
      <c r="A50674" s="7"/>
      <c r="B50674" s="7"/>
    </row>
    <row r="50675" ht="15.75" customHeight="1">
      <c r="A50675" s="7"/>
      <c r="B50675" s="7"/>
    </row>
    <row r="50676" ht="15.75" customHeight="1">
      <c r="A50676" s="7"/>
      <c r="B50676" s="7"/>
    </row>
    <row r="50677" ht="15.75" customHeight="1">
      <c r="A50677" s="7"/>
      <c r="B50677" s="7"/>
    </row>
    <row r="50678" ht="15.75" customHeight="1">
      <c r="A50678" s="7"/>
      <c r="B50678" s="7"/>
    </row>
    <row r="50679" ht="15.75" customHeight="1">
      <c r="A50679" s="7"/>
      <c r="B50679" s="7"/>
    </row>
    <row r="50680" ht="15.75" customHeight="1">
      <c r="A50680" s="7"/>
      <c r="B50680" s="7"/>
    </row>
    <row r="50681" ht="15.75" customHeight="1">
      <c r="A50681" s="7"/>
      <c r="B50681" s="7"/>
    </row>
    <row r="50682" ht="15.75" customHeight="1">
      <c r="A50682" s="7"/>
      <c r="B50682" s="7"/>
    </row>
    <row r="50683" ht="15.75" customHeight="1">
      <c r="A50683" s="7"/>
      <c r="B50683" s="7"/>
    </row>
    <row r="50684" ht="15.75" customHeight="1">
      <c r="A50684" s="7"/>
      <c r="B50684" s="7"/>
    </row>
    <row r="50685" ht="15.75" customHeight="1">
      <c r="A50685" s="7"/>
      <c r="B50685" s="7"/>
    </row>
    <row r="50686" ht="15.75" customHeight="1">
      <c r="A50686" s="7"/>
      <c r="B50686" s="7"/>
    </row>
    <row r="50687" ht="15.75" customHeight="1">
      <c r="A50687" s="7"/>
      <c r="B50687" s="7"/>
    </row>
    <row r="50688" ht="15.75" customHeight="1">
      <c r="A50688" s="7"/>
      <c r="B50688" s="7"/>
    </row>
    <row r="50689" ht="15.75" customHeight="1">
      <c r="A50689" s="7"/>
      <c r="B50689" s="7"/>
    </row>
    <row r="50690" ht="15.75" customHeight="1">
      <c r="A50690" s="7"/>
      <c r="B50690" s="7"/>
    </row>
    <row r="50691" ht="15.75" customHeight="1">
      <c r="A50691" s="7"/>
      <c r="B50691" s="7"/>
    </row>
    <row r="50692" ht="15.75" customHeight="1">
      <c r="A50692" s="7"/>
      <c r="B50692" s="7"/>
    </row>
    <row r="50693" ht="15.75" customHeight="1">
      <c r="A50693" s="7"/>
      <c r="B50693" s="7"/>
    </row>
    <row r="50694" ht="15.75" customHeight="1">
      <c r="A50694" s="7"/>
      <c r="B50694" s="7"/>
    </row>
    <row r="50695" ht="15.75" customHeight="1">
      <c r="A50695" s="7"/>
      <c r="B50695" s="7"/>
    </row>
    <row r="50696" ht="15.75" customHeight="1">
      <c r="A50696" s="7"/>
      <c r="B50696" s="7"/>
    </row>
    <row r="50697" ht="15.75" customHeight="1">
      <c r="A50697" s="7"/>
      <c r="B50697" s="7"/>
    </row>
    <row r="50698" ht="15.75" customHeight="1">
      <c r="A50698" s="7"/>
      <c r="B50698" s="7"/>
    </row>
    <row r="50699" ht="15.75" customHeight="1">
      <c r="A50699" s="7"/>
      <c r="B50699" s="7"/>
    </row>
    <row r="50700" ht="15.75" customHeight="1">
      <c r="A50700" s="7"/>
      <c r="B50700" s="7"/>
    </row>
    <row r="50701" ht="15.75" customHeight="1">
      <c r="A50701" s="7"/>
      <c r="B50701" s="7"/>
    </row>
    <row r="50702" ht="15.75" customHeight="1">
      <c r="A50702" s="7"/>
      <c r="B50702" s="7"/>
    </row>
    <row r="50703" ht="15.75" customHeight="1">
      <c r="A50703" s="7"/>
      <c r="B50703" s="7"/>
    </row>
    <row r="50704" ht="15.75" customHeight="1">
      <c r="A50704" s="7"/>
      <c r="B50704" s="7"/>
    </row>
    <row r="50705" ht="15.75" customHeight="1">
      <c r="A50705" s="7"/>
      <c r="B50705" s="7"/>
    </row>
    <row r="50706" ht="15.75" customHeight="1">
      <c r="A50706" s="7"/>
      <c r="B50706" s="7"/>
    </row>
    <row r="50707" ht="15.75" customHeight="1">
      <c r="A50707" s="7"/>
      <c r="B50707" s="7"/>
    </row>
    <row r="50708" ht="15.75" customHeight="1">
      <c r="A50708" s="7"/>
      <c r="B50708" s="7"/>
    </row>
    <row r="50709" ht="15.75" customHeight="1">
      <c r="A50709" s="7"/>
      <c r="B50709" s="7"/>
    </row>
    <row r="50710" ht="15.75" customHeight="1">
      <c r="A50710" s="7"/>
      <c r="B50710" s="7"/>
    </row>
    <row r="50711" ht="15.75" customHeight="1">
      <c r="A50711" s="7"/>
      <c r="B50711" s="7"/>
    </row>
    <row r="50712" ht="15.75" customHeight="1">
      <c r="A50712" s="7"/>
      <c r="B50712" s="7"/>
    </row>
    <row r="50713" ht="15.75" customHeight="1">
      <c r="A50713" s="7"/>
      <c r="B50713" s="7"/>
    </row>
    <row r="50714" ht="15.75" customHeight="1">
      <c r="A50714" s="7"/>
      <c r="B50714" s="7"/>
    </row>
    <row r="50715" ht="15.75" customHeight="1">
      <c r="A50715" s="7"/>
      <c r="B50715" s="7"/>
    </row>
    <row r="50716" ht="15.75" customHeight="1">
      <c r="A50716" s="7"/>
      <c r="B50716" s="7"/>
    </row>
    <row r="50717" ht="15.75" customHeight="1">
      <c r="A50717" s="7"/>
      <c r="B50717" s="7"/>
    </row>
    <row r="50718" ht="15.75" customHeight="1">
      <c r="A50718" s="7"/>
      <c r="B50718" s="7"/>
    </row>
    <row r="50719" ht="15.75" customHeight="1">
      <c r="A50719" s="7"/>
      <c r="B50719" s="7"/>
    </row>
    <row r="50720" ht="15.75" customHeight="1">
      <c r="A50720" s="7"/>
      <c r="B50720" s="7"/>
    </row>
    <row r="50721" ht="15.75" customHeight="1">
      <c r="A50721" s="7"/>
      <c r="B50721" s="7"/>
    </row>
    <row r="50722" ht="15.75" customHeight="1">
      <c r="A50722" s="7"/>
      <c r="B50722" s="7"/>
    </row>
    <row r="50723" ht="15.75" customHeight="1">
      <c r="A50723" s="7"/>
      <c r="B50723" s="7"/>
    </row>
    <row r="50724" ht="15.75" customHeight="1">
      <c r="A50724" s="7"/>
      <c r="B50724" s="7"/>
    </row>
    <row r="50725" ht="15.75" customHeight="1">
      <c r="A50725" s="7"/>
      <c r="B50725" s="7"/>
    </row>
    <row r="50726" ht="15.75" customHeight="1">
      <c r="A50726" s="7"/>
      <c r="B50726" s="7"/>
    </row>
    <row r="50727" ht="15.75" customHeight="1">
      <c r="A50727" s="7"/>
      <c r="B50727" s="7"/>
    </row>
    <row r="50728" ht="15.75" customHeight="1">
      <c r="A50728" s="7"/>
      <c r="B50728" s="7"/>
    </row>
    <row r="50729" ht="15.75" customHeight="1">
      <c r="A50729" s="7"/>
      <c r="B50729" s="7"/>
    </row>
    <row r="50730" ht="15.75" customHeight="1">
      <c r="A50730" s="7"/>
      <c r="B50730" s="7"/>
    </row>
    <row r="50731" ht="15.75" customHeight="1">
      <c r="A50731" s="7"/>
      <c r="B50731" s="7"/>
    </row>
    <row r="50732" ht="15.75" customHeight="1">
      <c r="A50732" s="7"/>
      <c r="B50732" s="7"/>
    </row>
    <row r="50733" ht="15.75" customHeight="1">
      <c r="A50733" s="7"/>
      <c r="B50733" s="7"/>
    </row>
    <row r="50734" ht="15.75" customHeight="1">
      <c r="A50734" s="7"/>
      <c r="B50734" s="7"/>
    </row>
    <row r="50735" ht="15.75" customHeight="1">
      <c r="A50735" s="7"/>
      <c r="B50735" s="7"/>
    </row>
    <row r="50736" ht="15.75" customHeight="1">
      <c r="A50736" s="7"/>
      <c r="B50736" s="7"/>
    </row>
    <row r="50737" ht="15.75" customHeight="1">
      <c r="A50737" s="7"/>
      <c r="B50737" s="7"/>
    </row>
    <row r="50738" ht="15.75" customHeight="1">
      <c r="A50738" s="7"/>
      <c r="B50738" s="7"/>
    </row>
    <row r="50739" ht="15.75" customHeight="1">
      <c r="A50739" s="7"/>
      <c r="B50739" s="7"/>
    </row>
    <row r="50740" ht="15.75" customHeight="1">
      <c r="A50740" s="7"/>
      <c r="B50740" s="7"/>
    </row>
    <row r="50741" ht="15.75" customHeight="1">
      <c r="A50741" s="7"/>
      <c r="B50741" s="7"/>
    </row>
    <row r="50742" ht="15.75" customHeight="1">
      <c r="A50742" s="7"/>
      <c r="B50742" s="7"/>
    </row>
    <row r="50743" ht="15.75" customHeight="1">
      <c r="A50743" s="7"/>
      <c r="B50743" s="7"/>
    </row>
    <row r="50744" ht="15.75" customHeight="1">
      <c r="A50744" s="7"/>
      <c r="B50744" s="7"/>
    </row>
    <row r="50745" ht="15.75" customHeight="1">
      <c r="A50745" s="7"/>
      <c r="B50745" s="7"/>
    </row>
    <row r="50746" ht="15.75" customHeight="1">
      <c r="A50746" s="7"/>
      <c r="B50746" s="7"/>
    </row>
    <row r="50747" ht="15.75" customHeight="1">
      <c r="A50747" s="7"/>
      <c r="B50747" s="7"/>
    </row>
    <row r="50748" ht="15.75" customHeight="1">
      <c r="A50748" s="7"/>
      <c r="B50748" s="7"/>
    </row>
    <row r="50749" ht="15.75" customHeight="1">
      <c r="A50749" s="7"/>
      <c r="B50749" s="7"/>
    </row>
    <row r="50750" ht="15.75" customHeight="1">
      <c r="A50750" s="7"/>
      <c r="B50750" s="7"/>
    </row>
    <row r="50751" ht="15.75" customHeight="1">
      <c r="A50751" s="7"/>
      <c r="B50751" s="7"/>
    </row>
    <row r="50752" ht="15.75" customHeight="1">
      <c r="A50752" s="7"/>
      <c r="B50752" s="7"/>
    </row>
    <row r="50753" ht="15.75" customHeight="1">
      <c r="A50753" s="7"/>
      <c r="B50753" s="7"/>
    </row>
    <row r="50754" ht="15.75" customHeight="1">
      <c r="A50754" s="7"/>
      <c r="B50754" s="7"/>
    </row>
    <row r="50755" ht="15.75" customHeight="1">
      <c r="A50755" s="7"/>
      <c r="B50755" s="7"/>
    </row>
    <row r="50756" ht="15.75" customHeight="1">
      <c r="A50756" s="7"/>
      <c r="B50756" s="7"/>
    </row>
    <row r="50757" ht="15.75" customHeight="1">
      <c r="A50757" s="7"/>
      <c r="B50757" s="7"/>
    </row>
    <row r="50758" ht="15.75" customHeight="1">
      <c r="A50758" s="7"/>
      <c r="B50758" s="7"/>
    </row>
    <row r="50759" ht="15.75" customHeight="1">
      <c r="A50759" s="7"/>
      <c r="B50759" s="7"/>
    </row>
    <row r="50760" ht="15.75" customHeight="1">
      <c r="A50760" s="7"/>
      <c r="B50760" s="7"/>
    </row>
    <row r="50761" ht="15.75" customHeight="1">
      <c r="A50761" s="7"/>
      <c r="B50761" s="7"/>
    </row>
    <row r="50762" ht="15.75" customHeight="1">
      <c r="A50762" s="7"/>
      <c r="B50762" s="7"/>
    </row>
    <row r="50763" ht="15.75" customHeight="1">
      <c r="A50763" s="7"/>
      <c r="B50763" s="7"/>
    </row>
    <row r="50764" ht="15.75" customHeight="1">
      <c r="A50764" s="7"/>
      <c r="B50764" s="7"/>
    </row>
    <row r="50765" ht="15.75" customHeight="1">
      <c r="A50765" s="7"/>
      <c r="B50765" s="7"/>
    </row>
    <row r="50766" ht="15.75" customHeight="1">
      <c r="A50766" s="7"/>
      <c r="B50766" s="7"/>
    </row>
    <row r="50767" ht="15.75" customHeight="1">
      <c r="A50767" s="7"/>
      <c r="B50767" s="7"/>
    </row>
    <row r="50768" ht="15.75" customHeight="1">
      <c r="A50768" s="7"/>
      <c r="B50768" s="7"/>
    </row>
    <row r="50769" ht="15.75" customHeight="1">
      <c r="A50769" s="7"/>
      <c r="B50769" s="7"/>
    </row>
    <row r="50770" ht="15.75" customHeight="1">
      <c r="A50770" s="7"/>
      <c r="B50770" s="7"/>
    </row>
    <row r="50771" ht="15.75" customHeight="1">
      <c r="A50771" s="7"/>
      <c r="B50771" s="7"/>
    </row>
    <row r="50772" ht="15.75" customHeight="1">
      <c r="A50772" s="7"/>
      <c r="B50772" s="7"/>
    </row>
    <row r="50773" ht="15.75" customHeight="1">
      <c r="A50773" s="7"/>
      <c r="B50773" s="7"/>
    </row>
    <row r="50774" ht="15.75" customHeight="1">
      <c r="A50774" s="7"/>
      <c r="B50774" s="7"/>
    </row>
    <row r="50775" ht="15.75" customHeight="1">
      <c r="A50775" s="7"/>
      <c r="B50775" s="7"/>
    </row>
    <row r="50776" ht="15.75" customHeight="1">
      <c r="A50776" s="7"/>
      <c r="B50776" s="7"/>
    </row>
    <row r="50777" ht="15.75" customHeight="1">
      <c r="A50777" s="7"/>
      <c r="B50777" s="7"/>
    </row>
    <row r="50778" ht="15.75" customHeight="1">
      <c r="A50778" s="7"/>
      <c r="B50778" s="7"/>
    </row>
    <row r="50779" ht="15.75" customHeight="1">
      <c r="A50779" s="7"/>
      <c r="B50779" s="7"/>
    </row>
    <row r="50780" ht="15.75" customHeight="1">
      <c r="A50780" s="7"/>
      <c r="B50780" s="7"/>
    </row>
    <row r="50781" ht="15.75" customHeight="1">
      <c r="A50781" s="7"/>
      <c r="B50781" s="7"/>
    </row>
    <row r="50782" ht="15.75" customHeight="1">
      <c r="A50782" s="7"/>
      <c r="B50782" s="7"/>
    </row>
    <row r="50783" ht="15.75" customHeight="1">
      <c r="A50783" s="7"/>
      <c r="B50783" s="7"/>
    </row>
    <row r="50784" ht="15.75" customHeight="1">
      <c r="A50784" s="7"/>
      <c r="B50784" s="7"/>
    </row>
    <row r="50785" ht="15.75" customHeight="1">
      <c r="A50785" s="7"/>
      <c r="B50785" s="7"/>
    </row>
    <row r="50786" ht="15.75" customHeight="1">
      <c r="A50786" s="7"/>
      <c r="B50786" s="7"/>
    </row>
    <row r="50787" ht="15.75" customHeight="1">
      <c r="A50787" s="7"/>
      <c r="B50787" s="7"/>
    </row>
    <row r="50788" ht="15.75" customHeight="1">
      <c r="A50788" s="7"/>
      <c r="B50788" s="7"/>
    </row>
    <row r="50789" ht="15.75" customHeight="1">
      <c r="A50789" s="7"/>
      <c r="B50789" s="7"/>
    </row>
    <row r="50790" ht="15.75" customHeight="1">
      <c r="A50790" s="7"/>
      <c r="B50790" s="7"/>
    </row>
    <row r="50791" ht="15.75" customHeight="1">
      <c r="A50791" s="7"/>
      <c r="B50791" s="7"/>
    </row>
    <row r="50792" ht="15.75" customHeight="1">
      <c r="A50792" s="7"/>
      <c r="B50792" s="7"/>
    </row>
    <row r="50793" ht="15.75" customHeight="1">
      <c r="A50793" s="7"/>
      <c r="B50793" s="7"/>
    </row>
    <row r="50794" ht="15.75" customHeight="1">
      <c r="A50794" s="7"/>
      <c r="B50794" s="7"/>
    </row>
    <row r="50795" ht="15.75" customHeight="1">
      <c r="A50795" s="7"/>
      <c r="B50795" s="7"/>
    </row>
    <row r="50796" ht="15.75" customHeight="1">
      <c r="A50796" s="7"/>
      <c r="B50796" s="7"/>
    </row>
    <row r="50797" ht="15.75" customHeight="1">
      <c r="A50797" s="7"/>
      <c r="B50797" s="7"/>
    </row>
    <row r="50798" ht="15.75" customHeight="1">
      <c r="A50798" s="7"/>
      <c r="B50798" s="7"/>
    </row>
    <row r="50799" ht="15.75" customHeight="1">
      <c r="A50799" s="7"/>
      <c r="B50799" s="7"/>
    </row>
    <row r="50800" ht="15.75" customHeight="1">
      <c r="A50800" s="7"/>
      <c r="B50800" s="7"/>
    </row>
    <row r="50801" ht="15.75" customHeight="1">
      <c r="A50801" s="7"/>
      <c r="B50801" s="7"/>
    </row>
    <row r="50802" ht="15.75" customHeight="1">
      <c r="A50802" s="7"/>
      <c r="B50802" s="7"/>
    </row>
    <row r="50803" ht="15.75" customHeight="1">
      <c r="A50803" s="7"/>
      <c r="B50803" s="7"/>
    </row>
    <row r="50804" ht="15.75" customHeight="1">
      <c r="A50804" s="7"/>
      <c r="B50804" s="7"/>
    </row>
    <row r="50805" ht="15.75" customHeight="1">
      <c r="A50805" s="7"/>
      <c r="B50805" s="7"/>
    </row>
    <row r="50806" ht="15.75" customHeight="1">
      <c r="A50806" s="7"/>
      <c r="B50806" s="7"/>
    </row>
    <row r="50807" ht="15.75" customHeight="1">
      <c r="A50807" s="7"/>
      <c r="B50807" s="7"/>
    </row>
    <row r="50808" ht="15.75" customHeight="1">
      <c r="A50808" s="7"/>
      <c r="B50808" s="7"/>
    </row>
    <row r="50809" ht="15.75" customHeight="1">
      <c r="A50809" s="7"/>
      <c r="B50809" s="7"/>
    </row>
    <row r="50810" ht="15.75" customHeight="1">
      <c r="A50810" s="7"/>
      <c r="B50810" s="7"/>
    </row>
    <row r="50811" ht="15.75" customHeight="1">
      <c r="A50811" s="7"/>
      <c r="B50811" s="7"/>
    </row>
    <row r="50812" ht="15.75" customHeight="1">
      <c r="A50812" s="7"/>
      <c r="B50812" s="7"/>
    </row>
    <row r="50813" ht="15.75" customHeight="1">
      <c r="A50813" s="7"/>
      <c r="B50813" s="7"/>
    </row>
    <row r="50814" ht="15.75" customHeight="1">
      <c r="A50814" s="7"/>
      <c r="B50814" s="7"/>
    </row>
    <row r="50815" ht="15.75" customHeight="1">
      <c r="A50815" s="7"/>
      <c r="B50815" s="7"/>
    </row>
    <row r="50816" ht="15.75" customHeight="1">
      <c r="A50816" s="7"/>
      <c r="B50816" s="7"/>
    </row>
    <row r="50817" ht="15.75" customHeight="1">
      <c r="A50817" s="7"/>
      <c r="B50817" s="7"/>
    </row>
    <row r="50818" ht="15.75" customHeight="1">
      <c r="A50818" s="7"/>
      <c r="B50818" s="7"/>
    </row>
    <row r="50819" ht="15.75" customHeight="1">
      <c r="A50819" s="7"/>
      <c r="B50819" s="7"/>
    </row>
    <row r="50820" ht="15.75" customHeight="1">
      <c r="A50820" s="7"/>
      <c r="B50820" s="7"/>
    </row>
    <row r="50821" ht="15.75" customHeight="1">
      <c r="A50821" s="7"/>
      <c r="B50821" s="7"/>
    </row>
    <row r="50822" ht="15.75" customHeight="1">
      <c r="A50822" s="7"/>
      <c r="B50822" s="7"/>
    </row>
    <row r="50823" ht="15.75" customHeight="1">
      <c r="A50823" s="7"/>
      <c r="B50823" s="7"/>
    </row>
    <row r="50824" ht="15.75" customHeight="1">
      <c r="A50824" s="7"/>
      <c r="B50824" s="7"/>
    </row>
    <row r="50825" ht="15.75" customHeight="1">
      <c r="A50825" s="7"/>
      <c r="B50825" s="7"/>
    </row>
    <row r="50826" ht="15.75" customHeight="1">
      <c r="A50826" s="7"/>
      <c r="B50826" s="7"/>
    </row>
    <row r="50827" ht="15.75" customHeight="1">
      <c r="A50827" s="7"/>
      <c r="B50827" s="7"/>
    </row>
    <row r="50828" ht="15.75" customHeight="1">
      <c r="A50828" s="7"/>
      <c r="B50828" s="7"/>
    </row>
    <row r="50829" ht="15.75" customHeight="1">
      <c r="A50829" s="7"/>
      <c r="B50829" s="7"/>
    </row>
    <row r="50830" ht="15.75" customHeight="1">
      <c r="A50830" s="7"/>
      <c r="B50830" s="7"/>
    </row>
    <row r="50831" ht="15.75" customHeight="1">
      <c r="A50831" s="7"/>
      <c r="B50831" s="7"/>
    </row>
    <row r="50832" ht="15.75" customHeight="1">
      <c r="A50832" s="7"/>
      <c r="B50832" s="7"/>
    </row>
    <row r="50833" ht="15.75" customHeight="1">
      <c r="A50833" s="7"/>
      <c r="B50833" s="7"/>
    </row>
    <row r="50834" ht="15.75" customHeight="1">
      <c r="A50834" s="7"/>
      <c r="B50834" s="7"/>
    </row>
    <row r="50835" ht="15.75" customHeight="1">
      <c r="A50835" s="7"/>
      <c r="B50835" s="7"/>
    </row>
    <row r="50836" ht="15.75" customHeight="1">
      <c r="A50836" s="7"/>
      <c r="B50836" s="7"/>
    </row>
    <row r="50837" ht="15.75" customHeight="1">
      <c r="A50837" s="7"/>
      <c r="B50837" s="7"/>
    </row>
    <row r="50838" ht="15.75" customHeight="1">
      <c r="A50838" s="7"/>
      <c r="B50838" s="7"/>
    </row>
    <row r="50839" ht="15.75" customHeight="1">
      <c r="A50839" s="7"/>
      <c r="B50839" s="7"/>
    </row>
    <row r="50840" ht="15.75" customHeight="1">
      <c r="A50840" s="7"/>
      <c r="B50840" s="7"/>
    </row>
    <row r="50841" ht="15.75" customHeight="1">
      <c r="A50841" s="7"/>
      <c r="B50841" s="7"/>
    </row>
    <row r="50842" ht="15.75" customHeight="1">
      <c r="A50842" s="7"/>
      <c r="B50842" s="7"/>
    </row>
    <row r="50843" ht="15.75" customHeight="1">
      <c r="A50843" s="7"/>
      <c r="B50843" s="7"/>
    </row>
    <row r="50844" ht="15.75" customHeight="1">
      <c r="A50844" s="7"/>
      <c r="B50844" s="7"/>
    </row>
    <row r="50845" ht="15.75" customHeight="1">
      <c r="A50845" s="7"/>
      <c r="B50845" s="7"/>
    </row>
    <row r="50846" ht="15.75" customHeight="1">
      <c r="A50846" s="7"/>
      <c r="B50846" s="7"/>
    </row>
    <row r="50847" ht="15.75" customHeight="1">
      <c r="A50847" s="7"/>
      <c r="B50847" s="7"/>
    </row>
    <row r="50848" ht="15.75" customHeight="1">
      <c r="A50848" s="7"/>
      <c r="B50848" s="7"/>
    </row>
    <row r="50849" ht="15.75" customHeight="1">
      <c r="A50849" s="7"/>
      <c r="B50849" s="7"/>
    </row>
    <row r="50850" ht="15.75" customHeight="1">
      <c r="A50850" s="7"/>
      <c r="B50850" s="7"/>
    </row>
    <row r="50851" ht="15.75" customHeight="1">
      <c r="A50851" s="7"/>
      <c r="B50851" s="7"/>
    </row>
    <row r="50852" ht="15.75" customHeight="1">
      <c r="A50852" s="7"/>
      <c r="B50852" s="7"/>
    </row>
    <row r="50853" ht="15.75" customHeight="1">
      <c r="A50853" s="7"/>
      <c r="B50853" s="7"/>
    </row>
    <row r="50854" ht="15.75" customHeight="1">
      <c r="A50854" s="7"/>
      <c r="B50854" s="7"/>
    </row>
    <row r="50855" ht="15.75" customHeight="1">
      <c r="A50855" s="7"/>
      <c r="B50855" s="7"/>
    </row>
    <row r="50856" ht="15.75" customHeight="1">
      <c r="A50856" s="7"/>
      <c r="B50856" s="7"/>
    </row>
    <row r="50857" ht="15.75" customHeight="1">
      <c r="A50857" s="7"/>
      <c r="B50857" s="7"/>
    </row>
    <row r="50858" ht="15.75" customHeight="1">
      <c r="A50858" s="7"/>
      <c r="B50858" s="7"/>
    </row>
    <row r="50859" ht="15.75" customHeight="1">
      <c r="A50859" s="7"/>
      <c r="B50859" s="7"/>
    </row>
    <row r="50860" ht="15.75" customHeight="1">
      <c r="A50860" s="7"/>
      <c r="B50860" s="7"/>
    </row>
    <row r="50861" ht="15.75" customHeight="1">
      <c r="A50861" s="7"/>
      <c r="B50861" s="7"/>
    </row>
    <row r="50862" ht="15.75" customHeight="1">
      <c r="A50862" s="7"/>
      <c r="B50862" s="7"/>
    </row>
    <row r="50863" ht="15.75" customHeight="1">
      <c r="A50863" s="7"/>
      <c r="B50863" s="7"/>
    </row>
    <row r="50864" ht="15.75" customHeight="1">
      <c r="A50864" s="7"/>
      <c r="B50864" s="7"/>
    </row>
    <row r="50865" ht="15.75" customHeight="1">
      <c r="A50865" s="7"/>
      <c r="B50865" s="7"/>
    </row>
    <row r="50866" ht="15.75" customHeight="1">
      <c r="A50866" s="7"/>
      <c r="B50866" s="7"/>
    </row>
    <row r="50867" ht="15.75" customHeight="1">
      <c r="A50867" s="7"/>
      <c r="B50867" s="7"/>
    </row>
    <row r="50868" ht="15.75" customHeight="1">
      <c r="A50868" s="7"/>
      <c r="B50868" s="7"/>
    </row>
    <row r="50869" ht="15.75" customHeight="1">
      <c r="A50869" s="7"/>
      <c r="B50869" s="7"/>
    </row>
    <row r="50870" ht="15.75" customHeight="1">
      <c r="A50870" s="7"/>
      <c r="B50870" s="7"/>
    </row>
    <row r="50871" ht="15.75" customHeight="1">
      <c r="A50871" s="7"/>
      <c r="B50871" s="7"/>
    </row>
    <row r="50872" ht="15.75" customHeight="1">
      <c r="A50872" s="7"/>
      <c r="B50872" s="7"/>
    </row>
    <row r="50873" ht="15.75" customHeight="1">
      <c r="A50873" s="7"/>
      <c r="B50873" s="7"/>
    </row>
    <row r="50874" ht="15.75" customHeight="1">
      <c r="A50874" s="7"/>
      <c r="B50874" s="7"/>
    </row>
    <row r="50875" ht="15.75" customHeight="1">
      <c r="A50875" s="7"/>
      <c r="B50875" s="7"/>
    </row>
    <row r="50876" ht="15.75" customHeight="1">
      <c r="A50876" s="7"/>
      <c r="B50876" s="7"/>
    </row>
    <row r="50877" ht="15.75" customHeight="1">
      <c r="A50877" s="7"/>
      <c r="B50877" s="7"/>
    </row>
    <row r="50878" ht="15.75" customHeight="1">
      <c r="A50878" s="7"/>
      <c r="B50878" s="7"/>
    </row>
    <row r="50879" ht="15.75" customHeight="1">
      <c r="A50879" s="7"/>
      <c r="B50879" s="7"/>
    </row>
    <row r="50880" ht="15.75" customHeight="1">
      <c r="A50880" s="7"/>
      <c r="B50880" s="7"/>
    </row>
    <row r="50881" ht="15.75" customHeight="1">
      <c r="A50881" s="7"/>
      <c r="B50881" s="7"/>
    </row>
    <row r="50882" ht="15.75" customHeight="1">
      <c r="A50882" s="7"/>
      <c r="B50882" s="7"/>
    </row>
    <row r="50883" ht="15.75" customHeight="1">
      <c r="A50883" s="7"/>
      <c r="B50883" s="7"/>
    </row>
    <row r="50884" ht="15.75" customHeight="1">
      <c r="A50884" s="7"/>
      <c r="B50884" s="7"/>
    </row>
    <row r="50885" ht="15.75" customHeight="1">
      <c r="A50885" s="7"/>
      <c r="B50885" s="7"/>
    </row>
    <row r="50886" ht="15.75" customHeight="1">
      <c r="A50886" s="7"/>
      <c r="B50886" s="7"/>
    </row>
    <row r="50887" ht="15.75" customHeight="1">
      <c r="A50887" s="7"/>
      <c r="B50887" s="7"/>
    </row>
    <row r="50888" ht="15.75" customHeight="1">
      <c r="A50888" s="7"/>
      <c r="B50888" s="7"/>
    </row>
    <row r="50889" ht="15.75" customHeight="1">
      <c r="A50889" s="7"/>
      <c r="B50889" s="7"/>
    </row>
    <row r="50890" ht="15.75" customHeight="1">
      <c r="A50890" s="7"/>
      <c r="B50890" s="7"/>
    </row>
    <row r="50891" ht="15.75" customHeight="1">
      <c r="A50891" s="7"/>
      <c r="B50891" s="7"/>
    </row>
    <row r="50892" ht="15.75" customHeight="1">
      <c r="A50892" s="7"/>
      <c r="B50892" s="7"/>
    </row>
    <row r="50893" ht="15.75" customHeight="1">
      <c r="A50893" s="7"/>
      <c r="B50893" s="7"/>
    </row>
    <row r="50894" ht="15.75" customHeight="1">
      <c r="A50894" s="7"/>
      <c r="B50894" s="7"/>
    </row>
    <row r="50895" ht="15.75" customHeight="1">
      <c r="A50895" s="7"/>
      <c r="B50895" s="7"/>
    </row>
    <row r="50896" ht="15.75" customHeight="1">
      <c r="A50896" s="7"/>
      <c r="B50896" s="7"/>
    </row>
    <row r="50897" ht="15.75" customHeight="1">
      <c r="A50897" s="7"/>
      <c r="B50897" s="7"/>
    </row>
    <row r="50898" ht="15.75" customHeight="1">
      <c r="A50898" s="7"/>
      <c r="B50898" s="7"/>
    </row>
    <row r="50899" ht="15.75" customHeight="1">
      <c r="A50899" s="7"/>
      <c r="B50899" s="7"/>
    </row>
    <row r="50900" ht="15.75" customHeight="1">
      <c r="A50900" s="7"/>
      <c r="B50900" s="7"/>
    </row>
    <row r="50901" ht="15.75" customHeight="1">
      <c r="A50901" s="7"/>
      <c r="B50901" s="7"/>
    </row>
    <row r="50902" ht="15.75" customHeight="1">
      <c r="A50902" s="7"/>
      <c r="B50902" s="7"/>
    </row>
    <row r="50903" ht="15.75" customHeight="1">
      <c r="A50903" s="7"/>
      <c r="B50903" s="7"/>
    </row>
    <row r="50904" ht="15.75" customHeight="1">
      <c r="A50904" s="7"/>
      <c r="B50904" s="7"/>
    </row>
    <row r="50905" ht="15.75" customHeight="1">
      <c r="A50905" s="7"/>
      <c r="B50905" s="7"/>
    </row>
    <row r="50906" ht="15.75" customHeight="1">
      <c r="A50906" s="7"/>
      <c r="B50906" s="7"/>
    </row>
    <row r="50907" ht="15.75" customHeight="1">
      <c r="A50907" s="7"/>
      <c r="B50907" s="7"/>
    </row>
    <row r="50908" ht="15.75" customHeight="1">
      <c r="A50908" s="7"/>
      <c r="B50908" s="7"/>
    </row>
    <row r="50909" ht="15.75" customHeight="1">
      <c r="A50909" s="7"/>
      <c r="B50909" s="7"/>
    </row>
    <row r="50910" ht="15.75" customHeight="1">
      <c r="A50910" s="7"/>
      <c r="B50910" s="7"/>
    </row>
    <row r="50911" ht="15.75" customHeight="1">
      <c r="A50911" s="7"/>
      <c r="B50911" s="7"/>
    </row>
    <row r="50912" ht="15.75" customHeight="1">
      <c r="A50912" s="7"/>
      <c r="B50912" s="7"/>
    </row>
    <row r="50913" ht="15.75" customHeight="1">
      <c r="A50913" s="7"/>
      <c r="B50913" s="7"/>
    </row>
    <row r="50914" ht="15.75" customHeight="1">
      <c r="A50914" s="7"/>
      <c r="B50914" s="7"/>
    </row>
    <row r="50915" ht="15.75" customHeight="1">
      <c r="A50915" s="7"/>
      <c r="B50915" s="7"/>
    </row>
    <row r="50916" ht="15.75" customHeight="1">
      <c r="A50916" s="7"/>
      <c r="B50916" s="7"/>
    </row>
    <row r="50917" ht="15.75" customHeight="1">
      <c r="A50917" s="7"/>
      <c r="B50917" s="7"/>
    </row>
    <row r="50918" ht="15.75" customHeight="1">
      <c r="A50918" s="7"/>
      <c r="B50918" s="7"/>
    </row>
    <row r="50919" ht="15.75" customHeight="1">
      <c r="A50919" s="7"/>
      <c r="B50919" s="7"/>
    </row>
    <row r="50920" ht="15.75" customHeight="1">
      <c r="A50920" s="7"/>
      <c r="B50920" s="7"/>
    </row>
    <row r="50921" ht="15.75" customHeight="1">
      <c r="A50921" s="7"/>
      <c r="B50921" s="7"/>
    </row>
    <row r="50922" ht="15.75" customHeight="1">
      <c r="A50922" s="7"/>
      <c r="B50922" s="7"/>
    </row>
    <row r="50923" ht="15.75" customHeight="1">
      <c r="A50923" s="7"/>
      <c r="B50923" s="7"/>
    </row>
    <row r="50924" ht="15.75" customHeight="1">
      <c r="A50924" s="7"/>
      <c r="B50924" s="7"/>
    </row>
    <row r="50925" ht="15.75" customHeight="1">
      <c r="A50925" s="7"/>
      <c r="B50925" s="7"/>
    </row>
    <row r="50926" ht="15.75" customHeight="1">
      <c r="A50926" s="7"/>
      <c r="B50926" s="7"/>
    </row>
    <row r="50927" ht="15.75" customHeight="1">
      <c r="A50927" s="7"/>
      <c r="B50927" s="7"/>
    </row>
    <row r="50928" ht="15.75" customHeight="1">
      <c r="A50928" s="7"/>
      <c r="B50928" s="7"/>
    </row>
    <row r="50929" ht="15.75" customHeight="1">
      <c r="A50929" s="7"/>
      <c r="B50929" s="7"/>
    </row>
    <row r="50930" ht="15.75" customHeight="1">
      <c r="A50930" s="7"/>
      <c r="B50930" s="7"/>
    </row>
    <row r="50931" ht="15.75" customHeight="1">
      <c r="A50931" s="7"/>
      <c r="B50931" s="7"/>
    </row>
    <row r="50932" ht="15.75" customHeight="1">
      <c r="A50932" s="7"/>
      <c r="B50932" s="7"/>
    </row>
    <row r="50933" ht="15.75" customHeight="1">
      <c r="A50933" s="7"/>
      <c r="B50933" s="7"/>
    </row>
    <row r="50934" ht="15.75" customHeight="1">
      <c r="A50934" s="7"/>
      <c r="B50934" s="7"/>
    </row>
    <row r="50935" ht="15.75" customHeight="1">
      <c r="A50935" s="7"/>
      <c r="B50935" s="7"/>
    </row>
    <row r="50936" ht="15.75" customHeight="1">
      <c r="A50936" s="7"/>
      <c r="B50936" s="7"/>
    </row>
    <row r="50937" ht="15.75" customHeight="1">
      <c r="A50937" s="7"/>
      <c r="B50937" s="7"/>
    </row>
    <row r="50938" ht="15.75" customHeight="1">
      <c r="A50938" s="7"/>
      <c r="B50938" s="7"/>
    </row>
    <row r="50939" ht="15.75" customHeight="1">
      <c r="A50939" s="7"/>
      <c r="B50939" s="7"/>
    </row>
    <row r="50940" ht="15.75" customHeight="1">
      <c r="A50940" s="7"/>
      <c r="B50940" s="7"/>
    </row>
    <row r="50941" ht="15.75" customHeight="1">
      <c r="A50941" s="7"/>
      <c r="B50941" s="7"/>
    </row>
    <row r="50942" ht="15.75" customHeight="1">
      <c r="A50942" s="7"/>
      <c r="B50942" s="7"/>
    </row>
    <row r="50943" ht="15.75" customHeight="1">
      <c r="A50943" s="7"/>
      <c r="B50943" s="7"/>
    </row>
    <row r="50944" ht="15.75" customHeight="1">
      <c r="A50944" s="7"/>
      <c r="B50944" s="7"/>
    </row>
    <row r="50945" ht="15.75" customHeight="1">
      <c r="A50945" s="7"/>
      <c r="B50945" s="7"/>
    </row>
    <row r="50946" ht="15.75" customHeight="1">
      <c r="A50946" s="7"/>
      <c r="B50946" s="7"/>
    </row>
    <row r="50947" ht="15.75" customHeight="1">
      <c r="A50947" s="7"/>
      <c r="B50947" s="7"/>
    </row>
    <row r="50948" ht="15.75" customHeight="1">
      <c r="A50948" s="7"/>
      <c r="B50948" s="7"/>
    </row>
    <row r="50949" ht="15.75" customHeight="1">
      <c r="A50949" s="7"/>
      <c r="B50949" s="7"/>
    </row>
    <row r="50950" ht="15.75" customHeight="1">
      <c r="A50950" s="7"/>
      <c r="B50950" s="7"/>
    </row>
    <row r="50951" ht="15.75" customHeight="1">
      <c r="A50951" s="7"/>
      <c r="B50951" s="7"/>
    </row>
    <row r="50952" ht="15.75" customHeight="1">
      <c r="A50952" s="7"/>
      <c r="B50952" s="7"/>
    </row>
    <row r="50953" ht="15.75" customHeight="1">
      <c r="A50953" s="7"/>
      <c r="B50953" s="7"/>
    </row>
    <row r="50954" ht="15.75" customHeight="1">
      <c r="A50954" s="7"/>
      <c r="B50954" s="7"/>
    </row>
    <row r="50955" ht="15.75" customHeight="1">
      <c r="A50955" s="7"/>
      <c r="B50955" s="7"/>
    </row>
    <row r="50956" ht="15.75" customHeight="1">
      <c r="A50956" s="7"/>
      <c r="B50956" s="7"/>
    </row>
    <row r="50957" ht="15.75" customHeight="1">
      <c r="A50957" s="7"/>
      <c r="B50957" s="7"/>
    </row>
    <row r="50958" ht="15.75" customHeight="1">
      <c r="A50958" s="7"/>
      <c r="B50958" s="7"/>
    </row>
    <row r="50959" ht="15.75" customHeight="1">
      <c r="A50959" s="7"/>
      <c r="B50959" s="7"/>
    </row>
    <row r="50960" ht="15.75" customHeight="1">
      <c r="A50960" s="7"/>
      <c r="B50960" s="7"/>
    </row>
    <row r="50961" ht="15.75" customHeight="1">
      <c r="A50961" s="7"/>
      <c r="B50961" s="7"/>
    </row>
    <row r="50962" ht="15.75" customHeight="1">
      <c r="A50962" s="7"/>
      <c r="B50962" s="7"/>
    </row>
    <row r="50963" ht="15.75" customHeight="1">
      <c r="A50963" s="7"/>
      <c r="B50963" s="7"/>
    </row>
    <row r="50964" ht="15.75" customHeight="1">
      <c r="A50964" s="7"/>
      <c r="B50964" s="7"/>
    </row>
    <row r="50965" ht="15.75" customHeight="1">
      <c r="A50965" s="7"/>
      <c r="B50965" s="7"/>
    </row>
    <row r="50966" ht="15.75" customHeight="1">
      <c r="A50966" s="7"/>
      <c r="B50966" s="7"/>
    </row>
    <row r="50967" ht="15.75" customHeight="1">
      <c r="A50967" s="7"/>
      <c r="B50967" s="7"/>
    </row>
    <row r="50968" ht="15.75" customHeight="1">
      <c r="A50968" s="7"/>
      <c r="B50968" s="7"/>
    </row>
    <row r="50969" ht="15.75" customHeight="1">
      <c r="A50969" s="7"/>
      <c r="B50969" s="7"/>
    </row>
    <row r="50970" ht="15.75" customHeight="1">
      <c r="A50970" s="7"/>
      <c r="B50970" s="7"/>
    </row>
    <row r="50971" ht="15.75" customHeight="1">
      <c r="A50971" s="7"/>
      <c r="B50971" s="7"/>
    </row>
    <row r="50972" ht="15.75" customHeight="1">
      <c r="A50972" s="7"/>
      <c r="B50972" s="7"/>
    </row>
    <row r="50973" ht="15.75" customHeight="1">
      <c r="A50973" s="7"/>
      <c r="B50973" s="7"/>
    </row>
    <row r="50974" ht="15.75" customHeight="1">
      <c r="A50974" s="7"/>
      <c r="B50974" s="7"/>
    </row>
    <row r="50975" ht="15.75" customHeight="1">
      <c r="A50975" s="7"/>
      <c r="B50975" s="7"/>
    </row>
    <row r="50976" ht="15.75" customHeight="1">
      <c r="A50976" s="7"/>
      <c r="B50976" s="7"/>
    </row>
    <row r="50977" ht="15.75" customHeight="1">
      <c r="A50977" s="7"/>
      <c r="B50977" s="7"/>
    </row>
    <row r="50978" ht="15.75" customHeight="1">
      <c r="A50978" s="7"/>
      <c r="B50978" s="7"/>
    </row>
    <row r="50979" ht="15.75" customHeight="1">
      <c r="A50979" s="7"/>
      <c r="B50979" s="7"/>
    </row>
    <row r="50980" ht="15.75" customHeight="1">
      <c r="A50980" s="7"/>
      <c r="B50980" s="7"/>
    </row>
    <row r="50981" ht="15.75" customHeight="1">
      <c r="A50981" s="7"/>
      <c r="B50981" s="7"/>
    </row>
    <row r="50982" ht="15.75" customHeight="1">
      <c r="A50982" s="7"/>
      <c r="B50982" s="7"/>
    </row>
    <row r="50983" ht="15.75" customHeight="1">
      <c r="A50983" s="7"/>
      <c r="B50983" s="7"/>
    </row>
    <row r="50984" ht="15.75" customHeight="1">
      <c r="A50984" s="7"/>
      <c r="B50984" s="7"/>
    </row>
    <row r="50985" ht="15.75" customHeight="1">
      <c r="A50985" s="7"/>
      <c r="B50985" s="7"/>
    </row>
    <row r="50986" ht="15.75" customHeight="1">
      <c r="A50986" s="7"/>
      <c r="B50986" s="7"/>
    </row>
    <row r="50987" ht="15.75" customHeight="1">
      <c r="A50987" s="7"/>
      <c r="B50987" s="7"/>
    </row>
    <row r="50988" ht="15.75" customHeight="1">
      <c r="A50988" s="7"/>
      <c r="B50988" s="7"/>
    </row>
    <row r="50989" ht="15.75" customHeight="1">
      <c r="A50989" s="7"/>
      <c r="B50989" s="7"/>
    </row>
    <row r="50990" ht="15.75" customHeight="1">
      <c r="A50990" s="7"/>
      <c r="B50990" s="7"/>
    </row>
    <row r="50991" ht="15.75" customHeight="1">
      <c r="A50991" s="7"/>
      <c r="B50991" s="7"/>
    </row>
    <row r="50992" ht="15.75" customHeight="1">
      <c r="A50992" s="7"/>
      <c r="B50992" s="7"/>
    </row>
    <row r="50993" ht="15.75" customHeight="1">
      <c r="A50993" s="7"/>
      <c r="B50993" s="7"/>
    </row>
    <row r="50994" ht="15.75" customHeight="1">
      <c r="A50994" s="7"/>
      <c r="B50994" s="7"/>
    </row>
    <row r="50995" ht="15.75" customHeight="1">
      <c r="A50995" s="7"/>
      <c r="B50995" s="7"/>
    </row>
    <row r="50996" ht="15.75" customHeight="1">
      <c r="A50996" s="7"/>
      <c r="B50996" s="7"/>
    </row>
    <row r="50997" ht="15.75" customHeight="1">
      <c r="A50997" s="7"/>
      <c r="B50997" s="7"/>
    </row>
    <row r="50998" ht="15.75" customHeight="1">
      <c r="A50998" s="7"/>
      <c r="B50998" s="7"/>
    </row>
    <row r="50999" ht="15.75" customHeight="1">
      <c r="A50999" s="7"/>
      <c r="B50999" s="7"/>
    </row>
    <row r="51000" ht="15.75" customHeight="1">
      <c r="A51000" s="7"/>
      <c r="B51000" s="7"/>
    </row>
    <row r="51001" ht="15.75" customHeight="1">
      <c r="A51001" s="7"/>
      <c r="B51001" s="7"/>
    </row>
    <row r="51002" ht="15.75" customHeight="1">
      <c r="A51002" s="7"/>
      <c r="B51002" s="7"/>
    </row>
    <row r="51003" ht="15.75" customHeight="1">
      <c r="A51003" s="7"/>
      <c r="B51003" s="7"/>
    </row>
    <row r="51004" ht="15.75" customHeight="1">
      <c r="A51004" s="7"/>
      <c r="B51004" s="7"/>
    </row>
    <row r="51005" ht="15.75" customHeight="1">
      <c r="A51005" s="7"/>
      <c r="B51005" s="7"/>
    </row>
    <row r="51006" ht="15.75" customHeight="1">
      <c r="A51006" s="7"/>
      <c r="B51006" s="7"/>
    </row>
    <row r="51007" ht="15.75" customHeight="1">
      <c r="A51007" s="7"/>
      <c r="B51007" s="7"/>
    </row>
    <row r="51008" ht="15.75" customHeight="1">
      <c r="A51008" s="7"/>
      <c r="B51008" s="7"/>
    </row>
    <row r="51009" ht="15.75" customHeight="1">
      <c r="A51009" s="7"/>
      <c r="B51009" s="7"/>
    </row>
    <row r="51010" ht="15.75" customHeight="1">
      <c r="A51010" s="7"/>
      <c r="B51010" s="7"/>
    </row>
    <row r="51011" ht="15.75" customHeight="1">
      <c r="A51011" s="7"/>
      <c r="B51011" s="7"/>
    </row>
    <row r="51012" ht="15.75" customHeight="1">
      <c r="A51012" s="7"/>
      <c r="B51012" s="7"/>
    </row>
    <row r="51013" ht="15.75" customHeight="1">
      <c r="A51013" s="7"/>
      <c r="B51013" s="7"/>
    </row>
    <row r="51014" ht="15.75" customHeight="1">
      <c r="A51014" s="7"/>
      <c r="B51014" s="7"/>
    </row>
    <row r="51015" ht="15.75" customHeight="1">
      <c r="A51015" s="7"/>
      <c r="B51015" s="7"/>
    </row>
    <row r="51016" ht="15.75" customHeight="1">
      <c r="A51016" s="7"/>
      <c r="B51016" s="7"/>
    </row>
    <row r="51017" ht="15.75" customHeight="1">
      <c r="A51017" s="7"/>
      <c r="B51017" s="7"/>
    </row>
    <row r="51018" ht="15.75" customHeight="1">
      <c r="A51018" s="7"/>
      <c r="B51018" s="7"/>
    </row>
    <row r="51019" ht="15.75" customHeight="1">
      <c r="A51019" s="7"/>
      <c r="B51019" s="7"/>
    </row>
    <row r="51020" ht="15.75" customHeight="1">
      <c r="A51020" s="7"/>
      <c r="B51020" s="7"/>
    </row>
    <row r="51021" ht="15.75" customHeight="1">
      <c r="A51021" s="7"/>
      <c r="B51021" s="7"/>
    </row>
    <row r="51022" ht="15.75" customHeight="1">
      <c r="A51022" s="7"/>
      <c r="B51022" s="7"/>
    </row>
    <row r="51023" ht="15.75" customHeight="1">
      <c r="A51023" s="7"/>
      <c r="B51023" s="7"/>
    </row>
    <row r="51024" ht="15.75" customHeight="1">
      <c r="A51024" s="7"/>
      <c r="B51024" s="7"/>
    </row>
    <row r="51025" ht="15.75" customHeight="1">
      <c r="A51025" s="7"/>
      <c r="B51025" s="7"/>
    </row>
    <row r="51026" ht="15.75" customHeight="1">
      <c r="A51026" s="7"/>
      <c r="B51026" s="7"/>
    </row>
    <row r="51027" ht="15.75" customHeight="1">
      <c r="A51027" s="7"/>
      <c r="B51027" s="7"/>
    </row>
    <row r="51028" ht="15.75" customHeight="1">
      <c r="A51028" s="7"/>
      <c r="B51028" s="7"/>
    </row>
    <row r="51029" ht="15.75" customHeight="1">
      <c r="A51029" s="7"/>
      <c r="B51029" s="7"/>
    </row>
    <row r="51030" ht="15.75" customHeight="1">
      <c r="A51030" s="7"/>
      <c r="B51030" s="7"/>
    </row>
    <row r="51031" ht="15.75" customHeight="1">
      <c r="A51031" s="7"/>
      <c r="B51031" s="7"/>
    </row>
    <row r="51032" ht="15.75" customHeight="1">
      <c r="A51032" s="7"/>
      <c r="B51032" s="7"/>
    </row>
    <row r="51033" ht="15.75" customHeight="1">
      <c r="A51033" s="7"/>
      <c r="B51033" s="7"/>
    </row>
    <row r="51034" ht="15.75" customHeight="1">
      <c r="A51034" s="7"/>
      <c r="B51034" s="7"/>
    </row>
    <row r="51035" ht="15.75" customHeight="1">
      <c r="A51035" s="7"/>
      <c r="B51035" s="7"/>
    </row>
    <row r="51036" ht="15.75" customHeight="1">
      <c r="A51036" s="7"/>
      <c r="B51036" s="7"/>
    </row>
    <row r="51037" ht="15.75" customHeight="1">
      <c r="A51037" s="7"/>
      <c r="B51037" s="7"/>
    </row>
    <row r="51038" ht="15.75" customHeight="1">
      <c r="A51038" s="7"/>
      <c r="B51038" s="7"/>
    </row>
    <row r="51039" ht="15.75" customHeight="1">
      <c r="A51039" s="7"/>
      <c r="B51039" s="7"/>
    </row>
    <row r="51040" ht="15.75" customHeight="1">
      <c r="A51040" s="7"/>
      <c r="B51040" s="7"/>
    </row>
    <row r="51041" ht="15.75" customHeight="1">
      <c r="A51041" s="7"/>
      <c r="B51041" s="7"/>
    </row>
    <row r="51042" ht="15.75" customHeight="1">
      <c r="A51042" s="7"/>
      <c r="B51042" s="7"/>
    </row>
    <row r="51043" ht="15.75" customHeight="1">
      <c r="A51043" s="7"/>
      <c r="B51043" s="7"/>
    </row>
    <row r="51044" ht="15.75" customHeight="1">
      <c r="A51044" s="7"/>
      <c r="B51044" s="7"/>
    </row>
    <row r="51045" ht="15.75" customHeight="1">
      <c r="A51045" s="7"/>
      <c r="B51045" s="7"/>
    </row>
    <row r="51046" ht="15.75" customHeight="1">
      <c r="A51046" s="7"/>
      <c r="B51046" s="7"/>
    </row>
    <row r="51047" ht="15.75" customHeight="1">
      <c r="A51047" s="7"/>
      <c r="B51047" s="7"/>
    </row>
    <row r="51048" ht="15.75" customHeight="1">
      <c r="A51048" s="7"/>
      <c r="B51048" s="7"/>
    </row>
    <row r="51049" ht="15.75" customHeight="1">
      <c r="A51049" s="7"/>
      <c r="B51049" s="7"/>
    </row>
    <row r="51050" ht="15.75" customHeight="1">
      <c r="A51050" s="7"/>
      <c r="B51050" s="7"/>
    </row>
    <row r="51051" ht="15.75" customHeight="1">
      <c r="A51051" s="7"/>
      <c r="B51051" s="7"/>
    </row>
    <row r="51052" ht="15.75" customHeight="1">
      <c r="A51052" s="7"/>
      <c r="B51052" s="7"/>
    </row>
    <row r="51053" ht="15.75" customHeight="1">
      <c r="A51053" s="7"/>
      <c r="B51053" s="7"/>
    </row>
    <row r="51054" ht="15.75" customHeight="1">
      <c r="A51054" s="7"/>
      <c r="B51054" s="7"/>
    </row>
    <row r="51055" ht="15.75" customHeight="1">
      <c r="A51055" s="7"/>
      <c r="B51055" s="7"/>
    </row>
    <row r="51056" ht="15.75" customHeight="1">
      <c r="A51056" s="7"/>
      <c r="B51056" s="7"/>
    </row>
    <row r="51057" ht="15.75" customHeight="1">
      <c r="A51057" s="7"/>
      <c r="B51057" s="7"/>
    </row>
    <row r="51058" ht="15.75" customHeight="1">
      <c r="A51058" s="7"/>
      <c r="B51058" s="7"/>
    </row>
    <row r="51059" ht="15.75" customHeight="1">
      <c r="A51059" s="7"/>
      <c r="B51059" s="7"/>
    </row>
    <row r="51060" ht="15.75" customHeight="1">
      <c r="A51060" s="7"/>
      <c r="B51060" s="7"/>
    </row>
    <row r="51061" ht="15.75" customHeight="1">
      <c r="A51061" s="7"/>
      <c r="B51061" s="7"/>
    </row>
    <row r="51062" ht="15.75" customHeight="1">
      <c r="A51062" s="7"/>
      <c r="B51062" s="7"/>
    </row>
    <row r="51063" ht="15.75" customHeight="1">
      <c r="A51063" s="7"/>
      <c r="B51063" s="7"/>
    </row>
    <row r="51064" ht="15.75" customHeight="1">
      <c r="A51064" s="7"/>
      <c r="B51064" s="7"/>
    </row>
    <row r="51065" ht="15.75" customHeight="1">
      <c r="A51065" s="7"/>
      <c r="B51065" s="7"/>
    </row>
    <row r="51066" ht="15.75" customHeight="1">
      <c r="A51066" s="7"/>
      <c r="B51066" s="7"/>
    </row>
    <row r="51067" ht="15.75" customHeight="1">
      <c r="A51067" s="7"/>
      <c r="B51067" s="7"/>
    </row>
    <row r="51068" ht="15.75" customHeight="1">
      <c r="A51068" s="7"/>
      <c r="B51068" s="7"/>
    </row>
    <row r="51069" ht="15.75" customHeight="1">
      <c r="A51069" s="7"/>
      <c r="B51069" s="7"/>
    </row>
    <row r="51070" ht="15.75" customHeight="1">
      <c r="A51070" s="7"/>
      <c r="B51070" s="7"/>
    </row>
    <row r="51071" ht="15.75" customHeight="1">
      <c r="A51071" s="7"/>
      <c r="B51071" s="7"/>
    </row>
    <row r="51072" ht="15.75" customHeight="1">
      <c r="A51072" s="7"/>
      <c r="B51072" s="7"/>
    </row>
    <row r="51073" ht="15.75" customHeight="1">
      <c r="A51073" s="7"/>
      <c r="B51073" s="7"/>
    </row>
    <row r="51074" ht="15.75" customHeight="1">
      <c r="A51074" s="7"/>
      <c r="B51074" s="7"/>
    </row>
    <row r="51075" ht="15.75" customHeight="1">
      <c r="A51075" s="7"/>
      <c r="B51075" s="7"/>
    </row>
    <row r="51076" ht="15.75" customHeight="1">
      <c r="A51076" s="7"/>
      <c r="B51076" s="7"/>
    </row>
    <row r="51077" ht="15.75" customHeight="1">
      <c r="A51077" s="7"/>
      <c r="B51077" s="7"/>
    </row>
    <row r="51078" ht="15.75" customHeight="1">
      <c r="A51078" s="7"/>
      <c r="B51078" s="7"/>
    </row>
    <row r="51079" ht="15.75" customHeight="1">
      <c r="A51079" s="7"/>
      <c r="B51079" s="7"/>
    </row>
    <row r="51080" ht="15.75" customHeight="1">
      <c r="A51080" s="7"/>
      <c r="B51080" s="7"/>
    </row>
    <row r="51081" ht="15.75" customHeight="1">
      <c r="A51081" s="7"/>
      <c r="B51081" s="7"/>
    </row>
    <row r="51082" ht="15.75" customHeight="1">
      <c r="A51082" s="7"/>
      <c r="B51082" s="7"/>
    </row>
    <row r="51083" ht="15.75" customHeight="1">
      <c r="A51083" s="7"/>
      <c r="B51083" s="7"/>
    </row>
    <row r="51084" ht="15.75" customHeight="1">
      <c r="A51084" s="7"/>
      <c r="B51084" s="7"/>
    </row>
    <row r="51085" ht="15.75" customHeight="1">
      <c r="A51085" s="7"/>
      <c r="B51085" s="7"/>
    </row>
    <row r="51086" ht="15.75" customHeight="1">
      <c r="A51086" s="7"/>
      <c r="B51086" s="7"/>
    </row>
    <row r="51087" ht="15.75" customHeight="1">
      <c r="A51087" s="7"/>
      <c r="B51087" s="7"/>
    </row>
    <row r="51088" ht="15.75" customHeight="1">
      <c r="A51088" s="7"/>
      <c r="B51088" s="7"/>
    </row>
    <row r="51089" ht="15.75" customHeight="1">
      <c r="A51089" s="7"/>
      <c r="B51089" s="7"/>
    </row>
    <row r="51090" ht="15.75" customHeight="1">
      <c r="A51090" s="7"/>
      <c r="B51090" s="7"/>
    </row>
    <row r="51091" ht="15.75" customHeight="1">
      <c r="A51091" s="7"/>
      <c r="B51091" s="7"/>
    </row>
    <row r="51092" ht="15.75" customHeight="1">
      <c r="A51092" s="7"/>
      <c r="B51092" s="7"/>
    </row>
    <row r="51093" ht="15.75" customHeight="1">
      <c r="A51093" s="7"/>
      <c r="B51093" s="7"/>
    </row>
    <row r="51094" ht="15.75" customHeight="1">
      <c r="A51094" s="7"/>
      <c r="B51094" s="7"/>
    </row>
    <row r="51095" ht="15.75" customHeight="1">
      <c r="A51095" s="7"/>
      <c r="B51095" s="7"/>
    </row>
    <row r="51096" ht="15.75" customHeight="1">
      <c r="A51096" s="7"/>
      <c r="B51096" s="7"/>
    </row>
    <row r="51097" ht="15.75" customHeight="1">
      <c r="A51097" s="7"/>
      <c r="B51097" s="7"/>
    </row>
    <row r="51098" ht="15.75" customHeight="1">
      <c r="A51098" s="7"/>
      <c r="B51098" s="7"/>
    </row>
    <row r="51099" ht="15.75" customHeight="1">
      <c r="A51099" s="7"/>
      <c r="B51099" s="7"/>
    </row>
    <row r="51100" ht="15.75" customHeight="1">
      <c r="A51100" s="7"/>
      <c r="B51100" s="7"/>
    </row>
    <row r="51101" ht="15.75" customHeight="1">
      <c r="A51101" s="7"/>
      <c r="B51101" s="7"/>
    </row>
    <row r="51102" ht="15.75" customHeight="1">
      <c r="A51102" s="7"/>
      <c r="B51102" s="7"/>
    </row>
    <row r="51103" ht="15.75" customHeight="1">
      <c r="A51103" s="7"/>
      <c r="B51103" s="7"/>
    </row>
    <row r="51104" ht="15.75" customHeight="1">
      <c r="A51104" s="7"/>
      <c r="B51104" s="7"/>
    </row>
    <row r="51105" ht="15.75" customHeight="1">
      <c r="A51105" s="7"/>
      <c r="B51105" s="7"/>
    </row>
    <row r="51106" ht="15.75" customHeight="1">
      <c r="A51106" s="7"/>
      <c r="B51106" s="7"/>
    </row>
    <row r="51107" ht="15.75" customHeight="1">
      <c r="A51107" s="7"/>
      <c r="B51107" s="7"/>
    </row>
    <row r="51108" ht="15.75" customHeight="1">
      <c r="A51108" s="7"/>
      <c r="B51108" s="7"/>
    </row>
    <row r="51109" ht="15.75" customHeight="1">
      <c r="A51109" s="7"/>
      <c r="B51109" s="7"/>
    </row>
    <row r="51110" ht="15.75" customHeight="1">
      <c r="A51110" s="7"/>
      <c r="B51110" s="7"/>
    </row>
    <row r="51111" ht="15.75" customHeight="1">
      <c r="A51111" s="7"/>
      <c r="B51111" s="7"/>
    </row>
    <row r="51112" ht="15.75" customHeight="1">
      <c r="A51112" s="7"/>
      <c r="B51112" s="7"/>
    </row>
    <row r="51113" ht="15.75" customHeight="1">
      <c r="A51113" s="7"/>
      <c r="B51113" s="7"/>
    </row>
    <row r="51114" ht="15.75" customHeight="1">
      <c r="A51114" s="7"/>
      <c r="B51114" s="7"/>
    </row>
    <row r="51115" ht="15.75" customHeight="1">
      <c r="A51115" s="7"/>
      <c r="B51115" s="7"/>
    </row>
    <row r="51116" ht="15.75" customHeight="1">
      <c r="A51116" s="7"/>
      <c r="B51116" s="7"/>
    </row>
    <row r="51117" ht="15.75" customHeight="1">
      <c r="A51117" s="7"/>
      <c r="B51117" s="7"/>
    </row>
    <row r="51118" ht="15.75" customHeight="1">
      <c r="A51118" s="7"/>
      <c r="B51118" s="7"/>
    </row>
    <row r="51119" ht="15.75" customHeight="1">
      <c r="A51119" s="7"/>
      <c r="B51119" s="7"/>
    </row>
    <row r="51120" ht="15.75" customHeight="1">
      <c r="A51120" s="7"/>
      <c r="B51120" s="7"/>
    </row>
    <row r="51121" ht="15.75" customHeight="1">
      <c r="A51121" s="7"/>
      <c r="B51121" s="7"/>
    </row>
    <row r="51122" ht="15.75" customHeight="1">
      <c r="A51122" s="7"/>
      <c r="B51122" s="7"/>
    </row>
    <row r="51123" ht="15.75" customHeight="1">
      <c r="A51123" s="7"/>
      <c r="B51123" s="7"/>
    </row>
    <row r="51124" ht="15.75" customHeight="1">
      <c r="A51124" s="7"/>
      <c r="B51124" s="7"/>
    </row>
    <row r="51125" ht="15.75" customHeight="1">
      <c r="A51125" s="7"/>
      <c r="B51125" s="7"/>
    </row>
    <row r="51126" ht="15.75" customHeight="1">
      <c r="A51126" s="7"/>
      <c r="B51126" s="7"/>
    </row>
    <row r="51127" ht="15.75" customHeight="1">
      <c r="A51127" s="7"/>
      <c r="B51127" s="7"/>
    </row>
    <row r="51128" ht="15.75" customHeight="1">
      <c r="A51128" s="7"/>
      <c r="B51128" s="7"/>
    </row>
    <row r="51129" ht="15.75" customHeight="1">
      <c r="A51129" s="7"/>
      <c r="B51129" s="7"/>
    </row>
    <row r="51130" ht="15.75" customHeight="1">
      <c r="A51130" s="7"/>
      <c r="B51130" s="7"/>
    </row>
    <row r="51131" ht="15.75" customHeight="1">
      <c r="A51131" s="7"/>
      <c r="B51131" s="7"/>
    </row>
    <row r="51132" ht="15.75" customHeight="1">
      <c r="A51132" s="7"/>
      <c r="B51132" s="7"/>
    </row>
    <row r="51133" ht="15.75" customHeight="1">
      <c r="A51133" s="7"/>
      <c r="B51133" s="7"/>
    </row>
    <row r="51134" ht="15.75" customHeight="1">
      <c r="A51134" s="7"/>
      <c r="B51134" s="7"/>
    </row>
    <row r="51135" ht="15.75" customHeight="1">
      <c r="A51135" s="7"/>
      <c r="B51135" s="7"/>
    </row>
    <row r="51136" ht="15.75" customHeight="1">
      <c r="A51136" s="7"/>
      <c r="B51136" s="7"/>
    </row>
    <row r="51137" ht="15.75" customHeight="1">
      <c r="A51137" s="7"/>
      <c r="B51137" s="7"/>
    </row>
    <row r="51138" ht="15.75" customHeight="1">
      <c r="A51138" s="7"/>
      <c r="B51138" s="7"/>
    </row>
    <row r="51139" ht="15.75" customHeight="1">
      <c r="A51139" s="7"/>
      <c r="B51139" s="7"/>
    </row>
    <row r="51140" ht="15.75" customHeight="1">
      <c r="A51140" s="7"/>
      <c r="B51140" s="7"/>
    </row>
    <row r="51141" ht="15.75" customHeight="1">
      <c r="A51141" s="7"/>
      <c r="B51141" s="7"/>
    </row>
    <row r="51142" ht="15.75" customHeight="1">
      <c r="A51142" s="7"/>
      <c r="B51142" s="7"/>
    </row>
    <row r="51143" ht="15.75" customHeight="1">
      <c r="A51143" s="7"/>
      <c r="B51143" s="7"/>
    </row>
    <row r="51144" ht="15.75" customHeight="1">
      <c r="A51144" s="7"/>
      <c r="B51144" s="7"/>
    </row>
    <row r="51145" ht="15.75" customHeight="1">
      <c r="A51145" s="7"/>
      <c r="B51145" s="7"/>
    </row>
    <row r="51146" ht="15.75" customHeight="1">
      <c r="A51146" s="7"/>
      <c r="B51146" s="7"/>
    </row>
    <row r="51147" ht="15.75" customHeight="1">
      <c r="A51147" s="7"/>
      <c r="B51147" s="7"/>
    </row>
    <row r="51148" ht="15.75" customHeight="1">
      <c r="A51148" s="7"/>
      <c r="B51148" s="7"/>
    </row>
    <row r="51149" ht="15.75" customHeight="1">
      <c r="A51149" s="7"/>
      <c r="B51149" s="7"/>
    </row>
    <row r="51150" ht="15.75" customHeight="1">
      <c r="A51150" s="7"/>
      <c r="B51150" s="7"/>
    </row>
    <row r="51151" ht="15.75" customHeight="1">
      <c r="A51151" s="7"/>
      <c r="B51151" s="7"/>
    </row>
    <row r="51152" ht="15.75" customHeight="1">
      <c r="A51152" s="7"/>
      <c r="B51152" s="7"/>
    </row>
    <row r="51153" ht="15.75" customHeight="1">
      <c r="A51153" s="7"/>
      <c r="B51153" s="7"/>
    </row>
    <row r="51154" ht="15.75" customHeight="1">
      <c r="A51154" s="7"/>
      <c r="B51154" s="7"/>
    </row>
    <row r="51155" ht="15.75" customHeight="1">
      <c r="A51155" s="7"/>
      <c r="B51155" s="7"/>
    </row>
    <row r="51156" ht="15.75" customHeight="1">
      <c r="A51156" s="7"/>
      <c r="B51156" s="7"/>
    </row>
    <row r="51157" ht="15.75" customHeight="1">
      <c r="A51157" s="7"/>
      <c r="B51157" s="7"/>
    </row>
    <row r="51158" ht="15.75" customHeight="1">
      <c r="A51158" s="7"/>
      <c r="B51158" s="7"/>
    </row>
    <row r="51159" ht="15.75" customHeight="1">
      <c r="A51159" s="7"/>
      <c r="B51159" s="7"/>
    </row>
    <row r="51160" ht="15.75" customHeight="1">
      <c r="A51160" s="7"/>
      <c r="B51160" s="7"/>
    </row>
    <row r="51161" ht="15.75" customHeight="1">
      <c r="A51161" s="7"/>
      <c r="B51161" s="7"/>
    </row>
    <row r="51162" ht="15.75" customHeight="1">
      <c r="A51162" s="7"/>
      <c r="B51162" s="7"/>
    </row>
    <row r="51163" ht="15.75" customHeight="1">
      <c r="A51163" s="7"/>
      <c r="B51163" s="7"/>
    </row>
    <row r="51164" ht="15.75" customHeight="1">
      <c r="A51164" s="7"/>
      <c r="B51164" s="7"/>
    </row>
    <row r="51165" ht="15.75" customHeight="1">
      <c r="A51165" s="7"/>
      <c r="B51165" s="7"/>
    </row>
    <row r="51166" ht="15.75" customHeight="1">
      <c r="A51166" s="7"/>
      <c r="B51166" s="7"/>
    </row>
    <row r="51167" ht="15.75" customHeight="1">
      <c r="A51167" s="7"/>
      <c r="B51167" s="7"/>
    </row>
    <row r="51168" ht="15.75" customHeight="1">
      <c r="A51168" s="7"/>
      <c r="B51168" s="7"/>
    </row>
    <row r="51169" ht="15.75" customHeight="1">
      <c r="A51169" s="7"/>
      <c r="B51169" s="7"/>
    </row>
    <row r="51170" ht="15.75" customHeight="1">
      <c r="A51170" s="7"/>
      <c r="B51170" s="7"/>
    </row>
    <row r="51171" ht="15.75" customHeight="1">
      <c r="A51171" s="7"/>
      <c r="B51171" s="7"/>
    </row>
    <row r="51172" ht="15.75" customHeight="1">
      <c r="A51172" s="7"/>
      <c r="B51172" s="7"/>
    </row>
    <row r="51173" ht="15.75" customHeight="1">
      <c r="A51173" s="7"/>
      <c r="B51173" s="7"/>
    </row>
    <row r="51174" ht="15.75" customHeight="1">
      <c r="A51174" s="7"/>
      <c r="B51174" s="7"/>
    </row>
    <row r="51175" ht="15.75" customHeight="1">
      <c r="A51175" s="7"/>
      <c r="B51175" s="7"/>
    </row>
    <row r="51176" ht="15.75" customHeight="1">
      <c r="A51176" s="7"/>
      <c r="B51176" s="7"/>
    </row>
    <row r="51177" ht="15.75" customHeight="1">
      <c r="A51177" s="7"/>
      <c r="B51177" s="7"/>
    </row>
    <row r="51178" ht="15.75" customHeight="1">
      <c r="A51178" s="7"/>
      <c r="B51178" s="7"/>
    </row>
    <row r="51179" ht="15.75" customHeight="1">
      <c r="A51179" s="7"/>
      <c r="B51179" s="7"/>
    </row>
    <row r="51180" ht="15.75" customHeight="1">
      <c r="A51180" s="7"/>
      <c r="B51180" s="7"/>
    </row>
    <row r="51181" ht="15.75" customHeight="1">
      <c r="A51181" s="7"/>
      <c r="B51181" s="7"/>
    </row>
    <row r="51182" ht="15.75" customHeight="1">
      <c r="A51182" s="7"/>
      <c r="B51182" s="7"/>
    </row>
    <row r="51183" ht="15.75" customHeight="1">
      <c r="A51183" s="7"/>
      <c r="B51183" s="7"/>
    </row>
    <row r="51184" ht="15.75" customHeight="1">
      <c r="A51184" s="7"/>
      <c r="B51184" s="7"/>
    </row>
    <row r="51185" ht="15.75" customHeight="1">
      <c r="A51185" s="7"/>
      <c r="B51185" s="7"/>
    </row>
    <row r="51186" ht="15.75" customHeight="1">
      <c r="A51186" s="7"/>
      <c r="B51186" s="7"/>
    </row>
    <row r="51187" ht="15.75" customHeight="1">
      <c r="A51187" s="7"/>
      <c r="B51187" s="7"/>
    </row>
    <row r="51188" ht="15.75" customHeight="1">
      <c r="A51188" s="7"/>
      <c r="B51188" s="7"/>
    </row>
    <row r="51189" ht="15.75" customHeight="1">
      <c r="A51189" s="7"/>
      <c r="B51189" s="7"/>
    </row>
    <row r="51190" ht="15.75" customHeight="1">
      <c r="A51190" s="7"/>
      <c r="B51190" s="7"/>
    </row>
    <row r="51191" ht="15.75" customHeight="1">
      <c r="A51191" s="7"/>
      <c r="B51191" s="7"/>
    </row>
    <row r="51192" ht="15.75" customHeight="1">
      <c r="A51192" s="7"/>
      <c r="B51192" s="7"/>
    </row>
    <row r="51193" ht="15.75" customHeight="1">
      <c r="A51193" s="7"/>
      <c r="B51193" s="7"/>
    </row>
    <row r="51194" ht="15.75" customHeight="1">
      <c r="A51194" s="7"/>
      <c r="B51194" s="7"/>
    </row>
    <row r="51195" ht="15.75" customHeight="1">
      <c r="A51195" s="7"/>
      <c r="B51195" s="7"/>
    </row>
    <row r="51196" ht="15.75" customHeight="1">
      <c r="A51196" s="7"/>
      <c r="B51196" s="7"/>
    </row>
    <row r="51197" ht="15.75" customHeight="1">
      <c r="A51197" s="7"/>
      <c r="B51197" s="7"/>
    </row>
    <row r="51198" ht="15.75" customHeight="1">
      <c r="A51198" s="7"/>
      <c r="B51198" s="7"/>
    </row>
    <row r="51199" ht="15.75" customHeight="1">
      <c r="A51199" s="7"/>
      <c r="B51199" s="7"/>
    </row>
    <row r="51200" ht="15.75" customHeight="1">
      <c r="A51200" s="7"/>
      <c r="B51200" s="7"/>
    </row>
    <row r="51201" ht="15.75" customHeight="1">
      <c r="A51201" s="7"/>
      <c r="B51201" s="7"/>
    </row>
    <row r="51202" ht="15.75" customHeight="1">
      <c r="A51202" s="7"/>
      <c r="B51202" s="7"/>
    </row>
    <row r="51203" ht="15.75" customHeight="1">
      <c r="A51203" s="7"/>
      <c r="B51203" s="7"/>
    </row>
    <row r="51204" ht="15.75" customHeight="1">
      <c r="A51204" s="7"/>
      <c r="B51204" s="7"/>
    </row>
    <row r="51205" ht="15.75" customHeight="1">
      <c r="A51205" s="7"/>
      <c r="B51205" s="7"/>
    </row>
    <row r="51206" ht="15.75" customHeight="1">
      <c r="A51206" s="7"/>
      <c r="B51206" s="7"/>
    </row>
    <row r="51207" ht="15.75" customHeight="1">
      <c r="A51207" s="7"/>
      <c r="B51207" s="7"/>
    </row>
    <row r="51208" ht="15.75" customHeight="1">
      <c r="A51208" s="7"/>
      <c r="B51208" s="7"/>
    </row>
    <row r="51209" ht="15.75" customHeight="1">
      <c r="A51209" s="7"/>
      <c r="B51209" s="7"/>
    </row>
    <row r="51210" ht="15.75" customHeight="1">
      <c r="A51210" s="7"/>
      <c r="B51210" s="7"/>
    </row>
    <row r="51211" ht="15.75" customHeight="1">
      <c r="A51211" s="7"/>
      <c r="B51211" s="7"/>
    </row>
    <row r="51212" ht="15.75" customHeight="1">
      <c r="A51212" s="7"/>
      <c r="B51212" s="7"/>
    </row>
    <row r="51213" ht="15.75" customHeight="1">
      <c r="A51213" s="7"/>
      <c r="B51213" s="7"/>
    </row>
    <row r="51214" ht="15.75" customHeight="1">
      <c r="A51214" s="7"/>
      <c r="B51214" s="7"/>
    </row>
    <row r="51215" ht="15.75" customHeight="1">
      <c r="A51215" s="7"/>
      <c r="B51215" s="7"/>
    </row>
    <row r="51216" ht="15.75" customHeight="1">
      <c r="A51216" s="7"/>
      <c r="B51216" s="7"/>
    </row>
    <row r="51217" ht="15.75" customHeight="1">
      <c r="A51217" s="7"/>
      <c r="B51217" s="7"/>
    </row>
    <row r="51218" ht="15.75" customHeight="1">
      <c r="A51218" s="7"/>
      <c r="B51218" s="7"/>
    </row>
    <row r="51219" ht="15.75" customHeight="1">
      <c r="A51219" s="7"/>
      <c r="B51219" s="7"/>
    </row>
    <row r="51220" ht="15.75" customHeight="1">
      <c r="A51220" s="7"/>
      <c r="B51220" s="7"/>
    </row>
    <row r="51221" ht="15.75" customHeight="1">
      <c r="A51221" s="7"/>
      <c r="B51221" s="7"/>
    </row>
    <row r="51222" ht="15.75" customHeight="1">
      <c r="A51222" s="7"/>
      <c r="B51222" s="7"/>
    </row>
    <row r="51223" ht="15.75" customHeight="1">
      <c r="A51223" s="7"/>
      <c r="B51223" s="7"/>
    </row>
    <row r="51224" ht="15.75" customHeight="1">
      <c r="A51224" s="7"/>
      <c r="B51224" s="7"/>
    </row>
    <row r="51225" ht="15.75" customHeight="1">
      <c r="A51225" s="7"/>
      <c r="B51225" s="7"/>
    </row>
    <row r="51226" ht="15.75" customHeight="1">
      <c r="A51226" s="7"/>
      <c r="B51226" s="7"/>
    </row>
    <row r="51227" ht="15.75" customHeight="1">
      <c r="A51227" s="7"/>
      <c r="B51227" s="7"/>
    </row>
    <row r="51228" ht="15.75" customHeight="1">
      <c r="A51228" s="7"/>
      <c r="B51228" s="7"/>
    </row>
    <row r="51229" ht="15.75" customHeight="1">
      <c r="A51229" s="7"/>
      <c r="B51229" s="7"/>
    </row>
    <row r="51230" ht="15.75" customHeight="1">
      <c r="A51230" s="7"/>
      <c r="B51230" s="7"/>
    </row>
    <row r="51231" ht="15.75" customHeight="1">
      <c r="A51231" s="7"/>
      <c r="B51231" s="7"/>
    </row>
    <row r="51232" ht="15.75" customHeight="1">
      <c r="A51232" s="7"/>
      <c r="B51232" s="7"/>
    </row>
    <row r="51233" ht="15.75" customHeight="1">
      <c r="A51233" s="7"/>
      <c r="B51233" s="7"/>
    </row>
    <row r="51234" ht="15.75" customHeight="1">
      <c r="A51234" s="7"/>
      <c r="B51234" s="7"/>
    </row>
    <row r="51235" ht="15.75" customHeight="1">
      <c r="A51235" s="7"/>
      <c r="B51235" s="7"/>
    </row>
    <row r="51236" ht="15.75" customHeight="1">
      <c r="A51236" s="7"/>
      <c r="B51236" s="7"/>
    </row>
    <row r="51237" ht="15.75" customHeight="1">
      <c r="A51237" s="7"/>
      <c r="B51237" s="7"/>
    </row>
    <row r="51238" ht="15.75" customHeight="1">
      <c r="A51238" s="7"/>
      <c r="B51238" s="7"/>
    </row>
    <row r="51239" ht="15.75" customHeight="1">
      <c r="A51239" s="7"/>
      <c r="B51239" s="7"/>
    </row>
    <row r="51240" ht="15.75" customHeight="1">
      <c r="A51240" s="7"/>
      <c r="B51240" s="7"/>
    </row>
    <row r="51241" ht="15.75" customHeight="1">
      <c r="A51241" s="7"/>
      <c r="B51241" s="7"/>
    </row>
    <row r="51242" ht="15.75" customHeight="1">
      <c r="A51242" s="7"/>
      <c r="B51242" s="7"/>
    </row>
    <row r="51243" ht="15.75" customHeight="1">
      <c r="A51243" s="7"/>
      <c r="B51243" s="7"/>
    </row>
    <row r="51244" ht="15.75" customHeight="1">
      <c r="A51244" s="7"/>
      <c r="B51244" s="7"/>
    </row>
    <row r="51245" ht="15.75" customHeight="1">
      <c r="A51245" s="7"/>
      <c r="B51245" s="7"/>
    </row>
    <row r="51246" ht="15.75" customHeight="1">
      <c r="A51246" s="7"/>
      <c r="B51246" s="7"/>
    </row>
    <row r="51247" ht="15.75" customHeight="1">
      <c r="A51247" s="7"/>
      <c r="B51247" s="7"/>
    </row>
    <row r="51248" ht="15.75" customHeight="1">
      <c r="A51248" s="7"/>
      <c r="B51248" s="7"/>
    </row>
    <row r="51249" ht="15.75" customHeight="1">
      <c r="A51249" s="7"/>
      <c r="B51249" s="7"/>
    </row>
    <row r="51250" ht="15.75" customHeight="1">
      <c r="A51250" s="7"/>
      <c r="B51250" s="7"/>
    </row>
    <row r="51251" ht="15.75" customHeight="1">
      <c r="A51251" s="7"/>
      <c r="B51251" s="7"/>
    </row>
    <row r="51252" ht="15.75" customHeight="1">
      <c r="A51252" s="7"/>
      <c r="B51252" s="7"/>
    </row>
    <row r="51253" ht="15.75" customHeight="1">
      <c r="A51253" s="7"/>
      <c r="B51253" s="7"/>
    </row>
    <row r="51254" ht="15.75" customHeight="1">
      <c r="A51254" s="7"/>
      <c r="B51254" s="7"/>
    </row>
    <row r="51255" ht="15.75" customHeight="1">
      <c r="A51255" s="7"/>
      <c r="B51255" s="7"/>
    </row>
    <row r="51256" ht="15.75" customHeight="1">
      <c r="A51256" s="7"/>
      <c r="B51256" s="7"/>
    </row>
    <row r="51257" ht="15.75" customHeight="1">
      <c r="A51257" s="7"/>
      <c r="B51257" s="7"/>
    </row>
    <row r="51258" ht="15.75" customHeight="1">
      <c r="A51258" s="7"/>
      <c r="B51258" s="7"/>
    </row>
    <row r="51259" ht="15.75" customHeight="1">
      <c r="A51259" s="7"/>
      <c r="B51259" s="7"/>
    </row>
    <row r="51260" ht="15.75" customHeight="1">
      <c r="A51260" s="7"/>
      <c r="B51260" s="7"/>
    </row>
    <row r="51261" ht="15.75" customHeight="1">
      <c r="A51261" s="7"/>
      <c r="B51261" s="7"/>
    </row>
    <row r="51262" ht="15.75" customHeight="1">
      <c r="A51262" s="7"/>
      <c r="B51262" s="7"/>
    </row>
    <row r="51263" ht="15.75" customHeight="1">
      <c r="A51263" s="7"/>
      <c r="B51263" s="7"/>
    </row>
    <row r="51264" ht="15.75" customHeight="1">
      <c r="A51264" s="7"/>
      <c r="B51264" s="7"/>
    </row>
    <row r="51265" ht="15.75" customHeight="1">
      <c r="A51265" s="7"/>
      <c r="B51265" s="7"/>
    </row>
    <row r="51266" ht="15.75" customHeight="1">
      <c r="A51266" s="7"/>
      <c r="B51266" s="7"/>
    </row>
    <row r="51267" ht="15.75" customHeight="1">
      <c r="A51267" s="7"/>
      <c r="B51267" s="7"/>
    </row>
    <row r="51268" ht="15.75" customHeight="1">
      <c r="A51268" s="7"/>
      <c r="B51268" s="7"/>
    </row>
    <row r="51269" ht="15.75" customHeight="1">
      <c r="A51269" s="7"/>
      <c r="B51269" s="7"/>
    </row>
    <row r="51270" ht="15.75" customHeight="1">
      <c r="A51270" s="7"/>
      <c r="B51270" s="7"/>
    </row>
    <row r="51271" ht="15.75" customHeight="1">
      <c r="A51271" s="7"/>
      <c r="B51271" s="7"/>
    </row>
    <row r="51272" ht="15.75" customHeight="1">
      <c r="A51272" s="7"/>
      <c r="B51272" s="7"/>
    </row>
    <row r="51273" ht="15.75" customHeight="1">
      <c r="A51273" s="7"/>
      <c r="B51273" s="7"/>
    </row>
    <row r="51274" ht="15.75" customHeight="1">
      <c r="A51274" s="7"/>
      <c r="B51274" s="7"/>
    </row>
    <row r="51275" ht="15.75" customHeight="1">
      <c r="A51275" s="7"/>
      <c r="B51275" s="7"/>
    </row>
    <row r="51276" ht="15.75" customHeight="1">
      <c r="A51276" s="7"/>
      <c r="B51276" s="7"/>
    </row>
    <row r="51277" ht="15.75" customHeight="1">
      <c r="A51277" s="7"/>
      <c r="B51277" s="7"/>
    </row>
    <row r="51278" ht="15.75" customHeight="1">
      <c r="A51278" s="7"/>
      <c r="B51278" s="7"/>
    </row>
    <row r="51279" ht="15.75" customHeight="1">
      <c r="A51279" s="7"/>
      <c r="B51279" s="7"/>
    </row>
    <row r="51280" ht="15.75" customHeight="1">
      <c r="A51280" s="7"/>
      <c r="B51280" s="7"/>
    </row>
    <row r="51281" ht="15.75" customHeight="1">
      <c r="A51281" s="7"/>
      <c r="B51281" s="7"/>
    </row>
    <row r="51282" ht="15.75" customHeight="1">
      <c r="A51282" s="7"/>
      <c r="B51282" s="7"/>
    </row>
    <row r="51283" ht="15.75" customHeight="1">
      <c r="A51283" s="7"/>
      <c r="B51283" s="7"/>
    </row>
    <row r="51284" ht="15.75" customHeight="1">
      <c r="A51284" s="7"/>
      <c r="B51284" s="7"/>
    </row>
    <row r="51285" ht="15.75" customHeight="1">
      <c r="A51285" s="7"/>
      <c r="B51285" s="7"/>
    </row>
    <row r="51286" ht="15.75" customHeight="1">
      <c r="A51286" s="7"/>
      <c r="B51286" s="7"/>
    </row>
    <row r="51287" ht="15.75" customHeight="1">
      <c r="A51287" s="7"/>
      <c r="B51287" s="7"/>
    </row>
    <row r="51288" ht="15.75" customHeight="1">
      <c r="A51288" s="7"/>
      <c r="B51288" s="7"/>
    </row>
    <row r="51289" ht="15.75" customHeight="1">
      <c r="A51289" s="7"/>
      <c r="B51289" s="7"/>
    </row>
    <row r="51290" ht="15.75" customHeight="1">
      <c r="A51290" s="7"/>
      <c r="B51290" s="7"/>
    </row>
    <row r="51291" ht="15.75" customHeight="1">
      <c r="A51291" s="7"/>
      <c r="B51291" s="7"/>
    </row>
    <row r="51292" ht="15.75" customHeight="1">
      <c r="A51292" s="7"/>
      <c r="B51292" s="7"/>
    </row>
    <row r="51293" ht="15.75" customHeight="1">
      <c r="A51293" s="7"/>
      <c r="B51293" s="7"/>
    </row>
    <row r="51294" ht="15.75" customHeight="1">
      <c r="A51294" s="7"/>
      <c r="B51294" s="7"/>
    </row>
    <row r="51295" ht="15.75" customHeight="1">
      <c r="A51295" s="7"/>
      <c r="B51295" s="7"/>
    </row>
    <row r="51296" ht="15.75" customHeight="1">
      <c r="A51296" s="7"/>
      <c r="B51296" s="7"/>
    </row>
    <row r="51297" ht="15.75" customHeight="1">
      <c r="A51297" s="7"/>
      <c r="B51297" s="7"/>
    </row>
    <row r="51298" ht="15.75" customHeight="1">
      <c r="A51298" s="7"/>
      <c r="B51298" s="7"/>
    </row>
    <row r="51299" ht="15.75" customHeight="1">
      <c r="A51299" s="7"/>
      <c r="B51299" s="7"/>
    </row>
    <row r="51300" ht="15.75" customHeight="1">
      <c r="A51300" s="7"/>
      <c r="B51300" s="7"/>
    </row>
    <row r="51301" ht="15.75" customHeight="1">
      <c r="A51301" s="7"/>
      <c r="B51301" s="7"/>
    </row>
    <row r="51302" ht="15.75" customHeight="1">
      <c r="A51302" s="7"/>
      <c r="B51302" s="7"/>
    </row>
    <row r="51303" ht="15.75" customHeight="1">
      <c r="A51303" s="7"/>
      <c r="B51303" s="7"/>
    </row>
    <row r="51304" ht="15.75" customHeight="1">
      <c r="A51304" s="7"/>
      <c r="B51304" s="7"/>
    </row>
    <row r="51305" ht="15.75" customHeight="1">
      <c r="A51305" s="7"/>
      <c r="B51305" s="7"/>
    </row>
    <row r="51306" ht="15.75" customHeight="1">
      <c r="A51306" s="7"/>
      <c r="B51306" s="7"/>
    </row>
    <row r="51307" ht="15.75" customHeight="1">
      <c r="A51307" s="7"/>
      <c r="B51307" s="7"/>
    </row>
    <row r="51308" ht="15.75" customHeight="1">
      <c r="A51308" s="7"/>
      <c r="B51308" s="7"/>
    </row>
    <row r="51309" ht="15.75" customHeight="1">
      <c r="A51309" s="7"/>
      <c r="B51309" s="7"/>
    </row>
    <row r="51310" ht="15.75" customHeight="1">
      <c r="A51310" s="7"/>
      <c r="B51310" s="7"/>
    </row>
    <row r="51311" ht="15.75" customHeight="1">
      <c r="A51311" s="7"/>
      <c r="B51311" s="7"/>
    </row>
    <row r="51312" ht="15.75" customHeight="1">
      <c r="A51312" s="7"/>
      <c r="B51312" s="7"/>
    </row>
    <row r="51313" ht="15.75" customHeight="1">
      <c r="A51313" s="7"/>
      <c r="B51313" s="7"/>
    </row>
    <row r="51314" ht="15.75" customHeight="1">
      <c r="A51314" s="7"/>
      <c r="B51314" s="7"/>
    </row>
    <row r="51315" ht="15.75" customHeight="1">
      <c r="A51315" s="7"/>
      <c r="B51315" s="7"/>
    </row>
    <row r="51316" ht="15.75" customHeight="1">
      <c r="A51316" s="7"/>
      <c r="B51316" s="7"/>
    </row>
    <row r="51317" ht="15.75" customHeight="1">
      <c r="A51317" s="7"/>
      <c r="B51317" s="7"/>
    </row>
    <row r="51318" ht="15.75" customHeight="1">
      <c r="A51318" s="7"/>
      <c r="B51318" s="7"/>
    </row>
    <row r="51319" ht="15.75" customHeight="1">
      <c r="A51319" s="7"/>
      <c r="B51319" s="7"/>
    </row>
    <row r="51320" ht="15.75" customHeight="1">
      <c r="A51320" s="7"/>
      <c r="B51320" s="7"/>
    </row>
    <row r="51321" ht="15.75" customHeight="1">
      <c r="A51321" s="7"/>
      <c r="B51321" s="7"/>
    </row>
    <row r="51322" ht="15.75" customHeight="1">
      <c r="A51322" s="7"/>
      <c r="B51322" s="7"/>
    </row>
    <row r="51323" ht="15.75" customHeight="1">
      <c r="A51323" s="7"/>
      <c r="B51323" s="7"/>
    </row>
    <row r="51324" ht="15.75" customHeight="1">
      <c r="A51324" s="7"/>
      <c r="B51324" s="7"/>
    </row>
    <row r="51325" ht="15.75" customHeight="1">
      <c r="A51325" s="7"/>
      <c r="B51325" s="7"/>
    </row>
    <row r="51326" ht="15.75" customHeight="1">
      <c r="A51326" s="7"/>
      <c r="B51326" s="7"/>
    </row>
    <row r="51327" ht="15.75" customHeight="1">
      <c r="A51327" s="7"/>
      <c r="B51327" s="7"/>
    </row>
    <row r="51328" ht="15.75" customHeight="1">
      <c r="A51328" s="7"/>
      <c r="B51328" s="7"/>
    </row>
    <row r="51329" ht="15.75" customHeight="1">
      <c r="A51329" s="7"/>
      <c r="B51329" s="7"/>
    </row>
    <row r="51330" ht="15.75" customHeight="1">
      <c r="A51330" s="7"/>
      <c r="B51330" s="7"/>
    </row>
    <row r="51331" ht="15.75" customHeight="1">
      <c r="A51331" s="7"/>
      <c r="B51331" s="7"/>
    </row>
    <row r="51332" ht="15.75" customHeight="1">
      <c r="A51332" s="7"/>
      <c r="B51332" s="7"/>
    </row>
    <row r="51333" ht="15.75" customHeight="1">
      <c r="A51333" s="7"/>
      <c r="B51333" s="7"/>
    </row>
    <row r="51334" ht="15.75" customHeight="1">
      <c r="A51334" s="7"/>
      <c r="B51334" s="7"/>
    </row>
    <row r="51335" ht="15.75" customHeight="1">
      <c r="A51335" s="7"/>
      <c r="B51335" s="7"/>
    </row>
    <row r="51336" ht="15.75" customHeight="1">
      <c r="A51336" s="7"/>
      <c r="B51336" s="7"/>
    </row>
    <row r="51337" ht="15.75" customHeight="1">
      <c r="A51337" s="7"/>
      <c r="B51337" s="7"/>
    </row>
    <row r="51338" ht="15.75" customHeight="1">
      <c r="A51338" s="7"/>
      <c r="B51338" s="7"/>
    </row>
    <row r="51339" ht="15.75" customHeight="1">
      <c r="A51339" s="7"/>
      <c r="B51339" s="7"/>
    </row>
    <row r="51340" ht="15.75" customHeight="1">
      <c r="A51340" s="7"/>
      <c r="B51340" s="7"/>
    </row>
    <row r="51341" ht="15.75" customHeight="1">
      <c r="A51341" s="7"/>
      <c r="B51341" s="7"/>
    </row>
    <row r="51342" ht="15.75" customHeight="1">
      <c r="A51342" s="7"/>
      <c r="B51342" s="7"/>
    </row>
    <row r="51343" ht="15.75" customHeight="1">
      <c r="A51343" s="7"/>
      <c r="B51343" s="7"/>
    </row>
    <row r="51344" ht="15.75" customHeight="1">
      <c r="A51344" s="7"/>
      <c r="B51344" s="7"/>
    </row>
    <row r="51345" ht="15.75" customHeight="1">
      <c r="A51345" s="7"/>
      <c r="B51345" s="7"/>
    </row>
    <row r="51346" ht="15.75" customHeight="1">
      <c r="A51346" s="7"/>
      <c r="B51346" s="7"/>
    </row>
    <row r="51347" ht="15.75" customHeight="1">
      <c r="A51347" s="7"/>
      <c r="B51347" s="7"/>
    </row>
    <row r="51348" ht="15.75" customHeight="1">
      <c r="A51348" s="7"/>
      <c r="B51348" s="7"/>
    </row>
    <row r="51349" ht="15.75" customHeight="1">
      <c r="A51349" s="7"/>
      <c r="B51349" s="7"/>
    </row>
    <row r="51350" ht="15.75" customHeight="1">
      <c r="A51350" s="7"/>
      <c r="B51350" s="7"/>
    </row>
    <row r="51351" ht="15.75" customHeight="1">
      <c r="A51351" s="7"/>
      <c r="B51351" s="7"/>
    </row>
    <row r="51352" ht="15.75" customHeight="1">
      <c r="A51352" s="7"/>
      <c r="B51352" s="7"/>
    </row>
    <row r="51353" ht="15.75" customHeight="1">
      <c r="A51353" s="7"/>
      <c r="B51353" s="7"/>
    </row>
    <row r="51354" ht="15.75" customHeight="1">
      <c r="A51354" s="7"/>
      <c r="B51354" s="7"/>
    </row>
    <row r="51355" ht="15.75" customHeight="1">
      <c r="A51355" s="7"/>
      <c r="B51355" s="7"/>
    </row>
    <row r="51356" ht="15.75" customHeight="1">
      <c r="A51356" s="7"/>
      <c r="B51356" s="7"/>
    </row>
    <row r="51357" ht="15.75" customHeight="1">
      <c r="A51357" s="7"/>
      <c r="B51357" s="7"/>
    </row>
    <row r="51358" ht="15.75" customHeight="1">
      <c r="A51358" s="7"/>
      <c r="B51358" s="7"/>
    </row>
    <row r="51359" ht="15.75" customHeight="1">
      <c r="A51359" s="7"/>
      <c r="B51359" s="7"/>
    </row>
    <row r="51360" ht="15.75" customHeight="1">
      <c r="A51360" s="7"/>
      <c r="B51360" s="7"/>
    </row>
    <row r="51361" ht="15.75" customHeight="1">
      <c r="A51361" s="7"/>
      <c r="B51361" s="7"/>
    </row>
    <row r="51362" ht="15.75" customHeight="1">
      <c r="A51362" s="7"/>
      <c r="B51362" s="7"/>
    </row>
    <row r="51363" ht="15.75" customHeight="1">
      <c r="A51363" s="7"/>
      <c r="B51363" s="7"/>
    </row>
    <row r="51364" ht="15.75" customHeight="1">
      <c r="A51364" s="7"/>
      <c r="B51364" s="7"/>
    </row>
    <row r="51365" ht="15.75" customHeight="1">
      <c r="A51365" s="7"/>
      <c r="B51365" s="7"/>
    </row>
    <row r="51366" ht="15.75" customHeight="1">
      <c r="A51366" s="7"/>
      <c r="B51366" s="7"/>
    </row>
    <row r="51367" ht="15.75" customHeight="1">
      <c r="A51367" s="7"/>
      <c r="B51367" s="7"/>
    </row>
    <row r="51368" ht="15.75" customHeight="1">
      <c r="A51368" s="7"/>
      <c r="B51368" s="7"/>
    </row>
    <row r="51369" ht="15.75" customHeight="1">
      <c r="A51369" s="7"/>
      <c r="B51369" s="7"/>
    </row>
    <row r="51370" ht="15.75" customHeight="1">
      <c r="A51370" s="7"/>
      <c r="B51370" s="7"/>
    </row>
    <row r="51371" ht="15.75" customHeight="1">
      <c r="A51371" s="7"/>
      <c r="B51371" s="7"/>
    </row>
    <row r="51372" ht="15.75" customHeight="1">
      <c r="A51372" s="7"/>
      <c r="B51372" s="7"/>
    </row>
    <row r="51373" ht="15.75" customHeight="1">
      <c r="A51373" s="7"/>
      <c r="B51373" s="7"/>
    </row>
    <row r="51374" ht="15.75" customHeight="1">
      <c r="A51374" s="7"/>
      <c r="B51374" s="7"/>
    </row>
    <row r="51375" ht="15.75" customHeight="1">
      <c r="A51375" s="7"/>
      <c r="B51375" s="7"/>
    </row>
    <row r="51376" ht="15.75" customHeight="1">
      <c r="A51376" s="7"/>
      <c r="B51376" s="7"/>
    </row>
    <row r="51377" ht="15.75" customHeight="1">
      <c r="A51377" s="7"/>
      <c r="B51377" s="7"/>
    </row>
    <row r="51378" ht="15.75" customHeight="1">
      <c r="A51378" s="7"/>
      <c r="B51378" s="7"/>
    </row>
    <row r="51379" ht="15.75" customHeight="1">
      <c r="A51379" s="7"/>
      <c r="B51379" s="7"/>
    </row>
    <row r="51380" ht="15.75" customHeight="1">
      <c r="A51380" s="7"/>
      <c r="B51380" s="7"/>
    </row>
    <row r="51381" ht="15.75" customHeight="1">
      <c r="A51381" s="7"/>
      <c r="B51381" s="7"/>
    </row>
    <row r="51382" ht="15.75" customHeight="1">
      <c r="A51382" s="7"/>
      <c r="B51382" s="7"/>
    </row>
    <row r="51383" ht="15.75" customHeight="1">
      <c r="A51383" s="7"/>
      <c r="B51383" s="7"/>
    </row>
    <row r="51384" ht="15.75" customHeight="1">
      <c r="A51384" s="7"/>
      <c r="B51384" s="7"/>
    </row>
    <row r="51385" ht="15.75" customHeight="1">
      <c r="A51385" s="7"/>
      <c r="B51385" s="7"/>
    </row>
    <row r="51386" ht="15.75" customHeight="1">
      <c r="A51386" s="7"/>
      <c r="B51386" s="7"/>
    </row>
    <row r="51387" ht="15.75" customHeight="1">
      <c r="A51387" s="7"/>
      <c r="B51387" s="7"/>
    </row>
    <row r="51388" ht="15.75" customHeight="1">
      <c r="A51388" s="7"/>
      <c r="B51388" s="7"/>
    </row>
    <row r="51389" ht="15.75" customHeight="1">
      <c r="A51389" s="7"/>
      <c r="B51389" s="7"/>
    </row>
    <row r="51390" ht="15.75" customHeight="1">
      <c r="A51390" s="7"/>
      <c r="B51390" s="7"/>
    </row>
    <row r="51391" ht="15.75" customHeight="1">
      <c r="A51391" s="7"/>
      <c r="B51391" s="7"/>
    </row>
    <row r="51392" ht="15.75" customHeight="1">
      <c r="A51392" s="7"/>
      <c r="B51392" s="7"/>
    </row>
    <row r="51393" ht="15.75" customHeight="1">
      <c r="A51393" s="7"/>
      <c r="B51393" s="7"/>
    </row>
    <row r="51394" ht="15.75" customHeight="1">
      <c r="A51394" s="7"/>
      <c r="B51394" s="7"/>
    </row>
    <row r="51395" ht="15.75" customHeight="1">
      <c r="A51395" s="7"/>
      <c r="B51395" s="7"/>
    </row>
    <row r="51396" ht="15.75" customHeight="1">
      <c r="A51396" s="7"/>
      <c r="B51396" s="7"/>
    </row>
    <row r="51397" ht="15.75" customHeight="1">
      <c r="A51397" s="7"/>
      <c r="B51397" s="7"/>
    </row>
    <row r="51398" ht="15.75" customHeight="1">
      <c r="A51398" s="7"/>
      <c r="B51398" s="7"/>
    </row>
    <row r="51399" ht="15.75" customHeight="1">
      <c r="A51399" s="7"/>
      <c r="B51399" s="7"/>
    </row>
    <row r="51400" ht="15.75" customHeight="1">
      <c r="A51400" s="7"/>
      <c r="B51400" s="7"/>
    </row>
    <row r="51401" ht="15.75" customHeight="1">
      <c r="A51401" s="7"/>
      <c r="B51401" s="7"/>
    </row>
    <row r="51402" ht="15.75" customHeight="1">
      <c r="A51402" s="7"/>
      <c r="B51402" s="7"/>
    </row>
    <row r="51403" ht="15.75" customHeight="1">
      <c r="A51403" s="7"/>
      <c r="B51403" s="7"/>
    </row>
    <row r="51404" ht="15.75" customHeight="1">
      <c r="A51404" s="7"/>
      <c r="B51404" s="7"/>
    </row>
    <row r="51405" ht="15.75" customHeight="1">
      <c r="A51405" s="7"/>
      <c r="B51405" s="7"/>
    </row>
    <row r="51406" ht="15.75" customHeight="1">
      <c r="A51406" s="7"/>
      <c r="B51406" s="7"/>
    </row>
    <row r="51407" ht="15.75" customHeight="1">
      <c r="A51407" s="7"/>
      <c r="B51407" s="7"/>
    </row>
    <row r="51408" ht="15.75" customHeight="1">
      <c r="A51408" s="7"/>
      <c r="B51408" s="7"/>
    </row>
    <row r="51409" ht="15.75" customHeight="1">
      <c r="A51409" s="7"/>
      <c r="B51409" s="7"/>
    </row>
    <row r="51410" ht="15.75" customHeight="1">
      <c r="A51410" s="7"/>
      <c r="B51410" s="7"/>
    </row>
    <row r="51411" ht="15.75" customHeight="1">
      <c r="A51411" s="7"/>
      <c r="B51411" s="7"/>
    </row>
    <row r="51412" ht="15.75" customHeight="1">
      <c r="A51412" s="7"/>
      <c r="B51412" s="7"/>
    </row>
    <row r="51413" ht="15.75" customHeight="1">
      <c r="A51413" s="7"/>
      <c r="B51413" s="7"/>
    </row>
    <row r="51414" ht="15.75" customHeight="1">
      <c r="A51414" s="7"/>
      <c r="B51414" s="7"/>
    </row>
    <row r="51415" ht="15.75" customHeight="1">
      <c r="A51415" s="7"/>
      <c r="B51415" s="7"/>
    </row>
    <row r="51416" ht="15.75" customHeight="1">
      <c r="A51416" s="7"/>
      <c r="B51416" s="7"/>
    </row>
    <row r="51417" ht="15.75" customHeight="1">
      <c r="A51417" s="7"/>
      <c r="B51417" s="7"/>
    </row>
    <row r="51418" ht="15.75" customHeight="1">
      <c r="A51418" s="7"/>
      <c r="B51418" s="7"/>
    </row>
    <row r="51419" ht="15.75" customHeight="1">
      <c r="A51419" s="7"/>
      <c r="B51419" s="7"/>
    </row>
    <row r="51420" ht="15.75" customHeight="1">
      <c r="A51420" s="7"/>
      <c r="B51420" s="7"/>
    </row>
    <row r="51421" ht="15.75" customHeight="1">
      <c r="A51421" s="7"/>
      <c r="B51421" s="7"/>
    </row>
    <row r="51422" ht="15.75" customHeight="1">
      <c r="A51422" s="7"/>
      <c r="B51422" s="7"/>
    </row>
    <row r="51423" ht="15.75" customHeight="1">
      <c r="A51423" s="7"/>
      <c r="B51423" s="7"/>
    </row>
    <row r="51424" ht="15.75" customHeight="1">
      <c r="A51424" s="7"/>
      <c r="B51424" s="7"/>
    </row>
    <row r="51425" ht="15.75" customHeight="1">
      <c r="A51425" s="7"/>
      <c r="B51425" s="7"/>
    </row>
    <row r="51426" ht="15.75" customHeight="1">
      <c r="A51426" s="7"/>
      <c r="B51426" s="7"/>
    </row>
    <row r="51427" ht="15.75" customHeight="1">
      <c r="A51427" s="7"/>
      <c r="B51427" s="7"/>
    </row>
    <row r="51428" ht="15.75" customHeight="1">
      <c r="A51428" s="7"/>
      <c r="B51428" s="7"/>
    </row>
    <row r="51429" ht="15.75" customHeight="1">
      <c r="A51429" s="7"/>
      <c r="B51429" s="7"/>
    </row>
    <row r="51430" ht="15.75" customHeight="1">
      <c r="A51430" s="7"/>
      <c r="B51430" s="7"/>
    </row>
    <row r="51431" ht="15.75" customHeight="1">
      <c r="A51431" s="7"/>
      <c r="B51431" s="7"/>
    </row>
    <row r="51432" ht="15.75" customHeight="1">
      <c r="A51432" s="7"/>
      <c r="B51432" s="7"/>
    </row>
    <row r="51433" ht="15.75" customHeight="1">
      <c r="A51433" s="7"/>
      <c r="B51433" s="7"/>
    </row>
    <row r="51434" ht="15.75" customHeight="1">
      <c r="A51434" s="7"/>
      <c r="B51434" s="7"/>
    </row>
    <row r="51435" ht="15.75" customHeight="1">
      <c r="A51435" s="7"/>
      <c r="B51435" s="7"/>
    </row>
    <row r="51436" ht="15.75" customHeight="1">
      <c r="A51436" s="7"/>
      <c r="B51436" s="7"/>
    </row>
    <row r="51437" ht="15.75" customHeight="1">
      <c r="A51437" s="7"/>
      <c r="B51437" s="7"/>
    </row>
    <row r="51438" ht="15.75" customHeight="1">
      <c r="A51438" s="7"/>
      <c r="B51438" s="7"/>
    </row>
    <row r="51439" ht="15.75" customHeight="1">
      <c r="A51439" s="7"/>
      <c r="B51439" s="7"/>
    </row>
    <row r="51440" ht="15.75" customHeight="1">
      <c r="A51440" s="7"/>
      <c r="B51440" s="7"/>
    </row>
    <row r="51441" ht="15.75" customHeight="1">
      <c r="A51441" s="7"/>
      <c r="B51441" s="7"/>
    </row>
    <row r="51442" ht="15.75" customHeight="1">
      <c r="A51442" s="7"/>
      <c r="B51442" s="7"/>
    </row>
    <row r="51443" ht="15.75" customHeight="1">
      <c r="A51443" s="7"/>
      <c r="B51443" s="7"/>
    </row>
    <row r="51444" ht="15.75" customHeight="1">
      <c r="A51444" s="7"/>
      <c r="B51444" s="7"/>
    </row>
    <row r="51445" ht="15.75" customHeight="1">
      <c r="A51445" s="7"/>
      <c r="B51445" s="7"/>
    </row>
    <row r="51446" ht="15.75" customHeight="1">
      <c r="A51446" s="7"/>
      <c r="B51446" s="7"/>
    </row>
    <row r="51447" ht="15.75" customHeight="1">
      <c r="A51447" s="7"/>
      <c r="B51447" s="7"/>
    </row>
    <row r="51448" ht="15.75" customHeight="1">
      <c r="A51448" s="7"/>
      <c r="B51448" s="7"/>
    </row>
    <row r="51449" ht="15.75" customHeight="1">
      <c r="A51449" s="7"/>
      <c r="B51449" s="7"/>
    </row>
    <row r="51450" ht="15.75" customHeight="1">
      <c r="A51450" s="7"/>
      <c r="B51450" s="7"/>
    </row>
    <row r="51451" ht="15.75" customHeight="1">
      <c r="A51451" s="7"/>
      <c r="B51451" s="7"/>
    </row>
    <row r="51452" ht="15.75" customHeight="1">
      <c r="A51452" s="7"/>
      <c r="B51452" s="7"/>
    </row>
    <row r="51453" ht="15.75" customHeight="1">
      <c r="A51453" s="7"/>
      <c r="B51453" s="7"/>
    </row>
    <row r="51454" ht="15.75" customHeight="1">
      <c r="A51454" s="7"/>
      <c r="B51454" s="7"/>
    </row>
    <row r="51455" ht="15.75" customHeight="1">
      <c r="A51455" s="7"/>
      <c r="B51455" s="7"/>
    </row>
    <row r="51456" ht="15.75" customHeight="1">
      <c r="A51456" s="7"/>
      <c r="B51456" s="7"/>
    </row>
    <row r="51457" ht="15.75" customHeight="1">
      <c r="A51457" s="7"/>
      <c r="B51457" s="7"/>
    </row>
    <row r="51458" ht="15.75" customHeight="1">
      <c r="A51458" s="7"/>
      <c r="B51458" s="7"/>
    </row>
    <row r="51459" ht="15.75" customHeight="1">
      <c r="A51459" s="7"/>
      <c r="B51459" s="7"/>
    </row>
    <row r="51460" ht="15.75" customHeight="1">
      <c r="A51460" s="7"/>
      <c r="B51460" s="7"/>
    </row>
    <row r="51461" ht="15.75" customHeight="1">
      <c r="A51461" s="7"/>
      <c r="B51461" s="7"/>
    </row>
    <row r="51462" ht="15.75" customHeight="1">
      <c r="A51462" s="7"/>
      <c r="B51462" s="7"/>
    </row>
    <row r="51463" ht="15.75" customHeight="1">
      <c r="A51463" s="7"/>
      <c r="B51463" s="7"/>
    </row>
    <row r="51464" ht="15.75" customHeight="1">
      <c r="A51464" s="7"/>
      <c r="B51464" s="7"/>
    </row>
    <row r="51465" ht="15.75" customHeight="1">
      <c r="A51465" s="7"/>
      <c r="B51465" s="7"/>
    </row>
    <row r="51466" ht="15.75" customHeight="1">
      <c r="A51466" s="7"/>
      <c r="B51466" s="7"/>
    </row>
    <row r="51467" ht="15.75" customHeight="1">
      <c r="A51467" s="7"/>
      <c r="B51467" s="7"/>
    </row>
    <row r="51468" ht="15.75" customHeight="1">
      <c r="A51468" s="7"/>
      <c r="B51468" s="7"/>
    </row>
    <row r="51469" ht="15.75" customHeight="1">
      <c r="A51469" s="7"/>
      <c r="B51469" s="7"/>
    </row>
    <row r="51470" ht="15.75" customHeight="1">
      <c r="A51470" s="7"/>
      <c r="B51470" s="7"/>
    </row>
    <row r="51471" ht="15.75" customHeight="1">
      <c r="A51471" s="7"/>
      <c r="B51471" s="7"/>
    </row>
    <row r="51472" ht="15.75" customHeight="1">
      <c r="A51472" s="7"/>
      <c r="B51472" s="7"/>
    </row>
    <row r="51473" ht="15.75" customHeight="1">
      <c r="A51473" s="7"/>
      <c r="B51473" s="7"/>
    </row>
    <row r="51474" ht="15.75" customHeight="1">
      <c r="A51474" s="7"/>
      <c r="B51474" s="7"/>
    </row>
    <row r="51475" ht="15.75" customHeight="1">
      <c r="A51475" s="7"/>
      <c r="B51475" s="7"/>
    </row>
    <row r="51476" ht="15.75" customHeight="1">
      <c r="A51476" s="7"/>
      <c r="B51476" s="7"/>
    </row>
    <row r="51477" ht="15.75" customHeight="1">
      <c r="A51477" s="7"/>
      <c r="B51477" s="7"/>
    </row>
    <row r="51478" ht="15.75" customHeight="1">
      <c r="A51478" s="7"/>
      <c r="B51478" s="7"/>
    </row>
    <row r="51479" ht="15.75" customHeight="1">
      <c r="A51479" s="7"/>
      <c r="B51479" s="7"/>
    </row>
    <row r="51480" ht="15.75" customHeight="1">
      <c r="A51480" s="7"/>
      <c r="B51480" s="7"/>
    </row>
    <row r="51481" ht="15.75" customHeight="1">
      <c r="A51481" s="7"/>
      <c r="B51481" s="7"/>
    </row>
    <row r="51482" ht="15.75" customHeight="1">
      <c r="A51482" s="7"/>
      <c r="B51482" s="7"/>
    </row>
    <row r="51483" ht="15.75" customHeight="1">
      <c r="A51483" s="7"/>
      <c r="B51483" s="7"/>
    </row>
    <row r="51484" ht="15.75" customHeight="1">
      <c r="A51484" s="7"/>
      <c r="B51484" s="7"/>
    </row>
    <row r="51485" ht="15.75" customHeight="1">
      <c r="A51485" s="7"/>
      <c r="B51485" s="7"/>
    </row>
    <row r="51486" ht="15.75" customHeight="1">
      <c r="A51486" s="7"/>
      <c r="B51486" s="7"/>
    </row>
    <row r="51487" ht="15.75" customHeight="1">
      <c r="A51487" s="7"/>
      <c r="B51487" s="7"/>
    </row>
    <row r="51488" ht="15.75" customHeight="1">
      <c r="A51488" s="7"/>
      <c r="B51488" s="7"/>
    </row>
    <row r="51489" ht="15.75" customHeight="1">
      <c r="A51489" s="7"/>
      <c r="B51489" s="7"/>
    </row>
    <row r="51490" ht="15.75" customHeight="1">
      <c r="A51490" s="7"/>
      <c r="B51490" s="7"/>
    </row>
    <row r="51491" ht="15.75" customHeight="1">
      <c r="A51491" s="7"/>
      <c r="B51491" s="7"/>
    </row>
    <row r="51492" ht="15.75" customHeight="1">
      <c r="A51492" s="7"/>
      <c r="B51492" s="7"/>
    </row>
    <row r="51493" ht="15.75" customHeight="1">
      <c r="A51493" s="7"/>
      <c r="B51493" s="7"/>
    </row>
    <row r="51494" ht="15.75" customHeight="1">
      <c r="A51494" s="7"/>
      <c r="B51494" s="7"/>
    </row>
    <row r="51495" ht="15.75" customHeight="1">
      <c r="A51495" s="7"/>
      <c r="B51495" s="7"/>
    </row>
    <row r="51496" ht="15.75" customHeight="1">
      <c r="A51496" s="7"/>
      <c r="B51496" s="7"/>
    </row>
    <row r="51497" ht="15.75" customHeight="1">
      <c r="A51497" s="7"/>
      <c r="B51497" s="7"/>
    </row>
    <row r="51498" ht="15.75" customHeight="1">
      <c r="A51498" s="7"/>
      <c r="B51498" s="7"/>
    </row>
    <row r="51499" ht="15.75" customHeight="1">
      <c r="A51499" s="7"/>
      <c r="B51499" s="7"/>
    </row>
    <row r="51500" ht="15.75" customHeight="1">
      <c r="A51500" s="7"/>
      <c r="B51500" s="7"/>
    </row>
    <row r="51501" ht="15.75" customHeight="1">
      <c r="A51501" s="7"/>
      <c r="B51501" s="7"/>
    </row>
    <row r="51502" ht="15.75" customHeight="1">
      <c r="A51502" s="7"/>
      <c r="B51502" s="7"/>
    </row>
    <row r="51503" ht="15.75" customHeight="1">
      <c r="A51503" s="7"/>
      <c r="B51503" s="7"/>
    </row>
    <row r="51504" ht="15.75" customHeight="1">
      <c r="A51504" s="7"/>
      <c r="B51504" s="7"/>
    </row>
    <row r="51505" ht="15.75" customHeight="1">
      <c r="A51505" s="7"/>
      <c r="B51505" s="7"/>
    </row>
    <row r="51506" ht="15.75" customHeight="1">
      <c r="A51506" s="7"/>
      <c r="B51506" s="7"/>
    </row>
    <row r="51507" ht="15.75" customHeight="1">
      <c r="A51507" s="7"/>
      <c r="B51507" s="7"/>
    </row>
    <row r="51508" ht="15.75" customHeight="1">
      <c r="A51508" s="7"/>
      <c r="B51508" s="7"/>
    </row>
    <row r="51509" ht="15.75" customHeight="1">
      <c r="A51509" s="7"/>
      <c r="B51509" s="7"/>
    </row>
    <row r="51510" ht="15.75" customHeight="1">
      <c r="A51510" s="7"/>
      <c r="B51510" s="7"/>
    </row>
    <row r="51511" ht="15.75" customHeight="1">
      <c r="A51511" s="7"/>
      <c r="B51511" s="7"/>
    </row>
    <row r="51512" ht="15.75" customHeight="1">
      <c r="A51512" s="7"/>
      <c r="B51512" s="7"/>
    </row>
    <row r="51513" ht="15.75" customHeight="1">
      <c r="A51513" s="7"/>
      <c r="B51513" s="7"/>
    </row>
    <row r="51514" ht="15.75" customHeight="1">
      <c r="A51514" s="7"/>
      <c r="B51514" s="7"/>
    </row>
    <row r="51515" ht="15.75" customHeight="1">
      <c r="A51515" s="7"/>
      <c r="B51515" s="7"/>
    </row>
    <row r="51516" ht="15.75" customHeight="1">
      <c r="A51516" s="7"/>
      <c r="B51516" s="7"/>
    </row>
    <row r="51517" ht="15.75" customHeight="1">
      <c r="A51517" s="7"/>
      <c r="B51517" s="7"/>
    </row>
    <row r="51518" ht="15.75" customHeight="1">
      <c r="A51518" s="7"/>
      <c r="B51518" s="7"/>
    </row>
    <row r="51519" ht="15.75" customHeight="1">
      <c r="A51519" s="7"/>
      <c r="B51519" s="7"/>
    </row>
    <row r="51520" ht="15.75" customHeight="1">
      <c r="A51520" s="7"/>
      <c r="B51520" s="7"/>
    </row>
    <row r="51521" ht="15.75" customHeight="1">
      <c r="A51521" s="7"/>
      <c r="B51521" s="7"/>
    </row>
    <row r="51522" ht="15.75" customHeight="1">
      <c r="A51522" s="7"/>
      <c r="B51522" s="7"/>
    </row>
    <row r="51523" ht="15.75" customHeight="1">
      <c r="A51523" s="7"/>
      <c r="B51523" s="7"/>
    </row>
    <row r="51524" ht="15.75" customHeight="1">
      <c r="A51524" s="7"/>
      <c r="B51524" s="7"/>
    </row>
    <row r="51525" ht="15.75" customHeight="1">
      <c r="A51525" s="7"/>
      <c r="B51525" s="7"/>
    </row>
    <row r="51526" ht="15.75" customHeight="1">
      <c r="A51526" s="7"/>
      <c r="B51526" s="7"/>
    </row>
    <row r="51527" ht="15.75" customHeight="1">
      <c r="A51527" s="7"/>
      <c r="B51527" s="7"/>
    </row>
    <row r="51528" ht="15.75" customHeight="1">
      <c r="A51528" s="7"/>
      <c r="B51528" s="7"/>
    </row>
    <row r="51529" ht="15.75" customHeight="1">
      <c r="A51529" s="7"/>
      <c r="B51529" s="7"/>
    </row>
    <row r="51530" ht="15.75" customHeight="1">
      <c r="A51530" s="7"/>
      <c r="B51530" s="7"/>
    </row>
    <row r="51531" ht="15.75" customHeight="1">
      <c r="A51531" s="7"/>
      <c r="B51531" s="7"/>
    </row>
    <row r="51532" ht="15.75" customHeight="1">
      <c r="A51532" s="7"/>
      <c r="B51532" s="7"/>
    </row>
    <row r="51533" ht="15.75" customHeight="1">
      <c r="A51533" s="7"/>
      <c r="B51533" s="7"/>
    </row>
    <row r="51534" ht="15.75" customHeight="1">
      <c r="A51534" s="7"/>
      <c r="B51534" s="7"/>
    </row>
    <row r="51535" ht="15.75" customHeight="1">
      <c r="A51535" s="7"/>
      <c r="B51535" s="7"/>
    </row>
    <row r="51536" ht="15.75" customHeight="1">
      <c r="A51536" s="7"/>
      <c r="B51536" s="7"/>
    </row>
    <row r="51537" ht="15.75" customHeight="1">
      <c r="A51537" s="7"/>
      <c r="B51537" s="7"/>
    </row>
    <row r="51538" ht="15.75" customHeight="1">
      <c r="A51538" s="7"/>
      <c r="B51538" s="7"/>
    </row>
    <row r="51539" ht="15.75" customHeight="1">
      <c r="A51539" s="7"/>
      <c r="B51539" s="7"/>
    </row>
    <row r="51540" ht="15.75" customHeight="1">
      <c r="A51540" s="7"/>
      <c r="B51540" s="7"/>
    </row>
    <row r="51541" ht="15.75" customHeight="1">
      <c r="A51541" s="7"/>
      <c r="B51541" s="7"/>
    </row>
    <row r="51542" ht="15.75" customHeight="1">
      <c r="A51542" s="7"/>
      <c r="B51542" s="7"/>
    </row>
    <row r="51543" ht="15.75" customHeight="1">
      <c r="A51543" s="7"/>
      <c r="B51543" s="7"/>
    </row>
    <row r="51544" ht="15.75" customHeight="1">
      <c r="A51544" s="7"/>
      <c r="B51544" s="7"/>
    </row>
    <row r="51545" ht="15.75" customHeight="1">
      <c r="A51545" s="7"/>
      <c r="B51545" s="7"/>
    </row>
    <row r="51546" ht="15.75" customHeight="1">
      <c r="A51546" s="7"/>
      <c r="B51546" s="7"/>
    </row>
    <row r="51547" ht="15.75" customHeight="1">
      <c r="A51547" s="7"/>
      <c r="B51547" s="7"/>
    </row>
    <row r="51548" ht="15.75" customHeight="1">
      <c r="A51548" s="7"/>
      <c r="B51548" s="7"/>
    </row>
    <row r="51549" ht="15.75" customHeight="1">
      <c r="A51549" s="7"/>
      <c r="B51549" s="7"/>
    </row>
    <row r="51550" ht="15.75" customHeight="1">
      <c r="A51550" s="7"/>
      <c r="B51550" s="7"/>
    </row>
    <row r="51551" ht="15.75" customHeight="1">
      <c r="A51551" s="7"/>
      <c r="B51551" s="7"/>
    </row>
    <row r="51552" ht="15.75" customHeight="1">
      <c r="A51552" s="7"/>
      <c r="B51552" s="7"/>
    </row>
    <row r="51553" ht="15.75" customHeight="1">
      <c r="A51553" s="7"/>
      <c r="B51553" s="7"/>
    </row>
    <row r="51554" ht="15.75" customHeight="1">
      <c r="A51554" s="7"/>
      <c r="B51554" s="7"/>
    </row>
    <row r="51555" ht="15.75" customHeight="1">
      <c r="A51555" s="7"/>
      <c r="B51555" s="7"/>
    </row>
    <row r="51556" ht="15.75" customHeight="1">
      <c r="A51556" s="7"/>
      <c r="B51556" s="7"/>
    </row>
    <row r="51557" ht="15.75" customHeight="1">
      <c r="A51557" s="7"/>
      <c r="B51557" s="7"/>
    </row>
    <row r="51558" ht="15.75" customHeight="1">
      <c r="A51558" s="7"/>
      <c r="B51558" s="7"/>
    </row>
    <row r="51559" ht="15.75" customHeight="1">
      <c r="A51559" s="7"/>
      <c r="B51559" s="7"/>
    </row>
    <row r="51560" ht="15.75" customHeight="1">
      <c r="A51560" s="7"/>
      <c r="B51560" s="7"/>
    </row>
    <row r="51561" ht="15.75" customHeight="1">
      <c r="A51561" s="7"/>
      <c r="B51561" s="7"/>
    </row>
    <row r="51562" ht="15.75" customHeight="1">
      <c r="A51562" s="7"/>
      <c r="B51562" s="7"/>
    </row>
    <row r="51563" ht="15.75" customHeight="1">
      <c r="A51563" s="7"/>
      <c r="B51563" s="7"/>
    </row>
    <row r="51564" ht="15.75" customHeight="1">
      <c r="A51564" s="7"/>
      <c r="B51564" s="7"/>
    </row>
    <row r="51565" ht="15.75" customHeight="1">
      <c r="A51565" s="7"/>
      <c r="B51565" s="7"/>
    </row>
    <row r="51566" ht="15.75" customHeight="1">
      <c r="A51566" s="7"/>
      <c r="B51566" s="7"/>
    </row>
    <row r="51567" ht="15.75" customHeight="1">
      <c r="A51567" s="7"/>
      <c r="B51567" s="7"/>
    </row>
    <row r="51568" ht="15.75" customHeight="1">
      <c r="A51568" s="7"/>
      <c r="B51568" s="7"/>
    </row>
    <row r="51569" ht="15.75" customHeight="1">
      <c r="A51569" s="7"/>
      <c r="B51569" s="7"/>
    </row>
    <row r="51570" ht="15.75" customHeight="1">
      <c r="A51570" s="7"/>
      <c r="B51570" s="7"/>
    </row>
    <row r="51571" ht="15.75" customHeight="1">
      <c r="A51571" s="7"/>
      <c r="B51571" s="7"/>
    </row>
    <row r="51572" ht="15.75" customHeight="1">
      <c r="A51572" s="7"/>
      <c r="B51572" s="7"/>
    </row>
    <row r="51573" ht="15.75" customHeight="1">
      <c r="A51573" s="7"/>
      <c r="B51573" s="7"/>
    </row>
    <row r="51574" ht="15.75" customHeight="1">
      <c r="A51574" s="7"/>
      <c r="B51574" s="7"/>
    </row>
    <row r="51575" ht="15.75" customHeight="1">
      <c r="A51575" s="7"/>
      <c r="B51575" s="7"/>
    </row>
    <row r="51576" ht="15.75" customHeight="1">
      <c r="A51576" s="7"/>
      <c r="B51576" s="7"/>
    </row>
    <row r="51577" ht="15.75" customHeight="1">
      <c r="A51577" s="7"/>
      <c r="B51577" s="7"/>
    </row>
    <row r="51578" ht="15.75" customHeight="1">
      <c r="A51578" s="7"/>
      <c r="B51578" s="7"/>
    </row>
    <row r="51579" ht="15.75" customHeight="1">
      <c r="A51579" s="7"/>
      <c r="B51579" s="7"/>
    </row>
    <row r="51580" ht="15.75" customHeight="1">
      <c r="A51580" s="7"/>
      <c r="B51580" s="7"/>
    </row>
    <row r="51581" ht="15.75" customHeight="1">
      <c r="A51581" s="7"/>
      <c r="B51581" s="7"/>
    </row>
    <row r="51582" ht="15.75" customHeight="1">
      <c r="A51582" s="7"/>
      <c r="B51582" s="7"/>
    </row>
    <row r="51583" ht="15.75" customHeight="1">
      <c r="A51583" s="7"/>
      <c r="B51583" s="7"/>
    </row>
    <row r="51584" ht="15.75" customHeight="1">
      <c r="A51584" s="7"/>
      <c r="B51584" s="7"/>
    </row>
    <row r="51585" ht="15.75" customHeight="1">
      <c r="A51585" s="7"/>
      <c r="B51585" s="7"/>
    </row>
    <row r="51586" ht="15.75" customHeight="1">
      <c r="A51586" s="7"/>
      <c r="B51586" s="7"/>
    </row>
    <row r="51587" ht="15.75" customHeight="1">
      <c r="A51587" s="7"/>
      <c r="B51587" s="7"/>
    </row>
    <row r="51588" ht="15.75" customHeight="1">
      <c r="A51588" s="7"/>
      <c r="B51588" s="7"/>
    </row>
    <row r="51589" ht="15.75" customHeight="1">
      <c r="A51589" s="7"/>
      <c r="B51589" s="7"/>
    </row>
    <row r="51590" ht="15.75" customHeight="1">
      <c r="A51590" s="7"/>
      <c r="B51590" s="7"/>
    </row>
    <row r="51591" ht="15.75" customHeight="1">
      <c r="A51591" s="7"/>
      <c r="B51591" s="7"/>
    </row>
    <row r="51592" ht="15.75" customHeight="1">
      <c r="A51592" s="7"/>
      <c r="B51592" s="7"/>
    </row>
    <row r="51593" ht="15.75" customHeight="1">
      <c r="A51593" s="7"/>
      <c r="B51593" s="7"/>
    </row>
    <row r="51594" ht="15.75" customHeight="1">
      <c r="A51594" s="7"/>
      <c r="B51594" s="7"/>
    </row>
    <row r="51595" ht="15.75" customHeight="1">
      <c r="A51595" s="7"/>
      <c r="B51595" s="7"/>
    </row>
    <row r="51596" ht="15.75" customHeight="1">
      <c r="A51596" s="7"/>
      <c r="B51596" s="7"/>
    </row>
    <row r="51597" ht="15.75" customHeight="1">
      <c r="A51597" s="7"/>
      <c r="B51597" s="7"/>
    </row>
    <row r="51598" ht="15.75" customHeight="1">
      <c r="A51598" s="7"/>
      <c r="B51598" s="7"/>
    </row>
    <row r="51599" ht="15.75" customHeight="1">
      <c r="A51599" s="7"/>
      <c r="B51599" s="7"/>
    </row>
    <row r="51600" ht="15.75" customHeight="1">
      <c r="A51600" s="7"/>
      <c r="B51600" s="7"/>
    </row>
    <row r="51601" ht="15.75" customHeight="1">
      <c r="A51601" s="7"/>
      <c r="B51601" s="7"/>
    </row>
    <row r="51602" ht="15.75" customHeight="1">
      <c r="A51602" s="7"/>
      <c r="B51602" s="7"/>
    </row>
    <row r="51603" ht="15.75" customHeight="1">
      <c r="A51603" s="7"/>
      <c r="B51603" s="7"/>
    </row>
    <row r="51604" ht="15.75" customHeight="1">
      <c r="A51604" s="7"/>
      <c r="B51604" s="7"/>
    </row>
    <row r="51605" ht="15.75" customHeight="1">
      <c r="A51605" s="7"/>
      <c r="B51605" s="7"/>
    </row>
    <row r="51606" ht="15.75" customHeight="1">
      <c r="A51606" s="7"/>
      <c r="B51606" s="7"/>
    </row>
    <row r="51607" ht="15.75" customHeight="1">
      <c r="A51607" s="7"/>
      <c r="B51607" s="7"/>
    </row>
    <row r="51608" ht="15.75" customHeight="1">
      <c r="A51608" s="7"/>
      <c r="B51608" s="7"/>
    </row>
    <row r="51609" ht="15.75" customHeight="1">
      <c r="A51609" s="7"/>
      <c r="B51609" s="7"/>
    </row>
    <row r="51610" ht="15.75" customHeight="1">
      <c r="A51610" s="7"/>
      <c r="B51610" s="7"/>
    </row>
    <row r="51611" ht="15.75" customHeight="1">
      <c r="A51611" s="7"/>
      <c r="B51611" s="7"/>
    </row>
    <row r="51612" ht="15.75" customHeight="1">
      <c r="A51612" s="7"/>
      <c r="B51612" s="7"/>
    </row>
    <row r="51613" ht="15.75" customHeight="1">
      <c r="A51613" s="7"/>
      <c r="B51613" s="7"/>
    </row>
    <row r="51614" ht="15.75" customHeight="1">
      <c r="A51614" s="7"/>
      <c r="B51614" s="7"/>
    </row>
    <row r="51615" ht="15.75" customHeight="1">
      <c r="A51615" s="7"/>
      <c r="B51615" s="7"/>
    </row>
    <row r="51616" ht="15.75" customHeight="1">
      <c r="A51616" s="7"/>
      <c r="B51616" s="7"/>
    </row>
    <row r="51617" ht="15.75" customHeight="1">
      <c r="A51617" s="7"/>
      <c r="B51617" s="7"/>
    </row>
    <row r="51618" ht="15.75" customHeight="1">
      <c r="A51618" s="7"/>
      <c r="B51618" s="7"/>
    </row>
    <row r="51619" ht="15.75" customHeight="1">
      <c r="A51619" s="7"/>
      <c r="B51619" s="7"/>
    </row>
    <row r="51620" ht="15.75" customHeight="1">
      <c r="A51620" s="7"/>
      <c r="B51620" s="7"/>
    </row>
    <row r="51621" ht="15.75" customHeight="1">
      <c r="A51621" s="7"/>
      <c r="B51621" s="7"/>
    </row>
    <row r="51622" ht="15.75" customHeight="1">
      <c r="A51622" s="7"/>
      <c r="B51622" s="7"/>
    </row>
    <row r="51623" ht="15.75" customHeight="1">
      <c r="A51623" s="7"/>
      <c r="B51623" s="7"/>
    </row>
    <row r="51624" ht="15.75" customHeight="1">
      <c r="A51624" s="7"/>
      <c r="B51624" s="7"/>
    </row>
    <row r="51625" ht="15.75" customHeight="1">
      <c r="A51625" s="7"/>
      <c r="B51625" s="7"/>
    </row>
    <row r="51626" ht="15.75" customHeight="1">
      <c r="A51626" s="7"/>
      <c r="B51626" s="7"/>
    </row>
    <row r="51627" ht="15.75" customHeight="1">
      <c r="A51627" s="7"/>
      <c r="B51627" s="7"/>
    </row>
    <row r="51628" ht="15.75" customHeight="1">
      <c r="A51628" s="7"/>
      <c r="B51628" s="7"/>
    </row>
    <row r="51629" ht="15.75" customHeight="1">
      <c r="A51629" s="7"/>
      <c r="B51629" s="7"/>
    </row>
    <row r="51630" ht="15.75" customHeight="1">
      <c r="A51630" s="7"/>
      <c r="B51630" s="7"/>
    </row>
    <row r="51631" ht="15.75" customHeight="1">
      <c r="A51631" s="7"/>
      <c r="B51631" s="7"/>
    </row>
    <row r="51632" ht="15.75" customHeight="1">
      <c r="A51632" s="7"/>
      <c r="B51632" s="7"/>
    </row>
    <row r="51633" ht="15.75" customHeight="1">
      <c r="A51633" s="7"/>
      <c r="B51633" s="7"/>
    </row>
    <row r="51634" ht="15.75" customHeight="1">
      <c r="A51634" s="7"/>
      <c r="B51634" s="7"/>
    </row>
    <row r="51635" ht="15.75" customHeight="1">
      <c r="A51635" s="7"/>
      <c r="B51635" s="7"/>
    </row>
    <row r="51636" ht="15.75" customHeight="1">
      <c r="A51636" s="7"/>
      <c r="B51636" s="7"/>
    </row>
    <row r="51637" ht="15.75" customHeight="1">
      <c r="A51637" s="7"/>
      <c r="B51637" s="7"/>
    </row>
    <row r="51638" ht="15.75" customHeight="1">
      <c r="A51638" s="7"/>
      <c r="B51638" s="7"/>
    </row>
    <row r="51639" ht="15.75" customHeight="1">
      <c r="A51639" s="7"/>
      <c r="B51639" s="7"/>
    </row>
    <row r="51640" ht="15.75" customHeight="1">
      <c r="A51640" s="7"/>
      <c r="B51640" s="7"/>
    </row>
    <row r="51641" ht="15.75" customHeight="1">
      <c r="A51641" s="7"/>
      <c r="B51641" s="7"/>
    </row>
    <row r="51642" ht="15.75" customHeight="1">
      <c r="A51642" s="7"/>
      <c r="B51642" s="7"/>
    </row>
    <row r="51643" ht="15.75" customHeight="1">
      <c r="A51643" s="7"/>
      <c r="B51643" s="7"/>
    </row>
    <row r="51644" ht="15.75" customHeight="1">
      <c r="A51644" s="7"/>
      <c r="B51644" s="7"/>
    </row>
    <row r="51645" ht="15.75" customHeight="1">
      <c r="A51645" s="7"/>
      <c r="B51645" s="7"/>
    </row>
    <row r="51646" ht="15.75" customHeight="1">
      <c r="A51646" s="7"/>
      <c r="B51646" s="7"/>
    </row>
    <row r="51647" ht="15.75" customHeight="1">
      <c r="A51647" s="7"/>
      <c r="B51647" s="7"/>
    </row>
    <row r="51648" ht="15.75" customHeight="1">
      <c r="A51648" s="7"/>
      <c r="B51648" s="7"/>
    </row>
    <row r="51649" ht="15.75" customHeight="1">
      <c r="A51649" s="7"/>
      <c r="B51649" s="7"/>
    </row>
    <row r="51650" ht="15.75" customHeight="1">
      <c r="A51650" s="7"/>
      <c r="B51650" s="7"/>
    </row>
    <row r="51651" ht="15.75" customHeight="1">
      <c r="A51651" s="7"/>
      <c r="B51651" s="7"/>
    </row>
    <row r="51652" ht="15.75" customHeight="1">
      <c r="A51652" s="7"/>
      <c r="B51652" s="7"/>
    </row>
    <row r="51653" ht="15.75" customHeight="1">
      <c r="A51653" s="7"/>
      <c r="B51653" s="7"/>
    </row>
    <row r="51654" ht="15.75" customHeight="1">
      <c r="A51654" s="7"/>
      <c r="B51654" s="7"/>
    </row>
    <row r="51655" ht="15.75" customHeight="1">
      <c r="A51655" s="7"/>
      <c r="B51655" s="7"/>
    </row>
    <row r="51656" ht="15.75" customHeight="1">
      <c r="A51656" s="7"/>
      <c r="B51656" s="7"/>
    </row>
    <row r="51657" ht="15.75" customHeight="1">
      <c r="A51657" s="7"/>
      <c r="B51657" s="7"/>
    </row>
    <row r="51658" ht="15.75" customHeight="1">
      <c r="A51658" s="7"/>
      <c r="B51658" s="7"/>
    </row>
    <row r="51659" ht="15.75" customHeight="1">
      <c r="A51659" s="7"/>
      <c r="B51659" s="7"/>
    </row>
    <row r="51660" ht="15.75" customHeight="1">
      <c r="A51660" s="7"/>
      <c r="B51660" s="7"/>
    </row>
    <row r="51661" ht="15.75" customHeight="1">
      <c r="A51661" s="7"/>
      <c r="B51661" s="7"/>
    </row>
    <row r="51662" ht="15.75" customHeight="1">
      <c r="A51662" s="7"/>
      <c r="B51662" s="7"/>
    </row>
    <row r="51663" ht="15.75" customHeight="1">
      <c r="A51663" s="7"/>
      <c r="B51663" s="7"/>
    </row>
    <row r="51664" ht="15.75" customHeight="1">
      <c r="A51664" s="7"/>
      <c r="B51664" s="7"/>
    </row>
    <row r="51665" ht="15.75" customHeight="1">
      <c r="A51665" s="7"/>
      <c r="B51665" s="7"/>
    </row>
    <row r="51666" ht="15.75" customHeight="1">
      <c r="A51666" s="7"/>
      <c r="B51666" s="7"/>
    </row>
    <row r="51667" ht="15.75" customHeight="1">
      <c r="A51667" s="7"/>
      <c r="B51667" s="7"/>
    </row>
    <row r="51668" ht="15.75" customHeight="1">
      <c r="A51668" s="7"/>
      <c r="B51668" s="7"/>
    </row>
    <row r="51669" ht="15.75" customHeight="1">
      <c r="A51669" s="7"/>
      <c r="B51669" s="7"/>
    </row>
    <row r="51670" ht="15.75" customHeight="1">
      <c r="A51670" s="7"/>
      <c r="B51670" s="7"/>
    </row>
    <row r="51671" ht="15.75" customHeight="1">
      <c r="A51671" s="7"/>
      <c r="B51671" s="7"/>
    </row>
    <row r="51672" ht="15.75" customHeight="1">
      <c r="A51672" s="7"/>
      <c r="B51672" s="7"/>
    </row>
    <row r="51673" ht="15.75" customHeight="1">
      <c r="A51673" s="7"/>
      <c r="B51673" s="7"/>
    </row>
    <row r="51674" ht="15.75" customHeight="1">
      <c r="A51674" s="7"/>
      <c r="B51674" s="7"/>
    </row>
    <row r="51675" ht="15.75" customHeight="1">
      <c r="A51675" s="7"/>
      <c r="B51675" s="7"/>
    </row>
    <row r="51676" ht="15.75" customHeight="1">
      <c r="A51676" s="7"/>
      <c r="B51676" s="7"/>
    </row>
    <row r="51677" ht="15.75" customHeight="1">
      <c r="A51677" s="7"/>
      <c r="B51677" s="7"/>
    </row>
    <row r="51678" ht="15.75" customHeight="1">
      <c r="A51678" s="7"/>
      <c r="B51678" s="7"/>
    </row>
    <row r="51679" ht="15.75" customHeight="1">
      <c r="A51679" s="7"/>
      <c r="B51679" s="7"/>
    </row>
    <row r="51680" ht="15.75" customHeight="1">
      <c r="A51680" s="7"/>
      <c r="B51680" s="7"/>
    </row>
    <row r="51681" ht="15.75" customHeight="1">
      <c r="A51681" s="7"/>
      <c r="B51681" s="7"/>
    </row>
    <row r="51682" ht="15.75" customHeight="1">
      <c r="A51682" s="7"/>
      <c r="B51682" s="7"/>
    </row>
    <row r="51683" ht="15.75" customHeight="1">
      <c r="A51683" s="7"/>
      <c r="B51683" s="7"/>
    </row>
    <row r="51684" ht="15.75" customHeight="1">
      <c r="A51684" s="7"/>
      <c r="B51684" s="7"/>
    </row>
    <row r="51685" ht="15.75" customHeight="1">
      <c r="A51685" s="7"/>
      <c r="B51685" s="7"/>
    </row>
    <row r="51686" ht="15.75" customHeight="1">
      <c r="A51686" s="7"/>
      <c r="B51686" s="7"/>
    </row>
    <row r="51687" ht="15.75" customHeight="1">
      <c r="A51687" s="7"/>
      <c r="B51687" s="7"/>
    </row>
    <row r="51688" ht="15.75" customHeight="1">
      <c r="A51688" s="7"/>
      <c r="B51688" s="7"/>
    </row>
    <row r="51689" ht="15.75" customHeight="1">
      <c r="A51689" s="7"/>
      <c r="B51689" s="7"/>
    </row>
    <row r="51690" ht="15.75" customHeight="1">
      <c r="A51690" s="7"/>
      <c r="B51690" s="7"/>
    </row>
    <row r="51691" ht="15.75" customHeight="1">
      <c r="A51691" s="7"/>
      <c r="B51691" s="7"/>
    </row>
    <row r="51692" ht="15.75" customHeight="1">
      <c r="A51692" s="7"/>
      <c r="B51692" s="7"/>
    </row>
    <row r="51693" ht="15.75" customHeight="1">
      <c r="A51693" s="7"/>
      <c r="B51693" s="7"/>
    </row>
    <row r="51694" ht="15.75" customHeight="1">
      <c r="A51694" s="7"/>
      <c r="B51694" s="7"/>
    </row>
    <row r="51695" ht="15.75" customHeight="1">
      <c r="A51695" s="7"/>
      <c r="B51695" s="7"/>
    </row>
    <row r="51696" ht="15.75" customHeight="1">
      <c r="A51696" s="7"/>
      <c r="B51696" s="7"/>
    </row>
    <row r="51697" ht="15.75" customHeight="1">
      <c r="A51697" s="7"/>
      <c r="B51697" s="7"/>
    </row>
    <row r="51698" ht="15.75" customHeight="1">
      <c r="A51698" s="7"/>
      <c r="B51698" s="7"/>
    </row>
    <row r="51699" ht="15.75" customHeight="1">
      <c r="A51699" s="7"/>
      <c r="B51699" s="7"/>
    </row>
    <row r="51700" ht="15.75" customHeight="1">
      <c r="A51700" s="7"/>
      <c r="B51700" s="7"/>
    </row>
    <row r="51701" ht="15.75" customHeight="1">
      <c r="A51701" s="7"/>
      <c r="B51701" s="7"/>
    </row>
    <row r="51702" ht="15.75" customHeight="1">
      <c r="A51702" s="7"/>
      <c r="B51702" s="7"/>
    </row>
    <row r="51703" ht="15.75" customHeight="1">
      <c r="A51703" s="7"/>
      <c r="B51703" s="7"/>
    </row>
    <row r="51704" ht="15.75" customHeight="1">
      <c r="A51704" s="7"/>
      <c r="B51704" s="7"/>
    </row>
    <row r="51705" ht="15.75" customHeight="1">
      <c r="A51705" s="7"/>
      <c r="B51705" s="7"/>
    </row>
    <row r="51706" ht="15.75" customHeight="1">
      <c r="A51706" s="7"/>
      <c r="B51706" s="7"/>
    </row>
    <row r="51707" ht="15.75" customHeight="1">
      <c r="A51707" s="7"/>
      <c r="B51707" s="7"/>
    </row>
    <row r="51708" ht="15.75" customHeight="1">
      <c r="A51708" s="7"/>
      <c r="B51708" s="7"/>
    </row>
    <row r="51709" ht="15.75" customHeight="1">
      <c r="A51709" s="7"/>
      <c r="B51709" s="7"/>
    </row>
    <row r="51710" ht="15.75" customHeight="1">
      <c r="A51710" s="7"/>
      <c r="B51710" s="7"/>
    </row>
    <row r="51711" ht="15.75" customHeight="1">
      <c r="A51711" s="7"/>
      <c r="B51711" s="7"/>
    </row>
    <row r="51712" ht="15.75" customHeight="1">
      <c r="A51712" s="7"/>
      <c r="B51712" s="7"/>
    </row>
    <row r="51713" ht="15.75" customHeight="1">
      <c r="A51713" s="7"/>
      <c r="B51713" s="7"/>
    </row>
    <row r="51714" ht="15.75" customHeight="1">
      <c r="A51714" s="7"/>
      <c r="B51714" s="7"/>
    </row>
    <row r="51715" ht="15.75" customHeight="1">
      <c r="A51715" s="7"/>
      <c r="B51715" s="7"/>
    </row>
    <row r="51716" ht="15.75" customHeight="1">
      <c r="A51716" s="7"/>
      <c r="B51716" s="7"/>
    </row>
    <row r="51717" ht="15.75" customHeight="1">
      <c r="A51717" s="7"/>
      <c r="B51717" s="7"/>
    </row>
    <row r="51718" ht="15.75" customHeight="1">
      <c r="A51718" s="7"/>
      <c r="B51718" s="7"/>
    </row>
    <row r="51719" ht="15.75" customHeight="1">
      <c r="A51719" s="7"/>
      <c r="B51719" s="7"/>
    </row>
    <row r="51720" ht="15.75" customHeight="1">
      <c r="A51720" s="7"/>
      <c r="B51720" s="7"/>
    </row>
    <row r="51721" ht="15.75" customHeight="1">
      <c r="A51721" s="7"/>
      <c r="B51721" s="7"/>
    </row>
    <row r="51722" ht="15.75" customHeight="1">
      <c r="A51722" s="7"/>
      <c r="B51722" s="7"/>
    </row>
    <row r="51723" ht="15.75" customHeight="1">
      <c r="A51723" s="7"/>
      <c r="B51723" s="7"/>
    </row>
    <row r="51724" ht="15.75" customHeight="1">
      <c r="A51724" s="7"/>
      <c r="B51724" s="7"/>
    </row>
    <row r="51725" ht="15.75" customHeight="1">
      <c r="A51725" s="7"/>
      <c r="B51725" s="7"/>
    </row>
    <row r="51726" ht="15.75" customHeight="1">
      <c r="A51726" s="7"/>
      <c r="B51726" s="7"/>
    </row>
    <row r="51727" ht="15.75" customHeight="1">
      <c r="A51727" s="7"/>
      <c r="B51727" s="7"/>
    </row>
    <row r="51728" ht="15.75" customHeight="1">
      <c r="A51728" s="7"/>
      <c r="B51728" s="7"/>
    </row>
    <row r="51729" ht="15.75" customHeight="1">
      <c r="A51729" s="7"/>
      <c r="B51729" s="7"/>
    </row>
    <row r="51730" ht="15.75" customHeight="1">
      <c r="A51730" s="7"/>
      <c r="B51730" s="7"/>
    </row>
    <row r="51731" ht="15.75" customHeight="1">
      <c r="A51731" s="7"/>
      <c r="B51731" s="7"/>
    </row>
    <row r="51732" ht="15.75" customHeight="1">
      <c r="A51732" s="7"/>
      <c r="B51732" s="7"/>
    </row>
    <row r="51733" ht="15.75" customHeight="1">
      <c r="A51733" s="7"/>
      <c r="B51733" s="7"/>
    </row>
    <row r="51734" ht="15.75" customHeight="1">
      <c r="A51734" s="7"/>
      <c r="B51734" s="7"/>
    </row>
    <row r="51735" ht="15.75" customHeight="1">
      <c r="A51735" s="7"/>
      <c r="B51735" s="7"/>
    </row>
    <row r="51736" ht="15.75" customHeight="1">
      <c r="A51736" s="7"/>
      <c r="B51736" s="7"/>
    </row>
    <row r="51737" ht="15.75" customHeight="1">
      <c r="A51737" s="7"/>
      <c r="B51737" s="7"/>
    </row>
    <row r="51738" ht="15.75" customHeight="1">
      <c r="A51738" s="7"/>
      <c r="B51738" s="7"/>
    </row>
    <row r="51739" ht="15.75" customHeight="1">
      <c r="A51739" s="7"/>
      <c r="B51739" s="7"/>
    </row>
    <row r="51740" ht="15.75" customHeight="1">
      <c r="A51740" s="7"/>
      <c r="B51740" s="7"/>
    </row>
    <row r="51741" ht="15.75" customHeight="1">
      <c r="A51741" s="7"/>
      <c r="B51741" s="7"/>
    </row>
    <row r="51742" ht="15.75" customHeight="1">
      <c r="A51742" s="7"/>
      <c r="B51742" s="7"/>
    </row>
    <row r="51743" ht="15.75" customHeight="1">
      <c r="A51743" s="7"/>
      <c r="B51743" s="7"/>
    </row>
    <row r="51744" ht="15.75" customHeight="1">
      <c r="A51744" s="7"/>
      <c r="B51744" s="7"/>
    </row>
    <row r="51745" ht="15.75" customHeight="1">
      <c r="A51745" s="7"/>
      <c r="B51745" s="7"/>
    </row>
    <row r="51746" ht="15.75" customHeight="1">
      <c r="A51746" s="7"/>
      <c r="B51746" s="7"/>
    </row>
    <row r="51747" ht="15.75" customHeight="1">
      <c r="A51747" s="7"/>
      <c r="B51747" s="7"/>
    </row>
    <row r="51748" ht="15.75" customHeight="1">
      <c r="A51748" s="7"/>
      <c r="B51748" s="7"/>
    </row>
    <row r="51749" ht="15.75" customHeight="1">
      <c r="A51749" s="7"/>
      <c r="B51749" s="7"/>
    </row>
    <row r="51750" ht="15.75" customHeight="1">
      <c r="A51750" s="7"/>
      <c r="B51750" s="7"/>
    </row>
    <row r="51751" ht="15.75" customHeight="1">
      <c r="A51751" s="7"/>
      <c r="B51751" s="7"/>
    </row>
    <row r="51752" ht="15.75" customHeight="1">
      <c r="A51752" s="7"/>
      <c r="B51752" s="7"/>
    </row>
    <row r="51753" ht="15.75" customHeight="1">
      <c r="A51753" s="7"/>
      <c r="B51753" s="7"/>
    </row>
    <row r="51754" ht="15.75" customHeight="1">
      <c r="A51754" s="7"/>
      <c r="B51754" s="7"/>
    </row>
    <row r="51755" ht="15.75" customHeight="1">
      <c r="A51755" s="7"/>
      <c r="B51755" s="7"/>
    </row>
    <row r="51756" ht="15.75" customHeight="1">
      <c r="A51756" s="7"/>
      <c r="B51756" s="7"/>
    </row>
    <row r="51757" ht="15.75" customHeight="1">
      <c r="A51757" s="7"/>
      <c r="B51757" s="7"/>
    </row>
    <row r="51758" ht="15.75" customHeight="1">
      <c r="A51758" s="7"/>
      <c r="B51758" s="7"/>
    </row>
    <row r="51759" ht="15.75" customHeight="1">
      <c r="A51759" s="7"/>
      <c r="B51759" s="7"/>
    </row>
    <row r="51760" ht="15.75" customHeight="1">
      <c r="A51760" s="7"/>
      <c r="B51760" s="7"/>
    </row>
    <row r="51761" ht="15.75" customHeight="1">
      <c r="A51761" s="7"/>
      <c r="B51761" s="7"/>
    </row>
    <row r="51762" ht="15.75" customHeight="1">
      <c r="A51762" s="7"/>
      <c r="B51762" s="7"/>
    </row>
    <row r="51763" ht="15.75" customHeight="1">
      <c r="A51763" s="7"/>
      <c r="B51763" s="7"/>
    </row>
    <row r="51764" ht="15.75" customHeight="1">
      <c r="A51764" s="7"/>
      <c r="B51764" s="7"/>
    </row>
    <row r="51765" ht="15.75" customHeight="1">
      <c r="A51765" s="7"/>
      <c r="B51765" s="7"/>
    </row>
    <row r="51766" ht="15.75" customHeight="1">
      <c r="A51766" s="7"/>
      <c r="B51766" s="7"/>
    </row>
    <row r="51767" ht="15.75" customHeight="1">
      <c r="A51767" s="7"/>
      <c r="B51767" s="7"/>
    </row>
    <row r="51768" ht="15.75" customHeight="1">
      <c r="A51768" s="7"/>
      <c r="B51768" s="7"/>
    </row>
    <row r="51769" ht="15.75" customHeight="1">
      <c r="A51769" s="7"/>
      <c r="B51769" s="7"/>
    </row>
    <row r="51770" ht="15.75" customHeight="1">
      <c r="A51770" s="7"/>
      <c r="B51770" s="7"/>
    </row>
    <row r="51771" ht="15.75" customHeight="1">
      <c r="A51771" s="7"/>
      <c r="B51771" s="7"/>
    </row>
    <row r="51772" ht="15.75" customHeight="1">
      <c r="A51772" s="7"/>
      <c r="B51772" s="7"/>
    </row>
    <row r="51773" ht="15.75" customHeight="1">
      <c r="A51773" s="7"/>
      <c r="B51773" s="7"/>
    </row>
    <row r="51774" ht="15.75" customHeight="1">
      <c r="A51774" s="7"/>
      <c r="B51774" s="7"/>
    </row>
    <row r="51775" ht="15.75" customHeight="1">
      <c r="A51775" s="7"/>
      <c r="B51775" s="7"/>
    </row>
    <row r="51776" ht="15.75" customHeight="1">
      <c r="A51776" s="7"/>
      <c r="B51776" s="7"/>
    </row>
    <row r="51777" ht="15.75" customHeight="1">
      <c r="A51777" s="7"/>
      <c r="B51777" s="7"/>
    </row>
    <row r="51778" ht="15.75" customHeight="1">
      <c r="A51778" s="7"/>
      <c r="B51778" s="7"/>
    </row>
    <row r="51779" ht="15.75" customHeight="1">
      <c r="A51779" s="7"/>
      <c r="B51779" s="7"/>
    </row>
    <row r="51780" ht="15.75" customHeight="1">
      <c r="A51780" s="7"/>
      <c r="B51780" s="7"/>
    </row>
    <row r="51781" ht="15.75" customHeight="1">
      <c r="A51781" s="7"/>
      <c r="B51781" s="7"/>
    </row>
    <row r="51782" ht="15.75" customHeight="1">
      <c r="A51782" s="7"/>
      <c r="B51782" s="7"/>
    </row>
    <row r="51783" ht="15.75" customHeight="1">
      <c r="A51783" s="7"/>
      <c r="B51783" s="7"/>
    </row>
    <row r="51784" ht="15.75" customHeight="1">
      <c r="A51784" s="7"/>
      <c r="B51784" s="7"/>
    </row>
    <row r="51785" ht="15.75" customHeight="1">
      <c r="A51785" s="7"/>
      <c r="B51785" s="7"/>
    </row>
    <row r="51786" ht="15.75" customHeight="1">
      <c r="A51786" s="7"/>
      <c r="B51786" s="7"/>
    </row>
    <row r="51787" ht="15.75" customHeight="1">
      <c r="A51787" s="7"/>
      <c r="B51787" s="7"/>
    </row>
    <row r="51788" ht="15.75" customHeight="1">
      <c r="A51788" s="7"/>
      <c r="B51788" s="7"/>
    </row>
    <row r="51789" ht="15.75" customHeight="1">
      <c r="A51789" s="7"/>
      <c r="B51789" s="7"/>
    </row>
    <row r="51790" ht="15.75" customHeight="1">
      <c r="A51790" s="7"/>
      <c r="B51790" s="7"/>
    </row>
    <row r="51791" ht="15.75" customHeight="1">
      <c r="A51791" s="7"/>
      <c r="B51791" s="7"/>
    </row>
    <row r="51792" ht="15.75" customHeight="1">
      <c r="A51792" s="7"/>
      <c r="B51792" s="7"/>
    </row>
    <row r="51793" ht="15.75" customHeight="1">
      <c r="A51793" s="7"/>
      <c r="B51793" s="7"/>
    </row>
    <row r="51794" ht="15.75" customHeight="1">
      <c r="A51794" s="7"/>
      <c r="B51794" s="7"/>
    </row>
    <row r="51795" ht="15.75" customHeight="1">
      <c r="A51795" s="7"/>
      <c r="B51795" s="7"/>
    </row>
    <row r="51796" ht="15.75" customHeight="1">
      <c r="A51796" s="7"/>
      <c r="B51796" s="7"/>
    </row>
    <row r="51797" ht="15.75" customHeight="1">
      <c r="A51797" s="7"/>
      <c r="B51797" s="7"/>
    </row>
    <row r="51798" ht="15.75" customHeight="1">
      <c r="A51798" s="7"/>
      <c r="B51798" s="7"/>
    </row>
    <row r="51799" ht="15.75" customHeight="1">
      <c r="A51799" s="7"/>
      <c r="B51799" s="7"/>
    </row>
    <row r="51800" ht="15.75" customHeight="1">
      <c r="A51800" s="7"/>
      <c r="B51800" s="7"/>
    </row>
    <row r="51801" ht="15.75" customHeight="1">
      <c r="A51801" s="7"/>
      <c r="B51801" s="7"/>
    </row>
    <row r="51802" ht="15.75" customHeight="1">
      <c r="A51802" s="7"/>
      <c r="B51802" s="7"/>
    </row>
    <row r="51803" ht="15.75" customHeight="1">
      <c r="A51803" s="7"/>
      <c r="B51803" s="7"/>
    </row>
    <row r="51804" ht="15.75" customHeight="1">
      <c r="A51804" s="7"/>
      <c r="B51804" s="7"/>
    </row>
    <row r="51805" ht="15.75" customHeight="1">
      <c r="A51805" s="7"/>
      <c r="B51805" s="7"/>
    </row>
    <row r="51806" ht="15.75" customHeight="1">
      <c r="A51806" s="7"/>
      <c r="B51806" s="7"/>
    </row>
    <row r="51807" ht="15.75" customHeight="1">
      <c r="A51807" s="7"/>
      <c r="B51807" s="7"/>
    </row>
    <row r="51808" ht="15.75" customHeight="1">
      <c r="A51808" s="7"/>
      <c r="B51808" s="7"/>
    </row>
    <row r="51809" ht="15.75" customHeight="1">
      <c r="A51809" s="7"/>
      <c r="B51809" s="7"/>
    </row>
    <row r="51810" ht="15.75" customHeight="1">
      <c r="A51810" s="7"/>
      <c r="B51810" s="7"/>
    </row>
    <row r="51811" ht="15.75" customHeight="1">
      <c r="A51811" s="7"/>
      <c r="B51811" s="7"/>
    </row>
    <row r="51812" ht="15.75" customHeight="1">
      <c r="A51812" s="7"/>
      <c r="B51812" s="7"/>
    </row>
    <row r="51813" ht="15.75" customHeight="1">
      <c r="A51813" s="7"/>
      <c r="B51813" s="7"/>
    </row>
    <row r="51814" ht="15.75" customHeight="1">
      <c r="A51814" s="7"/>
      <c r="B51814" s="7"/>
    </row>
    <row r="51815" ht="15.75" customHeight="1">
      <c r="A51815" s="7"/>
      <c r="B51815" s="7"/>
    </row>
    <row r="51816" ht="15.75" customHeight="1">
      <c r="A51816" s="7"/>
      <c r="B51816" s="7"/>
    </row>
    <row r="51817" ht="15.75" customHeight="1">
      <c r="A51817" s="7"/>
      <c r="B51817" s="7"/>
    </row>
    <row r="51818" ht="15.75" customHeight="1">
      <c r="A51818" s="7"/>
      <c r="B51818" s="7"/>
    </row>
    <row r="51819" ht="15.75" customHeight="1">
      <c r="A51819" s="7"/>
      <c r="B51819" s="7"/>
    </row>
    <row r="51820" ht="15.75" customHeight="1">
      <c r="A51820" s="7"/>
      <c r="B51820" s="7"/>
    </row>
    <row r="51821" ht="15.75" customHeight="1">
      <c r="A51821" s="7"/>
      <c r="B51821" s="7"/>
    </row>
    <row r="51822" ht="15.75" customHeight="1">
      <c r="A51822" s="7"/>
      <c r="B51822" s="7"/>
    </row>
    <row r="51823" ht="15.75" customHeight="1">
      <c r="A51823" s="7"/>
      <c r="B51823" s="7"/>
    </row>
    <row r="51824" ht="15.75" customHeight="1">
      <c r="A51824" s="7"/>
      <c r="B51824" s="7"/>
    </row>
    <row r="51825" ht="15.75" customHeight="1">
      <c r="A51825" s="7"/>
      <c r="B51825" s="7"/>
    </row>
    <row r="51826" ht="15.75" customHeight="1">
      <c r="A51826" s="7"/>
      <c r="B51826" s="7"/>
    </row>
    <row r="51827" ht="15.75" customHeight="1">
      <c r="A51827" s="7"/>
      <c r="B51827" s="7"/>
    </row>
    <row r="51828" ht="15.75" customHeight="1">
      <c r="A51828" s="7"/>
      <c r="B51828" s="7"/>
    </row>
    <row r="51829" ht="15.75" customHeight="1">
      <c r="A51829" s="7"/>
      <c r="B51829" s="7"/>
    </row>
    <row r="51830" ht="15.75" customHeight="1">
      <c r="A51830" s="7"/>
      <c r="B51830" s="7"/>
    </row>
    <row r="51831" ht="15.75" customHeight="1">
      <c r="A51831" s="7"/>
      <c r="B51831" s="7"/>
    </row>
    <row r="51832" ht="15.75" customHeight="1">
      <c r="A51832" s="7"/>
      <c r="B51832" s="7"/>
    </row>
    <row r="51833" ht="15.75" customHeight="1">
      <c r="A51833" s="7"/>
      <c r="B51833" s="7"/>
    </row>
    <row r="51834" ht="15.75" customHeight="1">
      <c r="A51834" s="7"/>
      <c r="B51834" s="7"/>
    </row>
    <row r="51835" ht="15.75" customHeight="1">
      <c r="A51835" s="7"/>
      <c r="B51835" s="7"/>
    </row>
    <row r="51836" ht="15.75" customHeight="1">
      <c r="A51836" s="7"/>
      <c r="B51836" s="7"/>
    </row>
    <row r="51837" ht="15.75" customHeight="1">
      <c r="A51837" s="7"/>
      <c r="B51837" s="7"/>
    </row>
    <row r="51838" ht="15.75" customHeight="1">
      <c r="A51838" s="7"/>
      <c r="B51838" s="7"/>
    </row>
    <row r="51839" ht="15.75" customHeight="1">
      <c r="A51839" s="7"/>
      <c r="B51839" s="7"/>
    </row>
    <row r="51840" ht="15.75" customHeight="1">
      <c r="A51840" s="7"/>
      <c r="B51840" s="7"/>
    </row>
    <row r="51841" ht="15.75" customHeight="1">
      <c r="A51841" s="7"/>
      <c r="B51841" s="7"/>
    </row>
    <row r="51842" ht="15.75" customHeight="1">
      <c r="A51842" s="7"/>
      <c r="B51842" s="7"/>
    </row>
    <row r="51843" ht="15.75" customHeight="1">
      <c r="A51843" s="7"/>
      <c r="B51843" s="7"/>
    </row>
    <row r="51844" ht="15.75" customHeight="1">
      <c r="A51844" s="7"/>
      <c r="B51844" s="7"/>
    </row>
    <row r="51845" ht="15.75" customHeight="1">
      <c r="A51845" s="7"/>
      <c r="B51845" s="7"/>
    </row>
    <row r="51846" ht="15.75" customHeight="1">
      <c r="A51846" s="7"/>
      <c r="B51846" s="7"/>
    </row>
    <row r="51847" ht="15.75" customHeight="1">
      <c r="A51847" s="7"/>
      <c r="B51847" s="7"/>
    </row>
    <row r="51848" ht="15.75" customHeight="1">
      <c r="A51848" s="7"/>
      <c r="B51848" s="7"/>
    </row>
    <row r="51849" ht="15.75" customHeight="1">
      <c r="A51849" s="7"/>
      <c r="B51849" s="7"/>
    </row>
    <row r="51850" ht="15.75" customHeight="1">
      <c r="A51850" s="7"/>
      <c r="B51850" s="7"/>
    </row>
    <row r="51851" ht="15.75" customHeight="1">
      <c r="A51851" s="7"/>
      <c r="B51851" s="7"/>
    </row>
    <row r="51852" ht="15.75" customHeight="1">
      <c r="A51852" s="7"/>
      <c r="B51852" s="7"/>
    </row>
    <row r="51853" ht="15.75" customHeight="1">
      <c r="A51853" s="7"/>
      <c r="B51853" s="7"/>
    </row>
    <row r="51854" ht="15.75" customHeight="1">
      <c r="A51854" s="7"/>
      <c r="B51854" s="7"/>
    </row>
    <row r="51855" ht="15.75" customHeight="1">
      <c r="A51855" s="7"/>
      <c r="B51855" s="7"/>
    </row>
    <row r="51856" ht="15.75" customHeight="1">
      <c r="A51856" s="7"/>
      <c r="B51856" s="7"/>
    </row>
    <row r="51857" ht="15.75" customHeight="1">
      <c r="A51857" s="7"/>
      <c r="B51857" s="7"/>
    </row>
    <row r="51858" ht="15.75" customHeight="1">
      <c r="A51858" s="7"/>
      <c r="B51858" s="7"/>
    </row>
    <row r="51859" ht="15.75" customHeight="1">
      <c r="A51859" s="7"/>
      <c r="B51859" s="7"/>
    </row>
    <row r="51860" ht="15.75" customHeight="1">
      <c r="A51860" s="7"/>
      <c r="B51860" s="7"/>
    </row>
    <row r="51861" ht="15.75" customHeight="1">
      <c r="A51861" s="7"/>
      <c r="B51861" s="7"/>
    </row>
    <row r="51862" ht="15.75" customHeight="1">
      <c r="A51862" s="7"/>
      <c r="B51862" s="7"/>
    </row>
    <row r="51863" ht="15.75" customHeight="1">
      <c r="A51863" s="7"/>
      <c r="B51863" s="7"/>
    </row>
    <row r="51864" ht="15.75" customHeight="1">
      <c r="A51864" s="7"/>
      <c r="B51864" s="7"/>
    </row>
    <row r="51865" ht="15.75" customHeight="1">
      <c r="A51865" s="7"/>
      <c r="B51865" s="7"/>
    </row>
    <row r="51866" ht="15.75" customHeight="1">
      <c r="A51866" s="7"/>
      <c r="B51866" s="7"/>
    </row>
    <row r="51867" ht="15.75" customHeight="1">
      <c r="A51867" s="7"/>
      <c r="B51867" s="7"/>
    </row>
    <row r="51868" ht="15.75" customHeight="1">
      <c r="A51868" s="7"/>
      <c r="B51868" s="7"/>
    </row>
    <row r="51869" ht="15.75" customHeight="1">
      <c r="A51869" s="7"/>
      <c r="B51869" s="7"/>
    </row>
    <row r="51870" ht="15.75" customHeight="1">
      <c r="A51870" s="7"/>
      <c r="B51870" s="7"/>
    </row>
    <row r="51871" ht="15.75" customHeight="1">
      <c r="A51871" s="7"/>
      <c r="B51871" s="7"/>
    </row>
    <row r="51872" ht="15.75" customHeight="1">
      <c r="A51872" s="7"/>
      <c r="B51872" s="7"/>
    </row>
    <row r="51873" ht="15.75" customHeight="1">
      <c r="A51873" s="7"/>
      <c r="B51873" s="7"/>
    </row>
    <row r="51874" ht="15.75" customHeight="1">
      <c r="A51874" s="7"/>
      <c r="B51874" s="7"/>
    </row>
    <row r="51875" ht="15.75" customHeight="1">
      <c r="A51875" s="7"/>
      <c r="B51875" s="7"/>
    </row>
    <row r="51876" ht="15.75" customHeight="1">
      <c r="A51876" s="7"/>
      <c r="B51876" s="7"/>
    </row>
    <row r="51877" ht="15.75" customHeight="1">
      <c r="A51877" s="7"/>
      <c r="B51877" s="7"/>
    </row>
    <row r="51878" ht="15.75" customHeight="1">
      <c r="A51878" s="7"/>
      <c r="B51878" s="7"/>
    </row>
    <row r="51879" ht="15.75" customHeight="1">
      <c r="A51879" s="7"/>
      <c r="B51879" s="7"/>
    </row>
    <row r="51880" ht="15.75" customHeight="1">
      <c r="A51880" s="7"/>
      <c r="B51880" s="7"/>
    </row>
    <row r="51881" ht="15.75" customHeight="1">
      <c r="A51881" s="7"/>
      <c r="B51881" s="7"/>
    </row>
    <row r="51882" ht="15.75" customHeight="1">
      <c r="A51882" s="7"/>
      <c r="B51882" s="7"/>
    </row>
    <row r="51883" ht="15.75" customHeight="1">
      <c r="A51883" s="7"/>
      <c r="B51883" s="7"/>
    </row>
    <row r="51884" ht="15.75" customHeight="1">
      <c r="A51884" s="7"/>
      <c r="B51884" s="7"/>
    </row>
    <row r="51885" ht="15.75" customHeight="1">
      <c r="A51885" s="7"/>
      <c r="B51885" s="7"/>
    </row>
    <row r="51886" ht="15.75" customHeight="1">
      <c r="A51886" s="7"/>
      <c r="B51886" s="7"/>
    </row>
    <row r="51887" ht="15.75" customHeight="1">
      <c r="A51887" s="7"/>
      <c r="B51887" s="7"/>
    </row>
    <row r="51888" ht="15.75" customHeight="1">
      <c r="A51888" s="7"/>
      <c r="B51888" s="7"/>
    </row>
    <row r="51889" ht="15.75" customHeight="1">
      <c r="A51889" s="7"/>
      <c r="B51889" s="7"/>
    </row>
    <row r="51890" ht="15.75" customHeight="1">
      <c r="A51890" s="7"/>
      <c r="B51890" s="7"/>
    </row>
    <row r="51891" ht="15.75" customHeight="1">
      <c r="A51891" s="7"/>
      <c r="B51891" s="7"/>
    </row>
    <row r="51892" ht="15.75" customHeight="1">
      <c r="A51892" s="7"/>
      <c r="B51892" s="7"/>
    </row>
    <row r="51893" ht="15.75" customHeight="1">
      <c r="A51893" s="7"/>
      <c r="B51893" s="7"/>
    </row>
    <row r="51894" ht="15.75" customHeight="1">
      <c r="A51894" s="7"/>
      <c r="B51894" s="7"/>
    </row>
    <row r="51895" ht="15.75" customHeight="1">
      <c r="A51895" s="7"/>
      <c r="B51895" s="7"/>
    </row>
    <row r="51896" ht="15.75" customHeight="1">
      <c r="A51896" s="7"/>
      <c r="B51896" s="7"/>
    </row>
    <row r="51897" ht="15.75" customHeight="1">
      <c r="A51897" s="7"/>
      <c r="B51897" s="7"/>
    </row>
    <row r="51898" ht="15.75" customHeight="1">
      <c r="A51898" s="7"/>
      <c r="B51898" s="7"/>
    </row>
    <row r="51899" ht="15.75" customHeight="1">
      <c r="A51899" s="7"/>
      <c r="B51899" s="7"/>
    </row>
    <row r="51900" ht="15.75" customHeight="1">
      <c r="A51900" s="7"/>
      <c r="B51900" s="7"/>
    </row>
    <row r="51901" ht="15.75" customHeight="1">
      <c r="A51901" s="7"/>
      <c r="B51901" s="7"/>
    </row>
    <row r="51902" ht="15.75" customHeight="1">
      <c r="A51902" s="7"/>
      <c r="B51902" s="7"/>
    </row>
    <row r="51903" ht="15.75" customHeight="1">
      <c r="A51903" s="7"/>
      <c r="B51903" s="7"/>
    </row>
    <row r="51904" ht="15.75" customHeight="1">
      <c r="A51904" s="7"/>
      <c r="B51904" s="7"/>
    </row>
    <row r="51905" ht="15.75" customHeight="1">
      <c r="A51905" s="7"/>
      <c r="B51905" s="7"/>
    </row>
    <row r="51906" ht="15.75" customHeight="1">
      <c r="A51906" s="7"/>
      <c r="B51906" s="7"/>
    </row>
    <row r="51907" ht="15.75" customHeight="1">
      <c r="A51907" s="7"/>
      <c r="B51907" s="7"/>
    </row>
    <row r="51908" ht="15.75" customHeight="1">
      <c r="A51908" s="7"/>
      <c r="B51908" s="7"/>
    </row>
    <row r="51909" ht="15.75" customHeight="1">
      <c r="A51909" s="7"/>
      <c r="B51909" s="7"/>
    </row>
    <row r="51910" ht="15.75" customHeight="1">
      <c r="A51910" s="7"/>
      <c r="B51910" s="7"/>
    </row>
    <row r="51911" ht="15.75" customHeight="1">
      <c r="A51911" s="7"/>
      <c r="B51911" s="7"/>
    </row>
    <row r="51912" ht="15.75" customHeight="1">
      <c r="A51912" s="7"/>
      <c r="B51912" s="7"/>
    </row>
    <row r="51913" ht="15.75" customHeight="1">
      <c r="A51913" s="7"/>
      <c r="B51913" s="7"/>
    </row>
    <row r="51914" ht="15.75" customHeight="1">
      <c r="A51914" s="7"/>
      <c r="B51914" s="7"/>
    </row>
    <row r="51915" ht="15.75" customHeight="1">
      <c r="A51915" s="7"/>
      <c r="B51915" s="7"/>
    </row>
    <row r="51916" ht="15.75" customHeight="1">
      <c r="A51916" s="7"/>
      <c r="B51916" s="7"/>
    </row>
    <row r="51917" ht="15.75" customHeight="1">
      <c r="A51917" s="7"/>
      <c r="B51917" s="7"/>
    </row>
    <row r="51918" ht="15.75" customHeight="1">
      <c r="A51918" s="7"/>
      <c r="B51918" s="7"/>
    </row>
    <row r="51919" ht="15.75" customHeight="1">
      <c r="A51919" s="7"/>
      <c r="B51919" s="7"/>
    </row>
    <row r="51920" ht="15.75" customHeight="1">
      <c r="A51920" s="7"/>
      <c r="B51920" s="7"/>
    </row>
    <row r="51921" ht="15.75" customHeight="1">
      <c r="A51921" s="7"/>
      <c r="B51921" s="7"/>
    </row>
    <row r="51922" ht="15.75" customHeight="1">
      <c r="A51922" s="7"/>
      <c r="B51922" s="7"/>
    </row>
    <row r="51923" ht="15.75" customHeight="1">
      <c r="A51923" s="7"/>
      <c r="B51923" s="7"/>
    </row>
    <row r="51924" ht="15.75" customHeight="1">
      <c r="A51924" s="7"/>
      <c r="B51924" s="7"/>
    </row>
    <row r="51925" ht="15.75" customHeight="1">
      <c r="A51925" s="7"/>
      <c r="B51925" s="7"/>
    </row>
    <row r="51926" ht="15.75" customHeight="1">
      <c r="A51926" s="7"/>
      <c r="B51926" s="7"/>
    </row>
    <row r="51927" ht="15.75" customHeight="1">
      <c r="A51927" s="7"/>
      <c r="B51927" s="7"/>
    </row>
    <row r="51928" ht="15.75" customHeight="1">
      <c r="A51928" s="7"/>
      <c r="B51928" s="7"/>
    </row>
    <row r="51929" ht="15.75" customHeight="1">
      <c r="A51929" s="7"/>
      <c r="B51929" s="7"/>
    </row>
    <row r="51930" ht="15.75" customHeight="1">
      <c r="A51930" s="7"/>
      <c r="B51930" s="7"/>
    </row>
    <row r="51931" ht="15.75" customHeight="1">
      <c r="A51931" s="7"/>
      <c r="B51931" s="7"/>
    </row>
    <row r="51932" ht="15.75" customHeight="1">
      <c r="A51932" s="7"/>
      <c r="B51932" s="7"/>
    </row>
    <row r="51933" ht="15.75" customHeight="1">
      <c r="A51933" s="7"/>
      <c r="B51933" s="7"/>
    </row>
    <row r="51934" ht="15.75" customHeight="1">
      <c r="A51934" s="7"/>
      <c r="B51934" s="7"/>
    </row>
    <row r="51935" ht="15.75" customHeight="1">
      <c r="A51935" s="7"/>
      <c r="B51935" s="7"/>
    </row>
    <row r="51936" ht="15.75" customHeight="1">
      <c r="A51936" s="7"/>
      <c r="B51936" s="7"/>
    </row>
    <row r="51937" ht="15.75" customHeight="1">
      <c r="A51937" s="7"/>
      <c r="B51937" s="7"/>
    </row>
    <row r="51938" ht="15.75" customHeight="1">
      <c r="A51938" s="7"/>
      <c r="B51938" s="7"/>
    </row>
    <row r="51939" ht="15.75" customHeight="1">
      <c r="A51939" s="7"/>
      <c r="B51939" s="7"/>
    </row>
    <row r="51940" ht="15.75" customHeight="1">
      <c r="A51940" s="7"/>
      <c r="B51940" s="7"/>
    </row>
    <row r="51941" ht="15.75" customHeight="1">
      <c r="A51941" s="7"/>
      <c r="B51941" s="7"/>
    </row>
    <row r="51942" ht="15.75" customHeight="1">
      <c r="A51942" s="7"/>
      <c r="B51942" s="7"/>
    </row>
    <row r="51943" ht="15.75" customHeight="1">
      <c r="A51943" s="7"/>
      <c r="B51943" s="7"/>
    </row>
    <row r="51944" ht="15.75" customHeight="1">
      <c r="A51944" s="7"/>
      <c r="B51944" s="7"/>
    </row>
    <row r="51945" ht="15.75" customHeight="1">
      <c r="A51945" s="7"/>
      <c r="B51945" s="7"/>
    </row>
    <row r="51946" ht="15.75" customHeight="1">
      <c r="A51946" s="7"/>
      <c r="B51946" s="7"/>
    </row>
    <row r="51947" ht="15.75" customHeight="1">
      <c r="A51947" s="7"/>
      <c r="B51947" s="7"/>
    </row>
    <row r="51948" ht="15.75" customHeight="1">
      <c r="A51948" s="7"/>
      <c r="B51948" s="7"/>
    </row>
    <row r="51949" ht="15.75" customHeight="1">
      <c r="A51949" s="7"/>
      <c r="B51949" s="7"/>
    </row>
    <row r="51950" ht="15.75" customHeight="1">
      <c r="A51950" s="7"/>
      <c r="B51950" s="7"/>
    </row>
    <row r="51951" ht="15.75" customHeight="1">
      <c r="A51951" s="7"/>
      <c r="B51951" s="7"/>
    </row>
    <row r="51952" ht="15.75" customHeight="1">
      <c r="A51952" s="7"/>
      <c r="B51952" s="7"/>
    </row>
    <row r="51953" ht="15.75" customHeight="1">
      <c r="A51953" s="7"/>
      <c r="B51953" s="7"/>
    </row>
    <row r="51954" ht="15.75" customHeight="1">
      <c r="A51954" s="7"/>
      <c r="B51954" s="7"/>
    </row>
    <row r="51955" ht="15.75" customHeight="1">
      <c r="A51955" s="7"/>
      <c r="B51955" s="7"/>
    </row>
    <row r="51956" ht="15.75" customHeight="1">
      <c r="A51956" s="7"/>
      <c r="B51956" s="7"/>
    </row>
    <row r="51957" ht="15.75" customHeight="1">
      <c r="A51957" s="7"/>
      <c r="B51957" s="7"/>
    </row>
    <row r="51958" ht="15.75" customHeight="1">
      <c r="A51958" s="7"/>
      <c r="B51958" s="7"/>
    </row>
    <row r="51959" ht="15.75" customHeight="1">
      <c r="A51959" s="7"/>
      <c r="B51959" s="7"/>
    </row>
    <row r="51960" ht="15.75" customHeight="1">
      <c r="A51960" s="7"/>
      <c r="B51960" s="7"/>
    </row>
    <row r="51961" ht="15.75" customHeight="1">
      <c r="A51961" s="7"/>
      <c r="B51961" s="7"/>
    </row>
    <row r="51962" ht="15.75" customHeight="1">
      <c r="A51962" s="7"/>
      <c r="B51962" s="7"/>
    </row>
    <row r="51963" ht="15.75" customHeight="1">
      <c r="A51963" s="7"/>
      <c r="B51963" s="7"/>
    </row>
    <row r="51964" ht="15.75" customHeight="1">
      <c r="A51964" s="7"/>
      <c r="B51964" s="7"/>
    </row>
    <row r="51965" ht="15.75" customHeight="1">
      <c r="A51965" s="7"/>
      <c r="B51965" s="7"/>
    </row>
    <row r="51966" ht="15.75" customHeight="1">
      <c r="A51966" s="7"/>
      <c r="B51966" s="7"/>
    </row>
    <row r="51967" ht="15.75" customHeight="1">
      <c r="A51967" s="7"/>
      <c r="B51967" s="7"/>
    </row>
    <row r="51968" ht="15.75" customHeight="1">
      <c r="A51968" s="7"/>
      <c r="B51968" s="7"/>
    </row>
    <row r="51969" ht="15.75" customHeight="1">
      <c r="A51969" s="7"/>
      <c r="B51969" s="7"/>
    </row>
    <row r="51970" ht="15.75" customHeight="1">
      <c r="A51970" s="7"/>
      <c r="B51970" s="7"/>
    </row>
    <row r="51971" ht="15.75" customHeight="1">
      <c r="A51971" s="7"/>
      <c r="B51971" s="7"/>
    </row>
    <row r="51972" ht="15.75" customHeight="1">
      <c r="A51972" s="7"/>
      <c r="B51972" s="7"/>
    </row>
    <row r="51973" ht="15.75" customHeight="1">
      <c r="A51973" s="7"/>
      <c r="B51973" s="7"/>
    </row>
    <row r="51974" ht="15.75" customHeight="1">
      <c r="A51974" s="7"/>
      <c r="B51974" s="7"/>
    </row>
    <row r="51975" ht="15.75" customHeight="1">
      <c r="A51975" s="7"/>
      <c r="B51975" s="7"/>
    </row>
    <row r="51976" ht="15.75" customHeight="1">
      <c r="A51976" s="7"/>
      <c r="B51976" s="7"/>
    </row>
    <row r="51977" ht="15.75" customHeight="1">
      <c r="A51977" s="7"/>
      <c r="B51977" s="7"/>
    </row>
    <row r="51978" ht="15.75" customHeight="1">
      <c r="A51978" s="7"/>
      <c r="B51978" s="7"/>
    </row>
    <row r="51979" ht="15.75" customHeight="1">
      <c r="A51979" s="7"/>
      <c r="B51979" s="7"/>
    </row>
    <row r="51980" ht="15.75" customHeight="1">
      <c r="A51980" s="7"/>
      <c r="B51980" s="7"/>
    </row>
    <row r="51981" ht="15.75" customHeight="1">
      <c r="A51981" s="7"/>
      <c r="B51981" s="7"/>
    </row>
    <row r="51982" ht="15.75" customHeight="1">
      <c r="A51982" s="7"/>
      <c r="B51982" s="7"/>
    </row>
    <row r="51983" ht="15.75" customHeight="1">
      <c r="A51983" s="7"/>
      <c r="B51983" s="7"/>
    </row>
    <row r="51984" ht="15.75" customHeight="1">
      <c r="A51984" s="7"/>
      <c r="B51984" s="7"/>
    </row>
    <row r="51985" ht="15.75" customHeight="1">
      <c r="A51985" s="7"/>
      <c r="B51985" s="7"/>
    </row>
    <row r="51986" ht="15.75" customHeight="1">
      <c r="A51986" s="7"/>
      <c r="B51986" s="7"/>
    </row>
    <row r="51987" ht="15.75" customHeight="1">
      <c r="A51987" s="7"/>
      <c r="B51987" s="7"/>
    </row>
    <row r="51988" ht="15.75" customHeight="1">
      <c r="A51988" s="7"/>
      <c r="B51988" s="7"/>
    </row>
    <row r="51989" ht="15.75" customHeight="1">
      <c r="A51989" s="7"/>
      <c r="B51989" s="7"/>
    </row>
    <row r="51990" ht="15.75" customHeight="1">
      <c r="A51990" s="7"/>
      <c r="B51990" s="7"/>
    </row>
    <row r="51991" ht="15.75" customHeight="1">
      <c r="A51991" s="7"/>
      <c r="B51991" s="7"/>
    </row>
    <row r="51992" ht="15.75" customHeight="1">
      <c r="A51992" s="7"/>
      <c r="B51992" s="7"/>
    </row>
    <row r="51993" ht="15.75" customHeight="1">
      <c r="A51993" s="7"/>
      <c r="B51993" s="7"/>
    </row>
    <row r="51994" ht="15.75" customHeight="1">
      <c r="A51994" s="7"/>
      <c r="B51994" s="7"/>
    </row>
    <row r="51995" ht="15.75" customHeight="1">
      <c r="A51995" s="7"/>
      <c r="B51995" s="7"/>
    </row>
    <row r="51996" ht="15.75" customHeight="1">
      <c r="A51996" s="7"/>
      <c r="B51996" s="7"/>
    </row>
    <row r="51997" ht="15.75" customHeight="1">
      <c r="A51997" s="7"/>
      <c r="B51997" s="7"/>
    </row>
    <row r="51998" ht="15.75" customHeight="1">
      <c r="A51998" s="7"/>
      <c r="B51998" s="7"/>
    </row>
    <row r="51999" ht="15.75" customHeight="1">
      <c r="A51999" s="7"/>
      <c r="B51999" s="7"/>
    </row>
    <row r="52000" ht="15.75" customHeight="1">
      <c r="A52000" s="7"/>
      <c r="B52000" s="7"/>
    </row>
    <row r="52001" ht="15.75" customHeight="1">
      <c r="A52001" s="7"/>
      <c r="B52001" s="7"/>
    </row>
    <row r="52002" ht="15.75" customHeight="1">
      <c r="A52002" s="7"/>
      <c r="B52002" s="7"/>
    </row>
    <row r="52003" ht="15.75" customHeight="1">
      <c r="A52003" s="7"/>
      <c r="B52003" s="7"/>
    </row>
    <row r="52004" ht="15.75" customHeight="1">
      <c r="A52004" s="7"/>
      <c r="B52004" s="7"/>
    </row>
    <row r="52005" ht="15.75" customHeight="1">
      <c r="A52005" s="7"/>
      <c r="B52005" s="7"/>
    </row>
    <row r="52006" ht="15.75" customHeight="1">
      <c r="A52006" s="7"/>
      <c r="B52006" s="7"/>
    </row>
    <row r="52007" ht="15.75" customHeight="1">
      <c r="A52007" s="7"/>
      <c r="B52007" s="7"/>
    </row>
    <row r="52008" ht="15.75" customHeight="1">
      <c r="A52008" s="7"/>
      <c r="B52008" s="7"/>
    </row>
    <row r="52009" ht="15.75" customHeight="1">
      <c r="A52009" s="7"/>
      <c r="B52009" s="7"/>
    </row>
    <row r="52010" ht="15.75" customHeight="1">
      <c r="A52010" s="7"/>
      <c r="B52010" s="7"/>
    </row>
    <row r="52011" ht="15.75" customHeight="1">
      <c r="A52011" s="7"/>
      <c r="B52011" s="7"/>
    </row>
    <row r="52012" ht="15.75" customHeight="1">
      <c r="A52012" s="7"/>
      <c r="B52012" s="7"/>
    </row>
    <row r="52013" ht="15.75" customHeight="1">
      <c r="A52013" s="7"/>
      <c r="B52013" s="7"/>
    </row>
    <row r="52014" ht="15.75" customHeight="1">
      <c r="A52014" s="7"/>
      <c r="B52014" s="7"/>
    </row>
    <row r="52015" ht="15.75" customHeight="1">
      <c r="A52015" s="7"/>
      <c r="B52015" s="7"/>
    </row>
    <row r="52016" ht="15.75" customHeight="1">
      <c r="A52016" s="7"/>
      <c r="B52016" s="7"/>
    </row>
    <row r="52017" ht="15.75" customHeight="1">
      <c r="A52017" s="7"/>
      <c r="B52017" s="7"/>
    </row>
    <row r="52018" ht="15.75" customHeight="1">
      <c r="A52018" s="7"/>
      <c r="B52018" s="7"/>
    </row>
    <row r="52019" ht="15.75" customHeight="1">
      <c r="A52019" s="7"/>
      <c r="B52019" s="7"/>
    </row>
    <row r="52020" ht="15.75" customHeight="1">
      <c r="A52020" s="7"/>
      <c r="B52020" s="7"/>
    </row>
    <row r="52021" ht="15.75" customHeight="1">
      <c r="A52021" s="7"/>
      <c r="B52021" s="7"/>
    </row>
    <row r="52022" ht="15.75" customHeight="1">
      <c r="A52022" s="7"/>
      <c r="B52022" s="7"/>
    </row>
    <row r="52023" ht="15.75" customHeight="1">
      <c r="A52023" s="7"/>
      <c r="B52023" s="7"/>
    </row>
    <row r="52024" ht="15.75" customHeight="1">
      <c r="A52024" s="7"/>
      <c r="B52024" s="7"/>
    </row>
    <row r="52025" ht="15.75" customHeight="1">
      <c r="A52025" s="7"/>
      <c r="B52025" s="7"/>
    </row>
    <row r="52026" ht="15.75" customHeight="1">
      <c r="A52026" s="7"/>
      <c r="B52026" s="7"/>
    </row>
    <row r="52027" ht="15.75" customHeight="1">
      <c r="A52027" s="7"/>
      <c r="B52027" s="7"/>
    </row>
    <row r="52028" ht="15.75" customHeight="1">
      <c r="A52028" s="7"/>
      <c r="B52028" s="7"/>
    </row>
    <row r="52029" ht="15.75" customHeight="1">
      <c r="A52029" s="7"/>
      <c r="B52029" s="7"/>
    </row>
    <row r="52030" ht="15.75" customHeight="1">
      <c r="A52030" s="7"/>
      <c r="B52030" s="7"/>
    </row>
    <row r="52031" ht="15.75" customHeight="1">
      <c r="A52031" s="7"/>
      <c r="B52031" s="7"/>
    </row>
    <row r="52032" ht="15.75" customHeight="1">
      <c r="A52032" s="7"/>
      <c r="B52032" s="7"/>
    </row>
    <row r="52033" ht="15.75" customHeight="1">
      <c r="A52033" s="7"/>
      <c r="B52033" s="7"/>
    </row>
    <row r="52034" ht="15.75" customHeight="1">
      <c r="A52034" s="7"/>
      <c r="B52034" s="7"/>
    </row>
    <row r="52035" ht="15.75" customHeight="1">
      <c r="A52035" s="7"/>
      <c r="B52035" s="7"/>
    </row>
    <row r="52036" ht="15.75" customHeight="1">
      <c r="A52036" s="7"/>
      <c r="B52036" s="7"/>
    </row>
    <row r="52037" ht="15.75" customHeight="1">
      <c r="A52037" s="7"/>
      <c r="B52037" s="7"/>
    </row>
    <row r="52038" ht="15.75" customHeight="1">
      <c r="A52038" s="7"/>
      <c r="B52038" s="7"/>
    </row>
    <row r="52039" ht="15.75" customHeight="1">
      <c r="A52039" s="7"/>
      <c r="B52039" s="7"/>
    </row>
    <row r="52040" ht="15.75" customHeight="1">
      <c r="A52040" s="7"/>
      <c r="B52040" s="7"/>
    </row>
    <row r="52041" ht="15.75" customHeight="1">
      <c r="A52041" s="7"/>
      <c r="B52041" s="7"/>
    </row>
    <row r="52042" ht="15.75" customHeight="1">
      <c r="A52042" s="7"/>
      <c r="B52042" s="7"/>
    </row>
    <row r="52043" ht="15.75" customHeight="1">
      <c r="A52043" s="7"/>
      <c r="B52043" s="7"/>
    </row>
    <row r="52044" ht="15.75" customHeight="1">
      <c r="A52044" s="7"/>
      <c r="B52044" s="7"/>
    </row>
    <row r="52045" ht="15.75" customHeight="1">
      <c r="A52045" s="7"/>
      <c r="B52045" s="7"/>
    </row>
    <row r="52046" ht="15.75" customHeight="1">
      <c r="A52046" s="7"/>
      <c r="B52046" s="7"/>
    </row>
    <row r="52047" ht="15.75" customHeight="1">
      <c r="A52047" s="7"/>
      <c r="B52047" s="7"/>
    </row>
    <row r="52048" ht="15.75" customHeight="1">
      <c r="A52048" s="7"/>
      <c r="B52048" s="7"/>
    </row>
    <row r="52049" ht="15.75" customHeight="1">
      <c r="A52049" s="7"/>
      <c r="B52049" s="7"/>
    </row>
    <row r="52050" ht="15.75" customHeight="1">
      <c r="A52050" s="7"/>
      <c r="B52050" s="7"/>
    </row>
    <row r="52051" ht="15.75" customHeight="1">
      <c r="A52051" s="7"/>
      <c r="B52051" s="7"/>
    </row>
    <row r="52052" ht="15.75" customHeight="1">
      <c r="A52052" s="7"/>
      <c r="B52052" s="7"/>
    </row>
    <row r="52053" ht="15.75" customHeight="1">
      <c r="A52053" s="7"/>
      <c r="B52053" s="7"/>
    </row>
    <row r="52054" ht="15.75" customHeight="1">
      <c r="A52054" s="7"/>
      <c r="B52054" s="7"/>
    </row>
    <row r="52055" ht="15.75" customHeight="1">
      <c r="A52055" s="7"/>
      <c r="B52055" s="7"/>
    </row>
    <row r="52056" ht="15.75" customHeight="1">
      <c r="A52056" s="7"/>
      <c r="B52056" s="7"/>
    </row>
    <row r="52057" ht="15.75" customHeight="1">
      <c r="A52057" s="7"/>
      <c r="B52057" s="7"/>
    </row>
    <row r="52058" ht="15.75" customHeight="1">
      <c r="A52058" s="7"/>
      <c r="B52058" s="7"/>
    </row>
    <row r="52059" ht="15.75" customHeight="1">
      <c r="A52059" s="7"/>
      <c r="B52059" s="7"/>
    </row>
    <row r="52060" ht="15.75" customHeight="1">
      <c r="A52060" s="7"/>
      <c r="B52060" s="7"/>
    </row>
    <row r="52061" ht="15.75" customHeight="1">
      <c r="A52061" s="7"/>
      <c r="B52061" s="7"/>
    </row>
    <row r="52062" ht="15.75" customHeight="1">
      <c r="A52062" s="7"/>
      <c r="B52062" s="7"/>
    </row>
    <row r="52063" ht="15.75" customHeight="1">
      <c r="A52063" s="7"/>
      <c r="B52063" s="7"/>
    </row>
    <row r="52064" ht="15.75" customHeight="1">
      <c r="A52064" s="7"/>
      <c r="B52064" s="7"/>
    </row>
    <row r="52065" ht="15.75" customHeight="1">
      <c r="A52065" s="7"/>
      <c r="B52065" s="7"/>
    </row>
    <row r="52066" ht="15.75" customHeight="1">
      <c r="A52066" s="7"/>
      <c r="B52066" s="7"/>
    </row>
    <row r="52067" ht="15.75" customHeight="1">
      <c r="A52067" s="7"/>
      <c r="B52067" s="7"/>
    </row>
    <row r="52068" ht="15.75" customHeight="1">
      <c r="A52068" s="7"/>
      <c r="B52068" s="7"/>
    </row>
    <row r="52069" ht="15.75" customHeight="1">
      <c r="A52069" s="7"/>
      <c r="B52069" s="7"/>
    </row>
    <row r="52070" ht="15.75" customHeight="1">
      <c r="A52070" s="7"/>
      <c r="B52070" s="7"/>
    </row>
    <row r="52071" ht="15.75" customHeight="1">
      <c r="A52071" s="7"/>
      <c r="B52071" s="7"/>
    </row>
    <row r="52072" ht="15.75" customHeight="1">
      <c r="A52072" s="7"/>
      <c r="B52072" s="7"/>
    </row>
    <row r="52073" ht="15.75" customHeight="1">
      <c r="A52073" s="7"/>
      <c r="B52073" s="7"/>
    </row>
    <row r="52074" ht="15.75" customHeight="1">
      <c r="A52074" s="7"/>
      <c r="B52074" s="7"/>
    </row>
    <row r="52075" ht="15.75" customHeight="1">
      <c r="A52075" s="7"/>
      <c r="B52075" s="7"/>
    </row>
    <row r="52076" ht="15.75" customHeight="1">
      <c r="A52076" s="7"/>
      <c r="B52076" s="7"/>
    </row>
    <row r="52077" ht="15.75" customHeight="1">
      <c r="A52077" s="7"/>
      <c r="B52077" s="7"/>
    </row>
    <row r="52078" ht="15.75" customHeight="1">
      <c r="A52078" s="7"/>
      <c r="B52078" s="7"/>
    </row>
    <row r="52079" ht="15.75" customHeight="1">
      <c r="A52079" s="7"/>
      <c r="B52079" s="7"/>
    </row>
    <row r="52080" ht="15.75" customHeight="1">
      <c r="A52080" s="7"/>
      <c r="B52080" s="7"/>
    </row>
    <row r="52081" ht="15.75" customHeight="1">
      <c r="A52081" s="7"/>
      <c r="B52081" s="7"/>
    </row>
    <row r="52082" ht="15.75" customHeight="1">
      <c r="A52082" s="7"/>
      <c r="B52082" s="7"/>
    </row>
    <row r="52083" ht="15.75" customHeight="1">
      <c r="A52083" s="7"/>
      <c r="B52083" s="7"/>
    </row>
    <row r="52084" ht="15.75" customHeight="1">
      <c r="A52084" s="7"/>
      <c r="B52084" s="7"/>
    </row>
    <row r="52085" ht="15.75" customHeight="1">
      <c r="A52085" s="7"/>
      <c r="B52085" s="7"/>
    </row>
    <row r="52086" ht="15.75" customHeight="1">
      <c r="A52086" s="7"/>
      <c r="B52086" s="7"/>
    </row>
    <row r="52087" ht="15.75" customHeight="1">
      <c r="A52087" s="7"/>
      <c r="B52087" s="7"/>
    </row>
    <row r="52088" ht="15.75" customHeight="1">
      <c r="A52088" s="7"/>
      <c r="B52088" s="7"/>
    </row>
    <row r="52089" ht="15.75" customHeight="1">
      <c r="A52089" s="7"/>
      <c r="B52089" s="7"/>
    </row>
    <row r="52090" ht="15.75" customHeight="1">
      <c r="A52090" s="7"/>
      <c r="B52090" s="7"/>
    </row>
    <row r="52091" ht="15.75" customHeight="1">
      <c r="A52091" s="7"/>
      <c r="B52091" s="7"/>
    </row>
    <row r="52092" ht="15.75" customHeight="1">
      <c r="A52092" s="7"/>
      <c r="B52092" s="7"/>
    </row>
    <row r="52093" ht="15.75" customHeight="1">
      <c r="A52093" s="7"/>
      <c r="B52093" s="7"/>
    </row>
    <row r="52094" ht="15.75" customHeight="1">
      <c r="A52094" s="7"/>
      <c r="B52094" s="7"/>
    </row>
    <row r="52095" ht="15.75" customHeight="1">
      <c r="A52095" s="7"/>
      <c r="B52095" s="7"/>
    </row>
    <row r="52096" ht="15.75" customHeight="1">
      <c r="A52096" s="7"/>
      <c r="B52096" s="7"/>
    </row>
    <row r="52097" ht="15.75" customHeight="1">
      <c r="A52097" s="7"/>
      <c r="B52097" s="7"/>
    </row>
    <row r="52098" ht="15.75" customHeight="1">
      <c r="A52098" s="7"/>
      <c r="B52098" s="7"/>
    </row>
    <row r="52099" ht="15.75" customHeight="1">
      <c r="A52099" s="7"/>
      <c r="B52099" s="7"/>
    </row>
    <row r="52100" ht="15.75" customHeight="1">
      <c r="A52100" s="7"/>
      <c r="B52100" s="7"/>
    </row>
    <row r="52101" ht="15.75" customHeight="1">
      <c r="A52101" s="7"/>
      <c r="B52101" s="7"/>
    </row>
    <row r="52102" ht="15.75" customHeight="1">
      <c r="A52102" s="7"/>
      <c r="B52102" s="7"/>
    </row>
    <row r="52103" ht="15.75" customHeight="1">
      <c r="A52103" s="7"/>
      <c r="B52103" s="7"/>
    </row>
    <row r="52104" ht="15.75" customHeight="1">
      <c r="A52104" s="7"/>
      <c r="B52104" s="7"/>
    </row>
    <row r="52105" ht="15.75" customHeight="1">
      <c r="A52105" s="7"/>
      <c r="B52105" s="7"/>
    </row>
    <row r="52106" ht="15.75" customHeight="1">
      <c r="A52106" s="7"/>
      <c r="B52106" s="7"/>
    </row>
    <row r="52107" ht="15.75" customHeight="1">
      <c r="A52107" s="7"/>
      <c r="B52107" s="7"/>
    </row>
    <row r="52108" ht="15.75" customHeight="1">
      <c r="A52108" s="7"/>
      <c r="B52108" s="7"/>
    </row>
    <row r="52109" ht="15.75" customHeight="1">
      <c r="A52109" s="7"/>
      <c r="B52109" s="7"/>
    </row>
    <row r="52110" ht="15.75" customHeight="1">
      <c r="A52110" s="7"/>
      <c r="B52110" s="7"/>
    </row>
    <row r="52111" ht="15.75" customHeight="1">
      <c r="A52111" s="7"/>
      <c r="B52111" s="7"/>
    </row>
    <row r="52112" ht="15.75" customHeight="1">
      <c r="A52112" s="7"/>
      <c r="B52112" s="7"/>
    </row>
    <row r="52113" ht="15.75" customHeight="1">
      <c r="A52113" s="7"/>
      <c r="B52113" s="7"/>
    </row>
    <row r="52114" ht="15.75" customHeight="1">
      <c r="A52114" s="7"/>
      <c r="B52114" s="7"/>
    </row>
    <row r="52115" ht="15.75" customHeight="1">
      <c r="A52115" s="7"/>
      <c r="B52115" s="7"/>
    </row>
    <row r="52116" ht="15.75" customHeight="1">
      <c r="A52116" s="7"/>
      <c r="B52116" s="7"/>
    </row>
    <row r="52117" ht="15.75" customHeight="1">
      <c r="A52117" s="7"/>
      <c r="B52117" s="7"/>
    </row>
    <row r="52118" ht="15.75" customHeight="1">
      <c r="A52118" s="7"/>
      <c r="B52118" s="7"/>
    </row>
    <row r="52119" ht="15.75" customHeight="1">
      <c r="A52119" s="7"/>
      <c r="B52119" s="7"/>
    </row>
    <row r="52120" ht="15.75" customHeight="1">
      <c r="A52120" s="7"/>
      <c r="B52120" s="7"/>
    </row>
    <row r="52121" ht="15.75" customHeight="1">
      <c r="A52121" s="7"/>
      <c r="B52121" s="7"/>
    </row>
    <row r="52122" ht="15.75" customHeight="1">
      <c r="A52122" s="7"/>
      <c r="B52122" s="7"/>
    </row>
    <row r="52123" ht="15.75" customHeight="1">
      <c r="A52123" s="7"/>
      <c r="B52123" s="7"/>
    </row>
    <row r="52124" ht="15.75" customHeight="1">
      <c r="A52124" s="7"/>
      <c r="B52124" s="7"/>
    </row>
    <row r="52125" ht="15.75" customHeight="1">
      <c r="A52125" s="7"/>
      <c r="B52125" s="7"/>
    </row>
    <row r="52126" ht="15.75" customHeight="1">
      <c r="A52126" s="7"/>
      <c r="B52126" s="7"/>
    </row>
    <row r="52127" ht="15.75" customHeight="1">
      <c r="A52127" s="7"/>
      <c r="B52127" s="7"/>
    </row>
    <row r="52128" ht="15.75" customHeight="1">
      <c r="A52128" s="7"/>
      <c r="B52128" s="7"/>
    </row>
    <row r="52129" ht="15.75" customHeight="1">
      <c r="A52129" s="7"/>
      <c r="B52129" s="7"/>
    </row>
    <row r="52130" ht="15.75" customHeight="1">
      <c r="A52130" s="7"/>
      <c r="B52130" s="7"/>
    </row>
    <row r="52131" ht="15.75" customHeight="1">
      <c r="A52131" s="7"/>
      <c r="B52131" s="7"/>
    </row>
    <row r="52132" ht="15.75" customHeight="1">
      <c r="A52132" s="7"/>
      <c r="B52132" s="7"/>
    </row>
    <row r="52133" ht="15.75" customHeight="1">
      <c r="A52133" s="7"/>
      <c r="B52133" s="7"/>
    </row>
    <row r="52134" ht="15.75" customHeight="1">
      <c r="A52134" s="7"/>
      <c r="B52134" s="7"/>
    </row>
    <row r="52135" ht="15.75" customHeight="1">
      <c r="A52135" s="7"/>
      <c r="B52135" s="7"/>
    </row>
    <row r="52136" ht="15.75" customHeight="1">
      <c r="A52136" s="7"/>
      <c r="B52136" s="7"/>
    </row>
    <row r="52137" ht="15.75" customHeight="1">
      <c r="A52137" s="7"/>
      <c r="B52137" s="7"/>
    </row>
    <row r="52138" ht="15.75" customHeight="1">
      <c r="A52138" s="7"/>
      <c r="B52138" s="7"/>
    </row>
    <row r="52139" ht="15.75" customHeight="1">
      <c r="A52139" s="7"/>
      <c r="B52139" s="7"/>
    </row>
    <row r="52140" ht="15.75" customHeight="1">
      <c r="A52140" s="7"/>
      <c r="B52140" s="7"/>
    </row>
    <row r="52141" ht="15.75" customHeight="1">
      <c r="A52141" s="7"/>
      <c r="B52141" s="7"/>
    </row>
    <row r="52142" ht="15.75" customHeight="1">
      <c r="A52142" s="7"/>
      <c r="B52142" s="7"/>
    </row>
    <row r="52143" ht="15.75" customHeight="1">
      <c r="A52143" s="7"/>
      <c r="B52143" s="7"/>
    </row>
    <row r="52144" ht="15.75" customHeight="1">
      <c r="A52144" s="7"/>
      <c r="B52144" s="7"/>
    </row>
    <row r="52145" ht="15.75" customHeight="1">
      <c r="A52145" s="7"/>
      <c r="B52145" s="7"/>
    </row>
    <row r="52146" ht="15.75" customHeight="1">
      <c r="A52146" s="7"/>
      <c r="B52146" s="7"/>
    </row>
    <row r="52147" ht="15.75" customHeight="1">
      <c r="A52147" s="7"/>
      <c r="B52147" s="7"/>
    </row>
    <row r="52148" ht="15.75" customHeight="1">
      <c r="A52148" s="7"/>
      <c r="B52148" s="7"/>
    </row>
    <row r="52149" ht="15.75" customHeight="1">
      <c r="A52149" s="7"/>
      <c r="B52149" s="7"/>
    </row>
    <row r="52150" ht="15.75" customHeight="1">
      <c r="A52150" s="7"/>
      <c r="B52150" s="7"/>
    </row>
    <row r="52151" ht="15.75" customHeight="1">
      <c r="A52151" s="7"/>
      <c r="B52151" s="7"/>
    </row>
    <row r="52152" ht="15.75" customHeight="1">
      <c r="A52152" s="7"/>
      <c r="B52152" s="7"/>
    </row>
    <row r="52153" ht="15.75" customHeight="1">
      <c r="A52153" s="7"/>
      <c r="B52153" s="7"/>
    </row>
    <row r="52154" ht="15.75" customHeight="1">
      <c r="A52154" s="7"/>
      <c r="B52154" s="7"/>
    </row>
    <row r="52155" ht="15.75" customHeight="1">
      <c r="A52155" s="7"/>
      <c r="B52155" s="7"/>
    </row>
    <row r="52156" ht="15.75" customHeight="1">
      <c r="A52156" s="7"/>
      <c r="B52156" s="7"/>
    </row>
    <row r="52157" ht="15.75" customHeight="1">
      <c r="A52157" s="7"/>
      <c r="B52157" s="7"/>
    </row>
    <row r="52158" ht="15.75" customHeight="1">
      <c r="A52158" s="7"/>
      <c r="B52158" s="7"/>
    </row>
    <row r="52159" ht="15.75" customHeight="1">
      <c r="A52159" s="7"/>
      <c r="B52159" s="7"/>
    </row>
    <row r="52160" ht="15.75" customHeight="1">
      <c r="A52160" s="7"/>
      <c r="B52160" s="7"/>
    </row>
    <row r="52161" ht="15.75" customHeight="1">
      <c r="A52161" s="7"/>
      <c r="B52161" s="7"/>
    </row>
    <row r="52162" ht="15.75" customHeight="1">
      <c r="A52162" s="7"/>
      <c r="B52162" s="7"/>
    </row>
    <row r="52163" ht="15.75" customHeight="1">
      <c r="A52163" s="7"/>
      <c r="B52163" s="7"/>
    </row>
    <row r="52164" ht="15.75" customHeight="1">
      <c r="A52164" s="7"/>
      <c r="B52164" s="7"/>
    </row>
    <row r="52165" ht="15.75" customHeight="1">
      <c r="A52165" s="7"/>
      <c r="B52165" s="7"/>
    </row>
    <row r="52166" ht="15.75" customHeight="1">
      <c r="A52166" s="7"/>
      <c r="B52166" s="7"/>
    </row>
    <row r="52167" ht="15.75" customHeight="1">
      <c r="A52167" s="7"/>
      <c r="B52167" s="7"/>
    </row>
    <row r="52168" ht="15.75" customHeight="1">
      <c r="A52168" s="7"/>
      <c r="B52168" s="7"/>
    </row>
    <row r="52169" ht="15.75" customHeight="1">
      <c r="A52169" s="7"/>
      <c r="B52169" s="7"/>
    </row>
    <row r="52170" ht="15.75" customHeight="1">
      <c r="A52170" s="7"/>
      <c r="B52170" s="7"/>
    </row>
    <row r="52171" ht="15.75" customHeight="1">
      <c r="A52171" s="7"/>
      <c r="B52171" s="7"/>
    </row>
    <row r="52172" ht="15.75" customHeight="1">
      <c r="A52172" s="7"/>
      <c r="B52172" s="7"/>
    </row>
    <row r="52173" ht="15.75" customHeight="1">
      <c r="A52173" s="7"/>
      <c r="B52173" s="7"/>
    </row>
    <row r="52174" ht="15.75" customHeight="1">
      <c r="A52174" s="7"/>
      <c r="B52174" s="7"/>
    </row>
    <row r="52175" ht="15.75" customHeight="1">
      <c r="A52175" s="7"/>
      <c r="B52175" s="7"/>
    </row>
    <row r="52176" ht="15.75" customHeight="1">
      <c r="A52176" s="7"/>
      <c r="B52176" s="7"/>
    </row>
    <row r="52177" ht="15.75" customHeight="1">
      <c r="A52177" s="7"/>
      <c r="B52177" s="7"/>
    </row>
    <row r="52178" ht="15.75" customHeight="1">
      <c r="A52178" s="7"/>
      <c r="B52178" s="7"/>
    </row>
    <row r="52179" ht="15.75" customHeight="1">
      <c r="A52179" s="7"/>
      <c r="B52179" s="7"/>
    </row>
    <row r="52180" ht="15.75" customHeight="1">
      <c r="A52180" s="7"/>
      <c r="B52180" s="7"/>
    </row>
    <row r="52181" ht="15.75" customHeight="1">
      <c r="A52181" s="7"/>
      <c r="B52181" s="7"/>
    </row>
    <row r="52182" ht="15.75" customHeight="1">
      <c r="A52182" s="7"/>
      <c r="B52182" s="7"/>
    </row>
    <row r="52183" ht="15.75" customHeight="1">
      <c r="A52183" s="7"/>
      <c r="B52183" s="7"/>
    </row>
    <row r="52184" ht="15.75" customHeight="1">
      <c r="A52184" s="7"/>
      <c r="B52184" s="7"/>
    </row>
    <row r="52185" ht="15.75" customHeight="1">
      <c r="A52185" s="7"/>
      <c r="B52185" s="7"/>
    </row>
    <row r="52186" ht="15.75" customHeight="1">
      <c r="A52186" s="7"/>
      <c r="B52186" s="7"/>
    </row>
    <row r="52187" ht="15.75" customHeight="1">
      <c r="A52187" s="7"/>
      <c r="B52187" s="7"/>
    </row>
    <row r="52188" ht="15.75" customHeight="1">
      <c r="A52188" s="7"/>
      <c r="B52188" s="7"/>
    </row>
    <row r="52189" ht="15.75" customHeight="1">
      <c r="A52189" s="7"/>
      <c r="B52189" s="7"/>
    </row>
    <row r="52190" ht="15.75" customHeight="1">
      <c r="A52190" s="7"/>
      <c r="B52190" s="7"/>
    </row>
    <row r="52191" ht="15.75" customHeight="1">
      <c r="A52191" s="7"/>
      <c r="B52191" s="7"/>
    </row>
    <row r="52192" ht="15.75" customHeight="1">
      <c r="A52192" s="7"/>
      <c r="B52192" s="7"/>
    </row>
    <row r="52193" ht="15.75" customHeight="1">
      <c r="A52193" s="7"/>
      <c r="B52193" s="7"/>
    </row>
    <row r="52194" ht="15.75" customHeight="1">
      <c r="A52194" s="7"/>
      <c r="B52194" s="7"/>
    </row>
    <row r="52195" ht="15.75" customHeight="1">
      <c r="A52195" s="7"/>
      <c r="B52195" s="7"/>
    </row>
    <row r="52196" ht="15.75" customHeight="1">
      <c r="A52196" s="7"/>
      <c r="B52196" s="7"/>
    </row>
    <row r="52197" ht="15.75" customHeight="1">
      <c r="A52197" s="7"/>
      <c r="B52197" s="7"/>
    </row>
    <row r="52198" ht="15.75" customHeight="1">
      <c r="A52198" s="7"/>
      <c r="B52198" s="7"/>
    </row>
    <row r="52199" ht="15.75" customHeight="1">
      <c r="A52199" s="7"/>
      <c r="B52199" s="7"/>
    </row>
    <row r="52200" ht="15.75" customHeight="1">
      <c r="A52200" s="7"/>
      <c r="B52200" s="7"/>
    </row>
    <row r="52201" ht="15.75" customHeight="1">
      <c r="A52201" s="7"/>
      <c r="B52201" s="7"/>
    </row>
    <row r="52202" ht="15.75" customHeight="1">
      <c r="A52202" s="7"/>
      <c r="B52202" s="7"/>
    </row>
    <row r="52203" ht="15.75" customHeight="1">
      <c r="A52203" s="7"/>
      <c r="B52203" s="7"/>
    </row>
    <row r="52204" ht="15.75" customHeight="1">
      <c r="A52204" s="7"/>
      <c r="B52204" s="7"/>
    </row>
    <row r="52205" ht="15.75" customHeight="1">
      <c r="A52205" s="7"/>
      <c r="B52205" s="7"/>
    </row>
    <row r="52206" ht="15.75" customHeight="1">
      <c r="A52206" s="7"/>
      <c r="B52206" s="7"/>
    </row>
    <row r="52207" ht="15.75" customHeight="1">
      <c r="A52207" s="7"/>
      <c r="B52207" s="7"/>
    </row>
    <row r="52208" ht="15.75" customHeight="1">
      <c r="A52208" s="7"/>
      <c r="B52208" s="7"/>
    </row>
    <row r="52209" ht="15.75" customHeight="1">
      <c r="A52209" s="7"/>
      <c r="B52209" s="7"/>
    </row>
    <row r="52210" ht="15.75" customHeight="1">
      <c r="A52210" s="7"/>
      <c r="B52210" s="7"/>
    </row>
    <row r="52211" ht="15.75" customHeight="1">
      <c r="A52211" s="7"/>
      <c r="B52211" s="7"/>
    </row>
    <row r="52212" ht="15.75" customHeight="1">
      <c r="A52212" s="7"/>
      <c r="B52212" s="7"/>
    </row>
    <row r="52213" ht="15.75" customHeight="1">
      <c r="A52213" s="7"/>
      <c r="B52213" s="7"/>
    </row>
    <row r="52214" ht="15.75" customHeight="1">
      <c r="A52214" s="7"/>
      <c r="B52214" s="7"/>
    </row>
    <row r="52215" ht="15.75" customHeight="1">
      <c r="A52215" s="7"/>
      <c r="B52215" s="7"/>
    </row>
    <row r="52216" ht="15.75" customHeight="1">
      <c r="A52216" s="7"/>
      <c r="B52216" s="7"/>
    </row>
    <row r="52217" ht="15.75" customHeight="1">
      <c r="A52217" s="7"/>
      <c r="B52217" s="7"/>
    </row>
    <row r="52218" ht="15.75" customHeight="1">
      <c r="A52218" s="7"/>
      <c r="B52218" s="7"/>
    </row>
    <row r="52219" ht="15.75" customHeight="1">
      <c r="A52219" s="7"/>
      <c r="B52219" s="7"/>
    </row>
    <row r="52220" ht="15.75" customHeight="1">
      <c r="A52220" s="7"/>
      <c r="B52220" s="7"/>
    </row>
    <row r="52221" ht="15.75" customHeight="1">
      <c r="A52221" s="7"/>
      <c r="B52221" s="7"/>
    </row>
    <row r="52222" ht="15.75" customHeight="1">
      <c r="A52222" s="7"/>
      <c r="B52222" s="7"/>
    </row>
    <row r="52223" ht="15.75" customHeight="1">
      <c r="A52223" s="7"/>
      <c r="B52223" s="7"/>
    </row>
    <row r="52224" ht="15.75" customHeight="1">
      <c r="A52224" s="7"/>
      <c r="B52224" s="7"/>
    </row>
    <row r="52225" ht="15.75" customHeight="1">
      <c r="A52225" s="7"/>
      <c r="B52225" s="7"/>
    </row>
    <row r="52226" ht="15.75" customHeight="1">
      <c r="A52226" s="7"/>
      <c r="B52226" s="7"/>
    </row>
    <row r="52227" ht="15.75" customHeight="1">
      <c r="A52227" s="7"/>
      <c r="B52227" s="7"/>
    </row>
    <row r="52228" ht="15.75" customHeight="1">
      <c r="A52228" s="7"/>
      <c r="B52228" s="7"/>
    </row>
    <row r="52229" ht="15.75" customHeight="1">
      <c r="A52229" s="7"/>
      <c r="B52229" s="7"/>
    </row>
    <row r="52230" ht="15.75" customHeight="1">
      <c r="A52230" s="7"/>
      <c r="B52230" s="7"/>
    </row>
    <row r="52231" ht="15.75" customHeight="1">
      <c r="A52231" s="7"/>
      <c r="B52231" s="7"/>
    </row>
    <row r="52232" ht="15.75" customHeight="1">
      <c r="A52232" s="7"/>
      <c r="B52232" s="7"/>
    </row>
    <row r="52233" ht="15.75" customHeight="1">
      <c r="A52233" s="7"/>
      <c r="B52233" s="7"/>
    </row>
    <row r="52234" ht="15.75" customHeight="1">
      <c r="A52234" s="7"/>
      <c r="B52234" s="7"/>
    </row>
    <row r="52235" ht="15.75" customHeight="1">
      <c r="A52235" s="7"/>
      <c r="B52235" s="7"/>
    </row>
    <row r="52236" ht="15.75" customHeight="1">
      <c r="A52236" s="7"/>
      <c r="B52236" s="7"/>
    </row>
    <row r="52237" ht="15.75" customHeight="1">
      <c r="A52237" s="7"/>
      <c r="B52237" s="7"/>
    </row>
    <row r="52238" ht="15.75" customHeight="1">
      <c r="A52238" s="7"/>
      <c r="B52238" s="7"/>
    </row>
    <row r="52239" ht="15.75" customHeight="1">
      <c r="A52239" s="7"/>
      <c r="B52239" s="7"/>
    </row>
    <row r="52240" ht="15.75" customHeight="1">
      <c r="A52240" s="7"/>
      <c r="B52240" s="7"/>
    </row>
    <row r="52241" ht="15.75" customHeight="1">
      <c r="A52241" s="7"/>
      <c r="B52241" s="7"/>
    </row>
    <row r="52242" ht="15.75" customHeight="1">
      <c r="A52242" s="7"/>
      <c r="B52242" s="7"/>
    </row>
    <row r="52243" ht="15.75" customHeight="1">
      <c r="A52243" s="7"/>
      <c r="B52243" s="7"/>
    </row>
    <row r="52244" ht="15.75" customHeight="1">
      <c r="A52244" s="7"/>
      <c r="B52244" s="7"/>
    </row>
    <row r="52245" ht="15.75" customHeight="1">
      <c r="A52245" s="7"/>
      <c r="B52245" s="7"/>
    </row>
    <row r="52246" ht="15.75" customHeight="1">
      <c r="A52246" s="7"/>
      <c r="B52246" s="7"/>
    </row>
    <row r="52247" ht="15.75" customHeight="1">
      <c r="A52247" s="7"/>
      <c r="B52247" s="7"/>
    </row>
    <row r="52248" ht="15.75" customHeight="1">
      <c r="A52248" s="7"/>
      <c r="B52248" s="7"/>
    </row>
    <row r="52249" ht="15.75" customHeight="1">
      <c r="A52249" s="7"/>
      <c r="B52249" s="7"/>
    </row>
    <row r="52250" ht="15.75" customHeight="1">
      <c r="A52250" s="7"/>
      <c r="B52250" s="7"/>
    </row>
    <row r="52251" ht="15.75" customHeight="1">
      <c r="A52251" s="7"/>
      <c r="B52251" s="7"/>
    </row>
    <row r="52252" ht="15.75" customHeight="1">
      <c r="A52252" s="7"/>
      <c r="B52252" s="7"/>
    </row>
    <row r="52253" ht="15.75" customHeight="1">
      <c r="A52253" s="7"/>
      <c r="B52253" s="7"/>
    </row>
    <row r="52254" ht="15.75" customHeight="1">
      <c r="A52254" s="7"/>
      <c r="B52254" s="7"/>
    </row>
    <row r="52255" ht="15.75" customHeight="1">
      <c r="A52255" s="7"/>
      <c r="B52255" s="7"/>
    </row>
    <row r="52256" ht="15.75" customHeight="1">
      <c r="A52256" s="7"/>
      <c r="B52256" s="7"/>
    </row>
    <row r="52257" ht="15.75" customHeight="1">
      <c r="A52257" s="7"/>
      <c r="B52257" s="7"/>
    </row>
    <row r="52258" ht="15.75" customHeight="1">
      <c r="A52258" s="7"/>
      <c r="B52258" s="7"/>
    </row>
    <row r="52259" ht="15.75" customHeight="1">
      <c r="A52259" s="7"/>
      <c r="B52259" s="7"/>
    </row>
    <row r="52260" ht="15.75" customHeight="1">
      <c r="A52260" s="7"/>
      <c r="B52260" s="7"/>
    </row>
    <row r="52261" ht="15.75" customHeight="1">
      <c r="A52261" s="7"/>
      <c r="B52261" s="7"/>
    </row>
    <row r="52262" ht="15.75" customHeight="1">
      <c r="A52262" s="7"/>
      <c r="B52262" s="7"/>
    </row>
    <row r="52263" ht="15.75" customHeight="1">
      <c r="A52263" s="7"/>
      <c r="B52263" s="7"/>
    </row>
    <row r="52264" ht="15.75" customHeight="1">
      <c r="A52264" s="7"/>
      <c r="B52264" s="7"/>
    </row>
    <row r="52265" ht="15.75" customHeight="1">
      <c r="A52265" s="7"/>
      <c r="B52265" s="7"/>
    </row>
    <row r="52266" ht="15.75" customHeight="1">
      <c r="A52266" s="7"/>
      <c r="B52266" s="7"/>
    </row>
    <row r="52267" ht="15.75" customHeight="1">
      <c r="A52267" s="7"/>
      <c r="B52267" s="7"/>
    </row>
    <row r="52268" ht="15.75" customHeight="1">
      <c r="A52268" s="7"/>
      <c r="B52268" s="7"/>
    </row>
    <row r="52269" ht="15.75" customHeight="1">
      <c r="A52269" s="7"/>
      <c r="B52269" s="7"/>
    </row>
    <row r="52270" ht="15.75" customHeight="1">
      <c r="A52270" s="7"/>
      <c r="B52270" s="7"/>
    </row>
    <row r="52271" ht="15.75" customHeight="1">
      <c r="A52271" s="7"/>
      <c r="B52271" s="7"/>
    </row>
    <row r="52272" ht="15.75" customHeight="1">
      <c r="A52272" s="7"/>
      <c r="B52272" s="7"/>
    </row>
    <row r="52273" ht="15.75" customHeight="1">
      <c r="A52273" s="7"/>
      <c r="B52273" s="7"/>
    </row>
    <row r="52274" ht="15.75" customHeight="1">
      <c r="A52274" s="7"/>
      <c r="B52274" s="7"/>
    </row>
    <row r="52275" ht="15.75" customHeight="1">
      <c r="A52275" s="7"/>
      <c r="B52275" s="7"/>
    </row>
    <row r="52276" ht="15.75" customHeight="1">
      <c r="A52276" s="7"/>
      <c r="B52276" s="7"/>
    </row>
    <row r="52277" ht="15.75" customHeight="1">
      <c r="A52277" s="7"/>
      <c r="B52277" s="7"/>
    </row>
    <row r="52278" ht="15.75" customHeight="1">
      <c r="A52278" s="7"/>
      <c r="B52278" s="7"/>
    </row>
    <row r="52279" ht="15.75" customHeight="1">
      <c r="A52279" s="7"/>
      <c r="B52279" s="7"/>
    </row>
    <row r="52280" ht="15.75" customHeight="1">
      <c r="A52280" s="7"/>
      <c r="B52280" s="7"/>
    </row>
    <row r="52281" ht="15.75" customHeight="1">
      <c r="A52281" s="7"/>
      <c r="B52281" s="7"/>
    </row>
    <row r="52282" ht="15.75" customHeight="1">
      <c r="A52282" s="7"/>
      <c r="B52282" s="7"/>
    </row>
    <row r="52283" ht="15.75" customHeight="1">
      <c r="A52283" s="7"/>
      <c r="B52283" s="7"/>
    </row>
    <row r="52284" ht="15.75" customHeight="1">
      <c r="A52284" s="7"/>
      <c r="B52284" s="7"/>
    </row>
    <row r="52285" ht="15.75" customHeight="1">
      <c r="A52285" s="7"/>
      <c r="B52285" s="7"/>
    </row>
    <row r="52286" ht="15.75" customHeight="1">
      <c r="A52286" s="7"/>
      <c r="B52286" s="7"/>
    </row>
    <row r="52287" ht="15.75" customHeight="1">
      <c r="A52287" s="7"/>
      <c r="B52287" s="7"/>
    </row>
    <row r="52288" ht="15.75" customHeight="1">
      <c r="A52288" s="7"/>
      <c r="B52288" s="7"/>
    </row>
    <row r="52289" ht="15.75" customHeight="1">
      <c r="A52289" s="7"/>
      <c r="B52289" s="7"/>
    </row>
    <row r="52290" ht="15.75" customHeight="1">
      <c r="A52290" s="7"/>
      <c r="B52290" s="7"/>
    </row>
    <row r="52291" ht="15.75" customHeight="1">
      <c r="A52291" s="7"/>
      <c r="B52291" s="7"/>
    </row>
    <row r="52292" ht="15.75" customHeight="1">
      <c r="A52292" s="7"/>
      <c r="B52292" s="7"/>
    </row>
    <row r="52293" ht="15.75" customHeight="1">
      <c r="A52293" s="7"/>
      <c r="B52293" s="7"/>
    </row>
    <row r="52294" ht="15.75" customHeight="1">
      <c r="A52294" s="7"/>
      <c r="B52294" s="7"/>
    </row>
    <row r="52295" ht="15.75" customHeight="1">
      <c r="A52295" s="7"/>
      <c r="B52295" s="7"/>
    </row>
    <row r="52296" ht="15.75" customHeight="1">
      <c r="A52296" s="7"/>
      <c r="B52296" s="7"/>
    </row>
    <row r="52297" ht="15.75" customHeight="1">
      <c r="A52297" s="7"/>
      <c r="B52297" s="7"/>
    </row>
    <row r="52298" ht="15.75" customHeight="1">
      <c r="A52298" s="7"/>
      <c r="B52298" s="7"/>
    </row>
    <row r="52299" ht="15.75" customHeight="1">
      <c r="A52299" s="7"/>
      <c r="B52299" s="7"/>
    </row>
    <row r="52300" ht="15.75" customHeight="1">
      <c r="A52300" s="7"/>
      <c r="B52300" s="7"/>
    </row>
    <row r="52301" ht="15.75" customHeight="1">
      <c r="A52301" s="7"/>
      <c r="B52301" s="7"/>
    </row>
    <row r="52302" ht="15.75" customHeight="1">
      <c r="A52302" s="7"/>
      <c r="B52302" s="7"/>
    </row>
    <row r="52303" ht="15.75" customHeight="1">
      <c r="A52303" s="7"/>
      <c r="B52303" s="7"/>
    </row>
    <row r="52304" ht="15.75" customHeight="1">
      <c r="A52304" s="7"/>
      <c r="B52304" s="7"/>
    </row>
    <row r="52305" ht="15.75" customHeight="1">
      <c r="A52305" s="7"/>
      <c r="B52305" s="7"/>
    </row>
    <row r="52306" ht="15.75" customHeight="1">
      <c r="A52306" s="7"/>
      <c r="B52306" s="7"/>
    </row>
    <row r="52307" ht="15.75" customHeight="1">
      <c r="A52307" s="7"/>
      <c r="B52307" s="7"/>
    </row>
    <row r="52308" ht="15.75" customHeight="1">
      <c r="A52308" s="7"/>
      <c r="B52308" s="7"/>
    </row>
    <row r="52309" ht="15.75" customHeight="1">
      <c r="A52309" s="7"/>
      <c r="B52309" s="7"/>
    </row>
    <row r="52310" ht="15.75" customHeight="1">
      <c r="A52310" s="7"/>
      <c r="B52310" s="7"/>
    </row>
    <row r="52311" ht="15.75" customHeight="1">
      <c r="A52311" s="7"/>
      <c r="B52311" s="7"/>
    </row>
    <row r="52312" ht="15.75" customHeight="1">
      <c r="A52312" s="7"/>
      <c r="B52312" s="7"/>
    </row>
    <row r="52313" ht="15.75" customHeight="1">
      <c r="A52313" s="7"/>
      <c r="B52313" s="7"/>
    </row>
    <row r="52314" ht="15.75" customHeight="1">
      <c r="A52314" s="7"/>
      <c r="B52314" s="7"/>
    </row>
    <row r="52315" ht="15.75" customHeight="1">
      <c r="A52315" s="7"/>
      <c r="B52315" s="7"/>
    </row>
    <row r="52316" ht="15.75" customHeight="1">
      <c r="A52316" s="7"/>
      <c r="B52316" s="7"/>
    </row>
    <row r="52317" ht="15.75" customHeight="1">
      <c r="A52317" s="7"/>
      <c r="B52317" s="7"/>
    </row>
    <row r="52318" ht="15.75" customHeight="1">
      <c r="A52318" s="7"/>
      <c r="B52318" s="7"/>
    </row>
    <row r="52319" ht="15.75" customHeight="1">
      <c r="A52319" s="7"/>
      <c r="B52319" s="7"/>
    </row>
    <row r="52320" ht="15.75" customHeight="1">
      <c r="A52320" s="7"/>
      <c r="B52320" s="7"/>
    </row>
    <row r="52321" ht="15.75" customHeight="1">
      <c r="A52321" s="7"/>
      <c r="B52321" s="7"/>
    </row>
    <row r="52322" ht="15.75" customHeight="1">
      <c r="A52322" s="7"/>
      <c r="B52322" s="7"/>
    </row>
    <row r="52323" ht="15.75" customHeight="1">
      <c r="A52323" s="7"/>
      <c r="B52323" s="7"/>
    </row>
    <row r="52324" ht="15.75" customHeight="1">
      <c r="A52324" s="7"/>
      <c r="B52324" s="7"/>
    </row>
    <row r="52325" ht="15.75" customHeight="1">
      <c r="A52325" s="7"/>
      <c r="B52325" s="7"/>
    </row>
    <row r="52326" ht="15.75" customHeight="1">
      <c r="A52326" s="7"/>
      <c r="B52326" s="7"/>
    </row>
    <row r="52327" ht="15.75" customHeight="1">
      <c r="A52327" s="7"/>
      <c r="B52327" s="7"/>
    </row>
    <row r="52328" ht="15.75" customHeight="1">
      <c r="A52328" s="7"/>
      <c r="B52328" s="7"/>
    </row>
    <row r="52329" ht="15.75" customHeight="1">
      <c r="A52329" s="7"/>
      <c r="B52329" s="7"/>
    </row>
    <row r="52330" ht="15.75" customHeight="1">
      <c r="A52330" s="7"/>
      <c r="B52330" s="7"/>
    </row>
    <row r="52331" ht="15.75" customHeight="1">
      <c r="A52331" s="7"/>
      <c r="B52331" s="7"/>
    </row>
    <row r="52332" ht="15.75" customHeight="1">
      <c r="A52332" s="7"/>
      <c r="B52332" s="7"/>
    </row>
    <row r="52333" ht="15.75" customHeight="1">
      <c r="A52333" s="7"/>
      <c r="B52333" s="7"/>
    </row>
    <row r="52334" ht="15.75" customHeight="1">
      <c r="A52334" s="7"/>
      <c r="B52334" s="7"/>
    </row>
    <row r="52335" ht="15.75" customHeight="1">
      <c r="A52335" s="7"/>
      <c r="B52335" s="7"/>
    </row>
    <row r="52336" ht="15.75" customHeight="1">
      <c r="A52336" s="7"/>
      <c r="B52336" s="7"/>
    </row>
    <row r="52337" ht="15.75" customHeight="1">
      <c r="A52337" s="7"/>
      <c r="B52337" s="7"/>
    </row>
    <row r="52338" ht="15.75" customHeight="1">
      <c r="A52338" s="7"/>
      <c r="B52338" s="7"/>
    </row>
    <row r="52339" ht="15.75" customHeight="1">
      <c r="A52339" s="7"/>
      <c r="B52339" s="7"/>
    </row>
    <row r="52340" ht="15.75" customHeight="1">
      <c r="A52340" s="7"/>
      <c r="B52340" s="7"/>
    </row>
    <row r="52341" ht="15.75" customHeight="1">
      <c r="A52341" s="7"/>
      <c r="B52341" s="7"/>
    </row>
    <row r="52342" ht="15.75" customHeight="1">
      <c r="A52342" s="7"/>
      <c r="B52342" s="7"/>
    </row>
    <row r="52343" ht="15.75" customHeight="1">
      <c r="A52343" s="7"/>
      <c r="B52343" s="7"/>
    </row>
    <row r="52344" ht="15.75" customHeight="1">
      <c r="A52344" s="7"/>
      <c r="B52344" s="7"/>
    </row>
    <row r="52345" ht="15.75" customHeight="1">
      <c r="A52345" s="7"/>
      <c r="B52345" s="7"/>
    </row>
    <row r="52346" ht="15.75" customHeight="1">
      <c r="A52346" s="7"/>
      <c r="B52346" s="7"/>
    </row>
    <row r="52347" ht="15.75" customHeight="1">
      <c r="A52347" s="7"/>
      <c r="B52347" s="7"/>
    </row>
    <row r="52348" ht="15.75" customHeight="1">
      <c r="A52348" s="7"/>
      <c r="B52348" s="7"/>
    </row>
    <row r="52349" ht="15.75" customHeight="1">
      <c r="A52349" s="7"/>
      <c r="B52349" s="7"/>
    </row>
    <row r="52350" ht="15.75" customHeight="1">
      <c r="A52350" s="7"/>
      <c r="B52350" s="7"/>
    </row>
    <row r="52351" ht="15.75" customHeight="1">
      <c r="A52351" s="7"/>
      <c r="B52351" s="7"/>
    </row>
    <row r="52352" ht="15.75" customHeight="1">
      <c r="A52352" s="7"/>
      <c r="B52352" s="7"/>
    </row>
    <row r="52353" ht="15.75" customHeight="1">
      <c r="A52353" s="7"/>
      <c r="B52353" s="7"/>
    </row>
    <row r="52354" ht="15.75" customHeight="1">
      <c r="A52354" s="7"/>
      <c r="B52354" s="7"/>
    </row>
    <row r="52355" ht="15.75" customHeight="1">
      <c r="A52355" s="7"/>
      <c r="B52355" s="7"/>
    </row>
    <row r="52356" ht="15.75" customHeight="1">
      <c r="A52356" s="7"/>
      <c r="B52356" s="7"/>
    </row>
    <row r="52357" ht="15.75" customHeight="1">
      <c r="A52357" s="7"/>
      <c r="B52357" s="7"/>
    </row>
    <row r="52358" ht="15.75" customHeight="1">
      <c r="A52358" s="7"/>
      <c r="B52358" s="7"/>
    </row>
    <row r="52359" ht="15.75" customHeight="1">
      <c r="A52359" s="7"/>
      <c r="B52359" s="7"/>
    </row>
    <row r="52360" ht="15.75" customHeight="1">
      <c r="A52360" s="7"/>
      <c r="B52360" s="7"/>
    </row>
    <row r="52361" ht="15.75" customHeight="1">
      <c r="A52361" s="7"/>
      <c r="B52361" s="7"/>
    </row>
    <row r="52362" ht="15.75" customHeight="1">
      <c r="A52362" s="7"/>
      <c r="B52362" s="7"/>
    </row>
    <row r="52363" ht="15.75" customHeight="1">
      <c r="A52363" s="7"/>
      <c r="B52363" s="7"/>
    </row>
    <row r="52364" ht="15.75" customHeight="1">
      <c r="A52364" s="7"/>
      <c r="B52364" s="7"/>
    </row>
    <row r="52365" ht="15.75" customHeight="1">
      <c r="A52365" s="7"/>
      <c r="B52365" s="7"/>
    </row>
    <row r="52366" ht="15.75" customHeight="1">
      <c r="A52366" s="7"/>
      <c r="B52366" s="7"/>
    </row>
    <row r="52367" ht="15.75" customHeight="1">
      <c r="A52367" s="7"/>
      <c r="B52367" s="7"/>
    </row>
    <row r="52368" ht="15.75" customHeight="1">
      <c r="A52368" s="7"/>
      <c r="B52368" s="7"/>
    </row>
    <row r="52369" ht="15.75" customHeight="1">
      <c r="A52369" s="7"/>
      <c r="B52369" s="7"/>
    </row>
    <row r="52370" ht="15.75" customHeight="1">
      <c r="A52370" s="7"/>
      <c r="B52370" s="7"/>
    </row>
    <row r="52371" ht="15.75" customHeight="1">
      <c r="A52371" s="7"/>
      <c r="B52371" s="7"/>
    </row>
    <row r="52372" ht="15.75" customHeight="1">
      <c r="A52372" s="7"/>
      <c r="B52372" s="7"/>
    </row>
    <row r="52373" ht="15.75" customHeight="1">
      <c r="A52373" s="7"/>
      <c r="B52373" s="7"/>
    </row>
    <row r="52374" ht="15.75" customHeight="1">
      <c r="A52374" s="7"/>
      <c r="B52374" s="7"/>
    </row>
    <row r="52375" ht="15.75" customHeight="1">
      <c r="A52375" s="7"/>
      <c r="B52375" s="7"/>
    </row>
    <row r="52376" ht="15.75" customHeight="1">
      <c r="A52376" s="7"/>
      <c r="B52376" s="7"/>
    </row>
    <row r="52377" ht="15.75" customHeight="1">
      <c r="A52377" s="7"/>
      <c r="B52377" s="7"/>
    </row>
    <row r="52378" ht="15.75" customHeight="1">
      <c r="A52378" s="7"/>
      <c r="B52378" s="7"/>
    </row>
    <row r="52379" ht="15.75" customHeight="1">
      <c r="A52379" s="7"/>
      <c r="B52379" s="7"/>
    </row>
    <row r="52380" ht="15.75" customHeight="1">
      <c r="A52380" s="7"/>
      <c r="B52380" s="7"/>
    </row>
    <row r="52381" ht="15.75" customHeight="1">
      <c r="A52381" s="7"/>
      <c r="B52381" s="7"/>
    </row>
    <row r="52382" ht="15.75" customHeight="1">
      <c r="A52382" s="7"/>
      <c r="B52382" s="7"/>
    </row>
    <row r="52383" ht="15.75" customHeight="1">
      <c r="A52383" s="7"/>
      <c r="B52383" s="7"/>
    </row>
    <row r="52384" ht="15.75" customHeight="1">
      <c r="A52384" s="7"/>
      <c r="B52384" s="7"/>
    </row>
    <row r="52385" ht="15.75" customHeight="1">
      <c r="A52385" s="7"/>
      <c r="B52385" s="7"/>
    </row>
    <row r="52386" ht="15.75" customHeight="1">
      <c r="A52386" s="7"/>
      <c r="B52386" s="7"/>
    </row>
    <row r="52387" ht="15.75" customHeight="1">
      <c r="A52387" s="7"/>
      <c r="B52387" s="7"/>
    </row>
    <row r="52388" ht="15.75" customHeight="1">
      <c r="A52388" s="7"/>
      <c r="B52388" s="7"/>
    </row>
    <row r="52389" ht="15.75" customHeight="1">
      <c r="A52389" s="7"/>
      <c r="B52389" s="7"/>
    </row>
    <row r="52390" ht="15.75" customHeight="1">
      <c r="A52390" s="7"/>
      <c r="B52390" s="7"/>
    </row>
    <row r="52391" ht="15.75" customHeight="1">
      <c r="A52391" s="7"/>
      <c r="B52391" s="7"/>
    </row>
    <row r="52392" ht="15.75" customHeight="1">
      <c r="A52392" s="7"/>
      <c r="B52392" s="7"/>
    </row>
    <row r="52393" ht="15.75" customHeight="1">
      <c r="A52393" s="7"/>
      <c r="B52393" s="7"/>
    </row>
    <row r="52394" ht="15.75" customHeight="1">
      <c r="A52394" s="7"/>
      <c r="B52394" s="7"/>
    </row>
    <row r="52395" ht="15.75" customHeight="1">
      <c r="A52395" s="7"/>
      <c r="B52395" s="7"/>
    </row>
    <row r="52396" ht="15.75" customHeight="1">
      <c r="A52396" s="7"/>
      <c r="B52396" s="7"/>
    </row>
    <row r="52397" ht="15.75" customHeight="1">
      <c r="A52397" s="7"/>
      <c r="B52397" s="7"/>
    </row>
    <row r="52398" ht="15.75" customHeight="1">
      <c r="A52398" s="7"/>
      <c r="B52398" s="7"/>
    </row>
    <row r="52399" ht="15.75" customHeight="1">
      <c r="A52399" s="7"/>
      <c r="B52399" s="7"/>
    </row>
    <row r="52400" ht="15.75" customHeight="1">
      <c r="A52400" s="7"/>
      <c r="B52400" s="7"/>
    </row>
    <row r="52401" ht="15.75" customHeight="1">
      <c r="A52401" s="7"/>
      <c r="B52401" s="7"/>
    </row>
    <row r="52402" ht="15.75" customHeight="1">
      <c r="A52402" s="7"/>
      <c r="B52402" s="7"/>
    </row>
    <row r="52403" ht="15.75" customHeight="1">
      <c r="A52403" s="7"/>
      <c r="B52403" s="7"/>
    </row>
    <row r="52404" ht="15.75" customHeight="1">
      <c r="A52404" s="7"/>
      <c r="B52404" s="7"/>
    </row>
    <row r="52405" ht="15.75" customHeight="1">
      <c r="A52405" s="7"/>
      <c r="B52405" s="7"/>
    </row>
    <row r="52406" ht="15.75" customHeight="1">
      <c r="A52406" s="7"/>
      <c r="B52406" s="7"/>
    </row>
    <row r="52407" ht="15.75" customHeight="1">
      <c r="A52407" s="7"/>
      <c r="B52407" s="7"/>
    </row>
    <row r="52408" ht="15.75" customHeight="1">
      <c r="A52408" s="7"/>
      <c r="B52408" s="7"/>
    </row>
    <row r="52409" ht="15.75" customHeight="1">
      <c r="A52409" s="7"/>
      <c r="B52409" s="7"/>
    </row>
    <row r="52410" ht="15.75" customHeight="1">
      <c r="A52410" s="7"/>
      <c r="B52410" s="7"/>
    </row>
    <row r="52411" ht="15.75" customHeight="1">
      <c r="A52411" s="7"/>
      <c r="B52411" s="7"/>
    </row>
    <row r="52412" ht="15.75" customHeight="1">
      <c r="A52412" s="7"/>
      <c r="B52412" s="7"/>
    </row>
    <row r="52413" ht="15.75" customHeight="1">
      <c r="A52413" s="7"/>
      <c r="B52413" s="7"/>
    </row>
    <row r="52414" ht="15.75" customHeight="1">
      <c r="A52414" s="7"/>
      <c r="B52414" s="7"/>
    </row>
    <row r="52415" ht="15.75" customHeight="1">
      <c r="A52415" s="7"/>
      <c r="B52415" s="7"/>
    </row>
    <row r="52416" ht="15.75" customHeight="1">
      <c r="A52416" s="7"/>
      <c r="B52416" s="7"/>
    </row>
    <row r="52417" ht="15.75" customHeight="1">
      <c r="A52417" s="7"/>
      <c r="B52417" s="7"/>
    </row>
    <row r="52418" ht="15.75" customHeight="1">
      <c r="A52418" s="7"/>
      <c r="B52418" s="7"/>
    </row>
    <row r="52419" ht="15.75" customHeight="1">
      <c r="A52419" s="7"/>
      <c r="B52419" s="7"/>
    </row>
    <row r="52420" ht="15.75" customHeight="1">
      <c r="A52420" s="7"/>
      <c r="B52420" s="7"/>
    </row>
    <row r="52421" ht="15.75" customHeight="1">
      <c r="A52421" s="7"/>
      <c r="B52421" s="7"/>
    </row>
    <row r="52422" ht="15.75" customHeight="1">
      <c r="A52422" s="7"/>
      <c r="B52422" s="7"/>
    </row>
    <row r="52423" ht="15.75" customHeight="1">
      <c r="A52423" s="7"/>
      <c r="B52423" s="7"/>
    </row>
    <row r="52424" ht="15.75" customHeight="1">
      <c r="A52424" s="7"/>
      <c r="B52424" s="7"/>
    </row>
    <row r="52425" ht="15.75" customHeight="1">
      <c r="A52425" s="7"/>
      <c r="B52425" s="7"/>
    </row>
    <row r="52426" ht="15.75" customHeight="1">
      <c r="A52426" s="7"/>
      <c r="B52426" s="7"/>
    </row>
    <row r="52427" ht="15.75" customHeight="1">
      <c r="A52427" s="7"/>
      <c r="B52427" s="7"/>
    </row>
    <row r="52428" ht="15.75" customHeight="1">
      <c r="A52428" s="7"/>
      <c r="B52428" s="7"/>
    </row>
    <row r="52429" ht="15.75" customHeight="1">
      <c r="A52429" s="7"/>
      <c r="B52429" s="7"/>
    </row>
    <row r="52430" ht="15.75" customHeight="1">
      <c r="A52430" s="7"/>
      <c r="B52430" s="7"/>
    </row>
    <row r="52431" ht="15.75" customHeight="1">
      <c r="A52431" s="7"/>
      <c r="B52431" s="7"/>
    </row>
    <row r="52432" ht="15.75" customHeight="1">
      <c r="A52432" s="7"/>
      <c r="B52432" s="7"/>
    </row>
    <row r="52433" ht="15.75" customHeight="1">
      <c r="A52433" s="7"/>
      <c r="B52433" s="7"/>
    </row>
    <row r="52434" ht="15.75" customHeight="1">
      <c r="A52434" s="7"/>
      <c r="B52434" s="7"/>
    </row>
    <row r="52435" ht="15.75" customHeight="1">
      <c r="A52435" s="7"/>
      <c r="B52435" s="7"/>
    </row>
    <row r="52436" ht="15.75" customHeight="1">
      <c r="A52436" s="7"/>
      <c r="B52436" s="7"/>
    </row>
    <row r="52437" ht="15.75" customHeight="1">
      <c r="A52437" s="7"/>
      <c r="B52437" s="7"/>
    </row>
    <row r="52438" ht="15.75" customHeight="1">
      <c r="A52438" s="7"/>
      <c r="B52438" s="7"/>
    </row>
    <row r="52439" ht="15.75" customHeight="1">
      <c r="A52439" s="7"/>
      <c r="B52439" s="7"/>
    </row>
    <row r="52440" ht="15.75" customHeight="1">
      <c r="A52440" s="7"/>
      <c r="B52440" s="7"/>
    </row>
    <row r="52441" ht="15.75" customHeight="1">
      <c r="A52441" s="7"/>
      <c r="B52441" s="7"/>
    </row>
    <row r="52442" ht="15.75" customHeight="1">
      <c r="A52442" s="7"/>
      <c r="B52442" s="7"/>
    </row>
    <row r="52443" ht="15.75" customHeight="1">
      <c r="A52443" s="7"/>
      <c r="B52443" s="7"/>
    </row>
    <row r="52444" ht="15.75" customHeight="1">
      <c r="A52444" s="7"/>
      <c r="B52444" s="7"/>
    </row>
    <row r="52445" ht="15.75" customHeight="1">
      <c r="A52445" s="7"/>
      <c r="B52445" s="7"/>
    </row>
    <row r="52446" ht="15.75" customHeight="1">
      <c r="A52446" s="7"/>
      <c r="B52446" s="7"/>
    </row>
    <row r="52447" ht="15.75" customHeight="1">
      <c r="A52447" s="7"/>
      <c r="B52447" s="7"/>
    </row>
    <row r="52448" ht="15.75" customHeight="1">
      <c r="A52448" s="7"/>
      <c r="B52448" s="7"/>
    </row>
    <row r="52449" ht="15.75" customHeight="1">
      <c r="A52449" s="7"/>
      <c r="B52449" s="7"/>
    </row>
    <row r="52450" ht="15.75" customHeight="1">
      <c r="A52450" s="7"/>
      <c r="B52450" s="7"/>
    </row>
    <row r="52451" ht="15.75" customHeight="1">
      <c r="A52451" s="7"/>
      <c r="B52451" s="7"/>
    </row>
    <row r="52452" ht="15.75" customHeight="1">
      <c r="A52452" s="7"/>
      <c r="B52452" s="7"/>
    </row>
    <row r="52453" ht="15.75" customHeight="1">
      <c r="A52453" s="7"/>
      <c r="B52453" s="7"/>
    </row>
    <row r="52454" ht="15.75" customHeight="1">
      <c r="A52454" s="7"/>
      <c r="B52454" s="7"/>
    </row>
    <row r="52455" ht="15.75" customHeight="1">
      <c r="A52455" s="7"/>
      <c r="B52455" s="7"/>
    </row>
    <row r="52456" ht="15.75" customHeight="1">
      <c r="A52456" s="7"/>
      <c r="B52456" s="7"/>
    </row>
    <row r="52457" ht="15.75" customHeight="1">
      <c r="A52457" s="7"/>
      <c r="B52457" s="7"/>
    </row>
    <row r="52458" ht="15.75" customHeight="1">
      <c r="A52458" s="7"/>
      <c r="B52458" s="7"/>
    </row>
    <row r="52459" ht="15.75" customHeight="1">
      <c r="A52459" s="7"/>
      <c r="B52459" s="7"/>
    </row>
    <row r="52460" ht="15.75" customHeight="1">
      <c r="A52460" s="7"/>
      <c r="B52460" s="7"/>
    </row>
    <row r="52461" ht="15.75" customHeight="1">
      <c r="A52461" s="7"/>
      <c r="B52461" s="7"/>
    </row>
    <row r="52462" ht="15.75" customHeight="1">
      <c r="A52462" s="7"/>
      <c r="B52462" s="7"/>
    </row>
    <row r="52463" ht="15.75" customHeight="1">
      <c r="A52463" s="7"/>
      <c r="B52463" s="7"/>
    </row>
    <row r="52464" ht="15.75" customHeight="1">
      <c r="A52464" s="7"/>
      <c r="B52464" s="7"/>
    </row>
    <row r="52465" ht="15.75" customHeight="1">
      <c r="A52465" s="7"/>
      <c r="B52465" s="7"/>
    </row>
    <row r="52466" ht="15.75" customHeight="1">
      <c r="A52466" s="7"/>
      <c r="B52466" s="7"/>
    </row>
    <row r="52467" ht="15.75" customHeight="1">
      <c r="A52467" s="7"/>
      <c r="B52467" s="7"/>
    </row>
    <row r="52468" ht="15.75" customHeight="1">
      <c r="A52468" s="7"/>
      <c r="B52468" s="7"/>
    </row>
    <row r="52469" ht="15.75" customHeight="1">
      <c r="A52469" s="7"/>
      <c r="B52469" s="7"/>
    </row>
    <row r="52470" ht="15.75" customHeight="1">
      <c r="A52470" s="7"/>
      <c r="B52470" s="7"/>
    </row>
    <row r="52471" ht="15.75" customHeight="1">
      <c r="A52471" s="7"/>
      <c r="B52471" s="7"/>
    </row>
    <row r="52472" ht="15.75" customHeight="1">
      <c r="A52472" s="7"/>
      <c r="B52472" s="7"/>
    </row>
    <row r="52473" ht="15.75" customHeight="1">
      <c r="A52473" s="7"/>
      <c r="B52473" s="7"/>
    </row>
    <row r="52474" ht="15.75" customHeight="1">
      <c r="A52474" s="7"/>
      <c r="B52474" s="7"/>
    </row>
    <row r="52475" ht="15.75" customHeight="1">
      <c r="A52475" s="7"/>
      <c r="B52475" s="7"/>
    </row>
    <row r="52476" ht="15.75" customHeight="1">
      <c r="A52476" s="7"/>
      <c r="B52476" s="7"/>
    </row>
    <row r="52477" ht="15.75" customHeight="1">
      <c r="A52477" s="7"/>
      <c r="B52477" s="7"/>
    </row>
    <row r="52478" ht="15.75" customHeight="1">
      <c r="A52478" s="7"/>
      <c r="B52478" s="7"/>
    </row>
    <row r="52479" ht="15.75" customHeight="1">
      <c r="A52479" s="7"/>
      <c r="B52479" s="7"/>
    </row>
    <row r="52480" ht="15.75" customHeight="1">
      <c r="A52480" s="7"/>
      <c r="B52480" s="7"/>
    </row>
    <row r="52481" ht="15.75" customHeight="1">
      <c r="A52481" s="7"/>
      <c r="B52481" s="7"/>
    </row>
    <row r="52482" ht="15.75" customHeight="1">
      <c r="A52482" s="7"/>
      <c r="B52482" s="7"/>
    </row>
    <row r="52483" ht="15.75" customHeight="1">
      <c r="A52483" s="7"/>
      <c r="B52483" s="7"/>
    </row>
    <row r="52484" ht="15.75" customHeight="1">
      <c r="A52484" s="7"/>
      <c r="B52484" s="7"/>
    </row>
    <row r="52485" ht="15.75" customHeight="1">
      <c r="A52485" s="7"/>
      <c r="B52485" s="7"/>
    </row>
    <row r="52486" ht="15.75" customHeight="1">
      <c r="A52486" s="7"/>
      <c r="B52486" s="7"/>
    </row>
    <row r="52487" ht="15.75" customHeight="1">
      <c r="A52487" s="7"/>
      <c r="B52487" s="7"/>
    </row>
    <row r="52488" ht="15.75" customHeight="1">
      <c r="A52488" s="7"/>
      <c r="B52488" s="7"/>
    </row>
    <row r="52489" ht="15.75" customHeight="1">
      <c r="A52489" s="7"/>
      <c r="B52489" s="7"/>
    </row>
    <row r="52490" ht="15.75" customHeight="1">
      <c r="A52490" s="7"/>
      <c r="B52490" s="7"/>
    </row>
    <row r="52491" ht="15.75" customHeight="1">
      <c r="A52491" s="7"/>
      <c r="B52491" s="7"/>
    </row>
    <row r="52492" ht="15.75" customHeight="1">
      <c r="A52492" s="7"/>
      <c r="B52492" s="7"/>
    </row>
    <row r="52493" ht="15.75" customHeight="1">
      <c r="A52493" s="7"/>
      <c r="B52493" s="7"/>
    </row>
    <row r="52494" ht="15.75" customHeight="1">
      <c r="A52494" s="7"/>
      <c r="B52494" s="7"/>
    </row>
    <row r="52495" ht="15.75" customHeight="1">
      <c r="A52495" s="7"/>
      <c r="B52495" s="7"/>
    </row>
    <row r="52496" ht="15.75" customHeight="1">
      <c r="A52496" s="7"/>
      <c r="B52496" s="7"/>
    </row>
    <row r="52497" ht="15.75" customHeight="1">
      <c r="A52497" s="7"/>
      <c r="B52497" s="7"/>
    </row>
    <row r="52498" ht="15.75" customHeight="1">
      <c r="A52498" s="7"/>
      <c r="B52498" s="7"/>
    </row>
    <row r="52499" ht="15.75" customHeight="1">
      <c r="A52499" s="7"/>
      <c r="B52499" s="7"/>
    </row>
    <row r="52500" ht="15.75" customHeight="1">
      <c r="A52500" s="7"/>
      <c r="B52500" s="7"/>
    </row>
    <row r="52501" ht="15.75" customHeight="1">
      <c r="A52501" s="7"/>
      <c r="B52501" s="7"/>
    </row>
    <row r="52502" ht="15.75" customHeight="1">
      <c r="A52502" s="7"/>
      <c r="B52502" s="7"/>
    </row>
    <row r="52503" ht="15.75" customHeight="1">
      <c r="A52503" s="7"/>
      <c r="B52503" s="7"/>
    </row>
    <row r="52504" ht="15.75" customHeight="1">
      <c r="A52504" s="7"/>
      <c r="B52504" s="7"/>
    </row>
    <row r="52505" ht="15.75" customHeight="1">
      <c r="A52505" s="7"/>
      <c r="B52505" s="7"/>
    </row>
    <row r="52506" ht="15.75" customHeight="1">
      <c r="A52506" s="7"/>
      <c r="B52506" s="7"/>
    </row>
    <row r="52507" ht="15.75" customHeight="1">
      <c r="A52507" s="7"/>
      <c r="B52507" s="7"/>
    </row>
    <row r="52508" ht="15.75" customHeight="1">
      <c r="A52508" s="7"/>
      <c r="B52508" s="7"/>
    </row>
    <row r="52509" ht="15.75" customHeight="1">
      <c r="A52509" s="7"/>
      <c r="B52509" s="7"/>
    </row>
    <row r="52510" ht="15.75" customHeight="1">
      <c r="A52510" s="7"/>
      <c r="B52510" s="7"/>
    </row>
    <row r="52511" ht="15.75" customHeight="1">
      <c r="A52511" s="7"/>
      <c r="B52511" s="7"/>
    </row>
    <row r="52512" ht="15.75" customHeight="1">
      <c r="A52512" s="7"/>
      <c r="B52512" s="7"/>
    </row>
    <row r="52513" ht="15.75" customHeight="1">
      <c r="A52513" s="7"/>
      <c r="B52513" s="7"/>
    </row>
    <row r="52514" ht="15.75" customHeight="1">
      <c r="A52514" s="7"/>
      <c r="B52514" s="7"/>
    </row>
    <row r="52515" ht="15.75" customHeight="1">
      <c r="A52515" s="7"/>
      <c r="B52515" s="7"/>
    </row>
    <row r="52516" ht="15.75" customHeight="1">
      <c r="A52516" s="7"/>
      <c r="B52516" s="7"/>
    </row>
    <row r="52517" ht="15.75" customHeight="1">
      <c r="A52517" s="7"/>
      <c r="B52517" s="7"/>
    </row>
    <row r="52518" ht="15.75" customHeight="1">
      <c r="A52518" s="7"/>
      <c r="B52518" s="7"/>
    </row>
    <row r="52519" ht="15.75" customHeight="1">
      <c r="A52519" s="7"/>
      <c r="B52519" s="7"/>
    </row>
    <row r="52520" ht="15.75" customHeight="1">
      <c r="A52520" s="7"/>
      <c r="B52520" s="7"/>
    </row>
    <row r="52521" ht="15.75" customHeight="1">
      <c r="A52521" s="7"/>
      <c r="B52521" s="7"/>
    </row>
    <row r="52522" ht="15.75" customHeight="1">
      <c r="A52522" s="7"/>
      <c r="B52522" s="7"/>
    </row>
    <row r="52523" ht="15.75" customHeight="1">
      <c r="A52523" s="7"/>
      <c r="B52523" s="7"/>
    </row>
    <row r="52524" ht="15.75" customHeight="1">
      <c r="A52524" s="7"/>
      <c r="B52524" s="7"/>
    </row>
    <row r="52525" ht="15.75" customHeight="1">
      <c r="A52525" s="7"/>
      <c r="B52525" s="7"/>
    </row>
    <row r="52526" ht="15.75" customHeight="1">
      <c r="A52526" s="7"/>
      <c r="B52526" s="7"/>
    </row>
    <row r="52527" ht="15.75" customHeight="1">
      <c r="A52527" s="7"/>
      <c r="B52527" s="7"/>
    </row>
    <row r="52528" ht="15.75" customHeight="1">
      <c r="A52528" s="7"/>
      <c r="B52528" s="7"/>
    </row>
    <row r="52529" ht="15.75" customHeight="1">
      <c r="A52529" s="7"/>
      <c r="B52529" s="7"/>
    </row>
    <row r="52530" ht="15.75" customHeight="1">
      <c r="A52530" s="7"/>
      <c r="B52530" s="7"/>
    </row>
    <row r="52531" ht="15.75" customHeight="1">
      <c r="A52531" s="7"/>
      <c r="B52531" s="7"/>
    </row>
    <row r="52532" ht="15.75" customHeight="1">
      <c r="A52532" s="7"/>
      <c r="B52532" s="7"/>
    </row>
    <row r="52533" ht="15.75" customHeight="1">
      <c r="A52533" s="7"/>
      <c r="B52533" s="7"/>
    </row>
    <row r="52534" ht="15.75" customHeight="1">
      <c r="A52534" s="7"/>
      <c r="B52534" s="7"/>
    </row>
    <row r="52535" ht="15.75" customHeight="1">
      <c r="A52535" s="7"/>
      <c r="B52535" s="7"/>
    </row>
    <row r="52536" ht="15.75" customHeight="1">
      <c r="A52536" s="7"/>
      <c r="B52536" s="7"/>
    </row>
    <row r="52537" ht="15.75" customHeight="1">
      <c r="A52537" s="7"/>
      <c r="B52537" s="7"/>
    </row>
    <row r="52538" ht="15.75" customHeight="1">
      <c r="A52538" s="7"/>
      <c r="B52538" s="7"/>
    </row>
    <row r="52539" ht="15.75" customHeight="1">
      <c r="A52539" s="7"/>
      <c r="B52539" s="7"/>
    </row>
    <row r="52540" ht="15.75" customHeight="1">
      <c r="A52540" s="7"/>
      <c r="B52540" s="7"/>
    </row>
    <row r="52541" ht="15.75" customHeight="1">
      <c r="A52541" s="7"/>
      <c r="B52541" s="7"/>
    </row>
    <row r="52542" ht="15.75" customHeight="1">
      <c r="A52542" s="7"/>
      <c r="B52542" s="7"/>
    </row>
    <row r="52543" ht="15.75" customHeight="1">
      <c r="A52543" s="7"/>
      <c r="B52543" s="7"/>
    </row>
    <row r="52544" ht="15.75" customHeight="1">
      <c r="A52544" s="7"/>
      <c r="B52544" s="7"/>
    </row>
    <row r="52545" ht="15.75" customHeight="1">
      <c r="A52545" s="7"/>
      <c r="B52545" s="7"/>
    </row>
    <row r="52546" ht="15.75" customHeight="1">
      <c r="A52546" s="7"/>
      <c r="B52546" s="7"/>
    </row>
    <row r="52547" ht="15.75" customHeight="1">
      <c r="A52547" s="7"/>
      <c r="B52547" s="7"/>
    </row>
    <row r="52548" ht="15.75" customHeight="1">
      <c r="A52548" s="7"/>
      <c r="B52548" s="7"/>
    </row>
    <row r="52549" ht="15.75" customHeight="1">
      <c r="A52549" s="7"/>
      <c r="B52549" s="7"/>
    </row>
    <row r="52550" ht="15.75" customHeight="1">
      <c r="A52550" s="7"/>
      <c r="B52550" s="7"/>
    </row>
    <row r="52551" ht="15.75" customHeight="1">
      <c r="A52551" s="7"/>
      <c r="B52551" s="7"/>
    </row>
    <row r="52552" ht="15.75" customHeight="1">
      <c r="A52552" s="7"/>
      <c r="B52552" s="7"/>
    </row>
    <row r="52553" ht="15.75" customHeight="1">
      <c r="A52553" s="7"/>
      <c r="B52553" s="7"/>
    </row>
    <row r="52554" ht="15.75" customHeight="1">
      <c r="A52554" s="7"/>
      <c r="B52554" s="7"/>
    </row>
    <row r="52555" ht="15.75" customHeight="1">
      <c r="A52555" s="7"/>
      <c r="B52555" s="7"/>
    </row>
    <row r="52556" ht="15.75" customHeight="1">
      <c r="A52556" s="7"/>
      <c r="B52556" s="7"/>
    </row>
    <row r="52557" ht="15.75" customHeight="1">
      <c r="A52557" s="7"/>
      <c r="B52557" s="7"/>
    </row>
    <row r="52558" ht="15.75" customHeight="1">
      <c r="A52558" s="7"/>
      <c r="B52558" s="7"/>
    </row>
    <row r="52559" ht="15.75" customHeight="1">
      <c r="A52559" s="7"/>
      <c r="B52559" s="7"/>
    </row>
    <row r="52560" ht="15.75" customHeight="1">
      <c r="A52560" s="7"/>
      <c r="B52560" s="7"/>
    </row>
    <row r="52561" ht="15.75" customHeight="1">
      <c r="A52561" s="7"/>
      <c r="B52561" s="7"/>
    </row>
    <row r="52562" ht="15.75" customHeight="1">
      <c r="A52562" s="7"/>
      <c r="B52562" s="7"/>
    </row>
    <row r="52563" ht="15.75" customHeight="1">
      <c r="A52563" s="7"/>
      <c r="B52563" s="7"/>
    </row>
    <row r="52564" ht="15.75" customHeight="1">
      <c r="A52564" s="7"/>
      <c r="B52564" s="7"/>
    </row>
    <row r="52565" ht="15.75" customHeight="1">
      <c r="A52565" s="7"/>
      <c r="B52565" s="7"/>
    </row>
    <row r="52566" ht="15.75" customHeight="1">
      <c r="A52566" s="7"/>
      <c r="B52566" s="7"/>
    </row>
    <row r="52567" ht="15.75" customHeight="1">
      <c r="A52567" s="7"/>
      <c r="B52567" s="7"/>
    </row>
    <row r="52568" ht="15.75" customHeight="1">
      <c r="A52568" s="7"/>
      <c r="B52568" s="7"/>
    </row>
    <row r="52569" ht="15.75" customHeight="1">
      <c r="A52569" s="7"/>
      <c r="B52569" s="7"/>
    </row>
    <row r="52570" ht="15.75" customHeight="1">
      <c r="A52570" s="7"/>
      <c r="B52570" s="7"/>
    </row>
    <row r="52571" ht="15.75" customHeight="1">
      <c r="A52571" s="7"/>
      <c r="B52571" s="7"/>
    </row>
    <row r="52572" ht="15.75" customHeight="1">
      <c r="A52572" s="7"/>
      <c r="B52572" s="7"/>
    </row>
    <row r="52573" ht="15.75" customHeight="1">
      <c r="A52573" s="7"/>
      <c r="B52573" s="7"/>
    </row>
    <row r="52574" ht="15.75" customHeight="1">
      <c r="A52574" s="7"/>
      <c r="B52574" s="7"/>
    </row>
    <row r="52575" ht="15.75" customHeight="1">
      <c r="A52575" s="7"/>
      <c r="B52575" s="7"/>
    </row>
    <row r="52576" ht="15.75" customHeight="1">
      <c r="A52576" s="7"/>
      <c r="B52576" s="7"/>
    </row>
    <row r="52577" ht="15.75" customHeight="1">
      <c r="A52577" s="7"/>
      <c r="B52577" s="7"/>
    </row>
    <row r="52578" ht="15.75" customHeight="1">
      <c r="A52578" s="7"/>
      <c r="B52578" s="7"/>
    </row>
    <row r="52579" ht="15.75" customHeight="1">
      <c r="A52579" s="7"/>
      <c r="B52579" s="7"/>
    </row>
    <row r="52580" ht="15.75" customHeight="1">
      <c r="A52580" s="7"/>
      <c r="B52580" s="7"/>
    </row>
    <row r="52581" ht="15.75" customHeight="1">
      <c r="A52581" s="7"/>
      <c r="B52581" s="7"/>
    </row>
    <row r="52582" ht="15.75" customHeight="1">
      <c r="A52582" s="7"/>
      <c r="B52582" s="7"/>
    </row>
    <row r="52583" ht="15.75" customHeight="1">
      <c r="A52583" s="7"/>
      <c r="B52583" s="7"/>
    </row>
    <row r="52584" ht="15.75" customHeight="1">
      <c r="A52584" s="7"/>
      <c r="B52584" s="7"/>
    </row>
    <row r="52585" ht="15.75" customHeight="1">
      <c r="A52585" s="7"/>
      <c r="B52585" s="7"/>
    </row>
    <row r="52586" ht="15.75" customHeight="1">
      <c r="A52586" s="7"/>
      <c r="B52586" s="7"/>
    </row>
    <row r="52587" ht="15.75" customHeight="1">
      <c r="A52587" s="7"/>
      <c r="B52587" s="7"/>
    </row>
    <row r="52588" ht="15.75" customHeight="1">
      <c r="A52588" s="7"/>
      <c r="B52588" s="7"/>
    </row>
    <row r="52589" ht="15.75" customHeight="1">
      <c r="A52589" s="7"/>
      <c r="B52589" s="7"/>
    </row>
    <row r="52590" ht="15.75" customHeight="1">
      <c r="A52590" s="7"/>
      <c r="B52590" s="7"/>
    </row>
    <row r="52591" ht="15.75" customHeight="1">
      <c r="A52591" s="7"/>
      <c r="B52591" s="7"/>
    </row>
    <row r="52592" ht="15.75" customHeight="1">
      <c r="A52592" s="7"/>
      <c r="B52592" s="7"/>
    </row>
    <row r="52593" ht="15.75" customHeight="1">
      <c r="A52593" s="7"/>
      <c r="B52593" s="7"/>
    </row>
    <row r="52594" ht="15.75" customHeight="1">
      <c r="A52594" s="7"/>
      <c r="B52594" s="7"/>
    </row>
    <row r="52595" ht="15.75" customHeight="1">
      <c r="A52595" s="7"/>
      <c r="B52595" s="7"/>
    </row>
    <row r="52596" ht="15.75" customHeight="1">
      <c r="A52596" s="7"/>
      <c r="B52596" s="7"/>
    </row>
    <row r="52597" ht="15.75" customHeight="1">
      <c r="A52597" s="7"/>
      <c r="B52597" s="7"/>
    </row>
    <row r="52598" ht="15.75" customHeight="1">
      <c r="A52598" s="7"/>
      <c r="B52598" s="7"/>
    </row>
    <row r="52599" ht="15.75" customHeight="1">
      <c r="A52599" s="7"/>
      <c r="B52599" s="7"/>
    </row>
    <row r="52600" ht="15.75" customHeight="1">
      <c r="A52600" s="7"/>
      <c r="B52600" s="7"/>
    </row>
    <row r="52601" ht="15.75" customHeight="1">
      <c r="A52601" s="7"/>
      <c r="B52601" s="7"/>
    </row>
    <row r="52602" ht="15.75" customHeight="1">
      <c r="A52602" s="7"/>
      <c r="B52602" s="7"/>
    </row>
    <row r="52603" ht="15.75" customHeight="1">
      <c r="A52603" s="7"/>
      <c r="B52603" s="7"/>
    </row>
    <row r="52604" ht="15.75" customHeight="1">
      <c r="A52604" s="7"/>
      <c r="B52604" s="7"/>
    </row>
    <row r="52605" ht="15.75" customHeight="1">
      <c r="A52605" s="7"/>
      <c r="B52605" s="7"/>
    </row>
    <row r="52606" ht="15.75" customHeight="1">
      <c r="A52606" s="7"/>
      <c r="B52606" s="7"/>
    </row>
    <row r="52607" ht="15.75" customHeight="1">
      <c r="A52607" s="7"/>
      <c r="B52607" s="7"/>
    </row>
    <row r="52608" ht="15.75" customHeight="1">
      <c r="A52608" s="7"/>
      <c r="B52608" s="7"/>
    </row>
    <row r="52609" ht="15.75" customHeight="1">
      <c r="A52609" s="7"/>
      <c r="B52609" s="7"/>
    </row>
    <row r="52610" ht="15.75" customHeight="1">
      <c r="A52610" s="7"/>
      <c r="B52610" s="7"/>
    </row>
    <row r="52611" ht="15.75" customHeight="1">
      <c r="A52611" s="7"/>
      <c r="B52611" s="7"/>
    </row>
    <row r="52612" ht="15.75" customHeight="1">
      <c r="A52612" s="7"/>
      <c r="B52612" s="7"/>
    </row>
    <row r="52613" ht="15.75" customHeight="1">
      <c r="A52613" s="7"/>
      <c r="B52613" s="7"/>
    </row>
    <row r="52614" ht="15.75" customHeight="1">
      <c r="A52614" s="7"/>
      <c r="B52614" s="7"/>
    </row>
    <row r="52615" ht="15.75" customHeight="1">
      <c r="A52615" s="7"/>
      <c r="B52615" s="7"/>
    </row>
    <row r="52616" ht="15.75" customHeight="1">
      <c r="A52616" s="7"/>
      <c r="B52616" s="7"/>
    </row>
    <row r="52617" ht="15.75" customHeight="1">
      <c r="A52617" s="7"/>
      <c r="B52617" s="7"/>
    </row>
    <row r="52618" ht="15.75" customHeight="1">
      <c r="A52618" s="7"/>
      <c r="B52618" s="7"/>
    </row>
    <row r="52619" ht="15.75" customHeight="1">
      <c r="A52619" s="7"/>
      <c r="B52619" s="7"/>
    </row>
    <row r="52620" ht="15.75" customHeight="1">
      <c r="A52620" s="7"/>
      <c r="B52620" s="7"/>
    </row>
    <row r="52621" ht="15.75" customHeight="1">
      <c r="A52621" s="7"/>
      <c r="B52621" s="7"/>
    </row>
    <row r="52622" ht="15.75" customHeight="1">
      <c r="A52622" s="7"/>
      <c r="B52622" s="7"/>
    </row>
    <row r="52623" ht="15.75" customHeight="1">
      <c r="A52623" s="7"/>
      <c r="B52623" s="7"/>
    </row>
    <row r="52624" ht="15.75" customHeight="1">
      <c r="A52624" s="7"/>
      <c r="B52624" s="7"/>
    </row>
    <row r="52625" ht="15.75" customHeight="1">
      <c r="A52625" s="7"/>
      <c r="B52625" s="7"/>
    </row>
    <row r="52626" ht="15.75" customHeight="1">
      <c r="A52626" s="7"/>
      <c r="B52626" s="7"/>
    </row>
    <row r="52627" ht="15.75" customHeight="1">
      <c r="A52627" s="7"/>
      <c r="B52627" s="7"/>
    </row>
    <row r="52628" ht="15.75" customHeight="1">
      <c r="A52628" s="7"/>
      <c r="B52628" s="7"/>
    </row>
    <row r="52629" ht="15.75" customHeight="1">
      <c r="A52629" s="7"/>
      <c r="B52629" s="7"/>
    </row>
    <row r="52630" ht="15.75" customHeight="1">
      <c r="A52630" s="7"/>
      <c r="B52630" s="7"/>
    </row>
    <row r="52631" ht="15.75" customHeight="1">
      <c r="A52631" s="7"/>
      <c r="B52631" s="7"/>
    </row>
    <row r="52632" ht="15.75" customHeight="1">
      <c r="A52632" s="7"/>
      <c r="B52632" s="7"/>
    </row>
    <row r="52633" ht="15.75" customHeight="1">
      <c r="A52633" s="7"/>
      <c r="B52633" s="7"/>
    </row>
    <row r="52634" ht="15.75" customHeight="1">
      <c r="A52634" s="7"/>
      <c r="B52634" s="7"/>
    </row>
    <row r="52635" ht="15.75" customHeight="1">
      <c r="A52635" s="7"/>
      <c r="B52635" s="7"/>
    </row>
    <row r="52636" ht="15.75" customHeight="1">
      <c r="A52636" s="7"/>
      <c r="B52636" s="7"/>
    </row>
    <row r="52637" ht="15.75" customHeight="1">
      <c r="A52637" s="7"/>
      <c r="B52637" s="7"/>
    </row>
    <row r="52638" ht="15.75" customHeight="1">
      <c r="A52638" s="7"/>
      <c r="B52638" s="7"/>
    </row>
    <row r="52639" ht="15.75" customHeight="1">
      <c r="A52639" s="7"/>
      <c r="B52639" s="7"/>
    </row>
    <row r="52640" ht="15.75" customHeight="1">
      <c r="A52640" s="7"/>
      <c r="B52640" s="7"/>
    </row>
    <row r="52641" ht="15.75" customHeight="1">
      <c r="A52641" s="7"/>
      <c r="B52641" s="7"/>
    </row>
    <row r="52642" ht="15.75" customHeight="1">
      <c r="A52642" s="7"/>
      <c r="B52642" s="7"/>
    </row>
    <row r="52643" ht="15.75" customHeight="1">
      <c r="A52643" s="7"/>
      <c r="B52643" s="7"/>
    </row>
    <row r="52644" ht="15.75" customHeight="1">
      <c r="A52644" s="7"/>
      <c r="B52644" s="7"/>
    </row>
    <row r="52645" ht="15.75" customHeight="1">
      <c r="A52645" s="7"/>
      <c r="B52645" s="7"/>
    </row>
    <row r="52646" ht="15.75" customHeight="1">
      <c r="A52646" s="7"/>
      <c r="B52646" s="7"/>
    </row>
    <row r="52647" ht="15.75" customHeight="1">
      <c r="A52647" s="7"/>
      <c r="B52647" s="7"/>
    </row>
    <row r="52648" ht="15.75" customHeight="1">
      <c r="A52648" s="7"/>
      <c r="B52648" s="7"/>
    </row>
    <row r="52649" ht="15.75" customHeight="1">
      <c r="A52649" s="7"/>
      <c r="B52649" s="7"/>
    </row>
    <row r="52650" ht="15.75" customHeight="1">
      <c r="A52650" s="7"/>
      <c r="B52650" s="7"/>
    </row>
    <row r="52651" ht="15.75" customHeight="1">
      <c r="A52651" s="7"/>
      <c r="B52651" s="7"/>
    </row>
    <row r="52652" ht="15.75" customHeight="1">
      <c r="A52652" s="7"/>
      <c r="B52652" s="7"/>
    </row>
    <row r="52653" ht="15.75" customHeight="1">
      <c r="A52653" s="7"/>
      <c r="B52653" s="7"/>
    </row>
    <row r="52654" ht="15.75" customHeight="1">
      <c r="A52654" s="7"/>
      <c r="B52654" s="7"/>
    </row>
    <row r="52655" ht="15.75" customHeight="1">
      <c r="A52655" s="7"/>
      <c r="B52655" s="7"/>
    </row>
    <row r="52656" ht="15.75" customHeight="1">
      <c r="A52656" s="7"/>
      <c r="B52656" s="7"/>
    </row>
    <row r="52657" ht="15.75" customHeight="1">
      <c r="A52657" s="7"/>
      <c r="B52657" s="7"/>
    </row>
    <row r="52658" ht="15.75" customHeight="1">
      <c r="A52658" s="7"/>
      <c r="B52658" s="7"/>
    </row>
    <row r="52659" ht="15.75" customHeight="1">
      <c r="A52659" s="7"/>
      <c r="B52659" s="7"/>
    </row>
    <row r="52660" ht="15.75" customHeight="1">
      <c r="A52660" s="7"/>
      <c r="B52660" s="7"/>
    </row>
    <row r="52661" ht="15.75" customHeight="1">
      <c r="A52661" s="7"/>
      <c r="B52661" s="7"/>
    </row>
    <row r="52662" ht="15.75" customHeight="1">
      <c r="A52662" s="7"/>
      <c r="B52662" s="7"/>
    </row>
    <row r="52663" ht="15.75" customHeight="1">
      <c r="A52663" s="7"/>
      <c r="B52663" s="7"/>
    </row>
    <row r="52664" ht="15.75" customHeight="1">
      <c r="A52664" s="7"/>
      <c r="B52664" s="7"/>
    </row>
    <row r="52665" ht="15.75" customHeight="1">
      <c r="A52665" s="7"/>
      <c r="B52665" s="7"/>
    </row>
    <row r="52666" ht="15.75" customHeight="1">
      <c r="A52666" s="7"/>
      <c r="B52666" s="7"/>
    </row>
    <row r="52667" ht="15.75" customHeight="1">
      <c r="A52667" s="7"/>
      <c r="B52667" s="7"/>
    </row>
    <row r="52668" ht="15.75" customHeight="1">
      <c r="A52668" s="7"/>
      <c r="B52668" s="7"/>
    </row>
    <row r="52669" ht="15.75" customHeight="1">
      <c r="A52669" s="7"/>
      <c r="B52669" s="7"/>
    </row>
    <row r="52670" ht="15.75" customHeight="1">
      <c r="A52670" s="7"/>
      <c r="B52670" s="7"/>
    </row>
    <row r="52671" ht="15.75" customHeight="1">
      <c r="A52671" s="7"/>
      <c r="B52671" s="7"/>
    </row>
    <row r="52672" ht="15.75" customHeight="1">
      <c r="A52672" s="7"/>
      <c r="B52672" s="7"/>
    </row>
    <row r="52673" ht="15.75" customHeight="1">
      <c r="A52673" s="7"/>
      <c r="B52673" s="7"/>
    </row>
    <row r="52674" ht="15.75" customHeight="1">
      <c r="A52674" s="7"/>
      <c r="B52674" s="7"/>
    </row>
    <row r="52675" ht="15.75" customHeight="1">
      <c r="A52675" s="7"/>
      <c r="B52675" s="7"/>
    </row>
    <row r="52676" ht="15.75" customHeight="1">
      <c r="A52676" s="7"/>
      <c r="B52676" s="7"/>
    </row>
    <row r="52677" ht="15.75" customHeight="1">
      <c r="A52677" s="7"/>
      <c r="B52677" s="7"/>
    </row>
    <row r="52678" ht="15.75" customHeight="1">
      <c r="A52678" s="7"/>
      <c r="B52678" s="7"/>
    </row>
    <row r="52679" ht="15.75" customHeight="1">
      <c r="A52679" s="7"/>
      <c r="B52679" s="7"/>
    </row>
    <row r="52680" ht="15.75" customHeight="1">
      <c r="A52680" s="7"/>
      <c r="B52680" s="7"/>
    </row>
    <row r="52681" ht="15.75" customHeight="1">
      <c r="A52681" s="7"/>
      <c r="B52681" s="7"/>
    </row>
    <row r="52682" ht="15.75" customHeight="1">
      <c r="A52682" s="7"/>
      <c r="B52682" s="7"/>
    </row>
    <row r="52683" ht="15.75" customHeight="1">
      <c r="A52683" s="7"/>
      <c r="B52683" s="7"/>
    </row>
    <row r="52684" ht="15.75" customHeight="1">
      <c r="A52684" s="7"/>
      <c r="B52684" s="7"/>
    </row>
    <row r="52685" ht="15.75" customHeight="1">
      <c r="A52685" s="7"/>
      <c r="B52685" s="7"/>
    </row>
    <row r="52686" ht="15.75" customHeight="1">
      <c r="A52686" s="7"/>
      <c r="B52686" s="7"/>
    </row>
    <row r="52687" ht="15.75" customHeight="1">
      <c r="A52687" s="7"/>
      <c r="B52687" s="7"/>
    </row>
    <row r="52688" ht="15.75" customHeight="1">
      <c r="A52688" s="7"/>
      <c r="B52688" s="7"/>
    </row>
    <row r="52689" ht="15.75" customHeight="1">
      <c r="A52689" s="7"/>
      <c r="B52689" s="7"/>
    </row>
    <row r="52690" ht="15.75" customHeight="1">
      <c r="A52690" s="7"/>
      <c r="B52690" s="7"/>
    </row>
    <row r="52691" ht="15.75" customHeight="1">
      <c r="A52691" s="7"/>
      <c r="B52691" s="7"/>
    </row>
    <row r="52692" ht="15.75" customHeight="1">
      <c r="A52692" s="7"/>
      <c r="B52692" s="7"/>
    </row>
    <row r="52693" ht="15.75" customHeight="1">
      <c r="A52693" s="7"/>
      <c r="B52693" s="7"/>
    </row>
    <row r="52694" ht="15.75" customHeight="1">
      <c r="A52694" s="7"/>
      <c r="B52694" s="7"/>
    </row>
    <row r="52695" ht="15.75" customHeight="1">
      <c r="A52695" s="7"/>
      <c r="B52695" s="7"/>
    </row>
    <row r="52696" ht="15.75" customHeight="1">
      <c r="A52696" s="7"/>
      <c r="B52696" s="7"/>
    </row>
    <row r="52697" ht="15.75" customHeight="1">
      <c r="A52697" s="7"/>
      <c r="B52697" s="7"/>
    </row>
    <row r="52698" ht="15.75" customHeight="1">
      <c r="A52698" s="7"/>
      <c r="B52698" s="7"/>
    </row>
    <row r="52699" ht="15.75" customHeight="1">
      <c r="A52699" s="7"/>
      <c r="B52699" s="7"/>
    </row>
    <row r="52700" ht="15.75" customHeight="1">
      <c r="A52700" s="7"/>
      <c r="B52700" s="7"/>
    </row>
    <row r="52701" ht="15.75" customHeight="1">
      <c r="A52701" s="7"/>
      <c r="B52701" s="7"/>
    </row>
    <row r="52702" ht="15.75" customHeight="1">
      <c r="A52702" s="7"/>
      <c r="B52702" s="7"/>
    </row>
    <row r="52703" ht="15.75" customHeight="1">
      <c r="A52703" s="7"/>
      <c r="B52703" s="7"/>
    </row>
    <row r="52704" ht="15.75" customHeight="1">
      <c r="A52704" s="7"/>
      <c r="B52704" s="7"/>
    </row>
    <row r="52705" ht="15.75" customHeight="1">
      <c r="A52705" s="7"/>
      <c r="B52705" s="7"/>
    </row>
    <row r="52706" ht="15.75" customHeight="1">
      <c r="A52706" s="7"/>
      <c r="B52706" s="7"/>
    </row>
    <row r="52707" ht="15.75" customHeight="1">
      <c r="A52707" s="7"/>
      <c r="B52707" s="7"/>
    </row>
    <row r="52708" ht="15.75" customHeight="1">
      <c r="A52708" s="7"/>
      <c r="B52708" s="7"/>
    </row>
    <row r="52709" ht="15.75" customHeight="1">
      <c r="A52709" s="7"/>
      <c r="B52709" s="7"/>
    </row>
    <row r="52710" ht="15.75" customHeight="1">
      <c r="A52710" s="7"/>
      <c r="B52710" s="7"/>
    </row>
    <row r="52711" ht="15.75" customHeight="1">
      <c r="A52711" s="7"/>
      <c r="B52711" s="7"/>
    </row>
    <row r="52712" ht="15.75" customHeight="1">
      <c r="A52712" s="7"/>
      <c r="B52712" s="7"/>
    </row>
    <row r="52713" ht="15.75" customHeight="1">
      <c r="A52713" s="7"/>
      <c r="B52713" s="7"/>
    </row>
    <row r="52714" ht="15.75" customHeight="1">
      <c r="A52714" s="7"/>
      <c r="B52714" s="7"/>
    </row>
    <row r="52715" ht="15.75" customHeight="1">
      <c r="A52715" s="7"/>
      <c r="B52715" s="7"/>
    </row>
    <row r="52716" ht="15.75" customHeight="1">
      <c r="A52716" s="7"/>
      <c r="B52716" s="7"/>
    </row>
    <row r="52717" ht="15.75" customHeight="1">
      <c r="A52717" s="7"/>
      <c r="B52717" s="7"/>
    </row>
    <row r="52718" ht="15.75" customHeight="1">
      <c r="A52718" s="7"/>
      <c r="B52718" s="7"/>
    </row>
    <row r="52719" ht="15.75" customHeight="1">
      <c r="A52719" s="7"/>
      <c r="B52719" s="7"/>
    </row>
    <row r="52720" ht="15.75" customHeight="1">
      <c r="A52720" s="7"/>
      <c r="B52720" s="7"/>
    </row>
    <row r="52721" ht="15.75" customHeight="1">
      <c r="A52721" s="7"/>
      <c r="B52721" s="7"/>
    </row>
    <row r="52722" ht="15.75" customHeight="1">
      <c r="A52722" s="7"/>
      <c r="B52722" s="7"/>
    </row>
    <row r="52723" ht="15.75" customHeight="1">
      <c r="A52723" s="7"/>
      <c r="B52723" s="7"/>
    </row>
    <row r="52724" ht="15.75" customHeight="1">
      <c r="A52724" s="7"/>
      <c r="B52724" s="7"/>
    </row>
    <row r="52725" ht="15.75" customHeight="1">
      <c r="A52725" s="7"/>
      <c r="B52725" s="7"/>
    </row>
    <row r="52726" ht="15.75" customHeight="1">
      <c r="A52726" s="7"/>
      <c r="B52726" s="7"/>
    </row>
    <row r="52727" ht="15.75" customHeight="1">
      <c r="A52727" s="7"/>
      <c r="B52727" s="7"/>
    </row>
    <row r="52728" ht="15.75" customHeight="1">
      <c r="A52728" s="7"/>
      <c r="B52728" s="7"/>
    </row>
    <row r="52729" ht="15.75" customHeight="1">
      <c r="A52729" s="7"/>
      <c r="B52729" s="7"/>
    </row>
    <row r="52730" ht="15.75" customHeight="1">
      <c r="A52730" s="7"/>
      <c r="B52730" s="7"/>
    </row>
    <row r="52731" ht="15.75" customHeight="1">
      <c r="A52731" s="7"/>
      <c r="B52731" s="7"/>
    </row>
    <row r="52732" ht="15.75" customHeight="1">
      <c r="A52732" s="7"/>
      <c r="B52732" s="7"/>
    </row>
    <row r="52733" ht="15.75" customHeight="1">
      <c r="A52733" s="7"/>
      <c r="B52733" s="7"/>
    </row>
    <row r="52734" ht="15.75" customHeight="1">
      <c r="A52734" s="7"/>
      <c r="B52734" s="7"/>
    </row>
    <row r="52735" ht="15.75" customHeight="1">
      <c r="A52735" s="7"/>
      <c r="B52735" s="7"/>
    </row>
    <row r="52736" ht="15.75" customHeight="1">
      <c r="A52736" s="7"/>
      <c r="B52736" s="7"/>
    </row>
    <row r="52737" ht="15.75" customHeight="1">
      <c r="A52737" s="7"/>
      <c r="B52737" s="7"/>
    </row>
    <row r="52738" ht="15.75" customHeight="1">
      <c r="A52738" s="7"/>
      <c r="B52738" s="7"/>
    </row>
    <row r="52739" ht="15.75" customHeight="1">
      <c r="A52739" s="7"/>
      <c r="B52739" s="7"/>
    </row>
    <row r="52740" ht="15.75" customHeight="1">
      <c r="A52740" s="7"/>
      <c r="B52740" s="7"/>
    </row>
    <row r="52741" ht="15.75" customHeight="1">
      <c r="A52741" s="7"/>
      <c r="B52741" s="7"/>
    </row>
    <row r="52742" ht="15.75" customHeight="1">
      <c r="A52742" s="7"/>
      <c r="B52742" s="7"/>
    </row>
    <row r="52743" ht="15.75" customHeight="1">
      <c r="A52743" s="7"/>
      <c r="B52743" s="7"/>
    </row>
    <row r="52744" ht="15.75" customHeight="1">
      <c r="A52744" s="7"/>
      <c r="B52744" s="7"/>
    </row>
    <row r="52745" ht="15.75" customHeight="1">
      <c r="A52745" s="7"/>
      <c r="B52745" s="7"/>
    </row>
    <row r="52746" ht="15.75" customHeight="1">
      <c r="A52746" s="7"/>
      <c r="B52746" s="7"/>
    </row>
    <row r="52747" ht="15.75" customHeight="1">
      <c r="A52747" s="7"/>
      <c r="B52747" s="7"/>
    </row>
    <row r="52748" ht="15.75" customHeight="1">
      <c r="A52748" s="7"/>
      <c r="B52748" s="7"/>
    </row>
    <row r="52749" ht="15.75" customHeight="1">
      <c r="A52749" s="7"/>
      <c r="B52749" s="7"/>
    </row>
    <row r="52750" ht="15.75" customHeight="1">
      <c r="A52750" s="7"/>
      <c r="B52750" s="7"/>
    </row>
    <row r="52751" ht="15.75" customHeight="1">
      <c r="A52751" s="7"/>
      <c r="B52751" s="7"/>
    </row>
    <row r="52752" ht="15.75" customHeight="1">
      <c r="A52752" s="7"/>
      <c r="B52752" s="7"/>
    </row>
    <row r="52753" ht="15.75" customHeight="1">
      <c r="A52753" s="7"/>
      <c r="B52753" s="7"/>
    </row>
    <row r="52754" ht="15.75" customHeight="1">
      <c r="A52754" s="7"/>
      <c r="B52754" s="7"/>
    </row>
    <row r="52755" ht="15.75" customHeight="1">
      <c r="A52755" s="7"/>
      <c r="B52755" s="7"/>
    </row>
    <row r="52756" ht="15.75" customHeight="1">
      <c r="A52756" s="7"/>
      <c r="B52756" s="7"/>
    </row>
    <row r="52757" ht="15.75" customHeight="1">
      <c r="A52757" s="7"/>
      <c r="B52757" s="7"/>
    </row>
    <row r="52758" ht="15.75" customHeight="1">
      <c r="A52758" s="7"/>
      <c r="B52758" s="7"/>
    </row>
    <row r="52759" ht="15.75" customHeight="1">
      <c r="A52759" s="7"/>
      <c r="B52759" s="7"/>
    </row>
    <row r="52760" ht="15.75" customHeight="1">
      <c r="A52760" s="7"/>
      <c r="B52760" s="7"/>
    </row>
    <row r="52761" ht="15.75" customHeight="1">
      <c r="A52761" s="7"/>
      <c r="B52761" s="7"/>
    </row>
    <row r="52762" ht="15.75" customHeight="1">
      <c r="A52762" s="7"/>
      <c r="B52762" s="7"/>
    </row>
    <row r="52763" ht="15.75" customHeight="1">
      <c r="A52763" s="7"/>
      <c r="B52763" s="7"/>
    </row>
    <row r="52764" ht="15.75" customHeight="1">
      <c r="A52764" s="7"/>
      <c r="B52764" s="7"/>
    </row>
    <row r="52765" ht="15.75" customHeight="1">
      <c r="A52765" s="7"/>
      <c r="B52765" s="7"/>
    </row>
    <row r="52766" ht="15.75" customHeight="1">
      <c r="A52766" s="7"/>
      <c r="B52766" s="7"/>
    </row>
    <row r="52767" ht="15.75" customHeight="1">
      <c r="A52767" s="7"/>
      <c r="B52767" s="7"/>
    </row>
    <row r="52768" ht="15.75" customHeight="1">
      <c r="A52768" s="7"/>
      <c r="B52768" s="7"/>
    </row>
    <row r="52769" ht="15.75" customHeight="1">
      <c r="A52769" s="7"/>
      <c r="B52769" s="7"/>
    </row>
    <row r="52770" ht="15.75" customHeight="1">
      <c r="A52770" s="7"/>
      <c r="B52770" s="7"/>
    </row>
    <row r="52771" ht="15.75" customHeight="1">
      <c r="A52771" s="7"/>
      <c r="B52771" s="7"/>
    </row>
    <row r="52772" ht="15.75" customHeight="1">
      <c r="A52772" s="7"/>
      <c r="B52772" s="7"/>
    </row>
    <row r="52773" ht="15.75" customHeight="1">
      <c r="A52773" s="7"/>
      <c r="B52773" s="7"/>
    </row>
    <row r="52774" ht="15.75" customHeight="1">
      <c r="A52774" s="7"/>
      <c r="B52774" s="7"/>
    </row>
    <row r="52775" ht="15.75" customHeight="1">
      <c r="A52775" s="7"/>
      <c r="B52775" s="7"/>
    </row>
    <row r="52776" ht="15.75" customHeight="1">
      <c r="A52776" s="7"/>
      <c r="B52776" s="7"/>
    </row>
    <row r="52777" ht="15.75" customHeight="1">
      <c r="A52777" s="7"/>
      <c r="B52777" s="7"/>
    </row>
    <row r="52778" ht="15.75" customHeight="1">
      <c r="A52778" s="7"/>
      <c r="B52778" s="7"/>
    </row>
    <row r="52779" ht="15.75" customHeight="1">
      <c r="A52779" s="7"/>
      <c r="B52779" s="7"/>
    </row>
    <row r="52780" ht="15.75" customHeight="1">
      <c r="A52780" s="7"/>
      <c r="B52780" s="7"/>
    </row>
    <row r="52781" ht="15.75" customHeight="1">
      <c r="A52781" s="7"/>
      <c r="B52781" s="7"/>
    </row>
    <row r="52782" ht="15.75" customHeight="1">
      <c r="A52782" s="7"/>
      <c r="B52782" s="7"/>
    </row>
    <row r="52783" ht="15.75" customHeight="1">
      <c r="A52783" s="7"/>
      <c r="B52783" s="7"/>
    </row>
    <row r="52784" ht="15.75" customHeight="1">
      <c r="A52784" s="7"/>
      <c r="B52784" s="7"/>
    </row>
    <row r="52785" ht="15.75" customHeight="1">
      <c r="A52785" s="7"/>
      <c r="B52785" s="7"/>
    </row>
    <row r="52786" ht="15.75" customHeight="1">
      <c r="A52786" s="7"/>
      <c r="B52786" s="7"/>
    </row>
    <row r="52787" ht="15.75" customHeight="1">
      <c r="A52787" s="7"/>
      <c r="B52787" s="7"/>
    </row>
    <row r="52788" ht="15.75" customHeight="1">
      <c r="A52788" s="7"/>
      <c r="B52788" s="7"/>
    </row>
    <row r="52789" ht="15.75" customHeight="1">
      <c r="A52789" s="7"/>
      <c r="B52789" s="7"/>
    </row>
    <row r="52790" ht="15.75" customHeight="1">
      <c r="A52790" s="7"/>
      <c r="B52790" s="7"/>
    </row>
    <row r="52791" ht="15.75" customHeight="1">
      <c r="A52791" s="7"/>
      <c r="B52791" s="7"/>
    </row>
    <row r="52792" ht="15.75" customHeight="1">
      <c r="A52792" s="7"/>
      <c r="B52792" s="7"/>
    </row>
    <row r="52793" ht="15.75" customHeight="1">
      <c r="A52793" s="7"/>
      <c r="B52793" s="7"/>
    </row>
    <row r="52794" ht="15.75" customHeight="1">
      <c r="A52794" s="7"/>
      <c r="B52794" s="7"/>
    </row>
    <row r="52795" ht="15.75" customHeight="1">
      <c r="A52795" s="7"/>
      <c r="B52795" s="7"/>
    </row>
    <row r="52796" ht="15.75" customHeight="1">
      <c r="A52796" s="7"/>
      <c r="B52796" s="7"/>
    </row>
    <row r="52797" ht="15.75" customHeight="1">
      <c r="A52797" s="7"/>
      <c r="B52797" s="7"/>
    </row>
    <row r="52798" ht="15.75" customHeight="1">
      <c r="A52798" s="7"/>
      <c r="B52798" s="7"/>
    </row>
    <row r="52799" ht="15.75" customHeight="1">
      <c r="A52799" s="7"/>
      <c r="B52799" s="7"/>
    </row>
    <row r="52800" ht="15.75" customHeight="1">
      <c r="A52800" s="7"/>
      <c r="B52800" s="7"/>
    </row>
    <row r="52801" ht="15.75" customHeight="1">
      <c r="A52801" s="7"/>
      <c r="B52801" s="7"/>
    </row>
    <row r="52802" ht="15.75" customHeight="1">
      <c r="A52802" s="7"/>
      <c r="B52802" s="7"/>
    </row>
    <row r="52803" ht="15.75" customHeight="1">
      <c r="A52803" s="7"/>
      <c r="B52803" s="7"/>
    </row>
    <row r="52804" ht="15.75" customHeight="1">
      <c r="A52804" s="7"/>
      <c r="B52804" s="7"/>
    </row>
    <row r="52805" ht="15.75" customHeight="1">
      <c r="A52805" s="7"/>
      <c r="B52805" s="7"/>
    </row>
    <row r="52806" ht="15.75" customHeight="1">
      <c r="A52806" s="7"/>
      <c r="B52806" s="7"/>
    </row>
    <row r="52807" ht="15.75" customHeight="1">
      <c r="A52807" s="7"/>
      <c r="B52807" s="7"/>
    </row>
    <row r="52808" ht="15.75" customHeight="1">
      <c r="A52808" s="7"/>
      <c r="B52808" s="7"/>
    </row>
    <row r="52809" ht="15.75" customHeight="1">
      <c r="A52809" s="7"/>
      <c r="B52809" s="7"/>
    </row>
    <row r="52810" ht="15.75" customHeight="1">
      <c r="A52810" s="7"/>
      <c r="B52810" s="7"/>
    </row>
    <row r="52811" ht="15.75" customHeight="1">
      <c r="A52811" s="7"/>
      <c r="B52811" s="7"/>
    </row>
    <row r="52812" ht="15.75" customHeight="1">
      <c r="A52812" s="7"/>
      <c r="B52812" s="7"/>
    </row>
    <row r="52813" ht="15.75" customHeight="1">
      <c r="A52813" s="7"/>
      <c r="B52813" s="7"/>
    </row>
    <row r="52814" ht="15.75" customHeight="1">
      <c r="A52814" s="7"/>
      <c r="B52814" s="7"/>
    </row>
    <row r="52815" ht="15.75" customHeight="1">
      <c r="A52815" s="7"/>
      <c r="B52815" s="7"/>
    </row>
    <row r="52816" ht="15.75" customHeight="1">
      <c r="A52816" s="7"/>
      <c r="B52816" s="7"/>
    </row>
    <row r="52817" ht="15.75" customHeight="1">
      <c r="A52817" s="7"/>
      <c r="B52817" s="7"/>
    </row>
    <row r="52818" ht="15.75" customHeight="1">
      <c r="A52818" s="7"/>
      <c r="B52818" s="7"/>
    </row>
    <row r="52819" ht="15.75" customHeight="1">
      <c r="A52819" s="7"/>
      <c r="B52819" s="7"/>
    </row>
    <row r="52820" ht="15.75" customHeight="1">
      <c r="A52820" s="7"/>
      <c r="B52820" s="7"/>
    </row>
    <row r="52821" ht="15.75" customHeight="1">
      <c r="A52821" s="7"/>
      <c r="B52821" s="7"/>
    </row>
    <row r="52822" ht="15.75" customHeight="1">
      <c r="A52822" s="7"/>
      <c r="B52822" s="7"/>
    </row>
    <row r="52823" ht="15.75" customHeight="1">
      <c r="A52823" s="7"/>
      <c r="B52823" s="7"/>
    </row>
    <row r="52824" ht="15.75" customHeight="1">
      <c r="A52824" s="7"/>
      <c r="B52824" s="7"/>
    </row>
    <row r="52825" ht="15.75" customHeight="1">
      <c r="A52825" s="7"/>
      <c r="B52825" s="7"/>
    </row>
    <row r="52826" ht="15.75" customHeight="1">
      <c r="A52826" s="7"/>
      <c r="B52826" s="7"/>
    </row>
    <row r="52827" ht="15.75" customHeight="1">
      <c r="A52827" s="7"/>
      <c r="B52827" s="7"/>
    </row>
    <row r="52828" ht="15.75" customHeight="1">
      <c r="A52828" s="7"/>
      <c r="B52828" s="7"/>
    </row>
    <row r="52829" ht="15.75" customHeight="1">
      <c r="A52829" s="7"/>
      <c r="B52829" s="7"/>
    </row>
    <row r="52830" ht="15.75" customHeight="1">
      <c r="A52830" s="7"/>
      <c r="B52830" s="7"/>
    </row>
    <row r="52831" ht="15.75" customHeight="1">
      <c r="A52831" s="7"/>
      <c r="B52831" s="7"/>
    </row>
    <row r="52832" ht="15.75" customHeight="1">
      <c r="A52832" s="7"/>
      <c r="B52832" s="7"/>
    </row>
    <row r="52833" ht="15.75" customHeight="1">
      <c r="A52833" s="7"/>
      <c r="B52833" s="7"/>
    </row>
    <row r="52834" ht="15.75" customHeight="1">
      <c r="A52834" s="7"/>
      <c r="B52834" s="7"/>
    </row>
    <row r="52835" ht="15.75" customHeight="1">
      <c r="A52835" s="7"/>
      <c r="B52835" s="7"/>
    </row>
    <row r="52836" ht="15.75" customHeight="1">
      <c r="A52836" s="7"/>
      <c r="B52836" s="7"/>
    </row>
    <row r="52837" ht="15.75" customHeight="1">
      <c r="A52837" s="7"/>
      <c r="B52837" s="7"/>
    </row>
    <row r="52838" ht="15.75" customHeight="1">
      <c r="A52838" s="7"/>
      <c r="B52838" s="7"/>
    </row>
    <row r="52839" ht="15.75" customHeight="1">
      <c r="A52839" s="7"/>
      <c r="B52839" s="7"/>
    </row>
    <row r="52840" ht="15.75" customHeight="1">
      <c r="A52840" s="7"/>
      <c r="B52840" s="7"/>
    </row>
    <row r="52841" ht="15.75" customHeight="1">
      <c r="A52841" s="7"/>
      <c r="B52841" s="7"/>
    </row>
    <row r="52842" ht="15.75" customHeight="1">
      <c r="A52842" s="7"/>
      <c r="B52842" s="7"/>
    </row>
    <row r="52843" ht="15.75" customHeight="1">
      <c r="A52843" s="7"/>
      <c r="B52843" s="7"/>
    </row>
    <row r="52844" ht="15.75" customHeight="1">
      <c r="A52844" s="7"/>
      <c r="B52844" s="7"/>
    </row>
    <row r="52845" ht="15.75" customHeight="1">
      <c r="A52845" s="7"/>
      <c r="B52845" s="7"/>
    </row>
    <row r="52846" ht="15.75" customHeight="1">
      <c r="A52846" s="7"/>
      <c r="B52846" s="7"/>
    </row>
    <row r="52847" ht="15.75" customHeight="1">
      <c r="A52847" s="7"/>
      <c r="B52847" s="7"/>
    </row>
    <row r="52848" ht="15.75" customHeight="1">
      <c r="A52848" s="7"/>
      <c r="B52848" s="7"/>
    </row>
    <row r="52849" ht="15.75" customHeight="1">
      <c r="A52849" s="7"/>
      <c r="B52849" s="7"/>
    </row>
    <row r="52850" ht="15.75" customHeight="1">
      <c r="A52850" s="7"/>
      <c r="B52850" s="7"/>
    </row>
    <row r="52851" ht="15.75" customHeight="1">
      <c r="A52851" s="7"/>
      <c r="B52851" s="7"/>
    </row>
    <row r="52852" ht="15.75" customHeight="1">
      <c r="A52852" s="7"/>
      <c r="B52852" s="7"/>
    </row>
    <row r="52853" ht="15.75" customHeight="1">
      <c r="A52853" s="7"/>
      <c r="B52853" s="7"/>
    </row>
    <row r="52854" ht="15.75" customHeight="1">
      <c r="A52854" s="7"/>
      <c r="B52854" s="7"/>
    </row>
    <row r="52855" ht="15.75" customHeight="1">
      <c r="A52855" s="7"/>
      <c r="B52855" s="7"/>
    </row>
    <row r="52856" ht="15.75" customHeight="1">
      <c r="A52856" s="7"/>
      <c r="B52856" s="7"/>
    </row>
    <row r="52857" ht="15.75" customHeight="1">
      <c r="A52857" s="7"/>
      <c r="B52857" s="7"/>
    </row>
    <row r="52858" ht="15.75" customHeight="1">
      <c r="A52858" s="7"/>
      <c r="B52858" s="7"/>
    </row>
    <row r="52859" ht="15.75" customHeight="1">
      <c r="A52859" s="7"/>
      <c r="B52859" s="7"/>
    </row>
    <row r="52860" ht="15.75" customHeight="1">
      <c r="A52860" s="7"/>
      <c r="B52860" s="7"/>
    </row>
    <row r="52861" ht="15.75" customHeight="1">
      <c r="A52861" s="7"/>
      <c r="B52861" s="7"/>
    </row>
    <row r="52862" ht="15.75" customHeight="1">
      <c r="A52862" s="7"/>
      <c r="B52862" s="7"/>
    </row>
    <row r="52863" ht="15.75" customHeight="1">
      <c r="A52863" s="7"/>
      <c r="B52863" s="7"/>
    </row>
    <row r="52864" ht="15.75" customHeight="1">
      <c r="A52864" s="7"/>
      <c r="B52864" s="7"/>
    </row>
    <row r="52865" ht="15.75" customHeight="1">
      <c r="A52865" s="7"/>
      <c r="B52865" s="7"/>
    </row>
    <row r="52866" ht="15.75" customHeight="1">
      <c r="A52866" s="7"/>
      <c r="B52866" s="7"/>
    </row>
    <row r="52867" ht="15.75" customHeight="1">
      <c r="A52867" s="7"/>
      <c r="B52867" s="7"/>
    </row>
    <row r="52868" ht="15.75" customHeight="1">
      <c r="A52868" s="7"/>
      <c r="B52868" s="7"/>
    </row>
    <row r="52869" ht="15.75" customHeight="1">
      <c r="A52869" s="7"/>
      <c r="B52869" s="7"/>
    </row>
    <row r="52870" ht="15.75" customHeight="1">
      <c r="A52870" s="7"/>
      <c r="B52870" s="7"/>
    </row>
    <row r="52871" ht="15.75" customHeight="1">
      <c r="A52871" s="7"/>
      <c r="B52871" s="7"/>
    </row>
    <row r="52872" ht="15.75" customHeight="1">
      <c r="A52872" s="7"/>
      <c r="B52872" s="7"/>
    </row>
    <row r="52873" ht="15.75" customHeight="1">
      <c r="A52873" s="7"/>
      <c r="B52873" s="7"/>
    </row>
    <row r="52874" ht="15.75" customHeight="1">
      <c r="A52874" s="7"/>
      <c r="B52874" s="7"/>
    </row>
    <row r="52875" ht="15.75" customHeight="1">
      <c r="A52875" s="7"/>
      <c r="B52875" s="7"/>
    </row>
    <row r="52876" ht="15.75" customHeight="1">
      <c r="A52876" s="7"/>
      <c r="B52876" s="7"/>
    </row>
    <row r="52877" ht="15.75" customHeight="1">
      <c r="A52877" s="7"/>
      <c r="B52877" s="7"/>
    </row>
    <row r="52878" ht="15.75" customHeight="1">
      <c r="A52878" s="7"/>
      <c r="B52878" s="7"/>
    </row>
    <row r="52879" ht="15.75" customHeight="1">
      <c r="A52879" s="7"/>
      <c r="B52879" s="7"/>
    </row>
    <row r="52880" ht="15.75" customHeight="1">
      <c r="A52880" s="7"/>
      <c r="B52880" s="7"/>
    </row>
    <row r="52881" ht="15.75" customHeight="1">
      <c r="A52881" s="7"/>
      <c r="B52881" s="7"/>
    </row>
    <row r="52882" ht="15.75" customHeight="1">
      <c r="A52882" s="7"/>
      <c r="B52882" s="7"/>
    </row>
    <row r="52883" ht="15.75" customHeight="1">
      <c r="A52883" s="7"/>
      <c r="B52883" s="7"/>
    </row>
    <row r="52884" ht="15.75" customHeight="1">
      <c r="A52884" s="7"/>
      <c r="B52884" s="7"/>
    </row>
    <row r="52885" ht="15.75" customHeight="1">
      <c r="A52885" s="7"/>
      <c r="B52885" s="7"/>
    </row>
    <row r="52886" ht="15.75" customHeight="1">
      <c r="A52886" s="7"/>
      <c r="B52886" s="7"/>
    </row>
    <row r="52887" ht="15.75" customHeight="1">
      <c r="A52887" s="7"/>
      <c r="B52887" s="7"/>
    </row>
    <row r="52888" ht="15.75" customHeight="1">
      <c r="A52888" s="7"/>
      <c r="B52888" s="7"/>
    </row>
    <row r="52889" ht="15.75" customHeight="1">
      <c r="A52889" s="7"/>
      <c r="B52889" s="7"/>
    </row>
    <row r="52890" ht="15.75" customHeight="1">
      <c r="A52890" s="7"/>
      <c r="B52890" s="7"/>
    </row>
    <row r="52891" ht="15.75" customHeight="1">
      <c r="A52891" s="7"/>
      <c r="B52891" s="7"/>
    </row>
    <row r="52892" ht="15.75" customHeight="1">
      <c r="A52892" s="7"/>
      <c r="B52892" s="7"/>
    </row>
    <row r="52893" ht="15.75" customHeight="1">
      <c r="A52893" s="7"/>
      <c r="B52893" s="7"/>
    </row>
    <row r="52894" ht="15.75" customHeight="1">
      <c r="A52894" s="7"/>
      <c r="B52894" s="7"/>
    </row>
    <row r="52895" ht="15.75" customHeight="1">
      <c r="A52895" s="7"/>
      <c r="B52895" s="7"/>
    </row>
    <row r="52896" ht="15.75" customHeight="1">
      <c r="A52896" s="7"/>
      <c r="B52896" s="7"/>
    </row>
    <row r="52897" ht="15.75" customHeight="1">
      <c r="A52897" s="7"/>
      <c r="B52897" s="7"/>
    </row>
    <row r="52898" ht="15.75" customHeight="1">
      <c r="A52898" s="7"/>
      <c r="B52898" s="7"/>
    </row>
    <row r="52899" ht="15.75" customHeight="1">
      <c r="A52899" s="7"/>
      <c r="B52899" s="7"/>
    </row>
    <row r="52900" ht="15.75" customHeight="1">
      <c r="A52900" s="7"/>
      <c r="B52900" s="7"/>
    </row>
    <row r="52901" ht="15.75" customHeight="1">
      <c r="A52901" s="7"/>
      <c r="B52901" s="7"/>
    </row>
    <row r="52902" ht="15.75" customHeight="1">
      <c r="A52902" s="7"/>
      <c r="B52902" s="7"/>
    </row>
    <row r="52903" ht="15.75" customHeight="1">
      <c r="A52903" s="7"/>
      <c r="B52903" s="7"/>
    </row>
    <row r="52904" ht="15.75" customHeight="1">
      <c r="A52904" s="7"/>
      <c r="B52904" s="7"/>
    </row>
    <row r="52905" ht="15.75" customHeight="1">
      <c r="A52905" s="7"/>
      <c r="B52905" s="7"/>
    </row>
    <row r="52906" ht="15.75" customHeight="1">
      <c r="A52906" s="7"/>
      <c r="B52906" s="7"/>
    </row>
    <row r="52907" ht="15.75" customHeight="1">
      <c r="A52907" s="7"/>
      <c r="B52907" s="7"/>
    </row>
    <row r="52908" ht="15.75" customHeight="1">
      <c r="A52908" s="7"/>
      <c r="B52908" s="7"/>
    </row>
    <row r="52909" ht="15.75" customHeight="1">
      <c r="A52909" s="7"/>
      <c r="B52909" s="7"/>
    </row>
    <row r="52910" ht="15.75" customHeight="1">
      <c r="A52910" s="7"/>
      <c r="B52910" s="7"/>
    </row>
    <row r="52911" ht="15.75" customHeight="1">
      <c r="A52911" s="7"/>
      <c r="B52911" s="7"/>
    </row>
    <row r="52912" ht="15.75" customHeight="1">
      <c r="A52912" s="7"/>
      <c r="B52912" s="7"/>
    </row>
    <row r="52913" ht="15.75" customHeight="1">
      <c r="A52913" s="7"/>
      <c r="B52913" s="7"/>
    </row>
    <row r="52914" ht="15.75" customHeight="1">
      <c r="A52914" s="7"/>
      <c r="B52914" s="7"/>
    </row>
    <row r="52915" ht="15.75" customHeight="1">
      <c r="A52915" s="7"/>
      <c r="B52915" s="7"/>
    </row>
    <row r="52916" ht="15.75" customHeight="1">
      <c r="A52916" s="7"/>
      <c r="B52916" s="7"/>
    </row>
    <row r="52917" ht="15.75" customHeight="1">
      <c r="A52917" s="7"/>
      <c r="B52917" s="7"/>
    </row>
    <row r="52918" ht="15.75" customHeight="1">
      <c r="A52918" s="7"/>
      <c r="B52918" s="7"/>
    </row>
    <row r="52919" ht="15.75" customHeight="1">
      <c r="A52919" s="7"/>
      <c r="B52919" s="7"/>
    </row>
    <row r="52920" ht="15.75" customHeight="1">
      <c r="A52920" s="7"/>
      <c r="B52920" s="7"/>
    </row>
    <row r="52921" ht="15.75" customHeight="1">
      <c r="A52921" s="7"/>
      <c r="B52921" s="7"/>
    </row>
    <row r="52922" ht="15.75" customHeight="1">
      <c r="A52922" s="7"/>
      <c r="B52922" s="7"/>
    </row>
    <row r="52923" ht="15.75" customHeight="1">
      <c r="A52923" s="7"/>
      <c r="B52923" s="7"/>
    </row>
    <row r="52924" ht="15.75" customHeight="1">
      <c r="A52924" s="7"/>
      <c r="B52924" s="7"/>
    </row>
    <row r="52925" ht="15.75" customHeight="1">
      <c r="A52925" s="7"/>
      <c r="B52925" s="7"/>
    </row>
    <row r="52926" ht="15.75" customHeight="1">
      <c r="A52926" s="7"/>
      <c r="B52926" s="7"/>
    </row>
    <row r="52927" ht="15.75" customHeight="1">
      <c r="A52927" s="7"/>
      <c r="B52927" s="7"/>
    </row>
    <row r="52928" ht="15.75" customHeight="1">
      <c r="A52928" s="7"/>
      <c r="B52928" s="7"/>
    </row>
    <row r="52929" ht="15.75" customHeight="1">
      <c r="A52929" s="7"/>
      <c r="B52929" s="7"/>
    </row>
    <row r="52930" ht="15.75" customHeight="1">
      <c r="A52930" s="7"/>
      <c r="B52930" s="7"/>
    </row>
    <row r="52931" ht="15.75" customHeight="1">
      <c r="A52931" s="7"/>
      <c r="B52931" s="7"/>
    </row>
    <row r="52932" ht="15.75" customHeight="1">
      <c r="A52932" s="7"/>
      <c r="B52932" s="7"/>
    </row>
    <row r="52933" ht="15.75" customHeight="1">
      <c r="A52933" s="7"/>
      <c r="B52933" s="7"/>
    </row>
    <row r="52934" ht="15.75" customHeight="1">
      <c r="A52934" s="7"/>
      <c r="B52934" s="7"/>
    </row>
    <row r="52935" ht="15.75" customHeight="1">
      <c r="A52935" s="7"/>
      <c r="B52935" s="7"/>
    </row>
    <row r="52936" ht="15.75" customHeight="1">
      <c r="A52936" s="7"/>
      <c r="B52936" s="7"/>
    </row>
    <row r="52937" ht="15.75" customHeight="1">
      <c r="A52937" s="7"/>
      <c r="B52937" s="7"/>
    </row>
    <row r="52938" ht="15.75" customHeight="1">
      <c r="A52938" s="7"/>
      <c r="B52938" s="7"/>
    </row>
    <row r="52939" ht="15.75" customHeight="1">
      <c r="A52939" s="7"/>
      <c r="B52939" s="7"/>
    </row>
    <row r="52940" ht="15.75" customHeight="1">
      <c r="A52940" s="7"/>
      <c r="B52940" s="7"/>
    </row>
    <row r="52941" ht="15.75" customHeight="1">
      <c r="A52941" s="7"/>
      <c r="B52941" s="7"/>
    </row>
    <row r="52942" ht="15.75" customHeight="1">
      <c r="A52942" s="7"/>
      <c r="B52942" s="7"/>
    </row>
    <row r="52943" ht="15.75" customHeight="1">
      <c r="A52943" s="7"/>
      <c r="B52943" s="7"/>
    </row>
    <row r="52944" ht="15.75" customHeight="1">
      <c r="A52944" s="7"/>
      <c r="B52944" s="7"/>
    </row>
    <row r="52945" ht="15.75" customHeight="1">
      <c r="A52945" s="7"/>
      <c r="B52945" s="7"/>
    </row>
    <row r="52946" ht="15.75" customHeight="1">
      <c r="A52946" s="7"/>
      <c r="B52946" s="7"/>
    </row>
    <row r="52947" ht="15.75" customHeight="1">
      <c r="A52947" s="7"/>
      <c r="B52947" s="7"/>
    </row>
    <row r="52948" ht="15.75" customHeight="1">
      <c r="A52948" s="7"/>
      <c r="B52948" s="7"/>
    </row>
    <row r="52949" ht="15.75" customHeight="1">
      <c r="A52949" s="7"/>
      <c r="B52949" s="7"/>
    </row>
    <row r="52950" ht="15.75" customHeight="1">
      <c r="A52950" s="7"/>
      <c r="B52950" s="7"/>
    </row>
    <row r="52951" ht="15.75" customHeight="1">
      <c r="A52951" s="7"/>
      <c r="B52951" s="7"/>
    </row>
    <row r="52952" ht="15.75" customHeight="1">
      <c r="A52952" s="7"/>
      <c r="B52952" s="7"/>
    </row>
    <row r="52953" ht="15.75" customHeight="1">
      <c r="A52953" s="7"/>
      <c r="B52953" s="7"/>
    </row>
    <row r="52954" ht="15.75" customHeight="1">
      <c r="A52954" s="7"/>
      <c r="B52954" s="7"/>
    </row>
    <row r="52955" ht="15.75" customHeight="1">
      <c r="A52955" s="7"/>
      <c r="B52955" s="7"/>
    </row>
    <row r="52956" ht="15.75" customHeight="1">
      <c r="A52956" s="7"/>
      <c r="B52956" s="7"/>
    </row>
    <row r="52957" ht="15.75" customHeight="1">
      <c r="A52957" s="7"/>
      <c r="B52957" s="7"/>
    </row>
    <row r="52958" ht="15.75" customHeight="1">
      <c r="A52958" s="7"/>
      <c r="B52958" s="7"/>
    </row>
    <row r="52959" ht="15.75" customHeight="1">
      <c r="A52959" s="7"/>
      <c r="B52959" s="7"/>
    </row>
    <row r="52960" ht="15.75" customHeight="1">
      <c r="A52960" s="7"/>
      <c r="B52960" s="7"/>
    </row>
    <row r="52961" ht="15.75" customHeight="1">
      <c r="A52961" s="7"/>
      <c r="B52961" s="7"/>
    </row>
    <row r="52962" ht="15.75" customHeight="1">
      <c r="A52962" s="7"/>
      <c r="B52962" s="7"/>
    </row>
    <row r="52963" ht="15.75" customHeight="1">
      <c r="A52963" s="7"/>
      <c r="B52963" s="7"/>
    </row>
    <row r="52964" ht="15.75" customHeight="1">
      <c r="A52964" s="7"/>
      <c r="B52964" s="7"/>
    </row>
    <row r="52965" ht="15.75" customHeight="1">
      <c r="A52965" s="7"/>
      <c r="B52965" s="7"/>
    </row>
    <row r="52966" ht="15.75" customHeight="1">
      <c r="A52966" s="7"/>
      <c r="B52966" s="7"/>
    </row>
    <row r="52967" ht="15.75" customHeight="1">
      <c r="A52967" s="7"/>
      <c r="B52967" s="7"/>
    </row>
    <row r="52968" ht="15.75" customHeight="1">
      <c r="A52968" s="7"/>
      <c r="B52968" s="7"/>
    </row>
    <row r="52969" ht="15.75" customHeight="1">
      <c r="A52969" s="7"/>
      <c r="B52969" s="7"/>
    </row>
    <row r="52970" ht="15.75" customHeight="1">
      <c r="A52970" s="7"/>
      <c r="B52970" s="7"/>
    </row>
    <row r="52971" ht="15.75" customHeight="1">
      <c r="A52971" s="7"/>
      <c r="B52971" s="7"/>
    </row>
    <row r="52972" ht="15.75" customHeight="1">
      <c r="A52972" s="7"/>
      <c r="B52972" s="7"/>
    </row>
    <row r="52973" ht="15.75" customHeight="1">
      <c r="A52973" s="7"/>
      <c r="B52973" s="7"/>
    </row>
    <row r="52974" ht="15.75" customHeight="1">
      <c r="A52974" s="7"/>
      <c r="B52974" s="7"/>
    </row>
    <row r="52975" ht="15.75" customHeight="1">
      <c r="A52975" s="7"/>
      <c r="B52975" s="7"/>
    </row>
    <row r="52976" ht="15.75" customHeight="1">
      <c r="A52976" s="7"/>
      <c r="B52976" s="7"/>
    </row>
    <row r="52977" ht="15.75" customHeight="1">
      <c r="A52977" s="7"/>
      <c r="B52977" s="7"/>
    </row>
    <row r="52978" ht="15.75" customHeight="1">
      <c r="A52978" s="7"/>
      <c r="B52978" s="7"/>
    </row>
    <row r="52979" ht="15.75" customHeight="1">
      <c r="A52979" s="7"/>
      <c r="B52979" s="7"/>
    </row>
    <row r="52980" ht="15.75" customHeight="1">
      <c r="A52980" s="7"/>
      <c r="B52980" s="7"/>
    </row>
    <row r="52981" ht="15.75" customHeight="1">
      <c r="A52981" s="7"/>
      <c r="B52981" s="7"/>
    </row>
    <row r="52982" ht="15.75" customHeight="1">
      <c r="A52982" s="7"/>
      <c r="B52982" s="7"/>
    </row>
    <row r="52983" ht="15.75" customHeight="1">
      <c r="A52983" s="7"/>
      <c r="B52983" s="7"/>
    </row>
    <row r="52984" ht="15.75" customHeight="1">
      <c r="A52984" s="7"/>
      <c r="B52984" s="7"/>
    </row>
    <row r="52985" ht="15.75" customHeight="1">
      <c r="A52985" s="7"/>
      <c r="B52985" s="7"/>
    </row>
    <row r="52986" ht="15.75" customHeight="1">
      <c r="A52986" s="7"/>
      <c r="B52986" s="7"/>
    </row>
    <row r="52987" ht="15.75" customHeight="1">
      <c r="A52987" s="7"/>
      <c r="B52987" s="7"/>
    </row>
    <row r="52988" ht="15.75" customHeight="1">
      <c r="A52988" s="7"/>
      <c r="B52988" s="7"/>
    </row>
    <row r="52989" ht="15.75" customHeight="1">
      <c r="A52989" s="7"/>
      <c r="B52989" s="7"/>
    </row>
    <row r="52990" ht="15.75" customHeight="1">
      <c r="A52990" s="7"/>
      <c r="B52990" s="7"/>
    </row>
    <row r="52991" ht="15.75" customHeight="1">
      <c r="A52991" s="7"/>
      <c r="B52991" s="7"/>
    </row>
    <row r="52992" ht="15.75" customHeight="1">
      <c r="A52992" s="7"/>
      <c r="B52992" s="7"/>
    </row>
    <row r="52993" ht="15.75" customHeight="1">
      <c r="A52993" s="7"/>
      <c r="B52993" s="7"/>
    </row>
    <row r="52994" ht="15.75" customHeight="1">
      <c r="A52994" s="7"/>
      <c r="B52994" s="7"/>
    </row>
    <row r="52995" ht="15.75" customHeight="1">
      <c r="A52995" s="7"/>
      <c r="B52995" s="7"/>
    </row>
    <row r="52996" ht="15.75" customHeight="1">
      <c r="A52996" s="7"/>
      <c r="B52996" s="7"/>
    </row>
    <row r="52997" ht="15.75" customHeight="1">
      <c r="A52997" s="7"/>
      <c r="B52997" s="7"/>
    </row>
    <row r="52998" ht="15.75" customHeight="1">
      <c r="A52998" s="7"/>
      <c r="B52998" s="7"/>
    </row>
    <row r="52999" ht="15.75" customHeight="1">
      <c r="A52999" s="7"/>
      <c r="B52999" s="7"/>
    </row>
    <row r="53000" ht="15.75" customHeight="1">
      <c r="A53000" s="7"/>
      <c r="B53000" s="7"/>
    </row>
    <row r="53001" ht="15.75" customHeight="1">
      <c r="A53001" s="7"/>
      <c r="B53001" s="7"/>
    </row>
    <row r="53002" ht="15.75" customHeight="1">
      <c r="A53002" s="7"/>
      <c r="B53002" s="7"/>
    </row>
    <row r="53003" ht="15.75" customHeight="1">
      <c r="A53003" s="7"/>
      <c r="B53003" s="7"/>
    </row>
    <row r="53004" ht="15.75" customHeight="1">
      <c r="A53004" s="7"/>
      <c r="B53004" s="7"/>
    </row>
    <row r="53005" ht="15.75" customHeight="1">
      <c r="A53005" s="7"/>
      <c r="B53005" s="7"/>
    </row>
    <row r="53006" ht="15.75" customHeight="1">
      <c r="A53006" s="7"/>
      <c r="B53006" s="7"/>
    </row>
    <row r="53007" ht="15.75" customHeight="1">
      <c r="A53007" s="7"/>
      <c r="B53007" s="7"/>
    </row>
    <row r="53008" ht="15.75" customHeight="1">
      <c r="A53008" s="7"/>
      <c r="B53008" s="7"/>
    </row>
    <row r="53009" ht="15.75" customHeight="1">
      <c r="A53009" s="7"/>
      <c r="B53009" s="7"/>
    </row>
    <row r="53010" ht="15.75" customHeight="1">
      <c r="A53010" s="7"/>
      <c r="B53010" s="7"/>
    </row>
    <row r="53011" ht="15.75" customHeight="1">
      <c r="A53011" s="7"/>
      <c r="B53011" s="7"/>
    </row>
    <row r="53012" ht="15.75" customHeight="1">
      <c r="A53012" s="7"/>
      <c r="B53012" s="7"/>
    </row>
    <row r="53013" ht="15.75" customHeight="1">
      <c r="A53013" s="7"/>
      <c r="B53013" s="7"/>
    </row>
    <row r="53014" ht="15.75" customHeight="1">
      <c r="A53014" s="7"/>
      <c r="B53014" s="7"/>
    </row>
    <row r="53015" ht="15.75" customHeight="1">
      <c r="A53015" s="7"/>
      <c r="B53015" s="7"/>
    </row>
    <row r="53016" ht="15.75" customHeight="1">
      <c r="A53016" s="7"/>
      <c r="B53016" s="7"/>
    </row>
    <row r="53017" ht="15.75" customHeight="1">
      <c r="A53017" s="7"/>
      <c r="B53017" s="7"/>
    </row>
    <row r="53018" ht="15.75" customHeight="1">
      <c r="A53018" s="7"/>
      <c r="B53018" s="7"/>
    </row>
    <row r="53019" ht="15.75" customHeight="1">
      <c r="A53019" s="7"/>
      <c r="B53019" s="7"/>
    </row>
    <row r="53020" ht="15.75" customHeight="1">
      <c r="A53020" s="7"/>
      <c r="B53020" s="7"/>
    </row>
    <row r="53021" ht="15.75" customHeight="1">
      <c r="A53021" s="7"/>
      <c r="B53021" s="7"/>
    </row>
    <row r="53022" ht="15.75" customHeight="1">
      <c r="A53022" s="7"/>
      <c r="B53022" s="7"/>
    </row>
    <row r="53023" ht="15.75" customHeight="1">
      <c r="A53023" s="7"/>
      <c r="B53023" s="7"/>
    </row>
    <row r="53024" ht="15.75" customHeight="1">
      <c r="A53024" s="7"/>
      <c r="B53024" s="7"/>
    </row>
    <row r="53025" ht="15.75" customHeight="1">
      <c r="A53025" s="7"/>
      <c r="B53025" s="7"/>
    </row>
    <row r="53026" ht="15.75" customHeight="1">
      <c r="A53026" s="7"/>
      <c r="B53026" s="7"/>
    </row>
    <row r="53027" ht="15.75" customHeight="1">
      <c r="A53027" s="7"/>
      <c r="B53027" s="7"/>
    </row>
    <row r="53028" ht="15.75" customHeight="1">
      <c r="A53028" s="7"/>
      <c r="B53028" s="7"/>
    </row>
    <row r="53029" ht="15.75" customHeight="1">
      <c r="A53029" s="7"/>
      <c r="B53029" s="7"/>
    </row>
    <row r="53030" ht="15.75" customHeight="1">
      <c r="A53030" s="7"/>
      <c r="B53030" s="7"/>
    </row>
    <row r="53031" ht="15.75" customHeight="1">
      <c r="A53031" s="7"/>
      <c r="B53031" s="7"/>
    </row>
    <row r="53032" ht="15.75" customHeight="1">
      <c r="A53032" s="7"/>
      <c r="B53032" s="7"/>
    </row>
    <row r="53033" ht="15.75" customHeight="1">
      <c r="A53033" s="7"/>
      <c r="B53033" s="7"/>
    </row>
    <row r="53034" ht="15.75" customHeight="1">
      <c r="A53034" s="7"/>
      <c r="B53034" s="7"/>
    </row>
    <row r="53035" ht="15.75" customHeight="1">
      <c r="A53035" s="7"/>
      <c r="B53035" s="7"/>
    </row>
    <row r="53036" ht="15.75" customHeight="1">
      <c r="A53036" s="7"/>
      <c r="B53036" s="7"/>
    </row>
    <row r="53037" ht="15.75" customHeight="1">
      <c r="A53037" s="7"/>
      <c r="B53037" s="7"/>
    </row>
    <row r="53038" ht="15.75" customHeight="1">
      <c r="A53038" s="7"/>
      <c r="B53038" s="7"/>
    </row>
    <row r="53039" ht="15.75" customHeight="1">
      <c r="A53039" s="7"/>
      <c r="B53039" s="7"/>
    </row>
    <row r="53040" ht="15.75" customHeight="1">
      <c r="A53040" s="7"/>
      <c r="B53040" s="7"/>
    </row>
    <row r="53041" ht="15.75" customHeight="1">
      <c r="A53041" s="7"/>
      <c r="B53041" s="7"/>
    </row>
    <row r="53042" ht="15.75" customHeight="1">
      <c r="A53042" s="7"/>
      <c r="B53042" s="7"/>
    </row>
    <row r="53043" ht="15.75" customHeight="1">
      <c r="A53043" s="7"/>
      <c r="B53043" s="7"/>
    </row>
    <row r="53044" ht="15.75" customHeight="1">
      <c r="A53044" s="7"/>
      <c r="B53044" s="7"/>
    </row>
    <row r="53045" ht="15.75" customHeight="1">
      <c r="A53045" s="7"/>
      <c r="B53045" s="7"/>
    </row>
    <row r="53046" ht="15.75" customHeight="1">
      <c r="A53046" s="7"/>
      <c r="B53046" s="7"/>
    </row>
    <row r="53047" ht="15.75" customHeight="1">
      <c r="A53047" s="7"/>
      <c r="B53047" s="7"/>
    </row>
    <row r="53048" ht="15.75" customHeight="1">
      <c r="A53048" s="7"/>
      <c r="B53048" s="7"/>
    </row>
    <row r="53049" ht="15.75" customHeight="1">
      <c r="A53049" s="7"/>
      <c r="B53049" s="7"/>
    </row>
    <row r="53050" ht="15.75" customHeight="1">
      <c r="A53050" s="7"/>
      <c r="B53050" s="7"/>
    </row>
    <row r="53051" ht="15.75" customHeight="1">
      <c r="A53051" s="7"/>
      <c r="B53051" s="7"/>
    </row>
    <row r="53052" ht="15.75" customHeight="1">
      <c r="A53052" s="7"/>
      <c r="B53052" s="7"/>
    </row>
    <row r="53053" ht="15.75" customHeight="1">
      <c r="A53053" s="7"/>
      <c r="B53053" s="7"/>
    </row>
    <row r="53054" ht="15.75" customHeight="1">
      <c r="A53054" s="7"/>
      <c r="B53054" s="7"/>
    </row>
    <row r="53055" ht="15.75" customHeight="1">
      <c r="A53055" s="7"/>
      <c r="B53055" s="7"/>
    </row>
    <row r="53056" ht="15.75" customHeight="1">
      <c r="A53056" s="7"/>
      <c r="B53056" s="7"/>
    </row>
    <row r="53057" ht="15.75" customHeight="1">
      <c r="A53057" s="7"/>
      <c r="B53057" s="7"/>
    </row>
    <row r="53058" ht="15.75" customHeight="1">
      <c r="A53058" s="7"/>
      <c r="B53058" s="7"/>
    </row>
    <row r="53059" ht="15.75" customHeight="1">
      <c r="A53059" s="7"/>
      <c r="B53059" s="7"/>
    </row>
    <row r="53060" ht="15.75" customHeight="1">
      <c r="A53060" s="7"/>
      <c r="B53060" s="7"/>
    </row>
    <row r="53061" ht="15.75" customHeight="1">
      <c r="A53061" s="7"/>
      <c r="B53061" s="7"/>
    </row>
    <row r="53062" ht="15.75" customHeight="1">
      <c r="A53062" s="7"/>
      <c r="B53062" s="7"/>
    </row>
    <row r="53063" ht="15.75" customHeight="1">
      <c r="A53063" s="7"/>
      <c r="B53063" s="7"/>
    </row>
    <row r="53064" ht="15.75" customHeight="1">
      <c r="A53064" s="7"/>
      <c r="B53064" s="7"/>
    </row>
    <row r="53065" ht="15.75" customHeight="1">
      <c r="A53065" s="7"/>
      <c r="B53065" s="7"/>
    </row>
    <row r="53066" ht="15.75" customHeight="1">
      <c r="A53066" s="7"/>
      <c r="B53066" s="7"/>
    </row>
    <row r="53067" ht="15.75" customHeight="1">
      <c r="A53067" s="7"/>
      <c r="B53067" s="7"/>
    </row>
    <row r="53068" ht="15.75" customHeight="1">
      <c r="A53068" s="7"/>
      <c r="B53068" s="7"/>
    </row>
    <row r="53069" ht="15.75" customHeight="1">
      <c r="A53069" s="7"/>
      <c r="B53069" s="7"/>
    </row>
    <row r="53070" ht="15.75" customHeight="1">
      <c r="A53070" s="7"/>
      <c r="B53070" s="7"/>
    </row>
    <row r="53071" ht="15.75" customHeight="1">
      <c r="A53071" s="7"/>
      <c r="B53071" s="7"/>
    </row>
    <row r="53072" ht="15.75" customHeight="1">
      <c r="A53072" s="7"/>
      <c r="B53072" s="7"/>
    </row>
    <row r="53073" ht="15.75" customHeight="1">
      <c r="A53073" s="7"/>
      <c r="B53073" s="7"/>
    </row>
    <row r="53074" ht="15.75" customHeight="1">
      <c r="A53074" s="7"/>
      <c r="B53074" s="7"/>
    </row>
    <row r="53075" ht="15.75" customHeight="1">
      <c r="A53075" s="7"/>
      <c r="B53075" s="7"/>
    </row>
    <row r="53076" ht="15.75" customHeight="1">
      <c r="A53076" s="7"/>
      <c r="B53076" s="7"/>
    </row>
    <row r="53077" ht="15.75" customHeight="1">
      <c r="A53077" s="7"/>
      <c r="B53077" s="7"/>
    </row>
    <row r="53078" ht="15.75" customHeight="1">
      <c r="A53078" s="7"/>
      <c r="B53078" s="7"/>
    </row>
    <row r="53079" ht="15.75" customHeight="1">
      <c r="A53079" s="7"/>
      <c r="B53079" s="7"/>
    </row>
    <row r="53080" ht="15.75" customHeight="1">
      <c r="A53080" s="7"/>
      <c r="B53080" s="7"/>
    </row>
    <row r="53081" ht="15.75" customHeight="1">
      <c r="A53081" s="7"/>
      <c r="B53081" s="7"/>
    </row>
    <row r="53082" ht="15.75" customHeight="1">
      <c r="A53082" s="7"/>
      <c r="B53082" s="7"/>
    </row>
    <row r="53083" ht="15.75" customHeight="1">
      <c r="A53083" s="7"/>
      <c r="B53083" s="7"/>
    </row>
    <row r="53084" ht="15.75" customHeight="1">
      <c r="A53084" s="7"/>
      <c r="B53084" s="7"/>
    </row>
    <row r="53085" ht="15.75" customHeight="1">
      <c r="A53085" s="7"/>
      <c r="B53085" s="7"/>
    </row>
    <row r="53086" ht="15.75" customHeight="1">
      <c r="A53086" s="7"/>
      <c r="B53086" s="7"/>
    </row>
    <row r="53087" ht="15.75" customHeight="1">
      <c r="A53087" s="7"/>
      <c r="B53087" s="7"/>
    </row>
    <row r="53088" ht="15.75" customHeight="1">
      <c r="A53088" s="7"/>
      <c r="B53088" s="7"/>
    </row>
    <row r="53089" ht="15.75" customHeight="1">
      <c r="A53089" s="7"/>
      <c r="B53089" s="7"/>
    </row>
    <row r="53090" ht="15.75" customHeight="1">
      <c r="A53090" s="7"/>
      <c r="B53090" s="7"/>
    </row>
    <row r="53091" ht="15.75" customHeight="1">
      <c r="A53091" s="7"/>
      <c r="B53091" s="7"/>
    </row>
    <row r="53092" ht="15.75" customHeight="1">
      <c r="A53092" s="7"/>
      <c r="B53092" s="7"/>
    </row>
    <row r="53093" ht="15.75" customHeight="1">
      <c r="A53093" s="7"/>
      <c r="B53093" s="7"/>
    </row>
    <row r="53094" ht="15.75" customHeight="1">
      <c r="A53094" s="7"/>
      <c r="B53094" s="7"/>
    </row>
    <row r="53095" ht="15.75" customHeight="1">
      <c r="A53095" s="7"/>
      <c r="B53095" s="7"/>
    </row>
    <row r="53096" ht="15.75" customHeight="1">
      <c r="A53096" s="7"/>
      <c r="B53096" s="7"/>
    </row>
    <row r="53097" ht="15.75" customHeight="1">
      <c r="A53097" s="7"/>
      <c r="B53097" s="7"/>
    </row>
    <row r="53098" ht="15.75" customHeight="1">
      <c r="A53098" s="7"/>
      <c r="B53098" s="7"/>
    </row>
    <row r="53099" ht="15.75" customHeight="1">
      <c r="A53099" s="7"/>
      <c r="B53099" s="7"/>
    </row>
    <row r="53100" ht="15.75" customHeight="1">
      <c r="A53100" s="7"/>
      <c r="B53100" s="7"/>
    </row>
    <row r="53101" ht="15.75" customHeight="1">
      <c r="A53101" s="7"/>
      <c r="B53101" s="7"/>
    </row>
    <row r="53102" ht="15.75" customHeight="1">
      <c r="A53102" s="7"/>
      <c r="B53102" s="7"/>
    </row>
    <row r="53103" ht="15.75" customHeight="1">
      <c r="A53103" s="7"/>
      <c r="B53103" s="7"/>
    </row>
    <row r="53104" ht="15.75" customHeight="1">
      <c r="A53104" s="7"/>
      <c r="B53104" s="7"/>
    </row>
    <row r="53105" ht="15.75" customHeight="1">
      <c r="A53105" s="7"/>
      <c r="B53105" s="7"/>
    </row>
    <row r="53106" ht="15.75" customHeight="1">
      <c r="A53106" s="7"/>
      <c r="B53106" s="7"/>
    </row>
    <row r="53107" ht="15.75" customHeight="1">
      <c r="A53107" s="7"/>
      <c r="B53107" s="7"/>
    </row>
    <row r="53108" ht="15.75" customHeight="1">
      <c r="A53108" s="7"/>
      <c r="B53108" s="7"/>
    </row>
    <row r="53109" ht="15.75" customHeight="1">
      <c r="A53109" s="7"/>
      <c r="B53109" s="7"/>
    </row>
    <row r="53110" ht="15.75" customHeight="1">
      <c r="A53110" s="7"/>
      <c r="B53110" s="7"/>
    </row>
    <row r="53111" ht="15.75" customHeight="1">
      <c r="A53111" s="7"/>
      <c r="B53111" s="7"/>
    </row>
    <row r="53112" ht="15.75" customHeight="1">
      <c r="A53112" s="7"/>
      <c r="B53112" s="7"/>
    </row>
    <row r="53113" ht="15.75" customHeight="1">
      <c r="A53113" s="7"/>
      <c r="B53113" s="7"/>
    </row>
    <row r="53114" ht="15.75" customHeight="1">
      <c r="A53114" s="7"/>
      <c r="B53114" s="7"/>
    </row>
    <row r="53115" ht="15.75" customHeight="1">
      <c r="A53115" s="7"/>
      <c r="B53115" s="7"/>
    </row>
    <row r="53116" ht="15.75" customHeight="1">
      <c r="A53116" s="7"/>
      <c r="B53116" s="7"/>
    </row>
    <row r="53117" ht="15.75" customHeight="1">
      <c r="A53117" s="7"/>
      <c r="B53117" s="7"/>
    </row>
    <row r="53118" ht="15.75" customHeight="1">
      <c r="A53118" s="7"/>
      <c r="B53118" s="7"/>
    </row>
    <row r="53119" ht="15.75" customHeight="1">
      <c r="A53119" s="7"/>
      <c r="B53119" s="7"/>
    </row>
    <row r="53120" ht="15.75" customHeight="1">
      <c r="A53120" s="7"/>
      <c r="B53120" s="7"/>
    </row>
    <row r="53121" ht="15.75" customHeight="1">
      <c r="A53121" s="7"/>
      <c r="B53121" s="7"/>
    </row>
    <row r="53122" ht="15.75" customHeight="1">
      <c r="A53122" s="7"/>
      <c r="B53122" s="7"/>
    </row>
    <row r="53123" ht="15.75" customHeight="1">
      <c r="A53123" s="7"/>
      <c r="B53123" s="7"/>
    </row>
    <row r="53124" ht="15.75" customHeight="1">
      <c r="A53124" s="7"/>
      <c r="B53124" s="7"/>
    </row>
    <row r="53125" ht="15.75" customHeight="1">
      <c r="A53125" s="7"/>
      <c r="B53125" s="7"/>
    </row>
    <row r="53126" ht="15.75" customHeight="1">
      <c r="A53126" s="7"/>
      <c r="B53126" s="7"/>
    </row>
    <row r="53127" ht="15.75" customHeight="1">
      <c r="A53127" s="7"/>
      <c r="B53127" s="7"/>
    </row>
    <row r="53128" ht="15.75" customHeight="1">
      <c r="A53128" s="7"/>
      <c r="B53128" s="7"/>
    </row>
    <row r="53129" ht="15.75" customHeight="1">
      <c r="A53129" s="7"/>
      <c r="B53129" s="7"/>
    </row>
    <row r="53130" ht="15.75" customHeight="1">
      <c r="A53130" s="7"/>
      <c r="B53130" s="7"/>
    </row>
    <row r="53131" ht="15.75" customHeight="1">
      <c r="A53131" s="7"/>
      <c r="B53131" s="7"/>
    </row>
    <row r="53132" ht="15.75" customHeight="1">
      <c r="A53132" s="7"/>
      <c r="B53132" s="7"/>
    </row>
    <row r="53133" ht="15.75" customHeight="1">
      <c r="A53133" s="7"/>
      <c r="B53133" s="7"/>
    </row>
    <row r="53134" ht="15.75" customHeight="1">
      <c r="A53134" s="7"/>
      <c r="B53134" s="7"/>
    </row>
    <row r="53135" ht="15.75" customHeight="1">
      <c r="A53135" s="7"/>
      <c r="B53135" s="7"/>
    </row>
    <row r="53136" ht="15.75" customHeight="1">
      <c r="A53136" s="7"/>
      <c r="B53136" s="7"/>
    </row>
    <row r="53137" ht="15.75" customHeight="1">
      <c r="A53137" s="7"/>
      <c r="B53137" s="7"/>
    </row>
    <row r="53138" ht="15.75" customHeight="1">
      <c r="A53138" s="7"/>
      <c r="B53138" s="7"/>
    </row>
    <row r="53139" ht="15.75" customHeight="1">
      <c r="A53139" s="7"/>
      <c r="B53139" s="7"/>
    </row>
    <row r="53140" ht="15.75" customHeight="1">
      <c r="A53140" s="7"/>
      <c r="B53140" s="7"/>
    </row>
    <row r="53141" ht="15.75" customHeight="1">
      <c r="A53141" s="7"/>
      <c r="B53141" s="7"/>
    </row>
    <row r="53142" ht="15.75" customHeight="1">
      <c r="A53142" s="7"/>
      <c r="B53142" s="7"/>
    </row>
    <row r="53143" ht="15.75" customHeight="1">
      <c r="A53143" s="7"/>
      <c r="B53143" s="7"/>
    </row>
    <row r="53144" ht="15.75" customHeight="1">
      <c r="A53144" s="7"/>
      <c r="B53144" s="7"/>
    </row>
    <row r="53145" ht="15.75" customHeight="1">
      <c r="A53145" s="7"/>
      <c r="B53145" s="7"/>
    </row>
    <row r="53146" ht="15.75" customHeight="1">
      <c r="A53146" s="7"/>
      <c r="B53146" s="7"/>
    </row>
    <row r="53147" ht="15.75" customHeight="1">
      <c r="A53147" s="7"/>
      <c r="B53147" s="7"/>
    </row>
    <row r="53148" ht="15.75" customHeight="1">
      <c r="A53148" s="7"/>
      <c r="B53148" s="7"/>
    </row>
    <row r="53149" ht="15.75" customHeight="1">
      <c r="A53149" s="7"/>
      <c r="B53149" s="7"/>
    </row>
    <row r="53150" ht="15.75" customHeight="1">
      <c r="A53150" s="7"/>
      <c r="B53150" s="7"/>
    </row>
    <row r="53151" ht="15.75" customHeight="1">
      <c r="A53151" s="7"/>
      <c r="B53151" s="7"/>
    </row>
    <row r="53152" ht="15.75" customHeight="1">
      <c r="A53152" s="7"/>
      <c r="B53152" s="7"/>
    </row>
    <row r="53153" ht="15.75" customHeight="1">
      <c r="A53153" s="7"/>
      <c r="B53153" s="7"/>
    </row>
    <row r="53154" ht="15.75" customHeight="1">
      <c r="A53154" s="7"/>
      <c r="B53154" s="7"/>
    </row>
    <row r="53155" ht="15.75" customHeight="1">
      <c r="A53155" s="7"/>
      <c r="B53155" s="7"/>
    </row>
    <row r="53156" ht="15.75" customHeight="1">
      <c r="A53156" s="7"/>
      <c r="B53156" s="7"/>
    </row>
    <row r="53157" ht="15.75" customHeight="1">
      <c r="A53157" s="7"/>
      <c r="B53157" s="7"/>
    </row>
    <row r="53158" ht="15.75" customHeight="1">
      <c r="A53158" s="7"/>
      <c r="B53158" s="7"/>
    </row>
    <row r="53159" ht="15.75" customHeight="1">
      <c r="A53159" s="7"/>
      <c r="B53159" s="7"/>
    </row>
    <row r="53160" ht="15.75" customHeight="1">
      <c r="A53160" s="7"/>
      <c r="B53160" s="7"/>
    </row>
    <row r="53161" ht="15.75" customHeight="1">
      <c r="A53161" s="7"/>
      <c r="B53161" s="7"/>
    </row>
    <row r="53162" ht="15.75" customHeight="1">
      <c r="A53162" s="7"/>
      <c r="B53162" s="7"/>
    </row>
    <row r="53163" ht="15.75" customHeight="1">
      <c r="A53163" s="7"/>
      <c r="B53163" s="7"/>
    </row>
    <row r="53164" ht="15.75" customHeight="1">
      <c r="A53164" s="7"/>
      <c r="B53164" s="7"/>
    </row>
    <row r="53165" ht="15.75" customHeight="1">
      <c r="A53165" s="7"/>
      <c r="B53165" s="7"/>
    </row>
    <row r="53166" ht="15.75" customHeight="1">
      <c r="A53166" s="7"/>
      <c r="B53166" s="7"/>
    </row>
    <row r="53167" ht="15.75" customHeight="1">
      <c r="A53167" s="7"/>
      <c r="B53167" s="7"/>
    </row>
    <row r="53168" ht="15.75" customHeight="1">
      <c r="A53168" s="7"/>
      <c r="B53168" s="7"/>
    </row>
    <row r="53169" ht="15.75" customHeight="1">
      <c r="A53169" s="7"/>
      <c r="B53169" s="7"/>
    </row>
    <row r="53170" ht="15.75" customHeight="1">
      <c r="A53170" s="7"/>
      <c r="B53170" s="7"/>
    </row>
    <row r="53171" ht="15.75" customHeight="1">
      <c r="A53171" s="7"/>
      <c r="B53171" s="7"/>
    </row>
    <row r="53172" ht="15.75" customHeight="1">
      <c r="A53172" s="7"/>
      <c r="B53172" s="7"/>
    </row>
    <row r="53173" ht="15.75" customHeight="1">
      <c r="A53173" s="7"/>
      <c r="B53173" s="7"/>
    </row>
    <row r="53174" ht="15.75" customHeight="1">
      <c r="A53174" s="7"/>
      <c r="B53174" s="7"/>
    </row>
    <row r="53175" ht="15.75" customHeight="1">
      <c r="A53175" s="7"/>
      <c r="B53175" s="7"/>
    </row>
    <row r="53176" ht="15.75" customHeight="1">
      <c r="A53176" s="7"/>
      <c r="B53176" s="7"/>
    </row>
    <row r="53177" ht="15.75" customHeight="1">
      <c r="A53177" s="7"/>
      <c r="B53177" s="7"/>
    </row>
    <row r="53178" ht="15.75" customHeight="1">
      <c r="A53178" s="7"/>
      <c r="B53178" s="7"/>
    </row>
    <row r="53179" ht="15.75" customHeight="1">
      <c r="A53179" s="7"/>
      <c r="B53179" s="7"/>
    </row>
    <row r="53180" ht="15.75" customHeight="1">
      <c r="A53180" s="7"/>
      <c r="B53180" s="7"/>
    </row>
    <row r="53181" ht="15.75" customHeight="1">
      <c r="A53181" s="7"/>
      <c r="B53181" s="7"/>
    </row>
    <row r="53182" ht="15.75" customHeight="1">
      <c r="A53182" s="7"/>
      <c r="B53182" s="7"/>
    </row>
    <row r="53183" ht="15.75" customHeight="1">
      <c r="A53183" s="7"/>
      <c r="B53183" s="7"/>
    </row>
    <row r="53184" ht="15.75" customHeight="1">
      <c r="A53184" s="7"/>
      <c r="B53184" s="7"/>
    </row>
    <row r="53185" ht="15.75" customHeight="1">
      <c r="A53185" s="7"/>
      <c r="B53185" s="7"/>
    </row>
    <row r="53186" ht="15.75" customHeight="1">
      <c r="A53186" s="7"/>
      <c r="B53186" s="7"/>
    </row>
    <row r="53187" ht="15.75" customHeight="1">
      <c r="A53187" s="7"/>
      <c r="B53187" s="7"/>
    </row>
    <row r="53188" ht="15.75" customHeight="1">
      <c r="A53188" s="7"/>
      <c r="B53188" s="7"/>
    </row>
    <row r="53189" ht="15.75" customHeight="1">
      <c r="A53189" s="7"/>
      <c r="B53189" s="7"/>
    </row>
    <row r="53190" ht="15.75" customHeight="1">
      <c r="A53190" s="7"/>
      <c r="B53190" s="7"/>
    </row>
    <row r="53191" ht="15.75" customHeight="1">
      <c r="A53191" s="7"/>
      <c r="B53191" s="7"/>
    </row>
    <row r="53192" ht="15.75" customHeight="1">
      <c r="A53192" s="7"/>
      <c r="B53192" s="7"/>
    </row>
    <row r="53193" ht="15.75" customHeight="1">
      <c r="A53193" s="7"/>
      <c r="B53193" s="7"/>
    </row>
    <row r="53194" ht="15.75" customHeight="1">
      <c r="A53194" s="7"/>
      <c r="B53194" s="7"/>
    </row>
    <row r="53195" ht="15.75" customHeight="1">
      <c r="A53195" s="7"/>
      <c r="B53195" s="7"/>
    </row>
    <row r="53196" ht="15.75" customHeight="1">
      <c r="A53196" s="7"/>
      <c r="B53196" s="7"/>
    </row>
    <row r="53197" ht="15.75" customHeight="1">
      <c r="A53197" s="7"/>
      <c r="B53197" s="7"/>
    </row>
    <row r="53198" ht="15.75" customHeight="1">
      <c r="A53198" s="7"/>
      <c r="B53198" s="7"/>
    </row>
    <row r="53199" ht="15.75" customHeight="1">
      <c r="A53199" s="7"/>
      <c r="B53199" s="7"/>
    </row>
    <row r="53200" ht="15.75" customHeight="1">
      <c r="A53200" s="7"/>
      <c r="B53200" s="7"/>
    </row>
    <row r="53201" ht="15.75" customHeight="1">
      <c r="A53201" s="7"/>
      <c r="B53201" s="7"/>
    </row>
    <row r="53202" ht="15.75" customHeight="1">
      <c r="A53202" s="7"/>
      <c r="B53202" s="7"/>
    </row>
    <row r="53203" ht="15.75" customHeight="1">
      <c r="A53203" s="7"/>
      <c r="B53203" s="7"/>
    </row>
    <row r="53204" ht="15.75" customHeight="1">
      <c r="A53204" s="7"/>
      <c r="B53204" s="7"/>
    </row>
    <row r="53205" ht="15.75" customHeight="1">
      <c r="A53205" s="7"/>
      <c r="B53205" s="7"/>
    </row>
    <row r="53206" ht="15.75" customHeight="1">
      <c r="A53206" s="7"/>
      <c r="B53206" s="7"/>
    </row>
    <row r="53207" ht="15.75" customHeight="1">
      <c r="A53207" s="7"/>
      <c r="B53207" s="7"/>
    </row>
    <row r="53208" ht="15.75" customHeight="1">
      <c r="A53208" s="7"/>
      <c r="B53208" s="7"/>
    </row>
    <row r="53209" ht="15.75" customHeight="1">
      <c r="A53209" s="7"/>
      <c r="B53209" s="7"/>
    </row>
    <row r="53210" ht="15.75" customHeight="1">
      <c r="A53210" s="7"/>
      <c r="B53210" s="7"/>
    </row>
    <row r="53211" ht="15.75" customHeight="1">
      <c r="A53211" s="7"/>
      <c r="B53211" s="7"/>
    </row>
    <row r="53212" ht="15.75" customHeight="1">
      <c r="A53212" s="7"/>
      <c r="B53212" s="7"/>
    </row>
    <row r="53213" ht="15.75" customHeight="1">
      <c r="A53213" s="7"/>
      <c r="B53213" s="7"/>
    </row>
    <row r="53214" ht="15.75" customHeight="1">
      <c r="A53214" s="7"/>
      <c r="B53214" s="7"/>
    </row>
    <row r="53215" ht="15.75" customHeight="1">
      <c r="A53215" s="7"/>
      <c r="B53215" s="7"/>
    </row>
    <row r="53216" ht="15.75" customHeight="1">
      <c r="A53216" s="7"/>
      <c r="B53216" s="7"/>
    </row>
    <row r="53217" ht="15.75" customHeight="1">
      <c r="A53217" s="7"/>
      <c r="B53217" s="7"/>
    </row>
    <row r="53218" ht="15.75" customHeight="1">
      <c r="A53218" s="7"/>
      <c r="B53218" s="7"/>
    </row>
    <row r="53219" ht="15.75" customHeight="1">
      <c r="A53219" s="7"/>
      <c r="B53219" s="7"/>
    </row>
    <row r="53220" ht="15.75" customHeight="1">
      <c r="A53220" s="7"/>
      <c r="B53220" s="7"/>
    </row>
    <row r="53221" ht="15.75" customHeight="1">
      <c r="A53221" s="7"/>
      <c r="B53221" s="7"/>
    </row>
    <row r="53222" ht="15.75" customHeight="1">
      <c r="A53222" s="7"/>
      <c r="B53222" s="7"/>
    </row>
    <row r="53223" ht="15.75" customHeight="1">
      <c r="A53223" s="7"/>
      <c r="B53223" s="7"/>
    </row>
    <row r="53224" ht="15.75" customHeight="1">
      <c r="A53224" s="7"/>
      <c r="B53224" s="7"/>
    </row>
    <row r="53225" ht="15.75" customHeight="1">
      <c r="A53225" s="7"/>
      <c r="B53225" s="7"/>
    </row>
    <row r="53226" ht="15.75" customHeight="1">
      <c r="A53226" s="7"/>
      <c r="B53226" s="7"/>
    </row>
    <row r="53227" ht="15.75" customHeight="1">
      <c r="A53227" s="7"/>
      <c r="B53227" s="7"/>
    </row>
    <row r="53228" ht="15.75" customHeight="1">
      <c r="A53228" s="7"/>
      <c r="B53228" s="7"/>
    </row>
    <row r="53229" ht="15.75" customHeight="1">
      <c r="A53229" s="7"/>
      <c r="B53229" s="7"/>
    </row>
    <row r="53230" ht="15.75" customHeight="1">
      <c r="A53230" s="7"/>
      <c r="B53230" s="7"/>
    </row>
    <row r="53231" ht="15.75" customHeight="1">
      <c r="A53231" s="7"/>
      <c r="B53231" s="7"/>
    </row>
    <row r="53232" ht="15.75" customHeight="1">
      <c r="A53232" s="7"/>
      <c r="B53232" s="7"/>
    </row>
    <row r="53233" ht="15.75" customHeight="1">
      <c r="A53233" s="7"/>
      <c r="B53233" s="7"/>
    </row>
    <row r="53234" ht="15.75" customHeight="1">
      <c r="A53234" s="7"/>
      <c r="B53234" s="7"/>
    </row>
    <row r="53235" ht="15.75" customHeight="1">
      <c r="A53235" s="7"/>
      <c r="B53235" s="7"/>
    </row>
    <row r="53236" ht="15.75" customHeight="1">
      <c r="A53236" s="7"/>
      <c r="B53236" s="7"/>
    </row>
    <row r="53237" ht="15.75" customHeight="1">
      <c r="A53237" s="7"/>
      <c r="B53237" s="7"/>
    </row>
    <row r="53238" ht="15.75" customHeight="1">
      <c r="A53238" s="7"/>
      <c r="B53238" s="7"/>
    </row>
    <row r="53239" ht="15.75" customHeight="1">
      <c r="A53239" s="7"/>
      <c r="B53239" s="7"/>
    </row>
    <row r="53240" ht="15.75" customHeight="1">
      <c r="A53240" s="7"/>
      <c r="B53240" s="7"/>
    </row>
    <row r="53241" ht="15.75" customHeight="1">
      <c r="A53241" s="7"/>
      <c r="B53241" s="7"/>
    </row>
    <row r="53242" ht="15.75" customHeight="1">
      <c r="A53242" s="7"/>
      <c r="B53242" s="7"/>
    </row>
    <row r="53243" ht="15.75" customHeight="1">
      <c r="A53243" s="7"/>
      <c r="B53243" s="7"/>
    </row>
    <row r="53244" ht="15.75" customHeight="1">
      <c r="A53244" s="7"/>
      <c r="B53244" s="7"/>
    </row>
    <row r="53245" ht="15.75" customHeight="1">
      <c r="A53245" s="7"/>
      <c r="B53245" s="7"/>
    </row>
    <row r="53246" ht="15.75" customHeight="1">
      <c r="A53246" s="7"/>
      <c r="B53246" s="7"/>
    </row>
    <row r="53247" ht="15.75" customHeight="1">
      <c r="A53247" s="7"/>
      <c r="B53247" s="7"/>
    </row>
    <row r="53248" ht="15.75" customHeight="1">
      <c r="A53248" s="7"/>
      <c r="B53248" s="7"/>
    </row>
    <row r="53249" ht="15.75" customHeight="1">
      <c r="A53249" s="7"/>
      <c r="B53249" s="7"/>
    </row>
    <row r="53250" ht="15.75" customHeight="1">
      <c r="A53250" s="7"/>
      <c r="B53250" s="7"/>
    </row>
    <row r="53251" ht="15.75" customHeight="1">
      <c r="A53251" s="7"/>
      <c r="B53251" s="7"/>
    </row>
    <row r="53252" ht="15.75" customHeight="1">
      <c r="A53252" s="7"/>
      <c r="B53252" s="7"/>
    </row>
    <row r="53253" ht="15.75" customHeight="1">
      <c r="A53253" s="7"/>
      <c r="B53253" s="7"/>
    </row>
    <row r="53254" ht="15.75" customHeight="1">
      <c r="A53254" s="7"/>
      <c r="B53254" s="7"/>
    </row>
    <row r="53255" ht="15.75" customHeight="1">
      <c r="A53255" s="7"/>
      <c r="B53255" s="7"/>
    </row>
    <row r="53256" ht="15.75" customHeight="1">
      <c r="A53256" s="7"/>
      <c r="B53256" s="7"/>
    </row>
    <row r="53257" ht="15.75" customHeight="1">
      <c r="A53257" s="7"/>
      <c r="B53257" s="7"/>
    </row>
    <row r="53258" ht="15.75" customHeight="1">
      <c r="A53258" s="7"/>
      <c r="B53258" s="7"/>
    </row>
    <row r="53259" ht="15.75" customHeight="1">
      <c r="A53259" s="7"/>
      <c r="B53259" s="7"/>
    </row>
    <row r="53260" ht="15.75" customHeight="1">
      <c r="A53260" s="7"/>
      <c r="B53260" s="7"/>
    </row>
    <row r="53261" ht="15.75" customHeight="1">
      <c r="A53261" s="7"/>
      <c r="B53261" s="7"/>
    </row>
    <row r="53262" ht="15.75" customHeight="1">
      <c r="A53262" s="7"/>
      <c r="B53262" s="7"/>
    </row>
    <row r="53263" ht="15.75" customHeight="1">
      <c r="A53263" s="7"/>
      <c r="B53263" s="7"/>
    </row>
    <row r="53264" ht="15.75" customHeight="1">
      <c r="A53264" s="7"/>
      <c r="B53264" s="7"/>
    </row>
    <row r="53265" ht="15.75" customHeight="1">
      <c r="A53265" s="7"/>
      <c r="B53265" s="7"/>
    </row>
    <row r="53266" ht="15.75" customHeight="1">
      <c r="A53266" s="7"/>
      <c r="B53266" s="7"/>
    </row>
    <row r="53267" ht="15.75" customHeight="1">
      <c r="A53267" s="7"/>
      <c r="B53267" s="7"/>
    </row>
    <row r="53268" ht="15.75" customHeight="1">
      <c r="A53268" s="7"/>
      <c r="B53268" s="7"/>
    </row>
    <row r="53269" ht="15.75" customHeight="1">
      <c r="A53269" s="7"/>
      <c r="B53269" s="7"/>
    </row>
    <row r="53270" ht="15.75" customHeight="1">
      <c r="A53270" s="7"/>
      <c r="B53270" s="7"/>
    </row>
    <row r="53271" ht="15.75" customHeight="1">
      <c r="A53271" s="7"/>
      <c r="B53271" s="7"/>
    </row>
    <row r="53272" ht="15.75" customHeight="1">
      <c r="A53272" s="7"/>
      <c r="B53272" s="7"/>
    </row>
    <row r="53273" ht="15.75" customHeight="1">
      <c r="A53273" s="7"/>
      <c r="B53273" s="7"/>
    </row>
    <row r="53274" ht="15.75" customHeight="1">
      <c r="A53274" s="7"/>
      <c r="B53274" s="7"/>
    </row>
    <row r="53275" ht="15.75" customHeight="1">
      <c r="A53275" s="7"/>
      <c r="B53275" s="7"/>
    </row>
    <row r="53276" ht="15.75" customHeight="1">
      <c r="A53276" s="7"/>
      <c r="B53276" s="7"/>
    </row>
    <row r="53277" ht="15.75" customHeight="1">
      <c r="A53277" s="7"/>
      <c r="B53277" s="7"/>
    </row>
    <row r="53278" ht="15.75" customHeight="1">
      <c r="A53278" s="7"/>
      <c r="B53278" s="7"/>
    </row>
    <row r="53279" ht="15.75" customHeight="1">
      <c r="A53279" s="7"/>
      <c r="B53279" s="7"/>
    </row>
    <row r="53280" ht="15.75" customHeight="1">
      <c r="A53280" s="7"/>
      <c r="B53280" s="7"/>
    </row>
    <row r="53281" ht="15.75" customHeight="1">
      <c r="A53281" s="7"/>
      <c r="B53281" s="7"/>
    </row>
    <row r="53282" ht="15.75" customHeight="1">
      <c r="A53282" s="7"/>
      <c r="B53282" s="7"/>
    </row>
    <row r="53283" ht="15.75" customHeight="1">
      <c r="A53283" s="7"/>
      <c r="B53283" s="7"/>
    </row>
    <row r="53284" ht="15.75" customHeight="1">
      <c r="A53284" s="7"/>
      <c r="B53284" s="7"/>
    </row>
    <row r="53285" ht="15.75" customHeight="1">
      <c r="A53285" s="7"/>
      <c r="B53285" s="7"/>
    </row>
    <row r="53286" ht="15.75" customHeight="1">
      <c r="A53286" s="7"/>
      <c r="B53286" s="7"/>
    </row>
    <row r="53287" ht="15.75" customHeight="1">
      <c r="A53287" s="7"/>
      <c r="B53287" s="7"/>
    </row>
    <row r="53288" ht="15.75" customHeight="1">
      <c r="A53288" s="7"/>
      <c r="B53288" s="7"/>
    </row>
    <row r="53289" ht="15.75" customHeight="1">
      <c r="A53289" s="7"/>
      <c r="B53289" s="7"/>
    </row>
    <row r="53290" ht="15.75" customHeight="1">
      <c r="A53290" s="7"/>
      <c r="B53290" s="7"/>
    </row>
    <row r="53291" ht="15.75" customHeight="1">
      <c r="A53291" s="7"/>
      <c r="B53291" s="7"/>
    </row>
    <row r="53292" ht="15.75" customHeight="1">
      <c r="A53292" s="7"/>
      <c r="B53292" s="7"/>
    </row>
    <row r="53293" ht="15.75" customHeight="1">
      <c r="A53293" s="7"/>
      <c r="B53293" s="7"/>
    </row>
    <row r="53294" ht="15.75" customHeight="1">
      <c r="A53294" s="7"/>
      <c r="B53294" s="7"/>
    </row>
    <row r="53295" ht="15.75" customHeight="1">
      <c r="A53295" s="7"/>
      <c r="B53295" s="7"/>
    </row>
    <row r="53296" ht="15.75" customHeight="1">
      <c r="A53296" s="7"/>
      <c r="B53296" s="7"/>
    </row>
    <row r="53297" ht="15.75" customHeight="1">
      <c r="A53297" s="7"/>
      <c r="B53297" s="7"/>
    </row>
    <row r="53298" ht="15.75" customHeight="1">
      <c r="A53298" s="7"/>
      <c r="B53298" s="7"/>
    </row>
    <row r="53299" ht="15.75" customHeight="1">
      <c r="A53299" s="7"/>
      <c r="B53299" s="7"/>
    </row>
    <row r="53300" ht="15.75" customHeight="1">
      <c r="A53300" s="7"/>
      <c r="B53300" s="7"/>
    </row>
    <row r="53301" ht="15.75" customHeight="1">
      <c r="A53301" s="7"/>
      <c r="B53301" s="7"/>
    </row>
    <row r="53302" ht="15.75" customHeight="1">
      <c r="A53302" s="7"/>
      <c r="B53302" s="7"/>
    </row>
    <row r="53303" ht="15.75" customHeight="1">
      <c r="A53303" s="7"/>
      <c r="B53303" s="7"/>
    </row>
    <row r="53304" ht="15.75" customHeight="1">
      <c r="A53304" s="7"/>
      <c r="B53304" s="7"/>
    </row>
    <row r="53305" ht="15.75" customHeight="1">
      <c r="A53305" s="7"/>
      <c r="B53305" s="7"/>
    </row>
    <row r="53306" ht="15.75" customHeight="1">
      <c r="A53306" s="7"/>
      <c r="B53306" s="7"/>
    </row>
    <row r="53307" ht="15.75" customHeight="1">
      <c r="A53307" s="7"/>
      <c r="B53307" s="7"/>
    </row>
    <row r="53308" ht="15.75" customHeight="1">
      <c r="A53308" s="7"/>
      <c r="B53308" s="7"/>
    </row>
    <row r="53309" ht="15.75" customHeight="1">
      <c r="A53309" s="7"/>
      <c r="B53309" s="7"/>
    </row>
    <row r="53310" ht="15.75" customHeight="1">
      <c r="A53310" s="7"/>
      <c r="B53310" s="7"/>
    </row>
    <row r="53311" ht="15.75" customHeight="1">
      <c r="A53311" s="7"/>
      <c r="B53311" s="7"/>
    </row>
    <row r="53312" ht="15.75" customHeight="1">
      <c r="A53312" s="7"/>
      <c r="B53312" s="7"/>
    </row>
    <row r="53313" ht="15.75" customHeight="1">
      <c r="A53313" s="7"/>
      <c r="B53313" s="7"/>
    </row>
    <row r="53314" ht="15.75" customHeight="1">
      <c r="A53314" s="7"/>
      <c r="B53314" s="7"/>
    </row>
    <row r="53315" ht="15.75" customHeight="1">
      <c r="A53315" s="7"/>
      <c r="B53315" s="7"/>
    </row>
    <row r="53316" ht="15.75" customHeight="1">
      <c r="A53316" s="7"/>
      <c r="B53316" s="7"/>
    </row>
    <row r="53317" ht="15.75" customHeight="1">
      <c r="A53317" s="7"/>
      <c r="B53317" s="7"/>
    </row>
    <row r="53318" ht="15.75" customHeight="1">
      <c r="A53318" s="7"/>
      <c r="B53318" s="7"/>
    </row>
    <row r="53319" ht="15.75" customHeight="1">
      <c r="A53319" s="7"/>
      <c r="B53319" s="7"/>
    </row>
    <row r="53320" ht="15.75" customHeight="1">
      <c r="A53320" s="7"/>
      <c r="B53320" s="7"/>
    </row>
    <row r="53321" ht="15.75" customHeight="1">
      <c r="A53321" s="7"/>
      <c r="B53321" s="7"/>
    </row>
    <row r="53322" ht="15.75" customHeight="1">
      <c r="A53322" s="7"/>
      <c r="B53322" s="7"/>
    </row>
    <row r="53323" ht="15.75" customHeight="1">
      <c r="A53323" s="7"/>
      <c r="B53323" s="7"/>
    </row>
    <row r="53324" ht="15.75" customHeight="1">
      <c r="A53324" s="7"/>
      <c r="B53324" s="7"/>
    </row>
    <row r="53325" ht="15.75" customHeight="1">
      <c r="A53325" s="7"/>
      <c r="B53325" s="7"/>
    </row>
    <row r="53326" ht="15.75" customHeight="1">
      <c r="A53326" s="7"/>
      <c r="B53326" s="7"/>
    </row>
    <row r="53327" ht="15.75" customHeight="1">
      <c r="A53327" s="7"/>
      <c r="B53327" s="7"/>
    </row>
    <row r="53328" ht="15.75" customHeight="1">
      <c r="A53328" s="7"/>
      <c r="B53328" s="7"/>
    </row>
    <row r="53329" ht="15.75" customHeight="1">
      <c r="A53329" s="7"/>
      <c r="B53329" s="7"/>
    </row>
    <row r="53330" ht="15.75" customHeight="1">
      <c r="A53330" s="7"/>
      <c r="B53330" s="7"/>
    </row>
    <row r="53331" ht="15.75" customHeight="1">
      <c r="A53331" s="7"/>
      <c r="B53331" s="7"/>
    </row>
    <row r="53332" ht="15.75" customHeight="1">
      <c r="A53332" s="7"/>
      <c r="B53332" s="7"/>
    </row>
    <row r="53333" ht="15.75" customHeight="1">
      <c r="A53333" s="7"/>
      <c r="B53333" s="7"/>
    </row>
    <row r="53334" ht="15.75" customHeight="1">
      <c r="A53334" s="7"/>
      <c r="B53334" s="7"/>
    </row>
    <row r="53335" ht="15.75" customHeight="1">
      <c r="A53335" s="7"/>
      <c r="B53335" s="7"/>
    </row>
    <row r="53336" ht="15.75" customHeight="1">
      <c r="A53336" s="7"/>
      <c r="B53336" s="7"/>
    </row>
    <row r="53337" ht="15.75" customHeight="1">
      <c r="A53337" s="7"/>
      <c r="B53337" s="7"/>
    </row>
    <row r="53338" ht="15.75" customHeight="1">
      <c r="A53338" s="7"/>
      <c r="B53338" s="7"/>
    </row>
    <row r="53339" ht="15.75" customHeight="1">
      <c r="A53339" s="7"/>
      <c r="B53339" s="7"/>
    </row>
    <row r="53340" ht="15.75" customHeight="1">
      <c r="A53340" s="7"/>
      <c r="B53340" s="7"/>
    </row>
    <row r="53341" ht="15.75" customHeight="1">
      <c r="A53341" s="7"/>
      <c r="B53341" s="7"/>
    </row>
    <row r="53342" ht="15.75" customHeight="1">
      <c r="A53342" s="7"/>
      <c r="B53342" s="7"/>
    </row>
    <row r="53343" ht="15.75" customHeight="1">
      <c r="A53343" s="7"/>
      <c r="B53343" s="7"/>
    </row>
    <row r="53344" ht="15.75" customHeight="1">
      <c r="A53344" s="7"/>
      <c r="B53344" s="7"/>
    </row>
    <row r="53345" ht="15.75" customHeight="1">
      <c r="A53345" s="7"/>
      <c r="B53345" s="7"/>
    </row>
    <row r="53346" ht="15.75" customHeight="1">
      <c r="A53346" s="7"/>
      <c r="B53346" s="7"/>
    </row>
    <row r="53347" ht="15.75" customHeight="1">
      <c r="A53347" s="7"/>
      <c r="B53347" s="7"/>
    </row>
    <row r="53348" ht="15.75" customHeight="1">
      <c r="A53348" s="7"/>
      <c r="B53348" s="7"/>
    </row>
    <row r="53349" ht="15.75" customHeight="1">
      <c r="A53349" s="7"/>
      <c r="B53349" s="7"/>
    </row>
    <row r="53350" ht="15.75" customHeight="1">
      <c r="A53350" s="7"/>
      <c r="B53350" s="7"/>
    </row>
    <row r="53351" ht="15.75" customHeight="1">
      <c r="A53351" s="7"/>
      <c r="B53351" s="7"/>
    </row>
    <row r="53352" ht="15.75" customHeight="1">
      <c r="A53352" s="7"/>
      <c r="B53352" s="7"/>
    </row>
    <row r="53353" ht="15.75" customHeight="1">
      <c r="A53353" s="7"/>
      <c r="B53353" s="7"/>
    </row>
    <row r="53354" ht="15.75" customHeight="1">
      <c r="A53354" s="7"/>
      <c r="B53354" s="7"/>
    </row>
    <row r="53355" ht="15.75" customHeight="1">
      <c r="A53355" s="7"/>
      <c r="B53355" s="7"/>
    </row>
    <row r="53356" ht="15.75" customHeight="1">
      <c r="A53356" s="7"/>
      <c r="B53356" s="7"/>
    </row>
    <row r="53357" ht="15.75" customHeight="1">
      <c r="A53357" s="7"/>
      <c r="B53357" s="7"/>
    </row>
    <row r="53358" ht="15.75" customHeight="1">
      <c r="A53358" s="7"/>
      <c r="B53358" s="7"/>
    </row>
    <row r="53359" ht="15.75" customHeight="1">
      <c r="A53359" s="7"/>
      <c r="B53359" s="7"/>
    </row>
    <row r="53360" ht="15.75" customHeight="1">
      <c r="A53360" s="7"/>
      <c r="B53360" s="7"/>
    </row>
    <row r="53361" ht="15.75" customHeight="1">
      <c r="A53361" s="7"/>
      <c r="B53361" s="7"/>
    </row>
    <row r="53362" ht="15.75" customHeight="1">
      <c r="A53362" s="7"/>
      <c r="B53362" s="7"/>
    </row>
    <row r="53363" ht="15.75" customHeight="1">
      <c r="A53363" s="7"/>
      <c r="B53363" s="7"/>
    </row>
    <row r="53364" ht="15.75" customHeight="1">
      <c r="A53364" s="7"/>
      <c r="B53364" s="7"/>
    </row>
    <row r="53365" ht="15.75" customHeight="1">
      <c r="A53365" s="7"/>
      <c r="B53365" s="7"/>
    </row>
    <row r="53366" ht="15.75" customHeight="1">
      <c r="A53366" s="7"/>
      <c r="B53366" s="7"/>
    </row>
    <row r="53367" ht="15.75" customHeight="1">
      <c r="A53367" s="7"/>
      <c r="B53367" s="7"/>
    </row>
    <row r="53368" ht="15.75" customHeight="1">
      <c r="A53368" s="7"/>
      <c r="B53368" s="7"/>
    </row>
    <row r="53369" ht="15.75" customHeight="1">
      <c r="A53369" s="7"/>
      <c r="B53369" s="7"/>
    </row>
    <row r="53370" ht="15.75" customHeight="1">
      <c r="A53370" s="7"/>
      <c r="B53370" s="7"/>
    </row>
    <row r="53371" ht="15.75" customHeight="1">
      <c r="A53371" s="7"/>
      <c r="B53371" s="7"/>
    </row>
    <row r="53372" ht="15.75" customHeight="1">
      <c r="A53372" s="7"/>
      <c r="B53372" s="7"/>
    </row>
    <row r="53373" ht="15.75" customHeight="1">
      <c r="A53373" s="7"/>
      <c r="B53373" s="7"/>
    </row>
    <row r="53374" ht="15.75" customHeight="1">
      <c r="A53374" s="7"/>
      <c r="B53374" s="7"/>
    </row>
    <row r="53375" ht="15.75" customHeight="1">
      <c r="A53375" s="7"/>
      <c r="B53375" s="7"/>
    </row>
    <row r="53376" ht="15.75" customHeight="1">
      <c r="A53376" s="7"/>
      <c r="B53376" s="7"/>
    </row>
    <row r="53377" ht="15.75" customHeight="1">
      <c r="A53377" s="7"/>
      <c r="B53377" s="7"/>
    </row>
    <row r="53378" ht="15.75" customHeight="1">
      <c r="A53378" s="7"/>
      <c r="B53378" s="7"/>
    </row>
    <row r="53379" ht="15.75" customHeight="1">
      <c r="A53379" s="7"/>
      <c r="B53379" s="7"/>
    </row>
    <row r="53380" ht="15.75" customHeight="1">
      <c r="A53380" s="7"/>
      <c r="B53380" s="7"/>
    </row>
    <row r="53381" ht="15.75" customHeight="1">
      <c r="A53381" s="7"/>
      <c r="B53381" s="7"/>
    </row>
    <row r="53382" ht="15.75" customHeight="1">
      <c r="A53382" s="7"/>
      <c r="B53382" s="7"/>
    </row>
    <row r="53383" ht="15.75" customHeight="1">
      <c r="A53383" s="7"/>
      <c r="B53383" s="7"/>
    </row>
    <row r="53384" ht="15.75" customHeight="1">
      <c r="A53384" s="7"/>
      <c r="B53384" s="7"/>
    </row>
    <row r="53385" ht="15.75" customHeight="1">
      <c r="A53385" s="7"/>
      <c r="B53385" s="7"/>
    </row>
    <row r="53386" ht="15.75" customHeight="1">
      <c r="A53386" s="7"/>
      <c r="B53386" s="7"/>
    </row>
    <row r="53387" ht="15.75" customHeight="1">
      <c r="A53387" s="7"/>
      <c r="B53387" s="7"/>
    </row>
    <row r="53388" ht="15.75" customHeight="1">
      <c r="A53388" s="7"/>
      <c r="B53388" s="7"/>
    </row>
    <row r="53389" ht="15.75" customHeight="1">
      <c r="A53389" s="7"/>
      <c r="B53389" s="7"/>
    </row>
    <row r="53390" ht="15.75" customHeight="1">
      <c r="A53390" s="7"/>
      <c r="B53390" s="7"/>
    </row>
    <row r="53391" ht="15.75" customHeight="1">
      <c r="A53391" s="7"/>
      <c r="B53391" s="7"/>
    </row>
    <row r="53392" ht="15.75" customHeight="1">
      <c r="A53392" s="7"/>
      <c r="B53392" s="7"/>
    </row>
    <row r="53393" ht="15.75" customHeight="1">
      <c r="A53393" s="7"/>
      <c r="B53393" s="7"/>
    </row>
    <row r="53394" ht="15.75" customHeight="1">
      <c r="A53394" s="7"/>
      <c r="B53394" s="7"/>
    </row>
    <row r="53395" ht="15.75" customHeight="1">
      <c r="A53395" s="7"/>
      <c r="B53395" s="7"/>
    </row>
    <row r="53396" ht="15.75" customHeight="1">
      <c r="A53396" s="7"/>
      <c r="B53396" s="7"/>
    </row>
    <row r="53397" ht="15.75" customHeight="1">
      <c r="A53397" s="7"/>
      <c r="B53397" s="7"/>
    </row>
    <row r="53398" ht="15.75" customHeight="1">
      <c r="A53398" s="7"/>
      <c r="B53398" s="7"/>
    </row>
    <row r="53399" ht="15.75" customHeight="1">
      <c r="A53399" s="7"/>
      <c r="B53399" s="7"/>
    </row>
    <row r="53400" ht="15.75" customHeight="1">
      <c r="A53400" s="7"/>
      <c r="B53400" s="7"/>
    </row>
    <row r="53401" ht="15.75" customHeight="1">
      <c r="A53401" s="7"/>
      <c r="B53401" s="7"/>
    </row>
    <row r="53402" ht="15.75" customHeight="1">
      <c r="A53402" s="7"/>
      <c r="B53402" s="7"/>
    </row>
    <row r="53403" ht="15.75" customHeight="1">
      <c r="A53403" s="7"/>
      <c r="B53403" s="7"/>
    </row>
    <row r="53404" ht="15.75" customHeight="1">
      <c r="A53404" s="7"/>
      <c r="B53404" s="7"/>
    </row>
    <row r="53405" ht="15.75" customHeight="1">
      <c r="A53405" s="7"/>
      <c r="B53405" s="7"/>
    </row>
    <row r="53406" ht="15.75" customHeight="1">
      <c r="A53406" s="7"/>
      <c r="B53406" s="7"/>
    </row>
    <row r="53407" ht="15.75" customHeight="1">
      <c r="A53407" s="7"/>
      <c r="B53407" s="7"/>
    </row>
    <row r="53408" ht="15.75" customHeight="1">
      <c r="A53408" s="7"/>
      <c r="B53408" s="7"/>
    </row>
    <row r="53409" ht="15.75" customHeight="1">
      <c r="A53409" s="7"/>
      <c r="B53409" s="7"/>
    </row>
    <row r="53410" ht="15.75" customHeight="1">
      <c r="A53410" s="7"/>
      <c r="B53410" s="7"/>
    </row>
    <row r="53411" ht="15.75" customHeight="1">
      <c r="A53411" s="7"/>
      <c r="B53411" s="7"/>
    </row>
    <row r="53412" ht="15.75" customHeight="1">
      <c r="A53412" s="7"/>
      <c r="B53412" s="7"/>
    </row>
    <row r="53413" ht="15.75" customHeight="1">
      <c r="A53413" s="7"/>
      <c r="B53413" s="7"/>
    </row>
    <row r="53414" ht="15.75" customHeight="1">
      <c r="A53414" s="7"/>
      <c r="B53414" s="7"/>
    </row>
    <row r="53415" ht="15.75" customHeight="1">
      <c r="A53415" s="7"/>
      <c r="B53415" s="7"/>
    </row>
    <row r="53416" ht="15.75" customHeight="1">
      <c r="A53416" s="7"/>
      <c r="B53416" s="7"/>
    </row>
    <row r="53417" ht="15.75" customHeight="1">
      <c r="A53417" s="7"/>
      <c r="B53417" s="7"/>
    </row>
    <row r="53418" ht="15.75" customHeight="1">
      <c r="A53418" s="7"/>
      <c r="B53418" s="7"/>
    </row>
    <row r="53419" ht="15.75" customHeight="1">
      <c r="A53419" s="7"/>
      <c r="B53419" s="7"/>
    </row>
    <row r="53420" ht="15.75" customHeight="1">
      <c r="A53420" s="7"/>
      <c r="B53420" s="7"/>
    </row>
    <row r="53421" ht="15.75" customHeight="1">
      <c r="A53421" s="7"/>
      <c r="B53421" s="7"/>
    </row>
    <row r="53422" ht="15.75" customHeight="1">
      <c r="A53422" s="7"/>
      <c r="B53422" s="7"/>
    </row>
    <row r="53423" ht="15.75" customHeight="1">
      <c r="A53423" s="7"/>
      <c r="B53423" s="7"/>
    </row>
    <row r="53424" ht="15.75" customHeight="1">
      <c r="A53424" s="7"/>
      <c r="B53424" s="7"/>
    </row>
    <row r="53425" ht="15.75" customHeight="1">
      <c r="A53425" s="7"/>
      <c r="B53425" s="7"/>
    </row>
    <row r="53426" ht="15.75" customHeight="1">
      <c r="A53426" s="7"/>
      <c r="B53426" s="7"/>
    </row>
    <row r="53427" ht="15.75" customHeight="1">
      <c r="A53427" s="7"/>
      <c r="B53427" s="7"/>
    </row>
    <row r="53428" ht="15.75" customHeight="1">
      <c r="A53428" s="7"/>
      <c r="B53428" s="7"/>
    </row>
    <row r="53429" ht="15.75" customHeight="1">
      <c r="A53429" s="7"/>
      <c r="B53429" s="7"/>
    </row>
    <row r="53430" ht="15.75" customHeight="1">
      <c r="A53430" s="7"/>
      <c r="B53430" s="7"/>
    </row>
    <row r="53431" ht="15.75" customHeight="1">
      <c r="A53431" s="7"/>
      <c r="B53431" s="7"/>
    </row>
    <row r="53432" ht="15.75" customHeight="1">
      <c r="A53432" s="7"/>
      <c r="B53432" s="7"/>
    </row>
    <row r="53433" ht="15.75" customHeight="1">
      <c r="A53433" s="7"/>
      <c r="B53433" s="7"/>
    </row>
    <row r="53434" ht="15.75" customHeight="1">
      <c r="A53434" s="7"/>
      <c r="B53434" s="7"/>
    </row>
    <row r="53435" ht="15.75" customHeight="1">
      <c r="A53435" s="7"/>
      <c r="B53435" s="7"/>
    </row>
    <row r="53436" ht="15.75" customHeight="1">
      <c r="A53436" s="7"/>
      <c r="B53436" s="7"/>
    </row>
    <row r="53437" ht="15.75" customHeight="1">
      <c r="A53437" s="7"/>
      <c r="B53437" s="7"/>
    </row>
    <row r="53438" ht="15.75" customHeight="1">
      <c r="A53438" s="7"/>
      <c r="B53438" s="7"/>
    </row>
    <row r="53439" ht="15.75" customHeight="1">
      <c r="A53439" s="7"/>
      <c r="B53439" s="7"/>
    </row>
    <row r="53440" ht="15.75" customHeight="1">
      <c r="A53440" s="7"/>
      <c r="B53440" s="7"/>
    </row>
    <row r="53441" ht="15.75" customHeight="1">
      <c r="A53441" s="7"/>
      <c r="B53441" s="7"/>
    </row>
    <row r="53442" ht="15.75" customHeight="1">
      <c r="A53442" s="7"/>
      <c r="B53442" s="7"/>
    </row>
    <row r="53443" ht="15.75" customHeight="1">
      <c r="A53443" s="7"/>
      <c r="B53443" s="7"/>
    </row>
    <row r="53444" ht="15.75" customHeight="1">
      <c r="A53444" s="7"/>
      <c r="B53444" s="7"/>
    </row>
    <row r="53445" ht="15.75" customHeight="1">
      <c r="A53445" s="7"/>
      <c r="B53445" s="7"/>
    </row>
    <row r="53446" ht="15.75" customHeight="1">
      <c r="A53446" s="7"/>
      <c r="B53446" s="7"/>
    </row>
    <row r="53447" ht="15.75" customHeight="1">
      <c r="A53447" s="7"/>
      <c r="B53447" s="7"/>
    </row>
    <row r="53448" ht="15.75" customHeight="1">
      <c r="A53448" s="7"/>
      <c r="B53448" s="7"/>
    </row>
    <row r="53449" ht="15.75" customHeight="1">
      <c r="A53449" s="7"/>
      <c r="B53449" s="7"/>
    </row>
    <row r="53450" ht="15.75" customHeight="1">
      <c r="A53450" s="7"/>
      <c r="B53450" s="7"/>
    </row>
    <row r="53451" ht="15.75" customHeight="1">
      <c r="A53451" s="7"/>
      <c r="B53451" s="7"/>
    </row>
    <row r="53452" ht="15.75" customHeight="1">
      <c r="A53452" s="7"/>
      <c r="B53452" s="7"/>
    </row>
    <row r="53453" ht="15.75" customHeight="1">
      <c r="A53453" s="7"/>
      <c r="B53453" s="7"/>
    </row>
    <row r="53454" ht="15.75" customHeight="1">
      <c r="A53454" s="7"/>
      <c r="B53454" s="7"/>
    </row>
    <row r="53455" ht="15.75" customHeight="1">
      <c r="A53455" s="7"/>
      <c r="B53455" s="7"/>
    </row>
    <row r="53456" ht="15.75" customHeight="1">
      <c r="A53456" s="7"/>
      <c r="B53456" s="7"/>
    </row>
    <row r="53457" ht="15.75" customHeight="1">
      <c r="A53457" s="7"/>
      <c r="B53457" s="7"/>
    </row>
    <row r="53458" ht="15.75" customHeight="1">
      <c r="A53458" s="7"/>
      <c r="B53458" s="7"/>
    </row>
    <row r="53459" ht="15.75" customHeight="1">
      <c r="A53459" s="7"/>
      <c r="B53459" s="7"/>
    </row>
    <row r="53460" ht="15.75" customHeight="1">
      <c r="A53460" s="7"/>
      <c r="B53460" s="7"/>
    </row>
    <row r="53461" ht="15.75" customHeight="1">
      <c r="A53461" s="7"/>
      <c r="B53461" s="7"/>
    </row>
    <row r="53462" ht="15.75" customHeight="1">
      <c r="A53462" s="7"/>
      <c r="B53462" s="7"/>
    </row>
    <row r="53463" ht="15.75" customHeight="1">
      <c r="A53463" s="7"/>
      <c r="B53463" s="7"/>
    </row>
    <row r="53464" ht="15.75" customHeight="1">
      <c r="A53464" s="7"/>
      <c r="B53464" s="7"/>
    </row>
    <row r="53465" ht="15.75" customHeight="1">
      <c r="A53465" s="7"/>
      <c r="B53465" s="7"/>
    </row>
    <row r="53466" ht="15.75" customHeight="1">
      <c r="A53466" s="7"/>
      <c r="B53466" s="7"/>
    </row>
    <row r="53467" ht="15.75" customHeight="1">
      <c r="A53467" s="7"/>
      <c r="B53467" s="7"/>
    </row>
    <row r="53468" ht="15.75" customHeight="1">
      <c r="A53468" s="7"/>
      <c r="B53468" s="7"/>
    </row>
    <row r="53469" ht="15.75" customHeight="1">
      <c r="A53469" s="7"/>
      <c r="B53469" s="7"/>
    </row>
    <row r="53470" ht="15.75" customHeight="1">
      <c r="A53470" s="7"/>
      <c r="B53470" s="7"/>
    </row>
    <row r="53471" ht="15.75" customHeight="1">
      <c r="A53471" s="7"/>
      <c r="B53471" s="7"/>
    </row>
    <row r="53472" ht="15.75" customHeight="1">
      <c r="A53472" s="7"/>
      <c r="B53472" s="7"/>
    </row>
    <row r="53473" ht="15.75" customHeight="1">
      <c r="A53473" s="7"/>
      <c r="B53473" s="7"/>
    </row>
    <row r="53474" ht="15.75" customHeight="1">
      <c r="A53474" s="7"/>
      <c r="B53474" s="7"/>
    </row>
    <row r="53475" ht="15.75" customHeight="1">
      <c r="A53475" s="7"/>
      <c r="B53475" s="7"/>
    </row>
    <row r="53476" ht="15.75" customHeight="1">
      <c r="A53476" s="7"/>
      <c r="B53476" s="7"/>
    </row>
    <row r="53477" ht="15.75" customHeight="1">
      <c r="A53477" s="7"/>
      <c r="B53477" s="7"/>
    </row>
    <row r="53478" ht="15.75" customHeight="1">
      <c r="A53478" s="7"/>
      <c r="B53478" s="7"/>
    </row>
    <row r="53479" ht="15.75" customHeight="1">
      <c r="A53479" s="7"/>
      <c r="B53479" s="7"/>
    </row>
    <row r="53480" ht="15.75" customHeight="1">
      <c r="A53480" s="7"/>
      <c r="B53480" s="7"/>
    </row>
    <row r="53481" ht="15.75" customHeight="1">
      <c r="A53481" s="7"/>
      <c r="B53481" s="7"/>
    </row>
    <row r="53482" ht="15.75" customHeight="1">
      <c r="A53482" s="7"/>
      <c r="B53482" s="7"/>
    </row>
    <row r="53483" ht="15.75" customHeight="1">
      <c r="A53483" s="7"/>
      <c r="B53483" s="7"/>
    </row>
    <row r="53484" ht="15.75" customHeight="1">
      <c r="A53484" s="7"/>
      <c r="B53484" s="7"/>
    </row>
    <row r="53485" ht="15.75" customHeight="1">
      <c r="A53485" s="7"/>
      <c r="B53485" s="7"/>
    </row>
    <row r="53486" ht="15.75" customHeight="1">
      <c r="A53486" s="7"/>
      <c r="B53486" s="7"/>
    </row>
    <row r="53487" ht="15.75" customHeight="1">
      <c r="A53487" s="7"/>
      <c r="B53487" s="7"/>
    </row>
    <row r="53488" ht="15.75" customHeight="1">
      <c r="A53488" s="7"/>
      <c r="B53488" s="7"/>
    </row>
    <row r="53489" ht="15.75" customHeight="1">
      <c r="A53489" s="7"/>
      <c r="B53489" s="7"/>
    </row>
    <row r="53490" ht="15.75" customHeight="1">
      <c r="A53490" s="7"/>
      <c r="B53490" s="7"/>
    </row>
    <row r="53491" ht="15.75" customHeight="1">
      <c r="A53491" s="7"/>
      <c r="B53491" s="7"/>
    </row>
    <row r="53492" ht="15.75" customHeight="1">
      <c r="A53492" s="7"/>
      <c r="B53492" s="7"/>
    </row>
    <row r="53493" ht="15.75" customHeight="1">
      <c r="A53493" s="7"/>
      <c r="B53493" s="7"/>
    </row>
    <row r="53494" ht="15.75" customHeight="1">
      <c r="A53494" s="7"/>
      <c r="B53494" s="7"/>
    </row>
    <row r="53495" ht="15.75" customHeight="1">
      <c r="A53495" s="7"/>
      <c r="B53495" s="7"/>
    </row>
    <row r="53496" ht="15.75" customHeight="1">
      <c r="A53496" s="7"/>
      <c r="B53496" s="7"/>
    </row>
    <row r="53497" ht="15.75" customHeight="1">
      <c r="A53497" s="7"/>
      <c r="B53497" s="7"/>
    </row>
    <row r="53498" ht="15.75" customHeight="1">
      <c r="A53498" s="7"/>
      <c r="B53498" s="7"/>
    </row>
    <row r="53499" ht="15.75" customHeight="1">
      <c r="A53499" s="7"/>
      <c r="B53499" s="7"/>
    </row>
    <row r="53500" ht="15.75" customHeight="1">
      <c r="A53500" s="7"/>
      <c r="B53500" s="7"/>
    </row>
    <row r="53501" ht="15.75" customHeight="1">
      <c r="A53501" s="7"/>
      <c r="B53501" s="7"/>
    </row>
    <row r="53502" ht="15.75" customHeight="1">
      <c r="A53502" s="7"/>
      <c r="B53502" s="7"/>
    </row>
    <row r="53503" ht="15.75" customHeight="1">
      <c r="A53503" s="7"/>
      <c r="B53503" s="7"/>
    </row>
    <row r="53504" ht="15.75" customHeight="1">
      <c r="A53504" s="7"/>
      <c r="B53504" s="7"/>
    </row>
    <row r="53505" ht="15.75" customHeight="1">
      <c r="A53505" s="7"/>
      <c r="B53505" s="7"/>
    </row>
    <row r="53506" ht="15.75" customHeight="1">
      <c r="A53506" s="7"/>
      <c r="B53506" s="7"/>
    </row>
    <row r="53507" ht="15.75" customHeight="1">
      <c r="A53507" s="7"/>
      <c r="B53507" s="7"/>
    </row>
    <row r="53508" ht="15.75" customHeight="1">
      <c r="A53508" s="7"/>
      <c r="B53508" s="7"/>
    </row>
    <row r="53509" ht="15.75" customHeight="1">
      <c r="A53509" s="7"/>
      <c r="B53509" s="7"/>
    </row>
    <row r="53510" ht="15.75" customHeight="1">
      <c r="A53510" s="7"/>
      <c r="B53510" s="7"/>
    </row>
    <row r="53511" ht="15.75" customHeight="1">
      <c r="A53511" s="7"/>
      <c r="B53511" s="7"/>
    </row>
    <row r="53512" ht="15.75" customHeight="1">
      <c r="A53512" s="7"/>
      <c r="B53512" s="7"/>
    </row>
    <row r="53513" ht="15.75" customHeight="1">
      <c r="A53513" s="7"/>
      <c r="B53513" s="7"/>
    </row>
    <row r="53514" ht="15.75" customHeight="1">
      <c r="A53514" s="7"/>
      <c r="B53514" s="7"/>
    </row>
    <row r="53515" ht="15.75" customHeight="1">
      <c r="A53515" s="7"/>
      <c r="B53515" s="7"/>
    </row>
    <row r="53516" ht="15.75" customHeight="1">
      <c r="A53516" s="7"/>
      <c r="B53516" s="7"/>
    </row>
    <row r="53517" ht="15.75" customHeight="1">
      <c r="A53517" s="7"/>
      <c r="B53517" s="7"/>
    </row>
    <row r="53518" ht="15.75" customHeight="1">
      <c r="A53518" s="7"/>
      <c r="B53518" s="7"/>
    </row>
    <row r="53519" ht="15.75" customHeight="1">
      <c r="A53519" s="7"/>
      <c r="B53519" s="7"/>
    </row>
    <row r="53520" ht="15.75" customHeight="1">
      <c r="A53520" s="7"/>
      <c r="B53520" s="7"/>
    </row>
    <row r="53521" ht="15.75" customHeight="1">
      <c r="A53521" s="7"/>
      <c r="B53521" s="7"/>
    </row>
    <row r="53522" ht="15.75" customHeight="1">
      <c r="A53522" s="7"/>
      <c r="B53522" s="7"/>
    </row>
    <row r="53523" ht="15.75" customHeight="1">
      <c r="A53523" s="7"/>
      <c r="B53523" s="7"/>
    </row>
    <row r="53524" ht="15.75" customHeight="1">
      <c r="A53524" s="7"/>
      <c r="B53524" s="7"/>
    </row>
    <row r="53525" ht="15.75" customHeight="1">
      <c r="A53525" s="7"/>
      <c r="B53525" s="7"/>
    </row>
    <row r="53526" ht="15.75" customHeight="1">
      <c r="A53526" s="7"/>
      <c r="B53526" s="7"/>
    </row>
    <row r="53527" ht="15.75" customHeight="1">
      <c r="A53527" s="7"/>
      <c r="B53527" s="7"/>
    </row>
    <row r="53528" ht="15.75" customHeight="1">
      <c r="A53528" s="7"/>
      <c r="B53528" s="7"/>
    </row>
    <row r="53529" ht="15.75" customHeight="1">
      <c r="A53529" s="7"/>
      <c r="B53529" s="7"/>
    </row>
    <row r="53530" ht="15.75" customHeight="1">
      <c r="A53530" s="7"/>
      <c r="B53530" s="7"/>
    </row>
    <row r="53531" ht="15.75" customHeight="1">
      <c r="A53531" s="7"/>
      <c r="B53531" s="7"/>
    </row>
    <row r="53532" ht="15.75" customHeight="1">
      <c r="A53532" s="7"/>
      <c r="B53532" s="7"/>
    </row>
    <row r="53533" ht="15.75" customHeight="1">
      <c r="A53533" s="7"/>
      <c r="B53533" s="7"/>
    </row>
    <row r="53534" ht="15.75" customHeight="1">
      <c r="A53534" s="7"/>
      <c r="B53534" s="7"/>
    </row>
    <row r="53535" ht="15.75" customHeight="1">
      <c r="A53535" s="7"/>
      <c r="B53535" s="7"/>
    </row>
    <row r="53536" ht="15.75" customHeight="1">
      <c r="A53536" s="7"/>
      <c r="B53536" s="7"/>
    </row>
    <row r="53537" ht="15.75" customHeight="1">
      <c r="A53537" s="7"/>
      <c r="B53537" s="7"/>
    </row>
    <row r="53538" ht="15.75" customHeight="1">
      <c r="A53538" s="7"/>
      <c r="B53538" s="7"/>
    </row>
    <row r="53539" ht="15.75" customHeight="1">
      <c r="A53539" s="7"/>
      <c r="B53539" s="7"/>
    </row>
    <row r="53540" ht="15.75" customHeight="1">
      <c r="A53540" s="7"/>
      <c r="B53540" s="7"/>
    </row>
    <row r="53541" ht="15.75" customHeight="1">
      <c r="A53541" s="7"/>
      <c r="B53541" s="7"/>
    </row>
    <row r="53542" ht="15.75" customHeight="1">
      <c r="A53542" s="7"/>
      <c r="B53542" s="7"/>
    </row>
    <row r="53543" ht="15.75" customHeight="1">
      <c r="A53543" s="7"/>
      <c r="B53543" s="7"/>
    </row>
    <row r="53544" ht="15.75" customHeight="1">
      <c r="A53544" s="7"/>
      <c r="B53544" s="7"/>
    </row>
    <row r="53545" ht="15.75" customHeight="1">
      <c r="A53545" s="7"/>
      <c r="B53545" s="7"/>
    </row>
    <row r="53546" ht="15.75" customHeight="1">
      <c r="A53546" s="7"/>
      <c r="B53546" s="7"/>
    </row>
    <row r="53547" ht="15.75" customHeight="1">
      <c r="A53547" s="7"/>
      <c r="B53547" s="7"/>
    </row>
    <row r="53548" ht="15.75" customHeight="1">
      <c r="A53548" s="7"/>
      <c r="B53548" s="7"/>
    </row>
    <row r="53549" ht="15.75" customHeight="1">
      <c r="A53549" s="7"/>
      <c r="B53549" s="7"/>
    </row>
    <row r="53550" ht="15.75" customHeight="1">
      <c r="A53550" s="7"/>
      <c r="B53550" s="7"/>
    </row>
    <row r="53551" ht="15.75" customHeight="1">
      <c r="A53551" s="7"/>
      <c r="B53551" s="7"/>
    </row>
    <row r="53552" ht="15.75" customHeight="1">
      <c r="A53552" s="7"/>
      <c r="B53552" s="7"/>
    </row>
    <row r="53553" ht="15.75" customHeight="1">
      <c r="A53553" s="7"/>
      <c r="B53553" s="7"/>
    </row>
    <row r="53554" ht="15.75" customHeight="1">
      <c r="A53554" s="7"/>
      <c r="B53554" s="7"/>
    </row>
    <row r="53555" ht="15.75" customHeight="1">
      <c r="A53555" s="7"/>
      <c r="B53555" s="7"/>
    </row>
    <row r="53556" ht="15.75" customHeight="1">
      <c r="A53556" s="7"/>
      <c r="B53556" s="7"/>
    </row>
    <row r="53557" ht="15.75" customHeight="1">
      <c r="A53557" s="7"/>
      <c r="B53557" s="7"/>
    </row>
    <row r="53558" ht="15.75" customHeight="1">
      <c r="A53558" s="7"/>
      <c r="B53558" s="7"/>
    </row>
    <row r="53559" ht="15.75" customHeight="1">
      <c r="A53559" s="7"/>
      <c r="B53559" s="7"/>
    </row>
    <row r="53560" ht="15.75" customHeight="1">
      <c r="A53560" s="7"/>
      <c r="B53560" s="7"/>
    </row>
    <row r="53561" ht="15.75" customHeight="1">
      <c r="A53561" s="7"/>
      <c r="B53561" s="7"/>
    </row>
    <row r="53562" ht="15.75" customHeight="1">
      <c r="A53562" s="7"/>
      <c r="B53562" s="7"/>
    </row>
    <row r="53563" ht="15.75" customHeight="1">
      <c r="A53563" s="7"/>
      <c r="B53563" s="7"/>
    </row>
    <row r="53564" ht="15.75" customHeight="1">
      <c r="A53564" s="7"/>
      <c r="B53564" s="7"/>
    </row>
    <row r="53565" ht="15.75" customHeight="1">
      <c r="A53565" s="7"/>
      <c r="B53565" s="7"/>
    </row>
    <row r="53566" ht="15.75" customHeight="1">
      <c r="A53566" s="7"/>
      <c r="B53566" s="7"/>
    </row>
    <row r="53567" ht="15.75" customHeight="1">
      <c r="A53567" s="7"/>
      <c r="B53567" s="7"/>
    </row>
    <row r="53568" ht="15.75" customHeight="1">
      <c r="A53568" s="7"/>
      <c r="B53568" s="7"/>
    </row>
    <row r="53569" ht="15.75" customHeight="1">
      <c r="A53569" s="7"/>
      <c r="B53569" s="7"/>
    </row>
    <row r="53570" ht="15.75" customHeight="1">
      <c r="A53570" s="7"/>
      <c r="B53570" s="7"/>
    </row>
    <row r="53571" ht="15.75" customHeight="1">
      <c r="A53571" s="7"/>
      <c r="B53571" s="7"/>
    </row>
    <row r="53572" ht="15.75" customHeight="1">
      <c r="A53572" s="7"/>
      <c r="B53572" s="7"/>
    </row>
    <row r="53573" ht="15.75" customHeight="1">
      <c r="A53573" s="7"/>
      <c r="B53573" s="7"/>
    </row>
    <row r="53574" ht="15.75" customHeight="1">
      <c r="A53574" s="7"/>
      <c r="B53574" s="7"/>
    </row>
    <row r="53575" ht="15.75" customHeight="1">
      <c r="A53575" s="7"/>
      <c r="B53575" s="7"/>
    </row>
    <row r="53576" ht="15.75" customHeight="1">
      <c r="A53576" s="7"/>
      <c r="B53576" s="7"/>
    </row>
    <row r="53577" ht="15.75" customHeight="1">
      <c r="A53577" s="7"/>
      <c r="B53577" s="7"/>
    </row>
    <row r="53578" ht="15.75" customHeight="1">
      <c r="A53578" s="7"/>
      <c r="B53578" s="7"/>
    </row>
    <row r="53579" ht="15.75" customHeight="1">
      <c r="A53579" s="7"/>
      <c r="B53579" s="7"/>
    </row>
    <row r="53580" ht="15.75" customHeight="1">
      <c r="A53580" s="7"/>
      <c r="B53580" s="7"/>
    </row>
    <row r="53581" ht="15.75" customHeight="1">
      <c r="A53581" s="7"/>
      <c r="B53581" s="7"/>
    </row>
    <row r="53582" ht="15.75" customHeight="1">
      <c r="A53582" s="7"/>
      <c r="B53582" s="7"/>
    </row>
    <row r="53583" ht="15.75" customHeight="1">
      <c r="A53583" s="7"/>
      <c r="B53583" s="7"/>
    </row>
    <row r="53584" ht="15.75" customHeight="1">
      <c r="A53584" s="7"/>
      <c r="B53584" s="7"/>
    </row>
    <row r="53585" ht="15.75" customHeight="1">
      <c r="A53585" s="7"/>
      <c r="B53585" s="7"/>
    </row>
    <row r="53586" ht="15.75" customHeight="1">
      <c r="A53586" s="7"/>
      <c r="B53586" s="7"/>
    </row>
    <row r="53587" ht="15.75" customHeight="1">
      <c r="A53587" s="7"/>
      <c r="B53587" s="7"/>
    </row>
    <row r="53588" ht="15.75" customHeight="1">
      <c r="A53588" s="7"/>
      <c r="B53588" s="7"/>
    </row>
    <row r="53589" ht="15.75" customHeight="1">
      <c r="A53589" s="7"/>
      <c r="B53589" s="7"/>
    </row>
    <row r="53590" ht="15.75" customHeight="1">
      <c r="A53590" s="7"/>
      <c r="B53590" s="7"/>
    </row>
    <row r="53591" ht="15.75" customHeight="1">
      <c r="A53591" s="7"/>
      <c r="B53591" s="7"/>
    </row>
    <row r="53592" ht="15.75" customHeight="1">
      <c r="A53592" s="7"/>
      <c r="B53592" s="7"/>
    </row>
    <row r="53593" ht="15.75" customHeight="1">
      <c r="A53593" s="7"/>
      <c r="B53593" s="7"/>
    </row>
    <row r="53594" ht="15.75" customHeight="1">
      <c r="A53594" s="7"/>
      <c r="B53594" s="7"/>
    </row>
    <row r="53595" ht="15.75" customHeight="1">
      <c r="A53595" s="7"/>
      <c r="B53595" s="7"/>
    </row>
    <row r="53596" ht="15.75" customHeight="1">
      <c r="A53596" s="7"/>
      <c r="B53596" s="7"/>
    </row>
    <row r="53597" ht="15.75" customHeight="1">
      <c r="A53597" s="7"/>
      <c r="B53597" s="7"/>
    </row>
    <row r="53598" ht="15.75" customHeight="1">
      <c r="A53598" s="7"/>
      <c r="B53598" s="7"/>
    </row>
    <row r="53599" ht="15.75" customHeight="1">
      <c r="A53599" s="7"/>
      <c r="B53599" s="7"/>
    </row>
    <row r="53600" ht="15.75" customHeight="1">
      <c r="A53600" s="7"/>
      <c r="B53600" s="7"/>
    </row>
    <row r="53601" ht="15.75" customHeight="1">
      <c r="A53601" s="7"/>
      <c r="B53601" s="7"/>
    </row>
    <row r="53602" ht="15.75" customHeight="1">
      <c r="A53602" s="7"/>
      <c r="B53602" s="7"/>
    </row>
    <row r="53603" ht="15.75" customHeight="1">
      <c r="A53603" s="7"/>
      <c r="B53603" s="7"/>
    </row>
    <row r="53604" ht="15.75" customHeight="1">
      <c r="A53604" s="7"/>
      <c r="B53604" s="7"/>
    </row>
    <row r="53605" ht="15.75" customHeight="1">
      <c r="A53605" s="7"/>
      <c r="B53605" s="7"/>
    </row>
    <row r="53606" ht="15.75" customHeight="1">
      <c r="A53606" s="7"/>
      <c r="B53606" s="7"/>
    </row>
    <row r="53607" ht="15.75" customHeight="1">
      <c r="A53607" s="7"/>
      <c r="B53607" s="7"/>
    </row>
    <row r="53608" ht="15.75" customHeight="1">
      <c r="A53608" s="7"/>
      <c r="B53608" s="7"/>
    </row>
    <row r="53609" ht="15.75" customHeight="1">
      <c r="A53609" s="7"/>
      <c r="B53609" s="7"/>
    </row>
    <row r="53610" ht="15.75" customHeight="1">
      <c r="A53610" s="7"/>
      <c r="B53610" s="7"/>
    </row>
    <row r="53611" ht="15.75" customHeight="1">
      <c r="A53611" s="7"/>
      <c r="B53611" s="7"/>
    </row>
    <row r="53612" ht="15.75" customHeight="1">
      <c r="A53612" s="7"/>
      <c r="B53612" s="7"/>
    </row>
    <row r="53613" ht="15.75" customHeight="1">
      <c r="A53613" s="7"/>
      <c r="B53613" s="7"/>
    </row>
    <row r="53614" ht="15.75" customHeight="1">
      <c r="A53614" s="7"/>
      <c r="B53614" s="7"/>
    </row>
    <row r="53615" ht="15.75" customHeight="1">
      <c r="A53615" s="7"/>
      <c r="B53615" s="7"/>
    </row>
    <row r="53616" ht="15.75" customHeight="1">
      <c r="A53616" s="7"/>
      <c r="B53616" s="7"/>
    </row>
    <row r="53617" ht="15.75" customHeight="1">
      <c r="A53617" s="7"/>
      <c r="B53617" s="7"/>
    </row>
    <row r="53618" ht="15.75" customHeight="1">
      <c r="A53618" s="7"/>
      <c r="B53618" s="7"/>
    </row>
    <row r="53619" ht="15.75" customHeight="1">
      <c r="A53619" s="7"/>
      <c r="B53619" s="7"/>
    </row>
    <row r="53620" ht="15.75" customHeight="1">
      <c r="A53620" s="7"/>
      <c r="B53620" s="7"/>
    </row>
    <row r="53621" ht="15.75" customHeight="1">
      <c r="A53621" s="7"/>
      <c r="B53621" s="7"/>
    </row>
    <row r="53622" ht="15.75" customHeight="1">
      <c r="A53622" s="7"/>
      <c r="B53622" s="7"/>
    </row>
    <row r="53623" ht="15.75" customHeight="1">
      <c r="A53623" s="7"/>
      <c r="B53623" s="7"/>
    </row>
    <row r="53624" ht="15.75" customHeight="1">
      <c r="A53624" s="7"/>
      <c r="B53624" s="7"/>
    </row>
    <row r="53625" ht="15.75" customHeight="1">
      <c r="A53625" s="7"/>
      <c r="B53625" s="7"/>
    </row>
    <row r="53626" ht="15.75" customHeight="1">
      <c r="A53626" s="7"/>
      <c r="B53626" s="7"/>
    </row>
    <row r="53627" ht="15.75" customHeight="1">
      <c r="A53627" s="7"/>
      <c r="B53627" s="7"/>
    </row>
    <row r="53628" ht="15.75" customHeight="1">
      <c r="A53628" s="7"/>
      <c r="B53628" s="7"/>
    </row>
    <row r="53629" ht="15.75" customHeight="1">
      <c r="A53629" s="7"/>
      <c r="B53629" s="7"/>
    </row>
    <row r="53630" ht="15.75" customHeight="1">
      <c r="A53630" s="7"/>
      <c r="B53630" s="7"/>
    </row>
    <row r="53631" ht="15.75" customHeight="1">
      <c r="A53631" s="7"/>
      <c r="B53631" s="7"/>
    </row>
    <row r="53632" ht="15.75" customHeight="1">
      <c r="A53632" s="7"/>
      <c r="B53632" s="7"/>
    </row>
    <row r="53633" ht="15.75" customHeight="1">
      <c r="A53633" s="7"/>
      <c r="B53633" s="7"/>
    </row>
    <row r="53634" ht="15.75" customHeight="1">
      <c r="A53634" s="7"/>
      <c r="B53634" s="7"/>
    </row>
    <row r="53635" ht="15.75" customHeight="1">
      <c r="A53635" s="7"/>
      <c r="B53635" s="7"/>
    </row>
    <row r="53636" ht="15.75" customHeight="1">
      <c r="A53636" s="7"/>
      <c r="B53636" s="7"/>
    </row>
    <row r="53637" ht="15.75" customHeight="1">
      <c r="A53637" s="7"/>
      <c r="B53637" s="7"/>
    </row>
    <row r="53638" ht="15.75" customHeight="1">
      <c r="A53638" s="7"/>
      <c r="B53638" s="7"/>
    </row>
    <row r="53639" ht="15.75" customHeight="1">
      <c r="A53639" s="7"/>
      <c r="B53639" s="7"/>
    </row>
    <row r="53640" ht="15.75" customHeight="1">
      <c r="A53640" s="7"/>
      <c r="B53640" s="7"/>
    </row>
    <row r="53641" ht="15.75" customHeight="1">
      <c r="A53641" s="7"/>
      <c r="B53641" s="7"/>
    </row>
    <row r="53642" ht="15.75" customHeight="1">
      <c r="A53642" s="7"/>
      <c r="B53642" s="7"/>
    </row>
    <row r="53643" ht="15.75" customHeight="1">
      <c r="A53643" s="7"/>
      <c r="B53643" s="7"/>
    </row>
    <row r="53644" ht="15.75" customHeight="1">
      <c r="A53644" s="7"/>
      <c r="B53644" s="7"/>
    </row>
    <row r="53645" ht="15.75" customHeight="1">
      <c r="A53645" s="7"/>
      <c r="B53645" s="7"/>
    </row>
    <row r="53646" ht="15.75" customHeight="1">
      <c r="A53646" s="7"/>
      <c r="B53646" s="7"/>
    </row>
    <row r="53647" ht="15.75" customHeight="1">
      <c r="A53647" s="7"/>
      <c r="B53647" s="7"/>
    </row>
    <row r="53648" ht="15.75" customHeight="1">
      <c r="A53648" s="7"/>
      <c r="B53648" s="7"/>
    </row>
    <row r="53649" ht="15.75" customHeight="1">
      <c r="A53649" s="7"/>
      <c r="B53649" s="7"/>
    </row>
    <row r="53650" ht="15.75" customHeight="1">
      <c r="A53650" s="7"/>
      <c r="B53650" s="7"/>
    </row>
    <row r="53651" ht="15.75" customHeight="1">
      <c r="A53651" s="7"/>
      <c r="B53651" s="7"/>
    </row>
    <row r="53652" ht="15.75" customHeight="1">
      <c r="A53652" s="7"/>
      <c r="B53652" s="7"/>
    </row>
    <row r="53653" ht="15.75" customHeight="1">
      <c r="A53653" s="7"/>
      <c r="B53653" s="7"/>
    </row>
    <row r="53654" ht="15.75" customHeight="1">
      <c r="A53654" s="7"/>
      <c r="B53654" s="7"/>
    </row>
    <row r="53655" ht="15.75" customHeight="1">
      <c r="A53655" s="7"/>
      <c r="B53655" s="7"/>
    </row>
    <row r="53656" ht="15.75" customHeight="1">
      <c r="A53656" s="7"/>
      <c r="B53656" s="7"/>
    </row>
    <row r="53657" ht="15.75" customHeight="1">
      <c r="A53657" s="7"/>
      <c r="B53657" s="7"/>
    </row>
    <row r="53658" ht="15.75" customHeight="1">
      <c r="A53658" s="7"/>
      <c r="B53658" s="7"/>
    </row>
    <row r="53659" ht="15.75" customHeight="1">
      <c r="A53659" s="7"/>
      <c r="B53659" s="7"/>
    </row>
    <row r="53660" ht="15.75" customHeight="1">
      <c r="A53660" s="7"/>
      <c r="B53660" s="7"/>
    </row>
    <row r="53661" ht="15.75" customHeight="1">
      <c r="A53661" s="7"/>
      <c r="B53661" s="7"/>
    </row>
    <row r="53662" ht="15.75" customHeight="1">
      <c r="A53662" s="7"/>
      <c r="B53662" s="7"/>
    </row>
    <row r="53663" ht="15.75" customHeight="1">
      <c r="A53663" s="7"/>
      <c r="B53663" s="7"/>
    </row>
    <row r="53664" ht="15.75" customHeight="1">
      <c r="A53664" s="7"/>
      <c r="B53664" s="7"/>
    </row>
    <row r="53665" ht="15.75" customHeight="1">
      <c r="A53665" s="7"/>
      <c r="B53665" s="7"/>
    </row>
    <row r="53666" ht="15.75" customHeight="1">
      <c r="A53666" s="7"/>
      <c r="B53666" s="7"/>
    </row>
    <row r="53667" ht="15.75" customHeight="1">
      <c r="A53667" s="7"/>
      <c r="B53667" s="7"/>
    </row>
    <row r="53668" ht="15.75" customHeight="1">
      <c r="A53668" s="7"/>
      <c r="B53668" s="7"/>
    </row>
    <row r="53669" ht="15.75" customHeight="1">
      <c r="A53669" s="7"/>
      <c r="B53669" s="7"/>
    </row>
    <row r="53670" ht="15.75" customHeight="1">
      <c r="A53670" s="7"/>
      <c r="B53670" s="7"/>
    </row>
    <row r="53671" ht="15.75" customHeight="1">
      <c r="A53671" s="7"/>
      <c r="B53671" s="7"/>
    </row>
    <row r="53672" ht="15.75" customHeight="1">
      <c r="A53672" s="7"/>
      <c r="B53672" s="7"/>
    </row>
    <row r="53673" ht="15.75" customHeight="1">
      <c r="A53673" s="7"/>
      <c r="B53673" s="7"/>
    </row>
    <row r="53674" ht="15.75" customHeight="1">
      <c r="A53674" s="7"/>
      <c r="B53674" s="7"/>
    </row>
    <row r="53675" ht="15.75" customHeight="1">
      <c r="A53675" s="7"/>
      <c r="B53675" s="7"/>
    </row>
    <row r="53676" ht="15.75" customHeight="1">
      <c r="A53676" s="7"/>
      <c r="B53676" s="7"/>
    </row>
    <row r="53677" ht="15.75" customHeight="1">
      <c r="A53677" s="7"/>
      <c r="B53677" s="7"/>
    </row>
    <row r="53678" ht="15.75" customHeight="1">
      <c r="A53678" s="7"/>
      <c r="B53678" s="7"/>
    </row>
    <row r="53679" ht="15.75" customHeight="1">
      <c r="A53679" s="7"/>
      <c r="B53679" s="7"/>
    </row>
    <row r="53680" ht="15.75" customHeight="1">
      <c r="A53680" s="7"/>
      <c r="B53680" s="7"/>
    </row>
    <row r="53681" ht="15.75" customHeight="1">
      <c r="A53681" s="7"/>
      <c r="B53681" s="7"/>
    </row>
    <row r="53682" ht="15.75" customHeight="1">
      <c r="A53682" s="7"/>
      <c r="B53682" s="7"/>
    </row>
    <row r="53683" ht="15.75" customHeight="1">
      <c r="A53683" s="7"/>
      <c r="B53683" s="7"/>
    </row>
    <row r="53684" ht="15.75" customHeight="1">
      <c r="A53684" s="7"/>
      <c r="B53684" s="7"/>
    </row>
    <row r="53685" ht="15.75" customHeight="1">
      <c r="A53685" s="7"/>
      <c r="B53685" s="7"/>
    </row>
    <row r="53686" ht="15.75" customHeight="1">
      <c r="A53686" s="7"/>
      <c r="B53686" s="7"/>
    </row>
    <row r="53687" ht="15.75" customHeight="1">
      <c r="A53687" s="7"/>
      <c r="B53687" s="7"/>
    </row>
    <row r="53688" ht="15.75" customHeight="1">
      <c r="A53688" s="7"/>
      <c r="B53688" s="7"/>
    </row>
    <row r="53689" ht="15.75" customHeight="1">
      <c r="A53689" s="7"/>
      <c r="B53689" s="7"/>
    </row>
    <row r="53690" ht="15.75" customHeight="1">
      <c r="A53690" s="7"/>
      <c r="B53690" s="7"/>
    </row>
    <row r="53691" ht="15.75" customHeight="1">
      <c r="A53691" s="7"/>
      <c r="B53691" s="7"/>
    </row>
    <row r="53692" ht="15.75" customHeight="1">
      <c r="A53692" s="7"/>
      <c r="B53692" s="7"/>
    </row>
    <row r="53693" ht="15.75" customHeight="1">
      <c r="A53693" s="7"/>
      <c r="B53693" s="7"/>
    </row>
    <row r="53694" ht="15.75" customHeight="1">
      <c r="A53694" s="7"/>
      <c r="B53694" s="7"/>
    </row>
    <row r="53695" ht="15.75" customHeight="1">
      <c r="A53695" s="7"/>
      <c r="B53695" s="7"/>
    </row>
    <row r="53696" ht="15.75" customHeight="1">
      <c r="A53696" s="7"/>
      <c r="B53696" s="7"/>
    </row>
    <row r="53697" ht="15.75" customHeight="1">
      <c r="A53697" s="7"/>
      <c r="B53697" s="7"/>
    </row>
    <row r="53698" ht="15.75" customHeight="1">
      <c r="A53698" s="7"/>
      <c r="B53698" s="7"/>
    </row>
    <row r="53699" ht="15.75" customHeight="1">
      <c r="A53699" s="7"/>
      <c r="B53699" s="7"/>
    </row>
    <row r="53700" ht="15.75" customHeight="1">
      <c r="A53700" s="7"/>
      <c r="B53700" s="7"/>
    </row>
    <row r="53701" ht="15.75" customHeight="1">
      <c r="A53701" s="7"/>
      <c r="B53701" s="7"/>
    </row>
    <row r="53702" ht="15.75" customHeight="1">
      <c r="A53702" s="7"/>
      <c r="B53702" s="7"/>
    </row>
    <row r="53703" ht="15.75" customHeight="1">
      <c r="A53703" s="7"/>
      <c r="B53703" s="7"/>
    </row>
    <row r="53704" ht="15.75" customHeight="1">
      <c r="A53704" s="7"/>
      <c r="B53704" s="7"/>
    </row>
    <row r="53705" ht="15.75" customHeight="1">
      <c r="A53705" s="7"/>
      <c r="B53705" s="7"/>
    </row>
    <row r="53706" ht="15.75" customHeight="1">
      <c r="A53706" s="7"/>
      <c r="B53706" s="7"/>
    </row>
    <row r="53707" ht="15.75" customHeight="1">
      <c r="A53707" s="7"/>
      <c r="B53707" s="7"/>
    </row>
    <row r="53708" ht="15.75" customHeight="1">
      <c r="A53708" s="7"/>
      <c r="B53708" s="7"/>
    </row>
    <row r="53709" ht="15.75" customHeight="1">
      <c r="A53709" s="7"/>
      <c r="B53709" s="7"/>
    </row>
    <row r="53710" ht="15.75" customHeight="1">
      <c r="A53710" s="7"/>
      <c r="B53710" s="7"/>
    </row>
    <row r="53711" ht="15.75" customHeight="1">
      <c r="A53711" s="7"/>
      <c r="B53711" s="7"/>
    </row>
    <row r="53712" ht="15.75" customHeight="1">
      <c r="A53712" s="7"/>
      <c r="B53712" s="7"/>
    </row>
    <row r="53713" ht="15.75" customHeight="1">
      <c r="A53713" s="7"/>
      <c r="B53713" s="7"/>
    </row>
    <row r="53714" ht="15.75" customHeight="1">
      <c r="A53714" s="7"/>
      <c r="B53714" s="7"/>
    </row>
    <row r="53715" ht="15.75" customHeight="1">
      <c r="A53715" s="7"/>
      <c r="B53715" s="7"/>
    </row>
    <row r="53716" ht="15.75" customHeight="1">
      <c r="A53716" s="7"/>
      <c r="B53716" s="7"/>
    </row>
    <row r="53717" ht="15.75" customHeight="1">
      <c r="A53717" s="7"/>
      <c r="B53717" s="7"/>
    </row>
    <row r="53718" ht="15.75" customHeight="1">
      <c r="A53718" s="7"/>
      <c r="B53718" s="7"/>
    </row>
    <row r="53719" ht="15.75" customHeight="1">
      <c r="A53719" s="7"/>
      <c r="B53719" s="7"/>
    </row>
    <row r="53720" ht="15.75" customHeight="1">
      <c r="A53720" s="7"/>
      <c r="B53720" s="7"/>
    </row>
    <row r="53721" ht="15.75" customHeight="1">
      <c r="A53721" s="7"/>
      <c r="B53721" s="7"/>
    </row>
    <row r="53722" ht="15.75" customHeight="1">
      <c r="A53722" s="7"/>
      <c r="B53722" s="7"/>
    </row>
    <row r="53723" ht="15.75" customHeight="1">
      <c r="A53723" s="7"/>
      <c r="B53723" s="7"/>
    </row>
    <row r="53724" ht="15.75" customHeight="1">
      <c r="A53724" s="7"/>
      <c r="B53724" s="7"/>
    </row>
    <row r="53725" ht="15.75" customHeight="1">
      <c r="A53725" s="7"/>
      <c r="B53725" s="7"/>
    </row>
    <row r="53726" ht="15.75" customHeight="1">
      <c r="A53726" s="7"/>
      <c r="B53726" s="7"/>
    </row>
    <row r="53727" ht="15.75" customHeight="1">
      <c r="A53727" s="7"/>
      <c r="B53727" s="7"/>
    </row>
    <row r="53728" ht="15.75" customHeight="1">
      <c r="A53728" s="7"/>
      <c r="B53728" s="7"/>
    </row>
    <row r="53729" ht="15.75" customHeight="1">
      <c r="A53729" s="7"/>
      <c r="B53729" s="7"/>
    </row>
    <row r="53730" ht="15.75" customHeight="1">
      <c r="A53730" s="7"/>
      <c r="B53730" s="7"/>
    </row>
    <row r="53731" ht="15.75" customHeight="1">
      <c r="A53731" s="7"/>
      <c r="B53731" s="7"/>
    </row>
    <row r="53732" ht="15.75" customHeight="1">
      <c r="A53732" s="7"/>
      <c r="B53732" s="7"/>
    </row>
    <row r="53733" ht="15.75" customHeight="1">
      <c r="A53733" s="7"/>
      <c r="B53733" s="7"/>
    </row>
    <row r="53734" ht="15.75" customHeight="1">
      <c r="A53734" s="7"/>
      <c r="B53734" s="7"/>
    </row>
    <row r="53735" ht="15.75" customHeight="1">
      <c r="A53735" s="7"/>
      <c r="B53735" s="7"/>
    </row>
    <row r="53736" ht="15.75" customHeight="1">
      <c r="A53736" s="7"/>
      <c r="B53736" s="7"/>
    </row>
    <row r="53737" ht="15.75" customHeight="1">
      <c r="A53737" s="7"/>
      <c r="B53737" s="7"/>
    </row>
    <row r="53738" ht="15.75" customHeight="1">
      <c r="A53738" s="7"/>
      <c r="B53738" s="7"/>
    </row>
    <row r="53739" ht="15.75" customHeight="1">
      <c r="A53739" s="7"/>
      <c r="B53739" s="7"/>
    </row>
    <row r="53740" ht="15.75" customHeight="1">
      <c r="A53740" s="7"/>
      <c r="B53740" s="7"/>
    </row>
    <row r="53741" ht="15.75" customHeight="1">
      <c r="A53741" s="7"/>
      <c r="B53741" s="7"/>
    </row>
    <row r="53742" ht="15.75" customHeight="1">
      <c r="A53742" s="7"/>
      <c r="B53742" s="7"/>
    </row>
    <row r="53743" ht="15.75" customHeight="1">
      <c r="A53743" s="7"/>
      <c r="B53743" s="7"/>
    </row>
    <row r="53744" ht="15.75" customHeight="1">
      <c r="A53744" s="7"/>
      <c r="B53744" s="7"/>
    </row>
    <row r="53745" ht="15.75" customHeight="1">
      <c r="A53745" s="7"/>
      <c r="B53745" s="7"/>
    </row>
    <row r="53746" ht="15.75" customHeight="1">
      <c r="A53746" s="7"/>
      <c r="B53746" s="7"/>
    </row>
    <row r="53747" ht="15.75" customHeight="1">
      <c r="A53747" s="7"/>
      <c r="B53747" s="7"/>
    </row>
    <row r="53748" ht="15.75" customHeight="1">
      <c r="A53748" s="7"/>
      <c r="B53748" s="7"/>
    </row>
    <row r="53749" ht="15.75" customHeight="1">
      <c r="A53749" s="7"/>
      <c r="B53749" s="7"/>
    </row>
    <row r="53750" ht="15.75" customHeight="1">
      <c r="A53750" s="7"/>
      <c r="B53750" s="7"/>
    </row>
    <row r="53751" ht="15.75" customHeight="1">
      <c r="A53751" s="7"/>
      <c r="B53751" s="7"/>
    </row>
    <row r="53752" ht="15.75" customHeight="1">
      <c r="A53752" s="7"/>
      <c r="B53752" s="7"/>
    </row>
    <row r="53753" ht="15.75" customHeight="1">
      <c r="A53753" s="7"/>
      <c r="B53753" s="7"/>
    </row>
    <row r="53754" ht="15.75" customHeight="1">
      <c r="A53754" s="7"/>
      <c r="B53754" s="7"/>
    </row>
    <row r="53755" ht="15.75" customHeight="1">
      <c r="A53755" s="7"/>
      <c r="B53755" s="7"/>
    </row>
    <row r="53756" ht="15.75" customHeight="1">
      <c r="A53756" s="7"/>
      <c r="B53756" s="7"/>
    </row>
    <row r="53757" ht="15.75" customHeight="1">
      <c r="A53757" s="7"/>
      <c r="B53757" s="7"/>
    </row>
    <row r="53758" ht="15.75" customHeight="1">
      <c r="A53758" s="7"/>
      <c r="B53758" s="7"/>
    </row>
    <row r="53759" ht="15.75" customHeight="1">
      <c r="A53759" s="7"/>
      <c r="B53759" s="7"/>
    </row>
    <row r="53760" ht="15.75" customHeight="1">
      <c r="A53760" s="7"/>
      <c r="B53760" s="7"/>
    </row>
    <row r="53761" ht="15.75" customHeight="1">
      <c r="A53761" s="7"/>
      <c r="B53761" s="7"/>
    </row>
    <row r="53762" ht="15.75" customHeight="1">
      <c r="A53762" s="7"/>
      <c r="B53762" s="7"/>
    </row>
    <row r="53763" ht="15.75" customHeight="1">
      <c r="A53763" s="7"/>
      <c r="B53763" s="7"/>
    </row>
    <row r="53764" ht="15.75" customHeight="1">
      <c r="A53764" s="7"/>
      <c r="B53764" s="7"/>
    </row>
    <row r="53765" ht="15.75" customHeight="1">
      <c r="A53765" s="7"/>
      <c r="B53765" s="7"/>
    </row>
    <row r="53766" ht="15.75" customHeight="1">
      <c r="A53766" s="7"/>
      <c r="B53766" s="7"/>
    </row>
    <row r="53767" ht="15.75" customHeight="1">
      <c r="A53767" s="7"/>
      <c r="B53767" s="7"/>
    </row>
    <row r="53768" ht="15.75" customHeight="1">
      <c r="A53768" s="7"/>
      <c r="B53768" s="7"/>
    </row>
    <row r="53769" ht="15.75" customHeight="1">
      <c r="A53769" s="7"/>
      <c r="B53769" s="7"/>
    </row>
    <row r="53770" ht="15.75" customHeight="1">
      <c r="A53770" s="7"/>
      <c r="B53770" s="7"/>
    </row>
    <row r="53771" ht="15.75" customHeight="1">
      <c r="A53771" s="7"/>
      <c r="B53771" s="7"/>
    </row>
    <row r="53772" ht="15.75" customHeight="1">
      <c r="A53772" s="7"/>
      <c r="B53772" s="7"/>
    </row>
    <row r="53773" ht="15.75" customHeight="1">
      <c r="A53773" s="7"/>
      <c r="B53773" s="7"/>
    </row>
    <row r="53774" ht="15.75" customHeight="1">
      <c r="A53774" s="7"/>
      <c r="B53774" s="7"/>
    </row>
    <row r="53775" ht="15.75" customHeight="1">
      <c r="A53775" s="7"/>
      <c r="B53775" s="7"/>
    </row>
    <row r="53776" ht="15.75" customHeight="1">
      <c r="A53776" s="7"/>
      <c r="B53776" s="7"/>
    </row>
    <row r="53777" ht="15.75" customHeight="1">
      <c r="A53777" s="7"/>
      <c r="B53777" s="7"/>
    </row>
    <row r="53778" ht="15.75" customHeight="1">
      <c r="A53778" s="7"/>
      <c r="B53778" s="7"/>
    </row>
    <row r="53779" ht="15.75" customHeight="1">
      <c r="A53779" s="7"/>
      <c r="B53779" s="7"/>
    </row>
    <row r="53780" ht="15.75" customHeight="1">
      <c r="A53780" s="7"/>
      <c r="B53780" s="7"/>
    </row>
    <row r="53781" ht="15.75" customHeight="1">
      <c r="A53781" s="7"/>
      <c r="B53781" s="7"/>
    </row>
    <row r="53782" ht="15.75" customHeight="1">
      <c r="A53782" s="7"/>
      <c r="B53782" s="7"/>
    </row>
    <row r="53783" ht="15.75" customHeight="1">
      <c r="A53783" s="7"/>
      <c r="B53783" s="7"/>
    </row>
    <row r="53784" ht="15.75" customHeight="1">
      <c r="A53784" s="7"/>
      <c r="B53784" s="7"/>
    </row>
    <row r="53785" ht="15.75" customHeight="1">
      <c r="A53785" s="7"/>
      <c r="B53785" s="7"/>
    </row>
    <row r="53786" ht="15.75" customHeight="1">
      <c r="A53786" s="7"/>
      <c r="B53786" s="7"/>
    </row>
    <row r="53787" ht="15.75" customHeight="1">
      <c r="A53787" s="7"/>
      <c r="B53787" s="7"/>
    </row>
    <row r="53788" ht="15.75" customHeight="1">
      <c r="A53788" s="7"/>
      <c r="B53788" s="7"/>
    </row>
    <row r="53789" ht="15.75" customHeight="1">
      <c r="A53789" s="7"/>
      <c r="B53789" s="7"/>
    </row>
    <row r="53790" ht="15.75" customHeight="1">
      <c r="A53790" s="7"/>
      <c r="B53790" s="7"/>
    </row>
    <row r="53791" ht="15.75" customHeight="1">
      <c r="A53791" s="7"/>
      <c r="B53791" s="7"/>
    </row>
    <row r="53792" ht="15.75" customHeight="1">
      <c r="A53792" s="7"/>
      <c r="B53792" s="7"/>
    </row>
    <row r="53793" ht="15.75" customHeight="1">
      <c r="A53793" s="7"/>
      <c r="B53793" s="7"/>
    </row>
    <row r="53794" ht="15.75" customHeight="1">
      <c r="A53794" s="7"/>
      <c r="B53794" s="7"/>
    </row>
    <row r="53795" ht="15.75" customHeight="1">
      <c r="A53795" s="7"/>
      <c r="B53795" s="7"/>
    </row>
    <row r="53796" ht="15.75" customHeight="1">
      <c r="A53796" s="7"/>
      <c r="B53796" s="7"/>
    </row>
    <row r="53797" ht="15.75" customHeight="1">
      <c r="A53797" s="7"/>
      <c r="B53797" s="7"/>
    </row>
    <row r="53798" ht="15.75" customHeight="1">
      <c r="A53798" s="7"/>
      <c r="B53798" s="7"/>
    </row>
    <row r="53799" ht="15.75" customHeight="1">
      <c r="A53799" s="7"/>
      <c r="B53799" s="7"/>
    </row>
    <row r="53800" ht="15.75" customHeight="1">
      <c r="A53800" s="7"/>
      <c r="B53800" s="7"/>
    </row>
    <row r="53801" ht="15.75" customHeight="1">
      <c r="A53801" s="7"/>
      <c r="B53801" s="7"/>
    </row>
    <row r="53802" ht="15.75" customHeight="1">
      <c r="A53802" s="7"/>
      <c r="B53802" s="7"/>
    </row>
    <row r="53803" ht="15.75" customHeight="1">
      <c r="A53803" s="7"/>
      <c r="B53803" s="7"/>
    </row>
    <row r="53804" ht="15.75" customHeight="1">
      <c r="A53804" s="7"/>
      <c r="B53804" s="7"/>
    </row>
    <row r="53805" ht="15.75" customHeight="1">
      <c r="A53805" s="7"/>
      <c r="B53805" s="7"/>
    </row>
    <row r="53806" ht="15.75" customHeight="1">
      <c r="A53806" s="7"/>
      <c r="B53806" s="7"/>
    </row>
    <row r="53807" ht="15.75" customHeight="1">
      <c r="A53807" s="7"/>
      <c r="B53807" s="7"/>
    </row>
    <row r="53808" ht="15.75" customHeight="1">
      <c r="A53808" s="7"/>
      <c r="B53808" s="7"/>
    </row>
    <row r="53809" ht="15.75" customHeight="1">
      <c r="A53809" s="7"/>
      <c r="B53809" s="7"/>
    </row>
    <row r="53810" ht="15.75" customHeight="1">
      <c r="A53810" s="7"/>
      <c r="B53810" s="7"/>
    </row>
    <row r="53811" ht="15.75" customHeight="1">
      <c r="A53811" s="7"/>
      <c r="B53811" s="7"/>
    </row>
    <row r="53812" ht="15.75" customHeight="1">
      <c r="A53812" s="7"/>
      <c r="B53812" s="7"/>
    </row>
    <row r="53813" ht="15.75" customHeight="1">
      <c r="A53813" s="7"/>
      <c r="B53813" s="7"/>
    </row>
    <row r="53814" ht="15.75" customHeight="1">
      <c r="A53814" s="7"/>
      <c r="B53814" s="7"/>
    </row>
    <row r="53815" ht="15.75" customHeight="1">
      <c r="A53815" s="7"/>
      <c r="B53815" s="7"/>
    </row>
    <row r="53816" ht="15.75" customHeight="1">
      <c r="A53816" s="7"/>
      <c r="B53816" s="7"/>
    </row>
    <row r="53817" ht="15.75" customHeight="1">
      <c r="A53817" s="7"/>
      <c r="B53817" s="7"/>
    </row>
    <row r="53818" ht="15.75" customHeight="1">
      <c r="A53818" s="7"/>
      <c r="B53818" s="7"/>
    </row>
    <row r="53819" ht="15.75" customHeight="1">
      <c r="A53819" s="7"/>
      <c r="B53819" s="7"/>
    </row>
    <row r="53820" ht="15.75" customHeight="1">
      <c r="A53820" s="7"/>
      <c r="B53820" s="7"/>
    </row>
    <row r="53821" ht="15.75" customHeight="1">
      <c r="A53821" s="7"/>
      <c r="B53821" s="7"/>
    </row>
    <row r="53822" ht="15.75" customHeight="1">
      <c r="A53822" s="7"/>
      <c r="B53822" s="7"/>
    </row>
    <row r="53823" ht="15.75" customHeight="1">
      <c r="A53823" s="7"/>
      <c r="B53823" s="7"/>
    </row>
    <row r="53824" ht="15.75" customHeight="1">
      <c r="A53824" s="7"/>
      <c r="B53824" s="7"/>
    </row>
    <row r="53825" ht="15.75" customHeight="1">
      <c r="A53825" s="7"/>
      <c r="B53825" s="7"/>
    </row>
    <row r="53826" ht="15.75" customHeight="1">
      <c r="A53826" s="7"/>
      <c r="B53826" s="7"/>
    </row>
    <row r="53827" ht="15.75" customHeight="1">
      <c r="A53827" s="7"/>
      <c r="B53827" s="7"/>
    </row>
    <row r="53828" ht="15.75" customHeight="1">
      <c r="A53828" s="7"/>
      <c r="B53828" s="7"/>
    </row>
    <row r="53829" ht="15.75" customHeight="1">
      <c r="A53829" s="7"/>
      <c r="B53829" s="7"/>
    </row>
    <row r="53830" ht="15.75" customHeight="1">
      <c r="A53830" s="7"/>
      <c r="B53830" s="7"/>
    </row>
    <row r="53831" ht="15.75" customHeight="1">
      <c r="A53831" s="7"/>
      <c r="B53831" s="7"/>
    </row>
    <row r="53832" ht="15.75" customHeight="1">
      <c r="A53832" s="7"/>
      <c r="B53832" s="7"/>
    </row>
    <row r="53833" ht="15.75" customHeight="1">
      <c r="A53833" s="7"/>
      <c r="B53833" s="7"/>
    </row>
    <row r="53834" ht="15.75" customHeight="1">
      <c r="A53834" s="7"/>
      <c r="B53834" s="7"/>
    </row>
    <row r="53835" ht="15.75" customHeight="1">
      <c r="A53835" s="7"/>
      <c r="B53835" s="7"/>
    </row>
    <row r="53836" ht="15.75" customHeight="1">
      <c r="A53836" s="7"/>
      <c r="B53836" s="7"/>
    </row>
    <row r="53837" ht="15.75" customHeight="1">
      <c r="A53837" s="7"/>
      <c r="B53837" s="7"/>
    </row>
    <row r="53838" ht="15.75" customHeight="1">
      <c r="A53838" s="7"/>
      <c r="B53838" s="7"/>
    </row>
    <row r="53839" ht="15.75" customHeight="1">
      <c r="A53839" s="7"/>
      <c r="B53839" s="7"/>
    </row>
    <row r="53840" ht="15.75" customHeight="1">
      <c r="A53840" s="7"/>
      <c r="B53840" s="7"/>
    </row>
    <row r="53841" ht="15.75" customHeight="1">
      <c r="A53841" s="7"/>
      <c r="B53841" s="7"/>
    </row>
    <row r="53842" ht="15.75" customHeight="1">
      <c r="A53842" s="7"/>
      <c r="B53842" s="7"/>
    </row>
    <row r="53843" ht="15.75" customHeight="1">
      <c r="A53843" s="7"/>
      <c r="B53843" s="7"/>
    </row>
    <row r="53844" ht="15.75" customHeight="1">
      <c r="A53844" s="7"/>
      <c r="B53844" s="7"/>
    </row>
    <row r="53845" ht="15.75" customHeight="1">
      <c r="A53845" s="7"/>
      <c r="B53845" s="7"/>
    </row>
    <row r="53846" ht="15.75" customHeight="1">
      <c r="A53846" s="7"/>
      <c r="B53846" s="7"/>
    </row>
    <row r="53847" ht="15.75" customHeight="1">
      <c r="A53847" s="7"/>
      <c r="B53847" s="7"/>
    </row>
    <row r="53848" ht="15.75" customHeight="1">
      <c r="A53848" s="7"/>
      <c r="B53848" s="7"/>
    </row>
    <row r="53849" ht="15.75" customHeight="1">
      <c r="A53849" s="7"/>
      <c r="B53849" s="7"/>
    </row>
    <row r="53850" ht="15.75" customHeight="1">
      <c r="A53850" s="7"/>
      <c r="B53850" s="7"/>
    </row>
    <row r="53851" ht="15.75" customHeight="1">
      <c r="A53851" s="7"/>
      <c r="B53851" s="7"/>
    </row>
    <row r="53852" ht="15.75" customHeight="1">
      <c r="A53852" s="7"/>
      <c r="B53852" s="7"/>
    </row>
    <row r="53853" ht="15.75" customHeight="1">
      <c r="A53853" s="7"/>
      <c r="B53853" s="7"/>
    </row>
    <row r="53854" ht="15.75" customHeight="1">
      <c r="A53854" s="7"/>
      <c r="B53854" s="7"/>
    </row>
    <row r="53855" ht="15.75" customHeight="1">
      <c r="A53855" s="7"/>
      <c r="B53855" s="7"/>
    </row>
    <row r="53856" ht="15.75" customHeight="1">
      <c r="A53856" s="7"/>
      <c r="B53856" s="7"/>
    </row>
    <row r="53857" ht="15.75" customHeight="1">
      <c r="A53857" s="7"/>
      <c r="B53857" s="7"/>
    </row>
    <row r="53858" ht="15.75" customHeight="1">
      <c r="A53858" s="7"/>
      <c r="B53858" s="7"/>
    </row>
    <row r="53859" ht="15.75" customHeight="1">
      <c r="A53859" s="7"/>
      <c r="B53859" s="7"/>
    </row>
    <row r="53860" ht="15.75" customHeight="1">
      <c r="A53860" s="7"/>
      <c r="B53860" s="7"/>
    </row>
    <row r="53861" ht="15.75" customHeight="1">
      <c r="A53861" s="7"/>
      <c r="B53861" s="7"/>
    </row>
    <row r="53862" ht="15.75" customHeight="1">
      <c r="A53862" s="7"/>
      <c r="B53862" s="7"/>
    </row>
    <row r="53863" ht="15.75" customHeight="1">
      <c r="A53863" s="7"/>
      <c r="B53863" s="7"/>
    </row>
    <row r="53864" ht="15.75" customHeight="1">
      <c r="A53864" s="7"/>
      <c r="B53864" s="7"/>
    </row>
    <row r="53865" ht="15.75" customHeight="1">
      <c r="A53865" s="7"/>
      <c r="B53865" s="7"/>
    </row>
    <row r="53866" ht="15.75" customHeight="1">
      <c r="A53866" s="7"/>
      <c r="B53866" s="7"/>
    </row>
    <row r="53867" ht="15.75" customHeight="1">
      <c r="A53867" s="7"/>
      <c r="B53867" s="7"/>
    </row>
    <row r="53868" ht="15.75" customHeight="1">
      <c r="A53868" s="7"/>
      <c r="B53868" s="7"/>
    </row>
    <row r="53869" ht="15.75" customHeight="1">
      <c r="A53869" s="7"/>
      <c r="B53869" s="7"/>
    </row>
    <row r="53870" ht="15.75" customHeight="1">
      <c r="A53870" s="7"/>
      <c r="B53870" s="7"/>
    </row>
    <row r="53871" ht="15.75" customHeight="1">
      <c r="A53871" s="7"/>
      <c r="B53871" s="7"/>
    </row>
    <row r="53872" ht="15.75" customHeight="1">
      <c r="A53872" s="7"/>
      <c r="B53872" s="7"/>
    </row>
    <row r="53873" ht="15.75" customHeight="1">
      <c r="A53873" s="7"/>
      <c r="B53873" s="7"/>
    </row>
    <row r="53874" ht="15.75" customHeight="1">
      <c r="A53874" s="7"/>
      <c r="B53874" s="7"/>
    </row>
    <row r="53875" ht="15.75" customHeight="1">
      <c r="A53875" s="7"/>
      <c r="B53875" s="7"/>
    </row>
    <row r="53876" ht="15.75" customHeight="1">
      <c r="A53876" s="7"/>
      <c r="B53876" s="7"/>
    </row>
    <row r="53877" ht="15.75" customHeight="1">
      <c r="A53877" s="7"/>
      <c r="B53877" s="7"/>
    </row>
    <row r="53878" ht="15.75" customHeight="1">
      <c r="A53878" s="7"/>
      <c r="B53878" s="7"/>
    </row>
    <row r="53879" ht="15.75" customHeight="1">
      <c r="A53879" s="7"/>
      <c r="B53879" s="7"/>
    </row>
    <row r="53880" ht="15.75" customHeight="1">
      <c r="A53880" s="7"/>
      <c r="B53880" s="7"/>
    </row>
    <row r="53881" ht="15.75" customHeight="1">
      <c r="A53881" s="7"/>
      <c r="B53881" s="7"/>
    </row>
    <row r="53882" ht="15.75" customHeight="1">
      <c r="A53882" s="7"/>
      <c r="B53882" s="7"/>
    </row>
    <row r="53883" ht="15.75" customHeight="1">
      <c r="A53883" s="7"/>
      <c r="B53883" s="7"/>
    </row>
    <row r="53884" ht="15.75" customHeight="1">
      <c r="A53884" s="7"/>
      <c r="B53884" s="7"/>
    </row>
    <row r="53885" ht="15.75" customHeight="1">
      <c r="A53885" s="7"/>
      <c r="B53885" s="7"/>
    </row>
    <row r="53886" ht="15.75" customHeight="1">
      <c r="A53886" s="7"/>
      <c r="B53886" s="7"/>
    </row>
    <row r="53887" ht="15.75" customHeight="1">
      <c r="A53887" s="7"/>
      <c r="B53887" s="7"/>
    </row>
    <row r="53888" ht="15.75" customHeight="1">
      <c r="A53888" s="7"/>
      <c r="B53888" s="7"/>
    </row>
    <row r="53889" ht="15.75" customHeight="1">
      <c r="A53889" s="7"/>
      <c r="B53889" s="7"/>
    </row>
    <row r="53890" ht="15.75" customHeight="1">
      <c r="A53890" s="7"/>
      <c r="B53890" s="7"/>
    </row>
    <row r="53891" ht="15.75" customHeight="1">
      <c r="A53891" s="7"/>
      <c r="B53891" s="7"/>
    </row>
    <row r="53892" ht="15.75" customHeight="1">
      <c r="A53892" s="7"/>
      <c r="B53892" s="7"/>
    </row>
    <row r="53893" ht="15.75" customHeight="1">
      <c r="A53893" s="7"/>
      <c r="B53893" s="7"/>
    </row>
    <row r="53894" ht="15.75" customHeight="1">
      <c r="A53894" s="7"/>
      <c r="B53894" s="7"/>
    </row>
    <row r="53895" ht="15.75" customHeight="1">
      <c r="A53895" s="7"/>
      <c r="B53895" s="7"/>
    </row>
    <row r="53896" ht="15.75" customHeight="1">
      <c r="A53896" s="7"/>
      <c r="B53896" s="7"/>
    </row>
    <row r="53897" ht="15.75" customHeight="1">
      <c r="A53897" s="7"/>
      <c r="B53897" s="7"/>
    </row>
    <row r="53898" ht="15.75" customHeight="1">
      <c r="A53898" s="7"/>
      <c r="B53898" s="7"/>
    </row>
    <row r="53899" ht="15.75" customHeight="1">
      <c r="A53899" s="7"/>
      <c r="B53899" s="7"/>
    </row>
    <row r="53900" ht="15.75" customHeight="1">
      <c r="A53900" s="7"/>
      <c r="B53900" s="7"/>
    </row>
    <row r="53901" ht="15.75" customHeight="1">
      <c r="A53901" s="7"/>
      <c r="B53901" s="7"/>
    </row>
    <row r="53902" ht="15.75" customHeight="1">
      <c r="A53902" s="7"/>
      <c r="B53902" s="7"/>
    </row>
    <row r="53903" ht="15.75" customHeight="1">
      <c r="A53903" s="7"/>
      <c r="B53903" s="7"/>
    </row>
    <row r="53904" ht="15.75" customHeight="1">
      <c r="A53904" s="7"/>
      <c r="B53904" s="7"/>
    </row>
    <row r="53905" ht="15.75" customHeight="1">
      <c r="A53905" s="7"/>
      <c r="B53905" s="7"/>
    </row>
    <row r="53906" ht="15.75" customHeight="1">
      <c r="A53906" s="7"/>
      <c r="B53906" s="7"/>
    </row>
    <row r="53907" ht="15.75" customHeight="1">
      <c r="A53907" s="7"/>
      <c r="B53907" s="7"/>
    </row>
    <row r="53908" ht="15.75" customHeight="1">
      <c r="A53908" s="7"/>
      <c r="B53908" s="7"/>
    </row>
    <row r="53909" ht="15.75" customHeight="1">
      <c r="A53909" s="7"/>
      <c r="B53909" s="7"/>
    </row>
    <row r="53910" ht="15.75" customHeight="1">
      <c r="A53910" s="7"/>
      <c r="B53910" s="7"/>
    </row>
    <row r="53911" ht="15.75" customHeight="1">
      <c r="A53911" s="7"/>
      <c r="B53911" s="7"/>
    </row>
    <row r="53912" ht="15.75" customHeight="1">
      <c r="A53912" s="7"/>
      <c r="B53912" s="7"/>
    </row>
    <row r="53913" ht="15.75" customHeight="1">
      <c r="A53913" s="7"/>
      <c r="B53913" s="7"/>
    </row>
    <row r="53914" ht="15.75" customHeight="1">
      <c r="A53914" s="7"/>
      <c r="B53914" s="7"/>
    </row>
    <row r="53915" ht="15.75" customHeight="1">
      <c r="A53915" s="7"/>
      <c r="B53915" s="7"/>
    </row>
    <row r="53916" ht="15.75" customHeight="1">
      <c r="A53916" s="7"/>
      <c r="B53916" s="7"/>
    </row>
    <row r="53917" ht="15.75" customHeight="1">
      <c r="A53917" s="7"/>
      <c r="B53917" s="7"/>
    </row>
    <row r="53918" ht="15.75" customHeight="1">
      <c r="A53918" s="7"/>
      <c r="B53918" s="7"/>
    </row>
    <row r="53919" ht="15.75" customHeight="1">
      <c r="A53919" s="7"/>
      <c r="B53919" s="7"/>
    </row>
    <row r="53920" ht="15.75" customHeight="1">
      <c r="A53920" s="7"/>
      <c r="B53920" s="7"/>
    </row>
    <row r="53921" ht="15.75" customHeight="1">
      <c r="A53921" s="7"/>
      <c r="B53921" s="7"/>
    </row>
    <row r="53922" ht="15.75" customHeight="1">
      <c r="A53922" s="7"/>
      <c r="B53922" s="7"/>
    </row>
    <row r="53923" ht="15.75" customHeight="1">
      <c r="A53923" s="7"/>
      <c r="B53923" s="7"/>
    </row>
    <row r="53924" ht="15.75" customHeight="1">
      <c r="A53924" s="7"/>
      <c r="B53924" s="7"/>
    </row>
    <row r="53925" ht="15.75" customHeight="1">
      <c r="A53925" s="7"/>
      <c r="B53925" s="7"/>
    </row>
    <row r="53926" ht="15.75" customHeight="1">
      <c r="A53926" s="7"/>
      <c r="B53926" s="7"/>
    </row>
    <row r="53927" ht="15.75" customHeight="1">
      <c r="A53927" s="7"/>
      <c r="B53927" s="7"/>
    </row>
    <row r="53928" ht="15.75" customHeight="1">
      <c r="A53928" s="7"/>
      <c r="B53928" s="7"/>
    </row>
    <row r="53929" ht="15.75" customHeight="1">
      <c r="A53929" s="7"/>
      <c r="B53929" s="7"/>
    </row>
    <row r="53930" ht="15.75" customHeight="1">
      <c r="A53930" s="7"/>
      <c r="B53930" s="7"/>
    </row>
    <row r="53931" ht="15.75" customHeight="1">
      <c r="A53931" s="7"/>
      <c r="B53931" s="7"/>
    </row>
    <row r="53932" ht="15.75" customHeight="1">
      <c r="A53932" s="7"/>
      <c r="B53932" s="7"/>
    </row>
    <row r="53933" ht="15.75" customHeight="1">
      <c r="A53933" s="7"/>
      <c r="B53933" s="7"/>
    </row>
    <row r="53934" ht="15.75" customHeight="1">
      <c r="A53934" s="7"/>
      <c r="B53934" s="7"/>
    </row>
    <row r="53935" ht="15.75" customHeight="1">
      <c r="A53935" s="7"/>
      <c r="B53935" s="7"/>
    </row>
    <row r="53936" ht="15.75" customHeight="1">
      <c r="A53936" s="7"/>
      <c r="B53936" s="7"/>
    </row>
    <row r="53937" ht="15.75" customHeight="1">
      <c r="A53937" s="7"/>
      <c r="B53937" s="7"/>
    </row>
    <row r="53938" ht="15.75" customHeight="1">
      <c r="A53938" s="7"/>
      <c r="B53938" s="7"/>
    </row>
    <row r="53939" ht="15.75" customHeight="1">
      <c r="A53939" s="7"/>
      <c r="B53939" s="7"/>
    </row>
    <row r="53940" ht="15.75" customHeight="1">
      <c r="A53940" s="7"/>
      <c r="B53940" s="7"/>
    </row>
    <row r="53941" ht="15.75" customHeight="1">
      <c r="A53941" s="7"/>
      <c r="B53941" s="7"/>
    </row>
    <row r="53942" ht="15.75" customHeight="1">
      <c r="A53942" s="7"/>
      <c r="B53942" s="7"/>
    </row>
    <row r="53943" ht="15.75" customHeight="1">
      <c r="A53943" s="7"/>
      <c r="B53943" s="7"/>
    </row>
    <row r="53944" ht="15.75" customHeight="1">
      <c r="A53944" s="7"/>
      <c r="B53944" s="7"/>
    </row>
    <row r="53945" ht="15.75" customHeight="1">
      <c r="A53945" s="7"/>
      <c r="B53945" s="7"/>
    </row>
    <row r="53946" ht="15.75" customHeight="1">
      <c r="A53946" s="7"/>
      <c r="B53946" s="7"/>
    </row>
    <row r="53947" ht="15.75" customHeight="1">
      <c r="A53947" s="7"/>
      <c r="B53947" s="7"/>
    </row>
    <row r="53948" ht="15.75" customHeight="1">
      <c r="A53948" s="7"/>
      <c r="B53948" s="7"/>
    </row>
    <row r="53949" ht="15.75" customHeight="1">
      <c r="A53949" s="7"/>
      <c r="B53949" s="7"/>
    </row>
    <row r="53950" ht="15.75" customHeight="1">
      <c r="A53950" s="7"/>
      <c r="B53950" s="7"/>
    </row>
    <row r="53951" ht="15.75" customHeight="1">
      <c r="A53951" s="7"/>
      <c r="B53951" s="7"/>
    </row>
    <row r="53952" ht="15.75" customHeight="1">
      <c r="A53952" s="7"/>
      <c r="B53952" s="7"/>
    </row>
    <row r="53953" ht="15.75" customHeight="1">
      <c r="A53953" s="7"/>
      <c r="B53953" s="7"/>
    </row>
    <row r="53954" ht="15.75" customHeight="1">
      <c r="A53954" s="7"/>
      <c r="B53954" s="7"/>
    </row>
    <row r="53955" ht="15.75" customHeight="1">
      <c r="A53955" s="7"/>
      <c r="B53955" s="7"/>
    </row>
    <row r="53956" ht="15.75" customHeight="1">
      <c r="A53956" s="7"/>
      <c r="B53956" s="7"/>
    </row>
    <row r="53957" ht="15.75" customHeight="1">
      <c r="A53957" s="7"/>
      <c r="B53957" s="7"/>
    </row>
    <row r="53958" ht="15.75" customHeight="1">
      <c r="A53958" s="7"/>
      <c r="B53958" s="7"/>
    </row>
    <row r="53959" ht="15.75" customHeight="1">
      <c r="A53959" s="7"/>
      <c r="B53959" s="7"/>
    </row>
    <row r="53960" ht="15.75" customHeight="1">
      <c r="A53960" s="7"/>
      <c r="B53960" s="7"/>
    </row>
    <row r="53961" ht="15.75" customHeight="1">
      <c r="A53961" s="7"/>
      <c r="B53961" s="7"/>
    </row>
    <row r="53962" ht="15.75" customHeight="1">
      <c r="A53962" s="7"/>
      <c r="B53962" s="7"/>
    </row>
    <row r="53963" ht="15.75" customHeight="1">
      <c r="A53963" s="7"/>
      <c r="B53963" s="7"/>
    </row>
    <row r="53964" ht="15.75" customHeight="1">
      <c r="A53964" s="7"/>
      <c r="B53964" s="7"/>
    </row>
    <row r="53965" ht="15.75" customHeight="1">
      <c r="A53965" s="7"/>
      <c r="B53965" s="7"/>
    </row>
    <row r="53966" ht="15.75" customHeight="1">
      <c r="A53966" s="7"/>
      <c r="B53966" s="7"/>
    </row>
    <row r="53967" ht="15.75" customHeight="1">
      <c r="A53967" s="7"/>
      <c r="B53967" s="7"/>
    </row>
    <row r="53968" ht="15.75" customHeight="1">
      <c r="A53968" s="7"/>
      <c r="B53968" s="7"/>
    </row>
    <row r="53969" ht="15.75" customHeight="1">
      <c r="A53969" s="7"/>
      <c r="B53969" s="7"/>
    </row>
    <row r="53970" ht="15.75" customHeight="1">
      <c r="A53970" s="7"/>
      <c r="B53970" s="7"/>
    </row>
    <row r="53971" ht="15.75" customHeight="1">
      <c r="A53971" s="7"/>
      <c r="B53971" s="7"/>
    </row>
    <row r="53972" ht="15.75" customHeight="1">
      <c r="A53972" s="7"/>
      <c r="B53972" s="7"/>
    </row>
    <row r="53973" ht="15.75" customHeight="1">
      <c r="A53973" s="7"/>
      <c r="B53973" s="7"/>
    </row>
    <row r="53974" ht="15.75" customHeight="1">
      <c r="A53974" s="7"/>
      <c r="B53974" s="7"/>
    </row>
    <row r="53975" ht="15.75" customHeight="1">
      <c r="A53975" s="7"/>
      <c r="B53975" s="7"/>
    </row>
    <row r="53976" ht="15.75" customHeight="1">
      <c r="A53976" s="7"/>
      <c r="B53976" s="7"/>
    </row>
    <row r="53977" ht="15.75" customHeight="1">
      <c r="A53977" s="7"/>
      <c r="B53977" s="7"/>
    </row>
    <row r="53978" ht="15.75" customHeight="1">
      <c r="A53978" s="7"/>
      <c r="B53978" s="7"/>
    </row>
    <row r="53979" ht="15.75" customHeight="1">
      <c r="A53979" s="7"/>
      <c r="B53979" s="7"/>
    </row>
    <row r="53980" ht="15.75" customHeight="1">
      <c r="A53980" s="7"/>
      <c r="B53980" s="7"/>
    </row>
    <row r="53981" ht="15.75" customHeight="1">
      <c r="A53981" s="7"/>
      <c r="B53981" s="7"/>
    </row>
    <row r="53982" ht="15.75" customHeight="1">
      <c r="A53982" s="7"/>
      <c r="B53982" s="7"/>
    </row>
    <row r="53983" ht="15.75" customHeight="1">
      <c r="A53983" s="7"/>
      <c r="B53983" s="7"/>
    </row>
    <row r="53984" ht="15.75" customHeight="1">
      <c r="A53984" s="7"/>
      <c r="B53984" s="7"/>
    </row>
    <row r="53985" ht="15.75" customHeight="1">
      <c r="A53985" s="7"/>
      <c r="B53985" s="7"/>
    </row>
    <row r="53986" ht="15.75" customHeight="1">
      <c r="A53986" s="7"/>
      <c r="B53986" s="7"/>
    </row>
    <row r="53987" ht="15.75" customHeight="1">
      <c r="A53987" s="7"/>
      <c r="B53987" s="7"/>
    </row>
    <row r="53988" ht="15.75" customHeight="1">
      <c r="A53988" s="7"/>
      <c r="B53988" s="7"/>
    </row>
    <row r="53989" ht="15.75" customHeight="1">
      <c r="A53989" s="7"/>
      <c r="B53989" s="7"/>
    </row>
    <row r="53990" ht="15.75" customHeight="1">
      <c r="A53990" s="7"/>
      <c r="B53990" s="7"/>
    </row>
    <row r="53991" ht="15.75" customHeight="1">
      <c r="A53991" s="7"/>
      <c r="B53991" s="7"/>
    </row>
    <row r="53992" ht="15.75" customHeight="1">
      <c r="A53992" s="7"/>
      <c r="B53992" s="7"/>
    </row>
    <row r="53993" ht="15.75" customHeight="1">
      <c r="A53993" s="7"/>
      <c r="B53993" s="7"/>
    </row>
    <row r="53994" ht="15.75" customHeight="1">
      <c r="A53994" s="7"/>
      <c r="B53994" s="7"/>
    </row>
    <row r="53995" ht="15.75" customHeight="1">
      <c r="A53995" s="7"/>
      <c r="B53995" s="7"/>
    </row>
    <row r="53996" ht="15.75" customHeight="1">
      <c r="A53996" s="7"/>
      <c r="B53996" s="7"/>
    </row>
    <row r="53997" ht="15.75" customHeight="1">
      <c r="A53997" s="7"/>
      <c r="B53997" s="7"/>
    </row>
    <row r="53998" ht="15.75" customHeight="1">
      <c r="A53998" s="7"/>
      <c r="B53998" s="7"/>
    </row>
    <row r="53999" ht="15.75" customHeight="1">
      <c r="A53999" s="7"/>
      <c r="B53999" s="7"/>
    </row>
    <row r="54000" ht="15.75" customHeight="1">
      <c r="A54000" s="7"/>
      <c r="B54000" s="7"/>
    </row>
    <row r="54001" ht="15.75" customHeight="1">
      <c r="A54001" s="7"/>
      <c r="B54001" s="7"/>
    </row>
    <row r="54002" ht="15.75" customHeight="1">
      <c r="A54002" s="7"/>
      <c r="B54002" s="7"/>
    </row>
    <row r="54003" ht="15.75" customHeight="1">
      <c r="A54003" s="7"/>
      <c r="B54003" s="7"/>
    </row>
    <row r="54004" ht="15.75" customHeight="1">
      <c r="A54004" s="7"/>
      <c r="B54004" s="7"/>
    </row>
    <row r="54005" ht="15.75" customHeight="1">
      <c r="A54005" s="7"/>
      <c r="B54005" s="7"/>
    </row>
    <row r="54006" ht="15.75" customHeight="1">
      <c r="A54006" s="7"/>
      <c r="B54006" s="7"/>
    </row>
    <row r="54007" ht="15.75" customHeight="1">
      <c r="A54007" s="7"/>
      <c r="B54007" s="7"/>
    </row>
    <row r="54008" ht="15.75" customHeight="1">
      <c r="A54008" s="7"/>
      <c r="B54008" s="7"/>
    </row>
    <row r="54009" ht="15.75" customHeight="1">
      <c r="A54009" s="7"/>
      <c r="B54009" s="7"/>
    </row>
    <row r="54010" ht="15.75" customHeight="1">
      <c r="A54010" s="7"/>
      <c r="B54010" s="7"/>
    </row>
    <row r="54011" ht="15.75" customHeight="1">
      <c r="A54011" s="7"/>
      <c r="B54011" s="7"/>
    </row>
    <row r="54012" ht="15.75" customHeight="1">
      <c r="A54012" s="7"/>
      <c r="B54012" s="7"/>
    </row>
    <row r="54013" ht="15.75" customHeight="1">
      <c r="A54013" s="7"/>
      <c r="B54013" s="7"/>
    </row>
    <row r="54014" ht="15.75" customHeight="1">
      <c r="A54014" s="7"/>
      <c r="B54014" s="7"/>
    </row>
    <row r="54015" ht="15.75" customHeight="1">
      <c r="A54015" s="7"/>
      <c r="B54015" s="7"/>
    </row>
    <row r="54016" ht="15.75" customHeight="1">
      <c r="A54016" s="7"/>
      <c r="B54016" s="7"/>
    </row>
    <row r="54017" ht="15.75" customHeight="1">
      <c r="A54017" s="7"/>
      <c r="B54017" s="7"/>
    </row>
    <row r="54018" ht="15.75" customHeight="1">
      <c r="A54018" s="7"/>
      <c r="B54018" s="7"/>
    </row>
    <row r="54019" ht="15.75" customHeight="1">
      <c r="A54019" s="7"/>
      <c r="B54019" s="7"/>
    </row>
    <row r="54020" ht="15.75" customHeight="1">
      <c r="A54020" s="7"/>
      <c r="B54020" s="7"/>
    </row>
    <row r="54021" ht="15.75" customHeight="1">
      <c r="A54021" s="7"/>
      <c r="B54021" s="7"/>
    </row>
    <row r="54022" ht="15.75" customHeight="1">
      <c r="A54022" s="7"/>
      <c r="B54022" s="7"/>
    </row>
    <row r="54023" ht="15.75" customHeight="1">
      <c r="A54023" s="7"/>
      <c r="B54023" s="7"/>
    </row>
    <row r="54024" ht="15.75" customHeight="1">
      <c r="A54024" s="7"/>
      <c r="B54024" s="7"/>
    </row>
    <row r="54025" ht="15.75" customHeight="1">
      <c r="A54025" s="7"/>
      <c r="B54025" s="7"/>
    </row>
    <row r="54026" ht="15.75" customHeight="1">
      <c r="A54026" s="7"/>
      <c r="B54026" s="7"/>
    </row>
    <row r="54027" ht="15.75" customHeight="1">
      <c r="A54027" s="7"/>
      <c r="B54027" s="7"/>
    </row>
    <row r="54028" ht="15.75" customHeight="1">
      <c r="A54028" s="7"/>
      <c r="B54028" s="7"/>
    </row>
    <row r="54029" ht="15.75" customHeight="1">
      <c r="A54029" s="7"/>
      <c r="B54029" s="7"/>
    </row>
    <row r="54030" ht="15.75" customHeight="1">
      <c r="A54030" s="7"/>
      <c r="B54030" s="7"/>
    </row>
    <row r="54031" ht="15.75" customHeight="1">
      <c r="A54031" s="7"/>
      <c r="B54031" s="7"/>
    </row>
    <row r="54032" ht="15.75" customHeight="1">
      <c r="A54032" s="7"/>
      <c r="B54032" s="7"/>
    </row>
    <row r="54033" ht="15.75" customHeight="1">
      <c r="A54033" s="7"/>
      <c r="B54033" s="7"/>
    </row>
    <row r="54034" ht="15.75" customHeight="1">
      <c r="A54034" s="7"/>
      <c r="B54034" s="7"/>
    </row>
    <row r="54035" ht="15.75" customHeight="1">
      <c r="A54035" s="7"/>
      <c r="B54035" s="7"/>
    </row>
    <row r="54036" ht="15.75" customHeight="1">
      <c r="A54036" s="7"/>
      <c r="B54036" s="7"/>
    </row>
    <row r="54037" ht="15.75" customHeight="1">
      <c r="A54037" s="7"/>
      <c r="B54037" s="7"/>
    </row>
    <row r="54038" ht="15.75" customHeight="1">
      <c r="A54038" s="7"/>
      <c r="B54038" s="7"/>
    </row>
    <row r="54039" ht="15.75" customHeight="1">
      <c r="A54039" s="7"/>
      <c r="B54039" s="7"/>
    </row>
    <row r="54040" ht="15.75" customHeight="1">
      <c r="A54040" s="7"/>
      <c r="B54040" s="7"/>
    </row>
    <row r="54041" ht="15.75" customHeight="1">
      <c r="A54041" s="7"/>
      <c r="B54041" s="7"/>
    </row>
    <row r="54042" ht="15.75" customHeight="1">
      <c r="A54042" s="7"/>
      <c r="B54042" s="7"/>
    </row>
    <row r="54043" ht="15.75" customHeight="1">
      <c r="A54043" s="7"/>
      <c r="B54043" s="7"/>
    </row>
    <row r="54044" ht="15.75" customHeight="1">
      <c r="A54044" s="7"/>
      <c r="B54044" s="7"/>
    </row>
    <row r="54045" ht="15.75" customHeight="1">
      <c r="A54045" s="7"/>
      <c r="B54045" s="7"/>
    </row>
    <row r="54046" ht="15.75" customHeight="1">
      <c r="A54046" s="7"/>
      <c r="B54046" s="7"/>
    </row>
    <row r="54047" ht="15.75" customHeight="1">
      <c r="A54047" s="7"/>
      <c r="B54047" s="7"/>
    </row>
    <row r="54048" ht="15.75" customHeight="1">
      <c r="A54048" s="7"/>
      <c r="B54048" s="7"/>
    </row>
    <row r="54049" ht="15.75" customHeight="1">
      <c r="A54049" s="7"/>
      <c r="B54049" s="7"/>
    </row>
    <row r="54050" ht="15.75" customHeight="1">
      <c r="A54050" s="7"/>
      <c r="B54050" s="7"/>
    </row>
    <row r="54051" ht="15.75" customHeight="1">
      <c r="A54051" s="7"/>
      <c r="B54051" s="7"/>
    </row>
    <row r="54052" ht="15.75" customHeight="1">
      <c r="A54052" s="7"/>
      <c r="B54052" s="7"/>
    </row>
    <row r="54053" ht="15.75" customHeight="1">
      <c r="A54053" s="7"/>
      <c r="B54053" s="7"/>
    </row>
    <row r="54054" ht="15.75" customHeight="1">
      <c r="A54054" s="7"/>
      <c r="B54054" s="7"/>
    </row>
    <row r="54055" ht="15.75" customHeight="1">
      <c r="A54055" s="7"/>
      <c r="B54055" s="7"/>
    </row>
    <row r="54056" ht="15.75" customHeight="1">
      <c r="A54056" s="7"/>
      <c r="B54056" s="7"/>
    </row>
    <row r="54057" ht="15.75" customHeight="1">
      <c r="A54057" s="7"/>
      <c r="B54057" s="7"/>
    </row>
    <row r="54058" ht="15.75" customHeight="1">
      <c r="A54058" s="7"/>
      <c r="B54058" s="7"/>
    </row>
    <row r="54059" ht="15.75" customHeight="1">
      <c r="A54059" s="7"/>
      <c r="B54059" s="7"/>
    </row>
    <row r="54060" ht="15.75" customHeight="1">
      <c r="A54060" s="7"/>
      <c r="B54060" s="7"/>
    </row>
    <row r="54061" ht="15.75" customHeight="1">
      <c r="A54061" s="7"/>
      <c r="B54061" s="7"/>
    </row>
    <row r="54062" ht="15.75" customHeight="1">
      <c r="A54062" s="7"/>
      <c r="B54062" s="7"/>
    </row>
    <row r="54063" ht="15.75" customHeight="1">
      <c r="A54063" s="7"/>
      <c r="B54063" s="7"/>
    </row>
    <row r="54064" ht="15.75" customHeight="1">
      <c r="A54064" s="7"/>
      <c r="B54064" s="7"/>
    </row>
    <row r="54065" ht="15.75" customHeight="1">
      <c r="A54065" s="7"/>
      <c r="B54065" s="7"/>
    </row>
    <row r="54066" ht="15.75" customHeight="1">
      <c r="A54066" s="7"/>
      <c r="B54066" s="7"/>
    </row>
    <row r="54067" ht="15.75" customHeight="1">
      <c r="A54067" s="7"/>
      <c r="B54067" s="7"/>
    </row>
    <row r="54068" ht="15.75" customHeight="1">
      <c r="A54068" s="7"/>
      <c r="B54068" s="7"/>
    </row>
    <row r="54069" ht="15.75" customHeight="1">
      <c r="A54069" s="7"/>
      <c r="B54069" s="7"/>
    </row>
    <row r="54070" ht="15.75" customHeight="1">
      <c r="A54070" s="7"/>
      <c r="B54070" s="7"/>
    </row>
    <row r="54071" ht="15.75" customHeight="1">
      <c r="A54071" s="7"/>
      <c r="B54071" s="7"/>
    </row>
    <row r="54072" ht="15.75" customHeight="1">
      <c r="A54072" s="7"/>
      <c r="B54072" s="7"/>
    </row>
    <row r="54073" ht="15.75" customHeight="1">
      <c r="A54073" s="7"/>
      <c r="B54073" s="7"/>
    </row>
    <row r="54074" ht="15.75" customHeight="1">
      <c r="A54074" s="7"/>
      <c r="B54074" s="7"/>
    </row>
    <row r="54075" ht="15.75" customHeight="1">
      <c r="A54075" s="7"/>
      <c r="B54075" s="7"/>
    </row>
    <row r="54076" ht="15.75" customHeight="1">
      <c r="A54076" s="7"/>
      <c r="B54076" s="7"/>
    </row>
    <row r="54077" ht="15.75" customHeight="1">
      <c r="A54077" s="7"/>
      <c r="B54077" s="7"/>
    </row>
    <row r="54078" ht="15.75" customHeight="1">
      <c r="A54078" s="7"/>
      <c r="B54078" s="7"/>
    </row>
    <row r="54079" ht="15.75" customHeight="1">
      <c r="A54079" s="7"/>
      <c r="B54079" s="7"/>
    </row>
    <row r="54080" ht="15.75" customHeight="1">
      <c r="A54080" s="7"/>
      <c r="B54080" s="7"/>
    </row>
    <row r="54081" ht="15.75" customHeight="1">
      <c r="A54081" s="7"/>
      <c r="B54081" s="7"/>
    </row>
    <row r="54082" ht="15.75" customHeight="1">
      <c r="A54082" s="7"/>
      <c r="B54082" s="7"/>
    </row>
    <row r="54083" ht="15.75" customHeight="1">
      <c r="A54083" s="7"/>
      <c r="B54083" s="7"/>
    </row>
    <row r="54084" ht="15.75" customHeight="1">
      <c r="A54084" s="7"/>
      <c r="B54084" s="7"/>
    </row>
    <row r="54085" ht="15.75" customHeight="1">
      <c r="A54085" s="7"/>
      <c r="B54085" s="7"/>
    </row>
    <row r="54086" ht="15.75" customHeight="1">
      <c r="A54086" s="7"/>
      <c r="B54086" s="7"/>
    </row>
    <row r="54087" ht="15.75" customHeight="1">
      <c r="A54087" s="7"/>
      <c r="B54087" s="7"/>
    </row>
    <row r="54088" ht="15.75" customHeight="1">
      <c r="A54088" s="7"/>
      <c r="B54088" s="7"/>
    </row>
    <row r="54089" ht="15.75" customHeight="1">
      <c r="A54089" s="7"/>
      <c r="B54089" s="7"/>
    </row>
    <row r="54090" ht="15.75" customHeight="1">
      <c r="A54090" s="7"/>
      <c r="B54090" s="7"/>
    </row>
    <row r="54091" ht="15.75" customHeight="1">
      <c r="A54091" s="7"/>
      <c r="B54091" s="7"/>
    </row>
    <row r="54092" ht="15.75" customHeight="1">
      <c r="A54092" s="7"/>
      <c r="B54092" s="7"/>
    </row>
    <row r="54093" ht="15.75" customHeight="1">
      <c r="A54093" s="7"/>
      <c r="B54093" s="7"/>
    </row>
    <row r="54094" ht="15.75" customHeight="1">
      <c r="A54094" s="7"/>
      <c r="B54094" s="7"/>
    </row>
    <row r="54095" ht="15.75" customHeight="1">
      <c r="A54095" s="7"/>
      <c r="B54095" s="7"/>
    </row>
    <row r="54096" ht="15.75" customHeight="1">
      <c r="A54096" s="7"/>
      <c r="B54096" s="7"/>
    </row>
    <row r="54097" ht="15.75" customHeight="1">
      <c r="A54097" s="7"/>
      <c r="B54097" s="7"/>
    </row>
    <row r="54098" ht="15.75" customHeight="1">
      <c r="A54098" s="7"/>
      <c r="B54098" s="7"/>
    </row>
    <row r="54099" ht="15.75" customHeight="1">
      <c r="A54099" s="7"/>
      <c r="B54099" s="7"/>
    </row>
    <row r="54100" ht="15.75" customHeight="1">
      <c r="A54100" s="7"/>
      <c r="B54100" s="7"/>
    </row>
    <row r="54101" ht="15.75" customHeight="1">
      <c r="A54101" s="7"/>
      <c r="B54101" s="7"/>
    </row>
    <row r="54102" ht="15.75" customHeight="1">
      <c r="A54102" s="7"/>
      <c r="B54102" s="7"/>
    </row>
    <row r="54103" ht="15.75" customHeight="1">
      <c r="A54103" s="7"/>
      <c r="B54103" s="7"/>
    </row>
    <row r="54104" ht="15.75" customHeight="1">
      <c r="A54104" s="7"/>
      <c r="B54104" s="7"/>
    </row>
    <row r="54105" ht="15.75" customHeight="1">
      <c r="A54105" s="7"/>
      <c r="B54105" s="7"/>
    </row>
    <row r="54106" ht="15.75" customHeight="1">
      <c r="A54106" s="7"/>
      <c r="B54106" s="7"/>
    </row>
    <row r="54107" ht="15.75" customHeight="1">
      <c r="A54107" s="7"/>
      <c r="B54107" s="7"/>
    </row>
    <row r="54108" ht="15.75" customHeight="1">
      <c r="A54108" s="7"/>
      <c r="B54108" s="7"/>
    </row>
    <row r="54109" ht="15.75" customHeight="1">
      <c r="A54109" s="7"/>
      <c r="B54109" s="7"/>
    </row>
    <row r="54110" ht="15.75" customHeight="1">
      <c r="A54110" s="7"/>
      <c r="B54110" s="7"/>
    </row>
    <row r="54111" ht="15.75" customHeight="1">
      <c r="A54111" s="7"/>
      <c r="B54111" s="7"/>
    </row>
    <row r="54112" ht="15.75" customHeight="1">
      <c r="A54112" s="7"/>
      <c r="B54112" s="7"/>
    </row>
    <row r="54113" ht="15.75" customHeight="1">
      <c r="A54113" s="7"/>
      <c r="B54113" s="7"/>
    </row>
    <row r="54114" ht="15.75" customHeight="1">
      <c r="A54114" s="7"/>
      <c r="B54114" s="7"/>
    </row>
    <row r="54115" ht="15.75" customHeight="1">
      <c r="A54115" s="7"/>
      <c r="B54115" s="7"/>
    </row>
    <row r="54116" ht="15.75" customHeight="1">
      <c r="A54116" s="7"/>
      <c r="B54116" s="7"/>
    </row>
    <row r="54117" ht="15.75" customHeight="1">
      <c r="A54117" s="7"/>
      <c r="B54117" s="7"/>
    </row>
    <row r="54118" ht="15.75" customHeight="1">
      <c r="A54118" s="7"/>
      <c r="B54118" s="7"/>
    </row>
    <row r="54119" ht="15.75" customHeight="1">
      <c r="A54119" s="7"/>
      <c r="B54119" s="7"/>
    </row>
    <row r="54120" ht="15.75" customHeight="1">
      <c r="A54120" s="7"/>
      <c r="B54120" s="7"/>
    </row>
    <row r="54121" ht="15.75" customHeight="1">
      <c r="A54121" s="7"/>
      <c r="B54121" s="7"/>
    </row>
    <row r="54122" ht="15.75" customHeight="1">
      <c r="A54122" s="7"/>
      <c r="B54122" s="7"/>
    </row>
    <row r="54123" ht="15.75" customHeight="1">
      <c r="A54123" s="7"/>
      <c r="B54123" s="7"/>
    </row>
    <row r="54124" ht="15.75" customHeight="1">
      <c r="A54124" s="7"/>
      <c r="B54124" s="7"/>
    </row>
    <row r="54125" ht="15.75" customHeight="1">
      <c r="A54125" s="7"/>
      <c r="B54125" s="7"/>
    </row>
    <row r="54126" ht="15.75" customHeight="1">
      <c r="A54126" s="7"/>
      <c r="B54126" s="7"/>
    </row>
    <row r="54127" ht="15.75" customHeight="1">
      <c r="A54127" s="7"/>
      <c r="B54127" s="7"/>
    </row>
    <row r="54128" ht="15.75" customHeight="1">
      <c r="A54128" s="7"/>
      <c r="B54128" s="7"/>
    </row>
    <row r="54129" ht="15.75" customHeight="1">
      <c r="A54129" s="7"/>
      <c r="B54129" s="7"/>
    </row>
    <row r="54130" ht="15.75" customHeight="1">
      <c r="A54130" s="7"/>
      <c r="B54130" s="7"/>
    </row>
    <row r="54131" ht="15.75" customHeight="1">
      <c r="A54131" s="7"/>
      <c r="B54131" s="7"/>
    </row>
    <row r="54132" ht="15.75" customHeight="1">
      <c r="A54132" s="7"/>
      <c r="B54132" s="7"/>
    </row>
    <row r="54133" ht="15.75" customHeight="1">
      <c r="A54133" s="7"/>
      <c r="B54133" s="7"/>
    </row>
    <row r="54134" ht="15.75" customHeight="1">
      <c r="A54134" s="7"/>
      <c r="B54134" s="7"/>
    </row>
    <row r="54135" ht="15.75" customHeight="1">
      <c r="A54135" s="7"/>
      <c r="B54135" s="7"/>
    </row>
    <row r="54136" ht="15.75" customHeight="1">
      <c r="A54136" s="7"/>
      <c r="B54136" s="7"/>
    </row>
    <row r="54137" ht="15.75" customHeight="1">
      <c r="A54137" s="7"/>
      <c r="B54137" s="7"/>
    </row>
    <row r="54138" ht="15.75" customHeight="1">
      <c r="A54138" s="7"/>
      <c r="B54138" s="7"/>
    </row>
    <row r="54139" ht="15.75" customHeight="1">
      <c r="A54139" s="7"/>
      <c r="B54139" s="7"/>
    </row>
    <row r="54140" ht="15.75" customHeight="1">
      <c r="A54140" s="7"/>
      <c r="B54140" s="7"/>
    </row>
    <row r="54141" ht="15.75" customHeight="1">
      <c r="A54141" s="7"/>
      <c r="B54141" s="7"/>
    </row>
    <row r="54142" ht="15.75" customHeight="1">
      <c r="A54142" s="7"/>
      <c r="B54142" s="7"/>
    </row>
    <row r="54143" ht="15.75" customHeight="1">
      <c r="A54143" s="7"/>
      <c r="B54143" s="7"/>
    </row>
    <row r="54144" ht="15.75" customHeight="1">
      <c r="A54144" s="7"/>
      <c r="B54144" s="7"/>
    </row>
    <row r="54145" ht="15.75" customHeight="1">
      <c r="A54145" s="7"/>
      <c r="B54145" s="7"/>
    </row>
    <row r="54146" ht="15.75" customHeight="1">
      <c r="A54146" s="7"/>
      <c r="B54146" s="7"/>
    </row>
    <row r="54147" ht="15.75" customHeight="1">
      <c r="A54147" s="7"/>
      <c r="B54147" s="7"/>
    </row>
    <row r="54148" ht="15.75" customHeight="1">
      <c r="A54148" s="7"/>
      <c r="B54148" s="7"/>
    </row>
    <row r="54149" ht="15.75" customHeight="1">
      <c r="A54149" s="7"/>
      <c r="B54149" s="7"/>
    </row>
    <row r="54150" ht="15.75" customHeight="1">
      <c r="A54150" s="7"/>
      <c r="B54150" s="7"/>
    </row>
    <row r="54151" ht="15.75" customHeight="1">
      <c r="A54151" s="7"/>
      <c r="B54151" s="7"/>
    </row>
    <row r="54152" ht="15.75" customHeight="1">
      <c r="A54152" s="7"/>
      <c r="B54152" s="7"/>
    </row>
    <row r="54153" ht="15.75" customHeight="1">
      <c r="A54153" s="7"/>
      <c r="B54153" s="7"/>
    </row>
    <row r="54154" ht="15.75" customHeight="1">
      <c r="A54154" s="7"/>
      <c r="B54154" s="7"/>
    </row>
    <row r="54155" ht="15.75" customHeight="1">
      <c r="A54155" s="7"/>
      <c r="B54155" s="7"/>
    </row>
    <row r="54156" ht="15.75" customHeight="1">
      <c r="A54156" s="7"/>
      <c r="B54156" s="7"/>
    </row>
    <row r="54157" ht="15.75" customHeight="1">
      <c r="A54157" s="7"/>
      <c r="B54157" s="7"/>
    </row>
    <row r="54158" ht="15.75" customHeight="1">
      <c r="A54158" s="7"/>
      <c r="B54158" s="7"/>
    </row>
    <row r="54159" ht="15.75" customHeight="1">
      <c r="A54159" s="7"/>
      <c r="B54159" s="7"/>
    </row>
    <row r="54160" ht="15.75" customHeight="1">
      <c r="A54160" s="7"/>
      <c r="B54160" s="7"/>
    </row>
    <row r="54161" ht="15.75" customHeight="1">
      <c r="A54161" s="7"/>
      <c r="B54161" s="7"/>
    </row>
    <row r="54162" ht="15.75" customHeight="1">
      <c r="A54162" s="7"/>
      <c r="B54162" s="7"/>
    </row>
    <row r="54163" ht="15.75" customHeight="1">
      <c r="A54163" s="7"/>
      <c r="B54163" s="7"/>
    </row>
    <row r="54164" ht="15.75" customHeight="1">
      <c r="A54164" s="7"/>
      <c r="B54164" s="7"/>
    </row>
    <row r="54165" ht="15.75" customHeight="1">
      <c r="A54165" s="7"/>
      <c r="B54165" s="7"/>
    </row>
    <row r="54166" ht="15.75" customHeight="1">
      <c r="A54166" s="7"/>
      <c r="B54166" s="7"/>
    </row>
    <row r="54167" ht="15.75" customHeight="1">
      <c r="A54167" s="7"/>
      <c r="B54167" s="7"/>
    </row>
    <row r="54168" ht="15.75" customHeight="1">
      <c r="A54168" s="7"/>
      <c r="B54168" s="7"/>
    </row>
    <row r="54169" ht="15.75" customHeight="1">
      <c r="A54169" s="7"/>
      <c r="B54169" s="7"/>
    </row>
    <row r="54170" ht="15.75" customHeight="1">
      <c r="A54170" s="7"/>
      <c r="B54170" s="7"/>
    </row>
    <row r="54171" ht="15.75" customHeight="1">
      <c r="A54171" s="7"/>
      <c r="B54171" s="7"/>
    </row>
    <row r="54172" ht="15.75" customHeight="1">
      <c r="A54172" s="7"/>
      <c r="B54172" s="7"/>
    </row>
    <row r="54173" ht="15.75" customHeight="1">
      <c r="A54173" s="7"/>
      <c r="B54173" s="7"/>
    </row>
    <row r="54174" ht="15.75" customHeight="1">
      <c r="A54174" s="7"/>
      <c r="B54174" s="7"/>
    </row>
    <row r="54175" ht="15.75" customHeight="1">
      <c r="A54175" s="7"/>
      <c r="B54175" s="7"/>
    </row>
    <row r="54176" ht="15.75" customHeight="1">
      <c r="A54176" s="7"/>
      <c r="B54176" s="7"/>
    </row>
    <row r="54177" ht="15.75" customHeight="1">
      <c r="A54177" s="7"/>
      <c r="B54177" s="7"/>
    </row>
    <row r="54178" ht="15.75" customHeight="1">
      <c r="A54178" s="7"/>
      <c r="B54178" s="7"/>
    </row>
    <row r="54179" ht="15.75" customHeight="1">
      <c r="A54179" s="7"/>
      <c r="B54179" s="7"/>
    </row>
    <row r="54180" ht="15.75" customHeight="1">
      <c r="A54180" s="7"/>
      <c r="B54180" s="7"/>
    </row>
    <row r="54181" ht="15.75" customHeight="1">
      <c r="A54181" s="7"/>
      <c r="B54181" s="7"/>
    </row>
    <row r="54182" ht="15.75" customHeight="1">
      <c r="A54182" s="7"/>
      <c r="B54182" s="7"/>
    </row>
    <row r="54183" ht="15.75" customHeight="1">
      <c r="A54183" s="7"/>
      <c r="B54183" s="7"/>
    </row>
    <row r="54184" ht="15.75" customHeight="1">
      <c r="A54184" s="7"/>
      <c r="B54184" s="7"/>
    </row>
    <row r="54185" ht="15.75" customHeight="1">
      <c r="A54185" s="7"/>
      <c r="B54185" s="7"/>
    </row>
    <row r="54186" ht="15.75" customHeight="1">
      <c r="A54186" s="7"/>
      <c r="B54186" s="7"/>
    </row>
    <row r="54187" ht="15.75" customHeight="1">
      <c r="A54187" s="7"/>
      <c r="B54187" s="7"/>
    </row>
    <row r="54188" ht="15.75" customHeight="1">
      <c r="A54188" s="7"/>
      <c r="B54188" s="7"/>
    </row>
    <row r="54189" ht="15.75" customHeight="1">
      <c r="A54189" s="7"/>
      <c r="B54189" s="7"/>
    </row>
    <row r="54190" ht="15.75" customHeight="1">
      <c r="A54190" s="7"/>
      <c r="B54190" s="7"/>
    </row>
    <row r="54191" ht="15.75" customHeight="1">
      <c r="A54191" s="7"/>
      <c r="B54191" s="7"/>
    </row>
    <row r="54192" ht="15.75" customHeight="1">
      <c r="A54192" s="7"/>
      <c r="B54192" s="7"/>
    </row>
    <row r="54193" ht="15.75" customHeight="1">
      <c r="A54193" s="7"/>
      <c r="B54193" s="7"/>
    </row>
    <row r="54194" ht="15.75" customHeight="1">
      <c r="A54194" s="7"/>
      <c r="B54194" s="7"/>
    </row>
    <row r="54195" ht="15.75" customHeight="1">
      <c r="A54195" s="7"/>
      <c r="B54195" s="7"/>
    </row>
    <row r="54196" ht="15.75" customHeight="1">
      <c r="A54196" s="7"/>
      <c r="B54196" s="7"/>
    </row>
    <row r="54197" ht="15.75" customHeight="1">
      <c r="A54197" s="7"/>
      <c r="B54197" s="7"/>
    </row>
    <row r="54198" ht="15.75" customHeight="1">
      <c r="A54198" s="7"/>
      <c r="B54198" s="7"/>
    </row>
    <row r="54199" ht="15.75" customHeight="1">
      <c r="A54199" s="7"/>
      <c r="B54199" s="7"/>
    </row>
    <row r="54200" ht="15.75" customHeight="1">
      <c r="A54200" s="7"/>
      <c r="B54200" s="7"/>
    </row>
    <row r="54201" ht="15.75" customHeight="1">
      <c r="A54201" s="7"/>
      <c r="B54201" s="7"/>
    </row>
    <row r="54202" ht="15.75" customHeight="1">
      <c r="A54202" s="7"/>
      <c r="B54202" s="7"/>
    </row>
    <row r="54203" ht="15.75" customHeight="1">
      <c r="A54203" s="7"/>
      <c r="B54203" s="7"/>
    </row>
    <row r="54204" ht="15.75" customHeight="1">
      <c r="A54204" s="7"/>
      <c r="B54204" s="7"/>
    </row>
    <row r="54205" ht="15.75" customHeight="1">
      <c r="A54205" s="7"/>
      <c r="B54205" s="7"/>
    </row>
    <row r="54206" ht="15.75" customHeight="1">
      <c r="A54206" s="7"/>
      <c r="B54206" s="7"/>
    </row>
    <row r="54207" ht="15.75" customHeight="1">
      <c r="A54207" s="7"/>
      <c r="B54207" s="7"/>
    </row>
    <row r="54208" ht="15.75" customHeight="1">
      <c r="A54208" s="7"/>
      <c r="B54208" s="7"/>
    </row>
    <row r="54209" ht="15.75" customHeight="1">
      <c r="A54209" s="7"/>
      <c r="B54209" s="7"/>
    </row>
    <row r="54210" ht="15.75" customHeight="1">
      <c r="A54210" s="7"/>
      <c r="B54210" s="7"/>
    </row>
    <row r="54211" ht="15.75" customHeight="1">
      <c r="A54211" s="7"/>
      <c r="B54211" s="7"/>
    </row>
    <row r="54212" ht="15.75" customHeight="1">
      <c r="A54212" s="7"/>
      <c r="B54212" s="7"/>
    </row>
    <row r="54213" ht="15.75" customHeight="1">
      <c r="A54213" s="7"/>
      <c r="B54213" s="7"/>
    </row>
    <row r="54214" ht="15.75" customHeight="1">
      <c r="A54214" s="7"/>
      <c r="B54214" s="7"/>
    </row>
    <row r="54215" ht="15.75" customHeight="1">
      <c r="A54215" s="7"/>
      <c r="B54215" s="7"/>
    </row>
    <row r="54216" ht="15.75" customHeight="1">
      <c r="A54216" s="7"/>
      <c r="B54216" s="7"/>
    </row>
    <row r="54217" ht="15.75" customHeight="1">
      <c r="A54217" s="7"/>
      <c r="B54217" s="7"/>
    </row>
    <row r="54218" ht="15.75" customHeight="1">
      <c r="A54218" s="7"/>
      <c r="B54218" s="7"/>
    </row>
    <row r="54219" ht="15.75" customHeight="1">
      <c r="A54219" s="7"/>
      <c r="B54219" s="7"/>
    </row>
    <row r="54220" ht="15.75" customHeight="1">
      <c r="A54220" s="7"/>
      <c r="B54220" s="7"/>
    </row>
    <row r="54221" ht="15.75" customHeight="1">
      <c r="A54221" s="7"/>
      <c r="B54221" s="7"/>
    </row>
    <row r="54222" ht="15.75" customHeight="1">
      <c r="A54222" s="7"/>
      <c r="B54222" s="7"/>
    </row>
    <row r="54223" ht="15.75" customHeight="1">
      <c r="A54223" s="7"/>
      <c r="B54223" s="7"/>
    </row>
    <row r="54224" ht="15.75" customHeight="1">
      <c r="A54224" s="7"/>
      <c r="B54224" s="7"/>
    </row>
    <row r="54225" ht="15.75" customHeight="1">
      <c r="A54225" s="7"/>
      <c r="B54225" s="7"/>
    </row>
    <row r="54226" ht="15.75" customHeight="1">
      <c r="A54226" s="7"/>
      <c r="B54226" s="7"/>
    </row>
    <row r="54227" ht="15.75" customHeight="1">
      <c r="A54227" s="7"/>
      <c r="B54227" s="7"/>
    </row>
    <row r="54228" ht="15.75" customHeight="1">
      <c r="A54228" s="7"/>
      <c r="B54228" s="7"/>
    </row>
    <row r="54229" ht="15.75" customHeight="1">
      <c r="A54229" s="7"/>
      <c r="B54229" s="7"/>
    </row>
    <row r="54230" ht="15.75" customHeight="1">
      <c r="A54230" s="7"/>
      <c r="B54230" s="7"/>
    </row>
    <row r="54231" ht="15.75" customHeight="1">
      <c r="A54231" s="7"/>
      <c r="B54231" s="7"/>
    </row>
    <row r="54232" ht="15.75" customHeight="1">
      <c r="A54232" s="7"/>
      <c r="B54232" s="7"/>
    </row>
    <row r="54233" ht="15.75" customHeight="1">
      <c r="A54233" s="7"/>
      <c r="B54233" s="7"/>
    </row>
    <row r="54234" ht="15.75" customHeight="1">
      <c r="A54234" s="7"/>
      <c r="B54234" s="7"/>
    </row>
    <row r="54235" ht="15.75" customHeight="1">
      <c r="A54235" s="7"/>
      <c r="B54235" s="7"/>
    </row>
    <row r="54236" ht="15.75" customHeight="1">
      <c r="A54236" s="7"/>
      <c r="B54236" s="7"/>
    </row>
    <row r="54237" ht="15.75" customHeight="1">
      <c r="A54237" s="7"/>
      <c r="B54237" s="7"/>
    </row>
    <row r="54238" ht="15.75" customHeight="1">
      <c r="A54238" s="7"/>
      <c r="B54238" s="7"/>
    </row>
    <row r="54239" ht="15.75" customHeight="1">
      <c r="A54239" s="7"/>
      <c r="B54239" s="7"/>
    </row>
    <row r="54240" ht="15.75" customHeight="1">
      <c r="A54240" s="7"/>
      <c r="B54240" s="7"/>
    </row>
    <row r="54241" ht="15.75" customHeight="1">
      <c r="A54241" s="7"/>
      <c r="B54241" s="7"/>
    </row>
    <row r="54242" ht="15.75" customHeight="1">
      <c r="A54242" s="7"/>
      <c r="B54242" s="7"/>
    </row>
    <row r="54243" ht="15.75" customHeight="1">
      <c r="A54243" s="7"/>
      <c r="B54243" s="7"/>
    </row>
    <row r="54244" ht="15.75" customHeight="1">
      <c r="A54244" s="7"/>
      <c r="B54244" s="7"/>
    </row>
    <row r="54245" ht="15.75" customHeight="1">
      <c r="A54245" s="7"/>
      <c r="B54245" s="7"/>
    </row>
    <row r="54246" ht="15.75" customHeight="1">
      <c r="A54246" s="7"/>
      <c r="B54246" s="7"/>
    </row>
    <row r="54247" ht="15.75" customHeight="1">
      <c r="A54247" s="7"/>
      <c r="B54247" s="7"/>
    </row>
    <row r="54248" ht="15.75" customHeight="1">
      <c r="A54248" s="7"/>
      <c r="B54248" s="7"/>
    </row>
    <row r="54249" ht="15.75" customHeight="1">
      <c r="A54249" s="7"/>
      <c r="B54249" s="7"/>
    </row>
    <row r="54250" ht="15.75" customHeight="1">
      <c r="A54250" s="7"/>
      <c r="B54250" s="7"/>
    </row>
    <row r="54251" ht="15.75" customHeight="1">
      <c r="A54251" s="7"/>
      <c r="B54251" s="7"/>
    </row>
    <row r="54252" ht="15.75" customHeight="1">
      <c r="A54252" s="7"/>
      <c r="B54252" s="7"/>
    </row>
    <row r="54253" ht="15.75" customHeight="1">
      <c r="A54253" s="7"/>
      <c r="B54253" s="7"/>
    </row>
    <row r="54254" ht="15.75" customHeight="1">
      <c r="A54254" s="7"/>
      <c r="B54254" s="7"/>
    </row>
    <row r="54255" ht="15.75" customHeight="1">
      <c r="A54255" s="7"/>
      <c r="B54255" s="7"/>
    </row>
    <row r="54256" ht="15.75" customHeight="1">
      <c r="A54256" s="7"/>
      <c r="B54256" s="7"/>
    </row>
    <row r="54257" ht="15.75" customHeight="1">
      <c r="A54257" s="7"/>
      <c r="B54257" s="7"/>
    </row>
    <row r="54258" ht="15.75" customHeight="1">
      <c r="A54258" s="7"/>
      <c r="B54258" s="7"/>
    </row>
    <row r="54259" ht="15.75" customHeight="1">
      <c r="A54259" s="7"/>
      <c r="B54259" s="7"/>
    </row>
    <row r="54260" ht="15.75" customHeight="1">
      <c r="A54260" s="7"/>
      <c r="B54260" s="7"/>
    </row>
    <row r="54261" ht="15.75" customHeight="1">
      <c r="A54261" s="7"/>
      <c r="B54261" s="7"/>
    </row>
    <row r="54262" ht="15.75" customHeight="1">
      <c r="A54262" s="7"/>
      <c r="B54262" s="7"/>
    </row>
    <row r="54263" ht="15.75" customHeight="1">
      <c r="A54263" s="7"/>
      <c r="B54263" s="7"/>
    </row>
    <row r="54264" ht="15.75" customHeight="1">
      <c r="A54264" s="7"/>
      <c r="B54264" s="7"/>
    </row>
    <row r="54265" ht="15.75" customHeight="1">
      <c r="A54265" s="7"/>
      <c r="B54265" s="7"/>
    </row>
    <row r="54266" ht="15.75" customHeight="1">
      <c r="A54266" s="7"/>
      <c r="B54266" s="7"/>
    </row>
    <row r="54267" ht="15.75" customHeight="1">
      <c r="A54267" s="7"/>
      <c r="B54267" s="7"/>
    </row>
    <row r="54268" ht="15.75" customHeight="1">
      <c r="A54268" s="7"/>
      <c r="B54268" s="7"/>
    </row>
    <row r="54269" ht="15.75" customHeight="1">
      <c r="A54269" s="7"/>
      <c r="B54269" s="7"/>
    </row>
    <row r="54270" ht="15.75" customHeight="1">
      <c r="A54270" s="7"/>
      <c r="B54270" s="7"/>
    </row>
    <row r="54271" ht="15.75" customHeight="1">
      <c r="A54271" s="7"/>
      <c r="B54271" s="7"/>
    </row>
    <row r="54272" ht="15.75" customHeight="1">
      <c r="A54272" s="7"/>
      <c r="B54272" s="7"/>
    </row>
    <row r="54273" ht="15.75" customHeight="1">
      <c r="A54273" s="7"/>
      <c r="B54273" s="7"/>
    </row>
    <row r="54274" ht="15.75" customHeight="1">
      <c r="A54274" s="7"/>
      <c r="B54274" s="7"/>
    </row>
    <row r="54275" ht="15.75" customHeight="1">
      <c r="A54275" s="7"/>
      <c r="B54275" s="7"/>
    </row>
    <row r="54276" ht="15.75" customHeight="1">
      <c r="A54276" s="7"/>
      <c r="B54276" s="7"/>
    </row>
    <row r="54277" ht="15.75" customHeight="1">
      <c r="A54277" s="7"/>
      <c r="B54277" s="7"/>
    </row>
    <row r="54278" ht="15.75" customHeight="1">
      <c r="A54278" s="7"/>
      <c r="B54278" s="7"/>
    </row>
    <row r="54279" ht="15.75" customHeight="1">
      <c r="A54279" s="7"/>
      <c r="B54279" s="7"/>
    </row>
    <row r="54280" ht="15.75" customHeight="1">
      <c r="A54280" s="7"/>
      <c r="B54280" s="7"/>
    </row>
    <row r="54281" ht="15.75" customHeight="1">
      <c r="A54281" s="7"/>
      <c r="B54281" s="7"/>
    </row>
    <row r="54282" ht="15.75" customHeight="1">
      <c r="A54282" s="7"/>
      <c r="B54282" s="7"/>
    </row>
    <row r="54283" ht="15.75" customHeight="1">
      <c r="A54283" s="7"/>
      <c r="B54283" s="7"/>
    </row>
    <row r="54284" ht="15.75" customHeight="1">
      <c r="A54284" s="7"/>
      <c r="B54284" s="7"/>
    </row>
    <row r="54285" ht="15.75" customHeight="1">
      <c r="A54285" s="7"/>
      <c r="B54285" s="7"/>
    </row>
    <row r="54286" ht="15.75" customHeight="1">
      <c r="A54286" s="7"/>
      <c r="B54286" s="7"/>
    </row>
    <row r="54287" ht="15.75" customHeight="1">
      <c r="A54287" s="7"/>
      <c r="B54287" s="7"/>
    </row>
    <row r="54288" ht="15.75" customHeight="1">
      <c r="A54288" s="7"/>
      <c r="B54288" s="7"/>
    </row>
    <row r="54289" ht="15.75" customHeight="1">
      <c r="A54289" s="7"/>
      <c r="B54289" s="7"/>
    </row>
    <row r="54290" ht="15.75" customHeight="1">
      <c r="A54290" s="7"/>
      <c r="B54290" s="7"/>
    </row>
    <row r="54291" ht="15.75" customHeight="1">
      <c r="A54291" s="7"/>
      <c r="B54291" s="7"/>
    </row>
    <row r="54292" ht="15.75" customHeight="1">
      <c r="A54292" s="7"/>
      <c r="B54292" s="7"/>
    </row>
    <row r="54293" ht="15.75" customHeight="1">
      <c r="A54293" s="7"/>
      <c r="B54293" s="7"/>
    </row>
    <row r="54294" ht="15.75" customHeight="1">
      <c r="A54294" s="7"/>
      <c r="B54294" s="7"/>
    </row>
    <row r="54295" ht="15.75" customHeight="1">
      <c r="A54295" s="7"/>
      <c r="B54295" s="7"/>
    </row>
    <row r="54296" ht="15.75" customHeight="1">
      <c r="A54296" s="7"/>
      <c r="B54296" s="7"/>
    </row>
    <row r="54297" ht="15.75" customHeight="1">
      <c r="A54297" s="7"/>
      <c r="B54297" s="7"/>
    </row>
    <row r="54298" ht="15.75" customHeight="1">
      <c r="A54298" s="7"/>
      <c r="B54298" s="7"/>
    </row>
    <row r="54299" ht="15.75" customHeight="1">
      <c r="A54299" s="7"/>
      <c r="B54299" s="7"/>
    </row>
    <row r="54300" ht="15.75" customHeight="1">
      <c r="A54300" s="7"/>
      <c r="B54300" s="7"/>
    </row>
    <row r="54301" ht="15.75" customHeight="1">
      <c r="A54301" s="7"/>
      <c r="B54301" s="7"/>
    </row>
    <row r="54302" ht="15.75" customHeight="1">
      <c r="A54302" s="7"/>
      <c r="B54302" s="7"/>
    </row>
    <row r="54303" ht="15.75" customHeight="1">
      <c r="A54303" s="7"/>
      <c r="B54303" s="7"/>
    </row>
    <row r="54304" ht="15.75" customHeight="1">
      <c r="A54304" s="7"/>
      <c r="B54304" s="7"/>
    </row>
    <row r="54305" ht="15.75" customHeight="1">
      <c r="A54305" s="7"/>
      <c r="B54305" s="7"/>
    </row>
    <row r="54306" ht="15.75" customHeight="1">
      <c r="A54306" s="7"/>
      <c r="B54306" s="7"/>
    </row>
    <row r="54307" ht="15.75" customHeight="1">
      <c r="A54307" s="7"/>
      <c r="B54307" s="7"/>
    </row>
    <row r="54308" ht="15.75" customHeight="1">
      <c r="A54308" s="7"/>
      <c r="B54308" s="7"/>
    </row>
    <row r="54309" ht="15.75" customHeight="1">
      <c r="A54309" s="7"/>
      <c r="B54309" s="7"/>
    </row>
    <row r="54310" ht="15.75" customHeight="1">
      <c r="A54310" s="7"/>
      <c r="B54310" s="7"/>
    </row>
    <row r="54311" ht="15.75" customHeight="1">
      <c r="A54311" s="7"/>
      <c r="B54311" s="7"/>
    </row>
    <row r="54312" ht="15.75" customHeight="1">
      <c r="A54312" s="7"/>
      <c r="B54312" s="7"/>
    </row>
    <row r="54313" ht="15.75" customHeight="1">
      <c r="A54313" s="7"/>
      <c r="B54313" s="7"/>
    </row>
    <row r="54314" ht="15.75" customHeight="1">
      <c r="A54314" s="7"/>
      <c r="B54314" s="7"/>
    </row>
    <row r="54315" ht="15.75" customHeight="1">
      <c r="A54315" s="7"/>
      <c r="B54315" s="7"/>
    </row>
    <row r="54316" ht="15.75" customHeight="1">
      <c r="A54316" s="7"/>
      <c r="B54316" s="7"/>
    </row>
    <row r="54317" ht="15.75" customHeight="1">
      <c r="A54317" s="7"/>
      <c r="B54317" s="7"/>
    </row>
    <row r="54318" ht="15.75" customHeight="1">
      <c r="A54318" s="7"/>
      <c r="B54318" s="7"/>
    </row>
    <row r="54319" ht="15.75" customHeight="1">
      <c r="A54319" s="7"/>
      <c r="B54319" s="7"/>
    </row>
    <row r="54320" ht="15.75" customHeight="1">
      <c r="A54320" s="7"/>
      <c r="B54320" s="7"/>
    </row>
    <row r="54321" ht="15.75" customHeight="1">
      <c r="A54321" s="7"/>
      <c r="B54321" s="7"/>
    </row>
    <row r="54322" ht="15.75" customHeight="1">
      <c r="A54322" s="7"/>
      <c r="B54322" s="7"/>
    </row>
    <row r="54323" ht="15.75" customHeight="1">
      <c r="A54323" s="7"/>
      <c r="B54323" s="7"/>
    </row>
    <row r="54324" ht="15.75" customHeight="1">
      <c r="A54324" s="7"/>
      <c r="B54324" s="7"/>
    </row>
    <row r="54325" ht="15.75" customHeight="1">
      <c r="A54325" s="7"/>
      <c r="B54325" s="7"/>
    </row>
    <row r="54326" ht="15.75" customHeight="1">
      <c r="A54326" s="7"/>
      <c r="B54326" s="7"/>
    </row>
    <row r="54327" ht="15.75" customHeight="1">
      <c r="A54327" s="7"/>
      <c r="B54327" s="7"/>
    </row>
    <row r="54328" ht="15.75" customHeight="1">
      <c r="A54328" s="7"/>
      <c r="B54328" s="7"/>
    </row>
    <row r="54329" ht="15.75" customHeight="1">
      <c r="A54329" s="7"/>
      <c r="B54329" s="7"/>
    </row>
    <row r="54330" ht="15.75" customHeight="1">
      <c r="A54330" s="7"/>
      <c r="B54330" s="7"/>
    </row>
    <row r="54331" ht="15.75" customHeight="1">
      <c r="A54331" s="7"/>
      <c r="B54331" s="7"/>
    </row>
    <row r="54332" ht="15.75" customHeight="1">
      <c r="A54332" s="7"/>
      <c r="B54332" s="7"/>
    </row>
    <row r="54333" ht="15.75" customHeight="1">
      <c r="A54333" s="7"/>
      <c r="B54333" s="7"/>
    </row>
    <row r="54334" ht="15.75" customHeight="1">
      <c r="A54334" s="7"/>
      <c r="B54334" s="7"/>
    </row>
    <row r="54335" ht="15.75" customHeight="1">
      <c r="A54335" s="7"/>
      <c r="B54335" s="7"/>
    </row>
    <row r="54336" ht="15.75" customHeight="1">
      <c r="A54336" s="7"/>
      <c r="B54336" s="7"/>
    </row>
    <row r="54337" ht="15.75" customHeight="1">
      <c r="A54337" s="7"/>
      <c r="B54337" s="7"/>
    </row>
    <row r="54338" ht="15.75" customHeight="1">
      <c r="A54338" s="7"/>
      <c r="B54338" s="7"/>
    </row>
    <row r="54339" ht="15.75" customHeight="1">
      <c r="A54339" s="7"/>
      <c r="B54339" s="7"/>
    </row>
    <row r="54340" ht="15.75" customHeight="1">
      <c r="A54340" s="7"/>
      <c r="B54340" s="7"/>
    </row>
    <row r="54341" ht="15.75" customHeight="1">
      <c r="A54341" s="7"/>
      <c r="B54341" s="7"/>
    </row>
    <row r="54342" ht="15.75" customHeight="1">
      <c r="A54342" s="7"/>
      <c r="B54342" s="7"/>
    </row>
    <row r="54343" ht="15.75" customHeight="1">
      <c r="A54343" s="7"/>
      <c r="B54343" s="7"/>
    </row>
    <row r="54344" ht="15.75" customHeight="1">
      <c r="A54344" s="7"/>
      <c r="B54344" s="7"/>
    </row>
    <row r="54345" ht="15.75" customHeight="1">
      <c r="A54345" s="7"/>
      <c r="B54345" s="7"/>
    </row>
    <row r="54346" ht="15.75" customHeight="1">
      <c r="A54346" s="7"/>
      <c r="B54346" s="7"/>
    </row>
    <row r="54347" ht="15.75" customHeight="1">
      <c r="A54347" s="7"/>
      <c r="B54347" s="7"/>
    </row>
    <row r="54348" ht="15.75" customHeight="1">
      <c r="A54348" s="7"/>
      <c r="B54348" s="7"/>
    </row>
    <row r="54349" ht="15.75" customHeight="1">
      <c r="A54349" s="7"/>
      <c r="B54349" s="7"/>
    </row>
    <row r="54350" ht="15.75" customHeight="1">
      <c r="A54350" s="7"/>
      <c r="B54350" s="7"/>
    </row>
    <row r="54351" ht="15.75" customHeight="1">
      <c r="A54351" s="7"/>
      <c r="B54351" s="7"/>
    </row>
    <row r="54352" ht="15.75" customHeight="1">
      <c r="A54352" s="7"/>
      <c r="B54352" s="7"/>
    </row>
    <row r="54353" ht="15.75" customHeight="1">
      <c r="A54353" s="7"/>
      <c r="B54353" s="7"/>
    </row>
    <row r="54354" ht="15.75" customHeight="1">
      <c r="A54354" s="7"/>
      <c r="B54354" s="7"/>
    </row>
    <row r="54355" ht="15.75" customHeight="1">
      <c r="A54355" s="7"/>
      <c r="B54355" s="7"/>
    </row>
    <row r="54356" ht="15.75" customHeight="1">
      <c r="A54356" s="7"/>
      <c r="B54356" s="7"/>
    </row>
    <row r="54357" ht="15.75" customHeight="1">
      <c r="A54357" s="7"/>
      <c r="B54357" s="7"/>
    </row>
    <row r="54358" ht="15.75" customHeight="1">
      <c r="A54358" s="7"/>
      <c r="B54358" s="7"/>
    </row>
    <row r="54359" ht="15.75" customHeight="1">
      <c r="A54359" s="7"/>
      <c r="B54359" s="7"/>
    </row>
    <row r="54360" ht="15.75" customHeight="1">
      <c r="A54360" s="7"/>
      <c r="B54360" s="7"/>
    </row>
    <row r="54361" ht="15.75" customHeight="1">
      <c r="A54361" s="7"/>
      <c r="B54361" s="7"/>
    </row>
    <row r="54362" ht="15.75" customHeight="1">
      <c r="A54362" s="7"/>
      <c r="B54362" s="7"/>
    </row>
    <row r="54363" ht="15.75" customHeight="1">
      <c r="A54363" s="7"/>
      <c r="B54363" s="7"/>
    </row>
    <row r="54364" ht="15.75" customHeight="1">
      <c r="A54364" s="7"/>
      <c r="B54364" s="7"/>
    </row>
    <row r="54365" ht="15.75" customHeight="1">
      <c r="A54365" s="7"/>
      <c r="B54365" s="7"/>
    </row>
    <row r="54366" ht="15.75" customHeight="1">
      <c r="A54366" s="7"/>
      <c r="B54366" s="7"/>
    </row>
    <row r="54367" ht="15.75" customHeight="1">
      <c r="A54367" s="7"/>
      <c r="B54367" s="7"/>
    </row>
    <row r="54368" ht="15.75" customHeight="1">
      <c r="A54368" s="7"/>
      <c r="B54368" s="7"/>
    </row>
    <row r="54369" ht="15.75" customHeight="1">
      <c r="A54369" s="7"/>
      <c r="B54369" s="7"/>
    </row>
    <row r="54370" ht="15.75" customHeight="1">
      <c r="A54370" s="7"/>
      <c r="B54370" s="7"/>
    </row>
    <row r="54371" ht="15.75" customHeight="1">
      <c r="A54371" s="7"/>
      <c r="B54371" s="7"/>
    </row>
    <row r="54372" ht="15.75" customHeight="1">
      <c r="A54372" s="7"/>
      <c r="B54372" s="7"/>
    </row>
    <row r="54373" ht="15.75" customHeight="1">
      <c r="A54373" s="7"/>
      <c r="B54373" s="7"/>
    </row>
    <row r="54374" ht="15.75" customHeight="1">
      <c r="A54374" s="7"/>
      <c r="B54374" s="7"/>
    </row>
    <row r="54375" ht="15.75" customHeight="1">
      <c r="A54375" s="7"/>
      <c r="B54375" s="7"/>
    </row>
    <row r="54376" ht="15.75" customHeight="1">
      <c r="A54376" s="7"/>
      <c r="B54376" s="7"/>
    </row>
    <row r="54377" ht="15.75" customHeight="1">
      <c r="A54377" s="7"/>
      <c r="B54377" s="7"/>
    </row>
    <row r="54378" ht="15.75" customHeight="1">
      <c r="A54378" s="7"/>
      <c r="B54378" s="7"/>
    </row>
    <row r="54379" ht="15.75" customHeight="1">
      <c r="A54379" s="7"/>
      <c r="B54379" s="7"/>
    </row>
    <row r="54380" ht="15.75" customHeight="1">
      <c r="A54380" s="7"/>
      <c r="B54380" s="7"/>
    </row>
    <row r="54381" ht="15.75" customHeight="1">
      <c r="A54381" s="7"/>
      <c r="B54381" s="7"/>
    </row>
    <row r="54382" ht="15.75" customHeight="1">
      <c r="A54382" s="7"/>
      <c r="B54382" s="7"/>
    </row>
    <row r="54383" ht="15.75" customHeight="1">
      <c r="A54383" s="7"/>
      <c r="B54383" s="7"/>
    </row>
    <row r="54384" ht="15.75" customHeight="1">
      <c r="A54384" s="7"/>
      <c r="B54384" s="7"/>
    </row>
    <row r="54385" ht="15.75" customHeight="1">
      <c r="A54385" s="7"/>
      <c r="B54385" s="7"/>
    </row>
    <row r="54386" ht="15.75" customHeight="1">
      <c r="A54386" s="7"/>
      <c r="B54386" s="7"/>
    </row>
    <row r="54387" ht="15.75" customHeight="1">
      <c r="A54387" s="7"/>
      <c r="B54387" s="7"/>
    </row>
    <row r="54388" ht="15.75" customHeight="1">
      <c r="A54388" s="7"/>
      <c r="B54388" s="7"/>
    </row>
    <row r="54389" ht="15.75" customHeight="1">
      <c r="A54389" s="7"/>
      <c r="B54389" s="7"/>
    </row>
    <row r="54390" ht="15.75" customHeight="1">
      <c r="A54390" s="7"/>
      <c r="B54390" s="7"/>
    </row>
    <row r="54391" ht="15.75" customHeight="1">
      <c r="A54391" s="7"/>
      <c r="B54391" s="7"/>
    </row>
    <row r="54392" ht="15.75" customHeight="1">
      <c r="A54392" s="7"/>
      <c r="B54392" s="7"/>
    </row>
    <row r="54393" ht="15.75" customHeight="1">
      <c r="A54393" s="7"/>
      <c r="B54393" s="7"/>
    </row>
    <row r="54394" ht="15.75" customHeight="1">
      <c r="A54394" s="7"/>
      <c r="B54394" s="7"/>
    </row>
    <row r="54395" ht="15.75" customHeight="1">
      <c r="A54395" s="7"/>
      <c r="B54395" s="7"/>
    </row>
    <row r="54396" ht="15.75" customHeight="1">
      <c r="A54396" s="7"/>
      <c r="B54396" s="7"/>
    </row>
    <row r="54397" ht="15.75" customHeight="1">
      <c r="A54397" s="7"/>
      <c r="B54397" s="7"/>
    </row>
    <row r="54398" ht="15.75" customHeight="1">
      <c r="A54398" s="7"/>
      <c r="B54398" s="7"/>
    </row>
    <row r="54399" ht="15.75" customHeight="1">
      <c r="A54399" s="7"/>
      <c r="B54399" s="7"/>
    </row>
    <row r="54400" ht="15.75" customHeight="1">
      <c r="A54400" s="7"/>
      <c r="B54400" s="7"/>
    </row>
    <row r="54401" ht="15.75" customHeight="1">
      <c r="A54401" s="7"/>
      <c r="B54401" s="7"/>
    </row>
    <row r="54402" ht="15.75" customHeight="1">
      <c r="A54402" s="7"/>
      <c r="B54402" s="7"/>
    </row>
    <row r="54403" ht="15.75" customHeight="1">
      <c r="A54403" s="7"/>
      <c r="B54403" s="7"/>
    </row>
    <row r="54404" ht="15.75" customHeight="1">
      <c r="A54404" s="7"/>
      <c r="B54404" s="7"/>
    </row>
    <row r="54405" ht="15.75" customHeight="1">
      <c r="A54405" s="7"/>
      <c r="B54405" s="7"/>
    </row>
    <row r="54406" ht="15.75" customHeight="1">
      <c r="A54406" s="7"/>
      <c r="B54406" s="7"/>
    </row>
    <row r="54407" ht="15.75" customHeight="1">
      <c r="A54407" s="7"/>
      <c r="B54407" s="7"/>
    </row>
    <row r="54408" ht="15.75" customHeight="1">
      <c r="A54408" s="7"/>
      <c r="B54408" s="7"/>
    </row>
    <row r="54409" ht="15.75" customHeight="1">
      <c r="A54409" s="7"/>
      <c r="B54409" s="7"/>
    </row>
    <row r="54410" ht="15.75" customHeight="1">
      <c r="A54410" s="7"/>
      <c r="B54410" s="7"/>
    </row>
    <row r="54411" ht="15.75" customHeight="1">
      <c r="A54411" s="7"/>
      <c r="B54411" s="7"/>
    </row>
    <row r="54412" ht="15.75" customHeight="1">
      <c r="A54412" s="7"/>
      <c r="B54412" s="7"/>
    </row>
    <row r="54413" ht="15.75" customHeight="1">
      <c r="A54413" s="7"/>
      <c r="B54413" s="7"/>
    </row>
    <row r="54414" ht="15.75" customHeight="1">
      <c r="A54414" s="7"/>
      <c r="B54414" s="7"/>
    </row>
    <row r="54415" ht="15.75" customHeight="1">
      <c r="A54415" s="7"/>
      <c r="B54415" s="7"/>
    </row>
    <row r="54416" ht="15.75" customHeight="1">
      <c r="A54416" s="7"/>
      <c r="B54416" s="7"/>
    </row>
    <row r="54417" ht="15.75" customHeight="1">
      <c r="A54417" s="7"/>
      <c r="B54417" s="7"/>
    </row>
    <row r="54418" ht="15.75" customHeight="1">
      <c r="A54418" s="7"/>
      <c r="B54418" s="7"/>
    </row>
    <row r="54419" ht="15.75" customHeight="1">
      <c r="A54419" s="7"/>
      <c r="B54419" s="7"/>
    </row>
    <row r="54420" ht="15.75" customHeight="1">
      <c r="A54420" s="7"/>
      <c r="B54420" s="7"/>
    </row>
    <row r="54421" ht="15.75" customHeight="1">
      <c r="A54421" s="7"/>
      <c r="B54421" s="7"/>
    </row>
    <row r="54422" ht="15.75" customHeight="1">
      <c r="A54422" s="7"/>
      <c r="B54422" s="7"/>
    </row>
    <row r="54423" ht="15.75" customHeight="1">
      <c r="A54423" s="7"/>
      <c r="B54423" s="7"/>
    </row>
    <row r="54424" ht="15.75" customHeight="1">
      <c r="A54424" s="7"/>
      <c r="B54424" s="7"/>
    </row>
    <row r="54425" ht="15.75" customHeight="1">
      <c r="A54425" s="7"/>
      <c r="B54425" s="7"/>
    </row>
    <row r="54426" ht="15.75" customHeight="1">
      <c r="A54426" s="7"/>
      <c r="B54426" s="7"/>
    </row>
    <row r="54427" ht="15.75" customHeight="1">
      <c r="A54427" s="7"/>
      <c r="B54427" s="7"/>
    </row>
    <row r="54428" ht="15.75" customHeight="1">
      <c r="A54428" s="7"/>
      <c r="B54428" s="7"/>
    </row>
    <row r="54429" ht="15.75" customHeight="1">
      <c r="A54429" s="7"/>
      <c r="B54429" s="7"/>
    </row>
    <row r="54430" ht="15.75" customHeight="1">
      <c r="A54430" s="7"/>
      <c r="B54430" s="7"/>
    </row>
    <row r="54431" ht="15.75" customHeight="1">
      <c r="A54431" s="7"/>
      <c r="B54431" s="7"/>
    </row>
    <row r="54432" ht="15.75" customHeight="1">
      <c r="A54432" s="7"/>
      <c r="B54432" s="7"/>
    </row>
    <row r="54433" ht="15.75" customHeight="1">
      <c r="A54433" s="7"/>
      <c r="B54433" s="7"/>
    </row>
    <row r="54434" ht="15.75" customHeight="1">
      <c r="A54434" s="7"/>
      <c r="B54434" s="7"/>
    </row>
    <row r="54435" ht="15.75" customHeight="1">
      <c r="A54435" s="7"/>
      <c r="B54435" s="7"/>
    </row>
    <row r="54436" ht="15.75" customHeight="1">
      <c r="A54436" s="7"/>
      <c r="B54436" s="7"/>
    </row>
    <row r="54437" ht="15.75" customHeight="1">
      <c r="A54437" s="7"/>
      <c r="B54437" s="7"/>
    </row>
    <row r="54438" ht="15.75" customHeight="1">
      <c r="A54438" s="7"/>
      <c r="B54438" s="7"/>
    </row>
    <row r="54439" ht="15.75" customHeight="1">
      <c r="A54439" s="7"/>
      <c r="B54439" s="7"/>
    </row>
    <row r="54440" ht="15.75" customHeight="1">
      <c r="A54440" s="7"/>
      <c r="B54440" s="7"/>
    </row>
    <row r="54441" ht="15.75" customHeight="1">
      <c r="A54441" s="7"/>
      <c r="B54441" s="7"/>
    </row>
    <row r="54442" ht="15.75" customHeight="1">
      <c r="A54442" s="7"/>
      <c r="B54442" s="7"/>
    </row>
    <row r="54443" ht="15.75" customHeight="1">
      <c r="A54443" s="7"/>
      <c r="B54443" s="7"/>
    </row>
    <row r="54444" ht="15.75" customHeight="1">
      <c r="A54444" s="7"/>
      <c r="B54444" s="7"/>
    </row>
    <row r="54445" ht="15.75" customHeight="1">
      <c r="A54445" s="7"/>
      <c r="B54445" s="7"/>
    </row>
    <row r="54446" ht="15.75" customHeight="1">
      <c r="A54446" s="7"/>
      <c r="B54446" s="7"/>
    </row>
    <row r="54447" ht="15.75" customHeight="1">
      <c r="A54447" s="7"/>
      <c r="B54447" s="7"/>
    </row>
    <row r="54448" ht="15.75" customHeight="1">
      <c r="A54448" s="7"/>
      <c r="B54448" s="7"/>
    </row>
    <row r="54449" ht="15.75" customHeight="1">
      <c r="A54449" s="7"/>
      <c r="B54449" s="7"/>
    </row>
    <row r="54450" ht="15.75" customHeight="1">
      <c r="A54450" s="7"/>
      <c r="B54450" s="7"/>
    </row>
    <row r="54451" ht="15.75" customHeight="1">
      <c r="A54451" s="7"/>
      <c r="B54451" s="7"/>
    </row>
    <row r="54452" ht="15.75" customHeight="1">
      <c r="A54452" s="7"/>
      <c r="B54452" s="7"/>
    </row>
    <row r="54453" ht="15.75" customHeight="1">
      <c r="A54453" s="7"/>
      <c r="B54453" s="7"/>
    </row>
    <row r="54454" ht="15.75" customHeight="1">
      <c r="A54454" s="7"/>
      <c r="B54454" s="7"/>
    </row>
    <row r="54455" ht="15.75" customHeight="1">
      <c r="A54455" s="7"/>
      <c r="B54455" s="7"/>
    </row>
    <row r="54456" ht="15.75" customHeight="1">
      <c r="A54456" s="7"/>
      <c r="B54456" s="7"/>
    </row>
    <row r="54457" ht="15.75" customHeight="1">
      <c r="A54457" s="7"/>
      <c r="B54457" s="7"/>
    </row>
    <row r="54458" ht="15.75" customHeight="1">
      <c r="A54458" s="7"/>
      <c r="B54458" s="7"/>
    </row>
    <row r="54459" ht="15.75" customHeight="1">
      <c r="A54459" s="7"/>
      <c r="B54459" s="7"/>
    </row>
    <row r="54460" ht="15.75" customHeight="1">
      <c r="A54460" s="7"/>
      <c r="B54460" s="7"/>
    </row>
    <row r="54461" ht="15.75" customHeight="1">
      <c r="A54461" s="7"/>
      <c r="B54461" s="7"/>
    </row>
    <row r="54462" ht="15.75" customHeight="1">
      <c r="A54462" s="7"/>
      <c r="B54462" s="7"/>
    </row>
    <row r="54463" ht="15.75" customHeight="1">
      <c r="A54463" s="7"/>
      <c r="B54463" s="7"/>
    </row>
    <row r="54464" ht="15.75" customHeight="1">
      <c r="A54464" s="7"/>
      <c r="B54464" s="7"/>
    </row>
    <row r="54465" ht="15.75" customHeight="1">
      <c r="A54465" s="7"/>
      <c r="B54465" s="7"/>
    </row>
    <row r="54466" ht="15.75" customHeight="1">
      <c r="A54466" s="7"/>
      <c r="B54466" s="7"/>
    </row>
    <row r="54467" ht="15.75" customHeight="1">
      <c r="A54467" s="7"/>
      <c r="B54467" s="7"/>
    </row>
    <row r="54468" ht="15.75" customHeight="1">
      <c r="A54468" s="7"/>
      <c r="B54468" s="7"/>
    </row>
    <row r="54469" ht="15.75" customHeight="1">
      <c r="A54469" s="7"/>
      <c r="B54469" s="7"/>
    </row>
    <row r="54470" ht="15.75" customHeight="1">
      <c r="A54470" s="7"/>
      <c r="B54470" s="7"/>
    </row>
    <row r="54471" ht="15.75" customHeight="1">
      <c r="A54471" s="7"/>
      <c r="B54471" s="7"/>
    </row>
    <row r="54472" ht="15.75" customHeight="1">
      <c r="A54472" s="7"/>
      <c r="B54472" s="7"/>
    </row>
    <row r="54473" ht="15.75" customHeight="1">
      <c r="A54473" s="7"/>
      <c r="B54473" s="7"/>
    </row>
    <row r="54474" ht="15.75" customHeight="1">
      <c r="A54474" s="7"/>
      <c r="B54474" s="7"/>
    </row>
    <row r="54475" ht="15.75" customHeight="1">
      <c r="A54475" s="7"/>
      <c r="B54475" s="7"/>
    </row>
    <row r="54476" ht="15.75" customHeight="1">
      <c r="A54476" s="7"/>
      <c r="B54476" s="7"/>
    </row>
    <row r="54477" ht="15.75" customHeight="1">
      <c r="A54477" s="7"/>
      <c r="B54477" s="7"/>
    </row>
    <row r="54478" ht="15.75" customHeight="1">
      <c r="A54478" s="7"/>
      <c r="B54478" s="7"/>
    </row>
    <row r="54479" ht="15.75" customHeight="1">
      <c r="A54479" s="7"/>
      <c r="B54479" s="7"/>
    </row>
    <row r="54480" ht="15.75" customHeight="1">
      <c r="A54480" s="7"/>
      <c r="B54480" s="7"/>
    </row>
    <row r="54481" ht="15.75" customHeight="1">
      <c r="A54481" s="7"/>
      <c r="B54481" s="7"/>
    </row>
    <row r="54482" ht="15.75" customHeight="1">
      <c r="A54482" s="7"/>
      <c r="B54482" s="7"/>
    </row>
    <row r="54483" ht="15.75" customHeight="1">
      <c r="A54483" s="7"/>
      <c r="B54483" s="7"/>
    </row>
    <row r="54484" ht="15.75" customHeight="1">
      <c r="A54484" s="7"/>
      <c r="B54484" s="7"/>
    </row>
    <row r="54485" ht="15.75" customHeight="1">
      <c r="A54485" s="7"/>
      <c r="B54485" s="7"/>
    </row>
    <row r="54486" ht="15.75" customHeight="1">
      <c r="A54486" s="7"/>
      <c r="B54486" s="7"/>
    </row>
    <row r="54487" ht="15.75" customHeight="1">
      <c r="A54487" s="7"/>
      <c r="B54487" s="7"/>
    </row>
    <row r="54488" ht="15.75" customHeight="1">
      <c r="A54488" s="7"/>
      <c r="B54488" s="7"/>
    </row>
    <row r="54489" ht="15.75" customHeight="1">
      <c r="A54489" s="7"/>
      <c r="B54489" s="7"/>
    </row>
    <row r="54490" ht="15.75" customHeight="1">
      <c r="A54490" s="7"/>
      <c r="B54490" s="7"/>
    </row>
    <row r="54491" ht="15.75" customHeight="1">
      <c r="A54491" s="7"/>
      <c r="B54491" s="7"/>
    </row>
    <row r="54492" ht="15.75" customHeight="1">
      <c r="A54492" s="7"/>
      <c r="B54492" s="7"/>
    </row>
    <row r="54493" ht="15.75" customHeight="1">
      <c r="A54493" s="7"/>
      <c r="B54493" s="7"/>
    </row>
    <row r="54494" ht="15.75" customHeight="1">
      <c r="A54494" s="7"/>
      <c r="B54494" s="7"/>
    </row>
    <row r="54495" ht="15.75" customHeight="1">
      <c r="A54495" s="7"/>
      <c r="B54495" s="7"/>
    </row>
    <row r="54496" ht="15.75" customHeight="1">
      <c r="A54496" s="7"/>
      <c r="B54496" s="7"/>
    </row>
    <row r="54497" ht="15.75" customHeight="1">
      <c r="A54497" s="7"/>
      <c r="B54497" s="7"/>
    </row>
    <row r="54498" ht="15.75" customHeight="1">
      <c r="A54498" s="7"/>
      <c r="B54498" s="7"/>
    </row>
    <row r="54499" ht="15.75" customHeight="1">
      <c r="A54499" s="7"/>
      <c r="B54499" s="7"/>
    </row>
    <row r="54500" ht="15.75" customHeight="1">
      <c r="A54500" s="7"/>
      <c r="B54500" s="7"/>
    </row>
    <row r="54501" ht="15.75" customHeight="1">
      <c r="A54501" s="7"/>
      <c r="B54501" s="7"/>
    </row>
    <row r="54502" ht="15.75" customHeight="1">
      <c r="A54502" s="7"/>
      <c r="B54502" s="7"/>
    </row>
    <row r="54503" ht="15.75" customHeight="1">
      <c r="A54503" s="7"/>
      <c r="B54503" s="7"/>
    </row>
    <row r="54504" ht="15.75" customHeight="1">
      <c r="A54504" s="7"/>
      <c r="B54504" s="7"/>
    </row>
    <row r="54505" ht="15.75" customHeight="1">
      <c r="A54505" s="7"/>
      <c r="B54505" s="7"/>
    </row>
    <row r="54506" ht="15.75" customHeight="1">
      <c r="A54506" s="7"/>
      <c r="B54506" s="7"/>
    </row>
    <row r="54507" ht="15.75" customHeight="1">
      <c r="A54507" s="7"/>
      <c r="B54507" s="7"/>
    </row>
    <row r="54508" ht="15.75" customHeight="1">
      <c r="A54508" s="7"/>
      <c r="B54508" s="7"/>
    </row>
    <row r="54509" ht="15.75" customHeight="1">
      <c r="A54509" s="7"/>
      <c r="B54509" s="7"/>
    </row>
    <row r="54510" ht="15.75" customHeight="1">
      <c r="A54510" s="7"/>
      <c r="B54510" s="7"/>
    </row>
    <row r="54511" ht="15.75" customHeight="1">
      <c r="A54511" s="7"/>
      <c r="B54511" s="7"/>
    </row>
    <row r="54512" ht="15.75" customHeight="1">
      <c r="A54512" s="7"/>
      <c r="B54512" s="7"/>
    </row>
    <row r="54513" ht="15.75" customHeight="1">
      <c r="A54513" s="7"/>
      <c r="B54513" s="7"/>
    </row>
    <row r="54514" ht="15.75" customHeight="1">
      <c r="A54514" s="7"/>
      <c r="B54514" s="7"/>
    </row>
    <row r="54515" ht="15.75" customHeight="1">
      <c r="A54515" s="7"/>
      <c r="B54515" s="7"/>
    </row>
    <row r="54516" ht="15.75" customHeight="1">
      <c r="A54516" s="7"/>
      <c r="B54516" s="7"/>
    </row>
    <row r="54517" ht="15.75" customHeight="1">
      <c r="A54517" s="7"/>
      <c r="B54517" s="7"/>
    </row>
    <row r="54518" ht="15.75" customHeight="1">
      <c r="A54518" s="7"/>
      <c r="B54518" s="7"/>
    </row>
    <row r="54519" ht="15.75" customHeight="1">
      <c r="A54519" s="7"/>
      <c r="B54519" s="7"/>
    </row>
    <row r="54520" ht="15.75" customHeight="1">
      <c r="A54520" s="7"/>
      <c r="B54520" s="7"/>
    </row>
    <row r="54521" ht="15.75" customHeight="1">
      <c r="A54521" s="7"/>
      <c r="B54521" s="7"/>
    </row>
    <row r="54522" ht="15.75" customHeight="1">
      <c r="A54522" s="7"/>
      <c r="B54522" s="7"/>
    </row>
    <row r="54523" ht="15.75" customHeight="1">
      <c r="A54523" s="7"/>
      <c r="B54523" s="7"/>
    </row>
    <row r="54524" ht="15.75" customHeight="1">
      <c r="A54524" s="7"/>
      <c r="B54524" s="7"/>
    </row>
    <row r="54525" ht="15.75" customHeight="1">
      <c r="A54525" s="7"/>
      <c r="B54525" s="7"/>
    </row>
    <row r="54526" ht="15.75" customHeight="1">
      <c r="A54526" s="7"/>
      <c r="B54526" s="7"/>
    </row>
    <row r="54527" ht="15.75" customHeight="1">
      <c r="A54527" s="7"/>
      <c r="B54527" s="7"/>
    </row>
    <row r="54528" ht="15.75" customHeight="1">
      <c r="A54528" s="7"/>
      <c r="B54528" s="7"/>
    </row>
    <row r="54529" ht="15.75" customHeight="1">
      <c r="A54529" s="7"/>
      <c r="B54529" s="7"/>
    </row>
    <row r="54530" ht="15.75" customHeight="1">
      <c r="A54530" s="7"/>
      <c r="B54530" s="7"/>
    </row>
    <row r="54531" ht="15.75" customHeight="1">
      <c r="A54531" s="7"/>
      <c r="B54531" s="7"/>
    </row>
    <row r="54532" ht="15.75" customHeight="1">
      <c r="A54532" s="7"/>
      <c r="B54532" s="7"/>
    </row>
    <row r="54533" ht="15.75" customHeight="1">
      <c r="A54533" s="7"/>
      <c r="B54533" s="7"/>
    </row>
    <row r="54534" ht="15.75" customHeight="1">
      <c r="A54534" s="7"/>
      <c r="B54534" s="7"/>
    </row>
    <row r="54535" ht="15.75" customHeight="1">
      <c r="A54535" s="7"/>
      <c r="B54535" s="7"/>
    </row>
    <row r="54536" ht="15.75" customHeight="1">
      <c r="A54536" s="7"/>
      <c r="B54536" s="7"/>
    </row>
    <row r="54537" ht="15.75" customHeight="1">
      <c r="A54537" s="7"/>
      <c r="B54537" s="7"/>
    </row>
    <row r="54538" ht="15.75" customHeight="1">
      <c r="A54538" s="7"/>
      <c r="B54538" s="7"/>
    </row>
    <row r="54539" ht="15.75" customHeight="1">
      <c r="A54539" s="7"/>
      <c r="B54539" s="7"/>
    </row>
    <row r="54540" ht="15.75" customHeight="1">
      <c r="A54540" s="7"/>
      <c r="B54540" s="7"/>
    </row>
    <row r="54541" ht="15.75" customHeight="1">
      <c r="A54541" s="7"/>
      <c r="B54541" s="7"/>
    </row>
    <row r="54542" ht="15.75" customHeight="1">
      <c r="A54542" s="7"/>
      <c r="B54542" s="7"/>
    </row>
    <row r="54543" ht="15.75" customHeight="1">
      <c r="A54543" s="7"/>
      <c r="B54543" s="7"/>
    </row>
    <row r="54544" ht="15.75" customHeight="1">
      <c r="A54544" s="7"/>
      <c r="B54544" s="7"/>
    </row>
    <row r="54545" ht="15.75" customHeight="1">
      <c r="A54545" s="7"/>
      <c r="B54545" s="7"/>
    </row>
    <row r="54546" ht="15.75" customHeight="1">
      <c r="A54546" s="7"/>
      <c r="B54546" s="7"/>
    </row>
    <row r="54547" ht="15.75" customHeight="1">
      <c r="A54547" s="7"/>
      <c r="B54547" s="7"/>
    </row>
    <row r="54548" ht="15.75" customHeight="1">
      <c r="A54548" s="7"/>
      <c r="B54548" s="7"/>
    </row>
    <row r="54549" ht="15.75" customHeight="1">
      <c r="A54549" s="7"/>
      <c r="B54549" s="7"/>
    </row>
    <row r="54550" ht="15.75" customHeight="1">
      <c r="A54550" s="7"/>
      <c r="B54550" s="7"/>
    </row>
    <row r="54551" ht="15.75" customHeight="1">
      <c r="A54551" s="7"/>
      <c r="B54551" s="7"/>
    </row>
    <row r="54552" ht="15.75" customHeight="1">
      <c r="A54552" s="7"/>
      <c r="B54552" s="7"/>
    </row>
    <row r="54553" ht="15.75" customHeight="1">
      <c r="A54553" s="7"/>
      <c r="B54553" s="7"/>
    </row>
    <row r="54554" ht="15.75" customHeight="1">
      <c r="A54554" s="7"/>
      <c r="B54554" s="7"/>
    </row>
    <row r="54555" ht="15.75" customHeight="1">
      <c r="A54555" s="7"/>
      <c r="B54555" s="7"/>
    </row>
    <row r="54556" ht="15.75" customHeight="1">
      <c r="A54556" s="7"/>
      <c r="B54556" s="7"/>
    </row>
    <row r="54557" ht="15.75" customHeight="1">
      <c r="A54557" s="7"/>
      <c r="B54557" s="7"/>
    </row>
    <row r="54558" ht="15.75" customHeight="1">
      <c r="A54558" s="7"/>
      <c r="B54558" s="7"/>
    </row>
    <row r="54559" ht="15.75" customHeight="1">
      <c r="A54559" s="7"/>
      <c r="B54559" s="7"/>
    </row>
    <row r="54560" ht="15.75" customHeight="1">
      <c r="A54560" s="7"/>
      <c r="B54560" s="7"/>
    </row>
    <row r="54561" ht="15.75" customHeight="1">
      <c r="A54561" s="7"/>
      <c r="B54561" s="7"/>
    </row>
    <row r="54562" ht="15.75" customHeight="1">
      <c r="A54562" s="7"/>
      <c r="B54562" s="7"/>
    </row>
    <row r="54563" ht="15.75" customHeight="1">
      <c r="A54563" s="7"/>
      <c r="B54563" s="7"/>
    </row>
    <row r="54564" ht="15.75" customHeight="1">
      <c r="A54564" s="7"/>
      <c r="B54564" s="7"/>
    </row>
    <row r="54565" ht="15.75" customHeight="1">
      <c r="A54565" s="7"/>
      <c r="B54565" s="7"/>
    </row>
    <row r="54566" ht="15.75" customHeight="1">
      <c r="A54566" s="7"/>
      <c r="B54566" s="7"/>
    </row>
    <row r="54567" ht="15.75" customHeight="1">
      <c r="A54567" s="7"/>
      <c r="B54567" s="7"/>
    </row>
    <row r="54568" ht="15.75" customHeight="1">
      <c r="A54568" s="7"/>
      <c r="B54568" s="7"/>
    </row>
    <row r="54569" ht="15.75" customHeight="1">
      <c r="A54569" s="7"/>
      <c r="B54569" s="7"/>
    </row>
    <row r="54570" ht="15.75" customHeight="1">
      <c r="A54570" s="7"/>
      <c r="B54570" s="7"/>
    </row>
    <row r="54571" ht="15.75" customHeight="1">
      <c r="A54571" s="7"/>
      <c r="B54571" s="7"/>
    </row>
    <row r="54572" ht="15.75" customHeight="1">
      <c r="A54572" s="7"/>
      <c r="B54572" s="7"/>
    </row>
    <row r="54573" ht="15.75" customHeight="1">
      <c r="A54573" s="7"/>
      <c r="B54573" s="7"/>
    </row>
    <row r="54574" ht="15.75" customHeight="1">
      <c r="A54574" s="7"/>
      <c r="B54574" s="7"/>
    </row>
    <row r="54575" ht="15.75" customHeight="1">
      <c r="A54575" s="7"/>
      <c r="B54575" s="7"/>
    </row>
    <row r="54576" ht="15.75" customHeight="1">
      <c r="A54576" s="7"/>
      <c r="B54576" s="7"/>
    </row>
    <row r="54577" ht="15.75" customHeight="1">
      <c r="A54577" s="7"/>
      <c r="B54577" s="7"/>
    </row>
    <row r="54578" ht="15.75" customHeight="1">
      <c r="A54578" s="7"/>
      <c r="B54578" s="7"/>
    </row>
    <row r="54579" ht="15.75" customHeight="1">
      <c r="A54579" s="7"/>
      <c r="B54579" s="7"/>
    </row>
    <row r="54580" ht="15.75" customHeight="1">
      <c r="A54580" s="7"/>
      <c r="B54580" s="7"/>
    </row>
    <row r="54581" ht="15.75" customHeight="1">
      <c r="A54581" s="7"/>
      <c r="B54581" s="7"/>
    </row>
    <row r="54582" ht="15.75" customHeight="1">
      <c r="A54582" s="7"/>
      <c r="B54582" s="7"/>
    </row>
    <row r="54583" ht="15.75" customHeight="1">
      <c r="A54583" s="7"/>
      <c r="B54583" s="7"/>
    </row>
    <row r="54584" ht="15.75" customHeight="1">
      <c r="A54584" s="7"/>
      <c r="B54584" s="7"/>
    </row>
    <row r="54585" ht="15.75" customHeight="1">
      <c r="A54585" s="7"/>
      <c r="B54585" s="7"/>
    </row>
    <row r="54586" ht="15.75" customHeight="1">
      <c r="A54586" s="7"/>
      <c r="B54586" s="7"/>
    </row>
    <row r="54587" ht="15.75" customHeight="1">
      <c r="A54587" s="7"/>
      <c r="B54587" s="7"/>
    </row>
    <row r="54588" ht="15.75" customHeight="1">
      <c r="A54588" s="7"/>
      <c r="B54588" s="7"/>
    </row>
    <row r="54589" ht="15.75" customHeight="1">
      <c r="A54589" s="7"/>
      <c r="B54589" s="7"/>
    </row>
    <row r="54590" ht="15.75" customHeight="1">
      <c r="A54590" s="7"/>
      <c r="B54590" s="7"/>
    </row>
    <row r="54591" ht="15.75" customHeight="1">
      <c r="A54591" s="7"/>
      <c r="B54591" s="7"/>
    </row>
    <row r="54592" ht="15.75" customHeight="1">
      <c r="A54592" s="7"/>
      <c r="B54592" s="7"/>
    </row>
    <row r="54593" ht="15.75" customHeight="1">
      <c r="A54593" s="7"/>
      <c r="B54593" s="7"/>
    </row>
    <row r="54594" ht="15.75" customHeight="1">
      <c r="A54594" s="7"/>
      <c r="B54594" s="7"/>
    </row>
    <row r="54595" ht="15.75" customHeight="1">
      <c r="A54595" s="7"/>
      <c r="B54595" s="7"/>
    </row>
    <row r="54596" ht="15.75" customHeight="1">
      <c r="A54596" s="7"/>
      <c r="B54596" s="7"/>
    </row>
    <row r="54597" ht="15.75" customHeight="1">
      <c r="A54597" s="7"/>
      <c r="B54597" s="7"/>
    </row>
    <row r="54598" ht="15.75" customHeight="1">
      <c r="A54598" s="7"/>
      <c r="B54598" s="7"/>
    </row>
    <row r="54599" ht="15.75" customHeight="1">
      <c r="A54599" s="7"/>
      <c r="B54599" s="7"/>
    </row>
    <row r="54600" ht="15.75" customHeight="1">
      <c r="A54600" s="7"/>
      <c r="B54600" s="7"/>
    </row>
    <row r="54601" ht="15.75" customHeight="1">
      <c r="A54601" s="7"/>
      <c r="B54601" s="7"/>
    </row>
    <row r="54602" ht="15.75" customHeight="1">
      <c r="A54602" s="7"/>
      <c r="B54602" s="7"/>
    </row>
    <row r="54603" ht="15.75" customHeight="1">
      <c r="A54603" s="7"/>
      <c r="B54603" s="7"/>
    </row>
    <row r="54604" ht="15.75" customHeight="1">
      <c r="A54604" s="7"/>
      <c r="B54604" s="7"/>
    </row>
    <row r="54605" ht="15.75" customHeight="1">
      <c r="A54605" s="7"/>
      <c r="B54605" s="7"/>
    </row>
    <row r="54606" ht="15.75" customHeight="1">
      <c r="A54606" s="7"/>
      <c r="B54606" s="7"/>
    </row>
    <row r="54607" ht="15.75" customHeight="1">
      <c r="A54607" s="7"/>
      <c r="B54607" s="7"/>
    </row>
    <row r="54608" ht="15.75" customHeight="1">
      <c r="A54608" s="7"/>
      <c r="B54608" s="7"/>
    </row>
    <row r="54609" ht="15.75" customHeight="1">
      <c r="A54609" s="7"/>
      <c r="B54609" s="7"/>
    </row>
    <row r="54610" ht="15.75" customHeight="1">
      <c r="A54610" s="7"/>
      <c r="B54610" s="7"/>
    </row>
    <row r="54611" ht="15.75" customHeight="1">
      <c r="A54611" s="7"/>
      <c r="B54611" s="7"/>
    </row>
    <row r="54612" ht="15.75" customHeight="1">
      <c r="A54612" s="7"/>
      <c r="B54612" s="7"/>
    </row>
    <row r="54613" ht="15.75" customHeight="1">
      <c r="A54613" s="7"/>
      <c r="B54613" s="7"/>
    </row>
    <row r="54614" ht="15.75" customHeight="1">
      <c r="A54614" s="7"/>
      <c r="B54614" s="7"/>
    </row>
    <row r="54615" ht="15.75" customHeight="1">
      <c r="A54615" s="7"/>
      <c r="B54615" s="7"/>
    </row>
    <row r="54616" ht="15.75" customHeight="1">
      <c r="A54616" s="7"/>
      <c r="B54616" s="7"/>
    </row>
    <row r="54617" ht="15.75" customHeight="1">
      <c r="A54617" s="7"/>
      <c r="B54617" s="7"/>
    </row>
    <row r="54618" ht="15.75" customHeight="1">
      <c r="A54618" s="7"/>
      <c r="B54618" s="7"/>
    </row>
    <row r="54619" ht="15.75" customHeight="1">
      <c r="A54619" s="7"/>
      <c r="B54619" s="7"/>
    </row>
    <row r="54620" ht="15.75" customHeight="1">
      <c r="A54620" s="7"/>
      <c r="B54620" s="7"/>
    </row>
    <row r="54621" ht="15.75" customHeight="1">
      <c r="A54621" s="7"/>
      <c r="B54621" s="7"/>
    </row>
    <row r="54622" ht="15.75" customHeight="1">
      <c r="A54622" s="7"/>
      <c r="B54622" s="7"/>
    </row>
    <row r="54623" ht="15.75" customHeight="1">
      <c r="A54623" s="7"/>
      <c r="B54623" s="7"/>
    </row>
    <row r="54624" ht="15.75" customHeight="1">
      <c r="A54624" s="7"/>
      <c r="B54624" s="7"/>
    </row>
    <row r="54625" ht="15.75" customHeight="1">
      <c r="A54625" s="7"/>
      <c r="B54625" s="7"/>
    </row>
    <row r="54626" ht="15.75" customHeight="1">
      <c r="A54626" s="7"/>
      <c r="B54626" s="7"/>
    </row>
    <row r="54627" ht="15.75" customHeight="1">
      <c r="A54627" s="7"/>
      <c r="B54627" s="7"/>
    </row>
    <row r="54628" ht="15.75" customHeight="1">
      <c r="A54628" s="7"/>
      <c r="B54628" s="7"/>
    </row>
    <row r="54629" ht="15.75" customHeight="1">
      <c r="A54629" s="7"/>
      <c r="B54629" s="7"/>
    </row>
    <row r="54630" ht="15.75" customHeight="1">
      <c r="A54630" s="7"/>
      <c r="B54630" s="7"/>
    </row>
    <row r="54631" ht="15.75" customHeight="1">
      <c r="A54631" s="7"/>
      <c r="B54631" s="7"/>
    </row>
    <row r="54632" ht="15.75" customHeight="1">
      <c r="A54632" s="7"/>
      <c r="B54632" s="7"/>
    </row>
    <row r="54633" ht="15.75" customHeight="1">
      <c r="A54633" s="7"/>
      <c r="B54633" s="7"/>
    </row>
    <row r="54634" ht="15.75" customHeight="1">
      <c r="A54634" s="7"/>
      <c r="B54634" s="7"/>
    </row>
    <row r="54635" ht="15.75" customHeight="1">
      <c r="A54635" s="7"/>
      <c r="B54635" s="7"/>
    </row>
    <row r="54636" ht="15.75" customHeight="1">
      <c r="A54636" s="7"/>
      <c r="B54636" s="7"/>
    </row>
    <row r="54637" ht="15.75" customHeight="1">
      <c r="A54637" s="7"/>
      <c r="B54637" s="7"/>
    </row>
    <row r="54638" ht="15.75" customHeight="1">
      <c r="A54638" s="7"/>
      <c r="B54638" s="7"/>
    </row>
    <row r="54639" ht="15.75" customHeight="1">
      <c r="A54639" s="7"/>
      <c r="B54639" s="7"/>
    </row>
    <row r="54640" ht="15.75" customHeight="1">
      <c r="A54640" s="7"/>
      <c r="B54640" s="7"/>
    </row>
    <row r="54641" ht="15.75" customHeight="1">
      <c r="A54641" s="7"/>
      <c r="B54641" s="7"/>
    </row>
    <row r="54642" ht="15.75" customHeight="1">
      <c r="A54642" s="7"/>
      <c r="B54642" s="7"/>
    </row>
    <row r="54643" ht="15.75" customHeight="1">
      <c r="A54643" s="7"/>
      <c r="B54643" s="7"/>
    </row>
    <row r="54644" ht="15.75" customHeight="1">
      <c r="A54644" s="7"/>
      <c r="B54644" s="7"/>
    </row>
    <row r="54645" ht="15.75" customHeight="1">
      <c r="A54645" s="7"/>
      <c r="B54645" s="7"/>
    </row>
    <row r="54646" ht="15.75" customHeight="1">
      <c r="A54646" s="7"/>
      <c r="B54646" s="7"/>
    </row>
    <row r="54647" ht="15.75" customHeight="1">
      <c r="A54647" s="7"/>
      <c r="B54647" s="7"/>
    </row>
    <row r="54648" ht="15.75" customHeight="1">
      <c r="A54648" s="7"/>
      <c r="B54648" s="7"/>
    </row>
    <row r="54649" ht="15.75" customHeight="1">
      <c r="A54649" s="7"/>
      <c r="B54649" s="7"/>
    </row>
    <row r="54650" ht="15.75" customHeight="1">
      <c r="A54650" s="7"/>
      <c r="B54650" s="7"/>
    </row>
    <row r="54651" ht="15.75" customHeight="1">
      <c r="A54651" s="7"/>
      <c r="B54651" s="7"/>
    </row>
    <row r="54652" ht="15.75" customHeight="1">
      <c r="A54652" s="7"/>
      <c r="B54652" s="7"/>
    </row>
    <row r="54653" ht="15.75" customHeight="1">
      <c r="A54653" s="7"/>
      <c r="B54653" s="7"/>
    </row>
    <row r="54654" ht="15.75" customHeight="1">
      <c r="A54654" s="7"/>
      <c r="B54654" s="7"/>
    </row>
    <row r="54655" ht="15.75" customHeight="1">
      <c r="A54655" s="7"/>
      <c r="B54655" s="7"/>
    </row>
    <row r="54656" ht="15.75" customHeight="1">
      <c r="A54656" s="7"/>
      <c r="B54656" s="7"/>
    </row>
    <row r="54657" ht="15.75" customHeight="1">
      <c r="A54657" s="7"/>
      <c r="B54657" s="7"/>
    </row>
    <row r="54658" ht="15.75" customHeight="1">
      <c r="A54658" s="7"/>
      <c r="B54658" s="7"/>
    </row>
    <row r="54659" ht="15.75" customHeight="1">
      <c r="A54659" s="7"/>
      <c r="B54659" s="7"/>
    </row>
    <row r="54660" ht="15.75" customHeight="1">
      <c r="A54660" s="7"/>
      <c r="B54660" s="7"/>
    </row>
    <row r="54661" ht="15.75" customHeight="1">
      <c r="A54661" s="7"/>
      <c r="B54661" s="7"/>
    </row>
    <row r="54662" ht="15.75" customHeight="1">
      <c r="A54662" s="7"/>
      <c r="B54662" s="7"/>
    </row>
    <row r="54663" ht="15.75" customHeight="1">
      <c r="A54663" s="7"/>
      <c r="B54663" s="7"/>
    </row>
    <row r="54664" ht="15.75" customHeight="1">
      <c r="A54664" s="7"/>
      <c r="B54664" s="7"/>
    </row>
    <row r="54665" ht="15.75" customHeight="1">
      <c r="A54665" s="7"/>
      <c r="B54665" s="7"/>
    </row>
    <row r="54666" ht="15.75" customHeight="1">
      <c r="A54666" s="7"/>
      <c r="B54666" s="7"/>
    </row>
    <row r="54667" ht="15.75" customHeight="1">
      <c r="A54667" s="7"/>
      <c r="B54667" s="7"/>
    </row>
    <row r="54668" ht="15.75" customHeight="1">
      <c r="A54668" s="7"/>
      <c r="B54668" s="7"/>
    </row>
    <row r="54669" ht="15.75" customHeight="1">
      <c r="A54669" s="7"/>
      <c r="B54669" s="7"/>
    </row>
    <row r="54670" ht="15.75" customHeight="1">
      <c r="A54670" s="7"/>
      <c r="B54670" s="7"/>
    </row>
    <row r="54671" ht="15.75" customHeight="1">
      <c r="A54671" s="7"/>
      <c r="B54671" s="7"/>
    </row>
    <row r="54672" ht="15.75" customHeight="1">
      <c r="A54672" s="7"/>
      <c r="B54672" s="7"/>
    </row>
    <row r="54673" ht="15.75" customHeight="1">
      <c r="A54673" s="7"/>
      <c r="B54673" s="7"/>
    </row>
    <row r="54674" ht="15.75" customHeight="1">
      <c r="A54674" s="7"/>
      <c r="B54674" s="7"/>
    </row>
    <row r="54675" ht="15.75" customHeight="1">
      <c r="A54675" s="7"/>
      <c r="B54675" s="7"/>
    </row>
    <row r="54676" ht="15.75" customHeight="1">
      <c r="A54676" s="7"/>
      <c r="B54676" s="7"/>
    </row>
    <row r="54677" ht="15.75" customHeight="1">
      <c r="A54677" s="7"/>
      <c r="B54677" s="7"/>
    </row>
    <row r="54678" ht="15.75" customHeight="1">
      <c r="A54678" s="7"/>
      <c r="B54678" s="7"/>
    </row>
    <row r="54679" ht="15.75" customHeight="1">
      <c r="A54679" s="7"/>
      <c r="B54679" s="7"/>
    </row>
    <row r="54680" ht="15.75" customHeight="1">
      <c r="A54680" s="7"/>
      <c r="B54680" s="7"/>
    </row>
    <row r="54681" ht="15.75" customHeight="1">
      <c r="A54681" s="7"/>
      <c r="B54681" s="7"/>
    </row>
    <row r="54682" ht="15.75" customHeight="1">
      <c r="A54682" s="7"/>
      <c r="B54682" s="7"/>
    </row>
    <row r="54683" ht="15.75" customHeight="1">
      <c r="A54683" s="7"/>
      <c r="B54683" s="7"/>
    </row>
    <row r="54684" ht="15.75" customHeight="1">
      <c r="A54684" s="7"/>
      <c r="B54684" s="7"/>
    </row>
    <row r="54685" ht="15.75" customHeight="1">
      <c r="A54685" s="7"/>
      <c r="B54685" s="7"/>
    </row>
    <row r="54686" ht="15.75" customHeight="1">
      <c r="A54686" s="7"/>
      <c r="B54686" s="7"/>
    </row>
    <row r="54687" ht="15.75" customHeight="1">
      <c r="A54687" s="7"/>
      <c r="B54687" s="7"/>
    </row>
    <row r="54688" ht="15.75" customHeight="1">
      <c r="A54688" s="7"/>
      <c r="B54688" s="7"/>
    </row>
    <row r="54689" ht="15.75" customHeight="1">
      <c r="A54689" s="7"/>
      <c r="B54689" s="7"/>
    </row>
    <row r="54690" ht="15.75" customHeight="1">
      <c r="A54690" s="7"/>
      <c r="B54690" s="7"/>
    </row>
    <row r="54691" ht="15.75" customHeight="1">
      <c r="A54691" s="7"/>
      <c r="B54691" s="7"/>
    </row>
    <row r="54692" ht="15.75" customHeight="1">
      <c r="A54692" s="7"/>
      <c r="B54692" s="7"/>
    </row>
    <row r="54693" ht="15.75" customHeight="1">
      <c r="A54693" s="7"/>
      <c r="B54693" s="7"/>
    </row>
    <row r="54694" ht="15.75" customHeight="1">
      <c r="A54694" s="7"/>
      <c r="B54694" s="7"/>
    </row>
    <row r="54695" ht="15.75" customHeight="1">
      <c r="A54695" s="7"/>
      <c r="B54695" s="7"/>
    </row>
    <row r="54696" ht="15.75" customHeight="1">
      <c r="A54696" s="7"/>
      <c r="B54696" s="7"/>
    </row>
    <row r="54697" ht="15.75" customHeight="1">
      <c r="A54697" s="7"/>
      <c r="B54697" s="7"/>
    </row>
    <row r="54698" ht="15.75" customHeight="1">
      <c r="A54698" s="7"/>
      <c r="B54698" s="7"/>
    </row>
    <row r="54699" ht="15.75" customHeight="1">
      <c r="A54699" s="7"/>
      <c r="B54699" s="7"/>
    </row>
    <row r="54700" ht="15.75" customHeight="1">
      <c r="A54700" s="7"/>
      <c r="B54700" s="7"/>
    </row>
    <row r="54701" ht="15.75" customHeight="1">
      <c r="A54701" s="7"/>
      <c r="B54701" s="7"/>
    </row>
    <row r="54702" ht="15.75" customHeight="1">
      <c r="A54702" s="7"/>
      <c r="B54702" s="7"/>
    </row>
    <row r="54703" ht="15.75" customHeight="1">
      <c r="A54703" s="7"/>
      <c r="B54703" s="7"/>
    </row>
    <row r="54704" ht="15.75" customHeight="1">
      <c r="A54704" s="7"/>
      <c r="B54704" s="7"/>
    </row>
    <row r="54705" ht="15.75" customHeight="1">
      <c r="A54705" s="7"/>
      <c r="B54705" s="7"/>
    </row>
    <row r="54706" ht="15.75" customHeight="1">
      <c r="A54706" s="7"/>
      <c r="B54706" s="7"/>
    </row>
    <row r="54707" ht="15.75" customHeight="1">
      <c r="A54707" s="7"/>
      <c r="B54707" s="7"/>
    </row>
    <row r="54708" ht="15.75" customHeight="1">
      <c r="A54708" s="7"/>
      <c r="B54708" s="7"/>
    </row>
    <row r="54709" ht="15.75" customHeight="1">
      <c r="A54709" s="7"/>
      <c r="B54709" s="7"/>
    </row>
    <row r="54710" ht="15.75" customHeight="1">
      <c r="A54710" s="7"/>
      <c r="B54710" s="7"/>
    </row>
    <row r="54711" ht="15.75" customHeight="1">
      <c r="A54711" s="7"/>
      <c r="B54711" s="7"/>
    </row>
    <row r="54712" ht="15.75" customHeight="1">
      <c r="A54712" s="7"/>
      <c r="B54712" s="7"/>
    </row>
    <row r="54713" ht="15.75" customHeight="1">
      <c r="A54713" s="7"/>
      <c r="B54713" s="7"/>
    </row>
    <row r="54714" ht="15.75" customHeight="1">
      <c r="A54714" s="7"/>
      <c r="B54714" s="7"/>
    </row>
    <row r="54715" ht="15.75" customHeight="1">
      <c r="A54715" s="7"/>
      <c r="B54715" s="7"/>
    </row>
    <row r="54716" ht="15.75" customHeight="1">
      <c r="A54716" s="7"/>
      <c r="B54716" s="7"/>
    </row>
    <row r="54717" ht="15.75" customHeight="1">
      <c r="A54717" s="7"/>
      <c r="B54717" s="7"/>
    </row>
    <row r="54718" ht="15.75" customHeight="1">
      <c r="A54718" s="7"/>
      <c r="B54718" s="7"/>
    </row>
    <row r="54719" ht="15.75" customHeight="1">
      <c r="A54719" s="7"/>
      <c r="B54719" s="7"/>
    </row>
    <row r="54720" ht="15.75" customHeight="1">
      <c r="A54720" s="7"/>
      <c r="B54720" s="7"/>
    </row>
    <row r="54721" ht="15.75" customHeight="1">
      <c r="A54721" s="7"/>
      <c r="B54721" s="7"/>
    </row>
    <row r="54722" ht="15.75" customHeight="1">
      <c r="A54722" s="7"/>
      <c r="B54722" s="7"/>
    </row>
    <row r="54723" ht="15.75" customHeight="1">
      <c r="A54723" s="7"/>
      <c r="B54723" s="7"/>
    </row>
    <row r="54724" ht="15.75" customHeight="1">
      <c r="A54724" s="7"/>
      <c r="B54724" s="7"/>
    </row>
    <row r="54725" ht="15.75" customHeight="1">
      <c r="A54725" s="7"/>
      <c r="B54725" s="7"/>
    </row>
    <row r="54726" ht="15.75" customHeight="1">
      <c r="A54726" s="7"/>
      <c r="B54726" s="7"/>
    </row>
    <row r="54727" ht="15.75" customHeight="1">
      <c r="A54727" s="7"/>
      <c r="B54727" s="7"/>
    </row>
    <row r="54728" ht="15.75" customHeight="1">
      <c r="A54728" s="7"/>
      <c r="B54728" s="7"/>
    </row>
    <row r="54729" ht="15.75" customHeight="1">
      <c r="A54729" s="7"/>
      <c r="B54729" s="7"/>
    </row>
    <row r="54730" ht="15.75" customHeight="1">
      <c r="A54730" s="7"/>
      <c r="B54730" s="7"/>
    </row>
    <row r="54731" ht="15.75" customHeight="1">
      <c r="A54731" s="7"/>
      <c r="B54731" s="7"/>
    </row>
    <row r="54732" ht="15.75" customHeight="1">
      <c r="A54732" s="7"/>
      <c r="B54732" s="7"/>
    </row>
    <row r="54733" ht="15.75" customHeight="1">
      <c r="A54733" s="7"/>
      <c r="B54733" s="7"/>
    </row>
    <row r="54734" ht="15.75" customHeight="1">
      <c r="A54734" s="7"/>
      <c r="B54734" s="7"/>
    </row>
    <row r="54735" ht="15.75" customHeight="1">
      <c r="A54735" s="7"/>
      <c r="B54735" s="7"/>
    </row>
    <row r="54736" ht="15.75" customHeight="1">
      <c r="A54736" s="7"/>
      <c r="B54736" s="7"/>
    </row>
    <row r="54737" ht="15.75" customHeight="1">
      <c r="A54737" s="7"/>
      <c r="B54737" s="7"/>
    </row>
    <row r="54738" ht="15.75" customHeight="1">
      <c r="A54738" s="7"/>
      <c r="B54738" s="7"/>
    </row>
    <row r="54739" ht="15.75" customHeight="1">
      <c r="A54739" s="7"/>
      <c r="B54739" s="7"/>
    </row>
    <row r="54740" ht="15.75" customHeight="1">
      <c r="A54740" s="7"/>
      <c r="B54740" s="7"/>
    </row>
    <row r="54741" ht="15.75" customHeight="1">
      <c r="A54741" s="7"/>
      <c r="B54741" s="7"/>
    </row>
    <row r="54742" ht="15.75" customHeight="1">
      <c r="A54742" s="7"/>
      <c r="B54742" s="7"/>
    </row>
    <row r="54743" ht="15.75" customHeight="1">
      <c r="A54743" s="7"/>
      <c r="B54743" s="7"/>
    </row>
    <row r="54744" ht="15.75" customHeight="1">
      <c r="A54744" s="7"/>
      <c r="B54744" s="7"/>
    </row>
    <row r="54745" ht="15.75" customHeight="1">
      <c r="A54745" s="7"/>
      <c r="B54745" s="7"/>
    </row>
    <row r="54746" ht="15.75" customHeight="1">
      <c r="A54746" s="7"/>
      <c r="B54746" s="7"/>
    </row>
    <row r="54747" ht="15.75" customHeight="1">
      <c r="A54747" s="7"/>
      <c r="B54747" s="7"/>
    </row>
    <row r="54748" ht="15.75" customHeight="1">
      <c r="A54748" s="7"/>
      <c r="B54748" s="7"/>
    </row>
    <row r="54749" ht="15.75" customHeight="1">
      <c r="A54749" s="7"/>
      <c r="B54749" s="7"/>
    </row>
    <row r="54750" ht="15.75" customHeight="1">
      <c r="A54750" s="7"/>
      <c r="B54750" s="7"/>
    </row>
    <row r="54751" ht="15.75" customHeight="1">
      <c r="A54751" s="7"/>
      <c r="B54751" s="7"/>
    </row>
    <row r="54752" ht="15.75" customHeight="1">
      <c r="A54752" s="7"/>
      <c r="B54752" s="7"/>
    </row>
    <row r="54753" ht="15.75" customHeight="1">
      <c r="A54753" s="7"/>
      <c r="B54753" s="7"/>
    </row>
    <row r="54754" ht="15.75" customHeight="1">
      <c r="A54754" s="7"/>
      <c r="B54754" s="7"/>
    </row>
    <row r="54755" ht="15.75" customHeight="1">
      <c r="A54755" s="7"/>
      <c r="B54755" s="7"/>
    </row>
    <row r="54756" ht="15.75" customHeight="1">
      <c r="A54756" s="7"/>
      <c r="B54756" s="7"/>
    </row>
    <row r="54757" ht="15.75" customHeight="1">
      <c r="A54757" s="7"/>
      <c r="B54757" s="7"/>
    </row>
    <row r="54758" ht="15.75" customHeight="1">
      <c r="A54758" s="7"/>
      <c r="B54758" s="7"/>
    </row>
    <row r="54759" ht="15.75" customHeight="1">
      <c r="A54759" s="7"/>
      <c r="B54759" s="7"/>
    </row>
    <row r="54760" ht="15.75" customHeight="1">
      <c r="A54760" s="7"/>
      <c r="B54760" s="7"/>
    </row>
    <row r="54761" ht="15.75" customHeight="1">
      <c r="A54761" s="7"/>
      <c r="B54761" s="7"/>
    </row>
    <row r="54762" ht="15.75" customHeight="1">
      <c r="A54762" s="7"/>
      <c r="B54762" s="7"/>
    </row>
    <row r="54763" ht="15.75" customHeight="1">
      <c r="A54763" s="7"/>
      <c r="B54763" s="7"/>
    </row>
    <row r="54764" ht="15.75" customHeight="1">
      <c r="A54764" s="7"/>
      <c r="B54764" s="7"/>
    </row>
    <row r="54765" ht="15.75" customHeight="1">
      <c r="A54765" s="7"/>
      <c r="B54765" s="7"/>
    </row>
    <row r="54766" ht="15.75" customHeight="1">
      <c r="A54766" s="7"/>
      <c r="B54766" s="7"/>
    </row>
    <row r="54767" ht="15.75" customHeight="1">
      <c r="A54767" s="7"/>
      <c r="B54767" s="7"/>
    </row>
    <row r="54768" ht="15.75" customHeight="1">
      <c r="A54768" s="7"/>
      <c r="B54768" s="7"/>
    </row>
    <row r="54769" ht="15.75" customHeight="1">
      <c r="A54769" s="7"/>
      <c r="B54769" s="7"/>
    </row>
    <row r="54770" ht="15.75" customHeight="1">
      <c r="A54770" s="7"/>
      <c r="B54770" s="7"/>
    </row>
    <row r="54771" ht="15.75" customHeight="1">
      <c r="A54771" s="7"/>
      <c r="B54771" s="7"/>
    </row>
    <row r="54772" ht="15.75" customHeight="1">
      <c r="A54772" s="7"/>
      <c r="B54772" s="7"/>
    </row>
    <row r="54773" ht="15.75" customHeight="1">
      <c r="A54773" s="7"/>
      <c r="B54773" s="7"/>
    </row>
    <row r="54774" ht="15.75" customHeight="1">
      <c r="A54774" s="7"/>
      <c r="B54774" s="7"/>
    </row>
    <row r="54775" ht="15.75" customHeight="1">
      <c r="A54775" s="7"/>
      <c r="B54775" s="7"/>
    </row>
    <row r="54776" ht="15.75" customHeight="1">
      <c r="A54776" s="7"/>
      <c r="B54776" s="7"/>
    </row>
    <row r="54777" ht="15.75" customHeight="1">
      <c r="A54777" s="7"/>
      <c r="B54777" s="7"/>
    </row>
    <row r="54778" ht="15.75" customHeight="1">
      <c r="A54778" s="7"/>
      <c r="B54778" s="7"/>
    </row>
    <row r="54779" ht="15.75" customHeight="1">
      <c r="A54779" s="7"/>
      <c r="B54779" s="7"/>
    </row>
    <row r="54780" ht="15.75" customHeight="1">
      <c r="A54780" s="7"/>
      <c r="B54780" s="7"/>
    </row>
    <row r="54781" ht="15.75" customHeight="1">
      <c r="A54781" s="7"/>
      <c r="B54781" s="7"/>
    </row>
    <row r="54782" ht="15.75" customHeight="1">
      <c r="A54782" s="7"/>
      <c r="B54782" s="7"/>
    </row>
    <row r="54783" ht="15.75" customHeight="1">
      <c r="A54783" s="7"/>
      <c r="B54783" s="7"/>
    </row>
    <row r="54784" ht="15.75" customHeight="1">
      <c r="A54784" s="7"/>
      <c r="B54784" s="7"/>
    </row>
    <row r="54785" ht="15.75" customHeight="1">
      <c r="A54785" s="7"/>
      <c r="B54785" s="7"/>
    </row>
    <row r="54786" ht="15.75" customHeight="1">
      <c r="A54786" s="7"/>
      <c r="B54786" s="7"/>
    </row>
    <row r="54787" ht="15.75" customHeight="1">
      <c r="A54787" s="7"/>
      <c r="B54787" s="7"/>
    </row>
    <row r="54788" ht="15.75" customHeight="1">
      <c r="A54788" s="7"/>
      <c r="B54788" s="7"/>
    </row>
    <row r="54789" ht="15.75" customHeight="1">
      <c r="A54789" s="7"/>
      <c r="B54789" s="7"/>
    </row>
    <row r="54790" ht="15.75" customHeight="1">
      <c r="A54790" s="7"/>
      <c r="B54790" s="7"/>
    </row>
    <row r="54791" ht="15.75" customHeight="1">
      <c r="A54791" s="7"/>
      <c r="B54791" s="7"/>
    </row>
    <row r="54792" ht="15.75" customHeight="1">
      <c r="A54792" s="7"/>
      <c r="B54792" s="7"/>
    </row>
    <row r="54793" ht="15.75" customHeight="1">
      <c r="A54793" s="7"/>
      <c r="B54793" s="7"/>
    </row>
    <row r="54794" ht="15.75" customHeight="1">
      <c r="A54794" s="7"/>
      <c r="B54794" s="7"/>
    </row>
    <row r="54795" ht="15.75" customHeight="1">
      <c r="A54795" s="7"/>
      <c r="B54795" s="7"/>
    </row>
    <row r="54796" ht="15.75" customHeight="1">
      <c r="A54796" s="7"/>
      <c r="B54796" s="7"/>
    </row>
    <row r="54797" ht="15.75" customHeight="1">
      <c r="A54797" s="7"/>
      <c r="B54797" s="7"/>
    </row>
    <row r="54798" ht="15.75" customHeight="1">
      <c r="A54798" s="7"/>
      <c r="B54798" s="7"/>
    </row>
    <row r="54799" ht="15.75" customHeight="1">
      <c r="A54799" s="7"/>
      <c r="B54799" s="7"/>
    </row>
    <row r="54800" ht="15.75" customHeight="1">
      <c r="A54800" s="7"/>
      <c r="B54800" s="7"/>
    </row>
    <row r="54801" ht="15.75" customHeight="1">
      <c r="A54801" s="7"/>
      <c r="B54801" s="7"/>
    </row>
    <row r="54802" ht="15.75" customHeight="1">
      <c r="A54802" s="7"/>
      <c r="B54802" s="7"/>
    </row>
    <row r="54803" ht="15.75" customHeight="1">
      <c r="A54803" s="7"/>
      <c r="B54803" s="7"/>
    </row>
    <row r="54804" ht="15.75" customHeight="1">
      <c r="A54804" s="7"/>
      <c r="B54804" s="7"/>
    </row>
    <row r="54805" ht="15.75" customHeight="1">
      <c r="A54805" s="7"/>
      <c r="B54805" s="7"/>
    </row>
    <row r="54806" ht="15.75" customHeight="1">
      <c r="A54806" s="7"/>
      <c r="B54806" s="7"/>
    </row>
    <row r="54807" ht="15.75" customHeight="1">
      <c r="A54807" s="7"/>
      <c r="B54807" s="7"/>
    </row>
    <row r="54808" ht="15.75" customHeight="1">
      <c r="A54808" s="7"/>
      <c r="B54808" s="7"/>
    </row>
    <row r="54809" ht="15.75" customHeight="1">
      <c r="A54809" s="7"/>
      <c r="B54809" s="7"/>
    </row>
    <row r="54810" ht="15.75" customHeight="1">
      <c r="A54810" s="7"/>
      <c r="B54810" s="7"/>
    </row>
    <row r="54811" ht="15.75" customHeight="1">
      <c r="A54811" s="7"/>
      <c r="B54811" s="7"/>
    </row>
    <row r="54812" ht="15.75" customHeight="1">
      <c r="A54812" s="7"/>
      <c r="B54812" s="7"/>
    </row>
    <row r="54813" ht="15.75" customHeight="1">
      <c r="A54813" s="7"/>
      <c r="B54813" s="7"/>
    </row>
    <row r="54814" ht="15.75" customHeight="1">
      <c r="A54814" s="7"/>
      <c r="B54814" s="7"/>
    </row>
    <row r="54815" ht="15.75" customHeight="1">
      <c r="A54815" s="7"/>
      <c r="B54815" s="7"/>
    </row>
    <row r="54816" ht="15.75" customHeight="1">
      <c r="A54816" s="7"/>
      <c r="B54816" s="7"/>
    </row>
    <row r="54817" ht="15.75" customHeight="1">
      <c r="A54817" s="7"/>
      <c r="B54817" s="7"/>
    </row>
    <row r="54818" ht="15.75" customHeight="1">
      <c r="A54818" s="7"/>
      <c r="B54818" s="7"/>
    </row>
    <row r="54819" ht="15.75" customHeight="1">
      <c r="A54819" s="7"/>
      <c r="B54819" s="7"/>
    </row>
    <row r="54820" ht="15.75" customHeight="1">
      <c r="A54820" s="7"/>
      <c r="B54820" s="7"/>
    </row>
    <row r="54821" ht="15.75" customHeight="1">
      <c r="A54821" s="7"/>
      <c r="B54821" s="7"/>
    </row>
    <row r="54822" ht="15.75" customHeight="1">
      <c r="A54822" s="7"/>
      <c r="B54822" s="7"/>
    </row>
    <row r="54823" ht="15.75" customHeight="1">
      <c r="A54823" s="7"/>
      <c r="B54823" s="7"/>
    </row>
    <row r="54824" ht="15.75" customHeight="1">
      <c r="A54824" s="7"/>
      <c r="B54824" s="7"/>
    </row>
    <row r="54825" ht="15.75" customHeight="1">
      <c r="A54825" s="7"/>
      <c r="B54825" s="7"/>
    </row>
    <row r="54826" ht="15.75" customHeight="1">
      <c r="A54826" s="7"/>
      <c r="B54826" s="7"/>
    </row>
    <row r="54827" ht="15.75" customHeight="1">
      <c r="A54827" s="7"/>
      <c r="B54827" s="7"/>
    </row>
    <row r="54828" ht="15.75" customHeight="1">
      <c r="A54828" s="7"/>
      <c r="B54828" s="7"/>
    </row>
    <row r="54829" ht="15.75" customHeight="1">
      <c r="A54829" s="7"/>
      <c r="B54829" s="7"/>
    </row>
    <row r="54830" ht="15.75" customHeight="1">
      <c r="A54830" s="7"/>
      <c r="B54830" s="7"/>
    </row>
    <row r="54831" ht="15.75" customHeight="1">
      <c r="A54831" s="7"/>
      <c r="B54831" s="7"/>
    </row>
    <row r="54832" ht="15.75" customHeight="1">
      <c r="A54832" s="7"/>
      <c r="B54832" s="7"/>
    </row>
    <row r="54833" ht="15.75" customHeight="1">
      <c r="A54833" s="7"/>
      <c r="B54833" s="7"/>
    </row>
    <row r="54834" ht="15.75" customHeight="1">
      <c r="A54834" s="7"/>
      <c r="B54834" s="7"/>
    </row>
    <row r="54835" ht="15.75" customHeight="1">
      <c r="A54835" s="7"/>
      <c r="B54835" s="7"/>
    </row>
    <row r="54836" ht="15.75" customHeight="1">
      <c r="A54836" s="7"/>
      <c r="B54836" s="7"/>
    </row>
    <row r="54837" ht="15.75" customHeight="1">
      <c r="A54837" s="7"/>
      <c r="B54837" s="7"/>
    </row>
    <row r="54838" ht="15.75" customHeight="1">
      <c r="A54838" s="7"/>
      <c r="B54838" s="7"/>
    </row>
    <row r="54839" ht="15.75" customHeight="1">
      <c r="A54839" s="7"/>
      <c r="B54839" s="7"/>
    </row>
    <row r="54840" ht="15.75" customHeight="1">
      <c r="A54840" s="7"/>
      <c r="B54840" s="7"/>
    </row>
    <row r="54841" ht="15.75" customHeight="1">
      <c r="A54841" s="7"/>
      <c r="B54841" s="7"/>
    </row>
    <row r="54842" ht="15.75" customHeight="1">
      <c r="A54842" s="7"/>
      <c r="B54842" s="7"/>
    </row>
    <row r="54843" ht="15.75" customHeight="1">
      <c r="A54843" s="7"/>
      <c r="B54843" s="7"/>
    </row>
    <row r="54844" ht="15.75" customHeight="1">
      <c r="A54844" s="7"/>
      <c r="B54844" s="7"/>
    </row>
    <row r="54845" ht="15.75" customHeight="1">
      <c r="A54845" s="7"/>
      <c r="B54845" s="7"/>
    </row>
    <row r="54846" ht="15.75" customHeight="1">
      <c r="A54846" s="7"/>
      <c r="B54846" s="7"/>
    </row>
    <row r="54847" ht="15.75" customHeight="1">
      <c r="A54847" s="7"/>
      <c r="B54847" s="7"/>
    </row>
    <row r="54848" ht="15.75" customHeight="1">
      <c r="A54848" s="7"/>
      <c r="B54848" s="7"/>
    </row>
    <row r="54849" ht="15.75" customHeight="1">
      <c r="A54849" s="7"/>
      <c r="B54849" s="7"/>
    </row>
    <row r="54850" ht="15.75" customHeight="1">
      <c r="A54850" s="7"/>
      <c r="B54850" s="7"/>
    </row>
    <row r="54851" ht="15.75" customHeight="1">
      <c r="A54851" s="7"/>
      <c r="B54851" s="7"/>
    </row>
    <row r="54852" ht="15.75" customHeight="1">
      <c r="A54852" s="7"/>
      <c r="B54852" s="7"/>
    </row>
    <row r="54853" ht="15.75" customHeight="1">
      <c r="A54853" s="7"/>
      <c r="B54853" s="7"/>
    </row>
    <row r="54854" ht="15.75" customHeight="1">
      <c r="A54854" s="7"/>
      <c r="B54854" s="7"/>
    </row>
    <row r="54855" ht="15.75" customHeight="1">
      <c r="A54855" s="7"/>
      <c r="B54855" s="7"/>
    </row>
    <row r="54856" ht="15.75" customHeight="1">
      <c r="A54856" s="7"/>
      <c r="B54856" s="7"/>
    </row>
    <row r="54857" ht="15.75" customHeight="1">
      <c r="A54857" s="7"/>
      <c r="B54857" s="7"/>
    </row>
    <row r="54858" ht="15.75" customHeight="1">
      <c r="A54858" s="7"/>
      <c r="B54858" s="7"/>
    </row>
    <row r="54859" ht="15.75" customHeight="1">
      <c r="A54859" s="7"/>
      <c r="B54859" s="7"/>
    </row>
    <row r="54860" ht="15.75" customHeight="1">
      <c r="A54860" s="7"/>
      <c r="B54860" s="7"/>
    </row>
    <row r="54861" ht="15.75" customHeight="1">
      <c r="A54861" s="7"/>
      <c r="B54861" s="7"/>
    </row>
    <row r="54862" ht="15.75" customHeight="1">
      <c r="A54862" s="7"/>
      <c r="B54862" s="7"/>
    </row>
    <row r="54863" ht="15.75" customHeight="1">
      <c r="A54863" s="7"/>
      <c r="B54863" s="7"/>
    </row>
    <row r="54864" ht="15.75" customHeight="1">
      <c r="A54864" s="7"/>
      <c r="B54864" s="7"/>
    </row>
    <row r="54865" ht="15.75" customHeight="1">
      <c r="A54865" s="7"/>
      <c r="B54865" s="7"/>
    </row>
    <row r="54866" ht="15.75" customHeight="1">
      <c r="A54866" s="7"/>
      <c r="B54866" s="7"/>
    </row>
    <row r="54867" ht="15.75" customHeight="1">
      <c r="A54867" s="7"/>
      <c r="B54867" s="7"/>
    </row>
    <row r="54868" ht="15.75" customHeight="1">
      <c r="A54868" s="7"/>
      <c r="B54868" s="7"/>
    </row>
    <row r="54869" ht="15.75" customHeight="1">
      <c r="A54869" s="7"/>
      <c r="B54869" s="7"/>
    </row>
    <row r="54870" ht="15.75" customHeight="1">
      <c r="A54870" s="7"/>
      <c r="B54870" s="7"/>
    </row>
    <row r="54871" ht="15.75" customHeight="1">
      <c r="A54871" s="7"/>
      <c r="B54871" s="7"/>
    </row>
    <row r="54872" ht="15.75" customHeight="1">
      <c r="A54872" s="7"/>
      <c r="B54872" s="7"/>
    </row>
    <row r="54873" ht="15.75" customHeight="1">
      <c r="A54873" s="7"/>
      <c r="B54873" s="7"/>
    </row>
    <row r="54874" ht="15.75" customHeight="1">
      <c r="A54874" s="7"/>
      <c r="B54874" s="7"/>
    </row>
    <row r="54875" ht="15.75" customHeight="1">
      <c r="A54875" s="7"/>
      <c r="B54875" s="7"/>
    </row>
    <row r="54876" ht="15.75" customHeight="1">
      <c r="A54876" s="7"/>
      <c r="B54876" s="7"/>
    </row>
    <row r="54877" ht="15.75" customHeight="1">
      <c r="A54877" s="7"/>
      <c r="B54877" s="7"/>
    </row>
    <row r="54878" ht="15.75" customHeight="1">
      <c r="A54878" s="7"/>
      <c r="B54878" s="7"/>
    </row>
    <row r="54879" ht="15.75" customHeight="1">
      <c r="A54879" s="7"/>
      <c r="B54879" s="7"/>
    </row>
    <row r="54880" ht="15.75" customHeight="1">
      <c r="A54880" s="7"/>
      <c r="B54880" s="7"/>
    </row>
    <row r="54881" ht="15.75" customHeight="1">
      <c r="A54881" s="7"/>
      <c r="B54881" s="7"/>
    </row>
    <row r="54882" ht="15.75" customHeight="1">
      <c r="A54882" s="7"/>
      <c r="B54882" s="7"/>
    </row>
    <row r="54883" ht="15.75" customHeight="1">
      <c r="A54883" s="7"/>
      <c r="B54883" s="7"/>
    </row>
    <row r="54884" ht="15.75" customHeight="1">
      <c r="A54884" s="7"/>
      <c r="B54884" s="7"/>
    </row>
    <row r="54885" ht="15.75" customHeight="1">
      <c r="A54885" s="7"/>
      <c r="B54885" s="7"/>
    </row>
    <row r="54886" ht="15.75" customHeight="1">
      <c r="A54886" s="7"/>
      <c r="B54886" s="7"/>
    </row>
    <row r="54887" ht="15.75" customHeight="1">
      <c r="A54887" s="7"/>
      <c r="B54887" s="7"/>
    </row>
    <row r="54888" ht="15.75" customHeight="1">
      <c r="A54888" s="7"/>
      <c r="B54888" s="7"/>
    </row>
    <row r="54889" ht="15.75" customHeight="1">
      <c r="A54889" s="7"/>
      <c r="B54889" s="7"/>
    </row>
    <row r="54890" ht="15.75" customHeight="1">
      <c r="A54890" s="7"/>
      <c r="B54890" s="7"/>
    </row>
    <row r="54891" ht="15.75" customHeight="1">
      <c r="A54891" s="7"/>
      <c r="B54891" s="7"/>
    </row>
    <row r="54892" ht="15.75" customHeight="1">
      <c r="A54892" s="7"/>
      <c r="B54892" s="7"/>
    </row>
    <row r="54893" ht="15.75" customHeight="1">
      <c r="A54893" s="7"/>
      <c r="B54893" s="7"/>
    </row>
    <row r="54894" ht="15.75" customHeight="1">
      <c r="A54894" s="7"/>
      <c r="B54894" s="7"/>
    </row>
    <row r="54895" ht="15.75" customHeight="1">
      <c r="A54895" s="7"/>
      <c r="B54895" s="7"/>
    </row>
    <row r="54896" ht="15.75" customHeight="1">
      <c r="A54896" s="7"/>
      <c r="B54896" s="7"/>
    </row>
    <row r="54897" ht="15.75" customHeight="1">
      <c r="A54897" s="7"/>
      <c r="B54897" s="7"/>
    </row>
    <row r="54898" ht="15.75" customHeight="1">
      <c r="A54898" s="7"/>
      <c r="B54898" s="7"/>
    </row>
    <row r="54899" ht="15.75" customHeight="1">
      <c r="A54899" s="7"/>
      <c r="B54899" s="7"/>
    </row>
    <row r="54900" ht="15.75" customHeight="1">
      <c r="A54900" s="7"/>
      <c r="B54900" s="7"/>
    </row>
    <row r="54901" ht="15.75" customHeight="1">
      <c r="A54901" s="7"/>
      <c r="B54901" s="7"/>
    </row>
    <row r="54902" ht="15.75" customHeight="1">
      <c r="A54902" s="7"/>
      <c r="B54902" s="7"/>
    </row>
    <row r="54903" ht="15.75" customHeight="1">
      <c r="A54903" s="7"/>
      <c r="B54903" s="7"/>
    </row>
    <row r="54904" ht="15.75" customHeight="1">
      <c r="A54904" s="7"/>
      <c r="B54904" s="7"/>
    </row>
    <row r="54905" ht="15.75" customHeight="1">
      <c r="A54905" s="7"/>
      <c r="B54905" s="7"/>
    </row>
    <row r="54906" ht="15.75" customHeight="1">
      <c r="A54906" s="7"/>
      <c r="B54906" s="7"/>
    </row>
    <row r="54907" ht="15.75" customHeight="1">
      <c r="A54907" s="7"/>
      <c r="B54907" s="7"/>
    </row>
    <row r="54908" ht="15.75" customHeight="1">
      <c r="A54908" s="7"/>
      <c r="B54908" s="7"/>
    </row>
    <row r="54909" ht="15.75" customHeight="1">
      <c r="A54909" s="7"/>
      <c r="B54909" s="7"/>
    </row>
    <row r="54910" ht="15.75" customHeight="1">
      <c r="A54910" s="7"/>
      <c r="B54910" s="7"/>
    </row>
    <row r="54911" ht="15.75" customHeight="1">
      <c r="A54911" s="7"/>
      <c r="B54911" s="7"/>
    </row>
    <row r="54912" ht="15.75" customHeight="1">
      <c r="A54912" s="7"/>
      <c r="B54912" s="7"/>
    </row>
    <row r="54913" ht="15.75" customHeight="1">
      <c r="A54913" s="7"/>
      <c r="B54913" s="7"/>
    </row>
    <row r="54914" ht="15.75" customHeight="1">
      <c r="A54914" s="7"/>
      <c r="B54914" s="7"/>
    </row>
    <row r="54915" ht="15.75" customHeight="1">
      <c r="A54915" s="7"/>
      <c r="B54915" s="7"/>
    </row>
    <row r="54916" ht="15.75" customHeight="1">
      <c r="A54916" s="7"/>
      <c r="B54916" s="7"/>
    </row>
    <row r="54917" ht="15.75" customHeight="1">
      <c r="A54917" s="7"/>
      <c r="B54917" s="7"/>
    </row>
    <row r="54918" ht="15.75" customHeight="1">
      <c r="A54918" s="7"/>
      <c r="B54918" s="7"/>
    </row>
    <row r="54919" ht="15.75" customHeight="1">
      <c r="A54919" s="7"/>
      <c r="B54919" s="7"/>
    </row>
    <row r="54920" ht="15.75" customHeight="1">
      <c r="A54920" s="7"/>
      <c r="B54920" s="7"/>
    </row>
    <row r="54921" ht="15.75" customHeight="1">
      <c r="A54921" s="7"/>
      <c r="B54921" s="7"/>
    </row>
    <row r="54922" ht="15.75" customHeight="1">
      <c r="A54922" s="7"/>
      <c r="B54922" s="7"/>
    </row>
    <row r="54923" ht="15.75" customHeight="1">
      <c r="A54923" s="7"/>
      <c r="B54923" s="7"/>
    </row>
    <row r="54924" ht="15.75" customHeight="1">
      <c r="A54924" s="7"/>
      <c r="B54924" s="7"/>
    </row>
    <row r="54925" ht="15.75" customHeight="1">
      <c r="A54925" s="7"/>
      <c r="B54925" s="7"/>
    </row>
    <row r="54926" ht="15.75" customHeight="1">
      <c r="A54926" s="7"/>
      <c r="B54926" s="7"/>
    </row>
    <row r="54927" ht="15.75" customHeight="1">
      <c r="A54927" s="7"/>
      <c r="B54927" s="7"/>
    </row>
    <row r="54928" ht="15.75" customHeight="1">
      <c r="A54928" s="7"/>
      <c r="B54928" s="7"/>
    </row>
    <row r="54929" ht="15.75" customHeight="1">
      <c r="A54929" s="7"/>
      <c r="B54929" s="7"/>
    </row>
    <row r="54930" ht="15.75" customHeight="1">
      <c r="A54930" s="7"/>
      <c r="B54930" s="7"/>
    </row>
    <row r="54931" ht="15.75" customHeight="1">
      <c r="A54931" s="7"/>
      <c r="B54931" s="7"/>
    </row>
    <row r="54932" ht="15.75" customHeight="1">
      <c r="A54932" s="7"/>
      <c r="B54932" s="7"/>
    </row>
    <row r="54933" ht="15.75" customHeight="1">
      <c r="A54933" s="7"/>
      <c r="B54933" s="7"/>
    </row>
    <row r="54934" ht="15.75" customHeight="1">
      <c r="A54934" s="7"/>
      <c r="B54934" s="7"/>
    </row>
    <row r="54935" ht="15.75" customHeight="1">
      <c r="A54935" s="7"/>
      <c r="B54935" s="7"/>
    </row>
    <row r="54936" ht="15.75" customHeight="1">
      <c r="A54936" s="7"/>
      <c r="B54936" s="7"/>
    </row>
    <row r="54937" ht="15.75" customHeight="1">
      <c r="A54937" s="7"/>
      <c r="B54937" s="7"/>
    </row>
    <row r="54938" ht="15.75" customHeight="1">
      <c r="A54938" s="7"/>
      <c r="B54938" s="7"/>
    </row>
    <row r="54939" ht="15.75" customHeight="1">
      <c r="A54939" s="7"/>
      <c r="B54939" s="7"/>
    </row>
    <row r="54940" ht="15.75" customHeight="1">
      <c r="A54940" s="7"/>
      <c r="B54940" s="7"/>
    </row>
    <row r="54941" ht="15.75" customHeight="1">
      <c r="A54941" s="7"/>
      <c r="B54941" s="7"/>
    </row>
    <row r="54942" ht="15.75" customHeight="1">
      <c r="A54942" s="7"/>
      <c r="B54942" s="7"/>
    </row>
    <row r="54943" ht="15.75" customHeight="1">
      <c r="A54943" s="7"/>
      <c r="B54943" s="7"/>
    </row>
    <row r="54944" ht="15.75" customHeight="1">
      <c r="A54944" s="7"/>
      <c r="B54944" s="7"/>
    </row>
    <row r="54945" ht="15.75" customHeight="1">
      <c r="A54945" s="7"/>
      <c r="B54945" s="7"/>
    </row>
    <row r="54946" ht="15.75" customHeight="1">
      <c r="A54946" s="7"/>
      <c r="B54946" s="7"/>
    </row>
    <row r="54947" ht="15.75" customHeight="1">
      <c r="A54947" s="7"/>
      <c r="B54947" s="7"/>
    </row>
    <row r="54948" ht="15.75" customHeight="1">
      <c r="A54948" s="7"/>
      <c r="B54948" s="7"/>
    </row>
    <row r="54949" ht="15.75" customHeight="1">
      <c r="A54949" s="7"/>
      <c r="B54949" s="7"/>
    </row>
    <row r="54950" ht="15.75" customHeight="1">
      <c r="A54950" s="7"/>
      <c r="B54950" s="7"/>
    </row>
    <row r="54951" ht="15.75" customHeight="1">
      <c r="A54951" s="7"/>
      <c r="B54951" s="7"/>
    </row>
    <row r="54952" ht="15.75" customHeight="1">
      <c r="A54952" s="7"/>
      <c r="B54952" s="7"/>
    </row>
    <row r="54953" ht="15.75" customHeight="1">
      <c r="A54953" s="7"/>
      <c r="B54953" s="7"/>
    </row>
    <row r="54954" ht="15.75" customHeight="1">
      <c r="A54954" s="7"/>
      <c r="B54954" s="7"/>
    </row>
    <row r="54955" ht="15.75" customHeight="1">
      <c r="A54955" s="7"/>
      <c r="B54955" s="7"/>
    </row>
    <row r="54956" ht="15.75" customHeight="1">
      <c r="A54956" s="7"/>
      <c r="B54956" s="7"/>
    </row>
    <row r="54957" ht="15.75" customHeight="1">
      <c r="A54957" s="7"/>
      <c r="B54957" s="7"/>
    </row>
    <row r="54958" ht="15.75" customHeight="1">
      <c r="A54958" s="7"/>
      <c r="B54958" s="7"/>
    </row>
    <row r="54959" ht="15.75" customHeight="1">
      <c r="A54959" s="7"/>
      <c r="B54959" s="7"/>
    </row>
    <row r="54960" ht="15.75" customHeight="1">
      <c r="A54960" s="7"/>
      <c r="B54960" s="7"/>
    </row>
    <row r="54961" ht="15.75" customHeight="1">
      <c r="A54961" s="7"/>
      <c r="B54961" s="7"/>
    </row>
    <row r="54962" ht="15.75" customHeight="1">
      <c r="A54962" s="7"/>
      <c r="B54962" s="7"/>
    </row>
    <row r="54963" ht="15.75" customHeight="1">
      <c r="A54963" s="7"/>
      <c r="B54963" s="7"/>
    </row>
    <row r="54964" ht="15.75" customHeight="1">
      <c r="A54964" s="7"/>
      <c r="B54964" s="7"/>
    </row>
    <row r="54965" ht="15.75" customHeight="1">
      <c r="A54965" s="7"/>
      <c r="B54965" s="7"/>
    </row>
    <row r="54966" ht="15.75" customHeight="1">
      <c r="A54966" s="7"/>
      <c r="B54966" s="7"/>
    </row>
    <row r="54967" ht="15.75" customHeight="1">
      <c r="A54967" s="7"/>
      <c r="B54967" s="7"/>
    </row>
    <row r="54968" ht="15.75" customHeight="1">
      <c r="A54968" s="7"/>
      <c r="B54968" s="7"/>
    </row>
    <row r="54969" ht="15.75" customHeight="1">
      <c r="A54969" s="7"/>
      <c r="B54969" s="7"/>
    </row>
    <row r="54970" ht="15.75" customHeight="1">
      <c r="A54970" s="7"/>
      <c r="B54970" s="7"/>
    </row>
    <row r="54971" ht="15.75" customHeight="1">
      <c r="A54971" s="7"/>
      <c r="B54971" s="7"/>
    </row>
    <row r="54972" ht="15.75" customHeight="1">
      <c r="A54972" s="7"/>
      <c r="B54972" s="7"/>
    </row>
    <row r="54973" ht="15.75" customHeight="1">
      <c r="A54973" s="7"/>
      <c r="B54973" s="7"/>
    </row>
    <row r="54974" ht="15.75" customHeight="1">
      <c r="A54974" s="7"/>
      <c r="B54974" s="7"/>
    </row>
    <row r="54975" ht="15.75" customHeight="1">
      <c r="A54975" s="7"/>
      <c r="B54975" s="7"/>
    </row>
    <row r="54976" ht="15.75" customHeight="1">
      <c r="A54976" s="7"/>
      <c r="B54976" s="7"/>
    </row>
    <row r="54977" ht="15.75" customHeight="1">
      <c r="A54977" s="7"/>
      <c r="B54977" s="7"/>
    </row>
    <row r="54978" ht="15.75" customHeight="1">
      <c r="A54978" s="7"/>
      <c r="B54978" s="7"/>
    </row>
    <row r="54979" ht="15.75" customHeight="1">
      <c r="A54979" s="7"/>
      <c r="B54979" s="7"/>
    </row>
    <row r="54980" ht="15.75" customHeight="1">
      <c r="A54980" s="7"/>
      <c r="B54980" s="7"/>
    </row>
    <row r="54981" ht="15.75" customHeight="1">
      <c r="A54981" s="7"/>
      <c r="B54981" s="7"/>
    </row>
    <row r="54982" ht="15.75" customHeight="1">
      <c r="A54982" s="7"/>
      <c r="B54982" s="7"/>
    </row>
    <row r="54983" ht="15.75" customHeight="1">
      <c r="A54983" s="7"/>
      <c r="B54983" s="7"/>
    </row>
    <row r="54984" ht="15.75" customHeight="1">
      <c r="A54984" s="7"/>
      <c r="B54984" s="7"/>
    </row>
    <row r="54985" ht="15.75" customHeight="1">
      <c r="A54985" s="7"/>
      <c r="B54985" s="7"/>
    </row>
    <row r="54986" ht="15.75" customHeight="1">
      <c r="A54986" s="7"/>
      <c r="B54986" s="7"/>
    </row>
    <row r="54987" ht="15.75" customHeight="1">
      <c r="A54987" s="7"/>
      <c r="B54987" s="7"/>
    </row>
    <row r="54988" ht="15.75" customHeight="1">
      <c r="A54988" s="7"/>
      <c r="B54988" s="7"/>
    </row>
    <row r="54989" ht="15.75" customHeight="1">
      <c r="A54989" s="7"/>
      <c r="B54989" s="7"/>
    </row>
    <row r="54990" ht="15.75" customHeight="1">
      <c r="A54990" s="7"/>
      <c r="B54990" s="7"/>
    </row>
    <row r="54991" ht="15.75" customHeight="1">
      <c r="A54991" s="7"/>
      <c r="B54991" s="7"/>
    </row>
    <row r="54992" ht="15.75" customHeight="1">
      <c r="A54992" s="7"/>
      <c r="B54992" s="7"/>
    </row>
    <row r="54993" ht="15.75" customHeight="1">
      <c r="A54993" s="7"/>
      <c r="B54993" s="7"/>
    </row>
    <row r="54994" ht="15.75" customHeight="1">
      <c r="A54994" s="7"/>
      <c r="B54994" s="7"/>
    </row>
    <row r="54995" ht="15.75" customHeight="1">
      <c r="A54995" s="7"/>
      <c r="B54995" s="7"/>
    </row>
    <row r="54996" ht="15.75" customHeight="1">
      <c r="A54996" s="7"/>
      <c r="B54996" s="7"/>
    </row>
    <row r="54997" ht="15.75" customHeight="1">
      <c r="A54997" s="7"/>
      <c r="B54997" s="7"/>
    </row>
    <row r="54998" ht="15.75" customHeight="1">
      <c r="A54998" s="7"/>
      <c r="B54998" s="7"/>
    </row>
    <row r="54999" ht="15.75" customHeight="1">
      <c r="A54999" s="7"/>
      <c r="B54999" s="7"/>
    </row>
    <row r="55000" ht="15.75" customHeight="1">
      <c r="A55000" s="7"/>
      <c r="B55000" s="7"/>
    </row>
    <row r="55001" ht="15.75" customHeight="1">
      <c r="A55001" s="7"/>
      <c r="B55001" s="7"/>
    </row>
    <row r="55002" ht="15.75" customHeight="1">
      <c r="A55002" s="7"/>
      <c r="B55002" s="7"/>
    </row>
    <row r="55003" ht="15.75" customHeight="1">
      <c r="A55003" s="7"/>
      <c r="B55003" s="7"/>
    </row>
    <row r="55004" ht="15.75" customHeight="1">
      <c r="A55004" s="7"/>
      <c r="B55004" s="7"/>
    </row>
    <row r="55005" ht="15.75" customHeight="1">
      <c r="A55005" s="7"/>
      <c r="B55005" s="7"/>
    </row>
    <row r="55006" ht="15.75" customHeight="1">
      <c r="A55006" s="7"/>
      <c r="B55006" s="7"/>
    </row>
    <row r="55007" ht="15.75" customHeight="1">
      <c r="A55007" s="7"/>
      <c r="B55007" s="7"/>
    </row>
    <row r="55008" ht="15.75" customHeight="1">
      <c r="A55008" s="7"/>
      <c r="B55008" s="7"/>
    </row>
    <row r="55009" ht="15.75" customHeight="1">
      <c r="A55009" s="7"/>
      <c r="B55009" s="7"/>
    </row>
    <row r="55010" ht="15.75" customHeight="1">
      <c r="A55010" s="7"/>
      <c r="B55010" s="7"/>
    </row>
    <row r="55011" ht="15.75" customHeight="1">
      <c r="A55011" s="7"/>
      <c r="B55011" s="7"/>
    </row>
    <row r="55012" ht="15.75" customHeight="1">
      <c r="A55012" s="7"/>
      <c r="B55012" s="7"/>
    </row>
    <row r="55013" ht="15.75" customHeight="1">
      <c r="A55013" s="7"/>
      <c r="B55013" s="7"/>
    </row>
    <row r="55014" ht="15.75" customHeight="1">
      <c r="A55014" s="7"/>
      <c r="B55014" s="7"/>
    </row>
    <row r="55015" ht="15.75" customHeight="1">
      <c r="A55015" s="7"/>
      <c r="B55015" s="7"/>
    </row>
    <row r="55016" ht="15.75" customHeight="1">
      <c r="A55016" s="7"/>
      <c r="B55016" s="7"/>
    </row>
    <row r="55017" ht="15.75" customHeight="1">
      <c r="A55017" s="7"/>
      <c r="B55017" s="7"/>
    </row>
    <row r="55018" ht="15.75" customHeight="1">
      <c r="A55018" s="7"/>
      <c r="B55018" s="7"/>
    </row>
    <row r="55019" ht="15.75" customHeight="1">
      <c r="A55019" s="7"/>
      <c r="B55019" s="7"/>
    </row>
    <row r="55020" ht="15.75" customHeight="1">
      <c r="A55020" s="7"/>
      <c r="B55020" s="7"/>
    </row>
    <row r="55021" ht="15.75" customHeight="1">
      <c r="A55021" s="7"/>
      <c r="B55021" s="7"/>
    </row>
    <row r="55022" ht="15.75" customHeight="1">
      <c r="A55022" s="7"/>
      <c r="B55022" s="7"/>
    </row>
    <row r="55023" ht="15.75" customHeight="1">
      <c r="A55023" s="7"/>
      <c r="B55023" s="7"/>
    </row>
    <row r="55024" ht="15.75" customHeight="1">
      <c r="A55024" s="7"/>
      <c r="B55024" s="7"/>
    </row>
    <row r="55025" ht="15.75" customHeight="1">
      <c r="A55025" s="7"/>
      <c r="B55025" s="7"/>
    </row>
    <row r="55026" ht="15.75" customHeight="1">
      <c r="A55026" s="7"/>
      <c r="B55026" s="7"/>
    </row>
    <row r="55027" ht="15.75" customHeight="1">
      <c r="A55027" s="7"/>
      <c r="B55027" s="7"/>
    </row>
    <row r="55028" ht="15.75" customHeight="1">
      <c r="A55028" s="7"/>
      <c r="B55028" s="7"/>
    </row>
    <row r="55029" ht="15.75" customHeight="1">
      <c r="A55029" s="7"/>
      <c r="B55029" s="7"/>
    </row>
    <row r="55030" ht="15.75" customHeight="1">
      <c r="A55030" s="7"/>
      <c r="B55030" s="7"/>
    </row>
    <row r="55031" ht="15.75" customHeight="1">
      <c r="A55031" s="7"/>
      <c r="B55031" s="7"/>
    </row>
    <row r="55032" ht="15.75" customHeight="1">
      <c r="A55032" s="7"/>
      <c r="B55032" s="7"/>
    </row>
    <row r="55033" ht="15.75" customHeight="1">
      <c r="A55033" s="7"/>
      <c r="B55033" s="7"/>
    </row>
    <row r="55034" ht="15.75" customHeight="1">
      <c r="A55034" s="7"/>
      <c r="B55034" s="7"/>
    </row>
    <row r="55035" ht="15.75" customHeight="1">
      <c r="A55035" s="7"/>
      <c r="B55035" s="7"/>
    </row>
    <row r="55036" ht="15.75" customHeight="1">
      <c r="A55036" s="7"/>
      <c r="B55036" s="7"/>
    </row>
    <row r="55037" ht="15.75" customHeight="1">
      <c r="A55037" s="7"/>
      <c r="B55037" s="7"/>
    </row>
    <row r="55038" ht="15.75" customHeight="1">
      <c r="A55038" s="7"/>
      <c r="B55038" s="7"/>
    </row>
    <row r="55039" ht="15.75" customHeight="1">
      <c r="A55039" s="7"/>
      <c r="B55039" s="7"/>
    </row>
    <row r="55040" ht="15.75" customHeight="1">
      <c r="A55040" s="7"/>
      <c r="B55040" s="7"/>
    </row>
    <row r="55041" ht="15.75" customHeight="1">
      <c r="A55041" s="7"/>
      <c r="B55041" s="7"/>
    </row>
    <row r="55042" ht="15.75" customHeight="1">
      <c r="A55042" s="7"/>
      <c r="B55042" s="7"/>
    </row>
    <row r="55043" ht="15.75" customHeight="1">
      <c r="A55043" s="7"/>
      <c r="B55043" s="7"/>
    </row>
    <row r="55044" ht="15.75" customHeight="1">
      <c r="A55044" s="7"/>
      <c r="B55044" s="7"/>
    </row>
    <row r="55045" ht="15.75" customHeight="1">
      <c r="A55045" s="7"/>
      <c r="B55045" s="7"/>
    </row>
    <row r="55046" ht="15.75" customHeight="1">
      <c r="A55046" s="7"/>
      <c r="B55046" s="7"/>
    </row>
    <row r="55047" ht="15.75" customHeight="1">
      <c r="A55047" s="7"/>
      <c r="B55047" s="7"/>
    </row>
    <row r="55048" ht="15.75" customHeight="1">
      <c r="A55048" s="7"/>
      <c r="B55048" s="7"/>
    </row>
    <row r="55049" ht="15.75" customHeight="1">
      <c r="A55049" s="7"/>
      <c r="B55049" s="7"/>
    </row>
    <row r="55050" ht="15.75" customHeight="1">
      <c r="A55050" s="7"/>
      <c r="B55050" s="7"/>
    </row>
    <row r="55051" ht="15.75" customHeight="1">
      <c r="A55051" s="7"/>
      <c r="B55051" s="7"/>
    </row>
    <row r="55052" ht="15.75" customHeight="1">
      <c r="A55052" s="7"/>
      <c r="B55052" s="7"/>
    </row>
    <row r="55053" ht="15.75" customHeight="1">
      <c r="A55053" s="7"/>
      <c r="B55053" s="7"/>
    </row>
    <row r="55054" ht="15.75" customHeight="1">
      <c r="A55054" s="7"/>
      <c r="B55054" s="7"/>
    </row>
    <row r="55055" ht="15.75" customHeight="1">
      <c r="A55055" s="7"/>
      <c r="B55055" s="7"/>
    </row>
    <row r="55056" ht="15.75" customHeight="1">
      <c r="A55056" s="7"/>
      <c r="B55056" s="7"/>
    </row>
    <row r="55057" ht="15.75" customHeight="1">
      <c r="A55057" s="7"/>
      <c r="B55057" s="7"/>
    </row>
    <row r="55058" ht="15.75" customHeight="1">
      <c r="A55058" s="7"/>
      <c r="B55058" s="7"/>
    </row>
    <row r="55059" ht="15.75" customHeight="1">
      <c r="A55059" s="7"/>
      <c r="B55059" s="7"/>
    </row>
    <row r="55060" ht="15.75" customHeight="1">
      <c r="A55060" s="7"/>
      <c r="B55060" s="7"/>
    </row>
    <row r="55061" ht="15.75" customHeight="1">
      <c r="A55061" s="7"/>
      <c r="B55061" s="7"/>
    </row>
    <row r="55062" ht="15.75" customHeight="1">
      <c r="A55062" s="7"/>
      <c r="B55062" s="7"/>
    </row>
    <row r="55063" ht="15.75" customHeight="1">
      <c r="A55063" s="7"/>
      <c r="B55063" s="7"/>
    </row>
    <row r="55064" ht="15.75" customHeight="1">
      <c r="A55064" s="7"/>
      <c r="B55064" s="7"/>
    </row>
    <row r="55065" ht="15.75" customHeight="1">
      <c r="A55065" s="7"/>
      <c r="B55065" s="7"/>
    </row>
    <row r="55066" ht="15.75" customHeight="1">
      <c r="A55066" s="7"/>
      <c r="B55066" s="7"/>
    </row>
    <row r="55067" ht="15.75" customHeight="1">
      <c r="A55067" s="7"/>
      <c r="B55067" s="7"/>
    </row>
    <row r="55068" ht="15.75" customHeight="1">
      <c r="A55068" s="7"/>
      <c r="B55068" s="7"/>
    </row>
    <row r="55069" ht="15.75" customHeight="1">
      <c r="A55069" s="7"/>
      <c r="B55069" s="7"/>
    </row>
    <row r="55070" ht="15.75" customHeight="1">
      <c r="A55070" s="7"/>
      <c r="B55070" s="7"/>
    </row>
    <row r="55071" ht="15.75" customHeight="1">
      <c r="A55071" s="7"/>
      <c r="B55071" s="7"/>
    </row>
    <row r="55072" ht="15.75" customHeight="1">
      <c r="A55072" s="7"/>
      <c r="B55072" s="7"/>
    </row>
    <row r="55073" ht="15.75" customHeight="1">
      <c r="A55073" s="7"/>
      <c r="B55073" s="7"/>
    </row>
    <row r="55074" ht="15.75" customHeight="1">
      <c r="A55074" s="7"/>
      <c r="B55074" s="7"/>
    </row>
    <row r="55075" ht="15.75" customHeight="1">
      <c r="A55075" s="7"/>
      <c r="B55075" s="7"/>
    </row>
    <row r="55076" ht="15.75" customHeight="1">
      <c r="A55076" s="7"/>
      <c r="B55076" s="7"/>
    </row>
    <row r="55077" ht="15.75" customHeight="1">
      <c r="A55077" s="7"/>
      <c r="B55077" s="7"/>
    </row>
    <row r="55078" ht="15.75" customHeight="1">
      <c r="A55078" s="7"/>
      <c r="B55078" s="7"/>
    </row>
    <row r="55079" ht="15.75" customHeight="1">
      <c r="A55079" s="7"/>
      <c r="B55079" s="7"/>
    </row>
    <row r="55080" ht="15.75" customHeight="1">
      <c r="A55080" s="7"/>
      <c r="B55080" s="7"/>
    </row>
    <row r="55081" ht="15.75" customHeight="1">
      <c r="A55081" s="7"/>
      <c r="B55081" s="7"/>
    </row>
    <row r="55082" ht="15.75" customHeight="1">
      <c r="A55082" s="7"/>
      <c r="B55082" s="7"/>
    </row>
    <row r="55083" ht="15.75" customHeight="1">
      <c r="A55083" s="7"/>
      <c r="B55083" s="7"/>
    </row>
    <row r="55084" ht="15.75" customHeight="1">
      <c r="A55084" s="7"/>
      <c r="B55084" s="7"/>
    </row>
    <row r="55085" ht="15.75" customHeight="1">
      <c r="A55085" s="7"/>
      <c r="B55085" s="7"/>
    </row>
    <row r="55086" ht="15.75" customHeight="1">
      <c r="A55086" s="7"/>
      <c r="B55086" s="7"/>
    </row>
    <row r="55087" ht="15.75" customHeight="1">
      <c r="A55087" s="7"/>
      <c r="B55087" s="7"/>
    </row>
    <row r="55088" ht="15.75" customHeight="1">
      <c r="A55088" s="7"/>
      <c r="B55088" s="7"/>
    </row>
    <row r="55089" ht="15.75" customHeight="1">
      <c r="A55089" s="7"/>
      <c r="B55089" s="7"/>
    </row>
    <row r="55090" ht="15.75" customHeight="1">
      <c r="A55090" s="7"/>
      <c r="B55090" s="7"/>
    </row>
    <row r="55091" ht="15.75" customHeight="1">
      <c r="A55091" s="7"/>
      <c r="B55091" s="7"/>
    </row>
    <row r="55092" ht="15.75" customHeight="1">
      <c r="A55092" s="7"/>
      <c r="B55092" s="7"/>
    </row>
    <row r="55093" ht="15.75" customHeight="1">
      <c r="A55093" s="7"/>
      <c r="B55093" s="7"/>
    </row>
    <row r="55094" ht="15.75" customHeight="1">
      <c r="A55094" s="7"/>
      <c r="B55094" s="7"/>
    </row>
    <row r="55095" ht="15.75" customHeight="1">
      <c r="A55095" s="7"/>
      <c r="B55095" s="7"/>
    </row>
    <row r="55096" ht="15.75" customHeight="1">
      <c r="A55096" s="7"/>
      <c r="B55096" s="7"/>
    </row>
    <row r="55097" ht="15.75" customHeight="1">
      <c r="A55097" s="7"/>
      <c r="B55097" s="7"/>
    </row>
    <row r="55098" ht="15.75" customHeight="1">
      <c r="A55098" s="7"/>
      <c r="B55098" s="7"/>
    </row>
    <row r="55099" ht="15.75" customHeight="1">
      <c r="A55099" s="7"/>
      <c r="B55099" s="7"/>
    </row>
    <row r="55100" ht="15.75" customHeight="1">
      <c r="A55100" s="7"/>
      <c r="B55100" s="7"/>
    </row>
    <row r="55101" ht="15.75" customHeight="1">
      <c r="A55101" s="7"/>
      <c r="B55101" s="7"/>
    </row>
    <row r="55102" ht="15.75" customHeight="1">
      <c r="A55102" s="7"/>
      <c r="B55102" s="7"/>
    </row>
    <row r="55103" ht="15.75" customHeight="1">
      <c r="A55103" s="7"/>
      <c r="B55103" s="7"/>
    </row>
    <row r="55104" ht="15.75" customHeight="1">
      <c r="A55104" s="7"/>
      <c r="B55104" s="7"/>
    </row>
    <row r="55105" ht="15.75" customHeight="1">
      <c r="A55105" s="7"/>
      <c r="B55105" s="7"/>
    </row>
    <row r="55106" ht="15.75" customHeight="1">
      <c r="A55106" s="7"/>
      <c r="B55106" s="7"/>
    </row>
    <row r="55107" ht="15.75" customHeight="1">
      <c r="A55107" s="7"/>
      <c r="B55107" s="7"/>
    </row>
    <row r="55108" ht="15.75" customHeight="1">
      <c r="A55108" s="7"/>
      <c r="B55108" s="7"/>
    </row>
    <row r="55109" ht="15.75" customHeight="1">
      <c r="A55109" s="7"/>
      <c r="B55109" s="7"/>
    </row>
    <row r="55110" ht="15.75" customHeight="1">
      <c r="A55110" s="7"/>
      <c r="B55110" s="7"/>
    </row>
    <row r="55111" ht="15.75" customHeight="1">
      <c r="A55111" s="7"/>
      <c r="B55111" s="7"/>
    </row>
    <row r="55112" ht="15.75" customHeight="1">
      <c r="A55112" s="7"/>
      <c r="B55112" s="7"/>
    </row>
    <row r="55113" ht="15.75" customHeight="1">
      <c r="A55113" s="7"/>
      <c r="B55113" s="7"/>
    </row>
    <row r="55114" ht="15.75" customHeight="1">
      <c r="A55114" s="7"/>
      <c r="B55114" s="7"/>
    </row>
    <row r="55115" ht="15.75" customHeight="1">
      <c r="A55115" s="7"/>
      <c r="B55115" s="7"/>
    </row>
    <row r="55116" ht="15.75" customHeight="1">
      <c r="A55116" s="7"/>
      <c r="B55116" s="7"/>
    </row>
    <row r="55117" ht="15.75" customHeight="1">
      <c r="A55117" s="7"/>
      <c r="B55117" s="7"/>
    </row>
    <row r="55118" ht="15.75" customHeight="1">
      <c r="A55118" s="7"/>
      <c r="B55118" s="7"/>
    </row>
    <row r="55119" ht="15.75" customHeight="1">
      <c r="A55119" s="7"/>
      <c r="B55119" s="7"/>
    </row>
    <row r="55120" ht="15.75" customHeight="1">
      <c r="A55120" s="7"/>
      <c r="B55120" s="7"/>
    </row>
    <row r="55121" ht="15.75" customHeight="1">
      <c r="A55121" s="7"/>
      <c r="B55121" s="7"/>
    </row>
    <row r="55122" ht="15.75" customHeight="1">
      <c r="A55122" s="7"/>
      <c r="B55122" s="7"/>
    </row>
    <row r="55123" ht="15.75" customHeight="1">
      <c r="A55123" s="7"/>
      <c r="B55123" s="7"/>
    </row>
    <row r="55124" ht="15.75" customHeight="1">
      <c r="A55124" s="7"/>
      <c r="B55124" s="7"/>
    </row>
    <row r="55125" ht="15.75" customHeight="1">
      <c r="A55125" s="7"/>
      <c r="B55125" s="7"/>
    </row>
    <row r="55126" ht="15.75" customHeight="1">
      <c r="A55126" s="7"/>
      <c r="B55126" s="7"/>
    </row>
    <row r="55127" ht="15.75" customHeight="1">
      <c r="A55127" s="7"/>
      <c r="B55127" s="7"/>
    </row>
    <row r="55128" ht="15.75" customHeight="1">
      <c r="A55128" s="7"/>
      <c r="B55128" s="7"/>
    </row>
    <row r="55129" ht="15.75" customHeight="1">
      <c r="A55129" s="7"/>
      <c r="B55129" s="7"/>
    </row>
    <row r="55130" ht="15.75" customHeight="1">
      <c r="A55130" s="7"/>
      <c r="B55130" s="7"/>
    </row>
    <row r="55131" ht="15.75" customHeight="1">
      <c r="A55131" s="7"/>
      <c r="B55131" s="7"/>
    </row>
    <row r="55132" ht="15.75" customHeight="1">
      <c r="A55132" s="7"/>
      <c r="B55132" s="7"/>
    </row>
    <row r="55133" ht="15.75" customHeight="1">
      <c r="A55133" s="7"/>
      <c r="B55133" s="7"/>
    </row>
    <row r="55134" ht="15.75" customHeight="1">
      <c r="A55134" s="7"/>
      <c r="B55134" s="7"/>
    </row>
    <row r="55135" ht="15.75" customHeight="1">
      <c r="A55135" s="7"/>
      <c r="B55135" s="7"/>
    </row>
    <row r="55136" ht="15.75" customHeight="1">
      <c r="A55136" s="7"/>
      <c r="B55136" s="7"/>
    </row>
    <row r="55137" ht="15.75" customHeight="1">
      <c r="A55137" s="7"/>
      <c r="B55137" s="7"/>
    </row>
    <row r="55138" ht="15.75" customHeight="1">
      <c r="A55138" s="7"/>
      <c r="B55138" s="7"/>
    </row>
    <row r="55139" ht="15.75" customHeight="1">
      <c r="A55139" s="7"/>
      <c r="B55139" s="7"/>
    </row>
    <row r="55140" ht="15.75" customHeight="1">
      <c r="A55140" s="7"/>
      <c r="B55140" s="7"/>
    </row>
    <row r="55141" ht="15.75" customHeight="1">
      <c r="A55141" s="7"/>
      <c r="B55141" s="7"/>
    </row>
    <row r="55142" ht="15.75" customHeight="1">
      <c r="A55142" s="7"/>
      <c r="B55142" s="7"/>
    </row>
    <row r="55143" ht="15.75" customHeight="1">
      <c r="A55143" s="7"/>
      <c r="B55143" s="7"/>
    </row>
    <row r="55144" ht="15.75" customHeight="1">
      <c r="A55144" s="7"/>
      <c r="B55144" s="7"/>
    </row>
    <row r="55145" ht="15.75" customHeight="1">
      <c r="A55145" s="7"/>
      <c r="B55145" s="7"/>
    </row>
    <row r="55146" ht="15.75" customHeight="1">
      <c r="A55146" s="7"/>
      <c r="B55146" s="7"/>
    </row>
    <row r="55147" ht="15.75" customHeight="1">
      <c r="A55147" s="7"/>
      <c r="B55147" s="7"/>
    </row>
    <row r="55148" ht="15.75" customHeight="1">
      <c r="A55148" s="7"/>
      <c r="B55148" s="7"/>
    </row>
    <row r="55149" ht="15.75" customHeight="1">
      <c r="A55149" s="7"/>
      <c r="B55149" s="7"/>
    </row>
    <row r="55150" ht="15.75" customHeight="1">
      <c r="A55150" s="7"/>
      <c r="B55150" s="7"/>
    </row>
    <row r="55151" ht="15.75" customHeight="1">
      <c r="A55151" s="7"/>
      <c r="B55151" s="7"/>
    </row>
    <row r="55152" ht="15.75" customHeight="1">
      <c r="A55152" s="7"/>
      <c r="B55152" s="7"/>
    </row>
    <row r="55153" ht="15.75" customHeight="1">
      <c r="A55153" s="7"/>
      <c r="B55153" s="7"/>
    </row>
    <row r="55154" ht="15.75" customHeight="1">
      <c r="A55154" s="7"/>
      <c r="B55154" s="7"/>
    </row>
    <row r="55155" ht="15.75" customHeight="1">
      <c r="A55155" s="7"/>
      <c r="B55155" s="7"/>
    </row>
    <row r="55156" ht="15.75" customHeight="1">
      <c r="A55156" s="7"/>
      <c r="B55156" s="7"/>
    </row>
    <row r="55157" ht="15.75" customHeight="1">
      <c r="A55157" s="7"/>
      <c r="B55157" s="7"/>
    </row>
    <row r="55158" ht="15.75" customHeight="1">
      <c r="A55158" s="7"/>
      <c r="B55158" s="7"/>
    </row>
    <row r="55159" ht="15.75" customHeight="1">
      <c r="A55159" s="7"/>
      <c r="B55159" s="7"/>
    </row>
    <row r="55160" ht="15.75" customHeight="1">
      <c r="A55160" s="7"/>
      <c r="B55160" s="7"/>
    </row>
    <row r="55161" ht="15.75" customHeight="1">
      <c r="A55161" s="7"/>
      <c r="B55161" s="7"/>
    </row>
    <row r="55162" ht="15.75" customHeight="1">
      <c r="A55162" s="7"/>
      <c r="B55162" s="7"/>
    </row>
    <row r="55163" ht="15.75" customHeight="1">
      <c r="A55163" s="7"/>
      <c r="B55163" s="7"/>
    </row>
    <row r="55164" ht="15.75" customHeight="1">
      <c r="A55164" s="7"/>
      <c r="B55164" s="7"/>
    </row>
    <row r="55165" ht="15.75" customHeight="1">
      <c r="A55165" s="7"/>
      <c r="B55165" s="7"/>
    </row>
    <row r="55166" ht="15.75" customHeight="1">
      <c r="A55166" s="7"/>
      <c r="B55166" s="7"/>
    </row>
    <row r="55167" ht="15.75" customHeight="1">
      <c r="A55167" s="7"/>
      <c r="B55167" s="7"/>
    </row>
    <row r="55168" ht="15.75" customHeight="1">
      <c r="A55168" s="7"/>
      <c r="B55168" s="7"/>
    </row>
    <row r="55169" ht="15.75" customHeight="1">
      <c r="A55169" s="7"/>
      <c r="B55169" s="7"/>
    </row>
    <row r="55170" ht="15.75" customHeight="1">
      <c r="A55170" s="7"/>
      <c r="B55170" s="7"/>
    </row>
    <row r="55171" ht="15.75" customHeight="1">
      <c r="A55171" s="7"/>
      <c r="B55171" s="7"/>
    </row>
    <row r="55172" ht="15.75" customHeight="1">
      <c r="A55172" s="7"/>
      <c r="B55172" s="7"/>
    </row>
    <row r="55173" ht="15.75" customHeight="1">
      <c r="A55173" s="7"/>
      <c r="B55173" s="7"/>
    </row>
    <row r="55174" ht="15.75" customHeight="1">
      <c r="A55174" s="7"/>
      <c r="B55174" s="7"/>
    </row>
    <row r="55175" ht="15.75" customHeight="1">
      <c r="A55175" s="7"/>
      <c r="B55175" s="7"/>
    </row>
    <row r="55176" ht="15.75" customHeight="1">
      <c r="A55176" s="7"/>
      <c r="B55176" s="7"/>
    </row>
    <row r="55177" ht="15.75" customHeight="1">
      <c r="A55177" s="7"/>
      <c r="B55177" s="7"/>
    </row>
    <row r="55178" ht="15.75" customHeight="1">
      <c r="A55178" s="7"/>
      <c r="B55178" s="7"/>
    </row>
    <row r="55179" ht="15.75" customHeight="1">
      <c r="A55179" s="7"/>
      <c r="B55179" s="7"/>
    </row>
    <row r="55180" ht="15.75" customHeight="1">
      <c r="A55180" s="7"/>
      <c r="B55180" s="7"/>
    </row>
    <row r="55181" ht="15.75" customHeight="1">
      <c r="A55181" s="7"/>
      <c r="B55181" s="7"/>
    </row>
    <row r="55182" ht="15.75" customHeight="1">
      <c r="A55182" s="7"/>
      <c r="B55182" s="7"/>
    </row>
    <row r="55183" ht="15.75" customHeight="1">
      <c r="A55183" s="7"/>
      <c r="B55183" s="7"/>
    </row>
    <row r="55184" ht="15.75" customHeight="1">
      <c r="A55184" s="7"/>
      <c r="B55184" s="7"/>
    </row>
    <row r="55185" ht="15.75" customHeight="1">
      <c r="A55185" s="7"/>
      <c r="B55185" s="7"/>
    </row>
    <row r="55186" ht="15.75" customHeight="1">
      <c r="A55186" s="7"/>
      <c r="B55186" s="7"/>
    </row>
    <row r="55187" ht="15.75" customHeight="1">
      <c r="A55187" s="7"/>
      <c r="B55187" s="7"/>
    </row>
    <row r="55188" ht="15.75" customHeight="1">
      <c r="A55188" s="7"/>
      <c r="B55188" s="7"/>
    </row>
    <row r="55189" ht="15.75" customHeight="1">
      <c r="A55189" s="7"/>
      <c r="B55189" s="7"/>
    </row>
    <row r="55190" ht="15.75" customHeight="1">
      <c r="A55190" s="7"/>
      <c r="B55190" s="7"/>
    </row>
    <row r="55191" ht="15.75" customHeight="1">
      <c r="A55191" s="7"/>
      <c r="B55191" s="7"/>
    </row>
    <row r="55192" ht="15.75" customHeight="1">
      <c r="A55192" s="7"/>
      <c r="B55192" s="7"/>
    </row>
    <row r="55193" ht="15.75" customHeight="1">
      <c r="A55193" s="7"/>
      <c r="B55193" s="7"/>
    </row>
    <row r="55194" ht="15.75" customHeight="1">
      <c r="A55194" s="7"/>
      <c r="B55194" s="7"/>
    </row>
    <row r="55195" ht="15.75" customHeight="1">
      <c r="A55195" s="7"/>
      <c r="B55195" s="7"/>
    </row>
    <row r="55196" ht="15.75" customHeight="1">
      <c r="A55196" s="7"/>
      <c r="B55196" s="7"/>
    </row>
    <row r="55197" ht="15.75" customHeight="1">
      <c r="A55197" s="7"/>
      <c r="B55197" s="7"/>
    </row>
    <row r="55198" ht="15.75" customHeight="1">
      <c r="A55198" s="7"/>
      <c r="B55198" s="7"/>
    </row>
    <row r="55199" ht="15.75" customHeight="1">
      <c r="A55199" s="7"/>
      <c r="B55199" s="7"/>
    </row>
    <row r="55200" ht="15.75" customHeight="1">
      <c r="A55200" s="7"/>
      <c r="B55200" s="7"/>
    </row>
    <row r="55201" ht="15.75" customHeight="1">
      <c r="A55201" s="7"/>
      <c r="B55201" s="7"/>
    </row>
    <row r="55202" ht="15.75" customHeight="1">
      <c r="A55202" s="7"/>
      <c r="B55202" s="7"/>
    </row>
    <row r="55203" ht="15.75" customHeight="1">
      <c r="A55203" s="7"/>
      <c r="B55203" s="7"/>
    </row>
    <row r="55204" ht="15.75" customHeight="1">
      <c r="A55204" s="7"/>
      <c r="B55204" s="7"/>
    </row>
    <row r="55205" ht="15.75" customHeight="1">
      <c r="A55205" s="7"/>
      <c r="B55205" s="7"/>
    </row>
    <row r="55206" ht="15.75" customHeight="1">
      <c r="A55206" s="7"/>
      <c r="B55206" s="7"/>
    </row>
    <row r="55207" ht="15.75" customHeight="1">
      <c r="A55207" s="7"/>
      <c r="B55207" s="7"/>
    </row>
    <row r="55208" ht="15.75" customHeight="1">
      <c r="A55208" s="7"/>
      <c r="B55208" s="7"/>
    </row>
    <row r="55209" ht="15.75" customHeight="1">
      <c r="A55209" s="7"/>
      <c r="B55209" s="7"/>
    </row>
    <row r="55210" ht="15.75" customHeight="1">
      <c r="A55210" s="7"/>
      <c r="B55210" s="7"/>
    </row>
    <row r="55211" ht="15.75" customHeight="1">
      <c r="A55211" s="7"/>
      <c r="B55211" s="7"/>
    </row>
    <row r="55212" ht="15.75" customHeight="1">
      <c r="A55212" s="7"/>
      <c r="B55212" s="7"/>
    </row>
    <row r="55213" ht="15.75" customHeight="1">
      <c r="A55213" s="7"/>
      <c r="B55213" s="7"/>
    </row>
    <row r="55214" ht="15.75" customHeight="1">
      <c r="A55214" s="7"/>
      <c r="B55214" s="7"/>
    </row>
    <row r="55215" ht="15.75" customHeight="1">
      <c r="A55215" s="7"/>
      <c r="B55215" s="7"/>
    </row>
    <row r="55216" ht="15.75" customHeight="1">
      <c r="A55216" s="7"/>
      <c r="B55216" s="7"/>
    </row>
    <row r="55217" ht="15.75" customHeight="1">
      <c r="A55217" s="7"/>
      <c r="B55217" s="7"/>
    </row>
    <row r="55218" ht="15.75" customHeight="1">
      <c r="A55218" s="7"/>
      <c r="B55218" s="7"/>
    </row>
    <row r="55219" ht="15.75" customHeight="1">
      <c r="A55219" s="7"/>
      <c r="B55219" s="7"/>
    </row>
    <row r="55220" ht="15.75" customHeight="1">
      <c r="A55220" s="7"/>
      <c r="B55220" s="7"/>
    </row>
    <row r="55221" ht="15.75" customHeight="1">
      <c r="A55221" s="7"/>
      <c r="B55221" s="7"/>
    </row>
    <row r="55222" ht="15.75" customHeight="1">
      <c r="A55222" s="7"/>
      <c r="B55222" s="7"/>
    </row>
    <row r="55223" ht="15.75" customHeight="1">
      <c r="A55223" s="7"/>
      <c r="B55223" s="7"/>
    </row>
    <row r="55224" ht="15.75" customHeight="1">
      <c r="A55224" s="7"/>
      <c r="B55224" s="7"/>
    </row>
    <row r="55225" ht="15.75" customHeight="1">
      <c r="A55225" s="7"/>
      <c r="B55225" s="7"/>
    </row>
    <row r="55226" ht="15.75" customHeight="1">
      <c r="A55226" s="7"/>
      <c r="B55226" s="7"/>
    </row>
    <row r="55227" ht="15.75" customHeight="1">
      <c r="A55227" s="7"/>
      <c r="B55227" s="7"/>
    </row>
    <row r="55228" ht="15.75" customHeight="1">
      <c r="A55228" s="7"/>
      <c r="B55228" s="7"/>
    </row>
    <row r="55229" ht="15.75" customHeight="1">
      <c r="A55229" s="7"/>
      <c r="B55229" s="7"/>
    </row>
    <row r="55230" ht="15.75" customHeight="1">
      <c r="A55230" s="7"/>
      <c r="B55230" s="7"/>
    </row>
    <row r="55231" ht="15.75" customHeight="1">
      <c r="A55231" s="7"/>
      <c r="B55231" s="7"/>
    </row>
    <row r="55232" ht="15.75" customHeight="1">
      <c r="A55232" s="7"/>
      <c r="B55232" s="7"/>
    </row>
    <row r="55233" ht="15.75" customHeight="1">
      <c r="A55233" s="7"/>
      <c r="B55233" s="7"/>
    </row>
    <row r="55234" ht="15.75" customHeight="1">
      <c r="A55234" s="7"/>
      <c r="B55234" s="7"/>
    </row>
    <row r="55235" ht="15.75" customHeight="1">
      <c r="A55235" s="7"/>
      <c r="B55235" s="7"/>
    </row>
    <row r="55236" ht="15.75" customHeight="1">
      <c r="A55236" s="7"/>
      <c r="B55236" s="7"/>
    </row>
    <row r="55237" ht="15.75" customHeight="1">
      <c r="A55237" s="7"/>
      <c r="B55237" s="7"/>
    </row>
    <row r="55238" ht="15.75" customHeight="1">
      <c r="A55238" s="7"/>
      <c r="B55238" s="7"/>
    </row>
    <row r="55239" ht="15.75" customHeight="1">
      <c r="A55239" s="7"/>
      <c r="B55239" s="7"/>
    </row>
    <row r="55240" ht="15.75" customHeight="1">
      <c r="A55240" s="7"/>
      <c r="B55240" s="7"/>
    </row>
    <row r="55241" ht="15.75" customHeight="1">
      <c r="A55241" s="7"/>
      <c r="B55241" s="7"/>
    </row>
    <row r="55242" ht="15.75" customHeight="1">
      <c r="A55242" s="7"/>
      <c r="B55242" s="7"/>
    </row>
    <row r="55243" ht="15.75" customHeight="1">
      <c r="A55243" s="7"/>
      <c r="B55243" s="7"/>
    </row>
    <row r="55244" ht="15.75" customHeight="1">
      <c r="A55244" s="7"/>
      <c r="B55244" s="7"/>
    </row>
    <row r="55245" ht="15.75" customHeight="1">
      <c r="A55245" s="7"/>
      <c r="B55245" s="7"/>
    </row>
    <row r="55246" ht="15.75" customHeight="1">
      <c r="A55246" s="7"/>
      <c r="B55246" s="7"/>
    </row>
    <row r="55247" ht="15.75" customHeight="1">
      <c r="A55247" s="7"/>
      <c r="B55247" s="7"/>
    </row>
    <row r="55248" ht="15.75" customHeight="1">
      <c r="A55248" s="7"/>
      <c r="B55248" s="7"/>
    </row>
    <row r="55249" ht="15.75" customHeight="1">
      <c r="A55249" s="7"/>
      <c r="B55249" s="7"/>
    </row>
    <row r="55250" ht="15.75" customHeight="1">
      <c r="A55250" s="7"/>
      <c r="B55250" s="7"/>
    </row>
    <row r="55251" ht="15.75" customHeight="1">
      <c r="A55251" s="7"/>
      <c r="B55251" s="7"/>
    </row>
    <row r="55252" ht="15.75" customHeight="1">
      <c r="A55252" s="7"/>
      <c r="B55252" s="7"/>
    </row>
    <row r="55253" ht="15.75" customHeight="1">
      <c r="A55253" s="7"/>
      <c r="B55253" s="7"/>
    </row>
    <row r="55254" ht="15.75" customHeight="1">
      <c r="A55254" s="7"/>
      <c r="B55254" s="7"/>
    </row>
    <row r="55255" ht="15.75" customHeight="1">
      <c r="A55255" s="7"/>
      <c r="B55255" s="7"/>
    </row>
    <row r="55256" ht="15.75" customHeight="1">
      <c r="A55256" s="7"/>
      <c r="B55256" s="7"/>
    </row>
    <row r="55257" ht="15.75" customHeight="1">
      <c r="A55257" s="7"/>
      <c r="B55257" s="7"/>
    </row>
    <row r="55258" ht="15.75" customHeight="1">
      <c r="A55258" s="7"/>
      <c r="B55258" s="7"/>
    </row>
    <row r="55259" ht="15.75" customHeight="1">
      <c r="A55259" s="7"/>
      <c r="B55259" s="7"/>
    </row>
    <row r="55260" ht="15.75" customHeight="1">
      <c r="A55260" s="7"/>
      <c r="B55260" s="7"/>
    </row>
    <row r="55261" ht="15.75" customHeight="1">
      <c r="A55261" s="7"/>
      <c r="B55261" s="7"/>
    </row>
    <row r="55262" ht="15.75" customHeight="1">
      <c r="A55262" s="7"/>
      <c r="B55262" s="7"/>
    </row>
    <row r="55263" ht="15.75" customHeight="1">
      <c r="A55263" s="7"/>
      <c r="B55263" s="7"/>
    </row>
    <row r="55264" ht="15.75" customHeight="1">
      <c r="A55264" s="7"/>
      <c r="B55264" s="7"/>
    </row>
    <row r="55265" ht="15.75" customHeight="1">
      <c r="A55265" s="7"/>
      <c r="B55265" s="7"/>
    </row>
    <row r="55266" ht="15.75" customHeight="1">
      <c r="A55266" s="7"/>
      <c r="B55266" s="7"/>
    </row>
    <row r="55267" ht="15.75" customHeight="1">
      <c r="A55267" s="7"/>
      <c r="B55267" s="7"/>
    </row>
    <row r="55268" ht="15.75" customHeight="1">
      <c r="A55268" s="7"/>
      <c r="B55268" s="7"/>
    </row>
    <row r="55269" ht="15.75" customHeight="1">
      <c r="A55269" s="7"/>
      <c r="B55269" s="7"/>
    </row>
    <row r="55270" ht="15.75" customHeight="1">
      <c r="A55270" s="7"/>
      <c r="B55270" s="7"/>
    </row>
    <row r="55271" ht="15.75" customHeight="1">
      <c r="A55271" s="7"/>
      <c r="B55271" s="7"/>
    </row>
    <row r="55272" ht="15.75" customHeight="1">
      <c r="A55272" s="7"/>
      <c r="B55272" s="7"/>
    </row>
    <row r="55273" ht="15.75" customHeight="1">
      <c r="A55273" s="7"/>
      <c r="B55273" s="7"/>
    </row>
    <row r="55274" ht="15.75" customHeight="1">
      <c r="A55274" s="7"/>
      <c r="B55274" s="7"/>
    </row>
    <row r="55275" ht="15.75" customHeight="1">
      <c r="A55275" s="7"/>
      <c r="B55275" s="7"/>
    </row>
    <row r="55276" ht="15.75" customHeight="1">
      <c r="A55276" s="7"/>
      <c r="B55276" s="7"/>
    </row>
    <row r="55277" ht="15.75" customHeight="1">
      <c r="A55277" s="7"/>
      <c r="B55277" s="7"/>
    </row>
    <row r="55278" ht="15.75" customHeight="1">
      <c r="A55278" s="7"/>
      <c r="B55278" s="7"/>
    </row>
    <row r="55279" ht="15.75" customHeight="1">
      <c r="A55279" s="7"/>
      <c r="B55279" s="7"/>
    </row>
    <row r="55280" ht="15.75" customHeight="1">
      <c r="A55280" s="7"/>
      <c r="B55280" s="7"/>
    </row>
    <row r="55281" ht="15.75" customHeight="1">
      <c r="A55281" s="7"/>
      <c r="B55281" s="7"/>
    </row>
    <row r="55282" ht="15.75" customHeight="1">
      <c r="A55282" s="7"/>
      <c r="B55282" s="7"/>
    </row>
    <row r="55283" ht="15.75" customHeight="1">
      <c r="A55283" s="7"/>
      <c r="B55283" s="7"/>
    </row>
    <row r="55284" ht="15.75" customHeight="1">
      <c r="A55284" s="7"/>
      <c r="B55284" s="7"/>
    </row>
    <row r="55285" ht="15.75" customHeight="1">
      <c r="A55285" s="7"/>
      <c r="B55285" s="7"/>
    </row>
    <row r="55286" ht="15.75" customHeight="1">
      <c r="A55286" s="7"/>
      <c r="B55286" s="7"/>
    </row>
    <row r="55287" ht="15.75" customHeight="1">
      <c r="A55287" s="7"/>
      <c r="B55287" s="7"/>
    </row>
    <row r="55288" ht="15.75" customHeight="1">
      <c r="A55288" s="7"/>
      <c r="B55288" s="7"/>
    </row>
    <row r="55289" ht="15.75" customHeight="1">
      <c r="A55289" s="7"/>
      <c r="B55289" s="7"/>
    </row>
    <row r="55290" ht="15.75" customHeight="1">
      <c r="A55290" s="7"/>
      <c r="B55290" s="7"/>
    </row>
    <row r="55291" ht="15.75" customHeight="1">
      <c r="A55291" s="7"/>
      <c r="B55291" s="7"/>
    </row>
    <row r="55292" ht="15.75" customHeight="1">
      <c r="A55292" s="7"/>
      <c r="B55292" s="7"/>
    </row>
    <row r="55293" ht="15.75" customHeight="1">
      <c r="A55293" s="7"/>
      <c r="B55293" s="7"/>
    </row>
    <row r="55294" ht="15.75" customHeight="1">
      <c r="A55294" s="7"/>
      <c r="B55294" s="7"/>
    </row>
    <row r="55295" ht="15.75" customHeight="1">
      <c r="A55295" s="7"/>
      <c r="B55295" s="7"/>
    </row>
    <row r="55296" ht="15.75" customHeight="1">
      <c r="A55296" s="7"/>
      <c r="B55296" s="7"/>
    </row>
    <row r="55297" ht="15.75" customHeight="1">
      <c r="A55297" s="7"/>
      <c r="B55297" s="7"/>
    </row>
    <row r="55298" ht="15.75" customHeight="1">
      <c r="A55298" s="7"/>
      <c r="B55298" s="7"/>
    </row>
    <row r="55299" ht="15.75" customHeight="1">
      <c r="A55299" s="7"/>
      <c r="B55299" s="7"/>
    </row>
    <row r="55300" ht="15.75" customHeight="1">
      <c r="A55300" s="7"/>
      <c r="B55300" s="7"/>
    </row>
    <row r="55301" ht="15.75" customHeight="1">
      <c r="A55301" s="7"/>
      <c r="B55301" s="7"/>
    </row>
    <row r="55302" ht="15.75" customHeight="1">
      <c r="A55302" s="7"/>
      <c r="B55302" s="7"/>
    </row>
    <row r="55303" ht="15.75" customHeight="1">
      <c r="A55303" s="7"/>
      <c r="B55303" s="7"/>
    </row>
    <row r="55304" ht="15.75" customHeight="1">
      <c r="A55304" s="7"/>
      <c r="B55304" s="7"/>
    </row>
    <row r="55305" ht="15.75" customHeight="1">
      <c r="A55305" s="7"/>
      <c r="B55305" s="7"/>
    </row>
    <row r="55306" ht="15.75" customHeight="1">
      <c r="A55306" s="7"/>
      <c r="B55306" s="7"/>
    </row>
    <row r="55307" ht="15.75" customHeight="1">
      <c r="A55307" s="7"/>
      <c r="B55307" s="7"/>
    </row>
    <row r="55308" ht="15.75" customHeight="1">
      <c r="A55308" s="7"/>
      <c r="B55308" s="7"/>
    </row>
    <row r="55309" ht="15.75" customHeight="1">
      <c r="A55309" s="7"/>
      <c r="B55309" s="7"/>
    </row>
    <row r="55310" ht="15.75" customHeight="1">
      <c r="A55310" s="7"/>
      <c r="B55310" s="7"/>
    </row>
    <row r="55311" ht="15.75" customHeight="1">
      <c r="A55311" s="7"/>
      <c r="B55311" s="7"/>
    </row>
    <row r="55312" ht="15.75" customHeight="1">
      <c r="A55312" s="7"/>
      <c r="B55312" s="7"/>
    </row>
    <row r="55313" ht="15.75" customHeight="1">
      <c r="A55313" s="7"/>
      <c r="B55313" s="7"/>
    </row>
    <row r="55314" ht="15.75" customHeight="1">
      <c r="A55314" s="7"/>
      <c r="B55314" s="7"/>
    </row>
    <row r="55315" ht="15.75" customHeight="1">
      <c r="A55315" s="7"/>
      <c r="B55315" s="7"/>
    </row>
    <row r="55316" ht="15.75" customHeight="1">
      <c r="A55316" s="7"/>
      <c r="B55316" s="7"/>
    </row>
    <row r="55317" ht="15.75" customHeight="1">
      <c r="A55317" s="7"/>
      <c r="B55317" s="7"/>
    </row>
    <row r="55318" ht="15.75" customHeight="1">
      <c r="A55318" s="7"/>
      <c r="B55318" s="7"/>
    </row>
    <row r="55319" ht="15.75" customHeight="1">
      <c r="A55319" s="7"/>
      <c r="B55319" s="7"/>
    </row>
    <row r="55320" ht="15.75" customHeight="1">
      <c r="A55320" s="7"/>
      <c r="B55320" s="7"/>
    </row>
    <row r="55321" ht="15.75" customHeight="1">
      <c r="A55321" s="7"/>
      <c r="B55321" s="7"/>
    </row>
    <row r="55322" ht="15.75" customHeight="1">
      <c r="A55322" s="7"/>
      <c r="B55322" s="7"/>
    </row>
    <row r="55323" ht="15.75" customHeight="1">
      <c r="A55323" s="7"/>
      <c r="B55323" s="7"/>
    </row>
    <row r="55324" ht="15.75" customHeight="1">
      <c r="A55324" s="7"/>
      <c r="B55324" s="7"/>
    </row>
    <row r="55325" ht="15.75" customHeight="1">
      <c r="A55325" s="7"/>
      <c r="B55325" s="7"/>
    </row>
    <row r="55326" ht="15.75" customHeight="1">
      <c r="A55326" s="7"/>
      <c r="B55326" s="7"/>
    </row>
    <row r="55327" ht="15.75" customHeight="1">
      <c r="A55327" s="7"/>
      <c r="B55327" s="7"/>
    </row>
    <row r="55328" ht="15.75" customHeight="1">
      <c r="A55328" s="7"/>
      <c r="B55328" s="7"/>
    </row>
    <row r="55329" ht="15.75" customHeight="1">
      <c r="A55329" s="7"/>
      <c r="B55329" s="7"/>
    </row>
    <row r="55330" ht="15.75" customHeight="1">
      <c r="A55330" s="7"/>
      <c r="B55330" s="7"/>
    </row>
    <row r="55331" ht="15.75" customHeight="1">
      <c r="A55331" s="7"/>
      <c r="B55331" s="7"/>
    </row>
    <row r="55332" ht="15.75" customHeight="1">
      <c r="A55332" s="7"/>
      <c r="B55332" s="7"/>
    </row>
    <row r="55333" ht="15.75" customHeight="1">
      <c r="A55333" s="7"/>
      <c r="B55333" s="7"/>
    </row>
    <row r="55334" ht="15.75" customHeight="1">
      <c r="A55334" s="7"/>
      <c r="B55334" s="7"/>
    </row>
    <row r="55335" ht="15.75" customHeight="1">
      <c r="A55335" s="7"/>
      <c r="B55335" s="7"/>
    </row>
    <row r="55336" ht="15.75" customHeight="1">
      <c r="A55336" s="7"/>
      <c r="B55336" s="7"/>
    </row>
    <row r="55337" ht="15.75" customHeight="1">
      <c r="A55337" s="7"/>
      <c r="B55337" s="7"/>
    </row>
    <row r="55338" ht="15.75" customHeight="1">
      <c r="A55338" s="7"/>
      <c r="B55338" s="7"/>
    </row>
    <row r="55339" ht="15.75" customHeight="1">
      <c r="A55339" s="7"/>
      <c r="B55339" s="7"/>
    </row>
    <row r="55340" ht="15.75" customHeight="1">
      <c r="A55340" s="7"/>
      <c r="B55340" s="7"/>
    </row>
    <row r="55341" ht="15.75" customHeight="1">
      <c r="A55341" s="7"/>
      <c r="B55341" s="7"/>
    </row>
    <row r="55342" ht="15.75" customHeight="1">
      <c r="A55342" s="7"/>
      <c r="B55342" s="7"/>
    </row>
    <row r="55343" ht="15.75" customHeight="1">
      <c r="A55343" s="7"/>
      <c r="B55343" s="7"/>
    </row>
    <row r="55344" ht="15.75" customHeight="1">
      <c r="A55344" s="7"/>
      <c r="B55344" s="7"/>
    </row>
    <row r="55345" ht="15.75" customHeight="1">
      <c r="A55345" s="7"/>
      <c r="B55345" s="7"/>
    </row>
    <row r="55346" ht="15.75" customHeight="1">
      <c r="A55346" s="7"/>
      <c r="B55346" s="7"/>
    </row>
    <row r="55347" ht="15.75" customHeight="1">
      <c r="A55347" s="7"/>
      <c r="B55347" s="7"/>
    </row>
    <row r="55348" ht="15.75" customHeight="1">
      <c r="A55348" s="7"/>
      <c r="B55348" s="7"/>
    </row>
    <row r="55349" ht="15.75" customHeight="1">
      <c r="A55349" s="7"/>
      <c r="B55349" s="7"/>
    </row>
    <row r="55350" ht="15.75" customHeight="1">
      <c r="A55350" s="7"/>
      <c r="B55350" s="7"/>
    </row>
    <row r="55351" ht="15.75" customHeight="1">
      <c r="A55351" s="7"/>
      <c r="B55351" s="7"/>
    </row>
    <row r="55352" ht="15.75" customHeight="1">
      <c r="A55352" s="7"/>
      <c r="B55352" s="7"/>
    </row>
    <row r="55353" ht="15.75" customHeight="1">
      <c r="A55353" s="7"/>
      <c r="B55353" s="7"/>
    </row>
    <row r="55354" ht="15.75" customHeight="1">
      <c r="A55354" s="7"/>
      <c r="B55354" s="7"/>
    </row>
    <row r="55355" ht="15.75" customHeight="1">
      <c r="A55355" s="7"/>
      <c r="B55355" s="7"/>
    </row>
    <row r="55356" ht="15.75" customHeight="1">
      <c r="A55356" s="7"/>
      <c r="B55356" s="7"/>
    </row>
    <row r="55357" ht="15.75" customHeight="1">
      <c r="A55357" s="7"/>
      <c r="B55357" s="7"/>
    </row>
    <row r="55358" ht="15.75" customHeight="1">
      <c r="A55358" s="7"/>
      <c r="B55358" s="7"/>
    </row>
    <row r="55359" ht="15.75" customHeight="1">
      <c r="A55359" s="7"/>
      <c r="B55359" s="7"/>
    </row>
    <row r="55360" ht="15.75" customHeight="1">
      <c r="A55360" s="7"/>
      <c r="B55360" s="7"/>
    </row>
    <row r="55361" ht="15.75" customHeight="1">
      <c r="A55361" s="7"/>
      <c r="B55361" s="7"/>
    </row>
    <row r="55362" ht="15.75" customHeight="1">
      <c r="A55362" s="7"/>
      <c r="B55362" s="7"/>
    </row>
    <row r="55363" ht="15.75" customHeight="1">
      <c r="A55363" s="7"/>
      <c r="B55363" s="7"/>
    </row>
    <row r="55364" ht="15.75" customHeight="1">
      <c r="A55364" s="7"/>
      <c r="B55364" s="7"/>
    </row>
    <row r="55365" ht="15.75" customHeight="1">
      <c r="A55365" s="7"/>
      <c r="B55365" s="7"/>
    </row>
    <row r="55366" ht="15.75" customHeight="1">
      <c r="A55366" s="7"/>
      <c r="B55366" s="7"/>
    </row>
    <row r="55367" ht="15.75" customHeight="1">
      <c r="A55367" s="7"/>
      <c r="B55367" s="7"/>
    </row>
    <row r="55368" ht="15.75" customHeight="1">
      <c r="A55368" s="7"/>
      <c r="B55368" s="7"/>
    </row>
    <row r="55369" ht="15.75" customHeight="1">
      <c r="A55369" s="7"/>
      <c r="B55369" s="7"/>
    </row>
    <row r="55370" ht="15.75" customHeight="1">
      <c r="A55370" s="7"/>
      <c r="B55370" s="7"/>
    </row>
    <row r="55371" ht="15.75" customHeight="1">
      <c r="A55371" s="7"/>
      <c r="B55371" s="7"/>
    </row>
    <row r="55372" ht="15.75" customHeight="1">
      <c r="A55372" s="7"/>
      <c r="B55372" s="7"/>
    </row>
    <row r="55373" ht="15.75" customHeight="1">
      <c r="A55373" s="7"/>
      <c r="B55373" s="7"/>
    </row>
    <row r="55374" ht="15.75" customHeight="1">
      <c r="A55374" s="7"/>
      <c r="B55374" s="7"/>
    </row>
    <row r="55375" ht="15.75" customHeight="1">
      <c r="A55375" s="7"/>
      <c r="B55375" s="7"/>
    </row>
    <row r="55376" ht="15.75" customHeight="1">
      <c r="A55376" s="7"/>
      <c r="B55376" s="7"/>
    </row>
    <row r="55377" ht="15.75" customHeight="1">
      <c r="A55377" s="7"/>
      <c r="B55377" s="7"/>
    </row>
    <row r="55378" ht="15.75" customHeight="1">
      <c r="A55378" s="7"/>
      <c r="B55378" s="7"/>
    </row>
    <row r="55379" ht="15.75" customHeight="1">
      <c r="A55379" s="7"/>
      <c r="B55379" s="7"/>
    </row>
    <row r="55380" ht="15.75" customHeight="1">
      <c r="A55380" s="7"/>
      <c r="B55380" s="7"/>
    </row>
    <row r="55381" ht="15.75" customHeight="1">
      <c r="A55381" s="7"/>
      <c r="B55381" s="7"/>
    </row>
    <row r="55382" ht="15.75" customHeight="1">
      <c r="A55382" s="7"/>
      <c r="B55382" s="7"/>
    </row>
    <row r="55383" ht="15.75" customHeight="1">
      <c r="A55383" s="7"/>
      <c r="B55383" s="7"/>
    </row>
    <row r="55384" ht="15.75" customHeight="1">
      <c r="A55384" s="7"/>
      <c r="B55384" s="7"/>
    </row>
    <row r="55385" ht="15.75" customHeight="1">
      <c r="A55385" s="7"/>
      <c r="B55385" s="7"/>
    </row>
    <row r="55386" ht="15.75" customHeight="1">
      <c r="A55386" s="7"/>
      <c r="B55386" s="7"/>
    </row>
    <row r="55387" ht="15.75" customHeight="1">
      <c r="A55387" s="7"/>
      <c r="B55387" s="7"/>
    </row>
    <row r="55388" ht="15.75" customHeight="1">
      <c r="A55388" s="7"/>
      <c r="B55388" s="7"/>
    </row>
    <row r="55389" ht="15.75" customHeight="1">
      <c r="A55389" s="7"/>
      <c r="B55389" s="7"/>
    </row>
    <row r="55390" ht="15.75" customHeight="1">
      <c r="A55390" s="7"/>
      <c r="B55390" s="7"/>
    </row>
    <row r="55391" ht="15.75" customHeight="1">
      <c r="A55391" s="7"/>
      <c r="B55391" s="7"/>
    </row>
    <row r="55392" ht="15.75" customHeight="1">
      <c r="A55392" s="7"/>
      <c r="B55392" s="7"/>
    </row>
    <row r="55393" ht="15.75" customHeight="1">
      <c r="A55393" s="7"/>
      <c r="B55393" s="7"/>
    </row>
    <row r="55394" ht="15.75" customHeight="1">
      <c r="A55394" s="7"/>
      <c r="B55394" s="7"/>
    </row>
    <row r="55395" ht="15.75" customHeight="1">
      <c r="A55395" s="7"/>
      <c r="B55395" s="7"/>
    </row>
    <row r="55396" ht="15.75" customHeight="1">
      <c r="A55396" s="7"/>
      <c r="B55396" s="7"/>
    </row>
    <row r="55397" ht="15.75" customHeight="1">
      <c r="A55397" s="7"/>
      <c r="B55397" s="7"/>
    </row>
    <row r="55398" ht="15.75" customHeight="1">
      <c r="A55398" s="7"/>
      <c r="B55398" s="7"/>
    </row>
    <row r="55399" ht="15.75" customHeight="1">
      <c r="A55399" s="7"/>
      <c r="B55399" s="7"/>
    </row>
    <row r="55400" ht="15.75" customHeight="1">
      <c r="A55400" s="7"/>
      <c r="B55400" s="7"/>
    </row>
    <row r="55401" ht="15.75" customHeight="1">
      <c r="A55401" s="7"/>
      <c r="B55401" s="7"/>
    </row>
    <row r="55402" ht="15.75" customHeight="1">
      <c r="A55402" s="7"/>
      <c r="B55402" s="7"/>
    </row>
    <row r="55403" ht="15.75" customHeight="1">
      <c r="A55403" s="7"/>
      <c r="B55403" s="7"/>
    </row>
    <row r="55404" ht="15.75" customHeight="1">
      <c r="A55404" s="7"/>
      <c r="B55404" s="7"/>
    </row>
    <row r="55405" ht="15.75" customHeight="1">
      <c r="A55405" s="7"/>
      <c r="B55405" s="7"/>
    </row>
    <row r="55406" ht="15.75" customHeight="1">
      <c r="A55406" s="7"/>
      <c r="B55406" s="7"/>
    </row>
    <row r="55407" ht="15.75" customHeight="1">
      <c r="A55407" s="7"/>
      <c r="B55407" s="7"/>
    </row>
    <row r="55408" ht="15.75" customHeight="1">
      <c r="A55408" s="7"/>
      <c r="B55408" s="7"/>
    </row>
    <row r="55409" ht="15.75" customHeight="1">
      <c r="A55409" s="7"/>
      <c r="B55409" s="7"/>
    </row>
    <row r="55410" ht="15.75" customHeight="1">
      <c r="A55410" s="7"/>
      <c r="B55410" s="7"/>
    </row>
    <row r="55411" ht="15.75" customHeight="1">
      <c r="A55411" s="7"/>
      <c r="B55411" s="7"/>
    </row>
    <row r="55412" ht="15.75" customHeight="1">
      <c r="A55412" s="7"/>
      <c r="B55412" s="7"/>
    </row>
    <row r="55413" ht="15.75" customHeight="1">
      <c r="A55413" s="7"/>
      <c r="B55413" s="7"/>
    </row>
    <row r="55414" ht="15.75" customHeight="1">
      <c r="A55414" s="7"/>
      <c r="B55414" s="7"/>
    </row>
    <row r="55415" ht="15.75" customHeight="1">
      <c r="A55415" s="7"/>
      <c r="B55415" s="7"/>
    </row>
    <row r="55416" ht="15.75" customHeight="1">
      <c r="A55416" s="7"/>
      <c r="B55416" s="7"/>
    </row>
    <row r="55417" ht="15.75" customHeight="1">
      <c r="A55417" s="7"/>
      <c r="B55417" s="7"/>
    </row>
    <row r="55418" ht="15.75" customHeight="1">
      <c r="A55418" s="7"/>
      <c r="B55418" s="7"/>
    </row>
    <row r="55419" ht="15.75" customHeight="1">
      <c r="A55419" s="7"/>
      <c r="B55419" s="7"/>
    </row>
    <row r="55420" ht="15.75" customHeight="1">
      <c r="A55420" s="7"/>
      <c r="B55420" s="7"/>
    </row>
    <row r="55421" ht="15.75" customHeight="1">
      <c r="A55421" s="7"/>
      <c r="B55421" s="7"/>
    </row>
    <row r="55422" ht="15.75" customHeight="1">
      <c r="A55422" s="7"/>
      <c r="B55422" s="7"/>
    </row>
    <row r="55423" ht="15.75" customHeight="1">
      <c r="A55423" s="7"/>
      <c r="B55423" s="7"/>
    </row>
    <row r="55424" ht="15.75" customHeight="1">
      <c r="A55424" s="7"/>
      <c r="B55424" s="7"/>
    </row>
    <row r="55425" ht="15.75" customHeight="1">
      <c r="A55425" s="7"/>
      <c r="B55425" s="7"/>
    </row>
    <row r="55426" ht="15.75" customHeight="1">
      <c r="A55426" s="7"/>
      <c r="B55426" s="7"/>
    </row>
    <row r="55427" ht="15.75" customHeight="1">
      <c r="A55427" s="7"/>
      <c r="B55427" s="7"/>
    </row>
    <row r="55428" ht="15.75" customHeight="1">
      <c r="A55428" s="7"/>
      <c r="B55428" s="7"/>
    </row>
    <row r="55429" ht="15.75" customHeight="1">
      <c r="A55429" s="7"/>
      <c r="B55429" s="7"/>
    </row>
    <row r="55430" ht="15.75" customHeight="1">
      <c r="A55430" s="7"/>
      <c r="B55430" s="7"/>
    </row>
    <row r="55431" ht="15.75" customHeight="1">
      <c r="A55431" s="7"/>
      <c r="B55431" s="7"/>
    </row>
    <row r="55432" ht="15.75" customHeight="1">
      <c r="A55432" s="7"/>
      <c r="B55432" s="7"/>
    </row>
    <row r="55433" ht="15.75" customHeight="1">
      <c r="A55433" s="7"/>
      <c r="B55433" s="7"/>
    </row>
    <row r="55434" ht="15.75" customHeight="1">
      <c r="A55434" s="7"/>
      <c r="B55434" s="7"/>
    </row>
    <row r="55435" ht="15.75" customHeight="1">
      <c r="A55435" s="7"/>
      <c r="B55435" s="7"/>
    </row>
    <row r="55436" ht="15.75" customHeight="1">
      <c r="A55436" s="7"/>
      <c r="B55436" s="7"/>
    </row>
    <row r="55437" ht="15.75" customHeight="1">
      <c r="A55437" s="7"/>
      <c r="B55437" s="7"/>
    </row>
    <row r="55438" ht="15.75" customHeight="1">
      <c r="A55438" s="7"/>
      <c r="B55438" s="7"/>
    </row>
    <row r="55439" ht="15.75" customHeight="1">
      <c r="A55439" s="7"/>
      <c r="B55439" s="7"/>
    </row>
    <row r="55440" ht="15.75" customHeight="1">
      <c r="A55440" s="7"/>
      <c r="B55440" s="7"/>
    </row>
    <row r="55441" ht="15.75" customHeight="1">
      <c r="A55441" s="7"/>
      <c r="B55441" s="7"/>
    </row>
    <row r="55442" ht="15.75" customHeight="1">
      <c r="A55442" s="7"/>
      <c r="B55442" s="7"/>
    </row>
    <row r="55443" ht="15.75" customHeight="1">
      <c r="A55443" s="7"/>
      <c r="B55443" s="7"/>
    </row>
    <row r="55444" ht="15.75" customHeight="1">
      <c r="A55444" s="7"/>
      <c r="B55444" s="7"/>
    </row>
    <row r="55445" ht="15.75" customHeight="1">
      <c r="A55445" s="7"/>
      <c r="B55445" s="7"/>
    </row>
    <row r="55446" ht="15.75" customHeight="1">
      <c r="A55446" s="7"/>
      <c r="B55446" s="7"/>
    </row>
    <row r="55447" ht="15.75" customHeight="1">
      <c r="A55447" s="7"/>
      <c r="B55447" s="7"/>
    </row>
    <row r="55448" ht="15.75" customHeight="1">
      <c r="A55448" s="7"/>
      <c r="B55448" s="7"/>
    </row>
    <row r="55449" ht="15.75" customHeight="1">
      <c r="A55449" s="7"/>
      <c r="B55449" s="7"/>
    </row>
    <row r="55450" ht="15.75" customHeight="1">
      <c r="A55450" s="7"/>
      <c r="B55450" s="7"/>
    </row>
    <row r="55451" ht="15.75" customHeight="1">
      <c r="A55451" s="7"/>
      <c r="B55451" s="7"/>
    </row>
    <row r="55452" ht="15.75" customHeight="1">
      <c r="A55452" s="7"/>
      <c r="B55452" s="7"/>
    </row>
    <row r="55453" ht="15.75" customHeight="1">
      <c r="A55453" s="7"/>
      <c r="B55453" s="7"/>
    </row>
    <row r="55454" ht="15.75" customHeight="1">
      <c r="A55454" s="7"/>
      <c r="B55454" s="7"/>
    </row>
    <row r="55455" ht="15.75" customHeight="1">
      <c r="A55455" s="7"/>
      <c r="B55455" s="7"/>
    </row>
    <row r="55456" ht="15.75" customHeight="1">
      <c r="A55456" s="7"/>
      <c r="B55456" s="7"/>
    </row>
    <row r="55457" ht="15.75" customHeight="1">
      <c r="A55457" s="7"/>
      <c r="B55457" s="7"/>
    </row>
    <row r="55458" ht="15.75" customHeight="1">
      <c r="A55458" s="7"/>
      <c r="B55458" s="7"/>
    </row>
    <row r="55459" ht="15.75" customHeight="1">
      <c r="A55459" s="7"/>
      <c r="B55459" s="7"/>
    </row>
    <row r="55460" ht="15.75" customHeight="1">
      <c r="A55460" s="7"/>
      <c r="B55460" s="7"/>
    </row>
    <row r="55461" ht="15.75" customHeight="1">
      <c r="A55461" s="7"/>
      <c r="B55461" s="7"/>
    </row>
    <row r="55462" ht="15.75" customHeight="1">
      <c r="A55462" s="7"/>
      <c r="B55462" s="7"/>
    </row>
    <row r="55463" ht="15.75" customHeight="1">
      <c r="A55463" s="7"/>
      <c r="B55463" s="7"/>
    </row>
    <row r="55464" ht="15.75" customHeight="1">
      <c r="A55464" s="7"/>
      <c r="B55464" s="7"/>
    </row>
    <row r="55465" ht="15.75" customHeight="1">
      <c r="A55465" s="7"/>
      <c r="B55465" s="7"/>
    </row>
    <row r="55466" ht="15.75" customHeight="1">
      <c r="A55466" s="7"/>
      <c r="B55466" s="7"/>
    </row>
    <row r="55467" ht="15.75" customHeight="1">
      <c r="A55467" s="7"/>
      <c r="B55467" s="7"/>
    </row>
    <row r="55468" ht="15.75" customHeight="1">
      <c r="A55468" s="7"/>
      <c r="B55468" s="7"/>
    </row>
    <row r="55469" ht="15.75" customHeight="1">
      <c r="A55469" s="7"/>
      <c r="B55469" s="7"/>
    </row>
    <row r="55470" ht="15.75" customHeight="1">
      <c r="A55470" s="7"/>
      <c r="B55470" s="7"/>
    </row>
    <row r="55471" ht="15.75" customHeight="1">
      <c r="A55471" s="7"/>
      <c r="B55471" s="7"/>
    </row>
    <row r="55472" ht="15.75" customHeight="1">
      <c r="A55472" s="7"/>
      <c r="B55472" s="7"/>
    </row>
    <row r="55473" ht="15.75" customHeight="1">
      <c r="A55473" s="7"/>
      <c r="B55473" s="7"/>
    </row>
    <row r="55474" ht="15.75" customHeight="1">
      <c r="A55474" s="7"/>
      <c r="B55474" s="7"/>
    </row>
    <row r="55475" ht="15.75" customHeight="1">
      <c r="A55475" s="7"/>
      <c r="B55475" s="7"/>
    </row>
    <row r="55476" ht="15.75" customHeight="1">
      <c r="A55476" s="7"/>
      <c r="B55476" s="7"/>
    </row>
    <row r="55477" ht="15.75" customHeight="1">
      <c r="A55477" s="7"/>
      <c r="B55477" s="7"/>
    </row>
    <row r="55478" ht="15.75" customHeight="1">
      <c r="A55478" s="7"/>
      <c r="B55478" s="7"/>
    </row>
    <row r="55479" ht="15.75" customHeight="1">
      <c r="A55479" s="7"/>
      <c r="B55479" s="7"/>
    </row>
    <row r="55480" ht="15.75" customHeight="1">
      <c r="A55480" s="7"/>
      <c r="B55480" s="7"/>
    </row>
    <row r="55481" ht="15.75" customHeight="1">
      <c r="A55481" s="7"/>
      <c r="B55481" s="7"/>
    </row>
    <row r="55482" ht="15.75" customHeight="1">
      <c r="A55482" s="7"/>
      <c r="B55482" s="7"/>
    </row>
    <row r="55483" ht="15.75" customHeight="1">
      <c r="A55483" s="7"/>
      <c r="B55483" s="7"/>
    </row>
    <row r="55484" ht="15.75" customHeight="1">
      <c r="A55484" s="7"/>
      <c r="B55484" s="7"/>
    </row>
    <row r="55485" ht="15.75" customHeight="1">
      <c r="A55485" s="7"/>
      <c r="B55485" s="7"/>
    </row>
    <row r="55486" ht="15.75" customHeight="1">
      <c r="A55486" s="7"/>
      <c r="B55486" s="7"/>
    </row>
    <row r="55487" ht="15.75" customHeight="1">
      <c r="A55487" s="7"/>
      <c r="B55487" s="7"/>
    </row>
    <row r="55488" ht="15.75" customHeight="1">
      <c r="A55488" s="7"/>
      <c r="B55488" s="7"/>
    </row>
    <row r="55489" ht="15.75" customHeight="1">
      <c r="A55489" s="7"/>
      <c r="B55489" s="7"/>
    </row>
    <row r="55490" ht="15.75" customHeight="1">
      <c r="A55490" s="7"/>
      <c r="B55490" s="7"/>
    </row>
    <row r="55491" ht="15.75" customHeight="1">
      <c r="A55491" s="7"/>
      <c r="B55491" s="7"/>
    </row>
    <row r="55492" ht="15.75" customHeight="1">
      <c r="A55492" s="7"/>
      <c r="B55492" s="7"/>
    </row>
    <row r="55493" ht="15.75" customHeight="1">
      <c r="A55493" s="7"/>
      <c r="B55493" s="7"/>
    </row>
    <row r="55494" ht="15.75" customHeight="1">
      <c r="A55494" s="7"/>
      <c r="B55494" s="7"/>
    </row>
    <row r="55495" ht="15.75" customHeight="1">
      <c r="A55495" s="7"/>
      <c r="B55495" s="7"/>
    </row>
    <row r="55496" ht="15.75" customHeight="1">
      <c r="A55496" s="7"/>
      <c r="B55496" s="7"/>
    </row>
    <row r="55497" ht="15.75" customHeight="1">
      <c r="A55497" s="7"/>
      <c r="B55497" s="7"/>
    </row>
    <row r="55498" ht="15.75" customHeight="1">
      <c r="A55498" s="7"/>
      <c r="B55498" s="7"/>
    </row>
    <row r="55499" ht="15.75" customHeight="1">
      <c r="A55499" s="7"/>
      <c r="B55499" s="7"/>
    </row>
    <row r="55500" ht="15.75" customHeight="1">
      <c r="A55500" s="7"/>
      <c r="B55500" s="7"/>
    </row>
    <row r="55501" ht="15.75" customHeight="1">
      <c r="A55501" s="7"/>
      <c r="B55501" s="7"/>
    </row>
    <row r="55502" ht="15.75" customHeight="1">
      <c r="A55502" s="7"/>
      <c r="B55502" s="7"/>
    </row>
    <row r="55503" ht="15.75" customHeight="1">
      <c r="A55503" s="7"/>
      <c r="B55503" s="7"/>
    </row>
    <row r="55504" ht="15.75" customHeight="1">
      <c r="A55504" s="7"/>
      <c r="B55504" s="7"/>
    </row>
    <row r="55505" ht="15.75" customHeight="1">
      <c r="A55505" s="7"/>
      <c r="B55505" s="7"/>
    </row>
    <row r="55506" ht="15.75" customHeight="1">
      <c r="A55506" s="7"/>
      <c r="B55506" s="7"/>
    </row>
    <row r="55507" ht="15.75" customHeight="1">
      <c r="A55507" s="7"/>
      <c r="B55507" s="7"/>
    </row>
    <row r="55508" ht="15.75" customHeight="1">
      <c r="A55508" s="7"/>
      <c r="B55508" s="7"/>
    </row>
    <row r="55509" ht="15.75" customHeight="1">
      <c r="A55509" s="7"/>
      <c r="B55509" s="7"/>
    </row>
    <row r="55510" ht="15.75" customHeight="1">
      <c r="A55510" s="7"/>
      <c r="B55510" s="7"/>
    </row>
    <row r="55511" ht="15.75" customHeight="1">
      <c r="A55511" s="7"/>
      <c r="B55511" s="7"/>
    </row>
    <row r="55512" ht="15.75" customHeight="1">
      <c r="A55512" s="7"/>
      <c r="B55512" s="7"/>
    </row>
    <row r="55513" ht="15.75" customHeight="1">
      <c r="A55513" s="7"/>
      <c r="B55513" s="7"/>
    </row>
    <row r="55514" ht="15.75" customHeight="1">
      <c r="A55514" s="7"/>
      <c r="B55514" s="7"/>
    </row>
    <row r="55515" ht="15.75" customHeight="1">
      <c r="A55515" s="7"/>
      <c r="B55515" s="7"/>
    </row>
    <row r="55516" ht="15.75" customHeight="1">
      <c r="A55516" s="7"/>
      <c r="B55516" s="7"/>
    </row>
    <row r="55517" ht="15.75" customHeight="1">
      <c r="A55517" s="7"/>
      <c r="B55517" s="7"/>
    </row>
    <row r="55518" ht="15.75" customHeight="1">
      <c r="A55518" s="7"/>
      <c r="B55518" s="7"/>
    </row>
    <row r="55519" ht="15.75" customHeight="1">
      <c r="A55519" s="7"/>
      <c r="B55519" s="7"/>
    </row>
    <row r="55520" ht="15.75" customHeight="1">
      <c r="A55520" s="7"/>
      <c r="B55520" s="7"/>
    </row>
    <row r="55521" ht="15.75" customHeight="1">
      <c r="A55521" s="7"/>
      <c r="B55521" s="7"/>
    </row>
    <row r="55522" ht="15.75" customHeight="1">
      <c r="A55522" s="7"/>
      <c r="B55522" s="7"/>
    </row>
    <row r="55523" ht="15.75" customHeight="1">
      <c r="A55523" s="7"/>
      <c r="B55523" s="7"/>
    </row>
    <row r="55524" ht="15.75" customHeight="1">
      <c r="A55524" s="7"/>
      <c r="B55524" s="7"/>
    </row>
    <row r="55525" ht="15.75" customHeight="1">
      <c r="A55525" s="7"/>
      <c r="B55525" s="7"/>
    </row>
    <row r="55526" ht="15.75" customHeight="1">
      <c r="A55526" s="7"/>
      <c r="B55526" s="7"/>
    </row>
    <row r="55527" ht="15.75" customHeight="1">
      <c r="A55527" s="7"/>
      <c r="B55527" s="7"/>
    </row>
    <row r="55528" ht="15.75" customHeight="1">
      <c r="A55528" s="7"/>
      <c r="B55528" s="7"/>
    </row>
    <row r="55529" ht="15.75" customHeight="1">
      <c r="A55529" s="7"/>
      <c r="B55529" s="7"/>
    </row>
    <row r="55530" ht="15.75" customHeight="1">
      <c r="A55530" s="7"/>
      <c r="B55530" s="7"/>
    </row>
    <row r="55531" ht="15.75" customHeight="1">
      <c r="A55531" s="7"/>
      <c r="B55531" s="7"/>
    </row>
    <row r="55532" ht="15.75" customHeight="1">
      <c r="A55532" s="7"/>
      <c r="B55532" s="7"/>
    </row>
    <row r="55533" ht="15.75" customHeight="1">
      <c r="A55533" s="7"/>
      <c r="B55533" s="7"/>
    </row>
    <row r="55534" ht="15.75" customHeight="1">
      <c r="A55534" s="7"/>
      <c r="B55534" s="7"/>
    </row>
    <row r="55535" ht="15.75" customHeight="1">
      <c r="A55535" s="7"/>
      <c r="B55535" s="7"/>
    </row>
    <row r="55536" ht="15.75" customHeight="1">
      <c r="A55536" s="7"/>
      <c r="B55536" s="7"/>
    </row>
    <row r="55537" ht="15.75" customHeight="1">
      <c r="A55537" s="7"/>
      <c r="B55537" s="7"/>
    </row>
    <row r="55538" ht="15.75" customHeight="1">
      <c r="A55538" s="7"/>
      <c r="B55538" s="7"/>
    </row>
    <row r="55539" ht="15.75" customHeight="1">
      <c r="A55539" s="7"/>
      <c r="B55539" s="7"/>
    </row>
    <row r="55540" ht="15.75" customHeight="1">
      <c r="A55540" s="7"/>
      <c r="B55540" s="7"/>
    </row>
    <row r="55541" ht="15.75" customHeight="1">
      <c r="A55541" s="7"/>
      <c r="B55541" s="7"/>
    </row>
    <row r="55542" ht="15.75" customHeight="1">
      <c r="A55542" s="7"/>
      <c r="B55542" s="7"/>
    </row>
    <row r="55543" ht="15.75" customHeight="1">
      <c r="A55543" s="7"/>
      <c r="B55543" s="7"/>
    </row>
    <row r="55544" ht="15.75" customHeight="1">
      <c r="A55544" s="7"/>
      <c r="B55544" s="7"/>
    </row>
    <row r="55545" ht="15.75" customHeight="1">
      <c r="A55545" s="7"/>
      <c r="B55545" s="7"/>
    </row>
    <row r="55546" ht="15.75" customHeight="1">
      <c r="A55546" s="7"/>
      <c r="B55546" s="7"/>
    </row>
    <row r="55547" ht="15.75" customHeight="1">
      <c r="A55547" s="7"/>
      <c r="B55547" s="7"/>
    </row>
    <row r="55548" ht="15.75" customHeight="1">
      <c r="A55548" s="7"/>
      <c r="B55548" s="7"/>
    </row>
    <row r="55549" ht="15.75" customHeight="1">
      <c r="A55549" s="7"/>
      <c r="B55549" s="7"/>
    </row>
    <row r="55550" ht="15.75" customHeight="1">
      <c r="A55550" s="7"/>
      <c r="B55550" s="7"/>
    </row>
    <row r="55551" ht="15.75" customHeight="1">
      <c r="A55551" s="7"/>
      <c r="B55551" s="7"/>
    </row>
    <row r="55552" ht="15.75" customHeight="1">
      <c r="A55552" s="7"/>
      <c r="B55552" s="7"/>
    </row>
    <row r="55553" ht="15.75" customHeight="1">
      <c r="A55553" s="7"/>
      <c r="B55553" s="7"/>
    </row>
    <row r="55554" ht="15.75" customHeight="1">
      <c r="A55554" s="7"/>
      <c r="B55554" s="7"/>
    </row>
    <row r="55555" ht="15.75" customHeight="1">
      <c r="A55555" s="7"/>
      <c r="B55555" s="7"/>
    </row>
    <row r="55556" ht="15.75" customHeight="1">
      <c r="A55556" s="7"/>
      <c r="B55556" s="7"/>
    </row>
    <row r="55557" ht="15.75" customHeight="1">
      <c r="A55557" s="7"/>
      <c r="B55557" s="7"/>
    </row>
    <row r="55558" ht="15.75" customHeight="1">
      <c r="A55558" s="7"/>
      <c r="B55558" s="7"/>
    </row>
    <row r="55559" ht="15.75" customHeight="1">
      <c r="A55559" s="7"/>
      <c r="B55559" s="7"/>
    </row>
    <row r="55560" ht="15.75" customHeight="1">
      <c r="A55560" s="7"/>
      <c r="B55560" s="7"/>
    </row>
    <row r="55561" ht="15.75" customHeight="1">
      <c r="A55561" s="7"/>
      <c r="B55561" s="7"/>
    </row>
    <row r="55562" ht="15.75" customHeight="1">
      <c r="A55562" s="7"/>
      <c r="B55562" s="7"/>
    </row>
    <row r="55563" ht="15.75" customHeight="1">
      <c r="A55563" s="7"/>
      <c r="B55563" s="7"/>
    </row>
    <row r="55564" ht="15.75" customHeight="1">
      <c r="A55564" s="7"/>
      <c r="B55564" s="7"/>
    </row>
    <row r="55565" ht="15.75" customHeight="1">
      <c r="A55565" s="7"/>
      <c r="B55565" s="7"/>
    </row>
    <row r="55566" ht="15.75" customHeight="1">
      <c r="A55566" s="7"/>
      <c r="B55566" s="7"/>
    </row>
    <row r="55567" ht="15.75" customHeight="1">
      <c r="A55567" s="7"/>
      <c r="B55567" s="7"/>
    </row>
    <row r="55568" ht="15.75" customHeight="1">
      <c r="A55568" s="7"/>
      <c r="B55568" s="7"/>
    </row>
    <row r="55569" ht="15.75" customHeight="1">
      <c r="A55569" s="7"/>
      <c r="B55569" s="7"/>
    </row>
    <row r="55570" ht="15.75" customHeight="1">
      <c r="A55570" s="7"/>
      <c r="B55570" s="7"/>
    </row>
    <row r="55571" ht="15.75" customHeight="1">
      <c r="A55571" s="7"/>
      <c r="B55571" s="7"/>
    </row>
    <row r="55572" ht="15.75" customHeight="1">
      <c r="A55572" s="7"/>
      <c r="B55572" s="7"/>
    </row>
    <row r="55573" ht="15.75" customHeight="1">
      <c r="A55573" s="7"/>
      <c r="B55573" s="7"/>
    </row>
    <row r="55574" ht="15.75" customHeight="1">
      <c r="A55574" s="7"/>
      <c r="B55574" s="7"/>
    </row>
    <row r="55575" ht="15.75" customHeight="1">
      <c r="A55575" s="7"/>
      <c r="B55575" s="7"/>
    </row>
    <row r="55576" ht="15.75" customHeight="1">
      <c r="A55576" s="7"/>
      <c r="B55576" s="7"/>
    </row>
    <row r="55577" ht="15.75" customHeight="1">
      <c r="A55577" s="7"/>
      <c r="B55577" s="7"/>
    </row>
    <row r="55578" ht="15.75" customHeight="1">
      <c r="A55578" s="7"/>
      <c r="B55578" s="7"/>
    </row>
    <row r="55579" ht="15.75" customHeight="1">
      <c r="A55579" s="7"/>
      <c r="B55579" s="7"/>
    </row>
    <row r="55580" ht="15.75" customHeight="1">
      <c r="A55580" s="7"/>
      <c r="B55580" s="7"/>
    </row>
    <row r="55581" ht="15.75" customHeight="1">
      <c r="A55581" s="7"/>
      <c r="B55581" s="7"/>
    </row>
    <row r="55582" ht="15.75" customHeight="1">
      <c r="A55582" s="7"/>
      <c r="B55582" s="7"/>
    </row>
    <row r="55583" ht="15.75" customHeight="1">
      <c r="A55583" s="7"/>
      <c r="B55583" s="7"/>
    </row>
    <row r="55584" ht="15.75" customHeight="1">
      <c r="A55584" s="7"/>
      <c r="B55584" s="7"/>
    </row>
    <row r="55585" ht="15.75" customHeight="1">
      <c r="A55585" s="7"/>
      <c r="B55585" s="7"/>
    </row>
    <row r="55586" ht="15.75" customHeight="1">
      <c r="A55586" s="7"/>
      <c r="B55586" s="7"/>
    </row>
    <row r="55587" ht="15.75" customHeight="1">
      <c r="A55587" s="7"/>
      <c r="B55587" s="7"/>
    </row>
    <row r="55588" ht="15.75" customHeight="1">
      <c r="A55588" s="7"/>
      <c r="B55588" s="7"/>
    </row>
    <row r="55589" ht="15.75" customHeight="1">
      <c r="A55589" s="7"/>
      <c r="B55589" s="7"/>
    </row>
    <row r="55590" ht="15.75" customHeight="1">
      <c r="A55590" s="7"/>
      <c r="B55590" s="7"/>
    </row>
    <row r="55591" ht="15.75" customHeight="1">
      <c r="A55591" s="7"/>
      <c r="B55591" s="7"/>
    </row>
    <row r="55592" ht="15.75" customHeight="1">
      <c r="A55592" s="7"/>
      <c r="B55592" s="7"/>
    </row>
    <row r="55593" ht="15.75" customHeight="1">
      <c r="A55593" s="7"/>
      <c r="B55593" s="7"/>
    </row>
    <row r="55594" ht="15.75" customHeight="1">
      <c r="A55594" s="7"/>
      <c r="B55594" s="7"/>
    </row>
    <row r="55595" ht="15.75" customHeight="1">
      <c r="A55595" s="7"/>
      <c r="B55595" s="7"/>
    </row>
    <row r="55596" ht="15.75" customHeight="1">
      <c r="A55596" s="7"/>
      <c r="B55596" s="7"/>
    </row>
    <row r="55597" ht="15.75" customHeight="1">
      <c r="A55597" s="7"/>
      <c r="B55597" s="7"/>
    </row>
    <row r="55598" ht="15.75" customHeight="1">
      <c r="A55598" s="7"/>
      <c r="B55598" s="7"/>
    </row>
    <row r="55599" ht="15.75" customHeight="1">
      <c r="A55599" s="7"/>
      <c r="B55599" s="7"/>
    </row>
    <row r="55600" ht="15.75" customHeight="1">
      <c r="A55600" s="7"/>
      <c r="B55600" s="7"/>
    </row>
    <row r="55601" ht="15.75" customHeight="1">
      <c r="A55601" s="7"/>
      <c r="B55601" s="7"/>
    </row>
    <row r="55602" ht="15.75" customHeight="1">
      <c r="A55602" s="7"/>
      <c r="B55602" s="7"/>
    </row>
    <row r="55603" ht="15.75" customHeight="1">
      <c r="A55603" s="7"/>
      <c r="B55603" s="7"/>
    </row>
    <row r="55604" ht="15.75" customHeight="1">
      <c r="A55604" s="7"/>
      <c r="B55604" s="7"/>
    </row>
    <row r="55605" ht="15.75" customHeight="1">
      <c r="A55605" s="7"/>
      <c r="B55605" s="7"/>
    </row>
    <row r="55606" ht="15.75" customHeight="1">
      <c r="A55606" s="7"/>
      <c r="B55606" s="7"/>
    </row>
    <row r="55607" ht="15.75" customHeight="1">
      <c r="A55607" s="7"/>
      <c r="B55607" s="7"/>
    </row>
    <row r="55608" ht="15.75" customHeight="1">
      <c r="A55608" s="7"/>
      <c r="B55608" s="7"/>
    </row>
    <row r="55609" ht="15.75" customHeight="1">
      <c r="A55609" s="7"/>
      <c r="B55609" s="7"/>
    </row>
    <row r="55610" ht="15.75" customHeight="1">
      <c r="A55610" s="7"/>
      <c r="B55610" s="7"/>
    </row>
    <row r="55611" ht="15.75" customHeight="1">
      <c r="A55611" s="7"/>
      <c r="B55611" s="7"/>
    </row>
    <row r="55612" ht="15.75" customHeight="1">
      <c r="A55612" s="7"/>
      <c r="B55612" s="7"/>
    </row>
    <row r="55613" ht="15.75" customHeight="1">
      <c r="A55613" s="7"/>
      <c r="B55613" s="7"/>
    </row>
    <row r="55614" ht="15.75" customHeight="1">
      <c r="A55614" s="7"/>
      <c r="B55614" s="7"/>
    </row>
    <row r="55615" ht="15.75" customHeight="1">
      <c r="A55615" s="7"/>
      <c r="B55615" s="7"/>
    </row>
    <row r="55616" ht="15.75" customHeight="1">
      <c r="A55616" s="7"/>
      <c r="B55616" s="7"/>
    </row>
    <row r="55617" ht="15.75" customHeight="1">
      <c r="A55617" s="7"/>
      <c r="B55617" s="7"/>
    </row>
    <row r="55618" ht="15.75" customHeight="1">
      <c r="A55618" s="7"/>
      <c r="B55618" s="7"/>
    </row>
    <row r="55619" ht="15.75" customHeight="1">
      <c r="A55619" s="7"/>
      <c r="B55619" s="7"/>
    </row>
    <row r="55620" ht="15.75" customHeight="1">
      <c r="A55620" s="7"/>
      <c r="B55620" s="7"/>
    </row>
    <row r="55621" ht="15.75" customHeight="1">
      <c r="A55621" s="7"/>
      <c r="B55621" s="7"/>
    </row>
    <row r="55622" ht="15.75" customHeight="1">
      <c r="A55622" s="7"/>
      <c r="B55622" s="7"/>
    </row>
    <row r="55623" ht="15.75" customHeight="1">
      <c r="A55623" s="7"/>
      <c r="B55623" s="7"/>
    </row>
    <row r="55624" ht="15.75" customHeight="1">
      <c r="A55624" s="7"/>
      <c r="B55624" s="7"/>
    </row>
    <row r="55625" ht="15.75" customHeight="1">
      <c r="A55625" s="7"/>
      <c r="B55625" s="7"/>
    </row>
    <row r="55626" ht="15.75" customHeight="1">
      <c r="A55626" s="7"/>
      <c r="B55626" s="7"/>
    </row>
    <row r="55627" ht="15.75" customHeight="1">
      <c r="A55627" s="7"/>
      <c r="B55627" s="7"/>
    </row>
    <row r="55628" ht="15.75" customHeight="1">
      <c r="A55628" s="7"/>
      <c r="B55628" s="7"/>
    </row>
    <row r="55629" ht="15.75" customHeight="1">
      <c r="A55629" s="7"/>
      <c r="B55629" s="7"/>
    </row>
    <row r="55630" ht="15.75" customHeight="1">
      <c r="A55630" s="7"/>
      <c r="B55630" s="7"/>
    </row>
    <row r="55631" ht="15.75" customHeight="1">
      <c r="A55631" s="7"/>
      <c r="B55631" s="7"/>
    </row>
    <row r="55632" ht="15.75" customHeight="1">
      <c r="A55632" s="7"/>
      <c r="B55632" s="7"/>
    </row>
    <row r="55633" ht="15.75" customHeight="1">
      <c r="A55633" s="7"/>
      <c r="B55633" s="7"/>
    </row>
    <row r="55634" ht="15.75" customHeight="1">
      <c r="A55634" s="7"/>
      <c r="B55634" s="7"/>
    </row>
    <row r="55635" ht="15.75" customHeight="1">
      <c r="A55635" s="7"/>
      <c r="B55635" s="7"/>
    </row>
    <row r="55636" ht="15.75" customHeight="1">
      <c r="A55636" s="7"/>
      <c r="B55636" s="7"/>
    </row>
    <row r="55637" ht="15.75" customHeight="1">
      <c r="A55637" s="7"/>
      <c r="B55637" s="7"/>
    </row>
    <row r="55638" ht="15.75" customHeight="1">
      <c r="A55638" s="7"/>
      <c r="B55638" s="7"/>
    </row>
    <row r="55639" ht="15.75" customHeight="1">
      <c r="A55639" s="7"/>
      <c r="B55639" s="7"/>
    </row>
    <row r="55640" ht="15.75" customHeight="1">
      <c r="A55640" s="7"/>
      <c r="B55640" s="7"/>
    </row>
    <row r="55641" ht="15.75" customHeight="1">
      <c r="A55641" s="7"/>
      <c r="B55641" s="7"/>
    </row>
    <row r="55642" ht="15.75" customHeight="1">
      <c r="A55642" s="7"/>
      <c r="B55642" s="7"/>
    </row>
    <row r="55643" ht="15.75" customHeight="1">
      <c r="A55643" s="7"/>
      <c r="B55643" s="7"/>
    </row>
    <row r="55644" ht="15.75" customHeight="1">
      <c r="A55644" s="7"/>
      <c r="B55644" s="7"/>
    </row>
    <row r="55645" ht="15.75" customHeight="1">
      <c r="A55645" s="7"/>
      <c r="B55645" s="7"/>
    </row>
    <row r="55646" ht="15.75" customHeight="1">
      <c r="A55646" s="7"/>
      <c r="B55646" s="7"/>
    </row>
    <row r="55647" ht="15.75" customHeight="1">
      <c r="A55647" s="7"/>
      <c r="B55647" s="7"/>
    </row>
    <row r="55648" ht="15.75" customHeight="1">
      <c r="A55648" s="7"/>
      <c r="B55648" s="7"/>
    </row>
    <row r="55649" ht="15.75" customHeight="1">
      <c r="A55649" s="7"/>
      <c r="B55649" s="7"/>
    </row>
    <row r="55650" ht="15.75" customHeight="1">
      <c r="A55650" s="7"/>
      <c r="B55650" s="7"/>
    </row>
    <row r="55651" ht="15.75" customHeight="1">
      <c r="A55651" s="7"/>
      <c r="B55651" s="7"/>
    </row>
    <row r="55652" ht="15.75" customHeight="1">
      <c r="A55652" s="7"/>
      <c r="B55652" s="7"/>
    </row>
    <row r="55653" ht="15.75" customHeight="1">
      <c r="A55653" s="7"/>
      <c r="B55653" s="7"/>
    </row>
    <row r="55654" ht="15.75" customHeight="1">
      <c r="A55654" s="7"/>
      <c r="B55654" s="7"/>
    </row>
    <row r="55655" ht="15.75" customHeight="1">
      <c r="A55655" s="7"/>
      <c r="B55655" s="7"/>
    </row>
    <row r="55656" ht="15.75" customHeight="1">
      <c r="A55656" s="7"/>
      <c r="B55656" s="7"/>
    </row>
    <row r="55657" ht="15.75" customHeight="1">
      <c r="A55657" s="7"/>
      <c r="B55657" s="7"/>
    </row>
    <row r="55658" ht="15.75" customHeight="1">
      <c r="A55658" s="7"/>
      <c r="B55658" s="7"/>
    </row>
    <row r="55659" ht="15.75" customHeight="1">
      <c r="A55659" s="7"/>
      <c r="B55659" s="7"/>
    </row>
    <row r="55660" ht="15.75" customHeight="1">
      <c r="A55660" s="7"/>
      <c r="B55660" s="7"/>
    </row>
    <row r="55661" ht="15.75" customHeight="1">
      <c r="A55661" s="7"/>
      <c r="B55661" s="7"/>
    </row>
    <row r="55662" ht="15.75" customHeight="1">
      <c r="A55662" s="7"/>
      <c r="B55662" s="7"/>
    </row>
    <row r="55663" ht="15.75" customHeight="1">
      <c r="A55663" s="7"/>
      <c r="B55663" s="7"/>
    </row>
    <row r="55664" ht="15.75" customHeight="1">
      <c r="A55664" s="7"/>
      <c r="B55664" s="7"/>
    </row>
    <row r="55665" ht="15.75" customHeight="1">
      <c r="A55665" s="7"/>
      <c r="B55665" s="7"/>
    </row>
    <row r="55666" ht="15.75" customHeight="1">
      <c r="A55666" s="7"/>
      <c r="B55666" s="7"/>
    </row>
    <row r="55667" ht="15.75" customHeight="1">
      <c r="A55667" s="7"/>
      <c r="B55667" s="7"/>
    </row>
    <row r="55668" ht="15.75" customHeight="1">
      <c r="A55668" s="7"/>
      <c r="B55668" s="7"/>
    </row>
    <row r="55669" ht="15.75" customHeight="1">
      <c r="A55669" s="7"/>
      <c r="B55669" s="7"/>
    </row>
    <row r="55670" ht="15.75" customHeight="1">
      <c r="A55670" s="7"/>
      <c r="B55670" s="7"/>
    </row>
    <row r="55671" ht="15.75" customHeight="1">
      <c r="A55671" s="7"/>
      <c r="B55671" s="7"/>
    </row>
    <row r="55672" ht="15.75" customHeight="1">
      <c r="A55672" s="7"/>
      <c r="B55672" s="7"/>
    </row>
    <row r="55673" ht="15.75" customHeight="1">
      <c r="A55673" s="7"/>
      <c r="B55673" s="7"/>
    </row>
    <row r="55674" ht="15.75" customHeight="1">
      <c r="A55674" s="7"/>
      <c r="B55674" s="7"/>
    </row>
    <row r="55675" ht="15.75" customHeight="1">
      <c r="A55675" s="7"/>
      <c r="B55675" s="7"/>
    </row>
    <row r="55676" ht="15.75" customHeight="1">
      <c r="A55676" s="7"/>
      <c r="B55676" s="7"/>
    </row>
    <row r="55677" ht="15.75" customHeight="1">
      <c r="A55677" s="7"/>
      <c r="B55677" s="7"/>
    </row>
    <row r="55678" ht="15.75" customHeight="1">
      <c r="A55678" s="7"/>
      <c r="B55678" s="7"/>
    </row>
    <row r="55679" ht="15.75" customHeight="1">
      <c r="A55679" s="7"/>
      <c r="B55679" s="7"/>
    </row>
    <row r="55680" ht="15.75" customHeight="1">
      <c r="A55680" s="7"/>
      <c r="B55680" s="7"/>
    </row>
    <row r="55681" ht="15.75" customHeight="1">
      <c r="A55681" s="7"/>
      <c r="B55681" s="7"/>
    </row>
    <row r="55682" ht="15.75" customHeight="1">
      <c r="A55682" s="7"/>
      <c r="B55682" s="7"/>
    </row>
    <row r="55683" ht="15.75" customHeight="1">
      <c r="A55683" s="7"/>
      <c r="B55683" s="7"/>
    </row>
    <row r="55684" ht="15.75" customHeight="1">
      <c r="A55684" s="7"/>
      <c r="B55684" s="7"/>
    </row>
    <row r="55685" ht="15.75" customHeight="1">
      <c r="A55685" s="7"/>
      <c r="B55685" s="7"/>
    </row>
    <row r="55686" ht="15.75" customHeight="1">
      <c r="A55686" s="7"/>
      <c r="B55686" s="7"/>
    </row>
    <row r="55687" ht="15.75" customHeight="1">
      <c r="A55687" s="7"/>
      <c r="B55687" s="7"/>
    </row>
    <row r="55688" ht="15.75" customHeight="1">
      <c r="A55688" s="7"/>
      <c r="B55688" s="7"/>
    </row>
    <row r="55689" ht="15.75" customHeight="1">
      <c r="A55689" s="7"/>
      <c r="B55689" s="7"/>
    </row>
    <row r="55690" ht="15.75" customHeight="1">
      <c r="A55690" s="7"/>
      <c r="B55690" s="7"/>
    </row>
    <row r="55691" ht="15.75" customHeight="1">
      <c r="A55691" s="7"/>
      <c r="B55691" s="7"/>
    </row>
    <row r="55692" ht="15.75" customHeight="1">
      <c r="A55692" s="7"/>
      <c r="B55692" s="7"/>
    </row>
    <row r="55693" ht="15.75" customHeight="1">
      <c r="A55693" s="7"/>
      <c r="B55693" s="7"/>
    </row>
    <row r="55694" ht="15.75" customHeight="1">
      <c r="A55694" s="7"/>
      <c r="B55694" s="7"/>
    </row>
    <row r="55695" ht="15.75" customHeight="1">
      <c r="A55695" s="7"/>
      <c r="B55695" s="7"/>
    </row>
    <row r="55696" ht="15.75" customHeight="1">
      <c r="A55696" s="7"/>
      <c r="B55696" s="7"/>
    </row>
    <row r="55697" ht="15.75" customHeight="1">
      <c r="A55697" s="7"/>
      <c r="B55697" s="7"/>
    </row>
    <row r="55698" ht="15.75" customHeight="1">
      <c r="A55698" s="7"/>
      <c r="B55698" s="7"/>
    </row>
    <row r="55699" ht="15.75" customHeight="1">
      <c r="A55699" s="7"/>
      <c r="B55699" s="7"/>
    </row>
    <row r="55700" ht="15.75" customHeight="1">
      <c r="A55700" s="7"/>
      <c r="B55700" s="7"/>
    </row>
    <row r="55701" ht="15.75" customHeight="1">
      <c r="A55701" s="7"/>
      <c r="B55701" s="7"/>
    </row>
    <row r="55702" ht="15.75" customHeight="1">
      <c r="A55702" s="7"/>
      <c r="B55702" s="7"/>
    </row>
    <row r="55703" ht="15.75" customHeight="1">
      <c r="A55703" s="7"/>
      <c r="B55703" s="7"/>
    </row>
    <row r="55704" ht="15.75" customHeight="1">
      <c r="A55704" s="7"/>
      <c r="B55704" s="7"/>
    </row>
    <row r="55705" ht="15.75" customHeight="1">
      <c r="A55705" s="7"/>
      <c r="B55705" s="7"/>
    </row>
    <row r="55706" ht="15.75" customHeight="1">
      <c r="A55706" s="7"/>
      <c r="B55706" s="7"/>
    </row>
    <row r="55707" ht="15.75" customHeight="1">
      <c r="A55707" s="7"/>
      <c r="B55707" s="7"/>
    </row>
    <row r="55708" ht="15.75" customHeight="1">
      <c r="A55708" s="7"/>
      <c r="B55708" s="7"/>
    </row>
    <row r="55709" ht="15.75" customHeight="1">
      <c r="A55709" s="7"/>
      <c r="B55709" s="7"/>
    </row>
    <row r="55710" ht="15.75" customHeight="1">
      <c r="A55710" s="7"/>
      <c r="B55710" s="7"/>
    </row>
    <row r="55711" ht="15.75" customHeight="1">
      <c r="A55711" s="7"/>
      <c r="B55711" s="7"/>
    </row>
    <row r="55712" ht="15.75" customHeight="1">
      <c r="A55712" s="7"/>
      <c r="B55712" s="7"/>
    </row>
    <row r="55713" ht="15.75" customHeight="1">
      <c r="A55713" s="7"/>
      <c r="B55713" s="7"/>
    </row>
    <row r="55714" ht="15.75" customHeight="1">
      <c r="A55714" s="7"/>
      <c r="B55714" s="7"/>
    </row>
    <row r="55715" ht="15.75" customHeight="1">
      <c r="A55715" s="7"/>
      <c r="B55715" s="7"/>
    </row>
    <row r="55716" ht="15.75" customHeight="1">
      <c r="A55716" s="7"/>
      <c r="B55716" s="7"/>
    </row>
    <row r="55717" ht="15.75" customHeight="1">
      <c r="A55717" s="7"/>
      <c r="B55717" s="7"/>
    </row>
    <row r="55718" ht="15.75" customHeight="1">
      <c r="A55718" s="7"/>
      <c r="B55718" s="7"/>
    </row>
    <row r="55719" ht="15.75" customHeight="1">
      <c r="A55719" s="7"/>
      <c r="B55719" s="7"/>
    </row>
    <row r="55720" ht="15.75" customHeight="1">
      <c r="A55720" s="7"/>
      <c r="B55720" s="7"/>
    </row>
    <row r="55721" ht="15.75" customHeight="1">
      <c r="A55721" s="7"/>
      <c r="B55721" s="7"/>
    </row>
    <row r="55722" ht="15.75" customHeight="1">
      <c r="A55722" s="7"/>
      <c r="B55722" s="7"/>
    </row>
    <row r="55723" ht="15.75" customHeight="1">
      <c r="A55723" s="7"/>
      <c r="B55723" s="7"/>
    </row>
    <row r="55724" ht="15.75" customHeight="1">
      <c r="A55724" s="7"/>
      <c r="B55724" s="7"/>
    </row>
    <row r="55725" ht="15.75" customHeight="1">
      <c r="A55725" s="7"/>
      <c r="B55725" s="7"/>
    </row>
    <row r="55726" ht="15.75" customHeight="1">
      <c r="A55726" s="7"/>
      <c r="B55726" s="7"/>
    </row>
    <row r="55727" ht="15.75" customHeight="1">
      <c r="A55727" s="7"/>
      <c r="B55727" s="7"/>
    </row>
    <row r="55728" ht="15.75" customHeight="1">
      <c r="A55728" s="7"/>
      <c r="B55728" s="7"/>
    </row>
    <row r="55729" ht="15.75" customHeight="1">
      <c r="A55729" s="7"/>
      <c r="B55729" s="7"/>
    </row>
    <row r="55730" ht="15.75" customHeight="1">
      <c r="A55730" s="7"/>
      <c r="B55730" s="7"/>
    </row>
    <row r="55731" ht="15.75" customHeight="1">
      <c r="A55731" s="7"/>
      <c r="B55731" s="7"/>
    </row>
    <row r="55732" ht="15.75" customHeight="1">
      <c r="A55732" s="7"/>
      <c r="B55732" s="7"/>
    </row>
    <row r="55733" ht="15.75" customHeight="1">
      <c r="A55733" s="7"/>
      <c r="B55733" s="7"/>
    </row>
    <row r="55734" ht="15.75" customHeight="1">
      <c r="A55734" s="7"/>
      <c r="B55734" s="7"/>
    </row>
    <row r="55735" ht="15.75" customHeight="1">
      <c r="A55735" s="7"/>
      <c r="B55735" s="7"/>
    </row>
    <row r="55736" ht="15.75" customHeight="1">
      <c r="A55736" s="7"/>
      <c r="B55736" s="7"/>
    </row>
    <row r="55737" ht="15.75" customHeight="1">
      <c r="A55737" s="7"/>
      <c r="B55737" s="7"/>
    </row>
    <row r="55738" ht="15.75" customHeight="1">
      <c r="A55738" s="7"/>
      <c r="B55738" s="7"/>
    </row>
    <row r="55739" ht="15.75" customHeight="1">
      <c r="A55739" s="7"/>
      <c r="B55739" s="7"/>
    </row>
    <row r="55740" ht="15.75" customHeight="1">
      <c r="A55740" s="7"/>
      <c r="B55740" s="7"/>
    </row>
    <row r="55741" ht="15.75" customHeight="1">
      <c r="A55741" s="7"/>
      <c r="B55741" s="7"/>
    </row>
    <row r="55742" ht="15.75" customHeight="1">
      <c r="A55742" s="7"/>
      <c r="B55742" s="7"/>
    </row>
    <row r="55743" ht="15.75" customHeight="1">
      <c r="A55743" s="7"/>
      <c r="B55743" s="7"/>
    </row>
    <row r="55744" ht="15.75" customHeight="1">
      <c r="A55744" s="7"/>
      <c r="B55744" s="7"/>
    </row>
    <row r="55745" ht="15.75" customHeight="1">
      <c r="A55745" s="7"/>
      <c r="B55745" s="7"/>
    </row>
    <row r="55746" ht="15.75" customHeight="1">
      <c r="A55746" s="7"/>
      <c r="B55746" s="7"/>
    </row>
    <row r="55747" ht="15.75" customHeight="1">
      <c r="A55747" s="7"/>
      <c r="B55747" s="7"/>
    </row>
    <row r="55748" ht="15.75" customHeight="1">
      <c r="A55748" s="7"/>
      <c r="B55748" s="7"/>
    </row>
    <row r="55749" ht="15.75" customHeight="1">
      <c r="A55749" s="7"/>
      <c r="B55749" s="7"/>
    </row>
    <row r="55750" ht="15.75" customHeight="1">
      <c r="A55750" s="7"/>
      <c r="B55750" s="7"/>
    </row>
    <row r="55751" ht="15.75" customHeight="1">
      <c r="A55751" s="7"/>
      <c r="B55751" s="7"/>
    </row>
    <row r="55752" ht="15.75" customHeight="1">
      <c r="A55752" s="7"/>
      <c r="B55752" s="7"/>
    </row>
    <row r="55753" ht="15.75" customHeight="1">
      <c r="A55753" s="7"/>
      <c r="B55753" s="7"/>
    </row>
    <row r="55754" ht="15.75" customHeight="1">
      <c r="A55754" s="7"/>
      <c r="B55754" s="7"/>
    </row>
    <row r="55755" ht="15.75" customHeight="1">
      <c r="A55755" s="7"/>
      <c r="B55755" s="7"/>
    </row>
    <row r="55756" ht="15.75" customHeight="1">
      <c r="A55756" s="7"/>
      <c r="B55756" s="7"/>
    </row>
    <row r="55757" ht="15.75" customHeight="1">
      <c r="A55757" s="7"/>
      <c r="B55757" s="7"/>
    </row>
    <row r="55758" ht="15.75" customHeight="1">
      <c r="A55758" s="7"/>
      <c r="B55758" s="7"/>
    </row>
    <row r="55759" ht="15.75" customHeight="1">
      <c r="A55759" s="7"/>
      <c r="B55759" s="7"/>
    </row>
    <row r="55760" ht="15.75" customHeight="1">
      <c r="A55760" s="7"/>
      <c r="B55760" s="7"/>
    </row>
    <row r="55761" ht="15.75" customHeight="1">
      <c r="A55761" s="7"/>
      <c r="B55761" s="7"/>
    </row>
    <row r="55762" ht="15.75" customHeight="1">
      <c r="A55762" s="7"/>
      <c r="B55762" s="7"/>
    </row>
    <row r="55763" ht="15.75" customHeight="1">
      <c r="A55763" s="7"/>
      <c r="B55763" s="7"/>
    </row>
    <row r="55764" ht="15.75" customHeight="1">
      <c r="A55764" s="7"/>
      <c r="B55764" s="7"/>
    </row>
    <row r="55765" ht="15.75" customHeight="1">
      <c r="A55765" s="7"/>
      <c r="B55765" s="7"/>
    </row>
    <row r="55766" ht="15.75" customHeight="1">
      <c r="A55766" s="7"/>
      <c r="B55766" s="7"/>
    </row>
    <row r="55767" ht="15.75" customHeight="1">
      <c r="A55767" s="7"/>
      <c r="B55767" s="7"/>
    </row>
    <row r="55768" ht="15.75" customHeight="1">
      <c r="A55768" s="7"/>
      <c r="B55768" s="7"/>
    </row>
    <row r="55769" ht="15.75" customHeight="1">
      <c r="A55769" s="7"/>
      <c r="B55769" s="7"/>
    </row>
    <row r="55770" ht="15.75" customHeight="1">
      <c r="A55770" s="7"/>
      <c r="B55770" s="7"/>
    </row>
    <row r="55771" ht="15.75" customHeight="1">
      <c r="A55771" s="7"/>
      <c r="B55771" s="7"/>
    </row>
    <row r="55772" ht="15.75" customHeight="1">
      <c r="A55772" s="7"/>
      <c r="B55772" s="7"/>
    </row>
    <row r="55773" ht="15.75" customHeight="1">
      <c r="A55773" s="7"/>
      <c r="B55773" s="7"/>
    </row>
    <row r="55774" ht="15.75" customHeight="1">
      <c r="A55774" s="7"/>
      <c r="B55774" s="7"/>
    </row>
    <row r="55775" ht="15.75" customHeight="1">
      <c r="A55775" s="7"/>
      <c r="B55775" s="7"/>
    </row>
    <row r="55776" ht="15.75" customHeight="1">
      <c r="A55776" s="7"/>
      <c r="B55776" s="7"/>
    </row>
    <row r="55777" ht="15.75" customHeight="1">
      <c r="A55777" s="7"/>
      <c r="B55777" s="7"/>
    </row>
    <row r="55778" ht="15.75" customHeight="1">
      <c r="A55778" s="7"/>
      <c r="B55778" s="7"/>
    </row>
    <row r="55779" ht="15.75" customHeight="1">
      <c r="A55779" s="7"/>
      <c r="B55779" s="7"/>
    </row>
    <row r="55780" ht="15.75" customHeight="1">
      <c r="A55780" s="7"/>
      <c r="B55780" s="7"/>
    </row>
    <row r="55781" ht="15.75" customHeight="1">
      <c r="A55781" s="7"/>
      <c r="B55781" s="7"/>
    </row>
    <row r="55782" ht="15.75" customHeight="1">
      <c r="A55782" s="7"/>
      <c r="B55782" s="7"/>
    </row>
    <row r="55783" ht="15.75" customHeight="1">
      <c r="A55783" s="7"/>
      <c r="B55783" s="7"/>
    </row>
    <row r="55784" ht="15.75" customHeight="1">
      <c r="A55784" s="7"/>
      <c r="B55784" s="7"/>
    </row>
    <row r="55785" ht="15.75" customHeight="1">
      <c r="A55785" s="7"/>
      <c r="B55785" s="7"/>
    </row>
    <row r="55786" ht="15.75" customHeight="1">
      <c r="A55786" s="7"/>
      <c r="B55786" s="7"/>
    </row>
    <row r="55787" ht="15.75" customHeight="1">
      <c r="A55787" s="7"/>
      <c r="B55787" s="7"/>
    </row>
    <row r="55788" ht="15.75" customHeight="1">
      <c r="A55788" s="7"/>
      <c r="B55788" s="7"/>
    </row>
    <row r="55789" ht="15.75" customHeight="1">
      <c r="A55789" s="7"/>
      <c r="B55789" s="7"/>
    </row>
    <row r="55790" ht="15.75" customHeight="1">
      <c r="A55790" s="7"/>
      <c r="B55790" s="7"/>
    </row>
    <row r="55791" ht="15.75" customHeight="1">
      <c r="A55791" s="7"/>
      <c r="B55791" s="7"/>
    </row>
    <row r="55792" ht="15.75" customHeight="1">
      <c r="A55792" s="7"/>
      <c r="B55792" s="7"/>
    </row>
    <row r="55793" ht="15.75" customHeight="1">
      <c r="A55793" s="7"/>
      <c r="B55793" s="7"/>
    </row>
    <row r="55794" ht="15.75" customHeight="1">
      <c r="A55794" s="7"/>
      <c r="B55794" s="7"/>
    </row>
    <row r="55795" ht="15.75" customHeight="1">
      <c r="A55795" s="7"/>
      <c r="B55795" s="7"/>
    </row>
    <row r="55796" ht="15.75" customHeight="1">
      <c r="A55796" s="7"/>
      <c r="B55796" s="7"/>
    </row>
    <row r="55797" ht="15.75" customHeight="1">
      <c r="A55797" s="7"/>
      <c r="B55797" s="7"/>
    </row>
    <row r="55798" ht="15.75" customHeight="1">
      <c r="A55798" s="7"/>
      <c r="B55798" s="7"/>
    </row>
    <row r="55799" ht="15.75" customHeight="1">
      <c r="A55799" s="7"/>
      <c r="B55799" s="7"/>
    </row>
    <row r="55800" ht="15.75" customHeight="1">
      <c r="A55800" s="7"/>
      <c r="B55800" s="7"/>
    </row>
    <row r="55801" ht="15.75" customHeight="1">
      <c r="A55801" s="7"/>
      <c r="B55801" s="7"/>
    </row>
    <row r="55802" ht="15.75" customHeight="1">
      <c r="A55802" s="7"/>
      <c r="B55802" s="7"/>
    </row>
    <row r="55803" ht="15.75" customHeight="1">
      <c r="A55803" s="7"/>
      <c r="B55803" s="7"/>
    </row>
    <row r="55804" ht="15.75" customHeight="1">
      <c r="A55804" s="7"/>
      <c r="B55804" s="7"/>
    </row>
    <row r="55805" ht="15.75" customHeight="1">
      <c r="A55805" s="7"/>
      <c r="B55805" s="7"/>
    </row>
    <row r="55806" ht="15.75" customHeight="1">
      <c r="A55806" s="7"/>
      <c r="B55806" s="7"/>
    </row>
    <row r="55807" ht="15.75" customHeight="1">
      <c r="A55807" s="7"/>
      <c r="B55807" s="7"/>
    </row>
    <row r="55808" ht="15.75" customHeight="1">
      <c r="A55808" s="7"/>
      <c r="B55808" s="7"/>
    </row>
    <row r="55809" ht="15.75" customHeight="1">
      <c r="A55809" s="7"/>
      <c r="B55809" s="7"/>
    </row>
    <row r="55810" ht="15.75" customHeight="1">
      <c r="A55810" s="7"/>
      <c r="B55810" s="7"/>
    </row>
    <row r="55811" ht="15.75" customHeight="1">
      <c r="A55811" s="7"/>
      <c r="B55811" s="7"/>
    </row>
    <row r="55812" ht="15.75" customHeight="1">
      <c r="A55812" s="7"/>
      <c r="B55812" s="7"/>
    </row>
    <row r="55813" ht="15.75" customHeight="1">
      <c r="A55813" s="7"/>
      <c r="B55813" s="7"/>
    </row>
    <row r="55814" ht="15.75" customHeight="1">
      <c r="A55814" s="7"/>
      <c r="B55814" s="7"/>
    </row>
    <row r="55815" ht="15.75" customHeight="1">
      <c r="A55815" s="7"/>
      <c r="B55815" s="7"/>
    </row>
    <row r="55816" ht="15.75" customHeight="1">
      <c r="A55816" s="7"/>
      <c r="B55816" s="7"/>
    </row>
    <row r="55817" ht="15.75" customHeight="1">
      <c r="A55817" s="7"/>
      <c r="B55817" s="7"/>
    </row>
    <row r="55818" ht="15.75" customHeight="1">
      <c r="A55818" s="7"/>
      <c r="B55818" s="7"/>
    </row>
    <row r="55819" ht="15.75" customHeight="1">
      <c r="A55819" s="7"/>
      <c r="B55819" s="7"/>
    </row>
    <row r="55820" ht="15.75" customHeight="1">
      <c r="A55820" s="7"/>
      <c r="B55820" s="7"/>
    </row>
    <row r="55821" ht="15.75" customHeight="1">
      <c r="A55821" s="7"/>
      <c r="B55821" s="7"/>
    </row>
    <row r="55822" ht="15.75" customHeight="1">
      <c r="A55822" s="7"/>
      <c r="B55822" s="7"/>
    </row>
    <row r="55823" ht="15.75" customHeight="1">
      <c r="A55823" s="7"/>
      <c r="B55823" s="7"/>
    </row>
    <row r="55824" ht="15.75" customHeight="1">
      <c r="A55824" s="7"/>
      <c r="B55824" s="7"/>
    </row>
    <row r="55825" ht="15.75" customHeight="1">
      <c r="A55825" s="7"/>
      <c r="B55825" s="7"/>
    </row>
    <row r="55826" ht="15.75" customHeight="1">
      <c r="A55826" s="7"/>
      <c r="B55826" s="7"/>
    </row>
    <row r="55827" ht="15.75" customHeight="1">
      <c r="A55827" s="7"/>
      <c r="B55827" s="7"/>
    </row>
    <row r="55828" ht="15.75" customHeight="1">
      <c r="A55828" s="7"/>
      <c r="B55828" s="7"/>
    </row>
    <row r="55829" ht="15.75" customHeight="1">
      <c r="A55829" s="7"/>
      <c r="B55829" s="7"/>
    </row>
    <row r="55830" ht="15.75" customHeight="1">
      <c r="A55830" s="7"/>
      <c r="B55830" s="7"/>
    </row>
    <row r="55831" ht="15.75" customHeight="1">
      <c r="A55831" s="7"/>
      <c r="B55831" s="7"/>
    </row>
    <row r="55832" ht="15.75" customHeight="1">
      <c r="A55832" s="7"/>
      <c r="B55832" s="7"/>
    </row>
    <row r="55833" ht="15.75" customHeight="1">
      <c r="A55833" s="7"/>
      <c r="B55833" s="7"/>
    </row>
    <row r="55834" ht="15.75" customHeight="1">
      <c r="A55834" s="7"/>
      <c r="B55834" s="7"/>
    </row>
    <row r="55835" ht="15.75" customHeight="1">
      <c r="A55835" s="7"/>
      <c r="B55835" s="7"/>
    </row>
    <row r="55836" ht="15.75" customHeight="1">
      <c r="A55836" s="7"/>
      <c r="B55836" s="7"/>
    </row>
    <row r="55837" ht="15.75" customHeight="1">
      <c r="A55837" s="7"/>
      <c r="B55837" s="7"/>
    </row>
    <row r="55838" ht="15.75" customHeight="1">
      <c r="A55838" s="7"/>
      <c r="B55838" s="7"/>
    </row>
    <row r="55839" ht="15.75" customHeight="1">
      <c r="A55839" s="7"/>
      <c r="B55839" s="7"/>
    </row>
    <row r="55840" ht="15.75" customHeight="1">
      <c r="A55840" s="7"/>
      <c r="B55840" s="7"/>
    </row>
    <row r="55841" ht="15.75" customHeight="1">
      <c r="A55841" s="7"/>
      <c r="B55841" s="7"/>
    </row>
    <row r="55842" ht="15.75" customHeight="1">
      <c r="A55842" s="7"/>
      <c r="B55842" s="7"/>
    </row>
    <row r="55843" ht="15.75" customHeight="1">
      <c r="A55843" s="7"/>
      <c r="B55843" s="7"/>
    </row>
    <row r="55844" ht="15.75" customHeight="1">
      <c r="A55844" s="7"/>
      <c r="B55844" s="7"/>
    </row>
    <row r="55845" ht="15.75" customHeight="1">
      <c r="A55845" s="7"/>
      <c r="B55845" s="7"/>
    </row>
    <row r="55846" ht="15.75" customHeight="1">
      <c r="A55846" s="7"/>
      <c r="B55846" s="7"/>
    </row>
    <row r="55847" ht="15.75" customHeight="1">
      <c r="A55847" s="7"/>
      <c r="B55847" s="7"/>
    </row>
    <row r="55848" ht="15.75" customHeight="1">
      <c r="A55848" s="7"/>
      <c r="B55848" s="7"/>
    </row>
    <row r="55849" ht="15.75" customHeight="1">
      <c r="A55849" s="7"/>
      <c r="B55849" s="7"/>
    </row>
    <row r="55850" ht="15.75" customHeight="1">
      <c r="A55850" s="7"/>
      <c r="B55850" s="7"/>
    </row>
    <row r="55851" ht="15.75" customHeight="1">
      <c r="A55851" s="7"/>
      <c r="B55851" s="7"/>
    </row>
    <row r="55852" ht="15.75" customHeight="1">
      <c r="A55852" s="7"/>
      <c r="B55852" s="7"/>
    </row>
    <row r="55853" ht="15.75" customHeight="1">
      <c r="A55853" s="7"/>
      <c r="B55853" s="7"/>
    </row>
    <row r="55854" ht="15.75" customHeight="1">
      <c r="A55854" s="7"/>
      <c r="B55854" s="7"/>
    </row>
    <row r="55855" ht="15.75" customHeight="1">
      <c r="A55855" s="7"/>
      <c r="B55855" s="7"/>
    </row>
    <row r="55856" ht="15.75" customHeight="1">
      <c r="A55856" s="7"/>
      <c r="B55856" s="7"/>
    </row>
    <row r="55857" ht="15.75" customHeight="1">
      <c r="A55857" s="7"/>
      <c r="B55857" s="7"/>
    </row>
    <row r="55858" ht="15.75" customHeight="1">
      <c r="A55858" s="7"/>
      <c r="B55858" s="7"/>
    </row>
    <row r="55859" ht="15.75" customHeight="1">
      <c r="A55859" s="7"/>
      <c r="B55859" s="7"/>
    </row>
    <row r="55860" ht="15.75" customHeight="1">
      <c r="A55860" s="7"/>
      <c r="B55860" s="7"/>
    </row>
    <row r="55861" ht="15.75" customHeight="1">
      <c r="A55861" s="7"/>
      <c r="B55861" s="7"/>
    </row>
    <row r="55862" ht="15.75" customHeight="1">
      <c r="A55862" s="7"/>
      <c r="B55862" s="7"/>
    </row>
    <row r="55863" ht="15.75" customHeight="1">
      <c r="A55863" s="7"/>
      <c r="B55863" s="7"/>
    </row>
    <row r="55864" ht="15.75" customHeight="1">
      <c r="A55864" s="7"/>
      <c r="B55864" s="7"/>
    </row>
    <row r="55865" ht="15.75" customHeight="1">
      <c r="A55865" s="7"/>
      <c r="B55865" s="7"/>
    </row>
    <row r="55866" ht="15.75" customHeight="1">
      <c r="A55866" s="7"/>
      <c r="B55866" s="7"/>
    </row>
    <row r="55867" ht="15.75" customHeight="1">
      <c r="A55867" s="7"/>
      <c r="B55867" s="7"/>
    </row>
    <row r="55868" ht="15.75" customHeight="1">
      <c r="A55868" s="7"/>
      <c r="B55868" s="7"/>
    </row>
    <row r="55869" ht="15.75" customHeight="1">
      <c r="A55869" s="7"/>
      <c r="B55869" s="7"/>
    </row>
    <row r="55870" ht="15.75" customHeight="1">
      <c r="A55870" s="7"/>
      <c r="B55870" s="7"/>
    </row>
    <row r="55871" ht="15.75" customHeight="1">
      <c r="A55871" s="7"/>
      <c r="B55871" s="7"/>
    </row>
    <row r="55872" ht="15.75" customHeight="1">
      <c r="A55872" s="7"/>
      <c r="B55872" s="7"/>
    </row>
    <row r="55873" ht="15.75" customHeight="1">
      <c r="A55873" s="7"/>
      <c r="B55873" s="7"/>
    </row>
    <row r="55874" ht="15.75" customHeight="1">
      <c r="A55874" s="7"/>
      <c r="B55874" s="7"/>
    </row>
    <row r="55875" ht="15.75" customHeight="1">
      <c r="A55875" s="7"/>
      <c r="B55875" s="7"/>
    </row>
    <row r="55876" ht="15.75" customHeight="1">
      <c r="A55876" s="7"/>
      <c r="B55876" s="7"/>
    </row>
    <row r="55877" ht="15.75" customHeight="1">
      <c r="A55877" s="7"/>
      <c r="B55877" s="7"/>
    </row>
    <row r="55878" ht="15.75" customHeight="1">
      <c r="A55878" s="7"/>
      <c r="B55878" s="7"/>
    </row>
    <row r="55879" ht="15.75" customHeight="1">
      <c r="A55879" s="7"/>
      <c r="B55879" s="7"/>
    </row>
    <row r="55880" ht="15.75" customHeight="1">
      <c r="A55880" s="7"/>
      <c r="B55880" s="7"/>
    </row>
    <row r="55881" ht="15.75" customHeight="1">
      <c r="A55881" s="7"/>
      <c r="B55881" s="7"/>
    </row>
    <row r="55882" ht="15.75" customHeight="1">
      <c r="A55882" s="7"/>
      <c r="B55882" s="7"/>
    </row>
    <row r="55883" ht="15.75" customHeight="1">
      <c r="A55883" s="7"/>
      <c r="B55883" s="7"/>
    </row>
    <row r="55884" ht="15.75" customHeight="1">
      <c r="A55884" s="7"/>
      <c r="B55884" s="7"/>
    </row>
    <row r="55885" ht="15.75" customHeight="1">
      <c r="A55885" s="7"/>
      <c r="B55885" s="7"/>
    </row>
    <row r="55886" ht="15.75" customHeight="1">
      <c r="A55886" s="7"/>
      <c r="B55886" s="7"/>
    </row>
    <row r="55887" ht="15.75" customHeight="1">
      <c r="A55887" s="7"/>
      <c r="B55887" s="7"/>
    </row>
    <row r="55888" ht="15.75" customHeight="1">
      <c r="A55888" s="7"/>
      <c r="B55888" s="7"/>
    </row>
    <row r="55889" ht="15.75" customHeight="1">
      <c r="A55889" s="7"/>
      <c r="B55889" s="7"/>
    </row>
    <row r="55890" ht="15.75" customHeight="1">
      <c r="A55890" s="7"/>
      <c r="B55890" s="7"/>
    </row>
    <row r="55891" ht="15.75" customHeight="1">
      <c r="A55891" s="7"/>
      <c r="B55891" s="7"/>
    </row>
    <row r="55892" ht="15.75" customHeight="1">
      <c r="A55892" s="7"/>
      <c r="B55892" s="7"/>
    </row>
    <row r="55893" ht="15.75" customHeight="1">
      <c r="A55893" s="7"/>
      <c r="B55893" s="7"/>
    </row>
    <row r="55894" ht="15.75" customHeight="1">
      <c r="A55894" s="7"/>
      <c r="B55894" s="7"/>
    </row>
    <row r="55895" ht="15.75" customHeight="1">
      <c r="A55895" s="7"/>
      <c r="B55895" s="7"/>
    </row>
    <row r="55896" ht="15.75" customHeight="1">
      <c r="A55896" s="7"/>
      <c r="B55896" s="7"/>
    </row>
    <row r="55897" ht="15.75" customHeight="1">
      <c r="A55897" s="7"/>
      <c r="B55897" s="7"/>
    </row>
    <row r="55898" ht="15.75" customHeight="1">
      <c r="A55898" s="7"/>
      <c r="B55898" s="7"/>
    </row>
    <row r="55899" ht="15.75" customHeight="1">
      <c r="A55899" s="7"/>
      <c r="B55899" s="7"/>
    </row>
    <row r="55900" ht="15.75" customHeight="1">
      <c r="A55900" s="7"/>
      <c r="B55900" s="7"/>
    </row>
    <row r="55901" ht="15.75" customHeight="1">
      <c r="A55901" s="7"/>
      <c r="B55901" s="7"/>
    </row>
    <row r="55902" ht="15.75" customHeight="1">
      <c r="A55902" s="7"/>
      <c r="B55902" s="7"/>
    </row>
    <row r="55903" ht="15.75" customHeight="1">
      <c r="A55903" s="7"/>
      <c r="B55903" s="7"/>
    </row>
    <row r="55904" ht="15.75" customHeight="1">
      <c r="A55904" s="7"/>
      <c r="B55904" s="7"/>
    </row>
    <row r="55905" ht="15.75" customHeight="1">
      <c r="A55905" s="7"/>
      <c r="B55905" s="7"/>
    </row>
    <row r="55906" ht="15.75" customHeight="1">
      <c r="A55906" s="7"/>
      <c r="B55906" s="7"/>
    </row>
    <row r="55907" ht="15.75" customHeight="1">
      <c r="A55907" s="7"/>
      <c r="B55907" s="7"/>
    </row>
    <row r="55908" ht="15.75" customHeight="1">
      <c r="A55908" s="7"/>
      <c r="B55908" s="7"/>
    </row>
    <row r="55909" ht="15.75" customHeight="1">
      <c r="A55909" s="7"/>
      <c r="B55909" s="7"/>
    </row>
    <row r="55910" ht="15.75" customHeight="1">
      <c r="A55910" s="7"/>
      <c r="B55910" s="7"/>
    </row>
    <row r="55911" ht="15.75" customHeight="1">
      <c r="A55911" s="7"/>
      <c r="B55911" s="7"/>
    </row>
    <row r="55912" ht="15.75" customHeight="1">
      <c r="A55912" s="7"/>
      <c r="B55912" s="7"/>
    </row>
    <row r="55913" ht="15.75" customHeight="1">
      <c r="A55913" s="7"/>
      <c r="B55913" s="7"/>
    </row>
    <row r="55914" ht="15.75" customHeight="1">
      <c r="A55914" s="7"/>
      <c r="B55914" s="7"/>
    </row>
    <row r="55915" ht="15.75" customHeight="1">
      <c r="A55915" s="7"/>
      <c r="B55915" s="7"/>
    </row>
    <row r="55916" ht="15.75" customHeight="1">
      <c r="A55916" s="7"/>
      <c r="B55916" s="7"/>
    </row>
    <row r="55917" ht="15.75" customHeight="1">
      <c r="A55917" s="7"/>
      <c r="B55917" s="7"/>
    </row>
    <row r="55918" ht="15.75" customHeight="1">
      <c r="A55918" s="7"/>
      <c r="B55918" s="7"/>
    </row>
    <row r="55919" ht="15.75" customHeight="1">
      <c r="A55919" s="7"/>
      <c r="B55919" s="7"/>
    </row>
    <row r="55920" ht="15.75" customHeight="1">
      <c r="A55920" s="7"/>
      <c r="B55920" s="7"/>
    </row>
    <row r="55921" ht="15.75" customHeight="1">
      <c r="A55921" s="7"/>
      <c r="B55921" s="7"/>
    </row>
    <row r="55922" ht="15.75" customHeight="1">
      <c r="A55922" s="7"/>
      <c r="B55922" s="7"/>
    </row>
    <row r="55923" ht="15.75" customHeight="1">
      <c r="A55923" s="7"/>
      <c r="B55923" s="7"/>
    </row>
    <row r="55924" ht="15.75" customHeight="1">
      <c r="A55924" s="7"/>
      <c r="B55924" s="7"/>
    </row>
    <row r="55925" ht="15.75" customHeight="1">
      <c r="A55925" s="7"/>
      <c r="B55925" s="7"/>
    </row>
    <row r="55926" ht="15.75" customHeight="1">
      <c r="A55926" s="7"/>
      <c r="B55926" s="7"/>
    </row>
    <row r="55927" ht="15.75" customHeight="1">
      <c r="A55927" s="7"/>
      <c r="B55927" s="7"/>
    </row>
    <row r="55928" ht="15.75" customHeight="1">
      <c r="A55928" s="7"/>
      <c r="B55928" s="7"/>
    </row>
    <row r="55929" ht="15.75" customHeight="1">
      <c r="A55929" s="7"/>
      <c r="B55929" s="7"/>
    </row>
    <row r="55930" ht="15.75" customHeight="1">
      <c r="A55930" s="7"/>
      <c r="B55930" s="7"/>
    </row>
    <row r="55931" ht="15.75" customHeight="1">
      <c r="A55931" s="7"/>
      <c r="B55931" s="7"/>
    </row>
    <row r="55932" ht="15.75" customHeight="1">
      <c r="A55932" s="7"/>
      <c r="B55932" s="7"/>
    </row>
    <row r="55933" ht="15.75" customHeight="1">
      <c r="A55933" s="7"/>
      <c r="B55933" s="7"/>
    </row>
    <row r="55934" ht="15.75" customHeight="1">
      <c r="A55934" s="7"/>
      <c r="B55934" s="7"/>
    </row>
    <row r="55935" ht="15.75" customHeight="1">
      <c r="A55935" s="7"/>
      <c r="B55935" s="7"/>
    </row>
    <row r="55936" ht="15.75" customHeight="1">
      <c r="A55936" s="7"/>
      <c r="B55936" s="7"/>
    </row>
    <row r="55937" ht="15.75" customHeight="1">
      <c r="A55937" s="7"/>
      <c r="B55937" s="7"/>
    </row>
    <row r="55938" ht="15.75" customHeight="1">
      <c r="A55938" s="7"/>
      <c r="B55938" s="7"/>
    </row>
    <row r="55939" ht="15.75" customHeight="1">
      <c r="A55939" s="7"/>
      <c r="B55939" s="7"/>
    </row>
    <row r="55940" ht="15.75" customHeight="1">
      <c r="A55940" s="7"/>
      <c r="B55940" s="7"/>
    </row>
    <row r="55941" ht="15.75" customHeight="1">
      <c r="A55941" s="7"/>
      <c r="B55941" s="7"/>
    </row>
    <row r="55942" ht="15.75" customHeight="1">
      <c r="A55942" s="7"/>
      <c r="B55942" s="7"/>
    </row>
    <row r="55943" ht="15.75" customHeight="1">
      <c r="A55943" s="7"/>
      <c r="B55943" s="7"/>
    </row>
    <row r="55944" ht="15.75" customHeight="1">
      <c r="A55944" s="7"/>
      <c r="B55944" s="7"/>
    </row>
    <row r="55945" ht="15.75" customHeight="1">
      <c r="A55945" s="7"/>
      <c r="B55945" s="7"/>
    </row>
    <row r="55946" ht="15.75" customHeight="1">
      <c r="A55946" s="7"/>
      <c r="B55946" s="7"/>
    </row>
    <row r="55947" ht="15.75" customHeight="1">
      <c r="A55947" s="7"/>
      <c r="B55947" s="7"/>
    </row>
    <row r="55948" ht="15.75" customHeight="1">
      <c r="A55948" s="7"/>
      <c r="B55948" s="7"/>
    </row>
    <row r="55949" ht="15.75" customHeight="1">
      <c r="A55949" s="7"/>
      <c r="B55949" s="7"/>
    </row>
    <row r="55950" ht="15.75" customHeight="1">
      <c r="A55950" s="7"/>
      <c r="B55950" s="7"/>
    </row>
    <row r="55951" ht="15.75" customHeight="1">
      <c r="A55951" s="7"/>
      <c r="B55951" s="7"/>
    </row>
    <row r="55952" ht="15.75" customHeight="1">
      <c r="A55952" s="7"/>
      <c r="B55952" s="7"/>
    </row>
    <row r="55953" ht="15.75" customHeight="1">
      <c r="A55953" s="7"/>
      <c r="B55953" s="7"/>
    </row>
    <row r="55954" ht="15.75" customHeight="1">
      <c r="A55954" s="7"/>
      <c r="B55954" s="7"/>
    </row>
    <row r="55955" ht="15.75" customHeight="1">
      <c r="A55955" s="7"/>
      <c r="B55955" s="7"/>
    </row>
    <row r="55956" ht="15.75" customHeight="1">
      <c r="A55956" s="7"/>
      <c r="B55956" s="7"/>
    </row>
    <row r="55957" ht="15.75" customHeight="1">
      <c r="A55957" s="7"/>
      <c r="B55957" s="7"/>
    </row>
    <row r="55958" ht="15.75" customHeight="1">
      <c r="A55958" s="7"/>
      <c r="B55958" s="7"/>
    </row>
    <row r="55959" ht="15.75" customHeight="1">
      <c r="A55959" s="7"/>
      <c r="B55959" s="7"/>
    </row>
    <row r="55960" ht="15.75" customHeight="1">
      <c r="A55960" s="7"/>
      <c r="B55960" s="7"/>
    </row>
    <row r="55961" ht="15.75" customHeight="1">
      <c r="A55961" s="7"/>
      <c r="B55961" s="7"/>
    </row>
    <row r="55962" ht="15.75" customHeight="1">
      <c r="A55962" s="7"/>
      <c r="B55962" s="7"/>
    </row>
    <row r="55963" ht="15.75" customHeight="1">
      <c r="A55963" s="7"/>
      <c r="B55963" s="7"/>
    </row>
    <row r="55964" ht="15.75" customHeight="1">
      <c r="A55964" s="7"/>
      <c r="B55964" s="7"/>
    </row>
    <row r="55965" ht="15.75" customHeight="1">
      <c r="A55965" s="7"/>
      <c r="B55965" s="7"/>
    </row>
    <row r="55966" ht="15.75" customHeight="1">
      <c r="A55966" s="7"/>
      <c r="B55966" s="7"/>
    </row>
    <row r="55967" ht="15.75" customHeight="1">
      <c r="A55967" s="7"/>
      <c r="B55967" s="7"/>
    </row>
    <row r="55968" ht="15.75" customHeight="1">
      <c r="A55968" s="7"/>
      <c r="B55968" s="7"/>
    </row>
    <row r="55969" ht="15.75" customHeight="1">
      <c r="A55969" s="7"/>
      <c r="B55969" s="7"/>
    </row>
    <row r="55970" ht="15.75" customHeight="1">
      <c r="A55970" s="7"/>
      <c r="B55970" s="7"/>
    </row>
    <row r="55971" ht="15.75" customHeight="1">
      <c r="A55971" s="7"/>
      <c r="B55971" s="7"/>
    </row>
    <row r="55972" ht="15.75" customHeight="1">
      <c r="A55972" s="7"/>
      <c r="B55972" s="7"/>
    </row>
    <row r="55973" ht="15.75" customHeight="1">
      <c r="A55973" s="7"/>
      <c r="B55973" s="7"/>
    </row>
    <row r="55974" ht="15.75" customHeight="1">
      <c r="A55974" s="7"/>
      <c r="B55974" s="7"/>
    </row>
    <row r="55975" ht="15.75" customHeight="1">
      <c r="A55975" s="7"/>
      <c r="B55975" s="7"/>
    </row>
    <row r="55976" ht="15.75" customHeight="1">
      <c r="A55976" s="7"/>
      <c r="B55976" s="7"/>
    </row>
    <row r="55977" ht="15.75" customHeight="1">
      <c r="A55977" s="7"/>
      <c r="B55977" s="7"/>
    </row>
    <row r="55978" ht="15.75" customHeight="1">
      <c r="A55978" s="7"/>
      <c r="B55978" s="7"/>
    </row>
    <row r="55979" ht="15.75" customHeight="1">
      <c r="A55979" s="7"/>
      <c r="B55979" s="7"/>
    </row>
    <row r="55980" ht="15.75" customHeight="1">
      <c r="A55980" s="7"/>
      <c r="B55980" s="7"/>
    </row>
    <row r="55981" ht="15.75" customHeight="1">
      <c r="A55981" s="7"/>
      <c r="B55981" s="7"/>
    </row>
    <row r="55982" ht="15.75" customHeight="1">
      <c r="A55982" s="7"/>
      <c r="B55982" s="7"/>
    </row>
    <row r="55983" ht="15.75" customHeight="1">
      <c r="A55983" s="7"/>
      <c r="B55983" s="7"/>
    </row>
    <row r="55984" ht="15.75" customHeight="1">
      <c r="A55984" s="7"/>
      <c r="B55984" s="7"/>
    </row>
    <row r="55985" ht="15.75" customHeight="1">
      <c r="A55985" s="7"/>
      <c r="B55985" s="7"/>
    </row>
    <row r="55986" ht="15.75" customHeight="1">
      <c r="A55986" s="7"/>
      <c r="B55986" s="7"/>
    </row>
    <row r="55987" ht="15.75" customHeight="1">
      <c r="A55987" s="7"/>
      <c r="B55987" s="7"/>
    </row>
    <row r="55988" ht="15.75" customHeight="1">
      <c r="A55988" s="7"/>
      <c r="B55988" s="7"/>
    </row>
    <row r="55989" ht="15.75" customHeight="1">
      <c r="A55989" s="7"/>
      <c r="B55989" s="7"/>
    </row>
    <row r="55990" ht="15.75" customHeight="1">
      <c r="A55990" s="7"/>
      <c r="B55990" s="7"/>
    </row>
    <row r="55991" ht="15.75" customHeight="1">
      <c r="A55991" s="7"/>
      <c r="B55991" s="7"/>
    </row>
    <row r="55992" ht="15.75" customHeight="1">
      <c r="A55992" s="7"/>
      <c r="B55992" s="7"/>
    </row>
    <row r="55993" ht="15.75" customHeight="1">
      <c r="A55993" s="7"/>
      <c r="B55993" s="7"/>
    </row>
    <row r="55994" ht="15.75" customHeight="1">
      <c r="A55994" s="7"/>
      <c r="B55994" s="7"/>
    </row>
    <row r="55995" ht="15.75" customHeight="1">
      <c r="A55995" s="7"/>
      <c r="B55995" s="7"/>
    </row>
    <row r="55996" ht="15.75" customHeight="1">
      <c r="A55996" s="7"/>
      <c r="B55996" s="7"/>
    </row>
    <row r="55997" ht="15.75" customHeight="1">
      <c r="A55997" s="7"/>
      <c r="B55997" s="7"/>
    </row>
    <row r="55998" ht="15.75" customHeight="1">
      <c r="A55998" s="7"/>
      <c r="B55998" s="7"/>
    </row>
    <row r="55999" ht="15.75" customHeight="1">
      <c r="A55999" s="7"/>
      <c r="B55999" s="7"/>
    </row>
    <row r="56000" ht="15.75" customHeight="1">
      <c r="A56000" s="7"/>
      <c r="B56000" s="7"/>
    </row>
    <row r="56001" ht="15.75" customHeight="1">
      <c r="A56001" s="7"/>
      <c r="B56001" s="7"/>
    </row>
    <row r="56002" ht="15.75" customHeight="1">
      <c r="A56002" s="7"/>
      <c r="B56002" s="7"/>
    </row>
    <row r="56003" ht="15.75" customHeight="1">
      <c r="A56003" s="7"/>
      <c r="B56003" s="7"/>
    </row>
    <row r="56004" ht="15.75" customHeight="1">
      <c r="A56004" s="7"/>
      <c r="B56004" s="7"/>
    </row>
    <row r="56005" ht="15.75" customHeight="1">
      <c r="A56005" s="7"/>
      <c r="B56005" s="7"/>
    </row>
    <row r="56006" ht="15.75" customHeight="1">
      <c r="A56006" s="7"/>
      <c r="B56006" s="7"/>
    </row>
    <row r="56007" ht="15.75" customHeight="1">
      <c r="A56007" s="7"/>
      <c r="B56007" s="7"/>
    </row>
    <row r="56008" ht="15.75" customHeight="1">
      <c r="A56008" s="7"/>
      <c r="B56008" s="7"/>
    </row>
    <row r="56009" ht="15.75" customHeight="1">
      <c r="A56009" s="7"/>
      <c r="B56009" s="7"/>
    </row>
    <row r="56010" ht="15.75" customHeight="1">
      <c r="A56010" s="7"/>
      <c r="B56010" s="7"/>
    </row>
    <row r="56011" ht="15.75" customHeight="1">
      <c r="A56011" s="7"/>
      <c r="B56011" s="7"/>
    </row>
    <row r="56012" ht="15.75" customHeight="1">
      <c r="A56012" s="7"/>
      <c r="B56012" s="7"/>
    </row>
    <row r="56013" ht="15.75" customHeight="1">
      <c r="A56013" s="7"/>
      <c r="B56013" s="7"/>
    </row>
    <row r="56014" ht="15.75" customHeight="1">
      <c r="A56014" s="7"/>
      <c r="B56014" s="7"/>
    </row>
    <row r="56015" ht="15.75" customHeight="1">
      <c r="A56015" s="7"/>
      <c r="B56015" s="7"/>
    </row>
    <row r="56016" ht="15.75" customHeight="1">
      <c r="A56016" s="7"/>
      <c r="B56016" s="7"/>
    </row>
    <row r="56017" ht="15.75" customHeight="1">
      <c r="A56017" s="7"/>
      <c r="B56017" s="7"/>
    </row>
    <row r="56018" ht="15.75" customHeight="1">
      <c r="A56018" s="7"/>
      <c r="B56018" s="7"/>
    </row>
    <row r="56019" ht="15.75" customHeight="1">
      <c r="A56019" s="7"/>
      <c r="B56019" s="7"/>
    </row>
    <row r="56020" ht="15.75" customHeight="1">
      <c r="A56020" s="7"/>
      <c r="B56020" s="7"/>
    </row>
    <row r="56021" ht="15.75" customHeight="1">
      <c r="A56021" s="7"/>
      <c r="B56021" s="7"/>
    </row>
    <row r="56022" ht="15.75" customHeight="1">
      <c r="A56022" s="7"/>
      <c r="B56022" s="7"/>
    </row>
    <row r="56023" ht="15.75" customHeight="1">
      <c r="A56023" s="7"/>
      <c r="B56023" s="7"/>
    </row>
    <row r="56024" ht="15.75" customHeight="1">
      <c r="A56024" s="7"/>
      <c r="B56024" s="7"/>
    </row>
    <row r="56025" ht="15.75" customHeight="1">
      <c r="A56025" s="7"/>
      <c r="B56025" s="7"/>
    </row>
    <row r="56026" ht="15.75" customHeight="1">
      <c r="A56026" s="7"/>
      <c r="B56026" s="7"/>
    </row>
    <row r="56027" ht="15.75" customHeight="1">
      <c r="A56027" s="7"/>
      <c r="B56027" s="7"/>
    </row>
    <row r="56028" ht="15.75" customHeight="1">
      <c r="A56028" s="7"/>
      <c r="B56028" s="7"/>
    </row>
    <row r="56029" ht="15.75" customHeight="1">
      <c r="A56029" s="7"/>
      <c r="B56029" s="7"/>
    </row>
    <row r="56030" ht="15.75" customHeight="1">
      <c r="A56030" s="7"/>
      <c r="B56030" s="7"/>
    </row>
    <row r="56031" ht="15.75" customHeight="1">
      <c r="A56031" s="7"/>
      <c r="B56031" s="7"/>
    </row>
    <row r="56032" ht="15.75" customHeight="1">
      <c r="A56032" s="7"/>
      <c r="B56032" s="7"/>
    </row>
    <row r="56033" ht="15.75" customHeight="1">
      <c r="A56033" s="7"/>
      <c r="B56033" s="7"/>
    </row>
    <row r="56034" ht="15.75" customHeight="1">
      <c r="A56034" s="7"/>
      <c r="B56034" s="7"/>
    </row>
    <row r="56035" ht="15.75" customHeight="1">
      <c r="A56035" s="7"/>
      <c r="B56035" s="7"/>
    </row>
    <row r="56036" ht="15.75" customHeight="1">
      <c r="A56036" s="7"/>
      <c r="B56036" s="7"/>
    </row>
    <row r="56037" ht="15.75" customHeight="1">
      <c r="A56037" s="7"/>
      <c r="B56037" s="7"/>
    </row>
    <row r="56038" ht="15.75" customHeight="1">
      <c r="A56038" s="7"/>
      <c r="B56038" s="7"/>
    </row>
    <row r="56039" ht="15.75" customHeight="1">
      <c r="A56039" s="7"/>
      <c r="B56039" s="7"/>
    </row>
    <row r="56040" ht="15.75" customHeight="1">
      <c r="A56040" s="7"/>
      <c r="B56040" s="7"/>
    </row>
    <row r="56041" ht="15.75" customHeight="1">
      <c r="A56041" s="7"/>
      <c r="B56041" s="7"/>
    </row>
    <row r="56042" ht="15.75" customHeight="1">
      <c r="A56042" s="7"/>
      <c r="B56042" s="7"/>
    </row>
    <row r="56043" ht="15.75" customHeight="1">
      <c r="A56043" s="7"/>
      <c r="B56043" s="7"/>
    </row>
    <row r="56044" ht="15.75" customHeight="1">
      <c r="A56044" s="7"/>
      <c r="B56044" s="7"/>
    </row>
    <row r="56045" ht="15.75" customHeight="1">
      <c r="A56045" s="7"/>
      <c r="B56045" s="7"/>
    </row>
    <row r="56046" ht="15.75" customHeight="1">
      <c r="A56046" s="7"/>
      <c r="B56046" s="7"/>
    </row>
    <row r="56047" ht="15.75" customHeight="1">
      <c r="A56047" s="7"/>
      <c r="B56047" s="7"/>
    </row>
    <row r="56048" ht="15.75" customHeight="1">
      <c r="A56048" s="7"/>
      <c r="B56048" s="7"/>
    </row>
    <row r="56049" ht="15.75" customHeight="1">
      <c r="A56049" s="7"/>
      <c r="B56049" s="7"/>
    </row>
    <row r="56050" ht="15.75" customHeight="1">
      <c r="A56050" s="7"/>
      <c r="B56050" s="7"/>
    </row>
    <row r="56051" ht="15.75" customHeight="1">
      <c r="A56051" s="7"/>
      <c r="B56051" s="7"/>
    </row>
    <row r="56052" ht="15.75" customHeight="1">
      <c r="A56052" s="7"/>
      <c r="B56052" s="7"/>
    </row>
    <row r="56053" ht="15.75" customHeight="1">
      <c r="A56053" s="7"/>
      <c r="B56053" s="7"/>
    </row>
    <row r="56054" ht="15.75" customHeight="1">
      <c r="A56054" s="7"/>
      <c r="B56054" s="7"/>
    </row>
    <row r="56055" ht="15.75" customHeight="1">
      <c r="A56055" s="7"/>
      <c r="B56055" s="7"/>
    </row>
    <row r="56056" ht="15.75" customHeight="1">
      <c r="A56056" s="7"/>
      <c r="B56056" s="7"/>
    </row>
    <row r="56057" ht="15.75" customHeight="1">
      <c r="A56057" s="7"/>
      <c r="B56057" s="7"/>
    </row>
    <row r="56058" ht="15.75" customHeight="1">
      <c r="A56058" s="7"/>
      <c r="B56058" s="7"/>
    </row>
    <row r="56059" ht="15.75" customHeight="1">
      <c r="A56059" s="7"/>
      <c r="B56059" s="7"/>
    </row>
    <row r="56060" ht="15.75" customHeight="1">
      <c r="A56060" s="7"/>
      <c r="B56060" s="7"/>
    </row>
    <row r="56061" ht="15.75" customHeight="1">
      <c r="A56061" s="7"/>
      <c r="B56061" s="7"/>
    </row>
    <row r="56062" ht="15.75" customHeight="1">
      <c r="A56062" s="7"/>
      <c r="B56062" s="7"/>
    </row>
    <row r="56063" ht="15.75" customHeight="1">
      <c r="A56063" s="7"/>
      <c r="B56063" s="7"/>
    </row>
    <row r="56064" ht="15.75" customHeight="1">
      <c r="A56064" s="7"/>
      <c r="B56064" s="7"/>
    </row>
    <row r="56065" ht="15.75" customHeight="1">
      <c r="A56065" s="7"/>
      <c r="B56065" s="7"/>
    </row>
    <row r="56066" ht="15.75" customHeight="1">
      <c r="A56066" s="7"/>
      <c r="B56066" s="7"/>
    </row>
    <row r="56067" ht="15.75" customHeight="1">
      <c r="A56067" s="7"/>
      <c r="B56067" s="7"/>
    </row>
    <row r="56068" ht="15.75" customHeight="1">
      <c r="A56068" s="7"/>
      <c r="B56068" s="7"/>
    </row>
    <row r="56069" ht="15.75" customHeight="1">
      <c r="A56069" s="7"/>
      <c r="B56069" s="7"/>
    </row>
    <row r="56070" ht="15.75" customHeight="1">
      <c r="A56070" s="7"/>
      <c r="B56070" s="7"/>
    </row>
    <row r="56071" ht="15.75" customHeight="1">
      <c r="A56071" s="7"/>
      <c r="B56071" s="7"/>
    </row>
    <row r="56072" ht="15.75" customHeight="1">
      <c r="A56072" s="7"/>
      <c r="B56072" s="7"/>
    </row>
    <row r="56073" ht="15.75" customHeight="1">
      <c r="A56073" s="7"/>
      <c r="B56073" s="7"/>
    </row>
    <row r="56074" ht="15.75" customHeight="1">
      <c r="A56074" s="7"/>
      <c r="B56074" s="7"/>
    </row>
    <row r="56075" ht="15.75" customHeight="1">
      <c r="A56075" s="7"/>
      <c r="B56075" s="7"/>
    </row>
    <row r="56076" ht="15.75" customHeight="1">
      <c r="A56076" s="7"/>
      <c r="B56076" s="7"/>
    </row>
    <row r="56077" ht="15.75" customHeight="1">
      <c r="A56077" s="7"/>
      <c r="B56077" s="7"/>
    </row>
    <row r="56078" ht="15.75" customHeight="1">
      <c r="A56078" s="7"/>
      <c r="B56078" s="7"/>
    </row>
    <row r="56079" ht="15.75" customHeight="1">
      <c r="A56079" s="7"/>
      <c r="B56079" s="7"/>
    </row>
    <row r="56080" ht="15.75" customHeight="1">
      <c r="A56080" s="7"/>
      <c r="B56080" s="7"/>
    </row>
    <row r="56081" ht="15.75" customHeight="1">
      <c r="A56081" s="7"/>
      <c r="B56081" s="7"/>
    </row>
    <row r="56082" ht="15.75" customHeight="1">
      <c r="A56082" s="7"/>
      <c r="B56082" s="7"/>
    </row>
    <row r="56083" ht="15.75" customHeight="1">
      <c r="A56083" s="7"/>
      <c r="B56083" s="7"/>
    </row>
    <row r="56084" ht="15.75" customHeight="1">
      <c r="A56084" s="7"/>
      <c r="B56084" s="7"/>
    </row>
    <row r="56085" ht="15.75" customHeight="1">
      <c r="A56085" s="7"/>
      <c r="B56085" s="7"/>
    </row>
    <row r="56086" ht="15.75" customHeight="1">
      <c r="A56086" s="7"/>
      <c r="B56086" s="7"/>
    </row>
    <row r="56087" ht="15.75" customHeight="1">
      <c r="A56087" s="7"/>
      <c r="B56087" s="7"/>
    </row>
    <row r="56088" ht="15.75" customHeight="1">
      <c r="A56088" s="7"/>
      <c r="B56088" s="7"/>
    </row>
    <row r="56089" ht="15.75" customHeight="1">
      <c r="A56089" s="7"/>
      <c r="B56089" s="7"/>
    </row>
    <row r="56090" ht="15.75" customHeight="1">
      <c r="A56090" s="7"/>
      <c r="B56090" s="7"/>
    </row>
    <row r="56091" ht="15.75" customHeight="1">
      <c r="A56091" s="7"/>
      <c r="B56091" s="7"/>
    </row>
    <row r="56092" ht="15.75" customHeight="1">
      <c r="A56092" s="7"/>
      <c r="B56092" s="7"/>
    </row>
    <row r="56093" ht="15.75" customHeight="1">
      <c r="A56093" s="7"/>
      <c r="B56093" s="7"/>
    </row>
    <row r="56094" ht="15.75" customHeight="1">
      <c r="A56094" s="7"/>
      <c r="B56094" s="7"/>
    </row>
    <row r="56095" ht="15.75" customHeight="1">
      <c r="A56095" s="7"/>
      <c r="B56095" s="7"/>
    </row>
    <row r="56096" ht="15.75" customHeight="1">
      <c r="A56096" s="7"/>
      <c r="B56096" s="7"/>
    </row>
    <row r="56097" ht="15.75" customHeight="1">
      <c r="A56097" s="7"/>
      <c r="B56097" s="7"/>
    </row>
    <row r="56098" ht="15.75" customHeight="1">
      <c r="A56098" s="7"/>
      <c r="B56098" s="7"/>
    </row>
    <row r="56099" ht="15.75" customHeight="1">
      <c r="A56099" s="7"/>
      <c r="B56099" s="7"/>
    </row>
    <row r="56100" ht="15.75" customHeight="1">
      <c r="A56100" s="7"/>
      <c r="B56100" s="7"/>
    </row>
    <row r="56101" ht="15.75" customHeight="1">
      <c r="A56101" s="7"/>
      <c r="B56101" s="7"/>
    </row>
    <row r="56102" ht="15.75" customHeight="1">
      <c r="A56102" s="7"/>
      <c r="B56102" s="7"/>
    </row>
    <row r="56103" ht="15.75" customHeight="1">
      <c r="A56103" s="7"/>
      <c r="B56103" s="7"/>
    </row>
    <row r="56104" ht="15.75" customHeight="1">
      <c r="A56104" s="7"/>
      <c r="B56104" s="7"/>
    </row>
    <row r="56105" ht="15.75" customHeight="1">
      <c r="A56105" s="7"/>
      <c r="B56105" s="7"/>
    </row>
    <row r="56106" ht="15.75" customHeight="1">
      <c r="A56106" s="7"/>
      <c r="B56106" s="7"/>
    </row>
    <row r="56107" ht="15.75" customHeight="1">
      <c r="A56107" s="7"/>
      <c r="B56107" s="7"/>
    </row>
    <row r="56108" ht="15.75" customHeight="1">
      <c r="A56108" s="7"/>
      <c r="B56108" s="7"/>
    </row>
    <row r="56109" ht="15.75" customHeight="1">
      <c r="A56109" s="7"/>
      <c r="B56109" s="7"/>
    </row>
    <row r="56110" ht="15.75" customHeight="1">
      <c r="A56110" s="7"/>
      <c r="B56110" s="7"/>
    </row>
    <row r="56111" ht="15.75" customHeight="1">
      <c r="A56111" s="7"/>
      <c r="B56111" s="7"/>
    </row>
    <row r="56112" ht="15.75" customHeight="1">
      <c r="A56112" s="7"/>
      <c r="B56112" s="7"/>
    </row>
    <row r="56113" ht="15.75" customHeight="1">
      <c r="A56113" s="7"/>
      <c r="B56113" s="7"/>
    </row>
    <row r="56114" ht="15.75" customHeight="1">
      <c r="A56114" s="7"/>
      <c r="B56114" s="7"/>
    </row>
    <row r="56115" ht="15.75" customHeight="1">
      <c r="A56115" s="7"/>
      <c r="B56115" s="7"/>
    </row>
    <row r="56116" ht="15.75" customHeight="1">
      <c r="A56116" s="7"/>
      <c r="B56116" s="7"/>
    </row>
    <row r="56117" ht="15.75" customHeight="1">
      <c r="A56117" s="7"/>
      <c r="B56117" s="7"/>
    </row>
    <row r="56118" ht="15.75" customHeight="1">
      <c r="A56118" s="7"/>
      <c r="B56118" s="7"/>
    </row>
    <row r="56119" ht="15.75" customHeight="1">
      <c r="A56119" s="7"/>
      <c r="B56119" s="7"/>
    </row>
    <row r="56120" ht="15.75" customHeight="1">
      <c r="A56120" s="7"/>
      <c r="B56120" s="7"/>
    </row>
    <row r="56121" ht="15.75" customHeight="1">
      <c r="A56121" s="7"/>
      <c r="B56121" s="7"/>
    </row>
    <row r="56122" ht="15.75" customHeight="1">
      <c r="A56122" s="7"/>
      <c r="B56122" s="7"/>
    </row>
    <row r="56123" ht="15.75" customHeight="1">
      <c r="A56123" s="7"/>
      <c r="B56123" s="7"/>
    </row>
    <row r="56124" ht="15.75" customHeight="1">
      <c r="A56124" s="7"/>
      <c r="B56124" s="7"/>
    </row>
    <row r="56125" ht="15.75" customHeight="1">
      <c r="A56125" s="7"/>
      <c r="B56125" s="7"/>
    </row>
    <row r="56126" ht="15.75" customHeight="1">
      <c r="A56126" s="7"/>
      <c r="B56126" s="7"/>
    </row>
    <row r="56127" ht="15.75" customHeight="1">
      <c r="A56127" s="7"/>
      <c r="B56127" s="7"/>
    </row>
    <row r="56128" ht="15.75" customHeight="1">
      <c r="A56128" s="7"/>
      <c r="B56128" s="7"/>
    </row>
    <row r="56129" ht="15.75" customHeight="1">
      <c r="A56129" s="7"/>
      <c r="B56129" s="7"/>
    </row>
    <row r="56130" ht="15.75" customHeight="1">
      <c r="A56130" s="7"/>
      <c r="B56130" s="7"/>
    </row>
    <row r="56131" ht="15.75" customHeight="1">
      <c r="A56131" s="7"/>
      <c r="B56131" s="7"/>
    </row>
    <row r="56132" ht="15.75" customHeight="1">
      <c r="A56132" s="7"/>
      <c r="B56132" s="7"/>
    </row>
    <row r="56133" ht="15.75" customHeight="1">
      <c r="A56133" s="7"/>
      <c r="B56133" s="7"/>
    </row>
    <row r="56134" ht="15.75" customHeight="1">
      <c r="A56134" s="7"/>
      <c r="B56134" s="7"/>
    </row>
    <row r="56135" ht="15.75" customHeight="1">
      <c r="A56135" s="7"/>
      <c r="B56135" s="7"/>
    </row>
    <row r="56136" ht="15.75" customHeight="1">
      <c r="A56136" s="7"/>
      <c r="B56136" s="7"/>
    </row>
    <row r="56137" ht="15.75" customHeight="1">
      <c r="A56137" s="7"/>
      <c r="B56137" s="7"/>
    </row>
    <row r="56138" ht="15.75" customHeight="1">
      <c r="A56138" s="7"/>
      <c r="B56138" s="7"/>
    </row>
    <row r="56139" ht="15.75" customHeight="1">
      <c r="A56139" s="7"/>
      <c r="B56139" s="7"/>
    </row>
    <row r="56140" ht="15.75" customHeight="1">
      <c r="A56140" s="7"/>
      <c r="B56140" s="7"/>
    </row>
    <row r="56141" ht="15.75" customHeight="1">
      <c r="A56141" s="7"/>
      <c r="B56141" s="7"/>
    </row>
    <row r="56142" ht="15.75" customHeight="1">
      <c r="A56142" s="7"/>
      <c r="B56142" s="7"/>
    </row>
    <row r="56143" ht="15.75" customHeight="1">
      <c r="A56143" s="7"/>
      <c r="B56143" s="7"/>
    </row>
    <row r="56144" ht="15.75" customHeight="1">
      <c r="A56144" s="7"/>
      <c r="B56144" s="7"/>
    </row>
    <row r="56145" ht="15.75" customHeight="1">
      <c r="A56145" s="7"/>
      <c r="B56145" s="7"/>
    </row>
    <row r="56146" ht="15.75" customHeight="1">
      <c r="A56146" s="7"/>
      <c r="B56146" s="7"/>
    </row>
    <row r="56147" ht="15.75" customHeight="1">
      <c r="A56147" s="7"/>
      <c r="B56147" s="7"/>
    </row>
    <row r="56148" ht="15.75" customHeight="1">
      <c r="A56148" s="7"/>
      <c r="B56148" s="7"/>
    </row>
    <row r="56149" ht="15.75" customHeight="1">
      <c r="A56149" s="7"/>
      <c r="B56149" s="7"/>
    </row>
    <row r="56150" ht="15.75" customHeight="1">
      <c r="A56150" s="7"/>
      <c r="B56150" s="7"/>
    </row>
    <row r="56151" ht="15.75" customHeight="1">
      <c r="A56151" s="7"/>
      <c r="B56151" s="7"/>
    </row>
    <row r="56152" ht="15.75" customHeight="1">
      <c r="A56152" s="7"/>
      <c r="B56152" s="7"/>
    </row>
    <row r="56153" ht="15.75" customHeight="1">
      <c r="A56153" s="7"/>
      <c r="B56153" s="7"/>
    </row>
    <row r="56154" ht="15.75" customHeight="1">
      <c r="A56154" s="7"/>
      <c r="B56154" s="7"/>
    </row>
    <row r="56155" ht="15.75" customHeight="1">
      <c r="A56155" s="7"/>
      <c r="B56155" s="7"/>
    </row>
    <row r="56156" ht="15.75" customHeight="1">
      <c r="A56156" s="7"/>
      <c r="B56156" s="7"/>
    </row>
    <row r="56157" ht="15.75" customHeight="1">
      <c r="A56157" s="7"/>
      <c r="B56157" s="7"/>
    </row>
    <row r="56158" ht="15.75" customHeight="1">
      <c r="A56158" s="7"/>
      <c r="B56158" s="7"/>
    </row>
    <row r="56159" ht="15.75" customHeight="1">
      <c r="A56159" s="7"/>
      <c r="B56159" s="7"/>
    </row>
    <row r="56160" ht="15.75" customHeight="1">
      <c r="A56160" s="7"/>
      <c r="B56160" s="7"/>
    </row>
    <row r="56161" ht="15.75" customHeight="1">
      <c r="A56161" s="7"/>
      <c r="B56161" s="7"/>
    </row>
    <row r="56162" ht="15.75" customHeight="1">
      <c r="A56162" s="7"/>
      <c r="B56162" s="7"/>
    </row>
    <row r="56163" ht="15.75" customHeight="1">
      <c r="A56163" s="7"/>
      <c r="B56163" s="7"/>
    </row>
    <row r="56164" ht="15.75" customHeight="1">
      <c r="A56164" s="7"/>
      <c r="B56164" s="7"/>
    </row>
    <row r="56165" ht="15.75" customHeight="1">
      <c r="A56165" s="7"/>
      <c r="B56165" s="7"/>
    </row>
    <row r="56166" ht="15.75" customHeight="1">
      <c r="A56166" s="7"/>
      <c r="B56166" s="7"/>
    </row>
    <row r="56167" ht="15.75" customHeight="1">
      <c r="A56167" s="7"/>
      <c r="B56167" s="7"/>
    </row>
    <row r="56168" ht="15.75" customHeight="1">
      <c r="A56168" s="7"/>
      <c r="B56168" s="7"/>
    </row>
    <row r="56169" ht="15.75" customHeight="1">
      <c r="A56169" s="7"/>
      <c r="B56169" s="7"/>
    </row>
    <row r="56170" ht="15.75" customHeight="1">
      <c r="A56170" s="7"/>
      <c r="B56170" s="7"/>
    </row>
    <row r="56171" ht="15.75" customHeight="1">
      <c r="A56171" s="7"/>
      <c r="B56171" s="7"/>
    </row>
    <row r="56172" ht="15.75" customHeight="1">
      <c r="A56172" s="7"/>
      <c r="B56172" s="7"/>
    </row>
    <row r="56173" ht="15.75" customHeight="1">
      <c r="A56173" s="7"/>
      <c r="B56173" s="7"/>
    </row>
    <row r="56174" ht="15.75" customHeight="1">
      <c r="A56174" s="7"/>
      <c r="B56174" s="7"/>
    </row>
    <row r="56175" ht="15.75" customHeight="1">
      <c r="A56175" s="7"/>
      <c r="B56175" s="7"/>
    </row>
    <row r="56176" ht="15.75" customHeight="1">
      <c r="A56176" s="7"/>
      <c r="B56176" s="7"/>
    </row>
    <row r="56177" ht="15.75" customHeight="1">
      <c r="A56177" s="7"/>
      <c r="B56177" s="7"/>
    </row>
    <row r="56178" ht="15.75" customHeight="1">
      <c r="A56178" s="7"/>
      <c r="B56178" s="7"/>
    </row>
    <row r="56179" ht="15.75" customHeight="1">
      <c r="A56179" s="7"/>
      <c r="B56179" s="7"/>
    </row>
    <row r="56180" ht="15.75" customHeight="1">
      <c r="A56180" s="7"/>
      <c r="B56180" s="7"/>
    </row>
    <row r="56181" ht="15.75" customHeight="1">
      <c r="A56181" s="7"/>
      <c r="B56181" s="7"/>
    </row>
    <row r="56182" ht="15.75" customHeight="1">
      <c r="A56182" s="7"/>
      <c r="B56182" s="7"/>
    </row>
    <row r="56183" ht="15.75" customHeight="1">
      <c r="A56183" s="7"/>
      <c r="B56183" s="7"/>
    </row>
    <row r="56184" ht="15.75" customHeight="1">
      <c r="A56184" s="7"/>
      <c r="B56184" s="7"/>
    </row>
    <row r="56185" ht="15.75" customHeight="1">
      <c r="A56185" s="7"/>
      <c r="B56185" s="7"/>
    </row>
    <row r="56186" ht="15.75" customHeight="1">
      <c r="A56186" s="7"/>
      <c r="B56186" s="7"/>
    </row>
    <row r="56187" ht="15.75" customHeight="1">
      <c r="A56187" s="7"/>
      <c r="B56187" s="7"/>
    </row>
    <row r="56188" ht="15.75" customHeight="1">
      <c r="A56188" s="7"/>
      <c r="B56188" s="7"/>
    </row>
    <row r="56189" ht="15.75" customHeight="1">
      <c r="A56189" s="7"/>
      <c r="B56189" s="7"/>
    </row>
    <row r="56190" ht="15.75" customHeight="1">
      <c r="A56190" s="7"/>
      <c r="B56190" s="7"/>
    </row>
    <row r="56191" ht="15.75" customHeight="1">
      <c r="A56191" s="7"/>
      <c r="B56191" s="7"/>
    </row>
    <row r="56192" ht="15.75" customHeight="1">
      <c r="A56192" s="7"/>
      <c r="B56192" s="7"/>
    </row>
    <row r="56193" ht="15.75" customHeight="1">
      <c r="A56193" s="7"/>
      <c r="B56193" s="7"/>
    </row>
    <row r="56194" ht="15.75" customHeight="1">
      <c r="A56194" s="7"/>
      <c r="B56194" s="7"/>
    </row>
    <row r="56195" ht="15.75" customHeight="1">
      <c r="A56195" s="7"/>
      <c r="B56195" s="7"/>
    </row>
    <row r="56196" ht="15.75" customHeight="1">
      <c r="A56196" s="7"/>
      <c r="B56196" s="7"/>
    </row>
    <row r="56197" ht="15.75" customHeight="1">
      <c r="A56197" s="7"/>
      <c r="B56197" s="7"/>
    </row>
    <row r="56198" ht="15.75" customHeight="1">
      <c r="A56198" s="7"/>
      <c r="B56198" s="7"/>
    </row>
    <row r="56199" ht="15.75" customHeight="1">
      <c r="A56199" s="7"/>
      <c r="B56199" s="7"/>
    </row>
    <row r="56200" ht="15.75" customHeight="1">
      <c r="A56200" s="7"/>
      <c r="B56200" s="7"/>
    </row>
    <row r="56201" ht="15.75" customHeight="1">
      <c r="A56201" s="7"/>
      <c r="B56201" s="7"/>
    </row>
    <row r="56202" ht="15.75" customHeight="1">
      <c r="A56202" s="7"/>
      <c r="B56202" s="7"/>
    </row>
    <row r="56203" ht="15.75" customHeight="1">
      <c r="A56203" s="7"/>
      <c r="B56203" s="7"/>
    </row>
    <row r="56204" ht="15.75" customHeight="1">
      <c r="A56204" s="7"/>
      <c r="B56204" s="7"/>
    </row>
    <row r="56205" ht="15.75" customHeight="1">
      <c r="A56205" s="7"/>
      <c r="B56205" s="7"/>
    </row>
    <row r="56206" ht="15.75" customHeight="1">
      <c r="A56206" s="7"/>
      <c r="B56206" s="7"/>
    </row>
    <row r="56207" ht="15.75" customHeight="1">
      <c r="A56207" s="7"/>
      <c r="B56207" s="7"/>
    </row>
    <row r="56208" ht="15.75" customHeight="1">
      <c r="A56208" s="7"/>
      <c r="B56208" s="7"/>
    </row>
    <row r="56209" ht="15.75" customHeight="1">
      <c r="A56209" s="7"/>
      <c r="B56209" s="7"/>
    </row>
    <row r="56210" ht="15.75" customHeight="1">
      <c r="A56210" s="7"/>
      <c r="B56210" s="7"/>
    </row>
    <row r="56211" ht="15.75" customHeight="1">
      <c r="A56211" s="7"/>
      <c r="B56211" s="7"/>
    </row>
    <row r="56212" ht="15.75" customHeight="1">
      <c r="A56212" s="7"/>
      <c r="B56212" s="7"/>
    </row>
    <row r="56213" ht="15.75" customHeight="1">
      <c r="A56213" s="7"/>
      <c r="B56213" s="7"/>
    </row>
    <row r="56214" ht="15.75" customHeight="1">
      <c r="A56214" s="7"/>
      <c r="B56214" s="7"/>
    </row>
    <row r="56215" ht="15.75" customHeight="1">
      <c r="A56215" s="7"/>
      <c r="B56215" s="7"/>
    </row>
    <row r="56216" ht="15.75" customHeight="1">
      <c r="A56216" s="7"/>
      <c r="B56216" s="7"/>
    </row>
    <row r="56217" ht="15.75" customHeight="1">
      <c r="A56217" s="7"/>
      <c r="B56217" s="7"/>
    </row>
    <row r="56218" ht="15.75" customHeight="1">
      <c r="A56218" s="7"/>
      <c r="B56218" s="7"/>
    </row>
    <row r="56219" ht="15.75" customHeight="1">
      <c r="A56219" s="7"/>
      <c r="B56219" s="7"/>
    </row>
    <row r="56220" ht="15.75" customHeight="1">
      <c r="A56220" s="7"/>
      <c r="B56220" s="7"/>
    </row>
    <row r="56221" ht="15.75" customHeight="1">
      <c r="A56221" s="7"/>
      <c r="B56221" s="7"/>
    </row>
    <row r="56222" ht="15.75" customHeight="1">
      <c r="A56222" s="7"/>
      <c r="B56222" s="7"/>
    </row>
    <row r="56223" ht="15.75" customHeight="1">
      <c r="A56223" s="7"/>
      <c r="B56223" s="7"/>
    </row>
    <row r="56224" ht="15.75" customHeight="1">
      <c r="A56224" s="7"/>
      <c r="B56224" s="7"/>
    </row>
    <row r="56225" ht="15.75" customHeight="1">
      <c r="A56225" s="7"/>
      <c r="B56225" s="7"/>
    </row>
    <row r="56226" ht="15.75" customHeight="1">
      <c r="A56226" s="7"/>
      <c r="B56226" s="7"/>
    </row>
    <row r="56227" ht="15.75" customHeight="1">
      <c r="A56227" s="7"/>
      <c r="B56227" s="7"/>
    </row>
    <row r="56228" ht="15.75" customHeight="1">
      <c r="A56228" s="7"/>
      <c r="B56228" s="7"/>
    </row>
    <row r="56229" ht="15.75" customHeight="1">
      <c r="A56229" s="7"/>
      <c r="B56229" s="7"/>
    </row>
    <row r="56230" ht="15.75" customHeight="1">
      <c r="A56230" s="7"/>
      <c r="B56230" s="7"/>
    </row>
    <row r="56231" ht="15.75" customHeight="1">
      <c r="A56231" s="7"/>
      <c r="B56231" s="7"/>
    </row>
    <row r="56232" ht="15.75" customHeight="1">
      <c r="A56232" s="7"/>
      <c r="B56232" s="7"/>
    </row>
    <row r="56233" ht="15.75" customHeight="1">
      <c r="A56233" s="7"/>
      <c r="B56233" s="7"/>
    </row>
    <row r="56234" ht="15.75" customHeight="1">
      <c r="A56234" s="7"/>
      <c r="B56234" s="7"/>
    </row>
    <row r="56235" ht="15.75" customHeight="1">
      <c r="A56235" s="7"/>
      <c r="B56235" s="7"/>
    </row>
    <row r="56236" ht="15.75" customHeight="1">
      <c r="A56236" s="7"/>
      <c r="B56236" s="7"/>
    </row>
    <row r="56237" ht="15.75" customHeight="1">
      <c r="A56237" s="7"/>
      <c r="B56237" s="7"/>
    </row>
    <row r="56238" ht="15.75" customHeight="1">
      <c r="A56238" s="7"/>
      <c r="B56238" s="7"/>
    </row>
    <row r="56239" ht="15.75" customHeight="1">
      <c r="A56239" s="7"/>
      <c r="B56239" s="7"/>
    </row>
    <row r="56240" ht="15.75" customHeight="1">
      <c r="A56240" s="7"/>
      <c r="B56240" s="7"/>
    </row>
    <row r="56241" ht="15.75" customHeight="1">
      <c r="A56241" s="7"/>
      <c r="B56241" s="7"/>
    </row>
    <row r="56242" ht="15.75" customHeight="1">
      <c r="A56242" s="7"/>
      <c r="B56242" s="7"/>
    </row>
    <row r="56243" ht="15.75" customHeight="1">
      <c r="A56243" s="7"/>
      <c r="B56243" s="7"/>
    </row>
    <row r="56244" ht="15.75" customHeight="1">
      <c r="A56244" s="7"/>
      <c r="B56244" s="7"/>
    </row>
    <row r="56245" ht="15.75" customHeight="1">
      <c r="A56245" s="7"/>
      <c r="B56245" s="7"/>
    </row>
    <row r="56246" ht="15.75" customHeight="1">
      <c r="A56246" s="7"/>
      <c r="B56246" s="7"/>
    </row>
    <row r="56247" ht="15.75" customHeight="1">
      <c r="A56247" s="7"/>
      <c r="B56247" s="7"/>
    </row>
    <row r="56248" ht="15.75" customHeight="1">
      <c r="A56248" s="7"/>
      <c r="B56248" s="7"/>
    </row>
    <row r="56249" ht="15.75" customHeight="1">
      <c r="A56249" s="7"/>
      <c r="B56249" s="7"/>
    </row>
    <row r="56250" ht="15.75" customHeight="1">
      <c r="A56250" s="7"/>
      <c r="B56250" s="7"/>
    </row>
    <row r="56251" ht="15.75" customHeight="1">
      <c r="A56251" s="7"/>
      <c r="B56251" s="7"/>
    </row>
    <row r="56252" ht="15.75" customHeight="1">
      <c r="A56252" s="7"/>
      <c r="B56252" s="7"/>
    </row>
    <row r="56253" ht="15.75" customHeight="1">
      <c r="A56253" s="7"/>
      <c r="B56253" s="7"/>
    </row>
    <row r="56254" ht="15.75" customHeight="1">
      <c r="A56254" s="7"/>
      <c r="B56254" s="7"/>
    </row>
    <row r="56255" ht="15.75" customHeight="1">
      <c r="A56255" s="7"/>
      <c r="B56255" s="7"/>
    </row>
    <row r="56256" ht="15.75" customHeight="1">
      <c r="A56256" s="7"/>
      <c r="B56256" s="7"/>
    </row>
    <row r="56257" ht="15.75" customHeight="1">
      <c r="A56257" s="7"/>
      <c r="B56257" s="7"/>
    </row>
    <row r="56258" ht="15.75" customHeight="1">
      <c r="A56258" s="7"/>
      <c r="B56258" s="7"/>
    </row>
    <row r="56259" ht="15.75" customHeight="1">
      <c r="A56259" s="7"/>
      <c r="B56259" s="7"/>
    </row>
    <row r="56260" ht="15.75" customHeight="1">
      <c r="A56260" s="7"/>
      <c r="B56260" s="7"/>
    </row>
    <row r="56261" ht="15.75" customHeight="1">
      <c r="A56261" s="7"/>
      <c r="B56261" s="7"/>
    </row>
    <row r="56262" ht="15.75" customHeight="1">
      <c r="A56262" s="7"/>
      <c r="B56262" s="7"/>
    </row>
    <row r="56263" ht="15.75" customHeight="1">
      <c r="A56263" s="7"/>
      <c r="B56263" s="7"/>
    </row>
    <row r="56264" ht="15.75" customHeight="1">
      <c r="A56264" s="7"/>
      <c r="B56264" s="7"/>
    </row>
    <row r="56265" ht="15.75" customHeight="1">
      <c r="A56265" s="7"/>
      <c r="B56265" s="7"/>
    </row>
    <row r="56266" ht="15.75" customHeight="1">
      <c r="A56266" s="7"/>
      <c r="B56266" s="7"/>
    </row>
    <row r="56267" ht="15.75" customHeight="1">
      <c r="A56267" s="7"/>
      <c r="B56267" s="7"/>
    </row>
    <row r="56268" ht="15.75" customHeight="1">
      <c r="A56268" s="7"/>
      <c r="B56268" s="7"/>
    </row>
    <row r="56269" ht="15.75" customHeight="1">
      <c r="A56269" s="7"/>
      <c r="B56269" s="7"/>
    </row>
    <row r="56270" ht="15.75" customHeight="1">
      <c r="A56270" s="7"/>
      <c r="B56270" s="7"/>
    </row>
    <row r="56271" ht="15.75" customHeight="1">
      <c r="A56271" s="7"/>
      <c r="B56271" s="7"/>
    </row>
    <row r="56272" ht="15.75" customHeight="1">
      <c r="A56272" s="7"/>
      <c r="B56272" s="7"/>
    </row>
    <row r="56273" ht="15.75" customHeight="1">
      <c r="A56273" s="7"/>
      <c r="B56273" s="7"/>
    </row>
    <row r="56274" ht="15.75" customHeight="1">
      <c r="A56274" s="7"/>
      <c r="B56274" s="7"/>
    </row>
    <row r="56275" ht="15.75" customHeight="1">
      <c r="A56275" s="7"/>
      <c r="B56275" s="7"/>
    </row>
    <row r="56276" ht="15.75" customHeight="1">
      <c r="A56276" s="7"/>
      <c r="B56276" s="7"/>
    </row>
    <row r="56277" ht="15.75" customHeight="1">
      <c r="A56277" s="7"/>
      <c r="B56277" s="7"/>
    </row>
    <row r="56278" ht="15.75" customHeight="1">
      <c r="A56278" s="7"/>
      <c r="B56278" s="7"/>
    </row>
    <row r="56279" ht="15.75" customHeight="1">
      <c r="A56279" s="7"/>
      <c r="B56279" s="7"/>
    </row>
    <row r="56280" ht="15.75" customHeight="1">
      <c r="A56280" s="7"/>
      <c r="B56280" s="7"/>
    </row>
    <row r="56281" ht="15.75" customHeight="1">
      <c r="A56281" s="7"/>
      <c r="B56281" s="7"/>
    </row>
    <row r="56282" ht="15.75" customHeight="1">
      <c r="A56282" s="7"/>
      <c r="B56282" s="7"/>
    </row>
    <row r="56283" ht="15.75" customHeight="1">
      <c r="A56283" s="7"/>
      <c r="B56283" s="7"/>
    </row>
    <row r="56284" ht="15.75" customHeight="1">
      <c r="A56284" s="7"/>
      <c r="B56284" s="7"/>
    </row>
    <row r="56285" ht="15.75" customHeight="1">
      <c r="A56285" s="7"/>
      <c r="B56285" s="7"/>
    </row>
    <row r="56286" ht="15.75" customHeight="1">
      <c r="A56286" s="7"/>
      <c r="B56286" s="7"/>
    </row>
    <row r="56287" ht="15.75" customHeight="1">
      <c r="A56287" s="7"/>
      <c r="B56287" s="7"/>
    </row>
    <row r="56288" ht="15.75" customHeight="1">
      <c r="A56288" s="7"/>
      <c r="B56288" s="7"/>
    </row>
    <row r="56289" ht="15.75" customHeight="1">
      <c r="A56289" s="7"/>
      <c r="B56289" s="7"/>
    </row>
    <row r="56290" ht="15.75" customHeight="1">
      <c r="A56290" s="7"/>
      <c r="B56290" s="7"/>
    </row>
    <row r="56291" ht="15.75" customHeight="1">
      <c r="A56291" s="7"/>
      <c r="B56291" s="7"/>
    </row>
    <row r="56292" ht="15.75" customHeight="1">
      <c r="A56292" s="7"/>
      <c r="B56292" s="7"/>
    </row>
    <row r="56293" ht="15.75" customHeight="1">
      <c r="A56293" s="7"/>
      <c r="B56293" s="7"/>
    </row>
    <row r="56294" ht="15.75" customHeight="1">
      <c r="A56294" s="7"/>
      <c r="B56294" s="7"/>
    </row>
    <row r="56295" ht="15.75" customHeight="1">
      <c r="A56295" s="7"/>
      <c r="B56295" s="7"/>
    </row>
    <row r="56296" ht="15.75" customHeight="1">
      <c r="A56296" s="7"/>
      <c r="B56296" s="7"/>
    </row>
    <row r="56297" ht="15.75" customHeight="1">
      <c r="A56297" s="7"/>
      <c r="B56297" s="7"/>
    </row>
    <row r="56298" ht="15.75" customHeight="1">
      <c r="A56298" s="7"/>
      <c r="B56298" s="7"/>
    </row>
    <row r="56299" ht="15.75" customHeight="1">
      <c r="A56299" s="7"/>
      <c r="B56299" s="7"/>
    </row>
    <row r="56300" ht="15.75" customHeight="1">
      <c r="A56300" s="7"/>
      <c r="B56300" s="7"/>
    </row>
    <row r="56301" ht="15.75" customHeight="1">
      <c r="A56301" s="7"/>
      <c r="B56301" s="7"/>
    </row>
    <row r="56302" ht="15.75" customHeight="1">
      <c r="A56302" s="7"/>
      <c r="B56302" s="7"/>
    </row>
    <row r="56303" ht="15.75" customHeight="1">
      <c r="A56303" s="7"/>
      <c r="B56303" s="7"/>
    </row>
    <row r="56304" ht="15.75" customHeight="1">
      <c r="A56304" s="7"/>
      <c r="B56304" s="7"/>
    </row>
    <row r="56305" ht="15.75" customHeight="1">
      <c r="A56305" s="7"/>
      <c r="B56305" s="7"/>
    </row>
    <row r="56306" ht="15.75" customHeight="1">
      <c r="A56306" s="7"/>
      <c r="B56306" s="7"/>
    </row>
    <row r="56307" ht="15.75" customHeight="1">
      <c r="A56307" s="7"/>
      <c r="B56307" s="7"/>
    </row>
    <row r="56308" ht="15.75" customHeight="1">
      <c r="A56308" s="7"/>
      <c r="B56308" s="7"/>
    </row>
    <row r="56309" ht="15.75" customHeight="1">
      <c r="A56309" s="7"/>
      <c r="B56309" s="7"/>
    </row>
    <row r="56310" ht="15.75" customHeight="1">
      <c r="A56310" s="7"/>
      <c r="B56310" s="7"/>
    </row>
    <row r="56311" ht="15.75" customHeight="1">
      <c r="A56311" s="7"/>
      <c r="B56311" s="7"/>
    </row>
    <row r="56312" ht="15.75" customHeight="1">
      <c r="A56312" s="7"/>
      <c r="B56312" s="7"/>
    </row>
    <row r="56313" ht="15.75" customHeight="1">
      <c r="A56313" s="7"/>
      <c r="B56313" s="7"/>
    </row>
    <row r="56314" ht="15.75" customHeight="1">
      <c r="A56314" s="7"/>
      <c r="B56314" s="7"/>
    </row>
    <row r="56315" ht="15.75" customHeight="1">
      <c r="A56315" s="7"/>
      <c r="B56315" s="7"/>
    </row>
    <row r="56316" ht="15.75" customHeight="1">
      <c r="A56316" s="7"/>
      <c r="B56316" s="7"/>
    </row>
    <row r="56317" ht="15.75" customHeight="1">
      <c r="A56317" s="7"/>
      <c r="B56317" s="7"/>
    </row>
    <row r="56318" ht="15.75" customHeight="1">
      <c r="A56318" s="7"/>
      <c r="B56318" s="7"/>
    </row>
    <row r="56319" ht="15.75" customHeight="1">
      <c r="A56319" s="7"/>
      <c r="B56319" s="7"/>
    </row>
    <row r="56320" ht="15.75" customHeight="1">
      <c r="A56320" s="7"/>
      <c r="B56320" s="7"/>
    </row>
    <row r="56321" ht="15.75" customHeight="1">
      <c r="A56321" s="7"/>
      <c r="B56321" s="7"/>
    </row>
    <row r="56322" ht="15.75" customHeight="1">
      <c r="A56322" s="7"/>
      <c r="B56322" s="7"/>
    </row>
    <row r="56323" ht="15.75" customHeight="1">
      <c r="A56323" s="7"/>
      <c r="B56323" s="7"/>
    </row>
    <row r="56324" ht="15.75" customHeight="1">
      <c r="A56324" s="7"/>
      <c r="B56324" s="7"/>
    </row>
    <row r="56325" ht="15.75" customHeight="1">
      <c r="A56325" s="7"/>
      <c r="B56325" s="7"/>
    </row>
    <row r="56326" ht="15.75" customHeight="1">
      <c r="A56326" s="7"/>
      <c r="B56326" s="7"/>
    </row>
    <row r="56327" ht="15.75" customHeight="1">
      <c r="A56327" s="7"/>
      <c r="B56327" s="7"/>
    </row>
    <row r="56328" ht="15.75" customHeight="1">
      <c r="A56328" s="7"/>
      <c r="B56328" s="7"/>
    </row>
    <row r="56329" ht="15.75" customHeight="1">
      <c r="A56329" s="7"/>
      <c r="B56329" s="7"/>
    </row>
    <row r="56330" ht="15.75" customHeight="1">
      <c r="A56330" s="7"/>
      <c r="B56330" s="7"/>
    </row>
    <row r="56331" ht="15.75" customHeight="1">
      <c r="A56331" s="7"/>
      <c r="B56331" s="7"/>
    </row>
    <row r="56332" ht="15.75" customHeight="1">
      <c r="A56332" s="7"/>
      <c r="B56332" s="7"/>
    </row>
    <row r="56333" ht="15.75" customHeight="1">
      <c r="A56333" s="7"/>
      <c r="B56333" s="7"/>
    </row>
    <row r="56334" ht="15.75" customHeight="1">
      <c r="A56334" s="7"/>
      <c r="B56334" s="7"/>
    </row>
    <row r="56335" ht="15.75" customHeight="1">
      <c r="A56335" s="7"/>
      <c r="B56335" s="7"/>
    </row>
    <row r="56336" ht="15.75" customHeight="1">
      <c r="A56336" s="7"/>
      <c r="B56336" s="7"/>
    </row>
    <row r="56337" ht="15.75" customHeight="1">
      <c r="A56337" s="7"/>
      <c r="B56337" s="7"/>
    </row>
    <row r="56338" ht="15.75" customHeight="1">
      <c r="A56338" s="7"/>
      <c r="B56338" s="7"/>
    </row>
    <row r="56339" ht="15.75" customHeight="1">
      <c r="A56339" s="7"/>
      <c r="B56339" s="7"/>
    </row>
    <row r="56340" ht="15.75" customHeight="1">
      <c r="A56340" s="7"/>
      <c r="B56340" s="7"/>
    </row>
    <row r="56341" ht="15.75" customHeight="1">
      <c r="A56341" s="7"/>
      <c r="B56341" s="7"/>
    </row>
    <row r="56342" ht="15.75" customHeight="1">
      <c r="A56342" s="7"/>
      <c r="B56342" s="7"/>
    </row>
    <row r="56343" ht="15.75" customHeight="1">
      <c r="A56343" s="7"/>
      <c r="B56343" s="7"/>
    </row>
    <row r="56344" ht="15.75" customHeight="1">
      <c r="A56344" s="7"/>
      <c r="B56344" s="7"/>
    </row>
    <row r="56345" ht="15.75" customHeight="1">
      <c r="A56345" s="7"/>
      <c r="B56345" s="7"/>
    </row>
    <row r="56346" ht="15.75" customHeight="1">
      <c r="A56346" s="7"/>
      <c r="B56346" s="7"/>
    </row>
    <row r="56347" ht="15.75" customHeight="1">
      <c r="A56347" s="7"/>
      <c r="B56347" s="7"/>
    </row>
    <row r="56348" ht="15.75" customHeight="1">
      <c r="A56348" s="7"/>
      <c r="B56348" s="7"/>
    </row>
    <row r="56349" ht="15.75" customHeight="1">
      <c r="A56349" s="7"/>
      <c r="B56349" s="7"/>
    </row>
    <row r="56350" ht="15.75" customHeight="1">
      <c r="A56350" s="7"/>
      <c r="B56350" s="7"/>
    </row>
    <row r="56351" ht="15.75" customHeight="1">
      <c r="A56351" s="7"/>
      <c r="B56351" s="7"/>
    </row>
    <row r="56352" ht="15.75" customHeight="1">
      <c r="A56352" s="7"/>
      <c r="B56352" s="7"/>
    </row>
    <row r="56353" ht="15.75" customHeight="1">
      <c r="A56353" s="7"/>
      <c r="B56353" s="7"/>
    </row>
    <row r="56354" ht="15.75" customHeight="1">
      <c r="A56354" s="7"/>
      <c r="B56354" s="7"/>
    </row>
    <row r="56355" ht="15.75" customHeight="1">
      <c r="A56355" s="7"/>
      <c r="B56355" s="7"/>
    </row>
    <row r="56356" ht="15.75" customHeight="1">
      <c r="A56356" s="7"/>
      <c r="B56356" s="7"/>
    </row>
    <row r="56357" ht="15.75" customHeight="1">
      <c r="A56357" s="7"/>
      <c r="B56357" s="7"/>
    </row>
    <row r="56358" ht="15.75" customHeight="1">
      <c r="A56358" s="7"/>
      <c r="B56358" s="7"/>
    </row>
    <row r="56359" ht="15.75" customHeight="1">
      <c r="A56359" s="7"/>
      <c r="B56359" s="7"/>
    </row>
    <row r="56360" ht="15.75" customHeight="1">
      <c r="A56360" s="7"/>
      <c r="B56360" s="7"/>
    </row>
    <row r="56361" ht="15.75" customHeight="1">
      <c r="A56361" s="7"/>
      <c r="B56361" s="7"/>
    </row>
    <row r="56362" ht="15.75" customHeight="1">
      <c r="A56362" s="7"/>
      <c r="B56362" s="7"/>
    </row>
    <row r="56363" ht="15.75" customHeight="1">
      <c r="A56363" s="7"/>
      <c r="B56363" s="7"/>
    </row>
    <row r="56364" ht="15.75" customHeight="1">
      <c r="A56364" s="7"/>
      <c r="B56364" s="7"/>
    </row>
    <row r="56365" ht="15.75" customHeight="1">
      <c r="A56365" s="7"/>
      <c r="B56365" s="7"/>
    </row>
    <row r="56366" ht="15.75" customHeight="1">
      <c r="A56366" s="7"/>
      <c r="B56366" s="7"/>
    </row>
    <row r="56367" ht="15.75" customHeight="1">
      <c r="A56367" s="7"/>
      <c r="B56367" s="7"/>
    </row>
    <row r="56368" ht="15.75" customHeight="1">
      <c r="A56368" s="7"/>
      <c r="B56368" s="7"/>
    </row>
    <row r="56369" ht="15.75" customHeight="1">
      <c r="A56369" s="7"/>
      <c r="B56369" s="7"/>
    </row>
    <row r="56370" ht="15.75" customHeight="1">
      <c r="A56370" s="7"/>
      <c r="B56370" s="7"/>
    </row>
    <row r="56371" ht="15.75" customHeight="1">
      <c r="A56371" s="7"/>
      <c r="B56371" s="7"/>
    </row>
    <row r="56372" ht="15.75" customHeight="1">
      <c r="A56372" s="7"/>
      <c r="B56372" s="7"/>
    </row>
    <row r="56373" ht="15.75" customHeight="1">
      <c r="A56373" s="7"/>
      <c r="B56373" s="7"/>
    </row>
    <row r="56374" ht="15.75" customHeight="1">
      <c r="A56374" s="7"/>
      <c r="B56374" s="7"/>
    </row>
    <row r="56375" ht="15.75" customHeight="1">
      <c r="A56375" s="7"/>
      <c r="B56375" s="7"/>
    </row>
    <row r="56376" ht="15.75" customHeight="1">
      <c r="A56376" s="7"/>
      <c r="B56376" s="7"/>
    </row>
    <row r="56377" ht="15.75" customHeight="1">
      <c r="A56377" s="7"/>
      <c r="B56377" s="7"/>
    </row>
    <row r="56378" ht="15.75" customHeight="1">
      <c r="A56378" s="7"/>
      <c r="B56378" s="7"/>
    </row>
    <row r="56379" ht="15.75" customHeight="1">
      <c r="A56379" s="7"/>
      <c r="B56379" s="7"/>
    </row>
    <row r="56380" ht="15.75" customHeight="1">
      <c r="A56380" s="7"/>
      <c r="B56380" s="7"/>
    </row>
    <row r="56381" ht="15.75" customHeight="1">
      <c r="A56381" s="7"/>
      <c r="B56381" s="7"/>
    </row>
    <row r="56382" ht="15.75" customHeight="1">
      <c r="A56382" s="7"/>
      <c r="B56382" s="7"/>
    </row>
    <row r="56383" ht="15.75" customHeight="1">
      <c r="A56383" s="7"/>
      <c r="B56383" s="7"/>
    </row>
    <row r="56384" ht="15.75" customHeight="1">
      <c r="A56384" s="7"/>
      <c r="B56384" s="7"/>
    </row>
    <row r="56385" ht="15.75" customHeight="1">
      <c r="A56385" s="7"/>
      <c r="B56385" s="7"/>
    </row>
    <row r="56386" ht="15.75" customHeight="1">
      <c r="A56386" s="7"/>
      <c r="B56386" s="7"/>
    </row>
    <row r="56387" ht="15.75" customHeight="1">
      <c r="A56387" s="7"/>
      <c r="B56387" s="7"/>
    </row>
    <row r="56388" ht="15.75" customHeight="1">
      <c r="A56388" s="7"/>
      <c r="B56388" s="7"/>
    </row>
    <row r="56389" ht="15.75" customHeight="1">
      <c r="A56389" s="7"/>
      <c r="B56389" s="7"/>
    </row>
    <row r="56390" ht="15.75" customHeight="1">
      <c r="A56390" s="7"/>
      <c r="B56390" s="7"/>
    </row>
    <row r="56391" ht="15.75" customHeight="1">
      <c r="A56391" s="7"/>
      <c r="B56391" s="7"/>
    </row>
    <row r="56392" ht="15.75" customHeight="1">
      <c r="A56392" s="7"/>
      <c r="B56392" s="7"/>
    </row>
    <row r="56393" ht="15.75" customHeight="1">
      <c r="A56393" s="7"/>
      <c r="B56393" s="7"/>
    </row>
    <row r="56394" ht="15.75" customHeight="1">
      <c r="A56394" s="7"/>
      <c r="B56394" s="7"/>
    </row>
    <row r="56395" ht="15.75" customHeight="1">
      <c r="A56395" s="7"/>
      <c r="B56395" s="7"/>
    </row>
    <row r="56396" ht="15.75" customHeight="1">
      <c r="A56396" s="7"/>
      <c r="B56396" s="7"/>
    </row>
    <row r="56397" ht="15.75" customHeight="1">
      <c r="A56397" s="7"/>
      <c r="B56397" s="7"/>
    </row>
    <row r="56398" ht="15.75" customHeight="1">
      <c r="A56398" s="7"/>
      <c r="B56398" s="7"/>
    </row>
    <row r="56399" ht="15.75" customHeight="1">
      <c r="A56399" s="7"/>
      <c r="B56399" s="7"/>
    </row>
    <row r="56400" ht="15.75" customHeight="1">
      <c r="A56400" s="7"/>
      <c r="B56400" s="7"/>
    </row>
    <row r="56401" ht="15.75" customHeight="1">
      <c r="A56401" s="7"/>
      <c r="B56401" s="7"/>
    </row>
    <row r="56402" ht="15.75" customHeight="1">
      <c r="A56402" s="7"/>
      <c r="B56402" s="7"/>
    </row>
    <row r="56403" ht="15.75" customHeight="1">
      <c r="A56403" s="7"/>
      <c r="B56403" s="7"/>
    </row>
    <row r="56404" ht="15.75" customHeight="1">
      <c r="A56404" s="7"/>
      <c r="B56404" s="7"/>
    </row>
    <row r="56405" ht="15.75" customHeight="1">
      <c r="A56405" s="7"/>
      <c r="B56405" s="7"/>
    </row>
    <row r="56406" ht="15.75" customHeight="1">
      <c r="A56406" s="7"/>
      <c r="B56406" s="7"/>
    </row>
    <row r="56407" ht="15.75" customHeight="1">
      <c r="A56407" s="7"/>
      <c r="B56407" s="7"/>
    </row>
    <row r="56408" ht="15.75" customHeight="1">
      <c r="A56408" s="7"/>
      <c r="B56408" s="7"/>
    </row>
    <row r="56409" ht="15.75" customHeight="1">
      <c r="A56409" s="7"/>
      <c r="B56409" s="7"/>
    </row>
    <row r="56410" ht="15.75" customHeight="1">
      <c r="A56410" s="7"/>
      <c r="B56410" s="7"/>
    </row>
    <row r="56411" ht="15.75" customHeight="1">
      <c r="A56411" s="7"/>
      <c r="B56411" s="7"/>
    </row>
    <row r="56412" ht="15.75" customHeight="1">
      <c r="A56412" s="7"/>
      <c r="B56412" s="7"/>
    </row>
    <row r="56413" ht="15.75" customHeight="1">
      <c r="A56413" s="7"/>
      <c r="B56413" s="7"/>
    </row>
    <row r="56414" ht="15.75" customHeight="1">
      <c r="A56414" s="7"/>
      <c r="B56414" s="7"/>
    </row>
    <row r="56415" ht="15.75" customHeight="1">
      <c r="A56415" s="7"/>
      <c r="B56415" s="7"/>
    </row>
    <row r="56416" ht="15.75" customHeight="1">
      <c r="A56416" s="7"/>
      <c r="B56416" s="7"/>
    </row>
    <row r="56417" ht="15.75" customHeight="1">
      <c r="A56417" s="7"/>
      <c r="B56417" s="7"/>
    </row>
    <row r="56418" ht="15.75" customHeight="1">
      <c r="A56418" s="7"/>
      <c r="B56418" s="7"/>
    </row>
    <row r="56419" ht="15.75" customHeight="1">
      <c r="A56419" s="7"/>
      <c r="B56419" s="7"/>
    </row>
    <row r="56420" ht="15.75" customHeight="1">
      <c r="A56420" s="7"/>
      <c r="B56420" s="7"/>
    </row>
    <row r="56421" ht="15.75" customHeight="1">
      <c r="A56421" s="7"/>
      <c r="B56421" s="7"/>
    </row>
    <row r="56422" ht="15.75" customHeight="1">
      <c r="A56422" s="7"/>
      <c r="B56422" s="7"/>
    </row>
    <row r="56423" ht="15.75" customHeight="1">
      <c r="A56423" s="7"/>
      <c r="B56423" s="7"/>
    </row>
    <row r="56424" ht="15.75" customHeight="1">
      <c r="A56424" s="7"/>
      <c r="B56424" s="7"/>
    </row>
    <row r="56425" ht="15.75" customHeight="1">
      <c r="A56425" s="7"/>
      <c r="B56425" s="7"/>
    </row>
    <row r="56426" ht="15.75" customHeight="1">
      <c r="A56426" s="7"/>
      <c r="B56426" s="7"/>
    </row>
    <row r="56427" ht="15.75" customHeight="1">
      <c r="A56427" s="7"/>
      <c r="B56427" s="7"/>
    </row>
    <row r="56428" ht="15.75" customHeight="1">
      <c r="A56428" s="7"/>
      <c r="B56428" s="7"/>
    </row>
    <row r="56429" ht="15.75" customHeight="1">
      <c r="A56429" s="7"/>
      <c r="B56429" s="7"/>
    </row>
    <row r="56430" ht="15.75" customHeight="1">
      <c r="A56430" s="7"/>
      <c r="B56430" s="7"/>
    </row>
    <row r="56431" ht="15.75" customHeight="1">
      <c r="A56431" s="7"/>
      <c r="B56431" s="7"/>
    </row>
    <row r="56432" ht="15.75" customHeight="1">
      <c r="A56432" s="7"/>
      <c r="B56432" s="7"/>
    </row>
    <row r="56433" ht="15.75" customHeight="1">
      <c r="A56433" s="7"/>
      <c r="B56433" s="7"/>
    </row>
    <row r="56434" ht="15.75" customHeight="1">
      <c r="A56434" s="7"/>
      <c r="B56434" s="7"/>
    </row>
    <row r="56435" ht="15.75" customHeight="1">
      <c r="A56435" s="7"/>
      <c r="B56435" s="7"/>
    </row>
    <row r="56436" ht="15.75" customHeight="1">
      <c r="A56436" s="7"/>
      <c r="B56436" s="7"/>
    </row>
    <row r="56437" ht="15.75" customHeight="1">
      <c r="A56437" s="7"/>
      <c r="B56437" s="7"/>
    </row>
    <row r="56438" ht="15.75" customHeight="1">
      <c r="A56438" s="7"/>
      <c r="B56438" s="7"/>
    </row>
    <row r="56439" ht="15.75" customHeight="1">
      <c r="A56439" s="7"/>
      <c r="B56439" s="7"/>
    </row>
    <row r="56440" ht="15.75" customHeight="1">
      <c r="A56440" s="7"/>
      <c r="B56440" s="7"/>
    </row>
    <row r="56441" ht="15.75" customHeight="1">
      <c r="A56441" s="7"/>
      <c r="B56441" s="7"/>
    </row>
    <row r="56442" ht="15.75" customHeight="1">
      <c r="A56442" s="7"/>
      <c r="B56442" s="7"/>
    </row>
    <row r="56443" ht="15.75" customHeight="1">
      <c r="A56443" s="7"/>
      <c r="B56443" s="7"/>
    </row>
    <row r="56444" ht="15.75" customHeight="1">
      <c r="A56444" s="7"/>
      <c r="B56444" s="7"/>
    </row>
    <row r="56445" ht="15.75" customHeight="1">
      <c r="A56445" s="7"/>
      <c r="B56445" s="7"/>
    </row>
    <row r="56446" ht="15.75" customHeight="1">
      <c r="A56446" s="7"/>
      <c r="B56446" s="7"/>
    </row>
    <row r="56447" ht="15.75" customHeight="1">
      <c r="A56447" s="7"/>
      <c r="B56447" s="7"/>
    </row>
    <row r="56448" ht="15.75" customHeight="1">
      <c r="A56448" s="7"/>
      <c r="B56448" s="7"/>
    </row>
    <row r="56449" ht="15.75" customHeight="1">
      <c r="A56449" s="7"/>
      <c r="B56449" s="7"/>
    </row>
    <row r="56450" ht="15.75" customHeight="1">
      <c r="A56450" s="7"/>
      <c r="B56450" s="7"/>
    </row>
    <row r="56451" ht="15.75" customHeight="1">
      <c r="A56451" s="7"/>
      <c r="B56451" s="7"/>
    </row>
    <row r="56452" ht="15.75" customHeight="1">
      <c r="A56452" s="7"/>
      <c r="B56452" s="7"/>
    </row>
    <row r="56453" ht="15.75" customHeight="1">
      <c r="A56453" s="7"/>
      <c r="B56453" s="7"/>
    </row>
    <row r="56454" ht="15.75" customHeight="1">
      <c r="A56454" s="7"/>
      <c r="B56454" s="7"/>
    </row>
    <row r="56455" ht="15.75" customHeight="1">
      <c r="A56455" s="7"/>
      <c r="B56455" s="7"/>
    </row>
    <row r="56456" ht="15.75" customHeight="1">
      <c r="A56456" s="7"/>
      <c r="B56456" s="7"/>
    </row>
    <row r="56457" ht="15.75" customHeight="1">
      <c r="A56457" s="7"/>
      <c r="B56457" s="7"/>
    </row>
    <row r="56458" ht="15.75" customHeight="1">
      <c r="A56458" s="7"/>
      <c r="B56458" s="7"/>
    </row>
    <row r="56459" ht="15.75" customHeight="1">
      <c r="A56459" s="7"/>
      <c r="B56459" s="7"/>
    </row>
    <row r="56460" ht="15.75" customHeight="1">
      <c r="A56460" s="7"/>
      <c r="B56460" s="7"/>
    </row>
    <row r="56461" ht="15.75" customHeight="1">
      <c r="A56461" s="7"/>
      <c r="B56461" s="7"/>
    </row>
    <row r="56462" ht="15.75" customHeight="1">
      <c r="A56462" s="7"/>
      <c r="B56462" s="7"/>
    </row>
    <row r="56463" ht="15.75" customHeight="1">
      <c r="A56463" s="7"/>
      <c r="B56463" s="7"/>
    </row>
    <row r="56464" ht="15.75" customHeight="1">
      <c r="A56464" s="7"/>
      <c r="B56464" s="7"/>
    </row>
    <row r="56465" ht="15.75" customHeight="1">
      <c r="A56465" s="7"/>
      <c r="B56465" s="7"/>
    </row>
    <row r="56466" ht="15.75" customHeight="1">
      <c r="A56466" s="7"/>
      <c r="B56466" s="7"/>
    </row>
    <row r="56467" ht="15.75" customHeight="1">
      <c r="A56467" s="7"/>
      <c r="B56467" s="7"/>
    </row>
    <row r="56468" ht="15.75" customHeight="1">
      <c r="A56468" s="7"/>
      <c r="B56468" s="7"/>
    </row>
    <row r="56469" ht="15.75" customHeight="1">
      <c r="A56469" s="7"/>
      <c r="B56469" s="7"/>
    </row>
    <row r="56470" ht="15.75" customHeight="1">
      <c r="A56470" s="7"/>
      <c r="B56470" s="7"/>
    </row>
    <row r="56471" ht="15.75" customHeight="1">
      <c r="A56471" s="7"/>
      <c r="B56471" s="7"/>
    </row>
    <row r="56472" ht="15.75" customHeight="1">
      <c r="A56472" s="7"/>
      <c r="B56472" s="7"/>
    </row>
    <row r="56473" ht="15.75" customHeight="1">
      <c r="A56473" s="7"/>
      <c r="B56473" s="7"/>
    </row>
    <row r="56474" ht="15.75" customHeight="1">
      <c r="A56474" s="7"/>
      <c r="B56474" s="7"/>
    </row>
    <row r="56475" ht="15.75" customHeight="1">
      <c r="A56475" s="7"/>
      <c r="B56475" s="7"/>
    </row>
    <row r="56476" ht="15.75" customHeight="1">
      <c r="A56476" s="7"/>
      <c r="B56476" s="7"/>
    </row>
    <row r="56477" ht="15.75" customHeight="1">
      <c r="A56477" s="7"/>
      <c r="B56477" s="7"/>
    </row>
    <row r="56478" ht="15.75" customHeight="1">
      <c r="A56478" s="7"/>
      <c r="B56478" s="7"/>
    </row>
    <row r="56479" ht="15.75" customHeight="1">
      <c r="A56479" s="7"/>
      <c r="B56479" s="7"/>
    </row>
    <row r="56480" ht="15.75" customHeight="1">
      <c r="A56480" s="7"/>
      <c r="B56480" s="7"/>
    </row>
    <row r="56481" ht="15.75" customHeight="1">
      <c r="A56481" s="7"/>
      <c r="B56481" s="7"/>
    </row>
    <row r="56482" ht="15.75" customHeight="1">
      <c r="A56482" s="7"/>
      <c r="B56482" s="7"/>
    </row>
    <row r="56483" ht="15.75" customHeight="1">
      <c r="A56483" s="7"/>
      <c r="B56483" s="7"/>
    </row>
    <row r="56484" ht="15.75" customHeight="1">
      <c r="A56484" s="7"/>
      <c r="B56484" s="7"/>
    </row>
    <row r="56485" ht="15.75" customHeight="1">
      <c r="A56485" s="7"/>
      <c r="B56485" s="7"/>
    </row>
    <row r="56486" ht="15.75" customHeight="1">
      <c r="A56486" s="7"/>
      <c r="B56486" s="7"/>
    </row>
    <row r="56487" ht="15.75" customHeight="1">
      <c r="A56487" s="7"/>
      <c r="B56487" s="7"/>
    </row>
    <row r="56488" ht="15.75" customHeight="1">
      <c r="A56488" s="7"/>
      <c r="B56488" s="7"/>
    </row>
    <row r="56489" ht="15.75" customHeight="1">
      <c r="A56489" s="7"/>
      <c r="B56489" s="7"/>
    </row>
    <row r="56490" ht="15.75" customHeight="1">
      <c r="A56490" s="7"/>
      <c r="B56490" s="7"/>
    </row>
    <row r="56491" ht="15.75" customHeight="1">
      <c r="A56491" s="7"/>
      <c r="B56491" s="7"/>
    </row>
    <row r="56492" ht="15.75" customHeight="1">
      <c r="A56492" s="7"/>
      <c r="B56492" s="7"/>
    </row>
    <row r="56493" ht="15.75" customHeight="1">
      <c r="A56493" s="7"/>
      <c r="B56493" s="7"/>
    </row>
    <row r="56494" ht="15.75" customHeight="1">
      <c r="A56494" s="7"/>
      <c r="B56494" s="7"/>
    </row>
    <row r="56495" ht="15.75" customHeight="1">
      <c r="A56495" s="7"/>
      <c r="B56495" s="7"/>
    </row>
    <row r="56496" ht="15.75" customHeight="1">
      <c r="A56496" s="7"/>
      <c r="B56496" s="7"/>
    </row>
    <row r="56497" ht="15.75" customHeight="1">
      <c r="A56497" s="7"/>
      <c r="B56497" s="7"/>
    </row>
    <row r="56498" ht="15.75" customHeight="1">
      <c r="A56498" s="7"/>
      <c r="B56498" s="7"/>
    </row>
    <row r="56499" ht="15.75" customHeight="1">
      <c r="A56499" s="7"/>
      <c r="B56499" s="7"/>
    </row>
    <row r="56500" ht="15.75" customHeight="1">
      <c r="A56500" s="7"/>
      <c r="B56500" s="7"/>
    </row>
    <row r="56501" ht="15.75" customHeight="1">
      <c r="A56501" s="7"/>
      <c r="B56501" s="7"/>
    </row>
    <row r="56502" ht="15.75" customHeight="1">
      <c r="A56502" s="7"/>
      <c r="B56502" s="7"/>
    </row>
    <row r="56503" ht="15.75" customHeight="1">
      <c r="A56503" s="7"/>
      <c r="B56503" s="7"/>
    </row>
    <row r="56504" ht="15.75" customHeight="1">
      <c r="A56504" s="7"/>
      <c r="B56504" s="7"/>
    </row>
    <row r="56505" ht="15.75" customHeight="1">
      <c r="A56505" s="7"/>
      <c r="B56505" s="7"/>
    </row>
    <row r="56506" ht="15.75" customHeight="1">
      <c r="A56506" s="7"/>
      <c r="B56506" s="7"/>
    </row>
    <row r="56507" ht="15.75" customHeight="1">
      <c r="A56507" s="7"/>
      <c r="B56507" s="7"/>
    </row>
    <row r="56508" ht="15.75" customHeight="1">
      <c r="A56508" s="7"/>
      <c r="B56508" s="7"/>
    </row>
    <row r="56509" ht="15.75" customHeight="1">
      <c r="A56509" s="7"/>
      <c r="B56509" s="7"/>
    </row>
    <row r="56510" ht="15.75" customHeight="1">
      <c r="A56510" s="7"/>
      <c r="B56510" s="7"/>
    </row>
    <row r="56511" ht="15.75" customHeight="1">
      <c r="A56511" s="7"/>
      <c r="B56511" s="7"/>
    </row>
    <row r="56512" ht="15.75" customHeight="1">
      <c r="A56512" s="7"/>
      <c r="B56512" s="7"/>
    </row>
    <row r="56513" ht="15.75" customHeight="1">
      <c r="A56513" s="7"/>
      <c r="B56513" s="7"/>
    </row>
    <row r="56514" ht="15.75" customHeight="1">
      <c r="A56514" s="7"/>
      <c r="B56514" s="7"/>
    </row>
    <row r="56515" ht="15.75" customHeight="1">
      <c r="A56515" s="7"/>
      <c r="B56515" s="7"/>
    </row>
    <row r="56516" ht="15.75" customHeight="1">
      <c r="A56516" s="7"/>
      <c r="B56516" s="7"/>
    </row>
    <row r="56517" ht="15.75" customHeight="1">
      <c r="A56517" s="7"/>
      <c r="B56517" s="7"/>
    </row>
    <row r="56518" ht="15.75" customHeight="1">
      <c r="A56518" s="7"/>
      <c r="B56518" s="7"/>
    </row>
    <row r="56519" ht="15.75" customHeight="1">
      <c r="A56519" s="7"/>
      <c r="B56519" s="7"/>
    </row>
    <row r="56520" ht="15.75" customHeight="1">
      <c r="A56520" s="7"/>
      <c r="B56520" s="7"/>
    </row>
    <row r="56521" ht="15.75" customHeight="1">
      <c r="A56521" s="7"/>
      <c r="B56521" s="7"/>
    </row>
    <row r="56522" ht="15.75" customHeight="1">
      <c r="A56522" s="7"/>
      <c r="B56522" s="7"/>
    </row>
    <row r="56523" ht="15.75" customHeight="1">
      <c r="A56523" s="7"/>
      <c r="B56523" s="7"/>
    </row>
    <row r="56524" ht="15.75" customHeight="1">
      <c r="A56524" s="7"/>
      <c r="B56524" s="7"/>
    </row>
    <row r="56525" ht="15.75" customHeight="1">
      <c r="A56525" s="7"/>
      <c r="B56525" s="7"/>
    </row>
    <row r="56526" ht="15.75" customHeight="1">
      <c r="A56526" s="7"/>
      <c r="B56526" s="7"/>
    </row>
    <row r="56527" ht="15.75" customHeight="1">
      <c r="A56527" s="7"/>
      <c r="B56527" s="7"/>
    </row>
    <row r="56528" ht="15.75" customHeight="1">
      <c r="A56528" s="7"/>
      <c r="B56528" s="7"/>
    </row>
    <row r="56529" ht="15.75" customHeight="1">
      <c r="A56529" s="7"/>
      <c r="B56529" s="7"/>
    </row>
    <row r="56530" ht="15.75" customHeight="1">
      <c r="A56530" s="7"/>
      <c r="B56530" s="7"/>
    </row>
    <row r="56531" ht="15.75" customHeight="1">
      <c r="A56531" s="7"/>
      <c r="B56531" s="7"/>
    </row>
    <row r="56532" ht="15.75" customHeight="1">
      <c r="A56532" s="7"/>
      <c r="B56532" s="7"/>
    </row>
    <row r="56533" ht="15.75" customHeight="1">
      <c r="A56533" s="7"/>
      <c r="B56533" s="7"/>
    </row>
    <row r="56534" ht="15.75" customHeight="1">
      <c r="A56534" s="7"/>
      <c r="B56534" s="7"/>
    </row>
    <row r="56535" ht="15.75" customHeight="1">
      <c r="A56535" s="7"/>
      <c r="B56535" s="7"/>
    </row>
    <row r="56536" ht="15.75" customHeight="1">
      <c r="A56536" s="7"/>
      <c r="B56536" s="7"/>
    </row>
    <row r="56537" ht="15.75" customHeight="1">
      <c r="A56537" s="7"/>
      <c r="B56537" s="7"/>
    </row>
    <row r="56538" ht="15.75" customHeight="1">
      <c r="A56538" s="7"/>
      <c r="B56538" s="7"/>
    </row>
    <row r="56539" ht="15.75" customHeight="1">
      <c r="A56539" s="7"/>
      <c r="B56539" s="7"/>
    </row>
    <row r="56540" ht="15.75" customHeight="1">
      <c r="A56540" s="7"/>
      <c r="B56540" s="7"/>
    </row>
    <row r="56541" ht="15.75" customHeight="1">
      <c r="A56541" s="7"/>
      <c r="B56541" s="7"/>
    </row>
    <row r="56542" ht="15.75" customHeight="1">
      <c r="A56542" s="7"/>
      <c r="B56542" s="7"/>
    </row>
    <row r="56543" ht="15.75" customHeight="1">
      <c r="A56543" s="7"/>
      <c r="B56543" s="7"/>
    </row>
    <row r="56544" ht="15.75" customHeight="1">
      <c r="A56544" s="7"/>
      <c r="B56544" s="7"/>
    </row>
    <row r="56545" ht="15.75" customHeight="1">
      <c r="A56545" s="7"/>
      <c r="B56545" s="7"/>
    </row>
    <row r="56546" ht="15.75" customHeight="1">
      <c r="A56546" s="7"/>
      <c r="B56546" s="7"/>
    </row>
    <row r="56547" ht="15.75" customHeight="1">
      <c r="A56547" s="7"/>
      <c r="B56547" s="7"/>
    </row>
    <row r="56548" ht="15.75" customHeight="1">
      <c r="A56548" s="7"/>
      <c r="B56548" s="7"/>
    </row>
    <row r="56549" ht="15.75" customHeight="1">
      <c r="A56549" s="7"/>
      <c r="B56549" s="7"/>
    </row>
    <row r="56550" ht="15.75" customHeight="1">
      <c r="A56550" s="7"/>
      <c r="B56550" s="7"/>
    </row>
    <row r="56551" ht="15.75" customHeight="1">
      <c r="A56551" s="7"/>
      <c r="B56551" s="7"/>
    </row>
    <row r="56552" ht="15.75" customHeight="1">
      <c r="A56552" s="7"/>
      <c r="B56552" s="7"/>
    </row>
    <row r="56553" ht="15.75" customHeight="1">
      <c r="A56553" s="7"/>
      <c r="B56553" s="7"/>
    </row>
    <row r="56554" ht="15.75" customHeight="1">
      <c r="A56554" s="7"/>
      <c r="B56554" s="7"/>
    </row>
    <row r="56555" ht="15.75" customHeight="1">
      <c r="A56555" s="7"/>
      <c r="B56555" s="7"/>
    </row>
    <row r="56556" ht="15.75" customHeight="1">
      <c r="A56556" s="7"/>
      <c r="B56556" s="7"/>
    </row>
    <row r="56557" ht="15.75" customHeight="1">
      <c r="A56557" s="7"/>
      <c r="B56557" s="7"/>
    </row>
    <row r="56558" ht="15.75" customHeight="1">
      <c r="A56558" s="7"/>
      <c r="B56558" s="7"/>
    </row>
    <row r="56559" ht="15.75" customHeight="1">
      <c r="A56559" s="7"/>
      <c r="B56559" s="7"/>
    </row>
    <row r="56560" ht="15.75" customHeight="1">
      <c r="A56560" s="7"/>
      <c r="B56560" s="7"/>
    </row>
    <row r="56561" ht="15.75" customHeight="1">
      <c r="A56561" s="7"/>
      <c r="B56561" s="7"/>
    </row>
    <row r="56562" ht="15.75" customHeight="1">
      <c r="A56562" s="7"/>
      <c r="B56562" s="7"/>
    </row>
    <row r="56563" ht="15.75" customHeight="1">
      <c r="A56563" s="7"/>
      <c r="B56563" s="7"/>
    </row>
    <row r="56564" ht="15.75" customHeight="1">
      <c r="A56564" s="7"/>
      <c r="B56564" s="7"/>
    </row>
    <row r="56565" ht="15.75" customHeight="1">
      <c r="A56565" s="7"/>
      <c r="B56565" s="7"/>
    </row>
    <row r="56566" ht="15.75" customHeight="1">
      <c r="A56566" s="7"/>
      <c r="B56566" s="7"/>
    </row>
    <row r="56567" ht="15.75" customHeight="1">
      <c r="A56567" s="7"/>
      <c r="B56567" s="7"/>
    </row>
    <row r="56568" ht="15.75" customHeight="1">
      <c r="A56568" s="7"/>
      <c r="B56568" s="7"/>
    </row>
    <row r="56569" ht="15.75" customHeight="1">
      <c r="A56569" s="7"/>
      <c r="B56569" s="7"/>
    </row>
    <row r="56570" ht="15.75" customHeight="1">
      <c r="A56570" s="7"/>
      <c r="B56570" s="7"/>
    </row>
    <row r="56571" ht="15.75" customHeight="1">
      <c r="A56571" s="7"/>
      <c r="B56571" s="7"/>
    </row>
    <row r="56572" ht="15.75" customHeight="1">
      <c r="A56572" s="7"/>
      <c r="B56572" s="7"/>
    </row>
    <row r="56573" ht="15.75" customHeight="1">
      <c r="A56573" s="7"/>
      <c r="B56573" s="7"/>
    </row>
    <row r="56574" ht="15.75" customHeight="1">
      <c r="A56574" s="7"/>
      <c r="B56574" s="7"/>
    </row>
    <row r="56575" ht="15.75" customHeight="1">
      <c r="A56575" s="7"/>
      <c r="B56575" s="7"/>
    </row>
    <row r="56576" ht="15.75" customHeight="1">
      <c r="A56576" s="7"/>
      <c r="B56576" s="7"/>
    </row>
    <row r="56577" ht="15.75" customHeight="1">
      <c r="A56577" s="7"/>
      <c r="B56577" s="7"/>
    </row>
    <row r="56578" ht="15.75" customHeight="1">
      <c r="A56578" s="7"/>
      <c r="B56578" s="7"/>
    </row>
    <row r="56579" ht="15.75" customHeight="1">
      <c r="A56579" s="7"/>
      <c r="B56579" s="7"/>
    </row>
    <row r="56580" ht="15.75" customHeight="1">
      <c r="A56580" s="7"/>
      <c r="B56580" s="7"/>
    </row>
    <row r="56581" ht="15.75" customHeight="1">
      <c r="A56581" s="7"/>
      <c r="B56581" s="7"/>
    </row>
    <row r="56582" ht="15.75" customHeight="1">
      <c r="A56582" s="7"/>
      <c r="B56582" s="7"/>
    </row>
    <row r="56583" ht="15.75" customHeight="1">
      <c r="A56583" s="7"/>
      <c r="B56583" s="7"/>
    </row>
    <row r="56584" ht="15.75" customHeight="1">
      <c r="A56584" s="7"/>
      <c r="B56584" s="7"/>
    </row>
    <row r="56585" ht="15.75" customHeight="1">
      <c r="A56585" s="7"/>
      <c r="B56585" s="7"/>
    </row>
    <row r="56586" ht="15.75" customHeight="1">
      <c r="A56586" s="7"/>
      <c r="B56586" s="7"/>
    </row>
    <row r="56587" ht="15.75" customHeight="1">
      <c r="A56587" s="7"/>
      <c r="B56587" s="7"/>
    </row>
    <row r="56588" ht="15.75" customHeight="1">
      <c r="A56588" s="7"/>
      <c r="B56588" s="7"/>
    </row>
    <row r="56589" ht="15.75" customHeight="1">
      <c r="A56589" s="7"/>
      <c r="B56589" s="7"/>
    </row>
    <row r="56590" ht="15.75" customHeight="1">
      <c r="A56590" s="7"/>
      <c r="B56590" s="7"/>
    </row>
    <row r="56591" ht="15.75" customHeight="1">
      <c r="A56591" s="7"/>
      <c r="B56591" s="7"/>
    </row>
    <row r="56592" ht="15.75" customHeight="1">
      <c r="A56592" s="7"/>
      <c r="B56592" s="7"/>
    </row>
    <row r="56593" ht="15.75" customHeight="1">
      <c r="A56593" s="7"/>
      <c r="B56593" s="7"/>
    </row>
    <row r="56594" ht="15.75" customHeight="1">
      <c r="A56594" s="7"/>
      <c r="B56594" s="7"/>
    </row>
    <row r="56595" ht="15.75" customHeight="1">
      <c r="A56595" s="7"/>
      <c r="B56595" s="7"/>
    </row>
    <row r="56596" ht="15.75" customHeight="1">
      <c r="A56596" s="7"/>
      <c r="B56596" s="7"/>
    </row>
    <row r="56597" ht="15.75" customHeight="1">
      <c r="A56597" s="7"/>
      <c r="B56597" s="7"/>
    </row>
    <row r="56598" ht="15.75" customHeight="1">
      <c r="A56598" s="7"/>
      <c r="B56598" s="7"/>
    </row>
    <row r="56599" ht="15.75" customHeight="1">
      <c r="A56599" s="7"/>
      <c r="B56599" s="7"/>
    </row>
    <row r="56600" ht="15.75" customHeight="1">
      <c r="A56600" s="7"/>
      <c r="B56600" s="7"/>
    </row>
    <row r="56601" ht="15.75" customHeight="1">
      <c r="A56601" s="7"/>
      <c r="B56601" s="7"/>
    </row>
    <row r="56602" ht="15.75" customHeight="1">
      <c r="A56602" s="7"/>
      <c r="B56602" s="7"/>
    </row>
    <row r="56603" ht="15.75" customHeight="1">
      <c r="A56603" s="7"/>
      <c r="B56603" s="7"/>
    </row>
    <row r="56604" ht="15.75" customHeight="1">
      <c r="A56604" s="7"/>
      <c r="B56604" s="7"/>
    </row>
    <row r="56605" ht="15.75" customHeight="1">
      <c r="A56605" s="7"/>
      <c r="B56605" s="7"/>
    </row>
    <row r="56606" ht="15.75" customHeight="1">
      <c r="A56606" s="7"/>
      <c r="B56606" s="7"/>
    </row>
    <row r="56607" ht="15.75" customHeight="1">
      <c r="A56607" s="7"/>
      <c r="B56607" s="7"/>
    </row>
    <row r="56608" ht="15.75" customHeight="1">
      <c r="A56608" s="7"/>
      <c r="B56608" s="7"/>
    </row>
    <row r="56609" ht="15.75" customHeight="1">
      <c r="A56609" s="7"/>
      <c r="B56609" s="7"/>
    </row>
    <row r="56610" ht="15.75" customHeight="1">
      <c r="A56610" s="7"/>
      <c r="B56610" s="7"/>
    </row>
    <row r="56611" ht="15.75" customHeight="1">
      <c r="A56611" s="7"/>
      <c r="B56611" s="7"/>
    </row>
    <row r="56612" ht="15.75" customHeight="1">
      <c r="A56612" s="7"/>
      <c r="B56612" s="7"/>
    </row>
    <row r="56613" ht="15.75" customHeight="1">
      <c r="A56613" s="7"/>
      <c r="B56613" s="7"/>
    </row>
    <row r="56614" ht="15.75" customHeight="1">
      <c r="A56614" s="7"/>
      <c r="B56614" s="7"/>
    </row>
    <row r="56615" ht="15.75" customHeight="1">
      <c r="A56615" s="7"/>
      <c r="B56615" s="7"/>
    </row>
    <row r="56616" ht="15.75" customHeight="1">
      <c r="A56616" s="7"/>
      <c r="B56616" s="7"/>
    </row>
    <row r="56617" ht="15.75" customHeight="1">
      <c r="A56617" s="7"/>
      <c r="B56617" s="7"/>
    </row>
    <row r="56618" ht="15.75" customHeight="1">
      <c r="A56618" s="7"/>
      <c r="B56618" s="7"/>
    </row>
    <row r="56619" ht="15.75" customHeight="1">
      <c r="A56619" s="7"/>
      <c r="B56619" s="7"/>
    </row>
    <row r="56620" ht="15.75" customHeight="1">
      <c r="A56620" s="7"/>
      <c r="B56620" s="7"/>
    </row>
    <row r="56621" ht="15.75" customHeight="1">
      <c r="A56621" s="7"/>
      <c r="B56621" s="7"/>
    </row>
    <row r="56622" ht="15.75" customHeight="1">
      <c r="A56622" s="7"/>
      <c r="B56622" s="7"/>
    </row>
    <row r="56623" ht="15.75" customHeight="1">
      <c r="A56623" s="7"/>
      <c r="B56623" s="7"/>
    </row>
    <row r="56624" ht="15.75" customHeight="1">
      <c r="A56624" s="7"/>
      <c r="B56624" s="7"/>
    </row>
    <row r="56625" ht="15.75" customHeight="1">
      <c r="A56625" s="7"/>
      <c r="B56625" s="7"/>
    </row>
    <row r="56626" ht="15.75" customHeight="1">
      <c r="A56626" s="7"/>
      <c r="B56626" s="7"/>
    </row>
    <row r="56627" ht="15.75" customHeight="1">
      <c r="A56627" s="7"/>
      <c r="B56627" s="7"/>
    </row>
    <row r="56628" ht="15.75" customHeight="1">
      <c r="A56628" s="7"/>
      <c r="B56628" s="7"/>
    </row>
    <row r="56629" ht="15.75" customHeight="1">
      <c r="A56629" s="7"/>
      <c r="B56629" s="7"/>
    </row>
    <row r="56630" ht="15.75" customHeight="1">
      <c r="A56630" s="7"/>
      <c r="B56630" s="7"/>
    </row>
    <row r="56631" ht="15.75" customHeight="1">
      <c r="A56631" s="7"/>
      <c r="B56631" s="7"/>
    </row>
    <row r="56632" ht="15.75" customHeight="1">
      <c r="A56632" s="7"/>
      <c r="B56632" s="7"/>
    </row>
    <row r="56633" ht="15.75" customHeight="1">
      <c r="A56633" s="7"/>
      <c r="B56633" s="7"/>
    </row>
    <row r="56634" ht="15.75" customHeight="1">
      <c r="A56634" s="7"/>
      <c r="B56634" s="7"/>
    </row>
    <row r="56635" ht="15.75" customHeight="1">
      <c r="A56635" s="7"/>
      <c r="B56635" s="7"/>
    </row>
    <row r="56636" ht="15.75" customHeight="1">
      <c r="A56636" s="7"/>
      <c r="B56636" s="7"/>
    </row>
    <row r="56637" ht="15.75" customHeight="1">
      <c r="A56637" s="7"/>
      <c r="B56637" s="7"/>
    </row>
    <row r="56638" ht="15.75" customHeight="1">
      <c r="A56638" s="7"/>
      <c r="B56638" s="7"/>
    </row>
    <row r="56639" ht="15.75" customHeight="1">
      <c r="A56639" s="7"/>
      <c r="B56639" s="7"/>
    </row>
    <row r="56640" ht="15.75" customHeight="1">
      <c r="A56640" s="7"/>
      <c r="B56640" s="7"/>
    </row>
    <row r="56641" ht="15.75" customHeight="1">
      <c r="A56641" s="7"/>
      <c r="B56641" s="7"/>
    </row>
    <row r="56642" ht="15.75" customHeight="1">
      <c r="A56642" s="7"/>
      <c r="B56642" s="7"/>
    </row>
    <row r="56643" ht="15.75" customHeight="1">
      <c r="A56643" s="7"/>
      <c r="B56643" s="7"/>
    </row>
    <row r="56644" ht="15.75" customHeight="1">
      <c r="A56644" s="7"/>
      <c r="B56644" s="7"/>
    </row>
    <row r="56645" ht="15.75" customHeight="1">
      <c r="A56645" s="7"/>
      <c r="B56645" s="7"/>
    </row>
    <row r="56646" ht="15.75" customHeight="1">
      <c r="A56646" s="7"/>
      <c r="B56646" s="7"/>
    </row>
    <row r="56647" ht="15.75" customHeight="1">
      <c r="A56647" s="7"/>
      <c r="B56647" s="7"/>
    </row>
    <row r="56648" ht="15.75" customHeight="1">
      <c r="A56648" s="7"/>
      <c r="B56648" s="7"/>
    </row>
    <row r="56649" ht="15.75" customHeight="1">
      <c r="A56649" s="7"/>
      <c r="B56649" s="7"/>
    </row>
    <row r="56650" ht="15.75" customHeight="1">
      <c r="A56650" s="7"/>
      <c r="B56650" s="7"/>
    </row>
    <row r="56651" ht="15.75" customHeight="1">
      <c r="A56651" s="7"/>
      <c r="B56651" s="7"/>
    </row>
    <row r="56652" ht="15.75" customHeight="1">
      <c r="A56652" s="7"/>
      <c r="B56652" s="7"/>
    </row>
    <row r="56653" ht="15.75" customHeight="1">
      <c r="A56653" s="7"/>
      <c r="B56653" s="7"/>
    </row>
    <row r="56654" ht="15.75" customHeight="1">
      <c r="A56654" s="7"/>
      <c r="B56654" s="7"/>
    </row>
    <row r="56655" ht="15.75" customHeight="1">
      <c r="A56655" s="7"/>
      <c r="B56655" s="7"/>
    </row>
    <row r="56656" ht="15.75" customHeight="1">
      <c r="A56656" s="7"/>
      <c r="B56656" s="7"/>
    </row>
    <row r="56657" ht="15.75" customHeight="1">
      <c r="A56657" s="7"/>
      <c r="B56657" s="7"/>
    </row>
    <row r="56658" ht="15.75" customHeight="1">
      <c r="A56658" s="7"/>
      <c r="B56658" s="7"/>
    </row>
    <row r="56659" ht="15.75" customHeight="1">
      <c r="A56659" s="7"/>
      <c r="B56659" s="7"/>
    </row>
    <row r="56660" ht="15.75" customHeight="1">
      <c r="A56660" s="7"/>
      <c r="B56660" s="7"/>
    </row>
    <row r="56661" ht="15.75" customHeight="1">
      <c r="A56661" s="7"/>
      <c r="B56661" s="7"/>
    </row>
    <row r="56662" ht="15.75" customHeight="1">
      <c r="A56662" s="7"/>
      <c r="B56662" s="7"/>
    </row>
    <row r="56663" ht="15.75" customHeight="1">
      <c r="A56663" s="7"/>
      <c r="B56663" s="7"/>
    </row>
    <row r="56664" ht="15.75" customHeight="1">
      <c r="A56664" s="7"/>
      <c r="B56664" s="7"/>
    </row>
    <row r="56665" ht="15.75" customHeight="1">
      <c r="A56665" s="7"/>
      <c r="B56665" s="7"/>
    </row>
    <row r="56666" ht="15.75" customHeight="1">
      <c r="A56666" s="7"/>
      <c r="B56666" s="7"/>
    </row>
    <row r="56667" ht="15.75" customHeight="1">
      <c r="A56667" s="7"/>
      <c r="B56667" s="7"/>
    </row>
    <row r="56668" ht="15.75" customHeight="1">
      <c r="A56668" s="7"/>
      <c r="B56668" s="7"/>
    </row>
    <row r="56669" ht="15.75" customHeight="1">
      <c r="A56669" s="7"/>
      <c r="B56669" s="7"/>
    </row>
    <row r="56670" ht="15.75" customHeight="1">
      <c r="A56670" s="7"/>
      <c r="B56670" s="7"/>
    </row>
    <row r="56671" ht="15.75" customHeight="1">
      <c r="A56671" s="7"/>
      <c r="B56671" s="7"/>
    </row>
    <row r="56672" ht="15.75" customHeight="1">
      <c r="A56672" s="7"/>
      <c r="B56672" s="7"/>
    </row>
    <row r="56673" ht="15.75" customHeight="1">
      <c r="A56673" s="7"/>
      <c r="B56673" s="7"/>
    </row>
    <row r="56674" ht="15.75" customHeight="1">
      <c r="A56674" s="7"/>
      <c r="B56674" s="7"/>
    </row>
    <row r="56675" ht="15.75" customHeight="1">
      <c r="A56675" s="7"/>
      <c r="B56675" s="7"/>
    </row>
    <row r="56676" ht="15.75" customHeight="1">
      <c r="A56676" s="7"/>
      <c r="B56676" s="7"/>
    </row>
    <row r="56677" ht="15.75" customHeight="1">
      <c r="A56677" s="7"/>
      <c r="B56677" s="7"/>
    </row>
    <row r="56678" ht="15.75" customHeight="1">
      <c r="A56678" s="7"/>
      <c r="B56678" s="7"/>
    </row>
    <row r="56679" ht="15.75" customHeight="1">
      <c r="A56679" s="7"/>
      <c r="B56679" s="7"/>
    </row>
    <row r="56680" ht="15.75" customHeight="1">
      <c r="A56680" s="7"/>
      <c r="B56680" s="7"/>
    </row>
    <row r="56681" ht="15.75" customHeight="1">
      <c r="A56681" s="7"/>
      <c r="B56681" s="7"/>
    </row>
    <row r="56682" ht="15.75" customHeight="1">
      <c r="A56682" s="7"/>
      <c r="B56682" s="7"/>
    </row>
    <row r="56683" ht="15.75" customHeight="1">
      <c r="A56683" s="7"/>
      <c r="B56683" s="7"/>
    </row>
    <row r="56684" ht="15.75" customHeight="1">
      <c r="A56684" s="7"/>
      <c r="B56684" s="7"/>
    </row>
    <row r="56685" ht="15.75" customHeight="1">
      <c r="A56685" s="7"/>
      <c r="B56685" s="7"/>
    </row>
    <row r="56686" ht="15.75" customHeight="1">
      <c r="A56686" s="7"/>
      <c r="B56686" s="7"/>
    </row>
    <row r="56687" ht="15.75" customHeight="1">
      <c r="A56687" s="7"/>
      <c r="B56687" s="7"/>
    </row>
    <row r="56688" ht="15.75" customHeight="1">
      <c r="A56688" s="7"/>
      <c r="B56688" s="7"/>
    </row>
    <row r="56689" ht="15.75" customHeight="1">
      <c r="A56689" s="7"/>
      <c r="B56689" s="7"/>
    </row>
    <row r="56690" ht="15.75" customHeight="1">
      <c r="A56690" s="7"/>
      <c r="B56690" s="7"/>
    </row>
    <row r="56691" ht="15.75" customHeight="1">
      <c r="A56691" s="7"/>
      <c r="B56691" s="7"/>
    </row>
    <row r="56692" ht="15.75" customHeight="1">
      <c r="A56692" s="7"/>
      <c r="B56692" s="7"/>
    </row>
    <row r="56693" ht="15.75" customHeight="1">
      <c r="A56693" s="7"/>
      <c r="B56693" s="7"/>
    </row>
    <row r="56694" ht="15.75" customHeight="1">
      <c r="A56694" s="7"/>
      <c r="B56694" s="7"/>
    </row>
    <row r="56695" ht="15.75" customHeight="1">
      <c r="A56695" s="7"/>
      <c r="B56695" s="7"/>
    </row>
    <row r="56696" ht="15.75" customHeight="1">
      <c r="A56696" s="7"/>
      <c r="B56696" s="7"/>
    </row>
    <row r="56697" ht="15.75" customHeight="1">
      <c r="A56697" s="7"/>
      <c r="B56697" s="7"/>
    </row>
    <row r="56698" ht="15.75" customHeight="1">
      <c r="A56698" s="7"/>
      <c r="B56698" s="7"/>
    </row>
    <row r="56699" ht="15.75" customHeight="1">
      <c r="A56699" s="7"/>
      <c r="B56699" s="7"/>
    </row>
    <row r="56700" ht="15.75" customHeight="1">
      <c r="A56700" s="7"/>
      <c r="B56700" s="7"/>
    </row>
    <row r="56701" ht="15.75" customHeight="1">
      <c r="A56701" s="7"/>
      <c r="B56701" s="7"/>
    </row>
    <row r="56702" ht="15.75" customHeight="1">
      <c r="A56702" s="7"/>
      <c r="B56702" s="7"/>
    </row>
    <row r="56703" ht="15.75" customHeight="1">
      <c r="A56703" s="7"/>
      <c r="B56703" s="7"/>
    </row>
    <row r="56704" ht="15.75" customHeight="1">
      <c r="A56704" s="7"/>
      <c r="B56704" s="7"/>
    </row>
    <row r="56705" ht="15.75" customHeight="1">
      <c r="A56705" s="7"/>
      <c r="B56705" s="7"/>
    </row>
    <row r="56706" ht="15.75" customHeight="1">
      <c r="A56706" s="7"/>
      <c r="B56706" s="7"/>
    </row>
    <row r="56707" ht="15.75" customHeight="1">
      <c r="A56707" s="7"/>
      <c r="B56707" s="7"/>
    </row>
    <row r="56708" ht="15.75" customHeight="1">
      <c r="A56708" s="7"/>
      <c r="B56708" s="7"/>
    </row>
    <row r="56709" ht="15.75" customHeight="1">
      <c r="A56709" s="7"/>
      <c r="B56709" s="7"/>
    </row>
    <row r="56710" ht="15.75" customHeight="1">
      <c r="A56710" s="7"/>
      <c r="B56710" s="7"/>
    </row>
    <row r="56711" ht="15.75" customHeight="1">
      <c r="A56711" s="7"/>
      <c r="B56711" s="7"/>
    </row>
    <row r="56712" ht="15.75" customHeight="1">
      <c r="A56712" s="7"/>
      <c r="B56712" s="7"/>
    </row>
    <row r="56713" ht="15.75" customHeight="1">
      <c r="A56713" s="7"/>
      <c r="B56713" s="7"/>
    </row>
    <row r="56714" ht="15.75" customHeight="1">
      <c r="A56714" s="7"/>
      <c r="B56714" s="7"/>
    </row>
    <row r="56715" ht="15.75" customHeight="1">
      <c r="A56715" s="7"/>
      <c r="B56715" s="7"/>
    </row>
    <row r="56716" ht="15.75" customHeight="1">
      <c r="A56716" s="7"/>
      <c r="B56716" s="7"/>
    </row>
    <row r="56717" ht="15.75" customHeight="1">
      <c r="A56717" s="7"/>
      <c r="B56717" s="7"/>
    </row>
    <row r="56718" ht="15.75" customHeight="1">
      <c r="A56718" s="7"/>
      <c r="B56718" s="7"/>
    </row>
    <row r="56719" ht="15.75" customHeight="1">
      <c r="A56719" s="7"/>
      <c r="B56719" s="7"/>
    </row>
    <row r="56720" ht="15.75" customHeight="1">
      <c r="A56720" s="7"/>
      <c r="B56720" s="7"/>
    </row>
    <row r="56721" ht="15.75" customHeight="1">
      <c r="A56721" s="7"/>
      <c r="B56721" s="7"/>
    </row>
    <row r="56722" ht="15.75" customHeight="1">
      <c r="A56722" s="7"/>
      <c r="B56722" s="7"/>
    </row>
    <row r="56723" ht="15.75" customHeight="1">
      <c r="A56723" s="7"/>
      <c r="B56723" s="7"/>
    </row>
    <row r="56724" ht="15.75" customHeight="1">
      <c r="A56724" s="7"/>
      <c r="B56724" s="7"/>
    </row>
    <row r="56725" ht="15.75" customHeight="1">
      <c r="A56725" s="7"/>
      <c r="B56725" s="7"/>
    </row>
    <row r="56726" ht="15.75" customHeight="1">
      <c r="A56726" s="7"/>
      <c r="B56726" s="7"/>
    </row>
    <row r="56727" ht="15.75" customHeight="1">
      <c r="A56727" s="7"/>
      <c r="B56727" s="7"/>
    </row>
    <row r="56728" ht="15.75" customHeight="1">
      <c r="A56728" s="7"/>
      <c r="B56728" s="7"/>
    </row>
    <row r="56729" ht="15.75" customHeight="1">
      <c r="A56729" s="7"/>
      <c r="B56729" s="7"/>
    </row>
    <row r="56730" ht="15.75" customHeight="1">
      <c r="A56730" s="7"/>
      <c r="B56730" s="7"/>
    </row>
    <row r="56731" ht="15.75" customHeight="1">
      <c r="A56731" s="7"/>
      <c r="B56731" s="7"/>
    </row>
    <row r="56732" ht="15.75" customHeight="1">
      <c r="A56732" s="7"/>
      <c r="B56732" s="7"/>
    </row>
    <row r="56733" ht="15.75" customHeight="1">
      <c r="A56733" s="7"/>
      <c r="B56733" s="7"/>
    </row>
    <row r="56734" ht="15.75" customHeight="1">
      <c r="A56734" s="7"/>
      <c r="B56734" s="7"/>
    </row>
    <row r="56735" ht="15.75" customHeight="1">
      <c r="A56735" s="7"/>
      <c r="B56735" s="7"/>
    </row>
    <row r="56736" ht="15.75" customHeight="1">
      <c r="A56736" s="7"/>
      <c r="B56736" s="7"/>
    </row>
    <row r="56737" ht="15.75" customHeight="1">
      <c r="A56737" s="7"/>
      <c r="B56737" s="7"/>
    </row>
    <row r="56738" ht="15.75" customHeight="1">
      <c r="A56738" s="7"/>
      <c r="B56738" s="7"/>
    </row>
    <row r="56739" ht="15.75" customHeight="1">
      <c r="A56739" s="7"/>
      <c r="B56739" s="7"/>
    </row>
    <row r="56740" ht="15.75" customHeight="1">
      <c r="A56740" s="7"/>
      <c r="B56740" s="7"/>
    </row>
    <row r="56741" ht="15.75" customHeight="1">
      <c r="A56741" s="7"/>
      <c r="B56741" s="7"/>
    </row>
    <row r="56742" ht="15.75" customHeight="1">
      <c r="A56742" s="7"/>
      <c r="B56742" s="7"/>
    </row>
    <row r="56743" ht="15.75" customHeight="1">
      <c r="A56743" s="7"/>
      <c r="B56743" s="7"/>
    </row>
    <row r="56744" ht="15.75" customHeight="1">
      <c r="A56744" s="7"/>
      <c r="B56744" s="7"/>
    </row>
    <row r="56745" ht="15.75" customHeight="1">
      <c r="A56745" s="7"/>
      <c r="B56745" s="7"/>
    </row>
    <row r="56746" ht="15.75" customHeight="1">
      <c r="A56746" s="7"/>
      <c r="B56746" s="7"/>
    </row>
    <row r="56747" ht="15.75" customHeight="1">
      <c r="A56747" s="7"/>
      <c r="B56747" s="7"/>
    </row>
    <row r="56748" ht="15.75" customHeight="1">
      <c r="A56748" s="7"/>
      <c r="B56748" s="7"/>
    </row>
    <row r="56749" ht="15.75" customHeight="1">
      <c r="A56749" s="7"/>
      <c r="B56749" s="7"/>
    </row>
    <row r="56750" ht="15.75" customHeight="1">
      <c r="A56750" s="7"/>
      <c r="B56750" s="7"/>
    </row>
    <row r="56751" ht="15.75" customHeight="1">
      <c r="A56751" s="7"/>
      <c r="B56751" s="7"/>
    </row>
    <row r="56752" ht="15.75" customHeight="1">
      <c r="A56752" s="7"/>
      <c r="B56752" s="7"/>
    </row>
    <row r="56753" ht="15.75" customHeight="1">
      <c r="A56753" s="7"/>
      <c r="B56753" s="7"/>
    </row>
    <row r="56754" ht="15.75" customHeight="1">
      <c r="A56754" s="7"/>
      <c r="B56754" s="7"/>
    </row>
    <row r="56755" ht="15.75" customHeight="1">
      <c r="A56755" s="7"/>
      <c r="B56755" s="7"/>
    </row>
    <row r="56756" ht="15.75" customHeight="1">
      <c r="A56756" s="7"/>
      <c r="B56756" s="7"/>
    </row>
    <row r="56757" ht="15.75" customHeight="1">
      <c r="A56757" s="7"/>
      <c r="B56757" s="7"/>
    </row>
    <row r="56758" ht="15.75" customHeight="1">
      <c r="A56758" s="7"/>
      <c r="B56758" s="7"/>
    </row>
    <row r="56759" ht="15.75" customHeight="1">
      <c r="A56759" s="7"/>
      <c r="B56759" s="7"/>
    </row>
    <row r="56760" ht="15.75" customHeight="1">
      <c r="A56760" s="7"/>
      <c r="B56760" s="7"/>
    </row>
    <row r="56761" ht="15.75" customHeight="1">
      <c r="A56761" s="7"/>
      <c r="B56761" s="7"/>
    </row>
    <row r="56762" ht="15.75" customHeight="1">
      <c r="A56762" s="7"/>
      <c r="B56762" s="7"/>
    </row>
    <row r="56763" ht="15.75" customHeight="1">
      <c r="A56763" s="7"/>
      <c r="B56763" s="7"/>
    </row>
    <row r="56764" ht="15.75" customHeight="1">
      <c r="A56764" s="7"/>
      <c r="B56764" s="7"/>
    </row>
    <row r="56765" ht="15.75" customHeight="1">
      <c r="A56765" s="7"/>
      <c r="B56765" s="7"/>
    </row>
    <row r="56766" ht="15.75" customHeight="1">
      <c r="A56766" s="7"/>
      <c r="B56766" s="7"/>
    </row>
    <row r="56767" ht="15.75" customHeight="1">
      <c r="A56767" s="7"/>
      <c r="B56767" s="7"/>
    </row>
    <row r="56768" ht="15.75" customHeight="1">
      <c r="A56768" s="7"/>
      <c r="B56768" s="7"/>
    </row>
    <row r="56769" ht="15.75" customHeight="1">
      <c r="A56769" s="7"/>
      <c r="B56769" s="7"/>
    </row>
    <row r="56770" ht="15.75" customHeight="1">
      <c r="A56770" s="7"/>
      <c r="B56770" s="7"/>
    </row>
    <row r="56771" ht="15.75" customHeight="1">
      <c r="A56771" s="7"/>
      <c r="B56771" s="7"/>
    </row>
    <row r="56772" ht="15.75" customHeight="1">
      <c r="A56772" s="7"/>
      <c r="B56772" s="7"/>
    </row>
    <row r="56773" ht="15.75" customHeight="1">
      <c r="A56773" s="7"/>
      <c r="B56773" s="7"/>
    </row>
    <row r="56774" ht="15.75" customHeight="1">
      <c r="A56774" s="7"/>
      <c r="B56774" s="7"/>
    </row>
    <row r="56775" ht="15.75" customHeight="1">
      <c r="A56775" s="7"/>
      <c r="B56775" s="7"/>
    </row>
    <row r="56776" ht="15.75" customHeight="1">
      <c r="A56776" s="7"/>
      <c r="B56776" s="7"/>
    </row>
    <row r="56777" ht="15.75" customHeight="1">
      <c r="A56777" s="7"/>
      <c r="B56777" s="7"/>
    </row>
    <row r="56778" ht="15.75" customHeight="1">
      <c r="A56778" s="7"/>
      <c r="B56778" s="7"/>
    </row>
    <row r="56779" ht="15.75" customHeight="1">
      <c r="A56779" s="7"/>
      <c r="B56779" s="7"/>
    </row>
    <row r="56780" ht="15.75" customHeight="1">
      <c r="A56780" s="7"/>
      <c r="B56780" s="7"/>
    </row>
    <row r="56781" ht="15.75" customHeight="1">
      <c r="A56781" s="7"/>
      <c r="B56781" s="7"/>
    </row>
    <row r="56782" ht="15.75" customHeight="1">
      <c r="A56782" s="7"/>
      <c r="B56782" s="7"/>
    </row>
    <row r="56783" ht="15.75" customHeight="1">
      <c r="A56783" s="7"/>
      <c r="B56783" s="7"/>
    </row>
    <row r="56784" ht="15.75" customHeight="1">
      <c r="A56784" s="7"/>
      <c r="B56784" s="7"/>
    </row>
    <row r="56785" ht="15.75" customHeight="1">
      <c r="A56785" s="7"/>
      <c r="B56785" s="7"/>
    </row>
    <row r="56786" ht="15.75" customHeight="1">
      <c r="A56786" s="7"/>
      <c r="B56786" s="7"/>
    </row>
    <row r="56787" ht="15.75" customHeight="1">
      <c r="A56787" s="7"/>
      <c r="B56787" s="7"/>
    </row>
    <row r="56788" ht="15.75" customHeight="1">
      <c r="A56788" s="7"/>
      <c r="B56788" s="7"/>
    </row>
    <row r="56789" ht="15.75" customHeight="1">
      <c r="A56789" s="7"/>
      <c r="B56789" s="7"/>
    </row>
    <row r="56790" ht="15.75" customHeight="1">
      <c r="A56790" s="7"/>
      <c r="B56790" s="7"/>
    </row>
    <row r="56791" ht="15.75" customHeight="1">
      <c r="A56791" s="7"/>
      <c r="B56791" s="7"/>
    </row>
    <row r="56792" ht="15.75" customHeight="1">
      <c r="A56792" s="7"/>
      <c r="B56792" s="7"/>
    </row>
    <row r="56793" ht="15.75" customHeight="1">
      <c r="A56793" s="7"/>
      <c r="B56793" s="7"/>
    </row>
    <row r="56794" ht="15.75" customHeight="1">
      <c r="A56794" s="7"/>
      <c r="B56794" s="7"/>
    </row>
    <row r="56795" ht="15.75" customHeight="1">
      <c r="A56795" s="7"/>
      <c r="B56795" s="7"/>
    </row>
    <row r="56796" ht="15.75" customHeight="1">
      <c r="A56796" s="7"/>
      <c r="B56796" s="7"/>
    </row>
    <row r="56797" ht="15.75" customHeight="1">
      <c r="A56797" s="7"/>
      <c r="B56797" s="7"/>
    </row>
    <row r="56798" ht="15.75" customHeight="1">
      <c r="A56798" s="7"/>
      <c r="B56798" s="7"/>
    </row>
    <row r="56799" ht="15.75" customHeight="1">
      <c r="A56799" s="7"/>
      <c r="B56799" s="7"/>
    </row>
    <row r="56800" ht="15.75" customHeight="1">
      <c r="A56800" s="7"/>
      <c r="B56800" s="7"/>
    </row>
    <row r="56801" ht="15.75" customHeight="1">
      <c r="A56801" s="7"/>
      <c r="B56801" s="7"/>
    </row>
    <row r="56802" ht="15.75" customHeight="1">
      <c r="A56802" s="7"/>
      <c r="B56802" s="7"/>
    </row>
    <row r="56803" ht="15.75" customHeight="1">
      <c r="A56803" s="7"/>
      <c r="B56803" s="7"/>
    </row>
    <row r="56804" ht="15.75" customHeight="1">
      <c r="A56804" s="7"/>
      <c r="B56804" s="7"/>
    </row>
    <row r="56805" ht="15.75" customHeight="1">
      <c r="A56805" s="7"/>
      <c r="B56805" s="7"/>
    </row>
    <row r="56806" ht="15.75" customHeight="1">
      <c r="A56806" s="7"/>
      <c r="B56806" s="7"/>
    </row>
    <row r="56807" ht="15.75" customHeight="1">
      <c r="A56807" s="7"/>
      <c r="B56807" s="7"/>
    </row>
    <row r="56808" ht="15.75" customHeight="1">
      <c r="A56808" s="7"/>
      <c r="B56808" s="7"/>
    </row>
    <row r="56809" ht="15.75" customHeight="1">
      <c r="A56809" s="7"/>
      <c r="B56809" s="7"/>
    </row>
    <row r="56810" ht="15.75" customHeight="1">
      <c r="A56810" s="7"/>
      <c r="B56810" s="7"/>
    </row>
    <row r="56811" ht="15.75" customHeight="1">
      <c r="A56811" s="7"/>
      <c r="B56811" s="7"/>
    </row>
    <row r="56812" ht="15.75" customHeight="1">
      <c r="A56812" s="7"/>
      <c r="B56812" s="7"/>
    </row>
    <row r="56813" ht="15.75" customHeight="1">
      <c r="A56813" s="7"/>
      <c r="B56813" s="7"/>
    </row>
    <row r="56814" ht="15.75" customHeight="1">
      <c r="A56814" s="7"/>
      <c r="B56814" s="7"/>
    </row>
    <row r="56815" ht="15.75" customHeight="1">
      <c r="A56815" s="7"/>
      <c r="B56815" s="7"/>
    </row>
    <row r="56816" ht="15.75" customHeight="1">
      <c r="A56816" s="7"/>
      <c r="B56816" s="7"/>
    </row>
    <row r="56817" ht="15.75" customHeight="1">
      <c r="A56817" s="7"/>
      <c r="B56817" s="7"/>
    </row>
    <row r="56818" ht="15.75" customHeight="1">
      <c r="A56818" s="7"/>
      <c r="B56818" s="7"/>
    </row>
    <row r="56819" ht="15.75" customHeight="1">
      <c r="A56819" s="7"/>
      <c r="B56819" s="7"/>
    </row>
    <row r="56820" ht="15.75" customHeight="1">
      <c r="A56820" s="7"/>
      <c r="B56820" s="7"/>
    </row>
    <row r="56821" ht="15.75" customHeight="1">
      <c r="A56821" s="7"/>
      <c r="B56821" s="7"/>
    </row>
    <row r="56822" ht="15.75" customHeight="1">
      <c r="A56822" s="7"/>
      <c r="B56822" s="7"/>
    </row>
    <row r="56823" ht="15.75" customHeight="1">
      <c r="A56823" s="7"/>
      <c r="B56823" s="7"/>
    </row>
    <row r="56824" ht="15.75" customHeight="1">
      <c r="A56824" s="7"/>
      <c r="B56824" s="7"/>
    </row>
    <row r="56825" ht="15.75" customHeight="1">
      <c r="A56825" s="7"/>
      <c r="B56825" s="7"/>
    </row>
    <row r="56826" ht="15.75" customHeight="1">
      <c r="A56826" s="7"/>
      <c r="B56826" s="7"/>
    </row>
    <row r="56827" ht="15.75" customHeight="1">
      <c r="A56827" s="7"/>
      <c r="B56827" s="7"/>
    </row>
    <row r="56828" ht="15.75" customHeight="1">
      <c r="A56828" s="7"/>
      <c r="B56828" s="7"/>
    </row>
    <row r="56829" ht="15.75" customHeight="1">
      <c r="A56829" s="7"/>
      <c r="B56829" s="7"/>
    </row>
    <row r="56830" ht="15.75" customHeight="1">
      <c r="A56830" s="7"/>
      <c r="B56830" s="7"/>
    </row>
    <row r="56831" ht="15.75" customHeight="1">
      <c r="A56831" s="7"/>
      <c r="B56831" s="7"/>
    </row>
    <row r="56832" ht="15.75" customHeight="1">
      <c r="A56832" s="7"/>
      <c r="B56832" s="7"/>
    </row>
    <row r="56833" ht="15.75" customHeight="1">
      <c r="A56833" s="7"/>
      <c r="B56833" s="7"/>
    </row>
    <row r="56834" ht="15.75" customHeight="1">
      <c r="A56834" s="7"/>
      <c r="B56834" s="7"/>
    </row>
    <row r="56835" ht="15.75" customHeight="1">
      <c r="A56835" s="7"/>
      <c r="B56835" s="7"/>
    </row>
    <row r="56836" ht="15.75" customHeight="1">
      <c r="A56836" s="7"/>
      <c r="B56836" s="7"/>
    </row>
    <row r="56837" ht="15.75" customHeight="1">
      <c r="A56837" s="7"/>
      <c r="B56837" s="7"/>
    </row>
    <row r="56838" ht="15.75" customHeight="1">
      <c r="A56838" s="7"/>
      <c r="B56838" s="7"/>
    </row>
    <row r="56839" ht="15.75" customHeight="1">
      <c r="A56839" s="7"/>
      <c r="B56839" s="7"/>
    </row>
    <row r="56840" ht="15.75" customHeight="1">
      <c r="A56840" s="7"/>
      <c r="B56840" s="7"/>
    </row>
    <row r="56841" ht="15.75" customHeight="1">
      <c r="A56841" s="7"/>
      <c r="B56841" s="7"/>
    </row>
    <row r="56842" ht="15.75" customHeight="1">
      <c r="A56842" s="7"/>
      <c r="B56842" s="7"/>
    </row>
    <row r="56843" ht="15.75" customHeight="1">
      <c r="A56843" s="7"/>
      <c r="B56843" s="7"/>
    </row>
    <row r="56844" ht="15.75" customHeight="1">
      <c r="A56844" s="7"/>
      <c r="B56844" s="7"/>
    </row>
    <row r="56845" ht="15.75" customHeight="1">
      <c r="A56845" s="7"/>
      <c r="B56845" s="7"/>
    </row>
    <row r="56846" ht="15.75" customHeight="1">
      <c r="A56846" s="7"/>
      <c r="B56846" s="7"/>
    </row>
    <row r="56847" ht="15.75" customHeight="1">
      <c r="A56847" s="7"/>
      <c r="B56847" s="7"/>
    </row>
    <row r="56848" ht="15.75" customHeight="1">
      <c r="A56848" s="7"/>
      <c r="B56848" s="7"/>
    </row>
    <row r="56849" ht="15.75" customHeight="1">
      <c r="A56849" s="7"/>
      <c r="B56849" s="7"/>
    </row>
    <row r="56850" ht="15.75" customHeight="1">
      <c r="A56850" s="7"/>
      <c r="B56850" s="7"/>
    </row>
    <row r="56851" ht="15.75" customHeight="1">
      <c r="A56851" s="7"/>
      <c r="B56851" s="7"/>
    </row>
    <row r="56852" ht="15.75" customHeight="1">
      <c r="A56852" s="7"/>
      <c r="B56852" s="7"/>
    </row>
    <row r="56853" ht="15.75" customHeight="1">
      <c r="A56853" s="7"/>
      <c r="B56853" s="7"/>
    </row>
    <row r="56854" ht="15.75" customHeight="1">
      <c r="A56854" s="7"/>
      <c r="B56854" s="7"/>
    </row>
    <row r="56855" ht="15.75" customHeight="1">
      <c r="A56855" s="7"/>
      <c r="B56855" s="7"/>
    </row>
    <row r="56856" ht="15.75" customHeight="1">
      <c r="A56856" s="7"/>
      <c r="B56856" s="7"/>
    </row>
    <row r="56857" ht="15.75" customHeight="1">
      <c r="A56857" s="7"/>
      <c r="B56857" s="7"/>
    </row>
    <row r="56858" ht="15.75" customHeight="1">
      <c r="A56858" s="7"/>
      <c r="B56858" s="7"/>
    </row>
    <row r="56859" ht="15.75" customHeight="1">
      <c r="A56859" s="7"/>
      <c r="B56859" s="7"/>
    </row>
    <row r="56860" ht="15.75" customHeight="1">
      <c r="A56860" s="7"/>
      <c r="B56860" s="7"/>
    </row>
    <row r="56861" ht="15.75" customHeight="1">
      <c r="A56861" s="7"/>
      <c r="B56861" s="7"/>
    </row>
    <row r="56862" ht="15.75" customHeight="1">
      <c r="A56862" s="7"/>
      <c r="B56862" s="7"/>
    </row>
    <row r="56863" ht="15.75" customHeight="1">
      <c r="A56863" s="7"/>
      <c r="B56863" s="7"/>
    </row>
    <row r="56864" ht="15.75" customHeight="1">
      <c r="A56864" s="7"/>
      <c r="B56864" s="7"/>
    </row>
    <row r="56865" ht="15.75" customHeight="1">
      <c r="A56865" s="7"/>
      <c r="B56865" s="7"/>
    </row>
    <row r="56866" ht="15.75" customHeight="1">
      <c r="A56866" s="7"/>
      <c r="B56866" s="7"/>
    </row>
    <row r="56867" ht="15.75" customHeight="1">
      <c r="A56867" s="7"/>
      <c r="B56867" s="7"/>
    </row>
    <row r="56868" ht="15.75" customHeight="1">
      <c r="A56868" s="7"/>
      <c r="B56868" s="7"/>
    </row>
    <row r="56869" ht="15.75" customHeight="1">
      <c r="A56869" s="7"/>
      <c r="B56869" s="7"/>
    </row>
    <row r="56870" ht="15.75" customHeight="1">
      <c r="A56870" s="7"/>
      <c r="B56870" s="7"/>
    </row>
    <row r="56871" ht="15.75" customHeight="1">
      <c r="A56871" s="7"/>
      <c r="B56871" s="7"/>
    </row>
    <row r="56872" ht="15.75" customHeight="1">
      <c r="A56872" s="7"/>
      <c r="B56872" s="7"/>
    </row>
    <row r="56873" ht="15.75" customHeight="1">
      <c r="A56873" s="7"/>
      <c r="B56873" s="7"/>
    </row>
    <row r="56874" ht="15.75" customHeight="1">
      <c r="A56874" s="7"/>
      <c r="B56874" s="7"/>
    </row>
    <row r="56875" ht="15.75" customHeight="1">
      <c r="A56875" s="7"/>
      <c r="B56875" s="7"/>
    </row>
    <row r="56876" ht="15.75" customHeight="1">
      <c r="A56876" s="7"/>
      <c r="B56876" s="7"/>
    </row>
    <row r="56877" ht="15.75" customHeight="1">
      <c r="A56877" s="7"/>
      <c r="B56877" s="7"/>
    </row>
    <row r="56878" ht="15.75" customHeight="1">
      <c r="A56878" s="7"/>
      <c r="B56878" s="7"/>
    </row>
    <row r="56879" ht="15.75" customHeight="1">
      <c r="A56879" s="7"/>
      <c r="B56879" s="7"/>
    </row>
    <row r="56880" ht="15.75" customHeight="1">
      <c r="A56880" s="7"/>
      <c r="B56880" s="7"/>
    </row>
    <row r="56881" ht="15.75" customHeight="1">
      <c r="A56881" s="7"/>
      <c r="B56881" s="7"/>
    </row>
    <row r="56882" ht="15.75" customHeight="1">
      <c r="A56882" s="7"/>
      <c r="B56882" s="7"/>
    </row>
    <row r="56883" ht="15.75" customHeight="1">
      <c r="A56883" s="7"/>
      <c r="B56883" s="7"/>
    </row>
    <row r="56884" ht="15.75" customHeight="1">
      <c r="A56884" s="7"/>
      <c r="B56884" s="7"/>
    </row>
    <row r="56885" ht="15.75" customHeight="1">
      <c r="A56885" s="7"/>
      <c r="B56885" s="7"/>
    </row>
    <row r="56886" ht="15.75" customHeight="1">
      <c r="A56886" s="7"/>
      <c r="B56886" s="7"/>
    </row>
    <row r="56887" ht="15.75" customHeight="1">
      <c r="A56887" s="7"/>
      <c r="B56887" s="7"/>
    </row>
    <row r="56888" ht="15.75" customHeight="1">
      <c r="A56888" s="7"/>
      <c r="B56888" s="7"/>
    </row>
    <row r="56889" ht="15.75" customHeight="1">
      <c r="A56889" s="7"/>
      <c r="B56889" s="7"/>
    </row>
    <row r="56890" ht="15.75" customHeight="1">
      <c r="A56890" s="7"/>
      <c r="B56890" s="7"/>
    </row>
    <row r="56891" ht="15.75" customHeight="1">
      <c r="A56891" s="7"/>
      <c r="B56891" s="7"/>
    </row>
    <row r="56892" ht="15.75" customHeight="1">
      <c r="A56892" s="7"/>
      <c r="B56892" s="7"/>
    </row>
    <row r="56893" ht="15.75" customHeight="1">
      <c r="A56893" s="7"/>
      <c r="B56893" s="7"/>
    </row>
    <row r="56894" ht="15.75" customHeight="1">
      <c r="A56894" s="7"/>
      <c r="B56894" s="7"/>
    </row>
    <row r="56895" ht="15.75" customHeight="1">
      <c r="A56895" s="7"/>
      <c r="B56895" s="7"/>
    </row>
    <row r="56896" ht="15.75" customHeight="1">
      <c r="A56896" s="7"/>
      <c r="B56896" s="7"/>
    </row>
    <row r="56897" ht="15.75" customHeight="1">
      <c r="A56897" s="7"/>
      <c r="B56897" s="7"/>
    </row>
    <row r="56898" ht="15.75" customHeight="1">
      <c r="A56898" s="7"/>
      <c r="B56898" s="7"/>
    </row>
    <row r="56899" ht="15.75" customHeight="1">
      <c r="A56899" s="7"/>
      <c r="B56899" s="7"/>
    </row>
    <row r="56900" ht="15.75" customHeight="1">
      <c r="A56900" s="7"/>
      <c r="B56900" s="7"/>
    </row>
    <row r="56901" ht="15.75" customHeight="1">
      <c r="A56901" s="7"/>
      <c r="B56901" s="7"/>
    </row>
    <row r="56902" ht="15.75" customHeight="1">
      <c r="A56902" s="7"/>
      <c r="B56902" s="7"/>
    </row>
    <row r="56903" ht="15.75" customHeight="1">
      <c r="A56903" s="7"/>
      <c r="B56903" s="7"/>
    </row>
    <row r="56904" ht="15.75" customHeight="1">
      <c r="A56904" s="7"/>
      <c r="B56904" s="7"/>
    </row>
    <row r="56905" ht="15.75" customHeight="1">
      <c r="A56905" s="7"/>
      <c r="B56905" s="7"/>
    </row>
    <row r="56906" ht="15.75" customHeight="1">
      <c r="A56906" s="7"/>
      <c r="B56906" s="7"/>
    </row>
    <row r="56907" ht="15.75" customHeight="1">
      <c r="A56907" s="7"/>
      <c r="B56907" s="7"/>
    </row>
    <row r="56908" ht="15.75" customHeight="1">
      <c r="A56908" s="7"/>
      <c r="B56908" s="7"/>
    </row>
    <row r="56909" ht="15.75" customHeight="1">
      <c r="A56909" s="7"/>
      <c r="B56909" s="7"/>
    </row>
    <row r="56910" ht="15.75" customHeight="1">
      <c r="A56910" s="7"/>
      <c r="B56910" s="7"/>
    </row>
    <row r="56911" ht="15.75" customHeight="1">
      <c r="A56911" s="7"/>
      <c r="B56911" s="7"/>
    </row>
    <row r="56912" ht="15.75" customHeight="1">
      <c r="A56912" s="7"/>
      <c r="B56912" s="7"/>
    </row>
    <row r="56913" ht="15.75" customHeight="1">
      <c r="A56913" s="7"/>
      <c r="B56913" s="7"/>
    </row>
    <row r="56914" ht="15.75" customHeight="1">
      <c r="A56914" s="7"/>
      <c r="B56914" s="7"/>
    </row>
    <row r="56915" ht="15.75" customHeight="1">
      <c r="A56915" s="7"/>
      <c r="B56915" s="7"/>
    </row>
    <row r="56916" ht="15.75" customHeight="1">
      <c r="A56916" s="7"/>
      <c r="B56916" s="7"/>
    </row>
    <row r="56917" ht="15.75" customHeight="1">
      <c r="A56917" s="7"/>
      <c r="B56917" s="7"/>
    </row>
    <row r="56918" ht="15.75" customHeight="1">
      <c r="A56918" s="7"/>
      <c r="B56918" s="7"/>
    </row>
    <row r="56919" ht="15.75" customHeight="1">
      <c r="A56919" s="7"/>
      <c r="B56919" s="7"/>
    </row>
    <row r="56920" ht="15.75" customHeight="1">
      <c r="A56920" s="7"/>
      <c r="B56920" s="7"/>
    </row>
    <row r="56921" ht="15.75" customHeight="1">
      <c r="A56921" s="7"/>
      <c r="B56921" s="7"/>
    </row>
    <row r="56922" ht="15.75" customHeight="1">
      <c r="A56922" s="7"/>
      <c r="B56922" s="7"/>
    </row>
    <row r="56923" ht="15.75" customHeight="1">
      <c r="A56923" s="7"/>
      <c r="B56923" s="7"/>
    </row>
    <row r="56924" ht="15.75" customHeight="1">
      <c r="A56924" s="7"/>
      <c r="B56924" s="7"/>
    </row>
    <row r="56925" ht="15.75" customHeight="1">
      <c r="A56925" s="7"/>
      <c r="B56925" s="7"/>
    </row>
    <row r="56926" ht="15.75" customHeight="1">
      <c r="A56926" s="7"/>
      <c r="B56926" s="7"/>
    </row>
    <row r="56927" ht="15.75" customHeight="1">
      <c r="A56927" s="7"/>
      <c r="B56927" s="7"/>
    </row>
    <row r="56928" ht="15.75" customHeight="1">
      <c r="A56928" s="7"/>
      <c r="B56928" s="7"/>
    </row>
    <row r="56929" ht="15.75" customHeight="1">
      <c r="A56929" s="7"/>
      <c r="B56929" s="7"/>
    </row>
    <row r="56930" ht="15.75" customHeight="1">
      <c r="A56930" s="7"/>
      <c r="B56930" s="7"/>
    </row>
    <row r="56931" ht="15.75" customHeight="1">
      <c r="A56931" s="7"/>
      <c r="B56931" s="7"/>
    </row>
    <row r="56932" ht="15.75" customHeight="1">
      <c r="A56932" s="7"/>
      <c r="B56932" s="7"/>
    </row>
    <row r="56933" ht="15.75" customHeight="1">
      <c r="A56933" s="7"/>
      <c r="B56933" s="7"/>
    </row>
    <row r="56934" ht="15.75" customHeight="1">
      <c r="A56934" s="7"/>
      <c r="B56934" s="7"/>
    </row>
    <row r="56935" ht="15.75" customHeight="1">
      <c r="A56935" s="7"/>
      <c r="B56935" s="7"/>
    </row>
    <row r="56936" ht="15.75" customHeight="1">
      <c r="A56936" s="7"/>
      <c r="B56936" s="7"/>
    </row>
    <row r="56937" ht="15.75" customHeight="1">
      <c r="A56937" s="7"/>
      <c r="B56937" s="7"/>
    </row>
    <row r="56938" ht="15.75" customHeight="1">
      <c r="A56938" s="7"/>
      <c r="B56938" s="7"/>
    </row>
    <row r="56939" ht="15.75" customHeight="1">
      <c r="A56939" s="7"/>
      <c r="B56939" s="7"/>
    </row>
    <row r="56940" ht="15.75" customHeight="1">
      <c r="A56940" s="7"/>
      <c r="B56940" s="7"/>
    </row>
    <row r="56941" ht="15.75" customHeight="1">
      <c r="A56941" s="7"/>
      <c r="B56941" s="7"/>
    </row>
    <row r="56942" ht="15.75" customHeight="1">
      <c r="A56942" s="7"/>
      <c r="B56942" s="7"/>
    </row>
    <row r="56943" ht="15.75" customHeight="1">
      <c r="A56943" s="7"/>
      <c r="B56943" s="7"/>
    </row>
    <row r="56944" ht="15.75" customHeight="1">
      <c r="A56944" s="7"/>
      <c r="B56944" s="7"/>
    </row>
    <row r="56945" ht="15.75" customHeight="1">
      <c r="A56945" s="7"/>
      <c r="B56945" s="7"/>
    </row>
    <row r="56946" ht="15.75" customHeight="1">
      <c r="A56946" s="7"/>
      <c r="B56946" s="7"/>
    </row>
    <row r="56947" ht="15.75" customHeight="1">
      <c r="A56947" s="7"/>
      <c r="B56947" s="7"/>
    </row>
    <row r="56948" ht="15.75" customHeight="1">
      <c r="A56948" s="7"/>
      <c r="B56948" s="7"/>
    </row>
    <row r="56949" ht="15.75" customHeight="1">
      <c r="A56949" s="7"/>
      <c r="B56949" s="7"/>
    </row>
    <row r="56950" ht="15.75" customHeight="1">
      <c r="A56950" s="7"/>
      <c r="B56950" s="7"/>
    </row>
    <row r="56951" ht="15.75" customHeight="1">
      <c r="A56951" s="7"/>
      <c r="B56951" s="7"/>
    </row>
    <row r="56952" ht="15.75" customHeight="1">
      <c r="A56952" s="7"/>
      <c r="B56952" s="7"/>
    </row>
    <row r="56953" ht="15.75" customHeight="1">
      <c r="A56953" s="7"/>
      <c r="B56953" s="7"/>
    </row>
    <row r="56954" ht="15.75" customHeight="1">
      <c r="A56954" s="7"/>
      <c r="B56954" s="7"/>
    </row>
    <row r="56955" ht="15.75" customHeight="1">
      <c r="A56955" s="7"/>
      <c r="B56955" s="7"/>
    </row>
    <row r="56956" ht="15.75" customHeight="1">
      <c r="A56956" s="7"/>
      <c r="B56956" s="7"/>
    </row>
    <row r="56957" ht="15.75" customHeight="1">
      <c r="A56957" s="7"/>
      <c r="B56957" s="7"/>
    </row>
    <row r="56958" ht="15.75" customHeight="1">
      <c r="A56958" s="7"/>
      <c r="B56958" s="7"/>
    </row>
    <row r="56959" ht="15.75" customHeight="1">
      <c r="A56959" s="7"/>
      <c r="B56959" s="7"/>
    </row>
    <row r="56960" ht="15.75" customHeight="1">
      <c r="A56960" s="7"/>
      <c r="B56960" s="7"/>
    </row>
    <row r="56961" ht="15.75" customHeight="1">
      <c r="A56961" s="7"/>
      <c r="B56961" s="7"/>
    </row>
    <row r="56962" ht="15.75" customHeight="1">
      <c r="A56962" s="7"/>
      <c r="B56962" s="7"/>
    </row>
    <row r="56963" ht="15.75" customHeight="1">
      <c r="A56963" s="7"/>
      <c r="B56963" s="7"/>
    </row>
    <row r="56964" ht="15.75" customHeight="1">
      <c r="A56964" s="7"/>
      <c r="B56964" s="7"/>
    </row>
    <row r="56965" ht="15.75" customHeight="1">
      <c r="A56965" s="7"/>
      <c r="B56965" s="7"/>
    </row>
    <row r="56966" ht="15.75" customHeight="1">
      <c r="A56966" s="7"/>
      <c r="B56966" s="7"/>
    </row>
    <row r="56967" ht="15.75" customHeight="1">
      <c r="A56967" s="7"/>
      <c r="B56967" s="7"/>
    </row>
    <row r="56968" ht="15.75" customHeight="1">
      <c r="A56968" s="7"/>
      <c r="B56968" s="7"/>
    </row>
    <row r="56969" ht="15.75" customHeight="1">
      <c r="A56969" s="7"/>
      <c r="B56969" s="7"/>
    </row>
    <row r="56970" ht="15.75" customHeight="1">
      <c r="A56970" s="7"/>
      <c r="B56970" s="7"/>
    </row>
    <row r="56971" ht="15.75" customHeight="1">
      <c r="A56971" s="7"/>
      <c r="B56971" s="7"/>
    </row>
    <row r="56972" ht="15.75" customHeight="1">
      <c r="A56972" s="7"/>
      <c r="B56972" s="7"/>
    </row>
    <row r="56973" ht="15.75" customHeight="1">
      <c r="A56973" s="7"/>
      <c r="B56973" s="7"/>
    </row>
    <row r="56974" ht="15.75" customHeight="1">
      <c r="A56974" s="7"/>
      <c r="B56974" s="7"/>
    </row>
    <row r="56975" ht="15.75" customHeight="1">
      <c r="A56975" s="7"/>
      <c r="B56975" s="7"/>
    </row>
    <row r="56976" ht="15.75" customHeight="1">
      <c r="A56976" s="7"/>
      <c r="B56976" s="7"/>
    </row>
    <row r="56977" ht="15.75" customHeight="1">
      <c r="A56977" s="7"/>
      <c r="B56977" s="7"/>
    </row>
    <row r="56978" ht="15.75" customHeight="1">
      <c r="A56978" s="7"/>
      <c r="B56978" s="7"/>
    </row>
    <row r="56979" ht="15.75" customHeight="1">
      <c r="A56979" s="7"/>
      <c r="B56979" s="7"/>
    </row>
    <row r="56980" ht="15.75" customHeight="1">
      <c r="A56980" s="7"/>
      <c r="B56980" s="7"/>
    </row>
    <row r="56981" ht="15.75" customHeight="1">
      <c r="A56981" s="7"/>
      <c r="B56981" s="7"/>
    </row>
    <row r="56982" ht="15.75" customHeight="1">
      <c r="A56982" s="7"/>
      <c r="B56982" s="7"/>
    </row>
    <row r="56983" ht="15.75" customHeight="1">
      <c r="A56983" s="7"/>
      <c r="B56983" s="7"/>
    </row>
    <row r="56984" ht="15.75" customHeight="1">
      <c r="A56984" s="7"/>
      <c r="B56984" s="7"/>
    </row>
    <row r="56985" ht="15.75" customHeight="1">
      <c r="A56985" s="7"/>
      <c r="B56985" s="7"/>
    </row>
    <row r="56986" ht="15.75" customHeight="1">
      <c r="A56986" s="7"/>
      <c r="B56986" s="7"/>
    </row>
    <row r="56987" ht="15.75" customHeight="1">
      <c r="A56987" s="7"/>
      <c r="B56987" s="7"/>
    </row>
    <row r="56988" ht="15.75" customHeight="1">
      <c r="A56988" s="7"/>
      <c r="B56988" s="7"/>
    </row>
    <row r="56989" ht="15.75" customHeight="1">
      <c r="A56989" s="7"/>
      <c r="B56989" s="7"/>
    </row>
    <row r="56990" ht="15.75" customHeight="1">
      <c r="A56990" s="7"/>
      <c r="B56990" s="7"/>
    </row>
    <row r="56991" ht="15.75" customHeight="1">
      <c r="A56991" s="7"/>
      <c r="B56991" s="7"/>
    </row>
    <row r="56992" ht="15.75" customHeight="1">
      <c r="A56992" s="7"/>
      <c r="B56992" s="7"/>
    </row>
    <row r="56993" ht="15.75" customHeight="1">
      <c r="A56993" s="7"/>
      <c r="B56993" s="7"/>
    </row>
    <row r="56994" ht="15.75" customHeight="1">
      <c r="A56994" s="7"/>
      <c r="B56994" s="7"/>
    </row>
    <row r="56995" ht="15.75" customHeight="1">
      <c r="A56995" s="7"/>
      <c r="B56995" s="7"/>
    </row>
    <row r="56996" ht="15.75" customHeight="1">
      <c r="A56996" s="7"/>
      <c r="B56996" s="7"/>
    </row>
    <row r="56997" ht="15.75" customHeight="1">
      <c r="A56997" s="7"/>
      <c r="B56997" s="7"/>
    </row>
    <row r="56998" ht="15.75" customHeight="1">
      <c r="A56998" s="7"/>
      <c r="B56998" s="7"/>
    </row>
    <row r="56999" ht="15.75" customHeight="1">
      <c r="A56999" s="7"/>
      <c r="B56999" s="7"/>
    </row>
    <row r="57000" ht="15.75" customHeight="1">
      <c r="A57000" s="7"/>
      <c r="B57000" s="7"/>
    </row>
    <row r="57001" ht="15.75" customHeight="1">
      <c r="A57001" s="7"/>
      <c r="B57001" s="7"/>
    </row>
    <row r="57002" ht="15.75" customHeight="1">
      <c r="A57002" s="7"/>
      <c r="B57002" s="7"/>
    </row>
    <row r="57003" ht="15.75" customHeight="1">
      <c r="A57003" s="7"/>
      <c r="B57003" s="7"/>
    </row>
    <row r="57004" ht="15.75" customHeight="1">
      <c r="A57004" s="7"/>
      <c r="B57004" s="7"/>
    </row>
    <row r="57005" ht="15.75" customHeight="1">
      <c r="A57005" s="7"/>
      <c r="B57005" s="7"/>
    </row>
    <row r="57006" ht="15.75" customHeight="1">
      <c r="A57006" s="7"/>
      <c r="B57006" s="7"/>
    </row>
    <row r="57007" ht="15.75" customHeight="1">
      <c r="A57007" s="7"/>
      <c r="B57007" s="7"/>
    </row>
    <row r="57008" ht="15.75" customHeight="1">
      <c r="A57008" s="7"/>
      <c r="B57008" s="7"/>
    </row>
    <row r="57009" ht="15.75" customHeight="1">
      <c r="A57009" s="7"/>
      <c r="B57009" s="7"/>
    </row>
    <row r="57010" ht="15.75" customHeight="1">
      <c r="A57010" s="7"/>
      <c r="B57010" s="7"/>
    </row>
    <row r="57011" ht="15.75" customHeight="1">
      <c r="A57011" s="7"/>
      <c r="B57011" s="7"/>
    </row>
    <row r="57012" ht="15.75" customHeight="1">
      <c r="A57012" s="7"/>
      <c r="B57012" s="7"/>
    </row>
    <row r="57013" ht="15.75" customHeight="1">
      <c r="A57013" s="7"/>
      <c r="B57013" s="7"/>
    </row>
    <row r="57014" ht="15.75" customHeight="1">
      <c r="A57014" s="7"/>
      <c r="B57014" s="7"/>
    </row>
    <row r="57015" ht="15.75" customHeight="1">
      <c r="A57015" s="7"/>
      <c r="B57015" s="7"/>
    </row>
    <row r="57016" ht="15.75" customHeight="1">
      <c r="A57016" s="7"/>
      <c r="B57016" s="7"/>
    </row>
    <row r="57017" ht="15.75" customHeight="1">
      <c r="A57017" s="7"/>
      <c r="B57017" s="7"/>
    </row>
    <row r="57018" ht="15.75" customHeight="1">
      <c r="A57018" s="7"/>
      <c r="B57018" s="7"/>
    </row>
    <row r="57019" ht="15.75" customHeight="1">
      <c r="A57019" s="7"/>
      <c r="B57019" s="7"/>
    </row>
    <row r="57020" ht="15.75" customHeight="1">
      <c r="A57020" s="7"/>
      <c r="B57020" s="7"/>
    </row>
    <row r="57021" ht="15.75" customHeight="1">
      <c r="A57021" s="7"/>
      <c r="B57021" s="7"/>
    </row>
    <row r="57022" ht="15.75" customHeight="1">
      <c r="A57022" s="7"/>
      <c r="B57022" s="7"/>
    </row>
    <row r="57023" ht="15.75" customHeight="1">
      <c r="A57023" s="7"/>
      <c r="B57023" s="7"/>
    </row>
    <row r="57024" ht="15.75" customHeight="1">
      <c r="A57024" s="7"/>
      <c r="B57024" s="7"/>
    </row>
    <row r="57025" ht="15.75" customHeight="1">
      <c r="A57025" s="7"/>
      <c r="B57025" s="7"/>
    </row>
    <row r="57026" ht="15.75" customHeight="1">
      <c r="A57026" s="7"/>
      <c r="B57026" s="7"/>
    </row>
    <row r="57027" ht="15.75" customHeight="1">
      <c r="A57027" s="7"/>
      <c r="B57027" s="7"/>
    </row>
    <row r="57028" ht="15.75" customHeight="1">
      <c r="A57028" s="7"/>
      <c r="B57028" s="7"/>
    </row>
    <row r="57029" ht="15.75" customHeight="1">
      <c r="A57029" s="7"/>
      <c r="B57029" s="7"/>
    </row>
    <row r="57030" ht="15.75" customHeight="1">
      <c r="A57030" s="7"/>
      <c r="B57030" s="7"/>
    </row>
    <row r="57031" ht="15.75" customHeight="1">
      <c r="A57031" s="7"/>
      <c r="B57031" s="7"/>
    </row>
    <row r="57032" ht="15.75" customHeight="1">
      <c r="A57032" s="7"/>
      <c r="B57032" s="7"/>
    </row>
    <row r="57033" ht="15.75" customHeight="1">
      <c r="A57033" s="7"/>
      <c r="B57033" s="7"/>
    </row>
    <row r="57034" ht="15.75" customHeight="1">
      <c r="A57034" s="7"/>
      <c r="B57034" s="7"/>
    </row>
    <row r="57035" ht="15.75" customHeight="1">
      <c r="A57035" s="7"/>
      <c r="B57035" s="7"/>
    </row>
    <row r="57036" ht="15.75" customHeight="1">
      <c r="A57036" s="7"/>
      <c r="B57036" s="7"/>
    </row>
    <row r="57037" ht="15.75" customHeight="1">
      <c r="A57037" s="7"/>
      <c r="B57037" s="7"/>
    </row>
    <row r="57038" ht="15.75" customHeight="1">
      <c r="A57038" s="7"/>
      <c r="B57038" s="7"/>
    </row>
    <row r="57039" ht="15.75" customHeight="1">
      <c r="A57039" s="7"/>
      <c r="B57039" s="7"/>
    </row>
    <row r="57040" ht="15.75" customHeight="1">
      <c r="A57040" s="7"/>
      <c r="B57040" s="7"/>
    </row>
    <row r="57041" ht="15.75" customHeight="1">
      <c r="A57041" s="7"/>
      <c r="B57041" s="7"/>
    </row>
    <row r="57042" ht="15.75" customHeight="1">
      <c r="A57042" s="7"/>
      <c r="B57042" s="7"/>
    </row>
    <row r="57043" ht="15.75" customHeight="1">
      <c r="A57043" s="7"/>
      <c r="B57043" s="7"/>
    </row>
    <row r="57044" ht="15.75" customHeight="1">
      <c r="A57044" s="7"/>
      <c r="B57044" s="7"/>
    </row>
    <row r="57045" ht="15.75" customHeight="1">
      <c r="A57045" s="7"/>
      <c r="B57045" s="7"/>
    </row>
    <row r="57046" ht="15.75" customHeight="1">
      <c r="A57046" s="7"/>
      <c r="B57046" s="7"/>
    </row>
    <row r="57047" ht="15.75" customHeight="1">
      <c r="A57047" s="7"/>
      <c r="B57047" s="7"/>
    </row>
    <row r="57048" ht="15.75" customHeight="1">
      <c r="A57048" s="7"/>
      <c r="B57048" s="7"/>
    </row>
    <row r="57049" ht="15.75" customHeight="1">
      <c r="A57049" s="7"/>
      <c r="B57049" s="7"/>
    </row>
    <row r="57050" ht="15.75" customHeight="1">
      <c r="A57050" s="7"/>
      <c r="B57050" s="7"/>
    </row>
    <row r="57051" ht="15.75" customHeight="1">
      <c r="A57051" s="7"/>
      <c r="B57051" s="7"/>
    </row>
    <row r="57052" ht="15.75" customHeight="1">
      <c r="A57052" s="7"/>
      <c r="B57052" s="7"/>
    </row>
    <row r="57053" ht="15.75" customHeight="1">
      <c r="A57053" s="7"/>
      <c r="B57053" s="7"/>
    </row>
    <row r="57054" ht="15.75" customHeight="1">
      <c r="A57054" s="7"/>
      <c r="B57054" s="7"/>
    </row>
    <row r="57055" ht="15.75" customHeight="1">
      <c r="A57055" s="7"/>
      <c r="B57055" s="7"/>
    </row>
    <row r="57056" ht="15.75" customHeight="1">
      <c r="A57056" s="7"/>
      <c r="B57056" s="7"/>
    </row>
    <row r="57057" ht="15.75" customHeight="1">
      <c r="A57057" s="7"/>
      <c r="B57057" s="7"/>
    </row>
    <row r="57058" ht="15.75" customHeight="1">
      <c r="A57058" s="7"/>
      <c r="B57058" s="7"/>
    </row>
    <row r="57059" ht="15.75" customHeight="1">
      <c r="A57059" s="7"/>
      <c r="B57059" s="7"/>
    </row>
    <row r="57060" ht="15.75" customHeight="1">
      <c r="A57060" s="7"/>
      <c r="B57060" s="7"/>
    </row>
    <row r="57061" ht="15.75" customHeight="1">
      <c r="A57061" s="7"/>
      <c r="B57061" s="7"/>
    </row>
    <row r="57062" ht="15.75" customHeight="1">
      <c r="A57062" s="7"/>
      <c r="B57062" s="7"/>
    </row>
    <row r="57063" ht="15.75" customHeight="1">
      <c r="A57063" s="7"/>
      <c r="B57063" s="7"/>
    </row>
    <row r="57064" ht="15.75" customHeight="1">
      <c r="A57064" s="7"/>
      <c r="B57064" s="7"/>
    </row>
    <row r="57065" ht="15.75" customHeight="1">
      <c r="A57065" s="7"/>
      <c r="B57065" s="7"/>
    </row>
    <row r="57066" ht="15.75" customHeight="1">
      <c r="A57066" s="7"/>
      <c r="B57066" s="7"/>
    </row>
    <row r="57067" ht="15.75" customHeight="1">
      <c r="A57067" s="7"/>
      <c r="B57067" s="7"/>
    </row>
    <row r="57068" ht="15.75" customHeight="1">
      <c r="A57068" s="7"/>
      <c r="B57068" s="7"/>
    </row>
    <row r="57069" ht="15.75" customHeight="1">
      <c r="A57069" s="7"/>
      <c r="B57069" s="7"/>
    </row>
    <row r="57070" ht="15.75" customHeight="1">
      <c r="A57070" s="7"/>
      <c r="B57070" s="7"/>
    </row>
    <row r="57071" ht="15.75" customHeight="1">
      <c r="A57071" s="7"/>
      <c r="B57071" s="7"/>
    </row>
    <row r="57072" ht="15.75" customHeight="1">
      <c r="A57072" s="7"/>
      <c r="B57072" s="7"/>
    </row>
    <row r="57073" ht="15.75" customHeight="1">
      <c r="A57073" s="7"/>
      <c r="B57073" s="7"/>
    </row>
    <row r="57074" ht="15.75" customHeight="1">
      <c r="A57074" s="7"/>
      <c r="B57074" s="7"/>
    </row>
    <row r="57075" ht="15.75" customHeight="1">
      <c r="A57075" s="7"/>
      <c r="B57075" s="7"/>
    </row>
    <row r="57076" ht="15.75" customHeight="1">
      <c r="A57076" s="7"/>
      <c r="B57076" s="7"/>
    </row>
    <row r="57077" ht="15.75" customHeight="1">
      <c r="A57077" s="7"/>
      <c r="B57077" s="7"/>
    </row>
    <row r="57078" ht="15.75" customHeight="1">
      <c r="A57078" s="7"/>
      <c r="B57078" s="7"/>
    </row>
    <row r="57079" ht="15.75" customHeight="1">
      <c r="A57079" s="7"/>
      <c r="B57079" s="7"/>
    </row>
    <row r="57080" ht="15.75" customHeight="1">
      <c r="A57080" s="7"/>
      <c r="B57080" s="7"/>
    </row>
    <row r="57081" ht="15.75" customHeight="1">
      <c r="A57081" s="7"/>
      <c r="B57081" s="7"/>
    </row>
    <row r="57082" ht="15.75" customHeight="1">
      <c r="A57082" s="7"/>
      <c r="B57082" s="7"/>
    </row>
    <row r="57083" ht="15.75" customHeight="1">
      <c r="A57083" s="7"/>
      <c r="B57083" s="7"/>
    </row>
    <row r="57084" ht="15.75" customHeight="1">
      <c r="A57084" s="7"/>
      <c r="B57084" s="7"/>
    </row>
    <row r="57085" ht="15.75" customHeight="1">
      <c r="A57085" s="7"/>
      <c r="B57085" s="7"/>
    </row>
    <row r="57086" ht="15.75" customHeight="1">
      <c r="A57086" s="7"/>
      <c r="B57086" s="7"/>
    </row>
    <row r="57087" ht="15.75" customHeight="1">
      <c r="A57087" s="7"/>
      <c r="B57087" s="7"/>
    </row>
    <row r="57088" ht="15.75" customHeight="1">
      <c r="A57088" s="7"/>
      <c r="B57088" s="7"/>
    </row>
    <row r="57089" ht="15.75" customHeight="1">
      <c r="A57089" s="7"/>
      <c r="B57089" s="7"/>
    </row>
    <row r="57090" ht="15.75" customHeight="1">
      <c r="A57090" s="7"/>
      <c r="B57090" s="7"/>
    </row>
    <row r="57091" ht="15.75" customHeight="1">
      <c r="A57091" s="7"/>
      <c r="B57091" s="7"/>
    </row>
    <row r="57092" ht="15.75" customHeight="1">
      <c r="A57092" s="7"/>
      <c r="B57092" s="7"/>
    </row>
    <row r="57093" ht="15.75" customHeight="1">
      <c r="A57093" s="7"/>
      <c r="B57093" s="7"/>
    </row>
    <row r="57094" ht="15.75" customHeight="1">
      <c r="A57094" s="7"/>
      <c r="B57094" s="7"/>
    </row>
    <row r="57095" ht="15.75" customHeight="1">
      <c r="A57095" s="7"/>
      <c r="B57095" s="7"/>
    </row>
    <row r="57096" ht="15.75" customHeight="1">
      <c r="A57096" s="7"/>
      <c r="B57096" s="7"/>
    </row>
    <row r="57097" ht="15.75" customHeight="1">
      <c r="A57097" s="7"/>
      <c r="B57097" s="7"/>
    </row>
    <row r="57098" ht="15.75" customHeight="1">
      <c r="A57098" s="7"/>
      <c r="B57098" s="7"/>
    </row>
    <row r="57099" ht="15.75" customHeight="1">
      <c r="A57099" s="7"/>
      <c r="B57099" s="7"/>
    </row>
    <row r="57100" ht="15.75" customHeight="1">
      <c r="A57100" s="7"/>
      <c r="B57100" s="7"/>
    </row>
    <row r="57101" ht="15.75" customHeight="1">
      <c r="A57101" s="7"/>
      <c r="B57101" s="7"/>
    </row>
    <row r="57102" ht="15.75" customHeight="1">
      <c r="A57102" s="7"/>
      <c r="B57102" s="7"/>
    </row>
    <row r="57103" ht="15.75" customHeight="1">
      <c r="A57103" s="7"/>
      <c r="B57103" s="7"/>
    </row>
    <row r="57104" ht="15.75" customHeight="1">
      <c r="A57104" s="7"/>
      <c r="B57104" s="7"/>
    </row>
    <row r="57105" ht="15.75" customHeight="1">
      <c r="A57105" s="7"/>
      <c r="B57105" s="7"/>
    </row>
    <row r="57106" ht="15.75" customHeight="1">
      <c r="A57106" s="7"/>
      <c r="B57106" s="7"/>
    </row>
    <row r="57107" ht="15.75" customHeight="1">
      <c r="A57107" s="7"/>
      <c r="B57107" s="7"/>
    </row>
    <row r="57108" ht="15.75" customHeight="1">
      <c r="A57108" s="7"/>
      <c r="B57108" s="7"/>
    </row>
    <row r="57109" ht="15.75" customHeight="1">
      <c r="A57109" s="7"/>
      <c r="B57109" s="7"/>
    </row>
    <row r="57110" ht="15.75" customHeight="1">
      <c r="A57110" s="7"/>
      <c r="B57110" s="7"/>
    </row>
    <row r="57111" ht="15.75" customHeight="1">
      <c r="A57111" s="7"/>
      <c r="B57111" s="7"/>
    </row>
    <row r="57112" ht="15.75" customHeight="1">
      <c r="A57112" s="7"/>
      <c r="B57112" s="7"/>
    </row>
    <row r="57113" ht="15.75" customHeight="1">
      <c r="A57113" s="7"/>
      <c r="B57113" s="7"/>
    </row>
    <row r="57114" ht="15.75" customHeight="1">
      <c r="A57114" s="7"/>
      <c r="B57114" s="7"/>
    </row>
    <row r="57115" ht="15.75" customHeight="1">
      <c r="A57115" s="7"/>
      <c r="B57115" s="7"/>
    </row>
    <row r="57116" ht="15.75" customHeight="1">
      <c r="A57116" s="7"/>
      <c r="B57116" s="7"/>
    </row>
    <row r="57117" ht="15.75" customHeight="1">
      <c r="A57117" s="7"/>
      <c r="B57117" s="7"/>
    </row>
    <row r="57118" ht="15.75" customHeight="1">
      <c r="A57118" s="7"/>
      <c r="B57118" s="7"/>
    </row>
    <row r="57119" ht="15.75" customHeight="1">
      <c r="A57119" s="7"/>
      <c r="B57119" s="7"/>
    </row>
    <row r="57120" ht="15.75" customHeight="1">
      <c r="A57120" s="7"/>
      <c r="B57120" s="7"/>
    </row>
    <row r="57121" ht="15.75" customHeight="1">
      <c r="A57121" s="7"/>
      <c r="B57121" s="7"/>
    </row>
    <row r="57122" ht="15.75" customHeight="1">
      <c r="A57122" s="7"/>
      <c r="B57122" s="7"/>
    </row>
    <row r="57123" ht="15.75" customHeight="1">
      <c r="A57123" s="7"/>
      <c r="B57123" s="7"/>
    </row>
    <row r="57124" ht="15.75" customHeight="1">
      <c r="A57124" s="7"/>
      <c r="B57124" s="7"/>
    </row>
    <row r="57125" ht="15.75" customHeight="1">
      <c r="A57125" s="7"/>
      <c r="B57125" s="7"/>
    </row>
    <row r="57126" ht="15.75" customHeight="1">
      <c r="A57126" s="7"/>
      <c r="B57126" s="7"/>
    </row>
    <row r="57127" ht="15.75" customHeight="1">
      <c r="A57127" s="7"/>
      <c r="B57127" s="7"/>
    </row>
    <row r="57128" ht="15.75" customHeight="1">
      <c r="A57128" s="7"/>
      <c r="B57128" s="7"/>
    </row>
    <row r="57129" ht="15.75" customHeight="1">
      <c r="A57129" s="7"/>
      <c r="B57129" s="7"/>
    </row>
    <row r="57130" ht="15.75" customHeight="1">
      <c r="A57130" s="7"/>
      <c r="B57130" s="7"/>
    </row>
    <row r="57131" ht="15.75" customHeight="1">
      <c r="A57131" s="7"/>
      <c r="B57131" s="7"/>
    </row>
    <row r="57132" ht="15.75" customHeight="1">
      <c r="A57132" s="7"/>
      <c r="B57132" s="7"/>
    </row>
    <row r="57133" ht="15.75" customHeight="1">
      <c r="A57133" s="7"/>
      <c r="B57133" s="7"/>
    </row>
    <row r="57134" ht="15.75" customHeight="1">
      <c r="A57134" s="7"/>
      <c r="B57134" s="7"/>
    </row>
    <row r="57135" ht="15.75" customHeight="1">
      <c r="A57135" s="7"/>
      <c r="B57135" s="7"/>
    </row>
    <row r="57136" ht="15.75" customHeight="1">
      <c r="A57136" s="7"/>
      <c r="B57136" s="7"/>
    </row>
    <row r="57137" ht="15.75" customHeight="1">
      <c r="A57137" s="7"/>
      <c r="B57137" s="7"/>
    </row>
    <row r="57138" ht="15.75" customHeight="1">
      <c r="A57138" s="7"/>
      <c r="B57138" s="7"/>
    </row>
    <row r="57139" ht="15.75" customHeight="1">
      <c r="A57139" s="7"/>
      <c r="B57139" s="7"/>
    </row>
    <row r="57140" ht="15.75" customHeight="1">
      <c r="A57140" s="7"/>
      <c r="B57140" s="7"/>
    </row>
    <row r="57141" ht="15.75" customHeight="1">
      <c r="A57141" s="7"/>
      <c r="B57141" s="7"/>
    </row>
    <row r="57142" ht="15.75" customHeight="1">
      <c r="A57142" s="7"/>
      <c r="B57142" s="7"/>
    </row>
    <row r="57143" ht="15.75" customHeight="1">
      <c r="A57143" s="7"/>
      <c r="B57143" s="7"/>
    </row>
    <row r="57144" ht="15.75" customHeight="1">
      <c r="A57144" s="7"/>
      <c r="B57144" s="7"/>
    </row>
    <row r="57145" ht="15.75" customHeight="1">
      <c r="A57145" s="7"/>
      <c r="B57145" s="7"/>
    </row>
    <row r="57146" ht="15.75" customHeight="1">
      <c r="A57146" s="7"/>
      <c r="B57146" s="7"/>
    </row>
    <row r="57147" ht="15.75" customHeight="1">
      <c r="A57147" s="7"/>
      <c r="B57147" s="7"/>
    </row>
    <row r="57148" ht="15.75" customHeight="1">
      <c r="A57148" s="7"/>
      <c r="B57148" s="7"/>
    </row>
    <row r="57149" ht="15.75" customHeight="1">
      <c r="A57149" s="7"/>
      <c r="B57149" s="7"/>
    </row>
    <row r="57150" ht="15.75" customHeight="1">
      <c r="A57150" s="7"/>
      <c r="B57150" s="7"/>
    </row>
    <row r="57151" ht="15.75" customHeight="1">
      <c r="A57151" s="7"/>
      <c r="B57151" s="7"/>
    </row>
    <row r="57152" ht="15.75" customHeight="1">
      <c r="A57152" s="7"/>
      <c r="B57152" s="7"/>
    </row>
    <row r="57153" ht="15.75" customHeight="1">
      <c r="A57153" s="7"/>
      <c r="B57153" s="7"/>
    </row>
    <row r="57154" ht="15.75" customHeight="1">
      <c r="A57154" s="7"/>
      <c r="B57154" s="7"/>
    </row>
    <row r="57155" ht="15.75" customHeight="1">
      <c r="A57155" s="7"/>
      <c r="B57155" s="7"/>
    </row>
    <row r="57156" ht="15.75" customHeight="1">
      <c r="A57156" s="7"/>
      <c r="B57156" s="7"/>
    </row>
    <row r="57157" ht="15.75" customHeight="1">
      <c r="A57157" s="7"/>
      <c r="B57157" s="7"/>
    </row>
    <row r="57158" ht="15.75" customHeight="1">
      <c r="A57158" s="7"/>
      <c r="B57158" s="7"/>
    </row>
    <row r="57159" ht="15.75" customHeight="1">
      <c r="A57159" s="7"/>
      <c r="B57159" s="7"/>
    </row>
    <row r="57160" ht="15.75" customHeight="1">
      <c r="A57160" s="7"/>
      <c r="B57160" s="7"/>
    </row>
    <row r="57161" ht="15.75" customHeight="1">
      <c r="A57161" s="7"/>
      <c r="B57161" s="7"/>
    </row>
    <row r="57162" ht="15.75" customHeight="1">
      <c r="A57162" s="7"/>
      <c r="B57162" s="7"/>
    </row>
    <row r="57163" ht="15.75" customHeight="1">
      <c r="A57163" s="7"/>
      <c r="B57163" s="7"/>
    </row>
    <row r="57164" ht="15.75" customHeight="1">
      <c r="A57164" s="7"/>
      <c r="B57164" s="7"/>
    </row>
    <row r="57165" ht="15.75" customHeight="1">
      <c r="A57165" s="7"/>
      <c r="B57165" s="7"/>
    </row>
    <row r="57166" ht="15.75" customHeight="1">
      <c r="A57166" s="7"/>
      <c r="B57166" s="7"/>
    </row>
    <row r="57167" ht="15.75" customHeight="1">
      <c r="A57167" s="7"/>
      <c r="B57167" s="7"/>
    </row>
    <row r="57168" ht="15.75" customHeight="1">
      <c r="A57168" s="7"/>
      <c r="B57168" s="7"/>
    </row>
    <row r="57169" ht="15.75" customHeight="1">
      <c r="A57169" s="7"/>
      <c r="B57169" s="7"/>
    </row>
    <row r="57170" ht="15.75" customHeight="1">
      <c r="A57170" s="7"/>
      <c r="B57170" s="7"/>
    </row>
    <row r="57171" ht="15.75" customHeight="1">
      <c r="A57171" s="7"/>
      <c r="B57171" s="7"/>
    </row>
    <row r="57172" ht="15.75" customHeight="1">
      <c r="A57172" s="7"/>
      <c r="B57172" s="7"/>
    </row>
    <row r="57173" ht="15.75" customHeight="1">
      <c r="A57173" s="7"/>
      <c r="B57173" s="7"/>
    </row>
    <row r="57174" ht="15.75" customHeight="1">
      <c r="A57174" s="7"/>
      <c r="B57174" s="7"/>
    </row>
    <row r="57175" ht="15.75" customHeight="1">
      <c r="A57175" s="7"/>
      <c r="B57175" s="7"/>
    </row>
    <row r="57176" ht="15.75" customHeight="1">
      <c r="A57176" s="7"/>
      <c r="B57176" s="7"/>
    </row>
    <row r="57177" ht="15.75" customHeight="1">
      <c r="A57177" s="7"/>
      <c r="B57177" s="7"/>
    </row>
    <row r="57178" ht="15.75" customHeight="1">
      <c r="A57178" s="7"/>
      <c r="B57178" s="7"/>
    </row>
    <row r="57179" ht="15.75" customHeight="1">
      <c r="A57179" s="7"/>
      <c r="B57179" s="7"/>
    </row>
    <row r="57180" ht="15.75" customHeight="1">
      <c r="A57180" s="7"/>
      <c r="B57180" s="7"/>
    </row>
    <row r="57181" ht="15.75" customHeight="1">
      <c r="A57181" s="7"/>
      <c r="B57181" s="7"/>
    </row>
    <row r="57182" ht="15.75" customHeight="1">
      <c r="A57182" s="7"/>
      <c r="B57182" s="7"/>
    </row>
    <row r="57183" ht="15.75" customHeight="1">
      <c r="A57183" s="7"/>
      <c r="B57183" s="7"/>
    </row>
    <row r="57184" ht="15.75" customHeight="1">
      <c r="A57184" s="7"/>
      <c r="B57184" s="7"/>
    </row>
    <row r="57185" ht="15.75" customHeight="1">
      <c r="A57185" s="7"/>
      <c r="B57185" s="7"/>
    </row>
    <row r="57186" ht="15.75" customHeight="1">
      <c r="A57186" s="7"/>
      <c r="B57186" s="7"/>
    </row>
    <row r="57187" ht="15.75" customHeight="1">
      <c r="A57187" s="7"/>
      <c r="B57187" s="7"/>
    </row>
    <row r="57188" ht="15.75" customHeight="1">
      <c r="A57188" s="7"/>
      <c r="B57188" s="7"/>
    </row>
    <row r="57189" ht="15.75" customHeight="1">
      <c r="A57189" s="7"/>
      <c r="B57189" s="7"/>
    </row>
    <row r="57190" ht="15.75" customHeight="1">
      <c r="A57190" s="7"/>
      <c r="B57190" s="7"/>
    </row>
    <row r="57191" ht="15.75" customHeight="1">
      <c r="A57191" s="7"/>
      <c r="B57191" s="7"/>
    </row>
    <row r="57192" ht="15.75" customHeight="1">
      <c r="A57192" s="7"/>
      <c r="B57192" s="7"/>
    </row>
    <row r="57193" ht="15.75" customHeight="1">
      <c r="A57193" s="7"/>
      <c r="B57193" s="7"/>
    </row>
    <row r="57194" ht="15.75" customHeight="1">
      <c r="A57194" s="7"/>
      <c r="B57194" s="7"/>
    </row>
    <row r="57195" ht="15.75" customHeight="1">
      <c r="A57195" s="7"/>
      <c r="B57195" s="7"/>
    </row>
    <row r="57196" ht="15.75" customHeight="1">
      <c r="A57196" s="7"/>
      <c r="B57196" s="7"/>
    </row>
    <row r="57197" ht="15.75" customHeight="1">
      <c r="A57197" s="7"/>
      <c r="B57197" s="7"/>
    </row>
    <row r="57198" ht="15.75" customHeight="1">
      <c r="A57198" s="7"/>
      <c r="B57198" s="7"/>
    </row>
    <row r="57199" ht="15.75" customHeight="1">
      <c r="A57199" s="7"/>
      <c r="B57199" s="7"/>
    </row>
    <row r="57200" ht="15.75" customHeight="1">
      <c r="A57200" s="7"/>
      <c r="B57200" s="7"/>
    </row>
    <row r="57201" ht="15.75" customHeight="1">
      <c r="A57201" s="7"/>
      <c r="B57201" s="7"/>
    </row>
    <row r="57202" ht="15.75" customHeight="1">
      <c r="A57202" s="7"/>
      <c r="B57202" s="7"/>
    </row>
    <row r="57203" ht="15.75" customHeight="1">
      <c r="A57203" s="7"/>
      <c r="B57203" s="7"/>
    </row>
    <row r="57204" ht="15.75" customHeight="1">
      <c r="A57204" s="7"/>
      <c r="B57204" s="7"/>
    </row>
    <row r="57205" ht="15.75" customHeight="1">
      <c r="A57205" s="7"/>
      <c r="B57205" s="7"/>
    </row>
    <row r="57206" ht="15.75" customHeight="1">
      <c r="A57206" s="7"/>
      <c r="B57206" s="7"/>
    </row>
    <row r="57207" ht="15.75" customHeight="1">
      <c r="A57207" s="7"/>
      <c r="B57207" s="7"/>
    </row>
    <row r="57208" ht="15.75" customHeight="1">
      <c r="A57208" s="7"/>
      <c r="B57208" s="7"/>
    </row>
    <row r="57209" ht="15.75" customHeight="1">
      <c r="A57209" s="7"/>
      <c r="B57209" s="7"/>
    </row>
    <row r="57210" ht="15.75" customHeight="1">
      <c r="A57210" s="7"/>
      <c r="B57210" s="7"/>
    </row>
    <row r="57211" ht="15.75" customHeight="1">
      <c r="A57211" s="7"/>
      <c r="B57211" s="7"/>
    </row>
    <row r="57212" ht="15.75" customHeight="1">
      <c r="A57212" s="7"/>
      <c r="B57212" s="7"/>
    </row>
    <row r="57213" ht="15.75" customHeight="1">
      <c r="A57213" s="7"/>
      <c r="B57213" s="7"/>
    </row>
    <row r="57214" ht="15.75" customHeight="1">
      <c r="A57214" s="7"/>
      <c r="B57214" s="7"/>
    </row>
    <row r="57215" ht="15.75" customHeight="1">
      <c r="A57215" s="7"/>
      <c r="B57215" s="7"/>
    </row>
    <row r="57216" ht="15.75" customHeight="1">
      <c r="A57216" s="7"/>
      <c r="B57216" s="7"/>
    </row>
    <row r="57217" ht="15.75" customHeight="1">
      <c r="A57217" s="7"/>
      <c r="B57217" s="7"/>
    </row>
    <row r="57218" ht="15.75" customHeight="1">
      <c r="A57218" s="7"/>
      <c r="B57218" s="7"/>
    </row>
    <row r="57219" ht="15.75" customHeight="1">
      <c r="A57219" s="7"/>
      <c r="B57219" s="7"/>
    </row>
    <row r="57220" ht="15.75" customHeight="1">
      <c r="A57220" s="7"/>
      <c r="B57220" s="7"/>
    </row>
    <row r="57221" ht="15.75" customHeight="1">
      <c r="A57221" s="7"/>
      <c r="B57221" s="7"/>
    </row>
    <row r="57222" ht="15.75" customHeight="1">
      <c r="A57222" s="7"/>
      <c r="B57222" s="7"/>
    </row>
    <row r="57223" ht="15.75" customHeight="1">
      <c r="A57223" s="7"/>
      <c r="B57223" s="7"/>
    </row>
    <row r="57224" ht="15.75" customHeight="1">
      <c r="A57224" s="7"/>
      <c r="B57224" s="7"/>
    </row>
    <row r="57225" ht="15.75" customHeight="1">
      <c r="A57225" s="7"/>
      <c r="B57225" s="7"/>
    </row>
    <row r="57226" ht="15.75" customHeight="1">
      <c r="A57226" s="7"/>
      <c r="B57226" s="7"/>
    </row>
    <row r="57227" ht="15.75" customHeight="1">
      <c r="A57227" s="7"/>
      <c r="B57227" s="7"/>
    </row>
    <row r="57228" ht="15.75" customHeight="1">
      <c r="A57228" s="7"/>
      <c r="B57228" s="7"/>
    </row>
    <row r="57229" ht="15.75" customHeight="1">
      <c r="A57229" s="7"/>
      <c r="B57229" s="7"/>
    </row>
    <row r="57230" ht="15.75" customHeight="1">
      <c r="A57230" s="7"/>
      <c r="B57230" s="7"/>
    </row>
    <row r="57231" ht="15.75" customHeight="1">
      <c r="A57231" s="7"/>
      <c r="B57231" s="7"/>
    </row>
    <row r="57232" ht="15.75" customHeight="1">
      <c r="A57232" s="7"/>
      <c r="B57232" s="7"/>
    </row>
    <row r="57233" ht="15.75" customHeight="1">
      <c r="A57233" s="7"/>
      <c r="B57233" s="7"/>
    </row>
    <row r="57234" ht="15.75" customHeight="1">
      <c r="A57234" s="7"/>
      <c r="B57234" s="7"/>
    </row>
    <row r="57235" ht="15.75" customHeight="1">
      <c r="A57235" s="7"/>
      <c r="B57235" s="7"/>
    </row>
    <row r="57236" ht="15.75" customHeight="1">
      <c r="A57236" s="7"/>
      <c r="B57236" s="7"/>
    </row>
    <row r="57237" ht="15.75" customHeight="1">
      <c r="A57237" s="7"/>
      <c r="B57237" s="7"/>
    </row>
    <row r="57238" ht="15.75" customHeight="1">
      <c r="A57238" s="7"/>
      <c r="B57238" s="7"/>
    </row>
    <row r="57239" ht="15.75" customHeight="1">
      <c r="A57239" s="7"/>
      <c r="B57239" s="7"/>
    </row>
    <row r="57240" ht="15.75" customHeight="1">
      <c r="A57240" s="7"/>
      <c r="B57240" s="7"/>
    </row>
    <row r="57241" ht="15.75" customHeight="1">
      <c r="A57241" s="7"/>
      <c r="B57241" s="7"/>
    </row>
    <row r="57242" ht="15.75" customHeight="1">
      <c r="A57242" s="7"/>
      <c r="B57242" s="7"/>
    </row>
    <row r="57243" ht="15.75" customHeight="1">
      <c r="A57243" s="7"/>
      <c r="B57243" s="7"/>
    </row>
    <row r="57244" ht="15.75" customHeight="1">
      <c r="A57244" s="7"/>
      <c r="B57244" s="7"/>
    </row>
    <row r="57245" ht="15.75" customHeight="1">
      <c r="A57245" s="7"/>
      <c r="B57245" s="7"/>
    </row>
    <row r="57246" ht="15.75" customHeight="1">
      <c r="A57246" s="7"/>
      <c r="B57246" s="7"/>
    </row>
    <row r="57247" ht="15.75" customHeight="1">
      <c r="A57247" s="7"/>
      <c r="B57247" s="7"/>
    </row>
    <row r="57248" ht="15.75" customHeight="1">
      <c r="A57248" s="7"/>
      <c r="B57248" s="7"/>
    </row>
    <row r="57249" ht="15.75" customHeight="1">
      <c r="A57249" s="7"/>
      <c r="B57249" s="7"/>
    </row>
    <row r="57250" ht="15.75" customHeight="1">
      <c r="A57250" s="7"/>
      <c r="B57250" s="7"/>
    </row>
    <row r="57251" ht="15.75" customHeight="1">
      <c r="A57251" s="7"/>
      <c r="B57251" s="7"/>
    </row>
    <row r="57252" ht="15.75" customHeight="1">
      <c r="A57252" s="7"/>
      <c r="B57252" s="7"/>
    </row>
    <row r="57253" ht="15.75" customHeight="1">
      <c r="A57253" s="7"/>
      <c r="B57253" s="7"/>
    </row>
    <row r="57254" ht="15.75" customHeight="1">
      <c r="A57254" s="7"/>
      <c r="B57254" s="7"/>
    </row>
    <row r="57255" ht="15.75" customHeight="1">
      <c r="A57255" s="7"/>
      <c r="B57255" s="7"/>
    </row>
    <row r="57256" ht="15.75" customHeight="1">
      <c r="A57256" s="7"/>
      <c r="B57256" s="7"/>
    </row>
    <row r="57257" ht="15.75" customHeight="1">
      <c r="A57257" s="7"/>
      <c r="B57257" s="7"/>
    </row>
    <row r="57258" ht="15.75" customHeight="1">
      <c r="A57258" s="7"/>
      <c r="B57258" s="7"/>
    </row>
    <row r="57259" ht="15.75" customHeight="1">
      <c r="A57259" s="7"/>
      <c r="B57259" s="7"/>
    </row>
    <row r="57260" ht="15.75" customHeight="1">
      <c r="A57260" s="7"/>
      <c r="B57260" s="7"/>
    </row>
    <row r="57261" ht="15.75" customHeight="1">
      <c r="A57261" s="7"/>
      <c r="B57261" s="7"/>
    </row>
    <row r="57262" ht="15.75" customHeight="1">
      <c r="A57262" s="7"/>
      <c r="B57262" s="7"/>
    </row>
    <row r="57263" ht="15.75" customHeight="1">
      <c r="A57263" s="7"/>
      <c r="B57263" s="7"/>
    </row>
    <row r="57264" ht="15.75" customHeight="1">
      <c r="A57264" s="7"/>
      <c r="B57264" s="7"/>
    </row>
    <row r="57265" ht="15.75" customHeight="1">
      <c r="A57265" s="7"/>
      <c r="B57265" s="7"/>
    </row>
    <row r="57266" ht="15.75" customHeight="1">
      <c r="A57266" s="7"/>
      <c r="B57266" s="7"/>
    </row>
    <row r="57267" ht="15.75" customHeight="1">
      <c r="A57267" s="7"/>
      <c r="B57267" s="7"/>
    </row>
    <row r="57268" ht="15.75" customHeight="1">
      <c r="A57268" s="7"/>
      <c r="B57268" s="7"/>
    </row>
    <row r="57269" ht="15.75" customHeight="1">
      <c r="A57269" s="7"/>
      <c r="B57269" s="7"/>
    </row>
    <row r="57270" ht="15.75" customHeight="1">
      <c r="A57270" s="7"/>
      <c r="B57270" s="7"/>
    </row>
    <row r="57271" ht="15.75" customHeight="1">
      <c r="A57271" s="7"/>
      <c r="B57271" s="7"/>
    </row>
    <row r="57272" ht="15.75" customHeight="1">
      <c r="A57272" s="7"/>
      <c r="B57272" s="7"/>
    </row>
    <row r="57273" ht="15.75" customHeight="1">
      <c r="A57273" s="7"/>
      <c r="B57273" s="7"/>
    </row>
    <row r="57274" ht="15.75" customHeight="1">
      <c r="A57274" s="7"/>
      <c r="B57274" s="7"/>
    </row>
    <row r="57275" ht="15.75" customHeight="1">
      <c r="A57275" s="7"/>
      <c r="B57275" s="7"/>
    </row>
    <row r="57276" ht="15.75" customHeight="1">
      <c r="A57276" s="7"/>
      <c r="B57276" s="7"/>
    </row>
    <row r="57277" ht="15.75" customHeight="1">
      <c r="A57277" s="7"/>
      <c r="B57277" s="7"/>
    </row>
    <row r="57278" ht="15.75" customHeight="1">
      <c r="A57278" s="7"/>
      <c r="B57278" s="7"/>
    </row>
    <row r="57279" ht="15.75" customHeight="1">
      <c r="A57279" s="7"/>
      <c r="B57279" s="7"/>
    </row>
    <row r="57280" ht="15.75" customHeight="1">
      <c r="A57280" s="7"/>
      <c r="B57280" s="7"/>
    </row>
    <row r="57281" ht="15.75" customHeight="1">
      <c r="A57281" s="7"/>
      <c r="B57281" s="7"/>
    </row>
    <row r="57282" ht="15.75" customHeight="1">
      <c r="A57282" s="7"/>
      <c r="B57282" s="7"/>
    </row>
    <row r="57283" ht="15.75" customHeight="1">
      <c r="A57283" s="7"/>
      <c r="B57283" s="7"/>
    </row>
    <row r="57284" ht="15.75" customHeight="1">
      <c r="A57284" s="7"/>
      <c r="B57284" s="7"/>
    </row>
    <row r="57285" ht="15.75" customHeight="1">
      <c r="A57285" s="7"/>
      <c r="B57285" s="7"/>
    </row>
    <row r="57286" ht="15.75" customHeight="1">
      <c r="A57286" s="7"/>
      <c r="B57286" s="7"/>
    </row>
    <row r="57287" ht="15.75" customHeight="1">
      <c r="A57287" s="7"/>
      <c r="B57287" s="7"/>
    </row>
    <row r="57288" ht="15.75" customHeight="1">
      <c r="A57288" s="7"/>
      <c r="B57288" s="7"/>
    </row>
    <row r="57289" ht="15.75" customHeight="1">
      <c r="A57289" s="7"/>
      <c r="B57289" s="7"/>
    </row>
    <row r="57290" ht="15.75" customHeight="1">
      <c r="A57290" s="7"/>
      <c r="B57290" s="7"/>
    </row>
    <row r="57291" ht="15.75" customHeight="1">
      <c r="A57291" s="7"/>
      <c r="B57291" s="7"/>
    </row>
    <row r="57292" ht="15.75" customHeight="1">
      <c r="A57292" s="7"/>
      <c r="B57292" s="7"/>
    </row>
    <row r="57293" ht="15.75" customHeight="1">
      <c r="A57293" s="7"/>
      <c r="B57293" s="7"/>
    </row>
    <row r="57294" ht="15.75" customHeight="1">
      <c r="A57294" s="7"/>
      <c r="B57294" s="7"/>
    </row>
    <row r="57295" ht="15.75" customHeight="1">
      <c r="A57295" s="7"/>
      <c r="B57295" s="7"/>
    </row>
    <row r="57296" ht="15.75" customHeight="1">
      <c r="A57296" s="7"/>
      <c r="B57296" s="7"/>
    </row>
    <row r="57297" ht="15.75" customHeight="1">
      <c r="A57297" s="7"/>
      <c r="B57297" s="7"/>
    </row>
    <row r="57298" ht="15.75" customHeight="1">
      <c r="A57298" s="7"/>
      <c r="B57298" s="7"/>
    </row>
    <row r="57299" ht="15.75" customHeight="1">
      <c r="A57299" s="7"/>
      <c r="B57299" s="7"/>
    </row>
    <row r="57300" ht="15.75" customHeight="1">
      <c r="A57300" s="7"/>
      <c r="B57300" s="7"/>
    </row>
    <row r="57301" ht="15.75" customHeight="1">
      <c r="A57301" s="7"/>
      <c r="B57301" s="7"/>
    </row>
    <row r="57302" ht="15.75" customHeight="1">
      <c r="A57302" s="7"/>
      <c r="B57302" s="7"/>
    </row>
    <row r="57303" ht="15.75" customHeight="1">
      <c r="A57303" s="7"/>
      <c r="B57303" s="7"/>
    </row>
    <row r="57304" ht="15.75" customHeight="1">
      <c r="A57304" s="7"/>
      <c r="B57304" s="7"/>
    </row>
    <row r="57305" ht="15.75" customHeight="1">
      <c r="A57305" s="7"/>
      <c r="B57305" s="7"/>
    </row>
    <row r="57306" ht="15.75" customHeight="1">
      <c r="A57306" s="7"/>
      <c r="B57306" s="7"/>
    </row>
    <row r="57307" ht="15.75" customHeight="1">
      <c r="A57307" s="7"/>
      <c r="B57307" s="7"/>
    </row>
    <row r="57308" ht="15.75" customHeight="1">
      <c r="A57308" s="7"/>
      <c r="B57308" s="7"/>
    </row>
    <row r="57309" ht="15.75" customHeight="1">
      <c r="A57309" s="7"/>
      <c r="B57309" s="7"/>
    </row>
    <row r="57310" ht="15.75" customHeight="1">
      <c r="A57310" s="7"/>
      <c r="B57310" s="7"/>
    </row>
    <row r="57311" ht="15.75" customHeight="1">
      <c r="A57311" s="7"/>
      <c r="B57311" s="7"/>
    </row>
    <row r="57312" ht="15.75" customHeight="1">
      <c r="A57312" s="7"/>
      <c r="B57312" s="7"/>
    </row>
    <row r="57313" ht="15.75" customHeight="1">
      <c r="A57313" s="7"/>
      <c r="B57313" s="7"/>
    </row>
    <row r="57314" ht="15.75" customHeight="1">
      <c r="A57314" s="7"/>
      <c r="B57314" s="7"/>
    </row>
    <row r="57315" ht="15.75" customHeight="1">
      <c r="A57315" s="7"/>
      <c r="B57315" s="7"/>
    </row>
    <row r="57316" ht="15.75" customHeight="1">
      <c r="A57316" s="7"/>
      <c r="B57316" s="7"/>
    </row>
    <row r="57317" ht="15.75" customHeight="1">
      <c r="A57317" s="7"/>
      <c r="B57317" s="7"/>
    </row>
    <row r="57318" ht="15.75" customHeight="1">
      <c r="A57318" s="7"/>
      <c r="B57318" s="7"/>
    </row>
    <row r="57319" ht="15.75" customHeight="1">
      <c r="A57319" s="7"/>
      <c r="B57319" s="7"/>
    </row>
    <row r="57320" ht="15.75" customHeight="1">
      <c r="A57320" s="7"/>
      <c r="B57320" s="7"/>
    </row>
    <row r="57321" ht="15.75" customHeight="1">
      <c r="A57321" s="7"/>
      <c r="B57321" s="7"/>
    </row>
    <row r="57322" ht="15.75" customHeight="1">
      <c r="A57322" s="7"/>
      <c r="B57322" s="7"/>
    </row>
    <row r="57323" ht="15.75" customHeight="1">
      <c r="A57323" s="7"/>
      <c r="B57323" s="7"/>
    </row>
    <row r="57324" ht="15.75" customHeight="1">
      <c r="A57324" s="7"/>
      <c r="B57324" s="7"/>
    </row>
    <row r="57325" ht="15.75" customHeight="1">
      <c r="A57325" s="7"/>
      <c r="B57325" s="7"/>
    </row>
    <row r="57326" ht="15.75" customHeight="1">
      <c r="A57326" s="7"/>
      <c r="B57326" s="7"/>
    </row>
    <row r="57327" ht="15.75" customHeight="1">
      <c r="A57327" s="7"/>
      <c r="B57327" s="7"/>
    </row>
    <row r="57328" ht="15.75" customHeight="1">
      <c r="A57328" s="7"/>
      <c r="B57328" s="7"/>
    </row>
    <row r="57329" ht="15.75" customHeight="1">
      <c r="A57329" s="7"/>
      <c r="B57329" s="7"/>
    </row>
    <row r="57330" ht="15.75" customHeight="1">
      <c r="A57330" s="7"/>
      <c r="B57330" s="7"/>
    </row>
    <row r="57331" ht="15.75" customHeight="1">
      <c r="A57331" s="7"/>
      <c r="B57331" s="7"/>
    </row>
    <row r="57332" ht="15.75" customHeight="1">
      <c r="A57332" s="7"/>
      <c r="B57332" s="7"/>
    </row>
    <row r="57333" ht="15.75" customHeight="1">
      <c r="A57333" s="7"/>
      <c r="B57333" s="7"/>
    </row>
    <row r="57334" ht="15.75" customHeight="1">
      <c r="A57334" s="7"/>
      <c r="B57334" s="7"/>
    </row>
    <row r="57335" ht="15.75" customHeight="1">
      <c r="A57335" s="7"/>
      <c r="B57335" s="7"/>
    </row>
    <row r="57336" ht="15.75" customHeight="1">
      <c r="A57336" s="7"/>
      <c r="B57336" s="7"/>
    </row>
    <row r="57337" ht="15.75" customHeight="1">
      <c r="A57337" s="7"/>
      <c r="B57337" s="7"/>
    </row>
    <row r="57338" ht="15.75" customHeight="1">
      <c r="A57338" s="7"/>
      <c r="B57338" s="7"/>
    </row>
    <row r="57339" ht="15.75" customHeight="1">
      <c r="A57339" s="7"/>
      <c r="B57339" s="7"/>
    </row>
    <row r="57340" ht="15.75" customHeight="1">
      <c r="A57340" s="7"/>
      <c r="B57340" s="7"/>
    </row>
    <row r="57341" ht="15.75" customHeight="1">
      <c r="A57341" s="7"/>
      <c r="B57341" s="7"/>
    </row>
    <row r="57342" ht="15.75" customHeight="1">
      <c r="A57342" s="7"/>
      <c r="B57342" s="7"/>
    </row>
    <row r="57343" ht="15.75" customHeight="1">
      <c r="A57343" s="7"/>
      <c r="B57343" s="7"/>
    </row>
    <row r="57344" ht="15.75" customHeight="1">
      <c r="A57344" s="7"/>
      <c r="B57344" s="7"/>
    </row>
    <row r="57345" ht="15.75" customHeight="1">
      <c r="A57345" s="7"/>
      <c r="B57345" s="7"/>
    </row>
    <row r="57346" ht="15.75" customHeight="1">
      <c r="A57346" s="7"/>
      <c r="B57346" s="7"/>
    </row>
    <row r="57347" ht="15.75" customHeight="1">
      <c r="A57347" s="7"/>
      <c r="B57347" s="7"/>
    </row>
    <row r="57348" ht="15.75" customHeight="1">
      <c r="A57348" s="7"/>
      <c r="B57348" s="7"/>
    </row>
    <row r="57349" ht="15.75" customHeight="1">
      <c r="A57349" s="7"/>
      <c r="B57349" s="7"/>
    </row>
    <row r="57350" ht="15.75" customHeight="1">
      <c r="A57350" s="7"/>
      <c r="B57350" s="7"/>
    </row>
    <row r="57351" ht="15.75" customHeight="1">
      <c r="A57351" s="7"/>
      <c r="B57351" s="7"/>
    </row>
    <row r="57352" ht="15.75" customHeight="1">
      <c r="A57352" s="7"/>
      <c r="B57352" s="7"/>
    </row>
    <row r="57353" ht="15.75" customHeight="1">
      <c r="A57353" s="7"/>
      <c r="B57353" s="7"/>
    </row>
    <row r="57354" ht="15.75" customHeight="1">
      <c r="A57354" s="7"/>
      <c r="B57354" s="7"/>
    </row>
    <row r="57355" ht="15.75" customHeight="1">
      <c r="A57355" s="7"/>
      <c r="B57355" s="7"/>
    </row>
    <row r="57356" ht="15.75" customHeight="1">
      <c r="A57356" s="7"/>
      <c r="B57356" s="7"/>
    </row>
    <row r="57357" ht="15.75" customHeight="1">
      <c r="A57357" s="7"/>
      <c r="B57357" s="7"/>
    </row>
    <row r="57358" ht="15.75" customHeight="1">
      <c r="A57358" s="7"/>
      <c r="B57358" s="7"/>
    </row>
    <row r="57359" ht="15.75" customHeight="1">
      <c r="A57359" s="7"/>
      <c r="B57359" s="7"/>
    </row>
    <row r="57360" ht="15.75" customHeight="1">
      <c r="A57360" s="7"/>
      <c r="B57360" s="7"/>
    </row>
    <row r="57361" ht="15.75" customHeight="1">
      <c r="A57361" s="7"/>
      <c r="B57361" s="7"/>
    </row>
    <row r="57362" ht="15.75" customHeight="1">
      <c r="A57362" s="7"/>
      <c r="B57362" s="7"/>
    </row>
    <row r="57363" ht="15.75" customHeight="1">
      <c r="A57363" s="7"/>
      <c r="B57363" s="7"/>
    </row>
    <row r="57364" ht="15.75" customHeight="1">
      <c r="A57364" s="7"/>
      <c r="B57364" s="7"/>
    </row>
    <row r="57365" ht="15.75" customHeight="1">
      <c r="A57365" s="7"/>
      <c r="B57365" s="7"/>
    </row>
    <row r="57366" ht="15.75" customHeight="1">
      <c r="A57366" s="7"/>
      <c r="B57366" s="7"/>
    </row>
    <row r="57367" ht="15.75" customHeight="1">
      <c r="A57367" s="7"/>
      <c r="B57367" s="7"/>
    </row>
    <row r="57368" ht="15.75" customHeight="1">
      <c r="A57368" s="7"/>
      <c r="B57368" s="7"/>
    </row>
    <row r="57369" ht="15.75" customHeight="1">
      <c r="A57369" s="7"/>
      <c r="B57369" s="7"/>
    </row>
    <row r="57370" ht="15.75" customHeight="1">
      <c r="A57370" s="7"/>
      <c r="B57370" s="7"/>
    </row>
    <row r="57371" ht="15.75" customHeight="1">
      <c r="A57371" s="7"/>
      <c r="B57371" s="7"/>
    </row>
    <row r="57372" ht="15.75" customHeight="1">
      <c r="A57372" s="7"/>
      <c r="B57372" s="7"/>
    </row>
    <row r="57373" ht="15.75" customHeight="1">
      <c r="A57373" s="7"/>
      <c r="B57373" s="7"/>
    </row>
    <row r="57374" ht="15.75" customHeight="1">
      <c r="A57374" s="7"/>
      <c r="B57374" s="7"/>
    </row>
    <row r="57375" ht="15.75" customHeight="1">
      <c r="A57375" s="7"/>
      <c r="B57375" s="7"/>
    </row>
    <row r="57376" ht="15.75" customHeight="1">
      <c r="A57376" s="7"/>
      <c r="B57376" s="7"/>
    </row>
    <row r="57377" ht="15.75" customHeight="1">
      <c r="A57377" s="7"/>
      <c r="B57377" s="7"/>
    </row>
    <row r="57378" ht="15.75" customHeight="1">
      <c r="A57378" s="7"/>
      <c r="B57378" s="7"/>
    </row>
    <row r="57379" ht="15.75" customHeight="1">
      <c r="A57379" s="7"/>
      <c r="B57379" s="7"/>
    </row>
    <row r="57380" ht="15.75" customHeight="1">
      <c r="A57380" s="7"/>
      <c r="B57380" s="7"/>
    </row>
    <row r="57381" ht="15.75" customHeight="1">
      <c r="A57381" s="7"/>
      <c r="B57381" s="7"/>
    </row>
    <row r="57382" ht="15.75" customHeight="1">
      <c r="A57382" s="7"/>
      <c r="B57382" s="7"/>
    </row>
    <row r="57383" ht="15.75" customHeight="1">
      <c r="A57383" s="7"/>
      <c r="B57383" s="7"/>
    </row>
    <row r="57384" ht="15.75" customHeight="1">
      <c r="A57384" s="7"/>
      <c r="B57384" s="7"/>
    </row>
    <row r="57385" ht="15.75" customHeight="1">
      <c r="A57385" s="7"/>
      <c r="B57385" s="7"/>
    </row>
    <row r="57386" ht="15.75" customHeight="1">
      <c r="A57386" s="7"/>
      <c r="B57386" s="7"/>
    </row>
    <row r="57387" ht="15.75" customHeight="1">
      <c r="A57387" s="7"/>
      <c r="B57387" s="7"/>
    </row>
    <row r="57388" ht="15.75" customHeight="1">
      <c r="A57388" s="7"/>
      <c r="B57388" s="7"/>
    </row>
    <row r="57389" ht="15.75" customHeight="1">
      <c r="A57389" s="7"/>
      <c r="B57389" s="7"/>
    </row>
    <row r="57390" ht="15.75" customHeight="1">
      <c r="A57390" s="7"/>
      <c r="B57390" s="7"/>
    </row>
    <row r="57391" ht="15.75" customHeight="1">
      <c r="A57391" s="7"/>
      <c r="B57391" s="7"/>
    </row>
    <row r="57392" ht="15.75" customHeight="1">
      <c r="A57392" s="7"/>
      <c r="B57392" s="7"/>
    </row>
    <row r="57393" ht="15.75" customHeight="1">
      <c r="A57393" s="7"/>
      <c r="B57393" s="7"/>
    </row>
    <row r="57394" ht="15.75" customHeight="1">
      <c r="A57394" s="7"/>
      <c r="B57394" s="7"/>
    </row>
    <row r="57395" ht="15.75" customHeight="1">
      <c r="A57395" s="7"/>
      <c r="B57395" s="7"/>
    </row>
    <row r="57396" ht="15.75" customHeight="1">
      <c r="A57396" s="7"/>
      <c r="B57396" s="7"/>
    </row>
    <row r="57397" ht="15.75" customHeight="1">
      <c r="A57397" s="7"/>
      <c r="B57397" s="7"/>
    </row>
    <row r="57398" ht="15.75" customHeight="1">
      <c r="A57398" s="7"/>
      <c r="B57398" s="7"/>
    </row>
    <row r="57399" ht="15.75" customHeight="1">
      <c r="A57399" s="7"/>
      <c r="B57399" s="7"/>
    </row>
    <row r="57400" ht="15.75" customHeight="1">
      <c r="A57400" s="7"/>
      <c r="B57400" s="7"/>
    </row>
    <row r="57401" ht="15.75" customHeight="1">
      <c r="A57401" s="7"/>
      <c r="B57401" s="7"/>
    </row>
    <row r="57402" ht="15.75" customHeight="1">
      <c r="A57402" s="7"/>
      <c r="B57402" s="7"/>
    </row>
    <row r="57403" ht="15.75" customHeight="1">
      <c r="A57403" s="7"/>
      <c r="B57403" s="7"/>
    </row>
    <row r="57404" ht="15.75" customHeight="1">
      <c r="A57404" s="7"/>
      <c r="B57404" s="7"/>
    </row>
    <row r="57405" ht="15.75" customHeight="1">
      <c r="A57405" s="7"/>
      <c r="B57405" s="7"/>
    </row>
    <row r="57406" ht="15.75" customHeight="1">
      <c r="A57406" s="7"/>
      <c r="B57406" s="7"/>
    </row>
    <row r="57407" ht="15.75" customHeight="1">
      <c r="A57407" s="7"/>
      <c r="B57407" s="7"/>
    </row>
    <row r="57408" ht="15.75" customHeight="1">
      <c r="A57408" s="7"/>
      <c r="B57408" s="7"/>
    </row>
    <row r="57409" ht="15.75" customHeight="1">
      <c r="A57409" s="7"/>
      <c r="B57409" s="7"/>
    </row>
    <row r="57410" ht="15.75" customHeight="1">
      <c r="A57410" s="7"/>
      <c r="B57410" s="7"/>
    </row>
    <row r="57411" ht="15.75" customHeight="1">
      <c r="A57411" s="7"/>
      <c r="B57411" s="7"/>
    </row>
    <row r="57412" ht="15.75" customHeight="1">
      <c r="A57412" s="7"/>
      <c r="B57412" s="7"/>
    </row>
    <row r="57413" ht="15.75" customHeight="1">
      <c r="A57413" s="7"/>
      <c r="B57413" s="7"/>
    </row>
    <row r="57414" ht="15.75" customHeight="1">
      <c r="A57414" s="7"/>
      <c r="B57414" s="7"/>
    </row>
    <row r="57415" ht="15.75" customHeight="1">
      <c r="A57415" s="7"/>
      <c r="B57415" s="7"/>
    </row>
    <row r="57416" ht="15.75" customHeight="1">
      <c r="A57416" s="7"/>
      <c r="B57416" s="7"/>
    </row>
    <row r="57417" ht="15.75" customHeight="1">
      <c r="A57417" s="7"/>
      <c r="B57417" s="7"/>
    </row>
    <row r="57418" ht="15.75" customHeight="1">
      <c r="A57418" s="7"/>
      <c r="B57418" s="7"/>
    </row>
    <row r="57419" ht="15.75" customHeight="1">
      <c r="A57419" s="7"/>
      <c r="B57419" s="7"/>
    </row>
    <row r="57420" ht="15.75" customHeight="1">
      <c r="A57420" s="7"/>
      <c r="B57420" s="7"/>
    </row>
    <row r="57421" ht="15.75" customHeight="1">
      <c r="A57421" s="7"/>
      <c r="B57421" s="7"/>
    </row>
    <row r="57422" ht="15.75" customHeight="1">
      <c r="A57422" s="7"/>
      <c r="B57422" s="7"/>
    </row>
    <row r="57423" ht="15.75" customHeight="1">
      <c r="A57423" s="7"/>
      <c r="B57423" s="7"/>
    </row>
    <row r="57424" ht="15.75" customHeight="1">
      <c r="A57424" s="7"/>
      <c r="B57424" s="7"/>
    </row>
    <row r="57425" ht="15.75" customHeight="1">
      <c r="A57425" s="7"/>
      <c r="B57425" s="7"/>
    </row>
    <row r="57426" ht="15.75" customHeight="1">
      <c r="A57426" s="7"/>
      <c r="B57426" s="7"/>
    </row>
    <row r="57427" ht="15.75" customHeight="1">
      <c r="A57427" s="7"/>
      <c r="B57427" s="7"/>
    </row>
    <row r="57428" ht="15.75" customHeight="1">
      <c r="A57428" s="7"/>
      <c r="B57428" s="7"/>
    </row>
    <row r="57429" ht="15.75" customHeight="1">
      <c r="A57429" s="7"/>
      <c r="B57429" s="7"/>
    </row>
    <row r="57430" ht="15.75" customHeight="1">
      <c r="A57430" s="7"/>
      <c r="B57430" s="7"/>
    </row>
    <row r="57431" ht="15.75" customHeight="1">
      <c r="A57431" s="7"/>
      <c r="B57431" s="7"/>
    </row>
    <row r="57432" ht="15.75" customHeight="1">
      <c r="A57432" s="7"/>
      <c r="B57432" s="7"/>
    </row>
    <row r="57433" ht="15.75" customHeight="1">
      <c r="A57433" s="7"/>
      <c r="B57433" s="7"/>
    </row>
    <row r="57434" ht="15.75" customHeight="1">
      <c r="A57434" s="7"/>
      <c r="B57434" s="7"/>
    </row>
    <row r="57435" ht="15.75" customHeight="1">
      <c r="A57435" s="7"/>
      <c r="B57435" s="7"/>
    </row>
    <row r="57436" ht="15.75" customHeight="1">
      <c r="A57436" s="7"/>
      <c r="B57436" s="7"/>
    </row>
    <row r="57437" ht="15.75" customHeight="1">
      <c r="A57437" s="7"/>
      <c r="B57437" s="7"/>
    </row>
    <row r="57438" ht="15.75" customHeight="1">
      <c r="A57438" s="7"/>
      <c r="B57438" s="7"/>
    </row>
    <row r="57439" ht="15.75" customHeight="1">
      <c r="A57439" s="7"/>
      <c r="B57439" s="7"/>
    </row>
    <row r="57440" ht="15.75" customHeight="1">
      <c r="A57440" s="7"/>
      <c r="B57440" s="7"/>
    </row>
    <row r="57441" ht="15.75" customHeight="1">
      <c r="A57441" s="7"/>
      <c r="B57441" s="7"/>
    </row>
    <row r="57442" ht="15.75" customHeight="1">
      <c r="A57442" s="7"/>
      <c r="B57442" s="7"/>
    </row>
    <row r="57443" ht="15.75" customHeight="1">
      <c r="A57443" s="7"/>
      <c r="B57443" s="7"/>
    </row>
    <row r="57444" ht="15.75" customHeight="1">
      <c r="A57444" s="7"/>
      <c r="B57444" s="7"/>
    </row>
    <row r="57445" ht="15.75" customHeight="1">
      <c r="A57445" s="7"/>
      <c r="B57445" s="7"/>
    </row>
    <row r="57446" ht="15.75" customHeight="1">
      <c r="A57446" s="7"/>
      <c r="B57446" s="7"/>
    </row>
    <row r="57447" ht="15.75" customHeight="1">
      <c r="A57447" s="7"/>
      <c r="B57447" s="7"/>
    </row>
    <row r="57448" ht="15.75" customHeight="1">
      <c r="A57448" s="7"/>
      <c r="B57448" s="7"/>
    </row>
    <row r="57449" ht="15.75" customHeight="1">
      <c r="A57449" s="7"/>
      <c r="B57449" s="7"/>
    </row>
    <row r="57450" ht="15.75" customHeight="1">
      <c r="A57450" s="7"/>
      <c r="B57450" s="7"/>
    </row>
    <row r="57451" ht="15.75" customHeight="1">
      <c r="A57451" s="7"/>
      <c r="B57451" s="7"/>
    </row>
    <row r="57452" ht="15.75" customHeight="1">
      <c r="A57452" s="7"/>
      <c r="B57452" s="7"/>
    </row>
    <row r="57453" ht="15.75" customHeight="1">
      <c r="A57453" s="7"/>
      <c r="B57453" s="7"/>
    </row>
    <row r="57454" ht="15.75" customHeight="1">
      <c r="A57454" s="7"/>
      <c r="B57454" s="7"/>
    </row>
    <row r="57455" ht="15.75" customHeight="1">
      <c r="A57455" s="7"/>
      <c r="B57455" s="7"/>
    </row>
    <row r="57456" ht="15.75" customHeight="1">
      <c r="A57456" s="7"/>
      <c r="B57456" s="7"/>
    </row>
    <row r="57457" ht="15.75" customHeight="1">
      <c r="A57457" s="7"/>
      <c r="B57457" s="7"/>
    </row>
    <row r="57458" ht="15.75" customHeight="1">
      <c r="A57458" s="7"/>
      <c r="B57458" s="7"/>
    </row>
    <row r="57459" ht="15.75" customHeight="1">
      <c r="A57459" s="7"/>
      <c r="B57459" s="7"/>
    </row>
    <row r="57460" ht="15.75" customHeight="1">
      <c r="A57460" s="7"/>
      <c r="B57460" s="7"/>
    </row>
    <row r="57461" ht="15.75" customHeight="1">
      <c r="A57461" s="7"/>
      <c r="B57461" s="7"/>
    </row>
    <row r="57462" ht="15.75" customHeight="1">
      <c r="A57462" s="7"/>
      <c r="B57462" s="7"/>
    </row>
    <row r="57463" ht="15.75" customHeight="1">
      <c r="A57463" s="7"/>
      <c r="B57463" s="7"/>
    </row>
    <row r="57464" ht="15.75" customHeight="1">
      <c r="A57464" s="7"/>
      <c r="B57464" s="7"/>
    </row>
    <row r="57465" ht="15.75" customHeight="1">
      <c r="A57465" s="7"/>
      <c r="B57465" s="7"/>
    </row>
    <row r="57466" ht="15.75" customHeight="1">
      <c r="A57466" s="7"/>
      <c r="B57466" s="7"/>
    </row>
    <row r="57467" ht="15.75" customHeight="1">
      <c r="A57467" s="7"/>
      <c r="B57467" s="7"/>
    </row>
    <row r="57468" ht="15.75" customHeight="1">
      <c r="A57468" s="7"/>
      <c r="B57468" s="7"/>
    </row>
    <row r="57469" ht="15.75" customHeight="1">
      <c r="A57469" s="7"/>
      <c r="B57469" s="7"/>
    </row>
    <row r="57470" ht="15.75" customHeight="1">
      <c r="A57470" s="7"/>
      <c r="B57470" s="7"/>
    </row>
    <row r="57471" ht="15.75" customHeight="1">
      <c r="A57471" s="7"/>
      <c r="B57471" s="7"/>
    </row>
    <row r="57472" ht="15.75" customHeight="1">
      <c r="A57472" s="7"/>
      <c r="B57472" s="7"/>
    </row>
    <row r="57473" ht="15.75" customHeight="1">
      <c r="A57473" s="7"/>
      <c r="B57473" s="7"/>
    </row>
    <row r="57474" ht="15.75" customHeight="1">
      <c r="A57474" s="7"/>
      <c r="B57474" s="7"/>
    </row>
    <row r="57475" ht="15.75" customHeight="1">
      <c r="A57475" s="7"/>
      <c r="B57475" s="7"/>
    </row>
    <row r="57476" ht="15.75" customHeight="1">
      <c r="A57476" s="7"/>
      <c r="B57476" s="7"/>
    </row>
    <row r="57477" ht="15.75" customHeight="1">
      <c r="A57477" s="7"/>
      <c r="B57477" s="7"/>
    </row>
    <row r="57478" ht="15.75" customHeight="1">
      <c r="A57478" s="7"/>
      <c r="B57478" s="7"/>
    </row>
    <row r="57479" ht="15.75" customHeight="1">
      <c r="A57479" s="7"/>
      <c r="B57479" s="7"/>
    </row>
    <row r="57480" ht="15.75" customHeight="1">
      <c r="A57480" s="7"/>
      <c r="B57480" s="7"/>
    </row>
    <row r="57481" ht="15.75" customHeight="1">
      <c r="A57481" s="7"/>
      <c r="B57481" s="7"/>
    </row>
    <row r="57482" ht="15.75" customHeight="1">
      <c r="A57482" s="7"/>
      <c r="B57482" s="7"/>
    </row>
    <row r="57483" ht="15.75" customHeight="1">
      <c r="A57483" s="7"/>
      <c r="B57483" s="7"/>
    </row>
    <row r="57484" ht="15.75" customHeight="1">
      <c r="A57484" s="7"/>
      <c r="B57484" s="7"/>
    </row>
    <row r="57485" ht="15.75" customHeight="1">
      <c r="A57485" s="7"/>
      <c r="B57485" s="7"/>
    </row>
    <row r="57486" ht="15.75" customHeight="1">
      <c r="A57486" s="7"/>
      <c r="B57486" s="7"/>
    </row>
    <row r="57487" ht="15.75" customHeight="1">
      <c r="A57487" s="7"/>
      <c r="B57487" s="7"/>
    </row>
    <row r="57488" ht="15.75" customHeight="1">
      <c r="A57488" s="7"/>
      <c r="B57488" s="7"/>
    </row>
    <row r="57489" ht="15.75" customHeight="1">
      <c r="A57489" s="7"/>
      <c r="B57489" s="7"/>
    </row>
    <row r="57490" ht="15.75" customHeight="1">
      <c r="A57490" s="7"/>
      <c r="B57490" s="7"/>
    </row>
    <row r="57491" ht="15.75" customHeight="1">
      <c r="A57491" s="7"/>
      <c r="B57491" s="7"/>
    </row>
    <row r="57492" ht="15.75" customHeight="1">
      <c r="A57492" s="7"/>
      <c r="B57492" s="7"/>
    </row>
    <row r="57493" ht="15.75" customHeight="1">
      <c r="A57493" s="7"/>
      <c r="B57493" s="7"/>
    </row>
    <row r="57494" ht="15.75" customHeight="1">
      <c r="A57494" s="7"/>
      <c r="B57494" s="7"/>
    </row>
    <row r="57495" ht="15.75" customHeight="1">
      <c r="A57495" s="7"/>
      <c r="B57495" s="7"/>
    </row>
    <row r="57496" ht="15.75" customHeight="1">
      <c r="A57496" s="7"/>
      <c r="B57496" s="7"/>
    </row>
    <row r="57497" ht="15.75" customHeight="1">
      <c r="A57497" s="7"/>
      <c r="B57497" s="7"/>
    </row>
    <row r="57498" ht="15.75" customHeight="1">
      <c r="A57498" s="7"/>
      <c r="B57498" s="7"/>
    </row>
    <row r="57499" ht="15.75" customHeight="1">
      <c r="A57499" s="7"/>
      <c r="B57499" s="7"/>
    </row>
    <row r="57500" ht="15.75" customHeight="1">
      <c r="A57500" s="7"/>
      <c r="B57500" s="7"/>
    </row>
    <row r="57501" ht="15.75" customHeight="1">
      <c r="A57501" s="7"/>
      <c r="B57501" s="7"/>
    </row>
    <row r="57502" ht="15.75" customHeight="1">
      <c r="A57502" s="7"/>
      <c r="B57502" s="7"/>
    </row>
    <row r="57503" ht="15.75" customHeight="1">
      <c r="A57503" s="7"/>
      <c r="B57503" s="7"/>
    </row>
    <row r="57504" ht="15.75" customHeight="1">
      <c r="A57504" s="7"/>
      <c r="B57504" s="7"/>
    </row>
    <row r="57505" ht="15.75" customHeight="1">
      <c r="A57505" s="7"/>
      <c r="B57505" s="7"/>
    </row>
    <row r="57506" ht="15.75" customHeight="1">
      <c r="A57506" s="7"/>
      <c r="B57506" s="7"/>
    </row>
    <row r="57507" ht="15.75" customHeight="1">
      <c r="A57507" s="7"/>
      <c r="B57507" s="7"/>
    </row>
    <row r="57508" ht="15.75" customHeight="1">
      <c r="A57508" s="7"/>
      <c r="B57508" s="7"/>
    </row>
    <row r="57509" ht="15.75" customHeight="1">
      <c r="A57509" s="7"/>
      <c r="B57509" s="7"/>
    </row>
    <row r="57510" ht="15.75" customHeight="1">
      <c r="A57510" s="7"/>
      <c r="B57510" s="7"/>
    </row>
    <row r="57511" ht="15.75" customHeight="1">
      <c r="A57511" s="7"/>
      <c r="B57511" s="7"/>
    </row>
    <row r="57512" ht="15.75" customHeight="1">
      <c r="A57512" s="7"/>
      <c r="B57512" s="7"/>
    </row>
    <row r="57513" ht="15.75" customHeight="1">
      <c r="A57513" s="7"/>
      <c r="B57513" s="7"/>
    </row>
    <row r="57514" ht="15.75" customHeight="1">
      <c r="A57514" s="7"/>
      <c r="B57514" s="7"/>
    </row>
    <row r="57515" ht="15.75" customHeight="1">
      <c r="A57515" s="7"/>
      <c r="B57515" s="7"/>
    </row>
    <row r="57516" ht="15.75" customHeight="1">
      <c r="A57516" s="7"/>
      <c r="B57516" s="7"/>
    </row>
    <row r="57517" ht="15.75" customHeight="1">
      <c r="A57517" s="7"/>
      <c r="B57517" s="7"/>
    </row>
    <row r="57518" ht="15.75" customHeight="1">
      <c r="A57518" s="7"/>
      <c r="B57518" s="7"/>
    </row>
    <row r="57519" ht="15.75" customHeight="1">
      <c r="A57519" s="7"/>
      <c r="B57519" s="7"/>
    </row>
    <row r="57520" ht="15.75" customHeight="1">
      <c r="A57520" s="7"/>
      <c r="B57520" s="7"/>
    </row>
    <row r="57521" ht="15.75" customHeight="1">
      <c r="A57521" s="7"/>
      <c r="B57521" s="7"/>
    </row>
    <row r="57522" ht="15.75" customHeight="1">
      <c r="A57522" s="7"/>
      <c r="B57522" s="7"/>
    </row>
    <row r="57523" ht="15.75" customHeight="1">
      <c r="A57523" s="7"/>
      <c r="B57523" s="7"/>
    </row>
    <row r="57524" ht="15.75" customHeight="1">
      <c r="A57524" s="7"/>
      <c r="B57524" s="7"/>
    </row>
    <row r="57525" ht="15.75" customHeight="1">
      <c r="A57525" s="7"/>
      <c r="B57525" s="7"/>
    </row>
    <row r="57526" ht="15.75" customHeight="1">
      <c r="A57526" s="7"/>
      <c r="B57526" s="7"/>
    </row>
    <row r="57527" ht="15.75" customHeight="1">
      <c r="A57527" s="7"/>
      <c r="B57527" s="7"/>
    </row>
    <row r="57528" ht="15.75" customHeight="1">
      <c r="A57528" s="7"/>
      <c r="B57528" s="7"/>
    </row>
    <row r="57529" ht="15.75" customHeight="1">
      <c r="A57529" s="7"/>
      <c r="B57529" s="7"/>
    </row>
    <row r="57530" ht="15.75" customHeight="1">
      <c r="A57530" s="7"/>
      <c r="B57530" s="7"/>
    </row>
    <row r="57531" ht="15.75" customHeight="1">
      <c r="A57531" s="7"/>
      <c r="B57531" s="7"/>
    </row>
    <row r="57532" ht="15.75" customHeight="1">
      <c r="A57532" s="7"/>
      <c r="B57532" s="7"/>
    </row>
    <row r="57533" ht="15.75" customHeight="1">
      <c r="A57533" s="7"/>
      <c r="B57533" s="7"/>
    </row>
    <row r="57534" ht="15.75" customHeight="1">
      <c r="A57534" s="7"/>
      <c r="B57534" s="7"/>
    </row>
    <row r="57535" ht="15.75" customHeight="1">
      <c r="A57535" s="7"/>
      <c r="B57535" s="7"/>
    </row>
    <row r="57536" ht="15.75" customHeight="1">
      <c r="A57536" s="7"/>
      <c r="B57536" s="7"/>
    </row>
    <row r="57537" ht="15.75" customHeight="1">
      <c r="A57537" s="7"/>
      <c r="B57537" s="7"/>
    </row>
    <row r="57538" ht="15.75" customHeight="1">
      <c r="A57538" s="7"/>
      <c r="B57538" s="7"/>
    </row>
    <row r="57539" ht="15.75" customHeight="1">
      <c r="A57539" s="7"/>
      <c r="B57539" s="7"/>
    </row>
    <row r="57540" ht="15.75" customHeight="1">
      <c r="A57540" s="7"/>
      <c r="B57540" s="7"/>
    </row>
    <row r="57541" ht="15.75" customHeight="1">
      <c r="A57541" s="7"/>
      <c r="B57541" s="7"/>
    </row>
    <row r="57542" ht="15.75" customHeight="1">
      <c r="A57542" s="7"/>
      <c r="B57542" s="7"/>
    </row>
    <row r="57543" ht="15.75" customHeight="1">
      <c r="A57543" s="7"/>
      <c r="B57543" s="7"/>
    </row>
    <row r="57544" ht="15.75" customHeight="1">
      <c r="A57544" s="7"/>
      <c r="B57544" s="7"/>
    </row>
    <row r="57545" ht="15.75" customHeight="1">
      <c r="A57545" s="7"/>
      <c r="B57545" s="7"/>
    </row>
    <row r="57546" ht="15.75" customHeight="1">
      <c r="A57546" s="7"/>
      <c r="B57546" s="7"/>
    </row>
    <row r="57547" ht="15.75" customHeight="1">
      <c r="A57547" s="7"/>
      <c r="B57547" s="7"/>
    </row>
    <row r="57548" ht="15.75" customHeight="1">
      <c r="A57548" s="7"/>
      <c r="B57548" s="7"/>
    </row>
    <row r="57549" ht="15.75" customHeight="1">
      <c r="A57549" s="7"/>
      <c r="B57549" s="7"/>
    </row>
    <row r="57550" ht="15.75" customHeight="1">
      <c r="A57550" s="7"/>
      <c r="B57550" s="7"/>
    </row>
    <row r="57551" ht="15.75" customHeight="1">
      <c r="A57551" s="7"/>
      <c r="B57551" s="7"/>
    </row>
    <row r="57552" ht="15.75" customHeight="1">
      <c r="A57552" s="7"/>
      <c r="B57552" s="7"/>
    </row>
    <row r="57553" ht="15.75" customHeight="1">
      <c r="A57553" s="7"/>
      <c r="B57553" s="7"/>
    </row>
    <row r="57554" ht="15.75" customHeight="1">
      <c r="A57554" s="7"/>
      <c r="B57554" s="7"/>
    </row>
    <row r="57555" ht="15.75" customHeight="1">
      <c r="A57555" s="7"/>
      <c r="B57555" s="7"/>
    </row>
    <row r="57556" ht="15.75" customHeight="1">
      <c r="A57556" s="7"/>
      <c r="B57556" s="7"/>
    </row>
    <row r="57557" ht="15.75" customHeight="1">
      <c r="A57557" s="7"/>
      <c r="B57557" s="7"/>
    </row>
    <row r="57558" ht="15.75" customHeight="1">
      <c r="A57558" s="7"/>
      <c r="B57558" s="7"/>
    </row>
    <row r="57559" ht="15.75" customHeight="1">
      <c r="A57559" s="7"/>
      <c r="B57559" s="7"/>
    </row>
    <row r="57560" ht="15.75" customHeight="1">
      <c r="A57560" s="7"/>
      <c r="B57560" s="7"/>
    </row>
    <row r="57561" ht="15.75" customHeight="1">
      <c r="A57561" s="7"/>
      <c r="B57561" s="7"/>
    </row>
    <row r="57562" ht="15.75" customHeight="1">
      <c r="A57562" s="7"/>
      <c r="B57562" s="7"/>
    </row>
    <row r="57563" ht="15.75" customHeight="1">
      <c r="A57563" s="7"/>
      <c r="B57563" s="7"/>
    </row>
    <row r="57564" ht="15.75" customHeight="1">
      <c r="A57564" s="7"/>
      <c r="B57564" s="7"/>
    </row>
    <row r="57565" ht="15.75" customHeight="1">
      <c r="A57565" s="7"/>
      <c r="B57565" s="7"/>
    </row>
    <row r="57566" ht="15.75" customHeight="1">
      <c r="A57566" s="7"/>
      <c r="B57566" s="7"/>
    </row>
    <row r="57567" ht="15.75" customHeight="1">
      <c r="A57567" s="7"/>
      <c r="B57567" s="7"/>
    </row>
    <row r="57568" ht="15.75" customHeight="1">
      <c r="A57568" s="7"/>
      <c r="B57568" s="7"/>
    </row>
    <row r="57569" ht="15.75" customHeight="1">
      <c r="A57569" s="7"/>
      <c r="B57569" s="7"/>
    </row>
    <row r="57570" ht="15.75" customHeight="1">
      <c r="A57570" s="7"/>
      <c r="B57570" s="7"/>
    </row>
    <row r="57571" ht="15.75" customHeight="1">
      <c r="A57571" s="7"/>
      <c r="B57571" s="7"/>
    </row>
    <row r="57572" ht="15.75" customHeight="1">
      <c r="A57572" s="7"/>
      <c r="B57572" s="7"/>
    </row>
    <row r="57573" ht="15.75" customHeight="1">
      <c r="A57573" s="7"/>
      <c r="B57573" s="7"/>
    </row>
    <row r="57574" ht="15.75" customHeight="1">
      <c r="A57574" s="7"/>
      <c r="B57574" s="7"/>
    </row>
    <row r="57575" ht="15.75" customHeight="1">
      <c r="A57575" s="7"/>
      <c r="B57575" s="7"/>
    </row>
    <row r="57576" ht="15.75" customHeight="1">
      <c r="A57576" s="7"/>
      <c r="B57576" s="7"/>
    </row>
    <row r="57577" ht="15.75" customHeight="1">
      <c r="A57577" s="7"/>
      <c r="B57577" s="7"/>
    </row>
    <row r="57578" ht="15.75" customHeight="1">
      <c r="A57578" s="7"/>
      <c r="B57578" s="7"/>
    </row>
    <row r="57579" ht="15.75" customHeight="1">
      <c r="A57579" s="7"/>
      <c r="B57579" s="7"/>
    </row>
    <row r="57580" ht="15.75" customHeight="1">
      <c r="A57580" s="7"/>
      <c r="B57580" s="7"/>
    </row>
    <row r="57581" ht="15.75" customHeight="1">
      <c r="A57581" s="7"/>
      <c r="B57581" s="7"/>
    </row>
    <row r="57582" ht="15.75" customHeight="1">
      <c r="A57582" s="7"/>
      <c r="B57582" s="7"/>
    </row>
    <row r="57583" ht="15.75" customHeight="1">
      <c r="A57583" s="7"/>
      <c r="B57583" s="7"/>
    </row>
    <row r="57584" ht="15.75" customHeight="1">
      <c r="A57584" s="7"/>
      <c r="B57584" s="7"/>
    </row>
    <row r="57585" ht="15.75" customHeight="1">
      <c r="A57585" s="7"/>
      <c r="B57585" s="7"/>
    </row>
    <row r="57586" ht="15.75" customHeight="1">
      <c r="A57586" s="7"/>
      <c r="B57586" s="7"/>
    </row>
    <row r="57587" ht="15.75" customHeight="1">
      <c r="A57587" s="7"/>
      <c r="B57587" s="7"/>
    </row>
    <row r="57588" ht="15.75" customHeight="1">
      <c r="A57588" s="7"/>
      <c r="B57588" s="7"/>
    </row>
    <row r="57589" ht="15.75" customHeight="1">
      <c r="A57589" s="7"/>
      <c r="B57589" s="7"/>
    </row>
    <row r="57590" ht="15.75" customHeight="1">
      <c r="A57590" s="7"/>
      <c r="B57590" s="7"/>
    </row>
    <row r="57591" ht="15.75" customHeight="1">
      <c r="A57591" s="7"/>
      <c r="B57591" s="7"/>
    </row>
    <row r="57592" ht="15.75" customHeight="1">
      <c r="A57592" s="7"/>
      <c r="B57592" s="7"/>
    </row>
    <row r="57593" ht="15.75" customHeight="1">
      <c r="A57593" s="7"/>
      <c r="B57593" s="7"/>
    </row>
    <row r="57594" ht="15.75" customHeight="1">
      <c r="A57594" s="7"/>
      <c r="B57594" s="7"/>
    </row>
    <row r="57595" ht="15.75" customHeight="1">
      <c r="A57595" s="7"/>
      <c r="B57595" s="7"/>
    </row>
    <row r="57596" ht="15.75" customHeight="1">
      <c r="A57596" s="7"/>
      <c r="B57596" s="7"/>
    </row>
    <row r="57597" ht="15.75" customHeight="1">
      <c r="A57597" s="7"/>
      <c r="B57597" s="7"/>
    </row>
    <row r="57598" ht="15.75" customHeight="1">
      <c r="A57598" s="7"/>
      <c r="B57598" s="7"/>
    </row>
    <row r="57599" ht="15.75" customHeight="1">
      <c r="A57599" s="7"/>
      <c r="B57599" s="7"/>
    </row>
    <row r="57600" ht="15.75" customHeight="1">
      <c r="A57600" s="7"/>
      <c r="B57600" s="7"/>
    </row>
    <row r="57601" ht="15.75" customHeight="1">
      <c r="A57601" s="7"/>
      <c r="B57601" s="7"/>
    </row>
    <row r="57602" ht="15.75" customHeight="1">
      <c r="A57602" s="7"/>
      <c r="B57602" s="7"/>
    </row>
    <row r="57603" ht="15.75" customHeight="1">
      <c r="A57603" s="7"/>
      <c r="B57603" s="7"/>
    </row>
    <row r="57604" ht="15.75" customHeight="1">
      <c r="A57604" s="7"/>
      <c r="B57604" s="7"/>
    </row>
    <row r="57605" ht="15.75" customHeight="1">
      <c r="A57605" s="7"/>
      <c r="B57605" s="7"/>
    </row>
    <row r="57606" ht="15.75" customHeight="1">
      <c r="A57606" s="7"/>
      <c r="B57606" s="7"/>
    </row>
    <row r="57607" ht="15.75" customHeight="1">
      <c r="A57607" s="7"/>
      <c r="B57607" s="7"/>
    </row>
    <row r="57608" ht="15.75" customHeight="1">
      <c r="A57608" s="7"/>
      <c r="B57608" s="7"/>
    </row>
    <row r="57609" ht="15.75" customHeight="1">
      <c r="A57609" s="7"/>
      <c r="B57609" s="7"/>
    </row>
    <row r="57610" ht="15.75" customHeight="1">
      <c r="A57610" s="7"/>
      <c r="B57610" s="7"/>
    </row>
    <row r="57611" ht="15.75" customHeight="1">
      <c r="A57611" s="7"/>
      <c r="B57611" s="7"/>
    </row>
    <row r="57612" ht="15.75" customHeight="1">
      <c r="A57612" s="7"/>
      <c r="B57612" s="7"/>
    </row>
    <row r="57613" ht="15.75" customHeight="1">
      <c r="A57613" s="7"/>
      <c r="B57613" s="7"/>
    </row>
    <row r="57614" ht="15.75" customHeight="1">
      <c r="A57614" s="7"/>
      <c r="B57614" s="7"/>
    </row>
    <row r="57615" ht="15.75" customHeight="1">
      <c r="A57615" s="7"/>
      <c r="B57615" s="7"/>
    </row>
    <row r="57616" ht="15.75" customHeight="1">
      <c r="A57616" s="7"/>
      <c r="B57616" s="7"/>
    </row>
    <row r="57617" ht="15.75" customHeight="1">
      <c r="A57617" s="7"/>
      <c r="B57617" s="7"/>
    </row>
    <row r="57618" ht="15.75" customHeight="1">
      <c r="A57618" s="7"/>
      <c r="B57618" s="7"/>
    </row>
    <row r="57619" ht="15.75" customHeight="1">
      <c r="A57619" s="7"/>
      <c r="B57619" s="7"/>
    </row>
    <row r="57620" ht="15.75" customHeight="1">
      <c r="A57620" s="7"/>
      <c r="B57620" s="7"/>
    </row>
    <row r="57621" ht="15.75" customHeight="1">
      <c r="A57621" s="7"/>
      <c r="B57621" s="7"/>
    </row>
    <row r="57622" ht="15.75" customHeight="1">
      <c r="A57622" s="7"/>
      <c r="B57622" s="7"/>
    </row>
    <row r="57623" ht="15.75" customHeight="1">
      <c r="A57623" s="7"/>
      <c r="B57623" s="7"/>
    </row>
    <row r="57624" ht="15.75" customHeight="1">
      <c r="A57624" s="7"/>
      <c r="B57624" s="7"/>
    </row>
    <row r="57625" ht="15.75" customHeight="1">
      <c r="A57625" s="7"/>
      <c r="B57625" s="7"/>
    </row>
    <row r="57626" ht="15.75" customHeight="1">
      <c r="A57626" s="7"/>
      <c r="B57626" s="7"/>
    </row>
    <row r="57627" ht="15.75" customHeight="1">
      <c r="A57627" s="7"/>
      <c r="B57627" s="7"/>
    </row>
    <row r="57628" ht="15.75" customHeight="1">
      <c r="A57628" s="7"/>
      <c r="B57628" s="7"/>
    </row>
    <row r="57629" ht="15.75" customHeight="1">
      <c r="A57629" s="7"/>
      <c r="B57629" s="7"/>
    </row>
    <row r="57630" ht="15.75" customHeight="1">
      <c r="A57630" s="7"/>
      <c r="B57630" s="7"/>
    </row>
    <row r="57631" ht="15.75" customHeight="1">
      <c r="A57631" s="7"/>
      <c r="B57631" s="7"/>
    </row>
    <row r="57632" ht="15.75" customHeight="1">
      <c r="A57632" s="7"/>
      <c r="B57632" s="7"/>
    </row>
    <row r="57633" ht="15.75" customHeight="1">
      <c r="A57633" s="7"/>
      <c r="B57633" s="7"/>
    </row>
    <row r="57634" ht="15.75" customHeight="1">
      <c r="A57634" s="7"/>
      <c r="B57634" s="7"/>
    </row>
    <row r="57635" ht="15.75" customHeight="1">
      <c r="A57635" s="7"/>
      <c r="B57635" s="7"/>
    </row>
    <row r="57636" ht="15.75" customHeight="1">
      <c r="A57636" s="7"/>
      <c r="B57636" s="7"/>
    </row>
    <row r="57637" ht="15.75" customHeight="1">
      <c r="A57637" s="7"/>
      <c r="B57637" s="7"/>
    </row>
    <row r="57638" ht="15.75" customHeight="1">
      <c r="A57638" s="7"/>
      <c r="B57638" s="7"/>
    </row>
    <row r="57639" ht="15.75" customHeight="1">
      <c r="A57639" s="7"/>
      <c r="B57639" s="7"/>
    </row>
    <row r="57640" ht="15.75" customHeight="1">
      <c r="A57640" s="7"/>
      <c r="B57640" s="7"/>
    </row>
    <row r="57641" ht="15.75" customHeight="1">
      <c r="A57641" s="7"/>
      <c r="B57641" s="7"/>
    </row>
    <row r="57642" ht="15.75" customHeight="1">
      <c r="A57642" s="7"/>
      <c r="B57642" s="7"/>
    </row>
    <row r="57643" ht="15.75" customHeight="1">
      <c r="A57643" s="7"/>
      <c r="B57643" s="7"/>
    </row>
    <row r="57644" ht="15.75" customHeight="1">
      <c r="A57644" s="7"/>
      <c r="B57644" s="7"/>
    </row>
    <row r="57645" ht="15.75" customHeight="1">
      <c r="A57645" s="7"/>
      <c r="B57645" s="7"/>
    </row>
    <row r="57646" ht="15.75" customHeight="1">
      <c r="A57646" s="7"/>
      <c r="B57646" s="7"/>
    </row>
    <row r="57647" ht="15.75" customHeight="1">
      <c r="A57647" s="7"/>
      <c r="B57647" s="7"/>
    </row>
    <row r="57648" ht="15.75" customHeight="1">
      <c r="A57648" s="7"/>
      <c r="B57648" s="7"/>
    </row>
    <row r="57649" ht="15.75" customHeight="1">
      <c r="A57649" s="7"/>
      <c r="B57649" s="7"/>
    </row>
    <row r="57650" ht="15.75" customHeight="1">
      <c r="A57650" s="7"/>
      <c r="B57650" s="7"/>
    </row>
    <row r="57651" ht="15.75" customHeight="1">
      <c r="A57651" s="7"/>
      <c r="B57651" s="7"/>
    </row>
    <row r="57652" ht="15.75" customHeight="1">
      <c r="A57652" s="7"/>
      <c r="B57652" s="7"/>
    </row>
    <row r="57653" ht="15.75" customHeight="1">
      <c r="A57653" s="7"/>
      <c r="B57653" s="7"/>
    </row>
    <row r="57654" ht="15.75" customHeight="1">
      <c r="A57654" s="7"/>
      <c r="B57654" s="7"/>
    </row>
    <row r="57655" ht="15.75" customHeight="1">
      <c r="A57655" s="7"/>
      <c r="B57655" s="7"/>
    </row>
    <row r="57656" ht="15.75" customHeight="1">
      <c r="A57656" s="7"/>
      <c r="B57656" s="7"/>
    </row>
    <row r="57657" ht="15.75" customHeight="1">
      <c r="A57657" s="7"/>
      <c r="B57657" s="7"/>
    </row>
    <row r="57658" ht="15.75" customHeight="1">
      <c r="A57658" s="7"/>
      <c r="B57658" s="7"/>
    </row>
    <row r="57659" ht="15.75" customHeight="1">
      <c r="A57659" s="7"/>
      <c r="B57659" s="7"/>
    </row>
    <row r="57660" ht="15.75" customHeight="1">
      <c r="A57660" s="7"/>
      <c r="B57660" s="7"/>
    </row>
    <row r="57661" ht="15.75" customHeight="1">
      <c r="A57661" s="7"/>
      <c r="B57661" s="7"/>
    </row>
    <row r="57662" ht="15.75" customHeight="1">
      <c r="A57662" s="7"/>
      <c r="B57662" s="7"/>
    </row>
    <row r="57663" ht="15.75" customHeight="1">
      <c r="A57663" s="7"/>
      <c r="B57663" s="7"/>
    </row>
    <row r="57664" ht="15.75" customHeight="1">
      <c r="A57664" s="7"/>
      <c r="B57664" s="7"/>
    </row>
    <row r="57665" ht="15.75" customHeight="1">
      <c r="A57665" s="7"/>
      <c r="B57665" s="7"/>
    </row>
    <row r="57666" ht="15.75" customHeight="1">
      <c r="A57666" s="7"/>
      <c r="B57666" s="7"/>
    </row>
    <row r="57667" ht="15.75" customHeight="1">
      <c r="A57667" s="7"/>
      <c r="B57667" s="7"/>
    </row>
    <row r="57668" ht="15.75" customHeight="1">
      <c r="A57668" s="7"/>
      <c r="B57668" s="7"/>
    </row>
    <row r="57669" ht="15.75" customHeight="1">
      <c r="A57669" s="7"/>
      <c r="B57669" s="7"/>
    </row>
    <row r="57670" ht="15.75" customHeight="1">
      <c r="A57670" s="7"/>
      <c r="B57670" s="7"/>
    </row>
    <row r="57671" ht="15.75" customHeight="1">
      <c r="A57671" s="7"/>
      <c r="B57671" s="7"/>
    </row>
    <row r="57672" ht="15.75" customHeight="1">
      <c r="A57672" s="7"/>
      <c r="B57672" s="7"/>
    </row>
    <row r="57673" ht="15.75" customHeight="1">
      <c r="A57673" s="7"/>
      <c r="B57673" s="7"/>
    </row>
    <row r="57674" ht="15.75" customHeight="1">
      <c r="A57674" s="7"/>
      <c r="B57674" s="7"/>
    </row>
    <row r="57675" ht="15.75" customHeight="1">
      <c r="A57675" s="7"/>
      <c r="B57675" s="7"/>
    </row>
    <row r="57676" ht="15.75" customHeight="1">
      <c r="A57676" s="7"/>
      <c r="B57676" s="7"/>
    </row>
    <row r="57677" ht="15.75" customHeight="1">
      <c r="A57677" s="7"/>
      <c r="B57677" s="7"/>
    </row>
    <row r="57678" ht="15.75" customHeight="1">
      <c r="A57678" s="7"/>
      <c r="B57678" s="7"/>
    </row>
    <row r="57679" ht="15.75" customHeight="1">
      <c r="A57679" s="7"/>
      <c r="B57679" s="7"/>
    </row>
    <row r="57680" ht="15.75" customHeight="1">
      <c r="A57680" s="7"/>
      <c r="B57680" s="7"/>
    </row>
    <row r="57681" ht="15.75" customHeight="1">
      <c r="A57681" s="7"/>
      <c r="B57681" s="7"/>
    </row>
    <row r="57682" ht="15.75" customHeight="1">
      <c r="A57682" s="7"/>
      <c r="B57682" s="7"/>
    </row>
    <row r="57683" ht="15.75" customHeight="1">
      <c r="A57683" s="7"/>
      <c r="B57683" s="7"/>
    </row>
    <row r="57684" ht="15.75" customHeight="1">
      <c r="A57684" s="7"/>
      <c r="B57684" s="7"/>
    </row>
    <row r="57685" ht="15.75" customHeight="1">
      <c r="A57685" s="7"/>
      <c r="B57685" s="7"/>
    </row>
    <row r="57686" ht="15.75" customHeight="1">
      <c r="A57686" s="7"/>
      <c r="B57686" s="7"/>
    </row>
    <row r="57687" ht="15.75" customHeight="1">
      <c r="A57687" s="7"/>
      <c r="B57687" s="7"/>
    </row>
    <row r="57688" ht="15.75" customHeight="1">
      <c r="A57688" s="7"/>
      <c r="B57688" s="7"/>
    </row>
    <row r="57689" ht="15.75" customHeight="1">
      <c r="A57689" s="7"/>
      <c r="B57689" s="7"/>
    </row>
    <row r="57690" ht="15.75" customHeight="1">
      <c r="A57690" s="7"/>
      <c r="B57690" s="7"/>
    </row>
    <row r="57691" ht="15.75" customHeight="1">
      <c r="A57691" s="7"/>
      <c r="B57691" s="7"/>
    </row>
    <row r="57692" ht="15.75" customHeight="1">
      <c r="A57692" s="7"/>
      <c r="B57692" s="7"/>
    </row>
    <row r="57693" ht="15.75" customHeight="1">
      <c r="A57693" s="7"/>
      <c r="B57693" s="7"/>
    </row>
    <row r="57694" ht="15.75" customHeight="1">
      <c r="A57694" s="7"/>
      <c r="B57694" s="7"/>
    </row>
    <row r="57695" ht="15.75" customHeight="1">
      <c r="A57695" s="7"/>
      <c r="B57695" s="7"/>
    </row>
    <row r="57696" ht="15.75" customHeight="1">
      <c r="A57696" s="7"/>
      <c r="B57696" s="7"/>
    </row>
    <row r="57697" ht="15.75" customHeight="1">
      <c r="A57697" s="7"/>
      <c r="B57697" s="7"/>
    </row>
    <row r="57698" ht="15.75" customHeight="1">
      <c r="A57698" s="7"/>
      <c r="B57698" s="7"/>
    </row>
    <row r="57699" ht="15.75" customHeight="1">
      <c r="A57699" s="7"/>
      <c r="B57699" s="7"/>
    </row>
    <row r="57700" ht="15.75" customHeight="1">
      <c r="A57700" s="7"/>
      <c r="B57700" s="7"/>
    </row>
    <row r="57701" ht="15.75" customHeight="1">
      <c r="A57701" s="7"/>
      <c r="B57701" s="7"/>
    </row>
    <row r="57702" ht="15.75" customHeight="1">
      <c r="A57702" s="7"/>
      <c r="B57702" s="7"/>
    </row>
    <row r="57703" ht="15.75" customHeight="1">
      <c r="A57703" s="7"/>
      <c r="B57703" s="7"/>
    </row>
    <row r="57704" ht="15.75" customHeight="1">
      <c r="A57704" s="7"/>
      <c r="B57704" s="7"/>
    </row>
    <row r="57705" ht="15.75" customHeight="1">
      <c r="A57705" s="7"/>
      <c r="B57705" s="7"/>
    </row>
    <row r="57706" ht="15.75" customHeight="1">
      <c r="A57706" s="7"/>
      <c r="B57706" s="7"/>
    </row>
    <row r="57707" ht="15.75" customHeight="1">
      <c r="A57707" s="7"/>
      <c r="B57707" s="7"/>
    </row>
    <row r="57708" ht="15.75" customHeight="1">
      <c r="A57708" s="7"/>
      <c r="B57708" s="7"/>
    </row>
    <row r="57709" ht="15.75" customHeight="1">
      <c r="A57709" s="7"/>
      <c r="B57709" s="7"/>
    </row>
    <row r="57710" ht="15.75" customHeight="1">
      <c r="A57710" s="7"/>
      <c r="B57710" s="7"/>
    </row>
    <row r="57711" ht="15.75" customHeight="1">
      <c r="A57711" s="7"/>
      <c r="B57711" s="7"/>
    </row>
    <row r="57712" ht="15.75" customHeight="1">
      <c r="A57712" s="7"/>
      <c r="B57712" s="7"/>
    </row>
    <row r="57713" ht="15.75" customHeight="1">
      <c r="A57713" s="7"/>
      <c r="B57713" s="7"/>
    </row>
    <row r="57714" ht="15.75" customHeight="1">
      <c r="A57714" s="7"/>
      <c r="B57714" s="7"/>
    </row>
    <row r="57715" ht="15.75" customHeight="1">
      <c r="A57715" s="7"/>
      <c r="B57715" s="7"/>
    </row>
    <row r="57716" ht="15.75" customHeight="1">
      <c r="A57716" s="7"/>
      <c r="B57716" s="7"/>
    </row>
    <row r="57717" ht="15.75" customHeight="1">
      <c r="A57717" s="7"/>
      <c r="B57717" s="7"/>
    </row>
    <row r="57718" ht="15.75" customHeight="1">
      <c r="A57718" s="7"/>
      <c r="B57718" s="7"/>
    </row>
    <row r="57719" ht="15.75" customHeight="1">
      <c r="A57719" s="7"/>
      <c r="B57719" s="7"/>
    </row>
    <row r="57720" ht="15.75" customHeight="1">
      <c r="A57720" s="7"/>
      <c r="B57720" s="7"/>
    </row>
    <row r="57721" ht="15.75" customHeight="1">
      <c r="A57721" s="7"/>
      <c r="B57721" s="7"/>
    </row>
    <row r="57722" ht="15.75" customHeight="1">
      <c r="A57722" s="7"/>
      <c r="B57722" s="7"/>
    </row>
    <row r="57723" ht="15.75" customHeight="1">
      <c r="A57723" s="7"/>
      <c r="B57723" s="7"/>
    </row>
    <row r="57724" ht="15.75" customHeight="1">
      <c r="A57724" s="7"/>
      <c r="B57724" s="7"/>
    </row>
    <row r="57725" ht="15.75" customHeight="1">
      <c r="A57725" s="7"/>
      <c r="B57725" s="7"/>
    </row>
    <row r="57726" ht="15.75" customHeight="1">
      <c r="A57726" s="7"/>
      <c r="B57726" s="7"/>
    </row>
    <row r="57727" ht="15.75" customHeight="1">
      <c r="A57727" s="7"/>
      <c r="B57727" s="7"/>
    </row>
    <row r="57728" ht="15.75" customHeight="1">
      <c r="A57728" s="7"/>
      <c r="B57728" s="7"/>
    </row>
    <row r="57729" ht="15.75" customHeight="1">
      <c r="A57729" s="7"/>
      <c r="B57729" s="7"/>
    </row>
    <row r="57730" ht="15.75" customHeight="1">
      <c r="A57730" s="7"/>
      <c r="B57730" s="7"/>
    </row>
    <row r="57731" ht="15.75" customHeight="1">
      <c r="A57731" s="7"/>
      <c r="B57731" s="7"/>
    </row>
    <row r="57732" ht="15.75" customHeight="1">
      <c r="A57732" s="7"/>
      <c r="B57732" s="7"/>
    </row>
    <row r="57733" ht="15.75" customHeight="1">
      <c r="A57733" s="7"/>
      <c r="B57733" s="7"/>
    </row>
    <row r="57734" ht="15.75" customHeight="1">
      <c r="A57734" s="7"/>
      <c r="B57734" s="7"/>
    </row>
    <row r="57735" ht="15.75" customHeight="1">
      <c r="A57735" s="7"/>
      <c r="B57735" s="7"/>
    </row>
    <row r="57736" ht="15.75" customHeight="1">
      <c r="A57736" s="7"/>
      <c r="B57736" s="7"/>
    </row>
    <row r="57737" ht="15.75" customHeight="1">
      <c r="A57737" s="7"/>
      <c r="B57737" s="7"/>
    </row>
    <row r="57738" ht="15.75" customHeight="1">
      <c r="A57738" s="7"/>
      <c r="B57738" s="7"/>
    </row>
    <row r="57739" ht="15.75" customHeight="1">
      <c r="A57739" s="7"/>
      <c r="B57739" s="7"/>
    </row>
    <row r="57740" ht="15.75" customHeight="1">
      <c r="A57740" s="7"/>
      <c r="B57740" s="7"/>
    </row>
    <row r="57741" ht="15.75" customHeight="1">
      <c r="A57741" s="7"/>
      <c r="B57741" s="7"/>
    </row>
    <row r="57742" ht="15.75" customHeight="1">
      <c r="A57742" s="7"/>
      <c r="B57742" s="7"/>
    </row>
    <row r="57743" ht="15.75" customHeight="1">
      <c r="A57743" s="7"/>
      <c r="B57743" s="7"/>
    </row>
    <row r="57744" ht="15.75" customHeight="1">
      <c r="A57744" s="7"/>
      <c r="B57744" s="7"/>
    </row>
    <row r="57745" ht="15.75" customHeight="1">
      <c r="A57745" s="7"/>
      <c r="B57745" s="7"/>
    </row>
    <row r="57746" ht="15.75" customHeight="1">
      <c r="A57746" s="7"/>
      <c r="B57746" s="7"/>
    </row>
    <row r="57747" ht="15.75" customHeight="1">
      <c r="A57747" s="7"/>
      <c r="B57747" s="7"/>
    </row>
    <row r="57748" ht="15.75" customHeight="1">
      <c r="A57748" s="7"/>
      <c r="B57748" s="7"/>
    </row>
    <row r="57749" ht="15.75" customHeight="1">
      <c r="A57749" s="7"/>
      <c r="B57749" s="7"/>
    </row>
    <row r="57750" ht="15.75" customHeight="1">
      <c r="A57750" s="7"/>
      <c r="B57750" s="7"/>
    </row>
    <row r="57751" ht="15.75" customHeight="1">
      <c r="A57751" s="7"/>
      <c r="B57751" s="7"/>
    </row>
    <row r="57752" ht="15.75" customHeight="1">
      <c r="A57752" s="7"/>
      <c r="B57752" s="7"/>
    </row>
    <row r="57753" ht="15.75" customHeight="1">
      <c r="A57753" s="7"/>
      <c r="B57753" s="7"/>
    </row>
    <row r="57754" ht="15.75" customHeight="1">
      <c r="A57754" s="7"/>
      <c r="B57754" s="7"/>
    </row>
    <row r="57755" ht="15.75" customHeight="1">
      <c r="A57755" s="7"/>
      <c r="B57755" s="7"/>
    </row>
    <row r="57756" ht="15.75" customHeight="1">
      <c r="A57756" s="7"/>
      <c r="B57756" s="7"/>
    </row>
    <row r="57757" ht="15.75" customHeight="1">
      <c r="A57757" s="7"/>
      <c r="B57757" s="7"/>
    </row>
    <row r="57758" ht="15.75" customHeight="1">
      <c r="A57758" s="7"/>
      <c r="B57758" s="7"/>
    </row>
    <row r="57759" ht="15.75" customHeight="1">
      <c r="A57759" s="7"/>
      <c r="B57759" s="7"/>
    </row>
    <row r="57760" ht="15.75" customHeight="1">
      <c r="A57760" s="7"/>
      <c r="B57760" s="7"/>
    </row>
    <row r="57761" ht="15.75" customHeight="1">
      <c r="A57761" s="7"/>
      <c r="B57761" s="7"/>
    </row>
    <row r="57762" ht="15.75" customHeight="1">
      <c r="A57762" s="7"/>
      <c r="B57762" s="7"/>
    </row>
    <row r="57763" ht="15.75" customHeight="1">
      <c r="A57763" s="7"/>
      <c r="B57763" s="7"/>
    </row>
    <row r="57764" ht="15.75" customHeight="1">
      <c r="A57764" s="7"/>
      <c r="B57764" s="7"/>
    </row>
    <row r="57765" ht="15.75" customHeight="1">
      <c r="A57765" s="7"/>
      <c r="B57765" s="7"/>
    </row>
    <row r="57766" ht="15.75" customHeight="1">
      <c r="A57766" s="7"/>
      <c r="B57766" s="7"/>
    </row>
    <row r="57767" ht="15.75" customHeight="1">
      <c r="A57767" s="7"/>
      <c r="B57767" s="7"/>
    </row>
    <row r="57768" ht="15.75" customHeight="1">
      <c r="A57768" s="7"/>
      <c r="B57768" s="7"/>
    </row>
    <row r="57769" ht="15.75" customHeight="1">
      <c r="A57769" s="7"/>
      <c r="B57769" s="7"/>
    </row>
    <row r="57770" ht="15.75" customHeight="1">
      <c r="A57770" s="7"/>
      <c r="B57770" s="7"/>
    </row>
    <row r="57771" ht="15.75" customHeight="1">
      <c r="A57771" s="7"/>
      <c r="B57771" s="7"/>
    </row>
    <row r="57772" ht="15.75" customHeight="1">
      <c r="A57772" s="7"/>
      <c r="B57772" s="7"/>
    </row>
    <row r="57773" ht="15.75" customHeight="1">
      <c r="A57773" s="7"/>
      <c r="B57773" s="7"/>
    </row>
    <row r="57774" ht="15.75" customHeight="1">
      <c r="A57774" s="7"/>
      <c r="B57774" s="7"/>
    </row>
    <row r="57775" ht="15.75" customHeight="1">
      <c r="A57775" s="7"/>
      <c r="B57775" s="7"/>
    </row>
    <row r="57776" ht="15.75" customHeight="1">
      <c r="A57776" s="7"/>
      <c r="B57776" s="7"/>
    </row>
    <row r="57777" ht="15.75" customHeight="1">
      <c r="A57777" s="7"/>
      <c r="B57777" s="7"/>
    </row>
    <row r="57778" ht="15.75" customHeight="1">
      <c r="A57778" s="7"/>
      <c r="B57778" s="7"/>
    </row>
    <row r="57779" ht="15.75" customHeight="1">
      <c r="A57779" s="7"/>
      <c r="B57779" s="7"/>
    </row>
    <row r="57780" ht="15.75" customHeight="1">
      <c r="A57780" s="7"/>
      <c r="B57780" s="7"/>
    </row>
    <row r="57781" ht="15.75" customHeight="1">
      <c r="A57781" s="7"/>
      <c r="B57781" s="7"/>
    </row>
    <row r="57782" ht="15.75" customHeight="1">
      <c r="A57782" s="7"/>
      <c r="B57782" s="7"/>
    </row>
    <row r="57783" ht="15.75" customHeight="1">
      <c r="A57783" s="7"/>
      <c r="B57783" s="7"/>
    </row>
    <row r="57784" ht="15.75" customHeight="1">
      <c r="A57784" s="7"/>
      <c r="B57784" s="7"/>
    </row>
    <row r="57785" ht="15.75" customHeight="1">
      <c r="A57785" s="7"/>
      <c r="B57785" s="7"/>
    </row>
    <row r="57786" ht="15.75" customHeight="1">
      <c r="A57786" s="7"/>
      <c r="B57786" s="7"/>
    </row>
    <row r="57787" ht="15.75" customHeight="1">
      <c r="A57787" s="7"/>
      <c r="B57787" s="7"/>
    </row>
    <row r="57788" ht="15.75" customHeight="1">
      <c r="A57788" s="7"/>
      <c r="B57788" s="7"/>
    </row>
    <row r="57789" ht="15.75" customHeight="1">
      <c r="A57789" s="7"/>
      <c r="B57789" s="7"/>
    </row>
    <row r="57790" ht="15.75" customHeight="1">
      <c r="A57790" s="7"/>
      <c r="B57790" s="7"/>
    </row>
    <row r="57791" ht="15.75" customHeight="1">
      <c r="A57791" s="7"/>
      <c r="B57791" s="7"/>
    </row>
    <row r="57792" ht="15.75" customHeight="1">
      <c r="A57792" s="7"/>
      <c r="B57792" s="7"/>
    </row>
    <row r="57793" ht="15.75" customHeight="1">
      <c r="A57793" s="7"/>
      <c r="B57793" s="7"/>
    </row>
    <row r="57794" ht="15.75" customHeight="1">
      <c r="A57794" s="7"/>
      <c r="B57794" s="7"/>
    </row>
    <row r="57795" ht="15.75" customHeight="1">
      <c r="A57795" s="7"/>
      <c r="B57795" s="7"/>
    </row>
    <row r="57796" ht="15.75" customHeight="1">
      <c r="A57796" s="7"/>
      <c r="B57796" s="7"/>
    </row>
    <row r="57797" ht="15.75" customHeight="1">
      <c r="A57797" s="7"/>
      <c r="B57797" s="7"/>
    </row>
    <row r="57798" ht="15.75" customHeight="1">
      <c r="A57798" s="7"/>
      <c r="B57798" s="7"/>
    </row>
    <row r="57799" ht="15.75" customHeight="1">
      <c r="A57799" s="7"/>
      <c r="B57799" s="7"/>
    </row>
    <row r="57800" ht="15.75" customHeight="1">
      <c r="A57800" s="7"/>
      <c r="B57800" s="7"/>
    </row>
    <row r="57801" ht="15.75" customHeight="1">
      <c r="A57801" s="7"/>
      <c r="B57801" s="7"/>
    </row>
    <row r="57802" ht="15.75" customHeight="1">
      <c r="A57802" s="7"/>
      <c r="B57802" s="7"/>
    </row>
    <row r="57803" ht="15.75" customHeight="1">
      <c r="A57803" s="7"/>
      <c r="B57803" s="7"/>
    </row>
    <row r="57804" ht="15.75" customHeight="1">
      <c r="A57804" s="7"/>
      <c r="B57804" s="7"/>
    </row>
    <row r="57805" ht="15.75" customHeight="1">
      <c r="A57805" s="7"/>
      <c r="B57805" s="7"/>
    </row>
    <row r="57806" ht="15.75" customHeight="1">
      <c r="A57806" s="7"/>
      <c r="B57806" s="7"/>
    </row>
    <row r="57807" ht="15.75" customHeight="1">
      <c r="A57807" s="7"/>
      <c r="B57807" s="7"/>
    </row>
    <row r="57808" ht="15.75" customHeight="1">
      <c r="A57808" s="7"/>
      <c r="B57808" s="7"/>
    </row>
    <row r="57809" ht="15.75" customHeight="1">
      <c r="A57809" s="7"/>
      <c r="B57809" s="7"/>
    </row>
    <row r="57810" ht="15.75" customHeight="1">
      <c r="A57810" s="7"/>
      <c r="B57810" s="7"/>
    </row>
    <row r="57811" ht="15.75" customHeight="1">
      <c r="A57811" s="7"/>
      <c r="B57811" s="7"/>
    </row>
    <row r="57812" ht="15.75" customHeight="1">
      <c r="A57812" s="7"/>
      <c r="B57812" s="7"/>
    </row>
    <row r="57813" ht="15.75" customHeight="1">
      <c r="A57813" s="7"/>
      <c r="B57813" s="7"/>
    </row>
    <row r="57814" ht="15.75" customHeight="1">
      <c r="A57814" s="7"/>
      <c r="B57814" s="7"/>
    </row>
    <row r="57815" ht="15.75" customHeight="1">
      <c r="A57815" s="7"/>
      <c r="B57815" s="7"/>
    </row>
    <row r="57816" ht="15.75" customHeight="1">
      <c r="A57816" s="7"/>
      <c r="B57816" s="7"/>
    </row>
    <row r="57817" ht="15.75" customHeight="1">
      <c r="A57817" s="7"/>
      <c r="B57817" s="7"/>
    </row>
    <row r="57818" ht="15.75" customHeight="1">
      <c r="A57818" s="7"/>
      <c r="B57818" s="7"/>
    </row>
    <row r="57819" ht="15.75" customHeight="1">
      <c r="A57819" s="7"/>
      <c r="B57819" s="7"/>
    </row>
    <row r="57820" ht="15.75" customHeight="1">
      <c r="A57820" s="7"/>
      <c r="B57820" s="7"/>
    </row>
    <row r="57821" ht="15.75" customHeight="1">
      <c r="A57821" s="7"/>
      <c r="B57821" s="7"/>
    </row>
    <row r="57822" ht="15.75" customHeight="1">
      <c r="A57822" s="7"/>
      <c r="B57822" s="7"/>
    </row>
    <row r="57823" ht="15.75" customHeight="1">
      <c r="A57823" s="7"/>
      <c r="B57823" s="7"/>
    </row>
    <row r="57824" ht="15.75" customHeight="1">
      <c r="A57824" s="7"/>
      <c r="B57824" s="7"/>
    </row>
    <row r="57825" ht="15.75" customHeight="1">
      <c r="A57825" s="7"/>
      <c r="B57825" s="7"/>
    </row>
    <row r="57826" ht="15.75" customHeight="1">
      <c r="A57826" s="7"/>
      <c r="B57826" s="7"/>
    </row>
    <row r="57827" ht="15.75" customHeight="1">
      <c r="A57827" s="7"/>
      <c r="B57827" s="7"/>
    </row>
    <row r="57828" ht="15.75" customHeight="1">
      <c r="A57828" s="7"/>
      <c r="B57828" s="7"/>
    </row>
    <row r="57829" ht="15.75" customHeight="1">
      <c r="A57829" s="7"/>
      <c r="B57829" s="7"/>
    </row>
    <row r="57830" ht="15.75" customHeight="1">
      <c r="A57830" s="7"/>
      <c r="B57830" s="7"/>
    </row>
    <row r="57831" ht="15.75" customHeight="1">
      <c r="A57831" s="7"/>
      <c r="B57831" s="7"/>
    </row>
    <row r="57832" ht="15.75" customHeight="1">
      <c r="A57832" s="7"/>
      <c r="B57832" s="7"/>
    </row>
    <row r="57833" ht="15.75" customHeight="1">
      <c r="A57833" s="7"/>
      <c r="B57833" s="7"/>
    </row>
    <row r="57834" ht="15.75" customHeight="1">
      <c r="A57834" s="7"/>
      <c r="B57834" s="7"/>
    </row>
    <row r="57835" ht="15.75" customHeight="1">
      <c r="A57835" s="7"/>
      <c r="B57835" s="7"/>
    </row>
    <row r="57836" ht="15.75" customHeight="1">
      <c r="A57836" s="7"/>
      <c r="B57836" s="7"/>
    </row>
    <row r="57837" ht="15.75" customHeight="1">
      <c r="A57837" s="7"/>
      <c r="B57837" s="7"/>
    </row>
    <row r="57838" ht="15.75" customHeight="1">
      <c r="A57838" s="7"/>
      <c r="B57838" s="7"/>
    </row>
    <row r="57839" ht="15.75" customHeight="1">
      <c r="A57839" s="7"/>
      <c r="B57839" s="7"/>
    </row>
    <row r="57840" ht="15.75" customHeight="1">
      <c r="A57840" s="7"/>
      <c r="B57840" s="7"/>
    </row>
    <row r="57841" ht="15.75" customHeight="1">
      <c r="A57841" s="7"/>
      <c r="B57841" s="7"/>
    </row>
    <row r="57842" ht="15.75" customHeight="1">
      <c r="A57842" s="7"/>
      <c r="B57842" s="7"/>
    </row>
    <row r="57843" ht="15.75" customHeight="1">
      <c r="A57843" s="7"/>
      <c r="B57843" s="7"/>
    </row>
    <row r="57844" ht="15.75" customHeight="1">
      <c r="A57844" s="7"/>
      <c r="B57844" s="7"/>
    </row>
    <row r="57845" ht="15.75" customHeight="1">
      <c r="A57845" s="7"/>
      <c r="B57845" s="7"/>
    </row>
    <row r="57846" ht="15.75" customHeight="1">
      <c r="A57846" s="7"/>
      <c r="B57846" s="7"/>
    </row>
    <row r="57847" ht="15.75" customHeight="1">
      <c r="A57847" s="7"/>
      <c r="B57847" s="7"/>
    </row>
    <row r="57848" ht="15.75" customHeight="1">
      <c r="A57848" s="7"/>
      <c r="B57848" s="7"/>
    </row>
    <row r="57849" ht="15.75" customHeight="1">
      <c r="A57849" s="7"/>
      <c r="B57849" s="7"/>
    </row>
    <row r="57850" ht="15.75" customHeight="1">
      <c r="A57850" s="7"/>
      <c r="B57850" s="7"/>
    </row>
    <row r="57851" ht="15.75" customHeight="1">
      <c r="A57851" s="7"/>
      <c r="B57851" s="7"/>
    </row>
    <row r="57852" ht="15.75" customHeight="1">
      <c r="A57852" s="7"/>
      <c r="B57852" s="7"/>
    </row>
    <row r="57853" ht="15.75" customHeight="1">
      <c r="A57853" s="7"/>
      <c r="B57853" s="7"/>
    </row>
    <row r="57854" ht="15.75" customHeight="1">
      <c r="A57854" s="7"/>
      <c r="B57854" s="7"/>
    </row>
    <row r="57855" ht="15.75" customHeight="1">
      <c r="A57855" s="7"/>
      <c r="B57855" s="7"/>
    </row>
    <row r="57856" ht="15.75" customHeight="1">
      <c r="A57856" s="7"/>
      <c r="B57856" s="7"/>
    </row>
    <row r="57857" ht="15.75" customHeight="1">
      <c r="A57857" s="7"/>
      <c r="B57857" s="7"/>
    </row>
    <row r="57858" ht="15.75" customHeight="1">
      <c r="A57858" s="7"/>
      <c r="B57858" s="7"/>
    </row>
    <row r="57859" ht="15.75" customHeight="1">
      <c r="A57859" s="7"/>
      <c r="B57859" s="7"/>
    </row>
    <row r="57860" ht="15.75" customHeight="1">
      <c r="A57860" s="7"/>
      <c r="B57860" s="7"/>
    </row>
    <row r="57861" ht="15.75" customHeight="1">
      <c r="A57861" s="7"/>
      <c r="B57861" s="7"/>
    </row>
    <row r="57862" ht="15.75" customHeight="1">
      <c r="A57862" s="7"/>
      <c r="B57862" s="7"/>
    </row>
    <row r="57863" ht="15.75" customHeight="1">
      <c r="A57863" s="7"/>
      <c r="B57863" s="7"/>
    </row>
    <row r="57864" ht="15.75" customHeight="1">
      <c r="A57864" s="7"/>
      <c r="B57864" s="7"/>
    </row>
    <row r="57865" ht="15.75" customHeight="1">
      <c r="A57865" s="7"/>
      <c r="B57865" s="7"/>
    </row>
    <row r="57866" ht="15.75" customHeight="1">
      <c r="A57866" s="7"/>
      <c r="B57866" s="7"/>
    </row>
    <row r="57867" ht="15.75" customHeight="1">
      <c r="A57867" s="7"/>
      <c r="B57867" s="7"/>
    </row>
    <row r="57868" ht="15.75" customHeight="1">
      <c r="A57868" s="7"/>
      <c r="B57868" s="7"/>
    </row>
    <row r="57869" ht="15.75" customHeight="1">
      <c r="A57869" s="7"/>
      <c r="B57869" s="7"/>
    </row>
    <row r="57870" ht="15.75" customHeight="1">
      <c r="A57870" s="7"/>
      <c r="B57870" s="7"/>
    </row>
    <row r="57871" ht="15.75" customHeight="1">
      <c r="A57871" s="7"/>
      <c r="B57871" s="7"/>
    </row>
    <row r="57872" ht="15.75" customHeight="1">
      <c r="A57872" s="7"/>
      <c r="B57872" s="7"/>
    </row>
    <row r="57873" ht="15.75" customHeight="1">
      <c r="A57873" s="7"/>
      <c r="B57873" s="7"/>
    </row>
    <row r="57874" ht="15.75" customHeight="1">
      <c r="A57874" s="7"/>
      <c r="B57874" s="7"/>
    </row>
    <row r="57875" ht="15.75" customHeight="1">
      <c r="A57875" s="7"/>
      <c r="B57875" s="7"/>
    </row>
    <row r="57876" ht="15.75" customHeight="1">
      <c r="A57876" s="7"/>
      <c r="B57876" s="7"/>
    </row>
    <row r="57877" ht="15.75" customHeight="1">
      <c r="A57877" s="7"/>
      <c r="B57877" s="7"/>
    </row>
    <row r="57878" ht="15.75" customHeight="1">
      <c r="A57878" s="7"/>
      <c r="B57878" s="7"/>
    </row>
    <row r="57879" ht="15.75" customHeight="1">
      <c r="A57879" s="7"/>
      <c r="B57879" s="7"/>
    </row>
    <row r="57880" ht="15.75" customHeight="1">
      <c r="A57880" s="7"/>
      <c r="B57880" s="7"/>
    </row>
    <row r="57881" ht="15.75" customHeight="1">
      <c r="A57881" s="7"/>
      <c r="B57881" s="7"/>
    </row>
    <row r="57882" ht="15.75" customHeight="1">
      <c r="A57882" s="7"/>
      <c r="B57882" s="7"/>
    </row>
    <row r="57883" ht="15.75" customHeight="1">
      <c r="A57883" s="7"/>
      <c r="B57883" s="7"/>
    </row>
    <row r="57884" ht="15.75" customHeight="1">
      <c r="A57884" s="7"/>
      <c r="B57884" s="7"/>
    </row>
    <row r="57885" ht="15.75" customHeight="1">
      <c r="A57885" s="7"/>
      <c r="B57885" s="7"/>
    </row>
    <row r="57886" ht="15.75" customHeight="1">
      <c r="A57886" s="7"/>
      <c r="B57886" s="7"/>
    </row>
    <row r="57887" ht="15.75" customHeight="1">
      <c r="A57887" s="7"/>
      <c r="B57887" s="7"/>
    </row>
    <row r="57888" ht="15.75" customHeight="1">
      <c r="A57888" s="7"/>
      <c r="B57888" s="7"/>
    </row>
    <row r="57889" ht="15.75" customHeight="1">
      <c r="A57889" s="7"/>
      <c r="B57889" s="7"/>
    </row>
    <row r="57890" ht="15.75" customHeight="1">
      <c r="A57890" s="7"/>
      <c r="B57890" s="7"/>
    </row>
    <row r="57891" ht="15.75" customHeight="1">
      <c r="A57891" s="7"/>
      <c r="B57891" s="7"/>
    </row>
    <row r="57892" ht="15.75" customHeight="1">
      <c r="A57892" s="7"/>
      <c r="B57892" s="7"/>
    </row>
    <row r="57893" ht="15.75" customHeight="1">
      <c r="A57893" s="7"/>
      <c r="B57893" s="7"/>
    </row>
    <row r="57894" ht="15.75" customHeight="1">
      <c r="A57894" s="7"/>
      <c r="B57894" s="7"/>
    </row>
    <row r="57895" ht="15.75" customHeight="1">
      <c r="A57895" s="7"/>
      <c r="B57895" s="7"/>
    </row>
    <row r="57896" ht="15.75" customHeight="1">
      <c r="A57896" s="7"/>
      <c r="B57896" s="7"/>
    </row>
    <row r="57897" ht="15.75" customHeight="1">
      <c r="A57897" s="7"/>
      <c r="B57897" s="7"/>
    </row>
    <row r="57898" ht="15.75" customHeight="1">
      <c r="A57898" s="7"/>
      <c r="B57898" s="7"/>
    </row>
    <row r="57899" ht="15.75" customHeight="1">
      <c r="A57899" s="7"/>
      <c r="B57899" s="7"/>
    </row>
    <row r="57900" ht="15.75" customHeight="1">
      <c r="A57900" s="7"/>
      <c r="B57900" s="7"/>
    </row>
    <row r="57901" ht="15.75" customHeight="1">
      <c r="A57901" s="7"/>
      <c r="B57901" s="7"/>
    </row>
    <row r="57902" ht="15.75" customHeight="1">
      <c r="A57902" s="7"/>
      <c r="B57902" s="7"/>
    </row>
    <row r="57903" ht="15.75" customHeight="1">
      <c r="A57903" s="7"/>
      <c r="B57903" s="7"/>
    </row>
    <row r="57904" ht="15.75" customHeight="1">
      <c r="A57904" s="7"/>
      <c r="B57904" s="7"/>
    </row>
    <row r="57905" ht="15.75" customHeight="1">
      <c r="A57905" s="7"/>
      <c r="B57905" s="7"/>
    </row>
    <row r="57906" ht="15.75" customHeight="1">
      <c r="A57906" s="7"/>
      <c r="B57906" s="7"/>
    </row>
    <row r="57907" ht="15.75" customHeight="1">
      <c r="A57907" s="7"/>
      <c r="B57907" s="7"/>
    </row>
    <row r="57908" ht="15.75" customHeight="1">
      <c r="A57908" s="7"/>
      <c r="B57908" s="7"/>
    </row>
    <row r="57909" ht="15.75" customHeight="1">
      <c r="A57909" s="7"/>
      <c r="B57909" s="7"/>
    </row>
    <row r="57910" ht="15.75" customHeight="1">
      <c r="A57910" s="7"/>
      <c r="B57910" s="7"/>
    </row>
    <row r="57911" ht="15.75" customHeight="1">
      <c r="A57911" s="7"/>
      <c r="B57911" s="7"/>
    </row>
    <row r="57912" ht="15.75" customHeight="1">
      <c r="A57912" s="7"/>
      <c r="B57912" s="7"/>
    </row>
    <row r="57913" ht="15.75" customHeight="1">
      <c r="A57913" s="7"/>
      <c r="B57913" s="7"/>
    </row>
    <row r="57914" ht="15.75" customHeight="1">
      <c r="A57914" s="7"/>
      <c r="B57914" s="7"/>
    </row>
    <row r="57915" ht="15.75" customHeight="1">
      <c r="A57915" s="7"/>
      <c r="B57915" s="7"/>
    </row>
    <row r="57916" ht="15.75" customHeight="1">
      <c r="A57916" s="7"/>
      <c r="B57916" s="7"/>
    </row>
    <row r="57917" ht="15.75" customHeight="1">
      <c r="A57917" s="7"/>
      <c r="B57917" s="7"/>
    </row>
    <row r="57918" ht="15.75" customHeight="1">
      <c r="A57918" s="7"/>
      <c r="B57918" s="7"/>
    </row>
    <row r="57919" ht="15.75" customHeight="1">
      <c r="A57919" s="7"/>
      <c r="B57919" s="7"/>
    </row>
    <row r="57920" ht="15.75" customHeight="1">
      <c r="A57920" s="7"/>
      <c r="B57920" s="7"/>
    </row>
    <row r="57921" ht="15.75" customHeight="1">
      <c r="A57921" s="7"/>
      <c r="B57921" s="7"/>
    </row>
    <row r="57922" ht="15.75" customHeight="1">
      <c r="A57922" s="7"/>
      <c r="B57922" s="7"/>
    </row>
    <row r="57923" ht="15.75" customHeight="1">
      <c r="A57923" s="7"/>
      <c r="B57923" s="7"/>
    </row>
    <row r="57924" ht="15.75" customHeight="1">
      <c r="A57924" s="7"/>
      <c r="B57924" s="7"/>
    </row>
    <row r="57925" ht="15.75" customHeight="1">
      <c r="A57925" s="7"/>
      <c r="B57925" s="7"/>
    </row>
    <row r="57926" ht="15.75" customHeight="1">
      <c r="A57926" s="7"/>
      <c r="B57926" s="7"/>
    </row>
    <row r="57927" ht="15.75" customHeight="1">
      <c r="A57927" s="7"/>
      <c r="B57927" s="7"/>
    </row>
    <row r="57928" ht="15.75" customHeight="1">
      <c r="A57928" s="7"/>
      <c r="B57928" s="7"/>
    </row>
    <row r="57929" ht="15.75" customHeight="1">
      <c r="A57929" s="7"/>
      <c r="B57929" s="7"/>
    </row>
    <row r="57930" ht="15.75" customHeight="1">
      <c r="A57930" s="7"/>
      <c r="B57930" s="7"/>
    </row>
    <row r="57931" ht="15.75" customHeight="1">
      <c r="A57931" s="7"/>
      <c r="B57931" s="7"/>
    </row>
    <row r="57932" ht="15.75" customHeight="1">
      <c r="A57932" s="7"/>
      <c r="B57932" s="7"/>
    </row>
    <row r="57933" ht="15.75" customHeight="1">
      <c r="A57933" s="7"/>
      <c r="B57933" s="7"/>
    </row>
    <row r="57934" ht="15.75" customHeight="1">
      <c r="A57934" s="7"/>
      <c r="B57934" s="7"/>
    </row>
    <row r="57935" ht="15.75" customHeight="1">
      <c r="A57935" s="7"/>
      <c r="B57935" s="7"/>
    </row>
    <row r="57936" ht="15.75" customHeight="1">
      <c r="A57936" s="7"/>
      <c r="B57936" s="7"/>
    </row>
    <row r="57937" ht="15.75" customHeight="1">
      <c r="A57937" s="7"/>
      <c r="B57937" s="7"/>
    </row>
    <row r="57938" ht="15.75" customHeight="1">
      <c r="A57938" s="7"/>
      <c r="B57938" s="7"/>
    </row>
    <row r="57939" ht="15.75" customHeight="1">
      <c r="A57939" s="7"/>
      <c r="B57939" s="7"/>
    </row>
    <row r="57940" ht="15.75" customHeight="1">
      <c r="A57940" s="7"/>
      <c r="B57940" s="7"/>
    </row>
    <row r="57941" ht="15.75" customHeight="1">
      <c r="A57941" s="7"/>
      <c r="B57941" s="7"/>
    </row>
    <row r="57942" ht="15.75" customHeight="1">
      <c r="A57942" s="7"/>
      <c r="B57942" s="7"/>
    </row>
    <row r="57943" ht="15.75" customHeight="1">
      <c r="A57943" s="7"/>
      <c r="B57943" s="7"/>
    </row>
    <row r="57944" ht="15.75" customHeight="1">
      <c r="A57944" s="7"/>
      <c r="B57944" s="7"/>
    </row>
    <row r="57945" ht="15.75" customHeight="1">
      <c r="A57945" s="7"/>
      <c r="B57945" s="7"/>
    </row>
    <row r="57946" ht="15.75" customHeight="1">
      <c r="A57946" s="7"/>
      <c r="B57946" s="7"/>
    </row>
    <row r="57947" ht="15.75" customHeight="1">
      <c r="A57947" s="7"/>
      <c r="B57947" s="7"/>
    </row>
    <row r="57948" ht="15.75" customHeight="1">
      <c r="A57948" s="7"/>
      <c r="B57948" s="7"/>
    </row>
    <row r="57949" ht="15.75" customHeight="1">
      <c r="A57949" s="7"/>
      <c r="B57949" s="7"/>
    </row>
    <row r="57950" ht="15.75" customHeight="1">
      <c r="A57950" s="7"/>
      <c r="B57950" s="7"/>
    </row>
    <row r="57951" ht="15.75" customHeight="1">
      <c r="A57951" s="7"/>
      <c r="B57951" s="7"/>
    </row>
    <row r="57952" ht="15.75" customHeight="1">
      <c r="A57952" s="7"/>
      <c r="B57952" s="7"/>
    </row>
    <row r="57953" ht="15.75" customHeight="1">
      <c r="A57953" s="7"/>
      <c r="B57953" s="7"/>
    </row>
    <row r="57954" ht="15.75" customHeight="1">
      <c r="A57954" s="7"/>
      <c r="B57954" s="7"/>
    </row>
    <row r="57955" ht="15.75" customHeight="1">
      <c r="A57955" s="7"/>
      <c r="B57955" s="7"/>
    </row>
    <row r="57956" ht="15.75" customHeight="1">
      <c r="A57956" s="7"/>
      <c r="B57956" s="7"/>
    </row>
    <row r="57957" ht="15.75" customHeight="1">
      <c r="A57957" s="7"/>
      <c r="B57957" s="7"/>
    </row>
    <row r="57958" ht="15.75" customHeight="1">
      <c r="A57958" s="7"/>
      <c r="B57958" s="7"/>
    </row>
    <row r="57959" ht="15.75" customHeight="1">
      <c r="A57959" s="7"/>
      <c r="B57959" s="7"/>
    </row>
    <row r="57960" ht="15.75" customHeight="1">
      <c r="A57960" s="7"/>
      <c r="B57960" s="7"/>
    </row>
    <row r="57961" ht="15.75" customHeight="1">
      <c r="A57961" s="7"/>
      <c r="B57961" s="7"/>
    </row>
    <row r="57962" ht="15.75" customHeight="1">
      <c r="A57962" s="7"/>
      <c r="B57962" s="7"/>
    </row>
    <row r="57963" ht="15.75" customHeight="1">
      <c r="A57963" s="7"/>
      <c r="B57963" s="7"/>
    </row>
    <row r="57964" ht="15.75" customHeight="1">
      <c r="A57964" s="7"/>
      <c r="B57964" s="7"/>
    </row>
    <row r="57965" ht="15.75" customHeight="1">
      <c r="A57965" s="7"/>
      <c r="B57965" s="7"/>
    </row>
    <row r="57966" ht="15.75" customHeight="1">
      <c r="A57966" s="7"/>
      <c r="B57966" s="7"/>
    </row>
    <row r="57967" ht="15.75" customHeight="1">
      <c r="A57967" s="7"/>
      <c r="B57967" s="7"/>
    </row>
    <row r="57968" ht="15.75" customHeight="1">
      <c r="A57968" s="7"/>
      <c r="B57968" s="7"/>
    </row>
    <row r="57969" ht="15.75" customHeight="1">
      <c r="A57969" s="7"/>
      <c r="B57969" s="7"/>
    </row>
    <row r="57970" ht="15.75" customHeight="1">
      <c r="A57970" s="7"/>
      <c r="B57970" s="7"/>
    </row>
    <row r="57971" ht="15.75" customHeight="1">
      <c r="A57971" s="7"/>
      <c r="B57971" s="7"/>
    </row>
    <row r="57972" ht="15.75" customHeight="1">
      <c r="A57972" s="7"/>
      <c r="B57972" s="7"/>
    </row>
    <row r="57973" ht="15.75" customHeight="1">
      <c r="A57973" s="7"/>
      <c r="B57973" s="7"/>
    </row>
    <row r="57974" ht="15.75" customHeight="1">
      <c r="A57974" s="7"/>
      <c r="B57974" s="7"/>
    </row>
    <row r="57975" ht="15.75" customHeight="1">
      <c r="A57975" s="7"/>
      <c r="B57975" s="7"/>
    </row>
    <row r="57976" ht="15.75" customHeight="1">
      <c r="A57976" s="7"/>
      <c r="B57976" s="7"/>
    </row>
    <row r="57977" ht="15.75" customHeight="1">
      <c r="A57977" s="7"/>
      <c r="B57977" s="7"/>
    </row>
    <row r="57978" ht="15.75" customHeight="1">
      <c r="A57978" s="7"/>
      <c r="B57978" s="7"/>
    </row>
    <row r="57979" ht="15.75" customHeight="1">
      <c r="A57979" s="7"/>
      <c r="B57979" s="7"/>
    </row>
    <row r="57980" ht="15.75" customHeight="1">
      <c r="A57980" s="7"/>
      <c r="B57980" s="7"/>
    </row>
    <row r="57981" ht="15.75" customHeight="1">
      <c r="A57981" s="7"/>
      <c r="B57981" s="7"/>
    </row>
    <row r="57982" ht="15.75" customHeight="1">
      <c r="A57982" s="7"/>
      <c r="B57982" s="7"/>
    </row>
    <row r="57983" ht="15.75" customHeight="1">
      <c r="A57983" s="7"/>
      <c r="B57983" s="7"/>
    </row>
    <row r="57984" ht="15.75" customHeight="1">
      <c r="A57984" s="7"/>
      <c r="B57984" s="7"/>
    </row>
    <row r="57985" ht="15.75" customHeight="1">
      <c r="A57985" s="7"/>
      <c r="B57985" s="7"/>
    </row>
    <row r="57986" ht="15.75" customHeight="1">
      <c r="A57986" s="7"/>
      <c r="B57986" s="7"/>
    </row>
    <row r="57987" ht="15.75" customHeight="1">
      <c r="A57987" s="7"/>
      <c r="B57987" s="7"/>
    </row>
    <row r="57988" ht="15.75" customHeight="1">
      <c r="A57988" s="7"/>
      <c r="B57988" s="7"/>
    </row>
    <row r="57989" ht="15.75" customHeight="1">
      <c r="A57989" s="7"/>
      <c r="B57989" s="7"/>
    </row>
    <row r="57990" ht="15.75" customHeight="1">
      <c r="A57990" s="7"/>
      <c r="B57990" s="7"/>
    </row>
    <row r="57991" ht="15.75" customHeight="1">
      <c r="A57991" s="7"/>
      <c r="B57991" s="7"/>
    </row>
    <row r="57992" ht="15.75" customHeight="1">
      <c r="A57992" s="7"/>
      <c r="B57992" s="7"/>
    </row>
    <row r="57993" ht="15.75" customHeight="1">
      <c r="A57993" s="7"/>
      <c r="B57993" s="7"/>
    </row>
    <row r="57994" ht="15.75" customHeight="1">
      <c r="A57994" s="7"/>
      <c r="B57994" s="7"/>
    </row>
    <row r="57995" ht="15.75" customHeight="1">
      <c r="A57995" s="7"/>
      <c r="B57995" s="7"/>
    </row>
    <row r="57996" ht="15.75" customHeight="1">
      <c r="A57996" s="7"/>
      <c r="B57996" s="7"/>
    </row>
    <row r="57997" ht="15.75" customHeight="1">
      <c r="A57997" s="7"/>
      <c r="B57997" s="7"/>
    </row>
    <row r="57998" ht="15.75" customHeight="1">
      <c r="A57998" s="7"/>
      <c r="B57998" s="7"/>
    </row>
    <row r="57999" ht="15.75" customHeight="1">
      <c r="A57999" s="7"/>
      <c r="B57999" s="7"/>
    </row>
    <row r="58000" ht="15.75" customHeight="1">
      <c r="A58000" s="7"/>
      <c r="B58000" s="7"/>
    </row>
    <row r="58001" ht="15.75" customHeight="1">
      <c r="A58001" s="7"/>
      <c r="B58001" s="7"/>
    </row>
    <row r="58002" ht="15.75" customHeight="1">
      <c r="A58002" s="7"/>
      <c r="B58002" s="7"/>
    </row>
    <row r="58003" ht="15.75" customHeight="1">
      <c r="A58003" s="7"/>
      <c r="B58003" s="7"/>
    </row>
    <row r="58004" ht="15.75" customHeight="1">
      <c r="A58004" s="7"/>
      <c r="B58004" s="7"/>
    </row>
    <row r="58005" ht="15.75" customHeight="1">
      <c r="A58005" s="7"/>
      <c r="B58005" s="7"/>
    </row>
    <row r="58006" ht="15.75" customHeight="1">
      <c r="A58006" s="7"/>
      <c r="B58006" s="7"/>
    </row>
    <row r="58007" ht="15.75" customHeight="1">
      <c r="A58007" s="7"/>
      <c r="B58007" s="7"/>
    </row>
    <row r="58008" ht="15.75" customHeight="1">
      <c r="A58008" s="7"/>
      <c r="B58008" s="7"/>
    </row>
    <row r="58009" ht="15.75" customHeight="1">
      <c r="A58009" s="7"/>
      <c r="B58009" s="7"/>
    </row>
    <row r="58010" ht="15.75" customHeight="1">
      <c r="A58010" s="7"/>
      <c r="B58010" s="7"/>
    </row>
    <row r="58011" ht="15.75" customHeight="1">
      <c r="A58011" s="7"/>
      <c r="B58011" s="7"/>
    </row>
    <row r="58012" ht="15.75" customHeight="1">
      <c r="A58012" s="7"/>
      <c r="B58012" s="7"/>
    </row>
    <row r="58013" ht="15.75" customHeight="1">
      <c r="A58013" s="7"/>
      <c r="B58013" s="7"/>
    </row>
    <row r="58014" ht="15.75" customHeight="1">
      <c r="A58014" s="7"/>
      <c r="B58014" s="7"/>
    </row>
    <row r="58015" ht="15.75" customHeight="1">
      <c r="A58015" s="7"/>
      <c r="B58015" s="7"/>
    </row>
    <row r="58016" ht="15.75" customHeight="1">
      <c r="A58016" s="7"/>
      <c r="B58016" s="7"/>
    </row>
    <row r="58017" ht="15.75" customHeight="1">
      <c r="A58017" s="7"/>
      <c r="B58017" s="7"/>
    </row>
    <row r="58018" ht="15.75" customHeight="1">
      <c r="A58018" s="7"/>
      <c r="B58018" s="7"/>
    </row>
    <row r="58019" ht="15.75" customHeight="1">
      <c r="A58019" s="7"/>
      <c r="B58019" s="7"/>
    </row>
    <row r="58020" ht="15.75" customHeight="1">
      <c r="A58020" s="7"/>
      <c r="B58020" s="7"/>
    </row>
    <row r="58021" ht="15.75" customHeight="1">
      <c r="A58021" s="7"/>
      <c r="B58021" s="7"/>
    </row>
    <row r="58022" ht="15.75" customHeight="1">
      <c r="A58022" s="7"/>
      <c r="B58022" s="7"/>
    </row>
    <row r="58023" ht="15.75" customHeight="1">
      <c r="A58023" s="7"/>
      <c r="B58023" s="7"/>
    </row>
    <row r="58024" ht="15.75" customHeight="1">
      <c r="A58024" s="7"/>
      <c r="B58024" s="7"/>
    </row>
    <row r="58025" ht="15.75" customHeight="1">
      <c r="A58025" s="7"/>
      <c r="B58025" s="7"/>
    </row>
    <row r="58026" ht="15.75" customHeight="1">
      <c r="A58026" s="7"/>
      <c r="B58026" s="7"/>
    </row>
    <row r="58027" ht="15.75" customHeight="1">
      <c r="A58027" s="7"/>
      <c r="B58027" s="7"/>
    </row>
    <row r="58028" ht="15.75" customHeight="1">
      <c r="A58028" s="7"/>
      <c r="B58028" s="7"/>
    </row>
    <row r="58029" ht="15.75" customHeight="1">
      <c r="A58029" s="7"/>
      <c r="B58029" s="7"/>
    </row>
    <row r="58030" ht="15.75" customHeight="1">
      <c r="A58030" s="7"/>
      <c r="B58030" s="7"/>
    </row>
    <row r="58031" ht="15.75" customHeight="1">
      <c r="A58031" s="7"/>
      <c r="B58031" s="7"/>
    </row>
    <row r="58032" ht="15.75" customHeight="1">
      <c r="A58032" s="7"/>
      <c r="B58032" s="7"/>
    </row>
    <row r="58033" ht="15.75" customHeight="1">
      <c r="A58033" s="7"/>
      <c r="B58033" s="7"/>
    </row>
    <row r="58034" ht="15.75" customHeight="1">
      <c r="A58034" s="7"/>
      <c r="B58034" s="7"/>
    </row>
    <row r="58035" ht="15.75" customHeight="1">
      <c r="A58035" s="7"/>
      <c r="B58035" s="7"/>
    </row>
    <row r="58036" ht="15.75" customHeight="1">
      <c r="A58036" s="7"/>
      <c r="B58036" s="7"/>
    </row>
    <row r="58037" ht="15.75" customHeight="1">
      <c r="A58037" s="7"/>
      <c r="B58037" s="7"/>
    </row>
    <row r="58038" ht="15.75" customHeight="1">
      <c r="A58038" s="7"/>
      <c r="B58038" s="7"/>
    </row>
    <row r="58039" ht="15.75" customHeight="1">
      <c r="A58039" s="7"/>
      <c r="B58039" s="7"/>
    </row>
    <row r="58040" ht="15.75" customHeight="1">
      <c r="A58040" s="7"/>
      <c r="B58040" s="7"/>
    </row>
    <row r="58041" ht="15.75" customHeight="1">
      <c r="A58041" s="7"/>
      <c r="B58041" s="7"/>
    </row>
    <row r="58042" ht="15.75" customHeight="1">
      <c r="A58042" s="7"/>
      <c r="B58042" s="7"/>
    </row>
    <row r="58043" ht="15.75" customHeight="1">
      <c r="A58043" s="7"/>
      <c r="B58043" s="7"/>
    </row>
    <row r="58044" ht="15.75" customHeight="1">
      <c r="A58044" s="7"/>
      <c r="B58044" s="7"/>
    </row>
    <row r="58045" ht="15.75" customHeight="1">
      <c r="A58045" s="7"/>
      <c r="B58045" s="7"/>
    </row>
    <row r="58046" ht="15.75" customHeight="1">
      <c r="A58046" s="7"/>
      <c r="B58046" s="7"/>
    </row>
    <row r="58047" ht="15.75" customHeight="1">
      <c r="A58047" s="7"/>
      <c r="B58047" s="7"/>
    </row>
    <row r="58048" ht="15.75" customHeight="1">
      <c r="A58048" s="7"/>
      <c r="B58048" s="7"/>
    </row>
    <row r="58049" ht="15.75" customHeight="1">
      <c r="A58049" s="7"/>
      <c r="B58049" s="7"/>
    </row>
    <row r="58050" ht="15.75" customHeight="1">
      <c r="A58050" s="7"/>
      <c r="B58050" s="7"/>
    </row>
    <row r="58051" ht="15.75" customHeight="1">
      <c r="A58051" s="7"/>
      <c r="B58051" s="7"/>
    </row>
    <row r="58052" ht="15.75" customHeight="1">
      <c r="A58052" s="7"/>
      <c r="B58052" s="7"/>
    </row>
    <row r="58053" ht="15.75" customHeight="1">
      <c r="A58053" s="7"/>
      <c r="B58053" s="7"/>
    </row>
    <row r="58054" ht="15.75" customHeight="1">
      <c r="A58054" s="7"/>
      <c r="B58054" s="7"/>
    </row>
    <row r="58055" ht="15.75" customHeight="1">
      <c r="A58055" s="7"/>
      <c r="B58055" s="7"/>
    </row>
    <row r="58056" ht="15.75" customHeight="1">
      <c r="A58056" s="7"/>
      <c r="B58056" s="7"/>
    </row>
    <row r="58057" ht="15.75" customHeight="1">
      <c r="A58057" s="7"/>
      <c r="B58057" s="7"/>
    </row>
    <row r="58058" ht="15.75" customHeight="1">
      <c r="A58058" s="7"/>
      <c r="B58058" s="7"/>
    </row>
    <row r="58059" ht="15.75" customHeight="1">
      <c r="A58059" s="7"/>
      <c r="B58059" s="7"/>
    </row>
    <row r="58060" ht="15.75" customHeight="1">
      <c r="A58060" s="7"/>
      <c r="B58060" s="7"/>
    </row>
    <row r="58061" ht="15.75" customHeight="1">
      <c r="A58061" s="7"/>
      <c r="B58061" s="7"/>
    </row>
    <row r="58062" ht="15.75" customHeight="1">
      <c r="A58062" s="7"/>
      <c r="B58062" s="7"/>
    </row>
    <row r="58063" ht="15.75" customHeight="1">
      <c r="A58063" s="7"/>
      <c r="B58063" s="7"/>
    </row>
    <row r="58064" ht="15.75" customHeight="1">
      <c r="A58064" s="7"/>
      <c r="B58064" s="7"/>
    </row>
    <row r="58065" ht="15.75" customHeight="1">
      <c r="A58065" s="7"/>
      <c r="B58065" s="7"/>
    </row>
    <row r="58066" ht="15.75" customHeight="1">
      <c r="A58066" s="7"/>
      <c r="B58066" s="7"/>
    </row>
    <row r="58067" ht="15.75" customHeight="1">
      <c r="A58067" s="7"/>
      <c r="B58067" s="7"/>
    </row>
    <row r="58068" ht="15.75" customHeight="1">
      <c r="A58068" s="7"/>
      <c r="B58068" s="7"/>
    </row>
    <row r="58069" ht="15.75" customHeight="1">
      <c r="A58069" s="7"/>
      <c r="B58069" s="7"/>
    </row>
    <row r="58070" ht="15.75" customHeight="1">
      <c r="A58070" s="7"/>
      <c r="B58070" s="7"/>
    </row>
    <row r="58071" ht="15.75" customHeight="1">
      <c r="A58071" s="7"/>
      <c r="B58071" s="7"/>
    </row>
    <row r="58072" ht="15.75" customHeight="1">
      <c r="A58072" s="7"/>
      <c r="B58072" s="7"/>
    </row>
    <row r="58073" ht="15.75" customHeight="1">
      <c r="A58073" s="7"/>
      <c r="B58073" s="7"/>
    </row>
    <row r="58074" ht="15.75" customHeight="1">
      <c r="A58074" s="7"/>
      <c r="B58074" s="7"/>
    </row>
    <row r="58075" ht="15.75" customHeight="1">
      <c r="A58075" s="7"/>
      <c r="B58075" s="7"/>
    </row>
    <row r="58076" ht="15.75" customHeight="1">
      <c r="A58076" s="7"/>
      <c r="B58076" s="7"/>
    </row>
    <row r="58077" ht="15.75" customHeight="1">
      <c r="A58077" s="7"/>
      <c r="B58077" s="7"/>
    </row>
    <row r="58078" ht="15.75" customHeight="1">
      <c r="A58078" s="7"/>
      <c r="B58078" s="7"/>
    </row>
    <row r="58079" ht="15.75" customHeight="1">
      <c r="A58079" s="7"/>
      <c r="B58079" s="7"/>
    </row>
    <row r="58080" ht="15.75" customHeight="1">
      <c r="A58080" s="7"/>
      <c r="B58080" s="7"/>
    </row>
    <row r="58081" ht="15.75" customHeight="1">
      <c r="A58081" s="7"/>
      <c r="B58081" s="7"/>
    </row>
    <row r="58082" ht="15.75" customHeight="1">
      <c r="A58082" s="7"/>
      <c r="B58082" s="7"/>
    </row>
    <row r="58083" ht="15.75" customHeight="1">
      <c r="A58083" s="7"/>
      <c r="B58083" s="7"/>
    </row>
    <row r="58084" ht="15.75" customHeight="1">
      <c r="A58084" s="7"/>
      <c r="B58084" s="7"/>
    </row>
    <row r="58085" ht="15.75" customHeight="1">
      <c r="A58085" s="7"/>
      <c r="B58085" s="7"/>
    </row>
    <row r="58086" ht="15.75" customHeight="1">
      <c r="A58086" s="7"/>
      <c r="B58086" s="7"/>
    </row>
    <row r="58087" ht="15.75" customHeight="1">
      <c r="A58087" s="7"/>
      <c r="B58087" s="7"/>
    </row>
    <row r="58088" ht="15.75" customHeight="1">
      <c r="A58088" s="7"/>
      <c r="B58088" s="7"/>
    </row>
    <row r="58089" ht="15.75" customHeight="1">
      <c r="A58089" s="7"/>
      <c r="B58089" s="7"/>
    </row>
    <row r="58090" ht="15.75" customHeight="1">
      <c r="A58090" s="7"/>
      <c r="B58090" s="7"/>
    </row>
    <row r="58091" ht="15.75" customHeight="1">
      <c r="A58091" s="7"/>
      <c r="B58091" s="7"/>
    </row>
    <row r="58092" ht="15.75" customHeight="1">
      <c r="A58092" s="7"/>
      <c r="B58092" s="7"/>
    </row>
    <row r="58093" ht="15.75" customHeight="1">
      <c r="A58093" s="7"/>
      <c r="B58093" s="7"/>
    </row>
    <row r="58094" ht="15.75" customHeight="1">
      <c r="A58094" s="7"/>
      <c r="B58094" s="7"/>
    </row>
    <row r="58095" ht="15.75" customHeight="1">
      <c r="A58095" s="7"/>
      <c r="B58095" s="7"/>
    </row>
    <row r="58096" ht="15.75" customHeight="1">
      <c r="A58096" s="7"/>
      <c r="B58096" s="7"/>
    </row>
    <row r="58097" ht="15.75" customHeight="1">
      <c r="A58097" s="7"/>
      <c r="B58097" s="7"/>
    </row>
    <row r="58098" ht="15.75" customHeight="1">
      <c r="A58098" s="7"/>
      <c r="B58098" s="7"/>
    </row>
    <row r="58099" ht="15.75" customHeight="1">
      <c r="A58099" s="7"/>
      <c r="B58099" s="7"/>
    </row>
    <row r="58100" ht="15.75" customHeight="1">
      <c r="A58100" s="7"/>
      <c r="B58100" s="7"/>
    </row>
    <row r="58101" ht="15.75" customHeight="1">
      <c r="A58101" s="7"/>
      <c r="B58101" s="7"/>
    </row>
    <row r="58102" ht="15.75" customHeight="1">
      <c r="A58102" s="7"/>
      <c r="B58102" s="7"/>
    </row>
    <row r="58103" ht="15.75" customHeight="1">
      <c r="A58103" s="7"/>
      <c r="B58103" s="7"/>
    </row>
    <row r="58104" ht="15.75" customHeight="1">
      <c r="A58104" s="7"/>
      <c r="B58104" s="7"/>
    </row>
    <row r="58105" ht="15.75" customHeight="1">
      <c r="A58105" s="7"/>
      <c r="B58105" s="7"/>
    </row>
    <row r="58106" ht="15.75" customHeight="1">
      <c r="A58106" s="7"/>
      <c r="B58106" s="7"/>
    </row>
    <row r="58107" ht="15.75" customHeight="1">
      <c r="A58107" s="7"/>
      <c r="B58107" s="7"/>
    </row>
    <row r="58108" ht="15.75" customHeight="1">
      <c r="A58108" s="7"/>
      <c r="B58108" s="7"/>
    </row>
    <row r="58109" ht="15.75" customHeight="1">
      <c r="A58109" s="7"/>
      <c r="B58109" s="7"/>
    </row>
    <row r="58110" ht="15.75" customHeight="1">
      <c r="A58110" s="7"/>
      <c r="B58110" s="7"/>
    </row>
    <row r="58111" ht="15.75" customHeight="1">
      <c r="A58111" s="7"/>
      <c r="B58111" s="7"/>
    </row>
    <row r="58112" ht="15.75" customHeight="1">
      <c r="A58112" s="7"/>
      <c r="B58112" s="7"/>
    </row>
    <row r="58113" ht="15.75" customHeight="1">
      <c r="A58113" s="7"/>
      <c r="B58113" s="7"/>
    </row>
    <row r="58114" ht="15.75" customHeight="1">
      <c r="A58114" s="7"/>
      <c r="B58114" s="7"/>
    </row>
    <row r="58115" ht="15.75" customHeight="1">
      <c r="A58115" s="7"/>
      <c r="B58115" s="7"/>
    </row>
    <row r="58116" ht="15.75" customHeight="1">
      <c r="A58116" s="7"/>
      <c r="B58116" s="7"/>
    </row>
    <row r="58117" ht="15.75" customHeight="1">
      <c r="A58117" s="7"/>
      <c r="B58117" s="7"/>
    </row>
    <row r="58118" ht="15.75" customHeight="1">
      <c r="A58118" s="7"/>
      <c r="B58118" s="7"/>
    </row>
    <row r="58119" ht="15.75" customHeight="1">
      <c r="A58119" s="7"/>
      <c r="B58119" s="7"/>
    </row>
    <row r="58120" ht="15.75" customHeight="1">
      <c r="A58120" s="7"/>
      <c r="B58120" s="7"/>
    </row>
    <row r="58121" ht="15.75" customHeight="1">
      <c r="A58121" s="7"/>
      <c r="B58121" s="7"/>
    </row>
    <row r="58122" ht="15.75" customHeight="1">
      <c r="A58122" s="7"/>
      <c r="B58122" s="7"/>
    </row>
    <row r="58123" ht="15.75" customHeight="1">
      <c r="A58123" s="7"/>
      <c r="B58123" s="7"/>
    </row>
    <row r="58124" ht="15.75" customHeight="1">
      <c r="A58124" s="7"/>
      <c r="B58124" s="7"/>
    </row>
    <row r="58125" ht="15.75" customHeight="1">
      <c r="A58125" s="7"/>
      <c r="B58125" s="7"/>
    </row>
    <row r="58126" ht="15.75" customHeight="1">
      <c r="A58126" s="7"/>
      <c r="B58126" s="7"/>
    </row>
    <row r="58127" ht="15.75" customHeight="1">
      <c r="A58127" s="7"/>
      <c r="B58127" s="7"/>
    </row>
    <row r="58128" ht="15.75" customHeight="1">
      <c r="A58128" s="7"/>
      <c r="B58128" s="7"/>
    </row>
    <row r="58129" ht="15.75" customHeight="1">
      <c r="A58129" s="7"/>
      <c r="B58129" s="7"/>
    </row>
    <row r="58130" ht="15.75" customHeight="1">
      <c r="A58130" s="7"/>
      <c r="B58130" s="7"/>
    </row>
    <row r="58131" ht="15.75" customHeight="1">
      <c r="A58131" s="7"/>
      <c r="B58131" s="7"/>
    </row>
    <row r="58132" ht="15.75" customHeight="1">
      <c r="A58132" s="7"/>
      <c r="B58132" s="7"/>
    </row>
    <row r="58133" ht="15.75" customHeight="1">
      <c r="A58133" s="7"/>
      <c r="B58133" s="7"/>
    </row>
    <row r="58134" ht="15.75" customHeight="1">
      <c r="A58134" s="7"/>
      <c r="B58134" s="7"/>
    </row>
    <row r="58135" ht="15.75" customHeight="1">
      <c r="A58135" s="7"/>
      <c r="B58135" s="7"/>
    </row>
    <row r="58136" ht="15.75" customHeight="1">
      <c r="A58136" s="7"/>
      <c r="B58136" s="7"/>
    </row>
    <row r="58137" ht="15.75" customHeight="1">
      <c r="A58137" s="7"/>
      <c r="B58137" s="7"/>
    </row>
    <row r="58138" ht="15.75" customHeight="1">
      <c r="A58138" s="7"/>
      <c r="B58138" s="7"/>
    </row>
    <row r="58139" ht="15.75" customHeight="1">
      <c r="A58139" s="7"/>
      <c r="B58139" s="7"/>
    </row>
    <row r="58140" ht="15.75" customHeight="1">
      <c r="A58140" s="7"/>
      <c r="B58140" s="7"/>
    </row>
    <row r="58141" ht="15.75" customHeight="1">
      <c r="A58141" s="7"/>
      <c r="B58141" s="7"/>
    </row>
    <row r="58142" ht="15.75" customHeight="1">
      <c r="A58142" s="7"/>
      <c r="B58142" s="7"/>
    </row>
    <row r="58143" ht="15.75" customHeight="1">
      <c r="A58143" s="7"/>
      <c r="B58143" s="7"/>
    </row>
    <row r="58144" ht="15.75" customHeight="1">
      <c r="A58144" s="7"/>
      <c r="B58144" s="7"/>
    </row>
    <row r="58145" ht="15.75" customHeight="1">
      <c r="A58145" s="7"/>
      <c r="B58145" s="7"/>
    </row>
    <row r="58146" ht="15.75" customHeight="1">
      <c r="A58146" s="7"/>
      <c r="B58146" s="7"/>
    </row>
    <row r="58147" ht="15.75" customHeight="1">
      <c r="A58147" s="7"/>
      <c r="B58147" s="7"/>
    </row>
    <row r="58148" ht="15.75" customHeight="1">
      <c r="A58148" s="7"/>
      <c r="B58148" s="7"/>
    </row>
    <row r="58149" ht="15.75" customHeight="1">
      <c r="A58149" s="7"/>
      <c r="B58149" s="7"/>
    </row>
    <row r="58150" ht="15.75" customHeight="1">
      <c r="A58150" s="7"/>
      <c r="B58150" s="7"/>
    </row>
    <row r="58151" ht="15.75" customHeight="1">
      <c r="A58151" s="7"/>
      <c r="B58151" s="7"/>
    </row>
    <row r="58152" ht="15.75" customHeight="1">
      <c r="A58152" s="7"/>
      <c r="B58152" s="7"/>
    </row>
    <row r="58153" ht="15.75" customHeight="1">
      <c r="A58153" s="7"/>
      <c r="B58153" s="7"/>
    </row>
    <row r="58154" ht="15.75" customHeight="1">
      <c r="A58154" s="7"/>
      <c r="B58154" s="7"/>
    </row>
    <row r="58155" ht="15.75" customHeight="1">
      <c r="A58155" s="7"/>
      <c r="B58155" s="7"/>
    </row>
    <row r="58156" ht="15.75" customHeight="1">
      <c r="A58156" s="7"/>
      <c r="B58156" s="7"/>
    </row>
    <row r="58157" ht="15.75" customHeight="1">
      <c r="A58157" s="7"/>
      <c r="B58157" s="7"/>
    </row>
    <row r="58158" ht="15.75" customHeight="1">
      <c r="A58158" s="7"/>
      <c r="B58158" s="7"/>
    </row>
    <row r="58159" ht="15.75" customHeight="1">
      <c r="A58159" s="7"/>
      <c r="B58159" s="7"/>
    </row>
    <row r="58160" ht="15.75" customHeight="1">
      <c r="A58160" s="7"/>
      <c r="B58160" s="7"/>
    </row>
    <row r="58161" ht="15.75" customHeight="1">
      <c r="A58161" s="7"/>
      <c r="B58161" s="7"/>
    </row>
    <row r="58162" ht="15.75" customHeight="1">
      <c r="A58162" s="7"/>
      <c r="B58162" s="7"/>
    </row>
    <row r="58163" ht="15.75" customHeight="1">
      <c r="A58163" s="7"/>
      <c r="B58163" s="7"/>
    </row>
    <row r="58164" ht="15.75" customHeight="1">
      <c r="A58164" s="7"/>
      <c r="B58164" s="7"/>
    </row>
    <row r="58165" ht="15.75" customHeight="1">
      <c r="A58165" s="7"/>
      <c r="B58165" s="7"/>
    </row>
    <row r="58166" ht="15.75" customHeight="1">
      <c r="A58166" s="7"/>
      <c r="B58166" s="7"/>
    </row>
    <row r="58167" ht="15.75" customHeight="1">
      <c r="A58167" s="7"/>
      <c r="B58167" s="7"/>
    </row>
    <row r="58168" ht="15.75" customHeight="1">
      <c r="A58168" s="7"/>
      <c r="B58168" s="7"/>
    </row>
    <row r="58169" ht="15.75" customHeight="1">
      <c r="A58169" s="7"/>
      <c r="B58169" s="7"/>
    </row>
    <row r="58170" ht="15.75" customHeight="1">
      <c r="A58170" s="7"/>
      <c r="B58170" s="7"/>
    </row>
    <row r="58171" ht="15.75" customHeight="1">
      <c r="A58171" s="7"/>
      <c r="B58171" s="7"/>
    </row>
    <row r="58172" ht="15.75" customHeight="1">
      <c r="A58172" s="7"/>
      <c r="B58172" s="7"/>
    </row>
    <row r="58173" ht="15.75" customHeight="1">
      <c r="A58173" s="7"/>
      <c r="B58173" s="7"/>
    </row>
    <row r="58174" ht="15.75" customHeight="1">
      <c r="A58174" s="7"/>
      <c r="B58174" s="7"/>
    </row>
    <row r="58175" ht="15.75" customHeight="1">
      <c r="A58175" s="7"/>
      <c r="B58175" s="7"/>
    </row>
    <row r="58176" ht="15.75" customHeight="1">
      <c r="A58176" s="7"/>
      <c r="B58176" s="7"/>
    </row>
    <row r="58177" ht="15.75" customHeight="1">
      <c r="A58177" s="7"/>
      <c r="B58177" s="7"/>
    </row>
    <row r="58178" ht="15.75" customHeight="1">
      <c r="A58178" s="7"/>
      <c r="B58178" s="7"/>
    </row>
    <row r="58179" ht="15.75" customHeight="1">
      <c r="A58179" s="7"/>
      <c r="B58179" s="7"/>
    </row>
    <row r="58180" ht="15.75" customHeight="1">
      <c r="A58180" s="7"/>
      <c r="B58180" s="7"/>
    </row>
    <row r="58181" ht="15.75" customHeight="1">
      <c r="A58181" s="7"/>
      <c r="B58181" s="7"/>
    </row>
    <row r="58182" ht="15.75" customHeight="1">
      <c r="A58182" s="7"/>
      <c r="B58182" s="7"/>
    </row>
    <row r="58183" ht="15.75" customHeight="1">
      <c r="A58183" s="7"/>
      <c r="B58183" s="7"/>
    </row>
    <row r="58184" ht="15.75" customHeight="1">
      <c r="A58184" s="7"/>
      <c r="B58184" s="7"/>
    </row>
    <row r="58185" ht="15.75" customHeight="1">
      <c r="A58185" s="7"/>
      <c r="B58185" s="7"/>
    </row>
    <row r="58186" ht="15.75" customHeight="1">
      <c r="A58186" s="7"/>
      <c r="B58186" s="7"/>
    </row>
    <row r="58187" ht="15.75" customHeight="1">
      <c r="A58187" s="7"/>
      <c r="B58187" s="7"/>
    </row>
    <row r="58188" ht="15.75" customHeight="1">
      <c r="A58188" s="7"/>
      <c r="B58188" s="7"/>
    </row>
    <row r="58189" ht="15.75" customHeight="1">
      <c r="A58189" s="7"/>
      <c r="B58189" s="7"/>
    </row>
    <row r="58190" ht="15.75" customHeight="1">
      <c r="A58190" s="7"/>
      <c r="B58190" s="7"/>
    </row>
    <row r="58191" ht="15.75" customHeight="1">
      <c r="A58191" s="7"/>
      <c r="B58191" s="7"/>
    </row>
    <row r="58192" ht="15.75" customHeight="1">
      <c r="A58192" s="7"/>
      <c r="B58192" s="7"/>
    </row>
    <row r="58193" ht="15.75" customHeight="1">
      <c r="A58193" s="7"/>
      <c r="B58193" s="7"/>
    </row>
    <row r="58194" ht="15.75" customHeight="1">
      <c r="A58194" s="7"/>
      <c r="B58194" s="7"/>
    </row>
    <row r="58195" ht="15.75" customHeight="1">
      <c r="A58195" s="7"/>
      <c r="B58195" s="7"/>
    </row>
    <row r="58196" ht="15.75" customHeight="1">
      <c r="A58196" s="7"/>
      <c r="B58196" s="7"/>
    </row>
    <row r="58197" ht="15.75" customHeight="1">
      <c r="A58197" s="7"/>
      <c r="B58197" s="7"/>
    </row>
    <row r="58198" ht="15.75" customHeight="1">
      <c r="A58198" s="7"/>
      <c r="B58198" s="7"/>
    </row>
    <row r="58199" ht="15.75" customHeight="1">
      <c r="A58199" s="7"/>
      <c r="B58199" s="7"/>
    </row>
    <row r="58200" ht="15.75" customHeight="1">
      <c r="A58200" s="7"/>
      <c r="B58200" s="7"/>
    </row>
    <row r="58201" ht="15.75" customHeight="1">
      <c r="A58201" s="7"/>
      <c r="B58201" s="7"/>
    </row>
    <row r="58202" ht="15.75" customHeight="1">
      <c r="A58202" s="7"/>
      <c r="B58202" s="7"/>
    </row>
    <row r="58203" ht="15.75" customHeight="1">
      <c r="A58203" s="7"/>
      <c r="B58203" s="7"/>
    </row>
    <row r="58204" ht="15.75" customHeight="1">
      <c r="A58204" s="7"/>
      <c r="B58204" s="7"/>
    </row>
    <row r="58205" ht="15.75" customHeight="1">
      <c r="A58205" s="7"/>
      <c r="B58205" s="7"/>
    </row>
    <row r="58206" ht="15.75" customHeight="1">
      <c r="A58206" s="7"/>
      <c r="B58206" s="7"/>
    </row>
    <row r="58207" ht="15.75" customHeight="1">
      <c r="A58207" s="7"/>
      <c r="B58207" s="7"/>
    </row>
    <row r="58208" ht="15.75" customHeight="1">
      <c r="A58208" s="7"/>
      <c r="B58208" s="7"/>
    </row>
    <row r="58209" ht="15.75" customHeight="1">
      <c r="A58209" s="7"/>
      <c r="B58209" s="7"/>
    </row>
    <row r="58210" ht="15.75" customHeight="1">
      <c r="A58210" s="7"/>
      <c r="B58210" s="7"/>
    </row>
    <row r="58211" ht="15.75" customHeight="1">
      <c r="A58211" s="7"/>
      <c r="B58211" s="7"/>
    </row>
    <row r="58212" ht="15.75" customHeight="1">
      <c r="A58212" s="7"/>
      <c r="B58212" s="7"/>
    </row>
    <row r="58213" ht="15.75" customHeight="1">
      <c r="A58213" s="7"/>
      <c r="B58213" s="7"/>
    </row>
    <row r="58214" ht="15.75" customHeight="1">
      <c r="A58214" s="7"/>
      <c r="B58214" s="7"/>
    </row>
    <row r="58215" ht="15.75" customHeight="1">
      <c r="A58215" s="7"/>
      <c r="B58215" s="7"/>
    </row>
    <row r="58216" ht="15.75" customHeight="1">
      <c r="A58216" s="7"/>
      <c r="B58216" s="7"/>
    </row>
    <row r="58217" ht="15.75" customHeight="1">
      <c r="A58217" s="7"/>
      <c r="B58217" s="7"/>
    </row>
    <row r="58218" ht="15.75" customHeight="1">
      <c r="A58218" s="7"/>
      <c r="B58218" s="7"/>
    </row>
    <row r="58219" ht="15.75" customHeight="1">
      <c r="A58219" s="7"/>
      <c r="B58219" s="7"/>
    </row>
    <row r="58220" ht="15.75" customHeight="1">
      <c r="A58220" s="7"/>
      <c r="B58220" s="7"/>
    </row>
    <row r="58221" ht="15.75" customHeight="1">
      <c r="A58221" s="7"/>
      <c r="B58221" s="7"/>
    </row>
    <row r="58222" ht="15.75" customHeight="1">
      <c r="A58222" s="7"/>
      <c r="B58222" s="7"/>
    </row>
    <row r="58223" ht="15.75" customHeight="1">
      <c r="A58223" s="7"/>
      <c r="B58223" s="7"/>
    </row>
    <row r="58224" ht="15.75" customHeight="1">
      <c r="A58224" s="7"/>
      <c r="B58224" s="7"/>
    </row>
    <row r="58225" ht="15.75" customHeight="1">
      <c r="A58225" s="7"/>
      <c r="B58225" s="7"/>
    </row>
    <row r="58226" ht="15.75" customHeight="1">
      <c r="A58226" s="7"/>
      <c r="B58226" s="7"/>
    </row>
    <row r="58227" ht="15.75" customHeight="1">
      <c r="A58227" s="7"/>
      <c r="B58227" s="7"/>
    </row>
    <row r="58228" ht="15.75" customHeight="1">
      <c r="A58228" s="7"/>
      <c r="B58228" s="7"/>
    </row>
    <row r="58229" ht="15.75" customHeight="1">
      <c r="A58229" s="7"/>
      <c r="B58229" s="7"/>
    </row>
    <row r="58230" ht="15.75" customHeight="1">
      <c r="A58230" s="7"/>
      <c r="B58230" s="7"/>
    </row>
    <row r="58231" ht="15.75" customHeight="1">
      <c r="A58231" s="7"/>
      <c r="B58231" s="7"/>
    </row>
    <row r="58232" ht="15.75" customHeight="1">
      <c r="A58232" s="7"/>
      <c r="B58232" s="7"/>
    </row>
    <row r="58233" ht="15.75" customHeight="1">
      <c r="A58233" s="7"/>
      <c r="B58233" s="7"/>
    </row>
    <row r="58234" ht="15.75" customHeight="1">
      <c r="A58234" s="7"/>
      <c r="B58234" s="7"/>
    </row>
    <row r="58235" ht="15.75" customHeight="1">
      <c r="A58235" s="7"/>
      <c r="B58235" s="7"/>
    </row>
    <row r="58236" ht="15.75" customHeight="1">
      <c r="A58236" s="7"/>
      <c r="B58236" s="7"/>
    </row>
    <row r="58237" ht="15.75" customHeight="1">
      <c r="A58237" s="7"/>
      <c r="B58237" s="7"/>
    </row>
    <row r="58238" ht="15.75" customHeight="1">
      <c r="A58238" s="7"/>
      <c r="B58238" s="7"/>
    </row>
    <row r="58239" ht="15.75" customHeight="1">
      <c r="A58239" s="7"/>
      <c r="B58239" s="7"/>
    </row>
    <row r="58240" ht="15.75" customHeight="1">
      <c r="A58240" s="7"/>
      <c r="B58240" s="7"/>
    </row>
    <row r="58241" ht="15.75" customHeight="1">
      <c r="A58241" s="7"/>
      <c r="B58241" s="7"/>
    </row>
    <row r="58242" ht="15.75" customHeight="1">
      <c r="A58242" s="7"/>
      <c r="B58242" s="7"/>
    </row>
    <row r="58243" ht="15.75" customHeight="1">
      <c r="A58243" s="7"/>
      <c r="B58243" s="7"/>
    </row>
    <row r="58244" ht="15.75" customHeight="1">
      <c r="A58244" s="7"/>
      <c r="B58244" s="7"/>
    </row>
    <row r="58245" ht="15.75" customHeight="1">
      <c r="A58245" s="7"/>
      <c r="B58245" s="7"/>
    </row>
    <row r="58246" ht="15.75" customHeight="1">
      <c r="A58246" s="7"/>
      <c r="B58246" s="7"/>
    </row>
    <row r="58247" ht="15.75" customHeight="1">
      <c r="A58247" s="7"/>
      <c r="B58247" s="7"/>
    </row>
    <row r="58248" ht="15.75" customHeight="1">
      <c r="A58248" s="7"/>
      <c r="B58248" s="7"/>
    </row>
    <row r="58249" ht="15.75" customHeight="1">
      <c r="A58249" s="7"/>
      <c r="B58249" s="7"/>
    </row>
    <row r="58250" ht="15.75" customHeight="1">
      <c r="A58250" s="7"/>
      <c r="B58250" s="7"/>
    </row>
    <row r="58251" ht="15.75" customHeight="1">
      <c r="A58251" s="7"/>
      <c r="B58251" s="7"/>
    </row>
    <row r="58252" ht="15.75" customHeight="1">
      <c r="A58252" s="7"/>
      <c r="B58252" s="7"/>
    </row>
    <row r="58253" ht="15.75" customHeight="1">
      <c r="A58253" s="7"/>
      <c r="B58253" s="7"/>
    </row>
    <row r="58254" ht="15.75" customHeight="1">
      <c r="A58254" s="7"/>
      <c r="B58254" s="7"/>
    </row>
    <row r="58255" ht="15.75" customHeight="1">
      <c r="A58255" s="7"/>
      <c r="B58255" s="7"/>
    </row>
    <row r="58256" ht="15.75" customHeight="1">
      <c r="A58256" s="7"/>
      <c r="B58256" s="7"/>
    </row>
    <row r="58257" ht="15.75" customHeight="1">
      <c r="A58257" s="7"/>
      <c r="B58257" s="7"/>
    </row>
    <row r="58258" ht="15.75" customHeight="1">
      <c r="A58258" s="7"/>
      <c r="B58258" s="7"/>
    </row>
    <row r="58259" ht="15.75" customHeight="1">
      <c r="A58259" s="7"/>
      <c r="B58259" s="7"/>
    </row>
    <row r="58260" ht="15.75" customHeight="1">
      <c r="A58260" s="7"/>
      <c r="B58260" s="7"/>
    </row>
    <row r="58261" ht="15.75" customHeight="1">
      <c r="A58261" s="7"/>
      <c r="B58261" s="7"/>
    </row>
    <row r="58262" ht="15.75" customHeight="1">
      <c r="A58262" s="7"/>
      <c r="B58262" s="7"/>
    </row>
    <row r="58263" ht="15.75" customHeight="1">
      <c r="A58263" s="7"/>
      <c r="B58263" s="7"/>
    </row>
    <row r="58264" ht="15.75" customHeight="1">
      <c r="A58264" s="7"/>
      <c r="B58264" s="7"/>
    </row>
    <row r="58265" ht="15.75" customHeight="1">
      <c r="A58265" s="7"/>
      <c r="B58265" s="7"/>
    </row>
    <row r="58266" ht="15.75" customHeight="1">
      <c r="A58266" s="7"/>
      <c r="B58266" s="7"/>
    </row>
    <row r="58267" ht="15.75" customHeight="1">
      <c r="A58267" s="7"/>
      <c r="B58267" s="7"/>
    </row>
    <row r="58268" ht="15.75" customHeight="1">
      <c r="A58268" s="7"/>
      <c r="B58268" s="7"/>
    </row>
    <row r="58269" ht="15.75" customHeight="1">
      <c r="A58269" s="7"/>
      <c r="B58269" s="7"/>
    </row>
    <row r="58270" ht="15.75" customHeight="1">
      <c r="A58270" s="7"/>
      <c r="B58270" s="7"/>
    </row>
    <row r="58271" ht="15.75" customHeight="1">
      <c r="A58271" s="7"/>
      <c r="B58271" s="7"/>
    </row>
    <row r="58272" ht="15.75" customHeight="1">
      <c r="A58272" s="7"/>
      <c r="B58272" s="7"/>
    </row>
    <row r="58273" ht="15.75" customHeight="1">
      <c r="A58273" s="7"/>
      <c r="B58273" s="7"/>
    </row>
    <row r="58274" ht="15.75" customHeight="1">
      <c r="A58274" s="7"/>
      <c r="B58274" s="7"/>
    </row>
    <row r="58275" ht="15.75" customHeight="1">
      <c r="A58275" s="7"/>
      <c r="B58275" s="7"/>
    </row>
    <row r="58276" ht="15.75" customHeight="1">
      <c r="A58276" s="7"/>
      <c r="B58276" s="7"/>
    </row>
    <row r="58277" ht="15.75" customHeight="1">
      <c r="A58277" s="7"/>
      <c r="B58277" s="7"/>
    </row>
    <row r="58278" ht="15.75" customHeight="1">
      <c r="A58278" s="7"/>
      <c r="B58278" s="7"/>
    </row>
    <row r="58279" ht="15.75" customHeight="1">
      <c r="A58279" s="7"/>
      <c r="B58279" s="7"/>
    </row>
    <row r="58280" ht="15.75" customHeight="1">
      <c r="A58280" s="7"/>
      <c r="B58280" s="7"/>
    </row>
    <row r="58281" ht="15.75" customHeight="1">
      <c r="A58281" s="7"/>
      <c r="B58281" s="7"/>
    </row>
    <row r="58282" ht="15.75" customHeight="1">
      <c r="A58282" s="7"/>
      <c r="B58282" s="7"/>
    </row>
    <row r="58283" ht="15.75" customHeight="1">
      <c r="A58283" s="7"/>
      <c r="B58283" s="7"/>
    </row>
    <row r="58284" ht="15.75" customHeight="1">
      <c r="A58284" s="7"/>
      <c r="B58284" s="7"/>
    </row>
    <row r="58285" ht="15.75" customHeight="1">
      <c r="A58285" s="7"/>
      <c r="B58285" s="7"/>
    </row>
    <row r="58286" ht="15.75" customHeight="1">
      <c r="A58286" s="7"/>
      <c r="B58286" s="7"/>
    </row>
    <row r="58287" ht="15.75" customHeight="1">
      <c r="A58287" s="7"/>
      <c r="B58287" s="7"/>
    </row>
    <row r="58288" ht="15.75" customHeight="1">
      <c r="A58288" s="7"/>
      <c r="B58288" s="7"/>
    </row>
    <row r="58289" ht="15.75" customHeight="1">
      <c r="A58289" s="7"/>
      <c r="B58289" s="7"/>
    </row>
    <row r="58290" ht="15.75" customHeight="1">
      <c r="A58290" s="7"/>
      <c r="B58290" s="7"/>
    </row>
    <row r="58291" ht="15.75" customHeight="1">
      <c r="A58291" s="7"/>
      <c r="B58291" s="7"/>
    </row>
    <row r="58292" ht="15.75" customHeight="1">
      <c r="A58292" s="7"/>
      <c r="B58292" s="7"/>
    </row>
    <row r="58293" ht="15.75" customHeight="1">
      <c r="A58293" s="7"/>
      <c r="B58293" s="7"/>
    </row>
    <row r="58294" ht="15.75" customHeight="1">
      <c r="A58294" s="7"/>
      <c r="B58294" s="7"/>
    </row>
    <row r="58295" ht="15.75" customHeight="1">
      <c r="A58295" s="7"/>
      <c r="B58295" s="7"/>
    </row>
    <row r="58296" ht="15.75" customHeight="1">
      <c r="A58296" s="7"/>
      <c r="B58296" s="7"/>
    </row>
    <row r="58297" ht="15.75" customHeight="1">
      <c r="A58297" s="7"/>
      <c r="B58297" s="7"/>
    </row>
    <row r="58298" ht="15.75" customHeight="1">
      <c r="A58298" s="7"/>
      <c r="B58298" s="7"/>
    </row>
    <row r="58299" ht="15.75" customHeight="1">
      <c r="A58299" s="7"/>
      <c r="B58299" s="7"/>
    </row>
    <row r="58300" ht="15.75" customHeight="1">
      <c r="A58300" s="7"/>
      <c r="B58300" s="7"/>
    </row>
    <row r="58301" ht="15.75" customHeight="1">
      <c r="A58301" s="7"/>
      <c r="B58301" s="7"/>
    </row>
    <row r="58302" ht="15.75" customHeight="1">
      <c r="A58302" s="7"/>
      <c r="B58302" s="7"/>
    </row>
    <row r="58303" ht="15.75" customHeight="1">
      <c r="A58303" s="7"/>
      <c r="B58303" s="7"/>
    </row>
    <row r="58304" ht="15.75" customHeight="1">
      <c r="A58304" s="7"/>
      <c r="B58304" s="7"/>
    </row>
    <row r="58305" ht="15.75" customHeight="1">
      <c r="A58305" s="7"/>
      <c r="B58305" s="7"/>
    </row>
    <row r="58306" ht="15.75" customHeight="1">
      <c r="A58306" s="7"/>
      <c r="B58306" s="7"/>
    </row>
    <row r="58307" ht="15.75" customHeight="1">
      <c r="A58307" s="7"/>
      <c r="B58307" s="7"/>
    </row>
    <row r="58308" ht="15.75" customHeight="1">
      <c r="A58308" s="7"/>
      <c r="B58308" s="7"/>
    </row>
    <row r="58309" ht="15.75" customHeight="1">
      <c r="A58309" s="7"/>
      <c r="B58309" s="7"/>
    </row>
    <row r="58310" ht="15.75" customHeight="1">
      <c r="A58310" s="7"/>
      <c r="B58310" s="7"/>
    </row>
    <row r="58311" ht="15.75" customHeight="1">
      <c r="A58311" s="7"/>
      <c r="B58311" s="7"/>
    </row>
    <row r="58312" ht="15.75" customHeight="1">
      <c r="A58312" s="7"/>
      <c r="B58312" s="7"/>
    </row>
    <row r="58313" ht="15.75" customHeight="1">
      <c r="A58313" s="7"/>
      <c r="B58313" s="7"/>
    </row>
    <row r="58314" ht="15.75" customHeight="1">
      <c r="A58314" s="7"/>
      <c r="B58314" s="7"/>
    </row>
    <row r="58315" ht="15.75" customHeight="1">
      <c r="A58315" s="7"/>
      <c r="B58315" s="7"/>
    </row>
    <row r="58316" ht="15.75" customHeight="1">
      <c r="A58316" s="7"/>
      <c r="B58316" s="7"/>
    </row>
    <row r="58317" ht="15.75" customHeight="1">
      <c r="A58317" s="7"/>
      <c r="B58317" s="7"/>
    </row>
    <row r="58318" ht="15.75" customHeight="1">
      <c r="A58318" s="7"/>
      <c r="B58318" s="7"/>
    </row>
    <row r="58319" ht="15.75" customHeight="1">
      <c r="A58319" s="7"/>
      <c r="B58319" s="7"/>
    </row>
    <row r="58320" ht="15.75" customHeight="1">
      <c r="A58320" s="7"/>
      <c r="B58320" s="7"/>
    </row>
    <row r="58321" ht="15.75" customHeight="1">
      <c r="A58321" s="7"/>
      <c r="B58321" s="7"/>
    </row>
    <row r="58322" ht="15.75" customHeight="1">
      <c r="A58322" s="7"/>
      <c r="B58322" s="7"/>
    </row>
    <row r="58323" ht="15.75" customHeight="1">
      <c r="A58323" s="7"/>
      <c r="B58323" s="7"/>
    </row>
    <row r="58324" ht="15.75" customHeight="1">
      <c r="A58324" s="7"/>
      <c r="B58324" s="7"/>
    </row>
    <row r="58325" ht="15.75" customHeight="1">
      <c r="A58325" s="7"/>
      <c r="B58325" s="7"/>
    </row>
    <row r="58326" ht="15.75" customHeight="1">
      <c r="A58326" s="7"/>
      <c r="B58326" s="7"/>
    </row>
    <row r="58327" ht="15.75" customHeight="1">
      <c r="A58327" s="7"/>
      <c r="B58327" s="7"/>
    </row>
    <row r="58328" ht="15.75" customHeight="1">
      <c r="A58328" s="7"/>
      <c r="B58328" s="7"/>
    </row>
    <row r="58329" ht="15.75" customHeight="1">
      <c r="A58329" s="7"/>
      <c r="B58329" s="7"/>
    </row>
    <row r="58330" ht="15.75" customHeight="1">
      <c r="A58330" s="7"/>
      <c r="B58330" s="7"/>
    </row>
    <row r="58331" ht="15.75" customHeight="1">
      <c r="A58331" s="7"/>
      <c r="B58331" s="7"/>
    </row>
    <row r="58332" ht="15.75" customHeight="1">
      <c r="A58332" s="7"/>
      <c r="B58332" s="7"/>
    </row>
    <row r="58333" ht="15.75" customHeight="1">
      <c r="A58333" s="7"/>
      <c r="B58333" s="7"/>
    </row>
    <row r="58334" ht="15.75" customHeight="1">
      <c r="A58334" s="7"/>
      <c r="B58334" s="7"/>
    </row>
    <row r="58335" ht="15.75" customHeight="1">
      <c r="A58335" s="7"/>
      <c r="B58335" s="7"/>
    </row>
    <row r="58336" ht="15.75" customHeight="1">
      <c r="A58336" s="7"/>
      <c r="B58336" s="7"/>
    </row>
    <row r="58337" ht="15.75" customHeight="1">
      <c r="A58337" s="7"/>
      <c r="B58337" s="7"/>
    </row>
    <row r="58338" ht="15.75" customHeight="1">
      <c r="A58338" s="7"/>
      <c r="B58338" s="7"/>
    </row>
    <row r="58339" ht="15.75" customHeight="1">
      <c r="A58339" s="7"/>
      <c r="B58339" s="7"/>
    </row>
    <row r="58340" ht="15.75" customHeight="1">
      <c r="A58340" s="7"/>
      <c r="B58340" s="7"/>
    </row>
    <row r="58341" ht="15.75" customHeight="1">
      <c r="A58341" s="7"/>
      <c r="B58341" s="7"/>
    </row>
    <row r="58342" ht="15.75" customHeight="1">
      <c r="A58342" s="7"/>
      <c r="B58342" s="7"/>
    </row>
    <row r="58343" ht="15.75" customHeight="1">
      <c r="A58343" s="7"/>
      <c r="B58343" s="7"/>
    </row>
    <row r="58344" ht="15.75" customHeight="1">
      <c r="A58344" s="7"/>
      <c r="B58344" s="7"/>
    </row>
    <row r="58345" ht="15.75" customHeight="1">
      <c r="A58345" s="7"/>
      <c r="B58345" s="7"/>
    </row>
    <row r="58346" ht="15.75" customHeight="1">
      <c r="A58346" s="7"/>
      <c r="B58346" s="7"/>
    </row>
    <row r="58347" ht="15.75" customHeight="1">
      <c r="A58347" s="7"/>
      <c r="B58347" s="7"/>
    </row>
    <row r="58348" ht="15.75" customHeight="1">
      <c r="A58348" s="7"/>
      <c r="B58348" s="7"/>
    </row>
    <row r="58349" ht="15.75" customHeight="1">
      <c r="A58349" s="7"/>
      <c r="B58349" s="7"/>
    </row>
    <row r="58350" ht="15.75" customHeight="1">
      <c r="A58350" s="7"/>
      <c r="B58350" s="7"/>
    </row>
    <row r="58351" ht="15.75" customHeight="1">
      <c r="A58351" s="7"/>
      <c r="B58351" s="7"/>
    </row>
    <row r="58352" ht="15.75" customHeight="1">
      <c r="A58352" s="7"/>
      <c r="B58352" s="7"/>
    </row>
    <row r="58353" ht="15.75" customHeight="1">
      <c r="A58353" s="7"/>
      <c r="B58353" s="7"/>
    </row>
    <row r="58354" ht="15.75" customHeight="1">
      <c r="A58354" s="7"/>
      <c r="B58354" s="7"/>
    </row>
    <row r="58355" ht="15.75" customHeight="1">
      <c r="A58355" s="7"/>
      <c r="B58355" s="7"/>
    </row>
    <row r="58356" ht="15.75" customHeight="1">
      <c r="A58356" s="7"/>
      <c r="B58356" s="7"/>
    </row>
    <row r="58357" ht="15.75" customHeight="1">
      <c r="A58357" s="7"/>
      <c r="B58357" s="7"/>
    </row>
    <row r="58358" ht="15.75" customHeight="1">
      <c r="A58358" s="7"/>
      <c r="B58358" s="7"/>
    </row>
    <row r="58359" ht="15.75" customHeight="1">
      <c r="A58359" s="7"/>
      <c r="B58359" s="7"/>
    </row>
    <row r="58360" ht="15.75" customHeight="1">
      <c r="A58360" s="7"/>
      <c r="B58360" s="7"/>
    </row>
    <row r="58361" ht="15.75" customHeight="1">
      <c r="A58361" s="7"/>
      <c r="B58361" s="7"/>
    </row>
    <row r="58362" ht="15.75" customHeight="1">
      <c r="A58362" s="7"/>
      <c r="B58362" s="7"/>
    </row>
    <row r="58363" ht="15.75" customHeight="1">
      <c r="A58363" s="7"/>
      <c r="B58363" s="7"/>
    </row>
    <row r="58364" ht="15.75" customHeight="1">
      <c r="A58364" s="7"/>
      <c r="B58364" s="7"/>
    </row>
    <row r="58365" ht="15.75" customHeight="1">
      <c r="A58365" s="7"/>
      <c r="B58365" s="7"/>
    </row>
    <row r="58366" ht="15.75" customHeight="1">
      <c r="A58366" s="7"/>
      <c r="B58366" s="7"/>
    </row>
    <row r="58367" ht="15.75" customHeight="1">
      <c r="A58367" s="7"/>
      <c r="B58367" s="7"/>
    </row>
    <row r="58368" ht="15.75" customHeight="1">
      <c r="A58368" s="7"/>
      <c r="B58368" s="7"/>
    </row>
    <row r="58369" ht="15.75" customHeight="1">
      <c r="A58369" s="7"/>
      <c r="B58369" s="7"/>
    </row>
    <row r="58370" ht="15.75" customHeight="1">
      <c r="A58370" s="7"/>
      <c r="B58370" s="7"/>
    </row>
    <row r="58371" ht="15.75" customHeight="1">
      <c r="A58371" s="7"/>
      <c r="B58371" s="7"/>
    </row>
    <row r="58372" ht="15.75" customHeight="1">
      <c r="A58372" s="7"/>
      <c r="B58372" s="7"/>
    </row>
    <row r="58373" ht="15.75" customHeight="1">
      <c r="A58373" s="7"/>
      <c r="B58373" s="7"/>
    </row>
    <row r="58374" ht="15.75" customHeight="1">
      <c r="A58374" s="7"/>
      <c r="B58374" s="7"/>
    </row>
    <row r="58375" ht="15.75" customHeight="1">
      <c r="A58375" s="7"/>
      <c r="B58375" s="7"/>
    </row>
    <row r="58376" ht="15.75" customHeight="1">
      <c r="A58376" s="7"/>
      <c r="B58376" s="7"/>
    </row>
    <row r="58377" ht="15.75" customHeight="1">
      <c r="A58377" s="7"/>
      <c r="B58377" s="7"/>
    </row>
    <row r="58378" ht="15.75" customHeight="1">
      <c r="A58378" s="7"/>
      <c r="B58378" s="7"/>
    </row>
    <row r="58379" ht="15.75" customHeight="1">
      <c r="A58379" s="7"/>
      <c r="B58379" s="7"/>
    </row>
    <row r="58380" ht="15.75" customHeight="1">
      <c r="A58380" s="7"/>
      <c r="B58380" s="7"/>
    </row>
    <row r="58381" ht="15.75" customHeight="1">
      <c r="A58381" s="7"/>
      <c r="B58381" s="7"/>
    </row>
    <row r="58382" ht="15.75" customHeight="1">
      <c r="A58382" s="7"/>
      <c r="B58382" s="7"/>
    </row>
    <row r="58383" ht="15.75" customHeight="1">
      <c r="A58383" s="7"/>
      <c r="B58383" s="7"/>
    </row>
    <row r="58384" ht="15.75" customHeight="1">
      <c r="A58384" s="7"/>
      <c r="B58384" s="7"/>
    </row>
    <row r="58385" ht="15.75" customHeight="1">
      <c r="A58385" s="7"/>
      <c r="B58385" s="7"/>
    </row>
    <row r="58386" ht="15.75" customHeight="1">
      <c r="A58386" s="7"/>
      <c r="B58386" s="7"/>
    </row>
    <row r="58387" ht="15.75" customHeight="1">
      <c r="A58387" s="7"/>
      <c r="B58387" s="7"/>
    </row>
    <row r="58388" ht="15.75" customHeight="1">
      <c r="A58388" s="7"/>
      <c r="B58388" s="7"/>
    </row>
    <row r="58389" ht="15.75" customHeight="1">
      <c r="A58389" s="7"/>
      <c r="B58389" s="7"/>
    </row>
    <row r="58390" ht="15.75" customHeight="1">
      <c r="A58390" s="7"/>
      <c r="B58390" s="7"/>
    </row>
    <row r="58391" ht="15.75" customHeight="1">
      <c r="A58391" s="7"/>
      <c r="B58391" s="7"/>
    </row>
    <row r="58392" ht="15.75" customHeight="1">
      <c r="A58392" s="7"/>
      <c r="B58392" s="7"/>
    </row>
    <row r="58393" ht="15.75" customHeight="1">
      <c r="A58393" s="7"/>
      <c r="B58393" s="7"/>
    </row>
    <row r="58394" ht="15.75" customHeight="1">
      <c r="A58394" s="7"/>
      <c r="B58394" s="7"/>
    </row>
    <row r="58395" ht="15.75" customHeight="1">
      <c r="A58395" s="7"/>
      <c r="B58395" s="7"/>
    </row>
    <row r="58396" ht="15.75" customHeight="1">
      <c r="A58396" s="7"/>
      <c r="B58396" s="7"/>
    </row>
    <row r="58397" ht="15.75" customHeight="1">
      <c r="A58397" s="7"/>
      <c r="B58397" s="7"/>
    </row>
    <row r="58398" ht="15.75" customHeight="1">
      <c r="A58398" s="7"/>
      <c r="B58398" s="7"/>
    </row>
    <row r="58399" ht="15.75" customHeight="1">
      <c r="A58399" s="7"/>
      <c r="B58399" s="7"/>
    </row>
    <row r="58400" ht="15.75" customHeight="1">
      <c r="A58400" s="7"/>
      <c r="B58400" s="7"/>
    </row>
    <row r="58401" ht="15.75" customHeight="1">
      <c r="A58401" s="7"/>
      <c r="B58401" s="7"/>
    </row>
    <row r="58402" ht="15.75" customHeight="1">
      <c r="A58402" s="7"/>
      <c r="B58402" s="7"/>
    </row>
    <row r="58403" ht="15.75" customHeight="1">
      <c r="A58403" s="7"/>
      <c r="B58403" s="7"/>
    </row>
    <row r="58404" ht="15.75" customHeight="1">
      <c r="A58404" s="7"/>
      <c r="B58404" s="7"/>
    </row>
    <row r="58405" ht="15.75" customHeight="1">
      <c r="A58405" s="7"/>
      <c r="B58405" s="7"/>
    </row>
    <row r="58406" ht="15.75" customHeight="1">
      <c r="A58406" s="7"/>
      <c r="B58406" s="7"/>
    </row>
    <row r="58407" ht="15.75" customHeight="1">
      <c r="A58407" s="7"/>
      <c r="B58407" s="7"/>
    </row>
    <row r="58408" ht="15.75" customHeight="1">
      <c r="A58408" s="7"/>
      <c r="B58408" s="7"/>
    </row>
    <row r="58409" ht="15.75" customHeight="1">
      <c r="A58409" s="7"/>
      <c r="B58409" s="7"/>
    </row>
    <row r="58410" ht="15.75" customHeight="1">
      <c r="A58410" s="7"/>
      <c r="B58410" s="7"/>
    </row>
    <row r="58411" ht="15.75" customHeight="1">
      <c r="A58411" s="7"/>
      <c r="B58411" s="7"/>
    </row>
    <row r="58412" ht="15.75" customHeight="1">
      <c r="A58412" s="7"/>
      <c r="B58412" s="7"/>
    </row>
    <row r="58413" ht="15.75" customHeight="1">
      <c r="A58413" s="7"/>
      <c r="B58413" s="7"/>
    </row>
    <row r="58414" ht="15.75" customHeight="1">
      <c r="A58414" s="7"/>
      <c r="B58414" s="7"/>
    </row>
    <row r="58415" ht="15.75" customHeight="1">
      <c r="A58415" s="7"/>
      <c r="B58415" s="7"/>
    </row>
    <row r="58416" ht="15.75" customHeight="1">
      <c r="A58416" s="7"/>
      <c r="B58416" s="7"/>
    </row>
    <row r="58417" ht="15.75" customHeight="1">
      <c r="A58417" s="7"/>
      <c r="B58417" s="7"/>
    </row>
    <row r="58418" ht="15.75" customHeight="1">
      <c r="A58418" s="7"/>
      <c r="B58418" s="7"/>
    </row>
    <row r="58419" ht="15.75" customHeight="1">
      <c r="A58419" s="7"/>
      <c r="B58419" s="7"/>
    </row>
    <row r="58420" ht="15.75" customHeight="1">
      <c r="A58420" s="7"/>
      <c r="B58420" s="7"/>
    </row>
    <row r="58421" ht="15.75" customHeight="1">
      <c r="A58421" s="7"/>
      <c r="B58421" s="7"/>
    </row>
    <row r="58422" ht="15.75" customHeight="1">
      <c r="A58422" s="7"/>
      <c r="B58422" s="7"/>
    </row>
    <row r="58423" ht="15.75" customHeight="1">
      <c r="A58423" s="7"/>
      <c r="B58423" s="7"/>
    </row>
    <row r="58424" ht="15.75" customHeight="1">
      <c r="A58424" s="7"/>
      <c r="B58424" s="7"/>
    </row>
    <row r="58425" ht="15.75" customHeight="1">
      <c r="A58425" s="7"/>
      <c r="B58425" s="7"/>
    </row>
    <row r="58426" ht="15.75" customHeight="1">
      <c r="A58426" s="7"/>
      <c r="B58426" s="7"/>
    </row>
    <row r="58427" ht="15.75" customHeight="1">
      <c r="A58427" s="7"/>
      <c r="B58427" s="7"/>
    </row>
    <row r="58428" ht="15.75" customHeight="1">
      <c r="A58428" s="7"/>
      <c r="B58428" s="7"/>
    </row>
    <row r="58429" ht="15.75" customHeight="1">
      <c r="A58429" s="7"/>
      <c r="B58429" s="7"/>
    </row>
    <row r="58430" ht="15.75" customHeight="1">
      <c r="A58430" s="7"/>
      <c r="B58430" s="7"/>
    </row>
    <row r="58431" ht="15.75" customHeight="1">
      <c r="A58431" s="7"/>
      <c r="B58431" s="7"/>
    </row>
    <row r="58432" ht="15.75" customHeight="1">
      <c r="A58432" s="7"/>
      <c r="B58432" s="7"/>
    </row>
    <row r="58433" ht="15.75" customHeight="1">
      <c r="A58433" s="7"/>
      <c r="B58433" s="7"/>
    </row>
    <row r="58434" ht="15.75" customHeight="1">
      <c r="A58434" s="7"/>
      <c r="B58434" s="7"/>
    </row>
    <row r="58435" ht="15.75" customHeight="1">
      <c r="A58435" s="7"/>
      <c r="B58435" s="7"/>
    </row>
    <row r="58436" ht="15.75" customHeight="1">
      <c r="A58436" s="7"/>
      <c r="B58436" s="7"/>
    </row>
    <row r="58437" ht="15.75" customHeight="1">
      <c r="A58437" s="7"/>
      <c r="B58437" s="7"/>
    </row>
    <row r="58438" ht="15.75" customHeight="1">
      <c r="A58438" s="7"/>
      <c r="B58438" s="7"/>
    </row>
    <row r="58439" ht="15.75" customHeight="1">
      <c r="A58439" s="7"/>
      <c r="B58439" s="7"/>
    </row>
    <row r="58440" ht="15.75" customHeight="1">
      <c r="A58440" s="7"/>
      <c r="B58440" s="7"/>
    </row>
    <row r="58441" ht="15.75" customHeight="1">
      <c r="A58441" s="7"/>
      <c r="B58441" s="7"/>
    </row>
    <row r="58442" ht="15.75" customHeight="1">
      <c r="A58442" s="7"/>
      <c r="B58442" s="7"/>
    </row>
    <row r="58443" ht="15.75" customHeight="1">
      <c r="A58443" s="7"/>
      <c r="B58443" s="7"/>
    </row>
    <row r="58444" ht="15.75" customHeight="1">
      <c r="A58444" s="7"/>
      <c r="B58444" s="7"/>
    </row>
    <row r="58445" ht="15.75" customHeight="1">
      <c r="A58445" s="7"/>
      <c r="B58445" s="7"/>
    </row>
    <row r="58446" ht="15.75" customHeight="1">
      <c r="A58446" s="7"/>
      <c r="B58446" s="7"/>
    </row>
    <row r="58447" ht="15.75" customHeight="1">
      <c r="A58447" s="7"/>
      <c r="B58447" s="7"/>
    </row>
    <row r="58448" ht="15.75" customHeight="1">
      <c r="A58448" s="7"/>
      <c r="B58448" s="7"/>
    </row>
    <row r="58449" ht="15.75" customHeight="1">
      <c r="A58449" s="7"/>
      <c r="B58449" s="7"/>
    </row>
    <row r="58450" ht="15.75" customHeight="1">
      <c r="A58450" s="7"/>
      <c r="B58450" s="7"/>
    </row>
    <row r="58451" ht="15.75" customHeight="1">
      <c r="A58451" s="7"/>
      <c r="B58451" s="7"/>
    </row>
    <row r="58452" ht="15.75" customHeight="1">
      <c r="A58452" s="7"/>
      <c r="B58452" s="7"/>
    </row>
    <row r="58453" ht="15.75" customHeight="1">
      <c r="A58453" s="7"/>
      <c r="B58453" s="7"/>
    </row>
    <row r="58454" ht="15.75" customHeight="1">
      <c r="A58454" s="7"/>
      <c r="B58454" s="7"/>
    </row>
    <row r="58455" ht="15.75" customHeight="1">
      <c r="A58455" s="7"/>
      <c r="B58455" s="7"/>
    </row>
    <row r="58456" ht="15.75" customHeight="1">
      <c r="A58456" s="7"/>
      <c r="B58456" s="7"/>
    </row>
    <row r="58457" ht="15.75" customHeight="1">
      <c r="A58457" s="7"/>
      <c r="B58457" s="7"/>
    </row>
    <row r="58458" ht="15.75" customHeight="1">
      <c r="A58458" s="7"/>
      <c r="B58458" s="7"/>
    </row>
    <row r="58459" ht="15.75" customHeight="1">
      <c r="A58459" s="7"/>
      <c r="B58459" s="7"/>
    </row>
    <row r="58460" ht="15.75" customHeight="1">
      <c r="A58460" s="7"/>
      <c r="B58460" s="7"/>
    </row>
    <row r="58461" ht="15.75" customHeight="1">
      <c r="A58461" s="7"/>
      <c r="B58461" s="7"/>
    </row>
    <row r="58462" ht="15.75" customHeight="1">
      <c r="A58462" s="7"/>
      <c r="B58462" s="7"/>
    </row>
    <row r="58463" ht="15.75" customHeight="1">
      <c r="A58463" s="7"/>
      <c r="B58463" s="7"/>
    </row>
    <row r="58464" ht="15.75" customHeight="1">
      <c r="A58464" s="7"/>
      <c r="B58464" s="7"/>
    </row>
    <row r="58465" ht="15.75" customHeight="1">
      <c r="A58465" s="7"/>
      <c r="B58465" s="7"/>
    </row>
    <row r="58466" ht="15.75" customHeight="1">
      <c r="A58466" s="7"/>
      <c r="B58466" s="7"/>
    </row>
    <row r="58467" ht="15.75" customHeight="1">
      <c r="A58467" s="7"/>
      <c r="B58467" s="7"/>
    </row>
    <row r="58468" ht="15.75" customHeight="1">
      <c r="A58468" s="7"/>
      <c r="B58468" s="7"/>
    </row>
    <row r="58469" ht="15.75" customHeight="1">
      <c r="A58469" s="7"/>
      <c r="B58469" s="7"/>
    </row>
    <row r="58470" ht="15.75" customHeight="1">
      <c r="A58470" s="7"/>
      <c r="B58470" s="7"/>
    </row>
    <row r="58471" ht="15.75" customHeight="1">
      <c r="A58471" s="7"/>
      <c r="B58471" s="7"/>
    </row>
    <row r="58472" ht="15.75" customHeight="1">
      <c r="A58472" s="7"/>
      <c r="B58472" s="7"/>
    </row>
    <row r="58473" ht="15.75" customHeight="1">
      <c r="A58473" s="7"/>
      <c r="B58473" s="7"/>
    </row>
    <row r="58474" ht="15.75" customHeight="1">
      <c r="A58474" s="7"/>
      <c r="B58474" s="7"/>
    </row>
    <row r="58475" ht="15.75" customHeight="1">
      <c r="A58475" s="7"/>
      <c r="B58475" s="7"/>
    </row>
    <row r="58476" ht="15.75" customHeight="1">
      <c r="A58476" s="7"/>
      <c r="B58476" s="7"/>
    </row>
    <row r="58477" ht="15.75" customHeight="1">
      <c r="A58477" s="7"/>
      <c r="B58477" s="7"/>
    </row>
    <row r="58478" ht="15.75" customHeight="1">
      <c r="A58478" s="7"/>
      <c r="B58478" s="7"/>
    </row>
    <row r="58479" ht="15.75" customHeight="1">
      <c r="A58479" s="7"/>
      <c r="B58479" s="7"/>
    </row>
    <row r="58480" ht="15.75" customHeight="1">
      <c r="A58480" s="7"/>
      <c r="B58480" s="7"/>
    </row>
    <row r="58481" ht="15.75" customHeight="1">
      <c r="A58481" s="7"/>
      <c r="B58481" s="7"/>
    </row>
    <row r="58482" ht="15.75" customHeight="1">
      <c r="A58482" s="7"/>
      <c r="B58482" s="7"/>
    </row>
    <row r="58483" ht="15.75" customHeight="1">
      <c r="A58483" s="7"/>
      <c r="B58483" s="7"/>
    </row>
    <row r="58484" ht="15.75" customHeight="1">
      <c r="A58484" s="7"/>
      <c r="B58484" s="7"/>
    </row>
    <row r="58485" ht="15.75" customHeight="1">
      <c r="A58485" s="7"/>
      <c r="B58485" s="7"/>
    </row>
    <row r="58486" ht="15.75" customHeight="1">
      <c r="A58486" s="7"/>
      <c r="B58486" s="7"/>
    </row>
    <row r="58487" ht="15.75" customHeight="1">
      <c r="A58487" s="7"/>
      <c r="B58487" s="7"/>
    </row>
    <row r="58488" ht="15.75" customHeight="1">
      <c r="A58488" s="7"/>
      <c r="B58488" s="7"/>
    </row>
    <row r="58489" ht="15.75" customHeight="1">
      <c r="A58489" s="7"/>
      <c r="B58489" s="7"/>
    </row>
    <row r="58490" ht="15.75" customHeight="1">
      <c r="A58490" s="7"/>
      <c r="B58490" s="7"/>
    </row>
    <row r="58491" ht="15.75" customHeight="1">
      <c r="A58491" s="7"/>
      <c r="B58491" s="7"/>
    </row>
    <row r="58492" ht="15.75" customHeight="1">
      <c r="A58492" s="7"/>
      <c r="B58492" s="7"/>
    </row>
    <row r="58493" ht="15.75" customHeight="1">
      <c r="A58493" s="7"/>
      <c r="B58493" s="7"/>
    </row>
    <row r="58494" ht="15.75" customHeight="1">
      <c r="A58494" s="7"/>
      <c r="B58494" s="7"/>
    </row>
    <row r="58495" ht="15.75" customHeight="1">
      <c r="A58495" s="7"/>
      <c r="B58495" s="7"/>
    </row>
    <row r="58496" ht="15.75" customHeight="1">
      <c r="A58496" s="7"/>
      <c r="B58496" s="7"/>
    </row>
    <row r="58497" ht="15.75" customHeight="1">
      <c r="A58497" s="7"/>
      <c r="B58497" s="7"/>
    </row>
    <row r="58498" ht="15.75" customHeight="1">
      <c r="A58498" s="7"/>
      <c r="B58498" s="7"/>
    </row>
    <row r="58499" ht="15.75" customHeight="1">
      <c r="A58499" s="7"/>
      <c r="B58499" s="7"/>
    </row>
    <row r="58500" ht="15.75" customHeight="1">
      <c r="A58500" s="7"/>
      <c r="B58500" s="7"/>
    </row>
    <row r="58501" ht="15.75" customHeight="1">
      <c r="A58501" s="7"/>
      <c r="B58501" s="7"/>
    </row>
    <row r="58502" ht="15.75" customHeight="1">
      <c r="A58502" s="7"/>
      <c r="B58502" s="7"/>
    </row>
    <row r="58503" ht="15.75" customHeight="1">
      <c r="A58503" s="7"/>
      <c r="B58503" s="7"/>
    </row>
    <row r="58504" ht="15.75" customHeight="1">
      <c r="A58504" s="7"/>
      <c r="B58504" s="7"/>
    </row>
    <row r="58505" ht="15.75" customHeight="1">
      <c r="A58505" s="7"/>
      <c r="B58505" s="7"/>
    </row>
    <row r="58506" ht="15.75" customHeight="1">
      <c r="A58506" s="7"/>
      <c r="B58506" s="7"/>
    </row>
    <row r="58507" ht="15.75" customHeight="1">
      <c r="A58507" s="7"/>
      <c r="B58507" s="7"/>
    </row>
    <row r="58508" ht="15.75" customHeight="1">
      <c r="A58508" s="7"/>
      <c r="B58508" s="7"/>
    </row>
    <row r="58509" ht="15.75" customHeight="1">
      <c r="A58509" s="7"/>
      <c r="B58509" s="7"/>
    </row>
    <row r="58510" ht="15.75" customHeight="1">
      <c r="A58510" s="7"/>
      <c r="B58510" s="7"/>
    </row>
    <row r="58511" ht="15.75" customHeight="1">
      <c r="A58511" s="7"/>
      <c r="B58511" s="7"/>
    </row>
    <row r="58512" ht="15.75" customHeight="1">
      <c r="A58512" s="7"/>
      <c r="B58512" s="7"/>
    </row>
    <row r="58513" ht="15.75" customHeight="1">
      <c r="A58513" s="7"/>
      <c r="B58513" s="7"/>
    </row>
    <row r="58514" ht="15.75" customHeight="1">
      <c r="A58514" s="7"/>
      <c r="B58514" s="7"/>
    </row>
    <row r="58515" ht="15.75" customHeight="1">
      <c r="A58515" s="7"/>
      <c r="B58515" s="7"/>
    </row>
    <row r="58516" ht="15.75" customHeight="1">
      <c r="A58516" s="7"/>
      <c r="B58516" s="7"/>
    </row>
    <row r="58517" ht="15.75" customHeight="1">
      <c r="A58517" s="7"/>
      <c r="B58517" s="7"/>
    </row>
    <row r="58518" ht="15.75" customHeight="1">
      <c r="A58518" s="7"/>
      <c r="B58518" s="7"/>
    </row>
    <row r="58519" ht="15.75" customHeight="1">
      <c r="A58519" s="7"/>
      <c r="B58519" s="7"/>
    </row>
    <row r="58520" ht="15.75" customHeight="1">
      <c r="A58520" s="7"/>
      <c r="B58520" s="7"/>
    </row>
    <row r="58521" ht="15.75" customHeight="1">
      <c r="A58521" s="7"/>
      <c r="B58521" s="7"/>
    </row>
    <row r="58522" ht="15.75" customHeight="1">
      <c r="A58522" s="7"/>
      <c r="B58522" s="7"/>
    </row>
    <row r="58523" ht="15.75" customHeight="1">
      <c r="A58523" s="7"/>
      <c r="B58523" s="7"/>
    </row>
    <row r="58524" ht="15.75" customHeight="1">
      <c r="A58524" s="7"/>
      <c r="B58524" s="7"/>
    </row>
    <row r="58525" ht="15.75" customHeight="1">
      <c r="A58525" s="7"/>
      <c r="B58525" s="7"/>
    </row>
    <row r="58526" ht="15.75" customHeight="1">
      <c r="A58526" s="7"/>
      <c r="B58526" s="7"/>
    </row>
    <row r="58527" ht="15.75" customHeight="1">
      <c r="A58527" s="7"/>
      <c r="B58527" s="7"/>
    </row>
    <row r="58528" ht="15.75" customHeight="1">
      <c r="A58528" s="7"/>
      <c r="B58528" s="7"/>
    </row>
    <row r="58529" ht="15.75" customHeight="1">
      <c r="A58529" s="7"/>
      <c r="B58529" s="7"/>
    </row>
    <row r="58530" ht="15.75" customHeight="1">
      <c r="A58530" s="7"/>
      <c r="B58530" s="7"/>
    </row>
    <row r="58531" ht="15.75" customHeight="1">
      <c r="A58531" s="7"/>
      <c r="B58531" s="7"/>
    </row>
    <row r="58532" ht="15.75" customHeight="1">
      <c r="A58532" s="7"/>
      <c r="B58532" s="7"/>
    </row>
    <row r="58533" ht="15.75" customHeight="1">
      <c r="A58533" s="7"/>
      <c r="B58533" s="7"/>
    </row>
    <row r="58534" ht="15.75" customHeight="1">
      <c r="A58534" s="7"/>
      <c r="B58534" s="7"/>
    </row>
    <row r="58535" ht="15.75" customHeight="1">
      <c r="A58535" s="7"/>
      <c r="B58535" s="7"/>
    </row>
    <row r="58536" ht="15.75" customHeight="1">
      <c r="A58536" s="7"/>
      <c r="B58536" s="7"/>
    </row>
    <row r="58537" ht="15.75" customHeight="1">
      <c r="A58537" s="7"/>
      <c r="B58537" s="7"/>
    </row>
    <row r="58538" ht="15.75" customHeight="1">
      <c r="A58538" s="7"/>
      <c r="B58538" s="7"/>
    </row>
    <row r="58539" ht="15.75" customHeight="1">
      <c r="A58539" s="7"/>
      <c r="B58539" s="7"/>
    </row>
    <row r="58540" ht="15.75" customHeight="1">
      <c r="A58540" s="7"/>
      <c r="B58540" s="7"/>
    </row>
    <row r="58541" ht="15.75" customHeight="1">
      <c r="A58541" s="7"/>
      <c r="B58541" s="7"/>
    </row>
    <row r="58542" ht="15.75" customHeight="1">
      <c r="A58542" s="7"/>
      <c r="B58542" s="7"/>
    </row>
    <row r="58543" ht="15.75" customHeight="1">
      <c r="A58543" s="7"/>
      <c r="B58543" s="7"/>
    </row>
    <row r="58544" ht="15.75" customHeight="1">
      <c r="A58544" s="7"/>
      <c r="B58544" s="7"/>
    </row>
    <row r="58545" ht="15.75" customHeight="1">
      <c r="A58545" s="7"/>
      <c r="B58545" s="7"/>
    </row>
    <row r="58546" ht="15.75" customHeight="1">
      <c r="A58546" s="7"/>
      <c r="B58546" s="7"/>
    </row>
    <row r="58547" ht="15.75" customHeight="1">
      <c r="A58547" s="7"/>
      <c r="B58547" s="7"/>
    </row>
    <row r="58548" ht="15.75" customHeight="1">
      <c r="A58548" s="7"/>
      <c r="B58548" s="7"/>
    </row>
    <row r="58549" ht="15.75" customHeight="1">
      <c r="A58549" s="7"/>
      <c r="B58549" s="7"/>
    </row>
    <row r="58550" ht="15.75" customHeight="1">
      <c r="A58550" s="7"/>
      <c r="B58550" s="7"/>
    </row>
    <row r="58551" ht="15.75" customHeight="1">
      <c r="A58551" s="7"/>
      <c r="B58551" s="7"/>
    </row>
    <row r="58552" ht="15.75" customHeight="1">
      <c r="A58552" s="7"/>
      <c r="B58552" s="7"/>
    </row>
    <row r="58553" ht="15.75" customHeight="1">
      <c r="A58553" s="7"/>
      <c r="B58553" s="7"/>
    </row>
    <row r="58554" ht="15.75" customHeight="1">
      <c r="A58554" s="7"/>
      <c r="B58554" s="7"/>
    </row>
    <row r="58555" ht="15.75" customHeight="1">
      <c r="A58555" s="7"/>
      <c r="B58555" s="7"/>
    </row>
    <row r="58556" ht="15.75" customHeight="1">
      <c r="A58556" s="7"/>
      <c r="B58556" s="7"/>
    </row>
    <row r="58557" ht="15.75" customHeight="1">
      <c r="A58557" s="7"/>
      <c r="B58557" s="7"/>
    </row>
    <row r="58558" ht="15.75" customHeight="1">
      <c r="A58558" s="7"/>
      <c r="B58558" s="7"/>
    </row>
    <row r="58559" ht="15.75" customHeight="1">
      <c r="A58559" s="7"/>
      <c r="B58559" s="7"/>
    </row>
    <row r="58560" ht="15.75" customHeight="1">
      <c r="A58560" s="7"/>
      <c r="B58560" s="7"/>
    </row>
    <row r="58561" ht="15.75" customHeight="1">
      <c r="A58561" s="7"/>
      <c r="B58561" s="7"/>
    </row>
    <row r="58562" ht="15.75" customHeight="1">
      <c r="A58562" s="7"/>
      <c r="B58562" s="7"/>
    </row>
    <row r="58563" ht="15.75" customHeight="1">
      <c r="A58563" s="7"/>
      <c r="B58563" s="7"/>
    </row>
    <row r="58564" ht="15.75" customHeight="1">
      <c r="A58564" s="7"/>
      <c r="B58564" s="7"/>
    </row>
    <row r="58565" ht="15.75" customHeight="1">
      <c r="A58565" s="7"/>
      <c r="B58565" s="7"/>
    </row>
    <row r="58566" ht="15.75" customHeight="1">
      <c r="A58566" s="7"/>
      <c r="B58566" s="7"/>
    </row>
    <row r="58567" ht="15.75" customHeight="1">
      <c r="A58567" s="7"/>
      <c r="B58567" s="7"/>
    </row>
    <row r="58568" ht="15.75" customHeight="1">
      <c r="A58568" s="7"/>
      <c r="B58568" s="7"/>
    </row>
    <row r="58569" ht="15.75" customHeight="1">
      <c r="A58569" s="7"/>
      <c r="B58569" s="7"/>
    </row>
    <row r="58570" ht="15.75" customHeight="1">
      <c r="A58570" s="7"/>
      <c r="B58570" s="7"/>
    </row>
    <row r="58571" ht="15.75" customHeight="1">
      <c r="A58571" s="7"/>
      <c r="B58571" s="7"/>
    </row>
    <row r="58572" ht="15.75" customHeight="1">
      <c r="A58572" s="7"/>
      <c r="B58572" s="7"/>
    </row>
    <row r="58573" ht="15.75" customHeight="1">
      <c r="A58573" s="7"/>
      <c r="B58573" s="7"/>
    </row>
    <row r="58574" ht="15.75" customHeight="1">
      <c r="A58574" s="7"/>
      <c r="B58574" s="7"/>
    </row>
    <row r="58575" ht="15.75" customHeight="1">
      <c r="A58575" s="7"/>
      <c r="B58575" s="7"/>
    </row>
    <row r="58576" ht="15.75" customHeight="1">
      <c r="A58576" s="7"/>
      <c r="B58576" s="7"/>
    </row>
    <row r="58577" ht="15.75" customHeight="1">
      <c r="A58577" s="7"/>
      <c r="B58577" s="7"/>
    </row>
    <row r="58578" ht="15.75" customHeight="1">
      <c r="A58578" s="7"/>
      <c r="B58578" s="7"/>
    </row>
    <row r="58579" ht="15.75" customHeight="1">
      <c r="A58579" s="7"/>
      <c r="B58579" s="7"/>
    </row>
    <row r="58580" ht="15.75" customHeight="1">
      <c r="A58580" s="7"/>
      <c r="B58580" s="7"/>
    </row>
    <row r="58581" ht="15.75" customHeight="1">
      <c r="A58581" s="7"/>
      <c r="B58581" s="7"/>
    </row>
    <row r="58582" ht="15.75" customHeight="1">
      <c r="A58582" s="7"/>
      <c r="B58582" s="7"/>
    </row>
    <row r="58583" ht="15.75" customHeight="1">
      <c r="A58583" s="7"/>
      <c r="B58583" s="7"/>
    </row>
    <row r="58584" ht="15.75" customHeight="1">
      <c r="A58584" s="7"/>
      <c r="B58584" s="7"/>
    </row>
    <row r="58585" ht="15.75" customHeight="1">
      <c r="A58585" s="7"/>
      <c r="B58585" s="7"/>
    </row>
    <row r="58586" ht="15.75" customHeight="1">
      <c r="A58586" s="7"/>
      <c r="B58586" s="7"/>
    </row>
    <row r="58587" ht="15.75" customHeight="1">
      <c r="A58587" s="7"/>
      <c r="B58587" s="7"/>
    </row>
    <row r="58588" ht="15.75" customHeight="1">
      <c r="A58588" s="7"/>
      <c r="B58588" s="7"/>
    </row>
    <row r="58589" ht="15.75" customHeight="1">
      <c r="A58589" s="7"/>
      <c r="B58589" s="7"/>
    </row>
    <row r="58590" ht="15.75" customHeight="1">
      <c r="A58590" s="7"/>
      <c r="B58590" s="7"/>
    </row>
    <row r="58591" ht="15.75" customHeight="1">
      <c r="A58591" s="7"/>
      <c r="B58591" s="7"/>
    </row>
    <row r="58592" ht="15.75" customHeight="1">
      <c r="A58592" s="7"/>
      <c r="B58592" s="7"/>
    </row>
    <row r="58593" ht="15.75" customHeight="1">
      <c r="A58593" s="7"/>
      <c r="B58593" s="7"/>
    </row>
    <row r="58594" ht="15.75" customHeight="1">
      <c r="A58594" s="7"/>
      <c r="B58594" s="7"/>
    </row>
    <row r="58595" ht="15.75" customHeight="1">
      <c r="A58595" s="7"/>
      <c r="B58595" s="7"/>
    </row>
    <row r="58596" ht="15.75" customHeight="1">
      <c r="A58596" s="7"/>
      <c r="B58596" s="7"/>
    </row>
    <row r="58597" ht="15.75" customHeight="1">
      <c r="A58597" s="7"/>
      <c r="B58597" s="7"/>
    </row>
    <row r="58598" ht="15.75" customHeight="1">
      <c r="A58598" s="7"/>
      <c r="B58598" s="7"/>
    </row>
    <row r="58599" ht="15.75" customHeight="1">
      <c r="A58599" s="7"/>
      <c r="B58599" s="7"/>
    </row>
    <row r="58600" ht="15.75" customHeight="1">
      <c r="A58600" s="7"/>
      <c r="B58600" s="7"/>
    </row>
    <row r="58601" ht="15.75" customHeight="1">
      <c r="A58601" s="7"/>
      <c r="B58601" s="7"/>
    </row>
    <row r="58602" ht="15.75" customHeight="1">
      <c r="A58602" s="7"/>
      <c r="B58602" s="7"/>
    </row>
    <row r="58603" ht="15.75" customHeight="1">
      <c r="A58603" s="7"/>
      <c r="B58603" s="7"/>
    </row>
    <row r="58604" ht="15.75" customHeight="1">
      <c r="A58604" s="7"/>
      <c r="B58604" s="7"/>
    </row>
    <row r="58605" ht="15.75" customHeight="1">
      <c r="A58605" s="7"/>
      <c r="B58605" s="7"/>
    </row>
    <row r="58606" ht="15.75" customHeight="1">
      <c r="A58606" s="7"/>
      <c r="B58606" s="7"/>
    </row>
    <row r="58607" ht="15.75" customHeight="1">
      <c r="A58607" s="7"/>
      <c r="B58607" s="7"/>
    </row>
    <row r="58608" ht="15.75" customHeight="1">
      <c r="A58608" s="7"/>
      <c r="B58608" s="7"/>
    </row>
    <row r="58609" ht="15.75" customHeight="1">
      <c r="A58609" s="7"/>
      <c r="B58609" s="7"/>
    </row>
    <row r="58610" ht="15.75" customHeight="1">
      <c r="A58610" s="7"/>
      <c r="B58610" s="7"/>
    </row>
    <row r="58611" ht="15.75" customHeight="1">
      <c r="A58611" s="7"/>
      <c r="B58611" s="7"/>
    </row>
    <row r="58612" ht="15.75" customHeight="1">
      <c r="A58612" s="7"/>
      <c r="B58612" s="7"/>
    </row>
    <row r="58613" ht="15.75" customHeight="1">
      <c r="A58613" s="7"/>
      <c r="B58613" s="7"/>
    </row>
    <row r="58614" ht="15.75" customHeight="1">
      <c r="A58614" s="7"/>
      <c r="B58614" s="7"/>
    </row>
    <row r="58615" ht="15.75" customHeight="1">
      <c r="A58615" s="7"/>
      <c r="B58615" s="7"/>
    </row>
    <row r="58616" ht="15.75" customHeight="1">
      <c r="A58616" s="7"/>
      <c r="B58616" s="7"/>
    </row>
    <row r="58617" ht="15.75" customHeight="1">
      <c r="A58617" s="7"/>
      <c r="B58617" s="7"/>
    </row>
    <row r="58618" ht="15.75" customHeight="1">
      <c r="A58618" s="7"/>
      <c r="B58618" s="7"/>
    </row>
    <row r="58619" ht="15.75" customHeight="1">
      <c r="A58619" s="7"/>
      <c r="B58619" s="7"/>
    </row>
    <row r="58620" ht="15.75" customHeight="1">
      <c r="A58620" s="7"/>
      <c r="B58620" s="7"/>
    </row>
    <row r="58621" ht="15.75" customHeight="1">
      <c r="A58621" s="7"/>
      <c r="B58621" s="7"/>
    </row>
    <row r="58622" ht="15.75" customHeight="1">
      <c r="A58622" s="7"/>
      <c r="B58622" s="7"/>
    </row>
    <row r="58623" ht="15.75" customHeight="1">
      <c r="A58623" s="7"/>
      <c r="B58623" s="7"/>
    </row>
    <row r="58624" ht="15.75" customHeight="1">
      <c r="A58624" s="7"/>
      <c r="B58624" s="7"/>
    </row>
    <row r="58625" ht="15.75" customHeight="1">
      <c r="A58625" s="7"/>
      <c r="B58625" s="7"/>
    </row>
    <row r="58626" ht="15.75" customHeight="1">
      <c r="A58626" s="7"/>
      <c r="B58626" s="7"/>
    </row>
    <row r="58627" ht="15.75" customHeight="1">
      <c r="A58627" s="7"/>
      <c r="B58627" s="7"/>
    </row>
    <row r="58628" ht="15.75" customHeight="1">
      <c r="A58628" s="7"/>
      <c r="B58628" s="7"/>
    </row>
    <row r="58629" ht="15.75" customHeight="1">
      <c r="A58629" s="7"/>
      <c r="B58629" s="7"/>
    </row>
    <row r="58630" ht="15.75" customHeight="1">
      <c r="A58630" s="7"/>
      <c r="B58630" s="7"/>
    </row>
    <row r="58631" ht="15.75" customHeight="1">
      <c r="A58631" s="7"/>
      <c r="B58631" s="7"/>
    </row>
    <row r="58632" ht="15.75" customHeight="1">
      <c r="A58632" s="7"/>
      <c r="B58632" s="7"/>
    </row>
    <row r="58633" ht="15.75" customHeight="1">
      <c r="A58633" s="7"/>
      <c r="B58633" s="7"/>
    </row>
    <row r="58634" ht="15.75" customHeight="1">
      <c r="A58634" s="7"/>
      <c r="B58634" s="7"/>
    </row>
    <row r="58635" ht="15.75" customHeight="1">
      <c r="A58635" s="7"/>
      <c r="B58635" s="7"/>
    </row>
    <row r="58636" ht="15.75" customHeight="1">
      <c r="A58636" s="7"/>
      <c r="B58636" s="7"/>
    </row>
    <row r="58637" ht="15.75" customHeight="1">
      <c r="A58637" s="7"/>
      <c r="B58637" s="7"/>
    </row>
    <row r="58638" ht="15.75" customHeight="1">
      <c r="A58638" s="7"/>
      <c r="B58638" s="7"/>
    </row>
    <row r="58639" ht="15.75" customHeight="1">
      <c r="A58639" s="7"/>
      <c r="B58639" s="7"/>
    </row>
    <row r="58640" ht="15.75" customHeight="1">
      <c r="A58640" s="7"/>
      <c r="B58640" s="7"/>
    </row>
    <row r="58641" ht="15.75" customHeight="1">
      <c r="A58641" s="7"/>
      <c r="B58641" s="7"/>
    </row>
    <row r="58642" ht="15.75" customHeight="1">
      <c r="A58642" s="7"/>
      <c r="B58642" s="7"/>
    </row>
    <row r="58643" ht="15.75" customHeight="1">
      <c r="A58643" s="7"/>
      <c r="B58643" s="7"/>
    </row>
    <row r="58644" ht="15.75" customHeight="1">
      <c r="A58644" s="7"/>
      <c r="B58644" s="7"/>
    </row>
    <row r="58645" ht="15.75" customHeight="1">
      <c r="A58645" s="7"/>
      <c r="B58645" s="7"/>
    </row>
    <row r="58646" ht="15.75" customHeight="1">
      <c r="A58646" s="7"/>
      <c r="B58646" s="7"/>
    </row>
    <row r="58647" ht="15.75" customHeight="1">
      <c r="A58647" s="7"/>
      <c r="B58647" s="7"/>
    </row>
    <row r="58648" ht="15.75" customHeight="1">
      <c r="A58648" s="7"/>
      <c r="B58648" s="7"/>
    </row>
    <row r="58649" ht="15.75" customHeight="1">
      <c r="A58649" s="7"/>
      <c r="B58649" s="7"/>
    </row>
    <row r="58650" ht="15.75" customHeight="1">
      <c r="A58650" s="7"/>
      <c r="B58650" s="7"/>
    </row>
    <row r="58651" ht="15.75" customHeight="1">
      <c r="A58651" s="7"/>
      <c r="B58651" s="7"/>
    </row>
    <row r="58652" ht="15.75" customHeight="1">
      <c r="A58652" s="7"/>
      <c r="B58652" s="7"/>
    </row>
    <row r="58653" ht="15.75" customHeight="1">
      <c r="A58653" s="7"/>
      <c r="B58653" s="7"/>
    </row>
    <row r="58654" ht="15.75" customHeight="1">
      <c r="A58654" s="7"/>
      <c r="B58654" s="7"/>
    </row>
    <row r="58655" ht="15.75" customHeight="1">
      <c r="A58655" s="7"/>
      <c r="B58655" s="7"/>
    </row>
    <row r="58656" ht="15.75" customHeight="1">
      <c r="A58656" s="7"/>
      <c r="B58656" s="7"/>
    </row>
    <row r="58657" ht="15.75" customHeight="1">
      <c r="A58657" s="7"/>
      <c r="B58657" s="7"/>
    </row>
    <row r="58658" ht="15.75" customHeight="1">
      <c r="A58658" s="7"/>
      <c r="B58658" s="7"/>
    </row>
    <row r="58659" ht="15.75" customHeight="1">
      <c r="A58659" s="7"/>
      <c r="B58659" s="7"/>
    </row>
    <row r="58660" ht="15.75" customHeight="1">
      <c r="A58660" s="7"/>
      <c r="B58660" s="7"/>
    </row>
    <row r="58661" ht="15.75" customHeight="1">
      <c r="A58661" s="7"/>
      <c r="B58661" s="7"/>
    </row>
    <row r="58662" ht="15.75" customHeight="1">
      <c r="A58662" s="7"/>
      <c r="B58662" s="7"/>
    </row>
    <row r="58663" ht="15.75" customHeight="1">
      <c r="A58663" s="7"/>
      <c r="B58663" s="7"/>
    </row>
    <row r="58664" ht="15.75" customHeight="1">
      <c r="A58664" s="7"/>
      <c r="B58664" s="7"/>
    </row>
    <row r="58665" ht="15.75" customHeight="1">
      <c r="A58665" s="7"/>
      <c r="B58665" s="7"/>
    </row>
    <row r="58666" ht="15.75" customHeight="1">
      <c r="A58666" s="7"/>
      <c r="B58666" s="7"/>
    </row>
    <row r="58667" ht="15.75" customHeight="1">
      <c r="A58667" s="7"/>
      <c r="B58667" s="7"/>
    </row>
    <row r="58668" ht="15.75" customHeight="1">
      <c r="A58668" s="7"/>
      <c r="B58668" s="7"/>
    </row>
    <row r="58669" ht="15.75" customHeight="1">
      <c r="A58669" s="7"/>
      <c r="B58669" s="7"/>
    </row>
    <row r="58670" ht="15.75" customHeight="1">
      <c r="A58670" s="7"/>
      <c r="B58670" s="7"/>
    </row>
    <row r="58671" ht="15.75" customHeight="1">
      <c r="A58671" s="7"/>
      <c r="B58671" s="7"/>
    </row>
    <row r="58672" ht="15.75" customHeight="1">
      <c r="A58672" s="7"/>
      <c r="B58672" s="7"/>
    </row>
    <row r="58673" ht="15.75" customHeight="1">
      <c r="A58673" s="7"/>
      <c r="B58673" s="7"/>
    </row>
    <row r="58674" ht="15.75" customHeight="1">
      <c r="A58674" s="7"/>
      <c r="B58674" s="7"/>
    </row>
    <row r="58675" ht="15.75" customHeight="1">
      <c r="A58675" s="7"/>
      <c r="B58675" s="7"/>
    </row>
    <row r="58676" ht="15.75" customHeight="1">
      <c r="A58676" s="7"/>
      <c r="B58676" s="7"/>
    </row>
    <row r="58677" ht="15.75" customHeight="1">
      <c r="A58677" s="7"/>
      <c r="B58677" s="7"/>
    </row>
    <row r="58678" ht="15.75" customHeight="1">
      <c r="A58678" s="7"/>
      <c r="B58678" s="7"/>
    </row>
    <row r="58679" ht="15.75" customHeight="1">
      <c r="A58679" s="7"/>
      <c r="B58679" s="7"/>
    </row>
    <row r="58680" ht="15.75" customHeight="1">
      <c r="A58680" s="7"/>
      <c r="B58680" s="7"/>
    </row>
    <row r="58681" ht="15.75" customHeight="1">
      <c r="A58681" s="7"/>
      <c r="B58681" s="7"/>
    </row>
    <row r="58682" ht="15.75" customHeight="1">
      <c r="A58682" s="7"/>
      <c r="B58682" s="7"/>
    </row>
    <row r="58683" ht="15.75" customHeight="1">
      <c r="A58683" s="7"/>
      <c r="B58683" s="7"/>
    </row>
    <row r="58684" ht="15.75" customHeight="1">
      <c r="A58684" s="7"/>
      <c r="B58684" s="7"/>
    </row>
    <row r="58685" ht="15.75" customHeight="1">
      <c r="A58685" s="7"/>
      <c r="B58685" s="7"/>
    </row>
    <row r="58686" ht="15.75" customHeight="1">
      <c r="A58686" s="7"/>
      <c r="B58686" s="7"/>
    </row>
    <row r="58687" ht="15.75" customHeight="1">
      <c r="A58687" s="7"/>
      <c r="B58687" s="7"/>
    </row>
    <row r="58688" ht="15.75" customHeight="1">
      <c r="A58688" s="7"/>
      <c r="B58688" s="7"/>
    </row>
    <row r="58689" ht="15.75" customHeight="1">
      <c r="A58689" s="7"/>
      <c r="B58689" s="7"/>
    </row>
    <row r="58690" ht="15.75" customHeight="1">
      <c r="A58690" s="7"/>
      <c r="B58690" s="7"/>
    </row>
    <row r="58691" ht="15.75" customHeight="1">
      <c r="A58691" s="7"/>
      <c r="B58691" s="7"/>
    </row>
    <row r="58692" ht="15.75" customHeight="1">
      <c r="A58692" s="7"/>
      <c r="B58692" s="7"/>
    </row>
    <row r="58693" ht="15.75" customHeight="1">
      <c r="A58693" s="7"/>
      <c r="B58693" s="7"/>
    </row>
    <row r="58694" ht="15.75" customHeight="1">
      <c r="A58694" s="7"/>
      <c r="B58694" s="7"/>
    </row>
    <row r="58695" ht="15.75" customHeight="1">
      <c r="A58695" s="7"/>
      <c r="B58695" s="7"/>
    </row>
    <row r="58696" ht="15.75" customHeight="1">
      <c r="A58696" s="7"/>
      <c r="B58696" s="7"/>
    </row>
    <row r="58697" ht="15.75" customHeight="1">
      <c r="A58697" s="7"/>
      <c r="B58697" s="7"/>
    </row>
    <row r="58698" ht="15.75" customHeight="1">
      <c r="A58698" s="7"/>
      <c r="B58698" s="7"/>
    </row>
    <row r="58699" ht="15.75" customHeight="1">
      <c r="A58699" s="7"/>
      <c r="B58699" s="7"/>
    </row>
    <row r="58700" ht="15.75" customHeight="1">
      <c r="A58700" s="7"/>
      <c r="B58700" s="7"/>
    </row>
    <row r="58701" ht="15.75" customHeight="1">
      <c r="A58701" s="7"/>
      <c r="B58701" s="7"/>
    </row>
    <row r="58702" ht="15.75" customHeight="1">
      <c r="A58702" s="7"/>
      <c r="B58702" s="7"/>
    </row>
    <row r="58703" ht="15.75" customHeight="1">
      <c r="A58703" s="7"/>
      <c r="B58703" s="7"/>
    </row>
    <row r="58704" ht="15.75" customHeight="1">
      <c r="A58704" s="7"/>
      <c r="B58704" s="7"/>
    </row>
    <row r="58705" ht="15.75" customHeight="1">
      <c r="A58705" s="7"/>
      <c r="B58705" s="7"/>
    </row>
    <row r="58706" ht="15.75" customHeight="1">
      <c r="A58706" s="7"/>
      <c r="B58706" s="7"/>
    </row>
    <row r="58707" ht="15.75" customHeight="1">
      <c r="A58707" s="7"/>
      <c r="B58707" s="7"/>
    </row>
    <row r="58708" ht="15.75" customHeight="1">
      <c r="A58708" s="7"/>
      <c r="B58708" s="7"/>
    </row>
    <row r="58709" ht="15.75" customHeight="1">
      <c r="A58709" s="7"/>
      <c r="B58709" s="7"/>
    </row>
    <row r="58710" ht="15.75" customHeight="1">
      <c r="A58710" s="7"/>
      <c r="B58710" s="7"/>
    </row>
    <row r="58711" ht="15.75" customHeight="1">
      <c r="A58711" s="7"/>
      <c r="B58711" s="7"/>
    </row>
    <row r="58712" ht="15.75" customHeight="1">
      <c r="A58712" s="7"/>
      <c r="B58712" s="7"/>
    </row>
    <row r="58713" ht="15.75" customHeight="1">
      <c r="A58713" s="7"/>
      <c r="B58713" s="7"/>
    </row>
    <row r="58714" ht="15.75" customHeight="1">
      <c r="A58714" s="7"/>
      <c r="B58714" s="7"/>
    </row>
    <row r="58715" ht="15.75" customHeight="1">
      <c r="A58715" s="7"/>
      <c r="B58715" s="7"/>
    </row>
    <row r="58716" ht="15.75" customHeight="1">
      <c r="A58716" s="7"/>
      <c r="B58716" s="7"/>
    </row>
    <row r="58717" ht="15.75" customHeight="1">
      <c r="A58717" s="7"/>
      <c r="B58717" s="7"/>
    </row>
    <row r="58718" ht="15.75" customHeight="1">
      <c r="A58718" s="7"/>
      <c r="B58718" s="7"/>
    </row>
    <row r="58719" ht="15.75" customHeight="1">
      <c r="A58719" s="7"/>
      <c r="B58719" s="7"/>
    </row>
    <row r="58720" ht="15.75" customHeight="1">
      <c r="A58720" s="7"/>
      <c r="B58720" s="7"/>
    </row>
    <row r="58721" ht="15.75" customHeight="1">
      <c r="A58721" s="7"/>
      <c r="B58721" s="7"/>
    </row>
    <row r="58722" ht="15.75" customHeight="1">
      <c r="A58722" s="7"/>
      <c r="B58722" s="7"/>
    </row>
    <row r="58723" ht="15.75" customHeight="1">
      <c r="A58723" s="7"/>
      <c r="B58723" s="7"/>
    </row>
    <row r="58724" ht="15.75" customHeight="1">
      <c r="A58724" s="7"/>
      <c r="B58724" s="7"/>
    </row>
    <row r="58725" ht="15.75" customHeight="1">
      <c r="A58725" s="7"/>
      <c r="B58725" s="7"/>
    </row>
    <row r="58726" ht="15.75" customHeight="1">
      <c r="A58726" s="7"/>
      <c r="B58726" s="7"/>
    </row>
    <row r="58727" ht="15.75" customHeight="1">
      <c r="A58727" s="7"/>
      <c r="B58727" s="7"/>
    </row>
    <row r="58728" ht="15.75" customHeight="1">
      <c r="A58728" s="7"/>
      <c r="B58728" s="7"/>
    </row>
    <row r="58729" ht="15.75" customHeight="1">
      <c r="A58729" s="7"/>
      <c r="B58729" s="7"/>
    </row>
    <row r="58730" ht="15.75" customHeight="1">
      <c r="A58730" s="7"/>
      <c r="B58730" s="7"/>
    </row>
    <row r="58731" ht="15.75" customHeight="1">
      <c r="A58731" s="7"/>
      <c r="B58731" s="7"/>
    </row>
    <row r="58732" ht="15.75" customHeight="1">
      <c r="A58732" s="7"/>
      <c r="B58732" s="7"/>
    </row>
    <row r="58733" ht="15.75" customHeight="1">
      <c r="A58733" s="7"/>
      <c r="B58733" s="7"/>
    </row>
    <row r="58734" ht="15.75" customHeight="1">
      <c r="A58734" s="7"/>
      <c r="B58734" s="7"/>
    </row>
    <row r="58735" ht="15.75" customHeight="1">
      <c r="A58735" s="7"/>
      <c r="B58735" s="7"/>
    </row>
    <row r="58736" ht="15.75" customHeight="1">
      <c r="A58736" s="7"/>
      <c r="B58736" s="7"/>
    </row>
    <row r="58737" ht="15.75" customHeight="1">
      <c r="A58737" s="7"/>
      <c r="B58737" s="7"/>
    </row>
    <row r="58738" ht="15.75" customHeight="1">
      <c r="A58738" s="7"/>
      <c r="B58738" s="7"/>
    </row>
    <row r="58739" ht="15.75" customHeight="1">
      <c r="A58739" s="7"/>
      <c r="B58739" s="7"/>
    </row>
    <row r="58740" ht="15.75" customHeight="1">
      <c r="A58740" s="7"/>
      <c r="B58740" s="7"/>
    </row>
    <row r="58741" ht="15.75" customHeight="1">
      <c r="A58741" s="7"/>
      <c r="B58741" s="7"/>
    </row>
    <row r="58742" ht="15.75" customHeight="1">
      <c r="A58742" s="7"/>
      <c r="B58742" s="7"/>
    </row>
    <row r="58743" ht="15.75" customHeight="1">
      <c r="A58743" s="7"/>
      <c r="B58743" s="7"/>
    </row>
    <row r="58744" ht="15.75" customHeight="1">
      <c r="A58744" s="7"/>
      <c r="B58744" s="7"/>
    </row>
    <row r="58745" ht="15.75" customHeight="1">
      <c r="A58745" s="7"/>
      <c r="B58745" s="7"/>
    </row>
    <row r="58746" ht="15.75" customHeight="1">
      <c r="A58746" s="7"/>
      <c r="B58746" s="7"/>
    </row>
    <row r="58747" ht="15.75" customHeight="1">
      <c r="A58747" s="7"/>
      <c r="B58747" s="7"/>
    </row>
    <row r="58748" ht="15.75" customHeight="1">
      <c r="A58748" s="7"/>
      <c r="B58748" s="7"/>
    </row>
    <row r="58749" ht="15.75" customHeight="1">
      <c r="A58749" s="7"/>
      <c r="B58749" s="7"/>
    </row>
    <row r="58750" ht="15.75" customHeight="1">
      <c r="A58750" s="7"/>
      <c r="B58750" s="7"/>
    </row>
    <row r="58751" ht="15.75" customHeight="1">
      <c r="A58751" s="7"/>
      <c r="B58751" s="7"/>
    </row>
    <row r="58752" ht="15.75" customHeight="1">
      <c r="A58752" s="7"/>
      <c r="B58752" s="7"/>
    </row>
    <row r="58753" ht="15.75" customHeight="1">
      <c r="A58753" s="7"/>
      <c r="B58753" s="7"/>
    </row>
    <row r="58754" ht="15.75" customHeight="1">
      <c r="A58754" s="7"/>
      <c r="B58754" s="7"/>
    </row>
    <row r="58755" ht="15.75" customHeight="1">
      <c r="A58755" s="7"/>
      <c r="B58755" s="7"/>
    </row>
    <row r="58756" ht="15.75" customHeight="1">
      <c r="A58756" s="7"/>
      <c r="B58756" s="7"/>
    </row>
    <row r="58757" ht="15.75" customHeight="1">
      <c r="A58757" s="7"/>
      <c r="B58757" s="7"/>
    </row>
    <row r="58758" ht="15.75" customHeight="1">
      <c r="A58758" s="7"/>
      <c r="B58758" s="7"/>
    </row>
    <row r="58759" ht="15.75" customHeight="1">
      <c r="A58759" s="7"/>
      <c r="B58759" s="7"/>
    </row>
    <row r="58760" ht="15.75" customHeight="1">
      <c r="A58760" s="7"/>
      <c r="B58760" s="7"/>
    </row>
    <row r="58761" ht="15.75" customHeight="1">
      <c r="A58761" s="7"/>
      <c r="B58761" s="7"/>
    </row>
    <row r="58762" ht="15.75" customHeight="1">
      <c r="A58762" s="7"/>
      <c r="B58762" s="7"/>
    </row>
    <row r="58763" ht="15.75" customHeight="1">
      <c r="A58763" s="7"/>
      <c r="B58763" s="7"/>
    </row>
    <row r="58764" ht="15.75" customHeight="1">
      <c r="A58764" s="7"/>
      <c r="B58764" s="7"/>
    </row>
    <row r="58765" ht="15.75" customHeight="1">
      <c r="A58765" s="7"/>
      <c r="B58765" s="7"/>
    </row>
    <row r="58766" ht="15.75" customHeight="1">
      <c r="A58766" s="7"/>
      <c r="B58766" s="7"/>
    </row>
    <row r="58767" ht="15.75" customHeight="1">
      <c r="A58767" s="7"/>
      <c r="B58767" s="7"/>
    </row>
    <row r="58768" ht="15.75" customHeight="1">
      <c r="A58768" s="7"/>
      <c r="B58768" s="7"/>
    </row>
    <row r="58769" ht="15.75" customHeight="1">
      <c r="A58769" s="7"/>
      <c r="B58769" s="7"/>
    </row>
    <row r="58770" ht="15.75" customHeight="1">
      <c r="A58770" s="7"/>
      <c r="B58770" s="7"/>
    </row>
    <row r="58771" ht="15.75" customHeight="1">
      <c r="A58771" s="7"/>
      <c r="B58771" s="7"/>
    </row>
    <row r="58772" ht="15.75" customHeight="1">
      <c r="A58772" s="7"/>
      <c r="B58772" s="7"/>
    </row>
    <row r="58773" ht="15.75" customHeight="1">
      <c r="A58773" s="7"/>
      <c r="B58773" s="7"/>
    </row>
    <row r="58774" ht="15.75" customHeight="1">
      <c r="A58774" s="7"/>
      <c r="B58774" s="7"/>
    </row>
    <row r="58775" ht="15.75" customHeight="1">
      <c r="A58775" s="7"/>
      <c r="B58775" s="7"/>
    </row>
    <row r="58776" ht="15.75" customHeight="1">
      <c r="A58776" s="7"/>
      <c r="B58776" s="7"/>
    </row>
    <row r="58777" ht="15.75" customHeight="1">
      <c r="A58777" s="7"/>
      <c r="B58777" s="7"/>
    </row>
    <row r="58778" ht="15.75" customHeight="1">
      <c r="A58778" s="7"/>
      <c r="B58778" s="7"/>
    </row>
    <row r="58779" ht="15.75" customHeight="1">
      <c r="A58779" s="7"/>
      <c r="B58779" s="7"/>
    </row>
    <row r="58780" ht="15.75" customHeight="1">
      <c r="A58780" s="7"/>
      <c r="B58780" s="7"/>
    </row>
    <row r="58781" ht="15.75" customHeight="1">
      <c r="A58781" s="7"/>
      <c r="B58781" s="7"/>
    </row>
    <row r="58782" ht="15.75" customHeight="1">
      <c r="A58782" s="7"/>
      <c r="B58782" s="7"/>
    </row>
    <row r="58783" ht="15.75" customHeight="1">
      <c r="A58783" s="7"/>
      <c r="B58783" s="7"/>
    </row>
    <row r="58784" ht="15.75" customHeight="1">
      <c r="A58784" s="7"/>
      <c r="B58784" s="7"/>
    </row>
    <row r="58785" ht="15.75" customHeight="1">
      <c r="A58785" s="7"/>
      <c r="B58785" s="7"/>
    </row>
    <row r="58786" ht="15.75" customHeight="1">
      <c r="A58786" s="7"/>
      <c r="B58786" s="7"/>
    </row>
    <row r="58787" ht="15.75" customHeight="1">
      <c r="A58787" s="7"/>
      <c r="B58787" s="7"/>
    </row>
    <row r="58788" ht="15.75" customHeight="1">
      <c r="A58788" s="7"/>
      <c r="B58788" s="7"/>
    </row>
    <row r="58789" ht="15.75" customHeight="1">
      <c r="A58789" s="7"/>
      <c r="B58789" s="7"/>
    </row>
    <row r="58790" ht="15.75" customHeight="1">
      <c r="A58790" s="7"/>
      <c r="B58790" s="7"/>
    </row>
    <row r="58791" ht="15.75" customHeight="1">
      <c r="A58791" s="7"/>
      <c r="B58791" s="7"/>
    </row>
    <row r="58792" ht="15.75" customHeight="1">
      <c r="A58792" s="7"/>
      <c r="B58792" s="7"/>
    </row>
    <row r="58793" ht="15.75" customHeight="1">
      <c r="A58793" s="7"/>
      <c r="B58793" s="7"/>
    </row>
    <row r="58794" ht="15.75" customHeight="1">
      <c r="A58794" s="7"/>
      <c r="B58794" s="7"/>
    </row>
    <row r="58795" ht="15.75" customHeight="1">
      <c r="A58795" s="7"/>
      <c r="B58795" s="7"/>
    </row>
    <row r="58796" ht="15.75" customHeight="1">
      <c r="A58796" s="7"/>
      <c r="B58796" s="7"/>
    </row>
    <row r="58797" ht="15.75" customHeight="1">
      <c r="A58797" s="7"/>
      <c r="B58797" s="7"/>
    </row>
    <row r="58798" ht="15.75" customHeight="1">
      <c r="A58798" s="7"/>
      <c r="B58798" s="7"/>
    </row>
    <row r="58799" ht="15.75" customHeight="1">
      <c r="A58799" s="7"/>
      <c r="B58799" s="7"/>
    </row>
    <row r="58800" ht="15.75" customHeight="1">
      <c r="A58800" s="7"/>
      <c r="B58800" s="7"/>
    </row>
    <row r="58801" ht="15.75" customHeight="1">
      <c r="A58801" s="7"/>
      <c r="B58801" s="7"/>
    </row>
    <row r="58802" ht="15.75" customHeight="1">
      <c r="A58802" s="7"/>
      <c r="B58802" s="7"/>
    </row>
    <row r="58803" ht="15.75" customHeight="1">
      <c r="A58803" s="7"/>
      <c r="B58803" s="7"/>
    </row>
    <row r="58804" ht="15.75" customHeight="1">
      <c r="A58804" s="7"/>
      <c r="B58804" s="7"/>
    </row>
    <row r="58805" ht="15.75" customHeight="1">
      <c r="A58805" s="7"/>
      <c r="B58805" s="7"/>
    </row>
    <row r="58806" ht="15.75" customHeight="1">
      <c r="A58806" s="7"/>
      <c r="B58806" s="7"/>
    </row>
    <row r="58807" ht="15.75" customHeight="1">
      <c r="A58807" s="7"/>
      <c r="B58807" s="7"/>
    </row>
    <row r="58808" ht="15.75" customHeight="1">
      <c r="A58808" s="7"/>
      <c r="B58808" s="7"/>
    </row>
    <row r="58809" ht="15.75" customHeight="1">
      <c r="A58809" s="7"/>
      <c r="B58809" s="7"/>
    </row>
    <row r="58810" ht="15.75" customHeight="1">
      <c r="A58810" s="7"/>
      <c r="B58810" s="7"/>
    </row>
    <row r="58811" ht="15.75" customHeight="1">
      <c r="A58811" s="7"/>
      <c r="B58811" s="7"/>
    </row>
    <row r="58812" ht="15.75" customHeight="1">
      <c r="A58812" s="7"/>
      <c r="B58812" s="7"/>
    </row>
    <row r="58813" ht="15.75" customHeight="1">
      <c r="A58813" s="7"/>
      <c r="B58813" s="7"/>
    </row>
    <row r="58814" ht="15.75" customHeight="1">
      <c r="A58814" s="7"/>
      <c r="B58814" s="7"/>
    </row>
    <row r="58815" ht="15.75" customHeight="1">
      <c r="A58815" s="7"/>
      <c r="B58815" s="7"/>
    </row>
    <row r="58816" ht="15.75" customHeight="1">
      <c r="A58816" s="7"/>
      <c r="B58816" s="7"/>
    </row>
    <row r="58817" ht="15.75" customHeight="1">
      <c r="A58817" s="7"/>
      <c r="B58817" s="7"/>
    </row>
    <row r="58818" ht="15.75" customHeight="1">
      <c r="A58818" s="7"/>
      <c r="B58818" s="7"/>
    </row>
    <row r="58819" ht="15.75" customHeight="1">
      <c r="A58819" s="7"/>
      <c r="B58819" s="7"/>
    </row>
    <row r="58820" ht="15.75" customHeight="1">
      <c r="A58820" s="7"/>
      <c r="B58820" s="7"/>
    </row>
    <row r="58821" ht="15.75" customHeight="1">
      <c r="A58821" s="7"/>
      <c r="B58821" s="7"/>
    </row>
    <row r="58822" ht="15.75" customHeight="1">
      <c r="A58822" s="7"/>
      <c r="B58822" s="7"/>
    </row>
    <row r="58823" ht="15.75" customHeight="1">
      <c r="A58823" s="7"/>
      <c r="B58823" s="7"/>
    </row>
    <row r="58824" ht="15.75" customHeight="1">
      <c r="A58824" s="7"/>
      <c r="B58824" s="7"/>
    </row>
    <row r="58825" ht="15.75" customHeight="1">
      <c r="A58825" s="7"/>
      <c r="B58825" s="7"/>
    </row>
    <row r="58826" ht="15.75" customHeight="1">
      <c r="A58826" s="7"/>
      <c r="B58826" s="7"/>
    </row>
    <row r="58827" ht="15.75" customHeight="1">
      <c r="A58827" s="7"/>
      <c r="B58827" s="7"/>
    </row>
    <row r="58828" ht="15.75" customHeight="1">
      <c r="A58828" s="7"/>
      <c r="B58828" s="7"/>
    </row>
    <row r="58829" ht="15.75" customHeight="1">
      <c r="A58829" s="7"/>
      <c r="B58829" s="7"/>
    </row>
    <row r="58830" ht="15.75" customHeight="1">
      <c r="A58830" s="7"/>
      <c r="B58830" s="7"/>
    </row>
    <row r="58831" ht="15.75" customHeight="1">
      <c r="A58831" s="7"/>
      <c r="B58831" s="7"/>
    </row>
    <row r="58832" ht="15.75" customHeight="1">
      <c r="A58832" s="7"/>
      <c r="B58832" s="7"/>
    </row>
    <row r="58833" ht="15.75" customHeight="1">
      <c r="A58833" s="7"/>
      <c r="B58833" s="7"/>
    </row>
    <row r="58834" ht="15.75" customHeight="1">
      <c r="A58834" s="7"/>
      <c r="B58834" s="7"/>
    </row>
    <row r="58835" ht="15.75" customHeight="1">
      <c r="A58835" s="7"/>
      <c r="B58835" s="7"/>
    </row>
    <row r="58836" ht="15.75" customHeight="1">
      <c r="A58836" s="7"/>
      <c r="B58836" s="7"/>
    </row>
    <row r="58837" ht="15.75" customHeight="1">
      <c r="A58837" s="7"/>
      <c r="B58837" s="7"/>
    </row>
    <row r="58838" ht="15.75" customHeight="1">
      <c r="A58838" s="7"/>
      <c r="B58838" s="7"/>
    </row>
    <row r="58839" ht="15.75" customHeight="1">
      <c r="A58839" s="7"/>
      <c r="B58839" s="7"/>
    </row>
    <row r="58840" ht="15.75" customHeight="1">
      <c r="A58840" s="7"/>
      <c r="B58840" s="7"/>
    </row>
    <row r="58841" ht="15.75" customHeight="1">
      <c r="A58841" s="7"/>
      <c r="B58841" s="7"/>
    </row>
    <row r="58842" ht="15.75" customHeight="1">
      <c r="A58842" s="7"/>
      <c r="B58842" s="7"/>
    </row>
    <row r="58843" ht="15.75" customHeight="1">
      <c r="A58843" s="7"/>
      <c r="B58843" s="7"/>
    </row>
    <row r="58844" ht="15.75" customHeight="1">
      <c r="A58844" s="7"/>
      <c r="B58844" s="7"/>
    </row>
    <row r="58845" ht="15.75" customHeight="1">
      <c r="A58845" s="7"/>
      <c r="B58845" s="7"/>
    </row>
    <row r="58846" ht="15.75" customHeight="1">
      <c r="A58846" s="7"/>
      <c r="B58846" s="7"/>
    </row>
    <row r="58847" ht="15.75" customHeight="1">
      <c r="A58847" s="7"/>
      <c r="B58847" s="7"/>
    </row>
    <row r="58848" ht="15.75" customHeight="1">
      <c r="A58848" s="7"/>
      <c r="B58848" s="7"/>
    </row>
    <row r="58849" ht="15.75" customHeight="1">
      <c r="A58849" s="7"/>
      <c r="B58849" s="7"/>
    </row>
    <row r="58850" ht="15.75" customHeight="1">
      <c r="A58850" s="7"/>
      <c r="B58850" s="7"/>
    </row>
    <row r="58851" ht="15.75" customHeight="1">
      <c r="A58851" s="7"/>
      <c r="B58851" s="7"/>
    </row>
    <row r="58852" ht="15.75" customHeight="1">
      <c r="A58852" s="7"/>
      <c r="B58852" s="7"/>
    </row>
    <row r="58853" ht="15.75" customHeight="1">
      <c r="A58853" s="7"/>
      <c r="B58853" s="7"/>
    </row>
    <row r="58854" ht="15.75" customHeight="1">
      <c r="A58854" s="7"/>
      <c r="B58854" s="7"/>
    </row>
    <row r="58855" ht="15.75" customHeight="1">
      <c r="A58855" s="7"/>
      <c r="B58855" s="7"/>
    </row>
    <row r="58856" ht="15.75" customHeight="1">
      <c r="A58856" s="7"/>
      <c r="B58856" s="7"/>
    </row>
    <row r="58857" ht="15.75" customHeight="1">
      <c r="A58857" s="7"/>
      <c r="B58857" s="7"/>
    </row>
    <row r="58858" ht="15.75" customHeight="1">
      <c r="A58858" s="7"/>
      <c r="B58858" s="7"/>
    </row>
    <row r="58859" ht="15.75" customHeight="1">
      <c r="A58859" s="7"/>
      <c r="B58859" s="7"/>
    </row>
    <row r="58860" ht="15.75" customHeight="1">
      <c r="A58860" s="7"/>
      <c r="B58860" s="7"/>
    </row>
    <row r="58861" ht="15.75" customHeight="1">
      <c r="A58861" s="7"/>
      <c r="B58861" s="7"/>
    </row>
    <row r="58862" ht="15.75" customHeight="1">
      <c r="A58862" s="7"/>
      <c r="B58862" s="7"/>
    </row>
    <row r="58863" ht="15.75" customHeight="1">
      <c r="A58863" s="7"/>
      <c r="B58863" s="7"/>
    </row>
    <row r="58864" ht="15.75" customHeight="1">
      <c r="A58864" s="7"/>
      <c r="B58864" s="7"/>
    </row>
    <row r="58865" ht="15.75" customHeight="1">
      <c r="A58865" s="7"/>
      <c r="B58865" s="7"/>
    </row>
    <row r="58866" ht="15.75" customHeight="1">
      <c r="A58866" s="7"/>
      <c r="B58866" s="7"/>
    </row>
    <row r="58867" ht="15.75" customHeight="1">
      <c r="A58867" s="7"/>
      <c r="B58867" s="7"/>
    </row>
    <row r="58868" ht="15.75" customHeight="1">
      <c r="A58868" s="7"/>
      <c r="B58868" s="7"/>
    </row>
    <row r="58869" ht="15.75" customHeight="1">
      <c r="A58869" s="7"/>
      <c r="B58869" s="7"/>
    </row>
    <row r="58870" ht="15.75" customHeight="1">
      <c r="A58870" s="7"/>
      <c r="B58870" s="7"/>
    </row>
    <row r="58871" ht="15.75" customHeight="1">
      <c r="A58871" s="7"/>
      <c r="B58871" s="7"/>
    </row>
    <row r="58872" ht="15.75" customHeight="1">
      <c r="A58872" s="7"/>
      <c r="B58872" s="7"/>
    </row>
    <row r="58873" ht="15.75" customHeight="1">
      <c r="A58873" s="7"/>
      <c r="B58873" s="7"/>
    </row>
    <row r="58874" ht="15.75" customHeight="1">
      <c r="A58874" s="7"/>
      <c r="B58874" s="7"/>
    </row>
    <row r="58875" ht="15.75" customHeight="1">
      <c r="A58875" s="7"/>
      <c r="B58875" s="7"/>
    </row>
    <row r="58876" ht="15.75" customHeight="1">
      <c r="A58876" s="7"/>
      <c r="B58876" s="7"/>
    </row>
    <row r="58877" ht="15.75" customHeight="1">
      <c r="A58877" s="7"/>
      <c r="B58877" s="7"/>
    </row>
    <row r="58878" ht="15.75" customHeight="1">
      <c r="A58878" s="7"/>
      <c r="B58878" s="7"/>
    </row>
    <row r="58879" ht="15.75" customHeight="1">
      <c r="A58879" s="7"/>
      <c r="B58879" s="7"/>
    </row>
    <row r="58880" ht="15.75" customHeight="1">
      <c r="A58880" s="7"/>
      <c r="B58880" s="7"/>
    </row>
    <row r="58881" ht="15.75" customHeight="1">
      <c r="A58881" s="7"/>
      <c r="B58881" s="7"/>
    </row>
    <row r="58882" ht="15.75" customHeight="1">
      <c r="A58882" s="7"/>
      <c r="B58882" s="7"/>
    </row>
    <row r="58883" ht="15.75" customHeight="1">
      <c r="A58883" s="7"/>
      <c r="B58883" s="7"/>
    </row>
    <row r="58884" ht="15.75" customHeight="1">
      <c r="A58884" s="7"/>
      <c r="B58884" s="7"/>
    </row>
    <row r="58885" ht="15.75" customHeight="1">
      <c r="A58885" s="7"/>
      <c r="B58885" s="7"/>
    </row>
    <row r="58886" ht="15.75" customHeight="1">
      <c r="A58886" s="7"/>
      <c r="B58886" s="7"/>
    </row>
    <row r="58887" ht="15.75" customHeight="1">
      <c r="A58887" s="7"/>
      <c r="B58887" s="7"/>
    </row>
    <row r="58888" ht="15.75" customHeight="1">
      <c r="A58888" s="7"/>
      <c r="B58888" s="7"/>
    </row>
    <row r="58889" ht="15.75" customHeight="1">
      <c r="A58889" s="7"/>
      <c r="B58889" s="7"/>
    </row>
    <row r="58890" ht="15.75" customHeight="1">
      <c r="A58890" s="7"/>
      <c r="B58890" s="7"/>
    </row>
    <row r="58891" ht="15.75" customHeight="1">
      <c r="A58891" s="7"/>
      <c r="B58891" s="7"/>
    </row>
    <row r="58892" ht="15.75" customHeight="1">
      <c r="A58892" s="7"/>
      <c r="B58892" s="7"/>
    </row>
    <row r="58893" ht="15.75" customHeight="1">
      <c r="A58893" s="7"/>
      <c r="B58893" s="7"/>
    </row>
    <row r="58894" ht="15.75" customHeight="1">
      <c r="A58894" s="7"/>
      <c r="B58894" s="7"/>
    </row>
    <row r="58895" ht="15.75" customHeight="1">
      <c r="A58895" s="7"/>
      <c r="B58895" s="7"/>
    </row>
    <row r="58896" ht="15.75" customHeight="1">
      <c r="A58896" s="7"/>
      <c r="B58896" s="7"/>
    </row>
    <row r="58897" ht="15.75" customHeight="1">
      <c r="A58897" s="7"/>
      <c r="B58897" s="7"/>
    </row>
    <row r="58898" ht="15.75" customHeight="1">
      <c r="A58898" s="7"/>
      <c r="B58898" s="7"/>
    </row>
    <row r="58899" ht="15.75" customHeight="1">
      <c r="A58899" s="7"/>
      <c r="B58899" s="7"/>
    </row>
    <row r="58900" ht="15.75" customHeight="1">
      <c r="A58900" s="7"/>
      <c r="B58900" s="7"/>
    </row>
    <row r="58901" ht="15.75" customHeight="1">
      <c r="A58901" s="7"/>
      <c r="B58901" s="7"/>
    </row>
    <row r="58902" ht="15.75" customHeight="1">
      <c r="A58902" s="7"/>
      <c r="B58902" s="7"/>
    </row>
    <row r="58903" ht="15.75" customHeight="1">
      <c r="A58903" s="7"/>
      <c r="B58903" s="7"/>
    </row>
    <row r="58904" ht="15.75" customHeight="1">
      <c r="A58904" s="7"/>
      <c r="B58904" s="7"/>
    </row>
    <row r="58905" ht="15.75" customHeight="1">
      <c r="A58905" s="7"/>
      <c r="B58905" s="7"/>
    </row>
    <row r="58906" ht="15.75" customHeight="1">
      <c r="A58906" s="7"/>
      <c r="B58906" s="7"/>
    </row>
    <row r="58907" ht="15.75" customHeight="1">
      <c r="A58907" s="7"/>
      <c r="B58907" s="7"/>
    </row>
    <row r="58908" ht="15.75" customHeight="1">
      <c r="A58908" s="7"/>
      <c r="B58908" s="7"/>
    </row>
    <row r="58909" ht="15.75" customHeight="1">
      <c r="A58909" s="7"/>
      <c r="B58909" s="7"/>
    </row>
    <row r="58910" ht="15.75" customHeight="1">
      <c r="A58910" s="7"/>
      <c r="B58910" s="7"/>
    </row>
    <row r="58911" ht="15.75" customHeight="1">
      <c r="A58911" s="7"/>
      <c r="B58911" s="7"/>
    </row>
    <row r="58912" ht="15.75" customHeight="1">
      <c r="A58912" s="7"/>
      <c r="B58912" s="7"/>
    </row>
    <row r="58913" ht="15.75" customHeight="1">
      <c r="A58913" s="7"/>
      <c r="B58913" s="7"/>
    </row>
    <row r="58914" ht="15.75" customHeight="1">
      <c r="A58914" s="7"/>
      <c r="B58914" s="7"/>
    </row>
    <row r="58915" ht="15.75" customHeight="1">
      <c r="A58915" s="7"/>
      <c r="B58915" s="7"/>
    </row>
    <row r="58916" ht="15.75" customHeight="1">
      <c r="A58916" s="7"/>
      <c r="B58916" s="7"/>
    </row>
    <row r="58917" ht="15.75" customHeight="1">
      <c r="A58917" s="7"/>
      <c r="B58917" s="7"/>
    </row>
    <row r="58918" ht="15.75" customHeight="1">
      <c r="A58918" s="7"/>
      <c r="B58918" s="7"/>
    </row>
    <row r="58919" ht="15.75" customHeight="1">
      <c r="A58919" s="7"/>
      <c r="B58919" s="7"/>
    </row>
    <row r="58920" ht="15.75" customHeight="1">
      <c r="A58920" s="7"/>
      <c r="B58920" s="7"/>
    </row>
    <row r="58921" ht="15.75" customHeight="1">
      <c r="A58921" s="7"/>
      <c r="B58921" s="7"/>
    </row>
    <row r="58922" ht="15.75" customHeight="1">
      <c r="A58922" s="7"/>
      <c r="B58922" s="7"/>
    </row>
    <row r="58923" ht="15.75" customHeight="1">
      <c r="A58923" s="7"/>
      <c r="B58923" s="7"/>
    </row>
    <row r="58924" ht="15.75" customHeight="1">
      <c r="A58924" s="7"/>
      <c r="B58924" s="7"/>
    </row>
    <row r="58925" ht="15.75" customHeight="1">
      <c r="A58925" s="7"/>
      <c r="B58925" s="7"/>
    </row>
    <row r="58926" ht="15.75" customHeight="1">
      <c r="A58926" s="7"/>
      <c r="B58926" s="7"/>
    </row>
    <row r="58927" ht="15.75" customHeight="1">
      <c r="A58927" s="7"/>
      <c r="B58927" s="7"/>
    </row>
    <row r="58928" ht="15.75" customHeight="1">
      <c r="A58928" s="7"/>
      <c r="B58928" s="7"/>
    </row>
    <row r="58929" ht="15.75" customHeight="1">
      <c r="A58929" s="7"/>
      <c r="B58929" s="7"/>
    </row>
    <row r="58930" ht="15.75" customHeight="1">
      <c r="A58930" s="7"/>
      <c r="B58930" s="7"/>
    </row>
    <row r="58931" ht="15.75" customHeight="1">
      <c r="A58931" s="7"/>
      <c r="B58931" s="7"/>
    </row>
    <row r="58932" ht="15.75" customHeight="1">
      <c r="A58932" s="7"/>
      <c r="B58932" s="7"/>
    </row>
    <row r="58933" ht="15.75" customHeight="1">
      <c r="A58933" s="7"/>
      <c r="B58933" s="7"/>
    </row>
    <row r="58934" ht="15.75" customHeight="1">
      <c r="A58934" s="7"/>
      <c r="B58934" s="7"/>
    </row>
    <row r="58935" ht="15.75" customHeight="1">
      <c r="A58935" s="7"/>
      <c r="B58935" s="7"/>
    </row>
    <row r="58936" ht="15.75" customHeight="1">
      <c r="A58936" s="7"/>
      <c r="B58936" s="7"/>
    </row>
    <row r="58937" ht="15.75" customHeight="1">
      <c r="A58937" s="7"/>
      <c r="B58937" s="7"/>
    </row>
    <row r="58938" ht="15.75" customHeight="1">
      <c r="A58938" s="7"/>
      <c r="B58938" s="7"/>
    </row>
    <row r="58939" ht="15.75" customHeight="1">
      <c r="A58939" s="7"/>
      <c r="B58939" s="7"/>
    </row>
    <row r="58940" ht="15.75" customHeight="1">
      <c r="A58940" s="7"/>
      <c r="B58940" s="7"/>
    </row>
    <row r="58941" ht="15.75" customHeight="1">
      <c r="A58941" s="7"/>
      <c r="B58941" s="7"/>
    </row>
    <row r="58942" ht="15.75" customHeight="1">
      <c r="A58942" s="7"/>
      <c r="B58942" s="7"/>
    </row>
    <row r="58943" ht="15.75" customHeight="1">
      <c r="A58943" s="7"/>
      <c r="B58943" s="7"/>
    </row>
    <row r="58944" ht="15.75" customHeight="1">
      <c r="A58944" s="7"/>
      <c r="B58944" s="7"/>
    </row>
    <row r="58945" ht="15.75" customHeight="1">
      <c r="A58945" s="7"/>
      <c r="B58945" s="7"/>
    </row>
    <row r="58946" ht="15.75" customHeight="1">
      <c r="A58946" s="7"/>
      <c r="B58946" s="7"/>
    </row>
    <row r="58947" ht="15.75" customHeight="1">
      <c r="A58947" s="7"/>
      <c r="B58947" s="7"/>
    </row>
    <row r="58948" ht="15.75" customHeight="1">
      <c r="A58948" s="7"/>
      <c r="B58948" s="7"/>
    </row>
    <row r="58949" ht="15.75" customHeight="1">
      <c r="A58949" s="7"/>
      <c r="B58949" s="7"/>
    </row>
    <row r="58950" ht="15.75" customHeight="1">
      <c r="A58950" s="7"/>
      <c r="B58950" s="7"/>
    </row>
    <row r="58951" ht="15.75" customHeight="1">
      <c r="A58951" s="7"/>
      <c r="B58951" s="7"/>
    </row>
    <row r="58952" ht="15.75" customHeight="1">
      <c r="A58952" s="7"/>
      <c r="B58952" s="7"/>
    </row>
    <row r="58953" ht="15.75" customHeight="1">
      <c r="A58953" s="7"/>
      <c r="B58953" s="7"/>
    </row>
    <row r="58954" ht="15.75" customHeight="1">
      <c r="A58954" s="7"/>
      <c r="B58954" s="7"/>
    </row>
    <row r="58955" ht="15.75" customHeight="1">
      <c r="A58955" s="7"/>
      <c r="B58955" s="7"/>
    </row>
    <row r="58956" ht="15.75" customHeight="1">
      <c r="A58956" s="7"/>
      <c r="B58956" s="7"/>
    </row>
    <row r="58957" ht="15.75" customHeight="1">
      <c r="A58957" s="7"/>
      <c r="B58957" s="7"/>
    </row>
    <row r="58958" ht="15.75" customHeight="1">
      <c r="A58958" s="7"/>
      <c r="B58958" s="7"/>
    </row>
    <row r="58959" ht="15.75" customHeight="1">
      <c r="A58959" s="7"/>
      <c r="B58959" s="7"/>
    </row>
    <row r="58960" ht="15.75" customHeight="1">
      <c r="A58960" s="7"/>
      <c r="B58960" s="7"/>
    </row>
    <row r="58961" ht="15.75" customHeight="1">
      <c r="A58961" s="7"/>
      <c r="B58961" s="7"/>
    </row>
    <row r="58962" ht="15.75" customHeight="1">
      <c r="A58962" s="7"/>
      <c r="B58962" s="7"/>
    </row>
    <row r="58963" ht="15.75" customHeight="1">
      <c r="A58963" s="7"/>
      <c r="B58963" s="7"/>
    </row>
    <row r="58964" ht="15.75" customHeight="1">
      <c r="A58964" s="7"/>
      <c r="B58964" s="7"/>
    </row>
    <row r="58965" ht="15.75" customHeight="1">
      <c r="A58965" s="7"/>
      <c r="B58965" s="7"/>
    </row>
    <row r="58966" ht="15.75" customHeight="1">
      <c r="A58966" s="7"/>
      <c r="B58966" s="7"/>
    </row>
    <row r="58967" ht="15.75" customHeight="1">
      <c r="A58967" s="7"/>
      <c r="B58967" s="7"/>
    </row>
    <row r="58968" ht="15.75" customHeight="1">
      <c r="A58968" s="7"/>
      <c r="B58968" s="7"/>
    </row>
    <row r="58969" ht="15.75" customHeight="1">
      <c r="A58969" s="7"/>
      <c r="B58969" s="7"/>
    </row>
    <row r="58970" ht="15.75" customHeight="1">
      <c r="A58970" s="7"/>
      <c r="B58970" s="7"/>
    </row>
    <row r="58971" ht="15.75" customHeight="1">
      <c r="A58971" s="7"/>
      <c r="B58971" s="7"/>
    </row>
    <row r="58972" ht="15.75" customHeight="1">
      <c r="A58972" s="7"/>
      <c r="B58972" s="7"/>
    </row>
    <row r="58973" ht="15.75" customHeight="1">
      <c r="A58973" s="7"/>
      <c r="B58973" s="7"/>
    </row>
    <row r="58974" ht="15.75" customHeight="1">
      <c r="A58974" s="7"/>
      <c r="B58974" s="7"/>
    </row>
    <row r="58975" ht="15.75" customHeight="1">
      <c r="A58975" s="7"/>
      <c r="B58975" s="7"/>
    </row>
    <row r="58976" ht="15.75" customHeight="1">
      <c r="A58976" s="7"/>
      <c r="B58976" s="7"/>
    </row>
    <row r="58977" ht="15.75" customHeight="1">
      <c r="A58977" s="7"/>
      <c r="B58977" s="7"/>
    </row>
    <row r="58978" ht="15.75" customHeight="1">
      <c r="A58978" s="7"/>
      <c r="B58978" s="7"/>
    </row>
    <row r="58979" ht="15.75" customHeight="1">
      <c r="A58979" s="7"/>
      <c r="B58979" s="7"/>
    </row>
    <row r="58980" ht="15.75" customHeight="1">
      <c r="A58980" s="7"/>
      <c r="B58980" s="7"/>
    </row>
    <row r="58981" ht="15.75" customHeight="1">
      <c r="A58981" s="7"/>
      <c r="B58981" s="7"/>
    </row>
    <row r="58982" ht="15.75" customHeight="1">
      <c r="A58982" s="7"/>
      <c r="B58982" s="7"/>
    </row>
    <row r="58983" ht="15.75" customHeight="1">
      <c r="A58983" s="7"/>
      <c r="B58983" s="7"/>
    </row>
    <row r="58984" ht="15.75" customHeight="1">
      <c r="A58984" s="7"/>
      <c r="B58984" s="7"/>
    </row>
    <row r="58985" ht="15.75" customHeight="1">
      <c r="A58985" s="7"/>
      <c r="B58985" s="7"/>
    </row>
    <row r="58986" ht="15.75" customHeight="1">
      <c r="A58986" s="7"/>
      <c r="B58986" s="7"/>
    </row>
    <row r="58987" ht="15.75" customHeight="1">
      <c r="A58987" s="7"/>
      <c r="B58987" s="7"/>
    </row>
    <row r="58988" ht="15.75" customHeight="1">
      <c r="A58988" s="7"/>
      <c r="B58988" s="7"/>
    </row>
    <row r="58989" ht="15.75" customHeight="1">
      <c r="A58989" s="7"/>
      <c r="B58989" s="7"/>
    </row>
    <row r="58990" ht="15.75" customHeight="1">
      <c r="A58990" s="7"/>
      <c r="B58990" s="7"/>
    </row>
    <row r="58991" ht="15.75" customHeight="1">
      <c r="A58991" s="7"/>
      <c r="B58991" s="7"/>
    </row>
    <row r="58992" ht="15.75" customHeight="1">
      <c r="A58992" s="7"/>
      <c r="B58992" s="7"/>
    </row>
    <row r="58993" ht="15.75" customHeight="1">
      <c r="A58993" s="7"/>
      <c r="B58993" s="7"/>
    </row>
    <row r="58994" ht="15.75" customHeight="1">
      <c r="A58994" s="7"/>
      <c r="B58994" s="7"/>
    </row>
    <row r="58995" ht="15.75" customHeight="1">
      <c r="A58995" s="7"/>
      <c r="B58995" s="7"/>
    </row>
    <row r="58996" ht="15.75" customHeight="1">
      <c r="A58996" s="7"/>
      <c r="B58996" s="7"/>
    </row>
    <row r="58997" ht="15.75" customHeight="1">
      <c r="A58997" s="7"/>
      <c r="B58997" s="7"/>
    </row>
    <row r="58998" ht="15.75" customHeight="1">
      <c r="A58998" s="7"/>
      <c r="B58998" s="7"/>
    </row>
    <row r="58999" ht="15.75" customHeight="1">
      <c r="A58999" s="7"/>
      <c r="B58999" s="7"/>
    </row>
    <row r="59000" ht="15.75" customHeight="1">
      <c r="A59000" s="7"/>
      <c r="B59000" s="7"/>
    </row>
    <row r="59001" ht="15.75" customHeight="1">
      <c r="A59001" s="7"/>
      <c r="B59001" s="7"/>
    </row>
    <row r="59002" ht="15.75" customHeight="1">
      <c r="A59002" s="7"/>
      <c r="B59002" s="7"/>
    </row>
    <row r="59003" ht="15.75" customHeight="1">
      <c r="A59003" s="7"/>
      <c r="B59003" s="7"/>
    </row>
    <row r="59004" ht="15.75" customHeight="1">
      <c r="A59004" s="7"/>
      <c r="B59004" s="7"/>
    </row>
    <row r="59005" ht="15.75" customHeight="1">
      <c r="A59005" s="7"/>
      <c r="B59005" s="7"/>
    </row>
    <row r="59006" ht="15.75" customHeight="1">
      <c r="A59006" s="7"/>
      <c r="B59006" s="7"/>
    </row>
    <row r="59007" ht="15.75" customHeight="1">
      <c r="A59007" s="7"/>
      <c r="B59007" s="7"/>
    </row>
    <row r="59008" ht="15.75" customHeight="1">
      <c r="A59008" s="7"/>
      <c r="B59008" s="7"/>
    </row>
    <row r="59009" ht="15.75" customHeight="1">
      <c r="A59009" s="7"/>
      <c r="B59009" s="7"/>
    </row>
    <row r="59010" ht="15.75" customHeight="1">
      <c r="A59010" s="7"/>
      <c r="B59010" s="7"/>
    </row>
    <row r="59011" ht="15.75" customHeight="1">
      <c r="A59011" s="7"/>
      <c r="B59011" s="7"/>
    </row>
    <row r="59012" ht="15.75" customHeight="1">
      <c r="A59012" s="7"/>
      <c r="B59012" s="7"/>
    </row>
    <row r="59013" ht="15.75" customHeight="1">
      <c r="A59013" s="7"/>
      <c r="B59013" s="7"/>
    </row>
    <row r="59014" ht="15.75" customHeight="1">
      <c r="A59014" s="7"/>
      <c r="B59014" s="7"/>
    </row>
    <row r="59015" ht="15.75" customHeight="1">
      <c r="A59015" s="7"/>
      <c r="B59015" s="7"/>
    </row>
    <row r="59016" ht="15.75" customHeight="1">
      <c r="A59016" s="7"/>
      <c r="B59016" s="7"/>
    </row>
    <row r="59017" ht="15.75" customHeight="1">
      <c r="A59017" s="7"/>
      <c r="B59017" s="7"/>
    </row>
    <row r="59018" ht="15.75" customHeight="1">
      <c r="A59018" s="7"/>
      <c r="B59018" s="7"/>
    </row>
    <row r="59019" ht="15.75" customHeight="1">
      <c r="A59019" s="7"/>
      <c r="B59019" s="7"/>
    </row>
    <row r="59020" ht="15.75" customHeight="1">
      <c r="A59020" s="7"/>
      <c r="B59020" s="7"/>
    </row>
    <row r="59021" ht="15.75" customHeight="1">
      <c r="A59021" s="7"/>
      <c r="B59021" s="7"/>
    </row>
    <row r="59022" ht="15.75" customHeight="1">
      <c r="A59022" s="7"/>
      <c r="B59022" s="7"/>
    </row>
    <row r="59023" ht="15.75" customHeight="1">
      <c r="A59023" s="7"/>
      <c r="B59023" s="7"/>
    </row>
    <row r="59024" ht="15.75" customHeight="1">
      <c r="A59024" s="7"/>
      <c r="B59024" s="7"/>
    </row>
    <row r="59025" ht="15.75" customHeight="1">
      <c r="A59025" s="7"/>
      <c r="B59025" s="7"/>
    </row>
    <row r="59026" ht="15.75" customHeight="1">
      <c r="A59026" s="7"/>
      <c r="B59026" s="7"/>
    </row>
    <row r="59027" ht="15.75" customHeight="1">
      <c r="A59027" s="7"/>
      <c r="B59027" s="7"/>
    </row>
    <row r="59028" ht="15.75" customHeight="1">
      <c r="A59028" s="7"/>
      <c r="B59028" s="7"/>
    </row>
    <row r="59029" ht="15.75" customHeight="1">
      <c r="A59029" s="7"/>
      <c r="B59029" s="7"/>
    </row>
    <row r="59030" ht="15.75" customHeight="1">
      <c r="A59030" s="7"/>
      <c r="B59030" s="7"/>
    </row>
    <row r="59031" ht="15.75" customHeight="1">
      <c r="A59031" s="7"/>
      <c r="B59031" s="7"/>
    </row>
    <row r="59032" ht="15.75" customHeight="1">
      <c r="A59032" s="7"/>
      <c r="B59032" s="7"/>
    </row>
    <row r="59033" ht="15.75" customHeight="1">
      <c r="A59033" s="7"/>
      <c r="B59033" s="7"/>
    </row>
    <row r="59034" ht="15.75" customHeight="1">
      <c r="A59034" s="7"/>
      <c r="B59034" s="7"/>
    </row>
    <row r="59035" ht="15.75" customHeight="1">
      <c r="A59035" s="7"/>
      <c r="B59035" s="7"/>
    </row>
    <row r="59036" ht="15.75" customHeight="1">
      <c r="A59036" s="7"/>
      <c r="B59036" s="7"/>
    </row>
    <row r="59037" ht="15.75" customHeight="1">
      <c r="A59037" s="7"/>
      <c r="B59037" s="7"/>
    </row>
    <row r="59038" ht="15.75" customHeight="1">
      <c r="A59038" s="7"/>
      <c r="B59038" s="7"/>
    </row>
    <row r="59039" ht="15.75" customHeight="1">
      <c r="A59039" s="7"/>
      <c r="B59039" s="7"/>
    </row>
    <row r="59040" ht="15.75" customHeight="1">
      <c r="A59040" s="7"/>
      <c r="B59040" s="7"/>
    </row>
    <row r="59041" ht="15.75" customHeight="1">
      <c r="A59041" s="7"/>
      <c r="B59041" s="7"/>
    </row>
    <row r="59042" ht="15.75" customHeight="1">
      <c r="A59042" s="7"/>
      <c r="B59042" s="7"/>
    </row>
    <row r="59043" ht="15.75" customHeight="1">
      <c r="A59043" s="7"/>
      <c r="B59043" s="7"/>
    </row>
    <row r="59044" ht="15.75" customHeight="1">
      <c r="A59044" s="7"/>
      <c r="B59044" s="7"/>
    </row>
    <row r="59045" ht="15.75" customHeight="1">
      <c r="A59045" s="7"/>
      <c r="B59045" s="7"/>
    </row>
    <row r="59046" ht="15.75" customHeight="1">
      <c r="A59046" s="7"/>
      <c r="B59046" s="7"/>
    </row>
    <row r="59047" ht="15.75" customHeight="1">
      <c r="A59047" s="7"/>
      <c r="B59047" s="7"/>
    </row>
    <row r="59048" ht="15.75" customHeight="1">
      <c r="A59048" s="7"/>
      <c r="B59048" s="7"/>
    </row>
    <row r="59049" ht="15.75" customHeight="1">
      <c r="A59049" s="7"/>
      <c r="B59049" s="7"/>
    </row>
    <row r="59050" ht="15.75" customHeight="1">
      <c r="A59050" s="7"/>
      <c r="B59050" s="7"/>
    </row>
    <row r="59051" ht="15.75" customHeight="1">
      <c r="A59051" s="7"/>
      <c r="B59051" s="7"/>
    </row>
    <row r="59052" ht="15.75" customHeight="1">
      <c r="A59052" s="7"/>
      <c r="B59052" s="7"/>
    </row>
    <row r="59053" ht="15.75" customHeight="1">
      <c r="A59053" s="7"/>
      <c r="B59053" s="7"/>
    </row>
    <row r="59054" ht="15.75" customHeight="1">
      <c r="A59054" s="7"/>
      <c r="B59054" s="7"/>
    </row>
    <row r="59055" ht="15.75" customHeight="1">
      <c r="A59055" s="7"/>
      <c r="B59055" s="7"/>
    </row>
    <row r="59056" ht="15.75" customHeight="1">
      <c r="A59056" s="7"/>
      <c r="B59056" s="7"/>
    </row>
    <row r="59057" ht="15.75" customHeight="1">
      <c r="A59057" s="7"/>
      <c r="B59057" s="7"/>
    </row>
    <row r="59058" ht="15.75" customHeight="1">
      <c r="A59058" s="7"/>
      <c r="B59058" s="7"/>
    </row>
    <row r="59059" ht="15.75" customHeight="1">
      <c r="A59059" s="7"/>
      <c r="B59059" s="7"/>
    </row>
    <row r="59060" ht="15.75" customHeight="1">
      <c r="A59060" s="7"/>
      <c r="B59060" s="7"/>
    </row>
    <row r="59061" ht="15.75" customHeight="1">
      <c r="A59061" s="7"/>
      <c r="B59061" s="7"/>
    </row>
    <row r="59062" ht="15.75" customHeight="1">
      <c r="A59062" s="7"/>
      <c r="B59062" s="7"/>
    </row>
    <row r="59063" ht="15.75" customHeight="1">
      <c r="A59063" s="7"/>
      <c r="B59063" s="7"/>
    </row>
    <row r="59064" ht="15.75" customHeight="1">
      <c r="A59064" s="7"/>
      <c r="B59064" s="7"/>
    </row>
    <row r="59065" ht="15.75" customHeight="1">
      <c r="A59065" s="7"/>
      <c r="B59065" s="7"/>
    </row>
    <row r="59066" ht="15.75" customHeight="1">
      <c r="A59066" s="7"/>
      <c r="B59066" s="7"/>
    </row>
    <row r="59067" ht="15.75" customHeight="1">
      <c r="A59067" s="7"/>
      <c r="B59067" s="7"/>
    </row>
    <row r="59068" ht="15.75" customHeight="1">
      <c r="A59068" s="7"/>
      <c r="B59068" s="7"/>
    </row>
    <row r="59069" ht="15.75" customHeight="1">
      <c r="A59069" s="7"/>
      <c r="B59069" s="7"/>
    </row>
    <row r="59070" ht="15.75" customHeight="1">
      <c r="A59070" s="7"/>
      <c r="B59070" s="7"/>
    </row>
    <row r="59071" ht="15.75" customHeight="1">
      <c r="A59071" s="7"/>
      <c r="B59071" s="7"/>
    </row>
    <row r="59072" ht="15.75" customHeight="1">
      <c r="A59072" s="7"/>
      <c r="B59072" s="7"/>
    </row>
    <row r="59073" ht="15.75" customHeight="1">
      <c r="A59073" s="7"/>
      <c r="B59073" s="7"/>
    </row>
    <row r="59074" ht="15.75" customHeight="1">
      <c r="A59074" s="7"/>
      <c r="B59074" s="7"/>
    </row>
    <row r="59075" ht="15.75" customHeight="1">
      <c r="A59075" s="7"/>
      <c r="B59075" s="7"/>
    </row>
    <row r="59076" ht="15.75" customHeight="1">
      <c r="A59076" s="7"/>
      <c r="B59076" s="7"/>
    </row>
    <row r="59077" ht="15.75" customHeight="1">
      <c r="A59077" s="7"/>
      <c r="B59077" s="7"/>
    </row>
    <row r="59078" ht="15.75" customHeight="1">
      <c r="A59078" s="7"/>
      <c r="B59078" s="7"/>
    </row>
    <row r="59079" ht="15.75" customHeight="1">
      <c r="A59079" s="7"/>
      <c r="B59079" s="7"/>
    </row>
    <row r="59080" ht="15.75" customHeight="1">
      <c r="A59080" s="7"/>
      <c r="B59080" s="7"/>
    </row>
    <row r="59081" ht="15.75" customHeight="1">
      <c r="A59081" s="7"/>
      <c r="B59081" s="7"/>
    </row>
    <row r="59082" ht="15.75" customHeight="1">
      <c r="A59082" s="7"/>
      <c r="B59082" s="7"/>
    </row>
    <row r="59083" ht="15.75" customHeight="1">
      <c r="A59083" s="7"/>
      <c r="B59083" s="7"/>
    </row>
    <row r="59084" ht="15.75" customHeight="1">
      <c r="A59084" s="7"/>
      <c r="B59084" s="7"/>
    </row>
    <row r="59085" ht="15.75" customHeight="1">
      <c r="A59085" s="7"/>
      <c r="B59085" s="7"/>
    </row>
    <row r="59086" ht="15.75" customHeight="1">
      <c r="A59086" s="7"/>
      <c r="B59086" s="7"/>
    </row>
    <row r="59087" ht="15.75" customHeight="1">
      <c r="A59087" s="7"/>
      <c r="B59087" s="7"/>
    </row>
    <row r="59088" ht="15.75" customHeight="1">
      <c r="A59088" s="7"/>
      <c r="B59088" s="7"/>
    </row>
    <row r="59089" ht="15.75" customHeight="1">
      <c r="A59089" s="7"/>
      <c r="B59089" s="7"/>
    </row>
    <row r="59090" ht="15.75" customHeight="1">
      <c r="A59090" s="7"/>
      <c r="B59090" s="7"/>
    </row>
    <row r="59091" ht="15.75" customHeight="1">
      <c r="A59091" s="7"/>
      <c r="B59091" s="7"/>
    </row>
    <row r="59092" ht="15.75" customHeight="1">
      <c r="A59092" s="7"/>
      <c r="B59092" s="7"/>
    </row>
    <row r="59093" ht="15.75" customHeight="1">
      <c r="A59093" s="7"/>
      <c r="B59093" s="7"/>
    </row>
    <row r="59094" ht="15.75" customHeight="1">
      <c r="A59094" s="7"/>
      <c r="B59094" s="7"/>
    </row>
    <row r="59095" ht="15.75" customHeight="1">
      <c r="A59095" s="7"/>
      <c r="B59095" s="7"/>
    </row>
    <row r="59096" ht="15.75" customHeight="1">
      <c r="A59096" s="7"/>
      <c r="B59096" s="7"/>
    </row>
    <row r="59097" ht="15.75" customHeight="1">
      <c r="A59097" s="7"/>
      <c r="B59097" s="7"/>
    </row>
    <row r="59098" ht="15.75" customHeight="1">
      <c r="A59098" s="7"/>
      <c r="B59098" s="7"/>
    </row>
    <row r="59099" ht="15.75" customHeight="1">
      <c r="A59099" s="7"/>
      <c r="B59099" s="7"/>
    </row>
    <row r="59100" ht="15.75" customHeight="1">
      <c r="A59100" s="7"/>
      <c r="B59100" s="7"/>
    </row>
    <row r="59101" ht="15.75" customHeight="1">
      <c r="A59101" s="7"/>
      <c r="B59101" s="7"/>
    </row>
    <row r="59102" ht="15.75" customHeight="1">
      <c r="A59102" s="7"/>
      <c r="B59102" s="7"/>
    </row>
    <row r="59103" ht="15.75" customHeight="1">
      <c r="A59103" s="7"/>
      <c r="B59103" s="7"/>
    </row>
    <row r="59104" ht="15.75" customHeight="1">
      <c r="A59104" s="7"/>
      <c r="B59104" s="7"/>
    </row>
    <row r="59105" ht="15.75" customHeight="1">
      <c r="A59105" s="7"/>
      <c r="B59105" s="7"/>
    </row>
    <row r="59106" ht="15.75" customHeight="1">
      <c r="A59106" s="7"/>
      <c r="B59106" s="7"/>
    </row>
    <row r="59107" ht="15.75" customHeight="1">
      <c r="A59107" s="7"/>
      <c r="B59107" s="7"/>
    </row>
    <row r="59108" ht="15.75" customHeight="1">
      <c r="A59108" s="7"/>
      <c r="B59108" s="7"/>
    </row>
    <row r="59109" ht="15.75" customHeight="1">
      <c r="A59109" s="7"/>
      <c r="B59109" s="7"/>
    </row>
    <row r="59110" ht="15.75" customHeight="1">
      <c r="A59110" s="7"/>
      <c r="B59110" s="7"/>
    </row>
    <row r="59111" ht="15.75" customHeight="1">
      <c r="A59111" s="7"/>
      <c r="B59111" s="7"/>
    </row>
    <row r="59112" ht="15.75" customHeight="1">
      <c r="A59112" s="7"/>
      <c r="B59112" s="7"/>
    </row>
    <row r="59113" ht="15.75" customHeight="1">
      <c r="A59113" s="7"/>
      <c r="B59113" s="7"/>
    </row>
    <row r="59114" ht="15.75" customHeight="1">
      <c r="A59114" s="7"/>
      <c r="B59114" s="7"/>
    </row>
    <row r="59115" ht="15.75" customHeight="1">
      <c r="A59115" s="7"/>
      <c r="B59115" s="7"/>
    </row>
    <row r="59116" ht="15.75" customHeight="1">
      <c r="A59116" s="7"/>
      <c r="B59116" s="7"/>
    </row>
    <row r="59117" ht="15.75" customHeight="1">
      <c r="A59117" s="7"/>
      <c r="B59117" s="7"/>
    </row>
    <row r="59118" ht="15.75" customHeight="1">
      <c r="A59118" s="7"/>
      <c r="B59118" s="7"/>
    </row>
    <row r="59119" ht="15.75" customHeight="1">
      <c r="A59119" s="7"/>
      <c r="B59119" s="7"/>
    </row>
    <row r="59120" ht="15.75" customHeight="1">
      <c r="A59120" s="7"/>
      <c r="B59120" s="7"/>
    </row>
    <row r="59121" ht="15.75" customHeight="1">
      <c r="A59121" s="7"/>
      <c r="B59121" s="7"/>
    </row>
    <row r="59122" ht="15.75" customHeight="1">
      <c r="A59122" s="7"/>
      <c r="B59122" s="7"/>
    </row>
    <row r="59123" ht="15.75" customHeight="1">
      <c r="A59123" s="7"/>
      <c r="B59123" s="7"/>
    </row>
    <row r="59124" ht="15.75" customHeight="1">
      <c r="A59124" s="7"/>
      <c r="B59124" s="7"/>
    </row>
    <row r="59125" ht="15.75" customHeight="1">
      <c r="A59125" s="7"/>
      <c r="B59125" s="7"/>
    </row>
    <row r="59126" ht="15.75" customHeight="1">
      <c r="A59126" s="7"/>
      <c r="B59126" s="7"/>
    </row>
    <row r="59127" ht="15.75" customHeight="1">
      <c r="A59127" s="7"/>
      <c r="B59127" s="7"/>
    </row>
    <row r="59128" ht="15.75" customHeight="1">
      <c r="A59128" s="7"/>
      <c r="B59128" s="7"/>
    </row>
    <row r="59129" ht="15.75" customHeight="1">
      <c r="A59129" s="7"/>
      <c r="B59129" s="7"/>
    </row>
    <row r="59130" ht="15.75" customHeight="1">
      <c r="A59130" s="7"/>
      <c r="B59130" s="7"/>
    </row>
    <row r="59131" ht="15.75" customHeight="1">
      <c r="A59131" s="7"/>
      <c r="B59131" s="7"/>
    </row>
    <row r="59132" ht="15.75" customHeight="1">
      <c r="A59132" s="7"/>
      <c r="B59132" s="7"/>
    </row>
    <row r="59133" ht="15.75" customHeight="1">
      <c r="A59133" s="7"/>
      <c r="B59133" s="7"/>
    </row>
    <row r="59134" ht="15.75" customHeight="1">
      <c r="A59134" s="7"/>
      <c r="B59134" s="7"/>
    </row>
    <row r="59135" ht="15.75" customHeight="1">
      <c r="A59135" s="7"/>
      <c r="B59135" s="7"/>
    </row>
    <row r="59136" ht="15.75" customHeight="1">
      <c r="A59136" s="7"/>
      <c r="B59136" s="7"/>
    </row>
    <row r="59137" ht="15.75" customHeight="1">
      <c r="A59137" s="7"/>
      <c r="B59137" s="7"/>
    </row>
    <row r="59138" ht="15.75" customHeight="1">
      <c r="A59138" s="7"/>
      <c r="B59138" s="7"/>
    </row>
    <row r="59139" ht="15.75" customHeight="1">
      <c r="A59139" s="7"/>
      <c r="B59139" s="7"/>
    </row>
    <row r="59140" ht="15.75" customHeight="1">
      <c r="A59140" s="7"/>
      <c r="B59140" s="7"/>
    </row>
    <row r="59141" ht="15.75" customHeight="1">
      <c r="A59141" s="7"/>
      <c r="B59141" s="7"/>
    </row>
    <row r="59142" ht="15.75" customHeight="1">
      <c r="A59142" s="7"/>
      <c r="B59142" s="7"/>
    </row>
    <row r="59143" ht="15.75" customHeight="1">
      <c r="A59143" s="7"/>
      <c r="B59143" s="7"/>
    </row>
    <row r="59144" ht="15.75" customHeight="1">
      <c r="A59144" s="7"/>
      <c r="B59144" s="7"/>
    </row>
    <row r="59145" ht="15.75" customHeight="1">
      <c r="A59145" s="7"/>
      <c r="B59145" s="7"/>
    </row>
    <row r="59146" ht="15.75" customHeight="1">
      <c r="A59146" s="7"/>
      <c r="B59146" s="7"/>
    </row>
    <row r="59147" ht="15.75" customHeight="1">
      <c r="A59147" s="7"/>
      <c r="B59147" s="7"/>
    </row>
    <row r="59148" ht="15.75" customHeight="1">
      <c r="A59148" s="7"/>
      <c r="B59148" s="7"/>
    </row>
    <row r="59149" ht="15.75" customHeight="1">
      <c r="A59149" s="7"/>
      <c r="B59149" s="7"/>
    </row>
    <row r="59150" ht="15.75" customHeight="1">
      <c r="A59150" s="7"/>
      <c r="B59150" s="7"/>
    </row>
    <row r="59151" ht="15.75" customHeight="1">
      <c r="A59151" s="7"/>
      <c r="B59151" s="7"/>
    </row>
    <row r="59152" ht="15.75" customHeight="1">
      <c r="A59152" s="7"/>
      <c r="B59152" s="7"/>
    </row>
    <row r="59153" ht="15.75" customHeight="1">
      <c r="A59153" s="7"/>
      <c r="B59153" s="7"/>
    </row>
    <row r="59154" ht="15.75" customHeight="1">
      <c r="A59154" s="7"/>
      <c r="B59154" s="7"/>
    </row>
    <row r="59155" ht="15.75" customHeight="1">
      <c r="A59155" s="7"/>
      <c r="B59155" s="7"/>
    </row>
    <row r="59156" ht="15.75" customHeight="1">
      <c r="A59156" s="7"/>
      <c r="B59156" s="7"/>
    </row>
    <row r="59157" ht="15.75" customHeight="1">
      <c r="A59157" s="7"/>
      <c r="B59157" s="7"/>
    </row>
    <row r="59158" ht="15.75" customHeight="1">
      <c r="A59158" s="7"/>
      <c r="B59158" s="7"/>
    </row>
    <row r="59159" ht="15.75" customHeight="1">
      <c r="A59159" s="7"/>
      <c r="B59159" s="7"/>
    </row>
    <row r="59160" ht="15.75" customHeight="1">
      <c r="A59160" s="7"/>
      <c r="B59160" s="7"/>
    </row>
    <row r="59161" ht="15.75" customHeight="1">
      <c r="A59161" s="7"/>
      <c r="B59161" s="7"/>
    </row>
    <row r="59162" ht="15.75" customHeight="1">
      <c r="A59162" s="7"/>
      <c r="B59162" s="7"/>
    </row>
    <row r="59163" ht="15.75" customHeight="1">
      <c r="A59163" s="7"/>
      <c r="B59163" s="7"/>
    </row>
    <row r="59164" ht="15.75" customHeight="1">
      <c r="A59164" s="7"/>
      <c r="B59164" s="7"/>
    </row>
    <row r="59165" ht="15.75" customHeight="1">
      <c r="A59165" s="7"/>
      <c r="B59165" s="7"/>
    </row>
    <row r="59166" ht="15.75" customHeight="1">
      <c r="A59166" s="7"/>
      <c r="B59166" s="7"/>
    </row>
    <row r="59167" ht="15.75" customHeight="1">
      <c r="A59167" s="7"/>
      <c r="B59167" s="7"/>
    </row>
    <row r="59168" ht="15.75" customHeight="1">
      <c r="A59168" s="7"/>
      <c r="B59168" s="7"/>
    </row>
    <row r="59169" ht="15.75" customHeight="1">
      <c r="A59169" s="7"/>
      <c r="B59169" s="7"/>
    </row>
    <row r="59170" ht="15.75" customHeight="1">
      <c r="A59170" s="7"/>
      <c r="B59170" s="7"/>
    </row>
    <row r="59171" ht="15.75" customHeight="1">
      <c r="A59171" s="7"/>
      <c r="B59171" s="7"/>
    </row>
    <row r="59172" ht="15.75" customHeight="1">
      <c r="A59172" s="7"/>
      <c r="B59172" s="7"/>
    </row>
    <row r="59173" ht="15.75" customHeight="1">
      <c r="A59173" s="7"/>
      <c r="B59173" s="7"/>
    </row>
    <row r="59174" ht="15.75" customHeight="1">
      <c r="A59174" s="7"/>
      <c r="B59174" s="7"/>
    </row>
    <row r="59175" ht="15.75" customHeight="1">
      <c r="A59175" s="7"/>
      <c r="B59175" s="7"/>
    </row>
    <row r="59176" ht="15.75" customHeight="1">
      <c r="A59176" s="7"/>
      <c r="B59176" s="7"/>
    </row>
    <row r="59177" ht="15.75" customHeight="1">
      <c r="A59177" s="7"/>
      <c r="B59177" s="7"/>
    </row>
    <row r="59178" ht="15.75" customHeight="1">
      <c r="A59178" s="7"/>
      <c r="B59178" s="7"/>
    </row>
    <row r="59179" ht="15.75" customHeight="1">
      <c r="A59179" s="7"/>
      <c r="B59179" s="7"/>
    </row>
    <row r="59180" ht="15.75" customHeight="1">
      <c r="A59180" s="7"/>
      <c r="B59180" s="7"/>
    </row>
    <row r="59181" ht="15.75" customHeight="1">
      <c r="A59181" s="7"/>
      <c r="B59181" s="7"/>
    </row>
    <row r="59182" ht="15.75" customHeight="1">
      <c r="A59182" s="7"/>
      <c r="B59182" s="7"/>
    </row>
    <row r="59183" ht="15.75" customHeight="1">
      <c r="A59183" s="7"/>
      <c r="B59183" s="7"/>
    </row>
    <row r="59184" ht="15.75" customHeight="1">
      <c r="A59184" s="7"/>
      <c r="B59184" s="7"/>
    </row>
    <row r="59185" ht="15.75" customHeight="1">
      <c r="A59185" s="7"/>
      <c r="B59185" s="7"/>
    </row>
    <row r="59186" ht="15.75" customHeight="1">
      <c r="A59186" s="7"/>
      <c r="B59186" s="7"/>
    </row>
    <row r="59187" ht="15.75" customHeight="1">
      <c r="A59187" s="7"/>
      <c r="B59187" s="7"/>
    </row>
    <row r="59188" ht="15.75" customHeight="1">
      <c r="A59188" s="7"/>
      <c r="B59188" s="7"/>
    </row>
    <row r="59189" ht="15.75" customHeight="1">
      <c r="A59189" s="7"/>
      <c r="B59189" s="7"/>
    </row>
    <row r="59190" ht="15.75" customHeight="1">
      <c r="A59190" s="7"/>
      <c r="B59190" s="7"/>
    </row>
    <row r="59191" ht="15.75" customHeight="1">
      <c r="A59191" s="7"/>
      <c r="B59191" s="7"/>
    </row>
    <row r="59192" ht="15.75" customHeight="1">
      <c r="A59192" s="7"/>
      <c r="B59192" s="7"/>
    </row>
    <row r="59193" ht="15.75" customHeight="1">
      <c r="A59193" s="7"/>
      <c r="B59193" s="7"/>
    </row>
    <row r="59194" ht="15.75" customHeight="1">
      <c r="A59194" s="7"/>
      <c r="B59194" s="7"/>
    </row>
    <row r="59195" ht="15.75" customHeight="1">
      <c r="A59195" s="7"/>
      <c r="B59195" s="7"/>
    </row>
    <row r="59196" ht="15.75" customHeight="1">
      <c r="A59196" s="7"/>
      <c r="B59196" s="7"/>
    </row>
    <row r="59197" ht="15.75" customHeight="1">
      <c r="A59197" s="7"/>
      <c r="B59197" s="7"/>
    </row>
    <row r="59198" ht="15.75" customHeight="1">
      <c r="A59198" s="7"/>
      <c r="B59198" s="7"/>
    </row>
    <row r="59199" ht="15.75" customHeight="1">
      <c r="A59199" s="7"/>
      <c r="B59199" s="7"/>
    </row>
    <row r="59200" ht="15.75" customHeight="1">
      <c r="A59200" s="7"/>
      <c r="B59200" s="7"/>
    </row>
    <row r="59201" ht="15.75" customHeight="1">
      <c r="A59201" s="7"/>
      <c r="B59201" s="7"/>
    </row>
    <row r="59202" ht="15.75" customHeight="1">
      <c r="A59202" s="7"/>
      <c r="B59202" s="7"/>
    </row>
    <row r="59203" ht="15.75" customHeight="1">
      <c r="A59203" s="7"/>
      <c r="B59203" s="7"/>
    </row>
    <row r="59204" ht="15.75" customHeight="1">
      <c r="A59204" s="7"/>
      <c r="B59204" s="7"/>
    </row>
    <row r="59205" ht="15.75" customHeight="1">
      <c r="A59205" s="7"/>
      <c r="B59205" s="7"/>
    </row>
    <row r="59206" ht="15.75" customHeight="1">
      <c r="A59206" s="7"/>
      <c r="B59206" s="7"/>
    </row>
    <row r="59207" ht="15.75" customHeight="1">
      <c r="A59207" s="7"/>
      <c r="B59207" s="7"/>
    </row>
    <row r="59208" ht="15.75" customHeight="1">
      <c r="A59208" s="7"/>
      <c r="B59208" s="7"/>
    </row>
    <row r="59209" ht="15.75" customHeight="1">
      <c r="A59209" s="7"/>
      <c r="B59209" s="7"/>
    </row>
    <row r="59210" ht="15.75" customHeight="1">
      <c r="A59210" s="7"/>
      <c r="B59210" s="7"/>
    </row>
    <row r="59211" ht="15.75" customHeight="1">
      <c r="A59211" s="7"/>
      <c r="B59211" s="7"/>
    </row>
    <row r="59212" ht="15.75" customHeight="1">
      <c r="A59212" s="7"/>
      <c r="B59212" s="7"/>
    </row>
    <row r="59213" ht="15.75" customHeight="1">
      <c r="A59213" s="7"/>
      <c r="B59213" s="7"/>
    </row>
    <row r="59214" ht="15.75" customHeight="1">
      <c r="A59214" s="7"/>
      <c r="B59214" s="7"/>
    </row>
    <row r="59215" ht="15.75" customHeight="1">
      <c r="A59215" s="7"/>
      <c r="B59215" s="7"/>
    </row>
    <row r="59216" ht="15.75" customHeight="1">
      <c r="A59216" s="7"/>
      <c r="B59216" s="7"/>
    </row>
    <row r="59217" ht="15.75" customHeight="1">
      <c r="A59217" s="7"/>
      <c r="B59217" s="7"/>
    </row>
    <row r="59218" ht="15.75" customHeight="1">
      <c r="A59218" s="7"/>
      <c r="B59218" s="7"/>
    </row>
    <row r="59219" ht="15.75" customHeight="1">
      <c r="A59219" s="7"/>
      <c r="B59219" s="7"/>
    </row>
    <row r="59220" ht="15.75" customHeight="1">
      <c r="A59220" s="7"/>
      <c r="B59220" s="7"/>
    </row>
    <row r="59221" ht="15.75" customHeight="1">
      <c r="A59221" s="7"/>
      <c r="B59221" s="7"/>
    </row>
    <row r="59222" ht="15.75" customHeight="1">
      <c r="A59222" s="7"/>
      <c r="B59222" s="7"/>
    </row>
    <row r="59223" ht="15.75" customHeight="1">
      <c r="A59223" s="7"/>
      <c r="B59223" s="7"/>
    </row>
    <row r="59224" ht="15.75" customHeight="1">
      <c r="A59224" s="7"/>
      <c r="B59224" s="7"/>
    </row>
    <row r="59225" ht="15.75" customHeight="1">
      <c r="A59225" s="7"/>
      <c r="B59225" s="7"/>
    </row>
    <row r="59226" ht="15.75" customHeight="1">
      <c r="A59226" s="7"/>
      <c r="B59226" s="7"/>
    </row>
    <row r="59227" ht="15.75" customHeight="1">
      <c r="A59227" s="7"/>
      <c r="B59227" s="7"/>
    </row>
    <row r="59228" ht="15.75" customHeight="1">
      <c r="A59228" s="7"/>
      <c r="B59228" s="7"/>
    </row>
    <row r="59229" ht="15.75" customHeight="1">
      <c r="A59229" s="7"/>
      <c r="B59229" s="7"/>
    </row>
    <row r="59230" ht="15.75" customHeight="1">
      <c r="A59230" s="7"/>
      <c r="B59230" s="7"/>
    </row>
    <row r="59231" ht="15.75" customHeight="1">
      <c r="A59231" s="7"/>
      <c r="B59231" s="7"/>
    </row>
    <row r="59232" ht="15.75" customHeight="1">
      <c r="A59232" s="7"/>
      <c r="B59232" s="7"/>
    </row>
    <row r="59233" ht="15.75" customHeight="1">
      <c r="A59233" s="7"/>
      <c r="B59233" s="7"/>
    </row>
    <row r="59234" ht="15.75" customHeight="1">
      <c r="A59234" s="7"/>
      <c r="B59234" s="7"/>
    </row>
    <row r="59235" ht="15.75" customHeight="1">
      <c r="A59235" s="7"/>
      <c r="B59235" s="7"/>
    </row>
    <row r="59236" ht="15.75" customHeight="1">
      <c r="A59236" s="7"/>
      <c r="B59236" s="7"/>
    </row>
    <row r="59237" ht="15.75" customHeight="1">
      <c r="A59237" s="7"/>
      <c r="B59237" s="7"/>
    </row>
    <row r="59238" ht="15.75" customHeight="1">
      <c r="A59238" s="7"/>
      <c r="B59238" s="7"/>
    </row>
    <row r="59239" ht="15.75" customHeight="1">
      <c r="A59239" s="7"/>
      <c r="B59239" s="7"/>
    </row>
    <row r="59240" ht="15.75" customHeight="1">
      <c r="A59240" s="7"/>
      <c r="B59240" s="7"/>
    </row>
    <row r="59241" ht="15.75" customHeight="1">
      <c r="A59241" s="7"/>
      <c r="B59241" s="7"/>
    </row>
    <row r="59242" ht="15.75" customHeight="1">
      <c r="A59242" s="7"/>
      <c r="B59242" s="7"/>
    </row>
    <row r="59243" ht="15.75" customHeight="1">
      <c r="A59243" s="7"/>
      <c r="B59243" s="7"/>
    </row>
    <row r="59244" ht="15.75" customHeight="1">
      <c r="A59244" s="7"/>
      <c r="B59244" s="7"/>
    </row>
    <row r="59245" ht="15.75" customHeight="1">
      <c r="A59245" s="7"/>
      <c r="B59245" s="7"/>
    </row>
    <row r="59246" ht="15.75" customHeight="1">
      <c r="A59246" s="7"/>
      <c r="B59246" s="7"/>
    </row>
    <row r="59247" ht="15.75" customHeight="1">
      <c r="A59247" s="7"/>
      <c r="B59247" s="7"/>
    </row>
    <row r="59248" ht="15.75" customHeight="1">
      <c r="A59248" s="7"/>
      <c r="B59248" s="7"/>
    </row>
    <row r="59249" ht="15.75" customHeight="1">
      <c r="A59249" s="7"/>
      <c r="B59249" s="7"/>
    </row>
    <row r="59250" ht="15.75" customHeight="1">
      <c r="A59250" s="7"/>
      <c r="B59250" s="7"/>
    </row>
    <row r="59251" ht="15.75" customHeight="1">
      <c r="A59251" s="7"/>
      <c r="B59251" s="7"/>
    </row>
    <row r="59252" ht="15.75" customHeight="1">
      <c r="A59252" s="7"/>
      <c r="B59252" s="7"/>
    </row>
    <row r="59253" ht="15.75" customHeight="1">
      <c r="A59253" s="7"/>
      <c r="B59253" s="7"/>
    </row>
    <row r="59254" ht="15.75" customHeight="1">
      <c r="A59254" s="7"/>
      <c r="B59254" s="7"/>
    </row>
    <row r="59255" ht="15.75" customHeight="1">
      <c r="A59255" s="7"/>
      <c r="B59255" s="7"/>
    </row>
    <row r="59256" ht="15.75" customHeight="1">
      <c r="A59256" s="7"/>
      <c r="B59256" s="7"/>
    </row>
    <row r="59257" ht="15.75" customHeight="1">
      <c r="A59257" s="7"/>
      <c r="B59257" s="7"/>
    </row>
    <row r="59258" ht="15.75" customHeight="1">
      <c r="A59258" s="7"/>
      <c r="B59258" s="7"/>
    </row>
    <row r="59259" ht="15.75" customHeight="1">
      <c r="A59259" s="7"/>
      <c r="B59259" s="7"/>
    </row>
    <row r="59260" ht="15.75" customHeight="1">
      <c r="A59260" s="7"/>
      <c r="B59260" s="7"/>
    </row>
    <row r="59261" ht="15.75" customHeight="1">
      <c r="A59261" s="7"/>
      <c r="B59261" s="7"/>
    </row>
    <row r="59262" ht="15.75" customHeight="1">
      <c r="A59262" s="7"/>
      <c r="B59262" s="7"/>
    </row>
    <row r="59263" ht="15.75" customHeight="1">
      <c r="A59263" s="7"/>
      <c r="B59263" s="7"/>
    </row>
    <row r="59264" ht="15.75" customHeight="1">
      <c r="A59264" s="7"/>
      <c r="B59264" s="7"/>
    </row>
    <row r="59265" ht="15.75" customHeight="1">
      <c r="A59265" s="7"/>
      <c r="B59265" s="7"/>
    </row>
    <row r="59266" ht="15.75" customHeight="1">
      <c r="A59266" s="7"/>
      <c r="B59266" s="7"/>
    </row>
    <row r="59267" ht="15.75" customHeight="1">
      <c r="A59267" s="7"/>
      <c r="B59267" s="7"/>
    </row>
    <row r="59268" ht="15.75" customHeight="1">
      <c r="A59268" s="7"/>
      <c r="B59268" s="7"/>
    </row>
    <row r="59269" ht="15.75" customHeight="1">
      <c r="A59269" s="7"/>
      <c r="B59269" s="7"/>
    </row>
    <row r="59270" ht="15.75" customHeight="1">
      <c r="A59270" s="7"/>
      <c r="B59270" s="7"/>
    </row>
    <row r="59271" ht="15.75" customHeight="1">
      <c r="A59271" s="7"/>
      <c r="B59271" s="7"/>
    </row>
    <row r="59272" ht="15.75" customHeight="1">
      <c r="A59272" s="7"/>
      <c r="B59272" s="7"/>
    </row>
    <row r="59273" ht="15.75" customHeight="1">
      <c r="A59273" s="7"/>
      <c r="B59273" s="7"/>
    </row>
    <row r="59274" ht="15.75" customHeight="1">
      <c r="A59274" s="7"/>
      <c r="B59274" s="7"/>
    </row>
    <row r="59275" ht="15.75" customHeight="1">
      <c r="A59275" s="7"/>
      <c r="B59275" s="7"/>
    </row>
    <row r="59276" ht="15.75" customHeight="1">
      <c r="A59276" s="7"/>
      <c r="B59276" s="7"/>
    </row>
    <row r="59277" ht="15.75" customHeight="1">
      <c r="A59277" s="7"/>
      <c r="B59277" s="7"/>
    </row>
    <row r="59278" ht="15.75" customHeight="1">
      <c r="A59278" s="7"/>
      <c r="B59278" s="7"/>
    </row>
    <row r="59279" ht="15.75" customHeight="1">
      <c r="A59279" s="7"/>
      <c r="B59279" s="7"/>
    </row>
    <row r="59280" ht="15.75" customHeight="1">
      <c r="A59280" s="7"/>
      <c r="B59280" s="7"/>
    </row>
    <row r="59281" ht="15.75" customHeight="1">
      <c r="A59281" s="7"/>
      <c r="B59281" s="7"/>
    </row>
    <row r="59282" ht="15.75" customHeight="1">
      <c r="A59282" s="7"/>
      <c r="B59282" s="7"/>
    </row>
    <row r="59283" ht="15.75" customHeight="1">
      <c r="A59283" s="7"/>
      <c r="B59283" s="7"/>
    </row>
    <row r="59284" ht="15.75" customHeight="1">
      <c r="A59284" s="7"/>
      <c r="B59284" s="7"/>
    </row>
    <row r="59285" ht="15.75" customHeight="1">
      <c r="A59285" s="7"/>
      <c r="B59285" s="7"/>
    </row>
    <row r="59286" ht="15.75" customHeight="1">
      <c r="A59286" s="7"/>
      <c r="B59286" s="7"/>
    </row>
    <row r="59287" ht="15.75" customHeight="1">
      <c r="A59287" s="7"/>
      <c r="B59287" s="7"/>
    </row>
    <row r="59288" ht="15.75" customHeight="1">
      <c r="A59288" s="7"/>
      <c r="B59288" s="7"/>
    </row>
    <row r="59289" ht="15.75" customHeight="1">
      <c r="A59289" s="7"/>
      <c r="B59289" s="7"/>
    </row>
    <row r="59290" ht="15.75" customHeight="1">
      <c r="A59290" s="7"/>
      <c r="B59290" s="7"/>
    </row>
    <row r="59291" ht="15.75" customHeight="1">
      <c r="A59291" s="7"/>
      <c r="B59291" s="7"/>
    </row>
    <row r="59292" ht="15.75" customHeight="1">
      <c r="A59292" s="7"/>
      <c r="B59292" s="7"/>
    </row>
    <row r="59293" ht="15.75" customHeight="1">
      <c r="A59293" s="7"/>
      <c r="B59293" s="7"/>
    </row>
    <row r="59294" ht="15.75" customHeight="1">
      <c r="A59294" s="7"/>
      <c r="B59294" s="7"/>
    </row>
    <row r="59295" ht="15.75" customHeight="1">
      <c r="A59295" s="7"/>
      <c r="B59295" s="7"/>
    </row>
    <row r="59296" ht="15.75" customHeight="1">
      <c r="A59296" s="7"/>
      <c r="B59296" s="7"/>
    </row>
    <row r="59297" ht="15.75" customHeight="1">
      <c r="A59297" s="7"/>
      <c r="B59297" s="7"/>
    </row>
    <row r="59298" ht="15.75" customHeight="1">
      <c r="A59298" s="7"/>
      <c r="B59298" s="7"/>
    </row>
    <row r="59299" ht="15.75" customHeight="1">
      <c r="A59299" s="7"/>
      <c r="B59299" s="7"/>
    </row>
    <row r="59300" ht="15.75" customHeight="1">
      <c r="A59300" s="7"/>
      <c r="B59300" s="7"/>
    </row>
    <row r="59301" ht="15.75" customHeight="1">
      <c r="A59301" s="7"/>
      <c r="B59301" s="7"/>
    </row>
    <row r="59302" ht="15.75" customHeight="1">
      <c r="A59302" s="7"/>
      <c r="B59302" s="7"/>
    </row>
    <row r="59303" ht="15.75" customHeight="1">
      <c r="A59303" s="7"/>
      <c r="B59303" s="7"/>
    </row>
    <row r="59304" ht="15.75" customHeight="1">
      <c r="A59304" s="7"/>
      <c r="B59304" s="7"/>
    </row>
    <row r="59305" ht="15.75" customHeight="1">
      <c r="A59305" s="7"/>
      <c r="B59305" s="7"/>
    </row>
    <row r="59306" ht="15.75" customHeight="1">
      <c r="A59306" s="7"/>
      <c r="B59306" s="7"/>
    </row>
    <row r="59307" ht="15.75" customHeight="1">
      <c r="A59307" s="7"/>
      <c r="B59307" s="7"/>
    </row>
    <row r="59308" ht="15.75" customHeight="1">
      <c r="A59308" s="7"/>
      <c r="B59308" s="7"/>
    </row>
    <row r="59309" ht="15.75" customHeight="1">
      <c r="A59309" s="7"/>
      <c r="B59309" s="7"/>
    </row>
    <row r="59310" ht="15.75" customHeight="1">
      <c r="A59310" s="7"/>
      <c r="B59310" s="7"/>
    </row>
    <row r="59311" ht="15.75" customHeight="1">
      <c r="A59311" s="7"/>
      <c r="B59311" s="7"/>
    </row>
    <row r="59312" ht="15.75" customHeight="1">
      <c r="A59312" s="7"/>
      <c r="B59312" s="7"/>
    </row>
    <row r="59313" ht="15.75" customHeight="1">
      <c r="A59313" s="7"/>
      <c r="B59313" s="7"/>
    </row>
    <row r="59314" ht="15.75" customHeight="1">
      <c r="A59314" s="7"/>
      <c r="B59314" s="7"/>
    </row>
    <row r="59315" ht="15.75" customHeight="1">
      <c r="A59315" s="7"/>
      <c r="B59315" s="7"/>
    </row>
    <row r="59316" ht="15.75" customHeight="1">
      <c r="A59316" s="7"/>
      <c r="B59316" s="7"/>
    </row>
    <row r="59317" ht="15.75" customHeight="1">
      <c r="A59317" s="7"/>
      <c r="B59317" s="7"/>
    </row>
    <row r="59318" ht="15.75" customHeight="1">
      <c r="A59318" s="7"/>
      <c r="B59318" s="7"/>
    </row>
    <row r="59319" ht="15.75" customHeight="1">
      <c r="A59319" s="7"/>
      <c r="B59319" s="7"/>
    </row>
    <row r="59320" ht="15.75" customHeight="1">
      <c r="A59320" s="7"/>
      <c r="B59320" s="7"/>
    </row>
    <row r="59321" ht="15.75" customHeight="1">
      <c r="A59321" s="7"/>
      <c r="B59321" s="7"/>
    </row>
    <row r="59322" ht="15.75" customHeight="1">
      <c r="A59322" s="7"/>
      <c r="B59322" s="7"/>
    </row>
    <row r="59323" ht="15.75" customHeight="1">
      <c r="A59323" s="7"/>
      <c r="B59323" s="7"/>
    </row>
    <row r="59324" ht="15.75" customHeight="1">
      <c r="A59324" s="7"/>
      <c r="B59324" s="7"/>
    </row>
    <row r="59325" ht="15.75" customHeight="1">
      <c r="A59325" s="7"/>
      <c r="B59325" s="7"/>
    </row>
    <row r="59326" ht="15.75" customHeight="1">
      <c r="A59326" s="7"/>
      <c r="B59326" s="7"/>
    </row>
    <row r="59327" ht="15.75" customHeight="1">
      <c r="A59327" s="7"/>
      <c r="B59327" s="7"/>
    </row>
    <row r="59328" ht="15.75" customHeight="1">
      <c r="A59328" s="7"/>
      <c r="B59328" s="7"/>
    </row>
    <row r="59329" ht="15.75" customHeight="1">
      <c r="A59329" s="7"/>
      <c r="B59329" s="7"/>
    </row>
    <row r="59330" ht="15.75" customHeight="1">
      <c r="A59330" s="7"/>
      <c r="B59330" s="7"/>
    </row>
    <row r="59331" ht="15.75" customHeight="1">
      <c r="A59331" s="7"/>
      <c r="B59331" s="7"/>
    </row>
    <row r="59332" ht="15.75" customHeight="1">
      <c r="A59332" s="7"/>
      <c r="B59332" s="7"/>
    </row>
    <row r="59333" ht="15.75" customHeight="1">
      <c r="A59333" s="7"/>
      <c r="B59333" s="7"/>
    </row>
    <row r="59334" ht="15.75" customHeight="1">
      <c r="A59334" s="7"/>
      <c r="B59334" s="7"/>
    </row>
    <row r="59335" ht="15.75" customHeight="1">
      <c r="A59335" s="7"/>
      <c r="B59335" s="7"/>
    </row>
    <row r="59336" ht="15.75" customHeight="1">
      <c r="A59336" s="7"/>
      <c r="B59336" s="7"/>
    </row>
    <row r="59337" ht="15.75" customHeight="1">
      <c r="A59337" s="7"/>
      <c r="B59337" s="7"/>
    </row>
    <row r="59338" ht="15.75" customHeight="1">
      <c r="A59338" s="7"/>
      <c r="B59338" s="7"/>
    </row>
    <row r="59339" ht="15.75" customHeight="1">
      <c r="A59339" s="7"/>
      <c r="B59339" s="7"/>
    </row>
    <row r="59340" ht="15.75" customHeight="1">
      <c r="A59340" s="7"/>
      <c r="B59340" s="7"/>
    </row>
    <row r="59341" ht="15.75" customHeight="1">
      <c r="A59341" s="7"/>
      <c r="B59341" s="7"/>
    </row>
    <row r="59342" ht="15.75" customHeight="1">
      <c r="A59342" s="7"/>
      <c r="B59342" s="7"/>
    </row>
    <row r="59343" ht="15.75" customHeight="1">
      <c r="A59343" s="7"/>
      <c r="B59343" s="7"/>
    </row>
    <row r="59344" ht="15.75" customHeight="1">
      <c r="A59344" s="7"/>
      <c r="B59344" s="7"/>
    </row>
    <row r="59345" ht="15.75" customHeight="1">
      <c r="A59345" s="7"/>
      <c r="B59345" s="7"/>
    </row>
    <row r="59346" ht="15.75" customHeight="1">
      <c r="A59346" s="7"/>
      <c r="B59346" s="7"/>
    </row>
    <row r="59347" ht="15.75" customHeight="1">
      <c r="A59347" s="7"/>
      <c r="B59347" s="7"/>
    </row>
    <row r="59348" ht="15.75" customHeight="1">
      <c r="A59348" s="7"/>
      <c r="B59348" s="7"/>
    </row>
    <row r="59349" ht="15.75" customHeight="1">
      <c r="A59349" s="7"/>
      <c r="B59349" s="7"/>
    </row>
    <row r="59350" ht="15.75" customHeight="1">
      <c r="A59350" s="7"/>
      <c r="B59350" s="7"/>
    </row>
    <row r="59351" ht="15.75" customHeight="1">
      <c r="A59351" s="7"/>
      <c r="B59351" s="7"/>
    </row>
    <row r="59352" ht="15.75" customHeight="1">
      <c r="A59352" s="7"/>
      <c r="B59352" s="7"/>
    </row>
    <row r="59353" ht="15.75" customHeight="1">
      <c r="A59353" s="7"/>
      <c r="B59353" s="7"/>
    </row>
    <row r="59354" ht="15.75" customHeight="1">
      <c r="A59354" s="7"/>
      <c r="B59354" s="7"/>
    </row>
    <row r="59355" ht="15.75" customHeight="1">
      <c r="A59355" s="7"/>
      <c r="B59355" s="7"/>
    </row>
    <row r="59356" ht="15.75" customHeight="1">
      <c r="A59356" s="7"/>
      <c r="B59356" s="7"/>
    </row>
    <row r="59357" ht="15.75" customHeight="1">
      <c r="A59357" s="7"/>
      <c r="B59357" s="7"/>
    </row>
    <row r="59358" ht="15.75" customHeight="1">
      <c r="A59358" s="7"/>
      <c r="B59358" s="7"/>
    </row>
    <row r="59359" ht="15.75" customHeight="1">
      <c r="A59359" s="7"/>
      <c r="B59359" s="7"/>
    </row>
    <row r="59360" ht="15.75" customHeight="1">
      <c r="A59360" s="7"/>
      <c r="B59360" s="7"/>
    </row>
    <row r="59361" ht="15.75" customHeight="1">
      <c r="A59361" s="7"/>
      <c r="B59361" s="7"/>
    </row>
    <row r="59362" ht="15.75" customHeight="1">
      <c r="A59362" s="7"/>
      <c r="B59362" s="7"/>
    </row>
    <row r="59363" ht="15.75" customHeight="1">
      <c r="A59363" s="7"/>
      <c r="B59363" s="7"/>
    </row>
    <row r="59364" ht="15.75" customHeight="1">
      <c r="A59364" s="7"/>
      <c r="B59364" s="7"/>
    </row>
    <row r="59365" ht="15.75" customHeight="1">
      <c r="A59365" s="7"/>
      <c r="B59365" s="7"/>
    </row>
    <row r="59366" ht="15.75" customHeight="1">
      <c r="A59366" s="7"/>
      <c r="B59366" s="7"/>
    </row>
    <row r="59367" ht="15.75" customHeight="1">
      <c r="A59367" s="7"/>
      <c r="B59367" s="7"/>
    </row>
    <row r="59368" ht="15.75" customHeight="1">
      <c r="A59368" s="7"/>
      <c r="B59368" s="7"/>
    </row>
    <row r="59369" ht="15.75" customHeight="1">
      <c r="A59369" s="7"/>
      <c r="B59369" s="7"/>
    </row>
    <row r="59370" ht="15.75" customHeight="1">
      <c r="A59370" s="7"/>
      <c r="B59370" s="7"/>
    </row>
    <row r="59371" ht="15.75" customHeight="1">
      <c r="A59371" s="7"/>
      <c r="B59371" s="7"/>
    </row>
    <row r="59372" ht="15.75" customHeight="1">
      <c r="A59372" s="7"/>
      <c r="B59372" s="7"/>
    </row>
    <row r="59373" ht="15.75" customHeight="1">
      <c r="A59373" s="7"/>
      <c r="B59373" s="7"/>
    </row>
    <row r="59374" ht="15.75" customHeight="1">
      <c r="A59374" s="7"/>
      <c r="B59374" s="7"/>
    </row>
    <row r="59375" ht="15.75" customHeight="1">
      <c r="A59375" s="7"/>
      <c r="B59375" s="7"/>
    </row>
    <row r="59376" ht="15.75" customHeight="1">
      <c r="A59376" s="7"/>
      <c r="B59376" s="7"/>
    </row>
    <row r="59377" ht="15.75" customHeight="1">
      <c r="A59377" s="7"/>
      <c r="B59377" s="7"/>
    </row>
    <row r="59378" ht="15.75" customHeight="1">
      <c r="A59378" s="7"/>
      <c r="B59378" s="7"/>
    </row>
    <row r="59379" ht="15.75" customHeight="1">
      <c r="A59379" s="7"/>
      <c r="B59379" s="7"/>
    </row>
    <row r="59380" ht="15.75" customHeight="1">
      <c r="A59380" s="7"/>
      <c r="B59380" s="7"/>
    </row>
    <row r="59381" ht="15.75" customHeight="1">
      <c r="A59381" s="7"/>
      <c r="B59381" s="7"/>
    </row>
    <row r="59382" ht="15.75" customHeight="1">
      <c r="A59382" s="7"/>
      <c r="B59382" s="7"/>
    </row>
    <row r="59383" ht="15.75" customHeight="1">
      <c r="A59383" s="7"/>
      <c r="B59383" s="7"/>
    </row>
    <row r="59384" ht="15.75" customHeight="1">
      <c r="A59384" s="7"/>
      <c r="B59384" s="7"/>
    </row>
    <row r="59385" ht="15.75" customHeight="1">
      <c r="A59385" s="7"/>
      <c r="B59385" s="7"/>
    </row>
    <row r="59386" ht="15.75" customHeight="1">
      <c r="A59386" s="7"/>
      <c r="B59386" s="7"/>
    </row>
    <row r="59387" ht="15.75" customHeight="1">
      <c r="A59387" s="7"/>
      <c r="B59387" s="7"/>
    </row>
    <row r="59388" ht="15.75" customHeight="1">
      <c r="A59388" s="7"/>
      <c r="B59388" s="7"/>
    </row>
    <row r="59389" ht="15.75" customHeight="1">
      <c r="A59389" s="7"/>
      <c r="B59389" s="7"/>
    </row>
    <row r="59390" ht="15.75" customHeight="1">
      <c r="A59390" s="7"/>
      <c r="B59390" s="7"/>
    </row>
    <row r="59391" ht="15.75" customHeight="1">
      <c r="A59391" s="7"/>
      <c r="B59391" s="7"/>
    </row>
    <row r="59392" ht="15.75" customHeight="1">
      <c r="A59392" s="7"/>
      <c r="B59392" s="7"/>
    </row>
    <row r="59393" ht="15.75" customHeight="1">
      <c r="A59393" s="7"/>
      <c r="B59393" s="7"/>
    </row>
    <row r="59394" ht="15.75" customHeight="1">
      <c r="A59394" s="7"/>
      <c r="B59394" s="7"/>
    </row>
    <row r="59395" ht="15.75" customHeight="1">
      <c r="A59395" s="7"/>
      <c r="B59395" s="7"/>
    </row>
    <row r="59396" ht="15.75" customHeight="1">
      <c r="A59396" s="7"/>
      <c r="B59396" s="7"/>
    </row>
    <row r="59397" ht="15.75" customHeight="1">
      <c r="A59397" s="7"/>
      <c r="B59397" s="7"/>
    </row>
    <row r="59398" ht="15.75" customHeight="1">
      <c r="A59398" s="7"/>
      <c r="B59398" s="7"/>
    </row>
    <row r="59399" ht="15.75" customHeight="1">
      <c r="A59399" s="7"/>
      <c r="B59399" s="7"/>
    </row>
    <row r="59400" ht="15.75" customHeight="1">
      <c r="A59400" s="7"/>
      <c r="B59400" s="7"/>
    </row>
    <row r="59401" ht="15.75" customHeight="1">
      <c r="A59401" s="7"/>
      <c r="B59401" s="7"/>
    </row>
    <row r="59402" ht="15.75" customHeight="1">
      <c r="A59402" s="7"/>
      <c r="B59402" s="7"/>
    </row>
    <row r="59403" ht="15.75" customHeight="1">
      <c r="A59403" s="7"/>
      <c r="B59403" s="7"/>
    </row>
    <row r="59404" ht="15.75" customHeight="1">
      <c r="A59404" s="7"/>
      <c r="B59404" s="7"/>
    </row>
    <row r="59405" ht="15.75" customHeight="1">
      <c r="A59405" s="7"/>
      <c r="B59405" s="7"/>
    </row>
    <row r="59406" ht="15.75" customHeight="1">
      <c r="A59406" s="7"/>
      <c r="B59406" s="7"/>
    </row>
    <row r="59407" ht="15.75" customHeight="1">
      <c r="A59407" s="7"/>
      <c r="B59407" s="7"/>
    </row>
    <row r="59408" ht="15.75" customHeight="1">
      <c r="A59408" s="7"/>
      <c r="B59408" s="7"/>
    </row>
    <row r="59409" ht="15.75" customHeight="1">
      <c r="A59409" s="7"/>
      <c r="B59409" s="7"/>
    </row>
    <row r="59410" ht="15.75" customHeight="1">
      <c r="A59410" s="7"/>
      <c r="B59410" s="7"/>
    </row>
    <row r="59411" ht="15.75" customHeight="1">
      <c r="A59411" s="7"/>
      <c r="B59411" s="7"/>
    </row>
    <row r="59412" ht="15.75" customHeight="1">
      <c r="A59412" s="7"/>
      <c r="B59412" s="7"/>
    </row>
    <row r="59413" ht="15.75" customHeight="1">
      <c r="A59413" s="7"/>
      <c r="B59413" s="7"/>
    </row>
    <row r="59414" ht="15.75" customHeight="1">
      <c r="A59414" s="7"/>
      <c r="B59414" s="7"/>
    </row>
    <row r="59415" ht="15.75" customHeight="1">
      <c r="A59415" s="7"/>
      <c r="B59415" s="7"/>
    </row>
    <row r="59416" ht="15.75" customHeight="1">
      <c r="A59416" s="7"/>
      <c r="B59416" s="7"/>
    </row>
    <row r="59417" ht="15.75" customHeight="1">
      <c r="A59417" s="7"/>
      <c r="B59417" s="7"/>
    </row>
    <row r="59418" ht="15.75" customHeight="1">
      <c r="A59418" s="7"/>
      <c r="B59418" s="7"/>
    </row>
    <row r="59419" ht="15.75" customHeight="1">
      <c r="A59419" s="7"/>
      <c r="B59419" s="7"/>
    </row>
    <row r="59420" ht="15.75" customHeight="1">
      <c r="A59420" s="7"/>
      <c r="B59420" s="7"/>
    </row>
    <row r="59421" ht="15.75" customHeight="1">
      <c r="A59421" s="7"/>
      <c r="B59421" s="7"/>
    </row>
    <row r="59422" ht="15.75" customHeight="1">
      <c r="A59422" s="7"/>
      <c r="B59422" s="7"/>
    </row>
    <row r="59423" ht="15.75" customHeight="1">
      <c r="A59423" s="7"/>
      <c r="B59423" s="7"/>
    </row>
    <row r="59424" ht="15.75" customHeight="1">
      <c r="A59424" s="7"/>
      <c r="B59424" s="7"/>
    </row>
    <row r="59425" ht="15.75" customHeight="1">
      <c r="A59425" s="7"/>
      <c r="B59425" s="7"/>
    </row>
    <row r="59426" ht="15.75" customHeight="1">
      <c r="A59426" s="7"/>
      <c r="B59426" s="7"/>
    </row>
    <row r="59427" ht="15.75" customHeight="1">
      <c r="A59427" s="7"/>
      <c r="B59427" s="7"/>
    </row>
    <row r="59428" ht="15.75" customHeight="1">
      <c r="A59428" s="7"/>
      <c r="B59428" s="7"/>
    </row>
    <row r="59429" ht="15.75" customHeight="1">
      <c r="A59429" s="7"/>
      <c r="B59429" s="7"/>
    </row>
    <row r="59430" ht="15.75" customHeight="1">
      <c r="A59430" s="7"/>
      <c r="B59430" s="7"/>
    </row>
    <row r="59431" ht="15.75" customHeight="1">
      <c r="A59431" s="7"/>
      <c r="B59431" s="7"/>
    </row>
    <row r="59432" ht="15.75" customHeight="1">
      <c r="A59432" s="7"/>
      <c r="B59432" s="7"/>
    </row>
    <row r="59433" ht="15.75" customHeight="1">
      <c r="A59433" s="7"/>
      <c r="B59433" s="7"/>
    </row>
    <row r="59434" ht="15.75" customHeight="1">
      <c r="A59434" s="7"/>
      <c r="B59434" s="7"/>
    </row>
    <row r="59435" ht="15.75" customHeight="1">
      <c r="A59435" s="7"/>
      <c r="B59435" s="7"/>
    </row>
    <row r="59436" ht="15.75" customHeight="1">
      <c r="A59436" s="7"/>
      <c r="B59436" s="7"/>
    </row>
    <row r="59437" ht="15.75" customHeight="1">
      <c r="A59437" s="7"/>
      <c r="B59437" s="7"/>
    </row>
    <row r="59438" ht="15.75" customHeight="1">
      <c r="A59438" s="7"/>
      <c r="B59438" s="7"/>
    </row>
    <row r="59439" ht="15.75" customHeight="1">
      <c r="A59439" s="7"/>
      <c r="B59439" s="7"/>
    </row>
    <row r="59440" ht="15.75" customHeight="1">
      <c r="A59440" s="7"/>
      <c r="B59440" s="7"/>
    </row>
    <row r="59441" ht="15.75" customHeight="1">
      <c r="A59441" s="7"/>
      <c r="B59441" s="7"/>
    </row>
    <row r="59442" ht="15.75" customHeight="1">
      <c r="A59442" s="7"/>
      <c r="B59442" s="7"/>
    </row>
    <row r="59443" ht="15.75" customHeight="1">
      <c r="A59443" s="7"/>
      <c r="B59443" s="7"/>
    </row>
    <row r="59444" ht="15.75" customHeight="1">
      <c r="A59444" s="7"/>
      <c r="B59444" s="7"/>
    </row>
    <row r="59445" ht="15.75" customHeight="1">
      <c r="A59445" s="7"/>
      <c r="B59445" s="7"/>
    </row>
    <row r="59446" ht="15.75" customHeight="1">
      <c r="A59446" s="7"/>
      <c r="B59446" s="7"/>
    </row>
    <row r="59447" ht="15.75" customHeight="1">
      <c r="A59447" s="7"/>
      <c r="B59447" s="7"/>
    </row>
    <row r="59448" ht="15.75" customHeight="1">
      <c r="A59448" s="7"/>
      <c r="B59448" s="7"/>
    </row>
    <row r="59449" ht="15.75" customHeight="1">
      <c r="A59449" s="7"/>
      <c r="B59449" s="7"/>
    </row>
    <row r="59450" ht="15.75" customHeight="1">
      <c r="A59450" s="7"/>
      <c r="B59450" s="7"/>
    </row>
    <row r="59451" ht="15.75" customHeight="1">
      <c r="A59451" s="7"/>
      <c r="B59451" s="7"/>
    </row>
    <row r="59452" ht="15.75" customHeight="1">
      <c r="A59452" s="7"/>
      <c r="B59452" s="7"/>
    </row>
    <row r="59453" ht="15.75" customHeight="1">
      <c r="A59453" s="7"/>
      <c r="B59453" s="7"/>
    </row>
    <row r="59454" ht="15.75" customHeight="1">
      <c r="A59454" s="7"/>
      <c r="B59454" s="7"/>
    </row>
    <row r="59455" ht="15.75" customHeight="1">
      <c r="A59455" s="7"/>
      <c r="B59455" s="7"/>
    </row>
    <row r="59456" ht="15.75" customHeight="1">
      <c r="A59456" s="7"/>
      <c r="B59456" s="7"/>
    </row>
    <row r="59457" ht="15.75" customHeight="1">
      <c r="A59457" s="7"/>
      <c r="B59457" s="7"/>
    </row>
    <row r="59458" ht="15.75" customHeight="1">
      <c r="A59458" s="7"/>
      <c r="B59458" s="7"/>
    </row>
    <row r="59459" ht="15.75" customHeight="1">
      <c r="A59459" s="7"/>
      <c r="B59459" s="7"/>
    </row>
    <row r="59460" ht="15.75" customHeight="1">
      <c r="A59460" s="7"/>
      <c r="B59460" s="7"/>
    </row>
    <row r="59461" ht="15.75" customHeight="1">
      <c r="A59461" s="7"/>
      <c r="B59461" s="7"/>
    </row>
    <row r="59462" ht="15.75" customHeight="1">
      <c r="A59462" s="7"/>
      <c r="B59462" s="7"/>
    </row>
    <row r="59463" ht="15.75" customHeight="1">
      <c r="A59463" s="7"/>
      <c r="B59463" s="7"/>
    </row>
    <row r="59464" ht="15.75" customHeight="1">
      <c r="A59464" s="7"/>
      <c r="B59464" s="7"/>
    </row>
    <row r="59465" ht="15.75" customHeight="1">
      <c r="A59465" s="7"/>
      <c r="B59465" s="7"/>
    </row>
    <row r="59466" ht="15.75" customHeight="1">
      <c r="A59466" s="7"/>
      <c r="B59466" s="7"/>
    </row>
    <row r="59467" ht="15.75" customHeight="1">
      <c r="A59467" s="7"/>
      <c r="B59467" s="7"/>
    </row>
    <row r="59468" ht="15.75" customHeight="1">
      <c r="A59468" s="7"/>
      <c r="B59468" s="7"/>
    </row>
    <row r="59469" ht="15.75" customHeight="1">
      <c r="A59469" s="7"/>
      <c r="B59469" s="7"/>
    </row>
    <row r="59470" ht="15.75" customHeight="1">
      <c r="A59470" s="7"/>
      <c r="B59470" s="7"/>
    </row>
    <row r="59471" ht="15.75" customHeight="1">
      <c r="A59471" s="7"/>
      <c r="B59471" s="7"/>
    </row>
    <row r="59472" ht="15.75" customHeight="1">
      <c r="A59472" s="7"/>
      <c r="B59472" s="7"/>
    </row>
    <row r="59473" ht="15.75" customHeight="1">
      <c r="A59473" s="7"/>
      <c r="B59473" s="7"/>
    </row>
    <row r="59474" ht="15.75" customHeight="1">
      <c r="A59474" s="7"/>
      <c r="B59474" s="7"/>
    </row>
    <row r="59475" ht="15.75" customHeight="1">
      <c r="A59475" s="7"/>
      <c r="B59475" s="7"/>
    </row>
    <row r="59476" ht="15.75" customHeight="1">
      <c r="A59476" s="7"/>
      <c r="B59476" s="7"/>
    </row>
    <row r="59477" ht="15.75" customHeight="1">
      <c r="A59477" s="7"/>
      <c r="B59477" s="7"/>
    </row>
    <row r="59478" ht="15.75" customHeight="1">
      <c r="A59478" s="7"/>
      <c r="B59478" s="7"/>
    </row>
    <row r="59479" ht="15.75" customHeight="1">
      <c r="A59479" s="7"/>
      <c r="B59479" s="7"/>
    </row>
    <row r="59480" ht="15.75" customHeight="1">
      <c r="A59480" s="7"/>
      <c r="B59480" s="7"/>
    </row>
    <row r="59481" ht="15.75" customHeight="1">
      <c r="A59481" s="7"/>
      <c r="B59481" s="7"/>
    </row>
    <row r="59482" ht="15.75" customHeight="1">
      <c r="A59482" s="7"/>
      <c r="B59482" s="7"/>
    </row>
    <row r="59483" ht="15.75" customHeight="1">
      <c r="A59483" s="7"/>
      <c r="B59483" s="7"/>
    </row>
    <row r="59484" ht="15.75" customHeight="1">
      <c r="A59484" s="7"/>
      <c r="B59484" s="7"/>
    </row>
    <row r="59485" ht="15.75" customHeight="1">
      <c r="A59485" s="7"/>
      <c r="B59485" s="7"/>
    </row>
    <row r="59486" ht="15.75" customHeight="1">
      <c r="A59486" s="7"/>
      <c r="B59486" s="7"/>
    </row>
    <row r="59487" ht="15.75" customHeight="1">
      <c r="A59487" s="7"/>
      <c r="B59487" s="7"/>
    </row>
    <row r="59488" ht="15.75" customHeight="1">
      <c r="A59488" s="7"/>
      <c r="B59488" s="7"/>
    </row>
    <row r="59489" ht="15.75" customHeight="1">
      <c r="A59489" s="7"/>
      <c r="B59489" s="7"/>
    </row>
    <row r="59490" ht="15.75" customHeight="1">
      <c r="A59490" s="7"/>
      <c r="B59490" s="7"/>
    </row>
    <row r="59491" ht="15.75" customHeight="1">
      <c r="A59491" s="7"/>
      <c r="B59491" s="7"/>
    </row>
    <row r="59492" ht="15.75" customHeight="1">
      <c r="A59492" s="7"/>
      <c r="B59492" s="7"/>
    </row>
    <row r="59493" ht="15.75" customHeight="1">
      <c r="A59493" s="7"/>
      <c r="B59493" s="7"/>
    </row>
    <row r="59494" ht="15.75" customHeight="1">
      <c r="A59494" s="7"/>
      <c r="B59494" s="7"/>
    </row>
    <row r="59495" ht="15.75" customHeight="1">
      <c r="A59495" s="7"/>
      <c r="B59495" s="7"/>
    </row>
    <row r="59496" ht="15.75" customHeight="1">
      <c r="A59496" s="7"/>
      <c r="B59496" s="7"/>
    </row>
    <row r="59497" ht="15.75" customHeight="1">
      <c r="A59497" s="7"/>
      <c r="B59497" s="7"/>
    </row>
    <row r="59498" ht="15.75" customHeight="1">
      <c r="A59498" s="7"/>
      <c r="B59498" s="7"/>
    </row>
    <row r="59499" ht="15.75" customHeight="1">
      <c r="A59499" s="7"/>
      <c r="B59499" s="7"/>
    </row>
    <row r="59500" ht="15.75" customHeight="1">
      <c r="A59500" s="7"/>
      <c r="B59500" s="7"/>
    </row>
    <row r="59501" ht="15.75" customHeight="1">
      <c r="A59501" s="7"/>
      <c r="B59501" s="7"/>
    </row>
    <row r="59502" ht="15.75" customHeight="1">
      <c r="A59502" s="7"/>
      <c r="B59502" s="7"/>
    </row>
    <row r="59503" ht="15.75" customHeight="1">
      <c r="A59503" s="7"/>
      <c r="B59503" s="7"/>
    </row>
    <row r="59504" ht="15.75" customHeight="1">
      <c r="A59504" s="7"/>
      <c r="B59504" s="7"/>
    </row>
    <row r="59505" ht="15.75" customHeight="1">
      <c r="A59505" s="7"/>
      <c r="B59505" s="7"/>
    </row>
    <row r="59506" ht="15.75" customHeight="1">
      <c r="A59506" s="7"/>
      <c r="B59506" s="7"/>
    </row>
    <row r="59507" ht="15.75" customHeight="1">
      <c r="A59507" s="7"/>
      <c r="B59507" s="7"/>
    </row>
    <row r="59508" ht="15.75" customHeight="1">
      <c r="A59508" s="7"/>
      <c r="B59508" s="7"/>
    </row>
    <row r="59509" ht="15.75" customHeight="1">
      <c r="A59509" s="7"/>
      <c r="B59509" s="7"/>
    </row>
    <row r="59510" ht="15.75" customHeight="1">
      <c r="A59510" s="7"/>
      <c r="B59510" s="7"/>
    </row>
    <row r="59511" ht="15.75" customHeight="1">
      <c r="A59511" s="7"/>
      <c r="B59511" s="7"/>
    </row>
    <row r="59512" ht="15.75" customHeight="1">
      <c r="A59512" s="7"/>
      <c r="B59512" s="7"/>
    </row>
    <row r="59513" ht="15.75" customHeight="1">
      <c r="A59513" s="7"/>
      <c r="B59513" s="7"/>
    </row>
    <row r="59514" ht="15.75" customHeight="1">
      <c r="A59514" s="7"/>
      <c r="B59514" s="7"/>
    </row>
    <row r="59515" ht="15.75" customHeight="1">
      <c r="A59515" s="7"/>
      <c r="B59515" s="7"/>
    </row>
    <row r="59516" ht="15.75" customHeight="1">
      <c r="A59516" s="7"/>
      <c r="B59516" s="7"/>
    </row>
    <row r="59517" ht="15.75" customHeight="1">
      <c r="A59517" s="7"/>
      <c r="B59517" s="7"/>
    </row>
    <row r="59518" ht="15.75" customHeight="1">
      <c r="A59518" s="7"/>
      <c r="B59518" s="7"/>
    </row>
    <row r="59519" ht="15.75" customHeight="1">
      <c r="A59519" s="7"/>
      <c r="B59519" s="7"/>
    </row>
    <row r="59520" ht="15.75" customHeight="1">
      <c r="A59520" s="7"/>
      <c r="B59520" s="7"/>
    </row>
    <row r="59521" ht="15.75" customHeight="1">
      <c r="A59521" s="7"/>
      <c r="B59521" s="7"/>
    </row>
    <row r="59522" ht="15.75" customHeight="1">
      <c r="A59522" s="7"/>
      <c r="B59522" s="7"/>
    </row>
    <row r="59523" ht="15.75" customHeight="1">
      <c r="A59523" s="7"/>
      <c r="B59523" s="7"/>
    </row>
    <row r="59524" ht="15.75" customHeight="1">
      <c r="A59524" s="7"/>
      <c r="B59524" s="7"/>
    </row>
    <row r="59525" ht="15.75" customHeight="1">
      <c r="A59525" s="7"/>
      <c r="B59525" s="7"/>
    </row>
    <row r="59526" ht="15.75" customHeight="1">
      <c r="A59526" s="7"/>
      <c r="B59526" s="7"/>
    </row>
    <row r="59527" ht="15.75" customHeight="1">
      <c r="A59527" s="7"/>
      <c r="B59527" s="7"/>
    </row>
    <row r="59528" ht="15.75" customHeight="1">
      <c r="A59528" s="7"/>
      <c r="B59528" s="7"/>
    </row>
    <row r="59529" ht="15.75" customHeight="1">
      <c r="A59529" s="7"/>
      <c r="B59529" s="7"/>
    </row>
    <row r="59530" ht="15.75" customHeight="1">
      <c r="A59530" s="7"/>
      <c r="B59530" s="7"/>
    </row>
    <row r="59531" ht="15.75" customHeight="1">
      <c r="A59531" s="7"/>
      <c r="B59531" s="7"/>
    </row>
    <row r="59532" ht="15.75" customHeight="1">
      <c r="A59532" s="7"/>
      <c r="B59532" s="7"/>
    </row>
    <row r="59533" ht="15.75" customHeight="1">
      <c r="A59533" s="7"/>
      <c r="B59533" s="7"/>
    </row>
    <row r="59534" ht="15.75" customHeight="1">
      <c r="A59534" s="7"/>
      <c r="B59534" s="7"/>
    </row>
    <row r="59535" ht="15.75" customHeight="1">
      <c r="A59535" s="7"/>
      <c r="B59535" s="7"/>
    </row>
    <row r="59536" ht="15.75" customHeight="1">
      <c r="A59536" s="7"/>
      <c r="B59536" s="7"/>
    </row>
    <row r="59537" ht="15.75" customHeight="1">
      <c r="A59537" s="7"/>
      <c r="B59537" s="7"/>
    </row>
    <row r="59538" ht="15.75" customHeight="1">
      <c r="A59538" s="7"/>
      <c r="B59538" s="7"/>
    </row>
    <row r="59539" ht="15.75" customHeight="1">
      <c r="A59539" s="7"/>
      <c r="B59539" s="7"/>
    </row>
    <row r="59540" ht="15.75" customHeight="1">
      <c r="A59540" s="7"/>
      <c r="B59540" s="7"/>
    </row>
    <row r="59541" ht="15.75" customHeight="1">
      <c r="A59541" s="7"/>
      <c r="B59541" s="7"/>
    </row>
    <row r="59542" ht="15.75" customHeight="1">
      <c r="A59542" s="7"/>
      <c r="B59542" s="7"/>
    </row>
    <row r="59543" ht="15.75" customHeight="1">
      <c r="A59543" s="7"/>
      <c r="B59543" s="7"/>
    </row>
    <row r="59544" ht="15.75" customHeight="1">
      <c r="A59544" s="7"/>
      <c r="B59544" s="7"/>
    </row>
    <row r="59545" ht="15.75" customHeight="1">
      <c r="A59545" s="7"/>
      <c r="B59545" s="7"/>
    </row>
    <row r="59546" ht="15.75" customHeight="1">
      <c r="A59546" s="7"/>
      <c r="B59546" s="7"/>
    </row>
    <row r="59547" ht="15.75" customHeight="1">
      <c r="A59547" s="7"/>
      <c r="B59547" s="7"/>
    </row>
    <row r="59548" ht="15.75" customHeight="1">
      <c r="A59548" s="7"/>
      <c r="B59548" s="7"/>
    </row>
    <row r="59549" ht="15.75" customHeight="1">
      <c r="A59549" s="7"/>
      <c r="B59549" s="7"/>
    </row>
    <row r="59550" ht="15.75" customHeight="1">
      <c r="A59550" s="7"/>
      <c r="B59550" s="7"/>
    </row>
    <row r="59551" ht="15.75" customHeight="1">
      <c r="A59551" s="7"/>
      <c r="B59551" s="7"/>
    </row>
    <row r="59552" ht="15.75" customHeight="1">
      <c r="A59552" s="7"/>
      <c r="B59552" s="7"/>
    </row>
    <row r="59553" ht="15.75" customHeight="1">
      <c r="A59553" s="7"/>
      <c r="B59553" s="7"/>
    </row>
    <row r="59554" ht="15.75" customHeight="1">
      <c r="A59554" s="7"/>
      <c r="B59554" s="7"/>
    </row>
    <row r="59555" ht="15.75" customHeight="1">
      <c r="A59555" s="7"/>
      <c r="B59555" s="7"/>
    </row>
    <row r="59556" ht="15.75" customHeight="1">
      <c r="A59556" s="7"/>
      <c r="B59556" s="7"/>
    </row>
    <row r="59557" ht="15.75" customHeight="1">
      <c r="A59557" s="7"/>
      <c r="B59557" s="7"/>
    </row>
    <row r="59558" ht="15.75" customHeight="1">
      <c r="A59558" s="7"/>
      <c r="B59558" s="7"/>
    </row>
    <row r="59559" ht="15.75" customHeight="1">
      <c r="A59559" s="7"/>
      <c r="B59559" s="7"/>
    </row>
    <row r="59560" ht="15.75" customHeight="1">
      <c r="A59560" s="7"/>
      <c r="B59560" s="7"/>
    </row>
    <row r="59561" ht="15.75" customHeight="1">
      <c r="A59561" s="7"/>
      <c r="B59561" s="7"/>
    </row>
    <row r="59562" ht="15.75" customHeight="1">
      <c r="A59562" s="7"/>
      <c r="B59562" s="7"/>
    </row>
    <row r="59563" ht="15.75" customHeight="1">
      <c r="A59563" s="7"/>
      <c r="B59563" s="7"/>
    </row>
    <row r="59564" ht="15.75" customHeight="1">
      <c r="A59564" s="7"/>
      <c r="B59564" s="7"/>
    </row>
    <row r="59565" ht="15.75" customHeight="1">
      <c r="A59565" s="7"/>
      <c r="B59565" s="7"/>
    </row>
    <row r="59566" ht="15.75" customHeight="1">
      <c r="A59566" s="7"/>
      <c r="B59566" s="7"/>
    </row>
    <row r="59567" ht="15.75" customHeight="1">
      <c r="A59567" s="7"/>
      <c r="B59567" s="7"/>
    </row>
    <row r="59568" ht="15.75" customHeight="1">
      <c r="A59568" s="7"/>
      <c r="B59568" s="7"/>
    </row>
    <row r="59569" ht="15.75" customHeight="1">
      <c r="A59569" s="7"/>
      <c r="B59569" s="7"/>
    </row>
    <row r="59570" ht="15.75" customHeight="1">
      <c r="A59570" s="7"/>
      <c r="B59570" s="7"/>
    </row>
    <row r="59571" ht="15.75" customHeight="1">
      <c r="A59571" s="7"/>
      <c r="B59571" s="7"/>
    </row>
    <row r="59572" ht="15.75" customHeight="1">
      <c r="A59572" s="7"/>
      <c r="B59572" s="7"/>
    </row>
    <row r="59573" ht="15.75" customHeight="1">
      <c r="A59573" s="7"/>
      <c r="B59573" s="7"/>
    </row>
    <row r="59574" ht="15.75" customHeight="1">
      <c r="A59574" s="7"/>
      <c r="B59574" s="7"/>
    </row>
    <row r="59575" ht="15.75" customHeight="1">
      <c r="A59575" s="7"/>
      <c r="B59575" s="7"/>
    </row>
    <row r="59576" ht="15.75" customHeight="1">
      <c r="A59576" s="7"/>
      <c r="B59576" s="7"/>
    </row>
    <row r="59577" ht="15.75" customHeight="1">
      <c r="A59577" s="7"/>
      <c r="B59577" s="7"/>
    </row>
    <row r="59578" ht="15.75" customHeight="1">
      <c r="A59578" s="7"/>
      <c r="B59578" s="7"/>
    </row>
    <row r="59579" ht="15.75" customHeight="1">
      <c r="A59579" s="7"/>
      <c r="B59579" s="7"/>
    </row>
    <row r="59580" ht="15.75" customHeight="1">
      <c r="A59580" s="7"/>
      <c r="B59580" s="7"/>
    </row>
    <row r="59581" ht="15.75" customHeight="1">
      <c r="A59581" s="7"/>
      <c r="B59581" s="7"/>
    </row>
    <row r="59582" ht="15.75" customHeight="1">
      <c r="A59582" s="7"/>
      <c r="B59582" s="7"/>
    </row>
    <row r="59583" ht="15.75" customHeight="1">
      <c r="A59583" s="7"/>
      <c r="B59583" s="7"/>
    </row>
    <row r="59584" ht="15.75" customHeight="1">
      <c r="A59584" s="7"/>
      <c r="B59584" s="7"/>
    </row>
    <row r="59585" ht="15.75" customHeight="1">
      <c r="A59585" s="7"/>
      <c r="B59585" s="7"/>
    </row>
    <row r="59586" ht="15.75" customHeight="1">
      <c r="A59586" s="7"/>
      <c r="B59586" s="7"/>
    </row>
    <row r="59587" ht="15.75" customHeight="1">
      <c r="A59587" s="7"/>
      <c r="B59587" s="7"/>
    </row>
    <row r="59588" ht="15.75" customHeight="1">
      <c r="A59588" s="7"/>
      <c r="B59588" s="7"/>
    </row>
    <row r="59589" ht="15.75" customHeight="1">
      <c r="A59589" s="7"/>
      <c r="B59589" s="7"/>
    </row>
    <row r="59590" ht="15.75" customHeight="1">
      <c r="A59590" s="7"/>
      <c r="B59590" s="7"/>
    </row>
    <row r="59591" ht="15.75" customHeight="1">
      <c r="A59591" s="7"/>
      <c r="B59591" s="7"/>
    </row>
    <row r="59592" ht="15.75" customHeight="1">
      <c r="A59592" s="7"/>
      <c r="B59592" s="7"/>
    </row>
    <row r="59593" ht="15.75" customHeight="1">
      <c r="A59593" s="7"/>
      <c r="B59593" s="7"/>
    </row>
    <row r="59594" ht="15.75" customHeight="1">
      <c r="A59594" s="7"/>
      <c r="B59594" s="7"/>
    </row>
    <row r="59595" ht="15.75" customHeight="1">
      <c r="A59595" s="7"/>
      <c r="B59595" s="7"/>
    </row>
    <row r="59596" ht="15.75" customHeight="1">
      <c r="A59596" s="7"/>
      <c r="B59596" s="7"/>
    </row>
    <row r="59597" ht="15.75" customHeight="1">
      <c r="A59597" s="7"/>
      <c r="B59597" s="7"/>
    </row>
    <row r="59598" ht="15.75" customHeight="1">
      <c r="A59598" s="7"/>
      <c r="B59598" s="7"/>
    </row>
    <row r="59599" ht="15.75" customHeight="1">
      <c r="A59599" s="7"/>
      <c r="B59599" s="7"/>
    </row>
    <row r="59600" ht="15.75" customHeight="1">
      <c r="A59600" s="7"/>
      <c r="B59600" s="7"/>
    </row>
    <row r="59601" ht="15.75" customHeight="1">
      <c r="A59601" s="7"/>
      <c r="B59601" s="7"/>
    </row>
    <row r="59602" ht="15.75" customHeight="1">
      <c r="A59602" s="7"/>
      <c r="B59602" s="7"/>
    </row>
    <row r="59603" ht="15.75" customHeight="1">
      <c r="A59603" s="7"/>
      <c r="B59603" s="7"/>
    </row>
    <row r="59604" ht="15.75" customHeight="1">
      <c r="A59604" s="7"/>
      <c r="B59604" s="7"/>
    </row>
    <row r="59605" ht="15.75" customHeight="1">
      <c r="A59605" s="7"/>
      <c r="B59605" s="7"/>
    </row>
    <row r="59606" ht="15.75" customHeight="1">
      <c r="A59606" s="7"/>
      <c r="B59606" s="7"/>
    </row>
    <row r="59607" ht="15.75" customHeight="1">
      <c r="A59607" s="7"/>
      <c r="B59607" s="7"/>
    </row>
    <row r="59608" ht="15.75" customHeight="1">
      <c r="A59608" s="7"/>
      <c r="B59608" s="7"/>
    </row>
    <row r="59609" ht="15.75" customHeight="1">
      <c r="A59609" s="7"/>
      <c r="B59609" s="7"/>
    </row>
    <row r="59610" ht="15.75" customHeight="1">
      <c r="A59610" s="7"/>
      <c r="B59610" s="7"/>
    </row>
    <row r="59611" ht="15.75" customHeight="1">
      <c r="A59611" s="7"/>
      <c r="B59611" s="7"/>
    </row>
    <row r="59612" ht="15.75" customHeight="1">
      <c r="A59612" s="7"/>
      <c r="B59612" s="7"/>
    </row>
    <row r="59613" ht="15.75" customHeight="1">
      <c r="A59613" s="7"/>
      <c r="B59613" s="7"/>
    </row>
    <row r="59614" ht="15.75" customHeight="1">
      <c r="A59614" s="7"/>
      <c r="B59614" s="7"/>
    </row>
    <row r="59615" ht="15.75" customHeight="1">
      <c r="A59615" s="7"/>
      <c r="B59615" s="7"/>
    </row>
    <row r="59616" ht="15.75" customHeight="1">
      <c r="A59616" s="7"/>
      <c r="B59616" s="7"/>
    </row>
    <row r="59617" ht="15.75" customHeight="1">
      <c r="A59617" s="7"/>
      <c r="B59617" s="7"/>
    </row>
    <row r="59618" ht="15.75" customHeight="1">
      <c r="A59618" s="7"/>
      <c r="B59618" s="7"/>
    </row>
    <row r="59619" ht="15.75" customHeight="1">
      <c r="A59619" s="7"/>
      <c r="B59619" s="7"/>
    </row>
    <row r="59620" ht="15.75" customHeight="1">
      <c r="A59620" s="7"/>
      <c r="B59620" s="7"/>
    </row>
    <row r="59621" ht="15.75" customHeight="1">
      <c r="A59621" s="7"/>
      <c r="B59621" s="7"/>
    </row>
    <row r="59622" ht="15.75" customHeight="1">
      <c r="A59622" s="7"/>
      <c r="B59622" s="7"/>
    </row>
    <row r="59623" ht="15.75" customHeight="1">
      <c r="A59623" s="7"/>
      <c r="B59623" s="7"/>
    </row>
    <row r="59624" ht="15.75" customHeight="1">
      <c r="A59624" s="7"/>
      <c r="B59624" s="7"/>
    </row>
    <row r="59625" ht="15.75" customHeight="1">
      <c r="A59625" s="7"/>
      <c r="B59625" s="7"/>
    </row>
    <row r="59626" ht="15.75" customHeight="1">
      <c r="A59626" s="7"/>
      <c r="B59626" s="7"/>
    </row>
    <row r="59627" ht="15.75" customHeight="1">
      <c r="A59627" s="7"/>
      <c r="B59627" s="7"/>
    </row>
    <row r="59628" ht="15.75" customHeight="1">
      <c r="A59628" s="7"/>
      <c r="B59628" s="7"/>
    </row>
    <row r="59629" ht="15.75" customHeight="1">
      <c r="A59629" s="7"/>
      <c r="B59629" s="7"/>
    </row>
    <row r="59630" ht="15.75" customHeight="1">
      <c r="A59630" s="7"/>
      <c r="B59630" s="7"/>
    </row>
    <row r="59631" ht="15.75" customHeight="1">
      <c r="A59631" s="7"/>
      <c r="B59631" s="7"/>
    </row>
    <row r="59632" ht="15.75" customHeight="1">
      <c r="A59632" s="7"/>
      <c r="B59632" s="7"/>
    </row>
    <row r="59633" ht="15.75" customHeight="1">
      <c r="A59633" s="7"/>
      <c r="B59633" s="7"/>
    </row>
    <row r="59634" ht="15.75" customHeight="1">
      <c r="A59634" s="7"/>
      <c r="B59634" s="7"/>
    </row>
    <row r="59635" ht="15.75" customHeight="1">
      <c r="A59635" s="7"/>
      <c r="B59635" s="7"/>
    </row>
    <row r="59636" ht="15.75" customHeight="1">
      <c r="A59636" s="7"/>
      <c r="B59636" s="7"/>
    </row>
    <row r="59637" ht="15.75" customHeight="1">
      <c r="A59637" s="7"/>
      <c r="B59637" s="7"/>
    </row>
    <row r="59638" ht="15.75" customHeight="1">
      <c r="A59638" s="7"/>
      <c r="B59638" s="7"/>
    </row>
    <row r="59639" ht="15.75" customHeight="1">
      <c r="A59639" s="7"/>
      <c r="B59639" s="7"/>
    </row>
    <row r="59640" ht="15.75" customHeight="1">
      <c r="A59640" s="7"/>
      <c r="B59640" s="7"/>
    </row>
    <row r="59641" ht="15.75" customHeight="1">
      <c r="A59641" s="7"/>
      <c r="B59641" s="7"/>
    </row>
    <row r="59642" ht="15.75" customHeight="1">
      <c r="A59642" s="7"/>
      <c r="B59642" s="7"/>
    </row>
    <row r="59643" ht="15.75" customHeight="1">
      <c r="A59643" s="7"/>
      <c r="B59643" s="7"/>
    </row>
    <row r="59644" ht="15.75" customHeight="1">
      <c r="A59644" s="7"/>
      <c r="B59644" s="7"/>
    </row>
    <row r="59645" ht="15.75" customHeight="1">
      <c r="A59645" s="7"/>
      <c r="B59645" s="7"/>
    </row>
    <row r="59646" ht="15.75" customHeight="1">
      <c r="A59646" s="7"/>
      <c r="B59646" s="7"/>
    </row>
    <row r="59647" ht="15.75" customHeight="1">
      <c r="A59647" s="7"/>
      <c r="B59647" s="7"/>
    </row>
    <row r="59648" ht="15.75" customHeight="1">
      <c r="A59648" s="7"/>
      <c r="B59648" s="7"/>
    </row>
    <row r="59649" ht="15.75" customHeight="1">
      <c r="A59649" s="7"/>
      <c r="B59649" s="7"/>
    </row>
    <row r="59650" ht="15.75" customHeight="1">
      <c r="A59650" s="7"/>
      <c r="B59650" s="7"/>
    </row>
    <row r="59651" ht="15.75" customHeight="1">
      <c r="A59651" s="7"/>
      <c r="B59651" s="7"/>
    </row>
    <row r="59652" ht="15.75" customHeight="1">
      <c r="A59652" s="7"/>
      <c r="B59652" s="7"/>
    </row>
    <row r="59653" ht="15.75" customHeight="1">
      <c r="A59653" s="7"/>
      <c r="B59653" s="7"/>
    </row>
    <row r="59654" ht="15.75" customHeight="1">
      <c r="A59654" s="7"/>
      <c r="B59654" s="7"/>
    </row>
    <row r="59655" ht="15.75" customHeight="1">
      <c r="A59655" s="7"/>
      <c r="B59655" s="7"/>
    </row>
    <row r="59656" ht="15.75" customHeight="1">
      <c r="A59656" s="7"/>
      <c r="B59656" s="7"/>
    </row>
    <row r="59657" ht="15.75" customHeight="1">
      <c r="A59657" s="7"/>
      <c r="B59657" s="7"/>
    </row>
    <row r="59658" ht="15.75" customHeight="1">
      <c r="A59658" s="7"/>
      <c r="B59658" s="7"/>
    </row>
    <row r="59659" ht="15.75" customHeight="1">
      <c r="A59659" s="7"/>
      <c r="B59659" s="7"/>
    </row>
    <row r="59660" ht="15.75" customHeight="1">
      <c r="A59660" s="7"/>
      <c r="B59660" s="7"/>
    </row>
    <row r="59661" ht="15.75" customHeight="1">
      <c r="A59661" s="7"/>
      <c r="B59661" s="7"/>
    </row>
    <row r="59662" ht="15.75" customHeight="1">
      <c r="A59662" s="7"/>
      <c r="B59662" s="7"/>
    </row>
    <row r="59663" ht="15.75" customHeight="1">
      <c r="A59663" s="7"/>
      <c r="B59663" s="7"/>
    </row>
    <row r="59664" ht="15.75" customHeight="1">
      <c r="A59664" s="7"/>
      <c r="B59664" s="7"/>
    </row>
    <row r="59665" ht="15.75" customHeight="1">
      <c r="A59665" s="7"/>
      <c r="B59665" s="7"/>
    </row>
    <row r="59666" ht="15.75" customHeight="1">
      <c r="A59666" s="7"/>
      <c r="B59666" s="7"/>
    </row>
    <row r="59667" ht="15.75" customHeight="1">
      <c r="A59667" s="7"/>
      <c r="B59667" s="7"/>
    </row>
    <row r="59668" ht="15.75" customHeight="1">
      <c r="A59668" s="7"/>
      <c r="B59668" s="7"/>
    </row>
    <row r="59669" ht="15.75" customHeight="1">
      <c r="A59669" s="7"/>
      <c r="B59669" s="7"/>
    </row>
    <row r="59670" ht="15.75" customHeight="1">
      <c r="A59670" s="7"/>
      <c r="B59670" s="7"/>
    </row>
    <row r="59671" ht="15.75" customHeight="1">
      <c r="A59671" s="7"/>
      <c r="B59671" s="7"/>
    </row>
    <row r="59672" ht="15.75" customHeight="1">
      <c r="A59672" s="7"/>
      <c r="B59672" s="7"/>
    </row>
    <row r="59673" ht="15.75" customHeight="1">
      <c r="A59673" s="7"/>
      <c r="B59673" s="7"/>
    </row>
    <row r="59674" ht="15.75" customHeight="1">
      <c r="A59674" s="7"/>
      <c r="B59674" s="7"/>
    </row>
    <row r="59675" ht="15.75" customHeight="1">
      <c r="A59675" s="7"/>
      <c r="B59675" s="7"/>
    </row>
    <row r="59676" ht="15.75" customHeight="1">
      <c r="A59676" s="7"/>
      <c r="B59676" s="7"/>
    </row>
    <row r="59677" ht="15.75" customHeight="1">
      <c r="A59677" s="7"/>
      <c r="B59677" s="7"/>
    </row>
    <row r="59678" ht="15.75" customHeight="1">
      <c r="A59678" s="7"/>
      <c r="B59678" s="7"/>
    </row>
    <row r="59679" ht="15.75" customHeight="1">
      <c r="A59679" s="7"/>
      <c r="B59679" s="7"/>
    </row>
    <row r="59680" ht="15.75" customHeight="1">
      <c r="A59680" s="7"/>
      <c r="B59680" s="7"/>
    </row>
    <row r="59681" ht="15.75" customHeight="1">
      <c r="A59681" s="7"/>
      <c r="B59681" s="7"/>
    </row>
    <row r="59682" ht="15.75" customHeight="1">
      <c r="A59682" s="7"/>
      <c r="B59682" s="7"/>
    </row>
    <row r="59683" ht="15.75" customHeight="1">
      <c r="A59683" s="7"/>
      <c r="B59683" s="7"/>
    </row>
    <row r="59684" ht="15.75" customHeight="1">
      <c r="A59684" s="7"/>
      <c r="B59684" s="7"/>
    </row>
    <row r="59685" ht="15.75" customHeight="1">
      <c r="A59685" s="7"/>
      <c r="B59685" s="7"/>
    </row>
    <row r="59686" ht="15.75" customHeight="1">
      <c r="A59686" s="7"/>
      <c r="B59686" s="7"/>
    </row>
    <row r="59687" ht="15.75" customHeight="1">
      <c r="A59687" s="7"/>
      <c r="B59687" s="7"/>
    </row>
    <row r="59688" ht="15.75" customHeight="1">
      <c r="A59688" s="7"/>
      <c r="B59688" s="7"/>
    </row>
    <row r="59689" ht="15.75" customHeight="1">
      <c r="A59689" s="7"/>
      <c r="B59689" s="7"/>
    </row>
    <row r="59690" ht="15.75" customHeight="1">
      <c r="A59690" s="7"/>
      <c r="B59690" s="7"/>
    </row>
    <row r="59691" ht="15.75" customHeight="1">
      <c r="A59691" s="7"/>
      <c r="B59691" s="7"/>
    </row>
    <row r="59692" ht="15.75" customHeight="1">
      <c r="A59692" s="7"/>
      <c r="B59692" s="7"/>
    </row>
    <row r="59693" ht="15.75" customHeight="1">
      <c r="A59693" s="7"/>
      <c r="B59693" s="7"/>
    </row>
    <row r="59694" ht="15.75" customHeight="1">
      <c r="A59694" s="7"/>
      <c r="B59694" s="7"/>
    </row>
    <row r="59695" ht="15.75" customHeight="1">
      <c r="A59695" s="7"/>
      <c r="B59695" s="7"/>
    </row>
    <row r="59696" ht="15.75" customHeight="1">
      <c r="A59696" s="7"/>
      <c r="B59696" s="7"/>
    </row>
    <row r="59697" ht="15.75" customHeight="1">
      <c r="A59697" s="7"/>
      <c r="B59697" s="7"/>
    </row>
    <row r="59698" ht="15.75" customHeight="1">
      <c r="A59698" s="7"/>
      <c r="B59698" s="7"/>
    </row>
    <row r="59699" ht="15.75" customHeight="1">
      <c r="A59699" s="7"/>
      <c r="B59699" s="7"/>
    </row>
    <row r="59700" ht="15.75" customHeight="1">
      <c r="A59700" s="7"/>
      <c r="B59700" s="7"/>
    </row>
    <row r="59701" ht="15.75" customHeight="1">
      <c r="A59701" s="7"/>
      <c r="B59701" s="7"/>
    </row>
    <row r="59702" ht="15.75" customHeight="1">
      <c r="A59702" s="7"/>
      <c r="B59702" s="7"/>
    </row>
    <row r="59703" ht="15.75" customHeight="1">
      <c r="A59703" s="7"/>
      <c r="B59703" s="7"/>
    </row>
    <row r="59704" ht="15.75" customHeight="1">
      <c r="A59704" s="7"/>
      <c r="B59704" s="7"/>
    </row>
    <row r="59705" ht="15.75" customHeight="1">
      <c r="A59705" s="7"/>
      <c r="B59705" s="7"/>
    </row>
    <row r="59706" ht="15.75" customHeight="1">
      <c r="A59706" s="7"/>
      <c r="B59706" s="7"/>
    </row>
    <row r="59707" ht="15.75" customHeight="1">
      <c r="A59707" s="7"/>
      <c r="B59707" s="7"/>
    </row>
    <row r="59708" ht="15.75" customHeight="1">
      <c r="A59708" s="7"/>
      <c r="B59708" s="7"/>
    </row>
    <row r="59709" ht="15.75" customHeight="1">
      <c r="A59709" s="7"/>
      <c r="B59709" s="7"/>
    </row>
    <row r="59710" ht="15.75" customHeight="1">
      <c r="A59710" s="7"/>
      <c r="B59710" s="7"/>
    </row>
    <row r="59711" ht="15.75" customHeight="1">
      <c r="A59711" s="7"/>
      <c r="B59711" s="7"/>
    </row>
    <row r="59712" ht="15.75" customHeight="1">
      <c r="A59712" s="7"/>
      <c r="B59712" s="7"/>
    </row>
    <row r="59713" ht="15.75" customHeight="1">
      <c r="A59713" s="7"/>
      <c r="B59713" s="7"/>
    </row>
    <row r="59714" ht="15.75" customHeight="1">
      <c r="A59714" s="7"/>
      <c r="B59714" s="7"/>
    </row>
    <row r="59715" ht="15.75" customHeight="1">
      <c r="A59715" s="7"/>
      <c r="B59715" s="7"/>
    </row>
    <row r="59716" ht="15.75" customHeight="1">
      <c r="A59716" s="7"/>
      <c r="B59716" s="7"/>
    </row>
    <row r="59717" ht="15.75" customHeight="1">
      <c r="A59717" s="7"/>
      <c r="B59717" s="7"/>
    </row>
    <row r="59718" ht="15.75" customHeight="1">
      <c r="A59718" s="7"/>
      <c r="B59718" s="7"/>
    </row>
    <row r="59719" ht="15.75" customHeight="1">
      <c r="A59719" s="7"/>
      <c r="B59719" s="7"/>
    </row>
    <row r="59720" ht="15.75" customHeight="1">
      <c r="A59720" s="7"/>
      <c r="B59720" s="7"/>
    </row>
    <row r="59721" ht="15.75" customHeight="1">
      <c r="A59721" s="7"/>
      <c r="B59721" s="7"/>
    </row>
    <row r="59722" ht="15.75" customHeight="1">
      <c r="A59722" s="7"/>
      <c r="B59722" s="7"/>
    </row>
    <row r="59723" ht="15.75" customHeight="1">
      <c r="A59723" s="7"/>
      <c r="B59723" s="7"/>
    </row>
    <row r="59724" ht="15.75" customHeight="1">
      <c r="A59724" s="7"/>
      <c r="B59724" s="7"/>
    </row>
    <row r="59725" ht="15.75" customHeight="1">
      <c r="A59725" s="7"/>
      <c r="B59725" s="7"/>
    </row>
    <row r="59726" ht="15.75" customHeight="1">
      <c r="A59726" s="7"/>
      <c r="B59726" s="7"/>
    </row>
    <row r="59727" ht="15.75" customHeight="1">
      <c r="A59727" s="7"/>
      <c r="B59727" s="7"/>
    </row>
    <row r="59728" ht="15.75" customHeight="1">
      <c r="A59728" s="7"/>
      <c r="B59728" s="7"/>
    </row>
    <row r="59729" ht="15.75" customHeight="1">
      <c r="A59729" s="7"/>
      <c r="B59729" s="7"/>
    </row>
    <row r="59730" ht="15.75" customHeight="1">
      <c r="A59730" s="7"/>
      <c r="B59730" s="7"/>
    </row>
    <row r="59731" ht="15.75" customHeight="1">
      <c r="A59731" s="7"/>
      <c r="B59731" s="7"/>
    </row>
    <row r="59732" ht="15.75" customHeight="1">
      <c r="A59732" s="7"/>
      <c r="B59732" s="7"/>
    </row>
    <row r="59733" ht="15.75" customHeight="1">
      <c r="A59733" s="7"/>
      <c r="B59733" s="7"/>
    </row>
    <row r="59734" ht="15.75" customHeight="1">
      <c r="A59734" s="7"/>
      <c r="B59734" s="7"/>
    </row>
    <row r="59735" ht="15.75" customHeight="1">
      <c r="A59735" s="7"/>
      <c r="B59735" s="7"/>
    </row>
    <row r="59736" ht="15.75" customHeight="1">
      <c r="A59736" s="7"/>
      <c r="B59736" s="7"/>
    </row>
    <row r="59737" ht="15.75" customHeight="1">
      <c r="A59737" s="7"/>
      <c r="B59737" s="7"/>
    </row>
    <row r="59738" ht="15.75" customHeight="1">
      <c r="A59738" s="7"/>
      <c r="B59738" s="7"/>
    </row>
    <row r="59739" ht="15.75" customHeight="1">
      <c r="A59739" s="7"/>
      <c r="B59739" s="7"/>
    </row>
    <row r="59740" ht="15.75" customHeight="1">
      <c r="A59740" s="7"/>
      <c r="B59740" s="7"/>
    </row>
    <row r="59741" ht="15.75" customHeight="1">
      <c r="A59741" s="7"/>
      <c r="B59741" s="7"/>
    </row>
    <row r="59742" ht="15.75" customHeight="1">
      <c r="A59742" s="7"/>
      <c r="B59742" s="7"/>
    </row>
    <row r="59743" ht="15.75" customHeight="1">
      <c r="A59743" s="7"/>
      <c r="B59743" s="7"/>
    </row>
    <row r="59744" ht="15.75" customHeight="1">
      <c r="A59744" s="7"/>
      <c r="B59744" s="7"/>
    </row>
    <row r="59745" ht="15.75" customHeight="1">
      <c r="A59745" s="7"/>
      <c r="B59745" s="7"/>
    </row>
    <row r="59746" ht="15.75" customHeight="1">
      <c r="A59746" s="7"/>
      <c r="B59746" s="7"/>
    </row>
    <row r="59747" ht="15.75" customHeight="1">
      <c r="A59747" s="7"/>
      <c r="B59747" s="7"/>
    </row>
    <row r="59748" ht="15.75" customHeight="1">
      <c r="A59748" s="7"/>
      <c r="B59748" s="7"/>
    </row>
    <row r="59749" ht="15.75" customHeight="1">
      <c r="A59749" s="7"/>
      <c r="B59749" s="7"/>
    </row>
    <row r="59750" ht="15.75" customHeight="1">
      <c r="A59750" s="7"/>
      <c r="B59750" s="7"/>
    </row>
    <row r="59751" ht="15.75" customHeight="1">
      <c r="A59751" s="7"/>
      <c r="B59751" s="7"/>
    </row>
    <row r="59752" ht="15.75" customHeight="1">
      <c r="A59752" s="7"/>
      <c r="B59752" s="7"/>
    </row>
    <row r="59753" ht="15.75" customHeight="1">
      <c r="A59753" s="7"/>
      <c r="B59753" s="7"/>
    </row>
    <row r="59754" ht="15.75" customHeight="1">
      <c r="A59754" s="7"/>
      <c r="B59754" s="7"/>
    </row>
    <row r="59755" ht="15.75" customHeight="1">
      <c r="A59755" s="7"/>
      <c r="B59755" s="7"/>
    </row>
    <row r="59756" ht="15.75" customHeight="1">
      <c r="A59756" s="7"/>
      <c r="B59756" s="7"/>
    </row>
    <row r="59757" ht="15.75" customHeight="1">
      <c r="A59757" s="7"/>
      <c r="B59757" s="7"/>
    </row>
    <row r="59758" ht="15.75" customHeight="1">
      <c r="A59758" s="7"/>
      <c r="B59758" s="7"/>
    </row>
    <row r="59759" ht="15.75" customHeight="1">
      <c r="A59759" s="7"/>
      <c r="B59759" s="7"/>
    </row>
    <row r="59760" ht="15.75" customHeight="1">
      <c r="A59760" s="7"/>
      <c r="B59760" s="7"/>
    </row>
    <row r="59761" ht="15.75" customHeight="1">
      <c r="A59761" s="7"/>
      <c r="B59761" s="7"/>
    </row>
    <row r="59762" ht="15.75" customHeight="1">
      <c r="A59762" s="7"/>
      <c r="B59762" s="7"/>
    </row>
    <row r="59763" ht="15.75" customHeight="1">
      <c r="A59763" s="7"/>
      <c r="B59763" s="7"/>
    </row>
    <row r="59764" ht="15.75" customHeight="1">
      <c r="A59764" s="7"/>
      <c r="B59764" s="7"/>
    </row>
    <row r="59765" ht="15.75" customHeight="1">
      <c r="A59765" s="7"/>
      <c r="B59765" s="7"/>
    </row>
    <row r="59766" ht="15.75" customHeight="1">
      <c r="A59766" s="7"/>
      <c r="B59766" s="7"/>
    </row>
    <row r="59767" ht="15.75" customHeight="1">
      <c r="A59767" s="7"/>
      <c r="B59767" s="7"/>
    </row>
    <row r="59768" ht="15.75" customHeight="1">
      <c r="A59768" s="7"/>
      <c r="B59768" s="7"/>
    </row>
    <row r="59769" ht="15.75" customHeight="1">
      <c r="A59769" s="7"/>
      <c r="B59769" s="7"/>
    </row>
    <row r="59770" ht="15.75" customHeight="1">
      <c r="A59770" s="7"/>
      <c r="B59770" s="7"/>
    </row>
    <row r="59771" ht="15.75" customHeight="1">
      <c r="A59771" s="7"/>
      <c r="B59771" s="7"/>
    </row>
    <row r="59772" ht="15.75" customHeight="1">
      <c r="A59772" s="7"/>
      <c r="B59772" s="7"/>
    </row>
    <row r="59773" ht="15.75" customHeight="1">
      <c r="A59773" s="7"/>
      <c r="B59773" s="7"/>
    </row>
    <row r="59774" ht="15.75" customHeight="1">
      <c r="A59774" s="7"/>
      <c r="B59774" s="7"/>
    </row>
    <row r="59775" ht="15.75" customHeight="1">
      <c r="A59775" s="7"/>
      <c r="B59775" s="7"/>
    </row>
    <row r="59776" ht="15.75" customHeight="1">
      <c r="A59776" s="7"/>
      <c r="B59776" s="7"/>
    </row>
    <row r="59777" ht="15.75" customHeight="1">
      <c r="A59777" s="7"/>
      <c r="B59777" s="7"/>
    </row>
    <row r="59778" ht="15.75" customHeight="1">
      <c r="A59778" s="7"/>
      <c r="B59778" s="7"/>
    </row>
    <row r="59779" ht="15.75" customHeight="1">
      <c r="A59779" s="7"/>
      <c r="B59779" s="7"/>
    </row>
    <row r="59780" ht="15.75" customHeight="1">
      <c r="A59780" s="7"/>
      <c r="B59780" s="7"/>
    </row>
    <row r="59781" ht="15.75" customHeight="1">
      <c r="A59781" s="7"/>
      <c r="B59781" s="7"/>
    </row>
    <row r="59782" ht="15.75" customHeight="1">
      <c r="A59782" s="7"/>
      <c r="B59782" s="7"/>
    </row>
    <row r="59783" ht="15.75" customHeight="1">
      <c r="A59783" s="7"/>
      <c r="B59783" s="7"/>
    </row>
    <row r="59784" ht="15.75" customHeight="1">
      <c r="A59784" s="7"/>
      <c r="B59784" s="7"/>
    </row>
    <row r="59785" ht="15.75" customHeight="1">
      <c r="A59785" s="7"/>
      <c r="B59785" s="7"/>
    </row>
    <row r="59786" ht="15.75" customHeight="1">
      <c r="A59786" s="7"/>
      <c r="B59786" s="7"/>
    </row>
    <row r="59787" ht="15.75" customHeight="1">
      <c r="A59787" s="7"/>
      <c r="B59787" s="7"/>
    </row>
    <row r="59788" ht="15.75" customHeight="1">
      <c r="A59788" s="7"/>
      <c r="B59788" s="7"/>
    </row>
    <row r="59789" ht="15.75" customHeight="1">
      <c r="A59789" s="7"/>
      <c r="B59789" s="7"/>
    </row>
    <row r="59790" ht="15.75" customHeight="1">
      <c r="A59790" s="7"/>
      <c r="B59790" s="7"/>
    </row>
    <row r="59791" ht="15.75" customHeight="1">
      <c r="A59791" s="7"/>
      <c r="B59791" s="7"/>
    </row>
    <row r="59792" ht="15.75" customHeight="1">
      <c r="A59792" s="7"/>
      <c r="B59792" s="7"/>
    </row>
    <row r="59793" ht="15.75" customHeight="1">
      <c r="A59793" s="7"/>
      <c r="B59793" s="7"/>
    </row>
    <row r="59794" ht="15.75" customHeight="1">
      <c r="A59794" s="7"/>
      <c r="B59794" s="7"/>
    </row>
    <row r="59795" ht="15.75" customHeight="1">
      <c r="A59795" s="7"/>
      <c r="B59795" s="7"/>
    </row>
    <row r="59796" ht="15.75" customHeight="1">
      <c r="A59796" s="7"/>
      <c r="B59796" s="7"/>
    </row>
    <row r="59797" ht="15.75" customHeight="1">
      <c r="A59797" s="7"/>
      <c r="B59797" s="7"/>
    </row>
    <row r="59798" ht="15.75" customHeight="1">
      <c r="A59798" s="7"/>
      <c r="B59798" s="7"/>
    </row>
    <row r="59799" ht="15.75" customHeight="1">
      <c r="A59799" s="7"/>
      <c r="B59799" s="7"/>
    </row>
    <row r="59800" ht="15.75" customHeight="1">
      <c r="A59800" s="7"/>
      <c r="B59800" s="7"/>
    </row>
    <row r="59801" ht="15.75" customHeight="1">
      <c r="A59801" s="7"/>
      <c r="B59801" s="7"/>
    </row>
    <row r="59802" ht="15.75" customHeight="1">
      <c r="A59802" s="7"/>
      <c r="B59802" s="7"/>
    </row>
    <row r="59803" ht="15.75" customHeight="1">
      <c r="A59803" s="7"/>
      <c r="B59803" s="7"/>
    </row>
    <row r="59804" ht="15.75" customHeight="1">
      <c r="A59804" s="7"/>
      <c r="B59804" s="7"/>
    </row>
    <row r="59805" ht="15.75" customHeight="1">
      <c r="A59805" s="7"/>
      <c r="B59805" s="7"/>
    </row>
    <row r="59806" ht="15.75" customHeight="1">
      <c r="A59806" s="7"/>
      <c r="B59806" s="7"/>
    </row>
    <row r="59807" ht="15.75" customHeight="1">
      <c r="A59807" s="7"/>
      <c r="B59807" s="7"/>
    </row>
    <row r="59808" ht="15.75" customHeight="1">
      <c r="A59808" s="7"/>
      <c r="B59808" s="7"/>
    </row>
    <row r="59809" ht="15.75" customHeight="1">
      <c r="A59809" s="7"/>
      <c r="B59809" s="7"/>
    </row>
    <row r="59810" ht="15.75" customHeight="1">
      <c r="A59810" s="7"/>
      <c r="B59810" s="7"/>
    </row>
    <row r="59811" ht="15.75" customHeight="1">
      <c r="A59811" s="7"/>
      <c r="B59811" s="7"/>
    </row>
    <row r="59812" ht="15.75" customHeight="1">
      <c r="A59812" s="7"/>
      <c r="B59812" s="7"/>
    </row>
    <row r="59813" ht="15.75" customHeight="1">
      <c r="A59813" s="7"/>
      <c r="B59813" s="7"/>
    </row>
    <row r="59814" ht="15.75" customHeight="1">
      <c r="A59814" s="7"/>
      <c r="B59814" s="7"/>
    </row>
    <row r="59815" ht="15.75" customHeight="1">
      <c r="A59815" s="7"/>
      <c r="B59815" s="7"/>
    </row>
    <row r="59816" ht="15.75" customHeight="1">
      <c r="A59816" s="7"/>
      <c r="B59816" s="7"/>
    </row>
    <row r="59817" ht="15.75" customHeight="1">
      <c r="A59817" s="7"/>
      <c r="B59817" s="7"/>
    </row>
    <row r="59818" ht="15.75" customHeight="1">
      <c r="A59818" s="7"/>
      <c r="B59818" s="7"/>
    </row>
    <row r="59819" ht="15.75" customHeight="1">
      <c r="A59819" s="7"/>
      <c r="B59819" s="7"/>
    </row>
    <row r="59820" ht="15.75" customHeight="1">
      <c r="A59820" s="7"/>
      <c r="B59820" s="7"/>
    </row>
    <row r="59821" ht="15.75" customHeight="1">
      <c r="A59821" s="7"/>
      <c r="B59821" s="7"/>
    </row>
    <row r="59822" ht="15.75" customHeight="1">
      <c r="A59822" s="7"/>
      <c r="B59822" s="7"/>
    </row>
    <row r="59823" ht="15.75" customHeight="1">
      <c r="A59823" s="7"/>
      <c r="B59823" s="7"/>
    </row>
    <row r="59824" ht="15.75" customHeight="1">
      <c r="A59824" s="7"/>
      <c r="B59824" s="7"/>
    </row>
    <row r="59825" ht="15.75" customHeight="1">
      <c r="A59825" s="7"/>
      <c r="B59825" s="7"/>
    </row>
    <row r="59826" ht="15.75" customHeight="1">
      <c r="A59826" s="7"/>
      <c r="B59826" s="7"/>
    </row>
    <row r="59827" ht="15.75" customHeight="1">
      <c r="A59827" s="7"/>
      <c r="B59827" s="7"/>
    </row>
    <row r="59828" ht="15.75" customHeight="1">
      <c r="A59828" s="7"/>
      <c r="B59828" s="7"/>
    </row>
    <row r="59829" ht="15.75" customHeight="1">
      <c r="A59829" s="7"/>
      <c r="B59829" s="7"/>
    </row>
    <row r="59830" ht="15.75" customHeight="1">
      <c r="A59830" s="7"/>
      <c r="B59830" s="7"/>
    </row>
    <row r="59831" ht="15.75" customHeight="1">
      <c r="A59831" s="7"/>
      <c r="B59831" s="7"/>
    </row>
    <row r="59832" ht="15.75" customHeight="1">
      <c r="A59832" s="7"/>
      <c r="B59832" s="7"/>
    </row>
    <row r="59833" ht="15.75" customHeight="1">
      <c r="A59833" s="7"/>
      <c r="B59833" s="7"/>
    </row>
    <row r="59834" ht="15.75" customHeight="1">
      <c r="A59834" s="7"/>
      <c r="B59834" s="7"/>
    </row>
    <row r="59835" ht="15.75" customHeight="1">
      <c r="A59835" s="7"/>
      <c r="B59835" s="7"/>
    </row>
    <row r="59836" ht="15.75" customHeight="1">
      <c r="A59836" s="7"/>
      <c r="B59836" s="7"/>
    </row>
    <row r="59837" ht="15.75" customHeight="1">
      <c r="A59837" s="7"/>
      <c r="B59837" s="7"/>
    </row>
    <row r="59838" ht="15.75" customHeight="1">
      <c r="A59838" s="7"/>
      <c r="B59838" s="7"/>
    </row>
    <row r="59839" ht="15.75" customHeight="1">
      <c r="A59839" s="7"/>
      <c r="B59839" s="7"/>
    </row>
    <row r="59840" ht="15.75" customHeight="1">
      <c r="A59840" s="7"/>
      <c r="B59840" s="7"/>
    </row>
    <row r="59841" ht="15.75" customHeight="1">
      <c r="A59841" s="7"/>
      <c r="B59841" s="7"/>
    </row>
    <row r="59842" ht="15.75" customHeight="1">
      <c r="A59842" s="7"/>
      <c r="B59842" s="7"/>
    </row>
    <row r="59843" ht="15.75" customHeight="1">
      <c r="A59843" s="7"/>
      <c r="B59843" s="7"/>
    </row>
    <row r="59844" ht="15.75" customHeight="1">
      <c r="A59844" s="7"/>
      <c r="B59844" s="7"/>
    </row>
    <row r="59845" ht="15.75" customHeight="1">
      <c r="A59845" s="7"/>
      <c r="B59845" s="7"/>
    </row>
    <row r="59846" ht="15.75" customHeight="1">
      <c r="A59846" s="7"/>
      <c r="B59846" s="7"/>
    </row>
    <row r="59847" ht="15.75" customHeight="1">
      <c r="A59847" s="7"/>
      <c r="B59847" s="7"/>
    </row>
    <row r="59848" ht="15.75" customHeight="1">
      <c r="A59848" s="7"/>
      <c r="B59848" s="7"/>
    </row>
    <row r="59849" ht="15.75" customHeight="1">
      <c r="A59849" s="7"/>
      <c r="B59849" s="7"/>
    </row>
    <row r="59850" ht="15.75" customHeight="1">
      <c r="A59850" s="7"/>
      <c r="B59850" s="7"/>
    </row>
    <row r="59851" ht="15.75" customHeight="1">
      <c r="A59851" s="7"/>
      <c r="B59851" s="7"/>
    </row>
    <row r="59852" ht="15.75" customHeight="1">
      <c r="A59852" s="7"/>
      <c r="B59852" s="7"/>
    </row>
    <row r="59853" ht="15.75" customHeight="1">
      <c r="A59853" s="7"/>
      <c r="B59853" s="7"/>
    </row>
    <row r="59854" ht="15.75" customHeight="1">
      <c r="A59854" s="7"/>
      <c r="B59854" s="7"/>
    </row>
    <row r="59855" ht="15.75" customHeight="1">
      <c r="A59855" s="7"/>
      <c r="B59855" s="7"/>
    </row>
    <row r="59856" ht="15.75" customHeight="1">
      <c r="A59856" s="7"/>
      <c r="B59856" s="7"/>
    </row>
    <row r="59857" ht="15.75" customHeight="1">
      <c r="A59857" s="7"/>
      <c r="B59857" s="7"/>
    </row>
    <row r="59858" ht="15.75" customHeight="1">
      <c r="A59858" s="7"/>
      <c r="B59858" s="7"/>
    </row>
    <row r="59859" ht="15.75" customHeight="1">
      <c r="A59859" s="7"/>
      <c r="B59859" s="7"/>
    </row>
    <row r="59860" ht="15.75" customHeight="1">
      <c r="A59860" s="7"/>
      <c r="B59860" s="7"/>
    </row>
    <row r="59861" ht="15.75" customHeight="1">
      <c r="A59861" s="7"/>
      <c r="B59861" s="7"/>
    </row>
    <row r="59862" ht="15.75" customHeight="1">
      <c r="A59862" s="7"/>
      <c r="B59862" s="7"/>
    </row>
    <row r="59863" ht="15.75" customHeight="1">
      <c r="A59863" s="7"/>
      <c r="B59863" s="7"/>
    </row>
    <row r="59864" ht="15.75" customHeight="1">
      <c r="A59864" s="7"/>
      <c r="B59864" s="7"/>
    </row>
    <row r="59865" ht="15.75" customHeight="1">
      <c r="A59865" s="7"/>
      <c r="B59865" s="7"/>
    </row>
    <row r="59866" ht="15.75" customHeight="1">
      <c r="A59866" s="7"/>
      <c r="B59866" s="7"/>
    </row>
    <row r="59867" ht="15.75" customHeight="1">
      <c r="A59867" s="7"/>
      <c r="B59867" s="7"/>
    </row>
    <row r="59868" ht="15.75" customHeight="1">
      <c r="A59868" s="7"/>
      <c r="B59868" s="7"/>
    </row>
    <row r="59869" ht="15.75" customHeight="1">
      <c r="A59869" s="7"/>
      <c r="B59869" s="7"/>
    </row>
    <row r="59870" ht="15.75" customHeight="1">
      <c r="A59870" s="7"/>
      <c r="B59870" s="7"/>
    </row>
    <row r="59871" ht="15.75" customHeight="1">
      <c r="A59871" s="7"/>
      <c r="B59871" s="7"/>
    </row>
    <row r="59872" ht="15.75" customHeight="1">
      <c r="A59872" s="7"/>
      <c r="B59872" s="7"/>
    </row>
    <row r="59873" ht="15.75" customHeight="1">
      <c r="A59873" s="7"/>
      <c r="B59873" s="7"/>
    </row>
    <row r="59874" ht="15.75" customHeight="1">
      <c r="A59874" s="7"/>
      <c r="B59874" s="7"/>
    </row>
    <row r="59875" ht="15.75" customHeight="1">
      <c r="A59875" s="7"/>
      <c r="B59875" s="7"/>
    </row>
    <row r="59876" ht="15.75" customHeight="1">
      <c r="A59876" s="7"/>
      <c r="B59876" s="7"/>
    </row>
    <row r="59877" ht="15.75" customHeight="1">
      <c r="A59877" s="7"/>
      <c r="B59877" s="7"/>
    </row>
    <row r="59878" ht="15.75" customHeight="1">
      <c r="A59878" s="7"/>
      <c r="B59878" s="7"/>
    </row>
    <row r="59879" ht="15.75" customHeight="1">
      <c r="A59879" s="7"/>
      <c r="B59879" s="7"/>
    </row>
    <row r="59880" ht="15.75" customHeight="1">
      <c r="A59880" s="7"/>
      <c r="B59880" s="7"/>
    </row>
    <row r="59881" ht="15.75" customHeight="1">
      <c r="A59881" s="7"/>
      <c r="B59881" s="7"/>
    </row>
    <row r="59882" ht="15.75" customHeight="1">
      <c r="A59882" s="7"/>
      <c r="B59882" s="7"/>
    </row>
    <row r="59883" ht="15.75" customHeight="1">
      <c r="A59883" s="7"/>
      <c r="B59883" s="7"/>
    </row>
    <row r="59884" ht="15.75" customHeight="1">
      <c r="A59884" s="7"/>
      <c r="B59884" s="7"/>
    </row>
    <row r="59885" ht="15.75" customHeight="1">
      <c r="A59885" s="7"/>
      <c r="B59885" s="7"/>
    </row>
    <row r="59886" ht="15.75" customHeight="1">
      <c r="A59886" s="7"/>
      <c r="B59886" s="7"/>
    </row>
    <row r="59887" ht="15.75" customHeight="1">
      <c r="A59887" s="7"/>
      <c r="B59887" s="7"/>
    </row>
    <row r="59888" ht="15.75" customHeight="1">
      <c r="A59888" s="7"/>
      <c r="B59888" s="7"/>
    </row>
    <row r="59889" ht="15.75" customHeight="1">
      <c r="A59889" s="7"/>
      <c r="B59889" s="7"/>
    </row>
    <row r="59890" ht="15.75" customHeight="1">
      <c r="A59890" s="7"/>
      <c r="B59890" s="7"/>
    </row>
    <row r="59891" ht="15.75" customHeight="1">
      <c r="A59891" s="7"/>
      <c r="B59891" s="7"/>
    </row>
    <row r="59892" ht="15.75" customHeight="1">
      <c r="A59892" s="7"/>
      <c r="B59892" s="7"/>
    </row>
    <row r="59893" ht="15.75" customHeight="1">
      <c r="A59893" s="7"/>
      <c r="B59893" s="7"/>
    </row>
    <row r="59894" ht="15.75" customHeight="1">
      <c r="A59894" s="7"/>
      <c r="B59894" s="7"/>
    </row>
    <row r="59895" ht="15.75" customHeight="1">
      <c r="A59895" s="7"/>
      <c r="B59895" s="7"/>
    </row>
    <row r="59896" ht="15.75" customHeight="1">
      <c r="A59896" s="7"/>
      <c r="B59896" s="7"/>
    </row>
    <row r="59897" ht="15.75" customHeight="1">
      <c r="A59897" s="7"/>
      <c r="B59897" s="7"/>
    </row>
    <row r="59898" ht="15.75" customHeight="1">
      <c r="A59898" s="7"/>
      <c r="B59898" s="7"/>
    </row>
    <row r="59899" ht="15.75" customHeight="1">
      <c r="A59899" s="7"/>
      <c r="B59899" s="7"/>
    </row>
    <row r="59900" ht="15.75" customHeight="1">
      <c r="A59900" s="7"/>
      <c r="B59900" s="7"/>
    </row>
    <row r="59901" ht="15.75" customHeight="1">
      <c r="A59901" s="7"/>
      <c r="B59901" s="7"/>
    </row>
    <row r="59902" ht="15.75" customHeight="1">
      <c r="A59902" s="7"/>
      <c r="B59902" s="7"/>
    </row>
    <row r="59903" ht="15.75" customHeight="1">
      <c r="A59903" s="7"/>
      <c r="B59903" s="7"/>
    </row>
    <row r="59904" ht="15.75" customHeight="1">
      <c r="A59904" s="7"/>
      <c r="B59904" s="7"/>
    </row>
    <row r="59905" ht="15.75" customHeight="1">
      <c r="A59905" s="7"/>
      <c r="B59905" s="7"/>
    </row>
    <row r="59906" ht="15.75" customHeight="1">
      <c r="A59906" s="7"/>
      <c r="B59906" s="7"/>
    </row>
    <row r="59907" ht="15.75" customHeight="1">
      <c r="A59907" s="7"/>
      <c r="B59907" s="7"/>
    </row>
    <row r="59908" ht="15.75" customHeight="1">
      <c r="A59908" s="7"/>
      <c r="B59908" s="7"/>
    </row>
    <row r="59909" ht="15.75" customHeight="1">
      <c r="A59909" s="7"/>
      <c r="B59909" s="7"/>
    </row>
    <row r="59910" ht="15.75" customHeight="1">
      <c r="A59910" s="7"/>
      <c r="B59910" s="7"/>
    </row>
    <row r="59911" ht="15.75" customHeight="1">
      <c r="A59911" s="7"/>
      <c r="B59911" s="7"/>
    </row>
    <row r="59912" ht="15.75" customHeight="1">
      <c r="A59912" s="7"/>
      <c r="B59912" s="7"/>
    </row>
    <row r="59913" ht="15.75" customHeight="1">
      <c r="A59913" s="7"/>
      <c r="B59913" s="7"/>
    </row>
    <row r="59914" ht="15.75" customHeight="1">
      <c r="A59914" s="7"/>
      <c r="B59914" s="7"/>
    </row>
    <row r="59915" ht="15.75" customHeight="1">
      <c r="A59915" s="7"/>
      <c r="B59915" s="7"/>
    </row>
    <row r="59916" ht="15.75" customHeight="1">
      <c r="A59916" s="7"/>
      <c r="B59916" s="7"/>
    </row>
    <row r="59917" ht="15.75" customHeight="1">
      <c r="A59917" s="7"/>
      <c r="B59917" s="7"/>
    </row>
    <row r="59918" ht="15.75" customHeight="1">
      <c r="A59918" s="7"/>
      <c r="B59918" s="7"/>
    </row>
    <row r="59919" ht="15.75" customHeight="1">
      <c r="A59919" s="7"/>
      <c r="B59919" s="7"/>
    </row>
    <row r="59920" ht="15.75" customHeight="1">
      <c r="A59920" s="7"/>
      <c r="B59920" s="7"/>
    </row>
    <row r="59921" ht="15.75" customHeight="1">
      <c r="A59921" s="7"/>
      <c r="B59921" s="7"/>
    </row>
    <row r="59922" ht="15.75" customHeight="1">
      <c r="A59922" s="7"/>
      <c r="B59922" s="7"/>
    </row>
    <row r="59923" ht="15.75" customHeight="1">
      <c r="A59923" s="7"/>
      <c r="B59923" s="7"/>
    </row>
    <row r="59924" ht="15.75" customHeight="1">
      <c r="A59924" s="7"/>
      <c r="B59924" s="7"/>
    </row>
    <row r="59925" ht="15.75" customHeight="1">
      <c r="A59925" s="7"/>
      <c r="B59925" s="7"/>
    </row>
    <row r="59926" ht="15.75" customHeight="1">
      <c r="A59926" s="7"/>
      <c r="B59926" s="7"/>
    </row>
    <row r="59927" ht="15.75" customHeight="1">
      <c r="A59927" s="7"/>
      <c r="B59927" s="7"/>
    </row>
    <row r="59928" ht="15.75" customHeight="1">
      <c r="A59928" s="7"/>
      <c r="B59928" s="7"/>
    </row>
    <row r="59929" ht="15.75" customHeight="1">
      <c r="A59929" s="7"/>
      <c r="B59929" s="7"/>
    </row>
    <row r="59930" ht="15.75" customHeight="1">
      <c r="A59930" s="7"/>
      <c r="B59930" s="7"/>
    </row>
    <row r="59931" ht="15.75" customHeight="1">
      <c r="A59931" s="7"/>
      <c r="B59931" s="7"/>
    </row>
    <row r="59932" ht="15.75" customHeight="1">
      <c r="A59932" s="7"/>
      <c r="B59932" s="7"/>
    </row>
    <row r="59933" ht="15.75" customHeight="1">
      <c r="A59933" s="7"/>
      <c r="B59933" s="7"/>
    </row>
    <row r="59934" ht="15.75" customHeight="1">
      <c r="A59934" s="7"/>
      <c r="B59934" s="7"/>
    </row>
    <row r="59935" ht="15.75" customHeight="1">
      <c r="A59935" s="7"/>
      <c r="B59935" s="7"/>
    </row>
    <row r="59936" ht="15.75" customHeight="1">
      <c r="A59936" s="7"/>
      <c r="B59936" s="7"/>
    </row>
    <row r="59937" ht="15.75" customHeight="1">
      <c r="A59937" s="7"/>
      <c r="B59937" s="7"/>
    </row>
    <row r="59938" ht="15.75" customHeight="1">
      <c r="A59938" s="7"/>
      <c r="B59938" s="7"/>
    </row>
    <row r="59939" ht="15.75" customHeight="1">
      <c r="A59939" s="7"/>
      <c r="B59939" s="7"/>
    </row>
    <row r="59940" ht="15.75" customHeight="1">
      <c r="A59940" s="7"/>
      <c r="B59940" s="7"/>
    </row>
    <row r="59941" ht="15.75" customHeight="1">
      <c r="A59941" s="7"/>
      <c r="B59941" s="7"/>
    </row>
    <row r="59942" ht="15.75" customHeight="1">
      <c r="A59942" s="7"/>
      <c r="B59942" s="7"/>
    </row>
    <row r="59943" ht="15.75" customHeight="1">
      <c r="A59943" s="7"/>
      <c r="B59943" s="7"/>
    </row>
    <row r="59944" ht="15.75" customHeight="1">
      <c r="A59944" s="7"/>
      <c r="B59944" s="7"/>
    </row>
    <row r="59945" ht="15.75" customHeight="1">
      <c r="A59945" s="7"/>
      <c r="B59945" s="7"/>
    </row>
    <row r="59946" ht="15.75" customHeight="1">
      <c r="A59946" s="7"/>
      <c r="B59946" s="7"/>
    </row>
    <row r="59947" ht="15.75" customHeight="1">
      <c r="A59947" s="7"/>
      <c r="B59947" s="7"/>
    </row>
    <row r="59948" ht="15.75" customHeight="1">
      <c r="A59948" s="7"/>
      <c r="B59948" s="7"/>
    </row>
    <row r="59949" ht="15.75" customHeight="1">
      <c r="A59949" s="7"/>
      <c r="B59949" s="7"/>
    </row>
    <row r="59950" ht="15.75" customHeight="1">
      <c r="A59950" s="7"/>
      <c r="B59950" s="7"/>
    </row>
    <row r="59951" ht="15.75" customHeight="1">
      <c r="A59951" s="7"/>
      <c r="B59951" s="7"/>
    </row>
    <row r="59952" ht="15.75" customHeight="1">
      <c r="A59952" s="7"/>
      <c r="B59952" s="7"/>
    </row>
    <row r="59953" ht="15.75" customHeight="1">
      <c r="A59953" s="7"/>
      <c r="B59953" s="7"/>
    </row>
    <row r="59954" ht="15.75" customHeight="1">
      <c r="A59954" s="7"/>
      <c r="B59954" s="7"/>
    </row>
    <row r="59955" ht="15.75" customHeight="1">
      <c r="A59955" s="7"/>
      <c r="B59955" s="7"/>
    </row>
    <row r="59956" ht="15.75" customHeight="1">
      <c r="A59956" s="7"/>
      <c r="B59956" s="7"/>
    </row>
    <row r="59957" ht="15.75" customHeight="1">
      <c r="A59957" s="7"/>
      <c r="B59957" s="7"/>
    </row>
    <row r="59958" ht="15.75" customHeight="1">
      <c r="A59958" s="7"/>
      <c r="B59958" s="7"/>
    </row>
    <row r="59959" ht="15.75" customHeight="1">
      <c r="A59959" s="7"/>
      <c r="B59959" s="7"/>
    </row>
    <row r="59960" ht="15.75" customHeight="1">
      <c r="A59960" s="7"/>
      <c r="B59960" s="7"/>
    </row>
    <row r="59961" ht="15.75" customHeight="1">
      <c r="A59961" s="7"/>
      <c r="B59961" s="7"/>
    </row>
    <row r="59962" ht="15.75" customHeight="1">
      <c r="A59962" s="7"/>
      <c r="B59962" s="7"/>
    </row>
    <row r="59963" ht="15.75" customHeight="1">
      <c r="A59963" s="7"/>
      <c r="B59963" s="7"/>
    </row>
    <row r="59964" ht="15.75" customHeight="1">
      <c r="A59964" s="7"/>
      <c r="B59964" s="7"/>
    </row>
    <row r="59965" ht="15.75" customHeight="1">
      <c r="A59965" s="7"/>
      <c r="B59965" s="7"/>
    </row>
    <row r="59966" ht="15.75" customHeight="1">
      <c r="A59966" s="7"/>
      <c r="B59966" s="7"/>
    </row>
    <row r="59967" ht="15.75" customHeight="1">
      <c r="A59967" s="7"/>
      <c r="B59967" s="7"/>
    </row>
    <row r="59968" ht="15.75" customHeight="1">
      <c r="A59968" s="7"/>
      <c r="B59968" s="7"/>
    </row>
    <row r="59969" ht="15.75" customHeight="1">
      <c r="A59969" s="7"/>
      <c r="B59969" s="7"/>
    </row>
    <row r="59970" ht="15.75" customHeight="1">
      <c r="A59970" s="7"/>
      <c r="B59970" s="7"/>
    </row>
    <row r="59971" ht="15.75" customHeight="1">
      <c r="A59971" s="7"/>
      <c r="B59971" s="7"/>
    </row>
    <row r="59972" ht="15.75" customHeight="1">
      <c r="A59972" s="7"/>
      <c r="B59972" s="7"/>
    </row>
    <row r="59973" ht="15.75" customHeight="1">
      <c r="A59973" s="7"/>
      <c r="B59973" s="7"/>
    </row>
    <row r="59974" ht="15.75" customHeight="1">
      <c r="A59974" s="7"/>
      <c r="B59974" s="7"/>
    </row>
    <row r="59975" ht="15.75" customHeight="1">
      <c r="A59975" s="7"/>
      <c r="B59975" s="7"/>
    </row>
    <row r="59976" ht="15.75" customHeight="1">
      <c r="A59976" s="7"/>
      <c r="B59976" s="7"/>
    </row>
    <row r="59977" ht="15.75" customHeight="1">
      <c r="A59977" s="7"/>
      <c r="B59977" s="7"/>
    </row>
    <row r="59978" ht="15.75" customHeight="1">
      <c r="A59978" s="7"/>
      <c r="B59978" s="7"/>
    </row>
    <row r="59979" ht="15.75" customHeight="1">
      <c r="A59979" s="7"/>
      <c r="B59979" s="7"/>
    </row>
    <row r="59980" ht="15.75" customHeight="1">
      <c r="A59980" s="7"/>
      <c r="B59980" s="7"/>
    </row>
    <row r="59981" ht="15.75" customHeight="1">
      <c r="A59981" s="7"/>
      <c r="B59981" s="7"/>
    </row>
    <row r="59982" ht="15.75" customHeight="1">
      <c r="A59982" s="7"/>
      <c r="B59982" s="7"/>
    </row>
    <row r="59983" ht="15.75" customHeight="1">
      <c r="A59983" s="7"/>
      <c r="B59983" s="7"/>
    </row>
    <row r="59984" ht="15.75" customHeight="1">
      <c r="A59984" s="7"/>
      <c r="B59984" s="7"/>
    </row>
    <row r="59985" ht="15.75" customHeight="1">
      <c r="A59985" s="7"/>
      <c r="B59985" s="7"/>
    </row>
    <row r="59986" ht="15.75" customHeight="1">
      <c r="A59986" s="7"/>
      <c r="B59986" s="7"/>
    </row>
    <row r="59987" ht="15.75" customHeight="1">
      <c r="A59987" s="7"/>
      <c r="B59987" s="7"/>
    </row>
    <row r="59988" ht="15.75" customHeight="1">
      <c r="A59988" s="7"/>
      <c r="B59988" s="7"/>
    </row>
    <row r="59989" ht="15.75" customHeight="1">
      <c r="A59989" s="7"/>
      <c r="B59989" s="7"/>
    </row>
    <row r="59990" ht="15.75" customHeight="1">
      <c r="A59990" s="7"/>
      <c r="B59990" s="7"/>
    </row>
    <row r="59991" ht="15.75" customHeight="1">
      <c r="A59991" s="7"/>
      <c r="B59991" s="7"/>
    </row>
    <row r="59992" ht="15.75" customHeight="1">
      <c r="A59992" s="7"/>
      <c r="B59992" s="7"/>
    </row>
    <row r="59993" ht="15.75" customHeight="1">
      <c r="A59993" s="7"/>
      <c r="B59993" s="7"/>
    </row>
    <row r="59994" ht="15.75" customHeight="1">
      <c r="A59994" s="7"/>
      <c r="B59994" s="7"/>
    </row>
    <row r="59995" ht="15.75" customHeight="1">
      <c r="A59995" s="7"/>
      <c r="B59995" s="7"/>
    </row>
    <row r="59996" ht="15.75" customHeight="1">
      <c r="A59996" s="7"/>
      <c r="B59996" s="7"/>
    </row>
    <row r="59997" ht="15.75" customHeight="1">
      <c r="A59997" s="7"/>
      <c r="B59997" s="7"/>
    </row>
    <row r="59998" ht="15.75" customHeight="1">
      <c r="A59998" s="7"/>
      <c r="B59998" s="7"/>
    </row>
    <row r="59999" ht="15.75" customHeight="1">
      <c r="A59999" s="7"/>
      <c r="B59999" s="7"/>
    </row>
    <row r="60000" ht="15.75" customHeight="1">
      <c r="A60000" s="7"/>
      <c r="B60000" s="7"/>
    </row>
    <row r="60001" ht="15.75" customHeight="1">
      <c r="A60001" s="7"/>
      <c r="B60001" s="7"/>
    </row>
    <row r="60002" ht="15.75" customHeight="1">
      <c r="A60002" s="7"/>
      <c r="B60002" s="7"/>
    </row>
    <row r="60003" ht="15.75" customHeight="1">
      <c r="A60003" s="7"/>
      <c r="B60003" s="7"/>
    </row>
    <row r="60004" ht="15.75" customHeight="1">
      <c r="A60004" s="7"/>
      <c r="B60004" s="7"/>
    </row>
    <row r="60005" ht="15.75" customHeight="1">
      <c r="A60005" s="7"/>
      <c r="B60005" s="7"/>
    </row>
    <row r="60006" ht="15.75" customHeight="1">
      <c r="A60006" s="7"/>
      <c r="B60006" s="7"/>
    </row>
    <row r="60007" ht="15.75" customHeight="1">
      <c r="A60007" s="7"/>
      <c r="B60007" s="7"/>
    </row>
    <row r="60008" ht="15.75" customHeight="1">
      <c r="A60008" s="7"/>
      <c r="B60008" s="7"/>
    </row>
    <row r="60009" ht="15.75" customHeight="1">
      <c r="A60009" s="7"/>
      <c r="B60009" s="7"/>
    </row>
    <row r="60010" ht="15.75" customHeight="1">
      <c r="A60010" s="7"/>
      <c r="B60010" s="7"/>
    </row>
    <row r="60011" ht="15.75" customHeight="1">
      <c r="A60011" s="7"/>
      <c r="B60011" s="7"/>
    </row>
    <row r="60012" ht="15.75" customHeight="1">
      <c r="A60012" s="7"/>
      <c r="B60012" s="7"/>
    </row>
    <row r="60013" ht="15.75" customHeight="1">
      <c r="A60013" s="7"/>
      <c r="B60013" s="7"/>
    </row>
    <row r="60014" ht="15.75" customHeight="1">
      <c r="A60014" s="7"/>
      <c r="B60014" s="7"/>
    </row>
    <row r="60015" ht="15.75" customHeight="1">
      <c r="A60015" s="7"/>
      <c r="B60015" s="7"/>
    </row>
    <row r="60016" ht="15.75" customHeight="1">
      <c r="A60016" s="7"/>
      <c r="B60016" s="7"/>
    </row>
    <row r="60017" ht="15.75" customHeight="1">
      <c r="A60017" s="7"/>
      <c r="B60017" s="7"/>
    </row>
    <row r="60018" ht="15.75" customHeight="1">
      <c r="A60018" s="7"/>
      <c r="B60018" s="7"/>
    </row>
    <row r="60019" ht="15.75" customHeight="1">
      <c r="A60019" s="7"/>
      <c r="B60019" s="7"/>
    </row>
    <row r="60020" ht="15.75" customHeight="1">
      <c r="A60020" s="7"/>
      <c r="B60020" s="7"/>
    </row>
    <row r="60021" ht="15.75" customHeight="1">
      <c r="A60021" s="7"/>
      <c r="B60021" s="7"/>
    </row>
    <row r="60022" ht="15.75" customHeight="1">
      <c r="A60022" s="7"/>
      <c r="B60022" s="7"/>
    </row>
    <row r="60023" ht="15.75" customHeight="1">
      <c r="A60023" s="7"/>
      <c r="B60023" s="7"/>
    </row>
    <row r="60024" ht="15.75" customHeight="1">
      <c r="A60024" s="7"/>
      <c r="B60024" s="7"/>
    </row>
    <row r="60025" ht="15.75" customHeight="1">
      <c r="A60025" s="7"/>
      <c r="B60025" s="7"/>
    </row>
    <row r="60026" ht="15.75" customHeight="1">
      <c r="A60026" s="7"/>
      <c r="B60026" s="7"/>
    </row>
    <row r="60027" ht="15.75" customHeight="1">
      <c r="A60027" s="7"/>
      <c r="B60027" s="7"/>
    </row>
    <row r="60028" ht="15.75" customHeight="1">
      <c r="A60028" s="7"/>
      <c r="B60028" s="7"/>
    </row>
    <row r="60029" ht="15.75" customHeight="1">
      <c r="A60029" s="7"/>
      <c r="B60029" s="7"/>
    </row>
    <row r="60030" ht="15.75" customHeight="1">
      <c r="A60030" s="7"/>
      <c r="B60030" s="7"/>
    </row>
    <row r="60031" ht="15.75" customHeight="1">
      <c r="A60031" s="7"/>
      <c r="B60031" s="7"/>
    </row>
    <row r="60032" ht="15.75" customHeight="1">
      <c r="A60032" s="7"/>
      <c r="B60032" s="7"/>
    </row>
    <row r="60033" ht="15.75" customHeight="1">
      <c r="A60033" s="7"/>
      <c r="B60033" s="7"/>
    </row>
    <row r="60034" ht="15.75" customHeight="1">
      <c r="A60034" s="7"/>
      <c r="B60034" s="7"/>
    </row>
    <row r="60035" ht="15.75" customHeight="1">
      <c r="A60035" s="7"/>
      <c r="B60035" s="7"/>
    </row>
    <row r="60036" ht="15.75" customHeight="1">
      <c r="A60036" s="7"/>
      <c r="B60036" s="7"/>
    </row>
    <row r="60037" ht="15.75" customHeight="1">
      <c r="A60037" s="7"/>
      <c r="B60037" s="7"/>
    </row>
    <row r="60038" ht="15.75" customHeight="1">
      <c r="A60038" s="7"/>
      <c r="B60038" s="7"/>
    </row>
    <row r="60039" ht="15.75" customHeight="1">
      <c r="A60039" s="7"/>
      <c r="B60039" s="7"/>
    </row>
    <row r="60040" ht="15.75" customHeight="1">
      <c r="A60040" s="7"/>
      <c r="B60040" s="7"/>
    </row>
    <row r="60041" ht="15.75" customHeight="1">
      <c r="A60041" s="7"/>
      <c r="B60041" s="7"/>
    </row>
    <row r="60042" ht="15.75" customHeight="1">
      <c r="A60042" s="7"/>
      <c r="B60042" s="7"/>
    </row>
    <row r="60043" ht="15.75" customHeight="1">
      <c r="A60043" s="7"/>
      <c r="B60043" s="7"/>
    </row>
    <row r="60044" ht="15.75" customHeight="1">
      <c r="A60044" s="7"/>
      <c r="B60044" s="7"/>
    </row>
    <row r="60045" ht="15.75" customHeight="1">
      <c r="A60045" s="7"/>
      <c r="B60045" s="7"/>
    </row>
    <row r="60046" ht="15.75" customHeight="1">
      <c r="A60046" s="7"/>
      <c r="B60046" s="7"/>
    </row>
    <row r="60047" ht="15.75" customHeight="1">
      <c r="A60047" s="7"/>
      <c r="B60047" s="7"/>
    </row>
    <row r="60048" ht="15.75" customHeight="1">
      <c r="A60048" s="7"/>
      <c r="B60048" s="7"/>
    </row>
    <row r="60049" ht="15.75" customHeight="1">
      <c r="A60049" s="7"/>
      <c r="B60049" s="7"/>
    </row>
    <row r="60050" ht="15.75" customHeight="1">
      <c r="A60050" s="7"/>
      <c r="B60050" s="7"/>
    </row>
    <row r="60051" ht="15.75" customHeight="1">
      <c r="A60051" s="7"/>
      <c r="B60051" s="7"/>
    </row>
    <row r="60052" ht="15.75" customHeight="1">
      <c r="A60052" s="7"/>
      <c r="B60052" s="7"/>
    </row>
    <row r="60053" ht="15.75" customHeight="1">
      <c r="A60053" s="7"/>
      <c r="B60053" s="7"/>
    </row>
    <row r="60054" ht="15.75" customHeight="1">
      <c r="A60054" s="7"/>
      <c r="B60054" s="7"/>
    </row>
    <row r="60055" ht="15.75" customHeight="1">
      <c r="A60055" s="7"/>
      <c r="B60055" s="7"/>
    </row>
    <row r="60056" ht="15.75" customHeight="1">
      <c r="A60056" s="7"/>
      <c r="B60056" s="7"/>
    </row>
    <row r="60057" ht="15.75" customHeight="1">
      <c r="A60057" s="7"/>
      <c r="B60057" s="7"/>
    </row>
    <row r="60058" ht="15.75" customHeight="1">
      <c r="A60058" s="7"/>
      <c r="B60058" s="7"/>
    </row>
    <row r="60059" ht="15.75" customHeight="1">
      <c r="A60059" s="7"/>
      <c r="B60059" s="7"/>
    </row>
    <row r="60060" ht="15.75" customHeight="1">
      <c r="A60060" s="7"/>
      <c r="B60060" s="7"/>
    </row>
    <row r="60061" ht="15.75" customHeight="1">
      <c r="A60061" s="7"/>
      <c r="B60061" s="7"/>
    </row>
    <row r="60062" ht="15.75" customHeight="1">
      <c r="A60062" s="7"/>
      <c r="B60062" s="7"/>
    </row>
    <row r="60063" ht="15.75" customHeight="1">
      <c r="A60063" s="7"/>
      <c r="B60063" s="7"/>
    </row>
    <row r="60064" ht="15.75" customHeight="1">
      <c r="A60064" s="7"/>
      <c r="B60064" s="7"/>
    </row>
    <row r="60065" ht="15.75" customHeight="1">
      <c r="A60065" s="7"/>
      <c r="B60065" s="7"/>
    </row>
    <row r="60066" ht="15.75" customHeight="1">
      <c r="A60066" s="7"/>
      <c r="B60066" s="7"/>
    </row>
    <row r="60067" ht="15.75" customHeight="1">
      <c r="A60067" s="7"/>
      <c r="B60067" s="7"/>
    </row>
    <row r="60068" ht="15.75" customHeight="1">
      <c r="A60068" s="7"/>
      <c r="B60068" s="7"/>
    </row>
    <row r="60069" ht="15.75" customHeight="1">
      <c r="A60069" s="7"/>
      <c r="B60069" s="7"/>
    </row>
    <row r="60070" ht="15.75" customHeight="1">
      <c r="A60070" s="7"/>
      <c r="B60070" s="7"/>
    </row>
    <row r="60071" ht="15.75" customHeight="1">
      <c r="A60071" s="7"/>
      <c r="B60071" s="7"/>
    </row>
    <row r="60072" ht="15.75" customHeight="1">
      <c r="A60072" s="7"/>
      <c r="B60072" s="7"/>
    </row>
    <row r="60073" ht="15.75" customHeight="1">
      <c r="A60073" s="7"/>
      <c r="B60073" s="7"/>
    </row>
    <row r="60074" ht="15.75" customHeight="1">
      <c r="A60074" s="7"/>
      <c r="B60074" s="7"/>
    </row>
    <row r="60075" ht="15.75" customHeight="1">
      <c r="A60075" s="7"/>
      <c r="B60075" s="7"/>
    </row>
    <row r="60076" ht="15.75" customHeight="1">
      <c r="A60076" s="7"/>
      <c r="B60076" s="7"/>
    </row>
    <row r="60077" ht="15.75" customHeight="1">
      <c r="A60077" s="7"/>
      <c r="B60077" s="7"/>
    </row>
    <row r="60078" ht="15.75" customHeight="1">
      <c r="A60078" s="7"/>
      <c r="B60078" s="7"/>
    </row>
    <row r="60079" ht="15.75" customHeight="1">
      <c r="A60079" s="7"/>
      <c r="B60079" s="7"/>
    </row>
    <row r="60080" ht="15.75" customHeight="1">
      <c r="A60080" s="7"/>
      <c r="B60080" s="7"/>
    </row>
    <row r="60081" ht="15.75" customHeight="1">
      <c r="A60081" s="7"/>
      <c r="B60081" s="7"/>
    </row>
    <row r="60082" ht="15.75" customHeight="1">
      <c r="A60082" s="7"/>
      <c r="B60082" s="7"/>
    </row>
    <row r="60083" ht="15.75" customHeight="1">
      <c r="A60083" s="7"/>
      <c r="B60083" s="7"/>
    </row>
    <row r="60084" ht="15.75" customHeight="1">
      <c r="A60084" s="7"/>
      <c r="B60084" s="7"/>
    </row>
    <row r="60085" ht="15.75" customHeight="1">
      <c r="A60085" s="7"/>
      <c r="B60085" s="7"/>
    </row>
    <row r="60086" ht="15.75" customHeight="1">
      <c r="A60086" s="7"/>
      <c r="B60086" s="7"/>
    </row>
    <row r="60087" ht="15.75" customHeight="1">
      <c r="A60087" s="7"/>
      <c r="B60087" s="7"/>
    </row>
    <row r="60088" ht="15.75" customHeight="1">
      <c r="A60088" s="7"/>
      <c r="B60088" s="7"/>
    </row>
    <row r="60089" ht="15.75" customHeight="1">
      <c r="A60089" s="7"/>
      <c r="B60089" s="7"/>
    </row>
    <row r="60090" ht="15.75" customHeight="1">
      <c r="A60090" s="7"/>
      <c r="B60090" s="7"/>
    </row>
    <row r="60091" ht="15.75" customHeight="1">
      <c r="A60091" s="7"/>
      <c r="B60091" s="7"/>
    </row>
    <row r="60092" ht="15.75" customHeight="1">
      <c r="A60092" s="7"/>
      <c r="B60092" s="7"/>
    </row>
    <row r="60093" ht="15.75" customHeight="1">
      <c r="A60093" s="7"/>
      <c r="B60093" s="7"/>
    </row>
    <row r="60094" ht="15.75" customHeight="1">
      <c r="A60094" s="7"/>
      <c r="B60094" s="7"/>
    </row>
    <row r="60095" ht="15.75" customHeight="1">
      <c r="A60095" s="7"/>
      <c r="B60095" s="7"/>
    </row>
    <row r="60096" ht="15.75" customHeight="1">
      <c r="A60096" s="7"/>
      <c r="B60096" s="7"/>
    </row>
    <row r="60097" ht="15.75" customHeight="1">
      <c r="A60097" s="7"/>
      <c r="B60097" s="7"/>
    </row>
    <row r="60098" ht="15.75" customHeight="1">
      <c r="A60098" s="7"/>
      <c r="B60098" s="7"/>
    </row>
    <row r="60099" ht="15.75" customHeight="1">
      <c r="A60099" s="7"/>
      <c r="B60099" s="7"/>
    </row>
    <row r="60100" ht="15.75" customHeight="1">
      <c r="A60100" s="7"/>
      <c r="B60100" s="7"/>
    </row>
    <row r="60101" ht="15.75" customHeight="1">
      <c r="A60101" s="7"/>
      <c r="B60101" s="7"/>
    </row>
    <row r="60102" ht="15.75" customHeight="1">
      <c r="A60102" s="7"/>
      <c r="B60102" s="7"/>
    </row>
    <row r="60103" ht="15.75" customHeight="1">
      <c r="A60103" s="7"/>
      <c r="B60103" s="7"/>
    </row>
    <row r="60104" ht="15.75" customHeight="1">
      <c r="A60104" s="7"/>
      <c r="B60104" s="7"/>
    </row>
    <row r="60105" ht="15.75" customHeight="1">
      <c r="A60105" s="7"/>
      <c r="B60105" s="7"/>
    </row>
    <row r="60106" ht="15.75" customHeight="1">
      <c r="A60106" s="7"/>
      <c r="B60106" s="7"/>
    </row>
    <row r="60107" ht="15.75" customHeight="1">
      <c r="A60107" s="7"/>
      <c r="B60107" s="7"/>
    </row>
    <row r="60108" ht="15.75" customHeight="1">
      <c r="A60108" s="7"/>
      <c r="B60108" s="7"/>
    </row>
    <row r="60109" ht="15.75" customHeight="1">
      <c r="A60109" s="7"/>
      <c r="B60109" s="7"/>
    </row>
    <row r="60110" ht="15.75" customHeight="1">
      <c r="A60110" s="7"/>
      <c r="B60110" s="7"/>
    </row>
    <row r="60111" ht="15.75" customHeight="1">
      <c r="A60111" s="7"/>
      <c r="B60111" s="7"/>
    </row>
    <row r="60112" ht="15.75" customHeight="1">
      <c r="A60112" s="7"/>
      <c r="B60112" s="7"/>
    </row>
    <row r="60113" ht="15.75" customHeight="1">
      <c r="A60113" s="7"/>
      <c r="B60113" s="7"/>
    </row>
    <row r="60114" ht="15.75" customHeight="1">
      <c r="A60114" s="7"/>
      <c r="B60114" s="7"/>
    </row>
    <row r="60115" ht="15.75" customHeight="1">
      <c r="A60115" s="7"/>
      <c r="B60115" s="7"/>
    </row>
    <row r="60116" ht="15.75" customHeight="1">
      <c r="A60116" s="7"/>
      <c r="B60116" s="7"/>
    </row>
    <row r="60117" ht="15.75" customHeight="1">
      <c r="A60117" s="7"/>
      <c r="B60117" s="7"/>
    </row>
    <row r="60118" ht="15.75" customHeight="1">
      <c r="A60118" s="7"/>
      <c r="B60118" s="7"/>
    </row>
    <row r="60119" ht="15.75" customHeight="1">
      <c r="A60119" s="7"/>
      <c r="B60119" s="7"/>
    </row>
    <row r="60120" ht="15.75" customHeight="1">
      <c r="A60120" s="7"/>
      <c r="B60120" s="7"/>
    </row>
    <row r="60121" ht="15.75" customHeight="1">
      <c r="A60121" s="7"/>
      <c r="B60121" s="7"/>
    </row>
    <row r="60122" ht="15.75" customHeight="1">
      <c r="A60122" s="7"/>
      <c r="B60122" s="7"/>
    </row>
    <row r="60123" ht="15.75" customHeight="1">
      <c r="A60123" s="7"/>
      <c r="B60123" s="7"/>
    </row>
    <row r="60124" ht="15.75" customHeight="1">
      <c r="A60124" s="7"/>
      <c r="B60124" s="7"/>
    </row>
    <row r="60125" ht="15.75" customHeight="1">
      <c r="A60125" s="7"/>
      <c r="B60125" s="7"/>
    </row>
    <row r="60126" ht="15.75" customHeight="1">
      <c r="A60126" s="7"/>
      <c r="B60126" s="7"/>
    </row>
    <row r="60127" ht="15.75" customHeight="1">
      <c r="A60127" s="7"/>
      <c r="B60127" s="7"/>
    </row>
    <row r="60128" ht="15.75" customHeight="1">
      <c r="A60128" s="7"/>
      <c r="B60128" s="7"/>
    </row>
    <row r="60129" ht="15.75" customHeight="1">
      <c r="A60129" s="7"/>
      <c r="B60129" s="7"/>
    </row>
    <row r="60130" ht="15.75" customHeight="1">
      <c r="A60130" s="7"/>
      <c r="B60130" s="7"/>
    </row>
    <row r="60131" ht="15.75" customHeight="1">
      <c r="A60131" s="7"/>
      <c r="B60131" s="7"/>
    </row>
    <row r="60132" ht="15.75" customHeight="1">
      <c r="A60132" s="7"/>
      <c r="B60132" s="7"/>
    </row>
    <row r="60133" ht="15.75" customHeight="1">
      <c r="A60133" s="7"/>
      <c r="B60133" s="7"/>
    </row>
    <row r="60134" ht="15.75" customHeight="1">
      <c r="A60134" s="7"/>
      <c r="B60134" s="7"/>
    </row>
    <row r="60135" ht="15.75" customHeight="1">
      <c r="A60135" s="7"/>
      <c r="B60135" s="7"/>
    </row>
    <row r="60136" ht="15.75" customHeight="1">
      <c r="A60136" s="7"/>
      <c r="B60136" s="7"/>
    </row>
    <row r="60137" ht="15.75" customHeight="1">
      <c r="A60137" s="7"/>
      <c r="B60137" s="7"/>
    </row>
    <row r="60138" ht="15.75" customHeight="1">
      <c r="A60138" s="7"/>
      <c r="B60138" s="7"/>
    </row>
    <row r="60139" ht="15.75" customHeight="1">
      <c r="A60139" s="7"/>
      <c r="B60139" s="7"/>
    </row>
    <row r="60140" ht="15.75" customHeight="1">
      <c r="A60140" s="7"/>
      <c r="B60140" s="7"/>
    </row>
    <row r="60141" ht="15.75" customHeight="1">
      <c r="A60141" s="7"/>
      <c r="B60141" s="7"/>
    </row>
    <row r="60142" ht="15.75" customHeight="1">
      <c r="A60142" s="7"/>
      <c r="B60142" s="7"/>
    </row>
    <row r="60143" ht="15.75" customHeight="1">
      <c r="A60143" s="7"/>
      <c r="B60143" s="7"/>
    </row>
    <row r="60144" ht="15.75" customHeight="1">
      <c r="A60144" s="7"/>
      <c r="B60144" s="7"/>
    </row>
    <row r="60145" ht="15.75" customHeight="1">
      <c r="A60145" s="7"/>
      <c r="B60145" s="7"/>
    </row>
    <row r="60146" ht="15.75" customHeight="1">
      <c r="A60146" s="7"/>
      <c r="B60146" s="7"/>
    </row>
    <row r="60147" ht="15.75" customHeight="1">
      <c r="A60147" s="7"/>
      <c r="B60147" s="7"/>
    </row>
    <row r="60148" ht="15.75" customHeight="1">
      <c r="A60148" s="7"/>
      <c r="B60148" s="7"/>
    </row>
    <row r="60149" ht="15.75" customHeight="1">
      <c r="A60149" s="7"/>
      <c r="B60149" s="7"/>
    </row>
    <row r="60150" ht="15.75" customHeight="1">
      <c r="A60150" s="7"/>
      <c r="B60150" s="7"/>
    </row>
    <row r="60151" ht="15.75" customHeight="1">
      <c r="A60151" s="7"/>
      <c r="B60151" s="7"/>
    </row>
    <row r="60152" ht="15.75" customHeight="1">
      <c r="A60152" s="7"/>
      <c r="B60152" s="7"/>
    </row>
    <row r="60153" ht="15.75" customHeight="1">
      <c r="A60153" s="7"/>
      <c r="B60153" s="7"/>
    </row>
    <row r="60154" ht="15.75" customHeight="1">
      <c r="A60154" s="7"/>
      <c r="B60154" s="7"/>
    </row>
    <row r="60155" ht="15.75" customHeight="1">
      <c r="A60155" s="7"/>
      <c r="B60155" s="7"/>
    </row>
    <row r="60156" ht="15.75" customHeight="1">
      <c r="A60156" s="7"/>
      <c r="B60156" s="7"/>
    </row>
    <row r="60157" ht="15.75" customHeight="1">
      <c r="A60157" s="7"/>
      <c r="B60157" s="7"/>
    </row>
    <row r="60158" ht="15.75" customHeight="1">
      <c r="A60158" s="7"/>
      <c r="B60158" s="7"/>
    </row>
    <row r="60159" ht="15.75" customHeight="1">
      <c r="A60159" s="7"/>
      <c r="B60159" s="7"/>
    </row>
    <row r="60160" ht="15.75" customHeight="1">
      <c r="A60160" s="7"/>
      <c r="B60160" s="7"/>
    </row>
    <row r="60161" ht="15.75" customHeight="1">
      <c r="A60161" s="7"/>
      <c r="B60161" s="7"/>
    </row>
    <row r="60162" ht="15.75" customHeight="1">
      <c r="A60162" s="7"/>
      <c r="B60162" s="7"/>
    </row>
    <row r="60163" ht="15.75" customHeight="1">
      <c r="A60163" s="7"/>
      <c r="B60163" s="7"/>
    </row>
    <row r="60164" ht="15.75" customHeight="1">
      <c r="A60164" s="7"/>
      <c r="B60164" s="7"/>
    </row>
    <row r="60165" ht="15.75" customHeight="1">
      <c r="A60165" s="7"/>
      <c r="B60165" s="7"/>
    </row>
    <row r="60166" ht="15.75" customHeight="1">
      <c r="A60166" s="7"/>
      <c r="B60166" s="7"/>
    </row>
    <row r="60167" ht="15.75" customHeight="1">
      <c r="A60167" s="7"/>
      <c r="B60167" s="7"/>
    </row>
    <row r="60168" ht="15.75" customHeight="1">
      <c r="A60168" s="7"/>
      <c r="B60168" s="7"/>
    </row>
    <row r="60169" ht="15.75" customHeight="1">
      <c r="A60169" s="7"/>
      <c r="B60169" s="7"/>
    </row>
    <row r="60170" ht="15.75" customHeight="1">
      <c r="A60170" s="7"/>
      <c r="B60170" s="7"/>
    </row>
    <row r="60171" ht="15.75" customHeight="1">
      <c r="A60171" s="7"/>
      <c r="B60171" s="7"/>
    </row>
    <row r="60172" ht="15.75" customHeight="1">
      <c r="A60172" s="7"/>
      <c r="B60172" s="7"/>
    </row>
    <row r="60173" ht="15.75" customHeight="1">
      <c r="A60173" s="7"/>
      <c r="B60173" s="7"/>
    </row>
    <row r="60174" ht="15.75" customHeight="1">
      <c r="A60174" s="7"/>
      <c r="B60174" s="7"/>
    </row>
    <row r="60175" ht="15.75" customHeight="1">
      <c r="A60175" s="7"/>
      <c r="B60175" s="7"/>
    </row>
    <row r="60176" ht="15.75" customHeight="1">
      <c r="A60176" s="7"/>
      <c r="B60176" s="7"/>
    </row>
    <row r="60177" ht="15.75" customHeight="1">
      <c r="A60177" s="7"/>
      <c r="B60177" s="7"/>
    </row>
    <row r="60178" ht="15.75" customHeight="1">
      <c r="A60178" s="7"/>
      <c r="B60178" s="7"/>
    </row>
    <row r="60179" ht="15.75" customHeight="1">
      <c r="A60179" s="7"/>
      <c r="B60179" s="7"/>
    </row>
    <row r="60180" ht="15.75" customHeight="1">
      <c r="A60180" s="7"/>
      <c r="B60180" s="7"/>
    </row>
    <row r="60181" ht="15.75" customHeight="1">
      <c r="A60181" s="7"/>
      <c r="B60181" s="7"/>
    </row>
    <row r="60182" ht="15.75" customHeight="1">
      <c r="A60182" s="7"/>
      <c r="B60182" s="7"/>
    </row>
    <row r="60183" ht="15.75" customHeight="1">
      <c r="A60183" s="7"/>
      <c r="B60183" s="7"/>
    </row>
    <row r="60184" ht="15.75" customHeight="1">
      <c r="A60184" s="7"/>
      <c r="B60184" s="7"/>
    </row>
    <row r="60185" ht="15.75" customHeight="1">
      <c r="A60185" s="7"/>
      <c r="B60185" s="7"/>
    </row>
    <row r="60186" ht="15.75" customHeight="1">
      <c r="A60186" s="7"/>
      <c r="B60186" s="7"/>
    </row>
    <row r="60187" ht="15.75" customHeight="1">
      <c r="A60187" s="7"/>
      <c r="B60187" s="7"/>
    </row>
    <row r="60188" ht="15.75" customHeight="1">
      <c r="A60188" s="7"/>
      <c r="B60188" s="7"/>
    </row>
    <row r="60189" ht="15.75" customHeight="1">
      <c r="A60189" s="7"/>
      <c r="B60189" s="7"/>
    </row>
    <row r="60190" ht="15.75" customHeight="1">
      <c r="A60190" s="7"/>
      <c r="B60190" s="7"/>
    </row>
    <row r="60191" ht="15.75" customHeight="1">
      <c r="A60191" s="7"/>
      <c r="B60191" s="7"/>
    </row>
    <row r="60192" ht="15.75" customHeight="1">
      <c r="A60192" s="7"/>
      <c r="B60192" s="7"/>
    </row>
    <row r="60193" ht="15.75" customHeight="1">
      <c r="A60193" s="7"/>
      <c r="B60193" s="7"/>
    </row>
    <row r="60194" ht="15.75" customHeight="1">
      <c r="A60194" s="7"/>
      <c r="B60194" s="7"/>
    </row>
    <row r="60195" ht="15.75" customHeight="1">
      <c r="A60195" s="7"/>
      <c r="B60195" s="7"/>
    </row>
    <row r="60196" ht="15.75" customHeight="1">
      <c r="A60196" s="7"/>
      <c r="B60196" s="7"/>
    </row>
    <row r="60197" ht="15.75" customHeight="1">
      <c r="A60197" s="7"/>
      <c r="B60197" s="7"/>
    </row>
    <row r="60198" ht="15.75" customHeight="1">
      <c r="A60198" s="7"/>
      <c r="B60198" s="7"/>
    </row>
    <row r="60199" ht="15.75" customHeight="1">
      <c r="A60199" s="7"/>
      <c r="B60199" s="7"/>
    </row>
    <row r="60200" ht="15.75" customHeight="1">
      <c r="A60200" s="7"/>
      <c r="B60200" s="7"/>
    </row>
    <row r="60201" ht="15.75" customHeight="1">
      <c r="A60201" s="7"/>
      <c r="B60201" s="7"/>
    </row>
    <row r="60202" ht="15.75" customHeight="1">
      <c r="A60202" s="7"/>
      <c r="B60202" s="7"/>
    </row>
    <row r="60203" ht="15.75" customHeight="1">
      <c r="A60203" s="7"/>
      <c r="B60203" s="7"/>
    </row>
    <row r="60204" ht="15.75" customHeight="1">
      <c r="A60204" s="7"/>
      <c r="B60204" s="7"/>
    </row>
    <row r="60205" ht="15.75" customHeight="1">
      <c r="A60205" s="7"/>
      <c r="B60205" s="7"/>
    </row>
    <row r="60206" ht="15.75" customHeight="1">
      <c r="A60206" s="7"/>
      <c r="B60206" s="7"/>
    </row>
    <row r="60207" ht="15.75" customHeight="1">
      <c r="A60207" s="7"/>
      <c r="B60207" s="7"/>
    </row>
    <row r="60208" ht="15.75" customHeight="1">
      <c r="A60208" s="7"/>
      <c r="B60208" s="7"/>
    </row>
    <row r="60209" ht="15.75" customHeight="1">
      <c r="A60209" s="7"/>
      <c r="B60209" s="7"/>
    </row>
    <row r="60210" ht="15.75" customHeight="1">
      <c r="A60210" s="7"/>
      <c r="B60210" s="7"/>
    </row>
    <row r="60211" ht="15.75" customHeight="1">
      <c r="A60211" s="7"/>
      <c r="B60211" s="7"/>
    </row>
    <row r="60212" ht="15.75" customHeight="1">
      <c r="A60212" s="7"/>
      <c r="B60212" s="7"/>
    </row>
    <row r="60213" ht="15.75" customHeight="1">
      <c r="A60213" s="7"/>
      <c r="B60213" s="7"/>
    </row>
    <row r="60214" ht="15.75" customHeight="1">
      <c r="A60214" s="7"/>
      <c r="B60214" s="7"/>
    </row>
    <row r="60215" ht="15.75" customHeight="1">
      <c r="A60215" s="7"/>
      <c r="B60215" s="7"/>
    </row>
    <row r="60216" ht="15.75" customHeight="1">
      <c r="A60216" s="7"/>
      <c r="B60216" s="7"/>
    </row>
    <row r="60217" ht="15.75" customHeight="1">
      <c r="A60217" s="7"/>
      <c r="B60217" s="7"/>
    </row>
    <row r="60218" ht="15.75" customHeight="1">
      <c r="A60218" s="7"/>
      <c r="B60218" s="7"/>
    </row>
    <row r="60219" ht="15.75" customHeight="1">
      <c r="A60219" s="7"/>
      <c r="B60219" s="7"/>
    </row>
    <row r="60220" ht="15.75" customHeight="1">
      <c r="A60220" s="7"/>
      <c r="B60220" s="7"/>
    </row>
    <row r="60221" ht="15.75" customHeight="1">
      <c r="A60221" s="7"/>
      <c r="B60221" s="7"/>
    </row>
    <row r="60222" ht="15.75" customHeight="1">
      <c r="A60222" s="7"/>
      <c r="B60222" s="7"/>
    </row>
    <row r="60223" ht="15.75" customHeight="1">
      <c r="A60223" s="7"/>
      <c r="B60223" s="7"/>
    </row>
    <row r="60224" ht="15.75" customHeight="1">
      <c r="A60224" s="7"/>
      <c r="B60224" s="7"/>
    </row>
    <row r="60225" ht="15.75" customHeight="1">
      <c r="A60225" s="7"/>
      <c r="B60225" s="7"/>
    </row>
    <row r="60226" ht="15.75" customHeight="1">
      <c r="A60226" s="7"/>
      <c r="B60226" s="7"/>
    </row>
    <row r="60227" ht="15.75" customHeight="1">
      <c r="A60227" s="7"/>
      <c r="B60227" s="7"/>
    </row>
    <row r="60228" ht="15.75" customHeight="1">
      <c r="A60228" s="7"/>
      <c r="B60228" s="7"/>
    </row>
    <row r="60229" ht="15.75" customHeight="1">
      <c r="A60229" s="7"/>
      <c r="B60229" s="7"/>
    </row>
    <row r="60230" ht="15.75" customHeight="1">
      <c r="A60230" s="7"/>
      <c r="B60230" s="7"/>
    </row>
    <row r="60231" ht="15.75" customHeight="1">
      <c r="A60231" s="7"/>
      <c r="B60231" s="7"/>
    </row>
    <row r="60232" ht="15.75" customHeight="1">
      <c r="A60232" s="7"/>
      <c r="B60232" s="7"/>
    </row>
    <row r="60233" ht="15.75" customHeight="1">
      <c r="A60233" s="7"/>
      <c r="B60233" s="7"/>
    </row>
    <row r="60234" ht="15.75" customHeight="1">
      <c r="A60234" s="7"/>
      <c r="B60234" s="7"/>
    </row>
    <row r="60235" ht="15.75" customHeight="1">
      <c r="A60235" s="7"/>
      <c r="B60235" s="7"/>
    </row>
    <row r="60236" ht="15.75" customHeight="1">
      <c r="A60236" s="7"/>
      <c r="B60236" s="7"/>
    </row>
    <row r="60237" ht="15.75" customHeight="1">
      <c r="A60237" s="7"/>
      <c r="B60237" s="7"/>
    </row>
    <row r="60238" ht="15.75" customHeight="1">
      <c r="A60238" s="7"/>
      <c r="B60238" s="7"/>
    </row>
    <row r="60239" ht="15.75" customHeight="1">
      <c r="A60239" s="7"/>
      <c r="B60239" s="7"/>
    </row>
    <row r="60240" ht="15.75" customHeight="1">
      <c r="A60240" s="7"/>
      <c r="B60240" s="7"/>
    </row>
    <row r="60241" ht="15.75" customHeight="1">
      <c r="A60241" s="7"/>
      <c r="B60241" s="7"/>
    </row>
    <row r="60242" ht="15.75" customHeight="1">
      <c r="A60242" s="7"/>
      <c r="B60242" s="7"/>
    </row>
    <row r="60243" ht="15.75" customHeight="1">
      <c r="A60243" s="7"/>
      <c r="B60243" s="7"/>
    </row>
    <row r="60244" ht="15.75" customHeight="1">
      <c r="A60244" s="7"/>
      <c r="B60244" s="7"/>
    </row>
    <row r="60245" ht="15.75" customHeight="1">
      <c r="A60245" s="7"/>
      <c r="B60245" s="7"/>
    </row>
    <row r="60246" ht="15.75" customHeight="1">
      <c r="A60246" s="7"/>
      <c r="B60246" s="7"/>
    </row>
    <row r="60247" ht="15.75" customHeight="1">
      <c r="A60247" s="7"/>
      <c r="B60247" s="7"/>
    </row>
    <row r="60248" ht="15.75" customHeight="1">
      <c r="A60248" s="7"/>
      <c r="B60248" s="7"/>
    </row>
    <row r="60249" ht="15.75" customHeight="1">
      <c r="A60249" s="7"/>
      <c r="B60249" s="7"/>
    </row>
    <row r="60250" ht="15.75" customHeight="1">
      <c r="A60250" s="7"/>
      <c r="B60250" s="7"/>
    </row>
    <row r="60251" ht="15.75" customHeight="1">
      <c r="A60251" s="7"/>
      <c r="B60251" s="7"/>
    </row>
    <row r="60252" ht="15.75" customHeight="1">
      <c r="A60252" s="7"/>
      <c r="B60252" s="7"/>
    </row>
    <row r="60253" ht="15.75" customHeight="1">
      <c r="A60253" s="7"/>
      <c r="B60253" s="7"/>
    </row>
    <row r="60254" ht="15.75" customHeight="1">
      <c r="A60254" s="7"/>
      <c r="B60254" s="7"/>
    </row>
    <row r="60255" ht="15.75" customHeight="1">
      <c r="A60255" s="7"/>
      <c r="B60255" s="7"/>
    </row>
    <row r="60256" ht="15.75" customHeight="1">
      <c r="A60256" s="7"/>
      <c r="B60256" s="7"/>
    </row>
    <row r="60257" ht="15.75" customHeight="1">
      <c r="A60257" s="7"/>
      <c r="B60257" s="7"/>
    </row>
    <row r="60258" ht="15.75" customHeight="1">
      <c r="A60258" s="7"/>
      <c r="B60258" s="7"/>
    </row>
    <row r="60259" ht="15.75" customHeight="1">
      <c r="A60259" s="7"/>
      <c r="B60259" s="7"/>
    </row>
    <row r="60260" ht="15.75" customHeight="1">
      <c r="A60260" s="7"/>
      <c r="B60260" s="7"/>
    </row>
    <row r="60261" ht="15.75" customHeight="1">
      <c r="A60261" s="7"/>
      <c r="B60261" s="7"/>
    </row>
    <row r="60262" ht="15.75" customHeight="1">
      <c r="A60262" s="7"/>
      <c r="B60262" s="7"/>
    </row>
    <row r="60263" ht="15.75" customHeight="1">
      <c r="A60263" s="7"/>
      <c r="B60263" s="7"/>
    </row>
    <row r="60264" ht="15.75" customHeight="1">
      <c r="A60264" s="7"/>
      <c r="B60264" s="7"/>
    </row>
    <row r="60265" ht="15.75" customHeight="1">
      <c r="A60265" s="7"/>
      <c r="B60265" s="7"/>
    </row>
    <row r="60266" ht="15.75" customHeight="1">
      <c r="A60266" s="7"/>
      <c r="B60266" s="7"/>
    </row>
    <row r="60267" ht="15.75" customHeight="1">
      <c r="A60267" s="7"/>
      <c r="B60267" s="7"/>
    </row>
    <row r="60268" ht="15.75" customHeight="1">
      <c r="A60268" s="7"/>
      <c r="B60268" s="7"/>
    </row>
    <row r="60269" ht="15.75" customHeight="1">
      <c r="A60269" s="7"/>
      <c r="B60269" s="7"/>
    </row>
    <row r="60270" ht="15.75" customHeight="1">
      <c r="A60270" s="7"/>
      <c r="B60270" s="7"/>
    </row>
    <row r="60271" ht="15.75" customHeight="1">
      <c r="A60271" s="7"/>
      <c r="B60271" s="7"/>
    </row>
    <row r="60272" ht="15.75" customHeight="1">
      <c r="A60272" s="7"/>
      <c r="B60272" s="7"/>
    </row>
    <row r="60273" ht="15.75" customHeight="1">
      <c r="A60273" s="7"/>
      <c r="B60273" s="7"/>
    </row>
    <row r="60274" ht="15.75" customHeight="1">
      <c r="A60274" s="7"/>
      <c r="B60274" s="7"/>
    </row>
    <row r="60275" ht="15.75" customHeight="1">
      <c r="A60275" s="7"/>
      <c r="B60275" s="7"/>
    </row>
    <row r="60276" ht="15.75" customHeight="1">
      <c r="A60276" s="7"/>
      <c r="B60276" s="7"/>
    </row>
    <row r="60277" ht="15.75" customHeight="1">
      <c r="A60277" s="7"/>
      <c r="B60277" s="7"/>
    </row>
    <row r="60278" ht="15.75" customHeight="1">
      <c r="A60278" s="7"/>
      <c r="B60278" s="7"/>
    </row>
    <row r="60279" ht="15.75" customHeight="1">
      <c r="A60279" s="7"/>
      <c r="B60279" s="7"/>
    </row>
    <row r="60280" ht="15.75" customHeight="1">
      <c r="A60280" s="7"/>
      <c r="B60280" s="7"/>
    </row>
    <row r="60281" ht="15.75" customHeight="1">
      <c r="A60281" s="7"/>
      <c r="B60281" s="7"/>
    </row>
    <row r="60282" ht="15.75" customHeight="1">
      <c r="A60282" s="7"/>
      <c r="B60282" s="7"/>
    </row>
    <row r="60283" ht="15.75" customHeight="1">
      <c r="A60283" s="7"/>
      <c r="B60283" s="7"/>
    </row>
    <row r="60284" ht="15.75" customHeight="1">
      <c r="A60284" s="7"/>
      <c r="B60284" s="7"/>
    </row>
    <row r="60285" ht="15.75" customHeight="1">
      <c r="A60285" s="7"/>
      <c r="B60285" s="7"/>
    </row>
    <row r="60286" ht="15.75" customHeight="1">
      <c r="A60286" s="7"/>
      <c r="B60286" s="7"/>
    </row>
    <row r="60287" ht="15.75" customHeight="1">
      <c r="A60287" s="7"/>
      <c r="B60287" s="7"/>
    </row>
    <row r="60288" ht="15.75" customHeight="1">
      <c r="A60288" s="7"/>
      <c r="B60288" s="7"/>
    </row>
    <row r="60289" ht="15.75" customHeight="1">
      <c r="A60289" s="7"/>
      <c r="B60289" s="7"/>
    </row>
    <row r="60290" ht="15.75" customHeight="1">
      <c r="A60290" s="7"/>
      <c r="B60290" s="7"/>
    </row>
    <row r="60291" ht="15.75" customHeight="1">
      <c r="A60291" s="7"/>
      <c r="B60291" s="7"/>
    </row>
    <row r="60292" ht="15.75" customHeight="1">
      <c r="A60292" s="7"/>
      <c r="B60292" s="7"/>
    </row>
    <row r="60293" ht="15.75" customHeight="1">
      <c r="A60293" s="7"/>
      <c r="B60293" s="7"/>
    </row>
    <row r="60294" ht="15.75" customHeight="1">
      <c r="A60294" s="7"/>
      <c r="B60294" s="7"/>
    </row>
    <row r="60295" ht="15.75" customHeight="1">
      <c r="A60295" s="7"/>
      <c r="B60295" s="7"/>
    </row>
    <row r="60296" ht="15.75" customHeight="1">
      <c r="A60296" s="7"/>
      <c r="B60296" s="7"/>
    </row>
    <row r="60297" ht="15.75" customHeight="1">
      <c r="A60297" s="7"/>
      <c r="B60297" s="7"/>
    </row>
    <row r="60298" ht="15.75" customHeight="1">
      <c r="A60298" s="7"/>
      <c r="B60298" s="7"/>
    </row>
    <row r="60299" ht="15.75" customHeight="1">
      <c r="A60299" s="7"/>
      <c r="B60299" s="7"/>
    </row>
    <row r="60300" ht="15.75" customHeight="1">
      <c r="A60300" s="7"/>
      <c r="B60300" s="7"/>
    </row>
    <row r="60301" ht="15.75" customHeight="1">
      <c r="A60301" s="7"/>
      <c r="B60301" s="7"/>
    </row>
    <row r="60302" ht="15.75" customHeight="1">
      <c r="A60302" s="7"/>
      <c r="B60302" s="7"/>
    </row>
    <row r="60303" ht="15.75" customHeight="1">
      <c r="A60303" s="7"/>
      <c r="B60303" s="7"/>
    </row>
    <row r="60304" ht="15.75" customHeight="1">
      <c r="A60304" s="7"/>
      <c r="B60304" s="7"/>
    </row>
    <row r="60305" ht="15.75" customHeight="1">
      <c r="A60305" s="7"/>
      <c r="B60305" s="7"/>
    </row>
    <row r="60306" ht="15.75" customHeight="1">
      <c r="A60306" s="7"/>
      <c r="B60306" s="7"/>
    </row>
    <row r="60307" ht="15.75" customHeight="1">
      <c r="A60307" s="7"/>
      <c r="B60307" s="7"/>
    </row>
    <row r="60308" ht="15.75" customHeight="1">
      <c r="A60308" s="7"/>
      <c r="B60308" s="7"/>
    </row>
    <row r="60309" ht="15.75" customHeight="1">
      <c r="A60309" s="7"/>
      <c r="B60309" s="7"/>
    </row>
    <row r="60310" ht="15.75" customHeight="1">
      <c r="A60310" s="7"/>
      <c r="B60310" s="7"/>
    </row>
    <row r="60311" ht="15.75" customHeight="1">
      <c r="A60311" s="7"/>
      <c r="B60311" s="7"/>
    </row>
    <row r="60312" ht="15.75" customHeight="1">
      <c r="A60312" s="7"/>
      <c r="B60312" s="7"/>
    </row>
    <row r="60313" ht="15.75" customHeight="1">
      <c r="A60313" s="7"/>
      <c r="B60313" s="7"/>
    </row>
    <row r="60314" ht="15.75" customHeight="1">
      <c r="A60314" s="7"/>
      <c r="B60314" s="7"/>
    </row>
    <row r="60315" ht="15.75" customHeight="1">
      <c r="A60315" s="7"/>
      <c r="B60315" s="7"/>
    </row>
    <row r="60316" ht="15.75" customHeight="1">
      <c r="A60316" s="7"/>
      <c r="B60316" s="7"/>
    </row>
    <row r="60317" ht="15.75" customHeight="1">
      <c r="A60317" s="7"/>
      <c r="B60317" s="7"/>
    </row>
    <row r="60318" ht="15.75" customHeight="1">
      <c r="A60318" s="7"/>
      <c r="B60318" s="7"/>
    </row>
    <row r="60319" ht="15.75" customHeight="1">
      <c r="A60319" s="7"/>
      <c r="B60319" s="7"/>
    </row>
    <row r="60320" ht="15.75" customHeight="1">
      <c r="A60320" s="7"/>
      <c r="B60320" s="7"/>
    </row>
    <row r="60321" ht="15.75" customHeight="1">
      <c r="A60321" s="7"/>
      <c r="B60321" s="7"/>
    </row>
    <row r="60322" ht="15.75" customHeight="1">
      <c r="A60322" s="7"/>
      <c r="B60322" s="7"/>
    </row>
    <row r="60323" ht="15.75" customHeight="1">
      <c r="A60323" s="7"/>
      <c r="B60323" s="7"/>
    </row>
    <row r="60324" ht="15.75" customHeight="1">
      <c r="A60324" s="7"/>
      <c r="B60324" s="7"/>
    </row>
    <row r="60325" ht="15.75" customHeight="1">
      <c r="A60325" s="7"/>
      <c r="B60325" s="7"/>
    </row>
    <row r="60326" ht="15.75" customHeight="1">
      <c r="A60326" s="7"/>
      <c r="B60326" s="7"/>
    </row>
    <row r="60327" ht="15.75" customHeight="1">
      <c r="A60327" s="7"/>
      <c r="B60327" s="7"/>
    </row>
    <row r="60328" ht="15.75" customHeight="1">
      <c r="A60328" s="7"/>
      <c r="B60328" s="7"/>
    </row>
    <row r="60329" ht="15.75" customHeight="1">
      <c r="A60329" s="7"/>
      <c r="B60329" s="7"/>
    </row>
    <row r="60330" ht="15.75" customHeight="1">
      <c r="A60330" s="7"/>
      <c r="B60330" s="7"/>
    </row>
    <row r="60331" ht="15.75" customHeight="1">
      <c r="A60331" s="7"/>
      <c r="B60331" s="7"/>
    </row>
    <row r="60332" ht="15.75" customHeight="1">
      <c r="A60332" s="7"/>
      <c r="B60332" s="7"/>
    </row>
    <row r="60333" ht="15.75" customHeight="1">
      <c r="A60333" s="7"/>
      <c r="B60333" s="7"/>
    </row>
    <row r="60334" ht="15.75" customHeight="1">
      <c r="A60334" s="7"/>
      <c r="B60334" s="7"/>
    </row>
    <row r="60335" ht="15.75" customHeight="1">
      <c r="A60335" s="7"/>
      <c r="B60335" s="7"/>
    </row>
    <row r="60336" ht="15.75" customHeight="1">
      <c r="A60336" s="7"/>
      <c r="B60336" s="7"/>
    </row>
    <row r="60337" ht="15.75" customHeight="1">
      <c r="A60337" s="7"/>
      <c r="B60337" s="7"/>
    </row>
    <row r="60338" ht="15.75" customHeight="1">
      <c r="A60338" s="7"/>
      <c r="B60338" s="7"/>
    </row>
    <row r="60339" ht="15.75" customHeight="1">
      <c r="A60339" s="7"/>
      <c r="B60339" s="7"/>
    </row>
    <row r="60340" ht="15.75" customHeight="1">
      <c r="A60340" s="7"/>
      <c r="B60340" s="7"/>
    </row>
    <row r="60341" ht="15.75" customHeight="1">
      <c r="A60341" s="7"/>
      <c r="B60341" s="7"/>
    </row>
    <row r="60342" ht="15.75" customHeight="1">
      <c r="A60342" s="7"/>
      <c r="B60342" s="7"/>
    </row>
    <row r="60343" ht="15.75" customHeight="1">
      <c r="A60343" s="7"/>
      <c r="B60343" s="7"/>
    </row>
    <row r="60344" ht="15.75" customHeight="1">
      <c r="A60344" s="7"/>
      <c r="B60344" s="7"/>
    </row>
    <row r="60345" ht="15.75" customHeight="1">
      <c r="A60345" s="7"/>
      <c r="B60345" s="7"/>
    </row>
    <row r="60346" ht="15.75" customHeight="1">
      <c r="A60346" s="7"/>
      <c r="B60346" s="7"/>
    </row>
    <row r="60347" ht="15.75" customHeight="1">
      <c r="A60347" s="7"/>
      <c r="B60347" s="7"/>
    </row>
    <row r="60348" ht="15.75" customHeight="1">
      <c r="A60348" s="7"/>
      <c r="B60348" s="7"/>
    </row>
    <row r="60349" ht="15.75" customHeight="1">
      <c r="A60349" s="7"/>
      <c r="B60349" s="7"/>
    </row>
    <row r="60350" ht="15.75" customHeight="1">
      <c r="A60350" s="7"/>
      <c r="B60350" s="7"/>
    </row>
    <row r="60351" ht="15.75" customHeight="1">
      <c r="A60351" s="7"/>
      <c r="B60351" s="7"/>
    </row>
    <row r="60352" ht="15.75" customHeight="1">
      <c r="A60352" s="7"/>
      <c r="B60352" s="7"/>
    </row>
    <row r="60353" ht="15.75" customHeight="1">
      <c r="A60353" s="7"/>
      <c r="B60353" s="7"/>
    </row>
    <row r="60354" ht="15.75" customHeight="1">
      <c r="A60354" s="7"/>
      <c r="B60354" s="7"/>
    </row>
    <row r="60355" ht="15.75" customHeight="1">
      <c r="A60355" s="7"/>
      <c r="B60355" s="7"/>
    </row>
    <row r="60356" ht="15.75" customHeight="1">
      <c r="A60356" s="7"/>
      <c r="B60356" s="7"/>
    </row>
    <row r="60357" ht="15.75" customHeight="1">
      <c r="A60357" s="7"/>
      <c r="B60357" s="7"/>
    </row>
    <row r="60358" ht="15.75" customHeight="1">
      <c r="A60358" s="7"/>
      <c r="B60358" s="7"/>
    </row>
    <row r="60359" ht="15.75" customHeight="1">
      <c r="A60359" s="7"/>
      <c r="B60359" s="7"/>
    </row>
    <row r="60360" ht="15.75" customHeight="1">
      <c r="A60360" s="7"/>
      <c r="B60360" s="7"/>
    </row>
    <row r="60361" ht="15.75" customHeight="1">
      <c r="A60361" s="7"/>
      <c r="B60361" s="7"/>
    </row>
    <row r="60362" ht="15.75" customHeight="1">
      <c r="A60362" s="7"/>
      <c r="B60362" s="7"/>
    </row>
    <row r="60363" ht="15.75" customHeight="1">
      <c r="A60363" s="7"/>
      <c r="B60363" s="7"/>
    </row>
    <row r="60364" ht="15.75" customHeight="1">
      <c r="A60364" s="7"/>
      <c r="B60364" s="7"/>
    </row>
    <row r="60365" ht="15.75" customHeight="1">
      <c r="A60365" s="7"/>
      <c r="B60365" s="7"/>
    </row>
    <row r="60366" ht="15.75" customHeight="1">
      <c r="A60366" s="7"/>
      <c r="B60366" s="7"/>
    </row>
    <row r="60367" ht="15.75" customHeight="1">
      <c r="A60367" s="7"/>
      <c r="B60367" s="7"/>
    </row>
    <row r="60368" ht="15.75" customHeight="1">
      <c r="A60368" s="7"/>
      <c r="B60368" s="7"/>
    </row>
    <row r="60369" ht="15.75" customHeight="1">
      <c r="A60369" s="7"/>
      <c r="B60369" s="7"/>
    </row>
    <row r="60370" ht="15.75" customHeight="1">
      <c r="A60370" s="7"/>
      <c r="B60370" s="7"/>
    </row>
    <row r="60371" ht="15.75" customHeight="1">
      <c r="A60371" s="7"/>
      <c r="B60371" s="7"/>
    </row>
    <row r="60372" ht="15.75" customHeight="1">
      <c r="A60372" s="7"/>
      <c r="B60372" s="7"/>
    </row>
    <row r="60373" ht="15.75" customHeight="1">
      <c r="A60373" s="7"/>
      <c r="B60373" s="7"/>
    </row>
    <row r="60374" ht="15.75" customHeight="1">
      <c r="A60374" s="7"/>
      <c r="B60374" s="7"/>
    </row>
    <row r="60375" ht="15.75" customHeight="1">
      <c r="A60375" s="7"/>
      <c r="B60375" s="7"/>
    </row>
    <row r="60376" ht="15.75" customHeight="1">
      <c r="A60376" s="7"/>
      <c r="B60376" s="7"/>
    </row>
    <row r="60377" ht="15.75" customHeight="1">
      <c r="A60377" s="7"/>
      <c r="B60377" s="7"/>
    </row>
    <row r="60378" ht="15.75" customHeight="1">
      <c r="A60378" s="7"/>
      <c r="B60378" s="7"/>
    </row>
    <row r="60379" ht="15.75" customHeight="1">
      <c r="A60379" s="7"/>
      <c r="B60379" s="7"/>
    </row>
    <row r="60380" ht="15.75" customHeight="1">
      <c r="A60380" s="7"/>
      <c r="B60380" s="7"/>
    </row>
    <row r="60381" ht="15.75" customHeight="1">
      <c r="A60381" s="7"/>
      <c r="B60381" s="7"/>
    </row>
    <row r="60382" ht="15.75" customHeight="1">
      <c r="A60382" s="7"/>
      <c r="B60382" s="7"/>
    </row>
    <row r="60383" ht="15.75" customHeight="1">
      <c r="A60383" s="7"/>
      <c r="B60383" s="7"/>
    </row>
    <row r="60384" ht="15.75" customHeight="1">
      <c r="A60384" s="7"/>
      <c r="B60384" s="7"/>
    </row>
    <row r="60385" ht="15.75" customHeight="1">
      <c r="A60385" s="7"/>
      <c r="B60385" s="7"/>
    </row>
    <row r="60386" ht="15.75" customHeight="1">
      <c r="A60386" s="7"/>
      <c r="B60386" s="7"/>
    </row>
    <row r="60387" ht="15.75" customHeight="1">
      <c r="A60387" s="7"/>
      <c r="B60387" s="7"/>
    </row>
    <row r="60388" ht="15.75" customHeight="1">
      <c r="A60388" s="7"/>
      <c r="B60388" s="7"/>
    </row>
    <row r="60389" ht="15.75" customHeight="1">
      <c r="A60389" s="7"/>
      <c r="B60389" s="7"/>
    </row>
    <row r="60390" ht="15.75" customHeight="1">
      <c r="A60390" s="7"/>
      <c r="B60390" s="7"/>
    </row>
    <row r="60391" ht="15.75" customHeight="1">
      <c r="A60391" s="7"/>
      <c r="B60391" s="7"/>
    </row>
    <row r="60392" ht="15.75" customHeight="1">
      <c r="A60392" s="7"/>
      <c r="B60392" s="7"/>
    </row>
    <row r="60393" ht="15.75" customHeight="1">
      <c r="A60393" s="7"/>
      <c r="B60393" s="7"/>
    </row>
    <row r="60394" ht="15.75" customHeight="1">
      <c r="A60394" s="7"/>
      <c r="B60394" s="7"/>
    </row>
    <row r="60395" ht="15.75" customHeight="1">
      <c r="A60395" s="7"/>
      <c r="B60395" s="7"/>
    </row>
    <row r="60396" ht="15.75" customHeight="1">
      <c r="A60396" s="7"/>
      <c r="B60396" s="7"/>
    </row>
    <row r="60397" ht="15.75" customHeight="1">
      <c r="A60397" s="7"/>
      <c r="B60397" s="7"/>
    </row>
    <row r="60398" ht="15.75" customHeight="1">
      <c r="A60398" s="7"/>
      <c r="B60398" s="7"/>
    </row>
    <row r="60399" ht="15.75" customHeight="1">
      <c r="A60399" s="7"/>
      <c r="B60399" s="7"/>
    </row>
    <row r="60400" ht="15.75" customHeight="1">
      <c r="A60400" s="7"/>
      <c r="B60400" s="7"/>
    </row>
    <row r="60401" ht="15.75" customHeight="1">
      <c r="A60401" s="7"/>
      <c r="B60401" s="7"/>
    </row>
    <row r="60402" ht="15.75" customHeight="1">
      <c r="A60402" s="7"/>
      <c r="B60402" s="7"/>
    </row>
    <row r="60403" ht="15.75" customHeight="1">
      <c r="A60403" s="7"/>
      <c r="B60403" s="7"/>
    </row>
    <row r="60404" ht="15.75" customHeight="1">
      <c r="A60404" s="7"/>
      <c r="B60404" s="7"/>
    </row>
    <row r="60405" ht="15.75" customHeight="1">
      <c r="A60405" s="7"/>
      <c r="B60405" s="7"/>
    </row>
    <row r="60406" ht="15.75" customHeight="1">
      <c r="A60406" s="7"/>
      <c r="B60406" s="7"/>
    </row>
    <row r="60407" ht="15.75" customHeight="1">
      <c r="A60407" s="7"/>
      <c r="B60407" s="7"/>
    </row>
    <row r="60408" ht="15.75" customHeight="1">
      <c r="A60408" s="7"/>
      <c r="B60408" s="7"/>
    </row>
    <row r="60409" ht="15.75" customHeight="1">
      <c r="A60409" s="7"/>
      <c r="B60409" s="7"/>
    </row>
    <row r="60410" ht="15.75" customHeight="1">
      <c r="A60410" s="7"/>
      <c r="B60410" s="7"/>
    </row>
    <row r="60411" ht="15.75" customHeight="1">
      <c r="A60411" s="7"/>
      <c r="B60411" s="7"/>
    </row>
    <row r="60412" ht="15.75" customHeight="1">
      <c r="A60412" s="7"/>
      <c r="B60412" s="7"/>
    </row>
    <row r="60413" ht="15.75" customHeight="1">
      <c r="A60413" s="7"/>
      <c r="B60413" s="7"/>
    </row>
    <row r="60414" ht="15.75" customHeight="1">
      <c r="A60414" s="7"/>
      <c r="B60414" s="7"/>
    </row>
    <row r="60415" ht="15.75" customHeight="1">
      <c r="A60415" s="7"/>
      <c r="B60415" s="7"/>
    </row>
    <row r="60416" ht="15.75" customHeight="1">
      <c r="A60416" s="7"/>
      <c r="B60416" s="7"/>
    </row>
    <row r="60417" ht="15.75" customHeight="1">
      <c r="A60417" s="7"/>
      <c r="B60417" s="7"/>
    </row>
    <row r="60418" ht="15.75" customHeight="1">
      <c r="A60418" s="7"/>
      <c r="B60418" s="7"/>
    </row>
    <row r="60419" ht="15.75" customHeight="1">
      <c r="A60419" s="7"/>
      <c r="B60419" s="7"/>
    </row>
    <row r="60420" ht="15.75" customHeight="1">
      <c r="A60420" s="7"/>
      <c r="B60420" s="7"/>
    </row>
    <row r="60421" ht="15.75" customHeight="1">
      <c r="A60421" s="7"/>
      <c r="B60421" s="7"/>
    </row>
    <row r="60422" ht="15.75" customHeight="1">
      <c r="A60422" s="7"/>
      <c r="B60422" s="7"/>
    </row>
    <row r="60423" ht="15.75" customHeight="1">
      <c r="A60423" s="7"/>
      <c r="B60423" s="7"/>
    </row>
    <row r="60424" ht="15.75" customHeight="1">
      <c r="A60424" s="7"/>
      <c r="B60424" s="7"/>
    </row>
    <row r="60425" ht="15.75" customHeight="1">
      <c r="A60425" s="7"/>
      <c r="B60425" s="7"/>
    </row>
    <row r="60426" ht="15.75" customHeight="1">
      <c r="A60426" s="7"/>
      <c r="B60426" s="7"/>
    </row>
    <row r="60427" ht="15.75" customHeight="1">
      <c r="A60427" s="7"/>
      <c r="B60427" s="7"/>
    </row>
    <row r="60428" ht="15.75" customHeight="1">
      <c r="A60428" s="7"/>
      <c r="B60428" s="7"/>
    </row>
    <row r="60429" ht="15.75" customHeight="1">
      <c r="A60429" s="7"/>
      <c r="B60429" s="7"/>
    </row>
    <row r="60430" ht="15.75" customHeight="1">
      <c r="A60430" s="7"/>
      <c r="B60430" s="7"/>
    </row>
    <row r="60431" ht="15.75" customHeight="1">
      <c r="A60431" s="7"/>
      <c r="B60431" s="7"/>
    </row>
    <row r="60432" ht="15.75" customHeight="1">
      <c r="A60432" s="7"/>
      <c r="B60432" s="7"/>
    </row>
    <row r="60433" ht="15.75" customHeight="1">
      <c r="A60433" s="7"/>
      <c r="B60433" s="7"/>
    </row>
    <row r="60434" ht="15.75" customHeight="1">
      <c r="A60434" s="7"/>
      <c r="B60434" s="7"/>
    </row>
    <row r="60435" ht="15.75" customHeight="1">
      <c r="A60435" s="7"/>
      <c r="B60435" s="7"/>
    </row>
    <row r="60436" ht="15.75" customHeight="1">
      <c r="A60436" s="7"/>
      <c r="B60436" s="7"/>
    </row>
    <row r="60437" ht="15.75" customHeight="1">
      <c r="A60437" s="7"/>
      <c r="B60437" s="7"/>
    </row>
    <row r="60438" ht="15.75" customHeight="1">
      <c r="A60438" s="7"/>
      <c r="B60438" s="7"/>
    </row>
    <row r="60439" ht="15.75" customHeight="1">
      <c r="A60439" s="7"/>
      <c r="B60439" s="7"/>
    </row>
    <row r="60440" ht="15.75" customHeight="1">
      <c r="A60440" s="7"/>
      <c r="B60440" s="7"/>
    </row>
    <row r="60441" ht="15.75" customHeight="1">
      <c r="A60441" s="7"/>
      <c r="B60441" s="7"/>
    </row>
    <row r="60442" ht="15.75" customHeight="1">
      <c r="A60442" s="7"/>
      <c r="B60442" s="7"/>
    </row>
    <row r="60443" ht="15.75" customHeight="1">
      <c r="A60443" s="7"/>
      <c r="B60443" s="7"/>
    </row>
    <row r="60444" ht="15.75" customHeight="1">
      <c r="A60444" s="7"/>
      <c r="B60444" s="7"/>
    </row>
    <row r="60445" ht="15.75" customHeight="1">
      <c r="A60445" s="7"/>
      <c r="B60445" s="7"/>
    </row>
    <row r="60446" ht="15.75" customHeight="1">
      <c r="A60446" s="7"/>
      <c r="B60446" s="7"/>
    </row>
    <row r="60447" ht="15.75" customHeight="1">
      <c r="A60447" s="7"/>
      <c r="B60447" s="7"/>
    </row>
    <row r="60448" ht="15.75" customHeight="1">
      <c r="A60448" s="7"/>
      <c r="B60448" s="7"/>
    </row>
    <row r="60449" ht="15.75" customHeight="1">
      <c r="A60449" s="7"/>
      <c r="B60449" s="7"/>
    </row>
    <row r="60450" ht="15.75" customHeight="1">
      <c r="A60450" s="7"/>
      <c r="B60450" s="7"/>
    </row>
    <row r="60451" ht="15.75" customHeight="1">
      <c r="A60451" s="7"/>
      <c r="B60451" s="7"/>
    </row>
    <row r="60452" ht="15.75" customHeight="1">
      <c r="A60452" s="7"/>
      <c r="B60452" s="7"/>
    </row>
    <row r="60453" ht="15.75" customHeight="1">
      <c r="A60453" s="7"/>
      <c r="B60453" s="7"/>
    </row>
    <row r="60454" ht="15.75" customHeight="1">
      <c r="A60454" s="7"/>
      <c r="B60454" s="7"/>
    </row>
    <row r="60455" ht="15.75" customHeight="1">
      <c r="A60455" s="7"/>
      <c r="B60455" s="7"/>
    </row>
    <row r="60456" ht="15.75" customHeight="1">
      <c r="A60456" s="7"/>
      <c r="B60456" s="7"/>
    </row>
    <row r="60457" ht="15.75" customHeight="1">
      <c r="A60457" s="7"/>
      <c r="B60457" s="7"/>
    </row>
    <row r="60458" ht="15.75" customHeight="1">
      <c r="A60458" s="7"/>
      <c r="B60458" s="7"/>
    </row>
    <row r="60459" ht="15.75" customHeight="1">
      <c r="A60459" s="7"/>
      <c r="B60459" s="7"/>
    </row>
    <row r="60460" ht="15.75" customHeight="1">
      <c r="A60460" s="7"/>
      <c r="B60460" s="7"/>
    </row>
    <row r="60461" ht="15.75" customHeight="1">
      <c r="A60461" s="7"/>
      <c r="B60461" s="7"/>
    </row>
    <row r="60462" ht="15.75" customHeight="1">
      <c r="A60462" s="7"/>
      <c r="B60462" s="7"/>
    </row>
    <row r="60463" ht="15.75" customHeight="1">
      <c r="A60463" s="7"/>
      <c r="B60463" s="7"/>
    </row>
    <row r="60464" ht="15.75" customHeight="1">
      <c r="A60464" s="7"/>
      <c r="B60464" s="7"/>
    </row>
    <row r="60465" ht="15.75" customHeight="1">
      <c r="A60465" s="7"/>
      <c r="B60465" s="7"/>
    </row>
    <row r="60466" ht="15.75" customHeight="1">
      <c r="A60466" s="7"/>
      <c r="B60466" s="7"/>
    </row>
    <row r="60467" ht="15.75" customHeight="1">
      <c r="A60467" s="7"/>
      <c r="B60467" s="7"/>
    </row>
    <row r="60468" ht="15.75" customHeight="1">
      <c r="A60468" s="7"/>
      <c r="B60468" s="7"/>
    </row>
    <row r="60469" ht="15.75" customHeight="1">
      <c r="A60469" s="7"/>
      <c r="B60469" s="7"/>
    </row>
    <row r="60470" ht="15.75" customHeight="1">
      <c r="A60470" s="7"/>
      <c r="B60470" s="7"/>
    </row>
    <row r="60471" ht="15.75" customHeight="1">
      <c r="A60471" s="7"/>
      <c r="B60471" s="7"/>
    </row>
    <row r="60472" ht="15.75" customHeight="1">
      <c r="A60472" s="7"/>
      <c r="B60472" s="7"/>
    </row>
    <row r="60473" ht="15.75" customHeight="1">
      <c r="A60473" s="7"/>
      <c r="B60473" s="7"/>
    </row>
    <row r="60474" ht="15.75" customHeight="1">
      <c r="A60474" s="7"/>
      <c r="B60474" s="7"/>
    </row>
    <row r="60475" ht="15.75" customHeight="1">
      <c r="A60475" s="7"/>
      <c r="B60475" s="7"/>
    </row>
    <row r="60476" ht="15.75" customHeight="1">
      <c r="A60476" s="7"/>
      <c r="B60476" s="7"/>
    </row>
    <row r="60477" ht="15.75" customHeight="1">
      <c r="A60477" s="7"/>
      <c r="B60477" s="7"/>
    </row>
    <row r="60478" ht="15.75" customHeight="1">
      <c r="A60478" s="7"/>
      <c r="B60478" s="7"/>
    </row>
    <row r="60479" ht="15.75" customHeight="1">
      <c r="A60479" s="7"/>
      <c r="B60479" s="7"/>
    </row>
    <row r="60480" ht="15.75" customHeight="1">
      <c r="A60480" s="7"/>
      <c r="B60480" s="7"/>
    </row>
    <row r="60481" ht="15.75" customHeight="1">
      <c r="A60481" s="7"/>
      <c r="B60481" s="7"/>
    </row>
    <row r="60482" ht="15.75" customHeight="1">
      <c r="A60482" s="7"/>
      <c r="B60482" s="7"/>
    </row>
    <row r="60483" ht="15.75" customHeight="1">
      <c r="A60483" s="7"/>
      <c r="B60483" s="7"/>
    </row>
    <row r="60484" ht="15.75" customHeight="1">
      <c r="A60484" s="7"/>
      <c r="B60484" s="7"/>
    </row>
    <row r="60485" ht="15.75" customHeight="1">
      <c r="A60485" s="7"/>
      <c r="B60485" s="7"/>
    </row>
    <row r="60486" ht="15.75" customHeight="1">
      <c r="A60486" s="7"/>
      <c r="B60486" s="7"/>
    </row>
    <row r="60487" ht="15.75" customHeight="1">
      <c r="A60487" s="7"/>
      <c r="B60487" s="7"/>
    </row>
    <row r="60488" ht="15.75" customHeight="1">
      <c r="A60488" s="7"/>
      <c r="B60488" s="7"/>
    </row>
    <row r="60489" ht="15.75" customHeight="1">
      <c r="A60489" s="7"/>
      <c r="B60489" s="7"/>
    </row>
    <row r="60490" ht="15.75" customHeight="1">
      <c r="A60490" s="7"/>
      <c r="B60490" s="7"/>
    </row>
    <row r="60491" ht="15.75" customHeight="1">
      <c r="A60491" s="7"/>
      <c r="B60491" s="7"/>
    </row>
    <row r="60492" ht="15.75" customHeight="1">
      <c r="A60492" s="7"/>
      <c r="B60492" s="7"/>
    </row>
    <row r="60493" ht="15.75" customHeight="1">
      <c r="A60493" s="7"/>
      <c r="B60493" s="7"/>
    </row>
    <row r="60494" ht="15.75" customHeight="1">
      <c r="A60494" s="7"/>
      <c r="B60494" s="7"/>
    </row>
    <row r="60495" ht="15.75" customHeight="1">
      <c r="A60495" s="7"/>
      <c r="B60495" s="7"/>
    </row>
    <row r="60496" ht="15.75" customHeight="1">
      <c r="A60496" s="7"/>
      <c r="B60496" s="7"/>
    </row>
    <row r="60497" ht="15.75" customHeight="1">
      <c r="A60497" s="7"/>
      <c r="B60497" s="7"/>
    </row>
    <row r="60498" ht="15.75" customHeight="1">
      <c r="A60498" s="7"/>
      <c r="B60498" s="7"/>
    </row>
    <row r="60499" ht="15.75" customHeight="1">
      <c r="A60499" s="7"/>
      <c r="B60499" s="7"/>
    </row>
    <row r="60500" ht="15.75" customHeight="1">
      <c r="A60500" s="7"/>
      <c r="B60500" s="7"/>
    </row>
    <row r="60501" ht="15.75" customHeight="1">
      <c r="A60501" s="7"/>
      <c r="B60501" s="7"/>
    </row>
    <row r="60502" ht="15.75" customHeight="1">
      <c r="A60502" s="7"/>
      <c r="B60502" s="7"/>
    </row>
    <row r="60503" ht="15.75" customHeight="1">
      <c r="A60503" s="7"/>
      <c r="B60503" s="7"/>
    </row>
    <row r="60504" ht="15.75" customHeight="1">
      <c r="A60504" s="7"/>
      <c r="B60504" s="7"/>
    </row>
    <row r="60505" ht="15.75" customHeight="1">
      <c r="A60505" s="7"/>
      <c r="B60505" s="7"/>
    </row>
    <row r="60506" ht="15.75" customHeight="1">
      <c r="A60506" s="7"/>
      <c r="B60506" s="7"/>
    </row>
    <row r="60507" ht="15.75" customHeight="1">
      <c r="A60507" s="7"/>
      <c r="B60507" s="7"/>
    </row>
    <row r="60508" ht="15.75" customHeight="1">
      <c r="A60508" s="7"/>
      <c r="B60508" s="7"/>
    </row>
    <row r="60509" ht="15.75" customHeight="1">
      <c r="A60509" s="7"/>
      <c r="B60509" s="7"/>
    </row>
    <row r="60510" ht="15.75" customHeight="1">
      <c r="A60510" s="7"/>
      <c r="B60510" s="7"/>
    </row>
    <row r="60511" ht="15.75" customHeight="1">
      <c r="A60511" s="7"/>
      <c r="B60511" s="7"/>
    </row>
    <row r="60512" ht="15.75" customHeight="1">
      <c r="A60512" s="7"/>
      <c r="B60512" s="7"/>
    </row>
    <row r="60513" ht="15.75" customHeight="1">
      <c r="A60513" s="7"/>
      <c r="B60513" s="7"/>
    </row>
    <row r="60514" ht="15.75" customHeight="1">
      <c r="A60514" s="7"/>
      <c r="B60514" s="7"/>
    </row>
    <row r="60515" ht="15.75" customHeight="1">
      <c r="A60515" s="7"/>
      <c r="B60515" s="7"/>
    </row>
    <row r="60516" ht="15.75" customHeight="1">
      <c r="A60516" s="7"/>
      <c r="B60516" s="7"/>
    </row>
    <row r="60517" ht="15.75" customHeight="1">
      <c r="A60517" s="7"/>
      <c r="B60517" s="7"/>
    </row>
    <row r="60518" ht="15.75" customHeight="1">
      <c r="A60518" s="7"/>
      <c r="B60518" s="7"/>
    </row>
    <row r="60519" ht="15.75" customHeight="1">
      <c r="A60519" s="7"/>
      <c r="B60519" s="7"/>
    </row>
    <row r="60520" ht="15.75" customHeight="1">
      <c r="A60520" s="7"/>
      <c r="B60520" s="7"/>
    </row>
    <row r="60521" ht="15.75" customHeight="1">
      <c r="A60521" s="7"/>
      <c r="B60521" s="7"/>
    </row>
    <row r="60522" ht="15.75" customHeight="1">
      <c r="A60522" s="7"/>
      <c r="B60522" s="7"/>
    </row>
    <row r="60523" ht="15.75" customHeight="1">
      <c r="A60523" s="7"/>
      <c r="B60523" s="7"/>
    </row>
    <row r="60524" ht="15.75" customHeight="1">
      <c r="A60524" s="7"/>
      <c r="B60524" s="7"/>
    </row>
    <row r="60525" ht="15.75" customHeight="1">
      <c r="A60525" s="7"/>
      <c r="B60525" s="7"/>
    </row>
    <row r="60526" ht="15.75" customHeight="1">
      <c r="A60526" s="7"/>
      <c r="B60526" s="7"/>
    </row>
    <row r="60527" ht="15.75" customHeight="1">
      <c r="A60527" s="7"/>
      <c r="B60527" s="7"/>
    </row>
    <row r="60528" ht="15.75" customHeight="1">
      <c r="A60528" s="7"/>
      <c r="B60528" s="7"/>
    </row>
    <row r="60529" ht="15.75" customHeight="1">
      <c r="A60529" s="7"/>
      <c r="B60529" s="7"/>
    </row>
    <row r="60530" ht="15.75" customHeight="1">
      <c r="A60530" s="7"/>
      <c r="B60530" s="7"/>
    </row>
    <row r="60531" ht="15.75" customHeight="1">
      <c r="A60531" s="7"/>
      <c r="B60531" s="7"/>
    </row>
    <row r="60532" ht="15.75" customHeight="1">
      <c r="A60532" s="7"/>
      <c r="B60532" s="7"/>
    </row>
    <row r="60533" ht="15.75" customHeight="1">
      <c r="A60533" s="7"/>
      <c r="B60533" s="7"/>
    </row>
    <row r="60534" ht="15.75" customHeight="1">
      <c r="A60534" s="7"/>
      <c r="B60534" s="7"/>
    </row>
    <row r="60535" ht="15.75" customHeight="1">
      <c r="A60535" s="7"/>
      <c r="B60535" s="7"/>
    </row>
    <row r="60536" ht="15.75" customHeight="1">
      <c r="A60536" s="7"/>
      <c r="B60536" s="7"/>
    </row>
    <row r="60537" ht="15.75" customHeight="1">
      <c r="A60537" s="7"/>
      <c r="B60537" s="7"/>
    </row>
    <row r="60538" ht="15.75" customHeight="1">
      <c r="A60538" s="7"/>
      <c r="B60538" s="7"/>
    </row>
    <row r="60539" ht="15.75" customHeight="1">
      <c r="A60539" s="7"/>
      <c r="B60539" s="7"/>
    </row>
    <row r="60540" ht="15.75" customHeight="1">
      <c r="A60540" s="7"/>
      <c r="B60540" s="7"/>
    </row>
    <row r="60541" ht="15.75" customHeight="1">
      <c r="A60541" s="7"/>
      <c r="B60541" s="7"/>
    </row>
    <row r="60542" ht="15.75" customHeight="1">
      <c r="A60542" s="7"/>
      <c r="B60542" s="7"/>
    </row>
    <row r="60543" ht="15.75" customHeight="1">
      <c r="A60543" s="7"/>
      <c r="B60543" s="7"/>
    </row>
    <row r="60544" ht="15.75" customHeight="1">
      <c r="A60544" s="7"/>
      <c r="B60544" s="7"/>
    </row>
    <row r="60545" ht="15.75" customHeight="1">
      <c r="A60545" s="7"/>
      <c r="B60545" s="7"/>
    </row>
    <row r="60546" ht="15.75" customHeight="1">
      <c r="A60546" s="7"/>
      <c r="B60546" s="7"/>
    </row>
    <row r="60547" ht="15.75" customHeight="1">
      <c r="A60547" s="7"/>
      <c r="B60547" s="7"/>
    </row>
    <row r="60548" ht="15.75" customHeight="1">
      <c r="A60548" s="7"/>
      <c r="B60548" s="7"/>
    </row>
    <row r="60549" ht="15.75" customHeight="1">
      <c r="A60549" s="7"/>
      <c r="B60549" s="7"/>
    </row>
    <row r="60550" ht="15.75" customHeight="1">
      <c r="A60550" s="7"/>
      <c r="B60550" s="7"/>
    </row>
    <row r="60551" ht="15.75" customHeight="1">
      <c r="A60551" s="7"/>
      <c r="B60551" s="7"/>
    </row>
    <row r="60552" ht="15.75" customHeight="1">
      <c r="A60552" s="7"/>
      <c r="B60552" s="7"/>
    </row>
    <row r="60553" ht="15.75" customHeight="1">
      <c r="A60553" s="7"/>
      <c r="B60553" s="7"/>
    </row>
    <row r="60554" ht="15.75" customHeight="1">
      <c r="A60554" s="7"/>
      <c r="B60554" s="7"/>
    </row>
    <row r="60555" ht="15.75" customHeight="1">
      <c r="A60555" s="7"/>
      <c r="B60555" s="7"/>
    </row>
    <row r="60556" ht="15.75" customHeight="1">
      <c r="A60556" s="7"/>
      <c r="B60556" s="7"/>
    </row>
    <row r="60557" ht="15.75" customHeight="1">
      <c r="A60557" s="7"/>
      <c r="B60557" s="7"/>
    </row>
    <row r="60558" ht="15.75" customHeight="1">
      <c r="A60558" s="7"/>
      <c r="B60558" s="7"/>
    </row>
    <row r="60559" ht="15.75" customHeight="1">
      <c r="A60559" s="7"/>
      <c r="B60559" s="7"/>
    </row>
    <row r="60560" ht="15.75" customHeight="1">
      <c r="A60560" s="7"/>
      <c r="B60560" s="7"/>
    </row>
    <row r="60561" ht="15.75" customHeight="1">
      <c r="A60561" s="7"/>
      <c r="B60561" s="7"/>
    </row>
    <row r="60562" ht="15.75" customHeight="1">
      <c r="A60562" s="7"/>
      <c r="B60562" s="7"/>
    </row>
    <row r="60563" ht="15.75" customHeight="1">
      <c r="A60563" s="7"/>
      <c r="B60563" s="7"/>
    </row>
    <row r="60564" ht="15.75" customHeight="1">
      <c r="A60564" s="7"/>
      <c r="B60564" s="7"/>
    </row>
    <row r="60565" ht="15.75" customHeight="1">
      <c r="A60565" s="7"/>
      <c r="B60565" s="7"/>
    </row>
    <row r="60566" ht="15.75" customHeight="1">
      <c r="A60566" s="7"/>
      <c r="B60566" s="7"/>
    </row>
    <row r="60567" ht="15.75" customHeight="1">
      <c r="A60567" s="7"/>
      <c r="B60567" s="7"/>
    </row>
    <row r="60568" ht="15.75" customHeight="1">
      <c r="A60568" s="7"/>
      <c r="B60568" s="7"/>
    </row>
    <row r="60569" ht="15.75" customHeight="1">
      <c r="A60569" s="7"/>
      <c r="B60569" s="7"/>
    </row>
    <row r="60570" ht="15.75" customHeight="1">
      <c r="A60570" s="7"/>
      <c r="B60570" s="7"/>
    </row>
    <row r="60571" ht="15.75" customHeight="1">
      <c r="A60571" s="7"/>
      <c r="B60571" s="7"/>
    </row>
    <row r="60572" ht="15.75" customHeight="1">
      <c r="A60572" s="7"/>
      <c r="B60572" s="7"/>
    </row>
    <row r="60573" ht="15.75" customHeight="1">
      <c r="A60573" s="7"/>
      <c r="B60573" s="7"/>
    </row>
    <row r="60574" ht="15.75" customHeight="1">
      <c r="A60574" s="7"/>
      <c r="B60574" s="7"/>
    </row>
    <row r="60575" ht="15.75" customHeight="1">
      <c r="A60575" s="7"/>
      <c r="B60575" s="7"/>
    </row>
    <row r="60576" ht="15.75" customHeight="1">
      <c r="A60576" s="7"/>
      <c r="B60576" s="7"/>
    </row>
    <row r="60577" ht="15.75" customHeight="1">
      <c r="A60577" s="7"/>
      <c r="B60577" s="7"/>
    </row>
    <row r="60578" ht="15.75" customHeight="1">
      <c r="A60578" s="7"/>
      <c r="B60578" s="7"/>
    </row>
    <row r="60579" ht="15.75" customHeight="1">
      <c r="A60579" s="7"/>
      <c r="B60579" s="7"/>
    </row>
    <row r="60580" ht="15.75" customHeight="1">
      <c r="A60580" s="7"/>
      <c r="B60580" s="7"/>
    </row>
    <row r="60581" ht="15.75" customHeight="1">
      <c r="A60581" s="7"/>
      <c r="B60581" s="7"/>
    </row>
    <row r="60582" ht="15.75" customHeight="1">
      <c r="A60582" s="7"/>
      <c r="B60582" s="7"/>
    </row>
    <row r="60583" ht="15.75" customHeight="1">
      <c r="A60583" s="7"/>
      <c r="B60583" s="7"/>
    </row>
    <row r="60584" ht="15.75" customHeight="1">
      <c r="A60584" s="7"/>
      <c r="B60584" s="7"/>
    </row>
    <row r="60585" ht="15.75" customHeight="1">
      <c r="A60585" s="7"/>
      <c r="B60585" s="7"/>
    </row>
    <row r="60586" ht="15.75" customHeight="1">
      <c r="A60586" s="7"/>
      <c r="B60586" s="7"/>
    </row>
    <row r="60587" ht="15.75" customHeight="1">
      <c r="A60587" s="7"/>
      <c r="B60587" s="7"/>
    </row>
    <row r="60588" ht="15.75" customHeight="1">
      <c r="A60588" s="7"/>
      <c r="B60588" s="7"/>
    </row>
    <row r="60589" ht="15.75" customHeight="1">
      <c r="A60589" s="7"/>
      <c r="B60589" s="7"/>
    </row>
    <row r="60590" ht="15.75" customHeight="1">
      <c r="A60590" s="7"/>
      <c r="B60590" s="7"/>
    </row>
    <row r="60591" ht="15.75" customHeight="1">
      <c r="A60591" s="7"/>
      <c r="B60591" s="7"/>
    </row>
    <row r="60592" ht="15.75" customHeight="1">
      <c r="A60592" s="7"/>
      <c r="B60592" s="7"/>
    </row>
    <row r="60593" ht="15.75" customHeight="1">
      <c r="A60593" s="7"/>
      <c r="B60593" s="7"/>
    </row>
    <row r="60594" ht="15.75" customHeight="1">
      <c r="A60594" s="7"/>
      <c r="B60594" s="7"/>
    </row>
    <row r="60595" ht="15.75" customHeight="1">
      <c r="A60595" s="7"/>
      <c r="B60595" s="7"/>
    </row>
    <row r="60596" ht="15.75" customHeight="1">
      <c r="A60596" s="7"/>
      <c r="B60596" s="7"/>
    </row>
    <row r="60597" ht="15.75" customHeight="1">
      <c r="A60597" s="7"/>
      <c r="B60597" s="7"/>
    </row>
    <row r="60598" ht="15.75" customHeight="1">
      <c r="A60598" s="7"/>
      <c r="B60598" s="7"/>
    </row>
    <row r="60599" ht="15.75" customHeight="1">
      <c r="A60599" s="7"/>
      <c r="B60599" s="7"/>
    </row>
    <row r="60600" ht="15.75" customHeight="1">
      <c r="A60600" s="7"/>
      <c r="B60600" s="7"/>
    </row>
    <row r="60601" ht="15.75" customHeight="1">
      <c r="A60601" s="7"/>
      <c r="B60601" s="7"/>
    </row>
    <row r="60602" ht="15.75" customHeight="1">
      <c r="A60602" s="7"/>
      <c r="B60602" s="7"/>
    </row>
    <row r="60603" ht="15.75" customHeight="1">
      <c r="A60603" s="7"/>
      <c r="B60603" s="7"/>
    </row>
    <row r="60604" ht="15.75" customHeight="1">
      <c r="A60604" s="7"/>
      <c r="B60604" s="7"/>
    </row>
    <row r="60605" ht="15.75" customHeight="1">
      <c r="A60605" s="7"/>
      <c r="B60605" s="7"/>
    </row>
    <row r="60606" ht="15.75" customHeight="1">
      <c r="A60606" s="7"/>
      <c r="B60606" s="7"/>
    </row>
    <row r="60607" ht="15.75" customHeight="1">
      <c r="A60607" s="7"/>
      <c r="B60607" s="7"/>
    </row>
    <row r="60608" ht="15.75" customHeight="1">
      <c r="A60608" s="7"/>
      <c r="B60608" s="7"/>
    </row>
    <row r="60609" ht="15.75" customHeight="1">
      <c r="A60609" s="7"/>
      <c r="B60609" s="7"/>
    </row>
    <row r="60610" ht="15.75" customHeight="1">
      <c r="A60610" s="7"/>
      <c r="B60610" s="7"/>
    </row>
    <row r="60611" ht="15.75" customHeight="1">
      <c r="A60611" s="7"/>
      <c r="B60611" s="7"/>
    </row>
    <row r="60612" ht="15.75" customHeight="1">
      <c r="A60612" s="7"/>
      <c r="B60612" s="7"/>
    </row>
    <row r="60613" ht="15.75" customHeight="1">
      <c r="A60613" s="7"/>
      <c r="B60613" s="7"/>
    </row>
    <row r="60614" ht="15.75" customHeight="1">
      <c r="A60614" s="7"/>
      <c r="B60614" s="7"/>
    </row>
    <row r="60615" ht="15.75" customHeight="1">
      <c r="A60615" s="7"/>
      <c r="B60615" s="7"/>
    </row>
    <row r="60616" ht="15.75" customHeight="1">
      <c r="A60616" s="7"/>
      <c r="B60616" s="7"/>
    </row>
    <row r="60617" ht="15.75" customHeight="1">
      <c r="A60617" s="7"/>
      <c r="B60617" s="7"/>
    </row>
    <row r="60618" ht="15.75" customHeight="1">
      <c r="A60618" s="7"/>
      <c r="B60618" s="7"/>
    </row>
    <row r="60619" ht="15.75" customHeight="1">
      <c r="A60619" s="7"/>
      <c r="B60619" s="7"/>
    </row>
    <row r="60620" ht="15.75" customHeight="1">
      <c r="A60620" s="7"/>
      <c r="B60620" s="7"/>
    </row>
    <row r="60621" ht="15.75" customHeight="1">
      <c r="A60621" s="7"/>
      <c r="B60621" s="7"/>
    </row>
    <row r="60622" ht="15.75" customHeight="1">
      <c r="A60622" s="7"/>
      <c r="B60622" s="7"/>
    </row>
    <row r="60623" ht="15.75" customHeight="1">
      <c r="A60623" s="7"/>
      <c r="B60623" s="7"/>
    </row>
    <row r="60624" ht="15.75" customHeight="1">
      <c r="A60624" s="7"/>
      <c r="B60624" s="7"/>
    </row>
    <row r="60625" ht="15.75" customHeight="1">
      <c r="A60625" s="7"/>
      <c r="B60625" s="7"/>
    </row>
    <row r="60626" ht="15.75" customHeight="1">
      <c r="A60626" s="7"/>
      <c r="B60626" s="7"/>
    </row>
    <row r="60627" ht="15.75" customHeight="1">
      <c r="A60627" s="7"/>
      <c r="B60627" s="7"/>
    </row>
    <row r="60628" ht="15.75" customHeight="1">
      <c r="A60628" s="7"/>
      <c r="B60628" s="7"/>
    </row>
    <row r="60629" ht="15.75" customHeight="1">
      <c r="A60629" s="7"/>
      <c r="B60629" s="7"/>
    </row>
    <row r="60630" ht="15.75" customHeight="1">
      <c r="A60630" s="7"/>
      <c r="B60630" s="7"/>
    </row>
    <row r="60631" ht="15.75" customHeight="1">
      <c r="A60631" s="7"/>
      <c r="B60631" s="7"/>
    </row>
    <row r="60632" ht="15.75" customHeight="1">
      <c r="A60632" s="7"/>
      <c r="B60632" s="7"/>
    </row>
    <row r="60633" ht="15.75" customHeight="1">
      <c r="A60633" s="7"/>
      <c r="B60633" s="7"/>
    </row>
    <row r="60634" ht="15.75" customHeight="1">
      <c r="A60634" s="7"/>
      <c r="B60634" s="7"/>
    </row>
    <row r="60635" ht="15.75" customHeight="1">
      <c r="A60635" s="7"/>
      <c r="B60635" s="7"/>
    </row>
    <row r="60636" ht="15.75" customHeight="1">
      <c r="A60636" s="7"/>
      <c r="B60636" s="7"/>
    </row>
    <row r="60637" ht="15.75" customHeight="1">
      <c r="A60637" s="7"/>
      <c r="B60637" s="7"/>
    </row>
    <row r="60638" ht="15.75" customHeight="1">
      <c r="A60638" s="7"/>
      <c r="B60638" s="7"/>
    </row>
    <row r="60639" ht="15.75" customHeight="1">
      <c r="A60639" s="7"/>
      <c r="B60639" s="7"/>
    </row>
    <row r="60640" ht="15.75" customHeight="1">
      <c r="A60640" s="7"/>
      <c r="B60640" s="7"/>
    </row>
    <row r="60641" ht="15.75" customHeight="1">
      <c r="A60641" s="7"/>
      <c r="B60641" s="7"/>
    </row>
    <row r="60642" ht="15.75" customHeight="1">
      <c r="A60642" s="7"/>
      <c r="B60642" s="7"/>
    </row>
    <row r="60643" ht="15.75" customHeight="1">
      <c r="A60643" s="7"/>
      <c r="B60643" s="7"/>
    </row>
    <row r="60644" ht="15.75" customHeight="1">
      <c r="A60644" s="7"/>
      <c r="B60644" s="7"/>
    </row>
    <row r="60645" ht="15.75" customHeight="1">
      <c r="A60645" s="7"/>
      <c r="B60645" s="7"/>
    </row>
    <row r="60646" ht="15.75" customHeight="1">
      <c r="A60646" s="7"/>
      <c r="B60646" s="7"/>
    </row>
    <row r="60647" ht="15.75" customHeight="1">
      <c r="A60647" s="7"/>
      <c r="B60647" s="7"/>
    </row>
    <row r="60648" ht="15.75" customHeight="1">
      <c r="A60648" s="7"/>
      <c r="B60648" s="7"/>
    </row>
    <row r="60649" ht="15.75" customHeight="1">
      <c r="A60649" s="7"/>
      <c r="B60649" s="7"/>
    </row>
    <row r="60650" ht="15.75" customHeight="1">
      <c r="A60650" s="7"/>
      <c r="B60650" s="7"/>
    </row>
    <row r="60651" ht="15.75" customHeight="1">
      <c r="A60651" s="7"/>
      <c r="B60651" s="7"/>
    </row>
    <row r="60652" ht="15.75" customHeight="1">
      <c r="A60652" s="7"/>
      <c r="B60652" s="7"/>
    </row>
    <row r="60653" ht="15.75" customHeight="1">
      <c r="A60653" s="7"/>
      <c r="B60653" s="7"/>
    </row>
    <row r="60654" ht="15.75" customHeight="1">
      <c r="A60654" s="7"/>
      <c r="B60654" s="7"/>
    </row>
    <row r="60655" ht="15.75" customHeight="1">
      <c r="A60655" s="7"/>
      <c r="B60655" s="7"/>
    </row>
    <row r="60656" ht="15.75" customHeight="1">
      <c r="A60656" s="7"/>
      <c r="B60656" s="7"/>
    </row>
    <row r="60657" ht="15.75" customHeight="1">
      <c r="A60657" s="7"/>
      <c r="B60657" s="7"/>
    </row>
    <row r="60658" ht="15.75" customHeight="1">
      <c r="A60658" s="7"/>
      <c r="B60658" s="7"/>
    </row>
    <row r="60659" ht="15.75" customHeight="1">
      <c r="A60659" s="7"/>
      <c r="B60659" s="7"/>
    </row>
    <row r="60660" ht="15.75" customHeight="1">
      <c r="A60660" s="7"/>
      <c r="B60660" s="7"/>
    </row>
    <row r="60661" ht="15.75" customHeight="1">
      <c r="A60661" s="7"/>
      <c r="B60661" s="7"/>
    </row>
    <row r="60662" ht="15.75" customHeight="1">
      <c r="A60662" s="7"/>
      <c r="B60662" s="7"/>
    </row>
    <row r="60663" ht="15.75" customHeight="1">
      <c r="A60663" s="7"/>
      <c r="B60663" s="7"/>
    </row>
    <row r="60664" ht="15.75" customHeight="1">
      <c r="A60664" s="7"/>
      <c r="B60664" s="7"/>
    </row>
    <row r="60665" ht="15.75" customHeight="1">
      <c r="A60665" s="7"/>
      <c r="B60665" s="7"/>
    </row>
    <row r="60666" ht="15.75" customHeight="1">
      <c r="A60666" s="7"/>
      <c r="B60666" s="7"/>
    </row>
    <row r="60667" ht="15.75" customHeight="1">
      <c r="A60667" s="7"/>
      <c r="B60667" s="7"/>
    </row>
    <row r="60668" ht="15.75" customHeight="1">
      <c r="A60668" s="7"/>
      <c r="B60668" s="7"/>
    </row>
    <row r="60669" ht="15.75" customHeight="1">
      <c r="A60669" s="7"/>
      <c r="B60669" s="7"/>
    </row>
    <row r="60670" ht="15.75" customHeight="1">
      <c r="A60670" s="7"/>
      <c r="B60670" s="7"/>
    </row>
    <row r="60671" ht="15.75" customHeight="1">
      <c r="A60671" s="7"/>
      <c r="B60671" s="7"/>
    </row>
    <row r="60672" ht="15.75" customHeight="1">
      <c r="A60672" s="7"/>
      <c r="B60672" s="7"/>
    </row>
    <row r="60673" ht="15.75" customHeight="1">
      <c r="A60673" s="7"/>
      <c r="B60673" s="7"/>
    </row>
    <row r="60674" ht="15.75" customHeight="1">
      <c r="A60674" s="7"/>
      <c r="B60674" s="7"/>
    </row>
    <row r="60675" ht="15.75" customHeight="1">
      <c r="A60675" s="7"/>
      <c r="B60675" s="7"/>
    </row>
    <row r="60676" ht="15.75" customHeight="1">
      <c r="A60676" s="7"/>
      <c r="B60676" s="7"/>
    </row>
    <row r="60677" ht="15.75" customHeight="1">
      <c r="A60677" s="7"/>
      <c r="B60677" s="7"/>
    </row>
    <row r="60678" ht="15.75" customHeight="1">
      <c r="A60678" s="7"/>
      <c r="B60678" s="7"/>
    </row>
    <row r="60679" ht="15.75" customHeight="1">
      <c r="A60679" s="7"/>
      <c r="B60679" s="7"/>
    </row>
    <row r="60680" ht="15.75" customHeight="1">
      <c r="A60680" s="7"/>
      <c r="B60680" s="7"/>
    </row>
    <row r="60681" ht="15.75" customHeight="1">
      <c r="A60681" s="7"/>
      <c r="B60681" s="7"/>
    </row>
    <row r="60682" ht="15.75" customHeight="1">
      <c r="A60682" s="7"/>
      <c r="B60682" s="7"/>
    </row>
    <row r="60683" ht="15.75" customHeight="1">
      <c r="A60683" s="7"/>
      <c r="B60683" s="7"/>
    </row>
    <row r="60684" ht="15.75" customHeight="1">
      <c r="A60684" s="7"/>
      <c r="B60684" s="7"/>
    </row>
    <row r="60685" ht="15.75" customHeight="1">
      <c r="A60685" s="7"/>
      <c r="B60685" s="7"/>
    </row>
    <row r="60686" ht="15.75" customHeight="1">
      <c r="A60686" s="7"/>
      <c r="B60686" s="7"/>
    </row>
    <row r="60687" ht="15.75" customHeight="1">
      <c r="A60687" s="7"/>
      <c r="B60687" s="7"/>
    </row>
    <row r="60688" ht="15.75" customHeight="1">
      <c r="A60688" s="7"/>
      <c r="B60688" s="7"/>
    </row>
    <row r="60689" ht="15.75" customHeight="1">
      <c r="A60689" s="7"/>
      <c r="B60689" s="7"/>
    </row>
    <row r="60690" ht="15.75" customHeight="1">
      <c r="A60690" s="7"/>
      <c r="B60690" s="7"/>
    </row>
    <row r="60691" ht="15.75" customHeight="1">
      <c r="A60691" s="7"/>
      <c r="B60691" s="7"/>
    </row>
    <row r="60692" ht="15.75" customHeight="1">
      <c r="A60692" s="7"/>
      <c r="B60692" s="7"/>
    </row>
    <row r="60693" ht="15.75" customHeight="1">
      <c r="A60693" s="7"/>
      <c r="B60693" s="7"/>
    </row>
    <row r="60694" ht="15.75" customHeight="1">
      <c r="A60694" s="7"/>
      <c r="B60694" s="7"/>
    </row>
    <row r="60695" ht="15.75" customHeight="1">
      <c r="A60695" s="7"/>
      <c r="B60695" s="7"/>
    </row>
    <row r="60696" ht="15.75" customHeight="1">
      <c r="A60696" s="7"/>
      <c r="B60696" s="7"/>
    </row>
    <row r="60697" ht="15.75" customHeight="1">
      <c r="A60697" s="7"/>
      <c r="B60697" s="7"/>
    </row>
    <row r="60698" ht="15.75" customHeight="1">
      <c r="A60698" s="7"/>
      <c r="B60698" s="7"/>
    </row>
    <row r="60699" ht="15.75" customHeight="1">
      <c r="A60699" s="7"/>
      <c r="B60699" s="7"/>
    </row>
    <row r="60700" ht="15.75" customHeight="1">
      <c r="A60700" s="7"/>
      <c r="B60700" s="7"/>
    </row>
    <row r="60701" ht="15.75" customHeight="1">
      <c r="A60701" s="7"/>
      <c r="B60701" s="7"/>
    </row>
    <row r="60702" ht="15.75" customHeight="1">
      <c r="A60702" s="7"/>
      <c r="B60702" s="7"/>
    </row>
    <row r="60703" ht="15.75" customHeight="1">
      <c r="A60703" s="7"/>
      <c r="B60703" s="7"/>
    </row>
    <row r="60704" ht="15.75" customHeight="1">
      <c r="A60704" s="7"/>
      <c r="B60704" s="7"/>
    </row>
    <row r="60705" ht="15.75" customHeight="1">
      <c r="A60705" s="7"/>
      <c r="B60705" s="7"/>
    </row>
    <row r="60706" ht="15.75" customHeight="1">
      <c r="A60706" s="7"/>
      <c r="B60706" s="7"/>
    </row>
    <row r="60707" ht="15.75" customHeight="1">
      <c r="A60707" s="7"/>
      <c r="B60707" s="7"/>
    </row>
    <row r="60708" ht="15.75" customHeight="1">
      <c r="A60708" s="7"/>
      <c r="B60708" s="7"/>
    </row>
    <row r="60709" ht="15.75" customHeight="1">
      <c r="A60709" s="7"/>
      <c r="B60709" s="7"/>
    </row>
    <row r="60710" ht="15.75" customHeight="1">
      <c r="A60710" s="7"/>
      <c r="B60710" s="7"/>
    </row>
    <row r="60711" ht="15.75" customHeight="1">
      <c r="A60711" s="7"/>
      <c r="B60711" s="7"/>
    </row>
    <row r="60712" ht="15.75" customHeight="1">
      <c r="A60712" s="7"/>
      <c r="B60712" s="7"/>
    </row>
    <row r="60713" ht="15.75" customHeight="1">
      <c r="A60713" s="7"/>
      <c r="B60713" s="7"/>
    </row>
    <row r="60714" ht="15.75" customHeight="1">
      <c r="A60714" s="7"/>
      <c r="B60714" s="7"/>
    </row>
    <row r="60715" ht="15.75" customHeight="1">
      <c r="A60715" s="7"/>
      <c r="B60715" s="7"/>
    </row>
    <row r="60716" ht="15.75" customHeight="1">
      <c r="A60716" s="7"/>
      <c r="B60716" s="7"/>
    </row>
    <row r="60717" ht="15.75" customHeight="1">
      <c r="A60717" s="7"/>
      <c r="B60717" s="7"/>
    </row>
    <row r="60718" ht="15.75" customHeight="1">
      <c r="A60718" s="7"/>
      <c r="B60718" s="7"/>
    </row>
    <row r="60719" ht="15.75" customHeight="1">
      <c r="A60719" s="7"/>
      <c r="B60719" s="7"/>
    </row>
    <row r="60720" ht="15.75" customHeight="1">
      <c r="A60720" s="7"/>
      <c r="B60720" s="7"/>
    </row>
    <row r="60721" ht="15.75" customHeight="1">
      <c r="A60721" s="7"/>
      <c r="B60721" s="7"/>
    </row>
    <row r="60722" ht="15.75" customHeight="1">
      <c r="A60722" s="7"/>
      <c r="B60722" s="7"/>
    </row>
    <row r="60723" ht="15.75" customHeight="1">
      <c r="A60723" s="7"/>
      <c r="B60723" s="7"/>
    </row>
    <row r="60724" ht="15.75" customHeight="1">
      <c r="A60724" s="7"/>
      <c r="B60724" s="7"/>
    </row>
    <row r="60725" ht="15.75" customHeight="1">
      <c r="A60725" s="7"/>
      <c r="B60725" s="7"/>
    </row>
    <row r="60726" ht="15.75" customHeight="1">
      <c r="A60726" s="7"/>
      <c r="B60726" s="7"/>
    </row>
    <row r="60727" ht="15.75" customHeight="1">
      <c r="A60727" s="7"/>
      <c r="B60727" s="7"/>
    </row>
    <row r="60728" ht="15.75" customHeight="1">
      <c r="A60728" s="7"/>
      <c r="B60728" s="7"/>
    </row>
    <row r="60729" ht="15.75" customHeight="1">
      <c r="A60729" s="7"/>
      <c r="B60729" s="7"/>
    </row>
    <row r="60730" ht="15.75" customHeight="1">
      <c r="A60730" s="7"/>
      <c r="B60730" s="7"/>
    </row>
    <row r="60731" ht="15.75" customHeight="1">
      <c r="A60731" s="7"/>
      <c r="B60731" s="7"/>
    </row>
    <row r="60732" ht="15.75" customHeight="1">
      <c r="A60732" s="7"/>
      <c r="B60732" s="7"/>
    </row>
    <row r="60733" ht="15.75" customHeight="1">
      <c r="A60733" s="7"/>
      <c r="B60733" s="7"/>
    </row>
    <row r="60734" ht="15.75" customHeight="1">
      <c r="A60734" s="7"/>
      <c r="B60734" s="7"/>
    </row>
    <row r="60735" ht="15.75" customHeight="1">
      <c r="A60735" s="7"/>
      <c r="B60735" s="7"/>
    </row>
    <row r="60736" ht="15.75" customHeight="1">
      <c r="A60736" s="7"/>
      <c r="B60736" s="7"/>
    </row>
    <row r="60737" ht="15.75" customHeight="1">
      <c r="A60737" s="7"/>
      <c r="B60737" s="7"/>
    </row>
    <row r="60738" ht="15.75" customHeight="1">
      <c r="A60738" s="7"/>
      <c r="B60738" s="7"/>
    </row>
    <row r="60739" ht="15.75" customHeight="1">
      <c r="A60739" s="7"/>
      <c r="B60739" s="7"/>
    </row>
    <row r="60740" ht="15.75" customHeight="1">
      <c r="A60740" s="7"/>
      <c r="B60740" s="7"/>
    </row>
    <row r="60741" ht="15.75" customHeight="1">
      <c r="A60741" s="7"/>
      <c r="B60741" s="7"/>
    </row>
    <row r="60742" ht="15.75" customHeight="1">
      <c r="A60742" s="7"/>
      <c r="B60742" s="7"/>
    </row>
    <row r="60743" ht="15.75" customHeight="1">
      <c r="A60743" s="7"/>
      <c r="B60743" s="7"/>
    </row>
    <row r="60744" ht="15.75" customHeight="1">
      <c r="A60744" s="7"/>
      <c r="B60744" s="7"/>
    </row>
    <row r="60745" ht="15.75" customHeight="1">
      <c r="A60745" s="7"/>
      <c r="B60745" s="7"/>
    </row>
    <row r="60746" ht="15.75" customHeight="1">
      <c r="A60746" s="7"/>
      <c r="B60746" s="7"/>
    </row>
    <row r="60747" ht="15.75" customHeight="1">
      <c r="A60747" s="7"/>
      <c r="B60747" s="7"/>
    </row>
    <row r="60748" ht="15.75" customHeight="1">
      <c r="A60748" s="7"/>
      <c r="B60748" s="7"/>
    </row>
    <row r="60749" ht="15.75" customHeight="1">
      <c r="A60749" s="7"/>
      <c r="B60749" s="7"/>
    </row>
    <row r="60750" ht="15.75" customHeight="1">
      <c r="A60750" s="7"/>
      <c r="B60750" s="7"/>
    </row>
    <row r="60751" ht="15.75" customHeight="1">
      <c r="A60751" s="7"/>
      <c r="B60751" s="7"/>
    </row>
    <row r="60752" ht="15.75" customHeight="1">
      <c r="A60752" s="7"/>
      <c r="B60752" s="7"/>
    </row>
    <row r="60753" ht="15.75" customHeight="1">
      <c r="A60753" s="7"/>
      <c r="B60753" s="7"/>
    </row>
    <row r="60754" ht="15.75" customHeight="1">
      <c r="A60754" s="7"/>
      <c r="B60754" s="7"/>
    </row>
    <row r="60755" ht="15.75" customHeight="1">
      <c r="A60755" s="7"/>
      <c r="B60755" s="7"/>
    </row>
    <row r="60756" ht="15.75" customHeight="1">
      <c r="A60756" s="7"/>
      <c r="B60756" s="7"/>
    </row>
    <row r="60757" ht="15.75" customHeight="1">
      <c r="A60757" s="7"/>
      <c r="B60757" s="7"/>
    </row>
    <row r="60758" ht="15.75" customHeight="1">
      <c r="A60758" s="7"/>
      <c r="B60758" s="7"/>
    </row>
    <row r="60759" ht="15.75" customHeight="1">
      <c r="A60759" s="7"/>
      <c r="B60759" s="7"/>
    </row>
    <row r="60760" ht="15.75" customHeight="1">
      <c r="A60760" s="7"/>
      <c r="B60760" s="7"/>
    </row>
    <row r="60761" ht="15.75" customHeight="1">
      <c r="A60761" s="7"/>
      <c r="B60761" s="7"/>
    </row>
    <row r="60762" ht="15.75" customHeight="1">
      <c r="A60762" s="7"/>
      <c r="B60762" s="7"/>
    </row>
    <row r="60763" ht="15.75" customHeight="1">
      <c r="A60763" s="7"/>
      <c r="B60763" s="7"/>
    </row>
    <row r="60764" ht="15.75" customHeight="1">
      <c r="A60764" s="7"/>
      <c r="B60764" s="7"/>
    </row>
    <row r="60765" ht="15.75" customHeight="1">
      <c r="A60765" s="7"/>
      <c r="B60765" s="7"/>
    </row>
    <row r="60766" ht="15.75" customHeight="1">
      <c r="A60766" s="7"/>
      <c r="B60766" s="7"/>
    </row>
    <row r="60767" ht="15.75" customHeight="1">
      <c r="A60767" s="7"/>
      <c r="B60767" s="7"/>
    </row>
    <row r="60768" ht="15.75" customHeight="1">
      <c r="A60768" s="7"/>
      <c r="B60768" s="7"/>
    </row>
    <row r="60769" ht="15.75" customHeight="1">
      <c r="A60769" s="7"/>
      <c r="B60769" s="7"/>
    </row>
    <row r="60770" ht="15.75" customHeight="1">
      <c r="A60770" s="7"/>
      <c r="B60770" s="7"/>
    </row>
    <row r="60771" ht="15.75" customHeight="1">
      <c r="A60771" s="7"/>
      <c r="B60771" s="7"/>
    </row>
    <row r="60772" ht="15.75" customHeight="1">
      <c r="A60772" s="7"/>
      <c r="B60772" s="7"/>
    </row>
    <row r="60773" ht="15.75" customHeight="1">
      <c r="A60773" s="7"/>
      <c r="B60773" s="7"/>
    </row>
    <row r="60774" ht="15.75" customHeight="1">
      <c r="A60774" s="7"/>
      <c r="B60774" s="7"/>
    </row>
    <row r="60775" ht="15.75" customHeight="1">
      <c r="A60775" s="7"/>
      <c r="B60775" s="7"/>
    </row>
    <row r="60776" ht="15.75" customHeight="1">
      <c r="A60776" s="7"/>
      <c r="B60776" s="7"/>
    </row>
    <row r="60777" ht="15.75" customHeight="1">
      <c r="A60777" s="7"/>
      <c r="B60777" s="7"/>
    </row>
    <row r="60778" ht="15.75" customHeight="1">
      <c r="A60778" s="7"/>
      <c r="B60778" s="7"/>
    </row>
    <row r="60779" ht="15.75" customHeight="1">
      <c r="A60779" s="7"/>
      <c r="B60779" s="7"/>
    </row>
    <row r="60780" ht="15.75" customHeight="1">
      <c r="A60780" s="7"/>
      <c r="B60780" s="7"/>
    </row>
    <row r="60781" ht="15.75" customHeight="1">
      <c r="A60781" s="7"/>
      <c r="B60781" s="7"/>
    </row>
    <row r="60782" ht="15.75" customHeight="1">
      <c r="A60782" s="7"/>
      <c r="B60782" s="7"/>
    </row>
    <row r="60783" ht="15.75" customHeight="1">
      <c r="A60783" s="7"/>
      <c r="B60783" s="7"/>
    </row>
    <row r="60784" ht="15.75" customHeight="1">
      <c r="A60784" s="7"/>
      <c r="B60784" s="7"/>
    </row>
    <row r="60785" ht="15.75" customHeight="1">
      <c r="A60785" s="7"/>
      <c r="B60785" s="7"/>
    </row>
    <row r="60786" ht="15.75" customHeight="1">
      <c r="A60786" s="7"/>
      <c r="B60786" s="7"/>
    </row>
    <row r="60787" ht="15.75" customHeight="1">
      <c r="A60787" s="7"/>
      <c r="B60787" s="7"/>
    </row>
    <row r="60788" ht="15.75" customHeight="1">
      <c r="A60788" s="7"/>
      <c r="B60788" s="7"/>
    </row>
    <row r="60789" ht="15.75" customHeight="1">
      <c r="A60789" s="7"/>
      <c r="B60789" s="7"/>
    </row>
    <row r="60790" ht="15.75" customHeight="1">
      <c r="A60790" s="7"/>
      <c r="B60790" s="7"/>
    </row>
    <row r="60791" ht="15.75" customHeight="1">
      <c r="A60791" s="7"/>
      <c r="B60791" s="7"/>
    </row>
    <row r="60792" ht="15.75" customHeight="1">
      <c r="A60792" s="7"/>
      <c r="B60792" s="7"/>
    </row>
    <row r="60793" ht="15.75" customHeight="1">
      <c r="A60793" s="7"/>
      <c r="B60793" s="7"/>
    </row>
    <row r="60794" ht="15.75" customHeight="1">
      <c r="A60794" s="7"/>
      <c r="B60794" s="7"/>
    </row>
    <row r="60795" ht="15.75" customHeight="1">
      <c r="A60795" s="7"/>
      <c r="B60795" s="7"/>
    </row>
    <row r="60796" ht="15.75" customHeight="1">
      <c r="A60796" s="7"/>
      <c r="B60796" s="7"/>
    </row>
    <row r="60797" ht="15.75" customHeight="1">
      <c r="A60797" s="7"/>
      <c r="B60797" s="7"/>
    </row>
    <row r="60798" ht="15.75" customHeight="1">
      <c r="A60798" s="7"/>
      <c r="B60798" s="7"/>
    </row>
    <row r="60799" ht="15.75" customHeight="1">
      <c r="A60799" s="7"/>
      <c r="B60799" s="7"/>
    </row>
    <row r="60800" ht="15.75" customHeight="1">
      <c r="A60800" s="7"/>
      <c r="B60800" s="7"/>
    </row>
    <row r="60801" ht="15.75" customHeight="1">
      <c r="A60801" s="7"/>
      <c r="B60801" s="7"/>
    </row>
    <row r="60802" ht="15.75" customHeight="1">
      <c r="A60802" s="7"/>
      <c r="B60802" s="7"/>
    </row>
    <row r="60803" ht="15.75" customHeight="1">
      <c r="A60803" s="7"/>
      <c r="B60803" s="7"/>
    </row>
    <row r="60804" ht="15.75" customHeight="1">
      <c r="A60804" s="7"/>
      <c r="B60804" s="7"/>
    </row>
    <row r="60805" ht="15.75" customHeight="1">
      <c r="A60805" s="7"/>
      <c r="B60805" s="7"/>
    </row>
    <row r="60806" ht="15.75" customHeight="1">
      <c r="A60806" s="7"/>
      <c r="B60806" s="7"/>
    </row>
    <row r="60807" ht="15.75" customHeight="1">
      <c r="A60807" s="7"/>
      <c r="B60807" s="7"/>
    </row>
    <row r="60808" ht="15.75" customHeight="1">
      <c r="A60808" s="7"/>
      <c r="B60808" s="7"/>
    </row>
    <row r="60809" ht="15.75" customHeight="1">
      <c r="A60809" s="7"/>
      <c r="B60809" s="7"/>
    </row>
    <row r="60810" ht="15.75" customHeight="1">
      <c r="A60810" s="7"/>
      <c r="B60810" s="7"/>
    </row>
    <row r="60811" ht="15.75" customHeight="1">
      <c r="A60811" s="7"/>
      <c r="B60811" s="7"/>
    </row>
    <row r="60812" ht="15.75" customHeight="1">
      <c r="A60812" s="7"/>
      <c r="B60812" s="7"/>
    </row>
    <row r="60813" ht="15.75" customHeight="1">
      <c r="A60813" s="7"/>
      <c r="B60813" s="7"/>
    </row>
    <row r="60814" ht="15.75" customHeight="1">
      <c r="A60814" s="7"/>
      <c r="B60814" s="7"/>
    </row>
    <row r="60815" ht="15.75" customHeight="1">
      <c r="A60815" s="7"/>
      <c r="B60815" s="7"/>
    </row>
    <row r="60816" ht="15.75" customHeight="1">
      <c r="A60816" s="7"/>
      <c r="B60816" s="7"/>
    </row>
    <row r="60817" ht="15.75" customHeight="1">
      <c r="A60817" s="7"/>
      <c r="B60817" s="7"/>
    </row>
    <row r="60818" ht="15.75" customHeight="1">
      <c r="A60818" s="7"/>
      <c r="B60818" s="7"/>
    </row>
    <row r="60819" ht="15.75" customHeight="1">
      <c r="A60819" s="7"/>
      <c r="B60819" s="7"/>
    </row>
    <row r="60820" ht="15.75" customHeight="1">
      <c r="A60820" s="7"/>
      <c r="B60820" s="7"/>
    </row>
    <row r="60821" ht="15.75" customHeight="1">
      <c r="A60821" s="7"/>
      <c r="B60821" s="7"/>
    </row>
    <row r="60822" ht="15.75" customHeight="1">
      <c r="A60822" s="7"/>
      <c r="B60822" s="7"/>
    </row>
    <row r="60823" ht="15.75" customHeight="1">
      <c r="A60823" s="7"/>
      <c r="B60823" s="7"/>
    </row>
    <row r="60824" ht="15.75" customHeight="1">
      <c r="A60824" s="7"/>
      <c r="B60824" s="7"/>
    </row>
    <row r="60825" ht="15.75" customHeight="1">
      <c r="A60825" s="7"/>
      <c r="B60825" s="7"/>
    </row>
    <row r="60826" ht="15.75" customHeight="1">
      <c r="A60826" s="7"/>
      <c r="B60826" s="7"/>
    </row>
    <row r="60827" ht="15.75" customHeight="1">
      <c r="A60827" s="7"/>
      <c r="B60827" s="7"/>
    </row>
    <row r="60828" ht="15.75" customHeight="1">
      <c r="A60828" s="7"/>
      <c r="B60828" s="7"/>
    </row>
    <row r="60829" ht="15.75" customHeight="1">
      <c r="A60829" s="7"/>
      <c r="B60829" s="7"/>
    </row>
    <row r="60830" ht="15.75" customHeight="1">
      <c r="A60830" s="7"/>
      <c r="B60830" s="7"/>
    </row>
    <row r="60831" ht="15.75" customHeight="1">
      <c r="A60831" s="7"/>
      <c r="B60831" s="7"/>
    </row>
    <row r="60832" ht="15.75" customHeight="1">
      <c r="A60832" s="7"/>
      <c r="B60832" s="7"/>
    </row>
    <row r="60833" ht="15.75" customHeight="1">
      <c r="A60833" s="7"/>
      <c r="B60833" s="7"/>
    </row>
    <row r="60834" ht="15.75" customHeight="1">
      <c r="A60834" s="7"/>
      <c r="B60834" s="7"/>
    </row>
    <row r="60835" ht="15.75" customHeight="1">
      <c r="A60835" s="7"/>
      <c r="B60835" s="7"/>
    </row>
    <row r="60836" ht="15.75" customHeight="1">
      <c r="A60836" s="7"/>
      <c r="B60836" s="7"/>
    </row>
    <row r="60837" ht="15.75" customHeight="1">
      <c r="A60837" s="7"/>
      <c r="B60837" s="7"/>
    </row>
    <row r="60838" ht="15.75" customHeight="1">
      <c r="A60838" s="7"/>
      <c r="B60838" s="7"/>
    </row>
    <row r="60839" ht="15.75" customHeight="1">
      <c r="A60839" s="7"/>
      <c r="B60839" s="7"/>
    </row>
    <row r="60840" ht="15.75" customHeight="1">
      <c r="A60840" s="7"/>
      <c r="B60840" s="7"/>
    </row>
    <row r="60841" ht="15.75" customHeight="1">
      <c r="A60841" s="7"/>
      <c r="B60841" s="7"/>
    </row>
    <row r="60842" ht="15.75" customHeight="1">
      <c r="A60842" s="7"/>
      <c r="B60842" s="7"/>
    </row>
    <row r="60843" ht="15.75" customHeight="1">
      <c r="A60843" s="7"/>
      <c r="B60843" s="7"/>
    </row>
    <row r="60844" ht="15.75" customHeight="1">
      <c r="A60844" s="7"/>
      <c r="B60844" s="7"/>
    </row>
    <row r="60845" ht="15.75" customHeight="1">
      <c r="A60845" s="7"/>
      <c r="B60845" s="7"/>
    </row>
    <row r="60846" ht="15.75" customHeight="1">
      <c r="A60846" s="7"/>
      <c r="B60846" s="7"/>
    </row>
    <row r="60847" ht="15.75" customHeight="1">
      <c r="A60847" s="7"/>
      <c r="B60847" s="7"/>
    </row>
    <row r="60848" ht="15.75" customHeight="1">
      <c r="A60848" s="7"/>
      <c r="B60848" s="7"/>
    </row>
    <row r="60849" ht="15.75" customHeight="1">
      <c r="A60849" s="7"/>
      <c r="B60849" s="7"/>
    </row>
    <row r="60850" ht="15.75" customHeight="1">
      <c r="A60850" s="7"/>
      <c r="B60850" s="7"/>
    </row>
    <row r="60851" ht="15.75" customHeight="1">
      <c r="A60851" s="7"/>
      <c r="B60851" s="7"/>
    </row>
    <row r="60852" ht="15.75" customHeight="1">
      <c r="A60852" s="7"/>
      <c r="B60852" s="7"/>
    </row>
    <row r="60853" ht="15.75" customHeight="1">
      <c r="A60853" s="7"/>
      <c r="B60853" s="7"/>
    </row>
    <row r="60854" ht="15.75" customHeight="1">
      <c r="A60854" s="7"/>
      <c r="B60854" s="7"/>
    </row>
    <row r="60855" ht="15.75" customHeight="1">
      <c r="A60855" s="7"/>
      <c r="B60855" s="7"/>
    </row>
    <row r="60856" ht="15.75" customHeight="1">
      <c r="A60856" s="7"/>
      <c r="B60856" s="7"/>
    </row>
    <row r="60857" ht="15.75" customHeight="1">
      <c r="A60857" s="7"/>
      <c r="B60857" s="7"/>
    </row>
    <row r="60858" ht="15.75" customHeight="1">
      <c r="A60858" s="7"/>
      <c r="B60858" s="7"/>
    </row>
    <row r="60859" ht="15.75" customHeight="1">
      <c r="A60859" s="7"/>
      <c r="B60859" s="7"/>
    </row>
    <row r="60860" ht="15.75" customHeight="1">
      <c r="A60860" s="7"/>
      <c r="B60860" s="7"/>
    </row>
    <row r="60861" ht="15.75" customHeight="1">
      <c r="A60861" s="7"/>
      <c r="B60861" s="7"/>
    </row>
    <row r="60862" ht="15.75" customHeight="1">
      <c r="A60862" s="7"/>
      <c r="B60862" s="7"/>
    </row>
    <row r="60863" ht="15.75" customHeight="1">
      <c r="A60863" s="7"/>
      <c r="B60863" s="7"/>
    </row>
    <row r="60864" ht="15.75" customHeight="1">
      <c r="A60864" s="7"/>
      <c r="B60864" s="7"/>
    </row>
    <row r="60865" ht="15.75" customHeight="1">
      <c r="A60865" s="7"/>
      <c r="B60865" s="7"/>
    </row>
    <row r="60866" ht="15.75" customHeight="1">
      <c r="A60866" s="7"/>
      <c r="B60866" s="7"/>
    </row>
    <row r="60867" ht="15.75" customHeight="1">
      <c r="A60867" s="7"/>
      <c r="B60867" s="7"/>
    </row>
    <row r="60868" ht="15.75" customHeight="1">
      <c r="A60868" s="7"/>
      <c r="B60868" s="7"/>
    </row>
    <row r="60869" ht="15.75" customHeight="1">
      <c r="A60869" s="7"/>
      <c r="B60869" s="7"/>
    </row>
    <row r="60870" ht="15.75" customHeight="1">
      <c r="A60870" s="7"/>
      <c r="B60870" s="7"/>
    </row>
    <row r="60871" ht="15.75" customHeight="1">
      <c r="A60871" s="7"/>
      <c r="B60871" s="7"/>
    </row>
    <row r="60872" ht="15.75" customHeight="1">
      <c r="A60872" s="7"/>
      <c r="B60872" s="7"/>
    </row>
    <row r="60873" ht="15.75" customHeight="1">
      <c r="A60873" s="7"/>
      <c r="B60873" s="7"/>
    </row>
    <row r="60874" ht="15.75" customHeight="1">
      <c r="A60874" s="7"/>
      <c r="B60874" s="7"/>
    </row>
    <row r="60875" ht="15.75" customHeight="1">
      <c r="A60875" s="7"/>
      <c r="B60875" s="7"/>
    </row>
    <row r="60876" ht="15.75" customHeight="1">
      <c r="A60876" s="7"/>
      <c r="B60876" s="7"/>
    </row>
    <row r="60877" ht="15.75" customHeight="1">
      <c r="A60877" s="7"/>
      <c r="B60877" s="7"/>
    </row>
    <row r="60878" ht="15.75" customHeight="1">
      <c r="A60878" s="7"/>
      <c r="B60878" s="7"/>
    </row>
    <row r="60879" ht="15.75" customHeight="1">
      <c r="A60879" s="7"/>
      <c r="B60879" s="7"/>
    </row>
    <row r="60880" ht="15.75" customHeight="1">
      <c r="A60880" s="7"/>
      <c r="B60880" s="7"/>
    </row>
    <row r="60881" ht="15.75" customHeight="1">
      <c r="A60881" s="7"/>
      <c r="B60881" s="7"/>
    </row>
    <row r="60882" ht="15.75" customHeight="1">
      <c r="A60882" s="7"/>
      <c r="B60882" s="7"/>
    </row>
    <row r="60883" ht="15.75" customHeight="1">
      <c r="A60883" s="7"/>
      <c r="B60883" s="7"/>
    </row>
    <row r="60884" ht="15.75" customHeight="1">
      <c r="A60884" s="7"/>
      <c r="B60884" s="7"/>
    </row>
    <row r="60885" ht="15.75" customHeight="1">
      <c r="A60885" s="7"/>
      <c r="B60885" s="7"/>
    </row>
    <row r="60886" ht="15.75" customHeight="1">
      <c r="A60886" s="7"/>
      <c r="B60886" s="7"/>
    </row>
    <row r="60887" ht="15.75" customHeight="1">
      <c r="A60887" s="7"/>
      <c r="B60887" s="7"/>
    </row>
    <row r="60888" ht="15.75" customHeight="1">
      <c r="A60888" s="7"/>
      <c r="B60888" s="7"/>
    </row>
    <row r="60889" ht="15.75" customHeight="1">
      <c r="A60889" s="7"/>
      <c r="B60889" s="7"/>
    </row>
    <row r="60890" ht="15.75" customHeight="1">
      <c r="A60890" s="7"/>
      <c r="B60890" s="7"/>
    </row>
    <row r="60891" ht="15.75" customHeight="1">
      <c r="A60891" s="7"/>
      <c r="B60891" s="7"/>
    </row>
    <row r="60892" ht="15.75" customHeight="1">
      <c r="A60892" s="7"/>
      <c r="B60892" s="7"/>
    </row>
    <row r="60893" ht="15.75" customHeight="1">
      <c r="A60893" s="7"/>
      <c r="B60893" s="7"/>
    </row>
    <row r="60894" ht="15.75" customHeight="1">
      <c r="A60894" s="7"/>
      <c r="B60894" s="7"/>
    </row>
    <row r="60895" ht="15.75" customHeight="1">
      <c r="A60895" s="7"/>
      <c r="B60895" s="7"/>
    </row>
    <row r="60896" ht="15.75" customHeight="1">
      <c r="A60896" s="7"/>
      <c r="B60896" s="7"/>
    </row>
    <row r="60897" ht="15.75" customHeight="1">
      <c r="A60897" s="7"/>
      <c r="B60897" s="7"/>
    </row>
    <row r="60898" ht="15.75" customHeight="1">
      <c r="A60898" s="7"/>
      <c r="B60898" s="7"/>
    </row>
    <row r="60899" ht="15.75" customHeight="1">
      <c r="A60899" s="7"/>
      <c r="B60899" s="7"/>
    </row>
    <row r="60900" ht="15.75" customHeight="1">
      <c r="A60900" s="7"/>
      <c r="B60900" s="7"/>
    </row>
    <row r="60901" ht="15.75" customHeight="1">
      <c r="A60901" s="7"/>
      <c r="B60901" s="7"/>
    </row>
    <row r="60902" ht="15.75" customHeight="1">
      <c r="A60902" s="7"/>
      <c r="B60902" s="7"/>
    </row>
    <row r="60903" ht="15.75" customHeight="1">
      <c r="A60903" s="7"/>
      <c r="B60903" s="7"/>
    </row>
    <row r="60904" ht="15.75" customHeight="1">
      <c r="A60904" s="7"/>
      <c r="B60904" s="7"/>
    </row>
    <row r="60905" ht="15.75" customHeight="1">
      <c r="A60905" s="7"/>
      <c r="B60905" s="7"/>
    </row>
    <row r="60906" ht="15.75" customHeight="1">
      <c r="A60906" s="7"/>
      <c r="B60906" s="7"/>
    </row>
    <row r="60907" ht="15.75" customHeight="1">
      <c r="A60907" s="7"/>
      <c r="B60907" s="7"/>
    </row>
    <row r="60908" ht="15.75" customHeight="1">
      <c r="A60908" s="7"/>
      <c r="B60908" s="7"/>
    </row>
    <row r="60909" ht="15.75" customHeight="1">
      <c r="A60909" s="7"/>
      <c r="B60909" s="7"/>
    </row>
    <row r="60910" ht="15.75" customHeight="1">
      <c r="A60910" s="7"/>
      <c r="B60910" s="7"/>
    </row>
    <row r="60911" ht="15.75" customHeight="1">
      <c r="A60911" s="7"/>
      <c r="B60911" s="7"/>
    </row>
    <row r="60912" ht="15.75" customHeight="1">
      <c r="A60912" s="7"/>
      <c r="B60912" s="7"/>
    </row>
    <row r="60913" ht="15.75" customHeight="1">
      <c r="A60913" s="7"/>
      <c r="B60913" s="7"/>
    </row>
    <row r="60914" ht="15.75" customHeight="1">
      <c r="A60914" s="7"/>
      <c r="B60914" s="7"/>
    </row>
    <row r="60915" ht="15.75" customHeight="1">
      <c r="A60915" s="7"/>
      <c r="B60915" s="7"/>
    </row>
    <row r="60916" ht="15.75" customHeight="1">
      <c r="A60916" s="7"/>
      <c r="B60916" s="7"/>
    </row>
    <row r="60917" ht="15.75" customHeight="1">
      <c r="A60917" s="7"/>
      <c r="B60917" s="7"/>
    </row>
    <row r="60918" ht="15.75" customHeight="1">
      <c r="A60918" s="7"/>
      <c r="B60918" s="7"/>
    </row>
    <row r="60919" ht="15.75" customHeight="1">
      <c r="A60919" s="7"/>
      <c r="B60919" s="7"/>
    </row>
    <row r="60920" ht="15.75" customHeight="1">
      <c r="A60920" s="7"/>
      <c r="B60920" s="7"/>
    </row>
    <row r="60921" ht="15.75" customHeight="1">
      <c r="A60921" s="7"/>
      <c r="B60921" s="7"/>
    </row>
    <row r="60922" ht="15.75" customHeight="1">
      <c r="A60922" s="7"/>
      <c r="B60922" s="7"/>
    </row>
    <row r="60923" ht="15.75" customHeight="1">
      <c r="A60923" s="7"/>
      <c r="B60923" s="7"/>
    </row>
    <row r="60924" ht="15.75" customHeight="1">
      <c r="A60924" s="7"/>
      <c r="B60924" s="7"/>
    </row>
    <row r="60925" ht="15.75" customHeight="1">
      <c r="A60925" s="7"/>
      <c r="B60925" s="7"/>
    </row>
    <row r="60926" ht="15.75" customHeight="1">
      <c r="A60926" s="7"/>
      <c r="B60926" s="7"/>
    </row>
    <row r="60927" ht="15.75" customHeight="1">
      <c r="A60927" s="7"/>
      <c r="B60927" s="7"/>
    </row>
    <row r="60928" ht="15.75" customHeight="1">
      <c r="A60928" s="7"/>
      <c r="B60928" s="7"/>
    </row>
    <row r="60929" ht="15.75" customHeight="1">
      <c r="A60929" s="7"/>
      <c r="B60929" s="7"/>
    </row>
    <row r="60930" ht="15.75" customHeight="1">
      <c r="A60930" s="7"/>
      <c r="B60930" s="7"/>
    </row>
    <row r="60931" ht="15.75" customHeight="1">
      <c r="A60931" s="7"/>
      <c r="B60931" s="7"/>
    </row>
    <row r="60932" ht="15.75" customHeight="1">
      <c r="A60932" s="7"/>
      <c r="B60932" s="7"/>
    </row>
    <row r="60933" ht="15.75" customHeight="1">
      <c r="A60933" s="7"/>
      <c r="B60933" s="7"/>
    </row>
    <row r="60934" ht="15.75" customHeight="1">
      <c r="A60934" s="7"/>
      <c r="B60934" s="7"/>
    </row>
    <row r="60935" ht="15.75" customHeight="1">
      <c r="A60935" s="7"/>
      <c r="B60935" s="7"/>
    </row>
    <row r="60936" ht="15.75" customHeight="1">
      <c r="A60936" s="7"/>
      <c r="B60936" s="7"/>
    </row>
    <row r="60937" ht="15.75" customHeight="1">
      <c r="A60937" s="7"/>
      <c r="B60937" s="7"/>
    </row>
    <row r="60938" ht="15.75" customHeight="1">
      <c r="A60938" s="7"/>
      <c r="B60938" s="7"/>
    </row>
    <row r="60939" ht="15.75" customHeight="1">
      <c r="A60939" s="7"/>
      <c r="B60939" s="7"/>
    </row>
    <row r="60940" ht="15.75" customHeight="1">
      <c r="A60940" s="7"/>
      <c r="B60940" s="7"/>
    </row>
    <row r="60941" ht="15.75" customHeight="1">
      <c r="A60941" s="7"/>
      <c r="B60941" s="7"/>
    </row>
    <row r="60942" ht="15.75" customHeight="1">
      <c r="A60942" s="7"/>
      <c r="B60942" s="7"/>
    </row>
    <row r="60943" ht="15.75" customHeight="1">
      <c r="A60943" s="7"/>
      <c r="B60943" s="7"/>
    </row>
    <row r="60944" ht="15.75" customHeight="1">
      <c r="A60944" s="7"/>
      <c r="B60944" s="7"/>
    </row>
    <row r="60945" ht="15.75" customHeight="1">
      <c r="A60945" s="7"/>
      <c r="B60945" s="7"/>
    </row>
    <row r="60946" ht="15.75" customHeight="1">
      <c r="A60946" s="7"/>
      <c r="B60946" s="7"/>
    </row>
    <row r="60947" ht="15.75" customHeight="1">
      <c r="A60947" s="7"/>
      <c r="B60947" s="7"/>
    </row>
    <row r="60948" ht="15.75" customHeight="1">
      <c r="A60948" s="7"/>
      <c r="B60948" s="7"/>
    </row>
    <row r="60949" ht="15.75" customHeight="1">
      <c r="A60949" s="7"/>
      <c r="B60949" s="7"/>
    </row>
    <row r="60950" ht="15.75" customHeight="1">
      <c r="A60950" s="7"/>
      <c r="B60950" s="7"/>
    </row>
    <row r="60951" ht="15.75" customHeight="1">
      <c r="A60951" s="7"/>
      <c r="B60951" s="7"/>
    </row>
    <row r="60952" ht="15.75" customHeight="1">
      <c r="A60952" s="7"/>
      <c r="B60952" s="7"/>
    </row>
    <row r="60953" ht="15.75" customHeight="1">
      <c r="A60953" s="7"/>
      <c r="B60953" s="7"/>
    </row>
    <row r="60954" ht="15.75" customHeight="1">
      <c r="A60954" s="7"/>
      <c r="B60954" s="7"/>
    </row>
    <row r="60955" ht="15.75" customHeight="1">
      <c r="A60955" s="7"/>
      <c r="B60955" s="7"/>
    </row>
    <row r="60956" ht="15.75" customHeight="1">
      <c r="A60956" s="7"/>
      <c r="B60956" s="7"/>
    </row>
    <row r="60957" ht="15.75" customHeight="1">
      <c r="A60957" s="7"/>
      <c r="B60957" s="7"/>
    </row>
    <row r="60958" ht="15.75" customHeight="1">
      <c r="A60958" s="7"/>
      <c r="B60958" s="7"/>
    </row>
    <row r="60959" ht="15.75" customHeight="1">
      <c r="A60959" s="7"/>
      <c r="B60959" s="7"/>
    </row>
    <row r="60960" ht="15.75" customHeight="1">
      <c r="A60960" s="7"/>
      <c r="B60960" s="7"/>
    </row>
    <row r="60961" ht="15.75" customHeight="1">
      <c r="A60961" s="7"/>
      <c r="B60961" s="7"/>
    </row>
    <row r="60962" ht="15.75" customHeight="1">
      <c r="A60962" s="7"/>
      <c r="B60962" s="7"/>
    </row>
    <row r="60963" ht="15.75" customHeight="1">
      <c r="A60963" s="7"/>
      <c r="B60963" s="7"/>
    </row>
    <row r="60964" ht="15.75" customHeight="1">
      <c r="A60964" s="7"/>
      <c r="B60964" s="7"/>
    </row>
    <row r="60965" ht="15.75" customHeight="1">
      <c r="A60965" s="7"/>
      <c r="B60965" s="7"/>
    </row>
    <row r="60966" ht="15.75" customHeight="1">
      <c r="A60966" s="7"/>
      <c r="B60966" s="7"/>
    </row>
    <row r="60967" ht="15.75" customHeight="1">
      <c r="A60967" s="7"/>
      <c r="B60967" s="7"/>
    </row>
    <row r="60968" ht="15.75" customHeight="1">
      <c r="A60968" s="7"/>
      <c r="B60968" s="7"/>
    </row>
    <row r="60969" ht="15.75" customHeight="1">
      <c r="A60969" s="7"/>
      <c r="B60969" s="7"/>
    </row>
    <row r="60970" ht="15.75" customHeight="1">
      <c r="A60970" s="7"/>
      <c r="B60970" s="7"/>
    </row>
    <row r="60971" ht="15.75" customHeight="1">
      <c r="A60971" s="7"/>
      <c r="B60971" s="7"/>
    </row>
    <row r="60972" ht="15.75" customHeight="1">
      <c r="A60972" s="7"/>
      <c r="B60972" s="7"/>
    </row>
    <row r="60973" ht="15.75" customHeight="1">
      <c r="A60973" s="7"/>
      <c r="B60973" s="7"/>
    </row>
    <row r="60974" ht="15.75" customHeight="1">
      <c r="A60974" s="7"/>
      <c r="B60974" s="7"/>
    </row>
    <row r="60975" ht="15.75" customHeight="1">
      <c r="A60975" s="7"/>
      <c r="B60975" s="7"/>
    </row>
    <row r="60976" ht="15.75" customHeight="1">
      <c r="A60976" s="7"/>
      <c r="B60976" s="7"/>
    </row>
    <row r="60977" ht="15.75" customHeight="1">
      <c r="A60977" s="7"/>
      <c r="B60977" s="7"/>
    </row>
    <row r="60978" ht="15.75" customHeight="1">
      <c r="A60978" s="7"/>
      <c r="B60978" s="7"/>
    </row>
    <row r="60979" ht="15.75" customHeight="1">
      <c r="A60979" s="7"/>
      <c r="B60979" s="7"/>
    </row>
    <row r="60980" ht="15.75" customHeight="1">
      <c r="A60980" s="7"/>
      <c r="B60980" s="7"/>
    </row>
    <row r="60981" ht="15.75" customHeight="1">
      <c r="A60981" s="7"/>
      <c r="B60981" s="7"/>
    </row>
    <row r="60982" ht="15.75" customHeight="1">
      <c r="A60982" s="7"/>
      <c r="B60982" s="7"/>
    </row>
    <row r="60983" ht="15.75" customHeight="1">
      <c r="A60983" s="7"/>
      <c r="B60983" s="7"/>
    </row>
    <row r="60984" ht="15.75" customHeight="1">
      <c r="A60984" s="7"/>
      <c r="B60984" s="7"/>
    </row>
    <row r="60985" ht="15.75" customHeight="1">
      <c r="A60985" s="7"/>
      <c r="B60985" s="7"/>
    </row>
    <row r="60986" ht="15.75" customHeight="1">
      <c r="A60986" s="7"/>
      <c r="B60986" s="7"/>
    </row>
    <row r="60987" ht="15.75" customHeight="1">
      <c r="A60987" s="7"/>
      <c r="B60987" s="7"/>
    </row>
    <row r="60988" ht="15.75" customHeight="1">
      <c r="A60988" s="7"/>
      <c r="B60988" s="7"/>
    </row>
    <row r="60989" ht="15.75" customHeight="1">
      <c r="A60989" s="7"/>
      <c r="B60989" s="7"/>
    </row>
    <row r="60990" ht="15.75" customHeight="1">
      <c r="A60990" s="7"/>
      <c r="B60990" s="7"/>
    </row>
    <row r="60991" ht="15.75" customHeight="1">
      <c r="A60991" s="7"/>
      <c r="B60991" s="7"/>
    </row>
    <row r="60992" ht="15.75" customHeight="1">
      <c r="A60992" s="7"/>
      <c r="B60992" s="7"/>
    </row>
    <row r="60993" ht="15.75" customHeight="1">
      <c r="A60993" s="7"/>
      <c r="B60993" s="7"/>
    </row>
    <row r="60994" ht="15.75" customHeight="1">
      <c r="A60994" s="7"/>
      <c r="B60994" s="7"/>
    </row>
    <row r="60995" ht="15.75" customHeight="1">
      <c r="A60995" s="7"/>
      <c r="B60995" s="7"/>
    </row>
    <row r="60996" ht="15.75" customHeight="1">
      <c r="A60996" s="7"/>
      <c r="B60996" s="7"/>
    </row>
    <row r="60997" ht="15.75" customHeight="1">
      <c r="A60997" s="7"/>
      <c r="B60997" s="7"/>
    </row>
    <row r="60998" ht="15.75" customHeight="1">
      <c r="A60998" s="7"/>
      <c r="B60998" s="7"/>
    </row>
    <row r="60999" ht="15.75" customHeight="1">
      <c r="A60999" s="7"/>
      <c r="B60999" s="7"/>
    </row>
    <row r="61000" ht="15.75" customHeight="1">
      <c r="A61000" s="7"/>
      <c r="B61000" s="7"/>
    </row>
    <row r="61001" ht="15.75" customHeight="1">
      <c r="A61001" s="7"/>
      <c r="B61001" s="7"/>
    </row>
    <row r="61002" ht="15.75" customHeight="1">
      <c r="A61002" s="7"/>
      <c r="B61002" s="7"/>
    </row>
    <row r="61003" ht="15.75" customHeight="1">
      <c r="A61003" s="7"/>
      <c r="B61003" s="7"/>
    </row>
    <row r="61004" ht="15.75" customHeight="1">
      <c r="A61004" s="7"/>
      <c r="B61004" s="7"/>
    </row>
    <row r="61005" ht="15.75" customHeight="1">
      <c r="A61005" s="7"/>
      <c r="B61005" s="7"/>
    </row>
    <row r="61006" ht="15.75" customHeight="1">
      <c r="A61006" s="7"/>
      <c r="B61006" s="7"/>
    </row>
    <row r="61007" ht="15.75" customHeight="1">
      <c r="A61007" s="7"/>
      <c r="B61007" s="7"/>
    </row>
    <row r="61008" ht="15.75" customHeight="1">
      <c r="A61008" s="7"/>
      <c r="B61008" s="7"/>
    </row>
    <row r="61009" ht="15.75" customHeight="1">
      <c r="A61009" s="7"/>
      <c r="B61009" s="7"/>
    </row>
    <row r="61010" ht="15.75" customHeight="1">
      <c r="A61010" s="7"/>
      <c r="B61010" s="7"/>
    </row>
    <row r="61011" ht="15.75" customHeight="1">
      <c r="A61011" s="7"/>
      <c r="B61011" s="7"/>
    </row>
    <row r="61012" ht="15.75" customHeight="1">
      <c r="A61012" s="7"/>
      <c r="B61012" s="7"/>
    </row>
    <row r="61013" ht="15.75" customHeight="1">
      <c r="A61013" s="7"/>
      <c r="B61013" s="7"/>
    </row>
    <row r="61014" ht="15.75" customHeight="1">
      <c r="A61014" s="7"/>
      <c r="B61014" s="7"/>
    </row>
    <row r="61015" ht="15.75" customHeight="1">
      <c r="A61015" s="7"/>
      <c r="B61015" s="7"/>
    </row>
    <row r="61016" ht="15.75" customHeight="1">
      <c r="A61016" s="7"/>
      <c r="B61016" s="7"/>
    </row>
    <row r="61017" ht="15.75" customHeight="1">
      <c r="A61017" s="7"/>
      <c r="B61017" s="7"/>
    </row>
    <row r="61018" ht="15.75" customHeight="1">
      <c r="A61018" s="7"/>
      <c r="B61018" s="7"/>
    </row>
    <row r="61019" ht="15.75" customHeight="1">
      <c r="A61019" s="7"/>
      <c r="B61019" s="7"/>
    </row>
    <row r="61020" ht="15.75" customHeight="1">
      <c r="A61020" s="7"/>
      <c r="B61020" s="7"/>
    </row>
    <row r="61021" ht="15.75" customHeight="1">
      <c r="A61021" s="7"/>
      <c r="B61021" s="7"/>
    </row>
    <row r="61022" ht="15.75" customHeight="1">
      <c r="A61022" s="7"/>
      <c r="B61022" s="7"/>
    </row>
    <row r="61023" ht="15.75" customHeight="1">
      <c r="A61023" s="7"/>
      <c r="B61023" s="7"/>
    </row>
    <row r="61024" ht="15.75" customHeight="1">
      <c r="A61024" s="7"/>
      <c r="B61024" s="7"/>
    </row>
    <row r="61025" ht="15.75" customHeight="1">
      <c r="A61025" s="7"/>
      <c r="B61025" s="7"/>
    </row>
    <row r="61026" ht="15.75" customHeight="1">
      <c r="A61026" s="7"/>
      <c r="B61026" s="7"/>
    </row>
    <row r="61027" ht="15.75" customHeight="1">
      <c r="A61027" s="7"/>
      <c r="B61027" s="7"/>
    </row>
    <row r="61028" ht="15.75" customHeight="1">
      <c r="A61028" s="7"/>
      <c r="B61028" s="7"/>
    </row>
    <row r="61029" ht="15.75" customHeight="1">
      <c r="A61029" s="7"/>
      <c r="B61029" s="7"/>
    </row>
    <row r="61030" ht="15.75" customHeight="1">
      <c r="A61030" s="7"/>
      <c r="B61030" s="7"/>
    </row>
    <row r="61031" ht="15.75" customHeight="1">
      <c r="A61031" s="7"/>
      <c r="B61031" s="7"/>
    </row>
    <row r="61032" ht="15.75" customHeight="1">
      <c r="A61032" s="7"/>
      <c r="B61032" s="7"/>
    </row>
    <row r="61033" ht="15.75" customHeight="1">
      <c r="A61033" s="7"/>
      <c r="B61033" s="7"/>
    </row>
    <row r="61034" ht="15.75" customHeight="1">
      <c r="A61034" s="7"/>
      <c r="B61034" s="7"/>
    </row>
    <row r="61035" ht="15.75" customHeight="1">
      <c r="A61035" s="7"/>
      <c r="B61035" s="7"/>
    </row>
    <row r="61036" ht="15.75" customHeight="1">
      <c r="A61036" s="7"/>
      <c r="B61036" s="7"/>
    </row>
    <row r="61037" ht="15.75" customHeight="1">
      <c r="A61037" s="7"/>
      <c r="B61037" s="7"/>
    </row>
    <row r="61038" ht="15.75" customHeight="1">
      <c r="A61038" s="7"/>
      <c r="B61038" s="7"/>
    </row>
    <row r="61039" ht="15.75" customHeight="1">
      <c r="A61039" s="7"/>
      <c r="B61039" s="7"/>
    </row>
    <row r="61040" ht="15.75" customHeight="1">
      <c r="A61040" s="7"/>
      <c r="B61040" s="7"/>
    </row>
    <row r="61041" ht="15.75" customHeight="1">
      <c r="A61041" s="7"/>
      <c r="B61041" s="7"/>
    </row>
    <row r="61042" ht="15.75" customHeight="1">
      <c r="A61042" s="7"/>
      <c r="B61042" s="7"/>
    </row>
    <row r="61043" ht="15.75" customHeight="1">
      <c r="A61043" s="7"/>
      <c r="B61043" s="7"/>
    </row>
    <row r="61044" ht="15.75" customHeight="1">
      <c r="A61044" s="7"/>
      <c r="B61044" s="7"/>
    </row>
    <row r="61045" ht="15.75" customHeight="1">
      <c r="A61045" s="7"/>
      <c r="B61045" s="7"/>
    </row>
    <row r="61046" ht="15.75" customHeight="1">
      <c r="A61046" s="7"/>
      <c r="B61046" s="7"/>
    </row>
    <row r="61047" ht="15.75" customHeight="1">
      <c r="A61047" s="7"/>
      <c r="B61047" s="7"/>
    </row>
    <row r="61048" ht="15.75" customHeight="1">
      <c r="A61048" s="7"/>
      <c r="B61048" s="7"/>
    </row>
    <row r="61049" ht="15.75" customHeight="1">
      <c r="A61049" s="7"/>
      <c r="B61049" s="7"/>
    </row>
    <row r="61050" ht="15.75" customHeight="1">
      <c r="A61050" s="7"/>
      <c r="B61050" s="7"/>
    </row>
    <row r="61051" ht="15.75" customHeight="1">
      <c r="A61051" s="7"/>
      <c r="B61051" s="7"/>
    </row>
    <row r="61052" ht="15.75" customHeight="1">
      <c r="A61052" s="7"/>
      <c r="B61052" s="7"/>
    </row>
    <row r="61053" ht="15.75" customHeight="1">
      <c r="A61053" s="7"/>
      <c r="B61053" s="7"/>
    </row>
    <row r="61054" ht="15.75" customHeight="1">
      <c r="A61054" s="7"/>
      <c r="B61054" s="7"/>
    </row>
    <row r="61055" ht="15.75" customHeight="1">
      <c r="A61055" s="7"/>
      <c r="B61055" s="7"/>
    </row>
    <row r="61056" ht="15.75" customHeight="1">
      <c r="A61056" s="7"/>
      <c r="B61056" s="7"/>
    </row>
    <row r="61057" ht="15.75" customHeight="1">
      <c r="A61057" s="7"/>
      <c r="B61057" s="7"/>
    </row>
    <row r="61058" ht="15.75" customHeight="1">
      <c r="A61058" s="7"/>
      <c r="B61058" s="7"/>
    </row>
    <row r="61059" ht="15.75" customHeight="1">
      <c r="A61059" s="7"/>
      <c r="B61059" s="7"/>
    </row>
    <row r="61060" ht="15.75" customHeight="1">
      <c r="A61060" s="7"/>
      <c r="B61060" s="7"/>
    </row>
    <row r="61061" ht="15.75" customHeight="1">
      <c r="A61061" s="7"/>
      <c r="B61061" s="7"/>
    </row>
    <row r="61062" ht="15.75" customHeight="1">
      <c r="A61062" s="7"/>
      <c r="B61062" s="7"/>
    </row>
    <row r="61063" ht="15.75" customHeight="1">
      <c r="A61063" s="7"/>
      <c r="B61063" s="7"/>
    </row>
    <row r="61064" ht="15.75" customHeight="1">
      <c r="A61064" s="7"/>
      <c r="B61064" s="7"/>
    </row>
    <row r="61065" ht="15.75" customHeight="1">
      <c r="A61065" s="7"/>
      <c r="B61065" s="7"/>
    </row>
    <row r="61066" ht="15.75" customHeight="1">
      <c r="A61066" s="7"/>
      <c r="B61066" s="7"/>
    </row>
    <row r="61067" ht="15.75" customHeight="1">
      <c r="A61067" s="7"/>
      <c r="B61067" s="7"/>
    </row>
    <row r="61068" ht="15.75" customHeight="1">
      <c r="A61068" s="7"/>
      <c r="B61068" s="7"/>
    </row>
    <row r="61069" ht="15.75" customHeight="1">
      <c r="A61069" s="7"/>
      <c r="B61069" s="7"/>
    </row>
    <row r="61070" ht="15.75" customHeight="1">
      <c r="A61070" s="7"/>
      <c r="B61070" s="7"/>
    </row>
    <row r="61071" ht="15.75" customHeight="1">
      <c r="A61071" s="7"/>
      <c r="B61071" s="7"/>
    </row>
    <row r="61072" ht="15.75" customHeight="1">
      <c r="A61072" s="7"/>
      <c r="B61072" s="7"/>
    </row>
    <row r="61073" ht="15.75" customHeight="1">
      <c r="A61073" s="7"/>
      <c r="B61073" s="7"/>
    </row>
    <row r="61074" ht="15.75" customHeight="1">
      <c r="A61074" s="7"/>
      <c r="B61074" s="7"/>
    </row>
    <row r="61075" ht="15.75" customHeight="1">
      <c r="A61075" s="7"/>
      <c r="B61075" s="7"/>
    </row>
    <row r="61076" ht="15.75" customHeight="1">
      <c r="A61076" s="7"/>
      <c r="B61076" s="7"/>
    </row>
    <row r="61077" ht="15.75" customHeight="1">
      <c r="A61077" s="7"/>
      <c r="B61077" s="7"/>
    </row>
    <row r="61078" ht="15.75" customHeight="1">
      <c r="A61078" s="7"/>
      <c r="B61078" s="7"/>
    </row>
    <row r="61079" ht="15.75" customHeight="1">
      <c r="A61079" s="7"/>
      <c r="B61079" s="7"/>
    </row>
    <row r="61080" ht="15.75" customHeight="1">
      <c r="A61080" s="7"/>
      <c r="B61080" s="7"/>
    </row>
    <row r="61081" ht="15.75" customHeight="1">
      <c r="A61081" s="7"/>
      <c r="B61081" s="7"/>
    </row>
    <row r="61082" ht="15.75" customHeight="1">
      <c r="A61082" s="7"/>
      <c r="B61082" s="7"/>
    </row>
    <row r="61083" ht="15.75" customHeight="1">
      <c r="A61083" s="7"/>
      <c r="B61083" s="7"/>
    </row>
    <row r="61084" ht="15.75" customHeight="1">
      <c r="A61084" s="7"/>
      <c r="B61084" s="7"/>
    </row>
    <row r="61085" ht="15.75" customHeight="1">
      <c r="A61085" s="7"/>
      <c r="B61085" s="7"/>
    </row>
    <row r="61086" ht="15.75" customHeight="1">
      <c r="A61086" s="7"/>
      <c r="B61086" s="7"/>
    </row>
    <row r="61087" ht="15.75" customHeight="1">
      <c r="A61087" s="7"/>
      <c r="B61087" s="7"/>
    </row>
    <row r="61088" ht="15.75" customHeight="1">
      <c r="A61088" s="7"/>
      <c r="B61088" s="7"/>
    </row>
    <row r="61089" ht="15.75" customHeight="1">
      <c r="A61089" s="7"/>
      <c r="B61089" s="7"/>
    </row>
    <row r="61090" ht="15.75" customHeight="1">
      <c r="A61090" s="7"/>
      <c r="B61090" s="7"/>
    </row>
    <row r="61091" ht="15.75" customHeight="1">
      <c r="A61091" s="7"/>
      <c r="B61091" s="7"/>
    </row>
    <row r="61092" ht="15.75" customHeight="1">
      <c r="A61092" s="7"/>
      <c r="B61092" s="7"/>
    </row>
    <row r="61093" ht="15.75" customHeight="1">
      <c r="A61093" s="7"/>
      <c r="B61093" s="7"/>
    </row>
    <row r="61094" ht="15.75" customHeight="1">
      <c r="A61094" s="7"/>
      <c r="B61094" s="7"/>
    </row>
    <row r="61095" ht="15.75" customHeight="1">
      <c r="A61095" s="7"/>
      <c r="B61095" s="7"/>
    </row>
    <row r="61096" ht="15.75" customHeight="1">
      <c r="A61096" s="7"/>
      <c r="B61096" s="7"/>
    </row>
    <row r="61097" ht="15.75" customHeight="1">
      <c r="A61097" s="7"/>
      <c r="B61097" s="7"/>
    </row>
    <row r="61098" ht="15.75" customHeight="1">
      <c r="A61098" s="7"/>
      <c r="B61098" s="7"/>
    </row>
    <row r="61099" ht="15.75" customHeight="1">
      <c r="A61099" s="7"/>
      <c r="B61099" s="7"/>
    </row>
    <row r="61100" ht="15.75" customHeight="1">
      <c r="A61100" s="7"/>
      <c r="B61100" s="7"/>
    </row>
    <row r="61101" ht="15.75" customHeight="1">
      <c r="A61101" s="7"/>
      <c r="B61101" s="7"/>
    </row>
    <row r="61102" ht="15.75" customHeight="1">
      <c r="A61102" s="7"/>
      <c r="B61102" s="7"/>
    </row>
    <row r="61103" ht="15.75" customHeight="1">
      <c r="A61103" s="7"/>
      <c r="B61103" s="7"/>
    </row>
    <row r="61104" ht="15.75" customHeight="1">
      <c r="A61104" s="7"/>
      <c r="B61104" s="7"/>
    </row>
    <row r="61105" ht="15.75" customHeight="1">
      <c r="A61105" s="7"/>
      <c r="B61105" s="7"/>
    </row>
    <row r="61106" ht="15.75" customHeight="1">
      <c r="A61106" s="7"/>
      <c r="B61106" s="7"/>
    </row>
    <row r="61107" ht="15.75" customHeight="1">
      <c r="A61107" s="7"/>
      <c r="B61107" s="7"/>
    </row>
    <row r="61108" ht="15.75" customHeight="1">
      <c r="A61108" s="7"/>
      <c r="B61108" s="7"/>
    </row>
    <row r="61109" ht="15.75" customHeight="1">
      <c r="A61109" s="7"/>
      <c r="B61109" s="7"/>
    </row>
    <row r="61110" ht="15.75" customHeight="1">
      <c r="A61110" s="7"/>
      <c r="B61110" s="7"/>
    </row>
    <row r="61111" ht="15.75" customHeight="1">
      <c r="A61111" s="7"/>
      <c r="B61111" s="7"/>
    </row>
    <row r="61112" ht="15.75" customHeight="1">
      <c r="A61112" s="7"/>
      <c r="B61112" s="7"/>
    </row>
    <row r="61113" ht="15.75" customHeight="1">
      <c r="A61113" s="7"/>
      <c r="B61113" s="7"/>
    </row>
    <row r="61114" ht="15.75" customHeight="1">
      <c r="A61114" s="7"/>
      <c r="B61114" s="7"/>
    </row>
    <row r="61115" ht="15.75" customHeight="1">
      <c r="A61115" s="7"/>
      <c r="B61115" s="7"/>
    </row>
    <row r="61116" ht="15.75" customHeight="1">
      <c r="A61116" s="7"/>
      <c r="B61116" s="7"/>
    </row>
    <row r="61117" ht="15.75" customHeight="1">
      <c r="A61117" s="7"/>
      <c r="B61117" s="7"/>
    </row>
    <row r="61118" ht="15.75" customHeight="1">
      <c r="A61118" s="7"/>
      <c r="B61118" s="7"/>
    </row>
    <row r="61119" ht="15.75" customHeight="1">
      <c r="A61119" s="7"/>
      <c r="B61119" s="7"/>
    </row>
    <row r="61120" ht="15.75" customHeight="1">
      <c r="A61120" s="7"/>
      <c r="B61120" s="7"/>
    </row>
    <row r="61121" ht="15.75" customHeight="1">
      <c r="A61121" s="7"/>
      <c r="B61121" s="7"/>
    </row>
    <row r="61122" ht="15.75" customHeight="1">
      <c r="A61122" s="7"/>
      <c r="B61122" s="7"/>
    </row>
    <row r="61123" ht="15.75" customHeight="1">
      <c r="A61123" s="7"/>
      <c r="B61123" s="7"/>
    </row>
    <row r="61124" ht="15.75" customHeight="1">
      <c r="A61124" s="7"/>
      <c r="B61124" s="7"/>
    </row>
    <row r="61125" ht="15.75" customHeight="1">
      <c r="A61125" s="7"/>
      <c r="B61125" s="7"/>
    </row>
    <row r="61126" ht="15.75" customHeight="1">
      <c r="A61126" s="7"/>
      <c r="B61126" s="7"/>
    </row>
    <row r="61127" ht="15.75" customHeight="1">
      <c r="A61127" s="7"/>
      <c r="B61127" s="7"/>
    </row>
    <row r="61128" ht="15.75" customHeight="1">
      <c r="A61128" s="7"/>
      <c r="B61128" s="7"/>
    </row>
    <row r="61129" ht="15.75" customHeight="1">
      <c r="A61129" s="7"/>
      <c r="B61129" s="7"/>
    </row>
    <row r="61130" ht="15.75" customHeight="1">
      <c r="A61130" s="7"/>
      <c r="B61130" s="7"/>
    </row>
    <row r="61131" ht="15.75" customHeight="1">
      <c r="A61131" s="7"/>
      <c r="B61131" s="7"/>
    </row>
    <row r="61132" ht="15.75" customHeight="1">
      <c r="A61132" s="7"/>
      <c r="B61132" s="7"/>
    </row>
    <row r="61133" ht="15.75" customHeight="1">
      <c r="A61133" s="7"/>
      <c r="B61133" s="7"/>
    </row>
    <row r="61134" ht="15.75" customHeight="1">
      <c r="A61134" s="7"/>
      <c r="B61134" s="7"/>
    </row>
    <row r="61135" ht="15.75" customHeight="1">
      <c r="A61135" s="7"/>
      <c r="B61135" s="7"/>
    </row>
    <row r="61136" ht="15.75" customHeight="1">
      <c r="A61136" s="7"/>
      <c r="B61136" s="7"/>
    </row>
    <row r="61137" ht="15.75" customHeight="1">
      <c r="A61137" s="7"/>
      <c r="B61137" s="7"/>
    </row>
    <row r="61138" ht="15.75" customHeight="1">
      <c r="A61138" s="7"/>
      <c r="B61138" s="7"/>
    </row>
    <row r="61139" ht="15.75" customHeight="1">
      <c r="A61139" s="7"/>
      <c r="B61139" s="7"/>
    </row>
    <row r="61140" ht="15.75" customHeight="1">
      <c r="A61140" s="7"/>
      <c r="B61140" s="7"/>
    </row>
    <row r="61141" ht="15.75" customHeight="1">
      <c r="A61141" s="7"/>
      <c r="B61141" s="7"/>
    </row>
    <row r="61142" ht="15.75" customHeight="1">
      <c r="A61142" s="7"/>
      <c r="B61142" s="7"/>
    </row>
    <row r="61143" ht="15.75" customHeight="1">
      <c r="A61143" s="7"/>
      <c r="B61143" s="7"/>
    </row>
    <row r="61144" ht="15.75" customHeight="1">
      <c r="A61144" s="7"/>
      <c r="B61144" s="7"/>
    </row>
    <row r="61145" ht="15.75" customHeight="1">
      <c r="A61145" s="7"/>
      <c r="B61145" s="7"/>
    </row>
    <row r="61146" ht="15.75" customHeight="1">
      <c r="A61146" s="7"/>
      <c r="B61146" s="7"/>
    </row>
    <row r="61147" ht="15.75" customHeight="1">
      <c r="A61147" s="7"/>
      <c r="B61147" s="7"/>
    </row>
    <row r="61148" ht="15.75" customHeight="1">
      <c r="A61148" s="7"/>
      <c r="B61148" s="7"/>
    </row>
    <row r="61149" ht="15.75" customHeight="1">
      <c r="A61149" s="7"/>
      <c r="B61149" s="7"/>
    </row>
    <row r="61150" ht="15.75" customHeight="1">
      <c r="A61150" s="7"/>
      <c r="B61150" s="7"/>
    </row>
    <row r="61151" ht="15.75" customHeight="1">
      <c r="A61151" s="7"/>
      <c r="B61151" s="7"/>
    </row>
    <row r="61152" ht="15.75" customHeight="1">
      <c r="A61152" s="7"/>
      <c r="B61152" s="7"/>
    </row>
    <row r="61153" ht="15.75" customHeight="1">
      <c r="A61153" s="7"/>
      <c r="B61153" s="7"/>
    </row>
    <row r="61154" ht="15.75" customHeight="1">
      <c r="A61154" s="7"/>
      <c r="B61154" s="7"/>
    </row>
    <row r="61155" ht="15.75" customHeight="1">
      <c r="A61155" s="7"/>
      <c r="B61155" s="7"/>
    </row>
    <row r="61156" ht="15.75" customHeight="1">
      <c r="A61156" s="7"/>
      <c r="B61156" s="7"/>
    </row>
    <row r="61157" ht="15.75" customHeight="1">
      <c r="A61157" s="7"/>
      <c r="B61157" s="7"/>
    </row>
    <row r="61158" ht="15.75" customHeight="1">
      <c r="A61158" s="7"/>
      <c r="B61158" s="7"/>
    </row>
    <row r="61159" ht="15.75" customHeight="1">
      <c r="A61159" s="7"/>
      <c r="B61159" s="7"/>
    </row>
    <row r="61160" ht="15.75" customHeight="1">
      <c r="A61160" s="7"/>
      <c r="B61160" s="7"/>
    </row>
    <row r="61161" ht="15.75" customHeight="1">
      <c r="A61161" s="7"/>
      <c r="B61161" s="7"/>
    </row>
    <row r="61162" ht="15.75" customHeight="1">
      <c r="A61162" s="7"/>
      <c r="B61162" s="7"/>
    </row>
    <row r="61163" ht="15.75" customHeight="1">
      <c r="A61163" s="7"/>
      <c r="B61163" s="7"/>
    </row>
    <row r="61164" ht="15.75" customHeight="1">
      <c r="A61164" s="7"/>
      <c r="B61164" s="7"/>
    </row>
    <row r="61165" ht="15.75" customHeight="1">
      <c r="A61165" s="7"/>
      <c r="B61165" s="7"/>
    </row>
    <row r="61166" ht="15.75" customHeight="1">
      <c r="A61166" s="7"/>
      <c r="B61166" s="7"/>
    </row>
    <row r="61167" ht="15.75" customHeight="1">
      <c r="A61167" s="7"/>
      <c r="B61167" s="7"/>
    </row>
    <row r="61168" ht="15.75" customHeight="1">
      <c r="A61168" s="7"/>
      <c r="B61168" s="7"/>
    </row>
    <row r="61169" ht="15.75" customHeight="1">
      <c r="A61169" s="7"/>
      <c r="B61169" s="7"/>
    </row>
    <row r="61170" ht="15.75" customHeight="1">
      <c r="A61170" s="7"/>
      <c r="B61170" s="7"/>
    </row>
    <row r="61171" ht="15.75" customHeight="1">
      <c r="A61171" s="7"/>
      <c r="B61171" s="7"/>
    </row>
    <row r="61172" ht="15.75" customHeight="1">
      <c r="A61172" s="7"/>
      <c r="B61172" s="7"/>
    </row>
    <row r="61173" ht="15.75" customHeight="1">
      <c r="A61173" s="7"/>
      <c r="B61173" s="7"/>
    </row>
    <row r="61174" ht="15.75" customHeight="1">
      <c r="A61174" s="7"/>
      <c r="B61174" s="7"/>
    </row>
    <row r="61175" ht="15.75" customHeight="1">
      <c r="A61175" s="7"/>
      <c r="B61175" s="7"/>
    </row>
    <row r="61176" ht="15.75" customHeight="1">
      <c r="A61176" s="7"/>
      <c r="B61176" s="7"/>
    </row>
    <row r="61177" ht="15.75" customHeight="1">
      <c r="A61177" s="7"/>
      <c r="B61177" s="7"/>
    </row>
    <row r="61178" ht="15.75" customHeight="1">
      <c r="A61178" s="7"/>
      <c r="B61178" s="7"/>
    </row>
    <row r="61179" ht="15.75" customHeight="1">
      <c r="A61179" s="7"/>
      <c r="B61179" s="7"/>
    </row>
    <row r="61180" ht="15.75" customHeight="1">
      <c r="A61180" s="7"/>
      <c r="B61180" s="7"/>
    </row>
    <row r="61181" ht="15.75" customHeight="1">
      <c r="A61181" s="7"/>
      <c r="B61181" s="7"/>
    </row>
    <row r="61182" ht="15.75" customHeight="1">
      <c r="A61182" s="7"/>
      <c r="B61182" s="7"/>
    </row>
    <row r="61183" ht="15.75" customHeight="1">
      <c r="A61183" s="7"/>
      <c r="B61183" s="7"/>
    </row>
    <row r="61184" ht="15.75" customHeight="1">
      <c r="A61184" s="7"/>
      <c r="B61184" s="7"/>
    </row>
    <row r="61185" ht="15.75" customHeight="1">
      <c r="A61185" s="7"/>
      <c r="B61185" s="7"/>
    </row>
    <row r="61186" ht="15.75" customHeight="1">
      <c r="A61186" s="7"/>
      <c r="B61186" s="7"/>
    </row>
    <row r="61187" ht="15.75" customHeight="1">
      <c r="A61187" s="7"/>
      <c r="B61187" s="7"/>
    </row>
    <row r="61188" ht="15.75" customHeight="1">
      <c r="A61188" s="7"/>
      <c r="B61188" s="7"/>
    </row>
    <row r="61189" ht="15.75" customHeight="1">
      <c r="A61189" s="7"/>
      <c r="B61189" s="7"/>
    </row>
    <row r="61190" ht="15.75" customHeight="1">
      <c r="A61190" s="7"/>
      <c r="B61190" s="7"/>
    </row>
    <row r="61191" ht="15.75" customHeight="1">
      <c r="A61191" s="7"/>
      <c r="B61191" s="7"/>
    </row>
    <row r="61192" ht="15.75" customHeight="1">
      <c r="A61192" s="7"/>
      <c r="B61192" s="7"/>
    </row>
    <row r="61193" ht="15.75" customHeight="1">
      <c r="A61193" s="7"/>
      <c r="B61193" s="7"/>
    </row>
    <row r="61194" ht="15.75" customHeight="1">
      <c r="A61194" s="7"/>
      <c r="B61194" s="7"/>
    </row>
    <row r="61195" ht="15.75" customHeight="1">
      <c r="A61195" s="7"/>
      <c r="B61195" s="7"/>
    </row>
    <row r="61196" ht="15.75" customHeight="1">
      <c r="A61196" s="7"/>
      <c r="B61196" s="7"/>
    </row>
    <row r="61197" ht="15.75" customHeight="1">
      <c r="A61197" s="7"/>
      <c r="B61197" s="7"/>
    </row>
    <row r="61198" ht="15.75" customHeight="1">
      <c r="A61198" s="7"/>
      <c r="B61198" s="7"/>
    </row>
    <row r="61199" ht="15.75" customHeight="1">
      <c r="A61199" s="7"/>
      <c r="B61199" s="7"/>
    </row>
    <row r="61200" ht="15.75" customHeight="1">
      <c r="A61200" s="7"/>
      <c r="B61200" s="7"/>
    </row>
    <row r="61201" ht="15.75" customHeight="1">
      <c r="A61201" s="7"/>
      <c r="B61201" s="7"/>
    </row>
    <row r="61202" ht="15.75" customHeight="1">
      <c r="A61202" s="7"/>
      <c r="B61202" s="7"/>
    </row>
    <row r="61203" ht="15.75" customHeight="1">
      <c r="A61203" s="7"/>
      <c r="B61203" s="7"/>
    </row>
    <row r="61204" ht="15.75" customHeight="1">
      <c r="A61204" s="7"/>
      <c r="B61204" s="7"/>
    </row>
    <row r="61205" ht="15.75" customHeight="1">
      <c r="A61205" s="7"/>
      <c r="B61205" s="7"/>
    </row>
    <row r="61206" ht="15.75" customHeight="1">
      <c r="A61206" s="7"/>
      <c r="B61206" s="7"/>
    </row>
    <row r="61207" ht="15.75" customHeight="1">
      <c r="A61207" s="7"/>
      <c r="B61207" s="7"/>
    </row>
    <row r="61208" ht="15.75" customHeight="1">
      <c r="A61208" s="7"/>
      <c r="B61208" s="7"/>
    </row>
    <row r="61209" ht="15.75" customHeight="1">
      <c r="A61209" s="7"/>
      <c r="B61209" s="7"/>
    </row>
    <row r="61210" ht="15.75" customHeight="1">
      <c r="A61210" s="7"/>
      <c r="B61210" s="7"/>
    </row>
    <row r="61211" ht="15.75" customHeight="1">
      <c r="A61211" s="7"/>
      <c r="B61211" s="7"/>
    </row>
    <row r="61212" ht="15.75" customHeight="1">
      <c r="A61212" s="7"/>
      <c r="B61212" s="7"/>
    </row>
    <row r="61213" ht="15.75" customHeight="1">
      <c r="A61213" s="7"/>
      <c r="B61213" s="7"/>
    </row>
    <row r="61214" ht="15.75" customHeight="1">
      <c r="A61214" s="7"/>
      <c r="B61214" s="7"/>
    </row>
    <row r="61215" ht="15.75" customHeight="1">
      <c r="A61215" s="7"/>
      <c r="B61215" s="7"/>
    </row>
    <row r="61216" ht="15.75" customHeight="1">
      <c r="A61216" s="7"/>
      <c r="B61216" s="7"/>
    </row>
    <row r="61217" ht="15.75" customHeight="1">
      <c r="A61217" s="7"/>
      <c r="B61217" s="7"/>
    </row>
    <row r="61218" ht="15.75" customHeight="1">
      <c r="A61218" s="7"/>
      <c r="B61218" s="7"/>
    </row>
    <row r="61219" ht="15.75" customHeight="1">
      <c r="A61219" s="7"/>
      <c r="B61219" s="7"/>
    </row>
    <row r="61220" ht="15.75" customHeight="1">
      <c r="A61220" s="7"/>
      <c r="B61220" s="7"/>
    </row>
    <row r="61221" ht="15.75" customHeight="1">
      <c r="A61221" s="7"/>
      <c r="B61221" s="7"/>
    </row>
    <row r="61222" ht="15.75" customHeight="1">
      <c r="A61222" s="7"/>
      <c r="B61222" s="7"/>
    </row>
    <row r="61223" ht="15.75" customHeight="1">
      <c r="A61223" s="7"/>
      <c r="B61223" s="7"/>
    </row>
    <row r="61224" ht="15.75" customHeight="1">
      <c r="A61224" s="7"/>
      <c r="B61224" s="7"/>
    </row>
    <row r="61225" ht="15.75" customHeight="1">
      <c r="A61225" s="7"/>
      <c r="B61225" s="7"/>
    </row>
    <row r="61226" ht="15.75" customHeight="1">
      <c r="A61226" s="7"/>
      <c r="B61226" s="7"/>
    </row>
    <row r="61227" ht="15.75" customHeight="1">
      <c r="A61227" s="7"/>
      <c r="B61227" s="7"/>
    </row>
    <row r="61228" ht="15.75" customHeight="1">
      <c r="A61228" s="7"/>
      <c r="B61228" s="7"/>
    </row>
    <row r="61229" ht="15.75" customHeight="1">
      <c r="A61229" s="7"/>
      <c r="B61229" s="7"/>
    </row>
    <row r="61230" ht="15.75" customHeight="1">
      <c r="A61230" s="7"/>
      <c r="B61230" s="7"/>
    </row>
    <row r="61231" ht="15.75" customHeight="1">
      <c r="A61231" s="7"/>
      <c r="B61231" s="7"/>
    </row>
    <row r="61232" ht="15.75" customHeight="1">
      <c r="A61232" s="7"/>
      <c r="B61232" s="7"/>
    </row>
    <row r="61233" ht="15.75" customHeight="1">
      <c r="A61233" s="7"/>
      <c r="B61233" s="7"/>
    </row>
    <row r="61234" ht="15.75" customHeight="1">
      <c r="A61234" s="7"/>
      <c r="B61234" s="7"/>
    </row>
    <row r="61235" ht="15.75" customHeight="1">
      <c r="A61235" s="7"/>
      <c r="B61235" s="7"/>
    </row>
    <row r="61236" ht="15.75" customHeight="1">
      <c r="A61236" s="7"/>
      <c r="B61236" s="7"/>
    </row>
    <row r="61237" ht="15.75" customHeight="1">
      <c r="A61237" s="7"/>
      <c r="B61237" s="7"/>
    </row>
    <row r="61238" ht="15.75" customHeight="1">
      <c r="A61238" s="7"/>
      <c r="B61238" s="7"/>
    </row>
    <row r="61239" ht="15.75" customHeight="1">
      <c r="A61239" s="7"/>
      <c r="B61239" s="7"/>
    </row>
    <row r="61240" ht="15.75" customHeight="1">
      <c r="A61240" s="7"/>
      <c r="B61240" s="7"/>
    </row>
    <row r="61241" ht="15.75" customHeight="1">
      <c r="A61241" s="7"/>
      <c r="B61241" s="7"/>
    </row>
    <row r="61242" ht="15.75" customHeight="1">
      <c r="A61242" s="7"/>
      <c r="B61242" s="7"/>
    </row>
    <row r="61243" ht="15.75" customHeight="1">
      <c r="A61243" s="7"/>
      <c r="B61243" s="7"/>
    </row>
    <row r="61244" ht="15.75" customHeight="1">
      <c r="A61244" s="7"/>
      <c r="B61244" s="7"/>
    </row>
    <row r="61245" ht="15.75" customHeight="1">
      <c r="A61245" s="7"/>
      <c r="B61245" s="7"/>
    </row>
    <row r="61246" ht="15.75" customHeight="1">
      <c r="A61246" s="7"/>
      <c r="B61246" s="7"/>
    </row>
    <row r="61247" ht="15.75" customHeight="1">
      <c r="A61247" s="7"/>
      <c r="B61247" s="7"/>
    </row>
    <row r="61248" ht="15.75" customHeight="1">
      <c r="A61248" s="7"/>
      <c r="B61248" s="7"/>
    </row>
    <row r="61249" ht="15.75" customHeight="1">
      <c r="A61249" s="7"/>
      <c r="B61249" s="7"/>
    </row>
    <row r="61250" ht="15.75" customHeight="1">
      <c r="A61250" s="7"/>
      <c r="B61250" s="7"/>
    </row>
    <row r="61251" ht="15.75" customHeight="1">
      <c r="A61251" s="7"/>
      <c r="B61251" s="7"/>
    </row>
    <row r="61252" ht="15.75" customHeight="1">
      <c r="A61252" s="7"/>
      <c r="B61252" s="7"/>
    </row>
    <row r="61253" ht="15.75" customHeight="1">
      <c r="A61253" s="7"/>
      <c r="B61253" s="7"/>
    </row>
    <row r="61254" ht="15.75" customHeight="1">
      <c r="A61254" s="7"/>
      <c r="B61254" s="7"/>
    </row>
    <row r="61255" ht="15.75" customHeight="1">
      <c r="A61255" s="7"/>
      <c r="B61255" s="7"/>
    </row>
    <row r="61256" ht="15.75" customHeight="1">
      <c r="A61256" s="7"/>
      <c r="B61256" s="7"/>
    </row>
    <row r="61257" ht="15.75" customHeight="1">
      <c r="A61257" s="7"/>
      <c r="B61257" s="7"/>
    </row>
    <row r="61258" ht="15.75" customHeight="1">
      <c r="A61258" s="7"/>
      <c r="B61258" s="7"/>
    </row>
    <row r="61259" ht="15.75" customHeight="1">
      <c r="A61259" s="7"/>
      <c r="B61259" s="7"/>
    </row>
    <row r="61260" ht="15.75" customHeight="1">
      <c r="A61260" s="7"/>
      <c r="B61260" s="7"/>
    </row>
    <row r="61261" ht="15.75" customHeight="1">
      <c r="A61261" s="7"/>
      <c r="B61261" s="7"/>
    </row>
    <row r="61262" ht="15.75" customHeight="1">
      <c r="A61262" s="7"/>
      <c r="B61262" s="7"/>
    </row>
    <row r="61263" ht="15.75" customHeight="1">
      <c r="A61263" s="7"/>
      <c r="B61263" s="7"/>
    </row>
    <row r="61264" ht="15.75" customHeight="1">
      <c r="A61264" s="7"/>
      <c r="B61264" s="7"/>
    </row>
    <row r="61265" ht="15.75" customHeight="1">
      <c r="A61265" s="7"/>
      <c r="B61265" s="7"/>
    </row>
    <row r="61266" ht="15.75" customHeight="1">
      <c r="A61266" s="7"/>
      <c r="B61266" s="7"/>
    </row>
    <row r="61267" ht="15.75" customHeight="1">
      <c r="A61267" s="7"/>
      <c r="B61267" s="7"/>
    </row>
    <row r="61268" ht="15.75" customHeight="1">
      <c r="A61268" s="7"/>
      <c r="B61268" s="7"/>
    </row>
    <row r="61269" ht="15.75" customHeight="1">
      <c r="A61269" s="7"/>
      <c r="B61269" s="7"/>
    </row>
    <row r="61270" ht="15.75" customHeight="1">
      <c r="A61270" s="7"/>
      <c r="B61270" s="7"/>
    </row>
    <row r="61271" ht="15.75" customHeight="1">
      <c r="A61271" s="7"/>
      <c r="B61271" s="7"/>
    </row>
    <row r="61272" ht="15.75" customHeight="1">
      <c r="A61272" s="7"/>
      <c r="B61272" s="7"/>
    </row>
    <row r="61273" ht="15.75" customHeight="1">
      <c r="A61273" s="7"/>
      <c r="B61273" s="7"/>
    </row>
    <row r="61274" ht="15.75" customHeight="1">
      <c r="A61274" s="7"/>
      <c r="B61274" s="7"/>
    </row>
    <row r="61275" ht="15.75" customHeight="1">
      <c r="A61275" s="7"/>
      <c r="B61275" s="7"/>
    </row>
    <row r="61276" ht="15.75" customHeight="1">
      <c r="A61276" s="7"/>
      <c r="B61276" s="7"/>
    </row>
    <row r="61277" ht="15.75" customHeight="1">
      <c r="A61277" s="7"/>
      <c r="B61277" s="7"/>
    </row>
    <row r="61278" ht="15.75" customHeight="1">
      <c r="A61278" s="7"/>
      <c r="B61278" s="7"/>
    </row>
    <row r="61279" ht="15.75" customHeight="1">
      <c r="A61279" s="7"/>
      <c r="B61279" s="7"/>
    </row>
    <row r="61280" ht="15.75" customHeight="1">
      <c r="A61280" s="7"/>
      <c r="B61280" s="7"/>
    </row>
    <row r="61281" ht="15.75" customHeight="1">
      <c r="A61281" s="7"/>
      <c r="B61281" s="7"/>
    </row>
    <row r="61282" ht="15.75" customHeight="1">
      <c r="A61282" s="7"/>
      <c r="B61282" s="7"/>
    </row>
    <row r="61283" ht="15.75" customHeight="1">
      <c r="A61283" s="7"/>
      <c r="B61283" s="7"/>
    </row>
    <row r="61284" ht="15.75" customHeight="1">
      <c r="A61284" s="7"/>
      <c r="B61284" s="7"/>
    </row>
    <row r="61285" ht="15.75" customHeight="1">
      <c r="A61285" s="7"/>
      <c r="B61285" s="7"/>
    </row>
    <row r="61286" ht="15.75" customHeight="1">
      <c r="A61286" s="7"/>
      <c r="B61286" s="7"/>
    </row>
    <row r="61287" ht="15.75" customHeight="1">
      <c r="A61287" s="7"/>
      <c r="B61287" s="7"/>
    </row>
    <row r="61288" ht="15.75" customHeight="1">
      <c r="A61288" s="7"/>
      <c r="B61288" s="7"/>
    </row>
    <row r="61289" ht="15.75" customHeight="1">
      <c r="A61289" s="7"/>
      <c r="B61289" s="7"/>
    </row>
    <row r="61290" ht="15.75" customHeight="1">
      <c r="A61290" s="7"/>
      <c r="B61290" s="7"/>
    </row>
    <row r="61291" ht="15.75" customHeight="1">
      <c r="A61291" s="7"/>
      <c r="B61291" s="7"/>
    </row>
    <row r="61292" ht="15.75" customHeight="1">
      <c r="A61292" s="7"/>
      <c r="B61292" s="7"/>
    </row>
    <row r="61293" ht="15.75" customHeight="1">
      <c r="A61293" s="7"/>
      <c r="B61293" s="7"/>
    </row>
    <row r="61294" ht="15.75" customHeight="1">
      <c r="A61294" s="7"/>
      <c r="B61294" s="7"/>
    </row>
    <row r="61295" ht="15.75" customHeight="1">
      <c r="A61295" s="7"/>
      <c r="B61295" s="7"/>
    </row>
    <row r="61296" ht="15.75" customHeight="1">
      <c r="A61296" s="7"/>
      <c r="B61296" s="7"/>
    </row>
    <row r="61297" ht="15.75" customHeight="1">
      <c r="A61297" s="7"/>
      <c r="B61297" s="7"/>
    </row>
    <row r="61298" ht="15.75" customHeight="1">
      <c r="A61298" s="7"/>
      <c r="B61298" s="7"/>
    </row>
    <row r="61299" ht="15.75" customHeight="1">
      <c r="A61299" s="7"/>
      <c r="B61299" s="7"/>
    </row>
    <row r="61300" ht="15.75" customHeight="1">
      <c r="A61300" s="7"/>
      <c r="B61300" s="7"/>
    </row>
    <row r="61301" ht="15.75" customHeight="1">
      <c r="A61301" s="7"/>
      <c r="B61301" s="7"/>
    </row>
    <row r="61302" ht="15.75" customHeight="1">
      <c r="A61302" s="7"/>
      <c r="B61302" s="7"/>
    </row>
    <row r="61303" ht="15.75" customHeight="1">
      <c r="A61303" s="7"/>
      <c r="B61303" s="7"/>
    </row>
    <row r="61304" ht="15.75" customHeight="1">
      <c r="A61304" s="7"/>
      <c r="B61304" s="7"/>
    </row>
    <row r="61305" ht="15.75" customHeight="1">
      <c r="A61305" s="7"/>
      <c r="B61305" s="7"/>
    </row>
    <row r="61306" ht="15.75" customHeight="1">
      <c r="A61306" s="7"/>
      <c r="B61306" s="7"/>
    </row>
    <row r="61307" ht="15.75" customHeight="1">
      <c r="A61307" s="7"/>
      <c r="B61307" s="7"/>
    </row>
    <row r="61308" ht="15.75" customHeight="1">
      <c r="A61308" s="7"/>
      <c r="B61308" s="7"/>
    </row>
    <row r="61309" ht="15.75" customHeight="1">
      <c r="A61309" s="7"/>
      <c r="B61309" s="7"/>
    </row>
    <row r="61310" ht="15.75" customHeight="1">
      <c r="A61310" s="7"/>
      <c r="B61310" s="7"/>
    </row>
    <row r="61311" ht="15.75" customHeight="1">
      <c r="A61311" s="7"/>
      <c r="B61311" s="7"/>
    </row>
    <row r="61312" ht="15.75" customHeight="1">
      <c r="A61312" s="7"/>
      <c r="B61312" s="7"/>
    </row>
    <row r="61313" ht="15.75" customHeight="1">
      <c r="A61313" s="7"/>
      <c r="B61313" s="7"/>
    </row>
    <row r="61314" ht="15.75" customHeight="1">
      <c r="A61314" s="7"/>
      <c r="B61314" s="7"/>
    </row>
    <row r="61315" ht="15.75" customHeight="1">
      <c r="A61315" s="7"/>
      <c r="B61315" s="7"/>
    </row>
    <row r="61316" ht="15.75" customHeight="1">
      <c r="A61316" s="7"/>
      <c r="B61316" s="7"/>
    </row>
    <row r="61317" ht="15.75" customHeight="1">
      <c r="A61317" s="7"/>
      <c r="B61317" s="7"/>
    </row>
    <row r="61318" ht="15.75" customHeight="1">
      <c r="A61318" s="7"/>
      <c r="B61318" s="7"/>
    </row>
    <row r="61319" ht="15.75" customHeight="1">
      <c r="A61319" s="7"/>
      <c r="B61319" s="7"/>
    </row>
    <row r="61320" ht="15.75" customHeight="1">
      <c r="A61320" s="7"/>
      <c r="B61320" s="7"/>
    </row>
    <row r="61321" ht="15.75" customHeight="1">
      <c r="A61321" s="7"/>
      <c r="B61321" s="7"/>
    </row>
    <row r="61322" ht="15.75" customHeight="1">
      <c r="A61322" s="7"/>
      <c r="B61322" s="7"/>
    </row>
    <row r="61323" ht="15.75" customHeight="1">
      <c r="A61323" s="7"/>
      <c r="B61323" s="7"/>
    </row>
    <row r="61324" ht="15.75" customHeight="1">
      <c r="A61324" s="7"/>
      <c r="B61324" s="7"/>
    </row>
    <row r="61325" ht="15.75" customHeight="1">
      <c r="A61325" s="7"/>
      <c r="B61325" s="7"/>
    </row>
    <row r="61326" ht="15.75" customHeight="1">
      <c r="A61326" s="7"/>
      <c r="B61326" s="7"/>
    </row>
    <row r="61327" ht="15.75" customHeight="1">
      <c r="A61327" s="7"/>
      <c r="B61327" s="7"/>
    </row>
    <row r="61328" ht="15.75" customHeight="1">
      <c r="A61328" s="7"/>
      <c r="B61328" s="7"/>
    </row>
    <row r="61329" ht="15.75" customHeight="1">
      <c r="A61329" s="7"/>
      <c r="B61329" s="7"/>
    </row>
    <row r="61330" ht="15.75" customHeight="1">
      <c r="A61330" s="7"/>
      <c r="B61330" s="7"/>
    </row>
    <row r="61331" ht="15.75" customHeight="1">
      <c r="A61331" s="7"/>
      <c r="B61331" s="7"/>
    </row>
    <row r="61332" ht="15.75" customHeight="1">
      <c r="A61332" s="7"/>
      <c r="B61332" s="7"/>
    </row>
    <row r="61333" ht="15.75" customHeight="1">
      <c r="A61333" s="7"/>
      <c r="B61333" s="7"/>
    </row>
    <row r="61334" ht="15.75" customHeight="1">
      <c r="A61334" s="7"/>
      <c r="B61334" s="7"/>
    </row>
    <row r="61335" ht="15.75" customHeight="1">
      <c r="A61335" s="7"/>
      <c r="B61335" s="7"/>
    </row>
    <row r="61336" ht="15.75" customHeight="1">
      <c r="A61336" s="7"/>
      <c r="B61336" s="7"/>
    </row>
    <row r="61337" ht="15.75" customHeight="1">
      <c r="A61337" s="7"/>
      <c r="B61337" s="7"/>
    </row>
    <row r="61338" ht="15.75" customHeight="1">
      <c r="A61338" s="7"/>
      <c r="B61338" s="7"/>
    </row>
    <row r="61339" ht="15.75" customHeight="1">
      <c r="A61339" s="7"/>
      <c r="B61339" s="7"/>
    </row>
    <row r="61340" ht="15.75" customHeight="1">
      <c r="A61340" s="7"/>
      <c r="B61340" s="7"/>
    </row>
    <row r="61341" ht="15.75" customHeight="1">
      <c r="A61341" s="7"/>
      <c r="B61341" s="7"/>
    </row>
    <row r="61342" ht="15.75" customHeight="1">
      <c r="A61342" s="7"/>
      <c r="B61342" s="7"/>
    </row>
    <row r="61343" ht="15.75" customHeight="1">
      <c r="A61343" s="7"/>
      <c r="B61343" s="7"/>
    </row>
    <row r="61344" ht="15.75" customHeight="1">
      <c r="A61344" s="7"/>
      <c r="B61344" s="7"/>
    </row>
    <row r="61345" ht="15.75" customHeight="1">
      <c r="A61345" s="7"/>
      <c r="B61345" s="7"/>
    </row>
    <row r="61346" ht="15.75" customHeight="1">
      <c r="A61346" s="7"/>
      <c r="B61346" s="7"/>
    </row>
    <row r="61347" ht="15.75" customHeight="1">
      <c r="A61347" s="7"/>
      <c r="B61347" s="7"/>
    </row>
    <row r="61348" ht="15.75" customHeight="1">
      <c r="A61348" s="7"/>
      <c r="B61348" s="7"/>
    </row>
    <row r="61349" ht="15.75" customHeight="1">
      <c r="A61349" s="7"/>
      <c r="B61349" s="7"/>
    </row>
    <row r="61350" ht="15.75" customHeight="1">
      <c r="A61350" s="7"/>
      <c r="B61350" s="7"/>
    </row>
    <row r="61351" ht="15.75" customHeight="1">
      <c r="A61351" s="7"/>
      <c r="B61351" s="7"/>
    </row>
    <row r="61352" ht="15.75" customHeight="1">
      <c r="A61352" s="7"/>
      <c r="B61352" s="7"/>
    </row>
    <row r="61353" ht="15.75" customHeight="1">
      <c r="A61353" s="7"/>
      <c r="B61353" s="7"/>
    </row>
    <row r="61354" ht="15.75" customHeight="1">
      <c r="A61354" s="7"/>
      <c r="B61354" s="7"/>
    </row>
    <row r="61355" ht="15.75" customHeight="1">
      <c r="A61355" s="7"/>
      <c r="B61355" s="7"/>
    </row>
    <row r="61356" ht="15.75" customHeight="1">
      <c r="A61356" s="7"/>
      <c r="B61356" s="7"/>
    </row>
    <row r="61357" ht="15.75" customHeight="1">
      <c r="A61357" s="7"/>
      <c r="B61357" s="7"/>
    </row>
    <row r="61358" ht="15.75" customHeight="1">
      <c r="A61358" s="7"/>
      <c r="B61358" s="7"/>
    </row>
    <row r="61359" ht="15.75" customHeight="1">
      <c r="A61359" s="7"/>
      <c r="B61359" s="7"/>
    </row>
    <row r="61360" ht="15.75" customHeight="1">
      <c r="A61360" s="7"/>
      <c r="B61360" s="7"/>
    </row>
    <row r="61361" ht="15.75" customHeight="1">
      <c r="A61361" s="7"/>
      <c r="B61361" s="7"/>
    </row>
    <row r="61362" ht="15.75" customHeight="1">
      <c r="A61362" s="7"/>
      <c r="B61362" s="7"/>
    </row>
    <row r="61363" ht="15.75" customHeight="1">
      <c r="A61363" s="7"/>
      <c r="B61363" s="7"/>
    </row>
    <row r="61364" ht="15.75" customHeight="1">
      <c r="A61364" s="7"/>
      <c r="B61364" s="7"/>
    </row>
    <row r="61365" ht="15.75" customHeight="1">
      <c r="A61365" s="7"/>
      <c r="B61365" s="7"/>
    </row>
    <row r="61366" ht="15.75" customHeight="1">
      <c r="A61366" s="7"/>
      <c r="B61366" s="7"/>
    </row>
    <row r="61367" ht="15.75" customHeight="1">
      <c r="A61367" s="7"/>
      <c r="B61367" s="7"/>
    </row>
    <row r="61368" ht="15.75" customHeight="1">
      <c r="A61368" s="7"/>
      <c r="B61368" s="7"/>
    </row>
    <row r="61369" ht="15.75" customHeight="1">
      <c r="A61369" s="7"/>
      <c r="B61369" s="7"/>
    </row>
    <row r="61370" ht="15.75" customHeight="1">
      <c r="A61370" s="7"/>
      <c r="B61370" s="7"/>
    </row>
    <row r="61371" ht="15.75" customHeight="1">
      <c r="A61371" s="7"/>
      <c r="B61371" s="7"/>
    </row>
    <row r="61372" ht="15.75" customHeight="1">
      <c r="A61372" s="7"/>
      <c r="B61372" s="7"/>
    </row>
    <row r="61373" ht="15.75" customHeight="1">
      <c r="A61373" s="7"/>
      <c r="B61373" s="7"/>
    </row>
    <row r="61374" ht="15.75" customHeight="1">
      <c r="A61374" s="7"/>
      <c r="B61374" s="7"/>
    </row>
    <row r="61375" ht="15.75" customHeight="1">
      <c r="A61375" s="7"/>
      <c r="B61375" s="7"/>
    </row>
    <row r="61376" ht="15.75" customHeight="1">
      <c r="A61376" s="7"/>
      <c r="B61376" s="7"/>
    </row>
    <row r="61377" ht="15.75" customHeight="1">
      <c r="A61377" s="7"/>
      <c r="B61377" s="7"/>
    </row>
    <row r="61378" ht="15.75" customHeight="1">
      <c r="A61378" s="7"/>
      <c r="B61378" s="7"/>
    </row>
    <row r="61379" ht="15.75" customHeight="1">
      <c r="A61379" s="7"/>
      <c r="B61379" s="7"/>
    </row>
    <row r="61380" ht="15.75" customHeight="1">
      <c r="A61380" s="7"/>
      <c r="B61380" s="7"/>
    </row>
    <row r="61381" ht="15.75" customHeight="1">
      <c r="A61381" s="7"/>
      <c r="B61381" s="7"/>
    </row>
    <row r="61382" ht="15.75" customHeight="1">
      <c r="A61382" s="7"/>
      <c r="B61382" s="7"/>
    </row>
    <row r="61383" ht="15.75" customHeight="1">
      <c r="A61383" s="7"/>
      <c r="B61383" s="7"/>
    </row>
    <row r="61384" ht="15.75" customHeight="1">
      <c r="A61384" s="7"/>
      <c r="B61384" s="7"/>
    </row>
    <row r="61385" ht="15.75" customHeight="1">
      <c r="A61385" s="7"/>
      <c r="B61385" s="7"/>
    </row>
    <row r="61386" ht="15.75" customHeight="1">
      <c r="A61386" s="7"/>
      <c r="B61386" s="7"/>
    </row>
    <row r="61387" ht="15.75" customHeight="1">
      <c r="A61387" s="7"/>
      <c r="B61387" s="7"/>
    </row>
    <row r="61388" ht="15.75" customHeight="1">
      <c r="A61388" s="7"/>
      <c r="B61388" s="7"/>
    </row>
    <row r="61389" ht="15.75" customHeight="1">
      <c r="A61389" s="7"/>
      <c r="B61389" s="7"/>
    </row>
    <row r="61390" ht="15.75" customHeight="1">
      <c r="A61390" s="7"/>
      <c r="B61390" s="7"/>
    </row>
    <row r="61391" ht="15.75" customHeight="1">
      <c r="A61391" s="7"/>
      <c r="B61391" s="7"/>
    </row>
    <row r="61392" ht="15.75" customHeight="1">
      <c r="A61392" s="7"/>
      <c r="B61392" s="7"/>
    </row>
    <row r="61393" ht="15.75" customHeight="1">
      <c r="A61393" s="7"/>
      <c r="B61393" s="7"/>
    </row>
    <row r="61394" ht="15.75" customHeight="1">
      <c r="A61394" s="7"/>
      <c r="B61394" s="7"/>
    </row>
    <row r="61395" ht="15.75" customHeight="1">
      <c r="A61395" s="7"/>
      <c r="B61395" s="7"/>
    </row>
    <row r="61396" ht="15.75" customHeight="1">
      <c r="A61396" s="7"/>
      <c r="B61396" s="7"/>
    </row>
    <row r="61397" ht="15.75" customHeight="1">
      <c r="A61397" s="7"/>
      <c r="B61397" s="7"/>
    </row>
    <row r="61398" ht="15.75" customHeight="1">
      <c r="A61398" s="7"/>
      <c r="B61398" s="7"/>
    </row>
    <row r="61399" ht="15.75" customHeight="1">
      <c r="A61399" s="7"/>
      <c r="B61399" s="7"/>
    </row>
    <row r="61400" ht="15.75" customHeight="1">
      <c r="A61400" s="7"/>
      <c r="B61400" s="7"/>
    </row>
    <row r="61401" ht="15.75" customHeight="1">
      <c r="A61401" s="7"/>
      <c r="B61401" s="7"/>
    </row>
    <row r="61402" ht="15.75" customHeight="1">
      <c r="A61402" s="7"/>
      <c r="B61402" s="7"/>
    </row>
    <row r="61403" ht="15.75" customHeight="1">
      <c r="A61403" s="7"/>
      <c r="B61403" s="7"/>
    </row>
    <row r="61404" ht="15.75" customHeight="1">
      <c r="A61404" s="7"/>
      <c r="B61404" s="7"/>
    </row>
    <row r="61405" ht="15.75" customHeight="1">
      <c r="A61405" s="7"/>
      <c r="B61405" s="7"/>
    </row>
    <row r="61406" ht="15.75" customHeight="1">
      <c r="A61406" s="7"/>
      <c r="B61406" s="7"/>
    </row>
    <row r="61407" ht="15.75" customHeight="1">
      <c r="A61407" s="7"/>
      <c r="B61407" s="7"/>
    </row>
    <row r="61408" ht="15.75" customHeight="1">
      <c r="A61408" s="7"/>
      <c r="B61408" s="7"/>
    </row>
    <row r="61409" ht="15.75" customHeight="1">
      <c r="A61409" s="7"/>
      <c r="B61409" s="7"/>
    </row>
    <row r="61410" ht="15.75" customHeight="1">
      <c r="A61410" s="7"/>
      <c r="B61410" s="7"/>
    </row>
    <row r="61411" ht="15.75" customHeight="1">
      <c r="A61411" s="7"/>
      <c r="B61411" s="7"/>
    </row>
    <row r="61412" ht="15.75" customHeight="1">
      <c r="A61412" s="7"/>
      <c r="B61412" s="7"/>
    </row>
    <row r="61413" ht="15.75" customHeight="1">
      <c r="A61413" s="7"/>
      <c r="B61413" s="7"/>
    </row>
    <row r="61414" ht="15.75" customHeight="1">
      <c r="A61414" s="7"/>
      <c r="B61414" s="7"/>
    </row>
    <row r="61415" ht="15.75" customHeight="1">
      <c r="A61415" s="7"/>
      <c r="B61415" s="7"/>
    </row>
    <row r="61416" ht="15.75" customHeight="1">
      <c r="A61416" s="7"/>
      <c r="B61416" s="7"/>
    </row>
    <row r="61417" ht="15.75" customHeight="1">
      <c r="A61417" s="7"/>
      <c r="B61417" s="7"/>
    </row>
    <row r="61418" ht="15.75" customHeight="1">
      <c r="A61418" s="7"/>
      <c r="B61418" s="7"/>
    </row>
    <row r="61419" ht="15.75" customHeight="1">
      <c r="A61419" s="7"/>
      <c r="B61419" s="7"/>
    </row>
    <row r="61420" ht="15.75" customHeight="1">
      <c r="A61420" s="7"/>
      <c r="B61420" s="7"/>
    </row>
    <row r="61421" ht="15.75" customHeight="1">
      <c r="A61421" s="7"/>
      <c r="B61421" s="7"/>
    </row>
    <row r="61422" ht="15.75" customHeight="1">
      <c r="A61422" s="7"/>
      <c r="B61422" s="7"/>
    </row>
    <row r="61423" ht="15.75" customHeight="1">
      <c r="A61423" s="7"/>
      <c r="B61423" s="7"/>
    </row>
    <row r="61424" ht="15.75" customHeight="1">
      <c r="A61424" s="7"/>
      <c r="B61424" s="7"/>
    </row>
    <row r="61425" ht="15.75" customHeight="1">
      <c r="A61425" s="7"/>
      <c r="B61425" s="7"/>
    </row>
    <row r="61426" ht="15.75" customHeight="1">
      <c r="A61426" s="7"/>
      <c r="B61426" s="7"/>
    </row>
    <row r="61427" ht="15.75" customHeight="1">
      <c r="A61427" s="7"/>
      <c r="B61427" s="7"/>
    </row>
    <row r="61428" ht="15.75" customHeight="1">
      <c r="A61428" s="7"/>
      <c r="B61428" s="7"/>
    </row>
    <row r="61429" ht="15.75" customHeight="1">
      <c r="A61429" s="7"/>
      <c r="B61429" s="7"/>
    </row>
    <row r="61430" ht="15.75" customHeight="1">
      <c r="A61430" s="7"/>
      <c r="B61430" s="7"/>
    </row>
    <row r="61431" ht="15.75" customHeight="1">
      <c r="A61431" s="7"/>
      <c r="B61431" s="7"/>
    </row>
    <row r="61432" ht="15.75" customHeight="1">
      <c r="A61432" s="7"/>
      <c r="B61432" s="7"/>
    </row>
    <row r="61433" ht="15.75" customHeight="1">
      <c r="A61433" s="7"/>
      <c r="B61433" s="7"/>
    </row>
    <row r="61434" ht="15.75" customHeight="1">
      <c r="A61434" s="7"/>
      <c r="B61434" s="7"/>
    </row>
    <row r="61435" ht="15.75" customHeight="1">
      <c r="A61435" s="7"/>
      <c r="B61435" s="7"/>
    </row>
    <row r="61436" ht="15.75" customHeight="1">
      <c r="A61436" s="7"/>
      <c r="B61436" s="7"/>
    </row>
    <row r="61437" ht="15.75" customHeight="1">
      <c r="A61437" s="7"/>
      <c r="B61437" s="7"/>
    </row>
    <row r="61438" ht="15.75" customHeight="1">
      <c r="A61438" s="7"/>
      <c r="B61438" s="7"/>
    </row>
    <row r="61439" ht="15.75" customHeight="1">
      <c r="A61439" s="7"/>
      <c r="B61439" s="7"/>
    </row>
    <row r="61440" ht="15.75" customHeight="1">
      <c r="A61440" s="7"/>
      <c r="B61440" s="7"/>
    </row>
    <row r="61441" ht="15.75" customHeight="1">
      <c r="A61441" s="7"/>
      <c r="B61441" s="7"/>
    </row>
    <row r="61442" ht="15.75" customHeight="1">
      <c r="A61442" s="7"/>
      <c r="B61442" s="7"/>
    </row>
    <row r="61443" ht="15.75" customHeight="1">
      <c r="A61443" s="7"/>
      <c r="B61443" s="7"/>
    </row>
    <row r="61444" ht="15.75" customHeight="1">
      <c r="A61444" s="7"/>
      <c r="B61444" s="7"/>
    </row>
    <row r="61445" ht="15.75" customHeight="1">
      <c r="A61445" s="7"/>
      <c r="B61445" s="7"/>
    </row>
    <row r="61446" ht="15.75" customHeight="1">
      <c r="A61446" s="7"/>
      <c r="B61446" s="7"/>
    </row>
    <row r="61447" ht="15.75" customHeight="1">
      <c r="A61447" s="7"/>
      <c r="B61447" s="7"/>
    </row>
    <row r="61448" ht="15.75" customHeight="1">
      <c r="A61448" s="7"/>
      <c r="B61448" s="7"/>
    </row>
    <row r="61449" ht="15.75" customHeight="1">
      <c r="A61449" s="7"/>
      <c r="B61449" s="7"/>
    </row>
    <row r="61450" ht="15.75" customHeight="1">
      <c r="A61450" s="7"/>
      <c r="B61450" s="7"/>
    </row>
    <row r="61451" ht="15.75" customHeight="1">
      <c r="A61451" s="7"/>
      <c r="B61451" s="7"/>
    </row>
    <row r="61452" ht="15.75" customHeight="1">
      <c r="A61452" s="7"/>
      <c r="B61452" s="7"/>
    </row>
    <row r="61453" ht="15.75" customHeight="1">
      <c r="A61453" s="7"/>
      <c r="B61453" s="7"/>
    </row>
    <row r="61454" ht="15.75" customHeight="1">
      <c r="A61454" s="7"/>
      <c r="B61454" s="7"/>
    </row>
    <row r="61455" ht="15.75" customHeight="1">
      <c r="A61455" s="7"/>
      <c r="B61455" s="7"/>
    </row>
    <row r="61456" ht="15.75" customHeight="1">
      <c r="A61456" s="7"/>
      <c r="B61456" s="7"/>
    </row>
    <row r="61457" ht="15.75" customHeight="1">
      <c r="A61457" s="7"/>
      <c r="B61457" s="7"/>
    </row>
    <row r="61458" ht="15.75" customHeight="1">
      <c r="A61458" s="7"/>
      <c r="B61458" s="7"/>
    </row>
    <row r="61459" ht="15.75" customHeight="1">
      <c r="A61459" s="7"/>
      <c r="B61459" s="7"/>
    </row>
    <row r="61460" ht="15.75" customHeight="1">
      <c r="A61460" s="7"/>
      <c r="B61460" s="7"/>
    </row>
    <row r="61461" ht="15.75" customHeight="1">
      <c r="A61461" s="7"/>
      <c r="B61461" s="7"/>
    </row>
    <row r="61462" ht="15.75" customHeight="1">
      <c r="A61462" s="7"/>
      <c r="B61462" s="7"/>
    </row>
    <row r="61463" ht="15.75" customHeight="1">
      <c r="A61463" s="7"/>
      <c r="B61463" s="7"/>
    </row>
    <row r="61464" ht="15.75" customHeight="1">
      <c r="A61464" s="7"/>
      <c r="B61464" s="7"/>
    </row>
    <row r="61465" ht="15.75" customHeight="1">
      <c r="A61465" s="7"/>
      <c r="B61465" s="7"/>
    </row>
    <row r="61466" ht="15.75" customHeight="1">
      <c r="A61466" s="7"/>
      <c r="B61466" s="7"/>
    </row>
    <row r="61467" ht="15.75" customHeight="1">
      <c r="A61467" s="7"/>
      <c r="B61467" s="7"/>
    </row>
    <row r="61468" ht="15.75" customHeight="1">
      <c r="A61468" s="7"/>
      <c r="B61468" s="7"/>
    </row>
    <row r="61469" ht="15.75" customHeight="1">
      <c r="A61469" s="7"/>
      <c r="B61469" s="7"/>
    </row>
    <row r="61470" ht="15.75" customHeight="1">
      <c r="A61470" s="7"/>
      <c r="B61470" s="7"/>
    </row>
    <row r="61471" ht="15.75" customHeight="1">
      <c r="A61471" s="7"/>
      <c r="B61471" s="7"/>
    </row>
    <row r="61472" ht="15.75" customHeight="1">
      <c r="A61472" s="7"/>
      <c r="B61472" s="7"/>
    </row>
    <row r="61473" ht="15.75" customHeight="1">
      <c r="A61473" s="7"/>
      <c r="B61473" s="7"/>
    </row>
    <row r="61474" ht="15.75" customHeight="1">
      <c r="A61474" s="7"/>
      <c r="B61474" s="7"/>
    </row>
    <row r="61475" ht="15.75" customHeight="1">
      <c r="A61475" s="7"/>
      <c r="B61475" s="7"/>
    </row>
    <row r="61476" ht="15.75" customHeight="1">
      <c r="A61476" s="7"/>
      <c r="B61476" s="7"/>
    </row>
    <row r="61477" ht="15.75" customHeight="1">
      <c r="A61477" s="7"/>
      <c r="B61477" s="7"/>
    </row>
    <row r="61478" ht="15.75" customHeight="1">
      <c r="A61478" s="7"/>
      <c r="B61478" s="7"/>
    </row>
    <row r="61479" ht="15.75" customHeight="1">
      <c r="A61479" s="7"/>
      <c r="B61479" s="7"/>
    </row>
    <row r="61480" ht="15.75" customHeight="1">
      <c r="A61480" s="7"/>
      <c r="B61480" s="7"/>
    </row>
    <row r="61481" ht="15.75" customHeight="1">
      <c r="A61481" s="7"/>
      <c r="B61481" s="7"/>
    </row>
    <row r="61482" ht="15.75" customHeight="1">
      <c r="A61482" s="7"/>
      <c r="B61482" s="7"/>
    </row>
    <row r="61483" ht="15.75" customHeight="1">
      <c r="A61483" s="7"/>
      <c r="B61483" s="7"/>
    </row>
    <row r="61484" ht="15.75" customHeight="1">
      <c r="A61484" s="7"/>
      <c r="B61484" s="7"/>
    </row>
    <row r="61485" ht="15.75" customHeight="1">
      <c r="A61485" s="7"/>
      <c r="B61485" s="7"/>
    </row>
    <row r="61486" ht="15.75" customHeight="1">
      <c r="A61486" s="7"/>
      <c r="B61486" s="7"/>
    </row>
    <row r="61487" ht="15.75" customHeight="1">
      <c r="A61487" s="7"/>
      <c r="B61487" s="7"/>
    </row>
    <row r="61488" ht="15.75" customHeight="1">
      <c r="A61488" s="7"/>
      <c r="B61488" s="7"/>
    </row>
    <row r="61489" ht="15.75" customHeight="1">
      <c r="A61489" s="7"/>
      <c r="B61489" s="7"/>
    </row>
    <row r="61490" ht="15.75" customHeight="1">
      <c r="A61490" s="7"/>
      <c r="B61490" s="7"/>
    </row>
    <row r="61491" ht="15.75" customHeight="1">
      <c r="A61491" s="7"/>
      <c r="B61491" s="7"/>
    </row>
    <row r="61492" ht="15.75" customHeight="1">
      <c r="A61492" s="7"/>
      <c r="B61492" s="7"/>
    </row>
    <row r="61493" ht="15.75" customHeight="1">
      <c r="A61493" s="7"/>
      <c r="B61493" s="7"/>
    </row>
    <row r="61494" ht="15.75" customHeight="1">
      <c r="A61494" s="7"/>
      <c r="B61494" s="7"/>
    </row>
    <row r="61495" ht="15.75" customHeight="1">
      <c r="A61495" s="7"/>
      <c r="B61495" s="7"/>
    </row>
    <row r="61496" ht="15.75" customHeight="1">
      <c r="A61496" s="7"/>
      <c r="B61496" s="7"/>
    </row>
    <row r="61497" ht="15.75" customHeight="1">
      <c r="A61497" s="7"/>
      <c r="B61497" s="7"/>
    </row>
    <row r="61498" ht="15.75" customHeight="1">
      <c r="A61498" s="7"/>
      <c r="B61498" s="7"/>
    </row>
    <row r="61499" ht="15.75" customHeight="1">
      <c r="A61499" s="7"/>
      <c r="B61499" s="7"/>
    </row>
    <row r="61500" ht="15.75" customHeight="1">
      <c r="A61500" s="7"/>
      <c r="B61500" s="7"/>
    </row>
    <row r="61501" ht="15.75" customHeight="1">
      <c r="A61501" s="7"/>
      <c r="B61501" s="7"/>
    </row>
    <row r="61502" ht="15.75" customHeight="1">
      <c r="A61502" s="7"/>
      <c r="B61502" s="7"/>
    </row>
    <row r="61503" ht="15.75" customHeight="1">
      <c r="A61503" s="7"/>
      <c r="B61503" s="7"/>
    </row>
    <row r="61504" ht="15.75" customHeight="1">
      <c r="A61504" s="7"/>
      <c r="B61504" s="7"/>
    </row>
    <row r="61505" ht="15.75" customHeight="1">
      <c r="A61505" s="7"/>
      <c r="B61505" s="7"/>
    </row>
    <row r="61506" ht="15.75" customHeight="1">
      <c r="A61506" s="7"/>
      <c r="B61506" s="7"/>
    </row>
    <row r="61507" ht="15.75" customHeight="1">
      <c r="A61507" s="7"/>
      <c r="B61507" s="7"/>
    </row>
    <row r="61508" ht="15.75" customHeight="1">
      <c r="A61508" s="7"/>
      <c r="B61508" s="7"/>
    </row>
    <row r="61509" ht="15.75" customHeight="1">
      <c r="A61509" s="7"/>
      <c r="B61509" s="7"/>
    </row>
    <row r="61510" ht="15.75" customHeight="1">
      <c r="A61510" s="7"/>
      <c r="B61510" s="7"/>
    </row>
    <row r="61511" ht="15.75" customHeight="1">
      <c r="A61511" s="7"/>
      <c r="B61511" s="7"/>
    </row>
    <row r="61512" ht="15.75" customHeight="1">
      <c r="A61512" s="7"/>
      <c r="B61512" s="7"/>
    </row>
    <row r="61513" ht="15.75" customHeight="1">
      <c r="A61513" s="7"/>
      <c r="B61513" s="7"/>
    </row>
    <row r="61514" ht="15.75" customHeight="1">
      <c r="A61514" s="7"/>
      <c r="B61514" s="7"/>
    </row>
    <row r="61515" ht="15.75" customHeight="1">
      <c r="A61515" s="7"/>
      <c r="B61515" s="7"/>
    </row>
    <row r="61516" ht="15.75" customHeight="1">
      <c r="A61516" s="7"/>
      <c r="B61516" s="7"/>
    </row>
    <row r="61517" ht="15.75" customHeight="1">
      <c r="A61517" s="7"/>
      <c r="B61517" s="7"/>
    </row>
    <row r="61518" ht="15.75" customHeight="1">
      <c r="A61518" s="7"/>
      <c r="B61518" s="7"/>
    </row>
    <row r="61519" ht="15.75" customHeight="1">
      <c r="A61519" s="7"/>
      <c r="B61519" s="7"/>
    </row>
    <row r="61520" ht="15.75" customHeight="1">
      <c r="A61520" s="7"/>
      <c r="B61520" s="7"/>
    </row>
    <row r="61521" ht="15.75" customHeight="1">
      <c r="A61521" s="7"/>
      <c r="B61521" s="7"/>
    </row>
    <row r="61522" ht="15.75" customHeight="1">
      <c r="A61522" s="7"/>
      <c r="B61522" s="7"/>
    </row>
    <row r="61523" ht="15.75" customHeight="1">
      <c r="A61523" s="7"/>
      <c r="B61523" s="7"/>
    </row>
    <row r="61524" ht="15.75" customHeight="1">
      <c r="A61524" s="7"/>
      <c r="B61524" s="7"/>
    </row>
    <row r="61525" ht="15.75" customHeight="1">
      <c r="A61525" s="7"/>
      <c r="B61525" s="7"/>
    </row>
    <row r="61526" ht="15.75" customHeight="1">
      <c r="A61526" s="7"/>
      <c r="B61526" s="7"/>
    </row>
    <row r="61527" ht="15.75" customHeight="1">
      <c r="A61527" s="7"/>
      <c r="B61527" s="7"/>
    </row>
    <row r="61528" ht="15.75" customHeight="1">
      <c r="A61528" s="7"/>
      <c r="B61528" s="7"/>
    </row>
    <row r="61529" ht="15.75" customHeight="1">
      <c r="A61529" s="7"/>
      <c r="B61529" s="7"/>
    </row>
    <row r="61530" ht="15.75" customHeight="1">
      <c r="A61530" s="7"/>
      <c r="B61530" s="7"/>
    </row>
    <row r="61531" ht="15.75" customHeight="1">
      <c r="A61531" s="7"/>
      <c r="B61531" s="7"/>
    </row>
    <row r="61532" ht="15.75" customHeight="1">
      <c r="A61532" s="7"/>
      <c r="B61532" s="7"/>
    </row>
    <row r="61533" ht="15.75" customHeight="1">
      <c r="A61533" s="7"/>
      <c r="B61533" s="7"/>
    </row>
    <row r="61534" ht="15.75" customHeight="1">
      <c r="A61534" s="7"/>
      <c r="B61534" s="7"/>
    </row>
    <row r="61535" ht="15.75" customHeight="1">
      <c r="A61535" s="7"/>
      <c r="B61535" s="7"/>
    </row>
    <row r="61536" ht="15.75" customHeight="1">
      <c r="A61536" s="7"/>
      <c r="B61536" s="7"/>
    </row>
    <row r="61537" ht="15.75" customHeight="1">
      <c r="A61537" s="7"/>
      <c r="B61537" s="7"/>
    </row>
    <row r="61538" ht="15.75" customHeight="1">
      <c r="A61538" s="7"/>
      <c r="B61538" s="7"/>
    </row>
    <row r="61539" ht="15.75" customHeight="1">
      <c r="A61539" s="7"/>
      <c r="B61539" s="7"/>
    </row>
    <row r="61540" ht="15.75" customHeight="1">
      <c r="A61540" s="7"/>
      <c r="B61540" s="7"/>
    </row>
    <row r="61541" ht="15.75" customHeight="1">
      <c r="A61541" s="7"/>
      <c r="B61541" s="7"/>
    </row>
    <row r="61542" ht="15.75" customHeight="1">
      <c r="A61542" s="7"/>
      <c r="B61542" s="7"/>
    </row>
    <row r="61543" ht="15.75" customHeight="1">
      <c r="A61543" s="7"/>
      <c r="B61543" s="7"/>
    </row>
    <row r="61544" ht="15.75" customHeight="1">
      <c r="A61544" s="7"/>
      <c r="B61544" s="7"/>
    </row>
    <row r="61545" ht="15.75" customHeight="1">
      <c r="A61545" s="7"/>
      <c r="B61545" s="7"/>
    </row>
    <row r="61546" ht="15.75" customHeight="1">
      <c r="A61546" s="7"/>
      <c r="B61546" s="7"/>
    </row>
    <row r="61547" ht="15.75" customHeight="1">
      <c r="A61547" s="7"/>
      <c r="B61547" s="7"/>
    </row>
    <row r="61548" ht="15.75" customHeight="1">
      <c r="A61548" s="7"/>
      <c r="B61548" s="7"/>
    </row>
    <row r="61549" ht="15.75" customHeight="1">
      <c r="A61549" s="7"/>
      <c r="B61549" s="7"/>
    </row>
    <row r="61550" ht="15.75" customHeight="1">
      <c r="A61550" s="7"/>
      <c r="B61550" s="7"/>
    </row>
    <row r="61551" ht="15.75" customHeight="1">
      <c r="A61551" s="7"/>
      <c r="B61551" s="7"/>
    </row>
    <row r="61552" ht="15.75" customHeight="1">
      <c r="A61552" s="7"/>
      <c r="B61552" s="7"/>
    </row>
    <row r="61553" ht="15.75" customHeight="1">
      <c r="A61553" s="7"/>
      <c r="B61553" s="7"/>
    </row>
    <row r="61554" ht="15.75" customHeight="1">
      <c r="A61554" s="7"/>
      <c r="B61554" s="7"/>
    </row>
    <row r="61555" ht="15.75" customHeight="1">
      <c r="A61555" s="7"/>
      <c r="B61555" s="7"/>
    </row>
    <row r="61556" ht="15.75" customHeight="1">
      <c r="A61556" s="7"/>
      <c r="B61556" s="7"/>
    </row>
    <row r="61557" ht="15.75" customHeight="1">
      <c r="A61557" s="7"/>
      <c r="B61557" s="7"/>
    </row>
    <row r="61558" ht="15.75" customHeight="1">
      <c r="A61558" s="7"/>
      <c r="B61558" s="7"/>
    </row>
    <row r="61559" ht="15.75" customHeight="1">
      <c r="A61559" s="7"/>
      <c r="B61559" s="7"/>
    </row>
    <row r="61560" ht="15.75" customHeight="1">
      <c r="A61560" s="7"/>
      <c r="B61560" s="7"/>
    </row>
    <row r="61561" ht="15.75" customHeight="1">
      <c r="A61561" s="7"/>
      <c r="B61561" s="7"/>
    </row>
    <row r="61562" ht="15.75" customHeight="1">
      <c r="A61562" s="7"/>
      <c r="B61562" s="7"/>
    </row>
    <row r="61563" ht="15.75" customHeight="1">
      <c r="A61563" s="7"/>
      <c r="B61563" s="7"/>
    </row>
    <row r="61564" ht="15.75" customHeight="1">
      <c r="A61564" s="7"/>
      <c r="B61564" s="7"/>
    </row>
    <row r="61565" ht="15.75" customHeight="1">
      <c r="A61565" s="7"/>
      <c r="B61565" s="7"/>
    </row>
    <row r="61566" ht="15.75" customHeight="1">
      <c r="A61566" s="7"/>
      <c r="B61566" s="7"/>
    </row>
    <row r="61567" ht="15.75" customHeight="1">
      <c r="A61567" s="7"/>
      <c r="B61567" s="7"/>
    </row>
    <row r="61568" ht="15.75" customHeight="1">
      <c r="A61568" s="7"/>
      <c r="B61568" s="7"/>
    </row>
    <row r="61569" ht="15.75" customHeight="1">
      <c r="A61569" s="7"/>
      <c r="B61569" s="7"/>
    </row>
    <row r="61570" ht="15.75" customHeight="1">
      <c r="A61570" s="7"/>
      <c r="B61570" s="7"/>
    </row>
    <row r="61571" ht="15.75" customHeight="1">
      <c r="A61571" s="7"/>
      <c r="B61571" s="7"/>
    </row>
    <row r="61572" ht="15.75" customHeight="1">
      <c r="A61572" s="7"/>
      <c r="B61572" s="7"/>
    </row>
    <row r="61573" ht="15.75" customHeight="1">
      <c r="A61573" s="7"/>
      <c r="B61573" s="7"/>
    </row>
    <row r="61574" ht="15.75" customHeight="1">
      <c r="A61574" s="7"/>
      <c r="B61574" s="7"/>
    </row>
    <row r="61575" ht="15.75" customHeight="1">
      <c r="A61575" s="7"/>
      <c r="B61575" s="7"/>
    </row>
    <row r="61576" ht="15.75" customHeight="1">
      <c r="A61576" s="7"/>
      <c r="B61576" s="7"/>
    </row>
    <row r="61577" ht="15.75" customHeight="1">
      <c r="A61577" s="7"/>
      <c r="B61577" s="7"/>
    </row>
    <row r="61578" ht="15.75" customHeight="1">
      <c r="A61578" s="7"/>
      <c r="B61578" s="7"/>
    </row>
    <row r="61579" ht="15.75" customHeight="1">
      <c r="A61579" s="7"/>
      <c r="B61579" s="7"/>
    </row>
    <row r="61580" ht="15.75" customHeight="1">
      <c r="A61580" s="7"/>
      <c r="B61580" s="7"/>
    </row>
    <row r="61581" ht="15.75" customHeight="1">
      <c r="A61581" s="7"/>
      <c r="B61581" s="7"/>
    </row>
    <row r="61582" ht="15.75" customHeight="1">
      <c r="A61582" s="7"/>
      <c r="B61582" s="7"/>
    </row>
    <row r="61583" ht="15.75" customHeight="1">
      <c r="A61583" s="7"/>
      <c r="B61583" s="7"/>
    </row>
    <row r="61584" ht="15.75" customHeight="1">
      <c r="A61584" s="7"/>
      <c r="B61584" s="7"/>
    </row>
    <row r="61585" ht="15.75" customHeight="1">
      <c r="A61585" s="7"/>
      <c r="B61585" s="7"/>
    </row>
    <row r="61586" ht="15.75" customHeight="1">
      <c r="A61586" s="7"/>
      <c r="B61586" s="7"/>
    </row>
    <row r="61587" ht="15.75" customHeight="1">
      <c r="A61587" s="7"/>
      <c r="B61587" s="7"/>
    </row>
    <row r="61588" ht="15.75" customHeight="1">
      <c r="A61588" s="7"/>
      <c r="B61588" s="7"/>
    </row>
    <row r="61589" ht="15.75" customHeight="1">
      <c r="A61589" s="7"/>
      <c r="B61589" s="7"/>
    </row>
    <row r="61590" ht="15.75" customHeight="1">
      <c r="A61590" s="7"/>
      <c r="B61590" s="7"/>
    </row>
    <row r="61591" ht="15.75" customHeight="1">
      <c r="A61591" s="7"/>
      <c r="B61591" s="7"/>
    </row>
    <row r="61592" ht="15.75" customHeight="1">
      <c r="A61592" s="7"/>
      <c r="B61592" s="7"/>
    </row>
    <row r="61593" ht="15.75" customHeight="1">
      <c r="A61593" s="7"/>
      <c r="B61593" s="7"/>
    </row>
    <row r="61594" ht="15.75" customHeight="1">
      <c r="A61594" s="7"/>
      <c r="B61594" s="7"/>
    </row>
    <row r="61595" ht="15.75" customHeight="1">
      <c r="A61595" s="7"/>
      <c r="B61595" s="7"/>
    </row>
    <row r="61596" ht="15.75" customHeight="1">
      <c r="A61596" s="7"/>
      <c r="B61596" s="7"/>
    </row>
    <row r="61597" ht="15.75" customHeight="1">
      <c r="A61597" s="7"/>
      <c r="B61597" s="7"/>
    </row>
    <row r="61598" ht="15.75" customHeight="1">
      <c r="A61598" s="7"/>
      <c r="B61598" s="7"/>
    </row>
    <row r="61599" ht="15.75" customHeight="1">
      <c r="A61599" s="7"/>
      <c r="B61599" s="7"/>
    </row>
    <row r="61600" ht="15.75" customHeight="1">
      <c r="A61600" s="7"/>
      <c r="B61600" s="7"/>
    </row>
    <row r="61601" ht="15.75" customHeight="1">
      <c r="A61601" s="7"/>
      <c r="B61601" s="7"/>
    </row>
    <row r="61602" ht="15.75" customHeight="1">
      <c r="A61602" s="7"/>
      <c r="B61602" s="7"/>
    </row>
    <row r="61603" ht="15.75" customHeight="1">
      <c r="A61603" s="7"/>
      <c r="B61603" s="7"/>
    </row>
    <row r="61604" ht="15.75" customHeight="1">
      <c r="A61604" s="7"/>
      <c r="B61604" s="7"/>
    </row>
    <row r="61605" ht="15.75" customHeight="1">
      <c r="A61605" s="7"/>
      <c r="B61605" s="7"/>
    </row>
    <row r="61606" ht="15.75" customHeight="1">
      <c r="A61606" s="7"/>
      <c r="B61606" s="7"/>
    </row>
    <row r="61607" ht="15.75" customHeight="1">
      <c r="A61607" s="7"/>
      <c r="B61607" s="7"/>
    </row>
    <row r="61608" ht="15.75" customHeight="1">
      <c r="A61608" s="7"/>
      <c r="B61608" s="7"/>
    </row>
    <row r="61609" ht="15.75" customHeight="1">
      <c r="A61609" s="7"/>
      <c r="B61609" s="7"/>
    </row>
    <row r="61610" ht="15.75" customHeight="1">
      <c r="A61610" s="7"/>
      <c r="B61610" s="7"/>
    </row>
    <row r="61611" ht="15.75" customHeight="1">
      <c r="A61611" s="7"/>
      <c r="B61611" s="7"/>
    </row>
    <row r="61612" ht="15.75" customHeight="1">
      <c r="A61612" s="7"/>
      <c r="B61612" s="7"/>
    </row>
    <row r="61613" ht="15.75" customHeight="1">
      <c r="A61613" s="7"/>
      <c r="B61613" s="7"/>
    </row>
    <row r="61614" ht="15.75" customHeight="1">
      <c r="A61614" s="7"/>
      <c r="B61614" s="7"/>
    </row>
    <row r="61615" ht="15.75" customHeight="1">
      <c r="A61615" s="7"/>
      <c r="B61615" s="7"/>
    </row>
    <row r="61616" ht="15.75" customHeight="1">
      <c r="A61616" s="7"/>
      <c r="B61616" s="7"/>
    </row>
    <row r="61617" ht="15.75" customHeight="1">
      <c r="A61617" s="7"/>
      <c r="B61617" s="7"/>
    </row>
    <row r="61618" ht="15.75" customHeight="1">
      <c r="A61618" s="7"/>
      <c r="B61618" s="7"/>
    </row>
    <row r="61619" ht="15.75" customHeight="1">
      <c r="A61619" s="7"/>
      <c r="B61619" s="7"/>
    </row>
    <row r="61620" ht="15.75" customHeight="1">
      <c r="A61620" s="7"/>
      <c r="B61620" s="7"/>
    </row>
    <row r="61621" ht="15.75" customHeight="1">
      <c r="A61621" s="7"/>
      <c r="B61621" s="7"/>
    </row>
    <row r="61622" ht="15.75" customHeight="1">
      <c r="A61622" s="7"/>
      <c r="B61622" s="7"/>
    </row>
    <row r="61623" ht="15.75" customHeight="1">
      <c r="A61623" s="7"/>
      <c r="B61623" s="7"/>
    </row>
    <row r="61624" ht="15.75" customHeight="1">
      <c r="A61624" s="7"/>
      <c r="B61624" s="7"/>
    </row>
    <row r="61625" ht="15.75" customHeight="1">
      <c r="A61625" s="7"/>
      <c r="B61625" s="7"/>
    </row>
    <row r="61626" ht="15.75" customHeight="1">
      <c r="A61626" s="7"/>
      <c r="B61626" s="7"/>
    </row>
    <row r="61627" ht="15.75" customHeight="1">
      <c r="A61627" s="7"/>
      <c r="B61627" s="7"/>
    </row>
    <row r="61628" ht="15.75" customHeight="1">
      <c r="A61628" s="7"/>
      <c r="B61628" s="7"/>
    </row>
    <row r="61629" ht="15.75" customHeight="1">
      <c r="A61629" s="7"/>
      <c r="B61629" s="7"/>
    </row>
    <row r="61630" ht="15.75" customHeight="1">
      <c r="A61630" s="7"/>
      <c r="B61630" s="7"/>
    </row>
    <row r="61631" ht="15.75" customHeight="1">
      <c r="A61631" s="7"/>
      <c r="B61631" s="7"/>
    </row>
    <row r="61632" ht="15.75" customHeight="1">
      <c r="A61632" s="7"/>
      <c r="B61632" s="7"/>
    </row>
    <row r="61633" ht="15.75" customHeight="1">
      <c r="A61633" s="7"/>
      <c r="B61633" s="7"/>
    </row>
    <row r="61634" ht="15.75" customHeight="1">
      <c r="A61634" s="7"/>
      <c r="B61634" s="7"/>
    </row>
    <row r="61635" ht="15.75" customHeight="1">
      <c r="A61635" s="7"/>
      <c r="B61635" s="7"/>
    </row>
    <row r="61636" ht="15.75" customHeight="1">
      <c r="A61636" s="7"/>
      <c r="B61636" s="7"/>
    </row>
    <row r="61637" ht="15.75" customHeight="1">
      <c r="A61637" s="7"/>
      <c r="B61637" s="7"/>
    </row>
    <row r="61638" ht="15.75" customHeight="1">
      <c r="A61638" s="7"/>
      <c r="B61638" s="7"/>
    </row>
    <row r="61639" ht="15.75" customHeight="1">
      <c r="A61639" s="7"/>
      <c r="B61639" s="7"/>
    </row>
    <row r="61640" ht="15.75" customHeight="1">
      <c r="A61640" s="7"/>
      <c r="B61640" s="7"/>
    </row>
    <row r="61641" ht="15.75" customHeight="1">
      <c r="A61641" s="7"/>
      <c r="B61641" s="7"/>
    </row>
    <row r="61642" ht="15.75" customHeight="1">
      <c r="A61642" s="7"/>
      <c r="B61642" s="7"/>
    </row>
    <row r="61643" ht="15.75" customHeight="1">
      <c r="A61643" s="7"/>
      <c r="B61643" s="7"/>
    </row>
    <row r="61644" ht="15.75" customHeight="1">
      <c r="A61644" s="7"/>
      <c r="B61644" s="7"/>
    </row>
    <row r="61645" ht="15.75" customHeight="1">
      <c r="A61645" s="7"/>
      <c r="B61645" s="7"/>
    </row>
    <row r="61646" ht="15.75" customHeight="1">
      <c r="A61646" s="7"/>
      <c r="B61646" s="7"/>
    </row>
    <row r="61647" ht="15.75" customHeight="1">
      <c r="A61647" s="7"/>
      <c r="B61647" s="7"/>
    </row>
    <row r="61648" ht="15.75" customHeight="1">
      <c r="A61648" s="7"/>
      <c r="B61648" s="7"/>
    </row>
    <row r="61649" ht="15.75" customHeight="1">
      <c r="A61649" s="7"/>
      <c r="B61649" s="7"/>
    </row>
    <row r="61650" ht="15.75" customHeight="1">
      <c r="A61650" s="7"/>
      <c r="B61650" s="7"/>
    </row>
    <row r="61651" ht="15.75" customHeight="1">
      <c r="A61651" s="7"/>
      <c r="B61651" s="7"/>
    </row>
    <row r="61652" ht="15.75" customHeight="1">
      <c r="A61652" s="7"/>
      <c r="B61652" s="7"/>
    </row>
    <row r="61653" ht="15.75" customHeight="1">
      <c r="A61653" s="7"/>
      <c r="B61653" s="7"/>
    </row>
    <row r="61654" ht="15.75" customHeight="1">
      <c r="A61654" s="7"/>
      <c r="B61654" s="7"/>
    </row>
    <row r="61655" ht="15.75" customHeight="1">
      <c r="A61655" s="7"/>
      <c r="B61655" s="7"/>
    </row>
    <row r="61656" ht="15.75" customHeight="1">
      <c r="A61656" s="7"/>
      <c r="B61656" s="7"/>
    </row>
    <row r="61657" ht="15.75" customHeight="1">
      <c r="A61657" s="7"/>
      <c r="B61657" s="7"/>
    </row>
    <row r="61658" ht="15.75" customHeight="1">
      <c r="A61658" s="7"/>
      <c r="B61658" s="7"/>
    </row>
    <row r="61659" ht="15.75" customHeight="1">
      <c r="A61659" s="7"/>
      <c r="B61659" s="7"/>
    </row>
    <row r="61660" ht="15.75" customHeight="1">
      <c r="A61660" s="7"/>
      <c r="B61660" s="7"/>
    </row>
    <row r="61661" ht="15.75" customHeight="1">
      <c r="A61661" s="7"/>
      <c r="B61661" s="7"/>
    </row>
    <row r="61662" ht="15.75" customHeight="1">
      <c r="A61662" s="7"/>
      <c r="B61662" s="7"/>
    </row>
    <row r="61663" ht="15.75" customHeight="1">
      <c r="A61663" s="7"/>
      <c r="B61663" s="7"/>
    </row>
    <row r="61664" ht="15.75" customHeight="1">
      <c r="A61664" s="7"/>
      <c r="B61664" s="7"/>
    </row>
    <row r="61665" ht="15.75" customHeight="1">
      <c r="A61665" s="7"/>
      <c r="B61665" s="7"/>
    </row>
    <row r="61666" ht="15.75" customHeight="1">
      <c r="A61666" s="7"/>
      <c r="B61666" s="7"/>
    </row>
    <row r="61667" ht="15.75" customHeight="1">
      <c r="A61667" s="7"/>
      <c r="B61667" s="7"/>
    </row>
    <row r="61668" ht="15.75" customHeight="1">
      <c r="A61668" s="7"/>
      <c r="B61668" s="7"/>
    </row>
    <row r="61669" ht="15.75" customHeight="1">
      <c r="A61669" s="7"/>
      <c r="B61669" s="7"/>
    </row>
    <row r="61670" ht="15.75" customHeight="1">
      <c r="A61670" s="7"/>
      <c r="B61670" s="7"/>
    </row>
    <row r="61671" ht="15.75" customHeight="1">
      <c r="A61671" s="7"/>
      <c r="B61671" s="7"/>
    </row>
    <row r="61672" ht="15.75" customHeight="1">
      <c r="A61672" s="7"/>
      <c r="B61672" s="7"/>
    </row>
    <row r="61673" ht="15.75" customHeight="1">
      <c r="A61673" s="7"/>
      <c r="B61673" s="7"/>
    </row>
    <row r="61674" ht="15.75" customHeight="1">
      <c r="A61674" s="7"/>
      <c r="B61674" s="7"/>
    </row>
    <row r="61675" ht="15.75" customHeight="1">
      <c r="A61675" s="7"/>
      <c r="B61675" s="7"/>
    </row>
    <row r="61676" ht="15.75" customHeight="1">
      <c r="A61676" s="7"/>
      <c r="B61676" s="7"/>
    </row>
    <row r="61677" ht="15.75" customHeight="1">
      <c r="A61677" s="7"/>
      <c r="B61677" s="7"/>
    </row>
    <row r="61678" ht="15.75" customHeight="1">
      <c r="A61678" s="7"/>
      <c r="B61678" s="7"/>
    </row>
    <row r="61679" ht="15.75" customHeight="1">
      <c r="A61679" s="7"/>
      <c r="B61679" s="7"/>
    </row>
    <row r="61680" ht="15.75" customHeight="1">
      <c r="A61680" s="7"/>
      <c r="B61680" s="7"/>
    </row>
    <row r="61681" ht="15.75" customHeight="1">
      <c r="A61681" s="7"/>
      <c r="B61681" s="7"/>
    </row>
    <row r="61682" ht="15.75" customHeight="1">
      <c r="A61682" s="7"/>
      <c r="B61682" s="7"/>
    </row>
    <row r="61683" ht="15.75" customHeight="1">
      <c r="A61683" s="7"/>
      <c r="B61683" s="7"/>
    </row>
    <row r="61684" ht="15.75" customHeight="1">
      <c r="A61684" s="7"/>
      <c r="B61684" s="7"/>
    </row>
    <row r="61685" ht="15.75" customHeight="1">
      <c r="A61685" s="7"/>
      <c r="B61685" s="7"/>
    </row>
    <row r="61686" ht="15.75" customHeight="1">
      <c r="A61686" s="7"/>
      <c r="B61686" s="7"/>
    </row>
    <row r="61687" ht="15.75" customHeight="1">
      <c r="A61687" s="7"/>
      <c r="B61687" s="7"/>
    </row>
    <row r="61688" ht="15.75" customHeight="1">
      <c r="A61688" s="7"/>
      <c r="B61688" s="7"/>
    </row>
    <row r="61689" ht="15.75" customHeight="1">
      <c r="A61689" s="7"/>
      <c r="B61689" s="7"/>
    </row>
    <row r="61690" ht="15.75" customHeight="1">
      <c r="A61690" s="7"/>
      <c r="B61690" s="7"/>
    </row>
    <row r="61691" ht="15.75" customHeight="1">
      <c r="A61691" s="7"/>
      <c r="B61691" s="7"/>
    </row>
    <row r="61692" ht="15.75" customHeight="1">
      <c r="A61692" s="7"/>
      <c r="B61692" s="7"/>
    </row>
    <row r="61693" ht="15.75" customHeight="1">
      <c r="A61693" s="7"/>
      <c r="B61693" s="7"/>
    </row>
    <row r="61694" ht="15.75" customHeight="1">
      <c r="A61694" s="7"/>
      <c r="B61694" s="7"/>
    </row>
    <row r="61695" ht="15.75" customHeight="1">
      <c r="A61695" s="7"/>
      <c r="B61695" s="7"/>
    </row>
    <row r="61696" ht="15.75" customHeight="1">
      <c r="A61696" s="7"/>
      <c r="B61696" s="7"/>
    </row>
    <row r="61697" ht="15.75" customHeight="1">
      <c r="A61697" s="7"/>
      <c r="B61697" s="7"/>
    </row>
    <row r="61698" ht="15.75" customHeight="1">
      <c r="A61698" s="7"/>
      <c r="B61698" s="7"/>
    </row>
    <row r="61699" ht="15.75" customHeight="1">
      <c r="A61699" s="7"/>
      <c r="B61699" s="7"/>
    </row>
    <row r="61700" ht="15.75" customHeight="1">
      <c r="A61700" s="7"/>
      <c r="B61700" s="7"/>
    </row>
    <row r="61701" ht="15.75" customHeight="1">
      <c r="A61701" s="7"/>
      <c r="B61701" s="7"/>
    </row>
    <row r="61702" ht="15.75" customHeight="1">
      <c r="A61702" s="7"/>
      <c r="B61702" s="7"/>
    </row>
    <row r="61703" ht="15.75" customHeight="1">
      <c r="A61703" s="7"/>
      <c r="B61703" s="7"/>
    </row>
    <row r="61704" ht="15.75" customHeight="1">
      <c r="A61704" s="7"/>
      <c r="B61704" s="7"/>
    </row>
    <row r="61705" ht="15.75" customHeight="1">
      <c r="A61705" s="7"/>
      <c r="B61705" s="7"/>
    </row>
    <row r="61706" ht="15.75" customHeight="1">
      <c r="A61706" s="7"/>
      <c r="B61706" s="7"/>
    </row>
    <row r="61707" ht="15.75" customHeight="1">
      <c r="A61707" s="7"/>
      <c r="B61707" s="7"/>
    </row>
    <row r="61708" ht="15.75" customHeight="1">
      <c r="A61708" s="7"/>
      <c r="B61708" s="7"/>
    </row>
    <row r="61709" ht="15.75" customHeight="1">
      <c r="A61709" s="7"/>
      <c r="B61709" s="7"/>
    </row>
    <row r="61710" ht="15.75" customHeight="1">
      <c r="A61710" s="7"/>
      <c r="B61710" s="7"/>
    </row>
    <row r="61711" ht="15.75" customHeight="1">
      <c r="A61711" s="7"/>
      <c r="B61711" s="7"/>
    </row>
    <row r="61712" ht="15.75" customHeight="1">
      <c r="A61712" s="7"/>
      <c r="B61712" s="7"/>
    </row>
    <row r="61713" ht="15.75" customHeight="1">
      <c r="A61713" s="7"/>
      <c r="B61713" s="7"/>
    </row>
    <row r="61714" ht="15.75" customHeight="1">
      <c r="A61714" s="7"/>
      <c r="B61714" s="7"/>
    </row>
    <row r="61715" ht="15.75" customHeight="1">
      <c r="A61715" s="7"/>
      <c r="B61715" s="7"/>
    </row>
    <row r="61716" ht="15.75" customHeight="1">
      <c r="A61716" s="7"/>
      <c r="B61716" s="7"/>
    </row>
    <row r="61717" ht="15.75" customHeight="1">
      <c r="A61717" s="7"/>
      <c r="B61717" s="7"/>
    </row>
    <row r="61718" ht="15.75" customHeight="1">
      <c r="A61718" s="7"/>
      <c r="B61718" s="7"/>
    </row>
    <row r="61719" ht="15.75" customHeight="1">
      <c r="A61719" s="7"/>
      <c r="B61719" s="7"/>
    </row>
    <row r="61720" ht="15.75" customHeight="1">
      <c r="A61720" s="7"/>
      <c r="B61720" s="7"/>
    </row>
    <row r="61721" ht="15.75" customHeight="1">
      <c r="A61721" s="7"/>
      <c r="B61721" s="7"/>
    </row>
    <row r="61722" ht="15.75" customHeight="1">
      <c r="A61722" s="7"/>
      <c r="B61722" s="7"/>
    </row>
    <row r="61723" ht="15.75" customHeight="1">
      <c r="A61723" s="7"/>
      <c r="B61723" s="7"/>
    </row>
    <row r="61724" ht="15.75" customHeight="1">
      <c r="A61724" s="7"/>
      <c r="B61724" s="7"/>
    </row>
    <row r="61725" ht="15.75" customHeight="1">
      <c r="A61725" s="7"/>
      <c r="B61725" s="7"/>
    </row>
    <row r="61726" ht="15.75" customHeight="1">
      <c r="A61726" s="7"/>
      <c r="B61726" s="7"/>
    </row>
    <row r="61727" ht="15.75" customHeight="1">
      <c r="A61727" s="7"/>
      <c r="B61727" s="7"/>
    </row>
    <row r="61728" ht="15.75" customHeight="1">
      <c r="A61728" s="7"/>
      <c r="B61728" s="7"/>
    </row>
    <row r="61729" ht="15.75" customHeight="1">
      <c r="A61729" s="7"/>
      <c r="B61729" s="7"/>
    </row>
    <row r="61730" ht="15.75" customHeight="1">
      <c r="A61730" s="7"/>
      <c r="B61730" s="7"/>
    </row>
    <row r="61731" ht="15.75" customHeight="1">
      <c r="A61731" s="7"/>
      <c r="B61731" s="7"/>
    </row>
    <row r="61732" ht="15.75" customHeight="1">
      <c r="A61732" s="7"/>
      <c r="B61732" s="7"/>
    </row>
    <row r="61733" ht="15.75" customHeight="1">
      <c r="A61733" s="7"/>
      <c r="B61733" s="7"/>
    </row>
    <row r="61734" ht="15.75" customHeight="1">
      <c r="A61734" s="7"/>
      <c r="B61734" s="7"/>
    </row>
    <row r="61735" ht="15.75" customHeight="1">
      <c r="A61735" s="7"/>
      <c r="B61735" s="7"/>
    </row>
    <row r="61736" ht="15.75" customHeight="1">
      <c r="A61736" s="7"/>
      <c r="B61736" s="7"/>
    </row>
    <row r="61737" ht="15.75" customHeight="1">
      <c r="A61737" s="7"/>
      <c r="B61737" s="7"/>
    </row>
    <row r="61738" ht="15.75" customHeight="1">
      <c r="A61738" s="7"/>
      <c r="B61738" s="7"/>
    </row>
    <row r="61739" ht="15.75" customHeight="1">
      <c r="A61739" s="7"/>
      <c r="B61739" s="7"/>
    </row>
    <row r="61740" ht="15.75" customHeight="1">
      <c r="A61740" s="7"/>
      <c r="B61740" s="7"/>
    </row>
    <row r="61741" ht="15.75" customHeight="1">
      <c r="A61741" s="7"/>
      <c r="B61741" s="7"/>
    </row>
    <row r="61742" ht="15.75" customHeight="1">
      <c r="A61742" s="7"/>
      <c r="B61742" s="7"/>
    </row>
    <row r="61743" ht="15.75" customHeight="1">
      <c r="A61743" s="7"/>
      <c r="B61743" s="7"/>
    </row>
    <row r="61744" ht="15.75" customHeight="1">
      <c r="A61744" s="7"/>
      <c r="B61744" s="7"/>
    </row>
    <row r="61745" ht="15.75" customHeight="1">
      <c r="A61745" s="7"/>
      <c r="B61745" s="7"/>
    </row>
    <row r="61746" ht="15.75" customHeight="1">
      <c r="A61746" s="7"/>
      <c r="B61746" s="7"/>
    </row>
    <row r="61747" ht="15.75" customHeight="1">
      <c r="A61747" s="7"/>
      <c r="B61747" s="7"/>
    </row>
    <row r="61748" ht="15.75" customHeight="1">
      <c r="A61748" s="7"/>
      <c r="B61748" s="7"/>
    </row>
    <row r="61749" ht="15.75" customHeight="1">
      <c r="A61749" s="7"/>
      <c r="B61749" s="7"/>
    </row>
    <row r="61750" ht="15.75" customHeight="1">
      <c r="A61750" s="7"/>
      <c r="B61750" s="7"/>
    </row>
    <row r="61751" ht="15.75" customHeight="1">
      <c r="A61751" s="7"/>
      <c r="B61751" s="7"/>
    </row>
    <row r="61752" ht="15.75" customHeight="1">
      <c r="A61752" s="7"/>
      <c r="B61752" s="7"/>
    </row>
    <row r="61753" ht="15.75" customHeight="1">
      <c r="A61753" s="7"/>
      <c r="B61753" s="7"/>
    </row>
    <row r="61754" ht="15.75" customHeight="1">
      <c r="A61754" s="7"/>
      <c r="B61754" s="7"/>
    </row>
    <row r="61755" ht="15.75" customHeight="1">
      <c r="A61755" s="7"/>
      <c r="B61755" s="7"/>
    </row>
    <row r="61756" ht="15.75" customHeight="1">
      <c r="A61756" s="7"/>
      <c r="B61756" s="7"/>
    </row>
    <row r="61757" ht="15.75" customHeight="1">
      <c r="A61757" s="7"/>
      <c r="B61757" s="7"/>
    </row>
    <row r="61758" ht="15.75" customHeight="1">
      <c r="A61758" s="7"/>
      <c r="B61758" s="7"/>
    </row>
    <row r="61759" ht="15.75" customHeight="1">
      <c r="A61759" s="7"/>
      <c r="B61759" s="7"/>
    </row>
    <row r="61760" ht="15.75" customHeight="1">
      <c r="A61760" s="7"/>
      <c r="B61760" s="7"/>
    </row>
    <row r="61761" ht="15.75" customHeight="1">
      <c r="A61761" s="7"/>
      <c r="B61761" s="7"/>
    </row>
    <row r="61762" ht="15.75" customHeight="1">
      <c r="A61762" s="7"/>
      <c r="B61762" s="7"/>
    </row>
    <row r="61763" ht="15.75" customHeight="1">
      <c r="A61763" s="7"/>
      <c r="B61763" s="7"/>
    </row>
    <row r="61764" ht="15.75" customHeight="1">
      <c r="A61764" s="7"/>
      <c r="B61764" s="7"/>
    </row>
    <row r="61765" ht="15.75" customHeight="1">
      <c r="A61765" s="7"/>
      <c r="B61765" s="7"/>
    </row>
    <row r="61766" ht="15.75" customHeight="1">
      <c r="A61766" s="7"/>
      <c r="B61766" s="7"/>
    </row>
    <row r="61767" ht="15.75" customHeight="1">
      <c r="A61767" s="7"/>
      <c r="B61767" s="7"/>
    </row>
    <row r="61768" ht="15.75" customHeight="1">
      <c r="A61768" s="7"/>
      <c r="B61768" s="7"/>
    </row>
    <row r="61769" ht="15.75" customHeight="1">
      <c r="A61769" s="7"/>
      <c r="B61769" s="7"/>
    </row>
    <row r="61770" ht="15.75" customHeight="1">
      <c r="A61770" s="7"/>
      <c r="B61770" s="7"/>
    </row>
    <row r="61771" ht="15.75" customHeight="1">
      <c r="A61771" s="7"/>
      <c r="B61771" s="7"/>
    </row>
    <row r="61772" ht="15.75" customHeight="1">
      <c r="A61772" s="7"/>
      <c r="B61772" s="7"/>
    </row>
    <row r="61773" ht="15.75" customHeight="1">
      <c r="A61773" s="7"/>
      <c r="B61773" s="7"/>
    </row>
    <row r="61774" ht="15.75" customHeight="1">
      <c r="A61774" s="7"/>
      <c r="B61774" s="7"/>
    </row>
    <row r="61775" ht="15.75" customHeight="1">
      <c r="A61775" s="7"/>
      <c r="B61775" s="7"/>
    </row>
    <row r="61776" ht="15.75" customHeight="1">
      <c r="A61776" s="7"/>
      <c r="B61776" s="7"/>
    </row>
    <row r="61777" ht="15.75" customHeight="1">
      <c r="A61777" s="7"/>
      <c r="B61777" s="7"/>
    </row>
    <row r="61778" ht="15.75" customHeight="1">
      <c r="A61778" s="7"/>
      <c r="B61778" s="7"/>
    </row>
    <row r="61779" ht="15.75" customHeight="1">
      <c r="A61779" s="7"/>
      <c r="B61779" s="7"/>
    </row>
    <row r="61780" ht="15.75" customHeight="1">
      <c r="A61780" s="7"/>
      <c r="B61780" s="7"/>
    </row>
    <row r="61781" ht="15.75" customHeight="1">
      <c r="A61781" s="7"/>
      <c r="B61781" s="7"/>
    </row>
    <row r="61782" ht="15.75" customHeight="1">
      <c r="A61782" s="7"/>
      <c r="B61782" s="7"/>
    </row>
    <row r="61783" ht="15.75" customHeight="1">
      <c r="A61783" s="7"/>
      <c r="B61783" s="7"/>
    </row>
    <row r="61784" ht="15.75" customHeight="1">
      <c r="A61784" s="7"/>
      <c r="B61784" s="7"/>
    </row>
    <row r="61785" ht="15.75" customHeight="1">
      <c r="A61785" s="7"/>
      <c r="B61785" s="7"/>
    </row>
    <row r="61786" ht="15.75" customHeight="1">
      <c r="A61786" s="7"/>
      <c r="B61786" s="7"/>
    </row>
    <row r="61787" ht="15.75" customHeight="1">
      <c r="A61787" s="7"/>
      <c r="B61787" s="7"/>
    </row>
    <row r="61788" ht="15.75" customHeight="1">
      <c r="A61788" s="7"/>
      <c r="B61788" s="7"/>
    </row>
    <row r="61789" ht="15.75" customHeight="1">
      <c r="A61789" s="7"/>
      <c r="B61789" s="7"/>
    </row>
    <row r="61790" ht="15.75" customHeight="1">
      <c r="A61790" s="7"/>
      <c r="B61790" s="7"/>
    </row>
    <row r="61791" ht="15.75" customHeight="1">
      <c r="A61791" s="7"/>
      <c r="B61791" s="7"/>
    </row>
    <row r="61792" ht="15.75" customHeight="1">
      <c r="A61792" s="7"/>
      <c r="B61792" s="7"/>
    </row>
    <row r="61793" ht="15.75" customHeight="1">
      <c r="A61793" s="7"/>
      <c r="B61793" s="7"/>
    </row>
    <row r="61794" ht="15.75" customHeight="1">
      <c r="A61794" s="7"/>
      <c r="B61794" s="7"/>
    </row>
    <row r="61795" ht="15.75" customHeight="1">
      <c r="A61795" s="7"/>
      <c r="B61795" s="7"/>
    </row>
    <row r="61796" ht="15.75" customHeight="1">
      <c r="A61796" s="7"/>
      <c r="B61796" s="7"/>
    </row>
    <row r="61797" ht="15.75" customHeight="1">
      <c r="A61797" s="7"/>
      <c r="B61797" s="7"/>
    </row>
    <row r="61798" ht="15.75" customHeight="1">
      <c r="A61798" s="7"/>
      <c r="B61798" s="7"/>
    </row>
    <row r="61799" ht="15.75" customHeight="1">
      <c r="A61799" s="7"/>
      <c r="B61799" s="7"/>
    </row>
    <row r="61800" ht="15.75" customHeight="1">
      <c r="A61800" s="7"/>
      <c r="B61800" s="7"/>
    </row>
    <row r="61801" ht="15.75" customHeight="1">
      <c r="A61801" s="7"/>
      <c r="B61801" s="7"/>
    </row>
    <row r="61802" ht="15.75" customHeight="1">
      <c r="A61802" s="7"/>
      <c r="B61802" s="7"/>
    </row>
    <row r="61803" ht="15.75" customHeight="1">
      <c r="A61803" s="7"/>
      <c r="B61803" s="7"/>
    </row>
    <row r="61804" ht="15.75" customHeight="1">
      <c r="A61804" s="7"/>
      <c r="B61804" s="7"/>
    </row>
    <row r="61805" ht="15.75" customHeight="1">
      <c r="A61805" s="7"/>
      <c r="B61805" s="7"/>
    </row>
    <row r="61806" ht="15.75" customHeight="1">
      <c r="A61806" s="7"/>
      <c r="B61806" s="7"/>
    </row>
    <row r="61807" ht="15.75" customHeight="1">
      <c r="A61807" s="7"/>
      <c r="B61807" s="7"/>
    </row>
    <row r="61808" ht="15.75" customHeight="1">
      <c r="A61808" s="7"/>
      <c r="B61808" s="7"/>
    </row>
    <row r="61809" ht="15.75" customHeight="1">
      <c r="A61809" s="7"/>
      <c r="B61809" s="7"/>
    </row>
    <row r="61810" ht="15.75" customHeight="1">
      <c r="A61810" s="7"/>
      <c r="B61810" s="7"/>
    </row>
    <row r="61811" ht="15.75" customHeight="1">
      <c r="A61811" s="7"/>
      <c r="B61811" s="7"/>
    </row>
    <row r="61812" ht="15.75" customHeight="1">
      <c r="A61812" s="7"/>
      <c r="B61812" s="7"/>
    </row>
    <row r="61813" ht="15.75" customHeight="1">
      <c r="A61813" s="7"/>
      <c r="B61813" s="7"/>
    </row>
    <row r="61814" ht="15.75" customHeight="1">
      <c r="A61814" s="7"/>
      <c r="B61814" s="7"/>
    </row>
    <row r="61815" ht="15.75" customHeight="1">
      <c r="A61815" s="7"/>
      <c r="B61815" s="7"/>
    </row>
    <row r="61816" ht="15.75" customHeight="1">
      <c r="A61816" s="7"/>
      <c r="B61816" s="7"/>
    </row>
    <row r="61817" ht="15.75" customHeight="1">
      <c r="A61817" s="7"/>
      <c r="B61817" s="7"/>
    </row>
    <row r="61818" ht="15.75" customHeight="1">
      <c r="A61818" s="7"/>
      <c r="B61818" s="7"/>
    </row>
    <row r="61819" ht="15.75" customHeight="1">
      <c r="A61819" s="7"/>
      <c r="B61819" s="7"/>
    </row>
    <row r="61820" ht="15.75" customHeight="1">
      <c r="A61820" s="7"/>
      <c r="B61820" s="7"/>
    </row>
    <row r="61821" ht="15.75" customHeight="1">
      <c r="A61821" s="7"/>
      <c r="B61821" s="7"/>
    </row>
    <row r="61822" ht="15.75" customHeight="1">
      <c r="A61822" s="7"/>
      <c r="B61822" s="7"/>
    </row>
    <row r="61823" ht="15.75" customHeight="1">
      <c r="A61823" s="7"/>
      <c r="B61823" s="7"/>
    </row>
    <row r="61824" ht="15.75" customHeight="1">
      <c r="A61824" s="7"/>
      <c r="B61824" s="7"/>
    </row>
    <row r="61825" ht="15.75" customHeight="1">
      <c r="A61825" s="7"/>
      <c r="B61825" s="7"/>
    </row>
    <row r="61826" ht="15.75" customHeight="1">
      <c r="A61826" s="7"/>
      <c r="B61826" s="7"/>
    </row>
    <row r="61827" ht="15.75" customHeight="1">
      <c r="A61827" s="7"/>
      <c r="B61827" s="7"/>
    </row>
    <row r="61828" ht="15.75" customHeight="1">
      <c r="A61828" s="7"/>
      <c r="B61828" s="7"/>
    </row>
    <row r="61829" ht="15.75" customHeight="1">
      <c r="A61829" s="7"/>
      <c r="B61829" s="7"/>
    </row>
    <row r="61830" ht="15.75" customHeight="1">
      <c r="A61830" s="7"/>
      <c r="B61830" s="7"/>
    </row>
    <row r="61831" ht="15.75" customHeight="1">
      <c r="A61831" s="7"/>
      <c r="B61831" s="7"/>
    </row>
    <row r="61832" ht="15.75" customHeight="1">
      <c r="A61832" s="7"/>
      <c r="B61832" s="7"/>
    </row>
    <row r="61833" ht="15.75" customHeight="1">
      <c r="A61833" s="7"/>
      <c r="B61833" s="7"/>
    </row>
    <row r="61834" ht="15.75" customHeight="1">
      <c r="A61834" s="7"/>
      <c r="B61834" s="7"/>
    </row>
    <row r="61835" ht="15.75" customHeight="1">
      <c r="A61835" s="7"/>
      <c r="B61835" s="7"/>
    </row>
    <row r="61836" ht="15.75" customHeight="1">
      <c r="A61836" s="7"/>
      <c r="B61836" s="7"/>
    </row>
    <row r="61837" ht="15.75" customHeight="1">
      <c r="A61837" s="7"/>
      <c r="B61837" s="7"/>
    </row>
    <row r="61838" ht="15.75" customHeight="1">
      <c r="A61838" s="7"/>
      <c r="B61838" s="7"/>
    </row>
    <row r="61839" ht="15.75" customHeight="1">
      <c r="A61839" s="7"/>
      <c r="B61839" s="7"/>
    </row>
    <row r="61840" ht="15.75" customHeight="1">
      <c r="A61840" s="7"/>
      <c r="B61840" s="7"/>
    </row>
    <row r="61841" ht="15.75" customHeight="1">
      <c r="A61841" s="7"/>
      <c r="B61841" s="7"/>
    </row>
    <row r="61842" ht="15.75" customHeight="1">
      <c r="A61842" s="7"/>
      <c r="B61842" s="7"/>
    </row>
    <row r="61843" ht="15.75" customHeight="1">
      <c r="A61843" s="7"/>
      <c r="B61843" s="7"/>
    </row>
    <row r="61844" ht="15.75" customHeight="1">
      <c r="A61844" s="7"/>
      <c r="B61844" s="7"/>
    </row>
    <row r="61845" ht="15.75" customHeight="1">
      <c r="A61845" s="7"/>
      <c r="B61845" s="7"/>
    </row>
    <row r="61846" ht="15.75" customHeight="1">
      <c r="A61846" s="7"/>
      <c r="B61846" s="7"/>
    </row>
    <row r="61847" ht="15.75" customHeight="1">
      <c r="A61847" s="7"/>
      <c r="B61847" s="7"/>
    </row>
    <row r="61848" ht="15.75" customHeight="1">
      <c r="A61848" s="7"/>
      <c r="B61848" s="7"/>
    </row>
    <row r="61849" ht="15.75" customHeight="1">
      <c r="A61849" s="7"/>
      <c r="B61849" s="7"/>
    </row>
    <row r="61850" ht="15.75" customHeight="1">
      <c r="A61850" s="7"/>
      <c r="B61850" s="7"/>
    </row>
    <row r="61851" ht="15.75" customHeight="1">
      <c r="A61851" s="7"/>
      <c r="B61851" s="7"/>
    </row>
    <row r="61852" ht="15.75" customHeight="1">
      <c r="A61852" s="7"/>
      <c r="B61852" s="7"/>
    </row>
    <row r="61853" ht="15.75" customHeight="1">
      <c r="A61853" s="7"/>
      <c r="B61853" s="7"/>
    </row>
    <row r="61854" ht="15.75" customHeight="1">
      <c r="A61854" s="7"/>
      <c r="B61854" s="7"/>
    </row>
    <row r="61855" ht="15.75" customHeight="1">
      <c r="A61855" s="7"/>
      <c r="B61855" s="7"/>
    </row>
    <row r="61856" ht="15.75" customHeight="1">
      <c r="A61856" s="7"/>
      <c r="B61856" s="7"/>
    </row>
    <row r="61857" ht="15.75" customHeight="1">
      <c r="A61857" s="7"/>
      <c r="B61857" s="7"/>
    </row>
    <row r="61858" ht="15.75" customHeight="1">
      <c r="A61858" s="7"/>
      <c r="B61858" s="7"/>
    </row>
    <row r="61859" ht="15.75" customHeight="1">
      <c r="A61859" s="7"/>
      <c r="B61859" s="7"/>
    </row>
    <row r="61860" ht="15.75" customHeight="1">
      <c r="A61860" s="7"/>
      <c r="B61860" s="7"/>
    </row>
    <row r="61861" ht="15.75" customHeight="1">
      <c r="A61861" s="7"/>
      <c r="B61861" s="7"/>
    </row>
    <row r="61862" ht="15.75" customHeight="1">
      <c r="A61862" s="7"/>
      <c r="B61862" s="7"/>
    </row>
    <row r="61863" ht="15.75" customHeight="1">
      <c r="A61863" s="7"/>
      <c r="B61863" s="7"/>
    </row>
    <row r="61864" ht="15.75" customHeight="1">
      <c r="A61864" s="7"/>
      <c r="B61864" s="7"/>
    </row>
    <row r="61865" ht="15.75" customHeight="1">
      <c r="A61865" s="7"/>
      <c r="B61865" s="7"/>
    </row>
    <row r="61866" ht="15.75" customHeight="1">
      <c r="A61866" s="7"/>
      <c r="B61866" s="7"/>
    </row>
    <row r="61867" ht="15.75" customHeight="1">
      <c r="A61867" s="7"/>
      <c r="B61867" s="7"/>
    </row>
    <row r="61868" ht="15.75" customHeight="1">
      <c r="A61868" s="7"/>
      <c r="B61868" s="7"/>
    </row>
    <row r="61869" ht="15.75" customHeight="1">
      <c r="A61869" s="7"/>
      <c r="B61869" s="7"/>
    </row>
    <row r="61870" ht="15.75" customHeight="1">
      <c r="A61870" s="7"/>
      <c r="B61870" s="7"/>
    </row>
    <row r="61871" ht="15.75" customHeight="1">
      <c r="A61871" s="7"/>
      <c r="B61871" s="7"/>
    </row>
    <row r="61872" ht="15.75" customHeight="1">
      <c r="A61872" s="7"/>
      <c r="B61872" s="7"/>
    </row>
    <row r="61873" ht="15.75" customHeight="1">
      <c r="A61873" s="7"/>
      <c r="B61873" s="7"/>
    </row>
    <row r="61874" ht="15.75" customHeight="1">
      <c r="A61874" s="7"/>
      <c r="B61874" s="7"/>
    </row>
    <row r="61875" ht="15.75" customHeight="1">
      <c r="A61875" s="7"/>
      <c r="B61875" s="7"/>
    </row>
    <row r="61876" ht="15.75" customHeight="1">
      <c r="A61876" s="7"/>
      <c r="B61876" s="7"/>
    </row>
    <row r="61877" ht="15.75" customHeight="1">
      <c r="A61877" s="7"/>
      <c r="B61877" s="7"/>
    </row>
    <row r="61878" ht="15.75" customHeight="1">
      <c r="A61878" s="7"/>
      <c r="B61878" s="7"/>
    </row>
    <row r="61879" ht="15.75" customHeight="1">
      <c r="A61879" s="7"/>
      <c r="B61879" s="7"/>
    </row>
    <row r="61880" ht="15.75" customHeight="1">
      <c r="A61880" s="7"/>
      <c r="B61880" s="7"/>
    </row>
    <row r="61881" ht="15.75" customHeight="1">
      <c r="A61881" s="7"/>
      <c r="B61881" s="7"/>
    </row>
    <row r="61882" ht="15.75" customHeight="1">
      <c r="A61882" s="7"/>
      <c r="B61882" s="7"/>
    </row>
    <row r="61883" ht="15.75" customHeight="1">
      <c r="A61883" s="7"/>
      <c r="B61883" s="7"/>
    </row>
    <row r="61884" ht="15.75" customHeight="1">
      <c r="A61884" s="7"/>
      <c r="B61884" s="7"/>
    </row>
    <row r="61885" ht="15.75" customHeight="1">
      <c r="A61885" s="7"/>
      <c r="B61885" s="7"/>
    </row>
    <row r="61886" ht="15.75" customHeight="1">
      <c r="A61886" s="7"/>
      <c r="B61886" s="7"/>
    </row>
    <row r="61887" ht="15.75" customHeight="1">
      <c r="A61887" s="7"/>
      <c r="B61887" s="7"/>
    </row>
    <row r="61888" ht="15.75" customHeight="1">
      <c r="A61888" s="7"/>
      <c r="B61888" s="7"/>
    </row>
    <row r="61889" ht="15.75" customHeight="1">
      <c r="A61889" s="7"/>
      <c r="B61889" s="7"/>
    </row>
    <row r="61890" ht="15.75" customHeight="1">
      <c r="A61890" s="7"/>
      <c r="B61890" s="7"/>
    </row>
    <row r="61891" ht="15.75" customHeight="1">
      <c r="A61891" s="7"/>
      <c r="B61891" s="7"/>
    </row>
    <row r="61892" ht="15.75" customHeight="1">
      <c r="A61892" s="7"/>
      <c r="B61892" s="7"/>
    </row>
    <row r="61893" ht="15.75" customHeight="1">
      <c r="A61893" s="7"/>
      <c r="B61893" s="7"/>
    </row>
    <row r="61894" ht="15.75" customHeight="1">
      <c r="A61894" s="7"/>
      <c r="B61894" s="7"/>
    </row>
    <row r="61895" ht="15.75" customHeight="1">
      <c r="A61895" s="7"/>
      <c r="B61895" s="7"/>
    </row>
    <row r="61896" ht="15.75" customHeight="1">
      <c r="A61896" s="7"/>
      <c r="B61896" s="7"/>
    </row>
    <row r="61897" ht="15.75" customHeight="1">
      <c r="A61897" s="7"/>
      <c r="B61897" s="7"/>
    </row>
    <row r="61898" ht="15.75" customHeight="1">
      <c r="A61898" s="7"/>
      <c r="B61898" s="7"/>
    </row>
    <row r="61899" ht="15.75" customHeight="1">
      <c r="A61899" s="7"/>
      <c r="B61899" s="7"/>
    </row>
    <row r="61900" ht="15.75" customHeight="1">
      <c r="A61900" s="7"/>
      <c r="B61900" s="7"/>
    </row>
    <row r="61901" ht="15.75" customHeight="1">
      <c r="A61901" s="7"/>
      <c r="B61901" s="7"/>
    </row>
    <row r="61902" ht="15.75" customHeight="1">
      <c r="A61902" s="7"/>
      <c r="B61902" s="7"/>
    </row>
    <row r="61903" ht="15.75" customHeight="1">
      <c r="A61903" s="7"/>
      <c r="B61903" s="7"/>
    </row>
    <row r="61904" ht="15.75" customHeight="1">
      <c r="A61904" s="7"/>
      <c r="B61904" s="7"/>
    </row>
    <row r="61905" ht="15.75" customHeight="1">
      <c r="A61905" s="7"/>
      <c r="B61905" s="7"/>
    </row>
    <row r="61906" ht="15.75" customHeight="1">
      <c r="A61906" s="7"/>
      <c r="B61906" s="7"/>
    </row>
    <row r="61907" ht="15.75" customHeight="1">
      <c r="A61907" s="7"/>
      <c r="B61907" s="7"/>
    </row>
    <row r="61908" ht="15.75" customHeight="1">
      <c r="A61908" s="7"/>
      <c r="B61908" s="7"/>
    </row>
    <row r="61909" ht="15.75" customHeight="1">
      <c r="A61909" s="7"/>
      <c r="B61909" s="7"/>
    </row>
    <row r="61910" ht="15.75" customHeight="1">
      <c r="A61910" s="7"/>
      <c r="B61910" s="7"/>
    </row>
    <row r="61911" ht="15.75" customHeight="1">
      <c r="A61911" s="7"/>
      <c r="B61911" s="7"/>
    </row>
    <row r="61912" ht="15.75" customHeight="1">
      <c r="A61912" s="7"/>
      <c r="B61912" s="7"/>
    </row>
    <row r="61913" ht="15.75" customHeight="1">
      <c r="A61913" s="7"/>
      <c r="B61913" s="7"/>
    </row>
    <row r="61914" ht="15.75" customHeight="1">
      <c r="A61914" s="7"/>
      <c r="B61914" s="7"/>
    </row>
    <row r="61915" ht="15.75" customHeight="1">
      <c r="A61915" s="7"/>
      <c r="B61915" s="7"/>
    </row>
    <row r="61916" ht="15.75" customHeight="1">
      <c r="A61916" s="7"/>
      <c r="B61916" s="7"/>
    </row>
    <row r="61917" ht="15.75" customHeight="1">
      <c r="A61917" s="7"/>
      <c r="B61917" s="7"/>
    </row>
    <row r="61918" ht="15.75" customHeight="1">
      <c r="A61918" s="7"/>
      <c r="B61918" s="7"/>
    </row>
    <row r="61919" ht="15.75" customHeight="1">
      <c r="A61919" s="7"/>
      <c r="B61919" s="7"/>
    </row>
    <row r="61920" ht="15.75" customHeight="1">
      <c r="A61920" s="7"/>
      <c r="B61920" s="7"/>
    </row>
    <row r="61921" ht="15.75" customHeight="1">
      <c r="A61921" s="7"/>
      <c r="B61921" s="7"/>
    </row>
    <row r="61922" ht="15.75" customHeight="1">
      <c r="A61922" s="7"/>
      <c r="B61922" s="7"/>
    </row>
    <row r="61923" ht="15.75" customHeight="1">
      <c r="A61923" s="7"/>
      <c r="B61923" s="7"/>
    </row>
    <row r="61924" ht="15.75" customHeight="1">
      <c r="A61924" s="7"/>
      <c r="B61924" s="7"/>
    </row>
    <row r="61925" ht="15.75" customHeight="1">
      <c r="A61925" s="7"/>
      <c r="B61925" s="7"/>
    </row>
    <row r="61926" ht="15.75" customHeight="1">
      <c r="A61926" s="7"/>
      <c r="B61926" s="7"/>
    </row>
    <row r="61927" ht="15.75" customHeight="1">
      <c r="A61927" s="7"/>
      <c r="B61927" s="7"/>
    </row>
    <row r="61928" ht="15.75" customHeight="1">
      <c r="A61928" s="7"/>
      <c r="B61928" s="7"/>
    </row>
    <row r="61929" ht="15.75" customHeight="1">
      <c r="A61929" s="7"/>
      <c r="B61929" s="7"/>
    </row>
    <row r="61930" ht="15.75" customHeight="1">
      <c r="A61930" s="7"/>
      <c r="B61930" s="7"/>
    </row>
    <row r="61931" ht="15.75" customHeight="1">
      <c r="A61931" s="7"/>
      <c r="B61931" s="7"/>
    </row>
    <row r="61932" ht="15.75" customHeight="1">
      <c r="A61932" s="7"/>
      <c r="B61932" s="7"/>
    </row>
    <row r="61933" ht="15.75" customHeight="1">
      <c r="A61933" s="7"/>
      <c r="B61933" s="7"/>
    </row>
    <row r="61934" ht="15.75" customHeight="1">
      <c r="A61934" s="7"/>
      <c r="B61934" s="7"/>
    </row>
    <row r="61935" ht="15.75" customHeight="1">
      <c r="A61935" s="7"/>
      <c r="B61935" s="7"/>
    </row>
    <row r="61936" ht="15.75" customHeight="1">
      <c r="A61936" s="7"/>
      <c r="B61936" s="7"/>
    </row>
    <row r="61937" ht="15.75" customHeight="1">
      <c r="A61937" s="7"/>
      <c r="B61937" s="7"/>
    </row>
    <row r="61938" ht="15.75" customHeight="1">
      <c r="A61938" s="7"/>
      <c r="B61938" s="7"/>
    </row>
    <row r="61939" ht="15.75" customHeight="1">
      <c r="A61939" s="7"/>
      <c r="B61939" s="7"/>
    </row>
    <row r="61940" ht="15.75" customHeight="1">
      <c r="A61940" s="7"/>
      <c r="B61940" s="7"/>
    </row>
    <row r="61941" ht="15.75" customHeight="1">
      <c r="A61941" s="7"/>
      <c r="B61941" s="7"/>
    </row>
    <row r="61942" ht="15.75" customHeight="1">
      <c r="A61942" s="7"/>
      <c r="B61942" s="7"/>
    </row>
    <row r="61943" ht="15.75" customHeight="1">
      <c r="A61943" s="7"/>
      <c r="B61943" s="7"/>
    </row>
    <row r="61944" ht="15.75" customHeight="1">
      <c r="A61944" s="7"/>
      <c r="B61944" s="7"/>
    </row>
    <row r="61945" ht="15.75" customHeight="1">
      <c r="A61945" s="7"/>
      <c r="B61945" s="7"/>
    </row>
    <row r="61946" ht="15.75" customHeight="1">
      <c r="A61946" s="7"/>
      <c r="B61946" s="7"/>
    </row>
    <row r="61947" ht="15.75" customHeight="1">
      <c r="A61947" s="7"/>
      <c r="B61947" s="7"/>
    </row>
    <row r="61948" ht="15.75" customHeight="1">
      <c r="A61948" s="7"/>
      <c r="B61948" s="7"/>
    </row>
    <row r="61949" ht="15.75" customHeight="1">
      <c r="A61949" s="7"/>
      <c r="B61949" s="7"/>
    </row>
    <row r="61950" ht="15.75" customHeight="1">
      <c r="A61950" s="7"/>
      <c r="B61950" s="7"/>
    </row>
    <row r="61951" ht="15.75" customHeight="1">
      <c r="A61951" s="7"/>
      <c r="B61951" s="7"/>
    </row>
    <row r="61952" ht="15.75" customHeight="1">
      <c r="A61952" s="7"/>
      <c r="B61952" s="7"/>
    </row>
    <row r="61953" ht="15.75" customHeight="1">
      <c r="A61953" s="7"/>
      <c r="B61953" s="7"/>
    </row>
    <row r="61954" ht="15.75" customHeight="1">
      <c r="A61954" s="7"/>
      <c r="B61954" s="7"/>
    </row>
    <row r="61955" ht="15.75" customHeight="1">
      <c r="A61955" s="7"/>
      <c r="B61955" s="7"/>
    </row>
    <row r="61956" ht="15.75" customHeight="1">
      <c r="A61956" s="7"/>
      <c r="B61956" s="7"/>
    </row>
    <row r="61957" ht="15.75" customHeight="1">
      <c r="A61957" s="7"/>
      <c r="B61957" s="7"/>
    </row>
    <row r="61958" ht="15.75" customHeight="1">
      <c r="A61958" s="7"/>
      <c r="B61958" s="7"/>
    </row>
    <row r="61959" ht="15.75" customHeight="1">
      <c r="A61959" s="7"/>
      <c r="B61959" s="7"/>
    </row>
    <row r="61960" ht="15.75" customHeight="1">
      <c r="A61960" s="7"/>
      <c r="B61960" s="7"/>
    </row>
    <row r="61961" ht="15.75" customHeight="1">
      <c r="A61961" s="7"/>
      <c r="B61961" s="7"/>
    </row>
    <row r="61962" ht="15.75" customHeight="1">
      <c r="A61962" s="7"/>
      <c r="B61962" s="7"/>
    </row>
    <row r="61963" ht="15.75" customHeight="1">
      <c r="A61963" s="7"/>
      <c r="B61963" s="7"/>
    </row>
    <row r="61964" ht="15.75" customHeight="1">
      <c r="A61964" s="7"/>
      <c r="B61964" s="7"/>
    </row>
    <row r="61965" ht="15.75" customHeight="1">
      <c r="A61965" s="7"/>
      <c r="B61965" s="7"/>
    </row>
    <row r="61966" ht="15.75" customHeight="1">
      <c r="A61966" s="7"/>
      <c r="B61966" s="7"/>
    </row>
    <row r="61967" ht="15.75" customHeight="1">
      <c r="A61967" s="7"/>
      <c r="B61967" s="7"/>
    </row>
    <row r="61968" ht="15.75" customHeight="1">
      <c r="A61968" s="7"/>
      <c r="B61968" s="7"/>
    </row>
    <row r="61969" ht="15.75" customHeight="1">
      <c r="A61969" s="7"/>
      <c r="B61969" s="7"/>
    </row>
    <row r="61970" ht="15.75" customHeight="1">
      <c r="A61970" s="7"/>
      <c r="B61970" s="7"/>
    </row>
    <row r="61971" ht="15.75" customHeight="1">
      <c r="A61971" s="7"/>
      <c r="B61971" s="7"/>
    </row>
    <row r="61972" ht="15.75" customHeight="1">
      <c r="A61972" s="7"/>
      <c r="B61972" s="7"/>
    </row>
    <row r="61973" ht="15.75" customHeight="1">
      <c r="A61973" s="7"/>
      <c r="B61973" s="7"/>
    </row>
    <row r="61974" ht="15.75" customHeight="1">
      <c r="A61974" s="7"/>
      <c r="B61974" s="7"/>
    </row>
    <row r="61975" ht="15.75" customHeight="1">
      <c r="A61975" s="7"/>
      <c r="B61975" s="7"/>
    </row>
    <row r="61976" ht="15.75" customHeight="1">
      <c r="A61976" s="7"/>
      <c r="B61976" s="7"/>
    </row>
    <row r="61977" ht="15.75" customHeight="1">
      <c r="A61977" s="7"/>
      <c r="B61977" s="7"/>
    </row>
    <row r="61978" ht="15.75" customHeight="1">
      <c r="A61978" s="7"/>
      <c r="B61978" s="7"/>
    </row>
    <row r="61979" ht="15.75" customHeight="1">
      <c r="A61979" s="7"/>
      <c r="B61979" s="7"/>
    </row>
    <row r="61980" ht="15.75" customHeight="1">
      <c r="A61980" s="7"/>
      <c r="B61980" s="7"/>
    </row>
    <row r="61981" ht="15.75" customHeight="1">
      <c r="A61981" s="7"/>
      <c r="B61981" s="7"/>
    </row>
    <row r="61982" ht="15.75" customHeight="1">
      <c r="A61982" s="7"/>
      <c r="B61982" s="7"/>
    </row>
    <row r="61983" ht="15.75" customHeight="1">
      <c r="A61983" s="7"/>
      <c r="B61983" s="7"/>
    </row>
    <row r="61984" ht="15.75" customHeight="1">
      <c r="A61984" s="7"/>
      <c r="B61984" s="7"/>
    </row>
    <row r="61985" ht="15.75" customHeight="1">
      <c r="A61985" s="7"/>
      <c r="B61985" s="7"/>
    </row>
    <row r="61986" ht="15.75" customHeight="1">
      <c r="A61986" s="7"/>
      <c r="B61986" s="7"/>
    </row>
    <row r="61987" ht="15.75" customHeight="1">
      <c r="A61987" s="7"/>
      <c r="B61987" s="7"/>
    </row>
    <row r="61988" ht="15.75" customHeight="1">
      <c r="A61988" s="7"/>
      <c r="B61988" s="7"/>
    </row>
    <row r="61989" ht="15.75" customHeight="1">
      <c r="A61989" s="7"/>
      <c r="B61989" s="7"/>
    </row>
    <row r="61990" ht="15.75" customHeight="1">
      <c r="A61990" s="7"/>
      <c r="B61990" s="7"/>
    </row>
    <row r="61991" ht="15.75" customHeight="1">
      <c r="A61991" s="7"/>
      <c r="B61991" s="7"/>
    </row>
    <row r="61992" ht="15.75" customHeight="1">
      <c r="A61992" s="7"/>
      <c r="B61992" s="7"/>
    </row>
    <row r="61993" ht="15.75" customHeight="1">
      <c r="A61993" s="7"/>
      <c r="B61993" s="7"/>
    </row>
    <row r="61994" ht="15.75" customHeight="1">
      <c r="A61994" s="7"/>
      <c r="B61994" s="7"/>
    </row>
    <row r="61995" ht="15.75" customHeight="1">
      <c r="A61995" s="7"/>
      <c r="B61995" s="7"/>
    </row>
    <row r="61996" ht="15.75" customHeight="1">
      <c r="A61996" s="7"/>
      <c r="B61996" s="7"/>
    </row>
    <row r="61997" ht="15.75" customHeight="1">
      <c r="A61997" s="7"/>
      <c r="B61997" s="7"/>
    </row>
    <row r="61998" ht="15.75" customHeight="1">
      <c r="A61998" s="7"/>
      <c r="B61998" s="7"/>
    </row>
    <row r="61999" ht="15.75" customHeight="1">
      <c r="A61999" s="7"/>
      <c r="B61999" s="7"/>
    </row>
    <row r="62000" ht="15.75" customHeight="1">
      <c r="A62000" s="7"/>
      <c r="B62000" s="7"/>
    </row>
    <row r="62001" ht="15.75" customHeight="1">
      <c r="A62001" s="7"/>
      <c r="B62001" s="7"/>
    </row>
    <row r="62002" ht="15.75" customHeight="1">
      <c r="A62002" s="7"/>
      <c r="B62002" s="7"/>
    </row>
    <row r="62003" ht="15.75" customHeight="1">
      <c r="A62003" s="7"/>
      <c r="B62003" s="7"/>
    </row>
    <row r="62004" ht="15.75" customHeight="1">
      <c r="A62004" s="7"/>
      <c r="B62004" s="7"/>
    </row>
    <row r="62005" ht="15.75" customHeight="1">
      <c r="A62005" s="7"/>
      <c r="B62005" s="7"/>
    </row>
    <row r="62006" ht="15.75" customHeight="1">
      <c r="A62006" s="7"/>
      <c r="B62006" s="7"/>
    </row>
    <row r="62007" ht="15.75" customHeight="1">
      <c r="A62007" s="7"/>
      <c r="B62007" s="7"/>
    </row>
    <row r="62008" ht="15.75" customHeight="1">
      <c r="A62008" s="7"/>
      <c r="B62008" s="7"/>
    </row>
    <row r="62009" ht="15.75" customHeight="1">
      <c r="A62009" s="7"/>
      <c r="B62009" s="7"/>
    </row>
    <row r="62010" ht="15.75" customHeight="1">
      <c r="A62010" s="7"/>
      <c r="B62010" s="7"/>
    </row>
    <row r="62011" ht="15.75" customHeight="1">
      <c r="A62011" s="7"/>
      <c r="B62011" s="7"/>
    </row>
    <row r="62012" ht="15.75" customHeight="1">
      <c r="A62012" s="7"/>
      <c r="B62012" s="7"/>
    </row>
    <row r="62013" ht="15.75" customHeight="1">
      <c r="A62013" s="7"/>
      <c r="B62013" s="7"/>
    </row>
    <row r="62014" ht="15.75" customHeight="1">
      <c r="A62014" s="7"/>
      <c r="B62014" s="7"/>
    </row>
    <row r="62015" ht="15.75" customHeight="1">
      <c r="A62015" s="7"/>
      <c r="B62015" s="7"/>
    </row>
    <row r="62016" ht="15.75" customHeight="1">
      <c r="A62016" s="7"/>
      <c r="B62016" s="7"/>
    </row>
    <row r="62017" ht="15.75" customHeight="1">
      <c r="A62017" s="7"/>
      <c r="B62017" s="7"/>
    </row>
    <row r="62018" ht="15.75" customHeight="1">
      <c r="A62018" s="7"/>
      <c r="B62018" s="7"/>
    </row>
    <row r="62019" ht="15.75" customHeight="1">
      <c r="A62019" s="7"/>
      <c r="B62019" s="7"/>
    </row>
    <row r="62020" ht="15.75" customHeight="1">
      <c r="A62020" s="7"/>
      <c r="B62020" s="7"/>
    </row>
    <row r="62021" ht="15.75" customHeight="1">
      <c r="A62021" s="7"/>
      <c r="B62021" s="7"/>
    </row>
    <row r="62022" ht="15.75" customHeight="1">
      <c r="A62022" s="7"/>
      <c r="B62022" s="7"/>
    </row>
    <row r="62023" ht="15.75" customHeight="1">
      <c r="A62023" s="7"/>
      <c r="B62023" s="7"/>
    </row>
    <row r="62024" ht="15.75" customHeight="1">
      <c r="A62024" s="7"/>
      <c r="B62024" s="7"/>
    </row>
    <row r="62025" ht="15.75" customHeight="1">
      <c r="A62025" s="7"/>
      <c r="B62025" s="7"/>
    </row>
    <row r="62026" ht="15.75" customHeight="1">
      <c r="A62026" s="7"/>
      <c r="B62026" s="7"/>
    </row>
    <row r="62027" ht="15.75" customHeight="1">
      <c r="A62027" s="7"/>
      <c r="B62027" s="7"/>
    </row>
    <row r="62028" ht="15.75" customHeight="1">
      <c r="A62028" s="7"/>
      <c r="B62028" s="7"/>
    </row>
    <row r="62029" ht="15.75" customHeight="1">
      <c r="A62029" s="7"/>
      <c r="B62029" s="7"/>
    </row>
    <row r="62030" ht="15.75" customHeight="1">
      <c r="A62030" s="7"/>
      <c r="B62030" s="7"/>
    </row>
    <row r="62031" ht="15.75" customHeight="1">
      <c r="A62031" s="7"/>
      <c r="B62031" s="7"/>
    </row>
    <row r="62032" ht="15.75" customHeight="1">
      <c r="A62032" s="7"/>
      <c r="B62032" s="7"/>
    </row>
    <row r="62033" ht="15.75" customHeight="1">
      <c r="A62033" s="7"/>
      <c r="B62033" s="7"/>
    </row>
    <row r="62034" ht="15.75" customHeight="1">
      <c r="A62034" s="7"/>
      <c r="B62034" s="7"/>
    </row>
    <row r="62035" ht="15.75" customHeight="1">
      <c r="A62035" s="7"/>
      <c r="B62035" s="7"/>
    </row>
    <row r="62036" ht="15.75" customHeight="1">
      <c r="A62036" s="7"/>
      <c r="B62036" s="7"/>
    </row>
    <row r="62037" ht="15.75" customHeight="1">
      <c r="A62037" s="7"/>
      <c r="B62037" s="7"/>
    </row>
    <row r="62038" ht="15.75" customHeight="1">
      <c r="A62038" s="7"/>
      <c r="B62038" s="7"/>
    </row>
    <row r="62039" ht="15.75" customHeight="1">
      <c r="A62039" s="7"/>
      <c r="B62039" s="7"/>
    </row>
    <row r="62040" ht="15.75" customHeight="1">
      <c r="A62040" s="7"/>
      <c r="B62040" s="7"/>
    </row>
    <row r="62041" ht="15.75" customHeight="1">
      <c r="A62041" s="7"/>
      <c r="B62041" s="7"/>
    </row>
    <row r="62042" ht="15.75" customHeight="1">
      <c r="A62042" s="7"/>
      <c r="B62042" s="7"/>
    </row>
    <row r="62043" ht="15.75" customHeight="1">
      <c r="A62043" s="7"/>
      <c r="B62043" s="7"/>
    </row>
    <row r="62044" ht="15.75" customHeight="1">
      <c r="A62044" s="7"/>
      <c r="B62044" s="7"/>
    </row>
    <row r="62045" ht="15.75" customHeight="1">
      <c r="A62045" s="7"/>
      <c r="B62045" s="7"/>
    </row>
    <row r="62046" ht="15.75" customHeight="1">
      <c r="A62046" s="7"/>
      <c r="B62046" s="7"/>
    </row>
    <row r="62047" ht="15.75" customHeight="1">
      <c r="A62047" s="7"/>
      <c r="B62047" s="7"/>
    </row>
    <row r="62048" ht="15.75" customHeight="1">
      <c r="A62048" s="7"/>
      <c r="B62048" s="7"/>
    </row>
    <row r="62049" ht="15.75" customHeight="1">
      <c r="A62049" s="7"/>
      <c r="B62049" s="7"/>
    </row>
    <row r="62050" ht="15.75" customHeight="1">
      <c r="A62050" s="7"/>
      <c r="B62050" s="7"/>
    </row>
    <row r="62051" ht="15.75" customHeight="1">
      <c r="A62051" s="7"/>
      <c r="B62051" s="7"/>
    </row>
    <row r="62052" ht="15.75" customHeight="1">
      <c r="A62052" s="7"/>
      <c r="B62052" s="7"/>
    </row>
    <row r="62053" ht="15.75" customHeight="1">
      <c r="A62053" s="7"/>
      <c r="B62053" s="7"/>
    </row>
    <row r="62054" ht="15.75" customHeight="1">
      <c r="A62054" s="7"/>
      <c r="B62054" s="7"/>
    </row>
    <row r="62055" ht="15.75" customHeight="1">
      <c r="A62055" s="7"/>
      <c r="B62055" s="7"/>
    </row>
    <row r="62056" ht="15.75" customHeight="1">
      <c r="A62056" s="7"/>
      <c r="B62056" s="7"/>
    </row>
    <row r="62057" ht="15.75" customHeight="1">
      <c r="A62057" s="7"/>
      <c r="B62057" s="7"/>
    </row>
    <row r="62058" ht="15.75" customHeight="1">
      <c r="A62058" s="7"/>
      <c r="B62058" s="7"/>
    </row>
    <row r="62059" ht="15.75" customHeight="1">
      <c r="A62059" s="7"/>
      <c r="B62059" s="7"/>
    </row>
    <row r="62060" ht="15.75" customHeight="1">
      <c r="A62060" s="7"/>
      <c r="B62060" s="7"/>
    </row>
    <row r="62061" ht="15.75" customHeight="1">
      <c r="A62061" s="7"/>
      <c r="B62061" s="7"/>
    </row>
    <row r="62062" ht="15.75" customHeight="1">
      <c r="A62062" s="7"/>
      <c r="B62062" s="7"/>
    </row>
    <row r="62063" ht="15.75" customHeight="1">
      <c r="A62063" s="7"/>
      <c r="B62063" s="7"/>
    </row>
    <row r="62064" ht="15.75" customHeight="1">
      <c r="A62064" s="7"/>
      <c r="B62064" s="7"/>
    </row>
    <row r="62065" ht="15.75" customHeight="1">
      <c r="A62065" s="7"/>
      <c r="B62065" s="7"/>
    </row>
    <row r="62066" ht="15.75" customHeight="1">
      <c r="A62066" s="7"/>
      <c r="B62066" s="7"/>
    </row>
    <row r="62067" ht="15.75" customHeight="1">
      <c r="A62067" s="7"/>
      <c r="B62067" s="7"/>
    </row>
    <row r="62068" ht="15.75" customHeight="1">
      <c r="A62068" s="7"/>
      <c r="B62068" s="7"/>
    </row>
    <row r="62069" ht="15.75" customHeight="1">
      <c r="A62069" s="7"/>
      <c r="B62069" s="7"/>
    </row>
    <row r="62070" ht="15.75" customHeight="1">
      <c r="A62070" s="7"/>
      <c r="B62070" s="7"/>
    </row>
    <row r="62071" ht="15.75" customHeight="1">
      <c r="A62071" s="7"/>
      <c r="B62071" s="7"/>
    </row>
    <row r="62072" ht="15.75" customHeight="1">
      <c r="A62072" s="7"/>
      <c r="B62072" s="7"/>
    </row>
    <row r="62073" ht="15.75" customHeight="1">
      <c r="A62073" s="7"/>
      <c r="B62073" s="7"/>
    </row>
    <row r="62074" ht="15.75" customHeight="1">
      <c r="A62074" s="7"/>
      <c r="B62074" s="7"/>
    </row>
    <row r="62075" ht="15.75" customHeight="1">
      <c r="A62075" s="7"/>
      <c r="B62075" s="7"/>
    </row>
    <row r="62076" ht="15.75" customHeight="1">
      <c r="A62076" s="7"/>
      <c r="B62076" s="7"/>
    </row>
    <row r="62077" ht="15.75" customHeight="1">
      <c r="A62077" s="7"/>
      <c r="B62077" s="7"/>
    </row>
    <row r="62078" ht="15.75" customHeight="1">
      <c r="A62078" s="7"/>
      <c r="B62078" s="7"/>
    </row>
    <row r="62079" ht="15.75" customHeight="1">
      <c r="A62079" s="7"/>
      <c r="B62079" s="7"/>
    </row>
    <row r="62080" ht="15.75" customHeight="1">
      <c r="A62080" s="7"/>
      <c r="B62080" s="7"/>
    </row>
    <row r="62081" ht="15.75" customHeight="1">
      <c r="A62081" s="7"/>
      <c r="B62081" s="7"/>
    </row>
    <row r="62082" ht="15.75" customHeight="1">
      <c r="A62082" s="7"/>
      <c r="B62082" s="7"/>
    </row>
    <row r="62083" ht="15.75" customHeight="1">
      <c r="A62083" s="7"/>
      <c r="B62083" s="7"/>
    </row>
    <row r="62084" ht="15.75" customHeight="1">
      <c r="A62084" s="7"/>
      <c r="B62084" s="7"/>
    </row>
    <row r="62085" ht="15.75" customHeight="1">
      <c r="A62085" s="7"/>
      <c r="B62085" s="7"/>
    </row>
    <row r="62086" ht="15.75" customHeight="1">
      <c r="A62086" s="7"/>
      <c r="B62086" s="7"/>
    </row>
    <row r="62087" ht="15.75" customHeight="1">
      <c r="A62087" s="7"/>
      <c r="B62087" s="7"/>
    </row>
    <row r="62088" ht="15.75" customHeight="1">
      <c r="A62088" s="7"/>
      <c r="B62088" s="7"/>
    </row>
    <row r="62089" ht="15.75" customHeight="1">
      <c r="A62089" s="7"/>
      <c r="B62089" s="7"/>
    </row>
    <row r="62090" ht="15.75" customHeight="1">
      <c r="A62090" s="7"/>
      <c r="B62090" s="7"/>
    </row>
    <row r="62091" ht="15.75" customHeight="1">
      <c r="A62091" s="7"/>
      <c r="B62091" s="7"/>
    </row>
    <row r="62092" ht="15.75" customHeight="1">
      <c r="A62092" s="7"/>
      <c r="B62092" s="7"/>
    </row>
    <row r="62093" ht="15.75" customHeight="1">
      <c r="A62093" s="7"/>
      <c r="B62093" s="7"/>
    </row>
    <row r="62094" ht="15.75" customHeight="1">
      <c r="A62094" s="7"/>
      <c r="B62094" s="7"/>
    </row>
    <row r="62095" ht="15.75" customHeight="1">
      <c r="A62095" s="7"/>
      <c r="B62095" s="7"/>
    </row>
    <row r="62096" ht="15.75" customHeight="1">
      <c r="A62096" s="7"/>
      <c r="B62096" s="7"/>
    </row>
    <row r="62097" ht="15.75" customHeight="1">
      <c r="A62097" s="7"/>
      <c r="B62097" s="7"/>
    </row>
    <row r="62098" ht="15.75" customHeight="1">
      <c r="A62098" s="7"/>
      <c r="B62098" s="7"/>
    </row>
    <row r="62099" ht="15.75" customHeight="1">
      <c r="A62099" s="7"/>
      <c r="B62099" s="7"/>
    </row>
    <row r="62100" ht="15.75" customHeight="1">
      <c r="A62100" s="7"/>
      <c r="B62100" s="7"/>
    </row>
    <row r="62101" ht="15.75" customHeight="1">
      <c r="A62101" s="7"/>
      <c r="B62101" s="7"/>
    </row>
    <row r="62102" ht="15.75" customHeight="1">
      <c r="A62102" s="7"/>
      <c r="B62102" s="7"/>
    </row>
    <row r="62103" ht="15.75" customHeight="1">
      <c r="A62103" s="7"/>
      <c r="B62103" s="7"/>
    </row>
    <row r="62104" ht="15.75" customHeight="1">
      <c r="A62104" s="7"/>
      <c r="B62104" s="7"/>
    </row>
    <row r="62105" ht="15.75" customHeight="1">
      <c r="A62105" s="7"/>
      <c r="B62105" s="7"/>
    </row>
    <row r="62106" ht="15.75" customHeight="1">
      <c r="A62106" s="7"/>
      <c r="B62106" s="7"/>
    </row>
    <row r="62107" ht="15.75" customHeight="1">
      <c r="A62107" s="7"/>
      <c r="B62107" s="7"/>
    </row>
    <row r="62108" ht="15.75" customHeight="1">
      <c r="A62108" s="7"/>
      <c r="B62108" s="7"/>
    </row>
    <row r="62109" ht="15.75" customHeight="1">
      <c r="A62109" s="7"/>
      <c r="B62109" s="7"/>
    </row>
    <row r="62110" ht="15.75" customHeight="1">
      <c r="A62110" s="7"/>
      <c r="B62110" s="7"/>
    </row>
    <row r="62111" ht="15.75" customHeight="1">
      <c r="A62111" s="7"/>
      <c r="B62111" s="7"/>
    </row>
    <row r="62112" ht="15.75" customHeight="1">
      <c r="A62112" s="7"/>
      <c r="B62112" s="7"/>
    </row>
    <row r="62113" ht="15.75" customHeight="1">
      <c r="A62113" s="7"/>
      <c r="B62113" s="7"/>
    </row>
    <row r="62114" ht="15.75" customHeight="1">
      <c r="A62114" s="7"/>
      <c r="B62114" s="7"/>
    </row>
    <row r="62115" ht="15.75" customHeight="1">
      <c r="A62115" s="7"/>
      <c r="B62115" s="7"/>
    </row>
    <row r="62116" ht="15.75" customHeight="1">
      <c r="A62116" s="7"/>
      <c r="B62116" s="7"/>
    </row>
    <row r="62117" ht="15.75" customHeight="1">
      <c r="A62117" s="7"/>
      <c r="B62117" s="7"/>
    </row>
    <row r="62118" ht="15.75" customHeight="1">
      <c r="A62118" s="7"/>
      <c r="B62118" s="7"/>
    </row>
    <row r="62119" ht="15.75" customHeight="1">
      <c r="A62119" s="7"/>
      <c r="B62119" s="7"/>
    </row>
    <row r="62120" ht="15.75" customHeight="1">
      <c r="A62120" s="7"/>
      <c r="B62120" s="7"/>
    </row>
    <row r="62121" ht="15.75" customHeight="1">
      <c r="A62121" s="7"/>
      <c r="B62121" s="7"/>
    </row>
    <row r="62122" ht="15.75" customHeight="1">
      <c r="A62122" s="7"/>
      <c r="B62122" s="7"/>
    </row>
    <row r="62123" ht="15.75" customHeight="1">
      <c r="A62123" s="7"/>
      <c r="B62123" s="7"/>
    </row>
    <row r="62124" ht="15.75" customHeight="1">
      <c r="A62124" s="7"/>
      <c r="B62124" s="7"/>
    </row>
    <row r="62125" ht="15.75" customHeight="1">
      <c r="A62125" s="7"/>
      <c r="B62125" s="7"/>
    </row>
    <row r="62126" ht="15.75" customHeight="1">
      <c r="A62126" s="7"/>
      <c r="B62126" s="7"/>
    </row>
    <row r="62127" ht="15.75" customHeight="1">
      <c r="A62127" s="7"/>
      <c r="B62127" s="7"/>
    </row>
    <row r="62128" ht="15.75" customHeight="1">
      <c r="A62128" s="7"/>
      <c r="B62128" s="7"/>
    </row>
    <row r="62129" ht="15.75" customHeight="1">
      <c r="A62129" s="7"/>
      <c r="B62129" s="7"/>
    </row>
    <row r="62130" ht="15.75" customHeight="1">
      <c r="A62130" s="7"/>
      <c r="B62130" s="7"/>
    </row>
    <row r="62131" ht="15.75" customHeight="1">
      <c r="A62131" s="7"/>
      <c r="B62131" s="7"/>
    </row>
    <row r="62132" ht="15.75" customHeight="1">
      <c r="A62132" s="7"/>
      <c r="B62132" s="7"/>
    </row>
    <row r="62133" ht="15.75" customHeight="1">
      <c r="A62133" s="7"/>
      <c r="B62133" s="7"/>
    </row>
    <row r="62134" ht="15.75" customHeight="1">
      <c r="A62134" s="7"/>
      <c r="B62134" s="7"/>
    </row>
    <row r="62135" ht="15.75" customHeight="1">
      <c r="A62135" s="7"/>
      <c r="B62135" s="7"/>
    </row>
    <row r="62136" ht="15.75" customHeight="1">
      <c r="A62136" s="7"/>
      <c r="B62136" s="7"/>
    </row>
    <row r="62137" ht="15.75" customHeight="1">
      <c r="A62137" s="7"/>
      <c r="B62137" s="7"/>
    </row>
    <row r="62138" ht="15.75" customHeight="1">
      <c r="A62138" s="7"/>
      <c r="B62138" s="7"/>
    </row>
    <row r="62139" ht="15.75" customHeight="1">
      <c r="A62139" s="7"/>
      <c r="B62139" s="7"/>
    </row>
    <row r="62140" ht="15.75" customHeight="1">
      <c r="A62140" s="7"/>
      <c r="B62140" s="7"/>
    </row>
    <row r="62141" ht="15.75" customHeight="1">
      <c r="A62141" s="7"/>
      <c r="B62141" s="7"/>
    </row>
    <row r="62142" ht="15.75" customHeight="1">
      <c r="A62142" s="7"/>
      <c r="B62142" s="7"/>
    </row>
    <row r="62143" ht="15.75" customHeight="1">
      <c r="A62143" s="7"/>
      <c r="B62143" s="7"/>
    </row>
    <row r="62144" ht="15.75" customHeight="1">
      <c r="A62144" s="7"/>
      <c r="B62144" s="7"/>
    </row>
    <row r="62145" ht="15.75" customHeight="1">
      <c r="A62145" s="7"/>
      <c r="B62145" s="7"/>
    </row>
    <row r="62146" ht="15.75" customHeight="1">
      <c r="A62146" s="7"/>
      <c r="B62146" s="7"/>
    </row>
    <row r="62147" ht="15.75" customHeight="1">
      <c r="A62147" s="7"/>
      <c r="B62147" s="7"/>
    </row>
    <row r="62148" ht="15.75" customHeight="1">
      <c r="A62148" s="7"/>
      <c r="B62148" s="7"/>
    </row>
    <row r="62149" ht="15.75" customHeight="1">
      <c r="A62149" s="7"/>
      <c r="B62149" s="7"/>
    </row>
    <row r="62150" ht="15.75" customHeight="1">
      <c r="A62150" s="7"/>
      <c r="B62150" s="7"/>
    </row>
    <row r="62151" ht="15.75" customHeight="1">
      <c r="A62151" s="7"/>
      <c r="B62151" s="7"/>
    </row>
    <row r="62152" ht="15.75" customHeight="1">
      <c r="A62152" s="7"/>
      <c r="B62152" s="7"/>
    </row>
    <row r="62153" ht="15.75" customHeight="1">
      <c r="A62153" s="7"/>
      <c r="B62153" s="7"/>
    </row>
    <row r="62154" ht="15.75" customHeight="1">
      <c r="A62154" s="7"/>
      <c r="B62154" s="7"/>
    </row>
    <row r="62155" ht="15.75" customHeight="1">
      <c r="A62155" s="7"/>
      <c r="B62155" s="7"/>
    </row>
    <row r="62156" ht="15.75" customHeight="1">
      <c r="A62156" s="7"/>
      <c r="B62156" s="7"/>
    </row>
    <row r="62157" ht="15.75" customHeight="1">
      <c r="A62157" s="7"/>
      <c r="B62157" s="7"/>
    </row>
    <row r="62158" ht="15.75" customHeight="1">
      <c r="A62158" s="7"/>
      <c r="B62158" s="7"/>
    </row>
    <row r="62159" ht="15.75" customHeight="1">
      <c r="A62159" s="7"/>
      <c r="B62159" s="7"/>
    </row>
    <row r="62160" ht="15.75" customHeight="1">
      <c r="A62160" s="7"/>
      <c r="B62160" s="7"/>
    </row>
    <row r="62161" ht="15.75" customHeight="1">
      <c r="A62161" s="7"/>
      <c r="B62161" s="7"/>
    </row>
    <row r="62162" ht="15.75" customHeight="1">
      <c r="A62162" s="7"/>
      <c r="B62162" s="7"/>
    </row>
    <row r="62163" ht="15.75" customHeight="1">
      <c r="A62163" s="7"/>
      <c r="B62163" s="7"/>
    </row>
    <row r="62164" ht="15.75" customHeight="1">
      <c r="A62164" s="7"/>
      <c r="B62164" s="7"/>
    </row>
    <row r="62165" ht="15.75" customHeight="1">
      <c r="A62165" s="7"/>
      <c r="B62165" s="7"/>
    </row>
    <row r="62166" ht="15.75" customHeight="1">
      <c r="A62166" s="7"/>
      <c r="B62166" s="7"/>
    </row>
    <row r="62167" ht="15.75" customHeight="1">
      <c r="A62167" s="7"/>
      <c r="B62167" s="7"/>
    </row>
    <row r="62168" ht="15.75" customHeight="1">
      <c r="A62168" s="7"/>
      <c r="B62168" s="7"/>
    </row>
    <row r="62169" ht="15.75" customHeight="1">
      <c r="A62169" s="7"/>
      <c r="B62169" s="7"/>
    </row>
    <row r="62170" ht="15.75" customHeight="1">
      <c r="A62170" s="7"/>
      <c r="B62170" s="7"/>
    </row>
    <row r="62171" ht="15.75" customHeight="1">
      <c r="A62171" s="7"/>
      <c r="B62171" s="7"/>
    </row>
    <row r="62172" ht="15.75" customHeight="1">
      <c r="A62172" s="7"/>
      <c r="B62172" s="7"/>
    </row>
    <row r="62173" ht="15.75" customHeight="1">
      <c r="A62173" s="7"/>
      <c r="B62173" s="7"/>
    </row>
    <row r="62174" ht="15.75" customHeight="1">
      <c r="A62174" s="7"/>
      <c r="B62174" s="7"/>
    </row>
    <row r="62175" ht="15.75" customHeight="1">
      <c r="A62175" s="7"/>
      <c r="B62175" s="7"/>
    </row>
    <row r="62176" ht="15.75" customHeight="1">
      <c r="A62176" s="7"/>
      <c r="B62176" s="7"/>
    </row>
    <row r="62177" ht="15.75" customHeight="1">
      <c r="A62177" s="7"/>
      <c r="B62177" s="7"/>
    </row>
    <row r="62178" ht="15.75" customHeight="1">
      <c r="A62178" s="7"/>
      <c r="B62178" s="7"/>
    </row>
    <row r="62179" ht="15.75" customHeight="1">
      <c r="A62179" s="7"/>
      <c r="B62179" s="7"/>
    </row>
    <row r="62180" ht="15.75" customHeight="1">
      <c r="A62180" s="7"/>
      <c r="B62180" s="7"/>
    </row>
    <row r="62181" ht="15.75" customHeight="1">
      <c r="A62181" s="7"/>
      <c r="B62181" s="7"/>
    </row>
    <row r="62182" ht="15.75" customHeight="1">
      <c r="A62182" s="7"/>
      <c r="B62182" s="7"/>
    </row>
    <row r="62183" ht="15.75" customHeight="1">
      <c r="A62183" s="7"/>
      <c r="B62183" s="7"/>
    </row>
    <row r="62184" ht="15.75" customHeight="1">
      <c r="A62184" s="7"/>
      <c r="B62184" s="7"/>
    </row>
    <row r="62185" ht="15.75" customHeight="1">
      <c r="A62185" s="7"/>
      <c r="B62185" s="7"/>
    </row>
    <row r="62186" ht="15.75" customHeight="1">
      <c r="A62186" s="7"/>
      <c r="B62186" s="7"/>
    </row>
    <row r="62187" ht="15.75" customHeight="1">
      <c r="A62187" s="7"/>
      <c r="B62187" s="7"/>
    </row>
    <row r="62188" ht="15.75" customHeight="1">
      <c r="A62188" s="7"/>
      <c r="B62188" s="7"/>
    </row>
    <row r="62189" ht="15.75" customHeight="1">
      <c r="A62189" s="7"/>
      <c r="B62189" s="7"/>
    </row>
    <row r="62190" ht="15.75" customHeight="1">
      <c r="A62190" s="7"/>
      <c r="B62190" s="7"/>
    </row>
    <row r="62191" ht="15.75" customHeight="1">
      <c r="A62191" s="7"/>
      <c r="B62191" s="7"/>
    </row>
    <row r="62192" ht="15.75" customHeight="1">
      <c r="A62192" s="7"/>
      <c r="B62192" s="7"/>
    </row>
    <row r="62193" ht="15.75" customHeight="1">
      <c r="A62193" s="7"/>
      <c r="B62193" s="7"/>
    </row>
    <row r="62194" ht="15.75" customHeight="1">
      <c r="A62194" s="7"/>
      <c r="B62194" s="7"/>
    </row>
    <row r="62195" ht="15.75" customHeight="1">
      <c r="A62195" s="7"/>
      <c r="B62195" s="7"/>
    </row>
    <row r="62196" ht="15.75" customHeight="1">
      <c r="A62196" s="7"/>
      <c r="B62196" s="7"/>
    </row>
    <row r="62197" ht="15.75" customHeight="1">
      <c r="A62197" s="7"/>
      <c r="B62197" s="7"/>
    </row>
    <row r="62198" ht="15.75" customHeight="1">
      <c r="A62198" s="7"/>
      <c r="B62198" s="7"/>
    </row>
    <row r="62199" ht="15.75" customHeight="1">
      <c r="A62199" s="7"/>
      <c r="B62199" s="7"/>
    </row>
    <row r="62200" ht="15.75" customHeight="1">
      <c r="A62200" s="7"/>
      <c r="B62200" s="7"/>
    </row>
    <row r="62201" ht="15.75" customHeight="1">
      <c r="A62201" s="7"/>
      <c r="B62201" s="7"/>
    </row>
    <row r="62202" ht="15.75" customHeight="1">
      <c r="A62202" s="7"/>
      <c r="B62202" s="7"/>
    </row>
    <row r="62203" ht="15.75" customHeight="1">
      <c r="A62203" s="7"/>
      <c r="B62203" s="7"/>
    </row>
    <row r="62204" ht="15.75" customHeight="1">
      <c r="A62204" s="7"/>
      <c r="B62204" s="7"/>
    </row>
    <row r="62205" ht="15.75" customHeight="1">
      <c r="A62205" s="7"/>
      <c r="B62205" s="7"/>
    </row>
    <row r="62206" ht="15.75" customHeight="1">
      <c r="A62206" s="7"/>
      <c r="B62206" s="7"/>
    </row>
    <row r="62207" ht="15.75" customHeight="1">
      <c r="A62207" s="7"/>
      <c r="B62207" s="7"/>
    </row>
    <row r="62208" ht="15.75" customHeight="1">
      <c r="A62208" s="7"/>
      <c r="B62208" s="7"/>
    </row>
    <row r="62209" ht="15.75" customHeight="1">
      <c r="A62209" s="7"/>
      <c r="B62209" s="7"/>
    </row>
    <row r="62210" ht="15.75" customHeight="1">
      <c r="A62210" s="7"/>
      <c r="B62210" s="7"/>
    </row>
    <row r="62211" ht="15.75" customHeight="1">
      <c r="A62211" s="7"/>
      <c r="B62211" s="7"/>
    </row>
    <row r="62212" ht="15.75" customHeight="1">
      <c r="A62212" s="7"/>
      <c r="B62212" s="7"/>
    </row>
    <row r="62213" ht="15.75" customHeight="1">
      <c r="A62213" s="7"/>
      <c r="B62213" s="7"/>
    </row>
    <row r="62214" ht="15.75" customHeight="1">
      <c r="A62214" s="7"/>
      <c r="B62214" s="7"/>
    </row>
    <row r="62215" ht="15.75" customHeight="1">
      <c r="A62215" s="7"/>
      <c r="B62215" s="7"/>
    </row>
    <row r="62216" ht="15.75" customHeight="1">
      <c r="A62216" s="7"/>
      <c r="B62216" s="7"/>
    </row>
    <row r="62217" ht="15.75" customHeight="1">
      <c r="A62217" s="7"/>
      <c r="B62217" s="7"/>
    </row>
    <row r="62218" ht="15.75" customHeight="1">
      <c r="A62218" s="7"/>
      <c r="B62218" s="7"/>
    </row>
    <row r="62219" ht="15.75" customHeight="1">
      <c r="A62219" s="7"/>
      <c r="B62219" s="7"/>
    </row>
    <row r="62220" ht="15.75" customHeight="1">
      <c r="A62220" s="7"/>
      <c r="B62220" s="7"/>
    </row>
    <row r="62221" ht="15.75" customHeight="1">
      <c r="A62221" s="7"/>
      <c r="B62221" s="7"/>
    </row>
    <row r="62222" ht="15.75" customHeight="1">
      <c r="A62222" s="7"/>
      <c r="B62222" s="7"/>
    </row>
    <row r="62223" ht="15.75" customHeight="1">
      <c r="A62223" s="7"/>
      <c r="B62223" s="7"/>
    </row>
    <row r="62224" ht="15.75" customHeight="1">
      <c r="A62224" s="7"/>
      <c r="B62224" s="7"/>
    </row>
    <row r="62225" ht="15.75" customHeight="1">
      <c r="A62225" s="7"/>
      <c r="B62225" s="7"/>
    </row>
    <row r="62226" ht="15.75" customHeight="1">
      <c r="A62226" s="7"/>
      <c r="B62226" s="7"/>
    </row>
    <row r="62227" ht="15.75" customHeight="1">
      <c r="A62227" s="7"/>
      <c r="B62227" s="7"/>
    </row>
    <row r="62228" ht="15.75" customHeight="1">
      <c r="A62228" s="7"/>
      <c r="B62228" s="7"/>
    </row>
    <row r="62229" ht="15.75" customHeight="1">
      <c r="A62229" s="7"/>
      <c r="B62229" s="7"/>
    </row>
    <row r="62230" ht="15.75" customHeight="1">
      <c r="A62230" s="7"/>
      <c r="B62230" s="7"/>
    </row>
    <row r="62231" ht="15.75" customHeight="1">
      <c r="A62231" s="7"/>
      <c r="B62231" s="7"/>
    </row>
    <row r="62232" ht="15.75" customHeight="1">
      <c r="A62232" s="7"/>
      <c r="B62232" s="7"/>
    </row>
    <row r="62233" ht="15.75" customHeight="1">
      <c r="A62233" s="7"/>
      <c r="B62233" s="7"/>
    </row>
    <row r="62234" ht="15.75" customHeight="1">
      <c r="A62234" s="7"/>
      <c r="B62234" s="7"/>
    </row>
    <row r="62235" ht="15.75" customHeight="1">
      <c r="A62235" s="7"/>
      <c r="B62235" s="7"/>
    </row>
    <row r="62236" ht="15.75" customHeight="1">
      <c r="A62236" s="7"/>
      <c r="B62236" s="7"/>
    </row>
    <row r="62237" ht="15.75" customHeight="1">
      <c r="A62237" s="7"/>
      <c r="B62237" s="7"/>
    </row>
    <row r="62238" ht="15.75" customHeight="1">
      <c r="A62238" s="7"/>
      <c r="B62238" s="7"/>
    </row>
    <row r="62239" ht="15.75" customHeight="1">
      <c r="A62239" s="7"/>
      <c r="B62239" s="7"/>
    </row>
    <row r="62240" ht="15.75" customHeight="1">
      <c r="A62240" s="7"/>
      <c r="B62240" s="7"/>
    </row>
    <row r="62241" ht="15.75" customHeight="1">
      <c r="A62241" s="7"/>
      <c r="B62241" s="7"/>
    </row>
    <row r="62242" ht="15.75" customHeight="1">
      <c r="A62242" s="7"/>
      <c r="B62242" s="7"/>
    </row>
    <row r="62243" ht="15.75" customHeight="1">
      <c r="A62243" s="7"/>
      <c r="B62243" s="7"/>
    </row>
    <row r="62244" ht="15.75" customHeight="1">
      <c r="A62244" s="7"/>
      <c r="B62244" s="7"/>
    </row>
    <row r="62245" ht="15.75" customHeight="1">
      <c r="A62245" s="7"/>
      <c r="B62245" s="7"/>
    </row>
    <row r="62246" ht="15.75" customHeight="1">
      <c r="A62246" s="7"/>
      <c r="B62246" s="7"/>
    </row>
    <row r="62247" ht="15.75" customHeight="1">
      <c r="A62247" s="7"/>
      <c r="B62247" s="7"/>
    </row>
    <row r="62248" ht="15.75" customHeight="1">
      <c r="A62248" s="7"/>
      <c r="B62248" s="7"/>
    </row>
    <row r="62249" ht="15.75" customHeight="1">
      <c r="A62249" s="7"/>
      <c r="B62249" s="7"/>
    </row>
    <row r="62250" ht="15.75" customHeight="1">
      <c r="A62250" s="7"/>
      <c r="B62250" s="7"/>
    </row>
    <row r="62251" ht="15.75" customHeight="1">
      <c r="A62251" s="7"/>
      <c r="B62251" s="7"/>
    </row>
    <row r="62252" ht="15.75" customHeight="1">
      <c r="A62252" s="7"/>
      <c r="B62252" s="7"/>
    </row>
    <row r="62253" ht="15.75" customHeight="1">
      <c r="A62253" s="7"/>
      <c r="B62253" s="7"/>
    </row>
    <row r="62254" ht="15.75" customHeight="1">
      <c r="A62254" s="7"/>
      <c r="B62254" s="7"/>
    </row>
    <row r="62255" ht="15.75" customHeight="1">
      <c r="A62255" s="7"/>
      <c r="B62255" s="7"/>
    </row>
    <row r="62256" ht="15.75" customHeight="1">
      <c r="A62256" s="7"/>
      <c r="B62256" s="7"/>
    </row>
    <row r="62257" ht="15.75" customHeight="1">
      <c r="A62257" s="7"/>
      <c r="B62257" s="7"/>
    </row>
    <row r="62258" ht="15.75" customHeight="1">
      <c r="A62258" s="7"/>
      <c r="B62258" s="7"/>
    </row>
    <row r="62259" ht="15.75" customHeight="1">
      <c r="A62259" s="7"/>
      <c r="B62259" s="7"/>
    </row>
    <row r="62260" ht="15.75" customHeight="1">
      <c r="A62260" s="7"/>
      <c r="B62260" s="7"/>
    </row>
    <row r="62261" ht="15.75" customHeight="1">
      <c r="A62261" s="7"/>
      <c r="B62261" s="7"/>
    </row>
    <row r="62262" ht="15.75" customHeight="1">
      <c r="A62262" s="7"/>
      <c r="B62262" s="7"/>
    </row>
    <row r="62263" ht="15.75" customHeight="1">
      <c r="A62263" s="7"/>
      <c r="B62263" s="7"/>
    </row>
    <row r="62264" ht="15.75" customHeight="1">
      <c r="A62264" s="7"/>
      <c r="B62264" s="7"/>
    </row>
    <row r="62265" ht="15.75" customHeight="1">
      <c r="A62265" s="7"/>
      <c r="B62265" s="7"/>
    </row>
    <row r="62266" ht="15.75" customHeight="1">
      <c r="A62266" s="7"/>
      <c r="B62266" s="7"/>
    </row>
    <row r="62267" ht="15.75" customHeight="1">
      <c r="A62267" s="7"/>
      <c r="B62267" s="7"/>
    </row>
    <row r="62268" ht="15.75" customHeight="1">
      <c r="A62268" s="7"/>
      <c r="B62268" s="7"/>
    </row>
    <row r="62269" ht="15.75" customHeight="1">
      <c r="A62269" s="7"/>
      <c r="B62269" s="7"/>
    </row>
    <row r="62270" ht="15.75" customHeight="1">
      <c r="A62270" s="7"/>
      <c r="B62270" s="7"/>
    </row>
    <row r="62271" ht="15.75" customHeight="1">
      <c r="A62271" s="7"/>
      <c r="B62271" s="7"/>
    </row>
    <row r="62272" ht="15.75" customHeight="1">
      <c r="A62272" s="7"/>
      <c r="B62272" s="7"/>
    </row>
    <row r="62273" ht="15.75" customHeight="1">
      <c r="A62273" s="7"/>
      <c r="B62273" s="7"/>
    </row>
    <row r="62274" ht="15.75" customHeight="1">
      <c r="A62274" s="7"/>
      <c r="B62274" s="7"/>
    </row>
    <row r="62275" ht="15.75" customHeight="1">
      <c r="A62275" s="7"/>
      <c r="B62275" s="7"/>
    </row>
    <row r="62276" ht="15.75" customHeight="1">
      <c r="A62276" s="7"/>
      <c r="B62276" s="7"/>
    </row>
    <row r="62277" ht="15.75" customHeight="1">
      <c r="A62277" s="7"/>
      <c r="B62277" s="7"/>
    </row>
    <row r="62278" ht="15.75" customHeight="1">
      <c r="A62278" s="7"/>
      <c r="B62278" s="7"/>
    </row>
    <row r="62279" ht="15.75" customHeight="1">
      <c r="A62279" s="7"/>
      <c r="B62279" s="7"/>
    </row>
    <row r="62280" ht="15.75" customHeight="1">
      <c r="A62280" s="7"/>
      <c r="B62280" s="7"/>
    </row>
    <row r="62281" ht="15.75" customHeight="1">
      <c r="A62281" s="7"/>
      <c r="B62281" s="7"/>
    </row>
    <row r="62282" ht="15.75" customHeight="1">
      <c r="A62282" s="7"/>
      <c r="B62282" s="7"/>
    </row>
    <row r="62283" ht="15.75" customHeight="1">
      <c r="A62283" s="7"/>
      <c r="B62283" s="7"/>
    </row>
    <row r="62284" ht="15.75" customHeight="1">
      <c r="A62284" s="7"/>
      <c r="B62284" s="7"/>
    </row>
    <row r="62285" ht="15.75" customHeight="1">
      <c r="A62285" s="7"/>
      <c r="B62285" s="7"/>
    </row>
    <row r="62286" ht="15.75" customHeight="1">
      <c r="A62286" s="7"/>
      <c r="B62286" s="7"/>
    </row>
    <row r="62287" ht="15.75" customHeight="1">
      <c r="A62287" s="7"/>
      <c r="B62287" s="7"/>
    </row>
    <row r="62288" ht="15.75" customHeight="1">
      <c r="A62288" s="7"/>
      <c r="B62288" s="7"/>
    </row>
    <row r="62289" ht="15.75" customHeight="1">
      <c r="A62289" s="7"/>
      <c r="B62289" s="7"/>
    </row>
    <row r="62290" ht="15.75" customHeight="1">
      <c r="A62290" s="7"/>
      <c r="B62290" s="7"/>
    </row>
    <row r="62291" ht="15.75" customHeight="1">
      <c r="A62291" s="7"/>
      <c r="B62291" s="7"/>
    </row>
    <row r="62292" ht="15.75" customHeight="1">
      <c r="A62292" s="7"/>
      <c r="B62292" s="7"/>
    </row>
    <row r="62293" ht="15.75" customHeight="1">
      <c r="A62293" s="7"/>
      <c r="B62293" s="7"/>
    </row>
    <row r="62294" ht="15.75" customHeight="1">
      <c r="A62294" s="7"/>
      <c r="B62294" s="7"/>
    </row>
    <row r="62295" ht="15.75" customHeight="1">
      <c r="A62295" s="7"/>
      <c r="B62295" s="7"/>
    </row>
    <row r="62296" ht="15.75" customHeight="1">
      <c r="A62296" s="7"/>
      <c r="B62296" s="7"/>
    </row>
    <row r="62297" ht="15.75" customHeight="1">
      <c r="A62297" s="7"/>
      <c r="B62297" s="7"/>
    </row>
    <row r="62298" ht="15.75" customHeight="1">
      <c r="A62298" s="7"/>
      <c r="B62298" s="7"/>
    </row>
    <row r="62299" ht="15.75" customHeight="1">
      <c r="A62299" s="7"/>
      <c r="B62299" s="7"/>
    </row>
    <row r="62300" ht="15.75" customHeight="1">
      <c r="A62300" s="7"/>
      <c r="B62300" s="7"/>
    </row>
    <row r="62301" ht="15.75" customHeight="1">
      <c r="A62301" s="7"/>
      <c r="B62301" s="7"/>
    </row>
    <row r="62302" ht="15.75" customHeight="1">
      <c r="A62302" s="7"/>
      <c r="B62302" s="7"/>
    </row>
    <row r="62303" ht="15.75" customHeight="1">
      <c r="A62303" s="7"/>
      <c r="B62303" s="7"/>
    </row>
    <row r="62304" ht="15.75" customHeight="1">
      <c r="A62304" s="7"/>
      <c r="B62304" s="7"/>
    </row>
    <row r="62305" ht="15.75" customHeight="1">
      <c r="A62305" s="7"/>
      <c r="B62305" s="7"/>
    </row>
    <row r="62306" ht="15.75" customHeight="1">
      <c r="A62306" s="7"/>
      <c r="B62306" s="7"/>
    </row>
    <row r="62307" ht="15.75" customHeight="1">
      <c r="A62307" s="7"/>
      <c r="B62307" s="7"/>
    </row>
    <row r="62308" ht="15.75" customHeight="1">
      <c r="A62308" s="7"/>
      <c r="B62308" s="7"/>
    </row>
    <row r="62309" ht="15.75" customHeight="1">
      <c r="A62309" s="7"/>
      <c r="B62309" s="7"/>
    </row>
    <row r="62310" ht="15.75" customHeight="1">
      <c r="A62310" s="7"/>
      <c r="B62310" s="7"/>
    </row>
    <row r="62311" ht="15.75" customHeight="1">
      <c r="A62311" s="7"/>
      <c r="B62311" s="7"/>
    </row>
    <row r="62312" ht="15.75" customHeight="1">
      <c r="A62312" s="7"/>
      <c r="B62312" s="7"/>
    </row>
    <row r="62313" ht="15.75" customHeight="1">
      <c r="A62313" s="7"/>
      <c r="B62313" s="7"/>
    </row>
    <row r="62314" ht="15.75" customHeight="1">
      <c r="A62314" s="7"/>
      <c r="B62314" s="7"/>
    </row>
    <row r="62315" ht="15.75" customHeight="1">
      <c r="A62315" s="7"/>
      <c r="B62315" s="7"/>
    </row>
    <row r="62316" ht="15.75" customHeight="1">
      <c r="A62316" s="7"/>
      <c r="B62316" s="7"/>
    </row>
    <row r="62317" ht="15.75" customHeight="1">
      <c r="A62317" s="7"/>
      <c r="B62317" s="7"/>
    </row>
    <row r="62318" ht="15.75" customHeight="1">
      <c r="A62318" s="7"/>
      <c r="B62318" s="7"/>
    </row>
    <row r="62319" ht="15.75" customHeight="1">
      <c r="A62319" s="7"/>
      <c r="B62319" s="7"/>
    </row>
    <row r="62320" ht="15.75" customHeight="1">
      <c r="A62320" s="7"/>
      <c r="B62320" s="7"/>
    </row>
    <row r="62321" ht="15.75" customHeight="1">
      <c r="A62321" s="7"/>
      <c r="B62321" s="7"/>
    </row>
    <row r="62322" ht="15.75" customHeight="1">
      <c r="A62322" s="7"/>
      <c r="B62322" s="7"/>
    </row>
    <row r="62323" ht="15.75" customHeight="1">
      <c r="A62323" s="7"/>
      <c r="B62323" s="7"/>
    </row>
    <row r="62324" ht="15.75" customHeight="1">
      <c r="A62324" s="7"/>
      <c r="B62324" s="7"/>
    </row>
    <row r="62325" ht="15.75" customHeight="1">
      <c r="A62325" s="7"/>
      <c r="B62325" s="7"/>
    </row>
    <row r="62326" ht="15.75" customHeight="1">
      <c r="A62326" s="7"/>
      <c r="B62326" s="7"/>
    </row>
    <row r="62327" ht="15.75" customHeight="1">
      <c r="A62327" s="7"/>
      <c r="B62327" s="7"/>
    </row>
    <row r="62328" ht="15.75" customHeight="1">
      <c r="A62328" s="7"/>
      <c r="B62328" s="7"/>
    </row>
    <row r="62329" ht="15.75" customHeight="1">
      <c r="A62329" s="7"/>
      <c r="B62329" s="7"/>
    </row>
    <row r="62330" ht="15.75" customHeight="1">
      <c r="A62330" s="7"/>
      <c r="B62330" s="7"/>
    </row>
    <row r="62331" ht="15.75" customHeight="1">
      <c r="A62331" s="7"/>
      <c r="B62331" s="7"/>
    </row>
    <row r="62332" ht="15.75" customHeight="1">
      <c r="A62332" s="7"/>
      <c r="B62332" s="7"/>
    </row>
    <row r="62333" ht="15.75" customHeight="1">
      <c r="A62333" s="7"/>
      <c r="B62333" s="7"/>
    </row>
    <row r="62334" ht="15.75" customHeight="1">
      <c r="A62334" s="7"/>
      <c r="B62334" s="7"/>
    </row>
    <row r="62335" ht="15.75" customHeight="1">
      <c r="A62335" s="7"/>
      <c r="B62335" s="7"/>
    </row>
    <row r="62336" ht="15.75" customHeight="1">
      <c r="A62336" s="7"/>
      <c r="B62336" s="7"/>
    </row>
    <row r="62337" ht="15.75" customHeight="1">
      <c r="A62337" s="7"/>
      <c r="B62337" s="7"/>
    </row>
    <row r="62338" ht="15.75" customHeight="1">
      <c r="A62338" s="7"/>
      <c r="B62338" s="7"/>
    </row>
    <row r="62339" ht="15.75" customHeight="1">
      <c r="A62339" s="7"/>
      <c r="B62339" s="7"/>
    </row>
    <row r="62340" ht="15.75" customHeight="1">
      <c r="A62340" s="7"/>
      <c r="B62340" s="7"/>
    </row>
    <row r="62341" ht="15.75" customHeight="1">
      <c r="A62341" s="7"/>
      <c r="B62341" s="7"/>
    </row>
    <row r="62342" ht="15.75" customHeight="1">
      <c r="A62342" s="7"/>
      <c r="B62342" s="7"/>
    </row>
    <row r="62343" ht="15.75" customHeight="1">
      <c r="A62343" s="7"/>
      <c r="B62343" s="7"/>
    </row>
    <row r="62344" ht="15.75" customHeight="1">
      <c r="A62344" s="7"/>
      <c r="B62344" s="7"/>
    </row>
    <row r="62345" ht="15.75" customHeight="1">
      <c r="A62345" s="7"/>
      <c r="B62345" s="7"/>
    </row>
    <row r="62346" ht="15.75" customHeight="1">
      <c r="A62346" s="7"/>
      <c r="B62346" s="7"/>
    </row>
    <row r="62347" ht="15.75" customHeight="1">
      <c r="A62347" s="7"/>
      <c r="B62347" s="7"/>
    </row>
    <row r="62348" ht="15.75" customHeight="1">
      <c r="A62348" s="7"/>
      <c r="B62348" s="7"/>
    </row>
    <row r="62349" ht="15.75" customHeight="1">
      <c r="A62349" s="7"/>
      <c r="B62349" s="7"/>
    </row>
    <row r="62350" ht="15.75" customHeight="1">
      <c r="A62350" s="7"/>
      <c r="B62350" s="7"/>
    </row>
    <row r="62351" ht="15.75" customHeight="1">
      <c r="A62351" s="7"/>
      <c r="B62351" s="7"/>
    </row>
    <row r="62352" ht="15.75" customHeight="1">
      <c r="A62352" s="7"/>
      <c r="B62352" s="7"/>
    </row>
    <row r="62353" ht="15.75" customHeight="1">
      <c r="A62353" s="7"/>
      <c r="B62353" s="7"/>
    </row>
    <row r="62354" ht="15.75" customHeight="1">
      <c r="A62354" s="7"/>
      <c r="B62354" s="7"/>
    </row>
    <row r="62355" ht="15.75" customHeight="1">
      <c r="A62355" s="7"/>
      <c r="B62355" s="7"/>
    </row>
    <row r="62356" ht="15.75" customHeight="1">
      <c r="A62356" s="7"/>
      <c r="B62356" s="7"/>
    </row>
    <row r="62357" ht="15.75" customHeight="1">
      <c r="A62357" s="7"/>
      <c r="B62357" s="7"/>
    </row>
    <row r="62358" ht="15.75" customHeight="1">
      <c r="A62358" s="7"/>
      <c r="B62358" s="7"/>
    </row>
    <row r="62359" ht="15.75" customHeight="1">
      <c r="A62359" s="7"/>
      <c r="B62359" s="7"/>
    </row>
    <row r="62360" ht="15.75" customHeight="1">
      <c r="A62360" s="7"/>
      <c r="B62360" s="7"/>
    </row>
    <row r="62361" ht="15.75" customHeight="1">
      <c r="A62361" s="7"/>
      <c r="B62361" s="7"/>
    </row>
    <row r="62362" ht="15.75" customHeight="1">
      <c r="A62362" s="7"/>
      <c r="B62362" s="7"/>
    </row>
    <row r="62363" ht="15.75" customHeight="1">
      <c r="A62363" s="7"/>
      <c r="B62363" s="7"/>
    </row>
    <row r="62364" ht="15.75" customHeight="1">
      <c r="A62364" s="7"/>
      <c r="B62364" s="7"/>
    </row>
    <row r="62365" ht="15.75" customHeight="1">
      <c r="A62365" s="7"/>
      <c r="B62365" s="7"/>
    </row>
    <row r="62366" ht="15.75" customHeight="1">
      <c r="A62366" s="7"/>
      <c r="B62366" s="7"/>
    </row>
    <row r="62367" ht="15.75" customHeight="1">
      <c r="A62367" s="7"/>
      <c r="B62367" s="7"/>
    </row>
    <row r="62368" ht="15.75" customHeight="1">
      <c r="A62368" s="7"/>
      <c r="B62368" s="7"/>
    </row>
    <row r="62369" ht="15.75" customHeight="1">
      <c r="A62369" s="7"/>
      <c r="B62369" s="7"/>
    </row>
    <row r="62370" ht="15.75" customHeight="1">
      <c r="A62370" s="7"/>
      <c r="B62370" s="7"/>
    </row>
    <row r="62371" ht="15.75" customHeight="1">
      <c r="A62371" s="7"/>
      <c r="B62371" s="7"/>
    </row>
    <row r="62372" ht="15.75" customHeight="1">
      <c r="A62372" s="7"/>
      <c r="B62372" s="7"/>
    </row>
    <row r="62373" ht="15.75" customHeight="1">
      <c r="A62373" s="7"/>
      <c r="B62373" s="7"/>
    </row>
    <row r="62374" ht="15.75" customHeight="1">
      <c r="A62374" s="7"/>
      <c r="B62374" s="7"/>
    </row>
    <row r="62375" ht="15.75" customHeight="1">
      <c r="A62375" s="7"/>
      <c r="B62375" s="7"/>
    </row>
    <row r="62376" ht="15.75" customHeight="1">
      <c r="A62376" s="7"/>
      <c r="B62376" s="7"/>
    </row>
    <row r="62377" ht="15.75" customHeight="1">
      <c r="A62377" s="7"/>
      <c r="B62377" s="7"/>
    </row>
    <row r="62378" ht="15.75" customHeight="1">
      <c r="A62378" s="7"/>
      <c r="B62378" s="7"/>
    </row>
    <row r="62379" ht="15.75" customHeight="1">
      <c r="A62379" s="7"/>
      <c r="B62379" s="7"/>
    </row>
    <row r="62380" ht="15.75" customHeight="1">
      <c r="A62380" s="7"/>
      <c r="B62380" s="7"/>
    </row>
    <row r="62381" ht="15.75" customHeight="1">
      <c r="A62381" s="7"/>
      <c r="B62381" s="7"/>
    </row>
    <row r="62382" ht="15.75" customHeight="1">
      <c r="A62382" s="7"/>
      <c r="B62382" s="7"/>
    </row>
    <row r="62383" ht="15.75" customHeight="1">
      <c r="A62383" s="7"/>
      <c r="B62383" s="7"/>
    </row>
    <row r="62384" ht="15.75" customHeight="1">
      <c r="A62384" s="7"/>
      <c r="B62384" s="7"/>
    </row>
    <row r="62385" ht="15.75" customHeight="1">
      <c r="A62385" s="7"/>
      <c r="B62385" s="7"/>
    </row>
    <row r="62386" ht="15.75" customHeight="1">
      <c r="A62386" s="7"/>
      <c r="B62386" s="7"/>
    </row>
    <row r="62387" ht="15.75" customHeight="1">
      <c r="A62387" s="7"/>
      <c r="B62387" s="7"/>
    </row>
    <row r="62388" ht="15.75" customHeight="1">
      <c r="A62388" s="7"/>
      <c r="B62388" s="7"/>
    </row>
    <row r="62389" ht="15.75" customHeight="1">
      <c r="A62389" s="7"/>
      <c r="B62389" s="7"/>
    </row>
    <row r="62390" ht="15.75" customHeight="1">
      <c r="A62390" s="7"/>
      <c r="B62390" s="7"/>
    </row>
    <row r="62391" ht="15.75" customHeight="1">
      <c r="A62391" s="7"/>
      <c r="B62391" s="7"/>
    </row>
    <row r="62392" ht="15.75" customHeight="1">
      <c r="A62392" s="7"/>
      <c r="B62392" s="7"/>
    </row>
    <row r="62393" ht="15.75" customHeight="1">
      <c r="A62393" s="7"/>
      <c r="B62393" s="7"/>
    </row>
    <row r="62394" ht="15.75" customHeight="1">
      <c r="A62394" s="7"/>
      <c r="B62394" s="7"/>
    </row>
    <row r="62395" ht="15.75" customHeight="1">
      <c r="A62395" s="7"/>
      <c r="B62395" s="7"/>
    </row>
    <row r="62396" ht="15.75" customHeight="1">
      <c r="A62396" s="7"/>
      <c r="B62396" s="7"/>
    </row>
    <row r="62397" ht="15.75" customHeight="1">
      <c r="A62397" s="7"/>
      <c r="B62397" s="7"/>
    </row>
    <row r="62398" ht="15.75" customHeight="1">
      <c r="A62398" s="7"/>
      <c r="B62398" s="7"/>
    </row>
    <row r="62399" ht="15.75" customHeight="1">
      <c r="A62399" s="7"/>
      <c r="B62399" s="7"/>
    </row>
    <row r="62400" ht="15.75" customHeight="1">
      <c r="A62400" s="7"/>
      <c r="B62400" s="7"/>
    </row>
    <row r="62401" ht="15.75" customHeight="1">
      <c r="A62401" s="7"/>
      <c r="B62401" s="7"/>
    </row>
    <row r="62402" ht="15.75" customHeight="1">
      <c r="A62402" s="7"/>
      <c r="B62402" s="7"/>
    </row>
    <row r="62403" ht="15.75" customHeight="1">
      <c r="A62403" s="7"/>
      <c r="B62403" s="7"/>
    </row>
    <row r="62404" ht="15.75" customHeight="1">
      <c r="A62404" s="7"/>
      <c r="B62404" s="7"/>
    </row>
    <row r="62405" ht="15.75" customHeight="1">
      <c r="A62405" s="7"/>
      <c r="B62405" s="7"/>
    </row>
    <row r="62406" ht="15.75" customHeight="1">
      <c r="A62406" s="7"/>
      <c r="B62406" s="7"/>
    </row>
    <row r="62407" ht="15.75" customHeight="1">
      <c r="A62407" s="7"/>
      <c r="B62407" s="7"/>
    </row>
    <row r="62408" ht="15.75" customHeight="1">
      <c r="A62408" s="7"/>
      <c r="B62408" s="7"/>
    </row>
    <row r="62409" ht="15.75" customHeight="1">
      <c r="A62409" s="7"/>
      <c r="B62409" s="7"/>
    </row>
    <row r="62410" ht="15.75" customHeight="1">
      <c r="A62410" s="7"/>
      <c r="B62410" s="7"/>
    </row>
    <row r="62411" ht="15.75" customHeight="1">
      <c r="A62411" s="7"/>
      <c r="B62411" s="7"/>
    </row>
    <row r="62412" ht="15.75" customHeight="1">
      <c r="A62412" s="7"/>
      <c r="B62412" s="7"/>
    </row>
    <row r="62413" ht="15.75" customHeight="1">
      <c r="A62413" s="7"/>
      <c r="B62413" s="7"/>
    </row>
    <row r="62414" ht="15.75" customHeight="1">
      <c r="A62414" s="7"/>
      <c r="B62414" s="7"/>
    </row>
    <row r="62415" ht="15.75" customHeight="1">
      <c r="A62415" s="7"/>
      <c r="B62415" s="7"/>
    </row>
    <row r="62416" ht="15.75" customHeight="1">
      <c r="A62416" s="7"/>
      <c r="B62416" s="7"/>
    </row>
    <row r="62417" ht="15.75" customHeight="1">
      <c r="A62417" s="7"/>
      <c r="B62417" s="7"/>
    </row>
    <row r="62418" ht="15.75" customHeight="1">
      <c r="A62418" s="7"/>
      <c r="B62418" s="7"/>
    </row>
    <row r="62419" ht="15.75" customHeight="1">
      <c r="A62419" s="7"/>
      <c r="B62419" s="7"/>
    </row>
    <row r="62420" ht="15.75" customHeight="1">
      <c r="A62420" s="7"/>
      <c r="B62420" s="7"/>
    </row>
    <row r="62421" ht="15.75" customHeight="1">
      <c r="A62421" s="7"/>
      <c r="B62421" s="7"/>
    </row>
    <row r="62422" ht="15.75" customHeight="1">
      <c r="A62422" s="7"/>
      <c r="B62422" s="7"/>
    </row>
    <row r="62423" ht="15.75" customHeight="1">
      <c r="A62423" s="7"/>
      <c r="B62423" s="7"/>
    </row>
    <row r="62424" ht="15.75" customHeight="1">
      <c r="A62424" s="7"/>
      <c r="B62424" s="7"/>
    </row>
    <row r="62425" ht="15.75" customHeight="1">
      <c r="A62425" s="7"/>
      <c r="B62425" s="7"/>
    </row>
    <row r="62426" ht="15.75" customHeight="1">
      <c r="A62426" s="7"/>
      <c r="B62426" s="7"/>
    </row>
    <row r="62427" ht="15.75" customHeight="1">
      <c r="A62427" s="7"/>
      <c r="B62427" s="7"/>
    </row>
    <row r="62428" ht="15.75" customHeight="1">
      <c r="A62428" s="7"/>
      <c r="B62428" s="7"/>
    </row>
    <row r="62429" ht="15.75" customHeight="1">
      <c r="A62429" s="7"/>
      <c r="B62429" s="7"/>
    </row>
    <row r="62430" ht="15.75" customHeight="1">
      <c r="A62430" s="7"/>
      <c r="B62430" s="7"/>
    </row>
    <row r="62431" ht="15.75" customHeight="1">
      <c r="A62431" s="7"/>
      <c r="B62431" s="7"/>
    </row>
    <row r="62432" ht="15.75" customHeight="1">
      <c r="A62432" s="7"/>
      <c r="B62432" s="7"/>
    </row>
    <row r="62433" ht="15.75" customHeight="1">
      <c r="A62433" s="7"/>
      <c r="B62433" s="7"/>
    </row>
    <row r="62434" ht="15.75" customHeight="1">
      <c r="A62434" s="7"/>
      <c r="B62434" s="7"/>
    </row>
    <row r="62435" ht="15.75" customHeight="1">
      <c r="A62435" s="7"/>
      <c r="B62435" s="7"/>
    </row>
    <row r="62436" ht="15.75" customHeight="1">
      <c r="A62436" s="7"/>
      <c r="B62436" s="7"/>
    </row>
    <row r="62437" ht="15.75" customHeight="1">
      <c r="A62437" s="7"/>
      <c r="B62437" s="7"/>
    </row>
    <row r="62438" ht="15.75" customHeight="1">
      <c r="A62438" s="7"/>
      <c r="B62438" s="7"/>
    </row>
    <row r="62439" ht="15.75" customHeight="1">
      <c r="A62439" s="7"/>
      <c r="B62439" s="7"/>
    </row>
    <row r="62440" ht="15.75" customHeight="1">
      <c r="A62440" s="7"/>
      <c r="B62440" s="7"/>
    </row>
    <row r="62441" ht="15.75" customHeight="1">
      <c r="A62441" s="7"/>
      <c r="B62441" s="7"/>
    </row>
    <row r="62442" ht="15.75" customHeight="1">
      <c r="A62442" s="7"/>
      <c r="B62442" s="7"/>
    </row>
    <row r="62443" ht="15.75" customHeight="1">
      <c r="A62443" s="7"/>
      <c r="B62443" s="7"/>
    </row>
    <row r="62444" ht="15.75" customHeight="1">
      <c r="A62444" s="7"/>
      <c r="B62444" s="7"/>
    </row>
    <row r="62445" ht="15.75" customHeight="1">
      <c r="A62445" s="7"/>
      <c r="B62445" s="7"/>
    </row>
    <row r="62446" ht="15.75" customHeight="1">
      <c r="A62446" s="7"/>
      <c r="B62446" s="7"/>
    </row>
    <row r="62447" ht="15.75" customHeight="1">
      <c r="A62447" s="7"/>
      <c r="B62447" s="7"/>
    </row>
    <row r="62448" ht="15.75" customHeight="1">
      <c r="A62448" s="7"/>
      <c r="B62448" s="7"/>
    </row>
    <row r="62449" ht="15.75" customHeight="1">
      <c r="A62449" s="7"/>
      <c r="B62449" s="7"/>
    </row>
    <row r="62450" ht="15.75" customHeight="1">
      <c r="A62450" s="7"/>
      <c r="B62450" s="7"/>
    </row>
    <row r="62451" ht="15.75" customHeight="1">
      <c r="A62451" s="7"/>
      <c r="B62451" s="7"/>
    </row>
    <row r="62452" ht="15.75" customHeight="1">
      <c r="A62452" s="7"/>
      <c r="B62452" s="7"/>
    </row>
    <row r="62453" ht="15.75" customHeight="1">
      <c r="A62453" s="7"/>
      <c r="B62453" s="7"/>
    </row>
    <row r="62454" ht="15.75" customHeight="1">
      <c r="A62454" s="7"/>
      <c r="B62454" s="7"/>
    </row>
    <row r="62455" ht="15.75" customHeight="1">
      <c r="A62455" s="7"/>
      <c r="B62455" s="7"/>
    </row>
    <row r="62456" ht="15.75" customHeight="1">
      <c r="A62456" s="7"/>
      <c r="B62456" s="7"/>
    </row>
    <row r="62457" ht="15.75" customHeight="1">
      <c r="A62457" s="7"/>
      <c r="B62457" s="7"/>
    </row>
    <row r="62458" ht="15.75" customHeight="1">
      <c r="A62458" s="7"/>
      <c r="B62458" s="7"/>
    </row>
    <row r="62459" ht="15.75" customHeight="1">
      <c r="A62459" s="7"/>
      <c r="B62459" s="7"/>
    </row>
    <row r="62460" ht="15.75" customHeight="1">
      <c r="A62460" s="7"/>
      <c r="B62460" s="7"/>
    </row>
    <row r="62461" ht="15.75" customHeight="1">
      <c r="A62461" s="7"/>
      <c r="B62461" s="7"/>
    </row>
    <row r="62462" ht="15.75" customHeight="1">
      <c r="A62462" s="7"/>
      <c r="B62462" s="7"/>
    </row>
    <row r="62463" ht="15.75" customHeight="1">
      <c r="A62463" s="7"/>
      <c r="B62463" s="7"/>
    </row>
    <row r="62464" ht="15.75" customHeight="1">
      <c r="A62464" s="7"/>
      <c r="B62464" s="7"/>
    </row>
    <row r="62465" ht="15.75" customHeight="1">
      <c r="A62465" s="7"/>
      <c r="B62465" s="7"/>
    </row>
    <row r="62466" ht="15.75" customHeight="1">
      <c r="A62466" s="7"/>
      <c r="B62466" s="7"/>
    </row>
    <row r="62467" ht="15.75" customHeight="1">
      <c r="A62467" s="7"/>
      <c r="B62467" s="7"/>
    </row>
    <row r="62468" ht="15.75" customHeight="1">
      <c r="A62468" s="7"/>
      <c r="B62468" s="7"/>
    </row>
    <row r="62469" ht="15.75" customHeight="1">
      <c r="A62469" s="7"/>
      <c r="B62469" s="7"/>
    </row>
    <row r="62470" ht="15.75" customHeight="1">
      <c r="A62470" s="7"/>
      <c r="B62470" s="7"/>
    </row>
    <row r="62471" ht="15.75" customHeight="1">
      <c r="A62471" s="7"/>
      <c r="B62471" s="7"/>
    </row>
    <row r="62472" ht="15.75" customHeight="1">
      <c r="A62472" s="7"/>
      <c r="B62472" s="7"/>
    </row>
    <row r="62473" ht="15.75" customHeight="1">
      <c r="A62473" s="7"/>
      <c r="B62473" s="7"/>
    </row>
    <row r="62474" ht="15.75" customHeight="1">
      <c r="A62474" s="7"/>
      <c r="B62474" s="7"/>
    </row>
    <row r="62475" ht="15.75" customHeight="1">
      <c r="A62475" s="7"/>
      <c r="B62475" s="7"/>
    </row>
    <row r="62476" ht="15.75" customHeight="1">
      <c r="A62476" s="7"/>
      <c r="B62476" s="7"/>
    </row>
    <row r="62477" ht="15.75" customHeight="1">
      <c r="A62477" s="7"/>
      <c r="B62477" s="7"/>
    </row>
    <row r="62478" ht="15.75" customHeight="1">
      <c r="A62478" s="7"/>
      <c r="B62478" s="7"/>
    </row>
    <row r="62479" ht="15.75" customHeight="1">
      <c r="A62479" s="7"/>
      <c r="B62479" s="7"/>
    </row>
    <row r="62480" ht="15.75" customHeight="1">
      <c r="A62480" s="7"/>
      <c r="B62480" s="7"/>
    </row>
    <row r="62481" ht="15.75" customHeight="1">
      <c r="A62481" s="7"/>
      <c r="B62481" s="7"/>
    </row>
    <row r="62482" ht="15.75" customHeight="1">
      <c r="A62482" s="7"/>
      <c r="B62482" s="7"/>
    </row>
    <row r="62483" ht="15.75" customHeight="1">
      <c r="A62483" s="7"/>
      <c r="B62483" s="7"/>
    </row>
    <row r="62484" ht="15.75" customHeight="1">
      <c r="A62484" s="7"/>
      <c r="B62484" s="7"/>
    </row>
    <row r="62485" ht="15.75" customHeight="1">
      <c r="A62485" s="7"/>
      <c r="B62485" s="7"/>
    </row>
    <row r="62486" ht="15.75" customHeight="1">
      <c r="A62486" s="7"/>
      <c r="B62486" s="7"/>
    </row>
    <row r="62487" ht="15.75" customHeight="1">
      <c r="A62487" s="7"/>
      <c r="B62487" s="7"/>
    </row>
    <row r="62488" ht="15.75" customHeight="1">
      <c r="A62488" s="7"/>
      <c r="B62488" s="7"/>
    </row>
    <row r="62489" ht="15.75" customHeight="1">
      <c r="A62489" s="7"/>
      <c r="B62489" s="7"/>
    </row>
    <row r="62490" ht="15.75" customHeight="1">
      <c r="A62490" s="7"/>
      <c r="B62490" s="7"/>
    </row>
    <row r="62491" ht="15.75" customHeight="1">
      <c r="A62491" s="7"/>
      <c r="B62491" s="7"/>
    </row>
    <row r="62492" ht="15.75" customHeight="1">
      <c r="A62492" s="7"/>
      <c r="B62492" s="7"/>
    </row>
    <row r="62493" ht="15.75" customHeight="1">
      <c r="A62493" s="7"/>
      <c r="B62493" s="7"/>
    </row>
    <row r="62494" ht="15.75" customHeight="1">
      <c r="A62494" s="7"/>
      <c r="B62494" s="7"/>
    </row>
    <row r="62495" ht="15.75" customHeight="1">
      <c r="A62495" s="7"/>
      <c r="B62495" s="7"/>
    </row>
    <row r="62496" ht="15.75" customHeight="1">
      <c r="A62496" s="7"/>
      <c r="B62496" s="7"/>
    </row>
    <row r="62497" ht="15.75" customHeight="1">
      <c r="A62497" s="7"/>
      <c r="B62497" s="7"/>
    </row>
    <row r="62498" ht="15.75" customHeight="1">
      <c r="A62498" s="7"/>
      <c r="B62498" s="7"/>
    </row>
    <row r="62499" ht="15.75" customHeight="1">
      <c r="A62499" s="7"/>
      <c r="B62499" s="7"/>
    </row>
    <row r="62500" ht="15.75" customHeight="1">
      <c r="A62500" s="7"/>
      <c r="B62500" s="7"/>
    </row>
    <row r="62501" ht="15.75" customHeight="1">
      <c r="A62501" s="7"/>
      <c r="B62501" s="7"/>
    </row>
    <row r="62502" ht="15.75" customHeight="1">
      <c r="A62502" s="7"/>
      <c r="B62502" s="7"/>
    </row>
    <row r="62503" ht="15.75" customHeight="1">
      <c r="A62503" s="7"/>
      <c r="B62503" s="7"/>
    </row>
    <row r="62504" ht="15.75" customHeight="1">
      <c r="A62504" s="7"/>
      <c r="B62504" s="7"/>
    </row>
    <row r="62505" ht="15.75" customHeight="1">
      <c r="A62505" s="7"/>
      <c r="B62505" s="7"/>
    </row>
    <row r="62506" ht="15.75" customHeight="1">
      <c r="A62506" s="7"/>
      <c r="B62506" s="7"/>
    </row>
    <row r="62507" ht="15.75" customHeight="1">
      <c r="A62507" s="7"/>
      <c r="B62507" s="7"/>
    </row>
    <row r="62508" ht="15.75" customHeight="1">
      <c r="A62508" s="7"/>
      <c r="B62508" s="7"/>
    </row>
    <row r="62509" ht="15.75" customHeight="1">
      <c r="A62509" s="7"/>
      <c r="B62509" s="7"/>
    </row>
    <row r="62510" ht="15.75" customHeight="1">
      <c r="A62510" s="7"/>
      <c r="B62510" s="7"/>
    </row>
    <row r="62511" ht="15.75" customHeight="1">
      <c r="A62511" s="7"/>
      <c r="B62511" s="7"/>
    </row>
    <row r="62512" ht="15.75" customHeight="1">
      <c r="A62512" s="7"/>
      <c r="B62512" s="7"/>
    </row>
    <row r="62513" ht="15.75" customHeight="1">
      <c r="A62513" s="7"/>
      <c r="B62513" s="7"/>
    </row>
    <row r="62514" ht="15.75" customHeight="1">
      <c r="A62514" s="7"/>
      <c r="B62514" s="7"/>
    </row>
    <row r="62515" ht="15.75" customHeight="1">
      <c r="A62515" s="7"/>
      <c r="B62515" s="7"/>
    </row>
    <row r="62516" ht="15.75" customHeight="1">
      <c r="A62516" s="7"/>
      <c r="B62516" s="7"/>
    </row>
    <row r="62517" ht="15.75" customHeight="1">
      <c r="A62517" s="7"/>
      <c r="B62517" s="7"/>
    </row>
    <row r="62518" ht="15.75" customHeight="1">
      <c r="A62518" s="7"/>
      <c r="B62518" s="7"/>
    </row>
    <row r="62519" ht="15.75" customHeight="1">
      <c r="A62519" s="7"/>
      <c r="B62519" s="7"/>
    </row>
    <row r="62520" ht="15.75" customHeight="1">
      <c r="A62520" s="7"/>
      <c r="B62520" s="7"/>
    </row>
    <row r="62521" ht="15.75" customHeight="1">
      <c r="A62521" s="7"/>
      <c r="B62521" s="7"/>
    </row>
    <row r="62522" ht="15.75" customHeight="1">
      <c r="A62522" s="7"/>
      <c r="B62522" s="7"/>
    </row>
    <row r="62523" ht="15.75" customHeight="1">
      <c r="A62523" s="7"/>
      <c r="B62523" s="7"/>
    </row>
    <row r="62524" ht="15.75" customHeight="1">
      <c r="A62524" s="7"/>
      <c r="B62524" s="7"/>
    </row>
    <row r="62525" ht="15.75" customHeight="1">
      <c r="A62525" s="7"/>
      <c r="B62525" s="7"/>
    </row>
    <row r="62526" ht="15.75" customHeight="1">
      <c r="A62526" s="7"/>
      <c r="B62526" s="7"/>
    </row>
    <row r="62527" ht="15.75" customHeight="1">
      <c r="A62527" s="7"/>
      <c r="B62527" s="7"/>
    </row>
    <row r="62528" ht="15.75" customHeight="1">
      <c r="A62528" s="7"/>
      <c r="B62528" s="7"/>
    </row>
    <row r="62529" ht="15.75" customHeight="1">
      <c r="A62529" s="7"/>
      <c r="B62529" s="7"/>
    </row>
    <row r="62530" ht="15.75" customHeight="1">
      <c r="A62530" s="7"/>
      <c r="B62530" s="7"/>
    </row>
    <row r="62531" ht="15.75" customHeight="1">
      <c r="A62531" s="7"/>
      <c r="B62531" s="7"/>
    </row>
    <row r="62532" ht="15.75" customHeight="1">
      <c r="A62532" s="7"/>
      <c r="B62532" s="7"/>
    </row>
    <row r="62533" ht="15.75" customHeight="1">
      <c r="A62533" s="7"/>
      <c r="B62533" s="7"/>
    </row>
    <row r="62534" ht="15.75" customHeight="1">
      <c r="A62534" s="7"/>
      <c r="B62534" s="7"/>
    </row>
    <row r="62535" ht="15.75" customHeight="1">
      <c r="A62535" s="7"/>
      <c r="B62535" s="7"/>
    </row>
    <row r="62536" ht="15.75" customHeight="1">
      <c r="A62536" s="7"/>
      <c r="B62536" s="7"/>
    </row>
    <row r="62537" ht="15.75" customHeight="1">
      <c r="A62537" s="7"/>
      <c r="B62537" s="7"/>
    </row>
    <row r="62538" ht="15.75" customHeight="1">
      <c r="A62538" s="7"/>
      <c r="B62538" s="7"/>
    </row>
    <row r="62539" ht="15.75" customHeight="1">
      <c r="A62539" s="7"/>
      <c r="B62539" s="7"/>
    </row>
    <row r="62540" ht="15.75" customHeight="1">
      <c r="A62540" s="7"/>
      <c r="B62540" s="7"/>
    </row>
    <row r="62541" ht="15.75" customHeight="1">
      <c r="A62541" s="7"/>
      <c r="B62541" s="7"/>
    </row>
    <row r="62542" ht="15.75" customHeight="1">
      <c r="A62542" s="7"/>
      <c r="B62542" s="7"/>
    </row>
    <row r="62543" ht="15.75" customHeight="1">
      <c r="A62543" s="7"/>
      <c r="B62543" s="7"/>
    </row>
    <row r="62544" ht="15.75" customHeight="1">
      <c r="A62544" s="7"/>
      <c r="B62544" s="7"/>
    </row>
    <row r="62545" ht="15.75" customHeight="1">
      <c r="A62545" s="7"/>
      <c r="B62545" s="7"/>
    </row>
    <row r="62546" ht="15.75" customHeight="1">
      <c r="A62546" s="7"/>
      <c r="B62546" s="7"/>
    </row>
    <row r="62547" ht="15.75" customHeight="1">
      <c r="A62547" s="7"/>
      <c r="B62547" s="7"/>
    </row>
    <row r="62548" ht="15.75" customHeight="1">
      <c r="A62548" s="7"/>
      <c r="B62548" s="7"/>
    </row>
    <row r="62549" ht="15.75" customHeight="1">
      <c r="A62549" s="7"/>
      <c r="B62549" s="7"/>
    </row>
    <row r="62550" ht="15.75" customHeight="1">
      <c r="A62550" s="7"/>
      <c r="B62550" s="7"/>
    </row>
    <row r="62551" ht="15.75" customHeight="1">
      <c r="A62551" s="7"/>
      <c r="B62551" s="7"/>
    </row>
    <row r="62552" ht="15.75" customHeight="1">
      <c r="A62552" s="7"/>
      <c r="B62552" s="7"/>
    </row>
    <row r="62553" ht="15.75" customHeight="1">
      <c r="A62553" s="7"/>
      <c r="B62553" s="7"/>
    </row>
    <row r="62554" ht="15.75" customHeight="1">
      <c r="A62554" s="7"/>
      <c r="B62554" s="7"/>
    </row>
    <row r="62555" ht="15.75" customHeight="1">
      <c r="A62555" s="7"/>
      <c r="B62555" s="7"/>
    </row>
    <row r="62556" ht="15.75" customHeight="1">
      <c r="A62556" s="7"/>
      <c r="B62556" s="7"/>
    </row>
    <row r="62557" ht="15.75" customHeight="1">
      <c r="A62557" s="7"/>
      <c r="B62557" s="7"/>
    </row>
    <row r="62558" ht="15.75" customHeight="1">
      <c r="A62558" s="7"/>
      <c r="B62558" s="7"/>
    </row>
    <row r="62559" ht="15.75" customHeight="1">
      <c r="A62559" s="7"/>
      <c r="B62559" s="7"/>
    </row>
    <row r="62560" ht="15.75" customHeight="1">
      <c r="A62560" s="7"/>
      <c r="B62560" s="7"/>
    </row>
    <row r="62561" ht="15.75" customHeight="1">
      <c r="A62561" s="7"/>
      <c r="B62561" s="7"/>
    </row>
    <row r="62562" ht="15.75" customHeight="1">
      <c r="A62562" s="7"/>
      <c r="B62562" s="7"/>
    </row>
    <row r="62563" ht="15.75" customHeight="1">
      <c r="A62563" s="7"/>
      <c r="B62563" s="7"/>
    </row>
    <row r="62564" ht="15.75" customHeight="1">
      <c r="A62564" s="7"/>
      <c r="B62564" s="7"/>
    </row>
    <row r="62565" ht="15.75" customHeight="1">
      <c r="A62565" s="7"/>
      <c r="B62565" s="7"/>
    </row>
    <row r="62566" ht="15.75" customHeight="1">
      <c r="A62566" s="7"/>
      <c r="B62566" s="7"/>
    </row>
    <row r="62567" ht="15.75" customHeight="1">
      <c r="A62567" s="7"/>
      <c r="B62567" s="7"/>
    </row>
    <row r="62568" ht="15.75" customHeight="1">
      <c r="A62568" s="7"/>
      <c r="B62568" s="7"/>
    </row>
    <row r="62569" ht="15.75" customHeight="1">
      <c r="A62569" s="7"/>
      <c r="B62569" s="7"/>
    </row>
    <row r="62570" ht="15.75" customHeight="1">
      <c r="A62570" s="7"/>
      <c r="B62570" s="7"/>
    </row>
    <row r="62571" ht="15.75" customHeight="1">
      <c r="A62571" s="7"/>
      <c r="B62571" s="7"/>
    </row>
    <row r="62572" ht="15.75" customHeight="1">
      <c r="A62572" s="7"/>
      <c r="B62572" s="7"/>
    </row>
    <row r="62573" ht="15.75" customHeight="1">
      <c r="A62573" s="7"/>
      <c r="B62573" s="7"/>
    </row>
    <row r="62574" ht="15.75" customHeight="1">
      <c r="A62574" s="7"/>
      <c r="B62574" s="7"/>
    </row>
    <row r="62575" ht="15.75" customHeight="1">
      <c r="A62575" s="7"/>
      <c r="B62575" s="7"/>
    </row>
    <row r="62576" ht="15.75" customHeight="1">
      <c r="A62576" s="7"/>
      <c r="B62576" s="7"/>
    </row>
    <row r="62577" ht="15.75" customHeight="1">
      <c r="A62577" s="7"/>
      <c r="B62577" s="7"/>
    </row>
    <row r="62578" ht="15.75" customHeight="1">
      <c r="A62578" s="7"/>
      <c r="B62578" s="7"/>
    </row>
    <row r="62579" ht="15.75" customHeight="1">
      <c r="A62579" s="7"/>
      <c r="B62579" s="7"/>
    </row>
    <row r="62580" ht="15.75" customHeight="1">
      <c r="A62580" s="7"/>
      <c r="B62580" s="7"/>
    </row>
    <row r="62581" ht="15.75" customHeight="1">
      <c r="A62581" s="7"/>
      <c r="B62581" s="7"/>
    </row>
    <row r="62582" ht="15.75" customHeight="1">
      <c r="A62582" s="7"/>
      <c r="B62582" s="7"/>
    </row>
    <row r="62583" ht="15.75" customHeight="1">
      <c r="A62583" s="7"/>
      <c r="B62583" s="7"/>
    </row>
    <row r="62584" ht="15.75" customHeight="1">
      <c r="A62584" s="7"/>
      <c r="B62584" s="7"/>
    </row>
    <row r="62585" ht="15.75" customHeight="1">
      <c r="A62585" s="7"/>
      <c r="B62585" s="7"/>
    </row>
    <row r="62586" ht="15.75" customHeight="1">
      <c r="A62586" s="7"/>
      <c r="B62586" s="7"/>
    </row>
    <row r="62587" ht="15.75" customHeight="1">
      <c r="A62587" s="7"/>
      <c r="B62587" s="7"/>
    </row>
    <row r="62588" ht="15.75" customHeight="1">
      <c r="A62588" s="7"/>
      <c r="B62588" s="7"/>
    </row>
    <row r="62589" ht="15.75" customHeight="1">
      <c r="A62589" s="7"/>
      <c r="B62589" s="7"/>
    </row>
    <row r="62590" ht="15.75" customHeight="1">
      <c r="A62590" s="7"/>
      <c r="B62590" s="7"/>
    </row>
    <row r="62591" ht="15.75" customHeight="1">
      <c r="A62591" s="7"/>
      <c r="B62591" s="7"/>
    </row>
    <row r="62592" ht="15.75" customHeight="1">
      <c r="A62592" s="7"/>
      <c r="B62592" s="7"/>
    </row>
    <row r="62593" ht="15.75" customHeight="1">
      <c r="A62593" s="7"/>
      <c r="B62593" s="7"/>
    </row>
    <row r="62594" ht="15.75" customHeight="1">
      <c r="A62594" s="7"/>
      <c r="B62594" s="7"/>
    </row>
    <row r="62595" ht="15.75" customHeight="1">
      <c r="A62595" s="7"/>
      <c r="B62595" s="7"/>
    </row>
    <row r="62596" ht="15.75" customHeight="1">
      <c r="A62596" s="7"/>
      <c r="B62596" s="7"/>
    </row>
    <row r="62597" ht="15.75" customHeight="1">
      <c r="A62597" s="7"/>
      <c r="B62597" s="7"/>
    </row>
    <row r="62598" ht="15.75" customHeight="1">
      <c r="A62598" s="7"/>
      <c r="B62598" s="7"/>
    </row>
    <row r="62599" ht="15.75" customHeight="1">
      <c r="A62599" s="7"/>
      <c r="B62599" s="7"/>
    </row>
    <row r="62600" ht="15.75" customHeight="1">
      <c r="A62600" s="7"/>
      <c r="B62600" s="7"/>
    </row>
    <row r="62601" ht="15.75" customHeight="1">
      <c r="A62601" s="7"/>
      <c r="B62601" s="7"/>
    </row>
    <row r="62602" ht="15.75" customHeight="1">
      <c r="A62602" s="7"/>
      <c r="B62602" s="7"/>
    </row>
    <row r="62603" ht="15.75" customHeight="1">
      <c r="A62603" s="7"/>
      <c r="B62603" s="7"/>
    </row>
    <row r="62604" ht="15.75" customHeight="1">
      <c r="A62604" s="7"/>
      <c r="B62604" s="7"/>
    </row>
    <row r="62605" ht="15.75" customHeight="1">
      <c r="A62605" s="7"/>
      <c r="B62605" s="7"/>
    </row>
    <row r="62606" ht="15.75" customHeight="1">
      <c r="A62606" s="7"/>
      <c r="B62606" s="7"/>
    </row>
    <row r="62607" ht="15.75" customHeight="1">
      <c r="A62607" s="7"/>
      <c r="B62607" s="7"/>
    </row>
    <row r="62608" ht="15.75" customHeight="1">
      <c r="A62608" s="7"/>
      <c r="B62608" s="7"/>
    </row>
    <row r="62609" ht="15.75" customHeight="1">
      <c r="A62609" s="7"/>
      <c r="B62609" s="7"/>
    </row>
    <row r="62610" ht="15.75" customHeight="1">
      <c r="A62610" s="7"/>
      <c r="B62610" s="7"/>
    </row>
    <row r="62611" ht="15.75" customHeight="1">
      <c r="A62611" s="7"/>
      <c r="B62611" s="7"/>
    </row>
    <row r="62612" ht="15.75" customHeight="1">
      <c r="A62612" s="7"/>
      <c r="B62612" s="7"/>
    </row>
    <row r="62613" ht="15.75" customHeight="1">
      <c r="A62613" s="7"/>
      <c r="B62613" s="7"/>
    </row>
    <row r="62614" ht="15.75" customHeight="1">
      <c r="A62614" s="7"/>
      <c r="B62614" s="7"/>
    </row>
    <row r="62615" ht="15.75" customHeight="1">
      <c r="A62615" s="7"/>
      <c r="B62615" s="7"/>
    </row>
    <row r="62616" ht="15.75" customHeight="1">
      <c r="A62616" s="7"/>
      <c r="B62616" s="7"/>
    </row>
    <row r="62617" ht="15.75" customHeight="1">
      <c r="A62617" s="7"/>
      <c r="B62617" s="7"/>
    </row>
    <row r="62618" ht="15.75" customHeight="1">
      <c r="A62618" s="7"/>
      <c r="B62618" s="7"/>
    </row>
    <row r="62619" ht="15.75" customHeight="1">
      <c r="A62619" s="7"/>
      <c r="B62619" s="7"/>
    </row>
    <row r="62620" ht="15.75" customHeight="1">
      <c r="A62620" s="7"/>
      <c r="B62620" s="7"/>
    </row>
    <row r="62621" ht="15.75" customHeight="1">
      <c r="A62621" s="7"/>
      <c r="B62621" s="7"/>
    </row>
    <row r="62622" ht="15.75" customHeight="1">
      <c r="A62622" s="7"/>
      <c r="B62622" s="7"/>
    </row>
    <row r="62623" ht="15.75" customHeight="1">
      <c r="A62623" s="7"/>
      <c r="B62623" s="7"/>
    </row>
    <row r="62624" ht="15.75" customHeight="1">
      <c r="A62624" s="7"/>
      <c r="B62624" s="7"/>
    </row>
    <row r="62625" ht="15.75" customHeight="1">
      <c r="A62625" s="7"/>
      <c r="B62625" s="7"/>
    </row>
    <row r="62626" ht="15.75" customHeight="1">
      <c r="A62626" s="7"/>
      <c r="B62626" s="7"/>
    </row>
    <row r="62627" ht="15.75" customHeight="1">
      <c r="A62627" s="7"/>
      <c r="B62627" s="7"/>
    </row>
    <row r="62628" ht="15.75" customHeight="1">
      <c r="A62628" s="7"/>
      <c r="B62628" s="7"/>
    </row>
    <row r="62629" ht="15.75" customHeight="1">
      <c r="A62629" s="7"/>
      <c r="B62629" s="7"/>
    </row>
    <row r="62630" ht="15.75" customHeight="1">
      <c r="A62630" s="7"/>
      <c r="B62630" s="7"/>
    </row>
    <row r="62631" ht="15.75" customHeight="1">
      <c r="A62631" s="7"/>
      <c r="B62631" s="7"/>
    </row>
    <row r="62632" ht="15.75" customHeight="1">
      <c r="A62632" s="7"/>
      <c r="B62632" s="7"/>
    </row>
    <row r="62633" ht="15.75" customHeight="1">
      <c r="A62633" s="7"/>
      <c r="B62633" s="7"/>
    </row>
    <row r="62634" ht="15.75" customHeight="1">
      <c r="A62634" s="7"/>
      <c r="B62634" s="7"/>
    </row>
    <row r="62635" ht="15.75" customHeight="1">
      <c r="A62635" s="7"/>
      <c r="B62635" s="7"/>
    </row>
    <row r="62636" ht="15.75" customHeight="1">
      <c r="A62636" s="7"/>
      <c r="B62636" s="7"/>
    </row>
    <row r="62637" ht="15.75" customHeight="1">
      <c r="A62637" s="7"/>
      <c r="B62637" s="7"/>
    </row>
    <row r="62638" ht="15.75" customHeight="1">
      <c r="A62638" s="7"/>
      <c r="B62638" s="7"/>
    </row>
    <row r="62639" ht="15.75" customHeight="1">
      <c r="A62639" s="7"/>
      <c r="B62639" s="7"/>
    </row>
    <row r="62640" ht="15.75" customHeight="1">
      <c r="A62640" s="7"/>
      <c r="B62640" s="7"/>
    </row>
    <row r="62641" ht="15.75" customHeight="1">
      <c r="A62641" s="7"/>
      <c r="B62641" s="7"/>
    </row>
    <row r="62642" ht="15.75" customHeight="1">
      <c r="A62642" s="7"/>
      <c r="B62642" s="7"/>
    </row>
    <row r="62643" ht="15.75" customHeight="1">
      <c r="A62643" s="7"/>
      <c r="B62643" s="7"/>
    </row>
    <row r="62644" ht="15.75" customHeight="1">
      <c r="A62644" s="7"/>
      <c r="B62644" s="7"/>
    </row>
    <row r="62645" ht="15.75" customHeight="1">
      <c r="A62645" s="7"/>
      <c r="B62645" s="7"/>
    </row>
    <row r="62646" ht="15.75" customHeight="1">
      <c r="A62646" s="7"/>
      <c r="B62646" s="7"/>
    </row>
    <row r="62647" ht="15.75" customHeight="1">
      <c r="A62647" s="7"/>
      <c r="B62647" s="7"/>
    </row>
    <row r="62648" ht="15.75" customHeight="1">
      <c r="A62648" s="7"/>
      <c r="B62648" s="7"/>
    </row>
    <row r="62649" ht="15.75" customHeight="1">
      <c r="A62649" s="7"/>
      <c r="B62649" s="7"/>
    </row>
    <row r="62650" ht="15.75" customHeight="1">
      <c r="A62650" s="7"/>
      <c r="B62650" s="7"/>
    </row>
    <row r="62651" ht="15.75" customHeight="1">
      <c r="A62651" s="7"/>
      <c r="B62651" s="7"/>
    </row>
    <row r="62652" ht="15.75" customHeight="1">
      <c r="A62652" s="7"/>
      <c r="B62652" s="7"/>
    </row>
    <row r="62653" ht="15.75" customHeight="1">
      <c r="A62653" s="7"/>
      <c r="B62653" s="7"/>
    </row>
    <row r="62654" ht="15.75" customHeight="1">
      <c r="A62654" s="7"/>
      <c r="B62654" s="7"/>
    </row>
    <row r="62655" ht="15.75" customHeight="1">
      <c r="A62655" s="7"/>
      <c r="B62655" s="7"/>
    </row>
    <row r="62656" ht="15.75" customHeight="1">
      <c r="A62656" s="7"/>
      <c r="B62656" s="7"/>
    </row>
    <row r="62657" ht="15.75" customHeight="1">
      <c r="A62657" s="7"/>
      <c r="B62657" s="7"/>
    </row>
    <row r="62658" ht="15.75" customHeight="1">
      <c r="A62658" s="7"/>
      <c r="B62658" s="7"/>
    </row>
    <row r="62659" ht="15.75" customHeight="1">
      <c r="A62659" s="7"/>
      <c r="B62659" s="7"/>
    </row>
    <row r="62660" ht="15.75" customHeight="1">
      <c r="A62660" s="7"/>
      <c r="B62660" s="7"/>
    </row>
    <row r="62661" ht="15.75" customHeight="1">
      <c r="A62661" s="7"/>
      <c r="B62661" s="7"/>
    </row>
    <row r="62662" ht="15.75" customHeight="1">
      <c r="A62662" s="7"/>
      <c r="B62662" s="7"/>
    </row>
    <row r="62663" ht="15.75" customHeight="1">
      <c r="A62663" s="7"/>
      <c r="B62663" s="7"/>
    </row>
    <row r="62664" ht="15.75" customHeight="1">
      <c r="A62664" s="7"/>
      <c r="B62664" s="7"/>
    </row>
    <row r="62665" ht="15.75" customHeight="1">
      <c r="A62665" s="7"/>
      <c r="B62665" s="7"/>
    </row>
    <row r="62666" ht="15.75" customHeight="1">
      <c r="A62666" s="7"/>
      <c r="B62666" s="7"/>
    </row>
    <row r="62667" ht="15.75" customHeight="1">
      <c r="A62667" s="7"/>
      <c r="B62667" s="7"/>
    </row>
    <row r="62668" ht="15.75" customHeight="1">
      <c r="A62668" s="7"/>
      <c r="B62668" s="7"/>
    </row>
    <row r="62669" ht="15.75" customHeight="1">
      <c r="A62669" s="7"/>
      <c r="B62669" s="7"/>
    </row>
    <row r="62670" ht="15.75" customHeight="1">
      <c r="A62670" s="7"/>
      <c r="B62670" s="7"/>
    </row>
    <row r="62671" ht="15.75" customHeight="1">
      <c r="A62671" s="7"/>
      <c r="B62671" s="7"/>
    </row>
    <row r="62672" ht="15.75" customHeight="1">
      <c r="A62672" s="7"/>
      <c r="B62672" s="7"/>
    </row>
    <row r="62673" ht="15.75" customHeight="1">
      <c r="A62673" s="7"/>
      <c r="B62673" s="7"/>
    </row>
    <row r="62674" ht="15.75" customHeight="1">
      <c r="A62674" s="7"/>
      <c r="B62674" s="7"/>
    </row>
    <row r="62675" ht="15.75" customHeight="1">
      <c r="A62675" s="7"/>
      <c r="B62675" s="7"/>
    </row>
    <row r="62676" ht="15.75" customHeight="1">
      <c r="A62676" s="7"/>
      <c r="B62676" s="7"/>
    </row>
    <row r="62677" ht="15.75" customHeight="1">
      <c r="A62677" s="7"/>
      <c r="B62677" s="7"/>
    </row>
    <row r="62678" ht="15.75" customHeight="1">
      <c r="A62678" s="7"/>
      <c r="B62678" s="7"/>
    </row>
    <row r="62679" ht="15.75" customHeight="1">
      <c r="A62679" s="7"/>
      <c r="B62679" s="7"/>
    </row>
    <row r="62680" ht="15.75" customHeight="1">
      <c r="A62680" s="7"/>
      <c r="B62680" s="7"/>
    </row>
    <row r="62681" ht="15.75" customHeight="1">
      <c r="A62681" s="7"/>
      <c r="B62681" s="7"/>
    </row>
    <row r="62682" ht="15.75" customHeight="1">
      <c r="A62682" s="7"/>
      <c r="B62682" s="7"/>
    </row>
    <row r="62683" ht="15.75" customHeight="1">
      <c r="A62683" s="7"/>
      <c r="B62683" s="7"/>
    </row>
    <row r="62684" ht="15.75" customHeight="1">
      <c r="A62684" s="7"/>
      <c r="B62684" s="7"/>
    </row>
    <row r="62685" ht="15.75" customHeight="1">
      <c r="A62685" s="7"/>
      <c r="B62685" s="7"/>
    </row>
    <row r="62686" ht="15.75" customHeight="1">
      <c r="A62686" s="7"/>
      <c r="B62686" s="7"/>
    </row>
    <row r="62687" ht="15.75" customHeight="1">
      <c r="A62687" s="7"/>
      <c r="B62687" s="7"/>
    </row>
    <row r="62688" ht="15.75" customHeight="1">
      <c r="A62688" s="7"/>
      <c r="B62688" s="7"/>
    </row>
    <row r="62689" ht="15.75" customHeight="1">
      <c r="A62689" s="7"/>
      <c r="B62689" s="7"/>
    </row>
    <row r="62690" ht="15.75" customHeight="1">
      <c r="A62690" s="7"/>
      <c r="B62690" s="7"/>
    </row>
    <row r="62691" ht="15.75" customHeight="1">
      <c r="A62691" s="7"/>
      <c r="B62691" s="7"/>
    </row>
    <row r="62692" ht="15.75" customHeight="1">
      <c r="A62692" s="7"/>
      <c r="B62692" s="7"/>
    </row>
    <row r="62693" ht="15.75" customHeight="1">
      <c r="A62693" s="7"/>
      <c r="B62693" s="7"/>
    </row>
    <row r="62694" ht="15.75" customHeight="1">
      <c r="A62694" s="7"/>
      <c r="B62694" s="7"/>
    </row>
    <row r="62695" ht="15.75" customHeight="1">
      <c r="A62695" s="7"/>
      <c r="B62695" s="7"/>
    </row>
    <row r="62696" ht="15.75" customHeight="1">
      <c r="A62696" s="7"/>
      <c r="B62696" s="7"/>
    </row>
    <row r="62697" ht="15.75" customHeight="1">
      <c r="A62697" s="7"/>
      <c r="B62697" s="7"/>
    </row>
    <row r="62698" ht="15.75" customHeight="1">
      <c r="A62698" s="7"/>
      <c r="B62698" s="7"/>
    </row>
    <row r="62699" ht="15.75" customHeight="1">
      <c r="A62699" s="7"/>
      <c r="B62699" s="7"/>
    </row>
    <row r="62700" ht="15.75" customHeight="1">
      <c r="A62700" s="7"/>
      <c r="B62700" s="7"/>
    </row>
    <row r="62701" ht="15.75" customHeight="1">
      <c r="A62701" s="7"/>
      <c r="B62701" s="7"/>
    </row>
    <row r="62702" ht="15.75" customHeight="1">
      <c r="A62702" s="7"/>
      <c r="B62702" s="7"/>
    </row>
    <row r="62703" ht="15.75" customHeight="1">
      <c r="A62703" s="7"/>
      <c r="B62703" s="7"/>
    </row>
    <row r="62704" ht="15.75" customHeight="1">
      <c r="A62704" s="7"/>
      <c r="B62704" s="7"/>
    </row>
    <row r="62705" ht="15.75" customHeight="1">
      <c r="A62705" s="7"/>
      <c r="B62705" s="7"/>
    </row>
    <row r="62706" ht="15.75" customHeight="1">
      <c r="A62706" s="7"/>
      <c r="B62706" s="7"/>
    </row>
    <row r="62707" ht="15.75" customHeight="1">
      <c r="A62707" s="7"/>
      <c r="B62707" s="7"/>
    </row>
    <row r="62708" ht="15.75" customHeight="1">
      <c r="A62708" s="7"/>
      <c r="B62708" s="7"/>
    </row>
    <row r="62709" ht="15.75" customHeight="1">
      <c r="A62709" s="7"/>
      <c r="B62709" s="7"/>
    </row>
    <row r="62710" ht="15.75" customHeight="1">
      <c r="A62710" s="7"/>
      <c r="B62710" s="7"/>
    </row>
    <row r="62711" ht="15.75" customHeight="1">
      <c r="A62711" s="7"/>
      <c r="B62711" s="7"/>
    </row>
    <row r="62712" ht="15.75" customHeight="1">
      <c r="A62712" s="7"/>
      <c r="B62712" s="7"/>
    </row>
    <row r="62713" ht="15.75" customHeight="1">
      <c r="A62713" s="7"/>
      <c r="B62713" s="7"/>
    </row>
    <row r="62714" ht="15.75" customHeight="1">
      <c r="A62714" s="7"/>
      <c r="B62714" s="7"/>
    </row>
    <row r="62715" ht="15.75" customHeight="1">
      <c r="A62715" s="7"/>
      <c r="B62715" s="7"/>
    </row>
    <row r="62716" ht="15.75" customHeight="1">
      <c r="A62716" s="7"/>
      <c r="B62716" s="7"/>
    </row>
    <row r="62717" ht="15.75" customHeight="1">
      <c r="A62717" s="7"/>
      <c r="B62717" s="7"/>
    </row>
    <row r="62718" ht="15.75" customHeight="1">
      <c r="A62718" s="7"/>
      <c r="B62718" s="7"/>
    </row>
    <row r="62719" ht="15.75" customHeight="1">
      <c r="A62719" s="7"/>
      <c r="B62719" s="7"/>
    </row>
    <row r="62720" ht="15.75" customHeight="1">
      <c r="A62720" s="7"/>
      <c r="B62720" s="7"/>
    </row>
    <row r="62721" ht="15.75" customHeight="1">
      <c r="A62721" s="7"/>
      <c r="B62721" s="7"/>
    </row>
    <row r="62722" ht="15.75" customHeight="1">
      <c r="A62722" s="7"/>
      <c r="B62722" s="7"/>
    </row>
    <row r="62723" ht="15.75" customHeight="1">
      <c r="A62723" s="7"/>
      <c r="B62723" s="7"/>
    </row>
    <row r="62724" ht="15.75" customHeight="1">
      <c r="A62724" s="7"/>
      <c r="B62724" s="7"/>
    </row>
    <row r="62725" ht="15.75" customHeight="1">
      <c r="A62725" s="7"/>
      <c r="B62725" s="7"/>
    </row>
    <row r="62726" ht="15.75" customHeight="1">
      <c r="A62726" s="7"/>
      <c r="B62726" s="7"/>
    </row>
    <row r="62727" ht="15.75" customHeight="1">
      <c r="A62727" s="7"/>
      <c r="B62727" s="7"/>
    </row>
    <row r="62728" ht="15.75" customHeight="1">
      <c r="A62728" s="7"/>
      <c r="B62728" s="7"/>
    </row>
    <row r="62729" ht="15.75" customHeight="1">
      <c r="A62729" s="7"/>
      <c r="B62729" s="7"/>
    </row>
    <row r="62730" ht="15.75" customHeight="1">
      <c r="A62730" s="7"/>
      <c r="B62730" s="7"/>
    </row>
    <row r="62731" ht="15.75" customHeight="1">
      <c r="A62731" s="7"/>
      <c r="B62731" s="7"/>
    </row>
    <row r="62732" ht="15.75" customHeight="1">
      <c r="A62732" s="7"/>
      <c r="B62732" s="7"/>
    </row>
    <row r="62733" ht="15.75" customHeight="1">
      <c r="A62733" s="7"/>
      <c r="B62733" s="7"/>
    </row>
    <row r="62734" ht="15.75" customHeight="1">
      <c r="A62734" s="7"/>
      <c r="B62734" s="7"/>
    </row>
    <row r="62735" ht="15.75" customHeight="1">
      <c r="A62735" s="7"/>
      <c r="B62735" s="7"/>
    </row>
    <row r="62736" ht="15.75" customHeight="1">
      <c r="A62736" s="7"/>
      <c r="B62736" s="7"/>
    </row>
    <row r="62737" ht="15.75" customHeight="1">
      <c r="A62737" s="7"/>
      <c r="B62737" s="7"/>
    </row>
    <row r="62738" ht="15.75" customHeight="1">
      <c r="A62738" s="7"/>
      <c r="B62738" s="7"/>
    </row>
    <row r="62739" ht="15.75" customHeight="1">
      <c r="A62739" s="7"/>
      <c r="B62739" s="7"/>
    </row>
    <row r="62740" ht="15.75" customHeight="1">
      <c r="A62740" s="7"/>
      <c r="B62740" s="7"/>
    </row>
    <row r="62741" ht="15.75" customHeight="1">
      <c r="A62741" s="7"/>
      <c r="B62741" s="7"/>
    </row>
    <row r="62742" ht="15.75" customHeight="1">
      <c r="A62742" s="7"/>
      <c r="B62742" s="7"/>
    </row>
    <row r="62743" ht="15.75" customHeight="1">
      <c r="A62743" s="7"/>
      <c r="B62743" s="7"/>
    </row>
    <row r="62744" ht="15.75" customHeight="1">
      <c r="A62744" s="7"/>
      <c r="B62744" s="7"/>
    </row>
    <row r="62745" ht="15.75" customHeight="1">
      <c r="A62745" s="7"/>
      <c r="B62745" s="7"/>
    </row>
    <row r="62746" ht="15.75" customHeight="1">
      <c r="A62746" s="7"/>
      <c r="B62746" s="7"/>
    </row>
    <row r="62747" ht="15.75" customHeight="1">
      <c r="A62747" s="7"/>
      <c r="B62747" s="7"/>
    </row>
    <row r="62748" ht="15.75" customHeight="1">
      <c r="A62748" s="7"/>
      <c r="B62748" s="7"/>
    </row>
    <row r="62749" ht="15.75" customHeight="1">
      <c r="A62749" s="7"/>
      <c r="B62749" s="7"/>
    </row>
    <row r="62750" ht="15.75" customHeight="1">
      <c r="A62750" s="7"/>
      <c r="B62750" s="7"/>
    </row>
    <row r="62751" ht="15.75" customHeight="1">
      <c r="A62751" s="7"/>
      <c r="B62751" s="7"/>
    </row>
    <row r="62752" ht="15.75" customHeight="1">
      <c r="A62752" s="7"/>
      <c r="B62752" s="7"/>
    </row>
    <row r="62753" ht="15.75" customHeight="1">
      <c r="A62753" s="7"/>
      <c r="B62753" s="7"/>
    </row>
    <row r="62754" ht="15.75" customHeight="1">
      <c r="A62754" s="7"/>
      <c r="B62754" s="7"/>
    </row>
    <row r="62755" ht="15.75" customHeight="1">
      <c r="A62755" s="7"/>
      <c r="B62755" s="7"/>
    </row>
    <row r="62756" ht="15.75" customHeight="1">
      <c r="A62756" s="7"/>
      <c r="B62756" s="7"/>
    </row>
    <row r="62757" ht="15.75" customHeight="1">
      <c r="A62757" s="7"/>
      <c r="B62757" s="7"/>
    </row>
    <row r="62758" ht="15.75" customHeight="1">
      <c r="A62758" s="7"/>
      <c r="B62758" s="7"/>
    </row>
    <row r="62759" ht="15.75" customHeight="1">
      <c r="A62759" s="7"/>
      <c r="B62759" s="7"/>
    </row>
    <row r="62760" ht="15.75" customHeight="1">
      <c r="A62760" s="7"/>
      <c r="B62760" s="7"/>
    </row>
    <row r="62761" ht="15.75" customHeight="1">
      <c r="A62761" s="7"/>
      <c r="B62761" s="7"/>
    </row>
    <row r="62762" ht="15.75" customHeight="1">
      <c r="A62762" s="7"/>
      <c r="B62762" s="7"/>
    </row>
    <row r="62763" ht="15.75" customHeight="1">
      <c r="A62763" s="7"/>
      <c r="B62763" s="7"/>
    </row>
    <row r="62764" ht="15.75" customHeight="1">
      <c r="A62764" s="7"/>
      <c r="B62764" s="7"/>
    </row>
    <row r="62765" ht="15.75" customHeight="1">
      <c r="A62765" s="7"/>
      <c r="B62765" s="7"/>
    </row>
    <row r="62766" ht="15.75" customHeight="1">
      <c r="A62766" s="7"/>
      <c r="B62766" s="7"/>
    </row>
    <row r="62767" ht="15.75" customHeight="1">
      <c r="A62767" s="7"/>
      <c r="B62767" s="7"/>
    </row>
    <row r="62768" ht="15.75" customHeight="1">
      <c r="A62768" s="7"/>
      <c r="B62768" s="7"/>
    </row>
    <row r="62769" ht="15.75" customHeight="1">
      <c r="A62769" s="7"/>
      <c r="B62769" s="7"/>
    </row>
    <row r="62770" ht="15.75" customHeight="1">
      <c r="A62770" s="7"/>
      <c r="B62770" s="7"/>
    </row>
    <row r="62771" ht="15.75" customHeight="1">
      <c r="A62771" s="7"/>
      <c r="B62771" s="7"/>
    </row>
    <row r="62772" ht="15.75" customHeight="1">
      <c r="A62772" s="7"/>
      <c r="B62772" s="7"/>
    </row>
    <row r="62773" ht="15.75" customHeight="1">
      <c r="A62773" s="7"/>
      <c r="B62773" s="7"/>
    </row>
    <row r="62774" ht="15.75" customHeight="1">
      <c r="A62774" s="7"/>
      <c r="B62774" s="7"/>
    </row>
    <row r="62775" ht="15.75" customHeight="1">
      <c r="A62775" s="7"/>
      <c r="B62775" s="7"/>
    </row>
    <row r="62776" ht="15.75" customHeight="1">
      <c r="A62776" s="7"/>
      <c r="B62776" s="7"/>
    </row>
    <row r="62777" ht="15.75" customHeight="1">
      <c r="A62777" s="7"/>
      <c r="B62777" s="7"/>
    </row>
    <row r="62778" ht="15.75" customHeight="1">
      <c r="A62778" s="7"/>
      <c r="B62778" s="7"/>
    </row>
    <row r="62779" ht="15.75" customHeight="1">
      <c r="A62779" s="7"/>
      <c r="B62779" s="7"/>
    </row>
    <row r="62780" ht="15.75" customHeight="1">
      <c r="A62780" s="7"/>
      <c r="B62780" s="7"/>
    </row>
    <row r="62781" ht="15.75" customHeight="1">
      <c r="A62781" s="7"/>
      <c r="B62781" s="7"/>
    </row>
    <row r="62782" ht="15.75" customHeight="1">
      <c r="A62782" s="7"/>
      <c r="B62782" s="7"/>
    </row>
    <row r="62783" ht="15.75" customHeight="1">
      <c r="A62783" s="7"/>
      <c r="B62783" s="7"/>
    </row>
    <row r="62784" ht="15.75" customHeight="1">
      <c r="A62784" s="7"/>
      <c r="B62784" s="7"/>
    </row>
    <row r="62785" ht="15.75" customHeight="1">
      <c r="A62785" s="7"/>
      <c r="B62785" s="7"/>
    </row>
    <row r="62786" ht="15.75" customHeight="1">
      <c r="A62786" s="7"/>
      <c r="B62786" s="7"/>
    </row>
    <row r="62787" ht="15.75" customHeight="1">
      <c r="A62787" s="7"/>
      <c r="B62787" s="7"/>
    </row>
    <row r="62788" ht="15.75" customHeight="1">
      <c r="A62788" s="7"/>
      <c r="B62788" s="7"/>
    </row>
    <row r="62789" ht="15.75" customHeight="1">
      <c r="A62789" s="7"/>
      <c r="B62789" s="7"/>
    </row>
    <row r="62790" ht="15.75" customHeight="1">
      <c r="A62790" s="7"/>
      <c r="B62790" s="7"/>
    </row>
    <row r="62791" ht="15.75" customHeight="1">
      <c r="A62791" s="7"/>
      <c r="B62791" s="7"/>
    </row>
    <row r="62792" ht="15.75" customHeight="1">
      <c r="A62792" s="7"/>
      <c r="B62792" s="7"/>
    </row>
    <row r="62793" ht="15.75" customHeight="1">
      <c r="A62793" s="7"/>
      <c r="B62793" s="7"/>
    </row>
    <row r="62794" ht="15.75" customHeight="1">
      <c r="A62794" s="7"/>
      <c r="B62794" s="7"/>
    </row>
    <row r="62795" ht="15.75" customHeight="1">
      <c r="A62795" s="7"/>
      <c r="B62795" s="7"/>
    </row>
    <row r="62796" ht="15.75" customHeight="1">
      <c r="A62796" s="7"/>
      <c r="B62796" s="7"/>
    </row>
    <row r="62797" ht="15.75" customHeight="1">
      <c r="A62797" s="7"/>
      <c r="B62797" s="7"/>
    </row>
    <row r="62798" ht="15.75" customHeight="1">
      <c r="A62798" s="7"/>
      <c r="B62798" s="7"/>
    </row>
    <row r="62799" ht="15.75" customHeight="1">
      <c r="A62799" s="7"/>
      <c r="B62799" s="7"/>
    </row>
    <row r="62800" ht="15.75" customHeight="1">
      <c r="A62800" s="7"/>
      <c r="B62800" s="7"/>
    </row>
    <row r="62801" ht="15.75" customHeight="1">
      <c r="A62801" s="7"/>
      <c r="B62801" s="7"/>
    </row>
    <row r="62802" ht="15.75" customHeight="1">
      <c r="A62802" s="7"/>
      <c r="B62802" s="7"/>
    </row>
    <row r="62803" ht="15.75" customHeight="1">
      <c r="A62803" s="7"/>
      <c r="B62803" s="7"/>
    </row>
    <row r="62804" ht="15.75" customHeight="1">
      <c r="A62804" s="7"/>
      <c r="B62804" s="7"/>
    </row>
    <row r="62805" ht="15.75" customHeight="1">
      <c r="A62805" s="7"/>
      <c r="B62805" s="7"/>
    </row>
    <row r="62806" ht="15.75" customHeight="1">
      <c r="A62806" s="7"/>
      <c r="B62806" s="7"/>
    </row>
    <row r="62807" ht="15.75" customHeight="1">
      <c r="A62807" s="7"/>
      <c r="B62807" s="7"/>
    </row>
    <row r="62808" ht="15.75" customHeight="1">
      <c r="A62808" s="7"/>
      <c r="B62808" s="7"/>
    </row>
    <row r="62809" ht="15.75" customHeight="1">
      <c r="A62809" s="7"/>
      <c r="B62809" s="7"/>
    </row>
    <row r="62810" ht="15.75" customHeight="1">
      <c r="A62810" s="7"/>
      <c r="B62810" s="7"/>
    </row>
    <row r="62811" ht="15.75" customHeight="1">
      <c r="A62811" s="7"/>
      <c r="B62811" s="7"/>
    </row>
    <row r="62812" ht="15.75" customHeight="1">
      <c r="A62812" s="7"/>
      <c r="B62812" s="7"/>
    </row>
    <row r="62813" ht="15.75" customHeight="1">
      <c r="A62813" s="7"/>
      <c r="B62813" s="7"/>
    </row>
    <row r="62814" ht="15.75" customHeight="1">
      <c r="A62814" s="7"/>
      <c r="B62814" s="7"/>
    </row>
    <row r="62815" ht="15.75" customHeight="1">
      <c r="A62815" s="7"/>
      <c r="B62815" s="7"/>
    </row>
    <row r="62816" ht="15.75" customHeight="1">
      <c r="A62816" s="7"/>
      <c r="B62816" s="7"/>
    </row>
    <row r="62817" ht="15.75" customHeight="1">
      <c r="A62817" s="7"/>
      <c r="B62817" s="7"/>
    </row>
    <row r="62818" ht="15.75" customHeight="1">
      <c r="A62818" s="7"/>
      <c r="B62818" s="7"/>
    </row>
    <row r="62819" ht="15.75" customHeight="1">
      <c r="A62819" s="7"/>
      <c r="B62819" s="7"/>
    </row>
    <row r="62820" ht="15.75" customHeight="1">
      <c r="A62820" s="7"/>
      <c r="B62820" s="7"/>
    </row>
    <row r="62821" ht="15.75" customHeight="1">
      <c r="A62821" s="7"/>
      <c r="B62821" s="7"/>
    </row>
    <row r="62822" ht="15.75" customHeight="1">
      <c r="A62822" s="7"/>
      <c r="B62822" s="7"/>
    </row>
    <row r="62823" ht="15.75" customHeight="1">
      <c r="A62823" s="7"/>
      <c r="B62823" s="7"/>
    </row>
    <row r="62824" ht="15.75" customHeight="1">
      <c r="A62824" s="7"/>
      <c r="B62824" s="7"/>
    </row>
    <row r="62825" ht="15.75" customHeight="1">
      <c r="A62825" s="7"/>
      <c r="B62825" s="7"/>
    </row>
    <row r="62826" ht="15.75" customHeight="1">
      <c r="A62826" s="7"/>
      <c r="B62826" s="7"/>
    </row>
    <row r="62827" ht="15.75" customHeight="1">
      <c r="A62827" s="7"/>
      <c r="B62827" s="7"/>
    </row>
    <row r="62828" ht="15.75" customHeight="1">
      <c r="A62828" s="7"/>
      <c r="B62828" s="7"/>
    </row>
    <row r="62829" ht="15.75" customHeight="1">
      <c r="A62829" s="7"/>
      <c r="B62829" s="7"/>
    </row>
    <row r="62830" ht="15.75" customHeight="1">
      <c r="A62830" s="7"/>
      <c r="B62830" s="7"/>
    </row>
    <row r="62831" ht="15.75" customHeight="1">
      <c r="A62831" s="7"/>
      <c r="B62831" s="7"/>
    </row>
    <row r="62832" ht="15.75" customHeight="1">
      <c r="A62832" s="7"/>
      <c r="B62832" s="7"/>
    </row>
    <row r="62833" ht="15.75" customHeight="1">
      <c r="A62833" s="7"/>
      <c r="B62833" s="7"/>
    </row>
    <row r="62834" ht="15.75" customHeight="1">
      <c r="A62834" s="7"/>
      <c r="B62834" s="7"/>
    </row>
    <row r="62835" ht="15.75" customHeight="1">
      <c r="A62835" s="7"/>
      <c r="B62835" s="7"/>
    </row>
    <row r="62836" ht="15.75" customHeight="1">
      <c r="A62836" s="7"/>
      <c r="B62836" s="7"/>
    </row>
    <row r="62837" ht="15.75" customHeight="1">
      <c r="A62837" s="7"/>
      <c r="B62837" s="7"/>
    </row>
    <row r="62838" ht="15.75" customHeight="1">
      <c r="A62838" s="7"/>
      <c r="B62838" s="7"/>
    </row>
    <row r="62839" ht="15.75" customHeight="1">
      <c r="A62839" s="7"/>
      <c r="B62839" s="7"/>
    </row>
    <row r="62840" ht="15.75" customHeight="1">
      <c r="A62840" s="7"/>
      <c r="B62840" s="7"/>
    </row>
    <row r="62841" ht="15.75" customHeight="1">
      <c r="A62841" s="7"/>
      <c r="B62841" s="7"/>
    </row>
    <row r="62842" ht="15.75" customHeight="1">
      <c r="A62842" s="7"/>
      <c r="B62842" s="7"/>
    </row>
    <row r="62843" ht="15.75" customHeight="1">
      <c r="A62843" s="7"/>
      <c r="B62843" s="7"/>
    </row>
    <row r="62844" ht="15.75" customHeight="1">
      <c r="A62844" s="7"/>
      <c r="B62844" s="7"/>
    </row>
    <row r="62845" ht="15.75" customHeight="1">
      <c r="A62845" s="7"/>
      <c r="B62845" s="7"/>
    </row>
    <row r="62846" ht="15.75" customHeight="1">
      <c r="A62846" s="7"/>
      <c r="B62846" s="7"/>
    </row>
    <row r="62847" ht="15.75" customHeight="1">
      <c r="A62847" s="7"/>
      <c r="B62847" s="7"/>
    </row>
    <row r="62848" ht="15.75" customHeight="1">
      <c r="A62848" s="7"/>
      <c r="B62848" s="7"/>
    </row>
    <row r="62849" ht="15.75" customHeight="1">
      <c r="A62849" s="7"/>
      <c r="B62849" s="7"/>
    </row>
    <row r="62850" ht="15.75" customHeight="1">
      <c r="A62850" s="7"/>
      <c r="B62850" s="7"/>
    </row>
    <row r="62851" ht="15.75" customHeight="1">
      <c r="A62851" s="7"/>
      <c r="B62851" s="7"/>
    </row>
    <row r="62852" ht="15.75" customHeight="1">
      <c r="A62852" s="7"/>
      <c r="B62852" s="7"/>
    </row>
    <row r="62853" ht="15.75" customHeight="1">
      <c r="A62853" s="7"/>
      <c r="B62853" s="7"/>
    </row>
    <row r="62854" ht="15.75" customHeight="1">
      <c r="A62854" s="7"/>
      <c r="B62854" s="7"/>
    </row>
    <row r="62855" ht="15.75" customHeight="1">
      <c r="A62855" s="7"/>
      <c r="B62855" s="7"/>
    </row>
    <row r="62856" ht="15.75" customHeight="1">
      <c r="A62856" s="7"/>
      <c r="B62856" s="7"/>
    </row>
    <row r="62857" ht="15.75" customHeight="1">
      <c r="A62857" s="7"/>
      <c r="B62857" s="7"/>
    </row>
    <row r="62858" ht="15.75" customHeight="1">
      <c r="A62858" s="7"/>
      <c r="B62858" s="7"/>
    </row>
    <row r="62859" ht="15.75" customHeight="1">
      <c r="A62859" s="7"/>
      <c r="B62859" s="7"/>
    </row>
    <row r="62860" ht="15.75" customHeight="1">
      <c r="A62860" s="7"/>
      <c r="B62860" s="7"/>
    </row>
    <row r="62861" ht="15.75" customHeight="1">
      <c r="A62861" s="7"/>
      <c r="B62861" s="7"/>
    </row>
    <row r="62862" ht="15.75" customHeight="1">
      <c r="A62862" s="7"/>
      <c r="B62862" s="7"/>
    </row>
    <row r="62863" ht="15.75" customHeight="1">
      <c r="A62863" s="7"/>
      <c r="B62863" s="7"/>
    </row>
    <row r="62864" ht="15.75" customHeight="1">
      <c r="A62864" s="7"/>
      <c r="B62864" s="7"/>
    </row>
    <row r="62865" ht="15.75" customHeight="1">
      <c r="A62865" s="7"/>
      <c r="B62865" s="7"/>
    </row>
    <row r="62866" ht="15.75" customHeight="1">
      <c r="A62866" s="7"/>
      <c r="B62866" s="7"/>
    </row>
    <row r="62867" ht="15.75" customHeight="1">
      <c r="A62867" s="7"/>
      <c r="B62867" s="7"/>
    </row>
    <row r="62868" ht="15.75" customHeight="1">
      <c r="A62868" s="7"/>
      <c r="B62868" s="7"/>
    </row>
    <row r="62869" ht="15.75" customHeight="1">
      <c r="A62869" s="7"/>
      <c r="B62869" s="7"/>
    </row>
    <row r="62870" ht="15.75" customHeight="1">
      <c r="A62870" s="7"/>
      <c r="B62870" s="7"/>
    </row>
    <row r="62871" ht="15.75" customHeight="1">
      <c r="A62871" s="7"/>
      <c r="B62871" s="7"/>
    </row>
    <row r="62872" ht="15.75" customHeight="1">
      <c r="A62872" s="7"/>
      <c r="B62872" s="7"/>
    </row>
    <row r="62873" ht="15.75" customHeight="1">
      <c r="A62873" s="7"/>
      <c r="B62873" s="7"/>
    </row>
    <row r="62874" ht="15.75" customHeight="1">
      <c r="A62874" s="7"/>
      <c r="B62874" s="7"/>
    </row>
    <row r="62875" ht="15.75" customHeight="1">
      <c r="A62875" s="7"/>
      <c r="B62875" s="7"/>
    </row>
    <row r="62876" ht="15.75" customHeight="1">
      <c r="A62876" s="7"/>
      <c r="B62876" s="7"/>
    </row>
    <row r="62877" ht="15.75" customHeight="1">
      <c r="A62877" s="7"/>
      <c r="B62877" s="7"/>
    </row>
    <row r="62878" ht="15.75" customHeight="1">
      <c r="A62878" s="7"/>
      <c r="B62878" s="7"/>
    </row>
    <row r="62879" ht="15.75" customHeight="1">
      <c r="A62879" s="7"/>
      <c r="B62879" s="7"/>
    </row>
    <row r="62880" ht="15.75" customHeight="1">
      <c r="A62880" s="7"/>
      <c r="B62880" s="7"/>
    </row>
    <row r="62881" ht="15.75" customHeight="1">
      <c r="A62881" s="7"/>
      <c r="B62881" s="7"/>
    </row>
    <row r="62882" ht="15.75" customHeight="1">
      <c r="A62882" s="7"/>
      <c r="B62882" s="7"/>
    </row>
    <row r="62883" ht="15.75" customHeight="1">
      <c r="A62883" s="7"/>
      <c r="B62883" s="7"/>
    </row>
    <row r="62884" ht="15.75" customHeight="1">
      <c r="A62884" s="7"/>
      <c r="B62884" s="7"/>
    </row>
    <row r="62885" ht="15.75" customHeight="1">
      <c r="A62885" s="7"/>
      <c r="B62885" s="7"/>
    </row>
    <row r="62886" ht="15.75" customHeight="1">
      <c r="A62886" s="7"/>
      <c r="B62886" s="7"/>
    </row>
    <row r="62887" ht="15.75" customHeight="1">
      <c r="A62887" s="7"/>
      <c r="B62887" s="7"/>
    </row>
    <row r="62888" ht="15.75" customHeight="1">
      <c r="A62888" s="7"/>
      <c r="B62888" s="7"/>
    </row>
    <row r="62889" ht="15.75" customHeight="1">
      <c r="A62889" s="7"/>
      <c r="B62889" s="7"/>
    </row>
    <row r="62890" ht="15.75" customHeight="1">
      <c r="A62890" s="7"/>
      <c r="B62890" s="7"/>
    </row>
    <row r="62891" ht="15.75" customHeight="1">
      <c r="A62891" s="7"/>
      <c r="B62891" s="7"/>
    </row>
    <row r="62892" ht="15.75" customHeight="1">
      <c r="A62892" s="7"/>
      <c r="B62892" s="7"/>
    </row>
    <row r="62893" ht="15.75" customHeight="1">
      <c r="A62893" s="7"/>
      <c r="B62893" s="7"/>
    </row>
    <row r="62894" ht="15.75" customHeight="1">
      <c r="A62894" s="7"/>
      <c r="B62894" s="7"/>
    </row>
    <row r="62895" ht="15.75" customHeight="1">
      <c r="A62895" s="7"/>
      <c r="B62895" s="7"/>
    </row>
    <row r="62896" ht="15.75" customHeight="1">
      <c r="A62896" s="7"/>
      <c r="B62896" s="7"/>
    </row>
    <row r="62897" ht="15.75" customHeight="1">
      <c r="A62897" s="7"/>
      <c r="B62897" s="7"/>
    </row>
    <row r="62898" ht="15.75" customHeight="1">
      <c r="A62898" s="7"/>
      <c r="B62898" s="7"/>
    </row>
    <row r="62899" ht="15.75" customHeight="1">
      <c r="A62899" s="7"/>
      <c r="B62899" s="7"/>
    </row>
    <row r="62900" ht="15.75" customHeight="1">
      <c r="A62900" s="7"/>
      <c r="B62900" s="7"/>
    </row>
    <row r="62901" ht="15.75" customHeight="1">
      <c r="A62901" s="7"/>
      <c r="B62901" s="7"/>
    </row>
    <row r="62902" ht="15.75" customHeight="1">
      <c r="A62902" s="7"/>
      <c r="B62902" s="7"/>
    </row>
    <row r="62903" ht="15.75" customHeight="1">
      <c r="A62903" s="7"/>
      <c r="B62903" s="7"/>
    </row>
    <row r="62904" ht="15.75" customHeight="1">
      <c r="A62904" s="7"/>
      <c r="B62904" s="7"/>
    </row>
    <row r="62905" ht="15.75" customHeight="1">
      <c r="A62905" s="7"/>
      <c r="B62905" s="7"/>
    </row>
    <row r="62906" ht="15.75" customHeight="1">
      <c r="A62906" s="7"/>
      <c r="B62906" s="7"/>
    </row>
    <row r="62907" ht="15.75" customHeight="1">
      <c r="A62907" s="7"/>
      <c r="B62907" s="7"/>
    </row>
    <row r="62908" ht="15.75" customHeight="1">
      <c r="A62908" s="7"/>
      <c r="B62908" s="7"/>
    </row>
    <row r="62909" ht="15.75" customHeight="1">
      <c r="A62909" s="7"/>
      <c r="B62909" s="7"/>
    </row>
    <row r="62910" ht="15.75" customHeight="1">
      <c r="A62910" s="7"/>
      <c r="B62910" s="7"/>
    </row>
    <row r="62911" ht="15.75" customHeight="1">
      <c r="A62911" s="7"/>
      <c r="B62911" s="7"/>
    </row>
    <row r="62912" ht="15.75" customHeight="1">
      <c r="A62912" s="7"/>
      <c r="B62912" s="7"/>
    </row>
    <row r="62913" ht="15.75" customHeight="1">
      <c r="A62913" s="7"/>
      <c r="B62913" s="7"/>
    </row>
    <row r="62914" ht="15.75" customHeight="1">
      <c r="A62914" s="7"/>
      <c r="B62914" s="7"/>
    </row>
    <row r="62915" ht="15.75" customHeight="1">
      <c r="A62915" s="7"/>
      <c r="B62915" s="7"/>
    </row>
    <row r="62916" ht="15.75" customHeight="1">
      <c r="A62916" s="7"/>
      <c r="B62916" s="7"/>
    </row>
    <row r="62917" ht="15.75" customHeight="1">
      <c r="A62917" s="7"/>
      <c r="B62917" s="7"/>
    </row>
    <row r="62918" ht="15.75" customHeight="1">
      <c r="A62918" s="7"/>
      <c r="B62918" s="7"/>
    </row>
    <row r="62919" ht="15.75" customHeight="1">
      <c r="A62919" s="7"/>
      <c r="B62919" s="7"/>
    </row>
    <row r="62920" ht="15.75" customHeight="1">
      <c r="A62920" s="7"/>
      <c r="B62920" s="7"/>
    </row>
    <row r="62921" ht="15.75" customHeight="1">
      <c r="A62921" s="7"/>
      <c r="B62921" s="7"/>
    </row>
    <row r="62922" ht="15.75" customHeight="1">
      <c r="A62922" s="7"/>
      <c r="B62922" s="7"/>
    </row>
    <row r="62923" ht="15.75" customHeight="1">
      <c r="A62923" s="7"/>
      <c r="B62923" s="7"/>
    </row>
    <row r="62924" ht="15.75" customHeight="1">
      <c r="A62924" s="7"/>
      <c r="B62924" s="7"/>
    </row>
    <row r="62925" ht="15.75" customHeight="1">
      <c r="A62925" s="7"/>
      <c r="B62925" s="7"/>
    </row>
    <row r="62926" ht="15.75" customHeight="1">
      <c r="A62926" s="7"/>
      <c r="B62926" s="7"/>
    </row>
    <row r="62927" ht="15.75" customHeight="1">
      <c r="A62927" s="7"/>
      <c r="B62927" s="7"/>
    </row>
    <row r="62928" ht="15.75" customHeight="1">
      <c r="A62928" s="7"/>
      <c r="B62928" s="7"/>
    </row>
    <row r="62929" ht="15.75" customHeight="1">
      <c r="A62929" s="7"/>
      <c r="B62929" s="7"/>
    </row>
    <row r="62930" ht="15.75" customHeight="1">
      <c r="A62930" s="7"/>
      <c r="B62930" s="7"/>
    </row>
    <row r="62931" ht="15.75" customHeight="1">
      <c r="A62931" s="7"/>
      <c r="B62931" s="7"/>
    </row>
    <row r="62932" ht="15.75" customHeight="1">
      <c r="A62932" s="7"/>
      <c r="B62932" s="7"/>
    </row>
    <row r="62933" ht="15.75" customHeight="1">
      <c r="A62933" s="7"/>
      <c r="B62933" s="7"/>
    </row>
    <row r="62934" ht="15.75" customHeight="1">
      <c r="A62934" s="7"/>
      <c r="B62934" s="7"/>
    </row>
    <row r="62935" ht="15.75" customHeight="1">
      <c r="A62935" s="7"/>
      <c r="B62935" s="7"/>
    </row>
    <row r="62936" ht="15.75" customHeight="1">
      <c r="A62936" s="7"/>
      <c r="B62936" s="7"/>
    </row>
    <row r="62937" ht="15.75" customHeight="1">
      <c r="A62937" s="7"/>
      <c r="B62937" s="7"/>
    </row>
    <row r="62938" ht="15.75" customHeight="1">
      <c r="A62938" s="7"/>
      <c r="B62938" s="7"/>
    </row>
    <row r="62939" ht="15.75" customHeight="1">
      <c r="A62939" s="7"/>
      <c r="B62939" s="7"/>
    </row>
    <row r="62940" ht="15.75" customHeight="1">
      <c r="A62940" s="7"/>
      <c r="B62940" s="7"/>
    </row>
    <row r="62941" ht="15.75" customHeight="1">
      <c r="A62941" s="7"/>
      <c r="B62941" s="7"/>
    </row>
    <row r="62942" ht="15.75" customHeight="1">
      <c r="A62942" s="7"/>
      <c r="B62942" s="7"/>
    </row>
    <row r="62943" ht="15.75" customHeight="1">
      <c r="A62943" s="7"/>
      <c r="B62943" s="7"/>
    </row>
    <row r="62944" ht="15.75" customHeight="1">
      <c r="A62944" s="7"/>
      <c r="B62944" s="7"/>
    </row>
    <row r="62945" ht="15.75" customHeight="1">
      <c r="A62945" s="7"/>
      <c r="B62945" s="7"/>
    </row>
    <row r="62946" ht="15.75" customHeight="1">
      <c r="A62946" s="7"/>
      <c r="B62946" s="7"/>
    </row>
    <row r="62947" ht="15.75" customHeight="1">
      <c r="A62947" s="7"/>
      <c r="B62947" s="7"/>
    </row>
    <row r="62948" ht="15.75" customHeight="1">
      <c r="A62948" s="7"/>
      <c r="B62948" s="7"/>
    </row>
    <row r="62949" ht="15.75" customHeight="1">
      <c r="A62949" s="7"/>
      <c r="B62949" s="7"/>
    </row>
    <row r="62950" ht="15.75" customHeight="1">
      <c r="A62950" s="7"/>
      <c r="B62950" s="7"/>
    </row>
    <row r="62951" ht="15.75" customHeight="1">
      <c r="A62951" s="7"/>
      <c r="B62951" s="7"/>
    </row>
    <row r="62952" ht="15.75" customHeight="1">
      <c r="A62952" s="7"/>
      <c r="B62952" s="7"/>
    </row>
    <row r="62953" ht="15.75" customHeight="1">
      <c r="A62953" s="7"/>
      <c r="B62953" s="7"/>
    </row>
    <row r="62954" ht="15.75" customHeight="1">
      <c r="A62954" s="7"/>
      <c r="B62954" s="7"/>
    </row>
    <row r="62955" ht="15.75" customHeight="1">
      <c r="A62955" s="7"/>
      <c r="B62955" s="7"/>
    </row>
    <row r="62956" ht="15.75" customHeight="1">
      <c r="A62956" s="7"/>
      <c r="B62956" s="7"/>
    </row>
    <row r="62957" ht="15.75" customHeight="1">
      <c r="A62957" s="7"/>
      <c r="B62957" s="7"/>
    </row>
    <row r="62958" ht="15.75" customHeight="1">
      <c r="A62958" s="7"/>
      <c r="B62958" s="7"/>
    </row>
    <row r="62959" ht="15.75" customHeight="1">
      <c r="A62959" s="7"/>
      <c r="B62959" s="7"/>
    </row>
    <row r="62960" ht="15.75" customHeight="1">
      <c r="A62960" s="7"/>
      <c r="B62960" s="7"/>
    </row>
    <row r="62961" ht="15.75" customHeight="1">
      <c r="A62961" s="7"/>
      <c r="B62961" s="7"/>
    </row>
    <row r="62962" ht="15.75" customHeight="1">
      <c r="A62962" s="7"/>
      <c r="B62962" s="7"/>
    </row>
    <row r="62963" ht="15.75" customHeight="1">
      <c r="A62963" s="7"/>
      <c r="B62963" s="7"/>
    </row>
    <row r="62964" ht="15.75" customHeight="1">
      <c r="A62964" s="7"/>
      <c r="B62964" s="7"/>
    </row>
    <row r="62965" ht="15.75" customHeight="1">
      <c r="A62965" s="7"/>
      <c r="B62965" s="7"/>
    </row>
    <row r="62966" ht="15.75" customHeight="1">
      <c r="A62966" s="7"/>
      <c r="B62966" s="7"/>
    </row>
    <row r="62967" ht="15.75" customHeight="1">
      <c r="A62967" s="7"/>
      <c r="B62967" s="7"/>
    </row>
    <row r="62968" ht="15.75" customHeight="1">
      <c r="A62968" s="7"/>
      <c r="B62968" s="7"/>
    </row>
    <row r="62969" ht="15.75" customHeight="1">
      <c r="A62969" s="7"/>
      <c r="B62969" s="7"/>
    </row>
    <row r="62970" ht="15.75" customHeight="1">
      <c r="A62970" s="7"/>
      <c r="B62970" s="7"/>
    </row>
    <row r="62971" ht="15.75" customHeight="1">
      <c r="A62971" s="7"/>
      <c r="B62971" s="7"/>
    </row>
    <row r="62972" ht="15.75" customHeight="1">
      <c r="A62972" s="7"/>
      <c r="B62972" s="7"/>
    </row>
    <row r="62973" ht="15.75" customHeight="1">
      <c r="A62973" s="7"/>
      <c r="B62973" s="7"/>
    </row>
    <row r="62974" ht="15.75" customHeight="1">
      <c r="A62974" s="7"/>
      <c r="B62974" s="7"/>
    </row>
    <row r="62975" ht="15.75" customHeight="1">
      <c r="A62975" s="7"/>
      <c r="B62975" s="7"/>
    </row>
    <row r="62976" ht="15.75" customHeight="1">
      <c r="A62976" s="7"/>
      <c r="B62976" s="7"/>
    </row>
    <row r="62977" ht="15.75" customHeight="1">
      <c r="A62977" s="7"/>
      <c r="B62977" s="7"/>
    </row>
    <row r="62978" ht="15.75" customHeight="1">
      <c r="A62978" s="7"/>
      <c r="B62978" s="7"/>
    </row>
    <row r="62979" ht="15.75" customHeight="1">
      <c r="A62979" s="7"/>
      <c r="B62979" s="7"/>
    </row>
    <row r="62980" ht="15.75" customHeight="1">
      <c r="A62980" s="7"/>
      <c r="B62980" s="7"/>
    </row>
    <row r="62981" ht="15.75" customHeight="1">
      <c r="A62981" s="7"/>
      <c r="B62981" s="7"/>
    </row>
    <row r="62982" ht="15.75" customHeight="1">
      <c r="A62982" s="7"/>
      <c r="B62982" s="7"/>
    </row>
    <row r="62983" ht="15.75" customHeight="1">
      <c r="A62983" s="7"/>
      <c r="B62983" s="7"/>
    </row>
    <row r="62984" ht="15.75" customHeight="1">
      <c r="A62984" s="7"/>
      <c r="B62984" s="7"/>
    </row>
    <row r="62985" ht="15.75" customHeight="1">
      <c r="A62985" s="7"/>
      <c r="B62985" s="7"/>
    </row>
    <row r="62986" ht="15.75" customHeight="1">
      <c r="A62986" s="7"/>
      <c r="B62986" s="7"/>
    </row>
    <row r="62987" ht="15.75" customHeight="1">
      <c r="A62987" s="7"/>
      <c r="B62987" s="7"/>
    </row>
    <row r="62988" ht="15.75" customHeight="1">
      <c r="A62988" s="7"/>
      <c r="B62988" s="7"/>
    </row>
    <row r="62989" ht="15.75" customHeight="1">
      <c r="A62989" s="7"/>
      <c r="B62989" s="7"/>
    </row>
    <row r="62990" ht="15.75" customHeight="1">
      <c r="A62990" s="7"/>
      <c r="B62990" s="7"/>
    </row>
    <row r="62991" ht="15.75" customHeight="1">
      <c r="A62991" s="7"/>
      <c r="B62991" s="7"/>
    </row>
    <row r="62992" ht="15.75" customHeight="1">
      <c r="A62992" s="7"/>
      <c r="B62992" s="7"/>
    </row>
    <row r="62993" ht="15.75" customHeight="1">
      <c r="A62993" s="7"/>
      <c r="B62993" s="7"/>
    </row>
    <row r="62994" ht="15.75" customHeight="1">
      <c r="A62994" s="7"/>
      <c r="B62994" s="7"/>
    </row>
    <row r="62995" ht="15.75" customHeight="1">
      <c r="A62995" s="7"/>
      <c r="B62995" s="7"/>
    </row>
    <row r="62996" ht="15.75" customHeight="1">
      <c r="A62996" s="7"/>
      <c r="B62996" s="7"/>
    </row>
    <row r="62997" ht="15.75" customHeight="1">
      <c r="A62997" s="7"/>
      <c r="B62997" s="7"/>
    </row>
    <row r="62998" ht="15.75" customHeight="1">
      <c r="A62998" s="7"/>
      <c r="B62998" s="7"/>
    </row>
    <row r="62999" ht="15.75" customHeight="1">
      <c r="A62999" s="7"/>
      <c r="B62999" s="7"/>
    </row>
    <row r="63000" ht="15.75" customHeight="1">
      <c r="A63000" s="7"/>
      <c r="B63000" s="7"/>
    </row>
    <row r="63001" ht="15.75" customHeight="1">
      <c r="A63001" s="7"/>
      <c r="B63001" s="7"/>
    </row>
    <row r="63002" ht="15.75" customHeight="1">
      <c r="A63002" s="7"/>
      <c r="B63002" s="7"/>
    </row>
    <row r="63003" ht="15.75" customHeight="1">
      <c r="A63003" s="7"/>
      <c r="B63003" s="7"/>
    </row>
    <row r="63004" ht="15.75" customHeight="1">
      <c r="A63004" s="7"/>
      <c r="B63004" s="7"/>
    </row>
    <row r="63005" ht="15.75" customHeight="1">
      <c r="A63005" s="7"/>
      <c r="B63005" s="7"/>
    </row>
    <row r="63006" ht="15.75" customHeight="1">
      <c r="A63006" s="7"/>
      <c r="B63006" s="7"/>
    </row>
    <row r="63007" ht="15.75" customHeight="1">
      <c r="A63007" s="7"/>
      <c r="B63007" s="7"/>
    </row>
    <row r="63008" ht="15.75" customHeight="1">
      <c r="A63008" s="7"/>
      <c r="B63008" s="7"/>
    </row>
    <row r="63009" ht="15.75" customHeight="1">
      <c r="A63009" s="7"/>
      <c r="B63009" s="7"/>
    </row>
    <row r="63010" ht="15.75" customHeight="1">
      <c r="A63010" s="7"/>
      <c r="B63010" s="7"/>
    </row>
    <row r="63011" ht="15.75" customHeight="1">
      <c r="A63011" s="7"/>
      <c r="B63011" s="7"/>
    </row>
    <row r="63012" ht="15.75" customHeight="1">
      <c r="A63012" s="7"/>
      <c r="B63012" s="7"/>
    </row>
    <row r="63013" ht="15.75" customHeight="1">
      <c r="A63013" s="7"/>
      <c r="B63013" s="7"/>
    </row>
    <row r="63014" ht="15.75" customHeight="1">
      <c r="A63014" s="7"/>
      <c r="B63014" s="7"/>
    </row>
    <row r="63015" ht="15.75" customHeight="1">
      <c r="A63015" s="7"/>
      <c r="B63015" s="7"/>
    </row>
    <row r="63016" ht="15.75" customHeight="1">
      <c r="A63016" s="7"/>
      <c r="B63016" s="7"/>
    </row>
    <row r="63017" ht="15.75" customHeight="1">
      <c r="A63017" s="7"/>
      <c r="B63017" s="7"/>
    </row>
    <row r="63018" ht="15.75" customHeight="1">
      <c r="A63018" s="7"/>
      <c r="B63018" s="7"/>
    </row>
    <row r="63019" ht="15.75" customHeight="1">
      <c r="A63019" s="7"/>
      <c r="B63019" s="7"/>
    </row>
    <row r="63020" ht="15.75" customHeight="1">
      <c r="A63020" s="7"/>
      <c r="B63020" s="7"/>
    </row>
    <row r="63021" ht="15.75" customHeight="1">
      <c r="A63021" s="7"/>
      <c r="B63021" s="7"/>
    </row>
    <row r="63022" ht="15.75" customHeight="1">
      <c r="A63022" s="7"/>
      <c r="B63022" s="7"/>
    </row>
    <row r="63023" ht="15.75" customHeight="1">
      <c r="A63023" s="7"/>
      <c r="B63023" s="7"/>
    </row>
    <row r="63024" ht="15.75" customHeight="1">
      <c r="A63024" s="7"/>
      <c r="B63024" s="7"/>
    </row>
    <row r="63025" ht="15.75" customHeight="1">
      <c r="A63025" s="7"/>
      <c r="B63025" s="7"/>
    </row>
    <row r="63026" ht="15.75" customHeight="1">
      <c r="A63026" s="7"/>
      <c r="B63026" s="7"/>
    </row>
    <row r="63027" ht="15.75" customHeight="1">
      <c r="A63027" s="7"/>
      <c r="B63027" s="7"/>
    </row>
    <row r="63028" ht="15.75" customHeight="1">
      <c r="A63028" s="7"/>
      <c r="B63028" s="7"/>
    </row>
    <row r="63029" ht="15.75" customHeight="1">
      <c r="A63029" s="7"/>
      <c r="B63029" s="7"/>
    </row>
    <row r="63030" ht="15.75" customHeight="1">
      <c r="A63030" s="7"/>
      <c r="B63030" s="7"/>
    </row>
    <row r="63031" ht="15.75" customHeight="1">
      <c r="A63031" s="7"/>
      <c r="B63031" s="7"/>
    </row>
    <row r="63032" ht="15.75" customHeight="1">
      <c r="A63032" s="7"/>
      <c r="B63032" s="7"/>
    </row>
    <row r="63033" ht="15.75" customHeight="1">
      <c r="A63033" s="7"/>
      <c r="B63033" s="7"/>
    </row>
    <row r="63034" ht="15.75" customHeight="1">
      <c r="A63034" s="7"/>
      <c r="B63034" s="7"/>
    </row>
    <row r="63035" ht="15.75" customHeight="1">
      <c r="A63035" s="7"/>
      <c r="B63035" s="7"/>
    </row>
    <row r="63036" ht="15.75" customHeight="1">
      <c r="A63036" s="7"/>
      <c r="B63036" s="7"/>
    </row>
    <row r="63037" ht="15.75" customHeight="1">
      <c r="A63037" s="7"/>
      <c r="B63037" s="7"/>
    </row>
    <row r="63038" ht="15.75" customHeight="1">
      <c r="A63038" s="7"/>
      <c r="B63038" s="7"/>
    </row>
    <row r="63039" ht="15.75" customHeight="1">
      <c r="A63039" s="7"/>
      <c r="B63039" s="7"/>
    </row>
    <row r="63040" ht="15.75" customHeight="1">
      <c r="A63040" s="7"/>
      <c r="B63040" s="7"/>
    </row>
    <row r="63041" ht="15.75" customHeight="1">
      <c r="A63041" s="7"/>
      <c r="B63041" s="7"/>
    </row>
    <row r="63042" ht="15.75" customHeight="1">
      <c r="A63042" s="7"/>
      <c r="B63042" s="7"/>
    </row>
    <row r="63043" ht="15.75" customHeight="1">
      <c r="A63043" s="7"/>
      <c r="B63043" s="7"/>
    </row>
    <row r="63044" ht="15.75" customHeight="1">
      <c r="A63044" s="7"/>
      <c r="B63044" s="7"/>
    </row>
    <row r="63045" ht="15.75" customHeight="1">
      <c r="A63045" s="7"/>
      <c r="B63045" s="7"/>
    </row>
    <row r="63046" ht="15.75" customHeight="1">
      <c r="A63046" s="7"/>
      <c r="B63046" s="7"/>
    </row>
    <row r="63047" ht="15.75" customHeight="1">
      <c r="A63047" s="7"/>
      <c r="B63047" s="7"/>
    </row>
    <row r="63048" ht="15.75" customHeight="1">
      <c r="A63048" s="7"/>
      <c r="B63048" s="7"/>
    </row>
    <row r="63049" ht="15.75" customHeight="1">
      <c r="A63049" s="7"/>
      <c r="B63049" s="7"/>
    </row>
    <row r="63050" ht="15.75" customHeight="1">
      <c r="A63050" s="7"/>
      <c r="B63050" s="7"/>
    </row>
    <row r="63051" ht="15.75" customHeight="1">
      <c r="A63051" s="7"/>
      <c r="B63051" s="7"/>
    </row>
    <row r="63052" ht="15.75" customHeight="1">
      <c r="A63052" s="7"/>
      <c r="B63052" s="7"/>
    </row>
    <row r="63053" ht="15.75" customHeight="1">
      <c r="A63053" s="7"/>
      <c r="B63053" s="7"/>
    </row>
    <row r="63054" ht="15.75" customHeight="1">
      <c r="A63054" s="7"/>
      <c r="B63054" s="7"/>
    </row>
    <row r="63055" ht="15.75" customHeight="1">
      <c r="A63055" s="7"/>
      <c r="B63055" s="7"/>
    </row>
    <row r="63056" ht="15.75" customHeight="1">
      <c r="A63056" s="7"/>
      <c r="B63056" s="7"/>
    </row>
    <row r="63057" ht="15.75" customHeight="1">
      <c r="A63057" s="7"/>
      <c r="B63057" s="7"/>
    </row>
    <row r="63058" ht="15.75" customHeight="1">
      <c r="A63058" s="7"/>
      <c r="B63058" s="7"/>
    </row>
    <row r="63059" ht="15.75" customHeight="1">
      <c r="A63059" s="7"/>
      <c r="B63059" s="7"/>
    </row>
    <row r="63060" ht="15.75" customHeight="1">
      <c r="A63060" s="7"/>
      <c r="B63060" s="7"/>
    </row>
    <row r="63061" ht="15.75" customHeight="1">
      <c r="A63061" s="7"/>
      <c r="B63061" s="7"/>
    </row>
    <row r="63062" ht="15.75" customHeight="1">
      <c r="A63062" s="7"/>
      <c r="B63062" s="7"/>
    </row>
    <row r="63063" ht="15.75" customHeight="1">
      <c r="A63063" s="7"/>
      <c r="B63063" s="7"/>
    </row>
    <row r="63064" ht="15.75" customHeight="1">
      <c r="A63064" s="7"/>
      <c r="B63064" s="7"/>
    </row>
    <row r="63065" ht="15.75" customHeight="1">
      <c r="A63065" s="7"/>
      <c r="B63065" s="7"/>
    </row>
    <row r="63066" ht="15.75" customHeight="1">
      <c r="A63066" s="7"/>
      <c r="B63066" s="7"/>
    </row>
    <row r="63067" ht="15.75" customHeight="1">
      <c r="A63067" s="7"/>
      <c r="B63067" s="7"/>
    </row>
    <row r="63068" ht="15.75" customHeight="1">
      <c r="A63068" s="7"/>
      <c r="B63068" s="7"/>
    </row>
    <row r="63069" ht="15.75" customHeight="1">
      <c r="A63069" s="7"/>
      <c r="B63069" s="7"/>
    </row>
    <row r="63070" ht="15.75" customHeight="1">
      <c r="A63070" s="7"/>
      <c r="B63070" s="7"/>
    </row>
    <row r="63071" ht="15.75" customHeight="1">
      <c r="A63071" s="7"/>
      <c r="B63071" s="7"/>
    </row>
    <row r="63072" ht="15.75" customHeight="1">
      <c r="A63072" s="7"/>
      <c r="B63072" s="7"/>
    </row>
    <row r="63073" ht="15.75" customHeight="1">
      <c r="A63073" s="7"/>
      <c r="B63073" s="7"/>
    </row>
    <row r="63074" ht="15.75" customHeight="1">
      <c r="A63074" s="7"/>
      <c r="B63074" s="7"/>
    </row>
    <row r="63075" ht="15.75" customHeight="1">
      <c r="A63075" s="7"/>
      <c r="B63075" s="7"/>
    </row>
    <row r="63076" ht="15.75" customHeight="1">
      <c r="A63076" s="7"/>
      <c r="B63076" s="7"/>
    </row>
    <row r="63077" ht="15.75" customHeight="1">
      <c r="A63077" s="7"/>
      <c r="B63077" s="7"/>
    </row>
    <row r="63078" ht="15.75" customHeight="1">
      <c r="A63078" s="7"/>
      <c r="B63078" s="7"/>
    </row>
    <row r="63079" ht="15.75" customHeight="1">
      <c r="A63079" s="7"/>
      <c r="B63079" s="7"/>
    </row>
    <row r="63080" ht="15.75" customHeight="1">
      <c r="A63080" s="7"/>
      <c r="B63080" s="7"/>
    </row>
    <row r="63081" ht="15.75" customHeight="1">
      <c r="A63081" s="7"/>
      <c r="B63081" s="7"/>
    </row>
    <row r="63082" ht="15.75" customHeight="1">
      <c r="A63082" s="7"/>
      <c r="B63082" s="7"/>
    </row>
    <row r="63083" ht="15.75" customHeight="1">
      <c r="A63083" s="7"/>
      <c r="B63083" s="7"/>
    </row>
    <row r="63084" ht="15.75" customHeight="1">
      <c r="A63084" s="7"/>
      <c r="B63084" s="7"/>
    </row>
    <row r="63085" ht="15.75" customHeight="1">
      <c r="A63085" s="7"/>
      <c r="B63085" s="7"/>
    </row>
    <row r="63086" ht="15.75" customHeight="1">
      <c r="A63086" s="7"/>
      <c r="B63086" s="7"/>
    </row>
    <row r="63087" ht="15.75" customHeight="1">
      <c r="A63087" s="7"/>
      <c r="B63087" s="7"/>
    </row>
    <row r="63088" ht="15.75" customHeight="1">
      <c r="A63088" s="7"/>
      <c r="B63088" s="7"/>
    </row>
    <row r="63089" ht="15.75" customHeight="1">
      <c r="A63089" s="7"/>
      <c r="B63089" s="7"/>
    </row>
    <row r="63090" ht="15.75" customHeight="1">
      <c r="A63090" s="7"/>
      <c r="B63090" s="7"/>
    </row>
    <row r="63091" ht="15.75" customHeight="1">
      <c r="A63091" s="7"/>
      <c r="B63091" s="7"/>
    </row>
    <row r="63092" ht="15.75" customHeight="1">
      <c r="A63092" s="7"/>
      <c r="B63092" s="7"/>
    </row>
    <row r="63093" ht="15.75" customHeight="1">
      <c r="A63093" s="7"/>
      <c r="B63093" s="7"/>
    </row>
    <row r="63094" ht="15.75" customHeight="1">
      <c r="A63094" s="7"/>
      <c r="B63094" s="7"/>
    </row>
    <row r="63095" ht="15.75" customHeight="1">
      <c r="A63095" s="7"/>
      <c r="B63095" s="7"/>
    </row>
    <row r="63096" ht="15.75" customHeight="1">
      <c r="A63096" s="7"/>
      <c r="B63096" s="7"/>
    </row>
    <row r="63097" ht="15.75" customHeight="1">
      <c r="A63097" s="7"/>
      <c r="B63097" s="7"/>
    </row>
    <row r="63098" ht="15.75" customHeight="1">
      <c r="A63098" s="7"/>
      <c r="B63098" s="7"/>
    </row>
    <row r="63099" ht="15.75" customHeight="1">
      <c r="A63099" s="7"/>
      <c r="B63099" s="7"/>
    </row>
    <row r="63100" ht="15.75" customHeight="1">
      <c r="A63100" s="7"/>
      <c r="B63100" s="7"/>
    </row>
    <row r="63101" ht="15.75" customHeight="1">
      <c r="A63101" s="7"/>
      <c r="B63101" s="7"/>
    </row>
    <row r="63102" ht="15.75" customHeight="1">
      <c r="A63102" s="7"/>
      <c r="B63102" s="7"/>
    </row>
    <row r="63103" ht="15.75" customHeight="1">
      <c r="A63103" s="7"/>
      <c r="B63103" s="7"/>
    </row>
    <row r="63104" ht="15.75" customHeight="1">
      <c r="A63104" s="7"/>
      <c r="B63104" s="7"/>
    </row>
    <row r="63105" ht="15.75" customHeight="1">
      <c r="A63105" s="7"/>
      <c r="B63105" s="7"/>
    </row>
    <row r="63106" ht="15.75" customHeight="1">
      <c r="A63106" s="7"/>
      <c r="B63106" s="7"/>
    </row>
    <row r="63107" ht="15.75" customHeight="1">
      <c r="A63107" s="7"/>
      <c r="B63107" s="7"/>
    </row>
    <row r="63108" ht="15.75" customHeight="1">
      <c r="A63108" s="7"/>
      <c r="B63108" s="7"/>
    </row>
    <row r="63109" ht="15.75" customHeight="1">
      <c r="A63109" s="7"/>
      <c r="B63109" s="7"/>
    </row>
    <row r="63110" ht="15.75" customHeight="1">
      <c r="A63110" s="7"/>
      <c r="B63110" s="7"/>
    </row>
    <row r="63111" ht="15.75" customHeight="1">
      <c r="A63111" s="7"/>
      <c r="B63111" s="7"/>
    </row>
    <row r="63112" ht="15.75" customHeight="1">
      <c r="A63112" s="7"/>
      <c r="B63112" s="7"/>
    </row>
    <row r="63113" ht="15.75" customHeight="1">
      <c r="A63113" s="7"/>
      <c r="B63113" s="7"/>
    </row>
    <row r="63114" ht="15.75" customHeight="1">
      <c r="A63114" s="7"/>
      <c r="B63114" s="7"/>
    </row>
    <row r="63115" ht="15.75" customHeight="1">
      <c r="A63115" s="7"/>
      <c r="B63115" s="7"/>
    </row>
    <row r="63116" ht="15.75" customHeight="1">
      <c r="A63116" s="7"/>
      <c r="B63116" s="7"/>
    </row>
    <row r="63117" ht="15.75" customHeight="1">
      <c r="A63117" s="7"/>
      <c r="B63117" s="7"/>
    </row>
    <row r="63118" ht="15.75" customHeight="1">
      <c r="A63118" s="7"/>
      <c r="B63118" s="7"/>
    </row>
    <row r="63119" ht="15.75" customHeight="1">
      <c r="A63119" s="7"/>
      <c r="B63119" s="7"/>
    </row>
    <row r="63120" ht="15.75" customHeight="1">
      <c r="A63120" s="7"/>
      <c r="B63120" s="7"/>
    </row>
    <row r="63121" ht="15.75" customHeight="1">
      <c r="A63121" s="7"/>
      <c r="B63121" s="7"/>
    </row>
    <row r="63122" ht="15.75" customHeight="1">
      <c r="A63122" s="7"/>
      <c r="B63122" s="7"/>
    </row>
    <row r="63123" ht="15.75" customHeight="1">
      <c r="A63123" s="7"/>
      <c r="B63123" s="7"/>
    </row>
    <row r="63124" ht="15.75" customHeight="1">
      <c r="A63124" s="7"/>
      <c r="B63124" s="7"/>
    </row>
    <row r="63125" ht="15.75" customHeight="1">
      <c r="A63125" s="7"/>
      <c r="B63125" s="7"/>
    </row>
    <row r="63126" ht="15.75" customHeight="1">
      <c r="A63126" s="7"/>
      <c r="B63126" s="7"/>
    </row>
    <row r="63127" ht="15.75" customHeight="1">
      <c r="A63127" s="7"/>
      <c r="B63127" s="7"/>
    </row>
    <row r="63128" ht="15.75" customHeight="1">
      <c r="A63128" s="7"/>
      <c r="B63128" s="7"/>
    </row>
    <row r="63129" ht="15.75" customHeight="1">
      <c r="A63129" s="7"/>
      <c r="B63129" s="7"/>
    </row>
    <row r="63130" ht="15.75" customHeight="1">
      <c r="A63130" s="7"/>
      <c r="B63130" s="7"/>
    </row>
    <row r="63131" ht="15.75" customHeight="1">
      <c r="A63131" s="7"/>
      <c r="B63131" s="7"/>
    </row>
    <row r="63132" ht="15.75" customHeight="1">
      <c r="A63132" s="7"/>
      <c r="B63132" s="7"/>
    </row>
    <row r="63133" ht="15.75" customHeight="1">
      <c r="A63133" s="7"/>
      <c r="B63133" s="7"/>
    </row>
    <row r="63134" ht="15.75" customHeight="1">
      <c r="A63134" s="7"/>
      <c r="B63134" s="7"/>
    </row>
    <row r="63135" ht="15.75" customHeight="1">
      <c r="A63135" s="7"/>
      <c r="B63135" s="7"/>
    </row>
    <row r="63136" ht="15.75" customHeight="1">
      <c r="A63136" s="7"/>
      <c r="B63136" s="7"/>
    </row>
    <row r="63137" ht="15.75" customHeight="1">
      <c r="A63137" s="7"/>
      <c r="B63137" s="7"/>
    </row>
    <row r="63138" ht="15.75" customHeight="1">
      <c r="A63138" s="7"/>
      <c r="B63138" s="7"/>
    </row>
    <row r="63139" ht="15.75" customHeight="1">
      <c r="A63139" s="7"/>
      <c r="B63139" s="7"/>
    </row>
    <row r="63140" ht="15.75" customHeight="1">
      <c r="A63140" s="7"/>
      <c r="B63140" s="7"/>
    </row>
    <row r="63141" ht="15.75" customHeight="1">
      <c r="A63141" s="7"/>
      <c r="B63141" s="7"/>
    </row>
    <row r="63142" ht="15.75" customHeight="1">
      <c r="A63142" s="7"/>
      <c r="B63142" s="7"/>
    </row>
    <row r="63143" ht="15.75" customHeight="1">
      <c r="A63143" s="7"/>
      <c r="B63143" s="7"/>
    </row>
    <row r="63144" ht="15.75" customHeight="1">
      <c r="A63144" s="7"/>
      <c r="B63144" s="7"/>
    </row>
    <row r="63145" ht="15.75" customHeight="1">
      <c r="A63145" s="7"/>
      <c r="B63145" s="7"/>
    </row>
    <row r="63146" ht="15.75" customHeight="1">
      <c r="A63146" s="7"/>
      <c r="B63146" s="7"/>
    </row>
    <row r="63147" ht="15.75" customHeight="1">
      <c r="A63147" s="7"/>
      <c r="B63147" s="7"/>
    </row>
    <row r="63148" ht="15.75" customHeight="1">
      <c r="A63148" s="7"/>
      <c r="B63148" s="7"/>
    </row>
    <row r="63149" ht="15.75" customHeight="1">
      <c r="A63149" s="7"/>
      <c r="B63149" s="7"/>
    </row>
    <row r="63150" ht="15.75" customHeight="1">
      <c r="A63150" s="7"/>
      <c r="B63150" s="7"/>
    </row>
    <row r="63151" ht="15.75" customHeight="1">
      <c r="A63151" s="7"/>
      <c r="B63151" s="7"/>
    </row>
    <row r="63152" ht="15.75" customHeight="1">
      <c r="A63152" s="7"/>
      <c r="B63152" s="7"/>
    </row>
    <row r="63153" ht="15.75" customHeight="1">
      <c r="A63153" s="7"/>
      <c r="B63153" s="7"/>
    </row>
    <row r="63154" ht="15.75" customHeight="1">
      <c r="A63154" s="7"/>
      <c r="B63154" s="7"/>
    </row>
    <row r="63155" ht="15.75" customHeight="1">
      <c r="A63155" s="7"/>
      <c r="B63155" s="7"/>
    </row>
    <row r="63156" ht="15.75" customHeight="1">
      <c r="A63156" s="7"/>
      <c r="B63156" s="7"/>
    </row>
    <row r="63157" ht="15.75" customHeight="1">
      <c r="A63157" s="7"/>
      <c r="B63157" s="7"/>
    </row>
    <row r="63158" ht="15.75" customHeight="1">
      <c r="A63158" s="7"/>
      <c r="B63158" s="7"/>
    </row>
    <row r="63159" ht="15.75" customHeight="1">
      <c r="A63159" s="7"/>
      <c r="B63159" s="7"/>
    </row>
    <row r="63160" ht="15.75" customHeight="1">
      <c r="A63160" s="7"/>
      <c r="B63160" s="7"/>
    </row>
    <row r="63161" ht="15.75" customHeight="1">
      <c r="A63161" s="7"/>
      <c r="B63161" s="7"/>
    </row>
    <row r="63162" ht="15.75" customHeight="1">
      <c r="A63162" s="7"/>
      <c r="B63162" s="7"/>
    </row>
    <row r="63163" ht="15.75" customHeight="1">
      <c r="A63163" s="7"/>
      <c r="B63163" s="7"/>
    </row>
    <row r="63164" ht="15.75" customHeight="1">
      <c r="A63164" s="7"/>
      <c r="B63164" s="7"/>
    </row>
    <row r="63165" ht="15.75" customHeight="1">
      <c r="A63165" s="7"/>
      <c r="B63165" s="7"/>
    </row>
    <row r="63166" ht="15.75" customHeight="1">
      <c r="A63166" s="7"/>
      <c r="B63166" s="7"/>
    </row>
    <row r="63167" ht="15.75" customHeight="1">
      <c r="A63167" s="7"/>
      <c r="B63167" s="7"/>
    </row>
    <row r="63168" ht="15.75" customHeight="1">
      <c r="A63168" s="7"/>
      <c r="B63168" s="7"/>
    </row>
    <row r="63169" ht="15.75" customHeight="1">
      <c r="A63169" s="7"/>
      <c r="B63169" s="7"/>
    </row>
    <row r="63170" ht="15.75" customHeight="1">
      <c r="A63170" s="7"/>
      <c r="B63170" s="7"/>
    </row>
    <row r="63171" ht="15.75" customHeight="1">
      <c r="A63171" s="7"/>
      <c r="B63171" s="7"/>
    </row>
    <row r="63172" ht="15.75" customHeight="1">
      <c r="A63172" s="7"/>
      <c r="B63172" s="7"/>
    </row>
    <row r="63173" ht="15.75" customHeight="1">
      <c r="A63173" s="7"/>
      <c r="B63173" s="7"/>
    </row>
    <row r="63174" ht="15.75" customHeight="1">
      <c r="A63174" s="7"/>
      <c r="B63174" s="7"/>
    </row>
    <row r="63175" ht="15.75" customHeight="1">
      <c r="A63175" s="7"/>
      <c r="B63175" s="7"/>
    </row>
    <row r="63176" ht="15.75" customHeight="1">
      <c r="A63176" s="7"/>
      <c r="B63176" s="7"/>
    </row>
    <row r="63177" ht="15.75" customHeight="1">
      <c r="A63177" s="7"/>
      <c r="B63177" s="7"/>
    </row>
    <row r="63178" ht="15.75" customHeight="1">
      <c r="A63178" s="7"/>
      <c r="B63178" s="7"/>
    </row>
    <row r="63179" ht="15.75" customHeight="1">
      <c r="A63179" s="7"/>
      <c r="B63179" s="7"/>
    </row>
    <row r="63180" ht="15.75" customHeight="1">
      <c r="A63180" s="7"/>
      <c r="B63180" s="7"/>
    </row>
    <row r="63181" ht="15.75" customHeight="1">
      <c r="A63181" s="7"/>
      <c r="B63181" s="7"/>
    </row>
    <row r="63182" ht="15.75" customHeight="1">
      <c r="A63182" s="7"/>
      <c r="B63182" s="7"/>
    </row>
    <row r="63183" ht="15.75" customHeight="1">
      <c r="A63183" s="7"/>
      <c r="B63183" s="7"/>
    </row>
    <row r="63184" ht="15.75" customHeight="1">
      <c r="A63184" s="7"/>
      <c r="B63184" s="7"/>
    </row>
    <row r="63185" ht="15.75" customHeight="1">
      <c r="A63185" s="7"/>
      <c r="B63185" s="7"/>
    </row>
    <row r="63186" ht="15.75" customHeight="1">
      <c r="A63186" s="7"/>
      <c r="B63186" s="7"/>
    </row>
    <row r="63187" ht="15.75" customHeight="1">
      <c r="A63187" s="7"/>
      <c r="B63187" s="7"/>
    </row>
    <row r="63188" ht="15.75" customHeight="1">
      <c r="A63188" s="7"/>
      <c r="B63188" s="7"/>
    </row>
    <row r="63189" ht="15.75" customHeight="1">
      <c r="A63189" s="7"/>
      <c r="B63189" s="7"/>
    </row>
    <row r="63190" ht="15.75" customHeight="1">
      <c r="A63190" s="7"/>
      <c r="B63190" s="7"/>
    </row>
    <row r="63191" ht="15.75" customHeight="1">
      <c r="A63191" s="7"/>
      <c r="B63191" s="7"/>
    </row>
    <row r="63192" ht="15.75" customHeight="1">
      <c r="A63192" s="7"/>
      <c r="B63192" s="7"/>
    </row>
    <row r="63193" ht="15.75" customHeight="1">
      <c r="A63193" s="7"/>
      <c r="B63193" s="7"/>
    </row>
    <row r="63194" ht="15.75" customHeight="1">
      <c r="A63194" s="7"/>
      <c r="B63194" s="7"/>
    </row>
    <row r="63195" ht="15.75" customHeight="1">
      <c r="A63195" s="7"/>
      <c r="B63195" s="7"/>
    </row>
    <row r="63196" ht="15.75" customHeight="1">
      <c r="A63196" s="7"/>
      <c r="B63196" s="7"/>
    </row>
    <row r="63197" ht="15.75" customHeight="1">
      <c r="A63197" s="7"/>
      <c r="B63197" s="7"/>
    </row>
    <row r="63198" ht="15.75" customHeight="1">
      <c r="A63198" s="7"/>
      <c r="B63198" s="7"/>
    </row>
    <row r="63199" ht="15.75" customHeight="1">
      <c r="A63199" s="7"/>
      <c r="B63199" s="7"/>
    </row>
    <row r="63200" ht="15.75" customHeight="1">
      <c r="A63200" s="7"/>
      <c r="B63200" s="7"/>
    </row>
    <row r="63201" ht="15.75" customHeight="1">
      <c r="A63201" s="7"/>
      <c r="B63201" s="7"/>
    </row>
    <row r="63202" ht="15.75" customHeight="1">
      <c r="A63202" s="7"/>
      <c r="B63202" s="7"/>
    </row>
    <row r="63203" ht="15.75" customHeight="1">
      <c r="A63203" s="7"/>
      <c r="B63203" s="7"/>
    </row>
    <row r="63204" ht="15.75" customHeight="1">
      <c r="A63204" s="7"/>
      <c r="B63204" s="7"/>
    </row>
    <row r="63205" ht="15.75" customHeight="1">
      <c r="A63205" s="7"/>
      <c r="B63205" s="7"/>
    </row>
    <row r="63206" ht="15.75" customHeight="1">
      <c r="A63206" s="7"/>
      <c r="B63206" s="7"/>
    </row>
    <row r="63207" ht="15.75" customHeight="1">
      <c r="A63207" s="7"/>
      <c r="B63207" s="7"/>
    </row>
    <row r="63208" ht="15.75" customHeight="1">
      <c r="A63208" s="7"/>
      <c r="B63208" s="7"/>
    </row>
    <row r="63209" ht="15.75" customHeight="1">
      <c r="A63209" s="7"/>
      <c r="B63209" s="7"/>
    </row>
    <row r="63210" ht="15.75" customHeight="1">
      <c r="A63210" s="7"/>
      <c r="B63210" s="7"/>
    </row>
    <row r="63211" ht="15.75" customHeight="1">
      <c r="A63211" s="7"/>
      <c r="B63211" s="7"/>
    </row>
    <row r="63212" ht="15.75" customHeight="1">
      <c r="A63212" s="7"/>
      <c r="B63212" s="7"/>
    </row>
    <row r="63213" ht="15.75" customHeight="1">
      <c r="A63213" s="7"/>
      <c r="B63213" s="7"/>
    </row>
    <row r="63214" ht="15.75" customHeight="1">
      <c r="A63214" s="7"/>
      <c r="B63214" s="7"/>
    </row>
    <row r="63215" ht="15.75" customHeight="1">
      <c r="A63215" s="7"/>
      <c r="B63215" s="7"/>
    </row>
    <row r="63216" ht="15.75" customHeight="1">
      <c r="A63216" s="7"/>
      <c r="B63216" s="7"/>
    </row>
    <row r="63217" ht="15.75" customHeight="1">
      <c r="A63217" s="7"/>
      <c r="B63217" s="7"/>
    </row>
    <row r="63218" ht="15.75" customHeight="1">
      <c r="A63218" s="7"/>
      <c r="B63218" s="7"/>
    </row>
    <row r="63219" ht="15.75" customHeight="1">
      <c r="A63219" s="7"/>
      <c r="B63219" s="7"/>
    </row>
    <row r="63220" ht="15.75" customHeight="1">
      <c r="A63220" s="7"/>
      <c r="B63220" s="7"/>
    </row>
    <row r="63221" ht="15.75" customHeight="1">
      <c r="A63221" s="7"/>
      <c r="B63221" s="7"/>
    </row>
    <row r="63222" ht="15.75" customHeight="1">
      <c r="A63222" s="7"/>
      <c r="B63222" s="7"/>
    </row>
    <row r="63223" ht="15.75" customHeight="1">
      <c r="A63223" s="7"/>
      <c r="B63223" s="7"/>
    </row>
    <row r="63224" ht="15.75" customHeight="1">
      <c r="A63224" s="7"/>
      <c r="B63224" s="7"/>
    </row>
    <row r="63225" ht="15.75" customHeight="1">
      <c r="A63225" s="7"/>
      <c r="B63225" s="7"/>
    </row>
    <row r="63226" ht="15.75" customHeight="1">
      <c r="A63226" s="7"/>
      <c r="B63226" s="7"/>
    </row>
    <row r="63227" ht="15.75" customHeight="1">
      <c r="A63227" s="7"/>
      <c r="B63227" s="7"/>
    </row>
    <row r="63228" ht="15.75" customHeight="1">
      <c r="A63228" s="7"/>
      <c r="B63228" s="7"/>
    </row>
    <row r="63229" ht="15.75" customHeight="1">
      <c r="A63229" s="7"/>
      <c r="B63229" s="7"/>
    </row>
    <row r="63230" ht="15.75" customHeight="1">
      <c r="A63230" s="7"/>
      <c r="B63230" s="7"/>
    </row>
    <row r="63231" ht="15.75" customHeight="1">
      <c r="A63231" s="7"/>
      <c r="B63231" s="7"/>
    </row>
    <row r="63232" ht="15.75" customHeight="1">
      <c r="A63232" s="7"/>
      <c r="B63232" s="7"/>
    </row>
    <row r="63233" ht="15.75" customHeight="1">
      <c r="A63233" s="7"/>
      <c r="B63233" s="7"/>
    </row>
    <row r="63234" ht="15.75" customHeight="1">
      <c r="A63234" s="7"/>
      <c r="B63234" s="7"/>
    </row>
    <row r="63235" ht="15.75" customHeight="1">
      <c r="A63235" s="7"/>
      <c r="B63235" s="7"/>
    </row>
    <row r="63236" ht="15.75" customHeight="1">
      <c r="A63236" s="7"/>
      <c r="B63236" s="7"/>
    </row>
    <row r="63237" ht="15.75" customHeight="1">
      <c r="A63237" s="7"/>
      <c r="B63237" s="7"/>
    </row>
    <row r="63238" ht="15.75" customHeight="1">
      <c r="A63238" s="7"/>
      <c r="B63238" s="7"/>
    </row>
    <row r="63239" ht="15.75" customHeight="1">
      <c r="A63239" s="7"/>
      <c r="B63239" s="7"/>
    </row>
    <row r="63240" ht="15.75" customHeight="1">
      <c r="A63240" s="7"/>
      <c r="B63240" s="7"/>
    </row>
    <row r="63241" ht="15.75" customHeight="1">
      <c r="A63241" s="7"/>
      <c r="B63241" s="7"/>
    </row>
    <row r="63242" ht="15.75" customHeight="1">
      <c r="A63242" s="7"/>
      <c r="B63242" s="7"/>
    </row>
    <row r="63243" ht="15.75" customHeight="1">
      <c r="A63243" s="7"/>
      <c r="B63243" s="7"/>
    </row>
    <row r="63244" ht="15.75" customHeight="1">
      <c r="A63244" s="7"/>
      <c r="B63244" s="7"/>
    </row>
    <row r="63245" ht="15.75" customHeight="1">
      <c r="A63245" s="7"/>
      <c r="B63245" s="7"/>
    </row>
    <row r="63246" ht="15.75" customHeight="1">
      <c r="A63246" s="7"/>
      <c r="B63246" s="7"/>
    </row>
    <row r="63247" ht="15.75" customHeight="1">
      <c r="A63247" s="7"/>
      <c r="B63247" s="7"/>
    </row>
    <row r="63248" ht="15.75" customHeight="1">
      <c r="A63248" s="7"/>
      <c r="B63248" s="7"/>
    </row>
    <row r="63249" ht="15.75" customHeight="1">
      <c r="A63249" s="7"/>
      <c r="B63249" s="7"/>
    </row>
    <row r="63250" ht="15.75" customHeight="1">
      <c r="A63250" s="7"/>
      <c r="B63250" s="7"/>
    </row>
    <row r="63251" ht="15.75" customHeight="1">
      <c r="A63251" s="7"/>
      <c r="B63251" s="7"/>
    </row>
    <row r="63252" ht="15.75" customHeight="1">
      <c r="A63252" s="7"/>
      <c r="B63252" s="7"/>
    </row>
    <row r="63253" ht="15.75" customHeight="1">
      <c r="A63253" s="7"/>
      <c r="B63253" s="7"/>
    </row>
    <row r="63254" ht="15.75" customHeight="1">
      <c r="A63254" s="7"/>
      <c r="B63254" s="7"/>
    </row>
    <row r="63255" ht="15.75" customHeight="1">
      <c r="A63255" s="7"/>
      <c r="B63255" s="7"/>
    </row>
    <row r="63256" ht="15.75" customHeight="1">
      <c r="A63256" s="7"/>
      <c r="B63256" s="7"/>
    </row>
    <row r="63257" ht="15.75" customHeight="1">
      <c r="A63257" s="7"/>
      <c r="B63257" s="7"/>
    </row>
    <row r="63258" ht="15.75" customHeight="1">
      <c r="A63258" s="7"/>
      <c r="B63258" s="7"/>
    </row>
    <row r="63259" ht="15.75" customHeight="1">
      <c r="A63259" s="7"/>
      <c r="B63259" s="7"/>
    </row>
    <row r="63260" ht="15.75" customHeight="1">
      <c r="A63260" s="7"/>
      <c r="B63260" s="7"/>
    </row>
    <row r="63261" ht="15.75" customHeight="1">
      <c r="A63261" s="7"/>
      <c r="B63261" s="7"/>
    </row>
    <row r="63262" ht="15.75" customHeight="1">
      <c r="A63262" s="7"/>
      <c r="B63262" s="7"/>
    </row>
    <row r="63263" ht="15.75" customHeight="1">
      <c r="A63263" s="7"/>
      <c r="B63263" s="7"/>
    </row>
    <row r="63264" ht="15.75" customHeight="1">
      <c r="A63264" s="7"/>
      <c r="B63264" s="7"/>
    </row>
    <row r="63265" ht="15.75" customHeight="1">
      <c r="A63265" s="7"/>
      <c r="B63265" s="7"/>
    </row>
    <row r="63266" ht="15.75" customHeight="1">
      <c r="A63266" s="7"/>
      <c r="B63266" s="7"/>
    </row>
    <row r="63267" ht="15.75" customHeight="1">
      <c r="A63267" s="7"/>
      <c r="B63267" s="7"/>
    </row>
    <row r="63268" ht="15.75" customHeight="1">
      <c r="A63268" s="7"/>
      <c r="B63268" s="7"/>
    </row>
    <row r="63269" ht="15.75" customHeight="1">
      <c r="A63269" s="7"/>
      <c r="B63269" s="7"/>
    </row>
    <row r="63270" ht="15.75" customHeight="1">
      <c r="A63270" s="7"/>
      <c r="B63270" s="7"/>
    </row>
    <row r="63271" ht="15.75" customHeight="1">
      <c r="A63271" s="7"/>
      <c r="B63271" s="7"/>
    </row>
    <row r="63272" ht="15.75" customHeight="1">
      <c r="A63272" s="7"/>
      <c r="B63272" s="7"/>
    </row>
    <row r="63273" ht="15.75" customHeight="1">
      <c r="A63273" s="7"/>
      <c r="B63273" s="7"/>
    </row>
    <row r="63274" ht="15.75" customHeight="1">
      <c r="A63274" s="7"/>
      <c r="B63274" s="7"/>
    </row>
    <row r="63275" ht="15.75" customHeight="1">
      <c r="A63275" s="7"/>
      <c r="B63275" s="7"/>
    </row>
    <row r="63276" ht="15.75" customHeight="1">
      <c r="A63276" s="7"/>
      <c r="B63276" s="7"/>
    </row>
    <row r="63277" ht="15.75" customHeight="1">
      <c r="A63277" s="7"/>
      <c r="B63277" s="7"/>
    </row>
    <row r="63278" ht="15.75" customHeight="1">
      <c r="A63278" s="7"/>
      <c r="B63278" s="7"/>
    </row>
    <row r="63279" ht="15.75" customHeight="1">
      <c r="A63279" s="7"/>
      <c r="B63279" s="7"/>
    </row>
    <row r="63280" ht="15.75" customHeight="1">
      <c r="A63280" s="7"/>
      <c r="B63280" s="7"/>
    </row>
    <row r="63281" ht="15.75" customHeight="1">
      <c r="A63281" s="7"/>
      <c r="B63281" s="7"/>
    </row>
    <row r="63282" ht="15.75" customHeight="1">
      <c r="A63282" s="7"/>
      <c r="B63282" s="7"/>
    </row>
    <row r="63283" ht="15.75" customHeight="1">
      <c r="A63283" s="7"/>
      <c r="B63283" s="7"/>
    </row>
    <row r="63284" ht="15.75" customHeight="1">
      <c r="A63284" s="7"/>
      <c r="B63284" s="7"/>
    </row>
    <row r="63285" ht="15.75" customHeight="1">
      <c r="A63285" s="7"/>
      <c r="B63285" s="7"/>
    </row>
    <row r="63286" ht="15.75" customHeight="1">
      <c r="A63286" s="7"/>
      <c r="B63286" s="7"/>
    </row>
    <row r="63287" ht="15.75" customHeight="1">
      <c r="A63287" s="7"/>
      <c r="B63287" s="7"/>
    </row>
    <row r="63288" ht="15.75" customHeight="1">
      <c r="A63288" s="7"/>
      <c r="B63288" s="7"/>
    </row>
    <row r="63289" ht="15.75" customHeight="1">
      <c r="A63289" s="7"/>
      <c r="B63289" s="7"/>
    </row>
    <row r="63290" ht="15.75" customHeight="1">
      <c r="A63290" s="7"/>
      <c r="B63290" s="7"/>
    </row>
    <row r="63291" ht="15.75" customHeight="1">
      <c r="A63291" s="7"/>
      <c r="B63291" s="7"/>
    </row>
    <row r="63292" ht="15.75" customHeight="1">
      <c r="A63292" s="7"/>
      <c r="B63292" s="7"/>
    </row>
    <row r="63293" ht="15.75" customHeight="1">
      <c r="A63293" s="7"/>
      <c r="B63293" s="7"/>
    </row>
    <row r="63294" ht="15.75" customHeight="1">
      <c r="A63294" s="7"/>
      <c r="B63294" s="7"/>
    </row>
    <row r="63295" ht="15.75" customHeight="1">
      <c r="A63295" s="7"/>
      <c r="B63295" s="7"/>
    </row>
    <row r="63296" ht="15.75" customHeight="1">
      <c r="A63296" s="7"/>
      <c r="B63296" s="7"/>
    </row>
    <row r="63297" ht="15.75" customHeight="1">
      <c r="A63297" s="7"/>
      <c r="B63297" s="7"/>
    </row>
    <row r="63298" ht="15.75" customHeight="1">
      <c r="A63298" s="7"/>
      <c r="B63298" s="7"/>
    </row>
    <row r="63299" ht="15.75" customHeight="1">
      <c r="A63299" s="7"/>
      <c r="B63299" s="7"/>
    </row>
    <row r="63300" ht="15.75" customHeight="1">
      <c r="A63300" s="7"/>
      <c r="B63300" s="7"/>
    </row>
    <row r="63301" ht="15.75" customHeight="1">
      <c r="A63301" s="7"/>
      <c r="B63301" s="7"/>
    </row>
    <row r="63302" ht="15.75" customHeight="1">
      <c r="A63302" s="7"/>
      <c r="B63302" s="7"/>
    </row>
    <row r="63303" ht="15.75" customHeight="1">
      <c r="A63303" s="7"/>
      <c r="B63303" s="7"/>
    </row>
    <row r="63304" ht="15.75" customHeight="1">
      <c r="A63304" s="7"/>
      <c r="B63304" s="7"/>
    </row>
    <row r="63305" ht="15.75" customHeight="1">
      <c r="A63305" s="7"/>
      <c r="B63305" s="7"/>
    </row>
    <row r="63306" ht="15.75" customHeight="1">
      <c r="A63306" s="7"/>
      <c r="B63306" s="7"/>
    </row>
    <row r="63307" ht="15.75" customHeight="1">
      <c r="A63307" s="7"/>
      <c r="B63307" s="7"/>
    </row>
    <row r="63308" ht="15.75" customHeight="1">
      <c r="A63308" s="7"/>
      <c r="B63308" s="7"/>
    </row>
    <row r="63309" ht="15.75" customHeight="1">
      <c r="A63309" s="7"/>
      <c r="B63309" s="7"/>
    </row>
    <row r="63310" ht="15.75" customHeight="1">
      <c r="A63310" s="7"/>
      <c r="B63310" s="7"/>
    </row>
    <row r="63311" ht="15.75" customHeight="1">
      <c r="A63311" s="7"/>
      <c r="B63311" s="7"/>
    </row>
    <row r="63312" ht="15.75" customHeight="1">
      <c r="A63312" s="7"/>
      <c r="B63312" s="7"/>
    </row>
    <row r="63313" ht="15.75" customHeight="1">
      <c r="A63313" s="7"/>
      <c r="B63313" s="7"/>
    </row>
    <row r="63314" ht="15.75" customHeight="1">
      <c r="A63314" s="7"/>
      <c r="B63314" s="7"/>
    </row>
    <row r="63315" ht="15.75" customHeight="1">
      <c r="A63315" s="7"/>
      <c r="B63315" s="7"/>
    </row>
    <row r="63316" ht="15.75" customHeight="1">
      <c r="A63316" s="7"/>
      <c r="B63316" s="7"/>
    </row>
    <row r="63317" ht="15.75" customHeight="1">
      <c r="A63317" s="7"/>
      <c r="B63317" s="7"/>
    </row>
    <row r="63318" ht="15.75" customHeight="1">
      <c r="A63318" s="7"/>
      <c r="B63318" s="7"/>
    </row>
    <row r="63319" ht="15.75" customHeight="1">
      <c r="A63319" s="7"/>
      <c r="B63319" s="7"/>
    </row>
    <row r="63320" ht="15.75" customHeight="1">
      <c r="A63320" s="7"/>
      <c r="B63320" s="7"/>
    </row>
    <row r="63321" ht="15.75" customHeight="1">
      <c r="A63321" s="7"/>
      <c r="B63321" s="7"/>
    </row>
    <row r="63322" ht="15.75" customHeight="1">
      <c r="A63322" s="7"/>
      <c r="B63322" s="7"/>
    </row>
    <row r="63323" ht="15.75" customHeight="1">
      <c r="A63323" s="7"/>
      <c r="B63323" s="7"/>
    </row>
    <row r="63324" ht="15.75" customHeight="1">
      <c r="A63324" s="7"/>
      <c r="B63324" s="7"/>
    </row>
    <row r="63325" ht="15.75" customHeight="1">
      <c r="A63325" s="7"/>
      <c r="B63325" s="7"/>
    </row>
    <row r="63326" ht="15.75" customHeight="1">
      <c r="A63326" s="7"/>
      <c r="B63326" s="7"/>
    </row>
    <row r="63327" ht="15.75" customHeight="1">
      <c r="A63327" s="7"/>
      <c r="B63327" s="7"/>
    </row>
    <row r="63328" ht="15.75" customHeight="1">
      <c r="A63328" s="7"/>
      <c r="B63328" s="7"/>
    </row>
    <row r="63329" ht="15.75" customHeight="1">
      <c r="A63329" s="7"/>
      <c r="B63329" s="7"/>
    </row>
    <row r="63330" ht="15.75" customHeight="1">
      <c r="A63330" s="7"/>
      <c r="B63330" s="7"/>
    </row>
    <row r="63331" ht="15.75" customHeight="1">
      <c r="A63331" s="7"/>
      <c r="B63331" s="7"/>
    </row>
    <row r="63332" ht="15.75" customHeight="1">
      <c r="A63332" s="7"/>
      <c r="B63332" s="7"/>
    </row>
    <row r="63333" ht="15.75" customHeight="1">
      <c r="A63333" s="7"/>
      <c r="B63333" s="7"/>
    </row>
    <row r="63334" ht="15.75" customHeight="1">
      <c r="A63334" s="7"/>
      <c r="B63334" s="7"/>
    </row>
    <row r="63335" ht="15.75" customHeight="1">
      <c r="A63335" s="7"/>
      <c r="B63335" s="7"/>
    </row>
    <row r="63336" ht="15.75" customHeight="1">
      <c r="A63336" s="7"/>
      <c r="B63336" s="7"/>
    </row>
    <row r="63337" ht="15.75" customHeight="1">
      <c r="A63337" s="7"/>
      <c r="B63337" s="7"/>
    </row>
    <row r="63338" ht="15.75" customHeight="1">
      <c r="A63338" s="7"/>
      <c r="B63338" s="7"/>
    </row>
    <row r="63339" ht="15.75" customHeight="1">
      <c r="A63339" s="7"/>
      <c r="B63339" s="7"/>
    </row>
    <row r="63340" ht="15.75" customHeight="1">
      <c r="A63340" s="7"/>
      <c r="B63340" s="7"/>
    </row>
    <row r="63341" ht="15.75" customHeight="1">
      <c r="A63341" s="7"/>
      <c r="B63341" s="7"/>
    </row>
    <row r="63342" ht="15.75" customHeight="1">
      <c r="A63342" s="7"/>
      <c r="B63342" s="7"/>
    </row>
    <row r="63343" ht="15.75" customHeight="1">
      <c r="A63343" s="7"/>
      <c r="B63343" s="7"/>
    </row>
    <row r="63344" ht="15.75" customHeight="1">
      <c r="A63344" s="7"/>
      <c r="B63344" s="7"/>
    </row>
    <row r="63345" ht="15.75" customHeight="1">
      <c r="A63345" s="7"/>
      <c r="B63345" s="7"/>
    </row>
    <row r="63346" ht="15.75" customHeight="1">
      <c r="A63346" s="7"/>
      <c r="B63346" s="7"/>
    </row>
    <row r="63347" ht="15.75" customHeight="1">
      <c r="A63347" s="7"/>
      <c r="B63347" s="7"/>
    </row>
    <row r="63348" ht="15.75" customHeight="1">
      <c r="A63348" s="7"/>
      <c r="B63348" s="7"/>
    </row>
    <row r="63349" ht="15.75" customHeight="1">
      <c r="A63349" s="7"/>
      <c r="B63349" s="7"/>
    </row>
    <row r="63350" ht="15.75" customHeight="1">
      <c r="A63350" s="7"/>
      <c r="B63350" s="7"/>
    </row>
    <row r="63351" ht="15.75" customHeight="1">
      <c r="A63351" s="7"/>
      <c r="B63351" s="7"/>
    </row>
    <row r="63352" ht="15.75" customHeight="1">
      <c r="A63352" s="7"/>
      <c r="B63352" s="7"/>
    </row>
    <row r="63353" ht="15.75" customHeight="1">
      <c r="A63353" s="7"/>
      <c r="B63353" s="7"/>
    </row>
    <row r="63354" ht="15.75" customHeight="1">
      <c r="A63354" s="7"/>
      <c r="B63354" s="7"/>
    </row>
    <row r="63355" ht="15.75" customHeight="1">
      <c r="A63355" s="7"/>
      <c r="B63355" s="7"/>
    </row>
    <row r="63356" ht="15.75" customHeight="1">
      <c r="A63356" s="7"/>
      <c r="B63356" s="7"/>
    </row>
    <row r="63357" ht="15.75" customHeight="1">
      <c r="A63357" s="7"/>
      <c r="B63357" s="7"/>
    </row>
    <row r="63358" ht="15.75" customHeight="1">
      <c r="A63358" s="7"/>
      <c r="B63358" s="7"/>
    </row>
    <row r="63359" ht="15.75" customHeight="1">
      <c r="A63359" s="7"/>
      <c r="B63359" s="7"/>
    </row>
    <row r="63360" ht="15.75" customHeight="1">
      <c r="A63360" s="7"/>
      <c r="B63360" s="7"/>
    </row>
    <row r="63361" ht="15.75" customHeight="1">
      <c r="A63361" s="7"/>
      <c r="B63361" s="7"/>
    </row>
    <row r="63362" ht="15.75" customHeight="1">
      <c r="A63362" s="7"/>
      <c r="B63362" s="7"/>
    </row>
    <row r="63363" ht="15.75" customHeight="1">
      <c r="A63363" s="7"/>
      <c r="B63363" s="7"/>
    </row>
    <row r="63364" ht="15.75" customHeight="1">
      <c r="A63364" s="7"/>
      <c r="B63364" s="7"/>
    </row>
    <row r="63365" ht="15.75" customHeight="1">
      <c r="A63365" s="7"/>
      <c r="B63365" s="7"/>
    </row>
    <row r="63366" ht="15.75" customHeight="1">
      <c r="A63366" s="7"/>
      <c r="B63366" s="7"/>
    </row>
    <row r="63367" ht="15.75" customHeight="1">
      <c r="A63367" s="7"/>
      <c r="B63367" s="7"/>
    </row>
    <row r="63368" ht="15.75" customHeight="1">
      <c r="A63368" s="7"/>
      <c r="B63368" s="7"/>
    </row>
    <row r="63369" ht="15.75" customHeight="1">
      <c r="A63369" s="7"/>
      <c r="B63369" s="7"/>
    </row>
    <row r="63370" ht="15.75" customHeight="1">
      <c r="A63370" s="7"/>
      <c r="B63370" s="7"/>
    </row>
    <row r="63371" ht="15.75" customHeight="1">
      <c r="A63371" s="7"/>
      <c r="B63371" s="7"/>
    </row>
    <row r="63372" ht="15.75" customHeight="1">
      <c r="A63372" s="7"/>
      <c r="B63372" s="7"/>
    </row>
    <row r="63373" ht="15.75" customHeight="1">
      <c r="A63373" s="7"/>
      <c r="B63373" s="7"/>
    </row>
    <row r="63374" ht="15.75" customHeight="1">
      <c r="A63374" s="7"/>
      <c r="B63374" s="7"/>
    </row>
    <row r="63375" ht="15.75" customHeight="1">
      <c r="A63375" s="7"/>
      <c r="B63375" s="7"/>
    </row>
    <row r="63376" ht="15.75" customHeight="1">
      <c r="A63376" s="7"/>
      <c r="B63376" s="7"/>
    </row>
    <row r="63377" ht="15.75" customHeight="1">
      <c r="A63377" s="7"/>
      <c r="B63377" s="7"/>
    </row>
    <row r="63378" ht="15.75" customHeight="1">
      <c r="A63378" s="7"/>
      <c r="B63378" s="7"/>
    </row>
    <row r="63379" ht="15.75" customHeight="1">
      <c r="A63379" s="7"/>
      <c r="B63379" s="7"/>
    </row>
    <row r="63380" ht="15.75" customHeight="1">
      <c r="A63380" s="7"/>
      <c r="B63380" s="7"/>
    </row>
    <row r="63381" ht="15.75" customHeight="1">
      <c r="A63381" s="7"/>
      <c r="B63381" s="7"/>
    </row>
    <row r="63382" ht="15.75" customHeight="1">
      <c r="A63382" s="7"/>
      <c r="B63382" s="7"/>
    </row>
    <row r="63383" ht="15.75" customHeight="1">
      <c r="A63383" s="7"/>
      <c r="B63383" s="7"/>
    </row>
    <row r="63384" ht="15.75" customHeight="1">
      <c r="A63384" s="7"/>
      <c r="B63384" s="7"/>
    </row>
    <row r="63385" ht="15.75" customHeight="1">
      <c r="A63385" s="7"/>
      <c r="B63385" s="7"/>
    </row>
    <row r="63386" ht="15.75" customHeight="1">
      <c r="A63386" s="7"/>
      <c r="B63386" s="7"/>
    </row>
    <row r="63387" ht="15.75" customHeight="1">
      <c r="A63387" s="7"/>
      <c r="B63387" s="7"/>
    </row>
    <row r="63388" ht="15.75" customHeight="1">
      <c r="A63388" s="7"/>
      <c r="B63388" s="7"/>
    </row>
    <row r="63389" ht="15.75" customHeight="1">
      <c r="A63389" s="7"/>
      <c r="B63389" s="7"/>
    </row>
    <row r="63390" ht="15.75" customHeight="1">
      <c r="A63390" s="7"/>
      <c r="B63390" s="7"/>
    </row>
    <row r="63391" ht="15.75" customHeight="1">
      <c r="A63391" s="7"/>
      <c r="B63391" s="7"/>
    </row>
    <row r="63392" ht="15.75" customHeight="1">
      <c r="A63392" s="7"/>
      <c r="B63392" s="7"/>
    </row>
    <row r="63393" ht="15.75" customHeight="1">
      <c r="A63393" s="7"/>
      <c r="B63393" s="7"/>
    </row>
    <row r="63394" ht="15.75" customHeight="1">
      <c r="A63394" s="7"/>
      <c r="B63394" s="7"/>
    </row>
    <row r="63395" ht="15.75" customHeight="1">
      <c r="A63395" s="7"/>
      <c r="B63395" s="7"/>
    </row>
    <row r="63396" ht="15.75" customHeight="1">
      <c r="A63396" s="7"/>
      <c r="B63396" s="7"/>
    </row>
    <row r="63397" ht="15.75" customHeight="1">
      <c r="A63397" s="7"/>
      <c r="B63397" s="7"/>
    </row>
    <row r="63398" ht="15.75" customHeight="1">
      <c r="A63398" s="7"/>
      <c r="B63398" s="7"/>
    </row>
    <row r="63399" ht="15.75" customHeight="1">
      <c r="A63399" s="7"/>
      <c r="B63399" s="7"/>
    </row>
    <row r="63400" ht="15.75" customHeight="1">
      <c r="A63400" s="7"/>
      <c r="B63400" s="7"/>
    </row>
    <row r="63401" ht="15.75" customHeight="1">
      <c r="A63401" s="7"/>
      <c r="B63401" s="7"/>
    </row>
    <row r="63402" ht="15.75" customHeight="1">
      <c r="A63402" s="7"/>
      <c r="B63402" s="7"/>
    </row>
    <row r="63403" ht="15.75" customHeight="1">
      <c r="A63403" s="7"/>
      <c r="B63403" s="7"/>
    </row>
    <row r="63404" ht="15.75" customHeight="1">
      <c r="A63404" s="7"/>
      <c r="B63404" s="7"/>
    </row>
    <row r="63405" ht="15.75" customHeight="1">
      <c r="A63405" s="7"/>
      <c r="B63405" s="7"/>
    </row>
    <row r="63406" ht="15.75" customHeight="1">
      <c r="A63406" s="7"/>
      <c r="B63406" s="7"/>
    </row>
    <row r="63407" ht="15.75" customHeight="1">
      <c r="A63407" s="7"/>
      <c r="B63407" s="7"/>
    </row>
    <row r="63408" ht="15.75" customHeight="1">
      <c r="A63408" s="7"/>
      <c r="B63408" s="7"/>
    </row>
    <row r="63409" ht="15.75" customHeight="1">
      <c r="A63409" s="7"/>
      <c r="B63409" s="7"/>
    </row>
    <row r="63410" ht="15.75" customHeight="1">
      <c r="A63410" s="7"/>
      <c r="B63410" s="7"/>
    </row>
    <row r="63411" ht="15.75" customHeight="1">
      <c r="A63411" s="7"/>
      <c r="B63411" s="7"/>
    </row>
    <row r="63412" ht="15.75" customHeight="1">
      <c r="A63412" s="7"/>
      <c r="B63412" s="7"/>
    </row>
    <row r="63413" ht="15.75" customHeight="1">
      <c r="A63413" s="7"/>
      <c r="B63413" s="7"/>
    </row>
    <row r="63414" ht="15.75" customHeight="1">
      <c r="A63414" s="7"/>
      <c r="B63414" s="7"/>
    </row>
    <row r="63415" ht="15.75" customHeight="1">
      <c r="A63415" s="7"/>
      <c r="B63415" s="7"/>
    </row>
    <row r="63416" ht="15.75" customHeight="1">
      <c r="A63416" s="7"/>
      <c r="B63416" s="7"/>
    </row>
    <row r="63417" ht="15.75" customHeight="1">
      <c r="A63417" s="7"/>
      <c r="B63417" s="7"/>
    </row>
    <row r="63418" ht="15.75" customHeight="1">
      <c r="A63418" s="7"/>
      <c r="B63418" s="7"/>
    </row>
    <row r="63419" ht="15.75" customHeight="1">
      <c r="A63419" s="7"/>
      <c r="B63419" s="7"/>
    </row>
    <row r="63420" ht="15.75" customHeight="1">
      <c r="A63420" s="7"/>
      <c r="B63420" s="7"/>
    </row>
    <row r="63421" ht="15.75" customHeight="1">
      <c r="A63421" s="7"/>
      <c r="B63421" s="7"/>
    </row>
    <row r="63422" ht="15.75" customHeight="1">
      <c r="A63422" s="7"/>
      <c r="B63422" s="7"/>
    </row>
    <row r="63423" ht="15.75" customHeight="1">
      <c r="A63423" s="7"/>
      <c r="B63423" s="7"/>
    </row>
    <row r="63424" ht="15.75" customHeight="1">
      <c r="A63424" s="7"/>
      <c r="B63424" s="7"/>
    </row>
    <row r="63425" ht="15.75" customHeight="1">
      <c r="A63425" s="7"/>
      <c r="B63425" s="7"/>
    </row>
    <row r="63426" ht="15.75" customHeight="1">
      <c r="A63426" s="7"/>
      <c r="B63426" s="7"/>
    </row>
    <row r="63427" ht="15.75" customHeight="1">
      <c r="A63427" s="7"/>
      <c r="B63427" s="7"/>
    </row>
    <row r="63428" ht="15.75" customHeight="1">
      <c r="A63428" s="7"/>
      <c r="B63428" s="7"/>
    </row>
    <row r="63429" ht="15.75" customHeight="1">
      <c r="A63429" s="7"/>
      <c r="B63429" s="7"/>
    </row>
    <row r="63430" ht="15.75" customHeight="1">
      <c r="A63430" s="7"/>
      <c r="B63430" s="7"/>
    </row>
    <row r="63431" ht="15.75" customHeight="1">
      <c r="A63431" s="7"/>
      <c r="B63431" s="7"/>
    </row>
    <row r="63432" ht="15.75" customHeight="1">
      <c r="A63432" s="7"/>
      <c r="B63432" s="7"/>
    </row>
    <row r="63433" ht="15.75" customHeight="1">
      <c r="A63433" s="7"/>
      <c r="B63433" s="7"/>
    </row>
    <row r="63434" ht="15.75" customHeight="1">
      <c r="A63434" s="7"/>
      <c r="B63434" s="7"/>
    </row>
    <row r="63435" ht="15.75" customHeight="1">
      <c r="A63435" s="7"/>
      <c r="B63435" s="7"/>
    </row>
    <row r="63436" ht="15.75" customHeight="1">
      <c r="A63436" s="7"/>
      <c r="B63436" s="7"/>
    </row>
    <row r="63437" ht="15.75" customHeight="1">
      <c r="A63437" s="7"/>
      <c r="B63437" s="7"/>
    </row>
    <row r="63438" ht="15.75" customHeight="1">
      <c r="A63438" s="7"/>
      <c r="B63438" s="7"/>
    </row>
    <row r="63439" ht="15.75" customHeight="1">
      <c r="A63439" s="7"/>
      <c r="B63439" s="7"/>
    </row>
    <row r="63440" ht="15.75" customHeight="1">
      <c r="A63440" s="7"/>
      <c r="B63440" s="7"/>
    </row>
    <row r="63441" ht="15.75" customHeight="1">
      <c r="A63441" s="7"/>
      <c r="B63441" s="7"/>
    </row>
    <row r="63442" ht="15.75" customHeight="1">
      <c r="A63442" s="7"/>
      <c r="B63442" s="7"/>
    </row>
    <row r="63443" ht="15.75" customHeight="1">
      <c r="A63443" s="7"/>
      <c r="B63443" s="7"/>
    </row>
    <row r="63444" ht="15.75" customHeight="1">
      <c r="A63444" s="7"/>
      <c r="B63444" s="7"/>
    </row>
    <row r="63445" ht="15.75" customHeight="1">
      <c r="A63445" s="7"/>
      <c r="B63445" s="7"/>
    </row>
    <row r="63446" ht="15.75" customHeight="1">
      <c r="A63446" s="7"/>
      <c r="B63446" s="7"/>
    </row>
    <row r="63447" ht="15.75" customHeight="1">
      <c r="A63447" s="7"/>
      <c r="B63447" s="7"/>
    </row>
    <row r="63448" ht="15.75" customHeight="1">
      <c r="A63448" s="7"/>
      <c r="B63448" s="7"/>
    </row>
    <row r="63449" ht="15.75" customHeight="1">
      <c r="A63449" s="7"/>
      <c r="B63449" s="7"/>
    </row>
    <row r="63450" ht="15.75" customHeight="1">
      <c r="A63450" s="7"/>
      <c r="B63450" s="7"/>
    </row>
    <row r="63451" ht="15.75" customHeight="1">
      <c r="A63451" s="7"/>
      <c r="B63451" s="7"/>
    </row>
    <row r="63452" ht="15.75" customHeight="1">
      <c r="A63452" s="7"/>
      <c r="B63452" s="7"/>
    </row>
    <row r="63453" ht="15.75" customHeight="1">
      <c r="A63453" s="7"/>
      <c r="B63453" s="7"/>
    </row>
    <row r="63454" ht="15.75" customHeight="1">
      <c r="A63454" s="7"/>
      <c r="B63454" s="7"/>
    </row>
    <row r="63455" ht="15.75" customHeight="1">
      <c r="A63455" s="7"/>
      <c r="B63455" s="7"/>
    </row>
    <row r="63456" ht="15.75" customHeight="1">
      <c r="A63456" s="7"/>
      <c r="B63456" s="7"/>
    </row>
    <row r="63457" ht="15.75" customHeight="1">
      <c r="A63457" s="7"/>
      <c r="B63457" s="7"/>
    </row>
    <row r="63458" ht="15.75" customHeight="1">
      <c r="A63458" s="7"/>
      <c r="B63458" s="7"/>
    </row>
    <row r="63459" ht="15.75" customHeight="1">
      <c r="A63459" s="7"/>
      <c r="B63459" s="7"/>
    </row>
    <row r="63460" ht="15.75" customHeight="1">
      <c r="A63460" s="7"/>
      <c r="B63460" s="7"/>
    </row>
    <row r="63461" ht="15.75" customHeight="1">
      <c r="A63461" s="7"/>
      <c r="B63461" s="7"/>
    </row>
    <row r="63462" ht="15.75" customHeight="1">
      <c r="A63462" s="7"/>
      <c r="B63462" s="7"/>
    </row>
    <row r="63463" ht="15.75" customHeight="1">
      <c r="A63463" s="7"/>
      <c r="B63463" s="7"/>
    </row>
    <row r="63464" ht="15.75" customHeight="1">
      <c r="A63464" s="7"/>
      <c r="B63464" s="7"/>
    </row>
    <row r="63465" ht="15.75" customHeight="1">
      <c r="A63465" s="7"/>
      <c r="B63465" s="7"/>
    </row>
    <row r="63466" ht="15.75" customHeight="1">
      <c r="A63466" s="7"/>
      <c r="B63466" s="7"/>
    </row>
    <row r="63467" ht="15.75" customHeight="1">
      <c r="A63467" s="7"/>
      <c r="B63467" s="7"/>
    </row>
    <row r="63468" ht="15.75" customHeight="1">
      <c r="A63468" s="7"/>
      <c r="B63468" s="7"/>
    </row>
    <row r="63469" ht="15.75" customHeight="1">
      <c r="A63469" s="7"/>
      <c r="B63469" s="7"/>
    </row>
    <row r="63470" ht="15.75" customHeight="1">
      <c r="A63470" s="7"/>
      <c r="B63470" s="7"/>
    </row>
    <row r="63471" ht="15.75" customHeight="1">
      <c r="A63471" s="7"/>
      <c r="B63471" s="7"/>
    </row>
    <row r="63472" ht="15.75" customHeight="1">
      <c r="A63472" s="7"/>
      <c r="B63472" s="7"/>
    </row>
    <row r="63473" ht="15.75" customHeight="1">
      <c r="A63473" s="7"/>
      <c r="B63473" s="7"/>
    </row>
    <row r="63474" ht="15.75" customHeight="1">
      <c r="A63474" s="7"/>
      <c r="B63474" s="7"/>
    </row>
    <row r="63475" ht="15.75" customHeight="1">
      <c r="A63475" s="7"/>
      <c r="B63475" s="7"/>
    </row>
    <row r="63476" ht="15.75" customHeight="1">
      <c r="A63476" s="7"/>
      <c r="B63476" s="7"/>
    </row>
    <row r="63477" ht="15.75" customHeight="1">
      <c r="A63477" s="7"/>
      <c r="B63477" s="7"/>
    </row>
    <row r="63478" ht="15.75" customHeight="1">
      <c r="A63478" s="7"/>
      <c r="B63478" s="7"/>
    </row>
    <row r="63479" ht="15.75" customHeight="1">
      <c r="A63479" s="7"/>
      <c r="B63479" s="7"/>
    </row>
    <row r="63480" ht="15.75" customHeight="1">
      <c r="A63480" s="7"/>
      <c r="B63480" s="7"/>
    </row>
    <row r="63481" ht="15.75" customHeight="1">
      <c r="A63481" s="7"/>
      <c r="B63481" s="7"/>
    </row>
    <row r="63482" ht="15.75" customHeight="1">
      <c r="A63482" s="7"/>
      <c r="B63482" s="7"/>
    </row>
    <row r="63483" ht="15.75" customHeight="1">
      <c r="A63483" s="7"/>
      <c r="B63483" s="7"/>
    </row>
    <row r="63484" ht="15.75" customHeight="1">
      <c r="A63484" s="7"/>
      <c r="B63484" s="7"/>
    </row>
    <row r="63485" ht="15.75" customHeight="1">
      <c r="A63485" s="7"/>
      <c r="B63485" s="7"/>
    </row>
    <row r="63486" ht="15.75" customHeight="1">
      <c r="A63486" s="7"/>
      <c r="B63486" s="7"/>
    </row>
    <row r="63487" ht="15.75" customHeight="1">
      <c r="A63487" s="7"/>
      <c r="B63487" s="7"/>
    </row>
    <row r="63488" ht="15.75" customHeight="1">
      <c r="A63488" s="7"/>
      <c r="B63488" s="7"/>
    </row>
    <row r="63489" ht="15.75" customHeight="1">
      <c r="A63489" s="7"/>
      <c r="B63489" s="7"/>
    </row>
    <row r="63490" ht="15.75" customHeight="1">
      <c r="A63490" s="7"/>
      <c r="B63490" s="7"/>
    </row>
    <row r="63491" ht="15.75" customHeight="1">
      <c r="A63491" s="7"/>
      <c r="B63491" s="7"/>
    </row>
    <row r="63492" ht="15.75" customHeight="1">
      <c r="A63492" s="7"/>
      <c r="B63492" s="7"/>
    </row>
    <row r="63493" ht="15.75" customHeight="1">
      <c r="A63493" s="7"/>
      <c r="B63493" s="7"/>
    </row>
    <row r="63494" ht="15.75" customHeight="1">
      <c r="A63494" s="7"/>
      <c r="B63494" s="7"/>
    </row>
    <row r="63495" ht="15.75" customHeight="1">
      <c r="A63495" s="7"/>
      <c r="B63495" s="7"/>
    </row>
    <row r="63496" ht="15.75" customHeight="1">
      <c r="A63496" s="7"/>
      <c r="B63496" s="7"/>
    </row>
    <row r="63497" ht="15.75" customHeight="1">
      <c r="A63497" s="7"/>
      <c r="B63497" s="7"/>
    </row>
    <row r="63498" ht="15.75" customHeight="1">
      <c r="A63498" s="7"/>
      <c r="B63498" s="7"/>
    </row>
    <row r="63499" ht="15.75" customHeight="1">
      <c r="A63499" s="7"/>
      <c r="B63499" s="7"/>
    </row>
    <row r="63500" ht="15.75" customHeight="1">
      <c r="A63500" s="7"/>
      <c r="B63500" s="7"/>
    </row>
    <row r="63501" ht="15.75" customHeight="1">
      <c r="A63501" s="7"/>
      <c r="B63501" s="7"/>
    </row>
    <row r="63502" ht="15.75" customHeight="1">
      <c r="A63502" s="7"/>
      <c r="B63502" s="7"/>
    </row>
    <row r="63503" ht="15.75" customHeight="1">
      <c r="A63503" s="7"/>
      <c r="B63503" s="7"/>
    </row>
    <row r="63504" ht="15.75" customHeight="1">
      <c r="A63504" s="7"/>
      <c r="B63504" s="7"/>
    </row>
    <row r="63505" ht="15.75" customHeight="1">
      <c r="A63505" s="7"/>
      <c r="B63505" s="7"/>
    </row>
    <row r="63506" ht="15.75" customHeight="1">
      <c r="A63506" s="7"/>
      <c r="B63506" s="7"/>
    </row>
    <row r="63507" ht="15.75" customHeight="1">
      <c r="A63507" s="7"/>
      <c r="B63507" s="7"/>
    </row>
    <row r="63508" ht="15.75" customHeight="1">
      <c r="A63508" s="7"/>
      <c r="B63508" s="7"/>
    </row>
    <row r="63509" ht="15.75" customHeight="1">
      <c r="A63509" s="7"/>
      <c r="B63509" s="7"/>
    </row>
    <row r="63510" ht="15.75" customHeight="1">
      <c r="A63510" s="7"/>
      <c r="B63510" s="7"/>
    </row>
    <row r="63511" ht="15.75" customHeight="1">
      <c r="A63511" s="7"/>
      <c r="B63511" s="7"/>
    </row>
    <row r="63512" ht="15.75" customHeight="1">
      <c r="A63512" s="7"/>
      <c r="B63512" s="7"/>
    </row>
    <row r="63513" ht="15.75" customHeight="1">
      <c r="A63513" s="7"/>
      <c r="B63513" s="7"/>
    </row>
    <row r="63514" ht="15.75" customHeight="1">
      <c r="A63514" s="7"/>
      <c r="B63514" s="7"/>
    </row>
    <row r="63515" ht="15.75" customHeight="1">
      <c r="A63515" s="7"/>
      <c r="B63515" s="7"/>
    </row>
    <row r="63516" ht="15.75" customHeight="1">
      <c r="A63516" s="7"/>
      <c r="B63516" s="7"/>
    </row>
    <row r="63517" ht="15.75" customHeight="1">
      <c r="A63517" s="7"/>
      <c r="B63517" s="7"/>
    </row>
    <row r="63518" ht="15.75" customHeight="1">
      <c r="A63518" s="7"/>
      <c r="B63518" s="7"/>
    </row>
    <row r="63519" ht="15.75" customHeight="1">
      <c r="A63519" s="7"/>
      <c r="B63519" s="7"/>
    </row>
    <row r="63520" ht="15.75" customHeight="1">
      <c r="A63520" s="7"/>
      <c r="B63520" s="7"/>
    </row>
    <row r="63521" ht="15.75" customHeight="1">
      <c r="A63521" s="7"/>
      <c r="B63521" s="7"/>
    </row>
    <row r="63522" ht="15.75" customHeight="1">
      <c r="A63522" s="7"/>
      <c r="B63522" s="7"/>
    </row>
    <row r="63523" ht="15.75" customHeight="1">
      <c r="A63523" s="7"/>
      <c r="B63523" s="7"/>
    </row>
    <row r="63524" ht="15.75" customHeight="1">
      <c r="A63524" s="7"/>
      <c r="B63524" s="7"/>
    </row>
    <row r="63525" ht="15.75" customHeight="1">
      <c r="A63525" s="7"/>
      <c r="B63525" s="7"/>
    </row>
    <row r="63526" ht="15.75" customHeight="1">
      <c r="A63526" s="7"/>
      <c r="B63526" s="7"/>
    </row>
    <row r="63527" ht="15.75" customHeight="1">
      <c r="A63527" s="7"/>
      <c r="B63527" s="7"/>
    </row>
    <row r="63528" ht="15.75" customHeight="1">
      <c r="A63528" s="7"/>
      <c r="B63528" s="7"/>
    </row>
    <row r="63529" ht="15.75" customHeight="1">
      <c r="A63529" s="7"/>
      <c r="B63529" s="7"/>
    </row>
    <row r="63530" ht="15.75" customHeight="1">
      <c r="A63530" s="7"/>
      <c r="B63530" s="7"/>
    </row>
    <row r="63531" ht="15.75" customHeight="1">
      <c r="A63531" s="7"/>
      <c r="B63531" s="7"/>
    </row>
    <row r="63532" ht="15.75" customHeight="1">
      <c r="A63532" s="7"/>
      <c r="B63532" s="7"/>
    </row>
    <row r="63533" ht="15.75" customHeight="1">
      <c r="A63533" s="7"/>
      <c r="B63533" s="7"/>
    </row>
    <row r="63534" ht="15.75" customHeight="1">
      <c r="A63534" s="7"/>
      <c r="B63534" s="7"/>
    </row>
    <row r="63535" ht="15.75" customHeight="1">
      <c r="A63535" s="7"/>
      <c r="B63535" s="7"/>
    </row>
    <row r="63536" ht="15.75" customHeight="1">
      <c r="A63536" s="7"/>
      <c r="B63536" s="7"/>
    </row>
    <row r="63537" ht="15.75" customHeight="1">
      <c r="A63537" s="7"/>
      <c r="B63537" s="7"/>
    </row>
    <row r="63538" ht="15.75" customHeight="1">
      <c r="A63538" s="7"/>
      <c r="B63538" s="7"/>
    </row>
    <row r="63539" ht="15.75" customHeight="1">
      <c r="A63539" s="7"/>
      <c r="B63539" s="7"/>
    </row>
    <row r="63540" ht="15.75" customHeight="1">
      <c r="A63540" s="7"/>
      <c r="B63540" s="7"/>
    </row>
    <row r="63541" ht="15.75" customHeight="1">
      <c r="A63541" s="7"/>
      <c r="B63541" s="7"/>
    </row>
    <row r="63542" ht="15.75" customHeight="1">
      <c r="A63542" s="7"/>
      <c r="B63542" s="7"/>
    </row>
    <row r="63543" ht="15.75" customHeight="1">
      <c r="A63543" s="7"/>
      <c r="B63543" s="7"/>
    </row>
    <row r="63544" ht="15.75" customHeight="1">
      <c r="A63544" s="7"/>
      <c r="B63544" s="7"/>
    </row>
    <row r="63545" ht="15.75" customHeight="1">
      <c r="A63545" s="7"/>
      <c r="B63545" s="7"/>
    </row>
    <row r="63546" ht="15.75" customHeight="1">
      <c r="A63546" s="7"/>
      <c r="B63546" s="7"/>
    </row>
    <row r="63547" ht="15.75" customHeight="1">
      <c r="A63547" s="7"/>
      <c r="B63547" s="7"/>
    </row>
    <row r="63548" ht="15.75" customHeight="1">
      <c r="A63548" s="7"/>
      <c r="B63548" s="7"/>
    </row>
    <row r="63549" ht="15.75" customHeight="1">
      <c r="A63549" s="7"/>
      <c r="B63549" s="7"/>
    </row>
    <row r="63550" ht="15.75" customHeight="1">
      <c r="A63550" s="7"/>
      <c r="B63550" s="7"/>
    </row>
    <row r="63551" ht="15.75" customHeight="1">
      <c r="A63551" s="7"/>
      <c r="B63551" s="7"/>
    </row>
    <row r="63552" ht="15.75" customHeight="1">
      <c r="A63552" s="7"/>
      <c r="B63552" s="7"/>
    </row>
    <row r="63553" ht="15.75" customHeight="1">
      <c r="A63553" s="7"/>
      <c r="B63553" s="7"/>
    </row>
    <row r="63554" ht="15.75" customHeight="1">
      <c r="A63554" s="7"/>
      <c r="B63554" s="7"/>
    </row>
    <row r="63555" ht="15.75" customHeight="1">
      <c r="A63555" s="7"/>
      <c r="B63555" s="7"/>
    </row>
    <row r="63556" ht="15.75" customHeight="1">
      <c r="A63556" s="7"/>
      <c r="B63556" s="7"/>
    </row>
    <row r="63557" ht="15.75" customHeight="1">
      <c r="A63557" s="7"/>
      <c r="B63557" s="7"/>
    </row>
    <row r="63558" ht="15.75" customHeight="1">
      <c r="A63558" s="7"/>
      <c r="B63558" s="7"/>
    </row>
    <row r="63559" ht="15.75" customHeight="1">
      <c r="A63559" s="7"/>
      <c r="B63559" s="7"/>
    </row>
    <row r="63560" ht="15.75" customHeight="1">
      <c r="A63560" s="7"/>
      <c r="B63560" s="7"/>
    </row>
    <row r="63561" ht="15.75" customHeight="1">
      <c r="A63561" s="7"/>
      <c r="B63561" s="7"/>
    </row>
    <row r="63562" ht="15.75" customHeight="1">
      <c r="A63562" s="7"/>
      <c r="B63562" s="7"/>
    </row>
    <row r="63563" ht="15.75" customHeight="1">
      <c r="A63563" s="7"/>
      <c r="B63563" s="7"/>
    </row>
    <row r="63564" ht="15.75" customHeight="1">
      <c r="A63564" s="7"/>
      <c r="B63564" s="7"/>
    </row>
    <row r="63565" ht="15.75" customHeight="1">
      <c r="A63565" s="7"/>
      <c r="B63565" s="7"/>
    </row>
    <row r="63566" ht="15.75" customHeight="1">
      <c r="A63566" s="7"/>
      <c r="B63566" s="7"/>
    </row>
    <row r="63567" ht="15.75" customHeight="1">
      <c r="A63567" s="7"/>
      <c r="B63567" s="7"/>
    </row>
    <row r="63568" ht="15.75" customHeight="1">
      <c r="A63568" s="7"/>
      <c r="B63568" s="7"/>
    </row>
    <row r="63569" ht="15.75" customHeight="1">
      <c r="A63569" s="7"/>
      <c r="B63569" s="7"/>
    </row>
    <row r="63570" ht="15.75" customHeight="1">
      <c r="A63570" s="7"/>
      <c r="B63570" s="7"/>
    </row>
    <row r="63571" ht="15.75" customHeight="1">
      <c r="A63571" s="7"/>
      <c r="B63571" s="7"/>
    </row>
    <row r="63572" ht="15.75" customHeight="1">
      <c r="A63572" s="7"/>
      <c r="B63572" s="7"/>
    </row>
    <row r="63573" ht="15.75" customHeight="1">
      <c r="A63573" s="7"/>
      <c r="B63573" s="7"/>
    </row>
    <row r="63574" ht="15.75" customHeight="1">
      <c r="A63574" s="7"/>
      <c r="B63574" s="7"/>
    </row>
    <row r="63575" ht="15.75" customHeight="1">
      <c r="A63575" s="7"/>
      <c r="B63575" s="7"/>
    </row>
    <row r="63576" ht="15.75" customHeight="1">
      <c r="A63576" s="7"/>
      <c r="B63576" s="7"/>
    </row>
    <row r="63577" ht="15.75" customHeight="1">
      <c r="A63577" s="7"/>
      <c r="B63577" s="7"/>
    </row>
    <row r="63578" ht="15.75" customHeight="1">
      <c r="A63578" s="7"/>
      <c r="B63578" s="7"/>
    </row>
    <row r="63579" ht="15.75" customHeight="1">
      <c r="A63579" s="7"/>
      <c r="B63579" s="7"/>
    </row>
    <row r="63580" ht="15.75" customHeight="1">
      <c r="A63580" s="7"/>
      <c r="B63580" s="7"/>
    </row>
    <row r="63581" ht="15.75" customHeight="1">
      <c r="A63581" s="7"/>
      <c r="B63581" s="7"/>
    </row>
    <row r="63582" ht="15.75" customHeight="1">
      <c r="A63582" s="7"/>
      <c r="B63582" s="7"/>
    </row>
    <row r="63583" ht="15.75" customHeight="1">
      <c r="A63583" s="7"/>
      <c r="B63583" s="7"/>
    </row>
    <row r="63584" ht="15.75" customHeight="1">
      <c r="A63584" s="7"/>
      <c r="B63584" s="7"/>
    </row>
    <row r="63585" ht="15.75" customHeight="1">
      <c r="A63585" s="7"/>
      <c r="B63585" s="7"/>
    </row>
    <row r="63586" ht="15.75" customHeight="1">
      <c r="A63586" s="7"/>
      <c r="B63586" s="7"/>
    </row>
    <row r="63587" ht="15.75" customHeight="1">
      <c r="A63587" s="7"/>
      <c r="B63587" s="7"/>
    </row>
    <row r="63588" ht="15.75" customHeight="1">
      <c r="A63588" s="7"/>
      <c r="B63588" s="7"/>
    </row>
    <row r="63589" ht="15.75" customHeight="1">
      <c r="A63589" s="7"/>
      <c r="B63589" s="7"/>
    </row>
    <row r="63590" ht="15.75" customHeight="1">
      <c r="A63590" s="7"/>
      <c r="B63590" s="7"/>
    </row>
    <row r="63591" ht="15.75" customHeight="1">
      <c r="A63591" s="7"/>
      <c r="B63591" s="7"/>
    </row>
    <row r="63592" ht="15.75" customHeight="1">
      <c r="A63592" s="7"/>
      <c r="B63592" s="7"/>
    </row>
    <row r="63593" ht="15.75" customHeight="1">
      <c r="A63593" s="7"/>
      <c r="B63593" s="7"/>
    </row>
    <row r="63594" ht="15.75" customHeight="1">
      <c r="A63594" s="7"/>
      <c r="B63594" s="7"/>
    </row>
    <row r="63595" ht="15.75" customHeight="1">
      <c r="A63595" s="7"/>
      <c r="B63595" s="7"/>
    </row>
    <row r="63596" ht="15.75" customHeight="1">
      <c r="A63596" s="7"/>
      <c r="B63596" s="7"/>
    </row>
    <row r="63597" ht="15.75" customHeight="1">
      <c r="A63597" s="7"/>
      <c r="B63597" s="7"/>
    </row>
    <row r="63598" ht="15.75" customHeight="1">
      <c r="A63598" s="7"/>
      <c r="B63598" s="7"/>
    </row>
    <row r="63599" ht="15.75" customHeight="1">
      <c r="A63599" s="7"/>
      <c r="B63599" s="7"/>
    </row>
    <row r="63600" ht="15.75" customHeight="1">
      <c r="A63600" s="7"/>
      <c r="B63600" s="7"/>
    </row>
    <row r="63601" ht="15.75" customHeight="1">
      <c r="A63601" s="7"/>
      <c r="B63601" s="7"/>
    </row>
    <row r="63602" ht="15.75" customHeight="1">
      <c r="A63602" s="7"/>
      <c r="B63602" s="7"/>
    </row>
    <row r="63603" ht="15.75" customHeight="1">
      <c r="A63603" s="7"/>
      <c r="B63603" s="7"/>
    </row>
    <row r="63604" ht="15.75" customHeight="1">
      <c r="A63604" s="7"/>
      <c r="B63604" s="7"/>
    </row>
    <row r="63605" ht="15.75" customHeight="1">
      <c r="A63605" s="7"/>
      <c r="B63605" s="7"/>
    </row>
    <row r="63606" ht="15.75" customHeight="1">
      <c r="A63606" s="7"/>
      <c r="B63606" s="7"/>
    </row>
    <row r="63607" ht="15.75" customHeight="1">
      <c r="A63607" s="7"/>
      <c r="B63607" s="7"/>
    </row>
    <row r="63608" ht="15.75" customHeight="1">
      <c r="A63608" s="7"/>
      <c r="B63608" s="7"/>
    </row>
    <row r="63609" ht="15.75" customHeight="1">
      <c r="A63609" s="7"/>
      <c r="B63609" s="7"/>
    </row>
    <row r="63610" ht="15.75" customHeight="1">
      <c r="A63610" s="7"/>
      <c r="B63610" s="7"/>
    </row>
    <row r="63611" ht="15.75" customHeight="1">
      <c r="A63611" s="7"/>
      <c r="B63611" s="7"/>
    </row>
    <row r="63612" ht="15.75" customHeight="1">
      <c r="A63612" s="7"/>
      <c r="B63612" s="7"/>
    </row>
    <row r="63613" ht="15.75" customHeight="1">
      <c r="A63613" s="7"/>
      <c r="B63613" s="7"/>
    </row>
    <row r="63614" ht="15.75" customHeight="1">
      <c r="A63614" s="7"/>
      <c r="B63614" s="7"/>
    </row>
    <row r="63615" ht="15.75" customHeight="1">
      <c r="A63615" s="7"/>
      <c r="B63615" s="7"/>
    </row>
    <row r="63616" ht="15.75" customHeight="1">
      <c r="A63616" s="7"/>
      <c r="B63616" s="7"/>
    </row>
    <row r="63617" ht="15.75" customHeight="1">
      <c r="A63617" s="7"/>
      <c r="B63617" s="7"/>
    </row>
    <row r="63618" ht="15.75" customHeight="1">
      <c r="A63618" s="7"/>
      <c r="B63618" s="7"/>
    </row>
    <row r="63619" ht="15.75" customHeight="1">
      <c r="A63619" s="7"/>
      <c r="B63619" s="7"/>
    </row>
    <row r="63620" ht="15.75" customHeight="1">
      <c r="A63620" s="7"/>
      <c r="B63620" s="7"/>
    </row>
    <row r="63621" ht="15.75" customHeight="1">
      <c r="A63621" s="7"/>
      <c r="B63621" s="7"/>
    </row>
    <row r="63622" ht="15.75" customHeight="1">
      <c r="A63622" s="7"/>
      <c r="B63622" s="7"/>
    </row>
    <row r="63623" ht="15.75" customHeight="1">
      <c r="A63623" s="7"/>
      <c r="B63623" s="7"/>
    </row>
    <row r="63624" ht="15.75" customHeight="1">
      <c r="A63624" s="7"/>
      <c r="B63624" s="7"/>
    </row>
    <row r="63625" ht="15.75" customHeight="1">
      <c r="A63625" s="7"/>
      <c r="B63625" s="7"/>
    </row>
    <row r="63626" ht="15.75" customHeight="1">
      <c r="A63626" s="7"/>
      <c r="B63626" s="7"/>
    </row>
    <row r="63627" ht="15.75" customHeight="1">
      <c r="A63627" s="7"/>
      <c r="B63627" s="7"/>
    </row>
    <row r="63628" ht="15.75" customHeight="1">
      <c r="A63628" s="7"/>
      <c r="B63628" s="7"/>
    </row>
    <row r="63629" ht="15.75" customHeight="1">
      <c r="A63629" s="7"/>
      <c r="B63629" s="7"/>
    </row>
    <row r="63630" ht="15.75" customHeight="1">
      <c r="A63630" s="7"/>
      <c r="B63630" s="7"/>
    </row>
    <row r="63631" ht="15.75" customHeight="1">
      <c r="A63631" s="7"/>
      <c r="B63631" s="7"/>
    </row>
    <row r="63632" ht="15.75" customHeight="1">
      <c r="A63632" s="7"/>
      <c r="B63632" s="7"/>
    </row>
    <row r="63633" ht="15.75" customHeight="1">
      <c r="A63633" s="7"/>
      <c r="B63633" s="7"/>
    </row>
    <row r="63634" ht="15.75" customHeight="1">
      <c r="A63634" s="7"/>
      <c r="B63634" s="7"/>
    </row>
    <row r="63635" ht="15.75" customHeight="1">
      <c r="A63635" s="7"/>
      <c r="B63635" s="7"/>
    </row>
    <row r="63636" ht="15.75" customHeight="1">
      <c r="A63636" s="7"/>
      <c r="B63636" s="7"/>
    </row>
    <row r="63637" ht="15.75" customHeight="1">
      <c r="A63637" s="7"/>
      <c r="B63637" s="7"/>
    </row>
    <row r="63638" ht="15.75" customHeight="1">
      <c r="A63638" s="7"/>
      <c r="B63638" s="7"/>
    </row>
    <row r="63639" ht="15.75" customHeight="1">
      <c r="A63639" s="7"/>
      <c r="B63639" s="7"/>
    </row>
    <row r="63640" ht="15.75" customHeight="1">
      <c r="A63640" s="7"/>
      <c r="B63640" s="7"/>
    </row>
    <row r="63641" ht="15.75" customHeight="1">
      <c r="A63641" s="7"/>
      <c r="B63641" s="7"/>
    </row>
    <row r="63642" ht="15.75" customHeight="1">
      <c r="A63642" s="7"/>
      <c r="B63642" s="7"/>
    </row>
    <row r="63643" ht="15.75" customHeight="1">
      <c r="A63643" s="7"/>
      <c r="B63643" s="7"/>
    </row>
    <row r="63644" ht="15.75" customHeight="1">
      <c r="A63644" s="7"/>
      <c r="B63644" s="7"/>
    </row>
    <row r="63645" ht="15.75" customHeight="1">
      <c r="A63645" s="7"/>
      <c r="B63645" s="7"/>
    </row>
    <row r="63646" ht="15.75" customHeight="1">
      <c r="A63646" s="7"/>
      <c r="B63646" s="7"/>
    </row>
    <row r="63647" ht="15.75" customHeight="1">
      <c r="A63647" s="7"/>
      <c r="B63647" s="7"/>
    </row>
    <row r="63648" ht="15.75" customHeight="1">
      <c r="A63648" s="7"/>
      <c r="B63648" s="7"/>
    </row>
    <row r="63649" ht="15.75" customHeight="1">
      <c r="A63649" s="7"/>
      <c r="B63649" s="7"/>
    </row>
    <row r="63650" ht="15.75" customHeight="1">
      <c r="A63650" s="7"/>
      <c r="B63650" s="7"/>
    </row>
    <row r="63651" ht="15.75" customHeight="1">
      <c r="A63651" s="7"/>
      <c r="B63651" s="7"/>
    </row>
    <row r="63652" ht="15.75" customHeight="1">
      <c r="A63652" s="7"/>
      <c r="B63652" s="7"/>
    </row>
    <row r="63653" ht="15.75" customHeight="1">
      <c r="A63653" s="7"/>
      <c r="B63653" s="7"/>
    </row>
    <row r="63654" ht="15.75" customHeight="1">
      <c r="A63654" s="7"/>
      <c r="B63654" s="7"/>
    </row>
    <row r="63655" ht="15.75" customHeight="1">
      <c r="A63655" s="7"/>
      <c r="B63655" s="7"/>
    </row>
    <row r="63656" ht="15.75" customHeight="1">
      <c r="A63656" s="7"/>
      <c r="B63656" s="7"/>
    </row>
    <row r="63657" ht="15.75" customHeight="1">
      <c r="A63657" s="7"/>
      <c r="B63657" s="7"/>
    </row>
    <row r="63658" ht="15.75" customHeight="1">
      <c r="A63658" s="7"/>
      <c r="B63658" s="7"/>
    </row>
    <row r="63659" ht="15.75" customHeight="1">
      <c r="A63659" s="7"/>
      <c r="B63659" s="7"/>
    </row>
    <row r="63660" ht="15.75" customHeight="1">
      <c r="A63660" s="7"/>
      <c r="B63660" s="7"/>
    </row>
    <row r="63661" ht="15.75" customHeight="1">
      <c r="A63661" s="7"/>
      <c r="B63661" s="7"/>
    </row>
    <row r="63662" ht="15.75" customHeight="1">
      <c r="A63662" s="7"/>
      <c r="B63662" s="7"/>
    </row>
    <row r="63663" ht="15.75" customHeight="1">
      <c r="A63663" s="7"/>
      <c r="B63663" s="7"/>
    </row>
    <row r="63664" ht="15.75" customHeight="1">
      <c r="A63664" s="7"/>
      <c r="B63664" s="7"/>
    </row>
    <row r="63665" ht="15.75" customHeight="1">
      <c r="A63665" s="7"/>
      <c r="B63665" s="7"/>
    </row>
    <row r="63666" ht="15.75" customHeight="1">
      <c r="A63666" s="7"/>
      <c r="B63666" s="7"/>
    </row>
    <row r="63667" ht="15.75" customHeight="1">
      <c r="A63667" s="7"/>
      <c r="B63667" s="7"/>
    </row>
    <row r="63668" ht="15.75" customHeight="1">
      <c r="A63668" s="7"/>
      <c r="B63668" s="7"/>
    </row>
    <row r="63669" ht="15.75" customHeight="1">
      <c r="A63669" s="7"/>
      <c r="B63669" s="7"/>
    </row>
    <row r="63670" ht="15.75" customHeight="1">
      <c r="A63670" s="7"/>
      <c r="B63670" s="7"/>
    </row>
    <row r="63671" ht="15.75" customHeight="1">
      <c r="A63671" s="7"/>
      <c r="B63671" s="7"/>
    </row>
    <row r="63672" ht="15.75" customHeight="1">
      <c r="A63672" s="7"/>
      <c r="B63672" s="7"/>
    </row>
    <row r="63673" ht="15.75" customHeight="1">
      <c r="A63673" s="7"/>
      <c r="B63673" s="7"/>
    </row>
    <row r="63674" ht="15.75" customHeight="1">
      <c r="A63674" s="7"/>
      <c r="B63674" s="7"/>
    </row>
    <row r="63675" ht="15.75" customHeight="1">
      <c r="A63675" s="7"/>
      <c r="B63675" s="7"/>
    </row>
    <row r="63676" ht="15.75" customHeight="1">
      <c r="A63676" s="7"/>
      <c r="B63676" s="7"/>
    </row>
    <row r="63677" ht="15.75" customHeight="1">
      <c r="A63677" s="7"/>
      <c r="B63677" s="7"/>
    </row>
    <row r="63678" ht="15.75" customHeight="1">
      <c r="A63678" s="7"/>
      <c r="B63678" s="7"/>
    </row>
    <row r="63679" ht="15.75" customHeight="1">
      <c r="A63679" s="7"/>
      <c r="B63679" s="7"/>
    </row>
    <row r="63680" ht="15.75" customHeight="1">
      <c r="A63680" s="7"/>
      <c r="B63680" s="7"/>
    </row>
    <row r="63681" ht="15.75" customHeight="1">
      <c r="A63681" s="7"/>
      <c r="B63681" s="7"/>
    </row>
    <row r="63682" ht="15.75" customHeight="1">
      <c r="A63682" s="7"/>
      <c r="B63682" s="7"/>
    </row>
    <row r="63683" ht="15.75" customHeight="1">
      <c r="A63683" s="7"/>
      <c r="B63683" s="7"/>
    </row>
    <row r="63684" ht="15.75" customHeight="1">
      <c r="A63684" s="7"/>
      <c r="B63684" s="7"/>
    </row>
    <row r="63685" ht="15.75" customHeight="1">
      <c r="A63685" s="7"/>
      <c r="B63685" s="7"/>
    </row>
    <row r="63686" ht="15.75" customHeight="1">
      <c r="A63686" s="7"/>
      <c r="B63686" s="7"/>
    </row>
    <row r="63687" ht="15.75" customHeight="1">
      <c r="A63687" s="7"/>
      <c r="B63687" s="7"/>
    </row>
    <row r="63688" ht="15.75" customHeight="1">
      <c r="A63688" s="7"/>
      <c r="B63688" s="7"/>
    </row>
    <row r="63689" ht="15.75" customHeight="1">
      <c r="A63689" s="7"/>
      <c r="B63689" s="7"/>
    </row>
    <row r="63690" ht="15.75" customHeight="1">
      <c r="A63690" s="7"/>
      <c r="B63690" s="7"/>
    </row>
    <row r="63691" ht="15.75" customHeight="1">
      <c r="A63691" s="7"/>
      <c r="B63691" s="7"/>
    </row>
    <row r="63692" ht="15.75" customHeight="1">
      <c r="A63692" s="7"/>
      <c r="B63692" s="7"/>
    </row>
    <row r="63693" ht="15.75" customHeight="1">
      <c r="A63693" s="7"/>
      <c r="B63693" s="7"/>
    </row>
    <row r="63694" ht="15.75" customHeight="1">
      <c r="A63694" s="7"/>
      <c r="B63694" s="7"/>
    </row>
    <row r="63695" ht="15.75" customHeight="1">
      <c r="A63695" s="7"/>
      <c r="B63695" s="7"/>
    </row>
    <row r="63696" ht="15.75" customHeight="1">
      <c r="A63696" s="7"/>
      <c r="B63696" s="7"/>
    </row>
    <row r="63697" ht="15.75" customHeight="1">
      <c r="A63697" s="7"/>
      <c r="B63697" s="7"/>
    </row>
    <row r="63698" ht="15.75" customHeight="1">
      <c r="A63698" s="7"/>
      <c r="B63698" s="7"/>
    </row>
    <row r="63699" ht="15.75" customHeight="1">
      <c r="A63699" s="7"/>
      <c r="B63699" s="7"/>
    </row>
    <row r="63700" ht="15.75" customHeight="1">
      <c r="A63700" s="7"/>
      <c r="B63700" s="7"/>
    </row>
    <row r="63701" ht="15.75" customHeight="1">
      <c r="A63701" s="7"/>
      <c r="B63701" s="7"/>
    </row>
    <row r="63702" ht="15.75" customHeight="1">
      <c r="A63702" s="7"/>
      <c r="B63702" s="7"/>
    </row>
    <row r="63703" ht="15.75" customHeight="1">
      <c r="A63703" s="7"/>
      <c r="B63703" s="7"/>
    </row>
    <row r="63704" ht="15.75" customHeight="1">
      <c r="A63704" s="7"/>
      <c r="B63704" s="7"/>
    </row>
    <row r="63705" ht="15.75" customHeight="1">
      <c r="A63705" s="7"/>
      <c r="B63705" s="7"/>
    </row>
    <row r="63706" ht="15.75" customHeight="1">
      <c r="A63706" s="7"/>
      <c r="B63706" s="7"/>
    </row>
    <row r="63707" ht="15.75" customHeight="1">
      <c r="A63707" s="7"/>
      <c r="B63707" s="7"/>
    </row>
    <row r="63708" ht="15.75" customHeight="1">
      <c r="A63708" s="7"/>
      <c r="B63708" s="7"/>
    </row>
    <row r="63709" ht="15.75" customHeight="1">
      <c r="A63709" s="7"/>
      <c r="B63709" s="7"/>
    </row>
    <row r="63710" ht="15.75" customHeight="1">
      <c r="A63710" s="7"/>
      <c r="B63710" s="7"/>
    </row>
    <row r="63711" ht="15.75" customHeight="1">
      <c r="A63711" s="7"/>
      <c r="B63711" s="7"/>
    </row>
    <row r="63712" ht="15.75" customHeight="1">
      <c r="A63712" s="7"/>
      <c r="B63712" s="7"/>
    </row>
    <row r="63713" ht="15.75" customHeight="1">
      <c r="A63713" s="7"/>
      <c r="B63713" s="7"/>
    </row>
    <row r="63714" ht="15.75" customHeight="1">
      <c r="A63714" s="7"/>
      <c r="B63714" s="7"/>
    </row>
    <row r="63715" ht="15.75" customHeight="1">
      <c r="A63715" s="7"/>
      <c r="B63715" s="7"/>
    </row>
    <row r="63716" ht="15.75" customHeight="1">
      <c r="A63716" s="7"/>
      <c r="B63716" s="7"/>
    </row>
    <row r="63717" ht="15.75" customHeight="1">
      <c r="A63717" s="7"/>
      <c r="B63717" s="7"/>
    </row>
    <row r="63718" ht="15.75" customHeight="1">
      <c r="A63718" s="7"/>
      <c r="B63718" s="7"/>
    </row>
    <row r="63719" ht="15.75" customHeight="1">
      <c r="A63719" s="7"/>
      <c r="B63719" s="7"/>
    </row>
    <row r="63720" ht="15.75" customHeight="1">
      <c r="A63720" s="7"/>
      <c r="B63720" s="7"/>
    </row>
    <row r="63721" ht="15.75" customHeight="1">
      <c r="A63721" s="7"/>
      <c r="B63721" s="7"/>
    </row>
    <row r="63722" ht="15.75" customHeight="1">
      <c r="A63722" s="7"/>
      <c r="B63722" s="7"/>
    </row>
    <row r="63723" ht="15.75" customHeight="1">
      <c r="A63723" s="7"/>
      <c r="B63723" s="7"/>
    </row>
    <row r="63724" ht="15.75" customHeight="1">
      <c r="A63724" s="7"/>
      <c r="B63724" s="7"/>
    </row>
    <row r="63725" ht="15.75" customHeight="1">
      <c r="A63725" s="7"/>
      <c r="B63725" s="7"/>
    </row>
    <row r="63726" ht="15.75" customHeight="1">
      <c r="A63726" s="7"/>
      <c r="B63726" s="7"/>
    </row>
    <row r="63727" ht="15.75" customHeight="1">
      <c r="A63727" s="7"/>
      <c r="B63727" s="7"/>
    </row>
    <row r="63728" ht="15.75" customHeight="1">
      <c r="A63728" s="7"/>
      <c r="B63728" s="7"/>
    </row>
    <row r="63729" ht="15.75" customHeight="1">
      <c r="A63729" s="7"/>
      <c r="B63729" s="7"/>
    </row>
    <row r="63730" ht="15.75" customHeight="1">
      <c r="A63730" s="7"/>
      <c r="B63730" s="7"/>
    </row>
    <row r="63731" ht="15.75" customHeight="1">
      <c r="A63731" s="7"/>
      <c r="B63731" s="7"/>
    </row>
    <row r="63732" ht="15.75" customHeight="1">
      <c r="A63732" s="7"/>
      <c r="B63732" s="7"/>
    </row>
    <row r="63733" ht="15.75" customHeight="1">
      <c r="A63733" s="7"/>
      <c r="B63733" s="7"/>
    </row>
    <row r="63734" ht="15.75" customHeight="1">
      <c r="A63734" s="7"/>
      <c r="B63734" s="7"/>
    </row>
    <row r="63735" ht="15.75" customHeight="1">
      <c r="A63735" s="7"/>
      <c r="B63735" s="7"/>
    </row>
    <row r="63736" ht="15.75" customHeight="1">
      <c r="A63736" s="7"/>
      <c r="B63736" s="7"/>
    </row>
    <row r="63737" ht="15.75" customHeight="1">
      <c r="A63737" s="7"/>
      <c r="B63737" s="7"/>
    </row>
    <row r="63738" ht="15.75" customHeight="1">
      <c r="A63738" s="7"/>
      <c r="B63738" s="7"/>
    </row>
    <row r="63739" ht="15.75" customHeight="1">
      <c r="A63739" s="7"/>
      <c r="B63739" s="7"/>
    </row>
    <row r="63740" ht="15.75" customHeight="1">
      <c r="A63740" s="7"/>
      <c r="B63740" s="7"/>
    </row>
    <row r="63741" ht="15.75" customHeight="1">
      <c r="A63741" s="7"/>
      <c r="B63741" s="7"/>
    </row>
    <row r="63742" ht="15.75" customHeight="1">
      <c r="A63742" s="7"/>
      <c r="B63742" s="7"/>
    </row>
    <row r="63743" ht="15.75" customHeight="1">
      <c r="A63743" s="7"/>
      <c r="B63743" s="7"/>
    </row>
    <row r="63744" ht="15.75" customHeight="1">
      <c r="A63744" s="7"/>
      <c r="B63744" s="7"/>
    </row>
    <row r="63745" ht="15.75" customHeight="1">
      <c r="A63745" s="7"/>
      <c r="B63745" s="7"/>
    </row>
    <row r="63746" ht="15.75" customHeight="1">
      <c r="A63746" s="7"/>
      <c r="B63746" s="7"/>
    </row>
    <row r="63747" ht="15.75" customHeight="1">
      <c r="A63747" s="7"/>
      <c r="B63747" s="7"/>
    </row>
    <row r="63748" ht="15.75" customHeight="1">
      <c r="A63748" s="7"/>
      <c r="B63748" s="7"/>
    </row>
    <row r="63749" ht="15.75" customHeight="1">
      <c r="A63749" s="7"/>
      <c r="B63749" s="7"/>
    </row>
    <row r="63750" ht="15.75" customHeight="1">
      <c r="A63750" s="7"/>
      <c r="B63750" s="7"/>
    </row>
    <row r="63751" ht="15.75" customHeight="1">
      <c r="A63751" s="7"/>
      <c r="B63751" s="7"/>
    </row>
    <row r="63752" ht="15.75" customHeight="1">
      <c r="A63752" s="7"/>
      <c r="B63752" s="7"/>
    </row>
    <row r="63753" ht="15.75" customHeight="1">
      <c r="A63753" s="7"/>
      <c r="B63753" s="7"/>
    </row>
    <row r="63754" ht="15.75" customHeight="1">
      <c r="A63754" s="7"/>
      <c r="B63754" s="7"/>
    </row>
    <row r="63755" ht="15.75" customHeight="1">
      <c r="A63755" s="7"/>
      <c r="B63755" s="7"/>
    </row>
    <row r="63756" ht="15.75" customHeight="1">
      <c r="A63756" s="7"/>
      <c r="B63756" s="7"/>
    </row>
    <row r="63757" ht="15.75" customHeight="1">
      <c r="A63757" s="7"/>
      <c r="B63757" s="7"/>
    </row>
    <row r="63758" ht="15.75" customHeight="1">
      <c r="A63758" s="7"/>
      <c r="B63758" s="7"/>
    </row>
    <row r="63759" ht="15.75" customHeight="1">
      <c r="A63759" s="7"/>
      <c r="B63759" s="7"/>
    </row>
    <row r="63760" ht="15.75" customHeight="1">
      <c r="A63760" s="7"/>
      <c r="B63760" s="7"/>
    </row>
    <row r="63761" ht="15.75" customHeight="1">
      <c r="A63761" s="7"/>
      <c r="B63761" s="7"/>
    </row>
    <row r="63762" ht="15.75" customHeight="1">
      <c r="A63762" s="7"/>
      <c r="B63762" s="7"/>
    </row>
    <row r="63763" ht="15.75" customHeight="1">
      <c r="A63763" s="7"/>
      <c r="B63763" s="7"/>
    </row>
    <row r="63764" ht="15.75" customHeight="1">
      <c r="A63764" s="7"/>
      <c r="B63764" s="7"/>
    </row>
    <row r="63765" ht="15.75" customHeight="1">
      <c r="A63765" s="7"/>
      <c r="B63765" s="7"/>
    </row>
    <row r="63766" ht="15.75" customHeight="1">
      <c r="A63766" s="7"/>
      <c r="B63766" s="7"/>
    </row>
    <row r="63767" ht="15.75" customHeight="1">
      <c r="A63767" s="7"/>
      <c r="B63767" s="7"/>
    </row>
    <row r="63768" ht="15.75" customHeight="1">
      <c r="A63768" s="7"/>
      <c r="B63768" s="7"/>
    </row>
    <row r="63769" ht="15.75" customHeight="1">
      <c r="A63769" s="7"/>
      <c r="B63769" s="7"/>
    </row>
    <row r="63770" ht="15.75" customHeight="1">
      <c r="A63770" s="7"/>
      <c r="B63770" s="7"/>
    </row>
    <row r="63771" ht="15.75" customHeight="1">
      <c r="A63771" s="7"/>
      <c r="B63771" s="7"/>
    </row>
    <row r="63772" ht="15.75" customHeight="1">
      <c r="A63772" s="7"/>
      <c r="B63772" s="7"/>
    </row>
    <row r="63773" ht="15.75" customHeight="1">
      <c r="A63773" s="7"/>
      <c r="B63773" s="7"/>
    </row>
    <row r="63774" ht="15.75" customHeight="1">
      <c r="A63774" s="7"/>
      <c r="B63774" s="7"/>
    </row>
    <row r="63775" ht="15.75" customHeight="1">
      <c r="A63775" s="7"/>
      <c r="B63775" s="7"/>
    </row>
    <row r="63776" ht="15.75" customHeight="1">
      <c r="A63776" s="7"/>
      <c r="B63776" s="7"/>
    </row>
    <row r="63777" ht="15.75" customHeight="1">
      <c r="A63777" s="7"/>
      <c r="B63777" s="7"/>
    </row>
    <row r="63778" ht="15.75" customHeight="1">
      <c r="A63778" s="7"/>
      <c r="B63778" s="7"/>
    </row>
    <row r="63779" ht="15.75" customHeight="1">
      <c r="A63779" s="7"/>
      <c r="B63779" s="7"/>
    </row>
    <row r="63780" ht="15.75" customHeight="1">
      <c r="A63780" s="7"/>
      <c r="B63780" s="7"/>
    </row>
    <row r="63781" ht="15.75" customHeight="1">
      <c r="A63781" s="7"/>
      <c r="B63781" s="7"/>
    </row>
    <row r="63782" ht="15.75" customHeight="1">
      <c r="A63782" s="7"/>
      <c r="B63782" s="7"/>
    </row>
    <row r="63783" ht="15.75" customHeight="1">
      <c r="A63783" s="7"/>
      <c r="B63783" s="7"/>
    </row>
    <row r="63784" ht="15.75" customHeight="1">
      <c r="A63784" s="7"/>
      <c r="B63784" s="7"/>
    </row>
    <row r="63785" ht="15.75" customHeight="1">
      <c r="A63785" s="7"/>
      <c r="B63785" s="7"/>
    </row>
    <row r="63786" ht="15.75" customHeight="1">
      <c r="A63786" s="7"/>
      <c r="B63786" s="7"/>
    </row>
    <row r="63787" ht="15.75" customHeight="1">
      <c r="A63787" s="7"/>
      <c r="B63787" s="7"/>
    </row>
    <row r="63788" ht="15.75" customHeight="1">
      <c r="A63788" s="7"/>
      <c r="B63788" s="7"/>
    </row>
    <row r="63789" ht="15.75" customHeight="1">
      <c r="A63789" s="7"/>
      <c r="B63789" s="7"/>
    </row>
    <row r="63790" ht="15.75" customHeight="1">
      <c r="A63790" s="7"/>
      <c r="B63790" s="7"/>
    </row>
    <row r="63791" ht="15.75" customHeight="1">
      <c r="A63791" s="7"/>
      <c r="B63791" s="7"/>
    </row>
    <row r="63792" ht="15.75" customHeight="1">
      <c r="A63792" s="7"/>
      <c r="B63792" s="7"/>
    </row>
    <row r="63793" ht="15.75" customHeight="1">
      <c r="A63793" s="7"/>
      <c r="B63793" s="7"/>
    </row>
    <row r="63794" ht="15.75" customHeight="1">
      <c r="A63794" s="7"/>
      <c r="B63794" s="7"/>
    </row>
    <row r="63795" ht="15.75" customHeight="1">
      <c r="A63795" s="7"/>
      <c r="B63795" s="7"/>
    </row>
    <row r="63796" ht="15.75" customHeight="1">
      <c r="A63796" s="7"/>
      <c r="B63796" s="7"/>
    </row>
    <row r="63797" ht="15.75" customHeight="1">
      <c r="A63797" s="7"/>
      <c r="B63797" s="7"/>
    </row>
    <row r="63798" ht="15.75" customHeight="1">
      <c r="A63798" s="7"/>
      <c r="B63798" s="7"/>
    </row>
    <row r="63799" ht="15.75" customHeight="1">
      <c r="A63799" s="7"/>
      <c r="B63799" s="7"/>
    </row>
    <row r="63800" ht="15.75" customHeight="1">
      <c r="A63800" s="7"/>
      <c r="B63800" s="7"/>
    </row>
    <row r="63801" ht="15.75" customHeight="1">
      <c r="A63801" s="7"/>
      <c r="B63801" s="7"/>
    </row>
    <row r="63802" ht="15.75" customHeight="1">
      <c r="A63802" s="7"/>
      <c r="B63802" s="7"/>
    </row>
    <row r="63803" ht="15.75" customHeight="1">
      <c r="A63803" s="7"/>
      <c r="B63803" s="7"/>
    </row>
    <row r="63804" ht="15.75" customHeight="1">
      <c r="A63804" s="7"/>
      <c r="B63804" s="7"/>
    </row>
    <row r="63805" ht="15.75" customHeight="1">
      <c r="A63805" s="7"/>
      <c r="B63805" s="7"/>
    </row>
    <row r="63806" ht="15.75" customHeight="1">
      <c r="A63806" s="7"/>
      <c r="B63806" s="7"/>
    </row>
    <row r="63807" ht="15.75" customHeight="1">
      <c r="A63807" s="7"/>
      <c r="B63807" s="7"/>
    </row>
    <row r="63808" ht="15.75" customHeight="1">
      <c r="A63808" s="7"/>
      <c r="B63808" s="7"/>
    </row>
    <row r="63809" ht="15.75" customHeight="1">
      <c r="A63809" s="7"/>
      <c r="B63809" s="7"/>
    </row>
    <row r="63810" ht="15.75" customHeight="1">
      <c r="A63810" s="7"/>
      <c r="B63810" s="7"/>
    </row>
    <row r="63811" ht="15.75" customHeight="1">
      <c r="A63811" s="7"/>
      <c r="B63811" s="7"/>
    </row>
    <row r="63812" ht="15.75" customHeight="1">
      <c r="A63812" s="7"/>
      <c r="B63812" s="7"/>
    </row>
    <row r="63813" ht="15.75" customHeight="1">
      <c r="A63813" s="7"/>
      <c r="B63813" s="7"/>
    </row>
    <row r="63814" ht="15.75" customHeight="1">
      <c r="A63814" s="7"/>
      <c r="B63814" s="7"/>
    </row>
    <row r="63815" ht="15.75" customHeight="1">
      <c r="A63815" s="7"/>
      <c r="B63815" s="7"/>
    </row>
    <row r="63816" ht="15.75" customHeight="1">
      <c r="A63816" s="7"/>
      <c r="B63816" s="7"/>
    </row>
    <row r="63817" ht="15.75" customHeight="1">
      <c r="A63817" s="7"/>
      <c r="B63817" s="7"/>
    </row>
    <row r="63818" ht="15.75" customHeight="1">
      <c r="A63818" s="7"/>
      <c r="B63818" s="7"/>
    </row>
    <row r="63819" ht="15.75" customHeight="1">
      <c r="A63819" s="7"/>
      <c r="B63819" s="7"/>
    </row>
    <row r="63820" ht="15.75" customHeight="1">
      <c r="A63820" s="7"/>
      <c r="B63820" s="7"/>
    </row>
    <row r="63821" ht="15.75" customHeight="1">
      <c r="A63821" s="7"/>
      <c r="B63821" s="7"/>
    </row>
    <row r="63822" ht="15.75" customHeight="1">
      <c r="A63822" s="7"/>
      <c r="B63822" s="7"/>
    </row>
    <row r="63823" ht="15.75" customHeight="1">
      <c r="A63823" s="7"/>
      <c r="B63823" s="7"/>
    </row>
    <row r="63824" ht="15.75" customHeight="1">
      <c r="A63824" s="7"/>
      <c r="B63824" s="7"/>
    </row>
    <row r="63825" ht="15.75" customHeight="1">
      <c r="A63825" s="7"/>
      <c r="B63825" s="7"/>
    </row>
    <row r="63826" ht="15.75" customHeight="1">
      <c r="A63826" s="7"/>
      <c r="B63826" s="7"/>
    </row>
    <row r="63827" ht="15.75" customHeight="1">
      <c r="A63827" s="7"/>
      <c r="B63827" s="7"/>
    </row>
    <row r="63828" ht="15.75" customHeight="1">
      <c r="A63828" s="7"/>
      <c r="B63828" s="7"/>
    </row>
    <row r="63829" ht="15.75" customHeight="1">
      <c r="A63829" s="7"/>
      <c r="B63829" s="7"/>
    </row>
    <row r="63830" ht="15.75" customHeight="1">
      <c r="A63830" s="7"/>
      <c r="B63830" s="7"/>
    </row>
    <row r="63831" ht="15.75" customHeight="1">
      <c r="A63831" s="7"/>
      <c r="B63831" s="7"/>
    </row>
    <row r="63832" ht="15.75" customHeight="1">
      <c r="A63832" s="7"/>
      <c r="B63832" s="7"/>
    </row>
    <row r="63833" ht="15.75" customHeight="1">
      <c r="A63833" s="7"/>
      <c r="B63833" s="7"/>
    </row>
    <row r="63834" ht="15.75" customHeight="1">
      <c r="A63834" s="7"/>
      <c r="B63834" s="7"/>
    </row>
    <row r="63835" ht="15.75" customHeight="1">
      <c r="A63835" s="7"/>
      <c r="B63835" s="7"/>
    </row>
    <row r="63836" ht="15.75" customHeight="1">
      <c r="A63836" s="7"/>
      <c r="B63836" s="7"/>
    </row>
    <row r="63837" ht="15.75" customHeight="1">
      <c r="A63837" s="7"/>
      <c r="B63837" s="7"/>
    </row>
    <row r="63838" ht="15.75" customHeight="1">
      <c r="A63838" s="7"/>
      <c r="B63838" s="7"/>
    </row>
    <row r="63839" ht="15.75" customHeight="1">
      <c r="A63839" s="7"/>
      <c r="B63839" s="7"/>
    </row>
    <row r="63840" ht="15.75" customHeight="1">
      <c r="A63840" s="7"/>
      <c r="B63840" s="7"/>
    </row>
    <row r="63841" ht="15.75" customHeight="1">
      <c r="A63841" s="7"/>
      <c r="B63841" s="7"/>
    </row>
    <row r="63842" ht="15.75" customHeight="1">
      <c r="A63842" s="7"/>
      <c r="B63842" s="7"/>
    </row>
    <row r="63843" ht="15.75" customHeight="1">
      <c r="A63843" s="7"/>
      <c r="B63843" s="7"/>
    </row>
    <row r="63844" ht="15.75" customHeight="1">
      <c r="A63844" s="7"/>
      <c r="B63844" s="7"/>
    </row>
    <row r="63845" ht="15.75" customHeight="1">
      <c r="A63845" s="7"/>
      <c r="B63845" s="7"/>
    </row>
    <row r="63846" ht="15.75" customHeight="1">
      <c r="A63846" s="7"/>
      <c r="B63846" s="7"/>
    </row>
    <row r="63847" ht="15.75" customHeight="1">
      <c r="A63847" s="7"/>
      <c r="B63847" s="7"/>
    </row>
    <row r="63848" ht="15.75" customHeight="1">
      <c r="A63848" s="7"/>
      <c r="B63848" s="7"/>
    </row>
    <row r="63849" ht="15.75" customHeight="1">
      <c r="A63849" s="7"/>
      <c r="B63849" s="7"/>
    </row>
    <row r="63850" ht="15.75" customHeight="1">
      <c r="A63850" s="7"/>
      <c r="B63850" s="7"/>
    </row>
    <row r="63851" ht="15.75" customHeight="1">
      <c r="A63851" s="7"/>
      <c r="B63851" s="7"/>
    </row>
    <row r="63852" ht="15.75" customHeight="1">
      <c r="A63852" s="7"/>
      <c r="B63852" s="7"/>
    </row>
    <row r="63853" ht="15.75" customHeight="1">
      <c r="A63853" s="7"/>
      <c r="B63853" s="7"/>
    </row>
    <row r="63854" ht="15.75" customHeight="1">
      <c r="A63854" s="7"/>
      <c r="B63854" s="7"/>
    </row>
    <row r="63855" ht="15.75" customHeight="1">
      <c r="A63855" s="7"/>
      <c r="B63855" s="7"/>
    </row>
    <row r="63856" ht="15.75" customHeight="1">
      <c r="A63856" s="7"/>
      <c r="B63856" s="7"/>
    </row>
    <row r="63857" ht="15.75" customHeight="1">
      <c r="A63857" s="7"/>
      <c r="B63857" s="7"/>
    </row>
    <row r="63858" ht="15.75" customHeight="1">
      <c r="A63858" s="7"/>
      <c r="B63858" s="7"/>
    </row>
    <row r="63859" ht="15.75" customHeight="1">
      <c r="A63859" s="7"/>
      <c r="B63859" s="7"/>
    </row>
    <row r="63860" ht="15.75" customHeight="1">
      <c r="A63860" s="7"/>
      <c r="B63860" s="7"/>
    </row>
    <row r="63861" ht="15.75" customHeight="1">
      <c r="A63861" s="7"/>
      <c r="B63861" s="7"/>
    </row>
    <row r="63862" ht="15.75" customHeight="1">
      <c r="A63862" s="7"/>
      <c r="B63862" s="7"/>
    </row>
    <row r="63863" ht="15.75" customHeight="1">
      <c r="A63863" s="7"/>
      <c r="B63863" s="7"/>
    </row>
    <row r="63864" ht="15.75" customHeight="1">
      <c r="A63864" s="7"/>
      <c r="B63864" s="7"/>
    </row>
    <row r="63865" ht="15.75" customHeight="1">
      <c r="A63865" s="7"/>
      <c r="B63865" s="7"/>
    </row>
    <row r="63866" ht="15.75" customHeight="1">
      <c r="A63866" s="7"/>
      <c r="B63866" s="7"/>
    </row>
    <row r="63867" ht="15.75" customHeight="1">
      <c r="A63867" s="7"/>
      <c r="B63867" s="7"/>
    </row>
    <row r="63868" ht="15.75" customHeight="1">
      <c r="A63868" s="7"/>
      <c r="B63868" s="7"/>
    </row>
    <row r="63869" ht="15.75" customHeight="1">
      <c r="A63869" s="7"/>
      <c r="B63869" s="7"/>
    </row>
    <row r="63870" ht="15.75" customHeight="1">
      <c r="A63870" s="7"/>
      <c r="B63870" s="7"/>
    </row>
    <row r="63871" ht="15.75" customHeight="1">
      <c r="A63871" s="7"/>
      <c r="B63871" s="7"/>
    </row>
    <row r="63872" ht="15.75" customHeight="1">
      <c r="A63872" s="7"/>
      <c r="B63872" s="7"/>
    </row>
    <row r="63873" ht="15.75" customHeight="1">
      <c r="A63873" s="7"/>
      <c r="B63873" s="7"/>
    </row>
    <row r="63874" ht="15.75" customHeight="1">
      <c r="A63874" s="7"/>
      <c r="B63874" s="7"/>
    </row>
    <row r="63875" ht="15.75" customHeight="1">
      <c r="A63875" s="7"/>
      <c r="B63875" s="7"/>
    </row>
    <row r="63876" ht="15.75" customHeight="1">
      <c r="A63876" s="7"/>
      <c r="B63876" s="7"/>
    </row>
    <row r="63877" ht="15.75" customHeight="1">
      <c r="A63877" s="7"/>
      <c r="B63877" s="7"/>
    </row>
    <row r="63878" ht="15.75" customHeight="1">
      <c r="A63878" s="7"/>
      <c r="B63878" s="7"/>
    </row>
    <row r="63879" ht="15.75" customHeight="1">
      <c r="A63879" s="7"/>
      <c r="B63879" s="7"/>
    </row>
    <row r="63880" ht="15.75" customHeight="1">
      <c r="A63880" s="7"/>
      <c r="B63880" s="7"/>
    </row>
    <row r="63881" ht="15.75" customHeight="1">
      <c r="A63881" s="7"/>
      <c r="B63881" s="7"/>
    </row>
    <row r="63882" ht="15.75" customHeight="1">
      <c r="A63882" s="7"/>
      <c r="B63882" s="7"/>
    </row>
    <row r="63883" ht="15.75" customHeight="1">
      <c r="A63883" s="7"/>
      <c r="B63883" s="7"/>
    </row>
    <row r="63884" ht="15.75" customHeight="1">
      <c r="A63884" s="7"/>
      <c r="B63884" s="7"/>
    </row>
    <row r="63885" ht="15.75" customHeight="1">
      <c r="A63885" s="7"/>
      <c r="B63885" s="7"/>
    </row>
    <row r="63886" ht="15.75" customHeight="1">
      <c r="A63886" s="7"/>
      <c r="B63886" s="7"/>
    </row>
    <row r="63887" ht="15.75" customHeight="1">
      <c r="A63887" s="7"/>
      <c r="B63887" s="7"/>
    </row>
    <row r="63888" ht="15.75" customHeight="1">
      <c r="A63888" s="7"/>
      <c r="B63888" s="7"/>
    </row>
    <row r="63889" ht="15.75" customHeight="1">
      <c r="A63889" s="7"/>
      <c r="B63889" s="7"/>
    </row>
    <row r="63890" ht="15.75" customHeight="1">
      <c r="A63890" s="7"/>
      <c r="B63890" s="7"/>
    </row>
    <row r="63891" ht="15.75" customHeight="1">
      <c r="A63891" s="7"/>
      <c r="B63891" s="7"/>
    </row>
    <row r="63892" ht="15.75" customHeight="1">
      <c r="A63892" s="7"/>
      <c r="B63892" s="7"/>
    </row>
    <row r="63893" ht="15.75" customHeight="1">
      <c r="A63893" s="7"/>
      <c r="B63893" s="7"/>
    </row>
    <row r="63894" ht="15.75" customHeight="1">
      <c r="A63894" s="7"/>
      <c r="B63894" s="7"/>
    </row>
    <row r="63895" ht="15.75" customHeight="1">
      <c r="A63895" s="7"/>
      <c r="B63895" s="7"/>
    </row>
    <row r="63896" ht="15.75" customHeight="1">
      <c r="A63896" s="7"/>
      <c r="B63896" s="7"/>
    </row>
    <row r="63897" ht="15.75" customHeight="1">
      <c r="A63897" s="7"/>
      <c r="B63897" s="7"/>
    </row>
    <row r="63898" ht="15.75" customHeight="1">
      <c r="A63898" s="7"/>
      <c r="B63898" s="7"/>
    </row>
    <row r="63899" ht="15.75" customHeight="1">
      <c r="A63899" s="7"/>
      <c r="B63899" s="7"/>
    </row>
    <row r="63900" ht="15.75" customHeight="1">
      <c r="A63900" s="7"/>
      <c r="B63900" s="7"/>
    </row>
    <row r="63901" ht="15.75" customHeight="1">
      <c r="A63901" s="7"/>
      <c r="B63901" s="7"/>
    </row>
    <row r="63902" ht="15.75" customHeight="1">
      <c r="A63902" s="7"/>
      <c r="B63902" s="7"/>
    </row>
    <row r="63903" ht="15.75" customHeight="1">
      <c r="A63903" s="7"/>
      <c r="B63903" s="7"/>
    </row>
    <row r="63904" ht="15.75" customHeight="1">
      <c r="A63904" s="7"/>
      <c r="B63904" s="7"/>
    </row>
    <row r="63905" ht="15.75" customHeight="1">
      <c r="A63905" s="7"/>
      <c r="B63905" s="7"/>
    </row>
    <row r="63906" ht="15.75" customHeight="1">
      <c r="A63906" s="7"/>
      <c r="B63906" s="7"/>
    </row>
    <row r="63907" ht="15.75" customHeight="1">
      <c r="A63907" s="7"/>
      <c r="B63907" s="7"/>
    </row>
    <row r="63908" ht="15.75" customHeight="1">
      <c r="A63908" s="7"/>
      <c r="B63908" s="7"/>
    </row>
    <row r="63909" ht="15.75" customHeight="1">
      <c r="A63909" s="7"/>
      <c r="B63909" s="7"/>
    </row>
    <row r="63910" ht="15.75" customHeight="1">
      <c r="A63910" s="7"/>
      <c r="B63910" s="7"/>
    </row>
    <row r="63911" ht="15.75" customHeight="1">
      <c r="A63911" s="7"/>
      <c r="B63911" s="7"/>
    </row>
    <row r="63912" ht="15.75" customHeight="1">
      <c r="A63912" s="7"/>
      <c r="B63912" s="7"/>
    </row>
    <row r="63913" ht="15.75" customHeight="1">
      <c r="A63913" s="7"/>
      <c r="B63913" s="7"/>
    </row>
    <row r="63914" ht="15.75" customHeight="1">
      <c r="A63914" s="7"/>
      <c r="B63914" s="7"/>
    </row>
    <row r="63915" ht="15.75" customHeight="1">
      <c r="A63915" s="7"/>
      <c r="B63915" s="7"/>
    </row>
    <row r="63916" ht="15.75" customHeight="1">
      <c r="A63916" s="7"/>
      <c r="B63916" s="7"/>
    </row>
    <row r="63917" ht="15.75" customHeight="1">
      <c r="A63917" s="7"/>
      <c r="B63917" s="7"/>
    </row>
    <row r="63918" ht="15.75" customHeight="1">
      <c r="A63918" s="7"/>
      <c r="B63918" s="7"/>
    </row>
    <row r="63919" ht="15.75" customHeight="1">
      <c r="A63919" s="7"/>
      <c r="B63919" s="7"/>
    </row>
    <row r="63920" ht="15.75" customHeight="1">
      <c r="A63920" s="7"/>
      <c r="B63920" s="7"/>
    </row>
    <row r="63921" ht="15.75" customHeight="1">
      <c r="A63921" s="7"/>
      <c r="B63921" s="7"/>
    </row>
    <row r="63922" ht="15.75" customHeight="1">
      <c r="A63922" s="7"/>
      <c r="B63922" s="7"/>
    </row>
    <row r="63923" ht="15.75" customHeight="1">
      <c r="A63923" s="7"/>
      <c r="B63923" s="7"/>
    </row>
    <row r="63924" ht="15.75" customHeight="1">
      <c r="A63924" s="7"/>
      <c r="B63924" s="7"/>
    </row>
    <row r="63925" ht="15.75" customHeight="1">
      <c r="A63925" s="7"/>
      <c r="B63925" s="7"/>
    </row>
    <row r="63926" ht="15.75" customHeight="1">
      <c r="A63926" s="7"/>
      <c r="B63926" s="7"/>
    </row>
    <row r="63927" ht="15.75" customHeight="1">
      <c r="A63927" s="7"/>
      <c r="B63927" s="7"/>
    </row>
    <row r="63928" ht="15.75" customHeight="1">
      <c r="A63928" s="7"/>
      <c r="B63928" s="7"/>
    </row>
    <row r="63929" ht="15.75" customHeight="1">
      <c r="A63929" s="7"/>
      <c r="B63929" s="7"/>
    </row>
    <row r="63930" ht="15.75" customHeight="1">
      <c r="A63930" s="7"/>
      <c r="B63930" s="7"/>
    </row>
    <row r="63931" ht="15.75" customHeight="1">
      <c r="A63931" s="7"/>
      <c r="B63931" s="7"/>
    </row>
    <row r="63932" ht="15.75" customHeight="1">
      <c r="A63932" s="7"/>
      <c r="B63932" s="7"/>
    </row>
    <row r="63933" ht="15.75" customHeight="1">
      <c r="A63933" s="7"/>
      <c r="B63933" s="7"/>
    </row>
    <row r="63934" ht="15.75" customHeight="1">
      <c r="A63934" s="7"/>
      <c r="B63934" s="7"/>
    </row>
    <row r="63935" ht="15.75" customHeight="1">
      <c r="A63935" s="7"/>
      <c r="B63935" s="7"/>
    </row>
    <row r="63936" ht="15.75" customHeight="1">
      <c r="A63936" s="7"/>
      <c r="B63936" s="7"/>
    </row>
    <row r="63937" ht="15.75" customHeight="1">
      <c r="A63937" s="7"/>
      <c r="B63937" s="7"/>
    </row>
    <row r="63938" ht="15.75" customHeight="1">
      <c r="A63938" s="7"/>
      <c r="B63938" s="7"/>
    </row>
    <row r="63939" ht="15.75" customHeight="1">
      <c r="A63939" s="7"/>
      <c r="B63939" s="7"/>
    </row>
    <row r="63940" ht="15.75" customHeight="1">
      <c r="A63940" s="7"/>
      <c r="B63940" s="7"/>
    </row>
    <row r="63941" ht="15.75" customHeight="1">
      <c r="A63941" s="7"/>
      <c r="B63941" s="7"/>
    </row>
    <row r="63942" ht="15.75" customHeight="1">
      <c r="A63942" s="7"/>
      <c r="B63942" s="7"/>
    </row>
    <row r="63943" ht="15.75" customHeight="1">
      <c r="A63943" s="7"/>
      <c r="B63943" s="7"/>
    </row>
    <row r="63944" ht="15.75" customHeight="1">
      <c r="A63944" s="7"/>
      <c r="B63944" s="7"/>
    </row>
    <row r="63945" ht="15.75" customHeight="1">
      <c r="A63945" s="7"/>
      <c r="B63945" s="7"/>
    </row>
    <row r="63946" ht="15.75" customHeight="1">
      <c r="A63946" s="7"/>
      <c r="B63946" s="7"/>
    </row>
    <row r="63947" ht="15.75" customHeight="1">
      <c r="A63947" s="7"/>
      <c r="B63947" s="7"/>
    </row>
    <row r="63948" ht="15.75" customHeight="1">
      <c r="A63948" s="7"/>
      <c r="B63948" s="7"/>
    </row>
    <row r="63949" ht="15.75" customHeight="1">
      <c r="A63949" s="7"/>
      <c r="B63949" s="7"/>
    </row>
    <row r="63950" ht="15.75" customHeight="1">
      <c r="A63950" s="7"/>
      <c r="B63950" s="7"/>
    </row>
    <row r="63951" ht="15.75" customHeight="1">
      <c r="A63951" s="7"/>
      <c r="B63951" s="7"/>
    </row>
    <row r="63952" ht="15.75" customHeight="1">
      <c r="A63952" s="7"/>
      <c r="B63952" s="7"/>
    </row>
    <row r="63953" ht="15.75" customHeight="1">
      <c r="A63953" s="7"/>
      <c r="B63953" s="7"/>
    </row>
    <row r="63954" ht="15.75" customHeight="1">
      <c r="A63954" s="7"/>
      <c r="B63954" s="7"/>
    </row>
    <row r="63955" ht="15.75" customHeight="1">
      <c r="A63955" s="7"/>
      <c r="B63955" s="7"/>
    </row>
    <row r="63956" ht="15.75" customHeight="1">
      <c r="A63956" s="7"/>
      <c r="B63956" s="7"/>
    </row>
    <row r="63957" ht="15.75" customHeight="1">
      <c r="A63957" s="7"/>
      <c r="B63957" s="7"/>
    </row>
    <row r="63958" ht="15.75" customHeight="1">
      <c r="A63958" s="7"/>
      <c r="B63958" s="7"/>
    </row>
    <row r="63959" ht="15.75" customHeight="1">
      <c r="A63959" s="7"/>
      <c r="B63959" s="7"/>
    </row>
    <row r="63960" ht="15.75" customHeight="1">
      <c r="A63960" s="7"/>
      <c r="B63960" s="7"/>
    </row>
    <row r="63961" ht="15.75" customHeight="1">
      <c r="A63961" s="7"/>
      <c r="B63961" s="7"/>
    </row>
    <row r="63962" ht="15.75" customHeight="1">
      <c r="A63962" s="7"/>
      <c r="B63962" s="7"/>
    </row>
    <row r="63963" ht="15.75" customHeight="1">
      <c r="A63963" s="7"/>
      <c r="B63963" s="7"/>
    </row>
    <row r="63964" ht="15.75" customHeight="1">
      <c r="A63964" s="7"/>
      <c r="B63964" s="7"/>
    </row>
    <row r="63965" ht="15.75" customHeight="1">
      <c r="A63965" s="7"/>
      <c r="B63965" s="7"/>
    </row>
    <row r="63966" ht="15.75" customHeight="1">
      <c r="A63966" s="7"/>
      <c r="B63966" s="7"/>
    </row>
    <row r="63967" ht="15.75" customHeight="1">
      <c r="A63967" s="7"/>
      <c r="B63967" s="7"/>
    </row>
    <row r="63968" ht="15.75" customHeight="1">
      <c r="A63968" s="7"/>
      <c r="B63968" s="7"/>
    </row>
    <row r="63969" ht="15.75" customHeight="1">
      <c r="A63969" s="7"/>
      <c r="B63969" s="7"/>
    </row>
    <row r="63970" ht="15.75" customHeight="1">
      <c r="A63970" s="7"/>
      <c r="B63970" s="7"/>
    </row>
    <row r="63971" ht="15.75" customHeight="1">
      <c r="A63971" s="7"/>
      <c r="B63971" s="7"/>
    </row>
    <row r="63972" ht="15.75" customHeight="1">
      <c r="A63972" s="7"/>
      <c r="B63972" s="7"/>
    </row>
    <row r="63973" ht="15.75" customHeight="1">
      <c r="A63973" s="7"/>
      <c r="B63973" s="7"/>
    </row>
    <row r="63974" ht="15.75" customHeight="1">
      <c r="A63974" s="7"/>
      <c r="B63974" s="7"/>
    </row>
    <row r="63975" ht="15.75" customHeight="1">
      <c r="A63975" s="7"/>
      <c r="B63975" s="7"/>
    </row>
    <row r="63976" ht="15.75" customHeight="1">
      <c r="A63976" s="7"/>
      <c r="B63976" s="7"/>
    </row>
    <row r="63977" ht="15.75" customHeight="1">
      <c r="A63977" s="7"/>
      <c r="B63977" s="7"/>
    </row>
    <row r="63978" ht="15.75" customHeight="1">
      <c r="A63978" s="7"/>
      <c r="B63978" s="7"/>
    </row>
    <row r="63979" ht="15.75" customHeight="1">
      <c r="A63979" s="7"/>
      <c r="B63979" s="7"/>
    </row>
    <row r="63980" ht="15.75" customHeight="1">
      <c r="A63980" s="7"/>
      <c r="B63980" s="7"/>
    </row>
    <row r="63981" ht="15.75" customHeight="1">
      <c r="A63981" s="7"/>
      <c r="B63981" s="7"/>
    </row>
    <row r="63982" ht="15.75" customHeight="1">
      <c r="A63982" s="7"/>
      <c r="B63982" s="7"/>
    </row>
    <row r="63983" ht="15.75" customHeight="1">
      <c r="A63983" s="7"/>
      <c r="B63983" s="7"/>
    </row>
    <row r="63984" ht="15.75" customHeight="1">
      <c r="A63984" s="7"/>
      <c r="B63984" s="7"/>
    </row>
    <row r="63985" ht="15.75" customHeight="1">
      <c r="A63985" s="7"/>
      <c r="B63985" s="7"/>
    </row>
    <row r="63986" ht="15.75" customHeight="1">
      <c r="A63986" s="7"/>
      <c r="B63986" s="7"/>
    </row>
    <row r="63987" ht="15.75" customHeight="1">
      <c r="A63987" s="7"/>
      <c r="B63987" s="7"/>
    </row>
    <row r="63988" ht="15.75" customHeight="1">
      <c r="A63988" s="7"/>
      <c r="B63988" s="7"/>
    </row>
    <row r="63989" ht="15.75" customHeight="1">
      <c r="A63989" s="7"/>
      <c r="B63989" s="7"/>
    </row>
    <row r="63990" ht="15.75" customHeight="1">
      <c r="A63990" s="7"/>
      <c r="B63990" s="7"/>
    </row>
    <row r="63991" ht="15.75" customHeight="1">
      <c r="A63991" s="7"/>
      <c r="B63991" s="7"/>
    </row>
    <row r="63992" ht="15.75" customHeight="1">
      <c r="A63992" s="7"/>
      <c r="B63992" s="7"/>
    </row>
    <row r="63993" ht="15.75" customHeight="1">
      <c r="A63993" s="7"/>
      <c r="B63993" s="7"/>
    </row>
    <row r="63994" ht="15.75" customHeight="1">
      <c r="A63994" s="7"/>
      <c r="B63994" s="7"/>
    </row>
    <row r="63995" ht="15.75" customHeight="1">
      <c r="A63995" s="7"/>
      <c r="B63995" s="7"/>
    </row>
    <row r="63996" ht="15.75" customHeight="1">
      <c r="A63996" s="7"/>
      <c r="B63996" s="7"/>
    </row>
    <row r="63997" ht="15.75" customHeight="1">
      <c r="A63997" s="7"/>
      <c r="B63997" s="7"/>
    </row>
    <row r="63998" ht="15.75" customHeight="1">
      <c r="A63998" s="7"/>
      <c r="B63998" s="7"/>
    </row>
    <row r="63999" ht="15.75" customHeight="1">
      <c r="A63999" s="7"/>
      <c r="B63999" s="7"/>
    </row>
    <row r="64000" ht="15.75" customHeight="1">
      <c r="A64000" s="7"/>
      <c r="B64000" s="7"/>
    </row>
    <row r="64001" ht="15.75" customHeight="1">
      <c r="A64001" s="7"/>
      <c r="B64001" s="7"/>
    </row>
    <row r="64002" ht="15.75" customHeight="1">
      <c r="A64002" s="7"/>
      <c r="B64002" s="7"/>
    </row>
    <row r="64003" ht="15.75" customHeight="1">
      <c r="A64003" s="7"/>
      <c r="B64003" s="7"/>
    </row>
    <row r="64004" ht="15.75" customHeight="1">
      <c r="A64004" s="7"/>
      <c r="B64004" s="7"/>
    </row>
    <row r="64005" ht="15.75" customHeight="1">
      <c r="A64005" s="7"/>
      <c r="B64005" s="7"/>
    </row>
    <row r="64006" ht="15.75" customHeight="1">
      <c r="A64006" s="7"/>
      <c r="B64006" s="7"/>
    </row>
    <row r="64007" ht="15.75" customHeight="1">
      <c r="A64007" s="7"/>
      <c r="B64007" s="7"/>
    </row>
    <row r="64008" ht="15.75" customHeight="1">
      <c r="A64008" s="7"/>
      <c r="B64008" s="7"/>
    </row>
    <row r="64009" ht="15.75" customHeight="1">
      <c r="A64009" s="7"/>
      <c r="B64009" s="7"/>
    </row>
    <row r="64010" ht="15.75" customHeight="1">
      <c r="A64010" s="7"/>
      <c r="B64010" s="7"/>
    </row>
    <row r="64011" ht="15.75" customHeight="1">
      <c r="A64011" s="7"/>
      <c r="B64011" s="7"/>
    </row>
    <row r="64012" ht="15.75" customHeight="1">
      <c r="A64012" s="7"/>
      <c r="B64012" s="7"/>
    </row>
    <row r="64013" ht="15.75" customHeight="1">
      <c r="A64013" s="7"/>
      <c r="B64013" s="7"/>
    </row>
    <row r="64014" ht="15.75" customHeight="1">
      <c r="A64014" s="7"/>
      <c r="B64014" s="7"/>
    </row>
    <row r="64015" ht="15.75" customHeight="1">
      <c r="A64015" s="7"/>
      <c r="B64015" s="7"/>
    </row>
    <row r="64016" ht="15.75" customHeight="1">
      <c r="A64016" s="7"/>
      <c r="B64016" s="7"/>
    </row>
    <row r="64017" ht="15.75" customHeight="1">
      <c r="A64017" s="7"/>
      <c r="B64017" s="7"/>
    </row>
    <row r="64018" ht="15.75" customHeight="1">
      <c r="A64018" s="7"/>
      <c r="B64018" s="7"/>
    </row>
    <row r="64019" ht="15.75" customHeight="1">
      <c r="A64019" s="7"/>
      <c r="B64019" s="7"/>
    </row>
    <row r="64020" ht="15.75" customHeight="1">
      <c r="A64020" s="7"/>
      <c r="B64020" s="7"/>
    </row>
    <row r="64021" ht="15.75" customHeight="1">
      <c r="A64021" s="7"/>
      <c r="B64021" s="7"/>
    </row>
    <row r="64022" ht="15.75" customHeight="1">
      <c r="A64022" s="7"/>
      <c r="B64022" s="7"/>
    </row>
    <row r="64023" ht="15.75" customHeight="1">
      <c r="A64023" s="7"/>
      <c r="B64023" s="7"/>
    </row>
    <row r="64024" ht="15.75" customHeight="1">
      <c r="A64024" s="7"/>
      <c r="B64024" s="7"/>
    </row>
    <row r="64025" ht="15.75" customHeight="1">
      <c r="A64025" s="7"/>
      <c r="B64025" s="7"/>
    </row>
    <row r="64026" ht="15.75" customHeight="1">
      <c r="A64026" s="7"/>
      <c r="B64026" s="7"/>
    </row>
    <row r="64027" ht="15.75" customHeight="1">
      <c r="A64027" s="7"/>
      <c r="B64027" s="7"/>
    </row>
    <row r="64028" ht="15.75" customHeight="1">
      <c r="A64028" s="7"/>
      <c r="B64028" s="7"/>
    </row>
    <row r="64029" ht="15.75" customHeight="1">
      <c r="A64029" s="7"/>
      <c r="B64029" s="7"/>
    </row>
    <row r="64030" ht="15.75" customHeight="1">
      <c r="A64030" s="7"/>
      <c r="B64030" s="7"/>
    </row>
    <row r="64031" ht="15.75" customHeight="1">
      <c r="A64031" s="7"/>
      <c r="B64031" s="7"/>
    </row>
    <row r="64032" ht="15.75" customHeight="1">
      <c r="A64032" s="7"/>
      <c r="B64032" s="7"/>
    </row>
    <row r="64033" ht="15.75" customHeight="1">
      <c r="A64033" s="7"/>
      <c r="B64033" s="7"/>
    </row>
    <row r="64034" ht="15.75" customHeight="1">
      <c r="A64034" s="7"/>
      <c r="B64034" s="7"/>
    </row>
    <row r="64035" ht="15.75" customHeight="1">
      <c r="A64035" s="7"/>
      <c r="B64035" s="7"/>
    </row>
    <row r="64036" ht="15.75" customHeight="1">
      <c r="A64036" s="7"/>
      <c r="B64036" s="7"/>
    </row>
    <row r="64037" ht="15.75" customHeight="1">
      <c r="A64037" s="7"/>
      <c r="B64037" s="7"/>
    </row>
    <row r="64038" ht="15.75" customHeight="1">
      <c r="A64038" s="7"/>
      <c r="B64038" s="7"/>
    </row>
    <row r="64039" ht="15.75" customHeight="1">
      <c r="A64039" s="7"/>
      <c r="B64039" s="7"/>
    </row>
    <row r="64040" ht="15.75" customHeight="1">
      <c r="A64040" s="7"/>
      <c r="B64040" s="7"/>
    </row>
    <row r="64041" ht="15.75" customHeight="1">
      <c r="A64041" s="7"/>
      <c r="B64041" s="7"/>
    </row>
    <row r="64042" ht="15.75" customHeight="1">
      <c r="A64042" s="7"/>
      <c r="B64042" s="7"/>
    </row>
    <row r="64043" ht="15.75" customHeight="1">
      <c r="A64043" s="7"/>
      <c r="B64043" s="7"/>
    </row>
    <row r="64044" ht="15.75" customHeight="1">
      <c r="A64044" s="7"/>
      <c r="B64044" s="7"/>
    </row>
    <row r="64045" ht="15.75" customHeight="1">
      <c r="A64045" s="7"/>
      <c r="B64045" s="7"/>
    </row>
    <row r="64046" ht="15.75" customHeight="1">
      <c r="A64046" s="7"/>
      <c r="B64046" s="7"/>
    </row>
    <row r="64047" ht="15.75" customHeight="1">
      <c r="A64047" s="7"/>
      <c r="B64047" s="7"/>
    </row>
    <row r="64048" ht="15.75" customHeight="1">
      <c r="A64048" s="7"/>
      <c r="B64048" s="7"/>
    </row>
    <row r="64049" ht="15.75" customHeight="1">
      <c r="A64049" s="7"/>
      <c r="B64049" s="7"/>
    </row>
    <row r="64050" ht="15.75" customHeight="1">
      <c r="A64050" s="7"/>
      <c r="B64050" s="7"/>
    </row>
    <row r="64051" ht="15.75" customHeight="1">
      <c r="A64051" s="7"/>
      <c r="B64051" s="7"/>
    </row>
    <row r="64052" ht="15.75" customHeight="1">
      <c r="A64052" s="7"/>
      <c r="B64052" s="7"/>
    </row>
    <row r="64053" ht="15.75" customHeight="1">
      <c r="A64053" s="7"/>
      <c r="B64053" s="7"/>
    </row>
    <row r="64054" ht="15.75" customHeight="1">
      <c r="A64054" s="7"/>
      <c r="B64054" s="7"/>
    </row>
    <row r="64055" ht="15.75" customHeight="1">
      <c r="A64055" s="7"/>
      <c r="B64055" s="7"/>
    </row>
    <row r="64056" ht="15.75" customHeight="1">
      <c r="A64056" s="7"/>
      <c r="B64056" s="7"/>
    </row>
    <row r="64057" ht="15.75" customHeight="1">
      <c r="A64057" s="7"/>
      <c r="B64057" s="7"/>
    </row>
    <row r="64058" ht="15.75" customHeight="1">
      <c r="A64058" s="7"/>
      <c r="B64058" s="7"/>
    </row>
    <row r="64059" ht="15.75" customHeight="1">
      <c r="A64059" s="7"/>
      <c r="B64059" s="7"/>
    </row>
    <row r="64060" ht="15.75" customHeight="1">
      <c r="A64060" s="7"/>
      <c r="B64060" s="7"/>
    </row>
    <row r="64061" ht="15.75" customHeight="1">
      <c r="A64061" s="7"/>
      <c r="B64061" s="7"/>
    </row>
    <row r="64062" ht="15.75" customHeight="1">
      <c r="A64062" s="7"/>
      <c r="B64062" s="7"/>
    </row>
    <row r="64063" ht="15.75" customHeight="1">
      <c r="A64063" s="7"/>
      <c r="B64063" s="7"/>
    </row>
    <row r="64064" ht="15.75" customHeight="1">
      <c r="A64064" s="7"/>
      <c r="B64064" s="7"/>
    </row>
    <row r="64065" ht="15.75" customHeight="1">
      <c r="A64065" s="7"/>
      <c r="B64065" s="7"/>
    </row>
    <row r="64066" ht="15.75" customHeight="1">
      <c r="A64066" s="7"/>
      <c r="B64066" s="7"/>
    </row>
    <row r="64067" ht="15.75" customHeight="1">
      <c r="A64067" s="7"/>
      <c r="B64067" s="7"/>
    </row>
    <row r="64068" ht="15.75" customHeight="1">
      <c r="A64068" s="7"/>
      <c r="B64068" s="7"/>
    </row>
    <row r="64069" ht="15.75" customHeight="1">
      <c r="A64069" s="7"/>
      <c r="B64069" s="7"/>
    </row>
    <row r="64070" ht="15.75" customHeight="1">
      <c r="A64070" s="7"/>
      <c r="B64070" s="7"/>
    </row>
    <row r="64071" ht="15.75" customHeight="1">
      <c r="A64071" s="7"/>
      <c r="B64071" s="7"/>
    </row>
    <row r="64072" ht="15.75" customHeight="1">
      <c r="A64072" s="7"/>
      <c r="B64072" s="7"/>
    </row>
    <row r="64073" ht="15.75" customHeight="1">
      <c r="A64073" s="7"/>
      <c r="B64073" s="7"/>
    </row>
    <row r="64074" ht="15.75" customHeight="1">
      <c r="A64074" s="7"/>
      <c r="B64074" s="7"/>
    </row>
    <row r="64075" ht="15.75" customHeight="1">
      <c r="A64075" s="7"/>
      <c r="B64075" s="7"/>
    </row>
    <row r="64076" ht="15.75" customHeight="1">
      <c r="A64076" s="7"/>
      <c r="B64076" s="7"/>
    </row>
    <row r="64077" ht="15.75" customHeight="1">
      <c r="A64077" s="7"/>
      <c r="B64077" s="7"/>
    </row>
    <row r="64078" ht="15.75" customHeight="1">
      <c r="A64078" s="7"/>
      <c r="B64078" s="7"/>
    </row>
    <row r="64079" ht="15.75" customHeight="1">
      <c r="A64079" s="7"/>
      <c r="B64079" s="7"/>
    </row>
    <row r="64080" ht="15.75" customHeight="1">
      <c r="A64080" s="7"/>
      <c r="B64080" s="7"/>
    </row>
    <row r="64081" ht="15.75" customHeight="1">
      <c r="A64081" s="7"/>
      <c r="B64081" s="7"/>
    </row>
    <row r="64082" ht="15.75" customHeight="1">
      <c r="A64082" s="7"/>
      <c r="B64082" s="7"/>
    </row>
    <row r="64083" ht="15.75" customHeight="1">
      <c r="A64083" s="7"/>
      <c r="B64083" s="7"/>
    </row>
    <row r="64084" ht="15.75" customHeight="1">
      <c r="A64084" s="7"/>
      <c r="B64084" s="7"/>
    </row>
    <row r="64085" ht="15.75" customHeight="1">
      <c r="A64085" s="7"/>
      <c r="B64085" s="7"/>
    </row>
    <row r="64086" ht="15.75" customHeight="1">
      <c r="A64086" s="7"/>
      <c r="B64086" s="7"/>
    </row>
    <row r="64087" ht="15.75" customHeight="1">
      <c r="A64087" s="7"/>
      <c r="B64087" s="7"/>
    </row>
    <row r="64088" ht="15.75" customHeight="1">
      <c r="A64088" s="7"/>
      <c r="B64088" s="7"/>
    </row>
    <row r="64089" ht="15.75" customHeight="1">
      <c r="A64089" s="7"/>
      <c r="B64089" s="7"/>
    </row>
    <row r="64090" ht="15.75" customHeight="1">
      <c r="A64090" s="7"/>
      <c r="B64090" s="7"/>
    </row>
    <row r="64091" ht="15.75" customHeight="1">
      <c r="A64091" s="7"/>
      <c r="B64091" s="7"/>
    </row>
    <row r="64092" ht="15.75" customHeight="1">
      <c r="A64092" s="7"/>
      <c r="B64092" s="7"/>
    </row>
    <row r="64093" ht="15.75" customHeight="1">
      <c r="A64093" s="7"/>
      <c r="B64093" s="7"/>
    </row>
    <row r="64094" ht="15.75" customHeight="1">
      <c r="A64094" s="7"/>
      <c r="B64094" s="7"/>
    </row>
    <row r="64095" ht="15.75" customHeight="1">
      <c r="A64095" s="7"/>
      <c r="B64095" s="7"/>
    </row>
    <row r="64096" ht="15.75" customHeight="1">
      <c r="A64096" s="7"/>
      <c r="B64096" s="7"/>
    </row>
    <row r="64097" ht="15.75" customHeight="1">
      <c r="A64097" s="7"/>
      <c r="B64097" s="7"/>
    </row>
    <row r="64098" ht="15.75" customHeight="1">
      <c r="A64098" s="7"/>
      <c r="B64098" s="7"/>
    </row>
    <row r="64099" ht="15.75" customHeight="1">
      <c r="A64099" s="7"/>
      <c r="B64099" s="7"/>
    </row>
    <row r="64100" ht="15.75" customHeight="1">
      <c r="A64100" s="7"/>
      <c r="B64100" s="7"/>
    </row>
    <row r="64101" ht="15.75" customHeight="1">
      <c r="A64101" s="7"/>
      <c r="B64101" s="7"/>
    </row>
    <row r="64102" ht="15.75" customHeight="1">
      <c r="A64102" s="7"/>
      <c r="B64102" s="7"/>
    </row>
    <row r="64103" ht="15.75" customHeight="1">
      <c r="A64103" s="7"/>
      <c r="B64103" s="7"/>
    </row>
    <row r="64104" ht="15.75" customHeight="1">
      <c r="A64104" s="7"/>
      <c r="B64104" s="7"/>
    </row>
    <row r="64105" ht="15.75" customHeight="1">
      <c r="A64105" s="7"/>
      <c r="B64105" s="7"/>
    </row>
    <row r="64106" ht="15.75" customHeight="1">
      <c r="A64106" s="7"/>
      <c r="B64106" s="7"/>
    </row>
    <row r="64107" ht="15.75" customHeight="1">
      <c r="A64107" s="7"/>
      <c r="B64107" s="7"/>
    </row>
    <row r="64108" ht="15.75" customHeight="1">
      <c r="A64108" s="7"/>
      <c r="B64108" s="7"/>
    </row>
    <row r="64109" ht="15.75" customHeight="1">
      <c r="A64109" s="7"/>
      <c r="B64109" s="7"/>
    </row>
    <row r="64110" ht="15.75" customHeight="1">
      <c r="A64110" s="7"/>
      <c r="B64110" s="7"/>
    </row>
    <row r="64111" ht="15.75" customHeight="1">
      <c r="A64111" s="7"/>
      <c r="B64111" s="7"/>
    </row>
    <row r="64112" ht="15.75" customHeight="1">
      <c r="A64112" s="7"/>
      <c r="B64112" s="7"/>
    </row>
    <row r="64113" ht="15.75" customHeight="1">
      <c r="A64113" s="7"/>
      <c r="B64113" s="7"/>
    </row>
    <row r="64114" ht="15.75" customHeight="1">
      <c r="A64114" s="7"/>
      <c r="B64114" s="7"/>
    </row>
    <row r="64115" ht="15.75" customHeight="1">
      <c r="A64115" s="7"/>
      <c r="B64115" s="7"/>
    </row>
    <row r="64116" ht="15.75" customHeight="1">
      <c r="A64116" s="7"/>
      <c r="B64116" s="7"/>
    </row>
    <row r="64117" ht="15.75" customHeight="1">
      <c r="A64117" s="7"/>
      <c r="B64117" s="7"/>
    </row>
    <row r="64118" ht="15.75" customHeight="1">
      <c r="A64118" s="7"/>
      <c r="B64118" s="7"/>
    </row>
    <row r="64119" ht="15.75" customHeight="1">
      <c r="A64119" s="7"/>
      <c r="B64119" s="7"/>
    </row>
    <row r="64120" ht="15.75" customHeight="1">
      <c r="A64120" s="7"/>
      <c r="B64120" s="7"/>
    </row>
    <row r="64121" ht="15.75" customHeight="1">
      <c r="A64121" s="7"/>
      <c r="B64121" s="7"/>
    </row>
    <row r="64122" ht="15.75" customHeight="1">
      <c r="A64122" s="7"/>
      <c r="B64122" s="7"/>
    </row>
    <row r="64123" ht="15.75" customHeight="1">
      <c r="A64123" s="7"/>
      <c r="B64123" s="7"/>
    </row>
    <row r="64124" ht="15.75" customHeight="1">
      <c r="A64124" s="7"/>
      <c r="B64124" s="7"/>
    </row>
    <row r="64125" ht="15.75" customHeight="1">
      <c r="A64125" s="7"/>
      <c r="B64125" s="7"/>
    </row>
    <row r="64126" ht="15.75" customHeight="1">
      <c r="A64126" s="7"/>
      <c r="B64126" s="7"/>
    </row>
    <row r="64127" ht="15.75" customHeight="1">
      <c r="A64127" s="7"/>
      <c r="B64127" s="7"/>
    </row>
    <row r="64128" ht="15.75" customHeight="1">
      <c r="A64128" s="7"/>
      <c r="B64128" s="7"/>
    </row>
    <row r="64129" ht="15.75" customHeight="1">
      <c r="A64129" s="7"/>
      <c r="B64129" s="7"/>
    </row>
    <row r="64130" ht="15.75" customHeight="1">
      <c r="A64130" s="7"/>
      <c r="B64130" s="7"/>
    </row>
    <row r="64131" ht="15.75" customHeight="1">
      <c r="A64131" s="7"/>
      <c r="B64131" s="7"/>
    </row>
    <row r="64132" ht="15.75" customHeight="1">
      <c r="A64132" s="7"/>
      <c r="B64132" s="7"/>
    </row>
    <row r="64133" ht="15.75" customHeight="1">
      <c r="A64133" s="7"/>
      <c r="B64133" s="7"/>
    </row>
    <row r="64134" ht="15.75" customHeight="1">
      <c r="A64134" s="7"/>
      <c r="B64134" s="7"/>
    </row>
    <row r="64135" ht="15.75" customHeight="1">
      <c r="A64135" s="7"/>
      <c r="B64135" s="7"/>
    </row>
    <row r="64136" ht="15.75" customHeight="1">
      <c r="A64136" s="7"/>
      <c r="B64136" s="7"/>
    </row>
    <row r="64137" ht="15.75" customHeight="1">
      <c r="A64137" s="7"/>
      <c r="B64137" s="7"/>
    </row>
    <row r="64138" ht="15.75" customHeight="1">
      <c r="A64138" s="7"/>
      <c r="B64138" s="7"/>
    </row>
    <row r="64139" ht="15.75" customHeight="1">
      <c r="A64139" s="7"/>
      <c r="B64139" s="7"/>
    </row>
    <row r="64140" ht="15.75" customHeight="1">
      <c r="A64140" s="7"/>
      <c r="B64140" s="7"/>
    </row>
    <row r="64141" ht="15.75" customHeight="1">
      <c r="A64141" s="7"/>
      <c r="B64141" s="7"/>
    </row>
    <row r="64142" ht="15.75" customHeight="1">
      <c r="A64142" s="7"/>
      <c r="B64142" s="7"/>
    </row>
    <row r="64143" ht="15.75" customHeight="1">
      <c r="A64143" s="7"/>
      <c r="B64143" s="7"/>
    </row>
    <row r="64144" ht="15.75" customHeight="1">
      <c r="A64144" s="7"/>
      <c r="B64144" s="7"/>
    </row>
    <row r="64145" ht="15.75" customHeight="1">
      <c r="A64145" s="7"/>
      <c r="B64145" s="7"/>
    </row>
    <row r="64146" ht="15.75" customHeight="1">
      <c r="A64146" s="7"/>
      <c r="B64146" s="7"/>
    </row>
    <row r="64147" ht="15.75" customHeight="1">
      <c r="A64147" s="7"/>
      <c r="B64147" s="7"/>
    </row>
    <row r="64148" ht="15.75" customHeight="1">
      <c r="A64148" s="7"/>
      <c r="B64148" s="7"/>
    </row>
    <row r="64149" ht="15.75" customHeight="1">
      <c r="A64149" s="7"/>
      <c r="B64149" s="7"/>
    </row>
    <row r="64150" ht="15.75" customHeight="1">
      <c r="A64150" s="7"/>
      <c r="B64150" s="7"/>
    </row>
    <row r="64151" ht="15.75" customHeight="1">
      <c r="A64151" s="7"/>
      <c r="B64151" s="7"/>
    </row>
    <row r="64152" ht="15.75" customHeight="1">
      <c r="A64152" s="7"/>
      <c r="B64152" s="7"/>
    </row>
    <row r="64153" ht="15.75" customHeight="1">
      <c r="A64153" s="7"/>
      <c r="B64153" s="7"/>
    </row>
    <row r="64154" ht="15.75" customHeight="1">
      <c r="A64154" s="7"/>
      <c r="B64154" s="7"/>
    </row>
    <row r="64155" ht="15.75" customHeight="1">
      <c r="A64155" s="7"/>
      <c r="B64155" s="7"/>
    </row>
    <row r="64156" ht="15.75" customHeight="1">
      <c r="A64156" s="7"/>
      <c r="B64156" s="7"/>
    </row>
    <row r="64157" ht="15.75" customHeight="1">
      <c r="A64157" s="7"/>
      <c r="B64157" s="7"/>
    </row>
    <row r="64158" ht="15.75" customHeight="1">
      <c r="A64158" s="7"/>
      <c r="B64158" s="7"/>
    </row>
    <row r="64159" ht="15.75" customHeight="1">
      <c r="A64159" s="7"/>
      <c r="B64159" s="7"/>
    </row>
    <row r="64160" ht="15.75" customHeight="1">
      <c r="A64160" s="7"/>
      <c r="B64160" s="7"/>
    </row>
    <row r="64161" ht="15.75" customHeight="1">
      <c r="A64161" s="7"/>
      <c r="B64161" s="7"/>
    </row>
    <row r="64162" ht="15.75" customHeight="1">
      <c r="A64162" s="7"/>
      <c r="B64162" s="7"/>
    </row>
    <row r="64163" ht="15.75" customHeight="1">
      <c r="A64163" s="7"/>
      <c r="B64163" s="7"/>
    </row>
    <row r="64164" ht="15.75" customHeight="1">
      <c r="A64164" s="7"/>
      <c r="B64164" s="7"/>
    </row>
    <row r="64165" ht="15.75" customHeight="1">
      <c r="A64165" s="7"/>
      <c r="B64165" s="7"/>
    </row>
    <row r="64166" ht="15.75" customHeight="1">
      <c r="A64166" s="7"/>
      <c r="B64166" s="7"/>
    </row>
    <row r="64167" ht="15.75" customHeight="1">
      <c r="A64167" s="7"/>
      <c r="B64167" s="7"/>
    </row>
    <row r="64168" ht="15.75" customHeight="1">
      <c r="A64168" s="7"/>
      <c r="B64168" s="7"/>
    </row>
    <row r="64169" ht="15.75" customHeight="1">
      <c r="A64169" s="7"/>
      <c r="B64169" s="7"/>
    </row>
    <row r="64170" ht="15.75" customHeight="1">
      <c r="A64170" s="7"/>
      <c r="B64170" s="7"/>
    </row>
    <row r="64171" ht="15.75" customHeight="1">
      <c r="A64171" s="7"/>
      <c r="B64171" s="7"/>
    </row>
    <row r="64172" ht="15.75" customHeight="1">
      <c r="A64172" s="7"/>
      <c r="B64172" s="7"/>
    </row>
    <row r="64173" ht="15.75" customHeight="1">
      <c r="A64173" s="7"/>
      <c r="B64173" s="7"/>
    </row>
    <row r="64174" ht="15.75" customHeight="1">
      <c r="A64174" s="7"/>
      <c r="B64174" s="7"/>
    </row>
    <row r="64175" ht="15.75" customHeight="1">
      <c r="A64175" s="7"/>
      <c r="B64175" s="7"/>
    </row>
    <row r="64176" ht="15.75" customHeight="1">
      <c r="A64176" s="7"/>
      <c r="B64176" s="7"/>
    </row>
    <row r="64177" ht="15.75" customHeight="1">
      <c r="A64177" s="7"/>
      <c r="B64177" s="7"/>
    </row>
    <row r="64178" ht="15.75" customHeight="1">
      <c r="A64178" s="7"/>
      <c r="B64178" s="7"/>
    </row>
    <row r="64179" ht="15.75" customHeight="1">
      <c r="A64179" s="7"/>
      <c r="B64179" s="7"/>
    </row>
    <row r="64180" ht="15.75" customHeight="1">
      <c r="A64180" s="7"/>
      <c r="B64180" s="7"/>
    </row>
    <row r="64181" ht="15.75" customHeight="1">
      <c r="A64181" s="7"/>
      <c r="B64181" s="7"/>
    </row>
    <row r="64182" ht="15.75" customHeight="1">
      <c r="A64182" s="7"/>
      <c r="B64182" s="7"/>
    </row>
    <row r="64183" ht="15.75" customHeight="1">
      <c r="A64183" s="7"/>
      <c r="B64183" s="7"/>
    </row>
    <row r="64184" ht="15.75" customHeight="1">
      <c r="A64184" s="7"/>
      <c r="B64184" s="7"/>
    </row>
    <row r="64185" ht="15.75" customHeight="1">
      <c r="A64185" s="7"/>
      <c r="B64185" s="7"/>
    </row>
    <row r="64186" ht="15.75" customHeight="1">
      <c r="A64186" s="7"/>
      <c r="B64186" s="7"/>
    </row>
    <row r="64187" ht="15.75" customHeight="1">
      <c r="A64187" s="7"/>
      <c r="B64187" s="7"/>
    </row>
    <row r="64188" ht="15.75" customHeight="1">
      <c r="A64188" s="7"/>
      <c r="B64188" s="7"/>
    </row>
    <row r="64189" ht="15.75" customHeight="1">
      <c r="A64189" s="7"/>
      <c r="B64189" s="7"/>
    </row>
    <row r="64190" ht="15.75" customHeight="1">
      <c r="A64190" s="7"/>
      <c r="B64190" s="7"/>
    </row>
    <row r="64191" ht="15.75" customHeight="1">
      <c r="A64191" s="7"/>
      <c r="B64191" s="7"/>
    </row>
    <row r="64192" ht="15.75" customHeight="1">
      <c r="A64192" s="7"/>
      <c r="B64192" s="7"/>
    </row>
    <row r="64193" ht="15.75" customHeight="1">
      <c r="A64193" s="7"/>
      <c r="B64193" s="7"/>
    </row>
    <row r="64194" ht="15.75" customHeight="1">
      <c r="A64194" s="7"/>
      <c r="B64194" s="7"/>
    </row>
    <row r="64195" ht="15.75" customHeight="1">
      <c r="A64195" s="7"/>
      <c r="B64195" s="7"/>
    </row>
    <row r="64196" ht="15.75" customHeight="1">
      <c r="A64196" s="7"/>
      <c r="B64196" s="7"/>
    </row>
    <row r="64197" ht="15.75" customHeight="1">
      <c r="A64197" s="7"/>
      <c r="B64197" s="7"/>
    </row>
    <row r="64198" ht="15.75" customHeight="1">
      <c r="A64198" s="7"/>
      <c r="B64198" s="7"/>
    </row>
    <row r="64199" ht="15.75" customHeight="1">
      <c r="A64199" s="7"/>
      <c r="B64199" s="7"/>
    </row>
    <row r="64200" ht="15.75" customHeight="1">
      <c r="A64200" s="7"/>
      <c r="B64200" s="7"/>
    </row>
    <row r="64201" ht="15.75" customHeight="1">
      <c r="A64201" s="7"/>
      <c r="B64201" s="7"/>
    </row>
    <row r="64202" ht="15.75" customHeight="1">
      <c r="A64202" s="7"/>
      <c r="B64202" s="7"/>
    </row>
    <row r="64203" ht="15.75" customHeight="1">
      <c r="A64203" s="7"/>
      <c r="B64203" s="7"/>
    </row>
    <row r="64204" ht="15.75" customHeight="1">
      <c r="A64204" s="7"/>
      <c r="B64204" s="7"/>
    </row>
    <row r="64205" ht="15.75" customHeight="1">
      <c r="A64205" s="7"/>
      <c r="B64205" s="7"/>
    </row>
    <row r="64206" ht="15.75" customHeight="1">
      <c r="A64206" s="7"/>
      <c r="B64206" s="7"/>
    </row>
    <row r="64207" ht="15.75" customHeight="1">
      <c r="A64207" s="7"/>
      <c r="B64207" s="7"/>
    </row>
    <row r="64208" ht="15.75" customHeight="1">
      <c r="A64208" s="7"/>
      <c r="B64208" s="7"/>
    </row>
    <row r="64209" ht="15.75" customHeight="1">
      <c r="A64209" s="7"/>
      <c r="B64209" s="7"/>
    </row>
    <row r="64210" ht="15.75" customHeight="1">
      <c r="A64210" s="7"/>
      <c r="B64210" s="7"/>
    </row>
    <row r="64211" ht="15.75" customHeight="1">
      <c r="A64211" s="7"/>
      <c r="B64211" s="7"/>
    </row>
    <row r="64212" ht="15.75" customHeight="1">
      <c r="A64212" s="7"/>
      <c r="B64212" s="7"/>
    </row>
    <row r="64213" ht="15.75" customHeight="1">
      <c r="A64213" s="7"/>
      <c r="B64213" s="7"/>
    </row>
    <row r="64214" ht="15.75" customHeight="1">
      <c r="A64214" s="7"/>
      <c r="B64214" s="7"/>
    </row>
    <row r="64215" ht="15.75" customHeight="1">
      <c r="A64215" s="7"/>
      <c r="B64215" s="7"/>
    </row>
    <row r="64216" ht="15.75" customHeight="1">
      <c r="A64216" s="7"/>
      <c r="B64216" s="7"/>
    </row>
    <row r="64217" ht="15.75" customHeight="1">
      <c r="A64217" s="7"/>
      <c r="B64217" s="7"/>
    </row>
    <row r="64218" ht="15.75" customHeight="1">
      <c r="A64218" s="7"/>
      <c r="B64218" s="7"/>
    </row>
    <row r="64219" ht="15.75" customHeight="1">
      <c r="A64219" s="7"/>
      <c r="B64219" s="7"/>
    </row>
    <row r="64220" ht="15.75" customHeight="1">
      <c r="A64220" s="7"/>
      <c r="B64220" s="7"/>
    </row>
    <row r="64221" ht="15.75" customHeight="1">
      <c r="A64221" s="7"/>
      <c r="B64221" s="7"/>
    </row>
    <row r="64222" ht="15.75" customHeight="1">
      <c r="A64222" s="7"/>
      <c r="B64222" s="7"/>
    </row>
    <row r="64223" ht="15.75" customHeight="1">
      <c r="A64223" s="7"/>
      <c r="B64223" s="7"/>
    </row>
    <row r="64224" ht="15.75" customHeight="1">
      <c r="A64224" s="7"/>
      <c r="B64224" s="7"/>
    </row>
    <row r="64225" ht="15.75" customHeight="1">
      <c r="A64225" s="7"/>
      <c r="B64225" s="7"/>
    </row>
    <row r="64226" ht="15.75" customHeight="1">
      <c r="A64226" s="7"/>
      <c r="B64226" s="7"/>
    </row>
    <row r="64227" ht="15.75" customHeight="1">
      <c r="A64227" s="7"/>
      <c r="B64227" s="7"/>
    </row>
    <row r="64228" ht="15.75" customHeight="1">
      <c r="A64228" s="7"/>
      <c r="B64228" s="7"/>
    </row>
    <row r="64229" ht="15.75" customHeight="1">
      <c r="A64229" s="7"/>
      <c r="B64229" s="7"/>
    </row>
    <row r="64230" ht="15.75" customHeight="1">
      <c r="A64230" s="7"/>
      <c r="B64230" s="7"/>
    </row>
    <row r="64231" ht="15.75" customHeight="1">
      <c r="A64231" s="7"/>
      <c r="B64231" s="7"/>
    </row>
    <row r="64232" ht="15.75" customHeight="1">
      <c r="A64232" s="7"/>
      <c r="B64232" s="7"/>
    </row>
    <row r="64233" ht="15.75" customHeight="1">
      <c r="A64233" s="7"/>
      <c r="B64233" s="7"/>
    </row>
    <row r="64234" ht="15.75" customHeight="1">
      <c r="A64234" s="7"/>
      <c r="B64234" s="7"/>
    </row>
    <row r="64235" ht="15.75" customHeight="1">
      <c r="A64235" s="7"/>
      <c r="B64235" s="7"/>
    </row>
    <row r="64236" ht="15.75" customHeight="1">
      <c r="A64236" s="7"/>
      <c r="B64236" s="7"/>
    </row>
    <row r="64237" ht="15.75" customHeight="1">
      <c r="A64237" s="7"/>
      <c r="B64237" s="7"/>
    </row>
    <row r="64238" ht="15.75" customHeight="1">
      <c r="A64238" s="7"/>
      <c r="B64238" s="7"/>
    </row>
    <row r="64239" ht="15.75" customHeight="1">
      <c r="A64239" s="7"/>
      <c r="B64239" s="7"/>
    </row>
    <row r="64240" ht="15.75" customHeight="1">
      <c r="A64240" s="7"/>
      <c r="B64240" s="7"/>
    </row>
    <row r="64241" ht="15.75" customHeight="1">
      <c r="A64241" s="7"/>
      <c r="B64241" s="7"/>
    </row>
    <row r="64242" ht="15.75" customHeight="1">
      <c r="A64242" s="7"/>
      <c r="B64242" s="7"/>
    </row>
    <row r="64243" ht="15.75" customHeight="1">
      <c r="A64243" s="7"/>
      <c r="B64243" s="7"/>
    </row>
    <row r="64244" ht="15.75" customHeight="1">
      <c r="A64244" s="7"/>
      <c r="B64244" s="7"/>
    </row>
    <row r="64245" ht="15.75" customHeight="1">
      <c r="A64245" s="7"/>
      <c r="B64245" s="7"/>
    </row>
    <row r="64246" ht="15.75" customHeight="1">
      <c r="A64246" s="7"/>
      <c r="B64246" s="7"/>
    </row>
    <row r="64247" ht="15.75" customHeight="1">
      <c r="A64247" s="7"/>
      <c r="B64247" s="7"/>
    </row>
    <row r="64248" ht="15.75" customHeight="1">
      <c r="A64248" s="7"/>
      <c r="B64248" s="7"/>
    </row>
    <row r="64249" ht="15.75" customHeight="1">
      <c r="A64249" s="7"/>
      <c r="B64249" s="7"/>
    </row>
    <row r="64250" ht="15.75" customHeight="1">
      <c r="A64250" s="7"/>
      <c r="B64250" s="7"/>
    </row>
    <row r="64251" ht="15.75" customHeight="1">
      <c r="A64251" s="7"/>
      <c r="B64251" s="7"/>
    </row>
    <row r="64252" ht="15.75" customHeight="1">
      <c r="A64252" s="7"/>
      <c r="B64252" s="7"/>
    </row>
    <row r="64253" ht="15.75" customHeight="1">
      <c r="A64253" s="7"/>
      <c r="B64253" s="7"/>
    </row>
    <row r="64254" ht="15.75" customHeight="1">
      <c r="A64254" s="7"/>
      <c r="B64254" s="7"/>
    </row>
    <row r="64255" ht="15.75" customHeight="1">
      <c r="A64255" s="7"/>
      <c r="B64255" s="7"/>
    </row>
    <row r="64256" ht="15.75" customHeight="1">
      <c r="A64256" s="7"/>
      <c r="B64256" s="7"/>
    </row>
    <row r="64257" ht="15.75" customHeight="1">
      <c r="A64257" s="7"/>
      <c r="B64257" s="7"/>
    </row>
    <row r="64258" ht="15.75" customHeight="1">
      <c r="A64258" s="7"/>
      <c r="B64258" s="7"/>
    </row>
    <row r="64259" ht="15.75" customHeight="1">
      <c r="A64259" s="7"/>
      <c r="B64259" s="7"/>
    </row>
    <row r="64260" ht="15.75" customHeight="1">
      <c r="A64260" s="7"/>
      <c r="B64260" s="7"/>
    </row>
    <row r="64261" ht="15.75" customHeight="1">
      <c r="A64261" s="7"/>
      <c r="B64261" s="7"/>
    </row>
    <row r="64262" ht="15.75" customHeight="1">
      <c r="A64262" s="7"/>
      <c r="B64262" s="7"/>
    </row>
    <row r="64263" ht="15.75" customHeight="1">
      <c r="A64263" s="7"/>
      <c r="B64263" s="7"/>
    </row>
    <row r="64264" ht="15.75" customHeight="1">
      <c r="A64264" s="7"/>
      <c r="B64264" s="7"/>
    </row>
    <row r="64265" ht="15.75" customHeight="1">
      <c r="A64265" s="7"/>
      <c r="B64265" s="7"/>
    </row>
    <row r="64266" ht="15.75" customHeight="1">
      <c r="A64266" s="7"/>
      <c r="B64266" s="7"/>
    </row>
    <row r="64267" ht="15.75" customHeight="1">
      <c r="A64267" s="7"/>
      <c r="B64267" s="7"/>
    </row>
    <row r="64268" ht="15.75" customHeight="1">
      <c r="A64268" s="7"/>
      <c r="B64268" s="7"/>
    </row>
    <row r="64269" ht="15.75" customHeight="1">
      <c r="A64269" s="7"/>
      <c r="B64269" s="7"/>
    </row>
    <row r="64270" ht="15.75" customHeight="1">
      <c r="A64270" s="7"/>
      <c r="B64270" s="7"/>
    </row>
    <row r="64271" ht="15.75" customHeight="1">
      <c r="A64271" s="7"/>
      <c r="B64271" s="7"/>
    </row>
    <row r="64272" ht="15.75" customHeight="1">
      <c r="A64272" s="7"/>
      <c r="B64272" s="7"/>
    </row>
    <row r="64273" ht="15.75" customHeight="1">
      <c r="A64273" s="7"/>
      <c r="B64273" s="7"/>
    </row>
    <row r="64274" ht="15.75" customHeight="1">
      <c r="A64274" s="7"/>
      <c r="B64274" s="7"/>
    </row>
    <row r="64275" ht="15.75" customHeight="1">
      <c r="A64275" s="7"/>
      <c r="B64275" s="7"/>
    </row>
    <row r="64276" ht="15.75" customHeight="1">
      <c r="A64276" s="7"/>
      <c r="B64276" s="7"/>
    </row>
    <row r="64277" ht="15.75" customHeight="1">
      <c r="A64277" s="7"/>
      <c r="B64277" s="7"/>
    </row>
    <row r="64278" ht="15.75" customHeight="1">
      <c r="A64278" s="7"/>
      <c r="B64278" s="7"/>
    </row>
    <row r="64279" ht="15.75" customHeight="1">
      <c r="A64279" s="7"/>
      <c r="B64279" s="7"/>
    </row>
    <row r="64280" ht="15.75" customHeight="1">
      <c r="A64280" s="7"/>
      <c r="B64280" s="7"/>
    </row>
    <row r="64281" ht="15.75" customHeight="1">
      <c r="A64281" s="7"/>
      <c r="B64281" s="7"/>
    </row>
    <row r="64282" ht="15.75" customHeight="1">
      <c r="A64282" s="7"/>
      <c r="B64282" s="7"/>
    </row>
    <row r="64283" ht="15.75" customHeight="1">
      <c r="A64283" s="7"/>
      <c r="B64283" s="7"/>
    </row>
    <row r="64284" ht="15.75" customHeight="1">
      <c r="A64284" s="7"/>
      <c r="B64284" s="7"/>
    </row>
    <row r="64285" ht="15.75" customHeight="1">
      <c r="A64285" s="7"/>
      <c r="B64285" s="7"/>
    </row>
    <row r="64286" ht="15.75" customHeight="1">
      <c r="A64286" s="7"/>
      <c r="B64286" s="7"/>
    </row>
    <row r="64287" ht="15.75" customHeight="1">
      <c r="A64287" s="7"/>
      <c r="B64287" s="7"/>
    </row>
    <row r="64288" ht="15.75" customHeight="1">
      <c r="A64288" s="7"/>
      <c r="B64288" s="7"/>
    </row>
    <row r="64289" ht="15.75" customHeight="1">
      <c r="A64289" s="7"/>
      <c r="B64289" s="7"/>
    </row>
    <row r="64290" ht="15.75" customHeight="1">
      <c r="A64290" s="7"/>
      <c r="B64290" s="7"/>
    </row>
    <row r="64291" ht="15.75" customHeight="1">
      <c r="A64291" s="7"/>
      <c r="B64291" s="7"/>
    </row>
    <row r="64292" ht="15.75" customHeight="1">
      <c r="A64292" s="7"/>
      <c r="B64292" s="7"/>
    </row>
    <row r="64293" ht="15.75" customHeight="1">
      <c r="A64293" s="7"/>
      <c r="B64293" s="7"/>
    </row>
    <row r="64294" ht="15.75" customHeight="1">
      <c r="A64294" s="7"/>
      <c r="B64294" s="7"/>
    </row>
    <row r="64295" ht="15.75" customHeight="1">
      <c r="A64295" s="7"/>
      <c r="B64295" s="7"/>
    </row>
    <row r="64296" ht="15.75" customHeight="1">
      <c r="A64296" s="7"/>
      <c r="B64296" s="7"/>
    </row>
    <row r="64297" ht="15.75" customHeight="1">
      <c r="A64297" s="7"/>
      <c r="B64297" s="7"/>
    </row>
    <row r="64298" ht="15.75" customHeight="1">
      <c r="A64298" s="7"/>
      <c r="B64298" s="7"/>
    </row>
    <row r="64299" ht="15.75" customHeight="1">
      <c r="A64299" s="7"/>
      <c r="B64299" s="7"/>
    </row>
    <row r="64300" ht="15.75" customHeight="1">
      <c r="A64300" s="7"/>
      <c r="B64300" s="7"/>
    </row>
    <row r="64301" ht="15.75" customHeight="1">
      <c r="A64301" s="7"/>
      <c r="B64301" s="7"/>
    </row>
    <row r="64302" ht="15.75" customHeight="1">
      <c r="A64302" s="7"/>
      <c r="B64302" s="7"/>
    </row>
    <row r="64303" ht="15.75" customHeight="1">
      <c r="A64303" s="7"/>
      <c r="B64303" s="7"/>
    </row>
    <row r="64304" ht="15.75" customHeight="1">
      <c r="A64304" s="7"/>
      <c r="B64304" s="7"/>
    </row>
    <row r="64305" ht="15.75" customHeight="1">
      <c r="A64305" s="7"/>
      <c r="B64305" s="7"/>
    </row>
    <row r="64306" ht="15.75" customHeight="1">
      <c r="A64306" s="7"/>
      <c r="B64306" s="7"/>
    </row>
    <row r="64307" ht="15.75" customHeight="1">
      <c r="A64307" s="7"/>
      <c r="B64307" s="7"/>
    </row>
    <row r="64308" ht="15.75" customHeight="1">
      <c r="A64308" s="7"/>
      <c r="B64308" s="7"/>
    </row>
    <row r="64309" ht="15.75" customHeight="1">
      <c r="A64309" s="7"/>
      <c r="B64309" s="7"/>
    </row>
    <row r="64310" ht="15.75" customHeight="1">
      <c r="A64310" s="7"/>
      <c r="B64310" s="7"/>
    </row>
    <row r="64311" ht="15.75" customHeight="1">
      <c r="A64311" s="7"/>
      <c r="B64311" s="7"/>
    </row>
    <row r="64312" ht="15.75" customHeight="1">
      <c r="A64312" s="7"/>
      <c r="B64312" s="7"/>
    </row>
    <row r="64313" ht="15.75" customHeight="1">
      <c r="A64313" s="7"/>
      <c r="B64313" s="7"/>
    </row>
    <row r="64314" ht="15.75" customHeight="1">
      <c r="A64314" s="7"/>
      <c r="B64314" s="7"/>
    </row>
    <row r="64315" ht="15.75" customHeight="1">
      <c r="A64315" s="7"/>
      <c r="B64315" s="7"/>
    </row>
    <row r="64316" ht="15.75" customHeight="1">
      <c r="A64316" s="7"/>
      <c r="B64316" s="7"/>
    </row>
    <row r="64317" ht="15.75" customHeight="1">
      <c r="A64317" s="7"/>
      <c r="B64317" s="7"/>
    </row>
    <row r="64318" ht="15.75" customHeight="1">
      <c r="A64318" s="7"/>
      <c r="B64318" s="7"/>
    </row>
    <row r="64319" ht="15.75" customHeight="1">
      <c r="A64319" s="7"/>
      <c r="B64319" s="7"/>
    </row>
    <row r="64320" ht="15.75" customHeight="1">
      <c r="A64320" s="7"/>
      <c r="B64320" s="7"/>
    </row>
    <row r="64321" ht="15.75" customHeight="1">
      <c r="A64321" s="7"/>
      <c r="B64321" s="7"/>
    </row>
    <row r="64322" ht="15.75" customHeight="1">
      <c r="A64322" s="7"/>
      <c r="B64322" s="7"/>
    </row>
    <row r="64323" ht="15.75" customHeight="1">
      <c r="A64323" s="7"/>
      <c r="B64323" s="7"/>
    </row>
    <row r="64324" ht="15.75" customHeight="1">
      <c r="A64324" s="7"/>
      <c r="B64324" s="7"/>
    </row>
    <row r="64325" ht="15.75" customHeight="1">
      <c r="A64325" s="7"/>
      <c r="B64325" s="7"/>
    </row>
    <row r="64326" ht="15.75" customHeight="1">
      <c r="A64326" s="7"/>
      <c r="B64326" s="7"/>
    </row>
    <row r="64327" ht="15.75" customHeight="1">
      <c r="A64327" s="7"/>
      <c r="B64327" s="7"/>
    </row>
    <row r="64328" ht="15.75" customHeight="1">
      <c r="A64328" s="7"/>
      <c r="B64328" s="7"/>
    </row>
    <row r="64329" ht="15.75" customHeight="1">
      <c r="A64329" s="7"/>
      <c r="B64329" s="7"/>
    </row>
    <row r="64330" ht="15.75" customHeight="1">
      <c r="A64330" s="7"/>
      <c r="B64330" s="7"/>
    </row>
    <row r="64331" ht="15.75" customHeight="1">
      <c r="A64331" s="7"/>
      <c r="B64331" s="7"/>
    </row>
    <row r="64332" ht="15.75" customHeight="1">
      <c r="A64332" s="7"/>
      <c r="B64332" s="7"/>
    </row>
    <row r="64333" ht="15.75" customHeight="1">
      <c r="A64333" s="7"/>
      <c r="B64333" s="7"/>
    </row>
    <row r="64334" ht="15.75" customHeight="1">
      <c r="A64334" s="7"/>
      <c r="B64334" s="7"/>
    </row>
    <row r="64335" ht="15.75" customHeight="1">
      <c r="A64335" s="7"/>
      <c r="B64335" s="7"/>
    </row>
    <row r="64336" ht="15.75" customHeight="1">
      <c r="A64336" s="7"/>
      <c r="B64336" s="7"/>
    </row>
    <row r="64337" ht="15.75" customHeight="1">
      <c r="A64337" s="7"/>
      <c r="B64337" s="7"/>
    </row>
    <row r="64338" ht="15.75" customHeight="1">
      <c r="A64338" s="7"/>
      <c r="B64338" s="7"/>
    </row>
    <row r="64339" ht="15.75" customHeight="1">
      <c r="A64339" s="7"/>
      <c r="B64339" s="7"/>
    </row>
    <row r="64340" ht="15.75" customHeight="1">
      <c r="A64340" s="7"/>
      <c r="B64340" s="7"/>
    </row>
    <row r="64341" ht="15.75" customHeight="1">
      <c r="A64341" s="7"/>
      <c r="B64341" s="7"/>
    </row>
    <row r="64342" ht="15.75" customHeight="1">
      <c r="A64342" s="7"/>
      <c r="B64342" s="7"/>
    </row>
    <row r="64343" ht="15.75" customHeight="1">
      <c r="A64343" s="7"/>
      <c r="B64343" s="7"/>
    </row>
    <row r="64344" ht="15.75" customHeight="1">
      <c r="A64344" s="7"/>
      <c r="B64344" s="7"/>
    </row>
    <row r="64345" ht="15.75" customHeight="1">
      <c r="A64345" s="7"/>
      <c r="B64345" s="7"/>
    </row>
    <row r="64346" ht="15.75" customHeight="1">
      <c r="A64346" s="7"/>
      <c r="B64346" s="7"/>
    </row>
    <row r="64347" ht="15.75" customHeight="1">
      <c r="A64347" s="7"/>
      <c r="B64347" s="7"/>
    </row>
    <row r="64348" ht="15.75" customHeight="1">
      <c r="A64348" s="7"/>
      <c r="B64348" s="7"/>
    </row>
    <row r="64349" ht="15.75" customHeight="1">
      <c r="A64349" s="7"/>
      <c r="B64349" s="7"/>
    </row>
    <row r="64350" ht="15.75" customHeight="1">
      <c r="A64350" s="7"/>
      <c r="B64350" s="7"/>
    </row>
    <row r="64351" ht="15.75" customHeight="1">
      <c r="A64351" s="7"/>
      <c r="B64351" s="7"/>
    </row>
    <row r="64352" ht="15.75" customHeight="1">
      <c r="A64352" s="7"/>
      <c r="B64352" s="7"/>
    </row>
    <row r="64353" ht="15.75" customHeight="1">
      <c r="A64353" s="7"/>
      <c r="B64353" s="7"/>
    </row>
    <row r="64354" ht="15.75" customHeight="1">
      <c r="A64354" s="7"/>
      <c r="B64354" s="7"/>
    </row>
    <row r="64355" ht="15.75" customHeight="1">
      <c r="A64355" s="7"/>
      <c r="B64355" s="7"/>
    </row>
    <row r="64356" ht="15.75" customHeight="1">
      <c r="A64356" s="7"/>
      <c r="B64356" s="7"/>
    </row>
    <row r="64357" ht="15.75" customHeight="1">
      <c r="A64357" s="7"/>
      <c r="B64357" s="7"/>
    </row>
    <row r="64358" ht="15.75" customHeight="1">
      <c r="A64358" s="7"/>
      <c r="B64358" s="7"/>
    </row>
    <row r="64359" ht="15.75" customHeight="1">
      <c r="A64359" s="7"/>
      <c r="B64359" s="7"/>
    </row>
    <row r="64360" ht="15.75" customHeight="1">
      <c r="A64360" s="7"/>
      <c r="B64360" s="7"/>
    </row>
    <row r="64361" ht="15.75" customHeight="1">
      <c r="A64361" s="7"/>
      <c r="B64361" s="7"/>
    </row>
    <row r="64362" ht="15.75" customHeight="1">
      <c r="A64362" s="7"/>
      <c r="B64362" s="7"/>
    </row>
    <row r="64363" ht="15.75" customHeight="1">
      <c r="A64363" s="7"/>
      <c r="B64363" s="7"/>
    </row>
    <row r="64364" ht="15.75" customHeight="1">
      <c r="A64364" s="7"/>
      <c r="B64364" s="7"/>
    </row>
    <row r="64365" ht="15.75" customHeight="1">
      <c r="A64365" s="7"/>
      <c r="B64365" s="7"/>
    </row>
    <row r="64366" ht="15.75" customHeight="1">
      <c r="A64366" s="7"/>
      <c r="B64366" s="7"/>
    </row>
    <row r="64367" ht="15.75" customHeight="1">
      <c r="A64367" s="7"/>
      <c r="B64367" s="7"/>
    </row>
    <row r="64368" ht="15.75" customHeight="1">
      <c r="A64368" s="7"/>
      <c r="B64368" s="7"/>
    </row>
    <row r="64369" ht="15.75" customHeight="1">
      <c r="A64369" s="7"/>
      <c r="B64369" s="7"/>
    </row>
    <row r="64370" ht="15.75" customHeight="1">
      <c r="A64370" s="7"/>
      <c r="B64370" s="7"/>
    </row>
    <row r="64371" ht="15.75" customHeight="1">
      <c r="A64371" s="7"/>
      <c r="B64371" s="7"/>
    </row>
    <row r="64372" ht="15.75" customHeight="1">
      <c r="A64372" s="7"/>
      <c r="B64372" s="7"/>
    </row>
    <row r="64373" ht="15.75" customHeight="1">
      <c r="A64373" s="7"/>
      <c r="B64373" s="7"/>
    </row>
    <row r="64374" ht="15.75" customHeight="1">
      <c r="A64374" s="7"/>
      <c r="B64374" s="7"/>
    </row>
    <row r="64375" ht="15.75" customHeight="1">
      <c r="A64375" s="7"/>
      <c r="B64375" s="7"/>
    </row>
    <row r="64376" ht="15.75" customHeight="1">
      <c r="A64376" s="7"/>
      <c r="B64376" s="7"/>
    </row>
    <row r="64377" ht="15.75" customHeight="1">
      <c r="A64377" s="7"/>
      <c r="B64377" s="7"/>
    </row>
    <row r="64378" ht="15.75" customHeight="1">
      <c r="A64378" s="7"/>
      <c r="B64378" s="7"/>
    </row>
    <row r="64379" ht="15.75" customHeight="1">
      <c r="A64379" s="7"/>
      <c r="B64379" s="7"/>
    </row>
    <row r="64380" ht="15.75" customHeight="1">
      <c r="A64380" s="7"/>
      <c r="B64380" s="7"/>
    </row>
    <row r="64381" ht="15.75" customHeight="1">
      <c r="A64381" s="7"/>
      <c r="B64381" s="7"/>
    </row>
    <row r="64382" ht="15.75" customHeight="1">
      <c r="A64382" s="7"/>
      <c r="B64382" s="7"/>
    </row>
    <row r="64383" ht="15.75" customHeight="1">
      <c r="A64383" s="7"/>
      <c r="B64383" s="7"/>
    </row>
    <row r="64384" ht="15.75" customHeight="1">
      <c r="A64384" s="7"/>
      <c r="B64384" s="7"/>
    </row>
    <row r="64385" ht="15.75" customHeight="1">
      <c r="A64385" s="7"/>
      <c r="B64385" s="7"/>
    </row>
    <row r="64386" ht="15.75" customHeight="1">
      <c r="A64386" s="7"/>
      <c r="B64386" s="7"/>
    </row>
    <row r="64387" ht="15.75" customHeight="1">
      <c r="A64387" s="7"/>
      <c r="B64387" s="7"/>
    </row>
    <row r="64388" ht="15.75" customHeight="1">
      <c r="A64388" s="7"/>
      <c r="B64388" s="7"/>
    </row>
    <row r="64389" ht="15.75" customHeight="1">
      <c r="A64389" s="7"/>
      <c r="B64389" s="7"/>
    </row>
    <row r="64390" ht="15.75" customHeight="1">
      <c r="A64390" s="7"/>
      <c r="B64390" s="7"/>
    </row>
    <row r="64391" ht="15.75" customHeight="1">
      <c r="A64391" s="7"/>
      <c r="B64391" s="7"/>
    </row>
    <row r="64392" ht="15.75" customHeight="1">
      <c r="A64392" s="7"/>
      <c r="B64392" s="7"/>
    </row>
    <row r="64393" ht="15.75" customHeight="1">
      <c r="A64393" s="7"/>
      <c r="B64393" s="7"/>
    </row>
    <row r="64394" ht="15.75" customHeight="1">
      <c r="A64394" s="7"/>
      <c r="B64394" s="7"/>
    </row>
    <row r="64395" ht="15.75" customHeight="1">
      <c r="A64395" s="7"/>
      <c r="B64395" s="7"/>
    </row>
    <row r="64396" ht="15.75" customHeight="1">
      <c r="A64396" s="7"/>
      <c r="B64396" s="7"/>
    </row>
    <row r="64397" ht="15.75" customHeight="1">
      <c r="A64397" s="7"/>
      <c r="B64397" s="7"/>
    </row>
    <row r="64398" ht="15.75" customHeight="1">
      <c r="A64398" s="7"/>
      <c r="B64398" s="7"/>
    </row>
    <row r="64399" ht="15.75" customHeight="1">
      <c r="A64399" s="7"/>
      <c r="B64399" s="7"/>
    </row>
    <row r="64400" ht="15.75" customHeight="1">
      <c r="A64400" s="7"/>
      <c r="B64400" s="7"/>
    </row>
    <row r="64401" ht="15.75" customHeight="1">
      <c r="A64401" s="7"/>
      <c r="B64401" s="7"/>
    </row>
    <row r="64402" ht="15.75" customHeight="1">
      <c r="A64402" s="7"/>
      <c r="B64402" s="7"/>
    </row>
    <row r="64403" ht="15.75" customHeight="1">
      <c r="A64403" s="7"/>
      <c r="B64403" s="7"/>
    </row>
    <row r="64404" ht="15.75" customHeight="1">
      <c r="A64404" s="7"/>
      <c r="B64404" s="7"/>
    </row>
    <row r="64405" ht="15.75" customHeight="1">
      <c r="A64405" s="7"/>
      <c r="B64405" s="7"/>
    </row>
    <row r="64406" ht="15.75" customHeight="1">
      <c r="A64406" s="7"/>
      <c r="B64406" s="7"/>
    </row>
    <row r="64407" ht="15.75" customHeight="1">
      <c r="A64407" s="7"/>
      <c r="B64407" s="7"/>
    </row>
    <row r="64408" ht="15.75" customHeight="1">
      <c r="A64408" s="7"/>
      <c r="B64408" s="7"/>
    </row>
    <row r="64409" ht="15.75" customHeight="1">
      <c r="A64409" s="7"/>
      <c r="B64409" s="7"/>
    </row>
    <row r="64410" ht="15.75" customHeight="1">
      <c r="A64410" s="7"/>
      <c r="B64410" s="7"/>
    </row>
    <row r="64411" ht="15.75" customHeight="1">
      <c r="A64411" s="7"/>
      <c r="B64411" s="7"/>
    </row>
    <row r="64412" ht="15.75" customHeight="1">
      <c r="A64412" s="7"/>
      <c r="B64412" s="7"/>
    </row>
    <row r="64413" ht="15.75" customHeight="1">
      <c r="A64413" s="7"/>
      <c r="B64413" s="7"/>
    </row>
    <row r="64414" ht="15.75" customHeight="1">
      <c r="A64414" s="7"/>
      <c r="B64414" s="7"/>
    </row>
    <row r="64415" ht="15.75" customHeight="1">
      <c r="A64415" s="7"/>
      <c r="B64415" s="7"/>
    </row>
    <row r="64416" ht="15.75" customHeight="1">
      <c r="A64416" s="7"/>
      <c r="B64416" s="7"/>
    </row>
    <row r="64417" ht="15.75" customHeight="1">
      <c r="A64417" s="7"/>
      <c r="B64417" s="7"/>
    </row>
    <row r="64418" ht="15.75" customHeight="1">
      <c r="A64418" s="7"/>
      <c r="B64418" s="7"/>
    </row>
    <row r="64419" ht="15.75" customHeight="1">
      <c r="A64419" s="7"/>
      <c r="B64419" s="7"/>
    </row>
    <row r="64420" ht="15.75" customHeight="1">
      <c r="A64420" s="7"/>
      <c r="B64420" s="7"/>
    </row>
    <row r="64421" ht="15.75" customHeight="1">
      <c r="A64421" s="7"/>
      <c r="B64421" s="7"/>
    </row>
    <row r="64422" ht="15.75" customHeight="1">
      <c r="A64422" s="7"/>
      <c r="B64422" s="7"/>
    </row>
    <row r="64423" ht="15.75" customHeight="1">
      <c r="A64423" s="7"/>
      <c r="B64423" s="7"/>
    </row>
    <row r="64424" ht="15.75" customHeight="1">
      <c r="A64424" s="7"/>
      <c r="B64424" s="7"/>
    </row>
    <row r="64425" ht="15.75" customHeight="1">
      <c r="A64425" s="7"/>
      <c r="B64425" s="7"/>
    </row>
    <row r="64426" ht="15.75" customHeight="1">
      <c r="A64426" s="7"/>
      <c r="B64426" s="7"/>
    </row>
    <row r="64427" ht="15.75" customHeight="1">
      <c r="A64427" s="7"/>
      <c r="B64427" s="7"/>
    </row>
    <row r="64428" ht="15.75" customHeight="1">
      <c r="A64428" s="7"/>
      <c r="B64428" s="7"/>
    </row>
    <row r="64429" ht="15.75" customHeight="1">
      <c r="A64429" s="7"/>
      <c r="B64429" s="7"/>
    </row>
    <row r="64430" ht="15.75" customHeight="1">
      <c r="A64430" s="7"/>
      <c r="B64430" s="7"/>
    </row>
    <row r="64431" ht="15.75" customHeight="1">
      <c r="A64431" s="7"/>
      <c r="B64431" s="7"/>
    </row>
    <row r="64432" ht="15.75" customHeight="1">
      <c r="A64432" s="7"/>
      <c r="B64432" s="7"/>
    </row>
    <row r="64433" ht="15.75" customHeight="1">
      <c r="A64433" s="7"/>
      <c r="B64433" s="7"/>
    </row>
    <row r="64434" ht="15.75" customHeight="1">
      <c r="A64434" s="7"/>
      <c r="B64434" s="7"/>
    </row>
    <row r="64435" ht="15.75" customHeight="1">
      <c r="A64435" s="7"/>
      <c r="B64435" s="7"/>
    </row>
    <row r="64436" ht="15.75" customHeight="1">
      <c r="A64436" s="7"/>
      <c r="B64436" s="7"/>
    </row>
    <row r="64437" ht="15.75" customHeight="1">
      <c r="A64437" s="7"/>
      <c r="B64437" s="7"/>
    </row>
    <row r="64438" ht="15.75" customHeight="1">
      <c r="A64438" s="7"/>
      <c r="B64438" s="7"/>
    </row>
    <row r="64439" ht="15.75" customHeight="1">
      <c r="A64439" s="7"/>
      <c r="B64439" s="7"/>
    </row>
    <row r="64440" ht="15.75" customHeight="1">
      <c r="A64440" s="7"/>
      <c r="B64440" s="7"/>
    </row>
    <row r="64441" ht="15.75" customHeight="1">
      <c r="A64441" s="7"/>
      <c r="B64441" s="7"/>
    </row>
    <row r="64442" ht="15.75" customHeight="1">
      <c r="A64442" s="7"/>
      <c r="B64442" s="7"/>
    </row>
    <row r="64443" ht="15.75" customHeight="1">
      <c r="A64443" s="7"/>
      <c r="B64443" s="7"/>
    </row>
    <row r="64444" ht="15.75" customHeight="1">
      <c r="A64444" s="7"/>
      <c r="B64444" s="7"/>
    </row>
    <row r="64445" ht="15.75" customHeight="1">
      <c r="A64445" s="7"/>
      <c r="B64445" s="7"/>
    </row>
    <row r="64446" ht="15.75" customHeight="1">
      <c r="A64446" s="7"/>
      <c r="B64446" s="7"/>
    </row>
    <row r="64447" ht="15.75" customHeight="1">
      <c r="A64447" s="7"/>
      <c r="B64447" s="7"/>
    </row>
    <row r="64448" ht="15.75" customHeight="1">
      <c r="A64448" s="7"/>
      <c r="B64448" s="7"/>
    </row>
    <row r="64449" ht="15.75" customHeight="1">
      <c r="A64449" s="7"/>
      <c r="B64449" s="7"/>
    </row>
    <row r="64450" ht="15.75" customHeight="1">
      <c r="A64450" s="7"/>
      <c r="B64450" s="7"/>
    </row>
    <row r="64451" ht="15.75" customHeight="1">
      <c r="A64451" s="7"/>
      <c r="B64451" s="7"/>
    </row>
    <row r="64452" ht="15.75" customHeight="1">
      <c r="A64452" s="7"/>
      <c r="B64452" s="7"/>
    </row>
    <row r="64453" ht="15.75" customHeight="1">
      <c r="A64453" s="7"/>
      <c r="B64453" s="7"/>
    </row>
    <row r="64454" ht="15.75" customHeight="1">
      <c r="A64454" s="7"/>
      <c r="B64454" s="7"/>
    </row>
    <row r="64455" ht="15.75" customHeight="1">
      <c r="A64455" s="7"/>
      <c r="B64455" s="7"/>
    </row>
    <row r="64456" ht="15.75" customHeight="1">
      <c r="A64456" s="7"/>
      <c r="B64456" s="7"/>
    </row>
    <row r="64457" ht="15.75" customHeight="1">
      <c r="A64457" s="7"/>
      <c r="B64457" s="7"/>
    </row>
    <row r="64458" ht="15.75" customHeight="1">
      <c r="A64458" s="7"/>
      <c r="B64458" s="7"/>
    </row>
    <row r="64459" ht="15.75" customHeight="1">
      <c r="A64459" s="7"/>
      <c r="B64459" s="7"/>
    </row>
    <row r="64460" ht="15.75" customHeight="1">
      <c r="A64460" s="7"/>
      <c r="B64460" s="7"/>
    </row>
    <row r="64461" ht="15.75" customHeight="1">
      <c r="A64461" s="7"/>
      <c r="B64461" s="7"/>
    </row>
    <row r="64462" ht="15.75" customHeight="1">
      <c r="A64462" s="7"/>
      <c r="B64462" s="7"/>
    </row>
    <row r="64463" ht="15.75" customHeight="1">
      <c r="A64463" s="7"/>
      <c r="B64463" s="7"/>
    </row>
    <row r="64464" ht="15.75" customHeight="1">
      <c r="A64464" s="7"/>
      <c r="B64464" s="7"/>
    </row>
    <row r="64465" ht="15.75" customHeight="1">
      <c r="A64465" s="7"/>
      <c r="B64465" s="7"/>
    </row>
    <row r="64466" ht="15.75" customHeight="1">
      <c r="A64466" s="7"/>
      <c r="B64466" s="7"/>
    </row>
    <row r="64467" ht="15.75" customHeight="1">
      <c r="A64467" s="7"/>
      <c r="B64467" s="7"/>
    </row>
    <row r="64468" ht="15.75" customHeight="1">
      <c r="A64468" s="7"/>
      <c r="B64468" s="7"/>
    </row>
    <row r="64469" ht="15.75" customHeight="1">
      <c r="A64469" s="7"/>
      <c r="B64469" s="7"/>
    </row>
    <row r="64470" ht="15.75" customHeight="1">
      <c r="A64470" s="7"/>
      <c r="B64470" s="7"/>
    </row>
    <row r="64471" ht="15.75" customHeight="1">
      <c r="A64471" s="7"/>
      <c r="B64471" s="7"/>
    </row>
    <row r="64472" ht="15.75" customHeight="1">
      <c r="A64472" s="7"/>
      <c r="B64472" s="7"/>
    </row>
    <row r="64473" ht="15.75" customHeight="1">
      <c r="A64473" s="7"/>
      <c r="B64473" s="7"/>
    </row>
    <row r="64474" ht="15.75" customHeight="1">
      <c r="A64474" s="7"/>
      <c r="B64474" s="7"/>
    </row>
    <row r="64475" ht="15.75" customHeight="1">
      <c r="A64475" s="7"/>
      <c r="B64475" s="7"/>
    </row>
    <row r="64476" ht="15.75" customHeight="1">
      <c r="A64476" s="7"/>
      <c r="B64476" s="7"/>
    </row>
    <row r="64477" ht="15.75" customHeight="1">
      <c r="A64477" s="7"/>
      <c r="B64477" s="7"/>
    </row>
    <row r="64478" ht="15.75" customHeight="1">
      <c r="A64478" s="7"/>
      <c r="B64478" s="7"/>
    </row>
    <row r="64479" ht="15.75" customHeight="1">
      <c r="A64479" s="7"/>
      <c r="B64479" s="7"/>
    </row>
    <row r="64480" ht="15.75" customHeight="1">
      <c r="A64480" s="7"/>
      <c r="B64480" s="7"/>
    </row>
    <row r="64481" ht="15.75" customHeight="1">
      <c r="A64481" s="7"/>
      <c r="B64481" s="7"/>
    </row>
    <row r="64482" ht="15.75" customHeight="1">
      <c r="A64482" s="7"/>
      <c r="B64482" s="7"/>
    </row>
    <row r="64483" ht="15.75" customHeight="1">
      <c r="A64483" s="7"/>
      <c r="B64483" s="7"/>
    </row>
    <row r="64484" ht="15.75" customHeight="1">
      <c r="A64484" s="7"/>
      <c r="B64484" s="7"/>
    </row>
    <row r="64485" ht="15.75" customHeight="1">
      <c r="A64485" s="7"/>
      <c r="B64485" s="7"/>
    </row>
    <row r="64486" ht="15.75" customHeight="1">
      <c r="A64486" s="7"/>
      <c r="B64486" s="7"/>
    </row>
    <row r="64487" ht="15.75" customHeight="1">
      <c r="A64487" s="7"/>
      <c r="B64487" s="7"/>
    </row>
    <row r="64488" ht="15.75" customHeight="1">
      <c r="A64488" s="7"/>
      <c r="B64488" s="7"/>
    </row>
    <row r="64489" ht="15.75" customHeight="1">
      <c r="A64489" s="7"/>
      <c r="B64489" s="7"/>
    </row>
    <row r="64490" ht="15.75" customHeight="1">
      <c r="A64490" s="7"/>
      <c r="B64490" s="7"/>
    </row>
    <row r="64491" ht="15.75" customHeight="1">
      <c r="A64491" s="7"/>
      <c r="B64491" s="7"/>
    </row>
    <row r="64492" ht="15.75" customHeight="1">
      <c r="A64492" s="7"/>
      <c r="B64492" s="7"/>
    </row>
    <row r="64493" ht="15.75" customHeight="1">
      <c r="A64493" s="7"/>
      <c r="B64493" s="7"/>
    </row>
    <row r="64494" ht="15.75" customHeight="1">
      <c r="A64494" s="7"/>
      <c r="B64494" s="7"/>
    </row>
    <row r="64495" ht="15.75" customHeight="1">
      <c r="A64495" s="7"/>
      <c r="B64495" s="7"/>
    </row>
    <row r="64496" ht="15.75" customHeight="1">
      <c r="A64496" s="7"/>
      <c r="B64496" s="7"/>
    </row>
    <row r="64497" ht="15.75" customHeight="1">
      <c r="A64497" s="7"/>
      <c r="B64497" s="7"/>
    </row>
    <row r="64498" ht="15.75" customHeight="1">
      <c r="A64498" s="7"/>
      <c r="B64498" s="7"/>
    </row>
    <row r="64499" ht="15.75" customHeight="1">
      <c r="A64499" s="7"/>
      <c r="B64499" s="7"/>
    </row>
    <row r="64500" ht="15.75" customHeight="1">
      <c r="A64500" s="7"/>
      <c r="B64500" s="7"/>
    </row>
    <row r="64501" ht="15.75" customHeight="1">
      <c r="A64501" s="7"/>
      <c r="B64501" s="7"/>
    </row>
    <row r="64502" ht="15.75" customHeight="1">
      <c r="A64502" s="7"/>
      <c r="B64502" s="7"/>
    </row>
    <row r="64503" ht="15.75" customHeight="1">
      <c r="A64503" s="7"/>
      <c r="B64503" s="7"/>
    </row>
    <row r="64504" ht="15.75" customHeight="1">
      <c r="A64504" s="7"/>
      <c r="B64504" s="7"/>
    </row>
    <row r="64505" ht="15.75" customHeight="1">
      <c r="A64505" s="7"/>
      <c r="B64505" s="7"/>
    </row>
    <row r="64506" ht="15.75" customHeight="1">
      <c r="A64506" s="7"/>
      <c r="B64506" s="7"/>
    </row>
    <row r="64507" ht="15.75" customHeight="1">
      <c r="A64507" s="7"/>
      <c r="B64507" s="7"/>
    </row>
    <row r="64508" ht="15.75" customHeight="1">
      <c r="A64508" s="7"/>
      <c r="B64508" s="7"/>
    </row>
    <row r="64509" ht="15.75" customHeight="1">
      <c r="A64509" s="7"/>
      <c r="B64509" s="7"/>
    </row>
    <row r="64510" ht="15.75" customHeight="1">
      <c r="A64510" s="7"/>
      <c r="B64510" s="7"/>
    </row>
    <row r="64511" ht="15.75" customHeight="1">
      <c r="A64511" s="7"/>
      <c r="B64511" s="7"/>
    </row>
    <row r="64512" ht="15.75" customHeight="1">
      <c r="A64512" s="7"/>
      <c r="B64512" s="7"/>
    </row>
    <row r="64513" ht="15.75" customHeight="1">
      <c r="A64513" s="7"/>
      <c r="B64513" s="7"/>
    </row>
    <row r="64514" ht="15.75" customHeight="1">
      <c r="A64514" s="7"/>
      <c r="B64514" s="7"/>
    </row>
    <row r="64515" ht="15.75" customHeight="1">
      <c r="A64515" s="7"/>
      <c r="B64515" s="7"/>
    </row>
    <row r="64516" ht="15.75" customHeight="1">
      <c r="A64516" s="7"/>
      <c r="B64516" s="7"/>
    </row>
    <row r="64517" ht="15.75" customHeight="1">
      <c r="A64517" s="7"/>
      <c r="B64517" s="7"/>
    </row>
    <row r="64518" ht="15.75" customHeight="1">
      <c r="A64518" s="7"/>
      <c r="B64518" s="7"/>
    </row>
    <row r="64519" ht="15.75" customHeight="1">
      <c r="A64519" s="7"/>
      <c r="B64519" s="7"/>
    </row>
    <row r="64520" ht="15.75" customHeight="1">
      <c r="A64520" s="7"/>
      <c r="B64520" s="7"/>
    </row>
    <row r="64521" ht="15.75" customHeight="1">
      <c r="A64521" s="7"/>
      <c r="B64521" s="7"/>
    </row>
    <row r="64522" ht="15.75" customHeight="1">
      <c r="A64522" s="7"/>
      <c r="B64522" s="7"/>
    </row>
    <row r="64523" ht="15.75" customHeight="1">
      <c r="A64523" s="7"/>
      <c r="B64523" s="7"/>
    </row>
    <row r="64524" ht="15.75" customHeight="1">
      <c r="A64524" s="7"/>
      <c r="B64524" s="7"/>
    </row>
    <row r="64525" ht="15.75" customHeight="1">
      <c r="A64525" s="7"/>
      <c r="B64525" s="7"/>
    </row>
    <row r="64526" ht="15.75" customHeight="1">
      <c r="A64526" s="7"/>
      <c r="B64526" s="7"/>
    </row>
    <row r="64527" ht="15.75" customHeight="1">
      <c r="A64527" s="7"/>
      <c r="B64527" s="7"/>
    </row>
    <row r="64528" ht="15.75" customHeight="1">
      <c r="A64528" s="7"/>
      <c r="B64528" s="7"/>
    </row>
    <row r="64529" ht="15.75" customHeight="1">
      <c r="A64529" s="7"/>
      <c r="B64529" s="7"/>
    </row>
    <row r="64530" ht="15.75" customHeight="1">
      <c r="A64530" s="7"/>
      <c r="B64530" s="7"/>
    </row>
    <row r="64531" ht="15.75" customHeight="1">
      <c r="A64531" s="7"/>
      <c r="B64531" s="7"/>
    </row>
    <row r="64532" ht="15.75" customHeight="1">
      <c r="A64532" s="7"/>
      <c r="B64532" s="7"/>
    </row>
    <row r="64533" ht="15.75" customHeight="1">
      <c r="A64533" s="7"/>
      <c r="B64533" s="7"/>
    </row>
    <row r="64534" ht="15.75" customHeight="1">
      <c r="A64534" s="7"/>
      <c r="B64534" s="7"/>
    </row>
    <row r="64535" ht="15.75" customHeight="1">
      <c r="A64535" s="7"/>
      <c r="B64535" s="7"/>
    </row>
    <row r="64536" ht="15.75" customHeight="1">
      <c r="A64536" s="7"/>
      <c r="B64536" s="7"/>
    </row>
    <row r="64537" ht="15.75" customHeight="1">
      <c r="A64537" s="7"/>
      <c r="B64537" s="7"/>
    </row>
    <row r="64538" ht="15.75" customHeight="1">
      <c r="A64538" s="7"/>
      <c r="B64538" s="7"/>
    </row>
    <row r="64539" ht="15.75" customHeight="1">
      <c r="A64539" s="7"/>
      <c r="B64539" s="7"/>
    </row>
    <row r="64540" ht="15.75" customHeight="1">
      <c r="A64540" s="7"/>
      <c r="B64540" s="7"/>
    </row>
    <row r="64541" ht="15.75" customHeight="1">
      <c r="A64541" s="7"/>
      <c r="B64541" s="7"/>
    </row>
    <row r="64542" ht="15.75" customHeight="1">
      <c r="A64542" s="7"/>
      <c r="B64542" s="7"/>
    </row>
    <row r="64543" ht="15.75" customHeight="1">
      <c r="A64543" s="7"/>
      <c r="B64543" s="7"/>
    </row>
    <row r="64544" ht="15.75" customHeight="1">
      <c r="A64544" s="7"/>
      <c r="B64544" s="7"/>
    </row>
    <row r="64545" ht="15.75" customHeight="1">
      <c r="A64545" s="7"/>
      <c r="B64545" s="7"/>
    </row>
    <row r="64546" ht="15.75" customHeight="1">
      <c r="A64546" s="7"/>
      <c r="B64546" s="7"/>
    </row>
    <row r="64547" ht="15.75" customHeight="1">
      <c r="A64547" s="7"/>
      <c r="B64547" s="7"/>
    </row>
    <row r="64548" ht="15.75" customHeight="1">
      <c r="A64548" s="7"/>
      <c r="B64548" s="7"/>
    </row>
    <row r="64549" ht="15.75" customHeight="1">
      <c r="A64549" s="7"/>
      <c r="B64549" s="7"/>
    </row>
    <row r="64550" ht="15.75" customHeight="1">
      <c r="A64550" s="7"/>
      <c r="B64550" s="7"/>
    </row>
    <row r="64551" ht="15.75" customHeight="1">
      <c r="A64551" s="7"/>
      <c r="B64551" s="7"/>
    </row>
    <row r="64552" ht="15.75" customHeight="1">
      <c r="A64552" s="7"/>
      <c r="B64552" s="7"/>
    </row>
    <row r="64553" ht="15.75" customHeight="1">
      <c r="A64553" s="7"/>
      <c r="B64553" s="7"/>
    </row>
    <row r="64554" ht="15.75" customHeight="1">
      <c r="A64554" s="7"/>
      <c r="B64554" s="7"/>
    </row>
    <row r="64555" ht="15.75" customHeight="1">
      <c r="A64555" s="7"/>
      <c r="B64555" s="7"/>
    </row>
    <row r="64556" ht="15.75" customHeight="1">
      <c r="A64556" s="7"/>
      <c r="B64556" s="7"/>
    </row>
    <row r="64557" ht="15.75" customHeight="1">
      <c r="A64557" s="7"/>
      <c r="B64557" s="7"/>
    </row>
    <row r="64558" ht="15.75" customHeight="1">
      <c r="A64558" s="7"/>
      <c r="B64558" s="7"/>
    </row>
    <row r="64559" ht="15.75" customHeight="1">
      <c r="A64559" s="7"/>
      <c r="B64559" s="7"/>
    </row>
    <row r="64560" ht="15.75" customHeight="1">
      <c r="A64560" s="7"/>
      <c r="B64560" s="7"/>
    </row>
    <row r="64561" ht="15.75" customHeight="1">
      <c r="A64561" s="7"/>
      <c r="B64561" s="7"/>
    </row>
    <row r="64562" ht="15.75" customHeight="1">
      <c r="A64562" s="7"/>
      <c r="B64562" s="7"/>
    </row>
    <row r="64563" ht="15.75" customHeight="1">
      <c r="A64563" s="7"/>
      <c r="B64563" s="7"/>
    </row>
    <row r="64564" ht="15.75" customHeight="1">
      <c r="A64564" s="7"/>
      <c r="B64564" s="7"/>
    </row>
    <row r="64565" ht="15.75" customHeight="1">
      <c r="A64565" s="7"/>
      <c r="B64565" s="7"/>
    </row>
    <row r="64566" ht="15.75" customHeight="1">
      <c r="A64566" s="7"/>
      <c r="B64566" s="7"/>
    </row>
    <row r="64567" ht="15.75" customHeight="1">
      <c r="A64567" s="7"/>
      <c r="B64567" s="7"/>
    </row>
    <row r="64568" ht="15.75" customHeight="1">
      <c r="A64568" s="7"/>
      <c r="B64568" s="7"/>
    </row>
    <row r="64569" ht="15.75" customHeight="1">
      <c r="A64569" s="7"/>
      <c r="B64569" s="7"/>
    </row>
    <row r="64570" ht="15.75" customHeight="1">
      <c r="A64570" s="7"/>
      <c r="B64570" s="7"/>
    </row>
    <row r="64571" ht="15.75" customHeight="1">
      <c r="A64571" s="7"/>
      <c r="B64571" s="7"/>
    </row>
    <row r="64572" ht="15.75" customHeight="1">
      <c r="A64572" s="7"/>
      <c r="B64572" s="7"/>
    </row>
    <row r="64573" ht="15.75" customHeight="1">
      <c r="A64573" s="7"/>
      <c r="B64573" s="7"/>
    </row>
    <row r="64574" ht="15.75" customHeight="1">
      <c r="A64574" s="7"/>
      <c r="B64574" s="7"/>
    </row>
    <row r="64575" ht="15.75" customHeight="1">
      <c r="A64575" s="7"/>
      <c r="B64575" s="7"/>
    </row>
    <row r="64576" ht="15.75" customHeight="1">
      <c r="A64576" s="7"/>
      <c r="B64576" s="7"/>
    </row>
    <row r="64577" ht="15.75" customHeight="1">
      <c r="A64577" s="7"/>
      <c r="B64577" s="7"/>
    </row>
    <row r="64578" ht="15.75" customHeight="1">
      <c r="A64578" s="7"/>
      <c r="B64578" s="7"/>
    </row>
    <row r="64579" ht="15.75" customHeight="1">
      <c r="A64579" s="7"/>
      <c r="B64579" s="7"/>
    </row>
    <row r="64580" ht="15.75" customHeight="1">
      <c r="A64580" s="7"/>
      <c r="B64580" s="7"/>
    </row>
    <row r="64581" ht="15.75" customHeight="1">
      <c r="A64581" s="7"/>
      <c r="B64581" s="7"/>
    </row>
    <row r="64582" ht="15.75" customHeight="1">
      <c r="A64582" s="7"/>
      <c r="B64582" s="7"/>
    </row>
    <row r="64583" ht="15.75" customHeight="1">
      <c r="A64583" s="7"/>
      <c r="B64583" s="7"/>
    </row>
    <row r="64584" ht="15.75" customHeight="1">
      <c r="A64584" s="7"/>
      <c r="B64584" s="7"/>
    </row>
    <row r="64585" ht="15.75" customHeight="1">
      <c r="A64585" s="7"/>
      <c r="B64585" s="7"/>
    </row>
    <row r="64586" ht="15.75" customHeight="1">
      <c r="A64586" s="7"/>
      <c r="B64586" s="7"/>
    </row>
    <row r="64587" ht="15.75" customHeight="1">
      <c r="A64587" s="7"/>
      <c r="B64587" s="7"/>
    </row>
    <row r="64588" ht="15.75" customHeight="1">
      <c r="A64588" s="7"/>
      <c r="B64588" s="7"/>
    </row>
    <row r="64589" ht="15.75" customHeight="1">
      <c r="A64589" s="7"/>
      <c r="B64589" s="7"/>
    </row>
    <row r="64590" ht="15.75" customHeight="1">
      <c r="A64590" s="7"/>
      <c r="B64590" s="7"/>
    </row>
    <row r="64591" ht="15.75" customHeight="1">
      <c r="A64591" s="7"/>
      <c r="B64591" s="7"/>
    </row>
    <row r="64592" ht="15.75" customHeight="1">
      <c r="A64592" s="7"/>
      <c r="B64592" s="7"/>
    </row>
    <row r="64593" ht="15.75" customHeight="1">
      <c r="A64593" s="7"/>
      <c r="B64593" s="7"/>
    </row>
    <row r="64594" ht="15.75" customHeight="1">
      <c r="A64594" s="7"/>
      <c r="B64594" s="7"/>
    </row>
    <row r="64595" ht="15.75" customHeight="1">
      <c r="A64595" s="7"/>
      <c r="B64595" s="7"/>
    </row>
    <row r="64596" ht="15.75" customHeight="1">
      <c r="A64596" s="7"/>
      <c r="B64596" s="7"/>
    </row>
    <row r="64597" ht="15.75" customHeight="1">
      <c r="A64597" s="7"/>
      <c r="B64597" s="7"/>
    </row>
    <row r="64598" ht="15.75" customHeight="1">
      <c r="A64598" s="7"/>
      <c r="B64598" s="7"/>
    </row>
    <row r="64599" ht="15.75" customHeight="1">
      <c r="A64599" s="7"/>
      <c r="B64599" s="7"/>
    </row>
    <row r="64600" ht="15.75" customHeight="1">
      <c r="A64600" s="7"/>
      <c r="B64600" s="7"/>
    </row>
    <row r="64601" ht="15.75" customHeight="1">
      <c r="A64601" s="7"/>
      <c r="B64601" s="7"/>
    </row>
    <row r="64602" ht="15.75" customHeight="1">
      <c r="A64602" s="7"/>
      <c r="B64602" s="7"/>
    </row>
    <row r="64603" ht="15.75" customHeight="1">
      <c r="A64603" s="7"/>
      <c r="B64603" s="7"/>
    </row>
    <row r="64604" ht="15.75" customHeight="1">
      <c r="A64604" s="7"/>
      <c r="B64604" s="7"/>
    </row>
    <row r="64605" ht="15.75" customHeight="1">
      <c r="A64605" s="7"/>
      <c r="B64605" s="7"/>
    </row>
    <row r="64606" ht="15.75" customHeight="1">
      <c r="A64606" s="7"/>
      <c r="B64606" s="7"/>
    </row>
    <row r="64607" ht="15.75" customHeight="1">
      <c r="A64607" s="7"/>
      <c r="B64607" s="7"/>
    </row>
    <row r="64608" ht="15.75" customHeight="1">
      <c r="A64608" s="7"/>
      <c r="B64608" s="7"/>
    </row>
    <row r="64609" ht="15.75" customHeight="1">
      <c r="A64609" s="7"/>
      <c r="B64609" s="7"/>
    </row>
    <row r="64610" ht="15.75" customHeight="1">
      <c r="A64610" s="7"/>
      <c r="B64610" s="7"/>
    </row>
    <row r="64611" ht="15.75" customHeight="1">
      <c r="A64611" s="7"/>
      <c r="B64611" s="7"/>
    </row>
    <row r="64612" ht="15.75" customHeight="1">
      <c r="A64612" s="7"/>
      <c r="B64612" s="7"/>
    </row>
    <row r="64613" ht="15.75" customHeight="1">
      <c r="A64613" s="7"/>
      <c r="B64613" s="7"/>
    </row>
    <row r="64614" ht="15.75" customHeight="1">
      <c r="A64614" s="7"/>
      <c r="B64614" s="7"/>
    </row>
    <row r="64615" ht="15.75" customHeight="1">
      <c r="A64615" s="7"/>
      <c r="B64615" s="7"/>
    </row>
    <row r="64616" ht="15.75" customHeight="1">
      <c r="A64616" s="7"/>
      <c r="B64616" s="7"/>
    </row>
    <row r="64617" ht="15.75" customHeight="1">
      <c r="A64617" s="7"/>
      <c r="B64617" s="7"/>
    </row>
    <row r="64618" ht="15.75" customHeight="1">
      <c r="A64618" s="7"/>
      <c r="B64618" s="7"/>
    </row>
    <row r="64619" ht="15.75" customHeight="1">
      <c r="A64619" s="7"/>
      <c r="B64619" s="7"/>
    </row>
    <row r="64620" ht="15.75" customHeight="1">
      <c r="A64620" s="7"/>
      <c r="B64620" s="7"/>
    </row>
    <row r="64621" ht="15.75" customHeight="1">
      <c r="A64621" s="7"/>
      <c r="B64621" s="7"/>
    </row>
    <row r="64622" ht="15.75" customHeight="1">
      <c r="A64622" s="7"/>
      <c r="B64622" s="7"/>
    </row>
    <row r="64623" ht="15.75" customHeight="1">
      <c r="A64623" s="7"/>
      <c r="B64623" s="7"/>
    </row>
    <row r="64624" ht="15.75" customHeight="1">
      <c r="A64624" s="7"/>
      <c r="B64624" s="7"/>
    </row>
    <row r="64625" ht="15.75" customHeight="1">
      <c r="A64625" s="7"/>
      <c r="B64625" s="7"/>
    </row>
    <row r="64626" ht="15.75" customHeight="1">
      <c r="A64626" s="7"/>
      <c r="B64626" s="7"/>
    </row>
    <row r="64627" ht="15.75" customHeight="1">
      <c r="A64627" s="7"/>
      <c r="B64627" s="7"/>
    </row>
    <row r="64628" ht="15.75" customHeight="1">
      <c r="A64628" s="7"/>
      <c r="B64628" s="7"/>
    </row>
    <row r="64629" ht="15.75" customHeight="1">
      <c r="A64629" s="7"/>
      <c r="B64629" s="7"/>
    </row>
    <row r="64630" ht="15.75" customHeight="1">
      <c r="A64630" s="7"/>
      <c r="B64630" s="7"/>
    </row>
    <row r="64631" ht="15.75" customHeight="1">
      <c r="A64631" s="7"/>
      <c r="B64631" s="7"/>
    </row>
    <row r="64632" ht="15.75" customHeight="1">
      <c r="A64632" s="7"/>
      <c r="B64632" s="7"/>
    </row>
    <row r="64633" ht="15.75" customHeight="1">
      <c r="A64633" s="7"/>
      <c r="B64633" s="7"/>
    </row>
    <row r="64634" ht="15.75" customHeight="1">
      <c r="A64634" s="7"/>
      <c r="B64634" s="7"/>
    </row>
    <row r="64635" ht="15.75" customHeight="1">
      <c r="A64635" s="7"/>
      <c r="B64635" s="7"/>
    </row>
    <row r="64636" ht="15.75" customHeight="1">
      <c r="A64636" s="7"/>
      <c r="B64636" s="7"/>
    </row>
    <row r="64637" ht="15.75" customHeight="1">
      <c r="A64637" s="7"/>
      <c r="B64637" s="7"/>
    </row>
    <row r="64638" ht="15.75" customHeight="1">
      <c r="A64638" s="7"/>
      <c r="B64638" s="7"/>
    </row>
    <row r="64639" ht="15.75" customHeight="1">
      <c r="A64639" s="7"/>
      <c r="B64639" s="7"/>
    </row>
    <row r="64640" ht="15.75" customHeight="1">
      <c r="A64640" s="7"/>
      <c r="B64640" s="7"/>
    </row>
    <row r="64641" ht="15.75" customHeight="1">
      <c r="A64641" s="7"/>
      <c r="B64641" s="7"/>
    </row>
    <row r="64642" ht="15.75" customHeight="1">
      <c r="A64642" s="7"/>
      <c r="B64642" s="7"/>
    </row>
    <row r="64643" ht="15.75" customHeight="1">
      <c r="A64643" s="7"/>
      <c r="B64643" s="7"/>
    </row>
    <row r="64644" ht="15.75" customHeight="1">
      <c r="A64644" s="7"/>
      <c r="B64644" s="7"/>
    </row>
    <row r="64645" ht="15.75" customHeight="1">
      <c r="A64645" s="7"/>
      <c r="B64645" s="7"/>
    </row>
    <row r="64646" ht="15.75" customHeight="1">
      <c r="A64646" s="7"/>
      <c r="B64646" s="7"/>
    </row>
    <row r="64647" ht="15.75" customHeight="1">
      <c r="A64647" s="7"/>
      <c r="B64647" s="7"/>
    </row>
    <row r="64648" ht="15.75" customHeight="1">
      <c r="A64648" s="7"/>
      <c r="B64648" s="7"/>
    </row>
    <row r="64649" ht="15.75" customHeight="1">
      <c r="A64649" s="7"/>
      <c r="B64649" s="7"/>
    </row>
    <row r="64650" ht="15.75" customHeight="1">
      <c r="A64650" s="7"/>
      <c r="B64650" s="7"/>
    </row>
    <row r="64651" ht="15.75" customHeight="1">
      <c r="A64651" s="7"/>
      <c r="B64651" s="7"/>
    </row>
    <row r="64652" ht="15.75" customHeight="1">
      <c r="A64652" s="7"/>
      <c r="B64652" s="7"/>
    </row>
    <row r="64653" ht="15.75" customHeight="1">
      <c r="A64653" s="7"/>
      <c r="B64653" s="7"/>
    </row>
    <row r="64654" ht="15.75" customHeight="1">
      <c r="A64654" s="7"/>
      <c r="B64654" s="7"/>
    </row>
    <row r="64655" ht="15.75" customHeight="1">
      <c r="A64655" s="7"/>
      <c r="B64655" s="7"/>
    </row>
    <row r="64656" ht="15.75" customHeight="1">
      <c r="A64656" s="7"/>
      <c r="B64656" s="7"/>
    </row>
    <row r="64657" ht="15.75" customHeight="1">
      <c r="A64657" s="7"/>
      <c r="B64657" s="7"/>
    </row>
    <row r="64658" ht="15.75" customHeight="1">
      <c r="A64658" s="7"/>
      <c r="B64658" s="7"/>
    </row>
    <row r="64659" ht="15.75" customHeight="1">
      <c r="A64659" s="7"/>
      <c r="B64659" s="7"/>
    </row>
    <row r="64660" ht="15.75" customHeight="1">
      <c r="A64660" s="7"/>
      <c r="B64660" s="7"/>
    </row>
    <row r="64661" ht="15.75" customHeight="1">
      <c r="A64661" s="7"/>
      <c r="B64661" s="7"/>
    </row>
    <row r="64662" ht="15.75" customHeight="1">
      <c r="A64662" s="7"/>
      <c r="B64662" s="7"/>
    </row>
    <row r="64663" ht="15.75" customHeight="1">
      <c r="A64663" s="7"/>
      <c r="B64663" s="7"/>
    </row>
    <row r="64664" ht="15.75" customHeight="1">
      <c r="A64664" s="7"/>
      <c r="B64664" s="7"/>
    </row>
    <row r="64665" ht="15.75" customHeight="1">
      <c r="A64665" s="7"/>
      <c r="B64665" s="7"/>
    </row>
    <row r="64666" ht="15.75" customHeight="1">
      <c r="A64666" s="7"/>
      <c r="B64666" s="7"/>
    </row>
    <row r="64667" ht="15.75" customHeight="1">
      <c r="A64667" s="7"/>
      <c r="B64667" s="7"/>
    </row>
    <row r="64668" ht="15.75" customHeight="1">
      <c r="A64668" s="7"/>
      <c r="B64668" s="7"/>
    </row>
    <row r="64669" ht="15.75" customHeight="1">
      <c r="A64669" s="7"/>
      <c r="B64669" s="7"/>
    </row>
    <row r="64670" ht="15.75" customHeight="1">
      <c r="A64670" s="7"/>
      <c r="B64670" s="7"/>
    </row>
    <row r="64671" ht="15.75" customHeight="1">
      <c r="A64671" s="7"/>
      <c r="B64671" s="7"/>
    </row>
    <row r="64672" ht="15.75" customHeight="1">
      <c r="A64672" s="7"/>
      <c r="B64672" s="7"/>
    </row>
    <row r="64673" ht="15.75" customHeight="1">
      <c r="A64673" s="7"/>
      <c r="B64673" s="7"/>
    </row>
    <row r="64674" ht="15.75" customHeight="1">
      <c r="A64674" s="7"/>
      <c r="B64674" s="7"/>
    </row>
    <row r="64675" ht="15.75" customHeight="1">
      <c r="A64675" s="7"/>
      <c r="B64675" s="7"/>
    </row>
    <row r="64676" ht="15.75" customHeight="1">
      <c r="A64676" s="7"/>
      <c r="B64676" s="7"/>
    </row>
    <row r="64677" ht="15.75" customHeight="1">
      <c r="A64677" s="7"/>
      <c r="B64677" s="7"/>
    </row>
    <row r="64678" ht="15.75" customHeight="1">
      <c r="A64678" s="7"/>
      <c r="B64678" s="7"/>
    </row>
    <row r="64679" ht="15.75" customHeight="1">
      <c r="A64679" s="7"/>
      <c r="B64679" s="7"/>
    </row>
    <row r="64680" ht="15.75" customHeight="1">
      <c r="A64680" s="7"/>
      <c r="B64680" s="7"/>
    </row>
    <row r="64681" ht="15.75" customHeight="1">
      <c r="A64681" s="7"/>
      <c r="B64681" s="7"/>
    </row>
    <row r="64682" ht="15.75" customHeight="1">
      <c r="A64682" s="7"/>
      <c r="B64682" s="7"/>
    </row>
    <row r="64683" ht="15.75" customHeight="1">
      <c r="A64683" s="7"/>
      <c r="B64683" s="7"/>
    </row>
    <row r="64684" ht="15.75" customHeight="1">
      <c r="A64684" s="7"/>
      <c r="B64684" s="7"/>
    </row>
    <row r="64685" ht="15.75" customHeight="1">
      <c r="A64685" s="7"/>
      <c r="B64685" s="7"/>
    </row>
    <row r="64686" ht="15.75" customHeight="1">
      <c r="A64686" s="7"/>
      <c r="B64686" s="7"/>
    </row>
    <row r="64687" ht="15.75" customHeight="1">
      <c r="A64687" s="7"/>
      <c r="B64687" s="7"/>
    </row>
    <row r="64688" ht="15.75" customHeight="1">
      <c r="A64688" s="7"/>
      <c r="B64688" s="7"/>
    </row>
    <row r="64689" ht="15.75" customHeight="1">
      <c r="A64689" s="7"/>
      <c r="B64689" s="7"/>
    </row>
    <row r="64690" ht="15.75" customHeight="1">
      <c r="A64690" s="7"/>
      <c r="B64690" s="7"/>
    </row>
    <row r="64691" ht="15.75" customHeight="1">
      <c r="A64691" s="7"/>
      <c r="B64691" s="7"/>
    </row>
    <row r="64692" ht="15.75" customHeight="1">
      <c r="A64692" s="7"/>
      <c r="B64692" s="7"/>
    </row>
    <row r="64693" ht="15.75" customHeight="1">
      <c r="A64693" s="7"/>
      <c r="B64693" s="7"/>
    </row>
    <row r="64694" ht="15.75" customHeight="1">
      <c r="A64694" s="7"/>
      <c r="B64694" s="7"/>
    </row>
    <row r="64695" ht="15.75" customHeight="1">
      <c r="A64695" s="7"/>
      <c r="B64695" s="7"/>
    </row>
    <row r="64696" ht="15.75" customHeight="1">
      <c r="A64696" s="7"/>
      <c r="B64696" s="7"/>
    </row>
    <row r="64697" ht="15.75" customHeight="1">
      <c r="A64697" s="7"/>
      <c r="B64697" s="7"/>
    </row>
    <row r="64698" ht="15.75" customHeight="1">
      <c r="A64698" s="7"/>
      <c r="B64698" s="7"/>
    </row>
    <row r="64699" ht="15.75" customHeight="1">
      <c r="A64699" s="7"/>
      <c r="B64699" s="7"/>
    </row>
    <row r="64700" ht="15.75" customHeight="1">
      <c r="A64700" s="7"/>
      <c r="B64700" s="7"/>
    </row>
    <row r="64701" ht="15.75" customHeight="1">
      <c r="A64701" s="7"/>
      <c r="B64701" s="7"/>
    </row>
    <row r="64702" ht="15.75" customHeight="1">
      <c r="A64702" s="7"/>
      <c r="B64702" s="7"/>
    </row>
    <row r="64703" ht="15.75" customHeight="1">
      <c r="A64703" s="7"/>
      <c r="B64703" s="7"/>
    </row>
    <row r="64704" ht="15.75" customHeight="1">
      <c r="A64704" s="7"/>
      <c r="B64704" s="7"/>
    </row>
    <row r="64705" ht="15.75" customHeight="1">
      <c r="A64705" s="7"/>
      <c r="B64705" s="7"/>
    </row>
    <row r="64706" ht="15.75" customHeight="1">
      <c r="A64706" s="7"/>
      <c r="B64706" s="7"/>
    </row>
    <row r="64707" ht="15.75" customHeight="1">
      <c r="A64707" s="7"/>
      <c r="B64707" s="7"/>
    </row>
    <row r="64708" ht="15.75" customHeight="1">
      <c r="A64708" s="7"/>
      <c r="B64708" s="7"/>
    </row>
    <row r="64709" ht="15.75" customHeight="1">
      <c r="A64709" s="7"/>
      <c r="B64709" s="7"/>
    </row>
    <row r="64710" ht="15.75" customHeight="1">
      <c r="A64710" s="7"/>
      <c r="B64710" s="7"/>
    </row>
    <row r="64711" ht="15.75" customHeight="1">
      <c r="A64711" s="7"/>
      <c r="B64711" s="7"/>
    </row>
    <row r="64712" ht="15.75" customHeight="1">
      <c r="A64712" s="7"/>
      <c r="B64712" s="7"/>
    </row>
    <row r="64713" ht="15.75" customHeight="1">
      <c r="A64713" s="7"/>
      <c r="B64713" s="7"/>
    </row>
    <row r="64714" ht="15.75" customHeight="1">
      <c r="A64714" s="7"/>
      <c r="B64714" s="7"/>
    </row>
    <row r="64715" ht="15.75" customHeight="1">
      <c r="A64715" s="7"/>
      <c r="B64715" s="7"/>
    </row>
    <row r="64716" ht="15.75" customHeight="1">
      <c r="A64716" s="7"/>
      <c r="B64716" s="7"/>
    </row>
    <row r="64717" ht="15.75" customHeight="1">
      <c r="A64717" s="7"/>
      <c r="B64717" s="7"/>
    </row>
    <row r="64718" ht="15.75" customHeight="1">
      <c r="A64718" s="7"/>
      <c r="B64718" s="7"/>
    </row>
    <row r="64719" ht="15.75" customHeight="1">
      <c r="A64719" s="7"/>
      <c r="B64719" s="7"/>
    </row>
    <row r="64720" ht="15.75" customHeight="1">
      <c r="A64720" s="7"/>
      <c r="B64720" s="7"/>
    </row>
    <row r="64721" ht="15.75" customHeight="1">
      <c r="A64721" s="7"/>
      <c r="B64721" s="7"/>
    </row>
    <row r="64722" ht="15.75" customHeight="1">
      <c r="A64722" s="7"/>
      <c r="B64722" s="7"/>
    </row>
    <row r="64723" ht="15.75" customHeight="1">
      <c r="A64723" s="7"/>
      <c r="B64723" s="7"/>
    </row>
    <row r="64724" ht="15.75" customHeight="1">
      <c r="A64724" s="7"/>
      <c r="B64724" s="7"/>
    </row>
    <row r="64725" ht="15.75" customHeight="1">
      <c r="A64725" s="7"/>
      <c r="B64725" s="7"/>
    </row>
    <row r="64726" ht="15.75" customHeight="1">
      <c r="A64726" s="7"/>
      <c r="B64726" s="7"/>
    </row>
    <row r="64727" ht="15.75" customHeight="1">
      <c r="A64727" s="7"/>
      <c r="B64727" s="7"/>
    </row>
    <row r="64728" ht="15.75" customHeight="1">
      <c r="A64728" s="7"/>
      <c r="B64728" s="7"/>
    </row>
    <row r="64729" ht="15.75" customHeight="1">
      <c r="A64729" s="7"/>
      <c r="B64729" s="7"/>
    </row>
    <row r="64730" ht="15.75" customHeight="1">
      <c r="A64730" s="7"/>
      <c r="B64730" s="7"/>
    </row>
    <row r="64731" ht="15.75" customHeight="1">
      <c r="A64731" s="7"/>
      <c r="B64731" s="7"/>
    </row>
    <row r="64732" ht="15.75" customHeight="1">
      <c r="A64732" s="7"/>
      <c r="B64732" s="7"/>
    </row>
    <row r="64733" ht="15.75" customHeight="1">
      <c r="A64733" s="7"/>
      <c r="B64733" s="7"/>
    </row>
    <row r="64734" ht="15.75" customHeight="1">
      <c r="A64734" s="7"/>
      <c r="B64734" s="7"/>
    </row>
    <row r="64735" ht="15.75" customHeight="1">
      <c r="A64735" s="7"/>
      <c r="B64735" s="7"/>
    </row>
    <row r="64736" ht="15.75" customHeight="1">
      <c r="A64736" s="7"/>
      <c r="B64736" s="7"/>
    </row>
    <row r="64737" ht="15.75" customHeight="1">
      <c r="A64737" s="7"/>
      <c r="B64737" s="7"/>
    </row>
    <row r="64738" ht="15.75" customHeight="1">
      <c r="A64738" s="7"/>
      <c r="B64738" s="7"/>
    </row>
    <row r="64739" ht="15.75" customHeight="1">
      <c r="A64739" s="7"/>
      <c r="B64739" s="7"/>
    </row>
    <row r="64740" ht="15.75" customHeight="1">
      <c r="A64740" s="7"/>
      <c r="B64740" s="7"/>
    </row>
    <row r="64741" ht="15.75" customHeight="1">
      <c r="A64741" s="7"/>
      <c r="B64741" s="7"/>
    </row>
    <row r="64742" ht="15.75" customHeight="1">
      <c r="A64742" s="7"/>
      <c r="B64742" s="7"/>
    </row>
    <row r="64743" ht="15.75" customHeight="1">
      <c r="A64743" s="7"/>
      <c r="B64743" s="7"/>
    </row>
    <row r="64744" ht="15.75" customHeight="1">
      <c r="A64744" s="7"/>
      <c r="B64744" s="7"/>
    </row>
    <row r="64745" ht="15.75" customHeight="1">
      <c r="A64745" s="7"/>
      <c r="B64745" s="7"/>
    </row>
    <row r="64746" ht="15.75" customHeight="1">
      <c r="A64746" s="7"/>
      <c r="B64746" s="7"/>
    </row>
    <row r="64747" ht="15.75" customHeight="1">
      <c r="A64747" s="7"/>
      <c r="B64747" s="7"/>
    </row>
    <row r="64748" ht="15.75" customHeight="1">
      <c r="A64748" s="7"/>
      <c r="B64748" s="7"/>
    </row>
    <row r="64749" ht="15.75" customHeight="1">
      <c r="A64749" s="7"/>
      <c r="B64749" s="7"/>
    </row>
    <row r="64750" ht="15.75" customHeight="1">
      <c r="A64750" s="7"/>
      <c r="B64750" s="7"/>
    </row>
    <row r="64751" ht="15.75" customHeight="1">
      <c r="A64751" s="7"/>
      <c r="B64751" s="7"/>
    </row>
    <row r="64752" ht="15.75" customHeight="1">
      <c r="A64752" s="7"/>
      <c r="B64752" s="7"/>
    </row>
    <row r="64753" ht="15.75" customHeight="1">
      <c r="A64753" s="7"/>
      <c r="B64753" s="7"/>
    </row>
    <row r="64754" ht="15.75" customHeight="1">
      <c r="A64754" s="7"/>
      <c r="B64754" s="7"/>
    </row>
    <row r="64755" ht="15.75" customHeight="1">
      <c r="A64755" s="7"/>
      <c r="B64755" s="7"/>
    </row>
    <row r="64756" ht="15.75" customHeight="1">
      <c r="A64756" s="7"/>
      <c r="B64756" s="7"/>
    </row>
    <row r="64757" ht="15.75" customHeight="1">
      <c r="A64757" s="7"/>
      <c r="B64757" s="7"/>
    </row>
    <row r="64758" ht="15.75" customHeight="1">
      <c r="A64758" s="7"/>
      <c r="B64758" s="7"/>
    </row>
    <row r="64759" ht="15.75" customHeight="1">
      <c r="A64759" s="7"/>
      <c r="B64759" s="7"/>
    </row>
    <row r="64760" ht="15.75" customHeight="1">
      <c r="A64760" s="7"/>
      <c r="B64760" s="7"/>
    </row>
    <row r="64761" ht="15.75" customHeight="1">
      <c r="A64761" s="7"/>
      <c r="B64761" s="7"/>
    </row>
    <row r="64762" ht="15.75" customHeight="1">
      <c r="A64762" s="7"/>
      <c r="B64762" s="7"/>
    </row>
    <row r="64763" ht="15.75" customHeight="1">
      <c r="A64763" s="7"/>
      <c r="B64763" s="7"/>
    </row>
    <row r="64764" ht="15.75" customHeight="1">
      <c r="A64764" s="7"/>
      <c r="B64764" s="7"/>
    </row>
    <row r="64765" ht="15.75" customHeight="1">
      <c r="A64765" s="7"/>
      <c r="B64765" s="7"/>
    </row>
    <row r="64766" ht="15.75" customHeight="1">
      <c r="A64766" s="7"/>
      <c r="B64766" s="7"/>
    </row>
    <row r="64767" ht="15.75" customHeight="1">
      <c r="A64767" s="7"/>
      <c r="B64767" s="7"/>
    </row>
    <row r="64768" ht="15.75" customHeight="1">
      <c r="A64768" s="7"/>
      <c r="B64768" s="7"/>
    </row>
    <row r="64769" ht="15.75" customHeight="1">
      <c r="A64769" s="7"/>
      <c r="B64769" s="7"/>
    </row>
    <row r="64770" ht="15.75" customHeight="1">
      <c r="A64770" s="7"/>
      <c r="B64770" s="7"/>
    </row>
    <row r="64771" ht="15.75" customHeight="1">
      <c r="A64771" s="7"/>
      <c r="B64771" s="7"/>
    </row>
    <row r="64772" ht="15.75" customHeight="1">
      <c r="A64772" s="7"/>
      <c r="B64772" s="7"/>
    </row>
    <row r="64773" ht="15.75" customHeight="1">
      <c r="A64773" s="7"/>
      <c r="B64773" s="7"/>
    </row>
    <row r="64774" ht="15.75" customHeight="1">
      <c r="A64774" s="7"/>
      <c r="B64774" s="7"/>
    </row>
    <row r="64775" ht="15.75" customHeight="1">
      <c r="A64775" s="7"/>
      <c r="B64775" s="7"/>
    </row>
    <row r="64776" ht="15.75" customHeight="1">
      <c r="A64776" s="7"/>
      <c r="B64776" s="7"/>
    </row>
    <row r="64777" ht="15.75" customHeight="1">
      <c r="A64777" s="7"/>
      <c r="B64777" s="7"/>
    </row>
    <row r="64778" ht="15.75" customHeight="1">
      <c r="A64778" s="7"/>
      <c r="B64778" s="7"/>
    </row>
    <row r="64779" ht="15.75" customHeight="1">
      <c r="A64779" s="7"/>
      <c r="B64779" s="7"/>
    </row>
    <row r="64780" ht="15.75" customHeight="1">
      <c r="A64780" s="7"/>
      <c r="B64780" s="7"/>
    </row>
    <row r="64781" ht="15.75" customHeight="1">
      <c r="A64781" s="7"/>
      <c r="B64781" s="7"/>
    </row>
    <row r="64782" ht="15.75" customHeight="1">
      <c r="A64782" s="7"/>
      <c r="B64782" s="7"/>
    </row>
    <row r="64783" ht="15.75" customHeight="1">
      <c r="A64783" s="7"/>
      <c r="B64783" s="7"/>
    </row>
    <row r="64784" ht="15.75" customHeight="1">
      <c r="A64784" s="7"/>
      <c r="B64784" s="7"/>
    </row>
    <row r="64785" ht="15.75" customHeight="1">
      <c r="A64785" s="7"/>
      <c r="B64785" s="7"/>
    </row>
    <row r="64786" ht="15.75" customHeight="1">
      <c r="A64786" s="7"/>
      <c r="B64786" s="7"/>
    </row>
    <row r="64787" ht="15.75" customHeight="1">
      <c r="A64787" s="7"/>
      <c r="B64787" s="7"/>
    </row>
    <row r="64788" ht="15.75" customHeight="1">
      <c r="A64788" s="7"/>
      <c r="B64788" s="7"/>
    </row>
    <row r="64789" ht="15.75" customHeight="1">
      <c r="A64789" s="7"/>
      <c r="B64789" s="7"/>
    </row>
    <row r="64790" ht="15.75" customHeight="1">
      <c r="A64790" s="7"/>
      <c r="B64790" s="7"/>
    </row>
    <row r="64791" ht="15.75" customHeight="1">
      <c r="A64791" s="7"/>
      <c r="B64791" s="7"/>
    </row>
    <row r="64792" ht="15.75" customHeight="1">
      <c r="A64792" s="7"/>
      <c r="B64792" s="7"/>
    </row>
    <row r="64793" ht="15.75" customHeight="1">
      <c r="A64793" s="7"/>
      <c r="B64793" s="7"/>
    </row>
    <row r="64794" ht="15.75" customHeight="1">
      <c r="A64794" s="7"/>
      <c r="B64794" s="7"/>
    </row>
    <row r="64795" ht="15.75" customHeight="1">
      <c r="A64795" s="7"/>
      <c r="B64795" s="7"/>
    </row>
    <row r="64796" ht="15.75" customHeight="1">
      <c r="A64796" s="7"/>
      <c r="B64796" s="7"/>
    </row>
    <row r="64797" ht="15.75" customHeight="1">
      <c r="A64797" s="7"/>
      <c r="B64797" s="7"/>
    </row>
    <row r="64798" ht="15.75" customHeight="1">
      <c r="A64798" s="7"/>
      <c r="B64798" s="7"/>
    </row>
    <row r="64799" ht="15.75" customHeight="1">
      <c r="A64799" s="7"/>
      <c r="B64799" s="7"/>
    </row>
    <row r="64800" ht="15.75" customHeight="1">
      <c r="A64800" s="7"/>
      <c r="B64800" s="7"/>
    </row>
    <row r="64801" ht="15.75" customHeight="1">
      <c r="A64801" s="7"/>
      <c r="B64801" s="7"/>
    </row>
    <row r="64802" ht="15.75" customHeight="1">
      <c r="A64802" s="7"/>
      <c r="B64802" s="7"/>
    </row>
    <row r="64803" ht="15.75" customHeight="1">
      <c r="A64803" s="7"/>
      <c r="B64803" s="7"/>
    </row>
    <row r="64804" ht="15.75" customHeight="1">
      <c r="A64804" s="7"/>
      <c r="B64804" s="7"/>
    </row>
    <row r="64805" ht="15.75" customHeight="1">
      <c r="A64805" s="7"/>
      <c r="B64805" s="7"/>
    </row>
    <row r="64806" ht="15.75" customHeight="1">
      <c r="A64806" s="7"/>
      <c r="B64806" s="7"/>
    </row>
    <row r="64807" ht="15.75" customHeight="1">
      <c r="A64807" s="7"/>
      <c r="B64807" s="7"/>
    </row>
    <row r="64808" ht="15.75" customHeight="1">
      <c r="A64808" s="7"/>
      <c r="B64808" s="7"/>
    </row>
    <row r="64809" ht="15.75" customHeight="1">
      <c r="A64809" s="7"/>
      <c r="B64809" s="7"/>
    </row>
    <row r="64810" ht="15.75" customHeight="1">
      <c r="A64810" s="7"/>
      <c r="B64810" s="7"/>
    </row>
    <row r="64811" ht="15.75" customHeight="1">
      <c r="A64811" s="7"/>
      <c r="B64811" s="7"/>
    </row>
    <row r="64812" ht="15.75" customHeight="1">
      <c r="A64812" s="7"/>
      <c r="B64812" s="7"/>
    </row>
    <row r="64813" ht="15.75" customHeight="1">
      <c r="A64813" s="7"/>
      <c r="B64813" s="7"/>
    </row>
    <row r="64814" ht="15.75" customHeight="1">
      <c r="A64814" s="7"/>
      <c r="B64814" s="7"/>
    </row>
    <row r="64815" ht="15.75" customHeight="1">
      <c r="A64815" s="7"/>
      <c r="B64815" s="7"/>
    </row>
    <row r="64816" ht="15.75" customHeight="1">
      <c r="A64816" s="7"/>
      <c r="B64816" s="7"/>
    </row>
    <row r="64817" ht="15.75" customHeight="1">
      <c r="A64817" s="7"/>
      <c r="B64817" s="7"/>
    </row>
    <row r="64818" ht="15.75" customHeight="1">
      <c r="A64818" s="7"/>
      <c r="B64818" s="7"/>
    </row>
    <row r="64819" ht="15.75" customHeight="1">
      <c r="A64819" s="7"/>
      <c r="B64819" s="7"/>
    </row>
    <row r="64820" ht="15.75" customHeight="1">
      <c r="A64820" s="7"/>
      <c r="B64820" s="7"/>
    </row>
    <row r="64821" ht="15.75" customHeight="1">
      <c r="A64821" s="7"/>
      <c r="B64821" s="7"/>
    </row>
    <row r="64822" ht="15.75" customHeight="1">
      <c r="A64822" s="7"/>
      <c r="B64822" s="7"/>
    </row>
    <row r="64823" ht="15.75" customHeight="1">
      <c r="A64823" s="7"/>
      <c r="B64823" s="7"/>
    </row>
    <row r="64824" ht="15.75" customHeight="1">
      <c r="A64824" s="7"/>
      <c r="B64824" s="7"/>
    </row>
    <row r="64825" ht="15.75" customHeight="1">
      <c r="A64825" s="7"/>
      <c r="B64825" s="7"/>
    </row>
    <row r="64826" ht="15.75" customHeight="1">
      <c r="A64826" s="7"/>
      <c r="B64826" s="7"/>
    </row>
    <row r="64827" ht="15.75" customHeight="1">
      <c r="A64827" s="7"/>
      <c r="B64827" s="7"/>
    </row>
    <row r="64828" ht="15.75" customHeight="1">
      <c r="A64828" s="7"/>
      <c r="B64828" s="7"/>
    </row>
    <row r="64829" ht="15.75" customHeight="1">
      <c r="A64829" s="7"/>
      <c r="B64829" s="7"/>
    </row>
    <row r="64830" ht="15.75" customHeight="1">
      <c r="A64830" s="7"/>
      <c r="B64830" s="7"/>
    </row>
    <row r="64831" ht="15.75" customHeight="1">
      <c r="A64831" s="7"/>
      <c r="B64831" s="7"/>
    </row>
    <row r="64832" ht="15.75" customHeight="1">
      <c r="A64832" s="7"/>
      <c r="B64832" s="7"/>
    </row>
    <row r="64833" ht="15.75" customHeight="1">
      <c r="A64833" s="7"/>
      <c r="B64833" s="7"/>
    </row>
    <row r="64834" ht="15.75" customHeight="1">
      <c r="A64834" s="7"/>
      <c r="B64834" s="7"/>
    </row>
    <row r="64835" ht="15.75" customHeight="1">
      <c r="A64835" s="7"/>
      <c r="B64835" s="7"/>
    </row>
    <row r="64836" ht="15.75" customHeight="1">
      <c r="A64836" s="7"/>
      <c r="B64836" s="7"/>
    </row>
    <row r="64837" ht="15.75" customHeight="1">
      <c r="A64837" s="7"/>
      <c r="B64837" s="7"/>
    </row>
    <row r="64838" ht="15.75" customHeight="1">
      <c r="A64838" s="7"/>
      <c r="B64838" s="7"/>
    </row>
    <row r="64839" ht="15.75" customHeight="1">
      <c r="A64839" s="7"/>
      <c r="B64839" s="7"/>
    </row>
    <row r="64840" ht="15.75" customHeight="1">
      <c r="A64840" s="7"/>
      <c r="B64840" s="7"/>
    </row>
    <row r="64841" ht="15.75" customHeight="1">
      <c r="A64841" s="7"/>
      <c r="B64841" s="7"/>
    </row>
    <row r="64842" ht="15.75" customHeight="1">
      <c r="A64842" s="7"/>
      <c r="B64842" s="7"/>
    </row>
    <row r="64843" ht="15.75" customHeight="1">
      <c r="A64843" s="7"/>
      <c r="B64843" s="7"/>
    </row>
    <row r="64844" ht="15.75" customHeight="1">
      <c r="A64844" s="7"/>
      <c r="B64844" s="7"/>
    </row>
    <row r="64845" ht="15.75" customHeight="1">
      <c r="A64845" s="7"/>
      <c r="B64845" s="7"/>
    </row>
    <row r="64846" ht="15.75" customHeight="1">
      <c r="A64846" s="7"/>
      <c r="B64846" s="7"/>
    </row>
    <row r="64847" ht="15.75" customHeight="1">
      <c r="A64847" s="7"/>
      <c r="B64847" s="7"/>
    </row>
    <row r="64848" ht="15.75" customHeight="1">
      <c r="A64848" s="7"/>
      <c r="B64848" s="7"/>
    </row>
    <row r="64849" ht="15.75" customHeight="1">
      <c r="A64849" s="7"/>
      <c r="B64849" s="7"/>
    </row>
    <row r="64850" ht="15.75" customHeight="1">
      <c r="A64850" s="7"/>
      <c r="B64850" s="7"/>
    </row>
    <row r="64851" ht="15.75" customHeight="1">
      <c r="A64851" s="7"/>
      <c r="B64851" s="7"/>
    </row>
    <row r="64852" ht="15.75" customHeight="1">
      <c r="A64852" s="7"/>
      <c r="B64852" s="7"/>
    </row>
    <row r="64853" ht="15.75" customHeight="1">
      <c r="A64853" s="7"/>
      <c r="B64853" s="7"/>
    </row>
    <row r="64854" ht="15.75" customHeight="1">
      <c r="A64854" s="7"/>
      <c r="B64854" s="7"/>
    </row>
    <row r="64855" ht="15.75" customHeight="1">
      <c r="A64855" s="7"/>
      <c r="B64855" s="7"/>
    </row>
    <row r="64856" ht="15.75" customHeight="1">
      <c r="A64856" s="7"/>
      <c r="B64856" s="7"/>
    </row>
    <row r="64857" ht="15.75" customHeight="1">
      <c r="A64857" s="7"/>
      <c r="B64857" s="7"/>
    </row>
    <row r="64858" ht="15.75" customHeight="1">
      <c r="A64858" s="7"/>
      <c r="B64858" s="7"/>
    </row>
    <row r="64859" ht="15.75" customHeight="1">
      <c r="A64859" s="7"/>
      <c r="B64859" s="7"/>
    </row>
    <row r="64860" ht="15.75" customHeight="1">
      <c r="A64860" s="7"/>
      <c r="B64860" s="7"/>
    </row>
    <row r="64861" ht="15.75" customHeight="1">
      <c r="A64861" s="7"/>
      <c r="B64861" s="7"/>
    </row>
    <row r="64862" ht="15.75" customHeight="1">
      <c r="A64862" s="7"/>
      <c r="B64862" s="7"/>
    </row>
    <row r="64863" ht="15.75" customHeight="1">
      <c r="A64863" s="7"/>
      <c r="B64863" s="7"/>
    </row>
    <row r="64864" ht="15.75" customHeight="1">
      <c r="A64864" s="7"/>
      <c r="B64864" s="7"/>
    </row>
    <row r="64865" ht="15.75" customHeight="1">
      <c r="A64865" s="7"/>
      <c r="B64865" s="7"/>
    </row>
    <row r="64866" ht="15.75" customHeight="1">
      <c r="A64866" s="7"/>
      <c r="B64866" s="7"/>
    </row>
    <row r="64867" ht="15.75" customHeight="1">
      <c r="A64867" s="7"/>
      <c r="B64867" s="7"/>
    </row>
    <row r="64868" ht="15.75" customHeight="1">
      <c r="A64868" s="7"/>
      <c r="B64868" s="7"/>
    </row>
    <row r="64869" ht="15.75" customHeight="1">
      <c r="A64869" s="7"/>
      <c r="B64869" s="7"/>
    </row>
    <row r="64870" ht="15.75" customHeight="1">
      <c r="A64870" s="7"/>
      <c r="B64870" s="7"/>
    </row>
    <row r="64871" ht="15.75" customHeight="1">
      <c r="A64871" s="7"/>
      <c r="B64871" s="7"/>
    </row>
    <row r="64872" ht="15.75" customHeight="1">
      <c r="A64872" s="7"/>
      <c r="B64872" s="7"/>
    </row>
    <row r="64873" ht="15.75" customHeight="1">
      <c r="A64873" s="7"/>
      <c r="B64873" s="7"/>
    </row>
    <row r="64874" ht="15.75" customHeight="1">
      <c r="A64874" s="7"/>
      <c r="B64874" s="7"/>
    </row>
    <row r="64875" ht="15.75" customHeight="1">
      <c r="A64875" s="7"/>
      <c r="B64875" s="7"/>
    </row>
    <row r="64876" ht="15.75" customHeight="1">
      <c r="A64876" s="7"/>
      <c r="B64876" s="7"/>
    </row>
    <row r="64877" ht="15.75" customHeight="1">
      <c r="A64877" s="7"/>
      <c r="B64877" s="7"/>
    </row>
    <row r="64878" ht="15.75" customHeight="1">
      <c r="A64878" s="7"/>
      <c r="B64878" s="7"/>
    </row>
    <row r="64879" ht="15.75" customHeight="1">
      <c r="A64879" s="7"/>
      <c r="B64879" s="7"/>
    </row>
    <row r="64880" ht="15.75" customHeight="1">
      <c r="A64880" s="7"/>
      <c r="B64880" s="7"/>
    </row>
    <row r="64881" ht="15.75" customHeight="1">
      <c r="A64881" s="7"/>
      <c r="B64881" s="7"/>
    </row>
    <row r="64882" ht="15.75" customHeight="1">
      <c r="A64882" s="7"/>
      <c r="B64882" s="7"/>
    </row>
    <row r="64883" ht="15.75" customHeight="1">
      <c r="A64883" s="7"/>
      <c r="B64883" s="7"/>
    </row>
    <row r="64884" ht="15.75" customHeight="1">
      <c r="A64884" s="7"/>
      <c r="B64884" s="7"/>
    </row>
    <row r="64885" ht="15.75" customHeight="1">
      <c r="A64885" s="7"/>
      <c r="B64885" s="7"/>
    </row>
    <row r="64886" ht="15.75" customHeight="1">
      <c r="A64886" s="7"/>
      <c r="B64886" s="7"/>
    </row>
    <row r="64887" ht="15.75" customHeight="1">
      <c r="A64887" s="7"/>
      <c r="B64887" s="7"/>
    </row>
    <row r="64888" ht="15.75" customHeight="1">
      <c r="A64888" s="7"/>
      <c r="B64888" s="7"/>
    </row>
    <row r="64889" ht="15.75" customHeight="1">
      <c r="A64889" s="7"/>
      <c r="B64889" s="7"/>
    </row>
    <row r="64890" ht="15.75" customHeight="1">
      <c r="A64890" s="7"/>
      <c r="B64890" s="7"/>
    </row>
    <row r="64891" ht="15.75" customHeight="1">
      <c r="A64891" s="7"/>
      <c r="B64891" s="7"/>
    </row>
    <row r="64892" ht="15.75" customHeight="1">
      <c r="A64892" s="7"/>
      <c r="B64892" s="7"/>
    </row>
    <row r="64893" ht="15.75" customHeight="1">
      <c r="A64893" s="7"/>
      <c r="B64893" s="7"/>
    </row>
    <row r="64894" ht="15.75" customHeight="1">
      <c r="A64894" s="7"/>
      <c r="B64894" s="7"/>
    </row>
    <row r="64895" ht="15.75" customHeight="1">
      <c r="A64895" s="7"/>
      <c r="B64895" s="7"/>
    </row>
    <row r="64896" ht="15.75" customHeight="1">
      <c r="A64896" s="7"/>
      <c r="B64896" s="7"/>
    </row>
    <row r="64897" ht="15.75" customHeight="1">
      <c r="A64897" s="7"/>
      <c r="B64897" s="7"/>
    </row>
    <row r="64898" ht="15.75" customHeight="1">
      <c r="A64898" s="7"/>
      <c r="B64898" s="7"/>
    </row>
    <row r="64899" ht="15.75" customHeight="1">
      <c r="A64899" s="7"/>
      <c r="B64899" s="7"/>
    </row>
    <row r="64900" ht="15.75" customHeight="1">
      <c r="A64900" s="7"/>
      <c r="B64900" s="7"/>
    </row>
    <row r="64901" ht="15.75" customHeight="1">
      <c r="A64901" s="7"/>
      <c r="B64901" s="7"/>
    </row>
    <row r="64902" ht="15.75" customHeight="1">
      <c r="A64902" s="7"/>
      <c r="B64902" s="7"/>
    </row>
    <row r="64903" ht="15.75" customHeight="1">
      <c r="A64903" s="7"/>
      <c r="B64903" s="7"/>
    </row>
    <row r="64904" ht="15.75" customHeight="1">
      <c r="A64904" s="7"/>
      <c r="B64904" s="7"/>
    </row>
    <row r="64905" ht="15.75" customHeight="1">
      <c r="A64905" s="7"/>
      <c r="B64905" s="7"/>
    </row>
    <row r="64906" ht="15.75" customHeight="1">
      <c r="A64906" s="7"/>
      <c r="B64906" s="7"/>
    </row>
    <row r="64907" ht="15.75" customHeight="1">
      <c r="A64907" s="7"/>
      <c r="B64907" s="7"/>
    </row>
    <row r="64908" ht="15.75" customHeight="1">
      <c r="A64908" s="7"/>
      <c r="B64908" s="7"/>
    </row>
    <row r="64909" ht="15.75" customHeight="1">
      <c r="A64909" s="7"/>
      <c r="B64909" s="7"/>
    </row>
    <row r="64910" ht="15.75" customHeight="1">
      <c r="A64910" s="7"/>
      <c r="B64910" s="7"/>
    </row>
    <row r="64911" ht="15.75" customHeight="1">
      <c r="A64911" s="7"/>
      <c r="B64911" s="7"/>
    </row>
    <row r="64912" ht="15.75" customHeight="1">
      <c r="A64912" s="7"/>
      <c r="B64912" s="7"/>
    </row>
    <row r="64913" ht="15.75" customHeight="1">
      <c r="A64913" s="7"/>
      <c r="B64913" s="7"/>
    </row>
    <row r="64914" ht="15.75" customHeight="1">
      <c r="A64914" s="7"/>
      <c r="B64914" s="7"/>
    </row>
    <row r="64915" ht="15.75" customHeight="1">
      <c r="A64915" s="7"/>
      <c r="B64915" s="7"/>
    </row>
    <row r="64916" ht="15.75" customHeight="1">
      <c r="A64916" s="7"/>
      <c r="B64916" s="7"/>
    </row>
    <row r="64917" ht="15.75" customHeight="1">
      <c r="A64917" s="7"/>
      <c r="B64917" s="7"/>
    </row>
    <row r="64918" ht="15.75" customHeight="1">
      <c r="A64918" s="7"/>
      <c r="B64918" s="7"/>
    </row>
    <row r="64919" ht="15.75" customHeight="1">
      <c r="A64919" s="7"/>
      <c r="B64919" s="7"/>
    </row>
    <row r="64920" ht="15.75" customHeight="1">
      <c r="A64920" s="7"/>
      <c r="B64920" s="7"/>
    </row>
    <row r="64921" ht="15.75" customHeight="1">
      <c r="A64921" s="7"/>
      <c r="B64921" s="7"/>
    </row>
    <row r="64922" ht="15.75" customHeight="1">
      <c r="A64922" s="7"/>
      <c r="B64922" s="7"/>
    </row>
    <row r="64923" ht="15.75" customHeight="1">
      <c r="A64923" s="7"/>
      <c r="B64923" s="7"/>
    </row>
    <row r="64924" ht="15.75" customHeight="1">
      <c r="A64924" s="7"/>
      <c r="B64924" s="7"/>
    </row>
    <row r="64925" ht="15.75" customHeight="1">
      <c r="A64925" s="7"/>
      <c r="B64925" s="7"/>
    </row>
    <row r="64926" ht="15.75" customHeight="1">
      <c r="A64926" s="7"/>
      <c r="B64926" s="7"/>
    </row>
    <row r="64927" ht="15.75" customHeight="1">
      <c r="A64927" s="7"/>
      <c r="B64927" s="7"/>
    </row>
    <row r="64928" ht="15.75" customHeight="1">
      <c r="A64928" s="7"/>
      <c r="B64928" s="7"/>
    </row>
    <row r="64929" ht="15.75" customHeight="1">
      <c r="A64929" s="7"/>
      <c r="B64929" s="7"/>
    </row>
    <row r="64930" ht="15.75" customHeight="1">
      <c r="A64930" s="7"/>
      <c r="B64930" s="7"/>
    </row>
    <row r="64931" ht="15.75" customHeight="1">
      <c r="A64931" s="7"/>
      <c r="B64931" s="7"/>
    </row>
    <row r="64932" ht="15.75" customHeight="1">
      <c r="A64932" s="7"/>
      <c r="B64932" s="7"/>
    </row>
    <row r="64933" ht="15.75" customHeight="1">
      <c r="A64933" s="7"/>
      <c r="B64933" s="7"/>
    </row>
    <row r="64934" ht="15.75" customHeight="1">
      <c r="A64934" s="7"/>
      <c r="B64934" s="7"/>
    </row>
    <row r="64935" ht="15.75" customHeight="1">
      <c r="A64935" s="7"/>
      <c r="B64935" s="7"/>
    </row>
    <row r="64936" ht="15.75" customHeight="1">
      <c r="A64936" s="7"/>
      <c r="B64936" s="7"/>
    </row>
    <row r="64937" ht="15.75" customHeight="1">
      <c r="A64937" s="7"/>
      <c r="B64937" s="7"/>
    </row>
    <row r="64938" ht="15.75" customHeight="1">
      <c r="A64938" s="7"/>
      <c r="B64938" s="7"/>
    </row>
    <row r="64939" ht="15.75" customHeight="1">
      <c r="A64939" s="7"/>
      <c r="B64939" s="7"/>
    </row>
    <row r="64940" ht="15.75" customHeight="1">
      <c r="A64940" s="7"/>
      <c r="B64940" s="7"/>
    </row>
    <row r="64941" ht="15.75" customHeight="1">
      <c r="A64941" s="7"/>
      <c r="B64941" s="7"/>
    </row>
    <row r="64942" ht="15.75" customHeight="1">
      <c r="A64942" s="7"/>
      <c r="B64942" s="7"/>
    </row>
    <row r="64943" ht="15.75" customHeight="1">
      <c r="A64943" s="7"/>
      <c r="B64943" s="7"/>
    </row>
    <row r="64944" ht="15.75" customHeight="1">
      <c r="A64944" s="7"/>
      <c r="B64944" s="7"/>
    </row>
    <row r="64945" ht="15.75" customHeight="1">
      <c r="A64945" s="7"/>
      <c r="B64945" s="7"/>
    </row>
    <row r="64946" ht="15.75" customHeight="1">
      <c r="A64946" s="7"/>
      <c r="B64946" s="7"/>
    </row>
    <row r="64947" ht="15.75" customHeight="1">
      <c r="A64947" s="7"/>
      <c r="B64947" s="7"/>
    </row>
    <row r="64948" ht="15.75" customHeight="1">
      <c r="A64948" s="7"/>
      <c r="B64948" s="7"/>
    </row>
    <row r="64949" ht="15.75" customHeight="1">
      <c r="A64949" s="7"/>
      <c r="B64949" s="7"/>
    </row>
    <row r="64950" ht="15.75" customHeight="1">
      <c r="A64950" s="7"/>
      <c r="B64950" s="7"/>
    </row>
    <row r="64951" ht="15.75" customHeight="1">
      <c r="A64951" s="7"/>
      <c r="B64951" s="7"/>
    </row>
    <row r="64952" ht="15.75" customHeight="1">
      <c r="A64952" s="7"/>
      <c r="B64952" s="7"/>
    </row>
    <row r="64953" ht="15.75" customHeight="1">
      <c r="A64953" s="7"/>
      <c r="B64953" s="7"/>
    </row>
    <row r="64954" ht="15.75" customHeight="1">
      <c r="A64954" s="7"/>
      <c r="B64954" s="7"/>
    </row>
    <row r="64955" ht="15.75" customHeight="1">
      <c r="A64955" s="7"/>
      <c r="B64955" s="7"/>
    </row>
    <row r="64956" ht="15.75" customHeight="1">
      <c r="A64956" s="7"/>
      <c r="B64956" s="7"/>
    </row>
    <row r="64957" ht="15.75" customHeight="1">
      <c r="A64957" s="7"/>
      <c r="B64957" s="7"/>
    </row>
    <row r="64958" ht="15.75" customHeight="1">
      <c r="A64958" s="7"/>
      <c r="B64958" s="7"/>
    </row>
    <row r="64959" ht="15.75" customHeight="1">
      <c r="A64959" s="7"/>
      <c r="B64959" s="7"/>
    </row>
    <row r="64960" ht="15.75" customHeight="1">
      <c r="A64960" s="7"/>
      <c r="B64960" s="7"/>
    </row>
    <row r="64961" ht="15.75" customHeight="1">
      <c r="A64961" s="7"/>
      <c r="B64961" s="7"/>
    </row>
    <row r="64962" ht="15.75" customHeight="1">
      <c r="A64962" s="7"/>
      <c r="B64962" s="7"/>
    </row>
    <row r="64963" ht="15.75" customHeight="1">
      <c r="A64963" s="7"/>
      <c r="B64963" s="7"/>
    </row>
    <row r="64964" ht="15.75" customHeight="1">
      <c r="A64964" s="7"/>
      <c r="B64964" s="7"/>
    </row>
    <row r="64965" ht="15.75" customHeight="1">
      <c r="A64965" s="7"/>
      <c r="B64965" s="7"/>
    </row>
    <row r="64966" ht="15.75" customHeight="1">
      <c r="A64966" s="7"/>
      <c r="B64966" s="7"/>
    </row>
    <row r="64967" ht="15.75" customHeight="1">
      <c r="A64967" s="7"/>
      <c r="B64967" s="7"/>
    </row>
    <row r="64968" ht="15.75" customHeight="1">
      <c r="A64968" s="7"/>
      <c r="B64968" s="7"/>
    </row>
    <row r="64969" ht="15.75" customHeight="1">
      <c r="A64969" s="7"/>
      <c r="B64969" s="7"/>
    </row>
    <row r="64970" ht="15.75" customHeight="1">
      <c r="A64970" s="7"/>
      <c r="B64970" s="7"/>
    </row>
    <row r="64971" ht="15.75" customHeight="1">
      <c r="A64971" s="7"/>
      <c r="B64971" s="7"/>
    </row>
    <row r="64972" ht="15.75" customHeight="1">
      <c r="A64972" s="7"/>
      <c r="B64972" s="7"/>
    </row>
    <row r="64973" ht="15.75" customHeight="1">
      <c r="A64973" s="7"/>
      <c r="B64973" s="7"/>
    </row>
    <row r="64974" ht="15.75" customHeight="1">
      <c r="A64974" s="7"/>
      <c r="B64974" s="7"/>
    </row>
    <row r="64975" ht="15.75" customHeight="1">
      <c r="A64975" s="7"/>
      <c r="B64975" s="7"/>
    </row>
    <row r="64976" ht="15.75" customHeight="1">
      <c r="A64976" s="7"/>
      <c r="B64976" s="7"/>
    </row>
    <row r="64977" ht="15.75" customHeight="1">
      <c r="A64977" s="7"/>
      <c r="B64977" s="7"/>
    </row>
    <row r="64978" ht="15.75" customHeight="1">
      <c r="A64978" s="7"/>
      <c r="B64978" s="7"/>
    </row>
    <row r="64979" ht="15.75" customHeight="1">
      <c r="A64979" s="7"/>
      <c r="B64979" s="7"/>
    </row>
    <row r="64980" ht="15.75" customHeight="1">
      <c r="A64980" s="7"/>
      <c r="B64980" s="7"/>
    </row>
    <row r="64981" ht="15.75" customHeight="1">
      <c r="A64981" s="7"/>
      <c r="B64981" s="7"/>
    </row>
    <row r="64982" ht="15.75" customHeight="1">
      <c r="A64982" s="7"/>
      <c r="B64982" s="7"/>
    </row>
    <row r="64983" ht="15.75" customHeight="1">
      <c r="A64983" s="7"/>
      <c r="B64983" s="7"/>
    </row>
    <row r="64984" ht="15.75" customHeight="1">
      <c r="A64984" s="7"/>
      <c r="B64984" s="7"/>
    </row>
    <row r="64985" ht="15.75" customHeight="1">
      <c r="A64985" s="7"/>
      <c r="B64985" s="7"/>
    </row>
    <row r="64986" ht="15.75" customHeight="1">
      <c r="A64986" s="7"/>
      <c r="B64986" s="7"/>
    </row>
    <row r="64987" ht="15.75" customHeight="1">
      <c r="A64987" s="7"/>
      <c r="B64987" s="7"/>
    </row>
    <row r="64988" ht="15.75" customHeight="1">
      <c r="A64988" s="7"/>
      <c r="B64988" s="7"/>
    </row>
    <row r="64989" ht="15.75" customHeight="1">
      <c r="A64989" s="7"/>
      <c r="B64989" s="7"/>
    </row>
    <row r="64990" ht="15.75" customHeight="1">
      <c r="A64990" s="7"/>
      <c r="B64990" s="7"/>
    </row>
    <row r="64991" ht="15.75" customHeight="1">
      <c r="A64991" s="7"/>
      <c r="B64991" s="7"/>
    </row>
    <row r="64992" ht="15.75" customHeight="1">
      <c r="A64992" s="7"/>
      <c r="B64992" s="7"/>
    </row>
    <row r="64993" ht="15.75" customHeight="1">
      <c r="A64993" s="7"/>
      <c r="B64993" s="7"/>
    </row>
    <row r="64994" ht="15.75" customHeight="1">
      <c r="A64994" s="7"/>
      <c r="B64994" s="7"/>
    </row>
    <row r="64995" ht="15.75" customHeight="1">
      <c r="A64995" s="7"/>
      <c r="B64995" s="7"/>
    </row>
    <row r="64996" ht="15.75" customHeight="1">
      <c r="A64996" s="7"/>
      <c r="B64996" s="7"/>
    </row>
    <row r="64997" ht="15.75" customHeight="1">
      <c r="A64997" s="7"/>
      <c r="B64997" s="7"/>
    </row>
    <row r="64998" ht="15.75" customHeight="1">
      <c r="A64998" s="7"/>
      <c r="B64998" s="7"/>
    </row>
    <row r="64999" ht="15.75" customHeight="1">
      <c r="A64999" s="7"/>
      <c r="B64999" s="7"/>
    </row>
    <row r="65000" ht="15.75" customHeight="1">
      <c r="A65000" s="7"/>
      <c r="B65000" s="7"/>
    </row>
    <row r="65001" ht="15.75" customHeight="1">
      <c r="A65001" s="7"/>
      <c r="B65001" s="7"/>
    </row>
    <row r="65002" ht="15.75" customHeight="1">
      <c r="A65002" s="7"/>
      <c r="B65002" s="7"/>
    </row>
    <row r="65003" ht="15.75" customHeight="1">
      <c r="A65003" s="7"/>
      <c r="B65003" s="7"/>
    </row>
    <row r="65004" ht="15.75" customHeight="1">
      <c r="A65004" s="7"/>
      <c r="B65004" s="7"/>
    </row>
    <row r="65005" ht="15.75" customHeight="1">
      <c r="A65005" s="7"/>
      <c r="B65005" s="7"/>
    </row>
    <row r="65006" ht="15.75" customHeight="1">
      <c r="A65006" s="7"/>
      <c r="B65006" s="7"/>
    </row>
    <row r="65007" ht="15.75" customHeight="1">
      <c r="A65007" s="7"/>
      <c r="B65007" s="7"/>
    </row>
    <row r="65008" ht="15.75" customHeight="1">
      <c r="A65008" s="7"/>
      <c r="B65008" s="7"/>
    </row>
    <row r="65009" ht="15.75" customHeight="1">
      <c r="A65009" s="7"/>
      <c r="B65009" s="7"/>
    </row>
    <row r="65010" ht="15.75" customHeight="1">
      <c r="A65010" s="7"/>
      <c r="B65010" s="7"/>
    </row>
    <row r="65011" ht="15.75" customHeight="1">
      <c r="A65011" s="7"/>
      <c r="B65011" s="7"/>
    </row>
    <row r="65012" ht="15.75" customHeight="1">
      <c r="A65012" s="7"/>
      <c r="B65012" s="7"/>
    </row>
    <row r="65013" ht="15.75" customHeight="1">
      <c r="A65013" s="7"/>
      <c r="B65013" s="7"/>
    </row>
    <row r="65014" ht="15.75" customHeight="1">
      <c r="A65014" s="7"/>
      <c r="B65014" s="7"/>
    </row>
    <row r="65015" ht="15.75" customHeight="1">
      <c r="A65015" s="7"/>
      <c r="B65015" s="7"/>
    </row>
    <row r="65016" ht="15.75" customHeight="1">
      <c r="A65016" s="7"/>
      <c r="B65016" s="7"/>
    </row>
    <row r="65017" ht="15.75" customHeight="1">
      <c r="A65017" s="7"/>
      <c r="B65017" s="7"/>
    </row>
    <row r="65018" ht="15.75" customHeight="1">
      <c r="A65018" s="7"/>
      <c r="B65018" s="7"/>
    </row>
    <row r="65019" ht="15.75" customHeight="1">
      <c r="A65019" s="7"/>
      <c r="B65019" s="7"/>
    </row>
    <row r="65020" ht="15.75" customHeight="1">
      <c r="A65020" s="7"/>
      <c r="B65020" s="7"/>
    </row>
    <row r="65021" ht="15.75" customHeight="1">
      <c r="A65021" s="7"/>
      <c r="B65021" s="7"/>
    </row>
    <row r="65022" ht="15.75" customHeight="1">
      <c r="A65022" s="7"/>
      <c r="B65022" s="7"/>
    </row>
    <row r="65023" ht="15.75" customHeight="1">
      <c r="A65023" s="7"/>
      <c r="B65023" s="7"/>
    </row>
    <row r="65024" ht="15.75" customHeight="1">
      <c r="A65024" s="7"/>
      <c r="B65024" s="7"/>
    </row>
    <row r="65025" ht="15.75" customHeight="1">
      <c r="A65025" s="7"/>
      <c r="B65025" s="7"/>
    </row>
    <row r="65026" ht="15.75" customHeight="1">
      <c r="A65026" s="7"/>
      <c r="B65026" s="7"/>
    </row>
    <row r="65027" ht="15.75" customHeight="1">
      <c r="A65027" s="7"/>
      <c r="B65027" s="7"/>
    </row>
    <row r="65028" ht="15.75" customHeight="1">
      <c r="A65028" s="7"/>
      <c r="B65028" s="7"/>
    </row>
    <row r="65029" ht="15.75" customHeight="1">
      <c r="A65029" s="7"/>
      <c r="B65029" s="7"/>
    </row>
    <row r="65030" ht="15.75" customHeight="1">
      <c r="A65030" s="7"/>
      <c r="B65030" s="7"/>
    </row>
    <row r="65031" ht="15.75" customHeight="1">
      <c r="A65031" s="7"/>
      <c r="B65031" s="7"/>
    </row>
    <row r="65032" ht="15.75" customHeight="1">
      <c r="A65032" s="7"/>
      <c r="B65032" s="7"/>
    </row>
    <row r="65033" ht="15.75" customHeight="1">
      <c r="A65033" s="7"/>
      <c r="B65033" s="7"/>
    </row>
    <row r="65034" ht="15.75" customHeight="1">
      <c r="A65034" s="7"/>
      <c r="B65034" s="7"/>
    </row>
    <row r="65035" ht="15.75" customHeight="1">
      <c r="A65035" s="7"/>
      <c r="B65035" s="7"/>
    </row>
    <row r="65036" ht="15.75" customHeight="1">
      <c r="A65036" s="7"/>
      <c r="B65036" s="7"/>
    </row>
    <row r="65037" ht="15.75" customHeight="1">
      <c r="A65037" s="7"/>
      <c r="B65037" s="7"/>
    </row>
    <row r="65038" ht="15.75" customHeight="1">
      <c r="A65038" s="7"/>
      <c r="B65038" s="7"/>
    </row>
    <row r="65039" ht="15.75" customHeight="1">
      <c r="A65039" s="7"/>
      <c r="B65039" s="7"/>
    </row>
    <row r="65040" ht="15.75" customHeight="1">
      <c r="A65040" s="7"/>
      <c r="B65040" s="7"/>
    </row>
    <row r="65041" ht="15.75" customHeight="1">
      <c r="A65041" s="7"/>
      <c r="B65041" s="7"/>
    </row>
    <row r="65042" ht="15.75" customHeight="1">
      <c r="A65042" s="7"/>
      <c r="B65042" s="7"/>
    </row>
    <row r="65043" ht="15.75" customHeight="1">
      <c r="A65043" s="7"/>
      <c r="B65043" s="7"/>
    </row>
    <row r="65044" ht="15.75" customHeight="1">
      <c r="A65044" s="7"/>
      <c r="B65044" s="7"/>
    </row>
    <row r="65045" ht="15.75" customHeight="1">
      <c r="A65045" s="7"/>
      <c r="B65045" s="7"/>
    </row>
    <row r="65046" ht="15.75" customHeight="1">
      <c r="A65046" s="7"/>
      <c r="B65046" s="7"/>
    </row>
    <row r="65047" ht="15.75" customHeight="1">
      <c r="A65047" s="7"/>
      <c r="B65047" s="7"/>
    </row>
    <row r="65048" ht="15.75" customHeight="1">
      <c r="A65048" s="7"/>
      <c r="B65048" s="7"/>
    </row>
    <row r="65049" ht="15.75" customHeight="1">
      <c r="A65049" s="7"/>
      <c r="B65049" s="7"/>
    </row>
    <row r="65050" ht="15.75" customHeight="1">
      <c r="A65050" s="7"/>
      <c r="B65050" s="7"/>
    </row>
    <row r="65051" ht="15.75" customHeight="1">
      <c r="A65051" s="7"/>
      <c r="B65051" s="7"/>
    </row>
    <row r="65052" ht="15.75" customHeight="1">
      <c r="A65052" s="7"/>
      <c r="B65052" s="7"/>
    </row>
    <row r="65053" ht="15.75" customHeight="1">
      <c r="A65053" s="7"/>
      <c r="B65053" s="7"/>
    </row>
    <row r="65054" ht="15.75" customHeight="1">
      <c r="A65054" s="7"/>
      <c r="B65054" s="7"/>
    </row>
    <row r="65055" ht="15.75" customHeight="1">
      <c r="A65055" s="7"/>
      <c r="B65055" s="7"/>
    </row>
    <row r="65056" ht="15.75" customHeight="1">
      <c r="A65056" s="7"/>
      <c r="B65056" s="7"/>
    </row>
    <row r="65057" ht="15.75" customHeight="1">
      <c r="A65057" s="7"/>
      <c r="B65057" s="7"/>
    </row>
    <row r="65058" ht="15.75" customHeight="1">
      <c r="A65058" s="7"/>
      <c r="B65058" s="7"/>
    </row>
    <row r="65059" ht="15.75" customHeight="1">
      <c r="A65059" s="7"/>
      <c r="B65059" s="7"/>
    </row>
    <row r="65060" ht="15.75" customHeight="1">
      <c r="A65060" s="7"/>
      <c r="B65060" s="7"/>
    </row>
    <row r="65061" ht="15.75" customHeight="1">
      <c r="A65061" s="7"/>
      <c r="B65061" s="7"/>
    </row>
    <row r="65062" ht="15.75" customHeight="1">
      <c r="A65062" s="7"/>
      <c r="B65062" s="7"/>
    </row>
    <row r="65063" ht="15.75" customHeight="1">
      <c r="A65063" s="7"/>
      <c r="B65063" s="7"/>
    </row>
    <row r="65064" ht="15.75" customHeight="1">
      <c r="A65064" s="7"/>
      <c r="B65064" s="7"/>
    </row>
    <row r="65065" ht="15.75" customHeight="1">
      <c r="A65065" s="7"/>
      <c r="B65065" s="7"/>
    </row>
    <row r="65066" ht="15.75" customHeight="1">
      <c r="A65066" s="7"/>
      <c r="B65066" s="7"/>
    </row>
    <row r="65067" ht="15.75" customHeight="1">
      <c r="A65067" s="7"/>
      <c r="B65067" s="7"/>
    </row>
    <row r="65068" ht="15.75" customHeight="1">
      <c r="A65068" s="7"/>
      <c r="B65068" s="7"/>
    </row>
    <row r="65069" ht="15.75" customHeight="1">
      <c r="A65069" s="7"/>
      <c r="B65069" s="7"/>
    </row>
    <row r="65070" ht="15.75" customHeight="1">
      <c r="A65070" s="7"/>
      <c r="B65070" s="7"/>
    </row>
    <row r="65071" ht="15.75" customHeight="1">
      <c r="A65071" s="7"/>
      <c r="B65071" s="7"/>
    </row>
    <row r="65072" ht="15.75" customHeight="1">
      <c r="A65072" s="7"/>
      <c r="B65072" s="7"/>
    </row>
    <row r="65073" ht="15.75" customHeight="1">
      <c r="A65073" s="7"/>
      <c r="B65073" s="7"/>
    </row>
    <row r="65074" ht="15.75" customHeight="1">
      <c r="A65074" s="7"/>
      <c r="B65074" s="7"/>
    </row>
    <row r="65075" ht="15.75" customHeight="1">
      <c r="A65075" s="7"/>
      <c r="B65075" s="7"/>
    </row>
    <row r="65076" ht="15.75" customHeight="1">
      <c r="A65076" s="7"/>
      <c r="B65076" s="7"/>
    </row>
    <row r="65077" ht="15.75" customHeight="1">
      <c r="A65077" s="7"/>
      <c r="B65077" s="7"/>
    </row>
    <row r="65078" ht="15.75" customHeight="1">
      <c r="A65078" s="7"/>
      <c r="B65078" s="7"/>
    </row>
    <row r="65079" ht="15.75" customHeight="1">
      <c r="A65079" s="7"/>
      <c r="B65079" s="7"/>
    </row>
    <row r="65080" ht="15.75" customHeight="1">
      <c r="A65080" s="7"/>
      <c r="B65080" s="7"/>
    </row>
    <row r="65081" ht="15.75" customHeight="1">
      <c r="A65081" s="7"/>
      <c r="B65081" s="7"/>
    </row>
    <row r="65082" ht="15.75" customHeight="1">
      <c r="A65082" s="7"/>
      <c r="B65082" s="7"/>
    </row>
    <row r="65083" ht="15.75" customHeight="1">
      <c r="A65083" s="7"/>
      <c r="B65083" s="7"/>
    </row>
    <row r="65084" ht="15.75" customHeight="1">
      <c r="A65084" s="7"/>
      <c r="B65084" s="7"/>
    </row>
    <row r="65085" ht="15.75" customHeight="1">
      <c r="A65085" s="7"/>
      <c r="B65085" s="7"/>
    </row>
    <row r="65086" ht="15.75" customHeight="1">
      <c r="A65086" s="7"/>
      <c r="B65086" s="7"/>
    </row>
    <row r="65087" ht="15.75" customHeight="1">
      <c r="A65087" s="7"/>
      <c r="B65087" s="7"/>
    </row>
    <row r="65088" ht="15.75" customHeight="1">
      <c r="A65088" s="7"/>
      <c r="B65088" s="7"/>
    </row>
    <row r="65089" ht="15.75" customHeight="1">
      <c r="A65089" s="7"/>
      <c r="B65089" s="7"/>
    </row>
    <row r="65090" ht="15.75" customHeight="1">
      <c r="A65090" s="7"/>
      <c r="B65090" s="7"/>
    </row>
    <row r="65091" ht="15.75" customHeight="1">
      <c r="A65091" s="7"/>
      <c r="B65091" s="7"/>
    </row>
    <row r="65092" ht="15.75" customHeight="1">
      <c r="A65092" s="7"/>
      <c r="B65092" s="7"/>
    </row>
    <row r="65093" ht="15.75" customHeight="1">
      <c r="A65093" s="7"/>
      <c r="B65093" s="7"/>
    </row>
    <row r="65094" ht="15.75" customHeight="1">
      <c r="A65094" s="7"/>
      <c r="B65094" s="7"/>
    </row>
    <row r="65095" ht="15.75" customHeight="1">
      <c r="A65095" s="7"/>
      <c r="B65095" s="7"/>
    </row>
    <row r="65096" ht="15.75" customHeight="1">
      <c r="A65096" s="7"/>
      <c r="B65096" s="7"/>
    </row>
    <row r="65097" ht="15.75" customHeight="1">
      <c r="A65097" s="7"/>
      <c r="B65097" s="7"/>
    </row>
    <row r="65098" ht="15.75" customHeight="1">
      <c r="A65098" s="7"/>
      <c r="B65098" s="7"/>
    </row>
    <row r="65099" ht="15.75" customHeight="1">
      <c r="A65099" s="7"/>
      <c r="B65099" s="7"/>
    </row>
    <row r="65100" ht="15.75" customHeight="1">
      <c r="A65100" s="7"/>
      <c r="B65100" s="7"/>
    </row>
    <row r="65101" ht="15.75" customHeight="1">
      <c r="A65101" s="7"/>
      <c r="B65101" s="7"/>
    </row>
    <row r="65102" ht="15.75" customHeight="1">
      <c r="A65102" s="7"/>
      <c r="B65102" s="7"/>
    </row>
    <row r="65103" ht="15.75" customHeight="1">
      <c r="A65103" s="7"/>
      <c r="B65103" s="7"/>
    </row>
    <row r="65104" ht="15.75" customHeight="1">
      <c r="A65104" s="7"/>
      <c r="B65104" s="7"/>
    </row>
    <row r="65105" ht="15.75" customHeight="1">
      <c r="A65105" s="7"/>
      <c r="B65105" s="7"/>
    </row>
    <row r="65106" ht="15.75" customHeight="1">
      <c r="A65106" s="7"/>
      <c r="B65106" s="7"/>
    </row>
    <row r="65107" ht="15.75" customHeight="1">
      <c r="A65107" s="7"/>
      <c r="B65107" s="7"/>
    </row>
    <row r="65108" ht="15.75" customHeight="1">
      <c r="A65108" s="7"/>
      <c r="B65108" s="7"/>
    </row>
    <row r="65109" ht="15.75" customHeight="1">
      <c r="A65109" s="7"/>
      <c r="B65109" s="7"/>
    </row>
    <row r="65110" ht="15.75" customHeight="1">
      <c r="A65110" s="7"/>
      <c r="B65110" s="7"/>
    </row>
    <row r="65111" ht="15.75" customHeight="1">
      <c r="A65111" s="7"/>
      <c r="B65111" s="7"/>
    </row>
    <row r="65112" ht="15.75" customHeight="1">
      <c r="A65112" s="7"/>
      <c r="B65112" s="7"/>
    </row>
    <row r="65113" ht="15.75" customHeight="1">
      <c r="A65113" s="7"/>
      <c r="B65113" s="7"/>
    </row>
    <row r="65114" ht="15.75" customHeight="1">
      <c r="A65114" s="7"/>
      <c r="B65114" s="7"/>
    </row>
    <row r="65115" ht="15.75" customHeight="1">
      <c r="A65115" s="7"/>
      <c r="B65115" s="7"/>
    </row>
    <row r="65116" ht="15.75" customHeight="1">
      <c r="A65116" s="7"/>
      <c r="B65116" s="7"/>
    </row>
    <row r="65117" ht="15.75" customHeight="1">
      <c r="A65117" s="7"/>
      <c r="B65117" s="7"/>
    </row>
    <row r="65118" ht="15.75" customHeight="1">
      <c r="A65118" s="7"/>
      <c r="B65118" s="7"/>
    </row>
    <row r="65119" ht="15.75" customHeight="1">
      <c r="A65119" s="7"/>
      <c r="B65119" s="7"/>
    </row>
    <row r="65120" ht="15.75" customHeight="1">
      <c r="A65120" s="7"/>
      <c r="B65120" s="7"/>
    </row>
    <row r="65121" ht="15.75" customHeight="1">
      <c r="A65121" s="7"/>
      <c r="B65121" s="7"/>
    </row>
    <row r="65122" ht="15.75" customHeight="1">
      <c r="A65122" s="7"/>
      <c r="B65122" s="7"/>
    </row>
    <row r="65123" ht="15.75" customHeight="1">
      <c r="A65123" s="7"/>
      <c r="B65123" s="7"/>
    </row>
    <row r="65124" ht="15.75" customHeight="1">
      <c r="A65124" s="7"/>
      <c r="B65124" s="7"/>
    </row>
    <row r="65125" ht="15.75" customHeight="1">
      <c r="A65125" s="7"/>
      <c r="B65125" s="7"/>
    </row>
    <row r="65126" ht="15.75" customHeight="1">
      <c r="A65126" s="7"/>
      <c r="B65126" s="7"/>
    </row>
    <row r="65127" ht="15.75" customHeight="1">
      <c r="A65127" s="7"/>
      <c r="B65127" s="7"/>
    </row>
    <row r="65128" ht="15.75" customHeight="1">
      <c r="A65128" s="7"/>
      <c r="B65128" s="7"/>
    </row>
    <row r="65129" ht="15.75" customHeight="1">
      <c r="A65129" s="7"/>
      <c r="B65129" s="7"/>
    </row>
    <row r="65130" ht="15.75" customHeight="1">
      <c r="A65130" s="7"/>
      <c r="B65130" s="7"/>
    </row>
    <row r="65131" ht="15.75" customHeight="1">
      <c r="A65131" s="7"/>
      <c r="B65131" s="7"/>
    </row>
    <row r="65132" ht="15.75" customHeight="1">
      <c r="A65132" s="7"/>
      <c r="B65132" s="7"/>
    </row>
    <row r="65133" ht="15.75" customHeight="1">
      <c r="A65133" s="7"/>
      <c r="B65133" s="7"/>
    </row>
    <row r="65134" ht="15.75" customHeight="1">
      <c r="A65134" s="7"/>
      <c r="B65134" s="7"/>
    </row>
    <row r="65135" ht="15.75" customHeight="1">
      <c r="A65135" s="7"/>
      <c r="B65135" s="7"/>
    </row>
    <row r="65136" ht="15.75" customHeight="1">
      <c r="A65136" s="7"/>
      <c r="B65136" s="7"/>
    </row>
    <row r="65137" ht="15.75" customHeight="1">
      <c r="A65137" s="7"/>
      <c r="B65137" s="7"/>
    </row>
    <row r="65138" ht="15.75" customHeight="1">
      <c r="A65138" s="7"/>
      <c r="B65138" s="7"/>
    </row>
    <row r="65139" ht="15.75" customHeight="1">
      <c r="A65139" s="7"/>
      <c r="B65139" s="7"/>
    </row>
    <row r="65140" ht="15.75" customHeight="1">
      <c r="A65140" s="7"/>
      <c r="B65140" s="7"/>
    </row>
    <row r="65141" ht="15.75" customHeight="1">
      <c r="A65141" s="7"/>
      <c r="B65141" s="7"/>
    </row>
    <row r="65142" ht="15.75" customHeight="1">
      <c r="A65142" s="7"/>
      <c r="B65142" s="7"/>
    </row>
    <row r="65143" ht="15.75" customHeight="1">
      <c r="A65143" s="7"/>
      <c r="B65143" s="7"/>
    </row>
    <row r="65144" ht="15.75" customHeight="1">
      <c r="A65144" s="7"/>
      <c r="B65144" s="7"/>
    </row>
    <row r="65145" ht="15.75" customHeight="1">
      <c r="A65145" s="7"/>
      <c r="B65145" s="7"/>
    </row>
    <row r="65146" ht="15.75" customHeight="1">
      <c r="A65146" s="7"/>
      <c r="B65146" s="7"/>
    </row>
    <row r="65147" ht="15.75" customHeight="1">
      <c r="A65147" s="7"/>
      <c r="B65147" s="7"/>
    </row>
    <row r="65148" ht="15.75" customHeight="1">
      <c r="A65148" s="7"/>
      <c r="B65148" s="7"/>
    </row>
    <row r="65149" ht="15.75" customHeight="1">
      <c r="A65149" s="7"/>
      <c r="B65149" s="7"/>
    </row>
    <row r="65150" ht="15.75" customHeight="1">
      <c r="A65150" s="7"/>
      <c r="B65150" s="7"/>
    </row>
    <row r="65151" ht="15.75" customHeight="1">
      <c r="A65151" s="7"/>
      <c r="B65151" s="7"/>
    </row>
    <row r="65152" ht="15.75" customHeight="1">
      <c r="A65152" s="7"/>
      <c r="B65152" s="7"/>
    </row>
    <row r="65153" ht="15.75" customHeight="1">
      <c r="A65153" s="7"/>
      <c r="B65153" s="7"/>
    </row>
    <row r="65154" ht="15.75" customHeight="1">
      <c r="A65154" s="7"/>
      <c r="B65154" s="7"/>
    </row>
    <row r="65155" ht="15.75" customHeight="1">
      <c r="A65155" s="7"/>
      <c r="B65155" s="7"/>
    </row>
    <row r="65156" ht="15.75" customHeight="1">
      <c r="A65156" s="7"/>
      <c r="B65156" s="7"/>
    </row>
    <row r="65157" ht="15.75" customHeight="1">
      <c r="A65157" s="7"/>
      <c r="B65157" s="7"/>
    </row>
    <row r="65158" ht="15.75" customHeight="1">
      <c r="A65158" s="7"/>
      <c r="B65158" s="7"/>
    </row>
    <row r="65159" ht="15.75" customHeight="1">
      <c r="A65159" s="7"/>
      <c r="B65159" s="7"/>
    </row>
    <row r="65160" ht="15.75" customHeight="1">
      <c r="A65160" s="7"/>
      <c r="B65160" s="7"/>
    </row>
    <row r="65161" ht="15.75" customHeight="1">
      <c r="A65161" s="7"/>
      <c r="B65161" s="7"/>
    </row>
    <row r="65162" ht="15.75" customHeight="1">
      <c r="A65162" s="7"/>
      <c r="B65162" s="7"/>
    </row>
    <row r="65163" ht="15.75" customHeight="1">
      <c r="A65163" s="7"/>
      <c r="B65163" s="7"/>
    </row>
    <row r="65164" ht="15.75" customHeight="1">
      <c r="A65164" s="7"/>
      <c r="B65164" s="7"/>
    </row>
    <row r="65165" ht="15.75" customHeight="1">
      <c r="A65165" s="7"/>
      <c r="B65165" s="7"/>
    </row>
    <row r="65166" ht="15.75" customHeight="1">
      <c r="A65166" s="7"/>
      <c r="B65166" s="7"/>
    </row>
    <row r="65167" ht="15.75" customHeight="1">
      <c r="A65167" s="7"/>
      <c r="B65167" s="7"/>
    </row>
    <row r="65168" ht="15.75" customHeight="1">
      <c r="A65168" s="7"/>
      <c r="B65168" s="7"/>
    </row>
    <row r="65169" ht="15.75" customHeight="1">
      <c r="A65169" s="7"/>
      <c r="B65169" s="7"/>
    </row>
    <row r="65170" ht="15.75" customHeight="1">
      <c r="A65170" s="7"/>
      <c r="B65170" s="7"/>
    </row>
    <row r="65171" ht="15.75" customHeight="1">
      <c r="A65171" s="7"/>
      <c r="B65171" s="7"/>
    </row>
    <row r="65172" ht="15.75" customHeight="1">
      <c r="A65172" s="7"/>
      <c r="B65172" s="7"/>
    </row>
    <row r="65173" ht="15.75" customHeight="1">
      <c r="A65173" s="7"/>
      <c r="B65173" s="7"/>
    </row>
    <row r="65174" ht="15.75" customHeight="1">
      <c r="A65174" s="7"/>
      <c r="B65174" s="7"/>
    </row>
    <row r="65175" ht="15.75" customHeight="1">
      <c r="A65175" s="7"/>
      <c r="B65175" s="7"/>
    </row>
    <row r="65176" ht="15.75" customHeight="1">
      <c r="A65176" s="7"/>
      <c r="B65176" s="7"/>
    </row>
    <row r="65177" ht="15.75" customHeight="1">
      <c r="A65177" s="7"/>
      <c r="B65177" s="7"/>
    </row>
    <row r="65178" ht="15.75" customHeight="1">
      <c r="A65178" s="7"/>
      <c r="B65178" s="7"/>
    </row>
    <row r="65179" ht="15.75" customHeight="1">
      <c r="A65179" s="7"/>
      <c r="B65179" s="7"/>
    </row>
    <row r="65180" ht="15.75" customHeight="1">
      <c r="A65180" s="7"/>
      <c r="B65180" s="7"/>
    </row>
    <row r="65181" ht="15.75" customHeight="1">
      <c r="A65181" s="7"/>
      <c r="B65181" s="7"/>
    </row>
    <row r="65182" ht="15.75" customHeight="1">
      <c r="A65182" s="7"/>
      <c r="B65182" s="7"/>
    </row>
    <row r="65183" ht="15.75" customHeight="1">
      <c r="A65183" s="7"/>
      <c r="B65183" s="7"/>
    </row>
    <row r="65184" ht="15.75" customHeight="1">
      <c r="A65184" s="7"/>
      <c r="B65184" s="7"/>
    </row>
    <row r="65185" ht="15.75" customHeight="1">
      <c r="A65185" s="7"/>
      <c r="B65185" s="7"/>
    </row>
    <row r="65186" ht="15.75" customHeight="1">
      <c r="A65186" s="7"/>
      <c r="B65186" s="7"/>
    </row>
    <row r="65187" ht="15.75" customHeight="1">
      <c r="A65187" s="7"/>
      <c r="B65187" s="7"/>
    </row>
    <row r="65188" ht="15.75" customHeight="1">
      <c r="A65188" s="7"/>
      <c r="B65188" s="7"/>
    </row>
    <row r="65189" ht="15.75" customHeight="1">
      <c r="A65189" s="7"/>
      <c r="B65189" s="7"/>
    </row>
    <row r="65190" ht="15.75" customHeight="1">
      <c r="A65190" s="7"/>
      <c r="B65190" s="7"/>
    </row>
    <row r="65191" ht="15.75" customHeight="1">
      <c r="A65191" s="7"/>
      <c r="B65191" s="7"/>
    </row>
    <row r="65192" ht="15.75" customHeight="1">
      <c r="A65192" s="7"/>
      <c r="B65192" s="7"/>
    </row>
    <row r="65193" ht="15.75" customHeight="1">
      <c r="A65193" s="7"/>
      <c r="B65193" s="7"/>
    </row>
    <row r="65194" ht="15.75" customHeight="1">
      <c r="A65194" s="7"/>
      <c r="B65194" s="7"/>
    </row>
    <row r="65195" ht="15.75" customHeight="1">
      <c r="A65195" s="7"/>
      <c r="B65195" s="7"/>
    </row>
    <row r="65196" ht="15.75" customHeight="1">
      <c r="A65196" s="7"/>
      <c r="B65196" s="7"/>
    </row>
    <row r="65197" ht="15.75" customHeight="1">
      <c r="A65197" s="7"/>
      <c r="B65197" s="7"/>
    </row>
    <row r="65198" ht="15.75" customHeight="1">
      <c r="A65198" s="7"/>
      <c r="B65198" s="7"/>
    </row>
    <row r="65199" ht="15.75" customHeight="1">
      <c r="A65199" s="7"/>
      <c r="B65199" s="7"/>
    </row>
    <row r="65200" ht="15.75" customHeight="1">
      <c r="A65200" s="7"/>
      <c r="B65200" s="7"/>
    </row>
    <row r="65201" ht="15.75" customHeight="1">
      <c r="A65201" s="7"/>
      <c r="B65201" s="7"/>
    </row>
    <row r="65202" ht="15.75" customHeight="1">
      <c r="A65202" s="7"/>
      <c r="B65202" s="7"/>
    </row>
    <row r="65203" ht="15.75" customHeight="1">
      <c r="A65203" s="7"/>
      <c r="B65203" s="7"/>
    </row>
    <row r="65204" ht="15.75" customHeight="1">
      <c r="A65204" s="7"/>
      <c r="B65204" s="7"/>
    </row>
    <row r="65205" ht="15.75" customHeight="1">
      <c r="A65205" s="7"/>
      <c r="B65205" s="7"/>
    </row>
    <row r="65206" ht="15.75" customHeight="1">
      <c r="A65206" s="7"/>
      <c r="B65206" s="7"/>
    </row>
    <row r="65207" ht="15.75" customHeight="1">
      <c r="A65207" s="7"/>
      <c r="B65207" s="7"/>
    </row>
    <row r="65208" ht="15.75" customHeight="1">
      <c r="A65208" s="7"/>
      <c r="B65208" s="7"/>
    </row>
    <row r="65209" ht="15.75" customHeight="1">
      <c r="A65209" s="7"/>
      <c r="B65209" s="7"/>
    </row>
    <row r="65210" ht="15.75" customHeight="1">
      <c r="A65210" s="7"/>
      <c r="B65210" s="7"/>
    </row>
    <row r="65211" ht="15.75" customHeight="1">
      <c r="A65211" s="7"/>
      <c r="B65211" s="7"/>
    </row>
    <row r="65212" ht="15.75" customHeight="1">
      <c r="A65212" s="7"/>
      <c r="B65212" s="7"/>
    </row>
    <row r="65213" ht="15.75" customHeight="1">
      <c r="A65213" s="7"/>
      <c r="B65213" s="7"/>
    </row>
    <row r="65214" ht="15.75" customHeight="1">
      <c r="A65214" s="7"/>
      <c r="B65214" s="7"/>
    </row>
    <row r="65215" ht="15.75" customHeight="1">
      <c r="A65215" s="7"/>
      <c r="B65215" s="7"/>
    </row>
    <row r="65216" ht="15.75" customHeight="1">
      <c r="A65216" s="7"/>
      <c r="B65216" s="7"/>
    </row>
    <row r="65217" ht="15.75" customHeight="1">
      <c r="A65217" s="7"/>
      <c r="B65217" s="7"/>
    </row>
    <row r="65218" ht="15.75" customHeight="1">
      <c r="A65218" s="7"/>
      <c r="B65218" s="7"/>
    </row>
    <row r="65219" ht="15.75" customHeight="1">
      <c r="A65219" s="7"/>
      <c r="B65219" s="7"/>
    </row>
    <row r="65220" ht="15.75" customHeight="1">
      <c r="A65220" s="7"/>
      <c r="B65220" s="7"/>
    </row>
    <row r="65221" ht="15.75" customHeight="1">
      <c r="A65221" s="7"/>
      <c r="B65221" s="7"/>
    </row>
    <row r="65222" ht="15.75" customHeight="1">
      <c r="A65222" s="7"/>
      <c r="B65222" s="7"/>
    </row>
    <row r="65223" ht="15.75" customHeight="1">
      <c r="A65223" s="7"/>
      <c r="B65223" s="7"/>
    </row>
    <row r="65224" ht="15.75" customHeight="1">
      <c r="A65224" s="7"/>
      <c r="B65224" s="7"/>
    </row>
    <row r="65225" ht="15.75" customHeight="1">
      <c r="A65225" s="7"/>
      <c r="B65225" s="7"/>
    </row>
    <row r="65226" ht="15.75" customHeight="1">
      <c r="A65226" s="7"/>
      <c r="B65226" s="7"/>
    </row>
    <row r="65227" ht="15.75" customHeight="1">
      <c r="A65227" s="7"/>
      <c r="B65227" s="7"/>
    </row>
    <row r="65228" ht="15.75" customHeight="1">
      <c r="A65228" s="7"/>
      <c r="B65228" s="7"/>
    </row>
    <row r="65229" ht="15.75" customHeight="1">
      <c r="A65229" s="7"/>
      <c r="B65229" s="7"/>
    </row>
    <row r="65230" ht="15.75" customHeight="1">
      <c r="A65230" s="7"/>
      <c r="B65230" s="7"/>
    </row>
    <row r="65231" ht="15.75" customHeight="1">
      <c r="A65231" s="7"/>
      <c r="B65231" s="7"/>
    </row>
    <row r="65232" ht="15.75" customHeight="1">
      <c r="A65232" s="7"/>
      <c r="B65232" s="7"/>
    </row>
    <row r="65233" ht="15.75" customHeight="1">
      <c r="A65233" s="7"/>
      <c r="B65233" s="7"/>
    </row>
    <row r="65234" ht="15.75" customHeight="1">
      <c r="A65234" s="7"/>
      <c r="B65234" s="7"/>
    </row>
    <row r="65235" ht="15.75" customHeight="1">
      <c r="A65235" s="7"/>
      <c r="B65235" s="7"/>
    </row>
    <row r="65236" ht="15.75" customHeight="1">
      <c r="A65236" s="7"/>
      <c r="B65236" s="7"/>
    </row>
    <row r="65237" ht="15.75" customHeight="1">
      <c r="A65237" s="7"/>
      <c r="B65237" s="7"/>
    </row>
    <row r="65238" ht="15.75" customHeight="1">
      <c r="A65238" s="7"/>
      <c r="B65238" s="7"/>
    </row>
    <row r="65239" ht="15.75" customHeight="1">
      <c r="A65239" s="7"/>
      <c r="B65239" s="7"/>
    </row>
    <row r="65240" ht="15.75" customHeight="1">
      <c r="A65240" s="7"/>
      <c r="B65240" s="7"/>
    </row>
    <row r="65241" ht="15.75" customHeight="1">
      <c r="A65241" s="7"/>
      <c r="B65241" s="7"/>
    </row>
    <row r="65242" ht="15.75" customHeight="1">
      <c r="A65242" s="7"/>
      <c r="B65242" s="7"/>
    </row>
    <row r="65243" ht="15.75" customHeight="1">
      <c r="A65243" s="7"/>
      <c r="B65243" s="7"/>
    </row>
    <row r="65244" ht="15.75" customHeight="1">
      <c r="A65244" s="7"/>
      <c r="B65244" s="7"/>
    </row>
    <row r="65245" ht="15.75" customHeight="1">
      <c r="A65245" s="7"/>
      <c r="B65245" s="7"/>
    </row>
    <row r="65246" ht="15.75" customHeight="1">
      <c r="A65246" s="7"/>
      <c r="B65246" s="7"/>
    </row>
    <row r="65247" ht="15.75" customHeight="1">
      <c r="A65247" s="7"/>
      <c r="B65247" s="7"/>
    </row>
    <row r="65248" ht="15.75" customHeight="1">
      <c r="A65248" s="7"/>
      <c r="B65248" s="7"/>
    </row>
    <row r="65249" ht="15.75" customHeight="1">
      <c r="A65249" s="7"/>
      <c r="B65249" s="7"/>
    </row>
    <row r="65250" ht="15.75" customHeight="1">
      <c r="A65250" s="7"/>
      <c r="B65250" s="7"/>
    </row>
    <row r="65251" ht="15.75" customHeight="1">
      <c r="A65251" s="7"/>
      <c r="B65251" s="7"/>
    </row>
    <row r="65252" ht="15.75" customHeight="1">
      <c r="A65252" s="7"/>
      <c r="B65252" s="7"/>
    </row>
    <row r="65253" ht="15.75" customHeight="1">
      <c r="A65253" s="7"/>
      <c r="B65253" s="7"/>
    </row>
    <row r="65254" ht="15.75" customHeight="1">
      <c r="A65254" s="7"/>
      <c r="B65254" s="7"/>
    </row>
    <row r="65255" ht="15.75" customHeight="1">
      <c r="A65255" s="7"/>
      <c r="B65255" s="7"/>
    </row>
    <row r="65256" ht="15.75" customHeight="1">
      <c r="A65256" s="7"/>
      <c r="B65256" s="7"/>
    </row>
    <row r="65257" ht="15.75" customHeight="1">
      <c r="A65257" s="7"/>
      <c r="B65257" s="7"/>
    </row>
    <row r="65258" ht="15.75" customHeight="1">
      <c r="A65258" s="7"/>
      <c r="B65258" s="7"/>
    </row>
    <row r="65259" ht="15.75" customHeight="1">
      <c r="A65259" s="7"/>
      <c r="B65259" s="7"/>
    </row>
    <row r="65260" ht="15.75" customHeight="1">
      <c r="A65260" s="7"/>
      <c r="B65260" s="7"/>
    </row>
    <row r="65261" ht="15.75" customHeight="1">
      <c r="A65261" s="7"/>
      <c r="B65261" s="7"/>
    </row>
    <row r="65262" ht="15.75" customHeight="1">
      <c r="A65262" s="7"/>
      <c r="B65262" s="7"/>
    </row>
    <row r="65263" ht="15.75" customHeight="1">
      <c r="A65263" s="7"/>
      <c r="B65263" s="7"/>
    </row>
    <row r="65264" ht="15.75" customHeight="1">
      <c r="A65264" s="7"/>
      <c r="B65264" s="7"/>
    </row>
    <row r="65265" ht="15.75" customHeight="1">
      <c r="A65265" s="7"/>
      <c r="B65265" s="7"/>
    </row>
    <row r="65266" ht="15.75" customHeight="1">
      <c r="A65266" s="7"/>
      <c r="B65266" s="7"/>
    </row>
    <row r="65267" ht="15.75" customHeight="1">
      <c r="A65267" s="7"/>
      <c r="B65267" s="7"/>
    </row>
    <row r="65268" ht="15.75" customHeight="1">
      <c r="A65268" s="7"/>
      <c r="B65268" s="7"/>
    </row>
    <row r="65269" ht="15.75" customHeight="1">
      <c r="A65269" s="7"/>
      <c r="B65269" s="7"/>
    </row>
    <row r="65270" ht="15.75" customHeight="1">
      <c r="A65270" s="7"/>
      <c r="B65270" s="7"/>
    </row>
    <row r="65271" ht="15.75" customHeight="1">
      <c r="A65271" s="7"/>
      <c r="B65271" s="7"/>
    </row>
    <row r="65272" ht="15.75" customHeight="1">
      <c r="A65272" s="7"/>
      <c r="B65272" s="7"/>
    </row>
    <row r="65273" ht="15.75" customHeight="1">
      <c r="A65273" s="7"/>
      <c r="B65273" s="7"/>
    </row>
    <row r="65274" ht="15.75" customHeight="1">
      <c r="A65274" s="7"/>
      <c r="B65274" s="7"/>
    </row>
    <row r="65275" ht="15.75" customHeight="1">
      <c r="A65275" s="7"/>
      <c r="B65275" s="7"/>
    </row>
    <row r="65276" ht="15.75" customHeight="1">
      <c r="A65276" s="7"/>
      <c r="B65276" s="7"/>
    </row>
    <row r="65277" ht="15.75" customHeight="1">
      <c r="A65277" s="7"/>
      <c r="B65277" s="7"/>
    </row>
    <row r="65278" ht="15.75" customHeight="1">
      <c r="A65278" s="7"/>
      <c r="B65278" s="7"/>
    </row>
    <row r="65279" ht="15.75" customHeight="1">
      <c r="A65279" s="7"/>
      <c r="B65279" s="7"/>
    </row>
    <row r="65280" ht="15.75" customHeight="1">
      <c r="A65280" s="7"/>
      <c r="B65280" s="7"/>
    </row>
    <row r="65281" ht="15.75" customHeight="1">
      <c r="A65281" s="7"/>
      <c r="B65281" s="7"/>
    </row>
    <row r="65282" ht="15.75" customHeight="1">
      <c r="A65282" s="7"/>
      <c r="B65282" s="7"/>
    </row>
    <row r="65283" ht="15.75" customHeight="1">
      <c r="A65283" s="7"/>
      <c r="B65283" s="7"/>
    </row>
    <row r="65284" ht="15.75" customHeight="1">
      <c r="A65284" s="7"/>
      <c r="B65284" s="7"/>
    </row>
    <row r="65285" ht="15.75" customHeight="1">
      <c r="A65285" s="7"/>
      <c r="B65285" s="7"/>
    </row>
    <row r="65286" ht="15.75" customHeight="1">
      <c r="A65286" s="7"/>
      <c r="B65286" s="7"/>
    </row>
    <row r="65287" ht="15.75" customHeight="1">
      <c r="A65287" s="7"/>
      <c r="B65287" s="7"/>
    </row>
    <row r="65288" ht="15.75" customHeight="1">
      <c r="A65288" s="7"/>
      <c r="B65288" s="7"/>
    </row>
    <row r="65289" ht="15.75" customHeight="1">
      <c r="A65289" s="7"/>
      <c r="B65289" s="7"/>
    </row>
    <row r="65290" ht="15.75" customHeight="1">
      <c r="A65290" s="7"/>
      <c r="B65290" s="7"/>
    </row>
    <row r="65291" ht="15.75" customHeight="1">
      <c r="A65291" s="7"/>
      <c r="B65291" s="7"/>
    </row>
    <row r="65292" ht="15.75" customHeight="1">
      <c r="A65292" s="7"/>
      <c r="B65292" s="7"/>
    </row>
    <row r="65293" ht="15.75" customHeight="1">
      <c r="A65293" s="7"/>
      <c r="B65293" s="7"/>
    </row>
    <row r="65294" ht="15.75" customHeight="1">
      <c r="A65294" s="7"/>
      <c r="B65294" s="7"/>
    </row>
    <row r="65295" ht="15.75" customHeight="1">
      <c r="A65295" s="7"/>
      <c r="B65295" s="7"/>
    </row>
    <row r="65296" ht="15.75" customHeight="1">
      <c r="A65296" s="7"/>
      <c r="B65296" s="7"/>
    </row>
    <row r="65297" ht="15.75" customHeight="1">
      <c r="A65297" s="7"/>
      <c r="B65297" s="7"/>
    </row>
    <row r="65298" ht="15.75" customHeight="1">
      <c r="A65298" s="7"/>
      <c r="B65298" s="7"/>
    </row>
    <row r="65299" ht="15.75" customHeight="1">
      <c r="A65299" s="7"/>
      <c r="B65299" s="7"/>
    </row>
    <row r="65300" ht="15.75" customHeight="1">
      <c r="A65300" s="7"/>
      <c r="B65300" s="7"/>
    </row>
    <row r="65301" ht="15.75" customHeight="1">
      <c r="A65301" s="7"/>
      <c r="B65301" s="7"/>
    </row>
    <row r="65302" ht="15.75" customHeight="1">
      <c r="A65302" s="7"/>
      <c r="B65302" s="7"/>
    </row>
    <row r="65303" ht="15.75" customHeight="1">
      <c r="A65303" s="7"/>
      <c r="B65303" s="7"/>
    </row>
    <row r="65304" ht="15.75" customHeight="1">
      <c r="A65304" s="7"/>
      <c r="B65304" s="7"/>
    </row>
    <row r="65305" ht="15.75" customHeight="1">
      <c r="A65305" s="7"/>
      <c r="B65305" s="7"/>
    </row>
    <row r="65306" ht="15.75" customHeight="1">
      <c r="A65306" s="7"/>
      <c r="B65306" s="7"/>
    </row>
    <row r="65307" ht="15.75" customHeight="1">
      <c r="A65307" s="7"/>
      <c r="B65307" s="7"/>
    </row>
    <row r="65308" ht="15.75" customHeight="1">
      <c r="A65308" s="7"/>
      <c r="B65308" s="7"/>
    </row>
    <row r="65309" ht="15.75" customHeight="1">
      <c r="A65309" s="7"/>
      <c r="B65309" s="7"/>
    </row>
    <row r="65310" ht="15.75" customHeight="1">
      <c r="A65310" s="7"/>
      <c r="B65310" s="7"/>
    </row>
    <row r="65311" ht="15.75" customHeight="1">
      <c r="A65311" s="7"/>
      <c r="B65311" s="7"/>
    </row>
    <row r="65312" ht="15.75" customHeight="1">
      <c r="A65312" s="7"/>
      <c r="B65312" s="7"/>
    </row>
    <row r="65313" ht="15.75" customHeight="1">
      <c r="A65313" s="7"/>
      <c r="B65313" s="7"/>
    </row>
    <row r="65314" ht="15.75" customHeight="1">
      <c r="A65314" s="7"/>
      <c r="B65314" s="7"/>
    </row>
    <row r="65315" ht="15.75" customHeight="1">
      <c r="A65315" s="7"/>
      <c r="B65315" s="7"/>
    </row>
    <row r="65316" ht="15.75" customHeight="1">
      <c r="A65316" s="7"/>
      <c r="B65316" s="7"/>
    </row>
    <row r="65317" ht="15.75" customHeight="1">
      <c r="A65317" s="7"/>
      <c r="B65317" s="7"/>
    </row>
    <row r="65318" ht="15.75" customHeight="1">
      <c r="A65318" s="7"/>
      <c r="B65318" s="7"/>
    </row>
    <row r="65319" ht="15.75" customHeight="1">
      <c r="A65319" s="7"/>
      <c r="B65319" s="7"/>
    </row>
    <row r="65320" ht="15.75" customHeight="1">
      <c r="A65320" s="7"/>
      <c r="B65320" s="7"/>
    </row>
    <row r="65321" ht="15.75" customHeight="1">
      <c r="A65321" s="7"/>
      <c r="B65321" s="7"/>
    </row>
    <row r="65322" ht="15.75" customHeight="1">
      <c r="A65322" s="7"/>
      <c r="B65322" s="7"/>
    </row>
    <row r="65323" ht="15.75" customHeight="1">
      <c r="A65323" s="7"/>
      <c r="B65323" s="7"/>
    </row>
    <row r="65324" ht="15.75" customHeight="1">
      <c r="A65324" s="7"/>
      <c r="B65324" s="7"/>
    </row>
    <row r="65325" ht="15.75" customHeight="1">
      <c r="A65325" s="7"/>
      <c r="B65325" s="7"/>
    </row>
    <row r="65326" ht="15.75" customHeight="1">
      <c r="A65326" s="7"/>
      <c r="B65326" s="7"/>
    </row>
    <row r="65327" ht="15.75" customHeight="1">
      <c r="A65327" s="7"/>
      <c r="B65327" s="7"/>
    </row>
    <row r="65328" ht="15.75" customHeight="1">
      <c r="A65328" s="7"/>
      <c r="B65328" s="7"/>
    </row>
    <row r="65329" ht="15.75" customHeight="1">
      <c r="A65329" s="7"/>
      <c r="B65329" s="7"/>
    </row>
    <row r="65330" ht="15.75" customHeight="1">
      <c r="A65330" s="7"/>
      <c r="B65330" s="7"/>
    </row>
    <row r="65331" ht="15.75" customHeight="1">
      <c r="A65331" s="7"/>
      <c r="B65331" s="7"/>
    </row>
    <row r="65332" ht="15.75" customHeight="1">
      <c r="A65332" s="7"/>
      <c r="B65332" s="7"/>
    </row>
    <row r="65333" ht="15.75" customHeight="1">
      <c r="A65333" s="7"/>
      <c r="B65333" s="7"/>
    </row>
    <row r="65334" ht="15.75" customHeight="1">
      <c r="A65334" s="7"/>
      <c r="B65334" s="7"/>
    </row>
    <row r="65335" ht="15.75" customHeight="1">
      <c r="A65335" s="7"/>
      <c r="B65335" s="7"/>
    </row>
    <row r="65336" ht="15.75" customHeight="1">
      <c r="A65336" s="7"/>
      <c r="B65336" s="7"/>
    </row>
    <row r="65337" ht="15.75" customHeight="1">
      <c r="A65337" s="7"/>
      <c r="B65337" s="7"/>
    </row>
    <row r="65338" ht="15.75" customHeight="1">
      <c r="A65338" s="7"/>
      <c r="B65338" s="7"/>
    </row>
    <row r="65339" ht="15.75" customHeight="1">
      <c r="A65339" s="7"/>
      <c r="B65339" s="7"/>
    </row>
    <row r="65340" ht="15.75" customHeight="1">
      <c r="A65340" s="7"/>
      <c r="B65340" s="7"/>
    </row>
    <row r="65341" ht="15.75" customHeight="1">
      <c r="A65341" s="7"/>
      <c r="B65341" s="7"/>
    </row>
    <row r="65342" ht="15.75" customHeight="1">
      <c r="A65342" s="7"/>
      <c r="B65342" s="7"/>
    </row>
    <row r="65343" ht="15.75" customHeight="1">
      <c r="A65343" s="7"/>
      <c r="B65343" s="7"/>
    </row>
    <row r="65344" ht="15.75" customHeight="1">
      <c r="A65344" s="7"/>
      <c r="B65344" s="7"/>
    </row>
    <row r="65345" ht="15.75" customHeight="1">
      <c r="A65345" s="7"/>
      <c r="B65345" s="7"/>
    </row>
    <row r="65346" ht="15.75" customHeight="1">
      <c r="A65346" s="7"/>
      <c r="B65346" s="7"/>
    </row>
    <row r="65347" ht="15.75" customHeight="1">
      <c r="A65347" s="7"/>
      <c r="B65347" s="7"/>
    </row>
    <row r="65348" ht="15.75" customHeight="1">
      <c r="A65348" s="7"/>
      <c r="B65348" s="7"/>
    </row>
    <row r="65349" ht="15.75" customHeight="1">
      <c r="A65349" s="7"/>
      <c r="B65349" s="7"/>
    </row>
    <row r="65350" ht="15.75" customHeight="1">
      <c r="A65350" s="7"/>
      <c r="B65350" s="7"/>
    </row>
    <row r="65351" ht="15.75" customHeight="1">
      <c r="A65351" s="7"/>
      <c r="B65351" s="7"/>
    </row>
    <row r="65352" ht="15.75" customHeight="1">
      <c r="A65352" s="7"/>
      <c r="B65352" s="7"/>
    </row>
    <row r="65353" ht="15.75" customHeight="1">
      <c r="A65353" s="7"/>
      <c r="B65353" s="7"/>
    </row>
    <row r="65354" ht="15.75" customHeight="1">
      <c r="A65354" s="7"/>
      <c r="B65354" s="7"/>
    </row>
    <row r="65355" ht="15.75" customHeight="1">
      <c r="A65355" s="7"/>
      <c r="B65355" s="7"/>
    </row>
    <row r="65356" ht="15.75" customHeight="1">
      <c r="A65356" s="7"/>
      <c r="B65356" s="7"/>
    </row>
    <row r="65357" ht="15.75" customHeight="1">
      <c r="A65357" s="7"/>
      <c r="B65357" s="7"/>
    </row>
    <row r="65358" ht="15.75" customHeight="1">
      <c r="A65358" s="7"/>
      <c r="B65358" s="7"/>
    </row>
    <row r="65359" ht="15.75" customHeight="1">
      <c r="A65359" s="7"/>
      <c r="B65359" s="7"/>
    </row>
    <row r="65360" ht="15.75" customHeight="1">
      <c r="A65360" s="7"/>
      <c r="B65360" s="7"/>
    </row>
    <row r="65361" ht="15.75" customHeight="1">
      <c r="A65361" s="7"/>
      <c r="B65361" s="7"/>
    </row>
    <row r="65362" ht="15.75" customHeight="1">
      <c r="A65362" s="7"/>
      <c r="B65362" s="7"/>
    </row>
    <row r="65363" ht="15.75" customHeight="1">
      <c r="A65363" s="7"/>
      <c r="B65363" s="7"/>
    </row>
    <row r="65364" ht="15.75" customHeight="1">
      <c r="A65364" s="7"/>
      <c r="B65364" s="7"/>
    </row>
    <row r="65365" ht="15.75" customHeight="1">
      <c r="A65365" s="7"/>
      <c r="B65365" s="7"/>
    </row>
    <row r="65366" ht="15.75" customHeight="1">
      <c r="A65366" s="7"/>
      <c r="B65366" s="7"/>
    </row>
    <row r="65367" ht="15.75" customHeight="1">
      <c r="A65367" s="7"/>
      <c r="B65367" s="7"/>
    </row>
    <row r="65368" ht="15.75" customHeight="1">
      <c r="A65368" s="7"/>
      <c r="B65368" s="7"/>
    </row>
    <row r="65369" ht="15.75" customHeight="1">
      <c r="A65369" s="7"/>
      <c r="B65369" s="7"/>
    </row>
    <row r="65370" ht="15.75" customHeight="1">
      <c r="A65370" s="7"/>
      <c r="B65370" s="7"/>
    </row>
    <row r="65371" ht="15.75" customHeight="1">
      <c r="A65371" s="7"/>
      <c r="B65371" s="7"/>
    </row>
    <row r="65372" ht="15.75" customHeight="1">
      <c r="A65372" s="7"/>
      <c r="B65372" s="7"/>
    </row>
    <row r="65373" ht="15.75" customHeight="1">
      <c r="A65373" s="7"/>
      <c r="B65373" s="7"/>
    </row>
    <row r="65374" ht="15.75" customHeight="1">
      <c r="A65374" s="7"/>
      <c r="B65374" s="7"/>
    </row>
    <row r="65375" ht="15.75" customHeight="1">
      <c r="A65375" s="7"/>
      <c r="B65375" s="7"/>
    </row>
    <row r="65376" ht="15.75" customHeight="1">
      <c r="A65376" s="7"/>
      <c r="B65376" s="7"/>
    </row>
    <row r="65377" ht="15.75" customHeight="1">
      <c r="A65377" s="7"/>
      <c r="B65377" s="7"/>
    </row>
    <row r="65378" ht="15.75" customHeight="1">
      <c r="A65378" s="7"/>
      <c r="B65378" s="7"/>
    </row>
    <row r="65379" ht="15.75" customHeight="1">
      <c r="A65379" s="7"/>
      <c r="B65379" s="7"/>
    </row>
    <row r="65380" ht="15.75" customHeight="1">
      <c r="A65380" s="7"/>
      <c r="B65380" s="7"/>
    </row>
    <row r="65381" ht="15.75" customHeight="1">
      <c r="A65381" s="7"/>
      <c r="B65381" s="7"/>
    </row>
    <row r="65382" ht="15.75" customHeight="1">
      <c r="A65382" s="7"/>
      <c r="B65382" s="7"/>
    </row>
    <row r="65383" ht="15.75" customHeight="1">
      <c r="A65383" s="7"/>
      <c r="B65383" s="7"/>
    </row>
    <row r="65384" ht="15.75" customHeight="1">
      <c r="A65384" s="7"/>
      <c r="B65384" s="7"/>
    </row>
    <row r="65385" ht="15.75" customHeight="1">
      <c r="A65385" s="7"/>
      <c r="B65385" s="7"/>
    </row>
    <row r="65386" ht="15.75" customHeight="1">
      <c r="A65386" s="7"/>
      <c r="B65386" s="7"/>
    </row>
    <row r="65387" ht="15.75" customHeight="1">
      <c r="A65387" s="7"/>
      <c r="B65387" s="7"/>
    </row>
    <row r="65388" ht="15.75" customHeight="1">
      <c r="A65388" s="7"/>
      <c r="B65388" s="7"/>
    </row>
    <row r="65389" ht="15.75" customHeight="1">
      <c r="A65389" s="7"/>
      <c r="B65389" s="7"/>
    </row>
    <row r="65390" ht="15.75" customHeight="1">
      <c r="A65390" s="7"/>
      <c r="B65390" s="7"/>
    </row>
    <row r="65391" ht="15.75" customHeight="1">
      <c r="A65391" s="7"/>
      <c r="B65391" s="7"/>
    </row>
    <row r="65392" ht="15.75" customHeight="1">
      <c r="A65392" s="7"/>
      <c r="B65392" s="7"/>
    </row>
    <row r="65393" ht="15.75" customHeight="1">
      <c r="A65393" s="7"/>
      <c r="B65393" s="7"/>
    </row>
    <row r="65394" ht="15.75" customHeight="1">
      <c r="A65394" s="7"/>
      <c r="B65394" s="7"/>
    </row>
    <row r="65395" ht="15.75" customHeight="1">
      <c r="A65395" s="7"/>
      <c r="B65395" s="7"/>
    </row>
    <row r="65396" ht="15.75" customHeight="1">
      <c r="A65396" s="7"/>
      <c r="B65396" s="7"/>
    </row>
    <row r="65397" ht="15.75" customHeight="1">
      <c r="A65397" s="7"/>
      <c r="B65397" s="7"/>
    </row>
    <row r="65398" ht="15.75" customHeight="1">
      <c r="A65398" s="7"/>
      <c r="B65398" s="7"/>
    </row>
    <row r="65399" ht="15.75" customHeight="1">
      <c r="A65399" s="7"/>
      <c r="B65399" s="7"/>
    </row>
    <row r="65400" ht="15.75" customHeight="1">
      <c r="A65400" s="7"/>
      <c r="B65400" s="7"/>
    </row>
    <row r="65401" ht="15.75" customHeight="1">
      <c r="A65401" s="7"/>
      <c r="B65401" s="7"/>
    </row>
    <row r="65402" ht="15.75" customHeight="1">
      <c r="A65402" s="7"/>
      <c r="B65402" s="7"/>
    </row>
    <row r="65403" ht="15.75" customHeight="1">
      <c r="A65403" s="7"/>
      <c r="B65403" s="7"/>
    </row>
    <row r="65404" ht="15.75" customHeight="1">
      <c r="A65404" s="7"/>
      <c r="B65404" s="7"/>
    </row>
    <row r="65405" ht="15.75" customHeight="1">
      <c r="A65405" s="7"/>
      <c r="B65405" s="7"/>
    </row>
    <row r="65406" ht="15.75" customHeight="1">
      <c r="A65406" s="7"/>
      <c r="B65406" s="7"/>
    </row>
    <row r="65407" ht="15.75" customHeight="1">
      <c r="A65407" s="7"/>
      <c r="B65407" s="7"/>
    </row>
    <row r="65408" ht="15.75" customHeight="1">
      <c r="A65408" s="7"/>
      <c r="B65408" s="7"/>
    </row>
    <row r="65409" ht="15.75" customHeight="1">
      <c r="A65409" s="7"/>
      <c r="B65409" s="7"/>
    </row>
    <row r="65410" ht="15.75" customHeight="1">
      <c r="A65410" s="7"/>
      <c r="B65410" s="7"/>
    </row>
    <row r="65411" ht="15.75" customHeight="1">
      <c r="A65411" s="7"/>
      <c r="B65411" s="7"/>
    </row>
    <row r="65412" ht="15.75" customHeight="1">
      <c r="A65412" s="7"/>
      <c r="B65412" s="7"/>
    </row>
    <row r="65413" ht="15.75" customHeight="1">
      <c r="A65413" s="7"/>
      <c r="B65413" s="7"/>
    </row>
    <row r="65414" ht="15.75" customHeight="1">
      <c r="A65414" s="7"/>
      <c r="B65414" s="7"/>
    </row>
    <row r="65415" ht="15.75" customHeight="1">
      <c r="A65415" s="7"/>
      <c r="B65415" s="7"/>
    </row>
    <row r="65416" ht="15.75" customHeight="1">
      <c r="A65416" s="7"/>
      <c r="B65416" s="7"/>
    </row>
    <row r="65417" ht="15.75" customHeight="1">
      <c r="A65417" s="7"/>
      <c r="B65417" s="7"/>
    </row>
    <row r="65418" ht="15.75" customHeight="1">
      <c r="A65418" s="7"/>
      <c r="B65418" s="7"/>
    </row>
    <row r="65419" ht="15.75" customHeight="1">
      <c r="A65419" s="7"/>
      <c r="B65419" s="7"/>
    </row>
    <row r="65420" ht="15.75" customHeight="1">
      <c r="A65420" s="7"/>
      <c r="B65420" s="7"/>
    </row>
    <row r="65421" ht="15.75" customHeight="1">
      <c r="A65421" s="7"/>
      <c r="B65421" s="7"/>
    </row>
    <row r="65422" ht="15.75" customHeight="1">
      <c r="A65422" s="7"/>
      <c r="B65422" s="7"/>
    </row>
    <row r="65423" ht="15.75" customHeight="1">
      <c r="A65423" s="7"/>
      <c r="B65423" s="7"/>
    </row>
    <row r="65424" ht="15.75" customHeight="1">
      <c r="A65424" s="7"/>
      <c r="B65424" s="7"/>
    </row>
    <row r="65425" ht="15.75" customHeight="1">
      <c r="A65425" s="7"/>
      <c r="B65425" s="7"/>
    </row>
    <row r="65426" ht="15.75" customHeight="1">
      <c r="A65426" s="7"/>
      <c r="B65426" s="7"/>
    </row>
    <row r="65427" ht="15.75" customHeight="1">
      <c r="A65427" s="7"/>
      <c r="B65427" s="7"/>
    </row>
    <row r="65428" ht="15.75" customHeight="1">
      <c r="A65428" s="7"/>
      <c r="B65428" s="7"/>
    </row>
    <row r="65429" ht="15.75" customHeight="1">
      <c r="A65429" s="7"/>
      <c r="B65429" s="7"/>
    </row>
    <row r="65430" ht="15.75" customHeight="1">
      <c r="A65430" s="7"/>
      <c r="B65430" s="7"/>
    </row>
    <row r="65431" ht="15.75" customHeight="1">
      <c r="A65431" s="7"/>
      <c r="B65431" s="7"/>
    </row>
    <row r="65432" ht="15.75" customHeight="1">
      <c r="A65432" s="7"/>
      <c r="B65432" s="7"/>
    </row>
    <row r="65433" ht="15.75" customHeight="1">
      <c r="A65433" s="7"/>
      <c r="B65433" s="7"/>
    </row>
    <row r="65434" ht="15.75" customHeight="1">
      <c r="A65434" s="7"/>
      <c r="B65434" s="7"/>
    </row>
    <row r="65435" ht="15.75" customHeight="1">
      <c r="A65435" s="7"/>
      <c r="B65435" s="7"/>
    </row>
    <row r="65436" ht="15.75" customHeight="1">
      <c r="A65436" s="7"/>
      <c r="B65436" s="7"/>
    </row>
    <row r="65437" ht="15.75" customHeight="1">
      <c r="A65437" s="7"/>
      <c r="B65437" s="7"/>
    </row>
    <row r="65438" ht="15.75" customHeight="1">
      <c r="A65438" s="7"/>
      <c r="B65438" s="7"/>
    </row>
    <row r="65439" ht="15.75" customHeight="1">
      <c r="A65439" s="7"/>
      <c r="B65439" s="7"/>
    </row>
    <row r="65440" ht="15.75" customHeight="1">
      <c r="A65440" s="7"/>
      <c r="B65440" s="7"/>
    </row>
    <row r="65441" ht="15.75" customHeight="1">
      <c r="A65441" s="7"/>
      <c r="B65441" s="7"/>
    </row>
    <row r="65442" ht="15.75" customHeight="1">
      <c r="A65442" s="7"/>
      <c r="B65442" s="7"/>
    </row>
    <row r="65443" ht="15.75" customHeight="1">
      <c r="A65443" s="7"/>
      <c r="B65443" s="7"/>
    </row>
    <row r="65444" ht="15.75" customHeight="1">
      <c r="A65444" s="7"/>
      <c r="B65444" s="7"/>
    </row>
    <row r="65445" ht="15.75" customHeight="1">
      <c r="A65445" s="7"/>
      <c r="B65445" s="7"/>
    </row>
    <row r="65446" ht="15.75" customHeight="1">
      <c r="A65446" s="7"/>
      <c r="B65446" s="7"/>
    </row>
    <row r="65447" ht="15.75" customHeight="1">
      <c r="A65447" s="7"/>
      <c r="B65447" s="7"/>
    </row>
    <row r="65448" ht="15.75" customHeight="1">
      <c r="A65448" s="7"/>
      <c r="B65448" s="7"/>
    </row>
    <row r="65449" ht="15.75" customHeight="1">
      <c r="A65449" s="7"/>
      <c r="B65449" s="7"/>
    </row>
    <row r="65450" ht="15.75" customHeight="1">
      <c r="A65450" s="7"/>
      <c r="B65450" s="7"/>
    </row>
    <row r="65451" ht="15.75" customHeight="1">
      <c r="A65451" s="7"/>
      <c r="B65451" s="7"/>
    </row>
    <row r="65452" ht="15.75" customHeight="1">
      <c r="A65452" s="7"/>
      <c r="B65452" s="7"/>
    </row>
    <row r="65453" ht="15.75" customHeight="1">
      <c r="A65453" s="7"/>
      <c r="B65453" s="7"/>
    </row>
    <row r="65454" ht="15.75" customHeight="1">
      <c r="A65454" s="7"/>
      <c r="B65454" s="7"/>
    </row>
    <row r="65455" ht="15.75" customHeight="1">
      <c r="A65455" s="7"/>
      <c r="B65455" s="7"/>
    </row>
    <row r="65456" ht="15.75" customHeight="1">
      <c r="A65456" s="7"/>
      <c r="B65456" s="7"/>
    </row>
    <row r="65457" ht="15.75" customHeight="1">
      <c r="A65457" s="7"/>
      <c r="B65457" s="7"/>
    </row>
    <row r="65458" ht="15.75" customHeight="1">
      <c r="A65458" s="7"/>
      <c r="B65458" s="7"/>
    </row>
    <row r="65459" ht="15.75" customHeight="1">
      <c r="A65459" s="7"/>
      <c r="B65459" s="7"/>
    </row>
    <row r="65460" ht="15.75" customHeight="1">
      <c r="A65460" s="7"/>
      <c r="B65460" s="7"/>
    </row>
    <row r="65461" ht="15.75" customHeight="1">
      <c r="A65461" s="7"/>
      <c r="B65461" s="7"/>
    </row>
    <row r="65462" ht="15.75" customHeight="1">
      <c r="A65462" s="7"/>
      <c r="B65462" s="7"/>
    </row>
    <row r="65463" ht="15.75" customHeight="1">
      <c r="A65463" s="7"/>
      <c r="B65463" s="7"/>
    </row>
    <row r="65464" ht="15.75" customHeight="1">
      <c r="A65464" s="7"/>
      <c r="B65464" s="7"/>
    </row>
    <row r="65465" ht="15.75" customHeight="1">
      <c r="A65465" s="7"/>
      <c r="B65465" s="7"/>
    </row>
    <row r="65466" ht="15.75" customHeight="1">
      <c r="A65466" s="7"/>
      <c r="B65466" s="7"/>
    </row>
    <row r="65467" ht="15.75" customHeight="1">
      <c r="A65467" s="7"/>
      <c r="B65467" s="7"/>
    </row>
    <row r="65468" ht="15.75" customHeight="1">
      <c r="A65468" s="7"/>
      <c r="B65468" s="7"/>
    </row>
    <row r="65469" ht="15.75" customHeight="1">
      <c r="A65469" s="7"/>
      <c r="B65469" s="7"/>
    </row>
    <row r="65470" ht="15.75" customHeight="1">
      <c r="A65470" s="7"/>
      <c r="B65470" s="7"/>
    </row>
    <row r="65471" ht="15.75" customHeight="1">
      <c r="A65471" s="7"/>
      <c r="B65471" s="7"/>
    </row>
    <row r="65472" ht="15.75" customHeight="1">
      <c r="A65472" s="7"/>
      <c r="B65472" s="7"/>
    </row>
    <row r="65473" ht="15.75" customHeight="1">
      <c r="A65473" s="7"/>
      <c r="B65473" s="7"/>
    </row>
    <row r="65474" ht="15.75" customHeight="1">
      <c r="A65474" s="7"/>
      <c r="B65474" s="7"/>
    </row>
    <row r="65475" ht="15.75" customHeight="1">
      <c r="A65475" s="7"/>
      <c r="B65475" s="7"/>
    </row>
    <row r="65476" ht="15.75" customHeight="1">
      <c r="A65476" s="7"/>
      <c r="B65476" s="7"/>
    </row>
    <row r="65477" ht="15.75" customHeight="1">
      <c r="A65477" s="7"/>
      <c r="B65477" s="7"/>
    </row>
    <row r="65478" ht="15.75" customHeight="1">
      <c r="A65478" s="7"/>
      <c r="B65478" s="7"/>
    </row>
    <row r="65479" ht="15.75" customHeight="1">
      <c r="A65479" s="7"/>
      <c r="B65479" s="7"/>
    </row>
    <row r="65480" ht="15.75" customHeight="1">
      <c r="A65480" s="7"/>
      <c r="B65480" s="7"/>
    </row>
    <row r="65481" ht="15.75" customHeight="1">
      <c r="A65481" s="7"/>
      <c r="B65481" s="7"/>
    </row>
    <row r="65482" ht="15.75" customHeight="1">
      <c r="A65482" s="7"/>
      <c r="B65482" s="7"/>
    </row>
    <row r="65483" ht="15.75" customHeight="1">
      <c r="A65483" s="7"/>
      <c r="B65483" s="7"/>
    </row>
    <row r="65484" ht="15.75" customHeight="1">
      <c r="A65484" s="7"/>
      <c r="B65484" s="7"/>
    </row>
    <row r="65485" ht="15.75" customHeight="1">
      <c r="A65485" s="7"/>
      <c r="B65485" s="7"/>
    </row>
    <row r="65486" ht="15.75" customHeight="1">
      <c r="A65486" s="7"/>
      <c r="B65486" s="7"/>
    </row>
    <row r="65487" ht="15.75" customHeight="1">
      <c r="A65487" s="7"/>
      <c r="B65487" s="7"/>
    </row>
    <row r="65488" ht="15.75" customHeight="1">
      <c r="A65488" s="7"/>
      <c r="B65488" s="7"/>
    </row>
    <row r="65489" ht="15.75" customHeight="1">
      <c r="A65489" s="7"/>
      <c r="B65489" s="7"/>
    </row>
    <row r="65490" ht="15.75" customHeight="1">
      <c r="A65490" s="7"/>
      <c r="B65490" s="7"/>
    </row>
    <row r="65491" ht="15.75" customHeight="1">
      <c r="A65491" s="7"/>
      <c r="B65491" s="7"/>
    </row>
    <row r="65492" ht="15.75" customHeight="1">
      <c r="A65492" s="7"/>
      <c r="B65492" s="7"/>
    </row>
    <row r="65493" ht="15.75" customHeight="1">
      <c r="A65493" s="7"/>
      <c r="B65493" s="7"/>
    </row>
    <row r="65494" ht="15.75" customHeight="1">
      <c r="A65494" s="7"/>
      <c r="B65494" s="7"/>
    </row>
    <row r="65495" ht="15.75" customHeight="1">
      <c r="A65495" s="7"/>
      <c r="B65495" s="7"/>
    </row>
    <row r="65496" ht="15.75" customHeight="1">
      <c r="A65496" s="7"/>
      <c r="B65496" s="7"/>
    </row>
    <row r="65497" ht="15.75" customHeight="1">
      <c r="A65497" s="7"/>
      <c r="B65497" s="7"/>
    </row>
    <row r="65498" ht="15.75" customHeight="1">
      <c r="A65498" s="7"/>
      <c r="B65498" s="7"/>
    </row>
    <row r="65499" ht="15.75" customHeight="1">
      <c r="A65499" s="7"/>
      <c r="B65499" s="7"/>
    </row>
    <row r="65500" ht="15.75" customHeight="1">
      <c r="A65500" s="7"/>
      <c r="B65500" s="7"/>
    </row>
    <row r="65501" ht="15.75" customHeight="1">
      <c r="A65501" s="7"/>
      <c r="B65501" s="7"/>
    </row>
    <row r="65502" ht="15.75" customHeight="1">
      <c r="A65502" s="7"/>
      <c r="B65502" s="7"/>
    </row>
    <row r="65503" ht="15.75" customHeight="1">
      <c r="A65503" s="7"/>
      <c r="B65503" s="7"/>
    </row>
    <row r="65504" ht="15.75" customHeight="1">
      <c r="A65504" s="7"/>
      <c r="B65504" s="7"/>
    </row>
    <row r="65505" ht="15.75" customHeight="1">
      <c r="A65505" s="7"/>
      <c r="B65505" s="7"/>
    </row>
    <row r="65506" ht="15.75" customHeight="1">
      <c r="A65506" s="7"/>
      <c r="B65506" s="7"/>
    </row>
    <row r="65507" ht="15.75" customHeight="1">
      <c r="A65507" s="7"/>
      <c r="B65507" s="7"/>
    </row>
    <row r="65508" ht="15.75" customHeight="1">
      <c r="A65508" s="7"/>
      <c r="B65508" s="7"/>
    </row>
    <row r="65509" ht="15.75" customHeight="1">
      <c r="A65509" s="7"/>
      <c r="B65509" s="7"/>
    </row>
    <row r="65510" ht="15.75" customHeight="1">
      <c r="A65510" s="7"/>
      <c r="B65510" s="7"/>
    </row>
    <row r="65511" ht="15.75" customHeight="1">
      <c r="A65511" s="7"/>
      <c r="B65511" s="7"/>
    </row>
    <row r="65512" ht="15.75" customHeight="1">
      <c r="A65512" s="7"/>
      <c r="B65512" s="7"/>
    </row>
    <row r="65513" ht="15.75" customHeight="1">
      <c r="A65513" s="7"/>
      <c r="B65513" s="7"/>
    </row>
    <row r="65514" ht="15.75" customHeight="1">
      <c r="A65514" s="7"/>
      <c r="B65514" s="7"/>
    </row>
    <row r="65515" ht="15.75" customHeight="1">
      <c r="A65515" s="7"/>
      <c r="B65515" s="7"/>
    </row>
    <row r="65516" ht="15.75" customHeight="1">
      <c r="A65516" s="7"/>
      <c r="B65516" s="7"/>
    </row>
    <row r="65517" ht="15.75" customHeight="1">
      <c r="A65517" s="7"/>
      <c r="B65517" s="7"/>
    </row>
    <row r="65518" ht="15.75" customHeight="1">
      <c r="A65518" s="7"/>
      <c r="B65518" s="7"/>
    </row>
    <row r="65519" ht="15.75" customHeight="1">
      <c r="A65519" s="7"/>
      <c r="B65519" s="7"/>
    </row>
    <row r="65520" ht="15.75" customHeight="1">
      <c r="A65520" s="7"/>
      <c r="B65520" s="7"/>
    </row>
    <row r="65521" ht="15.75" customHeight="1">
      <c r="A65521" s="7"/>
      <c r="B65521" s="7"/>
    </row>
    <row r="65522" ht="15.75" customHeight="1">
      <c r="A65522" s="7"/>
      <c r="B65522" s="7"/>
    </row>
    <row r="65523" ht="15.75" customHeight="1">
      <c r="A65523" s="7"/>
      <c r="B65523" s="7"/>
    </row>
    <row r="65524" ht="15.75" customHeight="1">
      <c r="A65524" s="7"/>
      <c r="B65524" s="7"/>
    </row>
    <row r="65525" ht="15.75" customHeight="1">
      <c r="A65525" s="7"/>
      <c r="B65525" s="7"/>
    </row>
    <row r="65526" ht="15.75" customHeight="1">
      <c r="A65526" s="7"/>
      <c r="B65526" s="7"/>
    </row>
    <row r="65527" ht="15.75" customHeight="1">
      <c r="A65527" s="7"/>
      <c r="B65527" s="7"/>
    </row>
    <row r="65528" ht="15.75" customHeight="1">
      <c r="A65528" s="7"/>
      <c r="B65528" s="7"/>
    </row>
    <row r="65529" ht="15.75" customHeight="1">
      <c r="A65529" s="7"/>
      <c r="B65529" s="7"/>
    </row>
    <row r="65530" ht="15.75" customHeight="1">
      <c r="A65530" s="7"/>
      <c r="B65530" s="7"/>
    </row>
    <row r="65531" ht="15.75" customHeight="1">
      <c r="A65531" s="7"/>
      <c r="B65531" s="7"/>
    </row>
    <row r="65532" ht="15.75" customHeight="1">
      <c r="A65532" s="7"/>
      <c r="B65532" s="7"/>
    </row>
    <row r="65533" ht="15.75" customHeight="1">
      <c r="A65533" s="7"/>
      <c r="B65533" s="7"/>
    </row>
    <row r="65534" ht="15.75" customHeight="1">
      <c r="A65534" s="7"/>
      <c r="B65534" s="7"/>
    </row>
    <row r="65535" ht="15.75" customHeight="1">
      <c r="A65535" s="7"/>
      <c r="B65535" s="7"/>
    </row>
    <row r="65536" ht="15.75" customHeight="1">
      <c r="A65536" s="7"/>
      <c r="B65536" s="7"/>
    </row>
    <row r="65537" ht="15.75" customHeight="1">
      <c r="A65537" s="7"/>
      <c r="B65537" s="7"/>
    </row>
    <row r="65538" ht="15.75" customHeight="1">
      <c r="A65538" s="7"/>
      <c r="B65538" s="7"/>
    </row>
    <row r="65539" ht="15.75" customHeight="1">
      <c r="A65539" s="7"/>
      <c r="B65539" s="7"/>
    </row>
    <row r="65540" ht="15.75" customHeight="1">
      <c r="A65540" s="7"/>
      <c r="B65540" s="7"/>
    </row>
    <row r="65541" ht="15.75" customHeight="1">
      <c r="A65541" s="7"/>
      <c r="B65541" s="7"/>
    </row>
    <row r="65542" ht="15.75" customHeight="1">
      <c r="A65542" s="7"/>
      <c r="B65542" s="7"/>
    </row>
    <row r="65543" ht="15.75" customHeight="1">
      <c r="A65543" s="7"/>
      <c r="B65543" s="7"/>
    </row>
    <row r="65544" ht="15.75" customHeight="1">
      <c r="A65544" s="7"/>
      <c r="B65544" s="7"/>
    </row>
    <row r="65545" ht="15.75" customHeight="1">
      <c r="A65545" s="7"/>
      <c r="B65545" s="7"/>
    </row>
    <row r="65546" ht="15.75" customHeight="1">
      <c r="A65546" s="7"/>
      <c r="B65546" s="7"/>
    </row>
    <row r="65547" ht="15.75" customHeight="1">
      <c r="A65547" s="7"/>
      <c r="B65547" s="7"/>
    </row>
    <row r="65548" ht="15.75" customHeight="1">
      <c r="A65548" s="7"/>
      <c r="B65548" s="7"/>
    </row>
    <row r="65549" ht="15.75" customHeight="1">
      <c r="A65549" s="7"/>
      <c r="B65549" s="7"/>
    </row>
    <row r="65550" ht="15.75" customHeight="1">
      <c r="A65550" s="7"/>
      <c r="B65550" s="7"/>
    </row>
    <row r="65551" ht="15.75" customHeight="1">
      <c r="A65551" s="7"/>
      <c r="B65551" s="7"/>
    </row>
    <row r="65552" ht="15.75" customHeight="1">
      <c r="A65552" s="7"/>
      <c r="B65552" s="7"/>
    </row>
    <row r="65553" ht="15.75" customHeight="1">
      <c r="A65553" s="7"/>
      <c r="B65553" s="7"/>
    </row>
    <row r="65554" ht="15.75" customHeight="1">
      <c r="A65554" s="7"/>
      <c r="B65554" s="7"/>
    </row>
    <row r="65555" ht="15.75" customHeight="1">
      <c r="A65555" s="7"/>
      <c r="B65555" s="7"/>
    </row>
    <row r="65556" ht="15.75" customHeight="1">
      <c r="A65556" s="7"/>
      <c r="B65556" s="7"/>
    </row>
    <row r="65557" ht="15.75" customHeight="1">
      <c r="A65557" s="7"/>
      <c r="B65557" s="7"/>
    </row>
    <row r="65558" ht="15.75" customHeight="1">
      <c r="A65558" s="7"/>
      <c r="B65558" s="7"/>
    </row>
    <row r="65559" ht="15.75" customHeight="1">
      <c r="A65559" s="7"/>
      <c r="B65559" s="7"/>
    </row>
    <row r="65560" ht="15.75" customHeight="1">
      <c r="A65560" s="7"/>
      <c r="B65560" s="7"/>
    </row>
    <row r="65561" ht="15.75" customHeight="1">
      <c r="A65561" s="7"/>
      <c r="B65561" s="7"/>
    </row>
    <row r="65562" ht="15.75" customHeight="1">
      <c r="A65562" s="7"/>
      <c r="B65562" s="7"/>
    </row>
    <row r="65563" ht="15.75" customHeight="1">
      <c r="A65563" s="7"/>
      <c r="B65563" s="7"/>
    </row>
    <row r="65564" ht="15.75" customHeight="1">
      <c r="A65564" s="7"/>
      <c r="B65564" s="7"/>
    </row>
    <row r="65565" ht="15.75" customHeight="1">
      <c r="A65565" s="7"/>
      <c r="B65565" s="7"/>
    </row>
    <row r="65566" ht="15.75" customHeight="1">
      <c r="A65566" s="7"/>
      <c r="B65566" s="7"/>
    </row>
    <row r="65567" ht="15.75" customHeight="1">
      <c r="A65567" s="7"/>
      <c r="B65567" s="7"/>
    </row>
    <row r="65568" ht="15.75" customHeight="1">
      <c r="A65568" s="7"/>
      <c r="B65568" s="7"/>
    </row>
    <row r="65569" ht="15.75" customHeight="1">
      <c r="A65569" s="7"/>
      <c r="B65569" s="7"/>
    </row>
    <row r="65570" ht="15.75" customHeight="1">
      <c r="A65570" s="7"/>
      <c r="B65570" s="7"/>
    </row>
    <row r="65571" ht="15.75" customHeight="1">
      <c r="A65571" s="7"/>
      <c r="B65571" s="7"/>
    </row>
    <row r="65572" ht="15.75" customHeight="1">
      <c r="A65572" s="7"/>
      <c r="B65572" s="7"/>
    </row>
    <row r="65573" ht="15.75" customHeight="1">
      <c r="A65573" s="7"/>
      <c r="B65573" s="7"/>
    </row>
    <row r="65574" ht="15.75" customHeight="1">
      <c r="A65574" s="7"/>
      <c r="B65574" s="7"/>
    </row>
    <row r="65575" ht="15.75" customHeight="1">
      <c r="A65575" s="7"/>
      <c r="B65575" s="7"/>
    </row>
    <row r="65576" ht="15.75" customHeight="1">
      <c r="A65576" s="7"/>
      <c r="B65576" s="7"/>
    </row>
    <row r="65577" ht="15.75" customHeight="1">
      <c r="A65577" s="7"/>
      <c r="B65577" s="7"/>
    </row>
    <row r="65578" ht="15.75" customHeight="1">
      <c r="A65578" s="7"/>
      <c r="B65578" s="7"/>
    </row>
    <row r="65579" ht="15.75" customHeight="1">
      <c r="A65579" s="7"/>
      <c r="B65579" s="7"/>
    </row>
    <row r="65580" ht="15.75" customHeight="1">
      <c r="A65580" s="7"/>
      <c r="B65580" s="7"/>
    </row>
    <row r="65581" ht="15.75" customHeight="1">
      <c r="A65581" s="7"/>
      <c r="B65581" s="7"/>
    </row>
    <row r="65582" ht="15.75" customHeight="1">
      <c r="A65582" s="7"/>
      <c r="B65582" s="7"/>
    </row>
    <row r="65583" ht="15.75" customHeight="1">
      <c r="A65583" s="7"/>
      <c r="B65583" s="7"/>
    </row>
    <row r="65584" ht="15.75" customHeight="1">
      <c r="A65584" s="7"/>
      <c r="B65584" s="7"/>
    </row>
    <row r="65585" ht="15.75" customHeight="1">
      <c r="A65585" s="7"/>
      <c r="B65585" s="7"/>
    </row>
    <row r="65586" ht="15.75" customHeight="1">
      <c r="A65586" s="7"/>
      <c r="B65586" s="7"/>
    </row>
    <row r="65587" ht="15.75" customHeight="1">
      <c r="A65587" s="7"/>
      <c r="B65587" s="7"/>
    </row>
    <row r="65588" ht="15.75" customHeight="1">
      <c r="A65588" s="7"/>
      <c r="B65588" s="7"/>
    </row>
    <row r="65589" ht="15.75" customHeight="1">
      <c r="A65589" s="7"/>
      <c r="B65589" s="7"/>
    </row>
    <row r="65590" ht="15.75" customHeight="1">
      <c r="A65590" s="7"/>
      <c r="B65590" s="7"/>
    </row>
    <row r="65591" ht="15.75" customHeight="1">
      <c r="A65591" s="7"/>
      <c r="B65591" s="7"/>
    </row>
    <row r="65592" ht="15.75" customHeight="1">
      <c r="A65592" s="7"/>
      <c r="B65592" s="7"/>
    </row>
    <row r="65593" ht="15.75" customHeight="1">
      <c r="A65593" s="7"/>
      <c r="B65593" s="7"/>
    </row>
    <row r="65594" ht="15.75" customHeight="1">
      <c r="A65594" s="7"/>
      <c r="B65594" s="7"/>
    </row>
    <row r="65595" ht="15.75" customHeight="1">
      <c r="A65595" s="7"/>
      <c r="B65595" s="7"/>
    </row>
    <row r="65596" ht="15.75" customHeight="1">
      <c r="A65596" s="7"/>
      <c r="B65596" s="7"/>
    </row>
    <row r="65597" ht="15.75" customHeight="1">
      <c r="A65597" s="7"/>
      <c r="B65597" s="7"/>
    </row>
    <row r="65598" ht="15.75" customHeight="1">
      <c r="A65598" s="7"/>
      <c r="B65598" s="7"/>
    </row>
    <row r="65599" ht="15.75" customHeight="1">
      <c r="A65599" s="7"/>
      <c r="B65599" s="7"/>
    </row>
    <row r="65600" ht="15.75" customHeight="1">
      <c r="A65600" s="7"/>
      <c r="B65600" s="7"/>
    </row>
    <row r="65601" ht="15.75" customHeight="1">
      <c r="A65601" s="7"/>
      <c r="B65601" s="7"/>
    </row>
    <row r="65602" ht="15.75" customHeight="1">
      <c r="A65602" s="7"/>
      <c r="B65602" s="7"/>
    </row>
    <row r="65603" ht="15.75" customHeight="1">
      <c r="A65603" s="7"/>
      <c r="B65603" s="7"/>
    </row>
    <row r="65604" ht="15.75" customHeight="1">
      <c r="A65604" s="7"/>
      <c r="B65604" s="7"/>
    </row>
    <row r="65605" ht="15.75" customHeight="1">
      <c r="A65605" s="7"/>
      <c r="B65605" s="7"/>
    </row>
    <row r="65606" ht="15.75" customHeight="1">
      <c r="A65606" s="7"/>
      <c r="B65606" s="7"/>
    </row>
    <row r="65607" ht="15.75" customHeight="1">
      <c r="A65607" s="7"/>
      <c r="B65607" s="7"/>
    </row>
    <row r="65608" ht="15.75" customHeight="1">
      <c r="A65608" s="7"/>
      <c r="B65608" s="7"/>
    </row>
    <row r="65609" ht="15.75" customHeight="1">
      <c r="A65609" s="7"/>
      <c r="B65609" s="7"/>
    </row>
    <row r="65610" ht="15.75" customHeight="1">
      <c r="A65610" s="7"/>
      <c r="B65610" s="7"/>
    </row>
    <row r="65611" ht="15.75" customHeight="1">
      <c r="A65611" s="7"/>
      <c r="B65611" s="7"/>
    </row>
    <row r="65612" ht="15.75" customHeight="1">
      <c r="A65612" s="7"/>
      <c r="B65612" s="7"/>
    </row>
    <row r="65613" ht="15.75" customHeight="1">
      <c r="A65613" s="7"/>
      <c r="B65613" s="7"/>
    </row>
    <row r="65614" ht="15.75" customHeight="1">
      <c r="A65614" s="7"/>
      <c r="B65614" s="7"/>
    </row>
    <row r="65615" ht="15.75" customHeight="1">
      <c r="A65615" s="7"/>
      <c r="B65615" s="7"/>
    </row>
    <row r="65616" ht="15.75" customHeight="1">
      <c r="A65616" s="7"/>
      <c r="B65616" s="7"/>
    </row>
    <row r="65617" ht="15.75" customHeight="1">
      <c r="A65617" s="7"/>
      <c r="B65617" s="7"/>
    </row>
    <row r="65618" ht="15.75" customHeight="1">
      <c r="A65618" s="7"/>
      <c r="B65618" s="7"/>
    </row>
    <row r="65619" ht="15.75" customHeight="1">
      <c r="A65619" s="7"/>
      <c r="B65619" s="7"/>
    </row>
    <row r="65620" ht="15.75" customHeight="1">
      <c r="A65620" s="7"/>
      <c r="B65620" s="7"/>
    </row>
    <row r="65621" ht="15.75" customHeight="1">
      <c r="A65621" s="7"/>
      <c r="B65621" s="7"/>
    </row>
    <row r="65622" ht="15.75" customHeight="1">
      <c r="A65622" s="7"/>
      <c r="B65622" s="7"/>
    </row>
    <row r="65623" ht="15.75" customHeight="1">
      <c r="A65623" s="7"/>
      <c r="B65623" s="7"/>
    </row>
    <row r="65624" ht="15.75" customHeight="1">
      <c r="A65624" s="7"/>
      <c r="B65624" s="7"/>
    </row>
    <row r="65625" ht="15.75" customHeight="1">
      <c r="A65625" s="7"/>
      <c r="B65625" s="7"/>
    </row>
    <row r="65626" ht="15.75" customHeight="1">
      <c r="A65626" s="7"/>
      <c r="B65626" s="7"/>
    </row>
    <row r="65627" ht="15.75" customHeight="1">
      <c r="A65627" s="7"/>
      <c r="B65627" s="7"/>
    </row>
    <row r="65628" ht="15.75" customHeight="1">
      <c r="A65628" s="7"/>
      <c r="B65628" s="7"/>
    </row>
    <row r="65629" ht="15.75" customHeight="1">
      <c r="A65629" s="7"/>
      <c r="B65629" s="7"/>
    </row>
    <row r="65630" ht="15.75" customHeight="1">
      <c r="A65630" s="7"/>
      <c r="B65630" s="7"/>
    </row>
    <row r="65631" ht="15.75" customHeight="1">
      <c r="A65631" s="7"/>
      <c r="B65631" s="7"/>
    </row>
    <row r="65632" ht="15.75" customHeight="1">
      <c r="A65632" s="7"/>
      <c r="B65632" s="7"/>
    </row>
    <row r="65633" ht="15.75" customHeight="1">
      <c r="A65633" s="7"/>
      <c r="B65633" s="7"/>
    </row>
    <row r="65634" ht="15.75" customHeight="1">
      <c r="A65634" s="7"/>
      <c r="B65634" s="7"/>
    </row>
    <row r="65635" ht="15.75" customHeight="1">
      <c r="A65635" s="7"/>
      <c r="B65635" s="7"/>
    </row>
    <row r="65636" ht="15.75" customHeight="1">
      <c r="A65636" s="7"/>
      <c r="B65636" s="7"/>
    </row>
    <row r="65637" ht="15.75" customHeight="1">
      <c r="A65637" s="7"/>
      <c r="B65637" s="7"/>
    </row>
    <row r="65638" ht="15.75" customHeight="1">
      <c r="A65638" s="7"/>
      <c r="B65638" s="7"/>
    </row>
    <row r="65639" ht="15.75" customHeight="1">
      <c r="A65639" s="7"/>
      <c r="B65639" s="7"/>
    </row>
    <row r="65640" ht="15.75" customHeight="1">
      <c r="A65640" s="7"/>
      <c r="B65640" s="7"/>
    </row>
    <row r="65641" ht="15.75" customHeight="1">
      <c r="A65641" s="7"/>
      <c r="B65641" s="7"/>
    </row>
    <row r="65642" ht="15.75" customHeight="1">
      <c r="A65642" s="7"/>
      <c r="B65642" s="7"/>
    </row>
    <row r="65643" ht="15.75" customHeight="1">
      <c r="A65643" s="7"/>
      <c r="B65643" s="7"/>
    </row>
    <row r="65644" ht="15.75" customHeight="1">
      <c r="A65644" s="7"/>
      <c r="B65644" s="7"/>
    </row>
    <row r="65645" ht="15.75" customHeight="1">
      <c r="A65645" s="7"/>
      <c r="B65645" s="7"/>
    </row>
    <row r="65646" ht="15.75" customHeight="1">
      <c r="A65646" s="7"/>
      <c r="B65646" s="7"/>
    </row>
    <row r="65647" ht="15.75" customHeight="1">
      <c r="A65647" s="7"/>
      <c r="B65647" s="7"/>
    </row>
    <row r="65648" ht="15.75" customHeight="1">
      <c r="A65648" s="7"/>
      <c r="B65648" s="7"/>
    </row>
    <row r="65649" ht="15.75" customHeight="1">
      <c r="A65649" s="7"/>
      <c r="B65649" s="7"/>
    </row>
    <row r="65650" ht="15.75" customHeight="1">
      <c r="A65650" s="7"/>
      <c r="B65650" s="7"/>
    </row>
    <row r="65651" ht="15.75" customHeight="1">
      <c r="A65651" s="7"/>
      <c r="B65651" s="7"/>
    </row>
    <row r="65652" ht="15.75" customHeight="1">
      <c r="A65652" s="7"/>
      <c r="B65652" s="7"/>
    </row>
    <row r="65653" ht="15.75" customHeight="1">
      <c r="A65653" s="7"/>
      <c r="B65653" s="7"/>
    </row>
    <row r="65654" ht="15.75" customHeight="1">
      <c r="A65654" s="7"/>
      <c r="B65654" s="7"/>
    </row>
    <row r="65655" ht="15.75" customHeight="1">
      <c r="A65655" s="7"/>
      <c r="B65655" s="7"/>
    </row>
    <row r="65656" ht="15.75" customHeight="1">
      <c r="A65656" s="7"/>
      <c r="B65656" s="7"/>
    </row>
    <row r="65657" ht="15.75" customHeight="1">
      <c r="A65657" s="7"/>
      <c r="B65657" s="7"/>
    </row>
    <row r="65658" ht="15.75" customHeight="1">
      <c r="A65658" s="7"/>
      <c r="B65658" s="7"/>
    </row>
    <row r="65659" ht="15.75" customHeight="1">
      <c r="A65659" s="7"/>
      <c r="B65659" s="7"/>
    </row>
    <row r="65660" ht="15.75" customHeight="1">
      <c r="A65660" s="7"/>
      <c r="B65660" s="7"/>
    </row>
    <row r="65661" ht="15.75" customHeight="1">
      <c r="A65661" s="7"/>
      <c r="B65661" s="7"/>
    </row>
    <row r="65662" ht="15.75" customHeight="1">
      <c r="A65662" s="7"/>
      <c r="B65662" s="7"/>
    </row>
    <row r="65663" ht="15.75" customHeight="1">
      <c r="A65663" s="7"/>
      <c r="B65663" s="7"/>
    </row>
    <row r="65664" ht="15.75" customHeight="1">
      <c r="A65664" s="7"/>
      <c r="B65664" s="7"/>
    </row>
    <row r="65665" ht="15.75" customHeight="1">
      <c r="A65665" s="7"/>
      <c r="B65665" s="7"/>
    </row>
    <row r="65666" ht="15.75" customHeight="1">
      <c r="A65666" s="7"/>
      <c r="B65666" s="7"/>
    </row>
    <row r="65667" ht="15.75" customHeight="1">
      <c r="A65667" s="7"/>
      <c r="B65667" s="7"/>
    </row>
    <row r="65668" ht="15.75" customHeight="1">
      <c r="A65668" s="7"/>
      <c r="B65668" s="7"/>
    </row>
    <row r="65669" ht="15.75" customHeight="1">
      <c r="A65669" s="7"/>
      <c r="B65669" s="7"/>
    </row>
    <row r="65670" ht="15.75" customHeight="1">
      <c r="A65670" s="7"/>
      <c r="B65670" s="7"/>
    </row>
    <row r="65671" ht="15.75" customHeight="1">
      <c r="A65671" s="7"/>
      <c r="B65671" s="7"/>
    </row>
    <row r="65672" ht="15.75" customHeight="1">
      <c r="A65672" s="7"/>
      <c r="B65672" s="7"/>
    </row>
    <row r="65673" ht="15.75" customHeight="1">
      <c r="A65673" s="7"/>
      <c r="B65673" s="7"/>
    </row>
    <row r="65674" ht="15.75" customHeight="1">
      <c r="A65674" s="7"/>
      <c r="B65674" s="7"/>
    </row>
    <row r="65675" ht="15.75" customHeight="1">
      <c r="A65675" s="7"/>
      <c r="B65675" s="7"/>
    </row>
    <row r="65676" ht="15.75" customHeight="1">
      <c r="A65676" s="7"/>
      <c r="B65676" s="7"/>
    </row>
    <row r="65677" ht="15.75" customHeight="1">
      <c r="A65677" s="7"/>
      <c r="B65677" s="7"/>
    </row>
    <row r="65678" ht="15.75" customHeight="1">
      <c r="A65678" s="7"/>
      <c r="B65678" s="7"/>
    </row>
    <row r="65679" ht="15.75" customHeight="1">
      <c r="A65679" s="7"/>
      <c r="B65679" s="7"/>
    </row>
    <row r="65680" ht="15.75" customHeight="1">
      <c r="A65680" s="7"/>
      <c r="B65680" s="7"/>
    </row>
    <row r="65681" ht="15.75" customHeight="1">
      <c r="A65681" s="7"/>
      <c r="B65681" s="7"/>
    </row>
    <row r="65682" ht="15.75" customHeight="1">
      <c r="A65682" s="7"/>
      <c r="B65682" s="7"/>
    </row>
    <row r="65683" ht="15.75" customHeight="1">
      <c r="A65683" s="7"/>
      <c r="B65683" s="7"/>
    </row>
    <row r="65684" ht="15.75" customHeight="1">
      <c r="A65684" s="7"/>
      <c r="B65684" s="7"/>
    </row>
    <row r="65685" ht="15.75" customHeight="1">
      <c r="A65685" s="7"/>
      <c r="B65685" s="7"/>
    </row>
    <row r="65686" ht="15.75" customHeight="1">
      <c r="A65686" s="7"/>
      <c r="B65686" s="7"/>
    </row>
    <row r="65687" ht="15.75" customHeight="1">
      <c r="A65687" s="7"/>
      <c r="B65687" s="7"/>
    </row>
    <row r="65688" ht="15.75" customHeight="1">
      <c r="A65688" s="7"/>
      <c r="B65688" s="7"/>
    </row>
    <row r="65689" ht="15.75" customHeight="1">
      <c r="A65689" s="7"/>
      <c r="B65689" s="7"/>
    </row>
    <row r="65690" ht="15.75" customHeight="1">
      <c r="A65690" s="7"/>
      <c r="B65690" s="7"/>
    </row>
    <row r="65691" ht="15.75" customHeight="1">
      <c r="A65691" s="7"/>
      <c r="B65691" s="7"/>
    </row>
    <row r="65692" ht="15.75" customHeight="1">
      <c r="A65692" s="7"/>
      <c r="B65692" s="7"/>
    </row>
    <row r="65693" ht="15.75" customHeight="1">
      <c r="A65693" s="7"/>
      <c r="B65693" s="7"/>
    </row>
    <row r="65694" ht="15.75" customHeight="1">
      <c r="A65694" s="7"/>
      <c r="B65694" s="7"/>
    </row>
    <row r="65695" ht="15.75" customHeight="1">
      <c r="A65695" s="7"/>
      <c r="B65695" s="7"/>
    </row>
    <row r="65696" ht="15.75" customHeight="1">
      <c r="A65696" s="7"/>
      <c r="B65696" s="7"/>
    </row>
    <row r="65697" ht="15.75" customHeight="1">
      <c r="A65697" s="7"/>
      <c r="B65697" s="7"/>
    </row>
    <row r="65698" ht="15.75" customHeight="1">
      <c r="A65698" s="7"/>
      <c r="B65698" s="7"/>
    </row>
    <row r="65699" ht="15.75" customHeight="1">
      <c r="A65699" s="7"/>
      <c r="B65699" s="7"/>
    </row>
    <row r="65700" ht="15.75" customHeight="1">
      <c r="A65700" s="7"/>
      <c r="B65700" s="7"/>
    </row>
    <row r="65701" ht="15.75" customHeight="1">
      <c r="A65701" s="7"/>
      <c r="B65701" s="7"/>
    </row>
    <row r="65702" ht="15.75" customHeight="1">
      <c r="A65702" s="7"/>
      <c r="B65702" s="7"/>
    </row>
    <row r="65703" ht="15.75" customHeight="1">
      <c r="A65703" s="7"/>
      <c r="B65703" s="7"/>
    </row>
    <row r="65704" ht="15.75" customHeight="1">
      <c r="A65704" s="7"/>
      <c r="B65704" s="7"/>
    </row>
    <row r="65705" ht="15.75" customHeight="1">
      <c r="A65705" s="7"/>
      <c r="B65705" s="7"/>
    </row>
    <row r="65706" ht="15.75" customHeight="1">
      <c r="A65706" s="7"/>
      <c r="B65706" s="7"/>
    </row>
    <row r="65707" ht="15.75" customHeight="1">
      <c r="A65707" s="7"/>
      <c r="B65707" s="7"/>
    </row>
    <row r="65708" ht="15.75" customHeight="1">
      <c r="A65708" s="7"/>
      <c r="B65708" s="7"/>
    </row>
    <row r="65709" ht="15.75" customHeight="1">
      <c r="A65709" s="7"/>
      <c r="B65709" s="7"/>
    </row>
    <row r="65710" ht="15.75" customHeight="1">
      <c r="A65710" s="7"/>
      <c r="B65710" s="7"/>
    </row>
    <row r="65711" ht="15.75" customHeight="1">
      <c r="A65711" s="7"/>
      <c r="B65711" s="7"/>
    </row>
    <row r="65712" ht="15.75" customHeight="1">
      <c r="A65712" s="7"/>
      <c r="B65712" s="7"/>
    </row>
    <row r="65713" ht="15.75" customHeight="1">
      <c r="A65713" s="7"/>
      <c r="B65713" s="7"/>
    </row>
    <row r="65714" ht="15.75" customHeight="1">
      <c r="A65714" s="7"/>
      <c r="B65714" s="7"/>
    </row>
    <row r="65715" ht="15.75" customHeight="1">
      <c r="A65715" s="7"/>
      <c r="B65715" s="7"/>
    </row>
    <row r="65716" ht="15.75" customHeight="1">
      <c r="A65716" s="7"/>
      <c r="B65716" s="7"/>
    </row>
    <row r="65717" ht="15.75" customHeight="1">
      <c r="A65717" s="7"/>
      <c r="B65717" s="7"/>
    </row>
    <row r="65718" ht="15.75" customHeight="1">
      <c r="A65718" s="7"/>
      <c r="B65718" s="7"/>
    </row>
    <row r="65719" ht="15.75" customHeight="1">
      <c r="A65719" s="7"/>
      <c r="B65719" s="7"/>
    </row>
    <row r="65720" ht="15.75" customHeight="1">
      <c r="A65720" s="7"/>
      <c r="B65720" s="7"/>
    </row>
    <row r="65721" ht="15.75" customHeight="1">
      <c r="A65721" s="7"/>
      <c r="B65721" s="7"/>
    </row>
    <row r="65722" ht="15.75" customHeight="1">
      <c r="A65722" s="7"/>
      <c r="B65722" s="7"/>
    </row>
    <row r="65723" ht="15.75" customHeight="1">
      <c r="A65723" s="7"/>
      <c r="B65723" s="7"/>
    </row>
    <row r="65724" ht="15.75" customHeight="1">
      <c r="A65724" s="7"/>
      <c r="B65724" s="7"/>
    </row>
    <row r="65725" ht="15.75" customHeight="1">
      <c r="A65725" s="7"/>
      <c r="B65725" s="7"/>
    </row>
    <row r="65726" ht="15.75" customHeight="1">
      <c r="A65726" s="7"/>
      <c r="B65726" s="7"/>
    </row>
    <row r="65727" ht="15.75" customHeight="1">
      <c r="A65727" s="7"/>
      <c r="B65727" s="7"/>
    </row>
    <row r="65728" ht="15.75" customHeight="1">
      <c r="A65728" s="7"/>
      <c r="B65728" s="7"/>
    </row>
    <row r="65729" ht="15.75" customHeight="1">
      <c r="A65729" s="7"/>
      <c r="B65729" s="7"/>
    </row>
    <row r="65730" ht="15.75" customHeight="1">
      <c r="A65730" s="7"/>
      <c r="B65730" s="7"/>
    </row>
    <row r="65731" ht="15.75" customHeight="1">
      <c r="A65731" s="7"/>
      <c r="B65731" s="7"/>
    </row>
    <row r="65732" ht="15.75" customHeight="1">
      <c r="A65732" s="7"/>
      <c r="B65732" s="7"/>
    </row>
    <row r="65733" ht="15.75" customHeight="1">
      <c r="A65733" s="7"/>
      <c r="B65733" s="7"/>
    </row>
    <row r="65734" ht="15.75" customHeight="1">
      <c r="A65734" s="7"/>
      <c r="B65734" s="7"/>
    </row>
    <row r="65735" ht="15.75" customHeight="1">
      <c r="A65735" s="7"/>
      <c r="B65735" s="7"/>
    </row>
    <row r="65736" ht="15.75" customHeight="1">
      <c r="A65736" s="7"/>
      <c r="B65736" s="7"/>
    </row>
    <row r="65737" ht="15.75" customHeight="1">
      <c r="A65737" s="7"/>
      <c r="B65737" s="7"/>
    </row>
    <row r="65738" ht="15.75" customHeight="1">
      <c r="A65738" s="7"/>
      <c r="B65738" s="7"/>
    </row>
    <row r="65739" ht="15.75" customHeight="1">
      <c r="A65739" s="7"/>
      <c r="B65739" s="7"/>
    </row>
    <row r="65740" ht="15.75" customHeight="1">
      <c r="A65740" s="7"/>
      <c r="B65740" s="7"/>
    </row>
    <row r="65741" ht="15.75" customHeight="1">
      <c r="A65741" s="7"/>
      <c r="B65741" s="7"/>
    </row>
    <row r="65742" ht="15.75" customHeight="1">
      <c r="A65742" s="7"/>
      <c r="B65742" s="7"/>
    </row>
    <row r="65743" ht="15.75" customHeight="1">
      <c r="A65743" s="7"/>
      <c r="B65743" s="7"/>
    </row>
    <row r="65744" ht="15.75" customHeight="1">
      <c r="A65744" s="7"/>
      <c r="B65744" s="7"/>
    </row>
    <row r="65745" ht="15.75" customHeight="1">
      <c r="A65745" s="7"/>
      <c r="B65745" s="7"/>
    </row>
    <row r="65746" ht="15.75" customHeight="1">
      <c r="A65746" s="7"/>
      <c r="B65746" s="7"/>
    </row>
    <row r="65747" ht="15.75" customHeight="1">
      <c r="A65747" s="7"/>
      <c r="B65747" s="7"/>
    </row>
    <row r="65748" ht="15.75" customHeight="1">
      <c r="A65748" s="7"/>
      <c r="B65748" s="7"/>
    </row>
    <row r="65749" ht="15.75" customHeight="1">
      <c r="A65749" s="7"/>
      <c r="B65749" s="7"/>
    </row>
    <row r="65750" ht="15.75" customHeight="1">
      <c r="A65750" s="7"/>
      <c r="B65750" s="7"/>
    </row>
    <row r="65751" ht="15.75" customHeight="1">
      <c r="A65751" s="7"/>
      <c r="B65751" s="7"/>
    </row>
    <row r="65752" ht="15.75" customHeight="1">
      <c r="A65752" s="7"/>
      <c r="B65752" s="7"/>
    </row>
    <row r="65753" ht="15.75" customHeight="1">
      <c r="A65753" s="7"/>
      <c r="B65753" s="7"/>
    </row>
    <row r="65754" ht="15.75" customHeight="1">
      <c r="A65754" s="7"/>
      <c r="B65754" s="7"/>
    </row>
    <row r="65755" ht="15.75" customHeight="1">
      <c r="A65755" s="7"/>
      <c r="B65755" s="7"/>
    </row>
    <row r="65756" ht="15.75" customHeight="1">
      <c r="A65756" s="7"/>
      <c r="B65756" s="7"/>
    </row>
    <row r="65757" ht="15.75" customHeight="1">
      <c r="A65757" s="7"/>
      <c r="B65757" s="7"/>
    </row>
    <row r="65758" ht="15.75" customHeight="1">
      <c r="A65758" s="7"/>
      <c r="B65758" s="7"/>
    </row>
    <row r="65759" ht="15.75" customHeight="1">
      <c r="A65759" s="7"/>
      <c r="B65759" s="7"/>
    </row>
    <row r="65760" ht="15.75" customHeight="1">
      <c r="A65760" s="7"/>
      <c r="B65760" s="7"/>
    </row>
    <row r="65761" ht="15.75" customHeight="1">
      <c r="A65761" s="7"/>
      <c r="B65761" s="7"/>
    </row>
    <row r="65762" ht="15.75" customHeight="1">
      <c r="A65762" s="7"/>
      <c r="B65762" s="7"/>
    </row>
    <row r="65763" ht="15.75" customHeight="1">
      <c r="A65763" s="7"/>
      <c r="B65763" s="7"/>
    </row>
    <row r="65764" ht="15.75" customHeight="1">
      <c r="A65764" s="7"/>
      <c r="B65764" s="7"/>
    </row>
    <row r="65765" ht="15.75" customHeight="1">
      <c r="A65765" s="7"/>
      <c r="B65765" s="7"/>
    </row>
    <row r="65766" ht="15.75" customHeight="1">
      <c r="A65766" s="7"/>
      <c r="B65766" s="7"/>
    </row>
    <row r="65767" ht="15.75" customHeight="1">
      <c r="A65767" s="7"/>
      <c r="B65767" s="7"/>
    </row>
    <row r="65768" ht="15.75" customHeight="1">
      <c r="A65768" s="7"/>
      <c r="B65768" s="7"/>
    </row>
    <row r="65769" ht="15.75" customHeight="1">
      <c r="A65769" s="7"/>
      <c r="B65769" s="7"/>
    </row>
    <row r="65770" ht="15.75" customHeight="1">
      <c r="A65770" s="7"/>
      <c r="B65770" s="7"/>
    </row>
    <row r="65771" ht="15.75" customHeight="1">
      <c r="A65771" s="7"/>
      <c r="B65771" s="7"/>
    </row>
    <row r="65772" ht="15.75" customHeight="1">
      <c r="A65772" s="7"/>
      <c r="B65772" s="7"/>
    </row>
    <row r="65773" ht="15.75" customHeight="1">
      <c r="A65773" s="7"/>
      <c r="B65773" s="7"/>
    </row>
    <row r="65774" ht="15.75" customHeight="1">
      <c r="A65774" s="7"/>
      <c r="B65774" s="7"/>
    </row>
    <row r="65775" ht="15.75" customHeight="1">
      <c r="A65775" s="7"/>
      <c r="B65775" s="7"/>
    </row>
    <row r="65776" ht="15.75" customHeight="1">
      <c r="A65776" s="7"/>
      <c r="B65776" s="7"/>
    </row>
    <row r="65777" ht="15.75" customHeight="1">
      <c r="A65777" s="7"/>
      <c r="B65777" s="7"/>
    </row>
    <row r="65778" ht="15.75" customHeight="1">
      <c r="A65778" s="7"/>
      <c r="B65778" s="7"/>
    </row>
    <row r="65779" ht="15.75" customHeight="1">
      <c r="A65779" s="7"/>
      <c r="B65779" s="7"/>
    </row>
    <row r="65780" ht="15.75" customHeight="1">
      <c r="A65780" s="7"/>
      <c r="B65780" s="7"/>
    </row>
    <row r="65781" ht="15.75" customHeight="1">
      <c r="A65781" s="7"/>
      <c r="B65781" s="7"/>
    </row>
    <row r="65782" ht="15.75" customHeight="1">
      <c r="A65782" s="7"/>
      <c r="B65782" s="7"/>
    </row>
    <row r="65783" ht="15.75" customHeight="1">
      <c r="A65783" s="7"/>
      <c r="B65783" s="7"/>
    </row>
    <row r="65784" ht="15.75" customHeight="1">
      <c r="A65784" s="7"/>
      <c r="B65784" s="7"/>
    </row>
    <row r="65785" ht="15.75" customHeight="1">
      <c r="A65785" s="7"/>
      <c r="B65785" s="7"/>
    </row>
    <row r="65786" ht="15.75" customHeight="1">
      <c r="A65786" s="7"/>
      <c r="B65786" s="7"/>
    </row>
    <row r="65787" ht="15.75" customHeight="1">
      <c r="A65787" s="7"/>
      <c r="B65787" s="7"/>
    </row>
    <row r="65788" ht="15.75" customHeight="1">
      <c r="A65788" s="7"/>
      <c r="B65788" s="7"/>
    </row>
    <row r="65789" ht="15.75" customHeight="1">
      <c r="A65789" s="7"/>
      <c r="B65789" s="7"/>
    </row>
    <row r="65790" ht="15.75" customHeight="1">
      <c r="A65790" s="7"/>
      <c r="B65790" s="7"/>
    </row>
    <row r="65791" ht="15.75" customHeight="1">
      <c r="A65791" s="7"/>
      <c r="B65791" s="7"/>
    </row>
    <row r="65792" ht="15.75" customHeight="1">
      <c r="A65792" s="7"/>
      <c r="B65792" s="7"/>
    </row>
    <row r="65793" ht="15.75" customHeight="1">
      <c r="A65793" s="7"/>
      <c r="B65793" s="7"/>
    </row>
    <row r="65794" ht="15.75" customHeight="1">
      <c r="A65794" s="7"/>
      <c r="B65794" s="7"/>
    </row>
    <row r="65795" ht="15.75" customHeight="1">
      <c r="A65795" s="7"/>
      <c r="B65795" s="7"/>
    </row>
    <row r="65796" ht="15.75" customHeight="1">
      <c r="A65796" s="7"/>
      <c r="B65796" s="7"/>
    </row>
    <row r="65797" ht="15.75" customHeight="1">
      <c r="A65797" s="7"/>
      <c r="B65797" s="7"/>
    </row>
    <row r="65798" ht="15.75" customHeight="1">
      <c r="A65798" s="7"/>
      <c r="B65798" s="7"/>
    </row>
    <row r="65799" ht="15.75" customHeight="1">
      <c r="A65799" s="7"/>
      <c r="B65799" s="7"/>
    </row>
    <row r="65800" ht="15.75" customHeight="1">
      <c r="A65800" s="7"/>
      <c r="B65800" s="7"/>
    </row>
    <row r="65801" ht="15.75" customHeight="1">
      <c r="A65801" s="7"/>
      <c r="B65801" s="7"/>
    </row>
    <row r="65802" ht="15.75" customHeight="1">
      <c r="A65802" s="7"/>
      <c r="B65802" s="7"/>
    </row>
    <row r="65803" ht="15.75" customHeight="1">
      <c r="A65803" s="7"/>
      <c r="B65803" s="7"/>
    </row>
    <row r="65804" ht="15.75" customHeight="1">
      <c r="A65804" s="7"/>
      <c r="B65804" s="7"/>
    </row>
    <row r="65805" ht="15.75" customHeight="1">
      <c r="A65805" s="7"/>
      <c r="B65805" s="7"/>
    </row>
    <row r="65806" ht="15.75" customHeight="1">
      <c r="A65806" s="7"/>
      <c r="B65806" s="7"/>
    </row>
    <row r="65807" ht="15.75" customHeight="1">
      <c r="A65807" s="7"/>
      <c r="B65807" s="7"/>
    </row>
    <row r="65808" ht="15.75" customHeight="1">
      <c r="A65808" s="7"/>
      <c r="B65808" s="7"/>
    </row>
    <row r="65809" ht="15.75" customHeight="1">
      <c r="A65809" s="7"/>
      <c r="B65809" s="7"/>
    </row>
    <row r="65810" ht="15.75" customHeight="1">
      <c r="A65810" s="7"/>
      <c r="B65810" s="7"/>
    </row>
    <row r="65811" ht="15.75" customHeight="1">
      <c r="A65811" s="7"/>
      <c r="B65811" s="7"/>
    </row>
    <row r="65812" ht="15.75" customHeight="1">
      <c r="A65812" s="7"/>
      <c r="B65812" s="7"/>
    </row>
    <row r="65813" ht="15.75" customHeight="1">
      <c r="A65813" s="7"/>
      <c r="B65813" s="7"/>
    </row>
    <row r="65814" ht="15.75" customHeight="1">
      <c r="A65814" s="7"/>
      <c r="B65814" s="7"/>
    </row>
    <row r="65815" ht="15.75" customHeight="1">
      <c r="A65815" s="7"/>
      <c r="B65815" s="7"/>
    </row>
    <row r="65816" ht="15.75" customHeight="1">
      <c r="A65816" s="7"/>
      <c r="B65816" s="7"/>
    </row>
    <row r="65817" ht="15.75" customHeight="1">
      <c r="A65817" s="7"/>
      <c r="B65817" s="7"/>
    </row>
    <row r="65818" ht="15.75" customHeight="1">
      <c r="A65818" s="7"/>
      <c r="B65818" s="7"/>
    </row>
    <row r="65819" ht="15.75" customHeight="1">
      <c r="A65819" s="7"/>
      <c r="B65819" s="7"/>
    </row>
    <row r="65820" ht="15.75" customHeight="1">
      <c r="A65820" s="7"/>
      <c r="B65820" s="7"/>
    </row>
    <row r="65821" ht="15.75" customHeight="1">
      <c r="A65821" s="7"/>
      <c r="B65821" s="7"/>
    </row>
    <row r="65822" ht="15.75" customHeight="1">
      <c r="A65822" s="7"/>
      <c r="B65822" s="7"/>
    </row>
    <row r="65823" ht="15.75" customHeight="1">
      <c r="A65823" s="7"/>
      <c r="B65823" s="7"/>
    </row>
    <row r="65824" ht="15.75" customHeight="1">
      <c r="A65824" s="7"/>
      <c r="B65824" s="7"/>
    </row>
    <row r="65825" ht="15.75" customHeight="1">
      <c r="A65825" s="7"/>
      <c r="B65825" s="7"/>
    </row>
    <row r="65826" ht="15.75" customHeight="1">
      <c r="A65826" s="7"/>
      <c r="B65826" s="7"/>
    </row>
    <row r="65827" ht="15.75" customHeight="1">
      <c r="A65827" s="7"/>
      <c r="B65827" s="7"/>
    </row>
    <row r="65828" ht="15.75" customHeight="1">
      <c r="A65828" s="7"/>
      <c r="B65828" s="7"/>
    </row>
    <row r="65829" ht="15.75" customHeight="1">
      <c r="A65829" s="7"/>
      <c r="B65829" s="7"/>
    </row>
    <row r="65830" ht="15.75" customHeight="1">
      <c r="A65830" s="7"/>
      <c r="B65830" s="7"/>
    </row>
    <row r="65831" ht="15.75" customHeight="1">
      <c r="A65831" s="7"/>
      <c r="B65831" s="7"/>
    </row>
    <row r="65832" ht="15.75" customHeight="1">
      <c r="A65832" s="7"/>
      <c r="B65832" s="7"/>
    </row>
    <row r="65833" ht="15.75" customHeight="1">
      <c r="A65833" s="7"/>
      <c r="B65833" s="7"/>
    </row>
    <row r="65834" ht="15.75" customHeight="1">
      <c r="A65834" s="7"/>
      <c r="B65834" s="7"/>
    </row>
    <row r="65835" ht="15.75" customHeight="1">
      <c r="A65835" s="7"/>
      <c r="B65835" s="7"/>
    </row>
    <row r="65836" ht="15.75" customHeight="1">
      <c r="A65836" s="7"/>
      <c r="B65836" s="7"/>
    </row>
    <row r="65837" ht="15.75" customHeight="1">
      <c r="A65837" s="7"/>
      <c r="B65837" s="7"/>
    </row>
    <row r="65838" ht="15.75" customHeight="1">
      <c r="A65838" s="7"/>
      <c r="B65838" s="7"/>
    </row>
    <row r="65839" ht="15.75" customHeight="1">
      <c r="A65839" s="7"/>
      <c r="B65839" s="7"/>
    </row>
    <row r="65840" ht="15.75" customHeight="1">
      <c r="A65840" s="7"/>
      <c r="B65840" s="7"/>
    </row>
    <row r="65841" ht="15.75" customHeight="1">
      <c r="A65841" s="7"/>
      <c r="B65841" s="7"/>
    </row>
    <row r="65842" ht="15.75" customHeight="1">
      <c r="A65842" s="7"/>
      <c r="B65842" s="7"/>
    </row>
    <row r="65843" ht="15.75" customHeight="1">
      <c r="A65843" s="7"/>
      <c r="B65843" s="7"/>
    </row>
    <row r="65844" ht="15.75" customHeight="1">
      <c r="A65844" s="7"/>
      <c r="B65844" s="7"/>
    </row>
    <row r="65845" ht="15.75" customHeight="1">
      <c r="A65845" s="7"/>
      <c r="B65845" s="7"/>
    </row>
    <row r="65846" ht="15.75" customHeight="1">
      <c r="A65846" s="7"/>
      <c r="B65846" s="7"/>
    </row>
    <row r="65847" ht="15.75" customHeight="1">
      <c r="A65847" s="7"/>
      <c r="B65847" s="7"/>
    </row>
    <row r="65848" ht="15.75" customHeight="1">
      <c r="A65848" s="7"/>
      <c r="B65848" s="7"/>
    </row>
    <row r="65849" ht="15.75" customHeight="1">
      <c r="A65849" s="7"/>
      <c r="B65849" s="7"/>
    </row>
    <row r="65850" ht="15.75" customHeight="1">
      <c r="A65850" s="7"/>
      <c r="B65850" s="7"/>
    </row>
    <row r="65851" ht="15.75" customHeight="1">
      <c r="A65851" s="7"/>
      <c r="B65851" s="7"/>
    </row>
    <row r="65852" ht="15.75" customHeight="1">
      <c r="A65852" s="7"/>
      <c r="B65852" s="7"/>
    </row>
    <row r="65853" ht="15.75" customHeight="1">
      <c r="A65853" s="7"/>
      <c r="B65853" s="7"/>
    </row>
    <row r="65854" ht="15.75" customHeight="1">
      <c r="A65854" s="7"/>
      <c r="B65854" s="7"/>
    </row>
    <row r="65855" ht="15.75" customHeight="1">
      <c r="A65855" s="7"/>
      <c r="B65855" s="7"/>
    </row>
    <row r="65856" ht="15.75" customHeight="1">
      <c r="A65856" s="7"/>
      <c r="B65856" s="7"/>
    </row>
    <row r="65857" ht="15.75" customHeight="1">
      <c r="A65857" s="7"/>
      <c r="B65857" s="7"/>
    </row>
    <row r="65858" ht="15.75" customHeight="1">
      <c r="A65858" s="7"/>
      <c r="B65858" s="7"/>
    </row>
    <row r="65859" ht="15.75" customHeight="1">
      <c r="A65859" s="7"/>
      <c r="B65859" s="7"/>
    </row>
    <row r="65860" ht="15.75" customHeight="1">
      <c r="A65860" s="7"/>
      <c r="B65860" s="7"/>
    </row>
    <row r="65861" ht="15.75" customHeight="1">
      <c r="A65861" s="7"/>
      <c r="B65861" s="7"/>
    </row>
    <row r="65862" ht="15.75" customHeight="1">
      <c r="A65862" s="7"/>
      <c r="B65862" s="7"/>
    </row>
    <row r="65863" ht="15.75" customHeight="1">
      <c r="A65863" s="7"/>
      <c r="B65863" s="7"/>
    </row>
    <row r="65864" ht="15.75" customHeight="1">
      <c r="A65864" s="7"/>
      <c r="B65864" s="7"/>
    </row>
    <row r="65865" ht="15.75" customHeight="1">
      <c r="A65865" s="7"/>
      <c r="B65865" s="7"/>
    </row>
    <row r="65866" ht="15.75" customHeight="1">
      <c r="A65866" s="7"/>
      <c r="B65866" s="7"/>
    </row>
    <row r="65867" ht="15.75" customHeight="1">
      <c r="A65867" s="7"/>
      <c r="B65867" s="7"/>
    </row>
    <row r="65868" ht="15.75" customHeight="1">
      <c r="A65868" s="7"/>
      <c r="B65868" s="7"/>
    </row>
    <row r="65869" ht="15.75" customHeight="1">
      <c r="A65869" s="7"/>
      <c r="B65869" s="7"/>
    </row>
    <row r="65870" ht="15.75" customHeight="1">
      <c r="A65870" s="7"/>
      <c r="B65870" s="7"/>
    </row>
    <row r="65871" ht="15.75" customHeight="1">
      <c r="A65871" s="7"/>
      <c r="B65871" s="7"/>
    </row>
    <row r="65872" ht="15.75" customHeight="1">
      <c r="A65872" s="7"/>
      <c r="B65872" s="7"/>
    </row>
    <row r="65873" ht="15.75" customHeight="1">
      <c r="A65873" s="7"/>
      <c r="B65873" s="7"/>
    </row>
    <row r="65874" ht="15.75" customHeight="1">
      <c r="A65874" s="7"/>
      <c r="B65874" s="7"/>
    </row>
    <row r="65875" ht="15.75" customHeight="1">
      <c r="A65875" s="7"/>
      <c r="B65875" s="7"/>
    </row>
    <row r="65876" ht="15.75" customHeight="1">
      <c r="A65876" s="7"/>
      <c r="B65876" s="7"/>
    </row>
    <row r="65877" ht="15.75" customHeight="1">
      <c r="A65877" s="7"/>
      <c r="B65877" s="7"/>
    </row>
    <row r="65878" ht="15.75" customHeight="1">
      <c r="A65878" s="7"/>
      <c r="B65878" s="7"/>
    </row>
    <row r="65879" ht="15.75" customHeight="1">
      <c r="A65879" s="7"/>
      <c r="B65879" s="7"/>
    </row>
    <row r="65880" ht="15.75" customHeight="1">
      <c r="A65880" s="7"/>
      <c r="B65880" s="7"/>
    </row>
    <row r="65881" ht="15.75" customHeight="1">
      <c r="A65881" s="7"/>
      <c r="B65881" s="7"/>
    </row>
    <row r="65882" ht="15.75" customHeight="1">
      <c r="A65882" s="7"/>
      <c r="B65882" s="7"/>
    </row>
    <row r="65883" ht="15.75" customHeight="1">
      <c r="A65883" s="7"/>
      <c r="B65883" s="7"/>
    </row>
    <row r="65884" ht="15.75" customHeight="1">
      <c r="A65884" s="7"/>
      <c r="B65884" s="7"/>
    </row>
    <row r="65885" ht="15.75" customHeight="1">
      <c r="A65885" s="7"/>
      <c r="B65885" s="7"/>
    </row>
    <row r="65886" ht="15.75" customHeight="1">
      <c r="A65886" s="7"/>
      <c r="B65886" s="7"/>
    </row>
    <row r="65887" ht="15.75" customHeight="1">
      <c r="A65887" s="7"/>
      <c r="B65887" s="7"/>
    </row>
    <row r="65888" ht="15.75" customHeight="1">
      <c r="A65888" s="7"/>
      <c r="B65888" s="7"/>
    </row>
    <row r="65889" ht="15.75" customHeight="1">
      <c r="A65889" s="7"/>
      <c r="B65889" s="7"/>
    </row>
    <row r="65890" ht="15.75" customHeight="1">
      <c r="A65890" s="7"/>
      <c r="B65890" s="7"/>
    </row>
    <row r="65891" ht="15.75" customHeight="1">
      <c r="A65891" s="7"/>
      <c r="B65891" s="7"/>
    </row>
    <row r="65892" ht="15.75" customHeight="1">
      <c r="A65892" s="7"/>
      <c r="B65892" s="7"/>
    </row>
    <row r="65893" ht="15.75" customHeight="1">
      <c r="A65893" s="7"/>
      <c r="B65893" s="7"/>
    </row>
    <row r="65894" ht="15.75" customHeight="1">
      <c r="A65894" s="7"/>
      <c r="B65894" s="7"/>
    </row>
    <row r="65895" ht="15.75" customHeight="1">
      <c r="A65895" s="7"/>
      <c r="B65895" s="7"/>
    </row>
    <row r="65896" ht="15.75" customHeight="1">
      <c r="A65896" s="7"/>
      <c r="B65896" s="7"/>
    </row>
    <row r="65897" ht="15.75" customHeight="1">
      <c r="A65897" s="7"/>
      <c r="B65897" s="7"/>
    </row>
    <row r="65898" ht="15.75" customHeight="1">
      <c r="A65898" s="7"/>
      <c r="B65898" s="7"/>
    </row>
    <row r="65899" ht="15.75" customHeight="1">
      <c r="A65899" s="7"/>
      <c r="B65899" s="7"/>
    </row>
    <row r="65900" ht="15.75" customHeight="1">
      <c r="A65900" s="7"/>
      <c r="B65900" s="7"/>
    </row>
    <row r="65901" ht="15.75" customHeight="1">
      <c r="A65901" s="7"/>
      <c r="B65901" s="7"/>
    </row>
    <row r="65902" ht="15.75" customHeight="1">
      <c r="A65902" s="7"/>
      <c r="B65902" s="7"/>
    </row>
    <row r="65903" ht="15.75" customHeight="1">
      <c r="A65903" s="7"/>
      <c r="B65903" s="7"/>
    </row>
    <row r="65904" ht="15.75" customHeight="1">
      <c r="A65904" s="7"/>
      <c r="B65904" s="7"/>
    </row>
    <row r="65905" ht="15.75" customHeight="1">
      <c r="A65905" s="7"/>
      <c r="B65905" s="7"/>
    </row>
    <row r="65906" ht="15.75" customHeight="1">
      <c r="A65906" s="7"/>
      <c r="B65906" s="7"/>
    </row>
    <row r="65907" ht="15.75" customHeight="1">
      <c r="A65907" s="7"/>
      <c r="B65907" s="7"/>
    </row>
    <row r="65908" ht="15.75" customHeight="1">
      <c r="A65908" s="7"/>
      <c r="B65908" s="7"/>
    </row>
    <row r="65909" ht="15.75" customHeight="1">
      <c r="A65909" s="7"/>
      <c r="B65909" s="7"/>
    </row>
    <row r="65910" ht="15.75" customHeight="1">
      <c r="A65910" s="7"/>
      <c r="B65910" s="7"/>
    </row>
    <row r="65911" ht="15.75" customHeight="1">
      <c r="A65911" s="7"/>
      <c r="B65911" s="7"/>
    </row>
    <row r="65912" ht="15.75" customHeight="1">
      <c r="A65912" s="7"/>
      <c r="B65912" s="7"/>
    </row>
    <row r="65913" ht="15.75" customHeight="1">
      <c r="A65913" s="7"/>
      <c r="B65913" s="7"/>
    </row>
    <row r="65914" ht="15.75" customHeight="1">
      <c r="A65914" s="7"/>
      <c r="B65914" s="7"/>
    </row>
    <row r="65915" ht="15.75" customHeight="1">
      <c r="A65915" s="7"/>
      <c r="B65915" s="7"/>
    </row>
    <row r="65916" ht="15.75" customHeight="1">
      <c r="A65916" s="7"/>
      <c r="B65916" s="7"/>
    </row>
    <row r="65917" ht="15.75" customHeight="1">
      <c r="A65917" s="7"/>
      <c r="B65917" s="7"/>
    </row>
    <row r="65918" ht="15.75" customHeight="1">
      <c r="A65918" s="7"/>
      <c r="B65918" s="7"/>
    </row>
    <row r="65919" ht="15.75" customHeight="1">
      <c r="A65919" s="7"/>
      <c r="B65919" s="7"/>
    </row>
    <row r="65920" ht="15.75" customHeight="1">
      <c r="A65920" s="7"/>
      <c r="B65920" s="7"/>
    </row>
    <row r="65921" ht="15.75" customHeight="1">
      <c r="A65921" s="7"/>
      <c r="B65921" s="7"/>
    </row>
    <row r="65922" ht="15.75" customHeight="1">
      <c r="A65922" s="7"/>
      <c r="B65922" s="7"/>
    </row>
    <row r="65923" ht="15.75" customHeight="1">
      <c r="A65923" s="7"/>
      <c r="B65923" s="7"/>
    </row>
    <row r="65924" ht="15.75" customHeight="1">
      <c r="A65924" s="7"/>
      <c r="B65924" s="7"/>
    </row>
    <row r="65925" ht="15.75" customHeight="1">
      <c r="A65925" s="7"/>
      <c r="B65925" s="7"/>
    </row>
    <row r="65926" ht="15.75" customHeight="1">
      <c r="A65926" s="7"/>
      <c r="B65926" s="7"/>
    </row>
    <row r="65927" ht="15.75" customHeight="1">
      <c r="A65927" s="7"/>
      <c r="B65927" s="7"/>
    </row>
    <row r="65928" ht="15.75" customHeight="1">
      <c r="A65928" s="7"/>
      <c r="B65928" s="7"/>
    </row>
    <row r="65929" ht="15.75" customHeight="1">
      <c r="A65929" s="7"/>
      <c r="B65929" s="7"/>
    </row>
    <row r="65930" ht="15.75" customHeight="1">
      <c r="A65930" s="7"/>
      <c r="B65930" s="7"/>
    </row>
    <row r="65931" ht="15.75" customHeight="1">
      <c r="A65931" s="7"/>
      <c r="B65931" s="7"/>
    </row>
    <row r="65932" ht="15.75" customHeight="1">
      <c r="A65932" s="7"/>
      <c r="B65932" s="7"/>
    </row>
    <row r="65933" ht="15.75" customHeight="1">
      <c r="A65933" s="7"/>
      <c r="B65933" s="7"/>
    </row>
    <row r="65934" ht="15.75" customHeight="1">
      <c r="A65934" s="7"/>
      <c r="B65934" s="7"/>
    </row>
    <row r="65935" ht="15.75" customHeight="1">
      <c r="A65935" s="7"/>
      <c r="B65935" s="7"/>
    </row>
    <row r="65936" ht="15.75" customHeight="1">
      <c r="A65936" s="7"/>
      <c r="B65936" s="7"/>
    </row>
    <row r="65937" ht="15.75" customHeight="1">
      <c r="A65937" s="7"/>
      <c r="B65937" s="7"/>
    </row>
    <row r="65938" ht="15.75" customHeight="1">
      <c r="A65938" s="7"/>
      <c r="B65938" s="7"/>
    </row>
    <row r="65939" ht="15.75" customHeight="1">
      <c r="A65939" s="7"/>
      <c r="B65939" s="7"/>
    </row>
    <row r="65940" ht="15.75" customHeight="1">
      <c r="A65940" s="7"/>
      <c r="B65940" s="7"/>
    </row>
    <row r="65941" ht="15.75" customHeight="1">
      <c r="A65941" s="7"/>
      <c r="B65941" s="7"/>
    </row>
    <row r="65942" ht="15.75" customHeight="1">
      <c r="A65942" s="7"/>
      <c r="B65942" s="7"/>
    </row>
    <row r="65943" ht="15.75" customHeight="1">
      <c r="A65943" s="7"/>
      <c r="B65943" s="7"/>
    </row>
    <row r="65944" ht="15.75" customHeight="1">
      <c r="A65944" s="7"/>
      <c r="B65944" s="7"/>
    </row>
    <row r="65945" ht="15.75" customHeight="1">
      <c r="A65945" s="7"/>
      <c r="B65945" s="7"/>
    </row>
    <row r="65946" ht="15.75" customHeight="1">
      <c r="A65946" s="7"/>
      <c r="B65946" s="7"/>
    </row>
    <row r="65947" ht="15.75" customHeight="1">
      <c r="A65947" s="7"/>
      <c r="B65947" s="7"/>
    </row>
    <row r="65948" ht="15.75" customHeight="1">
      <c r="A65948" s="7"/>
      <c r="B65948" s="7"/>
    </row>
    <row r="65949" ht="15.75" customHeight="1">
      <c r="A65949" s="7"/>
      <c r="B65949" s="7"/>
    </row>
    <row r="65950" ht="15.75" customHeight="1">
      <c r="A65950" s="7"/>
      <c r="B65950" s="7"/>
    </row>
    <row r="65951" ht="15.75" customHeight="1">
      <c r="A65951" s="7"/>
      <c r="B65951" s="7"/>
    </row>
    <row r="65952" ht="15.75" customHeight="1">
      <c r="A65952" s="7"/>
      <c r="B65952" s="7"/>
    </row>
    <row r="65953" ht="15.75" customHeight="1">
      <c r="A65953" s="7"/>
      <c r="B65953" s="7"/>
    </row>
    <row r="65954" ht="15.75" customHeight="1">
      <c r="A65954" s="7"/>
      <c r="B65954" s="7"/>
    </row>
    <row r="65955" ht="15.75" customHeight="1">
      <c r="A65955" s="7"/>
      <c r="B65955" s="7"/>
    </row>
    <row r="65956" ht="15.75" customHeight="1">
      <c r="A65956" s="7"/>
      <c r="B65956" s="7"/>
    </row>
    <row r="65957" ht="15.75" customHeight="1">
      <c r="A65957" s="7"/>
      <c r="B65957" s="7"/>
    </row>
    <row r="65958" ht="15.75" customHeight="1">
      <c r="A65958" s="7"/>
      <c r="B65958" s="7"/>
    </row>
    <row r="65959" ht="15.75" customHeight="1">
      <c r="A65959" s="7"/>
      <c r="B65959" s="7"/>
    </row>
    <row r="65960" ht="15.75" customHeight="1">
      <c r="A65960" s="7"/>
      <c r="B65960" s="7"/>
    </row>
    <row r="65961" ht="15.75" customHeight="1">
      <c r="A65961" s="7"/>
      <c r="B65961" s="7"/>
    </row>
    <row r="65962" ht="15.75" customHeight="1">
      <c r="A65962" s="7"/>
      <c r="B65962" s="7"/>
    </row>
    <row r="65963" ht="15.75" customHeight="1">
      <c r="A65963" s="7"/>
      <c r="B65963" s="7"/>
    </row>
    <row r="65964" ht="15.75" customHeight="1">
      <c r="A65964" s="7"/>
      <c r="B65964" s="7"/>
    </row>
    <row r="65965" ht="15.75" customHeight="1">
      <c r="A65965" s="7"/>
      <c r="B65965" s="7"/>
    </row>
    <row r="65966" ht="15.75" customHeight="1">
      <c r="A65966" s="7"/>
      <c r="B65966" s="7"/>
    </row>
    <row r="65967" ht="15.75" customHeight="1">
      <c r="A65967" s="7"/>
      <c r="B65967" s="7"/>
    </row>
    <row r="65968" ht="15.75" customHeight="1">
      <c r="A65968" s="7"/>
      <c r="B65968" s="7"/>
    </row>
    <row r="65969" ht="15.75" customHeight="1">
      <c r="A65969" s="7"/>
      <c r="B65969" s="7"/>
    </row>
    <row r="65970" ht="15.75" customHeight="1">
      <c r="A65970" s="7"/>
      <c r="B65970" s="7"/>
    </row>
    <row r="65971" ht="15.75" customHeight="1">
      <c r="A65971" s="7"/>
      <c r="B65971" s="7"/>
    </row>
    <row r="65972" ht="15.75" customHeight="1">
      <c r="A65972" s="7"/>
      <c r="B65972" s="7"/>
    </row>
    <row r="65973" ht="15.75" customHeight="1">
      <c r="A65973" s="7"/>
      <c r="B65973" s="7"/>
    </row>
    <row r="65974" ht="15.75" customHeight="1">
      <c r="A65974" s="7"/>
      <c r="B65974" s="7"/>
    </row>
    <row r="65975" ht="15.75" customHeight="1">
      <c r="A65975" s="7"/>
      <c r="B65975" s="7"/>
    </row>
    <row r="65976" ht="15.75" customHeight="1">
      <c r="A65976" s="7"/>
      <c r="B65976" s="7"/>
    </row>
    <row r="65977" ht="15.75" customHeight="1">
      <c r="A65977" s="7"/>
      <c r="B65977" s="7"/>
    </row>
    <row r="65978" ht="15.75" customHeight="1">
      <c r="A65978" s="7"/>
      <c r="B65978" s="7"/>
    </row>
    <row r="65979" ht="15.75" customHeight="1">
      <c r="A65979" s="7"/>
      <c r="B65979" s="7"/>
    </row>
    <row r="65980" ht="15.75" customHeight="1">
      <c r="A65980" s="7"/>
      <c r="B65980" s="7"/>
    </row>
    <row r="65981" ht="15.75" customHeight="1">
      <c r="A65981" s="7"/>
      <c r="B65981" s="7"/>
    </row>
    <row r="65982" ht="15.75" customHeight="1">
      <c r="A65982" s="7"/>
      <c r="B65982" s="7"/>
    </row>
    <row r="65983" ht="15.75" customHeight="1">
      <c r="A65983" s="7"/>
      <c r="B65983" s="7"/>
    </row>
    <row r="65984" ht="15.75" customHeight="1">
      <c r="A65984" s="7"/>
      <c r="B65984" s="7"/>
    </row>
    <row r="65985" ht="15.75" customHeight="1">
      <c r="A65985" s="7"/>
      <c r="B65985" s="7"/>
    </row>
    <row r="65986" ht="15.75" customHeight="1">
      <c r="A65986" s="7"/>
      <c r="B65986" s="7"/>
    </row>
    <row r="65987" ht="15.75" customHeight="1">
      <c r="A65987" s="7"/>
      <c r="B65987" s="7"/>
    </row>
    <row r="65988" ht="15.75" customHeight="1">
      <c r="A65988" s="7"/>
      <c r="B65988" s="7"/>
    </row>
    <row r="65989" ht="15.75" customHeight="1">
      <c r="A65989" s="7"/>
      <c r="B65989" s="7"/>
    </row>
    <row r="65990" ht="15.75" customHeight="1">
      <c r="A65990" s="7"/>
      <c r="B65990" s="7"/>
    </row>
    <row r="65991" ht="15.75" customHeight="1">
      <c r="A65991" s="7"/>
      <c r="B65991" s="7"/>
    </row>
    <row r="65992" ht="15.75" customHeight="1">
      <c r="A65992" s="7"/>
      <c r="B65992" s="7"/>
    </row>
    <row r="65993" ht="15.75" customHeight="1">
      <c r="A65993" s="7"/>
      <c r="B65993" s="7"/>
    </row>
    <row r="65994" ht="15.75" customHeight="1">
      <c r="A65994" s="7"/>
      <c r="B65994" s="7"/>
    </row>
    <row r="65995" ht="15.75" customHeight="1">
      <c r="A65995" s="7"/>
      <c r="B65995" s="7"/>
    </row>
    <row r="65996" ht="15.75" customHeight="1">
      <c r="A65996" s="7"/>
      <c r="B65996" s="7"/>
    </row>
    <row r="65997" ht="15.75" customHeight="1">
      <c r="A65997" s="7"/>
      <c r="B65997" s="7"/>
    </row>
    <row r="65998" ht="15.75" customHeight="1">
      <c r="A65998" s="7"/>
      <c r="B65998" s="7"/>
    </row>
    <row r="65999" ht="15.75" customHeight="1">
      <c r="A65999" s="7"/>
      <c r="B65999" s="7"/>
    </row>
    <row r="66000" ht="15.75" customHeight="1">
      <c r="A66000" s="7"/>
      <c r="B66000" s="7"/>
    </row>
    <row r="66001" ht="15.75" customHeight="1">
      <c r="A66001" s="7"/>
      <c r="B66001" s="7"/>
    </row>
    <row r="66002" ht="15.75" customHeight="1">
      <c r="A66002" s="7"/>
      <c r="B66002" s="7"/>
    </row>
    <row r="66003" ht="15.75" customHeight="1">
      <c r="A66003" s="7"/>
      <c r="B66003" s="7"/>
    </row>
    <row r="66004" ht="15.75" customHeight="1">
      <c r="A66004" s="7"/>
      <c r="B66004" s="7"/>
    </row>
    <row r="66005" ht="15.75" customHeight="1">
      <c r="A66005" s="7"/>
      <c r="B66005" s="7"/>
    </row>
    <row r="66006" ht="15.75" customHeight="1">
      <c r="A66006" s="7"/>
      <c r="B66006" s="7"/>
    </row>
    <row r="66007" ht="15.75" customHeight="1">
      <c r="A66007" s="7"/>
      <c r="B66007" s="7"/>
    </row>
    <row r="66008" ht="15.75" customHeight="1">
      <c r="A66008" s="7"/>
      <c r="B66008" s="7"/>
    </row>
    <row r="66009" ht="15.75" customHeight="1">
      <c r="A66009" s="7"/>
      <c r="B66009" s="7"/>
    </row>
    <row r="66010" ht="15.75" customHeight="1">
      <c r="A66010" s="7"/>
      <c r="B66010" s="7"/>
    </row>
    <row r="66011" ht="15.75" customHeight="1">
      <c r="A66011" s="7"/>
      <c r="B66011" s="7"/>
    </row>
    <row r="66012" ht="15.75" customHeight="1">
      <c r="A66012" s="7"/>
      <c r="B66012" s="7"/>
    </row>
    <row r="66013" ht="15.75" customHeight="1">
      <c r="A66013" s="7"/>
      <c r="B66013" s="7"/>
    </row>
    <row r="66014" ht="15.75" customHeight="1">
      <c r="A66014" s="7"/>
      <c r="B66014" s="7"/>
    </row>
    <row r="66015" ht="15.75" customHeight="1">
      <c r="A66015" s="7"/>
      <c r="B66015" s="7"/>
    </row>
    <row r="66016" ht="15.75" customHeight="1">
      <c r="A66016" s="7"/>
      <c r="B66016" s="7"/>
    </row>
    <row r="66017" ht="15.75" customHeight="1">
      <c r="A66017" s="7"/>
      <c r="B66017" s="7"/>
    </row>
    <row r="66018" ht="15.75" customHeight="1">
      <c r="A66018" s="7"/>
      <c r="B66018" s="7"/>
    </row>
    <row r="66019" ht="15.75" customHeight="1">
      <c r="A66019" s="7"/>
      <c r="B66019" s="7"/>
    </row>
    <row r="66020" ht="15.75" customHeight="1">
      <c r="A66020" s="7"/>
      <c r="B66020" s="7"/>
    </row>
    <row r="66021" ht="15.75" customHeight="1">
      <c r="A66021" s="7"/>
      <c r="B66021" s="7"/>
    </row>
    <row r="66022" ht="15.75" customHeight="1">
      <c r="A66022" s="7"/>
      <c r="B66022" s="7"/>
    </row>
    <row r="66023" ht="15.75" customHeight="1">
      <c r="A66023" s="7"/>
      <c r="B66023" s="7"/>
    </row>
    <row r="66024" ht="15.75" customHeight="1">
      <c r="A66024" s="7"/>
      <c r="B66024" s="7"/>
    </row>
    <row r="66025" ht="15.75" customHeight="1">
      <c r="A66025" s="7"/>
      <c r="B66025" s="7"/>
    </row>
    <row r="66026" ht="15.75" customHeight="1">
      <c r="A66026" s="7"/>
      <c r="B66026" s="7"/>
    </row>
    <row r="66027" ht="15.75" customHeight="1">
      <c r="A66027" s="7"/>
      <c r="B66027" s="7"/>
    </row>
    <row r="66028" ht="15.75" customHeight="1">
      <c r="A66028" s="7"/>
      <c r="B66028" s="7"/>
    </row>
    <row r="66029" ht="15.75" customHeight="1">
      <c r="A66029" s="7"/>
      <c r="B66029" s="7"/>
    </row>
    <row r="66030" ht="15.75" customHeight="1">
      <c r="A66030" s="7"/>
      <c r="B66030" s="7"/>
    </row>
    <row r="66031" ht="15.75" customHeight="1">
      <c r="A66031" s="7"/>
      <c r="B66031" s="7"/>
    </row>
    <row r="66032" ht="15.75" customHeight="1">
      <c r="A66032" s="7"/>
      <c r="B66032" s="7"/>
    </row>
    <row r="66033" ht="15.75" customHeight="1">
      <c r="A66033" s="7"/>
      <c r="B66033" s="7"/>
    </row>
    <row r="66034" ht="15.75" customHeight="1">
      <c r="A66034" s="7"/>
      <c r="B66034" s="7"/>
    </row>
    <row r="66035" ht="15.75" customHeight="1">
      <c r="A66035" s="7"/>
      <c r="B66035" s="7"/>
    </row>
    <row r="66036" ht="15.75" customHeight="1">
      <c r="A66036" s="7"/>
      <c r="B66036" s="7"/>
    </row>
    <row r="66037" ht="15.75" customHeight="1">
      <c r="A66037" s="7"/>
      <c r="B66037" s="7"/>
    </row>
    <row r="66038" ht="15.75" customHeight="1">
      <c r="A66038" s="7"/>
      <c r="B66038" s="7"/>
    </row>
    <row r="66039" ht="15.75" customHeight="1">
      <c r="A66039" s="7"/>
      <c r="B66039" s="7"/>
    </row>
    <row r="66040" ht="15.75" customHeight="1">
      <c r="A66040" s="7"/>
      <c r="B66040" s="7"/>
    </row>
    <row r="66041" ht="15.75" customHeight="1">
      <c r="A66041" s="7"/>
      <c r="B66041" s="7"/>
    </row>
    <row r="66042" ht="15.75" customHeight="1">
      <c r="A66042" s="7"/>
      <c r="B66042" s="7"/>
    </row>
    <row r="66043" ht="15.75" customHeight="1">
      <c r="A66043" s="7"/>
      <c r="B66043" s="7"/>
    </row>
    <row r="66044" ht="15.75" customHeight="1">
      <c r="A66044" s="7"/>
      <c r="B66044" s="7"/>
    </row>
    <row r="66045" ht="15.75" customHeight="1">
      <c r="A66045" s="7"/>
      <c r="B66045" s="7"/>
    </row>
    <row r="66046" ht="15.75" customHeight="1">
      <c r="A66046" s="7"/>
      <c r="B66046" s="7"/>
    </row>
    <row r="66047" ht="15.75" customHeight="1">
      <c r="A66047" s="7"/>
      <c r="B66047" s="7"/>
    </row>
    <row r="66048" ht="15.75" customHeight="1">
      <c r="A66048" s="7"/>
      <c r="B66048" s="7"/>
    </row>
    <row r="66049" ht="15.75" customHeight="1">
      <c r="A66049" s="7"/>
      <c r="B66049" s="7"/>
    </row>
    <row r="66050" ht="15.75" customHeight="1">
      <c r="A66050" s="7"/>
      <c r="B66050" s="7"/>
    </row>
    <row r="66051" ht="15.75" customHeight="1">
      <c r="A66051" s="7"/>
      <c r="B66051" s="7"/>
    </row>
    <row r="66052" ht="15.75" customHeight="1">
      <c r="A66052" s="7"/>
      <c r="B66052" s="7"/>
    </row>
    <row r="66053" ht="15.75" customHeight="1">
      <c r="A66053" s="7"/>
      <c r="B66053" s="7"/>
    </row>
    <row r="66054" ht="15.75" customHeight="1">
      <c r="A66054" s="7"/>
      <c r="B66054" s="7"/>
    </row>
    <row r="66055" ht="15.75" customHeight="1">
      <c r="A66055" s="7"/>
      <c r="B66055" s="7"/>
    </row>
    <row r="66056" ht="15.75" customHeight="1">
      <c r="A66056" s="7"/>
      <c r="B66056" s="7"/>
    </row>
    <row r="66057" ht="15.75" customHeight="1">
      <c r="A66057" s="7"/>
      <c r="B66057" s="7"/>
    </row>
    <row r="66058" ht="15.75" customHeight="1">
      <c r="A66058" s="7"/>
      <c r="B66058" s="7"/>
    </row>
    <row r="66059" ht="15.75" customHeight="1">
      <c r="A66059" s="7"/>
      <c r="B66059" s="7"/>
    </row>
    <row r="66060" ht="15.75" customHeight="1">
      <c r="A66060" s="7"/>
      <c r="B66060" s="7"/>
    </row>
    <row r="66061" ht="15.75" customHeight="1">
      <c r="A66061" s="7"/>
      <c r="B66061" s="7"/>
    </row>
    <row r="66062" ht="15.75" customHeight="1">
      <c r="A66062" s="7"/>
      <c r="B66062" s="7"/>
    </row>
    <row r="66063" ht="15.75" customHeight="1">
      <c r="A66063" s="7"/>
      <c r="B66063" s="7"/>
    </row>
    <row r="66064" ht="15.75" customHeight="1">
      <c r="A66064" s="7"/>
      <c r="B66064" s="7"/>
    </row>
    <row r="66065" ht="15.75" customHeight="1">
      <c r="A66065" s="7"/>
      <c r="B66065" s="7"/>
    </row>
    <row r="66066" ht="15.75" customHeight="1">
      <c r="A66066" s="7"/>
      <c r="B66066" s="7"/>
    </row>
    <row r="66067" ht="15.75" customHeight="1">
      <c r="A66067" s="7"/>
      <c r="B66067" s="7"/>
    </row>
    <row r="66068" ht="15.75" customHeight="1">
      <c r="A66068" s="7"/>
      <c r="B66068" s="7"/>
    </row>
    <row r="66069" ht="15.75" customHeight="1">
      <c r="A66069" s="7"/>
      <c r="B66069" s="7"/>
    </row>
    <row r="66070" ht="15.75" customHeight="1">
      <c r="A66070" s="7"/>
      <c r="B66070" s="7"/>
    </row>
    <row r="66071" ht="15.75" customHeight="1">
      <c r="A66071" s="7"/>
      <c r="B66071" s="7"/>
    </row>
    <row r="66072" ht="15.75" customHeight="1">
      <c r="A66072" s="7"/>
      <c r="B66072" s="7"/>
    </row>
    <row r="66073" ht="15.75" customHeight="1">
      <c r="A66073" s="7"/>
      <c r="B66073" s="7"/>
    </row>
    <row r="66074" ht="15.75" customHeight="1">
      <c r="A66074" s="7"/>
      <c r="B66074" s="7"/>
    </row>
    <row r="66075" ht="15.75" customHeight="1">
      <c r="A66075" s="7"/>
      <c r="B66075" s="7"/>
    </row>
    <row r="66076" ht="15.75" customHeight="1">
      <c r="A66076" s="7"/>
      <c r="B66076" s="7"/>
    </row>
    <row r="66077" ht="15.75" customHeight="1">
      <c r="A66077" s="7"/>
      <c r="B66077" s="7"/>
    </row>
    <row r="66078" ht="15.75" customHeight="1">
      <c r="A66078" s="7"/>
      <c r="B66078" s="7"/>
    </row>
    <row r="66079" ht="15.75" customHeight="1">
      <c r="A66079" s="7"/>
      <c r="B66079" s="7"/>
    </row>
    <row r="66080" ht="15.75" customHeight="1">
      <c r="A66080" s="7"/>
      <c r="B66080" s="7"/>
    </row>
    <row r="66081" ht="15.75" customHeight="1">
      <c r="A66081" s="7"/>
      <c r="B66081" s="7"/>
    </row>
    <row r="66082" ht="15.75" customHeight="1">
      <c r="A66082" s="7"/>
      <c r="B66082" s="7"/>
    </row>
    <row r="66083" ht="15.75" customHeight="1">
      <c r="A66083" s="7"/>
      <c r="B66083" s="7"/>
    </row>
    <row r="66084" ht="15.75" customHeight="1">
      <c r="A66084" s="7"/>
      <c r="B66084" s="7"/>
    </row>
    <row r="66085" ht="15.75" customHeight="1">
      <c r="A66085" s="7"/>
      <c r="B66085" s="7"/>
    </row>
    <row r="66086" ht="15.75" customHeight="1">
      <c r="A66086" s="7"/>
      <c r="B66086" s="7"/>
    </row>
    <row r="66087" ht="15.75" customHeight="1">
      <c r="A66087" s="7"/>
      <c r="B66087" s="7"/>
    </row>
    <row r="66088" ht="15.75" customHeight="1">
      <c r="A66088" s="7"/>
      <c r="B66088" s="7"/>
    </row>
    <row r="66089" ht="15.75" customHeight="1">
      <c r="A66089" s="7"/>
      <c r="B66089" s="7"/>
    </row>
    <row r="66090" ht="15.75" customHeight="1">
      <c r="A66090" s="7"/>
      <c r="B66090" s="7"/>
    </row>
    <row r="66091" ht="15.75" customHeight="1">
      <c r="A66091" s="7"/>
      <c r="B66091" s="7"/>
    </row>
    <row r="66092" ht="15.75" customHeight="1">
      <c r="A66092" s="7"/>
      <c r="B66092" s="7"/>
    </row>
    <row r="66093" ht="15.75" customHeight="1">
      <c r="A66093" s="7"/>
      <c r="B66093" s="7"/>
    </row>
    <row r="66094" ht="15.75" customHeight="1">
      <c r="A66094" s="7"/>
      <c r="B66094" s="7"/>
    </row>
    <row r="66095" ht="15.75" customHeight="1">
      <c r="A66095" s="7"/>
      <c r="B66095" s="7"/>
    </row>
    <row r="66096" ht="15.75" customHeight="1">
      <c r="A66096" s="7"/>
      <c r="B66096" s="7"/>
    </row>
    <row r="66097" ht="15.75" customHeight="1">
      <c r="A66097" s="7"/>
      <c r="B66097" s="7"/>
    </row>
    <row r="66098" ht="15.75" customHeight="1">
      <c r="A66098" s="7"/>
      <c r="B66098" s="7"/>
    </row>
    <row r="66099" ht="15.75" customHeight="1">
      <c r="A66099" s="7"/>
      <c r="B66099" s="7"/>
    </row>
    <row r="66100" ht="15.75" customHeight="1">
      <c r="A66100" s="7"/>
      <c r="B66100" s="7"/>
    </row>
    <row r="66101" ht="15.75" customHeight="1">
      <c r="A66101" s="7"/>
      <c r="B66101" s="7"/>
    </row>
    <row r="66102" ht="15.75" customHeight="1">
      <c r="A66102" s="7"/>
      <c r="B66102" s="7"/>
    </row>
    <row r="66103" ht="15.75" customHeight="1">
      <c r="A66103" s="7"/>
      <c r="B66103" s="7"/>
    </row>
    <row r="66104" ht="15.75" customHeight="1">
      <c r="A66104" s="7"/>
      <c r="B66104" s="7"/>
    </row>
    <row r="66105" ht="15.75" customHeight="1">
      <c r="A66105" s="7"/>
      <c r="B66105" s="7"/>
    </row>
    <row r="66106" ht="15.75" customHeight="1">
      <c r="A66106" s="7"/>
      <c r="B66106" s="7"/>
    </row>
    <row r="66107" ht="15.75" customHeight="1">
      <c r="A66107" s="7"/>
      <c r="B66107" s="7"/>
    </row>
    <row r="66108" ht="15.75" customHeight="1">
      <c r="A66108" s="7"/>
      <c r="B66108" s="7"/>
    </row>
    <row r="66109" ht="15.75" customHeight="1">
      <c r="A66109" s="7"/>
      <c r="B66109" s="7"/>
    </row>
    <row r="66110" ht="15.75" customHeight="1">
      <c r="A66110" s="7"/>
      <c r="B66110" s="7"/>
    </row>
    <row r="66111" ht="15.75" customHeight="1">
      <c r="A66111" s="7"/>
      <c r="B66111" s="7"/>
    </row>
    <row r="66112" ht="15.75" customHeight="1">
      <c r="A66112" s="7"/>
      <c r="B66112" s="7"/>
    </row>
    <row r="66113" ht="15.75" customHeight="1">
      <c r="A66113" s="7"/>
      <c r="B66113" s="7"/>
    </row>
    <row r="66114" ht="15.75" customHeight="1">
      <c r="A66114" s="7"/>
      <c r="B66114" s="7"/>
    </row>
    <row r="66115" ht="15.75" customHeight="1">
      <c r="A66115" s="7"/>
      <c r="B66115" s="7"/>
    </row>
    <row r="66116" ht="15.75" customHeight="1">
      <c r="A66116" s="7"/>
      <c r="B66116" s="7"/>
    </row>
    <row r="66117" ht="15.75" customHeight="1">
      <c r="A66117" s="7"/>
      <c r="B66117" s="7"/>
    </row>
    <row r="66118" ht="15.75" customHeight="1">
      <c r="A66118" s="7"/>
      <c r="B66118" s="7"/>
    </row>
    <row r="66119" ht="15.75" customHeight="1">
      <c r="A66119" s="7"/>
      <c r="B66119" s="7"/>
    </row>
    <row r="66120" ht="15.75" customHeight="1">
      <c r="A66120" s="7"/>
      <c r="B66120" s="7"/>
    </row>
    <row r="66121" ht="15.75" customHeight="1">
      <c r="A66121" s="7"/>
      <c r="B66121" s="7"/>
    </row>
    <row r="66122" ht="15.75" customHeight="1">
      <c r="A66122" s="7"/>
      <c r="B66122" s="7"/>
    </row>
    <row r="66123" ht="15.75" customHeight="1">
      <c r="A66123" s="7"/>
      <c r="B66123" s="7"/>
    </row>
    <row r="66124" ht="15.75" customHeight="1">
      <c r="A66124" s="7"/>
      <c r="B66124" s="7"/>
    </row>
    <row r="66125" ht="15.75" customHeight="1">
      <c r="A66125" s="7"/>
      <c r="B66125" s="7"/>
    </row>
    <row r="66126" ht="15.75" customHeight="1">
      <c r="A66126" s="7"/>
      <c r="B66126" s="7"/>
    </row>
    <row r="66127" ht="15.75" customHeight="1">
      <c r="A66127" s="7"/>
      <c r="B66127" s="7"/>
    </row>
    <row r="66128" ht="15.75" customHeight="1">
      <c r="A66128" s="7"/>
      <c r="B66128" s="7"/>
    </row>
    <row r="66129" ht="15.75" customHeight="1">
      <c r="A66129" s="7"/>
      <c r="B66129" s="7"/>
    </row>
    <row r="66130" ht="15.75" customHeight="1">
      <c r="A66130" s="7"/>
      <c r="B66130" s="7"/>
    </row>
    <row r="66131" ht="15.75" customHeight="1">
      <c r="A66131" s="7"/>
      <c r="B66131" s="7"/>
    </row>
    <row r="66132" ht="15.75" customHeight="1">
      <c r="A66132" s="7"/>
      <c r="B66132" s="7"/>
    </row>
    <row r="66133" ht="15.75" customHeight="1">
      <c r="A66133" s="7"/>
      <c r="B66133" s="7"/>
    </row>
    <row r="66134" ht="15.75" customHeight="1">
      <c r="A66134" s="7"/>
      <c r="B66134" s="7"/>
    </row>
    <row r="66135" ht="15.75" customHeight="1">
      <c r="A66135" s="7"/>
      <c r="B66135" s="7"/>
    </row>
    <row r="66136" ht="15.75" customHeight="1">
      <c r="A66136" s="7"/>
      <c r="B66136" s="7"/>
    </row>
    <row r="66137" ht="15.75" customHeight="1">
      <c r="A66137" s="7"/>
      <c r="B66137" s="7"/>
    </row>
    <row r="66138" ht="15.75" customHeight="1">
      <c r="A66138" s="7"/>
      <c r="B66138" s="7"/>
    </row>
    <row r="66139" ht="15.75" customHeight="1">
      <c r="A66139" s="7"/>
      <c r="B66139" s="7"/>
    </row>
    <row r="66140" ht="15.75" customHeight="1">
      <c r="A66140" s="7"/>
      <c r="B66140" s="7"/>
    </row>
    <row r="66141" ht="15.75" customHeight="1">
      <c r="A66141" s="7"/>
      <c r="B66141" s="7"/>
    </row>
    <row r="66142" ht="15.75" customHeight="1">
      <c r="A66142" s="7"/>
      <c r="B66142" s="7"/>
    </row>
    <row r="66143" ht="15.75" customHeight="1">
      <c r="A66143" s="7"/>
      <c r="B66143" s="7"/>
    </row>
    <row r="66144" ht="15.75" customHeight="1">
      <c r="A66144" s="7"/>
      <c r="B66144" s="7"/>
    </row>
    <row r="66145" ht="15.75" customHeight="1">
      <c r="A66145" s="7"/>
      <c r="B66145" s="7"/>
    </row>
    <row r="66146" ht="15.75" customHeight="1">
      <c r="A66146" s="7"/>
      <c r="B66146" s="7"/>
    </row>
    <row r="66147" ht="15.75" customHeight="1">
      <c r="A66147" s="7"/>
      <c r="B66147" s="7"/>
    </row>
    <row r="66148" ht="15.75" customHeight="1">
      <c r="A66148" s="7"/>
      <c r="B66148" s="7"/>
    </row>
    <row r="66149" ht="15.75" customHeight="1">
      <c r="A66149" s="7"/>
      <c r="B66149" s="7"/>
    </row>
    <row r="66150" ht="15.75" customHeight="1">
      <c r="A66150" s="7"/>
      <c r="B66150" s="7"/>
    </row>
    <row r="66151" ht="15.75" customHeight="1">
      <c r="A66151" s="7"/>
      <c r="B66151" s="7"/>
    </row>
    <row r="66152" ht="15.75" customHeight="1">
      <c r="A66152" s="7"/>
      <c r="B66152" s="7"/>
    </row>
    <row r="66153" ht="15.75" customHeight="1">
      <c r="A66153" s="7"/>
      <c r="B66153" s="7"/>
    </row>
    <row r="66154" ht="15.75" customHeight="1">
      <c r="A66154" s="7"/>
      <c r="B66154" s="7"/>
    </row>
    <row r="66155" ht="15.75" customHeight="1">
      <c r="A66155" s="7"/>
      <c r="B66155" s="7"/>
    </row>
    <row r="66156" ht="15.75" customHeight="1">
      <c r="A66156" s="7"/>
      <c r="B66156" s="7"/>
    </row>
    <row r="66157" ht="15.75" customHeight="1">
      <c r="A66157" s="7"/>
      <c r="B66157" s="7"/>
    </row>
    <row r="66158" ht="15.75" customHeight="1">
      <c r="A66158" s="7"/>
      <c r="B66158" s="7"/>
    </row>
    <row r="66159" ht="15.75" customHeight="1">
      <c r="A66159" s="7"/>
      <c r="B66159" s="7"/>
    </row>
    <row r="66160" ht="15.75" customHeight="1">
      <c r="A66160" s="7"/>
      <c r="B66160" s="7"/>
    </row>
    <row r="66161" ht="15.75" customHeight="1">
      <c r="A66161" s="7"/>
      <c r="B66161" s="7"/>
    </row>
    <row r="66162" ht="15.75" customHeight="1">
      <c r="A66162" s="7"/>
      <c r="B66162" s="7"/>
    </row>
    <row r="66163" ht="15.75" customHeight="1">
      <c r="A66163" s="7"/>
      <c r="B66163" s="7"/>
    </row>
    <row r="66164" ht="15.75" customHeight="1">
      <c r="A66164" s="7"/>
      <c r="B66164" s="7"/>
    </row>
    <row r="66165" ht="15.75" customHeight="1">
      <c r="A66165" s="7"/>
      <c r="B66165" s="7"/>
    </row>
    <row r="66166" ht="15.75" customHeight="1">
      <c r="A66166" s="7"/>
      <c r="B66166" s="7"/>
    </row>
    <row r="66167" ht="15.75" customHeight="1">
      <c r="A66167" s="7"/>
      <c r="B66167" s="7"/>
    </row>
    <row r="66168" ht="15.75" customHeight="1">
      <c r="A66168" s="7"/>
      <c r="B66168" s="7"/>
    </row>
    <row r="66169" ht="15.75" customHeight="1">
      <c r="A66169" s="7"/>
      <c r="B66169" s="7"/>
    </row>
    <row r="66170" ht="15.75" customHeight="1">
      <c r="A66170" s="7"/>
      <c r="B66170" s="7"/>
    </row>
    <row r="66171" ht="15.75" customHeight="1">
      <c r="A66171" s="7"/>
      <c r="B66171" s="7"/>
    </row>
    <row r="66172" ht="15.75" customHeight="1">
      <c r="A66172" s="7"/>
      <c r="B66172" s="7"/>
    </row>
    <row r="66173" ht="15.75" customHeight="1">
      <c r="A66173" s="7"/>
      <c r="B66173" s="7"/>
    </row>
    <row r="66174" ht="15.75" customHeight="1">
      <c r="A66174" s="7"/>
      <c r="B66174" s="7"/>
    </row>
    <row r="66175" ht="15.75" customHeight="1">
      <c r="A66175" s="7"/>
      <c r="B66175" s="7"/>
    </row>
    <row r="66176" ht="15.75" customHeight="1">
      <c r="A66176" s="7"/>
      <c r="B66176" s="7"/>
    </row>
    <row r="66177" ht="15.75" customHeight="1">
      <c r="A66177" s="7"/>
      <c r="B66177" s="7"/>
    </row>
    <row r="66178" ht="15.75" customHeight="1">
      <c r="A66178" s="7"/>
      <c r="B66178" s="7"/>
    </row>
    <row r="66179" ht="15.75" customHeight="1">
      <c r="A66179" s="7"/>
      <c r="B66179" s="7"/>
    </row>
    <row r="66180" ht="15.75" customHeight="1">
      <c r="A66180" s="7"/>
      <c r="B66180" s="7"/>
    </row>
    <row r="66181" ht="15.75" customHeight="1">
      <c r="A66181" s="7"/>
      <c r="B66181" s="7"/>
    </row>
    <row r="66182" ht="15.75" customHeight="1">
      <c r="A66182" s="7"/>
      <c r="B66182" s="7"/>
    </row>
    <row r="66183" ht="15.75" customHeight="1">
      <c r="A66183" s="7"/>
      <c r="B66183" s="7"/>
    </row>
    <row r="66184" ht="15.75" customHeight="1">
      <c r="A66184" s="7"/>
      <c r="B66184" s="7"/>
    </row>
    <row r="66185" ht="15.75" customHeight="1">
      <c r="A66185" s="7"/>
      <c r="B66185" s="7"/>
    </row>
    <row r="66186" ht="15.75" customHeight="1">
      <c r="A66186" s="7"/>
      <c r="B66186" s="7"/>
    </row>
    <row r="66187" ht="15.75" customHeight="1">
      <c r="A66187" s="7"/>
      <c r="B66187" s="7"/>
    </row>
    <row r="66188" ht="15.75" customHeight="1">
      <c r="A66188" s="7"/>
      <c r="B66188" s="7"/>
    </row>
    <row r="66189" ht="15.75" customHeight="1">
      <c r="A66189" s="7"/>
      <c r="B66189" s="7"/>
    </row>
    <row r="66190" ht="15.75" customHeight="1">
      <c r="A66190" s="7"/>
      <c r="B66190" s="7"/>
    </row>
    <row r="66191" ht="15.75" customHeight="1">
      <c r="A66191" s="7"/>
      <c r="B66191" s="7"/>
    </row>
    <row r="66192" ht="15.75" customHeight="1">
      <c r="A66192" s="7"/>
      <c r="B66192" s="7"/>
    </row>
    <row r="66193" ht="15.75" customHeight="1">
      <c r="A66193" s="7"/>
      <c r="B66193" s="7"/>
    </row>
    <row r="66194" ht="15.75" customHeight="1">
      <c r="A66194" s="7"/>
      <c r="B66194" s="7"/>
    </row>
    <row r="66195" ht="15.75" customHeight="1">
      <c r="A66195" s="7"/>
      <c r="B66195" s="7"/>
    </row>
    <row r="66196" ht="15.75" customHeight="1">
      <c r="A66196" s="7"/>
      <c r="B66196" s="7"/>
    </row>
    <row r="66197" ht="15.75" customHeight="1">
      <c r="A66197" s="7"/>
      <c r="B66197" s="7"/>
    </row>
    <row r="66198" ht="15.75" customHeight="1">
      <c r="A66198" s="7"/>
      <c r="B66198" s="7"/>
    </row>
    <row r="66199" ht="15.75" customHeight="1">
      <c r="A66199" s="7"/>
      <c r="B66199" s="7"/>
    </row>
    <row r="66200" ht="15.75" customHeight="1">
      <c r="A66200" s="7"/>
      <c r="B66200" s="7"/>
    </row>
    <row r="66201" ht="15.75" customHeight="1">
      <c r="A66201" s="7"/>
      <c r="B66201" s="7"/>
    </row>
    <row r="66202" ht="15.75" customHeight="1">
      <c r="A66202" s="7"/>
      <c r="B66202" s="7"/>
    </row>
    <row r="66203" ht="15.75" customHeight="1">
      <c r="A66203" s="7"/>
      <c r="B66203" s="7"/>
    </row>
    <row r="66204" ht="15.75" customHeight="1">
      <c r="A66204" s="7"/>
      <c r="B66204" s="7"/>
    </row>
    <row r="66205" ht="15.75" customHeight="1">
      <c r="A66205" s="7"/>
      <c r="B66205" s="7"/>
    </row>
    <row r="66206" ht="15.75" customHeight="1">
      <c r="A66206" s="7"/>
      <c r="B66206" s="7"/>
    </row>
    <row r="66207" ht="15.75" customHeight="1">
      <c r="A66207" s="7"/>
      <c r="B66207" s="7"/>
    </row>
    <row r="66208" ht="15.75" customHeight="1">
      <c r="A66208" s="7"/>
      <c r="B66208" s="7"/>
    </row>
    <row r="66209" ht="15.75" customHeight="1">
      <c r="A66209" s="7"/>
      <c r="B66209" s="7"/>
    </row>
    <row r="66210" ht="15.75" customHeight="1">
      <c r="A66210" s="7"/>
      <c r="B66210" s="7"/>
    </row>
    <row r="66211" ht="15.75" customHeight="1">
      <c r="A66211" s="7"/>
      <c r="B66211" s="7"/>
    </row>
    <row r="66212" ht="15.75" customHeight="1">
      <c r="A66212" s="7"/>
      <c r="B66212" s="7"/>
    </row>
    <row r="66213" ht="15.75" customHeight="1">
      <c r="A66213" s="7"/>
      <c r="B66213" s="7"/>
    </row>
    <row r="66214" ht="15.75" customHeight="1">
      <c r="A66214" s="7"/>
      <c r="B66214" s="7"/>
    </row>
    <row r="66215" ht="15.75" customHeight="1">
      <c r="A66215" s="7"/>
      <c r="B66215" s="7"/>
    </row>
    <row r="66216" ht="15.75" customHeight="1">
      <c r="A66216" s="7"/>
      <c r="B66216" s="7"/>
    </row>
    <row r="66217" ht="15.75" customHeight="1">
      <c r="A66217" s="7"/>
      <c r="B66217" s="7"/>
    </row>
    <row r="66218" ht="15.75" customHeight="1">
      <c r="A66218" s="7"/>
      <c r="B66218" s="7"/>
    </row>
    <row r="66219" ht="15.75" customHeight="1">
      <c r="A66219" s="7"/>
      <c r="B66219" s="7"/>
    </row>
    <row r="66220" ht="15.75" customHeight="1">
      <c r="A66220" s="7"/>
      <c r="B66220" s="7"/>
    </row>
    <row r="66221" ht="15.75" customHeight="1">
      <c r="A66221" s="7"/>
      <c r="B66221" s="7"/>
    </row>
    <row r="66222" ht="15.75" customHeight="1">
      <c r="A66222" s="7"/>
      <c r="B66222" s="7"/>
    </row>
    <row r="66223" ht="15.75" customHeight="1">
      <c r="A66223" s="7"/>
      <c r="B66223" s="7"/>
    </row>
    <row r="66224" ht="15.75" customHeight="1">
      <c r="A66224" s="7"/>
      <c r="B66224" s="7"/>
    </row>
    <row r="66225" ht="15.75" customHeight="1">
      <c r="A66225" s="7"/>
      <c r="B66225" s="7"/>
    </row>
    <row r="66226" ht="15.75" customHeight="1">
      <c r="A66226" s="7"/>
      <c r="B66226" s="7"/>
    </row>
    <row r="66227" ht="15.75" customHeight="1">
      <c r="A66227" s="7"/>
      <c r="B66227" s="7"/>
    </row>
    <row r="66228" ht="15.75" customHeight="1">
      <c r="A66228" s="7"/>
      <c r="B66228" s="7"/>
    </row>
    <row r="66229" ht="15.75" customHeight="1">
      <c r="A66229" s="7"/>
      <c r="B66229" s="7"/>
    </row>
    <row r="66230" ht="15.75" customHeight="1">
      <c r="A66230" s="7"/>
      <c r="B66230" s="7"/>
    </row>
    <row r="66231" ht="15.75" customHeight="1">
      <c r="A66231" s="7"/>
      <c r="B66231" s="7"/>
    </row>
    <row r="66232" ht="15.75" customHeight="1">
      <c r="A66232" s="7"/>
      <c r="B66232" s="7"/>
    </row>
    <row r="66233" ht="15.75" customHeight="1">
      <c r="A66233" s="7"/>
      <c r="B66233" s="7"/>
    </row>
    <row r="66234" ht="15.75" customHeight="1">
      <c r="A66234" s="7"/>
      <c r="B66234" s="7"/>
    </row>
    <row r="66235" ht="15.75" customHeight="1">
      <c r="A66235" s="7"/>
      <c r="B66235" s="7"/>
    </row>
    <row r="66236" ht="15.75" customHeight="1">
      <c r="A66236" s="7"/>
      <c r="B66236" s="7"/>
    </row>
    <row r="66237" ht="15.75" customHeight="1">
      <c r="A66237" s="7"/>
      <c r="B66237" s="7"/>
    </row>
    <row r="66238" ht="15.75" customHeight="1">
      <c r="A66238" s="7"/>
      <c r="B66238" s="7"/>
    </row>
    <row r="66239" ht="15.75" customHeight="1">
      <c r="A66239" s="7"/>
      <c r="B66239" s="7"/>
    </row>
    <row r="66240" ht="15.75" customHeight="1">
      <c r="A66240" s="7"/>
      <c r="B66240" s="7"/>
    </row>
    <row r="66241" ht="15.75" customHeight="1">
      <c r="A66241" s="7"/>
      <c r="B66241" s="7"/>
    </row>
    <row r="66242" ht="15.75" customHeight="1">
      <c r="A66242" s="7"/>
      <c r="B66242" s="7"/>
    </row>
    <row r="66243" ht="15.75" customHeight="1">
      <c r="A66243" s="7"/>
      <c r="B66243" s="7"/>
    </row>
    <row r="66244" ht="15.75" customHeight="1">
      <c r="A66244" s="7"/>
      <c r="B66244" s="7"/>
    </row>
    <row r="66245" ht="15.75" customHeight="1">
      <c r="A66245" s="7"/>
      <c r="B66245" s="7"/>
    </row>
    <row r="66246" ht="15.75" customHeight="1">
      <c r="A66246" s="7"/>
      <c r="B66246" s="7"/>
    </row>
    <row r="66247" ht="15.75" customHeight="1">
      <c r="A66247" s="7"/>
      <c r="B66247" s="7"/>
    </row>
    <row r="66248" ht="15.75" customHeight="1">
      <c r="A66248" s="7"/>
      <c r="B66248" s="7"/>
    </row>
    <row r="66249" ht="15.75" customHeight="1">
      <c r="A66249" s="7"/>
      <c r="B66249" s="7"/>
    </row>
    <row r="66250" ht="15.75" customHeight="1">
      <c r="A66250" s="7"/>
      <c r="B66250" s="7"/>
    </row>
    <row r="66251" ht="15.75" customHeight="1">
      <c r="A66251" s="7"/>
      <c r="B66251" s="7"/>
    </row>
    <row r="66252" ht="15.75" customHeight="1">
      <c r="A66252" s="7"/>
      <c r="B66252" s="7"/>
    </row>
    <row r="66253" ht="15.75" customHeight="1">
      <c r="A66253" s="7"/>
      <c r="B66253" s="7"/>
    </row>
    <row r="66254" ht="15.75" customHeight="1">
      <c r="A66254" s="7"/>
      <c r="B66254" s="7"/>
    </row>
    <row r="66255" ht="15.75" customHeight="1">
      <c r="A66255" s="7"/>
      <c r="B66255" s="7"/>
    </row>
    <row r="66256" ht="15.75" customHeight="1">
      <c r="A66256" s="7"/>
      <c r="B66256" s="7"/>
    </row>
    <row r="66257" ht="15.75" customHeight="1">
      <c r="A66257" s="7"/>
      <c r="B66257" s="7"/>
    </row>
    <row r="66258" ht="15.75" customHeight="1">
      <c r="A66258" s="7"/>
      <c r="B66258" s="7"/>
    </row>
    <row r="66259" ht="15.75" customHeight="1">
      <c r="A66259" s="7"/>
      <c r="B66259" s="7"/>
    </row>
    <row r="66260" ht="15.75" customHeight="1">
      <c r="A66260" s="7"/>
      <c r="B66260" s="7"/>
    </row>
    <row r="66261" ht="15.75" customHeight="1">
      <c r="A66261" s="7"/>
      <c r="B66261" s="7"/>
    </row>
    <row r="66262" ht="15.75" customHeight="1">
      <c r="A66262" s="7"/>
      <c r="B66262" s="7"/>
    </row>
    <row r="66263" ht="15.75" customHeight="1">
      <c r="A66263" s="7"/>
      <c r="B66263" s="7"/>
    </row>
    <row r="66264" ht="15.75" customHeight="1">
      <c r="A66264" s="7"/>
      <c r="B66264" s="7"/>
    </row>
    <row r="66265" ht="15.75" customHeight="1">
      <c r="A66265" s="7"/>
      <c r="B66265" s="7"/>
    </row>
    <row r="66266" ht="15.75" customHeight="1">
      <c r="A66266" s="7"/>
      <c r="B66266" s="7"/>
    </row>
    <row r="66267" ht="15.75" customHeight="1">
      <c r="A66267" s="7"/>
      <c r="B66267" s="7"/>
    </row>
    <row r="66268" ht="15.75" customHeight="1">
      <c r="A66268" s="7"/>
      <c r="B66268" s="7"/>
    </row>
    <row r="66269" ht="15.75" customHeight="1">
      <c r="A66269" s="7"/>
      <c r="B66269" s="7"/>
    </row>
    <row r="66270" ht="15.75" customHeight="1">
      <c r="A66270" s="7"/>
      <c r="B66270" s="7"/>
    </row>
    <row r="66271" ht="15.75" customHeight="1">
      <c r="A66271" s="7"/>
      <c r="B66271" s="7"/>
    </row>
    <row r="66272" ht="15.75" customHeight="1">
      <c r="A66272" s="7"/>
      <c r="B66272" s="7"/>
    </row>
    <row r="66273" ht="15.75" customHeight="1">
      <c r="A66273" s="7"/>
      <c r="B66273" s="7"/>
    </row>
    <row r="66274" ht="15.75" customHeight="1">
      <c r="A66274" s="7"/>
      <c r="B66274" s="7"/>
    </row>
    <row r="66275" ht="15.75" customHeight="1">
      <c r="A66275" s="7"/>
      <c r="B66275" s="7"/>
    </row>
    <row r="66276" ht="15.75" customHeight="1">
      <c r="A66276" s="7"/>
      <c r="B66276" s="7"/>
    </row>
    <row r="66277" ht="15.75" customHeight="1">
      <c r="A66277" s="7"/>
      <c r="B66277" s="7"/>
    </row>
    <row r="66278" ht="15.75" customHeight="1">
      <c r="A66278" s="7"/>
      <c r="B66278" s="7"/>
    </row>
    <row r="66279" ht="15.75" customHeight="1">
      <c r="A66279" s="7"/>
      <c r="B66279" s="7"/>
    </row>
    <row r="66280" ht="15.75" customHeight="1">
      <c r="A66280" s="7"/>
      <c r="B66280" s="7"/>
    </row>
    <row r="66281" ht="15.75" customHeight="1">
      <c r="A66281" s="7"/>
      <c r="B66281" s="7"/>
    </row>
    <row r="66282" ht="15.75" customHeight="1">
      <c r="A66282" s="7"/>
      <c r="B66282" s="7"/>
    </row>
    <row r="66283" ht="15.75" customHeight="1">
      <c r="A66283" s="7"/>
      <c r="B66283" s="7"/>
    </row>
    <row r="66284" ht="15.75" customHeight="1">
      <c r="A66284" s="7"/>
      <c r="B66284" s="7"/>
    </row>
    <row r="66285" ht="15.75" customHeight="1">
      <c r="A66285" s="7"/>
      <c r="B66285" s="7"/>
    </row>
    <row r="66286" ht="15.75" customHeight="1">
      <c r="A66286" s="7"/>
      <c r="B66286" s="7"/>
    </row>
    <row r="66287" ht="15.75" customHeight="1">
      <c r="A66287" s="7"/>
      <c r="B66287" s="7"/>
    </row>
    <row r="66288" ht="15.75" customHeight="1">
      <c r="A66288" s="7"/>
      <c r="B66288" s="7"/>
    </row>
    <row r="66289" ht="15.75" customHeight="1">
      <c r="A66289" s="7"/>
      <c r="B66289" s="7"/>
    </row>
    <row r="66290" ht="15.75" customHeight="1">
      <c r="A66290" s="7"/>
      <c r="B66290" s="7"/>
    </row>
    <row r="66291" ht="15.75" customHeight="1">
      <c r="A66291" s="7"/>
      <c r="B66291" s="7"/>
    </row>
    <row r="66292" ht="15.75" customHeight="1">
      <c r="A66292" s="7"/>
      <c r="B66292" s="7"/>
    </row>
    <row r="66293" ht="15.75" customHeight="1">
      <c r="A66293" s="7"/>
      <c r="B66293" s="7"/>
    </row>
    <row r="66294" ht="15.75" customHeight="1">
      <c r="A66294" s="7"/>
      <c r="B66294" s="7"/>
    </row>
    <row r="66295" ht="15.75" customHeight="1">
      <c r="A66295" s="7"/>
      <c r="B66295" s="7"/>
    </row>
    <row r="66296" ht="15.75" customHeight="1">
      <c r="A66296" s="7"/>
      <c r="B66296" s="7"/>
    </row>
    <row r="66297" ht="15.75" customHeight="1">
      <c r="A66297" s="7"/>
      <c r="B66297" s="7"/>
    </row>
    <row r="66298" ht="15.75" customHeight="1">
      <c r="A66298" s="7"/>
      <c r="B66298" s="7"/>
    </row>
    <row r="66299" ht="15.75" customHeight="1">
      <c r="A66299" s="7"/>
      <c r="B66299" s="7"/>
    </row>
    <row r="66300" ht="15.75" customHeight="1">
      <c r="A66300" s="7"/>
      <c r="B66300" s="7"/>
    </row>
    <row r="66301" ht="15.75" customHeight="1">
      <c r="A66301" s="7"/>
      <c r="B66301" s="7"/>
    </row>
    <row r="66302" ht="15.75" customHeight="1">
      <c r="A66302" s="7"/>
      <c r="B66302" s="7"/>
    </row>
    <row r="66303" ht="15.75" customHeight="1">
      <c r="A66303" s="7"/>
      <c r="B66303" s="7"/>
    </row>
    <row r="66304" ht="15.75" customHeight="1">
      <c r="A66304" s="7"/>
      <c r="B66304" s="7"/>
    </row>
    <row r="66305" ht="15.75" customHeight="1">
      <c r="A66305" s="7"/>
      <c r="B66305" s="7"/>
    </row>
    <row r="66306" ht="15.75" customHeight="1">
      <c r="A66306" s="7"/>
      <c r="B66306" s="7"/>
    </row>
    <row r="66307" ht="15.75" customHeight="1">
      <c r="A66307" s="7"/>
      <c r="B66307" s="7"/>
    </row>
    <row r="66308" ht="15.75" customHeight="1">
      <c r="A66308" s="7"/>
      <c r="B66308" s="7"/>
    </row>
    <row r="66309" ht="15.75" customHeight="1">
      <c r="A66309" s="7"/>
      <c r="B66309" s="7"/>
    </row>
    <row r="66310" ht="15.75" customHeight="1">
      <c r="A66310" s="7"/>
      <c r="B66310" s="7"/>
    </row>
    <row r="66311" ht="15.75" customHeight="1">
      <c r="A66311" s="7"/>
      <c r="B66311" s="7"/>
    </row>
    <row r="66312" ht="15.75" customHeight="1">
      <c r="A66312" s="7"/>
      <c r="B66312" s="7"/>
    </row>
    <row r="66313" ht="15.75" customHeight="1">
      <c r="A66313" s="7"/>
      <c r="B66313" s="7"/>
    </row>
    <row r="66314" ht="15.75" customHeight="1">
      <c r="A66314" s="7"/>
      <c r="B66314" s="7"/>
    </row>
    <row r="66315" ht="15.75" customHeight="1">
      <c r="A66315" s="7"/>
      <c r="B66315" s="7"/>
    </row>
    <row r="66316" ht="15.75" customHeight="1">
      <c r="A66316" s="7"/>
      <c r="B66316" s="7"/>
    </row>
    <row r="66317" ht="15.75" customHeight="1">
      <c r="A66317" s="7"/>
      <c r="B66317" s="7"/>
    </row>
    <row r="66318" ht="15.75" customHeight="1">
      <c r="A66318" s="7"/>
      <c r="B66318" s="7"/>
    </row>
    <row r="66319" ht="15.75" customHeight="1">
      <c r="A66319" s="7"/>
      <c r="B66319" s="7"/>
    </row>
    <row r="66320" ht="15.75" customHeight="1">
      <c r="A66320" s="7"/>
      <c r="B66320" s="7"/>
    </row>
    <row r="66321" ht="15.75" customHeight="1">
      <c r="A66321" s="7"/>
      <c r="B66321" s="7"/>
    </row>
    <row r="66322" ht="15.75" customHeight="1">
      <c r="A66322" s="7"/>
      <c r="B66322" s="7"/>
    </row>
    <row r="66323" ht="15.75" customHeight="1">
      <c r="A66323" s="7"/>
      <c r="B66323" s="7"/>
    </row>
    <row r="66324" ht="15.75" customHeight="1">
      <c r="A66324" s="7"/>
      <c r="B66324" s="7"/>
    </row>
    <row r="66325" ht="15.75" customHeight="1">
      <c r="A66325" s="7"/>
      <c r="B66325" s="7"/>
    </row>
    <row r="66326" ht="15.75" customHeight="1">
      <c r="A66326" s="7"/>
      <c r="B66326" s="7"/>
    </row>
    <row r="66327" ht="15.75" customHeight="1">
      <c r="A66327" s="7"/>
      <c r="B66327" s="7"/>
    </row>
    <row r="66328" ht="15.75" customHeight="1">
      <c r="A66328" s="7"/>
      <c r="B66328" s="7"/>
    </row>
    <row r="66329" ht="15.75" customHeight="1">
      <c r="A66329" s="7"/>
      <c r="B66329" s="7"/>
    </row>
    <row r="66330" ht="15.75" customHeight="1">
      <c r="A66330" s="7"/>
      <c r="B66330" s="7"/>
    </row>
    <row r="66331" ht="15.75" customHeight="1">
      <c r="A66331" s="7"/>
      <c r="B66331" s="7"/>
    </row>
    <row r="66332" ht="15.75" customHeight="1">
      <c r="A66332" s="7"/>
      <c r="B66332" s="7"/>
    </row>
    <row r="66333" ht="15.75" customHeight="1">
      <c r="A66333" s="7"/>
      <c r="B66333" s="7"/>
    </row>
    <row r="66334" ht="15.75" customHeight="1">
      <c r="A66334" s="7"/>
      <c r="B66334" s="7"/>
    </row>
    <row r="66335" ht="15.75" customHeight="1">
      <c r="A66335" s="7"/>
      <c r="B66335" s="7"/>
    </row>
    <row r="66336" ht="15.75" customHeight="1">
      <c r="A66336" s="7"/>
      <c r="B66336" s="7"/>
    </row>
    <row r="66337" ht="15.75" customHeight="1">
      <c r="A66337" s="7"/>
      <c r="B66337" s="7"/>
    </row>
    <row r="66338" ht="15.75" customHeight="1">
      <c r="A66338" s="7"/>
      <c r="B66338" s="7"/>
    </row>
    <row r="66339" ht="15.75" customHeight="1">
      <c r="A66339" s="7"/>
      <c r="B66339" s="7"/>
    </row>
    <row r="66340" ht="15.75" customHeight="1">
      <c r="A66340" s="7"/>
      <c r="B66340" s="7"/>
    </row>
    <row r="66341" ht="15.75" customHeight="1">
      <c r="A66341" s="7"/>
      <c r="B66341" s="7"/>
    </row>
    <row r="66342" ht="15.75" customHeight="1">
      <c r="A66342" s="7"/>
      <c r="B66342" s="7"/>
    </row>
    <row r="66343" ht="15.75" customHeight="1">
      <c r="A66343" s="7"/>
      <c r="B66343" s="7"/>
    </row>
    <row r="66344" ht="15.75" customHeight="1">
      <c r="A66344" s="7"/>
      <c r="B66344" s="7"/>
    </row>
    <row r="66345" ht="15.75" customHeight="1">
      <c r="A66345" s="7"/>
      <c r="B66345" s="7"/>
    </row>
    <row r="66346" ht="15.75" customHeight="1">
      <c r="A66346" s="7"/>
      <c r="B66346" s="7"/>
    </row>
    <row r="66347" ht="15.75" customHeight="1">
      <c r="A66347" s="7"/>
      <c r="B66347" s="7"/>
    </row>
    <row r="66348" ht="15.75" customHeight="1">
      <c r="A66348" s="7"/>
      <c r="B66348" s="7"/>
    </row>
    <row r="66349" ht="15.75" customHeight="1">
      <c r="A66349" s="7"/>
      <c r="B66349" s="7"/>
    </row>
    <row r="66350" ht="15.75" customHeight="1">
      <c r="A66350" s="7"/>
      <c r="B66350" s="7"/>
    </row>
    <row r="66351" ht="15.75" customHeight="1">
      <c r="A66351" s="7"/>
      <c r="B66351" s="7"/>
    </row>
    <row r="66352" ht="15.75" customHeight="1">
      <c r="A66352" s="7"/>
      <c r="B66352" s="7"/>
    </row>
    <row r="66353" ht="15.75" customHeight="1">
      <c r="A66353" s="7"/>
      <c r="B66353" s="7"/>
    </row>
    <row r="66354" ht="15.75" customHeight="1">
      <c r="A66354" s="7"/>
      <c r="B66354" s="7"/>
    </row>
    <row r="66355" ht="15.75" customHeight="1">
      <c r="A66355" s="7"/>
      <c r="B66355" s="7"/>
    </row>
    <row r="66356" ht="15.75" customHeight="1">
      <c r="A66356" s="7"/>
      <c r="B66356" s="7"/>
    </row>
    <row r="66357" ht="15.75" customHeight="1">
      <c r="A66357" s="7"/>
      <c r="B66357" s="7"/>
    </row>
    <row r="66358" ht="15.75" customHeight="1">
      <c r="A66358" s="7"/>
      <c r="B66358" s="7"/>
    </row>
    <row r="66359" ht="15.75" customHeight="1">
      <c r="A66359" s="7"/>
      <c r="B66359" s="7"/>
    </row>
    <row r="66360" ht="15.75" customHeight="1">
      <c r="A66360" s="7"/>
      <c r="B66360" s="7"/>
    </row>
    <row r="66361" ht="15.75" customHeight="1">
      <c r="A66361" s="7"/>
      <c r="B66361" s="7"/>
    </row>
    <row r="66362" ht="15.75" customHeight="1">
      <c r="A66362" s="7"/>
      <c r="B66362" s="7"/>
    </row>
    <row r="66363" ht="15.75" customHeight="1">
      <c r="A66363" s="7"/>
      <c r="B66363" s="7"/>
    </row>
    <row r="66364" ht="15.75" customHeight="1">
      <c r="A66364" s="7"/>
      <c r="B66364" s="7"/>
    </row>
    <row r="66365" ht="15.75" customHeight="1">
      <c r="A66365" s="7"/>
      <c r="B66365" s="7"/>
    </row>
    <row r="66366" ht="15.75" customHeight="1">
      <c r="A66366" s="7"/>
      <c r="B66366" s="7"/>
    </row>
    <row r="66367" ht="15.75" customHeight="1">
      <c r="A66367" s="7"/>
      <c r="B66367" s="7"/>
    </row>
    <row r="66368" ht="15.75" customHeight="1">
      <c r="A66368" s="7"/>
      <c r="B66368" s="7"/>
    </row>
    <row r="66369" ht="15.75" customHeight="1">
      <c r="A66369" s="7"/>
      <c r="B66369" s="7"/>
    </row>
    <row r="66370" ht="15.75" customHeight="1">
      <c r="A66370" s="7"/>
      <c r="B66370" s="7"/>
    </row>
    <row r="66371" ht="15.75" customHeight="1">
      <c r="A66371" s="7"/>
      <c r="B66371" s="7"/>
    </row>
    <row r="66372" ht="15.75" customHeight="1">
      <c r="A66372" s="7"/>
      <c r="B66372" s="7"/>
    </row>
    <row r="66373" ht="15.75" customHeight="1">
      <c r="A66373" s="7"/>
      <c r="B66373" s="7"/>
    </row>
    <row r="66374" ht="15.75" customHeight="1">
      <c r="A66374" s="7"/>
      <c r="B66374" s="7"/>
    </row>
    <row r="66375" ht="15.75" customHeight="1">
      <c r="A66375" s="7"/>
      <c r="B66375" s="7"/>
    </row>
    <row r="66376" ht="15.75" customHeight="1">
      <c r="A66376" s="7"/>
      <c r="B66376" s="7"/>
    </row>
    <row r="66377" ht="15.75" customHeight="1">
      <c r="A66377" s="7"/>
      <c r="B66377" s="7"/>
    </row>
    <row r="66378" ht="15.75" customHeight="1">
      <c r="A66378" s="7"/>
      <c r="B66378" s="7"/>
    </row>
    <row r="66379" ht="15.75" customHeight="1">
      <c r="A66379" s="7"/>
      <c r="B66379" s="7"/>
    </row>
    <row r="66380" ht="15.75" customHeight="1">
      <c r="A66380" s="7"/>
      <c r="B66380" s="7"/>
    </row>
    <row r="66381" ht="15.75" customHeight="1">
      <c r="A66381" s="7"/>
      <c r="B66381" s="7"/>
    </row>
    <row r="66382" ht="15.75" customHeight="1">
      <c r="A66382" s="7"/>
      <c r="B66382" s="7"/>
    </row>
    <row r="66383" ht="15.75" customHeight="1">
      <c r="A66383" s="7"/>
      <c r="B66383" s="7"/>
    </row>
    <row r="66384" ht="15.75" customHeight="1">
      <c r="A66384" s="7"/>
      <c r="B66384" s="7"/>
    </row>
    <row r="66385" ht="15.75" customHeight="1">
      <c r="A66385" s="7"/>
      <c r="B66385" s="7"/>
    </row>
    <row r="66386" ht="15.75" customHeight="1">
      <c r="A66386" s="7"/>
      <c r="B66386" s="7"/>
    </row>
    <row r="66387" ht="15.75" customHeight="1">
      <c r="A66387" s="7"/>
      <c r="B66387" s="7"/>
    </row>
    <row r="66388" ht="15.75" customHeight="1">
      <c r="A66388" s="7"/>
      <c r="B66388" s="7"/>
    </row>
    <row r="66389" ht="15.75" customHeight="1">
      <c r="A66389" s="7"/>
      <c r="B66389" s="7"/>
    </row>
    <row r="66390" ht="15.75" customHeight="1">
      <c r="A66390" s="7"/>
      <c r="B66390" s="7"/>
    </row>
    <row r="66391" ht="15.75" customHeight="1">
      <c r="A66391" s="7"/>
      <c r="B66391" s="7"/>
    </row>
    <row r="66392" ht="15.75" customHeight="1">
      <c r="A66392" s="7"/>
      <c r="B66392" s="7"/>
    </row>
    <row r="66393" ht="15.75" customHeight="1">
      <c r="A66393" s="7"/>
      <c r="B66393" s="7"/>
    </row>
    <row r="66394" ht="15.75" customHeight="1">
      <c r="A66394" s="7"/>
      <c r="B66394" s="7"/>
    </row>
    <row r="66395" ht="15.75" customHeight="1">
      <c r="A66395" s="7"/>
      <c r="B66395" s="7"/>
    </row>
    <row r="66396" ht="15.75" customHeight="1">
      <c r="A66396" s="7"/>
      <c r="B66396" s="7"/>
    </row>
    <row r="66397" ht="15.75" customHeight="1">
      <c r="A66397" s="7"/>
      <c r="B66397" s="7"/>
    </row>
    <row r="66398" ht="15.75" customHeight="1">
      <c r="A66398" s="7"/>
      <c r="B66398" s="7"/>
    </row>
    <row r="66399" ht="15.75" customHeight="1">
      <c r="A66399" s="7"/>
      <c r="B66399" s="7"/>
    </row>
    <row r="66400" ht="15.75" customHeight="1">
      <c r="A66400" s="7"/>
      <c r="B66400" s="7"/>
    </row>
    <row r="66401" ht="15.75" customHeight="1">
      <c r="A66401" s="7"/>
      <c r="B66401" s="7"/>
    </row>
    <row r="66402" ht="15.75" customHeight="1">
      <c r="A66402" s="7"/>
      <c r="B66402" s="7"/>
    </row>
    <row r="66403" ht="15.75" customHeight="1">
      <c r="A66403" s="7"/>
      <c r="B66403" s="7"/>
    </row>
    <row r="66404" ht="15.75" customHeight="1">
      <c r="A66404" s="7"/>
      <c r="B66404" s="7"/>
    </row>
    <row r="66405" ht="15.75" customHeight="1">
      <c r="A66405" s="7"/>
      <c r="B66405" s="7"/>
    </row>
    <row r="66406" ht="15.75" customHeight="1">
      <c r="A66406" s="7"/>
      <c r="B66406" s="7"/>
    </row>
    <row r="66407" ht="15.75" customHeight="1">
      <c r="A66407" s="7"/>
      <c r="B66407" s="7"/>
    </row>
    <row r="66408" ht="15.75" customHeight="1">
      <c r="A66408" s="7"/>
      <c r="B66408" s="7"/>
    </row>
    <row r="66409" ht="15.75" customHeight="1">
      <c r="A66409" s="7"/>
      <c r="B66409" s="7"/>
    </row>
    <row r="66410" ht="15.75" customHeight="1">
      <c r="A66410" s="7"/>
      <c r="B66410" s="7"/>
    </row>
    <row r="66411" ht="15.75" customHeight="1">
      <c r="A66411" s="7"/>
      <c r="B66411" s="7"/>
    </row>
    <row r="66412" ht="15.75" customHeight="1">
      <c r="A66412" s="7"/>
      <c r="B66412" s="7"/>
    </row>
    <row r="66413" ht="15.75" customHeight="1">
      <c r="A66413" s="7"/>
      <c r="B66413" s="7"/>
    </row>
    <row r="66414" ht="15.75" customHeight="1">
      <c r="A66414" s="7"/>
      <c r="B66414" s="7"/>
    </row>
    <row r="66415" ht="15.75" customHeight="1">
      <c r="A66415" s="7"/>
      <c r="B66415" s="7"/>
    </row>
    <row r="66416" ht="15.75" customHeight="1">
      <c r="A66416" s="7"/>
      <c r="B66416" s="7"/>
    </row>
    <row r="66417" ht="15.75" customHeight="1">
      <c r="A66417" s="7"/>
      <c r="B66417" s="7"/>
    </row>
    <row r="66418" ht="15.75" customHeight="1">
      <c r="A66418" s="7"/>
      <c r="B66418" s="7"/>
    </row>
    <row r="66419" ht="15.75" customHeight="1">
      <c r="A66419" s="7"/>
      <c r="B66419" s="7"/>
    </row>
    <row r="66420" ht="15.75" customHeight="1">
      <c r="A66420" s="7"/>
      <c r="B66420" s="7"/>
    </row>
    <row r="66421" ht="15.75" customHeight="1">
      <c r="A66421" s="7"/>
      <c r="B66421" s="7"/>
    </row>
    <row r="66422" ht="15.75" customHeight="1">
      <c r="A66422" s="7"/>
      <c r="B66422" s="7"/>
    </row>
    <row r="66423" ht="15.75" customHeight="1">
      <c r="A66423" s="7"/>
      <c r="B66423" s="7"/>
    </row>
    <row r="66424" ht="15.75" customHeight="1">
      <c r="A66424" s="7"/>
      <c r="B66424" s="7"/>
    </row>
    <row r="66425" ht="15.75" customHeight="1">
      <c r="A66425" s="7"/>
      <c r="B66425" s="7"/>
    </row>
    <row r="66426" ht="15.75" customHeight="1">
      <c r="A66426" s="7"/>
      <c r="B66426" s="7"/>
    </row>
    <row r="66427" ht="15.75" customHeight="1">
      <c r="A66427" s="7"/>
      <c r="B66427" s="7"/>
    </row>
    <row r="66428" ht="15.75" customHeight="1">
      <c r="A66428" s="7"/>
      <c r="B66428" s="7"/>
    </row>
    <row r="66429" ht="15.75" customHeight="1">
      <c r="A66429" s="7"/>
      <c r="B66429" s="7"/>
    </row>
    <row r="66430" ht="15.75" customHeight="1">
      <c r="A66430" s="7"/>
      <c r="B66430" s="7"/>
    </row>
    <row r="66431" ht="15.75" customHeight="1">
      <c r="A66431" s="7"/>
      <c r="B66431" s="7"/>
    </row>
    <row r="66432" ht="15.75" customHeight="1">
      <c r="A66432" s="7"/>
      <c r="B66432" s="7"/>
    </row>
    <row r="66433" ht="15.75" customHeight="1">
      <c r="A66433" s="7"/>
      <c r="B66433" s="7"/>
    </row>
    <row r="66434" ht="15.75" customHeight="1">
      <c r="A66434" s="7"/>
      <c r="B66434" s="7"/>
    </row>
    <row r="66435" ht="15.75" customHeight="1">
      <c r="A66435" s="7"/>
      <c r="B66435" s="7"/>
    </row>
    <row r="66436" ht="15.75" customHeight="1">
      <c r="A66436" s="7"/>
      <c r="B66436" s="7"/>
    </row>
    <row r="66437" ht="15.75" customHeight="1">
      <c r="A66437" s="7"/>
      <c r="B66437" s="7"/>
    </row>
    <row r="66438" ht="15.75" customHeight="1">
      <c r="A66438" s="7"/>
      <c r="B66438" s="7"/>
    </row>
    <row r="66439" ht="15.75" customHeight="1">
      <c r="A66439" s="7"/>
      <c r="B66439" s="7"/>
    </row>
    <row r="66440" ht="15.75" customHeight="1">
      <c r="A66440" s="7"/>
      <c r="B66440" s="7"/>
    </row>
    <row r="66441" ht="15.75" customHeight="1">
      <c r="A66441" s="7"/>
      <c r="B66441" s="7"/>
    </row>
    <row r="66442" ht="15.75" customHeight="1">
      <c r="A66442" s="7"/>
      <c r="B66442" s="7"/>
    </row>
    <row r="66443" ht="15.75" customHeight="1">
      <c r="A66443" s="7"/>
      <c r="B66443" s="7"/>
    </row>
    <row r="66444" ht="15.75" customHeight="1">
      <c r="A66444" s="7"/>
      <c r="B66444" s="7"/>
    </row>
    <row r="66445" ht="15.75" customHeight="1">
      <c r="A66445" s="7"/>
      <c r="B66445" s="7"/>
    </row>
    <row r="66446" ht="15.75" customHeight="1">
      <c r="A66446" s="7"/>
      <c r="B66446" s="7"/>
    </row>
    <row r="66447" ht="15.75" customHeight="1">
      <c r="A66447" s="7"/>
      <c r="B66447" s="7"/>
    </row>
    <row r="66448" ht="15.75" customHeight="1">
      <c r="A66448" s="7"/>
      <c r="B66448" s="7"/>
    </row>
    <row r="66449" ht="15.75" customHeight="1">
      <c r="A66449" s="7"/>
      <c r="B66449" s="7"/>
    </row>
    <row r="66450" ht="15.75" customHeight="1">
      <c r="A66450" s="7"/>
      <c r="B66450" s="7"/>
    </row>
    <row r="66451" ht="15.75" customHeight="1">
      <c r="A66451" s="7"/>
      <c r="B66451" s="7"/>
    </row>
    <row r="66452" ht="15.75" customHeight="1">
      <c r="A66452" s="7"/>
      <c r="B66452" s="7"/>
    </row>
    <row r="66453" ht="15.75" customHeight="1">
      <c r="A66453" s="7"/>
      <c r="B66453" s="7"/>
    </row>
    <row r="66454" ht="15.75" customHeight="1">
      <c r="A66454" s="7"/>
      <c r="B66454" s="7"/>
    </row>
    <row r="66455" ht="15.75" customHeight="1">
      <c r="A66455" s="7"/>
      <c r="B66455" s="7"/>
    </row>
    <row r="66456" ht="15.75" customHeight="1">
      <c r="A66456" s="7"/>
      <c r="B66456" s="7"/>
    </row>
    <row r="66457" ht="15.75" customHeight="1">
      <c r="A66457" s="7"/>
      <c r="B66457" s="7"/>
    </row>
    <row r="66458" ht="15.75" customHeight="1">
      <c r="A66458" s="7"/>
      <c r="B66458" s="7"/>
    </row>
    <row r="66459" ht="15.75" customHeight="1">
      <c r="A66459" s="7"/>
      <c r="B66459" s="7"/>
    </row>
    <row r="66460" ht="15.75" customHeight="1">
      <c r="A66460" s="7"/>
      <c r="B66460" s="7"/>
    </row>
    <row r="66461" ht="15.75" customHeight="1">
      <c r="A66461" s="7"/>
      <c r="B66461" s="7"/>
    </row>
    <row r="66462" ht="15.75" customHeight="1">
      <c r="A66462" s="7"/>
      <c r="B66462" s="7"/>
    </row>
    <row r="66463" ht="15.75" customHeight="1">
      <c r="A66463" s="7"/>
      <c r="B66463" s="7"/>
    </row>
    <row r="66464" ht="15.75" customHeight="1">
      <c r="A66464" s="7"/>
      <c r="B66464" s="7"/>
    </row>
    <row r="66465" ht="15.75" customHeight="1">
      <c r="A66465" s="7"/>
      <c r="B66465" s="7"/>
    </row>
    <row r="66466" ht="15.75" customHeight="1">
      <c r="A66466" s="7"/>
      <c r="B66466" s="7"/>
    </row>
    <row r="66467" ht="15.75" customHeight="1">
      <c r="A66467" s="7"/>
      <c r="B66467" s="7"/>
    </row>
    <row r="66468" ht="15.75" customHeight="1">
      <c r="A66468" s="7"/>
      <c r="B66468" s="7"/>
    </row>
    <row r="66469" ht="15.75" customHeight="1">
      <c r="A66469" s="7"/>
      <c r="B66469" s="7"/>
    </row>
    <row r="66470" ht="15.75" customHeight="1">
      <c r="A66470" s="7"/>
      <c r="B66470" s="7"/>
    </row>
    <row r="66471" ht="15.75" customHeight="1">
      <c r="A66471" s="7"/>
      <c r="B66471" s="7"/>
    </row>
    <row r="66472" ht="15.75" customHeight="1">
      <c r="A66472" s="7"/>
      <c r="B66472" s="7"/>
    </row>
    <row r="66473" ht="15.75" customHeight="1">
      <c r="A66473" s="7"/>
      <c r="B66473" s="7"/>
    </row>
    <row r="66474" ht="15.75" customHeight="1">
      <c r="A66474" s="7"/>
      <c r="B66474" s="7"/>
    </row>
    <row r="66475" ht="15.75" customHeight="1">
      <c r="A66475" s="7"/>
      <c r="B66475" s="7"/>
    </row>
    <row r="66476" ht="15.75" customHeight="1">
      <c r="A66476" s="7"/>
      <c r="B66476" s="7"/>
    </row>
    <row r="66477" ht="15.75" customHeight="1">
      <c r="A66477" s="7"/>
      <c r="B66477" s="7"/>
    </row>
    <row r="66478" ht="15.75" customHeight="1">
      <c r="A66478" s="7"/>
      <c r="B66478" s="7"/>
    </row>
    <row r="66479" ht="15.75" customHeight="1">
      <c r="A66479" s="7"/>
      <c r="B66479" s="7"/>
    </row>
    <row r="66480" ht="15.75" customHeight="1">
      <c r="A66480" s="7"/>
      <c r="B66480" s="7"/>
    </row>
    <row r="66481" ht="15.75" customHeight="1">
      <c r="A66481" s="7"/>
      <c r="B66481" s="7"/>
    </row>
    <row r="66482" ht="15.75" customHeight="1">
      <c r="A66482" s="7"/>
      <c r="B66482" s="7"/>
    </row>
    <row r="66483" ht="15.75" customHeight="1">
      <c r="A66483" s="7"/>
      <c r="B66483" s="7"/>
    </row>
    <row r="66484" ht="15.75" customHeight="1">
      <c r="A66484" s="7"/>
      <c r="B66484" s="7"/>
    </row>
    <row r="66485" ht="15.75" customHeight="1">
      <c r="A66485" s="7"/>
      <c r="B66485" s="7"/>
    </row>
    <row r="66486" ht="15.75" customHeight="1">
      <c r="A66486" s="7"/>
      <c r="B66486" s="7"/>
    </row>
    <row r="66487" ht="15.75" customHeight="1">
      <c r="A66487" s="7"/>
      <c r="B66487" s="7"/>
    </row>
    <row r="66488" ht="15.75" customHeight="1">
      <c r="A66488" s="7"/>
      <c r="B66488" s="7"/>
    </row>
    <row r="66489" ht="15.75" customHeight="1">
      <c r="A66489" s="7"/>
      <c r="B66489" s="7"/>
    </row>
    <row r="66490" ht="15.75" customHeight="1">
      <c r="A66490" s="7"/>
      <c r="B66490" s="7"/>
    </row>
    <row r="66491" ht="15.75" customHeight="1">
      <c r="A66491" s="7"/>
      <c r="B66491" s="7"/>
    </row>
    <row r="66492" ht="15.75" customHeight="1">
      <c r="A66492" s="7"/>
      <c r="B66492" s="7"/>
    </row>
    <row r="66493" ht="15.75" customHeight="1">
      <c r="A66493" s="7"/>
      <c r="B66493" s="7"/>
    </row>
    <row r="66494" ht="15.75" customHeight="1">
      <c r="A66494" s="7"/>
      <c r="B66494" s="7"/>
    </row>
    <row r="66495" ht="15.75" customHeight="1">
      <c r="A66495" s="7"/>
      <c r="B66495" s="7"/>
    </row>
    <row r="66496" ht="15.75" customHeight="1">
      <c r="A66496" s="7"/>
      <c r="B66496" s="7"/>
    </row>
    <row r="66497" ht="15.75" customHeight="1">
      <c r="A66497" s="7"/>
      <c r="B66497" s="7"/>
    </row>
    <row r="66498" ht="15.75" customHeight="1">
      <c r="A66498" s="7"/>
      <c r="B66498" s="7"/>
    </row>
    <row r="66499" ht="15.75" customHeight="1">
      <c r="A66499" s="7"/>
      <c r="B66499" s="7"/>
    </row>
    <row r="66500" ht="15.75" customHeight="1">
      <c r="A66500" s="7"/>
      <c r="B66500" s="7"/>
    </row>
    <row r="66501" ht="15.75" customHeight="1">
      <c r="A66501" s="7"/>
      <c r="B66501" s="7"/>
    </row>
    <row r="66502" ht="15.75" customHeight="1">
      <c r="A66502" s="7"/>
      <c r="B66502" s="7"/>
    </row>
    <row r="66503" ht="15.75" customHeight="1">
      <c r="A66503" s="7"/>
      <c r="B66503" s="7"/>
    </row>
    <row r="66504" ht="15.75" customHeight="1">
      <c r="A66504" s="7"/>
      <c r="B66504" s="7"/>
    </row>
    <row r="66505" ht="15.75" customHeight="1">
      <c r="A66505" s="7"/>
      <c r="B66505" s="7"/>
    </row>
    <row r="66506" ht="15.75" customHeight="1">
      <c r="A66506" s="7"/>
      <c r="B66506" s="7"/>
    </row>
    <row r="66507" ht="15.75" customHeight="1">
      <c r="A66507" s="7"/>
      <c r="B66507" s="7"/>
    </row>
    <row r="66508" ht="15.75" customHeight="1">
      <c r="A66508" s="7"/>
      <c r="B66508" s="7"/>
    </row>
    <row r="66509" ht="15.75" customHeight="1">
      <c r="A66509" s="7"/>
      <c r="B66509" s="7"/>
    </row>
    <row r="66510" ht="15.75" customHeight="1">
      <c r="A66510" s="7"/>
      <c r="B66510" s="7"/>
    </row>
    <row r="66511" ht="15.75" customHeight="1">
      <c r="A66511" s="7"/>
      <c r="B66511" s="7"/>
    </row>
    <row r="66512" ht="15.75" customHeight="1">
      <c r="A66512" s="7"/>
      <c r="B66512" s="7"/>
    </row>
    <row r="66513" ht="15.75" customHeight="1">
      <c r="A66513" s="7"/>
      <c r="B66513" s="7"/>
    </row>
    <row r="66514" ht="15.75" customHeight="1">
      <c r="A66514" s="7"/>
      <c r="B66514" s="7"/>
    </row>
    <row r="66515" ht="15.75" customHeight="1">
      <c r="A66515" s="7"/>
      <c r="B66515" s="7"/>
    </row>
    <row r="66516" ht="15.75" customHeight="1">
      <c r="A66516" s="7"/>
      <c r="B66516" s="7"/>
    </row>
    <row r="66517" ht="15.75" customHeight="1">
      <c r="A66517" s="7"/>
      <c r="B66517" s="7"/>
    </row>
    <row r="66518" ht="15.75" customHeight="1">
      <c r="A66518" s="7"/>
      <c r="B66518" s="7"/>
    </row>
    <row r="66519" ht="15.75" customHeight="1">
      <c r="A66519" s="7"/>
      <c r="B66519" s="7"/>
    </row>
    <row r="66520" ht="15.75" customHeight="1">
      <c r="A66520" s="7"/>
      <c r="B66520" s="7"/>
    </row>
    <row r="66521" ht="15.75" customHeight="1">
      <c r="A66521" s="7"/>
      <c r="B66521" s="7"/>
    </row>
    <row r="66522" ht="15.75" customHeight="1">
      <c r="A66522" s="7"/>
      <c r="B66522" s="7"/>
    </row>
    <row r="66523" ht="15.75" customHeight="1">
      <c r="A66523" s="7"/>
      <c r="B66523" s="7"/>
    </row>
    <row r="66524" ht="15.75" customHeight="1">
      <c r="A66524" s="7"/>
      <c r="B66524" s="7"/>
    </row>
    <row r="66525" ht="15.75" customHeight="1">
      <c r="A66525" s="7"/>
      <c r="B66525" s="7"/>
    </row>
    <row r="66526" ht="15.75" customHeight="1">
      <c r="A66526" s="7"/>
      <c r="B66526" s="7"/>
    </row>
    <row r="66527" ht="15.75" customHeight="1">
      <c r="A66527" s="7"/>
      <c r="B66527" s="7"/>
    </row>
    <row r="66528" ht="15.75" customHeight="1">
      <c r="A66528" s="7"/>
      <c r="B66528" s="7"/>
    </row>
    <row r="66529" ht="15.75" customHeight="1">
      <c r="A66529" s="7"/>
      <c r="B66529" s="7"/>
    </row>
    <row r="66530" ht="15.75" customHeight="1">
      <c r="A66530" s="7"/>
      <c r="B66530" s="7"/>
    </row>
    <row r="66531" ht="15.75" customHeight="1">
      <c r="A66531" s="7"/>
      <c r="B66531" s="7"/>
    </row>
    <row r="66532" ht="15.75" customHeight="1">
      <c r="A66532" s="7"/>
      <c r="B66532" s="7"/>
    </row>
    <row r="66533" ht="15.75" customHeight="1">
      <c r="A66533" s="7"/>
      <c r="B66533" s="7"/>
    </row>
    <row r="66534" ht="15.75" customHeight="1">
      <c r="A66534" s="7"/>
      <c r="B66534" s="7"/>
    </row>
    <row r="66535" ht="15.75" customHeight="1">
      <c r="A66535" s="7"/>
      <c r="B66535" s="7"/>
    </row>
    <row r="66536" ht="15.75" customHeight="1">
      <c r="A66536" s="7"/>
      <c r="B66536" s="7"/>
    </row>
    <row r="66537" ht="15.75" customHeight="1">
      <c r="A66537" s="7"/>
      <c r="B66537" s="7"/>
    </row>
    <row r="66538" ht="15.75" customHeight="1">
      <c r="A66538" s="7"/>
      <c r="B66538" s="7"/>
    </row>
    <row r="66539" ht="15.75" customHeight="1">
      <c r="A66539" s="7"/>
      <c r="B66539" s="7"/>
    </row>
    <row r="66540" ht="15.75" customHeight="1">
      <c r="A66540" s="7"/>
      <c r="B66540" s="7"/>
    </row>
    <row r="66541" ht="15.75" customHeight="1">
      <c r="A66541" s="7"/>
      <c r="B66541" s="7"/>
    </row>
    <row r="66542" ht="15.75" customHeight="1">
      <c r="A66542" s="7"/>
      <c r="B66542" s="7"/>
    </row>
    <row r="66543" ht="15.75" customHeight="1">
      <c r="A66543" s="7"/>
      <c r="B66543" s="7"/>
    </row>
    <row r="66544" ht="15.75" customHeight="1">
      <c r="A66544" s="7"/>
      <c r="B66544" s="7"/>
    </row>
    <row r="66545" ht="15.75" customHeight="1">
      <c r="A66545" s="7"/>
      <c r="B66545" s="7"/>
    </row>
    <row r="66546" ht="15.75" customHeight="1">
      <c r="A66546" s="7"/>
      <c r="B66546" s="7"/>
    </row>
    <row r="66547" ht="15.75" customHeight="1">
      <c r="A66547" s="7"/>
      <c r="B66547" s="7"/>
    </row>
    <row r="66548" ht="15.75" customHeight="1">
      <c r="A66548" s="7"/>
      <c r="B66548" s="7"/>
    </row>
    <row r="66549" ht="15.75" customHeight="1">
      <c r="A66549" s="7"/>
      <c r="B66549" s="7"/>
    </row>
    <row r="66550" ht="15.75" customHeight="1">
      <c r="A66550" s="7"/>
      <c r="B66550" s="7"/>
    </row>
    <row r="66551" ht="15.75" customHeight="1">
      <c r="A66551" s="7"/>
      <c r="B66551" s="7"/>
    </row>
    <row r="66552" ht="15.75" customHeight="1">
      <c r="A66552" s="7"/>
      <c r="B66552" s="7"/>
    </row>
    <row r="66553" ht="15.75" customHeight="1">
      <c r="A66553" s="7"/>
      <c r="B66553" s="7"/>
    </row>
    <row r="66554" ht="15.75" customHeight="1">
      <c r="A66554" s="7"/>
      <c r="B66554" s="7"/>
    </row>
    <row r="66555" ht="15.75" customHeight="1">
      <c r="A66555" s="7"/>
      <c r="B66555" s="7"/>
    </row>
    <row r="66556" ht="15.75" customHeight="1">
      <c r="A66556" s="7"/>
      <c r="B66556" s="7"/>
    </row>
    <row r="66557" ht="15.75" customHeight="1">
      <c r="A66557" s="7"/>
      <c r="B66557" s="7"/>
    </row>
    <row r="66558" ht="15.75" customHeight="1">
      <c r="A66558" s="7"/>
      <c r="B66558" s="7"/>
    </row>
    <row r="66559" ht="15.75" customHeight="1">
      <c r="A66559" s="7"/>
      <c r="B66559" s="7"/>
    </row>
    <row r="66560" ht="15.75" customHeight="1">
      <c r="A66560" s="7"/>
      <c r="B66560" s="7"/>
    </row>
    <row r="66561" ht="15.75" customHeight="1">
      <c r="A66561" s="7"/>
      <c r="B66561" s="7"/>
    </row>
    <row r="66562" ht="15.75" customHeight="1">
      <c r="A66562" s="7"/>
      <c r="B66562" s="7"/>
    </row>
    <row r="66563" ht="15.75" customHeight="1">
      <c r="A66563" s="7"/>
      <c r="B66563" s="7"/>
    </row>
    <row r="66564" ht="15.75" customHeight="1">
      <c r="A66564" s="7"/>
      <c r="B66564" s="7"/>
    </row>
    <row r="66565" ht="15.75" customHeight="1">
      <c r="A66565" s="7"/>
      <c r="B66565" s="7"/>
    </row>
    <row r="66566" ht="15.75" customHeight="1">
      <c r="A66566" s="7"/>
      <c r="B66566" s="7"/>
    </row>
    <row r="66567" ht="15.75" customHeight="1">
      <c r="A66567" s="7"/>
      <c r="B66567" s="7"/>
    </row>
    <row r="66568" ht="15.75" customHeight="1">
      <c r="A66568" s="7"/>
      <c r="B66568" s="7"/>
    </row>
    <row r="66569" ht="15.75" customHeight="1">
      <c r="A66569" s="7"/>
      <c r="B66569" s="7"/>
    </row>
    <row r="66570" ht="15.75" customHeight="1">
      <c r="A66570" s="7"/>
      <c r="B66570" s="7"/>
    </row>
    <row r="66571" ht="15.75" customHeight="1">
      <c r="A66571" s="7"/>
      <c r="B66571" s="7"/>
    </row>
    <row r="66572" ht="15.75" customHeight="1">
      <c r="A66572" s="7"/>
      <c r="B66572" s="7"/>
    </row>
    <row r="66573" ht="15.75" customHeight="1">
      <c r="A66573" s="7"/>
      <c r="B66573" s="7"/>
    </row>
    <row r="66574" ht="15.75" customHeight="1">
      <c r="A66574" s="7"/>
      <c r="B66574" s="7"/>
    </row>
    <row r="66575" ht="15.75" customHeight="1">
      <c r="A66575" s="7"/>
      <c r="B66575" s="7"/>
    </row>
    <row r="66576" ht="15.75" customHeight="1">
      <c r="A66576" s="7"/>
      <c r="B66576" s="7"/>
    </row>
    <row r="66577" ht="15.75" customHeight="1">
      <c r="A66577" s="7"/>
      <c r="B66577" s="7"/>
    </row>
    <row r="66578" ht="15.75" customHeight="1">
      <c r="A66578" s="7"/>
      <c r="B66578" s="7"/>
    </row>
    <row r="66579" ht="15.75" customHeight="1">
      <c r="A66579" s="7"/>
      <c r="B66579" s="7"/>
    </row>
    <row r="66580" ht="15.75" customHeight="1">
      <c r="A66580" s="7"/>
      <c r="B66580" s="7"/>
    </row>
    <row r="66581" ht="15.75" customHeight="1">
      <c r="A66581" s="7"/>
      <c r="B66581" s="7"/>
    </row>
    <row r="66582" ht="15.75" customHeight="1">
      <c r="A66582" s="7"/>
      <c r="B66582" s="7"/>
    </row>
    <row r="66583" ht="15.75" customHeight="1">
      <c r="A66583" s="7"/>
      <c r="B66583" s="7"/>
    </row>
    <row r="66584" ht="15.75" customHeight="1">
      <c r="A66584" s="7"/>
      <c r="B66584" s="7"/>
    </row>
    <row r="66585" ht="15.75" customHeight="1">
      <c r="A66585" s="7"/>
      <c r="B66585" s="7"/>
    </row>
    <row r="66586" ht="15.75" customHeight="1">
      <c r="A66586" s="7"/>
      <c r="B66586" s="7"/>
    </row>
    <row r="66587" ht="15.75" customHeight="1">
      <c r="A66587" s="7"/>
      <c r="B66587" s="7"/>
    </row>
    <row r="66588" ht="15.75" customHeight="1">
      <c r="A66588" s="7"/>
      <c r="B66588" s="7"/>
    </row>
    <row r="66589" ht="15.75" customHeight="1">
      <c r="A66589" s="7"/>
      <c r="B66589" s="7"/>
    </row>
    <row r="66590" ht="15.75" customHeight="1">
      <c r="A66590" s="7"/>
      <c r="B66590" s="7"/>
    </row>
    <row r="66591" ht="15.75" customHeight="1">
      <c r="A66591" s="7"/>
      <c r="B66591" s="7"/>
    </row>
    <row r="66592" ht="15.75" customHeight="1">
      <c r="A66592" s="7"/>
      <c r="B66592" s="7"/>
    </row>
    <row r="66593" ht="15.75" customHeight="1">
      <c r="A66593" s="7"/>
      <c r="B66593" s="7"/>
    </row>
    <row r="66594" ht="15.75" customHeight="1">
      <c r="A66594" s="7"/>
      <c r="B66594" s="7"/>
    </row>
    <row r="66595" ht="15.75" customHeight="1">
      <c r="A66595" s="7"/>
      <c r="B66595" s="7"/>
    </row>
    <row r="66596" ht="15.75" customHeight="1">
      <c r="A66596" s="7"/>
      <c r="B66596" s="7"/>
    </row>
    <row r="66597" ht="15.75" customHeight="1">
      <c r="A66597" s="7"/>
      <c r="B66597" s="7"/>
    </row>
    <row r="66598" ht="15.75" customHeight="1">
      <c r="A66598" s="7"/>
      <c r="B66598" s="7"/>
    </row>
    <row r="66599" ht="15.75" customHeight="1">
      <c r="A66599" s="7"/>
      <c r="B66599" s="7"/>
    </row>
    <row r="66600" ht="15.75" customHeight="1">
      <c r="A66600" s="7"/>
      <c r="B66600" s="7"/>
    </row>
    <row r="66601" ht="15.75" customHeight="1">
      <c r="A66601" s="7"/>
      <c r="B66601" s="7"/>
    </row>
    <row r="66602" ht="15.75" customHeight="1">
      <c r="A66602" s="7"/>
      <c r="B66602" s="7"/>
    </row>
    <row r="66603" ht="15.75" customHeight="1">
      <c r="A66603" s="7"/>
      <c r="B66603" s="7"/>
    </row>
    <row r="66604" ht="15.75" customHeight="1">
      <c r="A66604" s="7"/>
      <c r="B66604" s="7"/>
    </row>
    <row r="66605" ht="15.75" customHeight="1">
      <c r="A66605" s="7"/>
      <c r="B66605" s="7"/>
    </row>
    <row r="66606" ht="15.75" customHeight="1">
      <c r="A66606" s="7"/>
      <c r="B66606" s="7"/>
    </row>
    <row r="66607" ht="15.75" customHeight="1">
      <c r="A66607" s="7"/>
      <c r="B66607" s="7"/>
    </row>
    <row r="66608" ht="15.75" customHeight="1">
      <c r="A66608" s="7"/>
      <c r="B66608" s="7"/>
    </row>
    <row r="66609" ht="15.75" customHeight="1">
      <c r="A66609" s="7"/>
      <c r="B66609" s="7"/>
    </row>
    <row r="66610" ht="15.75" customHeight="1">
      <c r="A66610" s="7"/>
      <c r="B66610" s="7"/>
    </row>
    <row r="66611" ht="15.75" customHeight="1">
      <c r="A66611" s="7"/>
      <c r="B66611" s="7"/>
    </row>
    <row r="66612" ht="15.75" customHeight="1">
      <c r="A66612" s="7"/>
      <c r="B66612" s="7"/>
    </row>
    <row r="66613" ht="15.75" customHeight="1">
      <c r="A66613" s="7"/>
      <c r="B66613" s="7"/>
    </row>
    <row r="66614" ht="15.75" customHeight="1">
      <c r="A66614" s="7"/>
      <c r="B66614" s="7"/>
    </row>
    <row r="66615" ht="15.75" customHeight="1">
      <c r="A66615" s="7"/>
      <c r="B66615" s="7"/>
    </row>
    <row r="66616" ht="15.75" customHeight="1">
      <c r="A66616" s="7"/>
      <c r="B66616" s="7"/>
    </row>
    <row r="66617" ht="15.75" customHeight="1">
      <c r="A66617" s="7"/>
      <c r="B66617" s="7"/>
    </row>
    <row r="66618" ht="15.75" customHeight="1">
      <c r="A66618" s="7"/>
      <c r="B66618" s="7"/>
    </row>
    <row r="66619" ht="15.75" customHeight="1">
      <c r="A66619" s="7"/>
      <c r="B66619" s="7"/>
    </row>
    <row r="66620" ht="15.75" customHeight="1">
      <c r="A66620" s="7"/>
      <c r="B66620" s="7"/>
    </row>
    <row r="66621" ht="15.75" customHeight="1">
      <c r="A66621" s="7"/>
      <c r="B66621" s="7"/>
    </row>
    <row r="66622" ht="15.75" customHeight="1">
      <c r="A66622" s="7"/>
      <c r="B66622" s="7"/>
    </row>
    <row r="66623" ht="15.75" customHeight="1">
      <c r="A66623" s="7"/>
      <c r="B66623" s="7"/>
    </row>
    <row r="66624" ht="15.75" customHeight="1">
      <c r="A66624" s="7"/>
      <c r="B66624" s="7"/>
    </row>
    <row r="66625" ht="15.75" customHeight="1">
      <c r="A66625" s="7"/>
      <c r="B66625" s="7"/>
    </row>
    <row r="66626" ht="15.75" customHeight="1">
      <c r="A66626" s="7"/>
      <c r="B66626" s="7"/>
    </row>
    <row r="66627" ht="15.75" customHeight="1">
      <c r="A66627" s="7"/>
      <c r="B66627" s="7"/>
    </row>
    <row r="66628" ht="15.75" customHeight="1">
      <c r="A66628" s="7"/>
      <c r="B66628" s="7"/>
    </row>
    <row r="66629" ht="15.75" customHeight="1">
      <c r="A66629" s="7"/>
      <c r="B66629" s="7"/>
    </row>
    <row r="66630" ht="15.75" customHeight="1">
      <c r="A66630" s="7"/>
      <c r="B66630" s="7"/>
    </row>
    <row r="66631" ht="15.75" customHeight="1">
      <c r="A66631" s="7"/>
      <c r="B66631" s="7"/>
    </row>
    <row r="66632" ht="15.75" customHeight="1">
      <c r="A66632" s="7"/>
      <c r="B66632" s="7"/>
    </row>
    <row r="66633" ht="15.75" customHeight="1">
      <c r="A66633" s="7"/>
      <c r="B66633" s="7"/>
    </row>
    <row r="66634" ht="15.75" customHeight="1">
      <c r="A66634" s="7"/>
      <c r="B66634" s="7"/>
    </row>
    <row r="66635" ht="15.75" customHeight="1">
      <c r="A66635" s="7"/>
      <c r="B66635" s="7"/>
    </row>
    <row r="66636" ht="15.75" customHeight="1">
      <c r="A66636" s="7"/>
      <c r="B66636" s="7"/>
    </row>
    <row r="66637" ht="15.75" customHeight="1">
      <c r="A66637" s="7"/>
      <c r="B66637" s="7"/>
    </row>
    <row r="66638" ht="15.75" customHeight="1">
      <c r="A66638" s="7"/>
      <c r="B66638" s="7"/>
    </row>
    <row r="66639" ht="15.75" customHeight="1">
      <c r="A66639" s="7"/>
      <c r="B66639" s="7"/>
    </row>
    <row r="66640" ht="15.75" customHeight="1">
      <c r="A66640" s="7"/>
      <c r="B66640" s="7"/>
    </row>
    <row r="66641" ht="15.75" customHeight="1">
      <c r="A66641" s="7"/>
      <c r="B66641" s="7"/>
    </row>
    <row r="66642" ht="15.75" customHeight="1">
      <c r="A66642" s="7"/>
      <c r="B66642" s="7"/>
    </row>
    <row r="66643" ht="15.75" customHeight="1">
      <c r="A66643" s="7"/>
      <c r="B66643" s="7"/>
    </row>
    <row r="66644" ht="15.75" customHeight="1">
      <c r="A66644" s="7"/>
      <c r="B66644" s="7"/>
    </row>
    <row r="66645" ht="15.75" customHeight="1">
      <c r="A66645" s="7"/>
      <c r="B66645" s="7"/>
    </row>
    <row r="66646" ht="15.75" customHeight="1">
      <c r="A66646" s="7"/>
      <c r="B66646" s="7"/>
    </row>
    <row r="66647" ht="15.75" customHeight="1">
      <c r="A66647" s="7"/>
      <c r="B66647" s="7"/>
    </row>
    <row r="66648" ht="15.75" customHeight="1">
      <c r="A66648" s="7"/>
      <c r="B66648" s="7"/>
    </row>
    <row r="66649" ht="15.75" customHeight="1">
      <c r="A66649" s="7"/>
      <c r="B66649" s="7"/>
    </row>
    <row r="66650" ht="15.75" customHeight="1">
      <c r="A66650" s="7"/>
      <c r="B66650" s="7"/>
    </row>
    <row r="66651" ht="15.75" customHeight="1">
      <c r="A66651" s="7"/>
      <c r="B66651" s="7"/>
    </row>
    <row r="66652" ht="15.75" customHeight="1">
      <c r="A66652" s="7"/>
      <c r="B66652" s="7"/>
    </row>
    <row r="66653" ht="15.75" customHeight="1">
      <c r="A66653" s="7"/>
      <c r="B66653" s="7"/>
    </row>
    <row r="66654" ht="15.75" customHeight="1">
      <c r="A66654" s="7"/>
      <c r="B66654" s="7"/>
    </row>
    <row r="66655" ht="15.75" customHeight="1">
      <c r="A66655" s="7"/>
      <c r="B66655" s="7"/>
    </row>
    <row r="66656" ht="15.75" customHeight="1">
      <c r="A66656" s="7"/>
      <c r="B66656" s="7"/>
    </row>
    <row r="66657" ht="15.75" customHeight="1">
      <c r="A66657" s="7"/>
      <c r="B66657" s="7"/>
    </row>
    <row r="66658" ht="15.75" customHeight="1">
      <c r="A66658" s="7"/>
      <c r="B66658" s="7"/>
    </row>
    <row r="66659" ht="15.75" customHeight="1">
      <c r="A66659" s="7"/>
      <c r="B66659" s="7"/>
    </row>
    <row r="66660" ht="15.75" customHeight="1">
      <c r="A66660" s="7"/>
      <c r="B66660" s="7"/>
    </row>
    <row r="66661" ht="15.75" customHeight="1">
      <c r="A66661" s="7"/>
      <c r="B66661" s="7"/>
    </row>
    <row r="66662" ht="15.75" customHeight="1">
      <c r="A66662" s="7"/>
      <c r="B66662" s="7"/>
    </row>
    <row r="66663" ht="15.75" customHeight="1">
      <c r="A66663" s="7"/>
      <c r="B66663" s="7"/>
    </row>
    <row r="66664" ht="15.75" customHeight="1">
      <c r="A66664" s="7"/>
      <c r="B66664" s="7"/>
    </row>
    <row r="66665" ht="15.75" customHeight="1">
      <c r="A66665" s="7"/>
      <c r="B66665" s="7"/>
    </row>
    <row r="66666" ht="15.75" customHeight="1">
      <c r="A66666" s="7"/>
      <c r="B66666" s="7"/>
    </row>
    <row r="66667" ht="15.75" customHeight="1">
      <c r="A66667" s="7"/>
      <c r="B66667" s="7"/>
    </row>
    <row r="66668" ht="15.75" customHeight="1">
      <c r="A66668" s="7"/>
      <c r="B66668" s="7"/>
    </row>
    <row r="66669" ht="15.75" customHeight="1">
      <c r="A66669" s="7"/>
      <c r="B66669" s="7"/>
    </row>
    <row r="66670" ht="15.75" customHeight="1">
      <c r="A66670" s="7"/>
      <c r="B66670" s="7"/>
    </row>
    <row r="66671" ht="15.75" customHeight="1">
      <c r="A66671" s="7"/>
      <c r="B66671" s="7"/>
    </row>
    <row r="66672" ht="15.75" customHeight="1">
      <c r="A66672" s="7"/>
      <c r="B66672" s="7"/>
    </row>
    <row r="66673" ht="15.75" customHeight="1">
      <c r="A66673" s="7"/>
      <c r="B66673" s="7"/>
    </row>
    <row r="66674" ht="15.75" customHeight="1">
      <c r="A66674" s="7"/>
      <c r="B66674" s="7"/>
    </row>
    <row r="66675" ht="15.75" customHeight="1">
      <c r="A66675" s="7"/>
      <c r="B66675" s="7"/>
    </row>
    <row r="66676" ht="15.75" customHeight="1">
      <c r="A66676" s="7"/>
      <c r="B66676" s="7"/>
    </row>
    <row r="66677" ht="15.75" customHeight="1">
      <c r="A66677" s="7"/>
      <c r="B66677" s="7"/>
    </row>
    <row r="66678" ht="15.75" customHeight="1">
      <c r="A66678" s="7"/>
      <c r="B66678" s="7"/>
    </row>
    <row r="66679" ht="15.75" customHeight="1">
      <c r="A66679" s="7"/>
      <c r="B66679" s="7"/>
    </row>
    <row r="66680" ht="15.75" customHeight="1">
      <c r="A66680" s="7"/>
      <c r="B66680" s="7"/>
    </row>
    <row r="66681" ht="15.75" customHeight="1">
      <c r="A66681" s="7"/>
      <c r="B66681" s="7"/>
    </row>
    <row r="66682" ht="15.75" customHeight="1">
      <c r="A66682" s="7"/>
      <c r="B66682" s="7"/>
    </row>
    <row r="66683" ht="15.75" customHeight="1">
      <c r="A66683" s="7"/>
      <c r="B66683" s="7"/>
    </row>
    <row r="66684" ht="15.75" customHeight="1">
      <c r="A66684" s="7"/>
      <c r="B66684" s="7"/>
    </row>
    <row r="66685" ht="15.75" customHeight="1">
      <c r="A66685" s="7"/>
      <c r="B66685" s="7"/>
    </row>
    <row r="66686" ht="15.75" customHeight="1">
      <c r="A66686" s="7"/>
      <c r="B66686" s="7"/>
    </row>
    <row r="66687" ht="15.75" customHeight="1">
      <c r="A66687" s="7"/>
      <c r="B66687" s="7"/>
    </row>
    <row r="66688" ht="15.75" customHeight="1">
      <c r="A66688" s="7"/>
      <c r="B66688" s="7"/>
    </row>
    <row r="66689" ht="15.75" customHeight="1">
      <c r="A66689" s="7"/>
      <c r="B66689" s="7"/>
    </row>
    <row r="66690" ht="15.75" customHeight="1">
      <c r="A66690" s="7"/>
      <c r="B66690" s="7"/>
    </row>
    <row r="66691" ht="15.75" customHeight="1">
      <c r="A66691" s="7"/>
      <c r="B66691" s="7"/>
    </row>
    <row r="66692" ht="15.75" customHeight="1">
      <c r="A66692" s="7"/>
      <c r="B66692" s="7"/>
    </row>
    <row r="66693" ht="15.75" customHeight="1">
      <c r="A66693" s="7"/>
      <c r="B66693" s="7"/>
    </row>
    <row r="66694" ht="15.75" customHeight="1">
      <c r="A66694" s="7"/>
      <c r="B66694" s="7"/>
    </row>
    <row r="66695" ht="15.75" customHeight="1">
      <c r="A66695" s="7"/>
      <c r="B66695" s="7"/>
    </row>
    <row r="66696" ht="15.75" customHeight="1">
      <c r="A66696" s="7"/>
      <c r="B66696" s="7"/>
    </row>
    <row r="66697" ht="15.75" customHeight="1">
      <c r="A66697" s="7"/>
      <c r="B66697" s="7"/>
    </row>
    <row r="66698" ht="15.75" customHeight="1">
      <c r="A66698" s="7"/>
      <c r="B66698" s="7"/>
    </row>
    <row r="66699" ht="15.75" customHeight="1">
      <c r="A66699" s="7"/>
      <c r="B66699" s="7"/>
    </row>
    <row r="66700" ht="15.75" customHeight="1">
      <c r="A66700" s="7"/>
      <c r="B66700" s="7"/>
    </row>
    <row r="66701" ht="15.75" customHeight="1">
      <c r="A66701" s="7"/>
      <c r="B66701" s="7"/>
    </row>
    <row r="66702" ht="15.75" customHeight="1">
      <c r="A66702" s="7"/>
      <c r="B66702" s="7"/>
    </row>
    <row r="66703" ht="15.75" customHeight="1">
      <c r="A66703" s="7"/>
      <c r="B66703" s="7"/>
    </row>
    <row r="66704" ht="15.75" customHeight="1">
      <c r="A66704" s="7"/>
      <c r="B66704" s="7"/>
    </row>
    <row r="66705" ht="15.75" customHeight="1">
      <c r="A66705" s="7"/>
      <c r="B66705" s="7"/>
    </row>
    <row r="66706" ht="15.75" customHeight="1">
      <c r="A66706" s="7"/>
      <c r="B66706" s="7"/>
    </row>
    <row r="66707" ht="15.75" customHeight="1">
      <c r="A66707" s="7"/>
      <c r="B66707" s="7"/>
    </row>
    <row r="66708" ht="15.75" customHeight="1">
      <c r="A66708" s="7"/>
      <c r="B66708" s="7"/>
    </row>
    <row r="66709" ht="15.75" customHeight="1">
      <c r="A66709" s="7"/>
      <c r="B66709" s="7"/>
    </row>
    <row r="66710" ht="15.75" customHeight="1">
      <c r="A66710" s="7"/>
      <c r="B66710" s="7"/>
    </row>
    <row r="66711" ht="15.75" customHeight="1">
      <c r="A66711" s="7"/>
      <c r="B66711" s="7"/>
    </row>
    <row r="66712" ht="15.75" customHeight="1">
      <c r="A66712" s="7"/>
      <c r="B66712" s="7"/>
    </row>
    <row r="66713" ht="15.75" customHeight="1">
      <c r="A66713" s="7"/>
      <c r="B66713" s="7"/>
    </row>
    <row r="66714" ht="15.75" customHeight="1">
      <c r="A66714" s="7"/>
      <c r="B66714" s="7"/>
    </row>
    <row r="66715" ht="15.75" customHeight="1">
      <c r="A66715" s="7"/>
      <c r="B66715" s="7"/>
    </row>
    <row r="66716" ht="15.75" customHeight="1">
      <c r="A66716" s="7"/>
      <c r="B66716" s="7"/>
    </row>
    <row r="66717" ht="15.75" customHeight="1">
      <c r="A66717" s="7"/>
      <c r="B66717" s="7"/>
    </row>
    <row r="66718" ht="15.75" customHeight="1">
      <c r="A66718" s="7"/>
      <c r="B66718" s="7"/>
    </row>
    <row r="66719" ht="15.75" customHeight="1">
      <c r="A66719" s="7"/>
      <c r="B66719" s="7"/>
    </row>
    <row r="66720" ht="15.75" customHeight="1">
      <c r="A66720" s="7"/>
      <c r="B66720" s="7"/>
    </row>
    <row r="66721" ht="15.75" customHeight="1">
      <c r="A66721" s="7"/>
      <c r="B66721" s="7"/>
    </row>
    <row r="66722" ht="15.75" customHeight="1">
      <c r="A66722" s="7"/>
      <c r="B66722" s="7"/>
    </row>
    <row r="66723" ht="15.75" customHeight="1">
      <c r="A66723" s="7"/>
      <c r="B66723" s="7"/>
    </row>
    <row r="66724" ht="15.75" customHeight="1">
      <c r="A66724" s="7"/>
      <c r="B66724" s="7"/>
    </row>
    <row r="66725" ht="15.75" customHeight="1">
      <c r="A66725" s="7"/>
      <c r="B66725" s="7"/>
    </row>
    <row r="66726" ht="15.75" customHeight="1">
      <c r="A66726" s="7"/>
      <c r="B66726" s="7"/>
    </row>
    <row r="66727" ht="15.75" customHeight="1">
      <c r="A66727" s="7"/>
      <c r="B66727" s="7"/>
    </row>
    <row r="66728" ht="15.75" customHeight="1">
      <c r="A66728" s="7"/>
      <c r="B66728" s="7"/>
    </row>
    <row r="66729" ht="15.75" customHeight="1">
      <c r="A66729" s="7"/>
      <c r="B66729" s="7"/>
    </row>
    <row r="66730" ht="15.75" customHeight="1">
      <c r="A66730" s="7"/>
      <c r="B66730" s="7"/>
    </row>
    <row r="66731" ht="15.75" customHeight="1">
      <c r="A66731" s="7"/>
      <c r="B66731" s="7"/>
    </row>
    <row r="66732" ht="15.75" customHeight="1">
      <c r="A66732" s="7"/>
      <c r="B66732" s="7"/>
    </row>
    <row r="66733" ht="15.75" customHeight="1">
      <c r="A66733" s="7"/>
      <c r="B66733" s="7"/>
    </row>
    <row r="66734" ht="15.75" customHeight="1">
      <c r="A66734" s="7"/>
      <c r="B66734" s="7"/>
    </row>
    <row r="66735" ht="15.75" customHeight="1">
      <c r="A66735" s="7"/>
      <c r="B66735" s="7"/>
    </row>
    <row r="66736" ht="15.75" customHeight="1">
      <c r="A66736" s="7"/>
      <c r="B66736" s="7"/>
    </row>
    <row r="66737" ht="15.75" customHeight="1">
      <c r="A66737" s="7"/>
      <c r="B66737" s="7"/>
    </row>
    <row r="66738" ht="15.75" customHeight="1">
      <c r="A66738" s="7"/>
      <c r="B66738" s="7"/>
    </row>
    <row r="66739" ht="15.75" customHeight="1">
      <c r="A66739" s="7"/>
      <c r="B66739" s="7"/>
    </row>
    <row r="66740" ht="15.75" customHeight="1">
      <c r="A66740" s="7"/>
      <c r="B66740" s="7"/>
    </row>
    <row r="66741" ht="15.75" customHeight="1">
      <c r="A66741" s="7"/>
      <c r="B66741" s="7"/>
    </row>
    <row r="66742" ht="15.75" customHeight="1">
      <c r="A66742" s="7"/>
      <c r="B66742" s="7"/>
    </row>
    <row r="66743" ht="15.75" customHeight="1">
      <c r="A66743" s="7"/>
      <c r="B66743" s="7"/>
    </row>
    <row r="66744" ht="15.75" customHeight="1">
      <c r="A66744" s="7"/>
      <c r="B66744" s="7"/>
    </row>
    <row r="66745" ht="15.75" customHeight="1">
      <c r="A66745" s="7"/>
      <c r="B66745" s="7"/>
    </row>
    <row r="66746" ht="15.75" customHeight="1">
      <c r="A66746" s="7"/>
      <c r="B66746" s="7"/>
    </row>
    <row r="66747" ht="15.75" customHeight="1">
      <c r="A66747" s="7"/>
      <c r="B66747" s="7"/>
    </row>
    <row r="66748" ht="15.75" customHeight="1">
      <c r="A66748" s="7"/>
      <c r="B66748" s="7"/>
    </row>
    <row r="66749" ht="15.75" customHeight="1">
      <c r="A66749" s="7"/>
      <c r="B66749" s="7"/>
    </row>
    <row r="66750" ht="15.75" customHeight="1">
      <c r="A66750" s="7"/>
      <c r="B66750" s="7"/>
    </row>
    <row r="66751" ht="15.75" customHeight="1">
      <c r="A66751" s="7"/>
      <c r="B66751" s="7"/>
    </row>
    <row r="66752" ht="15.75" customHeight="1">
      <c r="A66752" s="7"/>
      <c r="B66752" s="7"/>
    </row>
    <row r="66753" ht="15.75" customHeight="1">
      <c r="A66753" s="7"/>
      <c r="B66753" s="7"/>
    </row>
    <row r="66754" ht="15.75" customHeight="1">
      <c r="A66754" s="7"/>
      <c r="B66754" s="7"/>
    </row>
    <row r="66755" ht="15.75" customHeight="1">
      <c r="A66755" s="7"/>
      <c r="B66755" s="7"/>
    </row>
    <row r="66756" ht="15.75" customHeight="1">
      <c r="A66756" s="7"/>
      <c r="B66756" s="7"/>
    </row>
    <row r="66757" ht="15.75" customHeight="1">
      <c r="A66757" s="7"/>
      <c r="B66757" s="7"/>
    </row>
    <row r="66758" ht="15.75" customHeight="1">
      <c r="A66758" s="7"/>
      <c r="B66758" s="7"/>
    </row>
    <row r="66759" ht="15.75" customHeight="1">
      <c r="A66759" s="7"/>
      <c r="B66759" s="7"/>
    </row>
    <row r="66760" ht="15.75" customHeight="1">
      <c r="A66760" s="7"/>
      <c r="B66760" s="7"/>
    </row>
    <row r="66761" ht="15.75" customHeight="1">
      <c r="A66761" s="7"/>
      <c r="B66761" s="7"/>
    </row>
    <row r="66762" ht="15.75" customHeight="1">
      <c r="A66762" s="7"/>
      <c r="B66762" s="7"/>
    </row>
    <row r="66763" ht="15.75" customHeight="1">
      <c r="A66763" s="7"/>
      <c r="B66763" s="7"/>
    </row>
    <row r="66764" ht="15.75" customHeight="1">
      <c r="A66764" s="7"/>
      <c r="B66764" s="7"/>
    </row>
    <row r="66765" ht="15.75" customHeight="1">
      <c r="A66765" s="7"/>
      <c r="B66765" s="7"/>
    </row>
    <row r="66766" ht="15.75" customHeight="1">
      <c r="A66766" s="7"/>
      <c r="B66766" s="7"/>
    </row>
    <row r="66767" ht="15.75" customHeight="1">
      <c r="A66767" s="7"/>
      <c r="B66767" s="7"/>
    </row>
    <row r="66768" ht="15.75" customHeight="1">
      <c r="A66768" s="7"/>
      <c r="B66768" s="7"/>
    </row>
    <row r="66769" ht="15.75" customHeight="1">
      <c r="A66769" s="7"/>
      <c r="B66769" s="7"/>
    </row>
    <row r="66770" ht="15.75" customHeight="1">
      <c r="A66770" s="7"/>
      <c r="B66770" s="7"/>
    </row>
    <row r="66771" ht="15.75" customHeight="1">
      <c r="A66771" s="7"/>
      <c r="B66771" s="7"/>
    </row>
    <row r="66772" ht="15.75" customHeight="1">
      <c r="A66772" s="7"/>
      <c r="B66772" s="7"/>
    </row>
    <row r="66773" ht="15.75" customHeight="1">
      <c r="A66773" s="7"/>
      <c r="B66773" s="7"/>
    </row>
    <row r="66774" ht="15.75" customHeight="1">
      <c r="A66774" s="7"/>
      <c r="B66774" s="7"/>
    </row>
    <row r="66775" ht="15.75" customHeight="1">
      <c r="A66775" s="7"/>
      <c r="B66775" s="7"/>
    </row>
    <row r="66776" ht="15.75" customHeight="1">
      <c r="A66776" s="7"/>
      <c r="B66776" s="7"/>
    </row>
    <row r="66777" ht="15.75" customHeight="1">
      <c r="A66777" s="7"/>
      <c r="B66777" s="7"/>
    </row>
    <row r="66778" ht="15.75" customHeight="1">
      <c r="A66778" s="7"/>
      <c r="B66778" s="7"/>
    </row>
    <row r="66779" ht="15.75" customHeight="1">
      <c r="A66779" s="7"/>
      <c r="B66779" s="7"/>
    </row>
    <row r="66780" ht="15.75" customHeight="1">
      <c r="A66780" s="7"/>
      <c r="B66780" s="7"/>
    </row>
    <row r="66781" ht="15.75" customHeight="1">
      <c r="A66781" s="7"/>
      <c r="B66781" s="7"/>
    </row>
    <row r="66782" ht="15.75" customHeight="1">
      <c r="A66782" s="7"/>
      <c r="B66782" s="7"/>
    </row>
    <row r="66783" ht="15.75" customHeight="1">
      <c r="A66783" s="7"/>
      <c r="B66783" s="7"/>
    </row>
    <row r="66784" ht="15.75" customHeight="1">
      <c r="A66784" s="7"/>
      <c r="B66784" s="7"/>
    </row>
    <row r="66785" ht="15.75" customHeight="1">
      <c r="A66785" s="7"/>
      <c r="B66785" s="7"/>
    </row>
    <row r="66786" ht="15.75" customHeight="1">
      <c r="A66786" s="7"/>
      <c r="B66786" s="7"/>
    </row>
    <row r="66787" ht="15.75" customHeight="1">
      <c r="A66787" s="7"/>
      <c r="B66787" s="7"/>
    </row>
    <row r="66788" ht="15.75" customHeight="1">
      <c r="A66788" s="7"/>
      <c r="B66788" s="7"/>
    </row>
    <row r="66789" ht="15.75" customHeight="1">
      <c r="A66789" s="7"/>
      <c r="B66789" s="7"/>
    </row>
    <row r="66790" ht="15.75" customHeight="1">
      <c r="A66790" s="7"/>
      <c r="B66790" s="7"/>
    </row>
    <row r="66791" ht="15.75" customHeight="1">
      <c r="A66791" s="7"/>
      <c r="B66791" s="7"/>
    </row>
    <row r="66792" ht="15.75" customHeight="1">
      <c r="A66792" s="7"/>
      <c r="B66792" s="7"/>
    </row>
    <row r="66793" ht="15.75" customHeight="1">
      <c r="A66793" s="7"/>
      <c r="B66793" s="7"/>
    </row>
    <row r="66794" ht="15.75" customHeight="1">
      <c r="A66794" s="7"/>
      <c r="B66794" s="7"/>
    </row>
    <row r="66795" ht="15.75" customHeight="1">
      <c r="A66795" s="7"/>
      <c r="B66795" s="7"/>
    </row>
    <row r="66796" ht="15.75" customHeight="1">
      <c r="A66796" s="7"/>
      <c r="B66796" s="7"/>
    </row>
    <row r="66797" ht="15.75" customHeight="1">
      <c r="A66797" s="7"/>
      <c r="B66797" s="7"/>
    </row>
    <row r="66798" ht="15.75" customHeight="1">
      <c r="A66798" s="7"/>
      <c r="B66798" s="7"/>
    </row>
    <row r="66799" ht="15.75" customHeight="1">
      <c r="A66799" s="7"/>
      <c r="B66799" s="7"/>
    </row>
    <row r="66800" ht="15.75" customHeight="1">
      <c r="A66800" s="7"/>
      <c r="B66800" s="7"/>
    </row>
    <row r="66801" ht="15.75" customHeight="1">
      <c r="A66801" s="7"/>
      <c r="B66801" s="7"/>
    </row>
    <row r="66802" ht="15.75" customHeight="1">
      <c r="A66802" s="7"/>
      <c r="B66802" s="7"/>
    </row>
    <row r="66803" ht="15.75" customHeight="1">
      <c r="A66803" s="7"/>
      <c r="B66803" s="7"/>
    </row>
    <row r="66804" ht="15.75" customHeight="1">
      <c r="A66804" s="7"/>
      <c r="B66804" s="7"/>
    </row>
    <row r="66805" ht="15.75" customHeight="1">
      <c r="A66805" s="7"/>
      <c r="B66805" s="7"/>
    </row>
    <row r="66806" ht="15.75" customHeight="1">
      <c r="A66806" s="7"/>
      <c r="B66806" s="7"/>
    </row>
    <row r="66807" ht="15.75" customHeight="1">
      <c r="A66807" s="7"/>
      <c r="B66807" s="7"/>
    </row>
    <row r="66808" ht="15.75" customHeight="1">
      <c r="A66808" s="7"/>
      <c r="B66808" s="7"/>
    </row>
    <row r="66809" ht="15.75" customHeight="1">
      <c r="A66809" s="7"/>
      <c r="B66809" s="7"/>
    </row>
    <row r="66810" ht="15.75" customHeight="1">
      <c r="A66810" s="7"/>
      <c r="B66810" s="7"/>
    </row>
    <row r="66811" ht="15.75" customHeight="1">
      <c r="A66811" s="7"/>
      <c r="B66811" s="7"/>
    </row>
    <row r="66812" ht="15.75" customHeight="1">
      <c r="A66812" s="7"/>
      <c r="B66812" s="7"/>
    </row>
    <row r="66813" ht="15.75" customHeight="1">
      <c r="A66813" s="7"/>
      <c r="B66813" s="7"/>
    </row>
    <row r="66814" ht="15.75" customHeight="1">
      <c r="A66814" s="7"/>
      <c r="B66814" s="7"/>
    </row>
    <row r="66815" ht="15.75" customHeight="1">
      <c r="A66815" s="7"/>
      <c r="B66815" s="7"/>
    </row>
    <row r="66816" ht="15.75" customHeight="1">
      <c r="A66816" s="7"/>
      <c r="B66816" s="7"/>
    </row>
    <row r="66817" ht="15.75" customHeight="1">
      <c r="A66817" s="7"/>
      <c r="B66817" s="7"/>
    </row>
    <row r="66818" ht="15.75" customHeight="1">
      <c r="A66818" s="7"/>
      <c r="B66818" s="7"/>
    </row>
    <row r="66819" ht="15.75" customHeight="1">
      <c r="A66819" s="7"/>
      <c r="B66819" s="7"/>
    </row>
    <row r="66820" ht="15.75" customHeight="1">
      <c r="A66820" s="7"/>
      <c r="B66820" s="7"/>
    </row>
    <row r="66821" ht="15.75" customHeight="1">
      <c r="A66821" s="7"/>
      <c r="B66821" s="7"/>
    </row>
    <row r="66822" ht="15.75" customHeight="1">
      <c r="A66822" s="7"/>
      <c r="B66822" s="7"/>
    </row>
    <row r="66823" ht="15.75" customHeight="1">
      <c r="A66823" s="7"/>
      <c r="B66823" s="7"/>
    </row>
    <row r="66824" ht="15.75" customHeight="1">
      <c r="A66824" s="7"/>
      <c r="B66824" s="7"/>
    </row>
    <row r="66825" ht="15.75" customHeight="1">
      <c r="A66825" s="7"/>
      <c r="B66825" s="7"/>
    </row>
    <row r="66826" ht="15.75" customHeight="1">
      <c r="A66826" s="7"/>
      <c r="B66826" s="7"/>
    </row>
    <row r="66827" ht="15.75" customHeight="1">
      <c r="A66827" s="7"/>
      <c r="B66827" s="7"/>
    </row>
    <row r="66828" ht="15.75" customHeight="1">
      <c r="A66828" s="7"/>
      <c r="B66828" s="7"/>
    </row>
    <row r="66829" ht="15.75" customHeight="1">
      <c r="A66829" s="7"/>
      <c r="B66829" s="7"/>
    </row>
    <row r="66830" ht="15.75" customHeight="1">
      <c r="A66830" s="7"/>
      <c r="B66830" s="7"/>
    </row>
    <row r="66831" ht="15.75" customHeight="1">
      <c r="A66831" s="7"/>
      <c r="B66831" s="7"/>
    </row>
    <row r="66832" ht="15.75" customHeight="1">
      <c r="A66832" s="7"/>
      <c r="B66832" s="7"/>
    </row>
    <row r="66833" ht="15.75" customHeight="1">
      <c r="A66833" s="7"/>
      <c r="B66833" s="7"/>
    </row>
    <row r="66834" ht="15.75" customHeight="1">
      <c r="A66834" s="7"/>
      <c r="B66834" s="7"/>
    </row>
    <row r="66835" ht="15.75" customHeight="1">
      <c r="A66835" s="7"/>
      <c r="B66835" s="7"/>
    </row>
    <row r="66836" ht="15.75" customHeight="1">
      <c r="A66836" s="7"/>
      <c r="B66836" s="7"/>
    </row>
    <row r="66837" ht="15.75" customHeight="1">
      <c r="A66837" s="7"/>
      <c r="B66837" s="7"/>
    </row>
    <row r="66838" ht="15.75" customHeight="1">
      <c r="A66838" s="7"/>
      <c r="B66838" s="7"/>
    </row>
    <row r="66839" ht="15.75" customHeight="1">
      <c r="A66839" s="7"/>
      <c r="B66839" s="7"/>
    </row>
    <row r="66840" ht="15.75" customHeight="1">
      <c r="A66840" s="7"/>
      <c r="B66840" s="7"/>
    </row>
    <row r="66841" ht="15.75" customHeight="1">
      <c r="A66841" s="7"/>
      <c r="B66841" s="7"/>
    </row>
    <row r="66842" ht="15.75" customHeight="1">
      <c r="A66842" s="7"/>
      <c r="B66842" s="7"/>
    </row>
    <row r="66843" ht="15.75" customHeight="1">
      <c r="A66843" s="7"/>
      <c r="B66843" s="7"/>
    </row>
    <row r="66844" ht="15.75" customHeight="1">
      <c r="A66844" s="7"/>
      <c r="B66844" s="7"/>
    </row>
    <row r="66845" ht="15.75" customHeight="1">
      <c r="A66845" s="7"/>
      <c r="B66845" s="7"/>
    </row>
    <row r="66846" ht="15.75" customHeight="1">
      <c r="A66846" s="7"/>
      <c r="B66846" s="7"/>
    </row>
    <row r="66847" ht="15.75" customHeight="1">
      <c r="A66847" s="7"/>
      <c r="B66847" s="7"/>
    </row>
    <row r="66848" ht="15.75" customHeight="1">
      <c r="A66848" s="7"/>
      <c r="B66848" s="7"/>
    </row>
    <row r="66849" ht="15.75" customHeight="1">
      <c r="A66849" s="7"/>
      <c r="B66849" s="7"/>
    </row>
    <row r="66850" ht="15.75" customHeight="1">
      <c r="A66850" s="7"/>
      <c r="B66850" s="7"/>
    </row>
    <row r="66851" ht="15.75" customHeight="1">
      <c r="A66851" s="7"/>
      <c r="B66851" s="7"/>
    </row>
    <row r="66852" ht="15.75" customHeight="1">
      <c r="A66852" s="7"/>
      <c r="B66852" s="7"/>
    </row>
    <row r="66853" ht="15.75" customHeight="1">
      <c r="A66853" s="7"/>
      <c r="B66853" s="7"/>
    </row>
    <row r="66854" ht="15.75" customHeight="1">
      <c r="A66854" s="7"/>
      <c r="B66854" s="7"/>
    </row>
    <row r="66855" ht="15.75" customHeight="1">
      <c r="A66855" s="7"/>
      <c r="B66855" s="7"/>
    </row>
    <row r="66856" ht="15.75" customHeight="1">
      <c r="A66856" s="7"/>
      <c r="B66856" s="7"/>
    </row>
    <row r="66857" ht="15.75" customHeight="1">
      <c r="A66857" s="7"/>
      <c r="B66857" s="7"/>
    </row>
    <row r="66858" ht="15.75" customHeight="1">
      <c r="A66858" s="7"/>
      <c r="B66858" s="7"/>
    </row>
    <row r="66859" ht="15.75" customHeight="1">
      <c r="A66859" s="7"/>
      <c r="B66859" s="7"/>
    </row>
    <row r="66860" ht="15.75" customHeight="1">
      <c r="A66860" s="7"/>
      <c r="B66860" s="7"/>
    </row>
    <row r="66861" ht="15.75" customHeight="1">
      <c r="A66861" s="7"/>
      <c r="B66861" s="7"/>
    </row>
    <row r="66862" ht="15.75" customHeight="1">
      <c r="A66862" s="7"/>
      <c r="B66862" s="7"/>
    </row>
    <row r="66863" ht="15.75" customHeight="1">
      <c r="A66863" s="7"/>
      <c r="B66863" s="7"/>
    </row>
    <row r="66864" ht="15.75" customHeight="1">
      <c r="A66864" s="7"/>
      <c r="B66864" s="7"/>
    </row>
    <row r="66865" ht="15.75" customHeight="1">
      <c r="A66865" s="7"/>
      <c r="B66865" s="7"/>
    </row>
    <row r="66866" ht="15.75" customHeight="1">
      <c r="A66866" s="7"/>
      <c r="B66866" s="7"/>
    </row>
    <row r="66867" ht="15.75" customHeight="1">
      <c r="A66867" s="7"/>
      <c r="B66867" s="7"/>
    </row>
    <row r="66868" ht="15.75" customHeight="1">
      <c r="A66868" s="7"/>
      <c r="B66868" s="7"/>
    </row>
    <row r="66869" ht="15.75" customHeight="1">
      <c r="A66869" s="7"/>
      <c r="B66869" s="7"/>
    </row>
    <row r="66870" ht="15.75" customHeight="1">
      <c r="A66870" s="7"/>
      <c r="B66870" s="7"/>
    </row>
    <row r="66871" ht="15.75" customHeight="1">
      <c r="A66871" s="7"/>
      <c r="B66871" s="7"/>
    </row>
    <row r="66872" ht="15.75" customHeight="1">
      <c r="A66872" s="7"/>
      <c r="B66872" s="7"/>
    </row>
    <row r="66873" ht="15.75" customHeight="1">
      <c r="A66873" s="7"/>
      <c r="B66873" s="7"/>
    </row>
    <row r="66874" ht="15.75" customHeight="1">
      <c r="A66874" s="7"/>
      <c r="B66874" s="7"/>
    </row>
    <row r="66875" ht="15.75" customHeight="1">
      <c r="A66875" s="7"/>
      <c r="B66875" s="7"/>
    </row>
    <row r="66876" ht="15.75" customHeight="1">
      <c r="A66876" s="7"/>
      <c r="B66876" s="7"/>
    </row>
    <row r="66877" ht="15.75" customHeight="1">
      <c r="A66877" s="7"/>
      <c r="B66877" s="7"/>
    </row>
    <row r="66878" ht="15.75" customHeight="1">
      <c r="A66878" s="7"/>
      <c r="B66878" s="7"/>
    </row>
    <row r="66879" ht="15.75" customHeight="1">
      <c r="A66879" s="7"/>
      <c r="B66879" s="7"/>
    </row>
    <row r="66880" ht="15.75" customHeight="1">
      <c r="A66880" s="7"/>
      <c r="B66880" s="7"/>
    </row>
    <row r="66881" ht="15.75" customHeight="1">
      <c r="A66881" s="7"/>
      <c r="B66881" s="7"/>
    </row>
    <row r="66882" ht="15.75" customHeight="1">
      <c r="A66882" s="7"/>
      <c r="B66882" s="7"/>
    </row>
    <row r="66883" ht="15.75" customHeight="1">
      <c r="A66883" s="7"/>
      <c r="B66883" s="7"/>
    </row>
    <row r="66884" ht="15.75" customHeight="1">
      <c r="A66884" s="7"/>
      <c r="B66884" s="7"/>
    </row>
    <row r="66885" ht="15.75" customHeight="1">
      <c r="A66885" s="7"/>
      <c r="B66885" s="7"/>
    </row>
    <row r="66886" ht="15.75" customHeight="1">
      <c r="A66886" s="7"/>
      <c r="B66886" s="7"/>
    </row>
    <row r="66887" ht="15.75" customHeight="1">
      <c r="A66887" s="7"/>
      <c r="B66887" s="7"/>
    </row>
    <row r="66888" ht="15.75" customHeight="1">
      <c r="A66888" s="7"/>
      <c r="B66888" s="7"/>
    </row>
    <row r="66889" ht="15.75" customHeight="1">
      <c r="A66889" s="7"/>
      <c r="B66889" s="7"/>
    </row>
    <row r="66890" ht="15.75" customHeight="1">
      <c r="A66890" s="7"/>
      <c r="B66890" s="7"/>
    </row>
    <row r="66891" ht="15.75" customHeight="1">
      <c r="A66891" s="7"/>
      <c r="B66891" s="7"/>
    </row>
    <row r="66892" ht="15.75" customHeight="1">
      <c r="A66892" s="7"/>
      <c r="B66892" s="7"/>
    </row>
    <row r="66893" ht="15.75" customHeight="1">
      <c r="A66893" s="7"/>
      <c r="B66893" s="7"/>
    </row>
    <row r="66894" ht="15.75" customHeight="1">
      <c r="A66894" s="7"/>
      <c r="B66894" s="7"/>
    </row>
    <row r="66895" ht="15.75" customHeight="1">
      <c r="A66895" s="7"/>
      <c r="B66895" s="7"/>
    </row>
    <row r="66896" ht="15.75" customHeight="1">
      <c r="A66896" s="7"/>
      <c r="B66896" s="7"/>
    </row>
    <row r="66897" ht="15.75" customHeight="1">
      <c r="A66897" s="7"/>
      <c r="B66897" s="7"/>
    </row>
    <row r="66898" ht="15.75" customHeight="1">
      <c r="A66898" s="7"/>
      <c r="B66898" s="7"/>
    </row>
    <row r="66899" ht="15.75" customHeight="1">
      <c r="A66899" s="7"/>
      <c r="B66899" s="7"/>
    </row>
    <row r="66900" ht="15.75" customHeight="1">
      <c r="A66900" s="7"/>
      <c r="B66900" s="7"/>
    </row>
    <row r="66901" ht="15.75" customHeight="1">
      <c r="A66901" s="7"/>
      <c r="B66901" s="7"/>
    </row>
    <row r="66902" ht="15.75" customHeight="1">
      <c r="A66902" s="7"/>
      <c r="B66902" s="7"/>
    </row>
    <row r="66903" ht="15.75" customHeight="1">
      <c r="A66903" s="7"/>
      <c r="B66903" s="7"/>
    </row>
    <row r="66904" ht="15.75" customHeight="1">
      <c r="A66904" s="7"/>
      <c r="B66904" s="7"/>
    </row>
    <row r="66905" ht="15.75" customHeight="1">
      <c r="A66905" s="7"/>
      <c r="B66905" s="7"/>
    </row>
    <row r="66906" ht="15.75" customHeight="1">
      <c r="A66906" s="7"/>
      <c r="B66906" s="7"/>
    </row>
    <row r="66907" ht="15.75" customHeight="1">
      <c r="A66907" s="7"/>
      <c r="B66907" s="7"/>
    </row>
    <row r="66908" ht="15.75" customHeight="1">
      <c r="A66908" s="7"/>
      <c r="B66908" s="7"/>
    </row>
    <row r="66909" ht="15.75" customHeight="1">
      <c r="A66909" s="7"/>
      <c r="B66909" s="7"/>
    </row>
    <row r="66910" ht="15.75" customHeight="1">
      <c r="A66910" s="7"/>
      <c r="B66910" s="7"/>
    </row>
    <row r="66911" ht="15.75" customHeight="1">
      <c r="A66911" s="7"/>
      <c r="B66911" s="7"/>
    </row>
    <row r="66912" ht="15.75" customHeight="1">
      <c r="A66912" s="7"/>
      <c r="B66912" s="7"/>
    </row>
    <row r="66913" ht="15.75" customHeight="1">
      <c r="A66913" s="7"/>
      <c r="B66913" s="7"/>
    </row>
    <row r="66914" ht="15.75" customHeight="1">
      <c r="A66914" s="7"/>
      <c r="B66914" s="7"/>
    </row>
    <row r="66915" ht="15.75" customHeight="1">
      <c r="A66915" s="7"/>
      <c r="B66915" s="7"/>
    </row>
    <row r="66916" ht="15.75" customHeight="1">
      <c r="A66916" s="7"/>
      <c r="B66916" s="7"/>
    </row>
    <row r="66917" ht="15.75" customHeight="1">
      <c r="A66917" s="7"/>
      <c r="B66917" s="7"/>
    </row>
    <row r="66918" ht="15.75" customHeight="1">
      <c r="A66918" s="7"/>
      <c r="B66918" s="7"/>
    </row>
    <row r="66919" ht="15.75" customHeight="1">
      <c r="A66919" s="7"/>
      <c r="B66919" s="7"/>
    </row>
    <row r="66920" ht="15.75" customHeight="1">
      <c r="A66920" s="7"/>
      <c r="B66920" s="7"/>
    </row>
    <row r="66921" ht="15.75" customHeight="1">
      <c r="A66921" s="7"/>
      <c r="B66921" s="7"/>
    </row>
    <row r="66922" ht="15.75" customHeight="1">
      <c r="A66922" s="7"/>
      <c r="B66922" s="7"/>
    </row>
    <row r="66923" ht="15.75" customHeight="1">
      <c r="A66923" s="7"/>
      <c r="B66923" s="7"/>
    </row>
    <row r="66924" ht="15.75" customHeight="1">
      <c r="A66924" s="7"/>
      <c r="B66924" s="7"/>
    </row>
    <row r="66925" ht="15.75" customHeight="1">
      <c r="A66925" s="7"/>
      <c r="B66925" s="7"/>
    </row>
    <row r="66926" ht="15.75" customHeight="1">
      <c r="A66926" s="7"/>
      <c r="B66926" s="7"/>
    </row>
    <row r="66927" ht="15.75" customHeight="1">
      <c r="A66927" s="7"/>
      <c r="B66927" s="7"/>
    </row>
    <row r="66928" ht="15.75" customHeight="1">
      <c r="A66928" s="7"/>
      <c r="B66928" s="7"/>
    </row>
    <row r="66929" ht="15.75" customHeight="1">
      <c r="A66929" s="7"/>
      <c r="B66929" s="7"/>
    </row>
    <row r="66930" ht="15.75" customHeight="1">
      <c r="A66930" s="7"/>
      <c r="B66930" s="7"/>
    </row>
    <row r="66931" ht="15.75" customHeight="1">
      <c r="A66931" s="7"/>
      <c r="B66931" s="7"/>
    </row>
    <row r="66932" ht="15.75" customHeight="1">
      <c r="A66932" s="7"/>
      <c r="B66932" s="7"/>
    </row>
    <row r="66933" ht="15.75" customHeight="1">
      <c r="A66933" s="7"/>
      <c r="B66933" s="7"/>
    </row>
    <row r="66934" ht="15.75" customHeight="1">
      <c r="A66934" s="7"/>
      <c r="B66934" s="7"/>
    </row>
    <row r="66935" ht="15.75" customHeight="1">
      <c r="A66935" s="7"/>
      <c r="B66935" s="7"/>
    </row>
    <row r="66936" ht="15.75" customHeight="1">
      <c r="A66936" s="7"/>
      <c r="B66936" s="7"/>
    </row>
    <row r="66937" ht="15.75" customHeight="1">
      <c r="A66937" s="7"/>
      <c r="B66937" s="7"/>
    </row>
    <row r="66938" ht="15.75" customHeight="1">
      <c r="A66938" s="7"/>
      <c r="B66938" s="7"/>
    </row>
    <row r="66939" ht="15.75" customHeight="1">
      <c r="A66939" s="7"/>
      <c r="B66939" s="7"/>
    </row>
    <row r="66940" ht="15.75" customHeight="1">
      <c r="A66940" s="7"/>
      <c r="B66940" s="7"/>
    </row>
    <row r="66941" ht="15.75" customHeight="1">
      <c r="A66941" s="7"/>
      <c r="B66941" s="7"/>
    </row>
    <row r="66942" ht="15.75" customHeight="1">
      <c r="A66942" s="7"/>
      <c r="B66942" s="7"/>
    </row>
    <row r="66943" ht="15.75" customHeight="1">
      <c r="A66943" s="7"/>
      <c r="B66943" s="7"/>
    </row>
    <row r="66944" ht="15.75" customHeight="1">
      <c r="A66944" s="7"/>
      <c r="B66944" s="7"/>
    </row>
    <row r="66945" ht="15.75" customHeight="1">
      <c r="A66945" s="7"/>
      <c r="B66945" s="7"/>
    </row>
    <row r="66946" ht="15.75" customHeight="1">
      <c r="A66946" s="7"/>
      <c r="B66946" s="7"/>
    </row>
    <row r="66947" ht="15.75" customHeight="1">
      <c r="A66947" s="7"/>
      <c r="B66947" s="7"/>
    </row>
    <row r="66948" ht="15.75" customHeight="1">
      <c r="A66948" s="7"/>
      <c r="B66948" s="7"/>
    </row>
    <row r="66949" ht="15.75" customHeight="1">
      <c r="A66949" s="7"/>
      <c r="B66949" s="7"/>
    </row>
    <row r="66950" ht="15.75" customHeight="1">
      <c r="A66950" s="7"/>
      <c r="B66950" s="7"/>
    </row>
    <row r="66951" ht="15.75" customHeight="1">
      <c r="A66951" s="7"/>
      <c r="B66951" s="7"/>
    </row>
    <row r="66952" ht="15.75" customHeight="1">
      <c r="A66952" s="7"/>
      <c r="B66952" s="7"/>
    </row>
    <row r="66953" ht="15.75" customHeight="1">
      <c r="A66953" s="7"/>
      <c r="B66953" s="7"/>
    </row>
    <row r="66954" ht="15.75" customHeight="1">
      <c r="A66954" s="7"/>
      <c r="B66954" s="7"/>
    </row>
    <row r="66955" ht="15.75" customHeight="1">
      <c r="A66955" s="7"/>
      <c r="B66955" s="7"/>
    </row>
    <row r="66956" ht="15.75" customHeight="1">
      <c r="A66956" s="7"/>
      <c r="B66956" s="7"/>
    </row>
    <row r="66957" ht="15.75" customHeight="1">
      <c r="A66957" s="7"/>
      <c r="B66957" s="7"/>
    </row>
    <row r="66958" ht="15.75" customHeight="1">
      <c r="A66958" s="7"/>
      <c r="B66958" s="7"/>
    </row>
    <row r="66959" ht="15.75" customHeight="1">
      <c r="A66959" s="7"/>
      <c r="B66959" s="7"/>
    </row>
    <row r="66960" ht="15.75" customHeight="1">
      <c r="A66960" s="7"/>
      <c r="B66960" s="7"/>
    </row>
    <row r="66961" ht="15.75" customHeight="1">
      <c r="A66961" s="7"/>
      <c r="B66961" s="7"/>
    </row>
    <row r="66962" ht="15.75" customHeight="1">
      <c r="A66962" s="7"/>
      <c r="B66962" s="7"/>
    </row>
    <row r="66963" ht="15.75" customHeight="1">
      <c r="A66963" s="7"/>
      <c r="B66963" s="7"/>
    </row>
    <row r="66964" ht="15.75" customHeight="1">
      <c r="A66964" s="7"/>
      <c r="B66964" s="7"/>
    </row>
    <row r="66965" ht="15.75" customHeight="1">
      <c r="A66965" s="7"/>
      <c r="B66965" s="7"/>
    </row>
    <row r="66966" ht="15.75" customHeight="1">
      <c r="A66966" s="7"/>
      <c r="B66966" s="7"/>
    </row>
    <row r="66967" ht="15.75" customHeight="1">
      <c r="A66967" s="7"/>
      <c r="B66967" s="7"/>
    </row>
    <row r="66968" ht="15.75" customHeight="1">
      <c r="A66968" s="7"/>
      <c r="B66968" s="7"/>
    </row>
    <row r="66969" ht="15.75" customHeight="1">
      <c r="A66969" s="7"/>
      <c r="B66969" s="7"/>
    </row>
    <row r="66970" ht="15.75" customHeight="1">
      <c r="A66970" s="7"/>
      <c r="B66970" s="7"/>
    </row>
    <row r="66971" ht="15.75" customHeight="1">
      <c r="A66971" s="7"/>
      <c r="B66971" s="7"/>
    </row>
    <row r="66972" ht="15.75" customHeight="1">
      <c r="A66972" s="7"/>
      <c r="B66972" s="7"/>
    </row>
    <row r="66973" ht="15.75" customHeight="1">
      <c r="A66973" s="7"/>
      <c r="B66973" s="7"/>
    </row>
    <row r="66974" ht="15.75" customHeight="1">
      <c r="A66974" s="7"/>
      <c r="B66974" s="7"/>
    </row>
    <row r="66975" ht="15.75" customHeight="1">
      <c r="A66975" s="7"/>
      <c r="B66975" s="7"/>
    </row>
    <row r="66976" ht="15.75" customHeight="1">
      <c r="A66976" s="7"/>
      <c r="B66976" s="7"/>
    </row>
    <row r="66977" ht="15.75" customHeight="1">
      <c r="A66977" s="7"/>
      <c r="B66977" s="7"/>
    </row>
    <row r="66978" ht="15.75" customHeight="1">
      <c r="A66978" s="7"/>
      <c r="B66978" s="7"/>
    </row>
    <row r="66979" ht="15.75" customHeight="1">
      <c r="A66979" s="7"/>
      <c r="B66979" s="7"/>
    </row>
    <row r="66980" ht="15.75" customHeight="1">
      <c r="A66980" s="7"/>
      <c r="B66980" s="7"/>
    </row>
    <row r="66981" ht="15.75" customHeight="1">
      <c r="A66981" s="7"/>
      <c r="B66981" s="7"/>
    </row>
    <row r="66982" ht="15.75" customHeight="1">
      <c r="A66982" s="7"/>
      <c r="B66982" s="7"/>
    </row>
    <row r="66983" ht="15.75" customHeight="1">
      <c r="A66983" s="7"/>
      <c r="B66983" s="7"/>
    </row>
    <row r="66984" ht="15.75" customHeight="1">
      <c r="A66984" s="7"/>
      <c r="B66984" s="7"/>
    </row>
    <row r="66985" ht="15.75" customHeight="1">
      <c r="A66985" s="7"/>
      <c r="B66985" s="7"/>
    </row>
    <row r="66986" ht="15.75" customHeight="1">
      <c r="A66986" s="7"/>
      <c r="B66986" s="7"/>
    </row>
    <row r="66987" ht="15.75" customHeight="1">
      <c r="A66987" s="7"/>
      <c r="B66987" s="7"/>
    </row>
    <row r="66988" ht="15.75" customHeight="1">
      <c r="A66988" s="7"/>
      <c r="B66988" s="7"/>
    </row>
    <row r="66989" ht="15.75" customHeight="1">
      <c r="A66989" s="7"/>
      <c r="B66989" s="7"/>
    </row>
    <row r="66990" ht="15.75" customHeight="1">
      <c r="A66990" s="7"/>
      <c r="B66990" s="7"/>
    </row>
    <row r="66991" ht="15.75" customHeight="1">
      <c r="A66991" s="7"/>
      <c r="B66991" s="7"/>
    </row>
    <row r="66992" ht="15.75" customHeight="1">
      <c r="A66992" s="7"/>
      <c r="B66992" s="7"/>
    </row>
    <row r="66993" ht="15.75" customHeight="1">
      <c r="A66993" s="7"/>
      <c r="B66993" s="7"/>
    </row>
    <row r="66994" ht="15.75" customHeight="1">
      <c r="A66994" s="7"/>
      <c r="B66994" s="7"/>
    </row>
    <row r="66995" ht="15.75" customHeight="1">
      <c r="A66995" s="7"/>
      <c r="B66995" s="7"/>
    </row>
    <row r="66996" ht="15.75" customHeight="1">
      <c r="A66996" s="7"/>
      <c r="B66996" s="7"/>
    </row>
    <row r="66997" ht="15.75" customHeight="1">
      <c r="A66997" s="7"/>
      <c r="B66997" s="7"/>
    </row>
    <row r="66998" ht="15.75" customHeight="1">
      <c r="A66998" s="7"/>
      <c r="B66998" s="7"/>
    </row>
    <row r="66999" ht="15.75" customHeight="1">
      <c r="A66999" s="7"/>
      <c r="B66999" s="7"/>
    </row>
    <row r="67000" ht="15.75" customHeight="1">
      <c r="A67000" s="7"/>
      <c r="B67000" s="7"/>
    </row>
    <row r="67001" ht="15.75" customHeight="1">
      <c r="A67001" s="7"/>
      <c r="B67001" s="7"/>
    </row>
    <row r="67002" ht="15.75" customHeight="1">
      <c r="A67002" s="7"/>
      <c r="B67002" s="7"/>
    </row>
    <row r="67003" ht="15.75" customHeight="1">
      <c r="A67003" s="7"/>
      <c r="B67003" s="7"/>
    </row>
    <row r="67004" ht="15.75" customHeight="1">
      <c r="A67004" s="7"/>
      <c r="B67004" s="7"/>
    </row>
    <row r="67005" ht="15.75" customHeight="1">
      <c r="A67005" s="7"/>
      <c r="B67005" s="7"/>
    </row>
    <row r="67006" ht="15.75" customHeight="1">
      <c r="A67006" s="7"/>
      <c r="B67006" s="7"/>
    </row>
    <row r="67007" ht="15.75" customHeight="1">
      <c r="A67007" s="7"/>
      <c r="B67007" s="7"/>
    </row>
    <row r="67008" ht="15.75" customHeight="1">
      <c r="A67008" s="7"/>
      <c r="B67008" s="7"/>
    </row>
    <row r="67009" ht="15.75" customHeight="1">
      <c r="A67009" s="7"/>
      <c r="B67009" s="7"/>
    </row>
    <row r="67010" ht="15.75" customHeight="1">
      <c r="A67010" s="7"/>
      <c r="B67010" s="7"/>
    </row>
    <row r="67011" ht="15.75" customHeight="1">
      <c r="A67011" s="7"/>
      <c r="B67011" s="7"/>
    </row>
    <row r="67012" ht="15.75" customHeight="1">
      <c r="A67012" s="7"/>
      <c r="B67012" s="7"/>
    </row>
    <row r="67013" ht="15.75" customHeight="1">
      <c r="A67013" s="7"/>
      <c r="B67013" s="7"/>
    </row>
    <row r="67014" ht="15.75" customHeight="1">
      <c r="A67014" s="7"/>
      <c r="B67014" s="7"/>
    </row>
    <row r="67015" ht="15.75" customHeight="1">
      <c r="A67015" s="7"/>
      <c r="B67015" s="7"/>
    </row>
    <row r="67016" ht="15.75" customHeight="1">
      <c r="A67016" s="7"/>
      <c r="B67016" s="7"/>
    </row>
    <row r="67017" ht="15.75" customHeight="1">
      <c r="A67017" s="7"/>
      <c r="B67017" s="7"/>
    </row>
    <row r="67018" ht="15.75" customHeight="1">
      <c r="A67018" s="7"/>
      <c r="B67018" s="7"/>
    </row>
    <row r="67019" ht="15.75" customHeight="1">
      <c r="A67019" s="7"/>
      <c r="B67019" s="7"/>
    </row>
    <row r="67020" ht="15.75" customHeight="1">
      <c r="A67020" s="7"/>
      <c r="B67020" s="7"/>
    </row>
    <row r="67021" ht="15.75" customHeight="1">
      <c r="A67021" s="7"/>
      <c r="B67021" s="7"/>
    </row>
    <row r="67022" ht="15.75" customHeight="1">
      <c r="A67022" s="7"/>
      <c r="B67022" s="7"/>
    </row>
    <row r="67023" ht="15.75" customHeight="1">
      <c r="A67023" s="7"/>
      <c r="B67023" s="7"/>
    </row>
    <row r="67024" ht="15.75" customHeight="1">
      <c r="A67024" s="7"/>
      <c r="B67024" s="7"/>
    </row>
    <row r="67025" ht="15.75" customHeight="1">
      <c r="A67025" s="7"/>
      <c r="B67025" s="7"/>
    </row>
    <row r="67026" ht="15.75" customHeight="1">
      <c r="A67026" s="7"/>
      <c r="B67026" s="7"/>
    </row>
    <row r="67027" ht="15.75" customHeight="1">
      <c r="A67027" s="7"/>
      <c r="B67027" s="7"/>
    </row>
    <row r="67028" ht="15.75" customHeight="1">
      <c r="A67028" s="7"/>
      <c r="B67028" s="7"/>
    </row>
    <row r="67029" ht="15.75" customHeight="1">
      <c r="A67029" s="7"/>
      <c r="B67029" s="7"/>
    </row>
    <row r="67030" ht="15.75" customHeight="1">
      <c r="A67030" s="7"/>
      <c r="B67030" s="7"/>
    </row>
    <row r="67031" ht="15.75" customHeight="1">
      <c r="A67031" s="7"/>
      <c r="B67031" s="7"/>
    </row>
    <row r="67032" ht="15.75" customHeight="1">
      <c r="A67032" s="7"/>
      <c r="B67032" s="7"/>
    </row>
    <row r="67033" ht="15.75" customHeight="1">
      <c r="A67033" s="7"/>
      <c r="B67033" s="7"/>
    </row>
    <row r="67034" ht="15.75" customHeight="1">
      <c r="A67034" s="7"/>
      <c r="B67034" s="7"/>
    </row>
    <row r="67035" ht="15.75" customHeight="1">
      <c r="A67035" s="7"/>
      <c r="B67035" s="7"/>
    </row>
    <row r="67036" ht="15.75" customHeight="1">
      <c r="A67036" s="7"/>
      <c r="B67036" s="7"/>
    </row>
    <row r="67037" ht="15.75" customHeight="1">
      <c r="A67037" s="7"/>
      <c r="B67037" s="7"/>
    </row>
    <row r="67038" ht="15.75" customHeight="1">
      <c r="A67038" s="7"/>
      <c r="B67038" s="7"/>
    </row>
    <row r="67039" ht="15.75" customHeight="1">
      <c r="A67039" s="7"/>
      <c r="B67039" s="7"/>
    </row>
    <row r="67040" ht="15.75" customHeight="1">
      <c r="A67040" s="7"/>
      <c r="B67040" s="7"/>
    </row>
    <row r="67041" ht="15.75" customHeight="1">
      <c r="A67041" s="7"/>
      <c r="B67041" s="7"/>
    </row>
    <row r="67042" ht="15.75" customHeight="1">
      <c r="A67042" s="7"/>
      <c r="B67042" s="7"/>
    </row>
    <row r="67043" ht="15.75" customHeight="1">
      <c r="A67043" s="7"/>
      <c r="B67043" s="7"/>
    </row>
    <row r="67044" ht="15.75" customHeight="1">
      <c r="A67044" s="7"/>
      <c r="B67044" s="7"/>
    </row>
    <row r="67045" ht="15.75" customHeight="1">
      <c r="A67045" s="7"/>
      <c r="B67045" s="7"/>
    </row>
    <row r="67046" ht="15.75" customHeight="1">
      <c r="A67046" s="7"/>
      <c r="B67046" s="7"/>
    </row>
    <row r="67047" ht="15.75" customHeight="1">
      <c r="A67047" s="7"/>
      <c r="B67047" s="7"/>
    </row>
    <row r="67048" ht="15.75" customHeight="1">
      <c r="A67048" s="7"/>
      <c r="B67048" s="7"/>
    </row>
    <row r="67049" ht="15.75" customHeight="1">
      <c r="A67049" s="7"/>
      <c r="B67049" s="7"/>
    </row>
    <row r="67050" ht="15.75" customHeight="1">
      <c r="A67050" s="7"/>
      <c r="B67050" s="7"/>
    </row>
    <row r="67051" ht="15.75" customHeight="1">
      <c r="A67051" s="7"/>
      <c r="B67051" s="7"/>
    </row>
    <row r="67052" ht="15.75" customHeight="1">
      <c r="A67052" s="7"/>
      <c r="B67052" s="7"/>
    </row>
    <row r="67053" ht="15.75" customHeight="1">
      <c r="A67053" s="7"/>
      <c r="B67053" s="7"/>
    </row>
    <row r="67054" ht="15.75" customHeight="1">
      <c r="A67054" s="7"/>
      <c r="B67054" s="7"/>
    </row>
    <row r="67055" ht="15.75" customHeight="1">
      <c r="A67055" s="7"/>
      <c r="B67055" s="7"/>
    </row>
    <row r="67056" ht="15.75" customHeight="1">
      <c r="A67056" s="7"/>
      <c r="B67056" s="7"/>
    </row>
    <row r="67057" ht="15.75" customHeight="1">
      <c r="A67057" s="7"/>
      <c r="B67057" s="7"/>
    </row>
    <row r="67058" ht="15.75" customHeight="1">
      <c r="A67058" s="7"/>
      <c r="B67058" s="7"/>
    </row>
    <row r="67059" ht="15.75" customHeight="1">
      <c r="A67059" s="7"/>
      <c r="B67059" s="7"/>
    </row>
    <row r="67060" ht="15.75" customHeight="1">
      <c r="A67060" s="7"/>
      <c r="B67060" s="7"/>
    </row>
    <row r="67061" ht="15.75" customHeight="1">
      <c r="A67061" s="7"/>
      <c r="B67061" s="7"/>
    </row>
    <row r="67062" ht="15.75" customHeight="1">
      <c r="A67062" s="7"/>
      <c r="B67062" s="7"/>
    </row>
    <row r="67063" ht="15.75" customHeight="1">
      <c r="A67063" s="7"/>
      <c r="B67063" s="7"/>
    </row>
    <row r="67064" ht="15.75" customHeight="1">
      <c r="A67064" s="7"/>
      <c r="B67064" s="7"/>
    </row>
    <row r="67065" ht="15.75" customHeight="1">
      <c r="A67065" s="7"/>
      <c r="B67065" s="7"/>
    </row>
    <row r="67066" ht="15.75" customHeight="1">
      <c r="A67066" s="7"/>
      <c r="B67066" s="7"/>
    </row>
    <row r="67067" ht="15.75" customHeight="1">
      <c r="A67067" s="7"/>
      <c r="B67067" s="7"/>
    </row>
    <row r="67068" ht="15.75" customHeight="1">
      <c r="A67068" s="7"/>
      <c r="B67068" s="7"/>
    </row>
    <row r="67069" ht="15.75" customHeight="1">
      <c r="A67069" s="7"/>
      <c r="B67069" s="7"/>
    </row>
    <row r="67070" ht="15.75" customHeight="1">
      <c r="A67070" s="7"/>
      <c r="B67070" s="7"/>
    </row>
    <row r="67071" ht="15.75" customHeight="1">
      <c r="A67071" s="7"/>
      <c r="B67071" s="7"/>
    </row>
    <row r="67072" ht="15.75" customHeight="1">
      <c r="A67072" s="7"/>
      <c r="B67072" s="7"/>
    </row>
    <row r="67073" ht="15.75" customHeight="1">
      <c r="A67073" s="7"/>
      <c r="B67073" s="7"/>
    </row>
    <row r="67074" ht="15.75" customHeight="1">
      <c r="A67074" s="7"/>
      <c r="B67074" s="7"/>
    </row>
    <row r="67075" ht="15.75" customHeight="1">
      <c r="A67075" s="7"/>
      <c r="B67075" s="7"/>
    </row>
    <row r="67076" ht="15.75" customHeight="1">
      <c r="A67076" s="7"/>
      <c r="B67076" s="7"/>
    </row>
    <row r="67077" ht="15.75" customHeight="1">
      <c r="A67077" s="7"/>
      <c r="B67077" s="7"/>
    </row>
    <row r="67078" ht="15.75" customHeight="1">
      <c r="A67078" s="7"/>
      <c r="B67078" s="7"/>
    </row>
    <row r="67079" ht="15.75" customHeight="1">
      <c r="A67079" s="7"/>
      <c r="B67079" s="7"/>
    </row>
    <row r="67080" ht="15.75" customHeight="1">
      <c r="A67080" s="7"/>
      <c r="B67080" s="7"/>
    </row>
    <row r="67081" ht="15.75" customHeight="1">
      <c r="A67081" s="7"/>
      <c r="B67081" s="7"/>
    </row>
    <row r="67082" ht="15.75" customHeight="1">
      <c r="A67082" s="7"/>
      <c r="B67082" s="7"/>
    </row>
    <row r="67083" ht="15.75" customHeight="1">
      <c r="A67083" s="7"/>
      <c r="B67083" s="7"/>
    </row>
    <row r="67084" ht="15.75" customHeight="1">
      <c r="A67084" s="7"/>
      <c r="B67084" s="7"/>
    </row>
    <row r="67085" ht="15.75" customHeight="1">
      <c r="A67085" s="7"/>
      <c r="B67085" s="7"/>
    </row>
    <row r="67086" ht="15.75" customHeight="1">
      <c r="A67086" s="7"/>
      <c r="B67086" s="7"/>
    </row>
    <row r="67087" ht="15.75" customHeight="1">
      <c r="A67087" s="7"/>
      <c r="B67087" s="7"/>
    </row>
    <row r="67088" ht="15.75" customHeight="1">
      <c r="A67088" s="7"/>
      <c r="B67088" s="7"/>
    </row>
    <row r="67089" ht="15.75" customHeight="1">
      <c r="A67089" s="7"/>
      <c r="B67089" s="7"/>
    </row>
    <row r="67090" ht="15.75" customHeight="1">
      <c r="A67090" s="7"/>
      <c r="B67090" s="7"/>
    </row>
    <row r="67091" ht="15.75" customHeight="1">
      <c r="A67091" s="7"/>
      <c r="B67091" s="7"/>
    </row>
    <row r="67092" ht="15.75" customHeight="1">
      <c r="A67092" s="7"/>
      <c r="B67092" s="7"/>
    </row>
    <row r="67093" ht="15.75" customHeight="1">
      <c r="A67093" s="7"/>
      <c r="B67093" s="7"/>
    </row>
    <row r="67094" ht="15.75" customHeight="1">
      <c r="A67094" s="7"/>
      <c r="B67094" s="7"/>
    </row>
    <row r="67095" ht="15.75" customHeight="1">
      <c r="A67095" s="7"/>
      <c r="B67095" s="7"/>
    </row>
    <row r="67096" ht="15.75" customHeight="1">
      <c r="A67096" s="7"/>
      <c r="B67096" s="7"/>
    </row>
    <row r="67097" ht="15.75" customHeight="1">
      <c r="A67097" s="7"/>
      <c r="B67097" s="7"/>
    </row>
    <row r="67098" ht="15.75" customHeight="1">
      <c r="A67098" s="7"/>
      <c r="B67098" s="7"/>
    </row>
    <row r="67099" ht="15.75" customHeight="1">
      <c r="A67099" s="7"/>
      <c r="B67099" s="7"/>
    </row>
    <row r="67100" ht="15.75" customHeight="1">
      <c r="A67100" s="7"/>
      <c r="B67100" s="7"/>
    </row>
    <row r="67101" ht="15.75" customHeight="1">
      <c r="A67101" s="7"/>
      <c r="B67101" s="7"/>
    </row>
    <row r="67102" ht="15.75" customHeight="1">
      <c r="A67102" s="7"/>
      <c r="B67102" s="7"/>
    </row>
    <row r="67103" ht="15.75" customHeight="1">
      <c r="A67103" s="7"/>
      <c r="B67103" s="7"/>
    </row>
    <row r="67104" ht="15.75" customHeight="1">
      <c r="A67104" s="7"/>
      <c r="B67104" s="7"/>
    </row>
    <row r="67105" ht="15.75" customHeight="1">
      <c r="A67105" s="7"/>
      <c r="B67105" s="7"/>
    </row>
    <row r="67106" ht="15.75" customHeight="1">
      <c r="A67106" s="7"/>
      <c r="B67106" s="7"/>
    </row>
    <row r="67107" ht="15.75" customHeight="1">
      <c r="A67107" s="7"/>
      <c r="B67107" s="7"/>
    </row>
    <row r="67108" ht="15.75" customHeight="1">
      <c r="A67108" s="7"/>
      <c r="B67108" s="7"/>
    </row>
    <row r="67109" ht="15.75" customHeight="1">
      <c r="A67109" s="7"/>
      <c r="B67109" s="7"/>
    </row>
    <row r="67110" ht="15.75" customHeight="1">
      <c r="A67110" s="7"/>
      <c r="B67110" s="7"/>
    </row>
    <row r="67111" ht="15.75" customHeight="1">
      <c r="A67111" s="7"/>
      <c r="B67111" s="7"/>
    </row>
    <row r="67112" ht="15.75" customHeight="1">
      <c r="A67112" s="7"/>
      <c r="B67112" s="7"/>
    </row>
    <row r="67113" ht="15.75" customHeight="1">
      <c r="A67113" s="7"/>
      <c r="B67113" s="7"/>
    </row>
    <row r="67114" ht="15.75" customHeight="1">
      <c r="A67114" s="7"/>
      <c r="B67114" s="7"/>
    </row>
    <row r="67115" ht="15.75" customHeight="1">
      <c r="A67115" s="7"/>
      <c r="B67115" s="7"/>
    </row>
    <row r="67116" ht="15.75" customHeight="1">
      <c r="A67116" s="7"/>
      <c r="B67116" s="7"/>
    </row>
    <row r="67117" ht="15.75" customHeight="1">
      <c r="A67117" s="7"/>
      <c r="B67117" s="7"/>
    </row>
    <row r="67118" ht="15.75" customHeight="1">
      <c r="A67118" s="7"/>
      <c r="B67118" s="7"/>
    </row>
    <row r="67119" ht="15.75" customHeight="1">
      <c r="A67119" s="7"/>
      <c r="B67119" s="7"/>
    </row>
    <row r="67120" ht="15.75" customHeight="1">
      <c r="A67120" s="7"/>
      <c r="B67120" s="7"/>
    </row>
    <row r="67121" ht="15.75" customHeight="1">
      <c r="A67121" s="7"/>
      <c r="B67121" s="7"/>
    </row>
    <row r="67122" ht="15.75" customHeight="1">
      <c r="A67122" s="7"/>
      <c r="B67122" s="7"/>
    </row>
    <row r="67123" ht="15.75" customHeight="1">
      <c r="A67123" s="7"/>
      <c r="B67123" s="7"/>
    </row>
    <row r="67124" ht="15.75" customHeight="1">
      <c r="A67124" s="7"/>
      <c r="B67124" s="7"/>
    </row>
    <row r="67125" ht="15.75" customHeight="1">
      <c r="A67125" s="7"/>
      <c r="B67125" s="7"/>
    </row>
    <row r="67126" ht="15.75" customHeight="1">
      <c r="A67126" s="7"/>
      <c r="B67126" s="7"/>
    </row>
    <row r="67127" ht="15.75" customHeight="1">
      <c r="A67127" s="7"/>
      <c r="B67127" s="7"/>
    </row>
    <row r="67128" ht="15.75" customHeight="1">
      <c r="A67128" s="7"/>
      <c r="B67128" s="7"/>
    </row>
    <row r="67129" ht="15.75" customHeight="1">
      <c r="A67129" s="7"/>
      <c r="B67129" s="7"/>
    </row>
    <row r="67130" ht="15.75" customHeight="1">
      <c r="A67130" s="7"/>
      <c r="B67130" s="7"/>
    </row>
    <row r="67131" ht="15.75" customHeight="1">
      <c r="A67131" s="7"/>
      <c r="B67131" s="7"/>
    </row>
    <row r="67132" ht="15.75" customHeight="1">
      <c r="A67132" s="7"/>
      <c r="B67132" s="7"/>
    </row>
    <row r="67133" ht="15.75" customHeight="1">
      <c r="A67133" s="7"/>
      <c r="B67133" s="7"/>
    </row>
    <row r="67134" ht="15.75" customHeight="1">
      <c r="A67134" s="7"/>
      <c r="B67134" s="7"/>
    </row>
    <row r="67135" ht="15.75" customHeight="1">
      <c r="A67135" s="7"/>
      <c r="B67135" s="7"/>
    </row>
    <row r="67136" ht="15.75" customHeight="1">
      <c r="A67136" s="7"/>
      <c r="B67136" s="7"/>
    </row>
    <row r="67137" ht="15.75" customHeight="1">
      <c r="A67137" s="7"/>
      <c r="B67137" s="7"/>
    </row>
    <row r="67138" ht="15.75" customHeight="1">
      <c r="A67138" s="7"/>
      <c r="B67138" s="7"/>
    </row>
    <row r="67139" ht="15.75" customHeight="1">
      <c r="A67139" s="7"/>
      <c r="B67139" s="7"/>
    </row>
    <row r="67140" ht="15.75" customHeight="1">
      <c r="A67140" s="7"/>
      <c r="B67140" s="7"/>
    </row>
    <row r="67141" ht="15.75" customHeight="1">
      <c r="A67141" s="7"/>
      <c r="B67141" s="7"/>
    </row>
    <row r="67142" ht="15.75" customHeight="1">
      <c r="A67142" s="7"/>
      <c r="B67142" s="7"/>
    </row>
    <row r="67143" ht="15.75" customHeight="1">
      <c r="A67143" s="7"/>
      <c r="B67143" s="7"/>
    </row>
    <row r="67144" ht="15.75" customHeight="1">
      <c r="A67144" s="7"/>
      <c r="B67144" s="7"/>
    </row>
    <row r="67145" ht="15.75" customHeight="1">
      <c r="A67145" s="7"/>
      <c r="B67145" s="7"/>
    </row>
    <row r="67146" ht="15.75" customHeight="1">
      <c r="A67146" s="7"/>
      <c r="B67146" s="7"/>
    </row>
    <row r="67147" ht="15.75" customHeight="1">
      <c r="A67147" s="7"/>
      <c r="B67147" s="7"/>
    </row>
    <row r="67148" ht="15.75" customHeight="1">
      <c r="A67148" s="7"/>
      <c r="B67148" s="7"/>
    </row>
    <row r="67149" ht="15.75" customHeight="1">
      <c r="A67149" s="7"/>
      <c r="B67149" s="7"/>
    </row>
    <row r="67150" ht="15.75" customHeight="1">
      <c r="A67150" s="7"/>
      <c r="B67150" s="7"/>
    </row>
    <row r="67151" ht="15.75" customHeight="1">
      <c r="A67151" s="7"/>
      <c r="B67151" s="7"/>
    </row>
    <row r="67152" ht="15.75" customHeight="1">
      <c r="A67152" s="7"/>
      <c r="B67152" s="7"/>
    </row>
    <row r="67153" ht="15.75" customHeight="1">
      <c r="A67153" s="7"/>
      <c r="B67153" s="7"/>
    </row>
    <row r="67154" ht="15.75" customHeight="1">
      <c r="A67154" s="7"/>
      <c r="B67154" s="7"/>
    </row>
    <row r="67155" ht="15.75" customHeight="1">
      <c r="A67155" s="7"/>
      <c r="B67155" s="7"/>
    </row>
    <row r="67156" ht="15.75" customHeight="1">
      <c r="A67156" s="7"/>
      <c r="B67156" s="7"/>
    </row>
    <row r="67157" ht="15.75" customHeight="1">
      <c r="A67157" s="7"/>
      <c r="B67157" s="7"/>
    </row>
    <row r="67158" ht="15.75" customHeight="1">
      <c r="A67158" s="7"/>
      <c r="B67158" s="7"/>
    </row>
    <row r="67159" ht="15.75" customHeight="1">
      <c r="A67159" s="7"/>
      <c r="B67159" s="7"/>
    </row>
    <row r="67160" ht="15.75" customHeight="1">
      <c r="A67160" s="7"/>
      <c r="B67160" s="7"/>
    </row>
    <row r="67161" ht="15.75" customHeight="1">
      <c r="A67161" s="7"/>
      <c r="B67161" s="7"/>
    </row>
    <row r="67162" ht="15.75" customHeight="1">
      <c r="A67162" s="7"/>
      <c r="B67162" s="7"/>
    </row>
    <row r="67163" ht="15.75" customHeight="1">
      <c r="A67163" s="7"/>
      <c r="B67163" s="7"/>
    </row>
    <row r="67164" ht="15.75" customHeight="1">
      <c r="A67164" s="7"/>
      <c r="B67164" s="7"/>
    </row>
    <row r="67165" ht="15.75" customHeight="1">
      <c r="A67165" s="7"/>
      <c r="B67165" s="7"/>
    </row>
    <row r="67166" ht="15.75" customHeight="1">
      <c r="A67166" s="7"/>
      <c r="B67166" s="7"/>
    </row>
    <row r="67167" ht="15.75" customHeight="1">
      <c r="A67167" s="7"/>
      <c r="B67167" s="7"/>
    </row>
    <row r="67168" ht="15.75" customHeight="1">
      <c r="A67168" s="7"/>
      <c r="B67168" s="7"/>
    </row>
    <row r="67169" ht="15.75" customHeight="1">
      <c r="A67169" s="7"/>
      <c r="B67169" s="7"/>
    </row>
    <row r="67170" ht="15.75" customHeight="1">
      <c r="A67170" s="7"/>
      <c r="B67170" s="7"/>
    </row>
    <row r="67171" ht="15.75" customHeight="1">
      <c r="A67171" s="7"/>
      <c r="B67171" s="7"/>
    </row>
    <row r="67172" ht="15.75" customHeight="1">
      <c r="A67172" s="7"/>
      <c r="B67172" s="7"/>
    </row>
    <row r="67173" ht="15.75" customHeight="1">
      <c r="A67173" s="7"/>
      <c r="B67173" s="7"/>
    </row>
    <row r="67174" ht="15.75" customHeight="1">
      <c r="A67174" s="7"/>
      <c r="B67174" s="7"/>
    </row>
    <row r="67175" ht="15.75" customHeight="1">
      <c r="A67175" s="7"/>
      <c r="B67175" s="7"/>
    </row>
    <row r="67176" ht="15.75" customHeight="1">
      <c r="A67176" s="7"/>
      <c r="B67176" s="7"/>
    </row>
    <row r="67177" ht="15.75" customHeight="1">
      <c r="A67177" s="7"/>
      <c r="B67177" s="7"/>
    </row>
    <row r="67178" ht="15.75" customHeight="1">
      <c r="A67178" s="7"/>
      <c r="B67178" s="7"/>
    </row>
    <row r="67179" ht="15.75" customHeight="1">
      <c r="A67179" s="7"/>
      <c r="B67179" s="7"/>
    </row>
    <row r="67180" ht="15.75" customHeight="1">
      <c r="A67180" s="7"/>
      <c r="B67180" s="7"/>
    </row>
    <row r="67181" ht="15.75" customHeight="1">
      <c r="A67181" s="7"/>
      <c r="B67181" s="7"/>
    </row>
    <row r="67182" ht="15.75" customHeight="1">
      <c r="A67182" s="7"/>
      <c r="B67182" s="7"/>
    </row>
    <row r="67183" ht="15.75" customHeight="1">
      <c r="A67183" s="7"/>
      <c r="B67183" s="7"/>
    </row>
    <row r="67184" ht="15.75" customHeight="1">
      <c r="A67184" s="7"/>
      <c r="B67184" s="7"/>
    </row>
    <row r="67185" ht="15.75" customHeight="1">
      <c r="A67185" s="7"/>
      <c r="B67185" s="7"/>
    </row>
    <row r="67186" ht="15.75" customHeight="1">
      <c r="A67186" s="7"/>
      <c r="B67186" s="7"/>
    </row>
    <row r="67187" ht="15.75" customHeight="1">
      <c r="A67187" s="7"/>
      <c r="B67187" s="7"/>
    </row>
    <row r="67188" ht="15.75" customHeight="1">
      <c r="A67188" s="7"/>
      <c r="B67188" s="7"/>
    </row>
    <row r="67189" ht="15.75" customHeight="1">
      <c r="A67189" s="7"/>
      <c r="B67189" s="7"/>
    </row>
    <row r="67190" ht="15.75" customHeight="1">
      <c r="A67190" s="7"/>
      <c r="B67190" s="7"/>
    </row>
    <row r="67191" ht="15.75" customHeight="1">
      <c r="A67191" s="7"/>
      <c r="B67191" s="7"/>
    </row>
    <row r="67192" ht="15.75" customHeight="1">
      <c r="A67192" s="7"/>
      <c r="B67192" s="7"/>
    </row>
    <row r="67193" ht="15.75" customHeight="1">
      <c r="A67193" s="7"/>
      <c r="B67193" s="7"/>
    </row>
    <row r="67194" ht="15.75" customHeight="1">
      <c r="A67194" s="7"/>
      <c r="B67194" s="7"/>
    </row>
    <row r="67195" ht="15.75" customHeight="1">
      <c r="A67195" s="7"/>
      <c r="B67195" s="7"/>
    </row>
    <row r="67196" ht="15.75" customHeight="1">
      <c r="A67196" s="7"/>
      <c r="B67196" s="7"/>
    </row>
    <row r="67197" ht="15.75" customHeight="1">
      <c r="A67197" s="7"/>
      <c r="B67197" s="7"/>
    </row>
    <row r="67198" ht="15.75" customHeight="1">
      <c r="A67198" s="7"/>
      <c r="B67198" s="7"/>
    </row>
    <row r="67199" ht="15.75" customHeight="1">
      <c r="A67199" s="7"/>
      <c r="B67199" s="7"/>
    </row>
    <row r="67200" ht="15.75" customHeight="1">
      <c r="A67200" s="7"/>
      <c r="B67200" s="7"/>
    </row>
    <row r="67201" ht="15.75" customHeight="1">
      <c r="A67201" s="7"/>
      <c r="B67201" s="7"/>
    </row>
    <row r="67202" ht="15.75" customHeight="1">
      <c r="A67202" s="7"/>
      <c r="B67202" s="7"/>
    </row>
    <row r="67203" ht="15.75" customHeight="1">
      <c r="A67203" s="7"/>
      <c r="B67203" s="7"/>
    </row>
    <row r="67204" ht="15.75" customHeight="1">
      <c r="A67204" s="7"/>
      <c r="B67204" s="7"/>
    </row>
    <row r="67205" ht="15.75" customHeight="1">
      <c r="A67205" s="7"/>
      <c r="B67205" s="7"/>
    </row>
    <row r="67206" ht="15.75" customHeight="1">
      <c r="A67206" s="7"/>
      <c r="B67206" s="7"/>
    </row>
    <row r="67207" ht="15.75" customHeight="1">
      <c r="A67207" s="7"/>
      <c r="B67207" s="7"/>
    </row>
    <row r="67208" ht="15.75" customHeight="1">
      <c r="A67208" s="7"/>
      <c r="B67208" s="7"/>
    </row>
    <row r="67209" ht="15.75" customHeight="1">
      <c r="A67209" s="7"/>
      <c r="B67209" s="7"/>
    </row>
    <row r="67210" ht="15.75" customHeight="1">
      <c r="A67210" s="7"/>
      <c r="B67210" s="7"/>
    </row>
    <row r="67211" ht="15.75" customHeight="1">
      <c r="A67211" s="7"/>
      <c r="B67211" s="7"/>
    </row>
    <row r="67212" ht="15.75" customHeight="1">
      <c r="A67212" s="7"/>
      <c r="B67212" s="7"/>
    </row>
    <row r="67213" ht="15.75" customHeight="1">
      <c r="A67213" s="7"/>
      <c r="B67213" s="7"/>
    </row>
    <row r="67214" ht="15.75" customHeight="1">
      <c r="A67214" s="7"/>
      <c r="B67214" s="7"/>
    </row>
    <row r="67215" ht="15.75" customHeight="1">
      <c r="A67215" s="7"/>
      <c r="B67215" s="7"/>
    </row>
    <row r="67216" ht="15.75" customHeight="1">
      <c r="A67216" s="7"/>
      <c r="B67216" s="7"/>
    </row>
    <row r="67217" ht="15.75" customHeight="1">
      <c r="A67217" s="7"/>
      <c r="B67217" s="7"/>
    </row>
    <row r="67218" ht="15.75" customHeight="1">
      <c r="A67218" s="7"/>
      <c r="B67218" s="7"/>
    </row>
    <row r="67219" ht="15.75" customHeight="1">
      <c r="A67219" s="7"/>
      <c r="B67219" s="7"/>
    </row>
    <row r="67220" ht="15.75" customHeight="1">
      <c r="A67220" s="7"/>
      <c r="B67220" s="7"/>
    </row>
    <row r="67221" ht="15.75" customHeight="1">
      <c r="A67221" s="7"/>
      <c r="B67221" s="7"/>
    </row>
    <row r="67222" ht="15.75" customHeight="1">
      <c r="A67222" s="7"/>
      <c r="B67222" s="7"/>
    </row>
    <row r="67223" ht="15.75" customHeight="1">
      <c r="A67223" s="7"/>
      <c r="B67223" s="7"/>
    </row>
    <row r="67224" ht="15.75" customHeight="1">
      <c r="A67224" s="7"/>
      <c r="B67224" s="7"/>
    </row>
    <row r="67225" ht="15.75" customHeight="1">
      <c r="A67225" s="7"/>
      <c r="B67225" s="7"/>
    </row>
    <row r="67226" ht="15.75" customHeight="1">
      <c r="A67226" s="7"/>
      <c r="B67226" s="7"/>
    </row>
    <row r="67227" ht="15.75" customHeight="1">
      <c r="A67227" s="7"/>
      <c r="B67227" s="7"/>
    </row>
    <row r="67228" ht="15.75" customHeight="1">
      <c r="A67228" s="7"/>
      <c r="B67228" s="7"/>
    </row>
    <row r="67229" ht="15.75" customHeight="1">
      <c r="A67229" s="7"/>
      <c r="B67229" s="7"/>
    </row>
    <row r="67230" ht="15.75" customHeight="1">
      <c r="A67230" s="7"/>
      <c r="B67230" s="7"/>
    </row>
    <row r="67231" ht="15.75" customHeight="1">
      <c r="A67231" s="7"/>
      <c r="B67231" s="7"/>
    </row>
    <row r="67232" ht="15.75" customHeight="1">
      <c r="A67232" s="7"/>
      <c r="B67232" s="7"/>
    </row>
    <row r="67233" ht="15.75" customHeight="1">
      <c r="A67233" s="7"/>
      <c r="B67233" s="7"/>
    </row>
    <row r="67234" ht="15.75" customHeight="1">
      <c r="A67234" s="7"/>
      <c r="B67234" s="7"/>
    </row>
    <row r="67235" ht="15.75" customHeight="1">
      <c r="A67235" s="7"/>
      <c r="B67235" s="7"/>
    </row>
    <row r="67236" ht="15.75" customHeight="1">
      <c r="A67236" s="7"/>
      <c r="B67236" s="7"/>
    </row>
    <row r="67237" ht="15.75" customHeight="1">
      <c r="A67237" s="7"/>
      <c r="B67237" s="7"/>
    </row>
    <row r="67238" ht="15.75" customHeight="1">
      <c r="A67238" s="7"/>
      <c r="B67238" s="7"/>
    </row>
    <row r="67239" ht="15.75" customHeight="1">
      <c r="A67239" s="7"/>
      <c r="B67239" s="7"/>
    </row>
    <row r="67240" ht="15.75" customHeight="1">
      <c r="A67240" s="7"/>
      <c r="B67240" s="7"/>
    </row>
    <row r="67241" ht="15.75" customHeight="1">
      <c r="A67241" s="7"/>
      <c r="B67241" s="7"/>
    </row>
    <row r="67242" ht="15.75" customHeight="1">
      <c r="A67242" s="7"/>
      <c r="B67242" s="7"/>
    </row>
    <row r="67243" ht="15.75" customHeight="1">
      <c r="A67243" s="7"/>
      <c r="B67243" s="7"/>
    </row>
    <row r="67244" ht="15.75" customHeight="1">
      <c r="A67244" s="7"/>
      <c r="B67244" s="7"/>
    </row>
    <row r="67245" ht="15.75" customHeight="1">
      <c r="A67245" s="7"/>
      <c r="B67245" s="7"/>
    </row>
    <row r="67246" ht="15.75" customHeight="1">
      <c r="A67246" s="7"/>
      <c r="B67246" s="7"/>
    </row>
    <row r="67247" ht="15.75" customHeight="1">
      <c r="A67247" s="7"/>
      <c r="B67247" s="7"/>
    </row>
    <row r="67248" ht="15.75" customHeight="1">
      <c r="A67248" s="7"/>
      <c r="B67248" s="7"/>
    </row>
    <row r="67249" ht="15.75" customHeight="1">
      <c r="A67249" s="7"/>
      <c r="B67249" s="7"/>
    </row>
    <row r="67250" ht="15.75" customHeight="1">
      <c r="A67250" s="7"/>
      <c r="B67250" s="7"/>
    </row>
    <row r="67251" ht="15.75" customHeight="1">
      <c r="A67251" s="7"/>
      <c r="B67251" s="7"/>
    </row>
    <row r="67252" ht="15.75" customHeight="1">
      <c r="A67252" s="7"/>
      <c r="B67252" s="7"/>
    </row>
    <row r="67253" ht="15.75" customHeight="1">
      <c r="A67253" s="7"/>
      <c r="B67253" s="7"/>
    </row>
    <row r="67254" ht="15.75" customHeight="1">
      <c r="A67254" s="7"/>
      <c r="B67254" s="7"/>
    </row>
    <row r="67255" ht="15.75" customHeight="1">
      <c r="A67255" s="7"/>
      <c r="B67255" s="7"/>
    </row>
    <row r="67256" ht="15.75" customHeight="1">
      <c r="A67256" s="7"/>
      <c r="B67256" s="7"/>
    </row>
    <row r="67257" ht="15.75" customHeight="1">
      <c r="A67257" s="7"/>
      <c r="B67257" s="7"/>
    </row>
    <row r="67258" ht="15.75" customHeight="1">
      <c r="A67258" s="7"/>
      <c r="B67258" s="7"/>
    </row>
    <row r="67259" ht="15.75" customHeight="1">
      <c r="A67259" s="7"/>
      <c r="B67259" s="7"/>
    </row>
    <row r="67260" ht="15.75" customHeight="1">
      <c r="A67260" s="7"/>
      <c r="B67260" s="7"/>
    </row>
    <row r="67261" ht="15.75" customHeight="1">
      <c r="A67261" s="7"/>
      <c r="B67261" s="7"/>
    </row>
    <row r="67262" ht="15.75" customHeight="1">
      <c r="A67262" s="7"/>
      <c r="B67262" s="7"/>
    </row>
    <row r="67263" ht="15.75" customHeight="1">
      <c r="A67263" s="7"/>
      <c r="B67263" s="7"/>
    </row>
    <row r="67264" ht="15.75" customHeight="1">
      <c r="A67264" s="7"/>
      <c r="B67264" s="7"/>
    </row>
    <row r="67265" ht="15.75" customHeight="1">
      <c r="A67265" s="7"/>
      <c r="B67265" s="7"/>
    </row>
    <row r="67266" ht="15.75" customHeight="1">
      <c r="A67266" s="7"/>
      <c r="B67266" s="7"/>
    </row>
    <row r="67267" ht="15.75" customHeight="1">
      <c r="A67267" s="7"/>
      <c r="B67267" s="7"/>
    </row>
    <row r="67268" ht="15.75" customHeight="1">
      <c r="A67268" s="7"/>
      <c r="B67268" s="7"/>
    </row>
    <row r="67269" ht="15.75" customHeight="1">
      <c r="A67269" s="7"/>
      <c r="B67269" s="7"/>
    </row>
    <row r="67270" ht="15.75" customHeight="1">
      <c r="A67270" s="7"/>
      <c r="B67270" s="7"/>
    </row>
    <row r="67271" ht="15.75" customHeight="1">
      <c r="A67271" s="7"/>
      <c r="B67271" s="7"/>
    </row>
    <row r="67272" ht="15.75" customHeight="1">
      <c r="A67272" s="7"/>
      <c r="B67272" s="7"/>
    </row>
    <row r="67273" ht="15.75" customHeight="1">
      <c r="A67273" s="7"/>
      <c r="B67273" s="7"/>
    </row>
    <row r="67274" ht="15.75" customHeight="1">
      <c r="A67274" s="7"/>
      <c r="B67274" s="7"/>
    </row>
    <row r="67275" ht="15.75" customHeight="1">
      <c r="A67275" s="7"/>
      <c r="B67275" s="7"/>
    </row>
    <row r="67276" ht="15.75" customHeight="1">
      <c r="A67276" s="7"/>
      <c r="B67276" s="7"/>
    </row>
    <row r="67277" ht="15.75" customHeight="1">
      <c r="A67277" s="7"/>
      <c r="B67277" s="7"/>
    </row>
    <row r="67278" ht="15.75" customHeight="1">
      <c r="A67278" s="7"/>
      <c r="B67278" s="7"/>
    </row>
    <row r="67279" ht="15.75" customHeight="1">
      <c r="A67279" s="7"/>
      <c r="B67279" s="7"/>
    </row>
    <row r="67280" ht="15.75" customHeight="1">
      <c r="A67280" s="7"/>
      <c r="B67280" s="7"/>
    </row>
    <row r="67281" ht="15.75" customHeight="1">
      <c r="A67281" s="7"/>
      <c r="B67281" s="7"/>
    </row>
    <row r="67282" ht="15.75" customHeight="1">
      <c r="A67282" s="7"/>
      <c r="B67282" s="7"/>
    </row>
    <row r="67283" ht="15.75" customHeight="1">
      <c r="A67283" s="7"/>
      <c r="B67283" s="7"/>
    </row>
    <row r="67284" ht="15.75" customHeight="1">
      <c r="A67284" s="7"/>
      <c r="B67284" s="7"/>
    </row>
    <row r="67285" ht="15.75" customHeight="1">
      <c r="A67285" s="7"/>
      <c r="B67285" s="7"/>
    </row>
    <row r="67286" ht="15.75" customHeight="1">
      <c r="A67286" s="7"/>
      <c r="B67286" s="7"/>
    </row>
    <row r="67287" ht="15.75" customHeight="1">
      <c r="A67287" s="7"/>
      <c r="B67287" s="7"/>
    </row>
    <row r="67288" ht="15.75" customHeight="1">
      <c r="A67288" s="7"/>
      <c r="B67288" s="7"/>
    </row>
    <row r="67289" ht="15.75" customHeight="1">
      <c r="A67289" s="7"/>
      <c r="B67289" s="7"/>
    </row>
    <row r="67290" ht="15.75" customHeight="1">
      <c r="A67290" s="7"/>
      <c r="B67290" s="7"/>
    </row>
    <row r="67291" ht="15.75" customHeight="1">
      <c r="A67291" s="7"/>
      <c r="B67291" s="7"/>
    </row>
    <row r="67292" ht="15.75" customHeight="1">
      <c r="A67292" s="7"/>
      <c r="B67292" s="7"/>
    </row>
    <row r="67293" ht="15.75" customHeight="1">
      <c r="A67293" s="7"/>
      <c r="B67293" s="7"/>
    </row>
    <row r="67294" ht="15.75" customHeight="1">
      <c r="A67294" s="7"/>
      <c r="B67294" s="7"/>
    </row>
    <row r="67295" ht="15.75" customHeight="1">
      <c r="A67295" s="7"/>
      <c r="B67295" s="7"/>
    </row>
    <row r="67296" ht="15.75" customHeight="1">
      <c r="A67296" s="7"/>
      <c r="B67296" s="7"/>
    </row>
    <row r="67297" ht="15.75" customHeight="1">
      <c r="A67297" s="7"/>
      <c r="B67297" s="7"/>
    </row>
    <row r="67298" ht="15.75" customHeight="1">
      <c r="A67298" s="7"/>
      <c r="B67298" s="7"/>
    </row>
    <row r="67299" ht="15.75" customHeight="1">
      <c r="A67299" s="7"/>
      <c r="B67299" s="7"/>
    </row>
    <row r="67300" ht="15.75" customHeight="1">
      <c r="A67300" s="7"/>
      <c r="B67300" s="7"/>
    </row>
    <row r="67301" ht="15.75" customHeight="1">
      <c r="A67301" s="7"/>
      <c r="B67301" s="7"/>
    </row>
    <row r="67302" ht="15.75" customHeight="1">
      <c r="A67302" s="7"/>
      <c r="B67302" s="7"/>
    </row>
    <row r="67303" ht="15.75" customHeight="1">
      <c r="A67303" s="7"/>
      <c r="B67303" s="7"/>
    </row>
    <row r="67304" ht="15.75" customHeight="1">
      <c r="A67304" s="7"/>
      <c r="B67304" s="7"/>
    </row>
    <row r="67305" ht="15.75" customHeight="1">
      <c r="A67305" s="7"/>
      <c r="B67305" s="7"/>
    </row>
    <row r="67306" ht="15.75" customHeight="1">
      <c r="A67306" s="7"/>
      <c r="B67306" s="7"/>
    </row>
    <row r="67307" ht="15.75" customHeight="1">
      <c r="A67307" s="7"/>
      <c r="B67307" s="7"/>
    </row>
    <row r="67308" ht="15.75" customHeight="1">
      <c r="A67308" s="7"/>
      <c r="B67308" s="7"/>
    </row>
    <row r="67309" ht="15.75" customHeight="1">
      <c r="A67309" s="7"/>
      <c r="B67309" s="7"/>
    </row>
    <row r="67310" ht="15.75" customHeight="1">
      <c r="A67310" s="7"/>
      <c r="B67310" s="7"/>
    </row>
    <row r="67311" ht="15.75" customHeight="1">
      <c r="A67311" s="7"/>
      <c r="B67311" s="7"/>
    </row>
    <row r="67312" ht="15.75" customHeight="1">
      <c r="A67312" s="7"/>
      <c r="B67312" s="7"/>
    </row>
    <row r="67313" ht="15.75" customHeight="1">
      <c r="A67313" s="7"/>
      <c r="B67313" s="7"/>
    </row>
    <row r="67314" ht="15.75" customHeight="1">
      <c r="A67314" s="7"/>
      <c r="B67314" s="7"/>
    </row>
    <row r="67315" ht="15.75" customHeight="1">
      <c r="A67315" s="7"/>
      <c r="B67315" s="7"/>
    </row>
    <row r="67316" ht="15.75" customHeight="1">
      <c r="A67316" s="7"/>
      <c r="B67316" s="7"/>
    </row>
    <row r="67317" ht="15.75" customHeight="1">
      <c r="A67317" s="7"/>
      <c r="B67317" s="7"/>
    </row>
    <row r="67318" ht="15.75" customHeight="1">
      <c r="A67318" s="7"/>
      <c r="B67318" s="7"/>
    </row>
    <row r="67319" ht="15.75" customHeight="1">
      <c r="A67319" s="7"/>
      <c r="B67319" s="7"/>
    </row>
    <row r="67320" ht="15.75" customHeight="1">
      <c r="A67320" s="7"/>
      <c r="B67320" s="7"/>
    </row>
    <row r="67321" ht="15.75" customHeight="1">
      <c r="A67321" s="7"/>
      <c r="B67321" s="7"/>
    </row>
    <row r="67322" ht="15.75" customHeight="1">
      <c r="A67322" s="7"/>
      <c r="B67322" s="7"/>
    </row>
    <row r="67323" ht="15.75" customHeight="1">
      <c r="A67323" s="7"/>
      <c r="B67323" s="7"/>
    </row>
    <row r="67324" ht="15.75" customHeight="1">
      <c r="A67324" s="7"/>
      <c r="B67324" s="7"/>
    </row>
    <row r="67325" ht="15.75" customHeight="1">
      <c r="A67325" s="7"/>
      <c r="B67325" s="7"/>
    </row>
    <row r="67326" ht="15.75" customHeight="1">
      <c r="A67326" s="7"/>
      <c r="B67326" s="7"/>
    </row>
    <row r="67327" ht="15.75" customHeight="1">
      <c r="A67327" s="7"/>
      <c r="B67327" s="7"/>
    </row>
    <row r="67328" ht="15.75" customHeight="1">
      <c r="A67328" s="7"/>
      <c r="B67328" s="7"/>
    </row>
    <row r="67329" ht="15.75" customHeight="1">
      <c r="A67329" s="7"/>
      <c r="B67329" s="7"/>
    </row>
    <row r="67330" ht="15.75" customHeight="1">
      <c r="A67330" s="7"/>
      <c r="B67330" s="7"/>
    </row>
    <row r="67331" ht="15.75" customHeight="1">
      <c r="A67331" s="7"/>
      <c r="B67331" s="7"/>
    </row>
    <row r="67332" ht="15.75" customHeight="1">
      <c r="A67332" s="7"/>
      <c r="B67332" s="7"/>
    </row>
    <row r="67333" ht="15.75" customHeight="1">
      <c r="A67333" s="7"/>
      <c r="B67333" s="7"/>
    </row>
    <row r="67334" ht="15.75" customHeight="1">
      <c r="A67334" s="7"/>
      <c r="B67334" s="7"/>
    </row>
    <row r="67335" ht="15.75" customHeight="1">
      <c r="A67335" s="7"/>
      <c r="B67335" s="7"/>
    </row>
    <row r="67336" ht="15.75" customHeight="1">
      <c r="A67336" s="7"/>
      <c r="B67336" s="7"/>
    </row>
    <row r="67337" ht="15.75" customHeight="1">
      <c r="A67337" s="7"/>
      <c r="B67337" s="7"/>
    </row>
    <row r="67338" ht="15.75" customHeight="1">
      <c r="A67338" s="7"/>
      <c r="B67338" s="7"/>
    </row>
    <row r="67339" ht="15.75" customHeight="1">
      <c r="A67339" s="7"/>
      <c r="B67339" s="7"/>
    </row>
    <row r="67340" ht="15.75" customHeight="1">
      <c r="A67340" s="7"/>
      <c r="B67340" s="7"/>
    </row>
    <row r="67341" ht="15.75" customHeight="1">
      <c r="A67341" s="7"/>
      <c r="B67341" s="7"/>
    </row>
    <row r="67342" ht="15.75" customHeight="1">
      <c r="A67342" s="7"/>
      <c r="B67342" s="7"/>
    </row>
    <row r="67343" ht="15.75" customHeight="1">
      <c r="A67343" s="7"/>
      <c r="B67343" s="7"/>
    </row>
    <row r="67344" ht="15.75" customHeight="1">
      <c r="A67344" s="7"/>
      <c r="B67344" s="7"/>
    </row>
    <row r="67345" ht="15.75" customHeight="1">
      <c r="A67345" s="7"/>
      <c r="B67345" s="7"/>
    </row>
    <row r="67346" ht="15.75" customHeight="1">
      <c r="A67346" s="7"/>
      <c r="B67346" s="7"/>
    </row>
    <row r="67347" ht="15.75" customHeight="1">
      <c r="A67347" s="7"/>
      <c r="B67347" s="7"/>
    </row>
    <row r="67348" ht="15.75" customHeight="1">
      <c r="A67348" s="7"/>
      <c r="B67348" s="7"/>
    </row>
    <row r="67349" ht="15.75" customHeight="1">
      <c r="A67349" s="7"/>
      <c r="B67349" s="7"/>
    </row>
    <row r="67350" ht="15.75" customHeight="1">
      <c r="A67350" s="7"/>
      <c r="B67350" s="7"/>
    </row>
    <row r="67351" ht="15.75" customHeight="1">
      <c r="A67351" s="7"/>
      <c r="B67351" s="7"/>
    </row>
    <row r="67352" ht="15.75" customHeight="1">
      <c r="A67352" s="7"/>
      <c r="B67352" s="7"/>
    </row>
    <row r="67353" ht="15.75" customHeight="1">
      <c r="A67353" s="7"/>
      <c r="B67353" s="7"/>
    </row>
    <row r="67354" ht="15.75" customHeight="1">
      <c r="A67354" s="7"/>
      <c r="B67354" s="7"/>
    </row>
    <row r="67355" ht="15.75" customHeight="1">
      <c r="A67355" s="7"/>
      <c r="B67355" s="7"/>
    </row>
    <row r="67356" ht="15.75" customHeight="1">
      <c r="A67356" s="7"/>
      <c r="B67356" s="7"/>
    </row>
    <row r="67357" ht="15.75" customHeight="1">
      <c r="A67357" s="7"/>
      <c r="B67357" s="7"/>
    </row>
    <row r="67358" ht="15.75" customHeight="1">
      <c r="A67358" s="7"/>
      <c r="B67358" s="7"/>
    </row>
    <row r="67359" ht="15.75" customHeight="1">
      <c r="A67359" s="7"/>
      <c r="B67359" s="7"/>
    </row>
    <row r="67360" ht="15.75" customHeight="1">
      <c r="A67360" s="7"/>
      <c r="B67360" s="7"/>
    </row>
    <row r="67361" ht="15.75" customHeight="1">
      <c r="A67361" s="7"/>
      <c r="B67361" s="7"/>
    </row>
    <row r="67362" ht="15.75" customHeight="1">
      <c r="A67362" s="7"/>
      <c r="B67362" s="7"/>
    </row>
    <row r="67363" ht="15.75" customHeight="1">
      <c r="A67363" s="7"/>
      <c r="B67363" s="7"/>
    </row>
    <row r="67364" ht="15.75" customHeight="1">
      <c r="A67364" s="7"/>
      <c r="B67364" s="7"/>
    </row>
    <row r="67365" ht="15.75" customHeight="1">
      <c r="A67365" s="7"/>
      <c r="B67365" s="7"/>
    </row>
    <row r="67366" ht="15.75" customHeight="1">
      <c r="A67366" s="7"/>
      <c r="B67366" s="7"/>
    </row>
    <row r="67367" ht="15.75" customHeight="1">
      <c r="A67367" s="7"/>
      <c r="B67367" s="7"/>
    </row>
    <row r="67368" ht="15.75" customHeight="1">
      <c r="A67368" s="7"/>
      <c r="B67368" s="7"/>
    </row>
    <row r="67369" ht="15.75" customHeight="1">
      <c r="A67369" s="7"/>
      <c r="B67369" s="7"/>
    </row>
    <row r="67370" ht="15.75" customHeight="1">
      <c r="A67370" s="7"/>
      <c r="B67370" s="7"/>
    </row>
    <row r="67371" ht="15.75" customHeight="1">
      <c r="A67371" s="7"/>
      <c r="B67371" s="7"/>
    </row>
    <row r="67372" ht="15.75" customHeight="1">
      <c r="A67372" s="7"/>
      <c r="B67372" s="7"/>
    </row>
    <row r="67373" ht="15.75" customHeight="1">
      <c r="A67373" s="7"/>
      <c r="B67373" s="7"/>
    </row>
    <row r="67374" ht="15.75" customHeight="1">
      <c r="A67374" s="7"/>
      <c r="B67374" s="7"/>
    </row>
    <row r="67375" ht="15.75" customHeight="1">
      <c r="A67375" s="7"/>
      <c r="B67375" s="7"/>
    </row>
    <row r="67376" ht="15.75" customHeight="1">
      <c r="A67376" s="7"/>
      <c r="B67376" s="7"/>
    </row>
    <row r="67377" ht="15.75" customHeight="1">
      <c r="A67377" s="7"/>
      <c r="B67377" s="7"/>
    </row>
    <row r="67378" ht="15.75" customHeight="1">
      <c r="A67378" s="7"/>
      <c r="B67378" s="7"/>
    </row>
    <row r="67379" ht="15.75" customHeight="1">
      <c r="A67379" s="7"/>
      <c r="B67379" s="7"/>
    </row>
    <row r="67380" ht="15.75" customHeight="1">
      <c r="A67380" s="7"/>
      <c r="B67380" s="7"/>
    </row>
    <row r="67381" ht="15.75" customHeight="1">
      <c r="A67381" s="7"/>
      <c r="B67381" s="7"/>
    </row>
    <row r="67382" ht="15.75" customHeight="1">
      <c r="A67382" s="7"/>
      <c r="B67382" s="7"/>
    </row>
    <row r="67383" ht="15.75" customHeight="1">
      <c r="A67383" s="7"/>
      <c r="B67383" s="7"/>
    </row>
    <row r="67384" ht="15.75" customHeight="1">
      <c r="A67384" s="7"/>
      <c r="B67384" s="7"/>
    </row>
    <row r="67385" ht="15.75" customHeight="1">
      <c r="A67385" s="7"/>
      <c r="B67385" s="7"/>
    </row>
    <row r="67386" ht="15.75" customHeight="1">
      <c r="A67386" s="7"/>
      <c r="B67386" s="7"/>
    </row>
    <row r="67387" ht="15.75" customHeight="1">
      <c r="A67387" s="7"/>
      <c r="B67387" s="7"/>
    </row>
    <row r="67388" ht="15.75" customHeight="1">
      <c r="A67388" s="7"/>
      <c r="B67388" s="7"/>
    </row>
    <row r="67389" ht="15.75" customHeight="1">
      <c r="A67389" s="7"/>
      <c r="B67389" s="7"/>
    </row>
    <row r="67390" ht="15.75" customHeight="1">
      <c r="A67390" s="7"/>
      <c r="B67390" s="7"/>
    </row>
    <row r="67391" ht="15.75" customHeight="1">
      <c r="A67391" s="7"/>
      <c r="B67391" s="7"/>
    </row>
    <row r="67392" ht="15.75" customHeight="1">
      <c r="A67392" s="7"/>
      <c r="B67392" s="7"/>
    </row>
    <row r="67393" ht="15.75" customHeight="1">
      <c r="A67393" s="7"/>
      <c r="B67393" s="7"/>
    </row>
    <row r="67394" ht="15.75" customHeight="1">
      <c r="A67394" s="7"/>
      <c r="B67394" s="7"/>
    </row>
    <row r="67395" ht="15.75" customHeight="1">
      <c r="A67395" s="7"/>
      <c r="B67395" s="7"/>
    </row>
    <row r="67396" ht="15.75" customHeight="1">
      <c r="A67396" s="7"/>
      <c r="B67396" s="7"/>
    </row>
    <row r="67397" ht="15.75" customHeight="1">
      <c r="A67397" s="7"/>
      <c r="B67397" s="7"/>
    </row>
    <row r="67398" ht="15.75" customHeight="1">
      <c r="A67398" s="7"/>
      <c r="B67398" s="7"/>
    </row>
    <row r="67399" ht="15.75" customHeight="1">
      <c r="A67399" s="7"/>
      <c r="B67399" s="7"/>
    </row>
    <row r="67400" ht="15.75" customHeight="1">
      <c r="A67400" s="7"/>
      <c r="B67400" s="7"/>
    </row>
    <row r="67401" ht="15.75" customHeight="1">
      <c r="A67401" s="7"/>
      <c r="B67401" s="7"/>
    </row>
    <row r="67402" ht="15.75" customHeight="1">
      <c r="A67402" s="7"/>
      <c r="B67402" s="7"/>
    </row>
    <row r="67403" ht="15.75" customHeight="1">
      <c r="A67403" s="7"/>
      <c r="B67403" s="7"/>
    </row>
    <row r="67404" ht="15.75" customHeight="1">
      <c r="A67404" s="7"/>
      <c r="B67404" s="7"/>
    </row>
    <row r="67405" ht="15.75" customHeight="1">
      <c r="A67405" s="7"/>
      <c r="B67405" s="7"/>
    </row>
    <row r="67406" ht="15.75" customHeight="1">
      <c r="A67406" s="7"/>
      <c r="B67406" s="7"/>
    </row>
    <row r="67407" ht="15.75" customHeight="1">
      <c r="A67407" s="7"/>
      <c r="B67407" s="7"/>
    </row>
    <row r="67408" ht="15.75" customHeight="1">
      <c r="A67408" s="7"/>
      <c r="B67408" s="7"/>
    </row>
    <row r="67409" ht="15.75" customHeight="1">
      <c r="A67409" s="7"/>
      <c r="B67409" s="7"/>
    </row>
    <row r="67410" ht="15.75" customHeight="1">
      <c r="A67410" s="7"/>
      <c r="B67410" s="7"/>
    </row>
    <row r="67411" ht="15.75" customHeight="1">
      <c r="A67411" s="7"/>
      <c r="B67411" s="7"/>
    </row>
    <row r="67412" ht="15.75" customHeight="1">
      <c r="A67412" s="7"/>
      <c r="B67412" s="7"/>
    </row>
    <row r="67413" ht="15.75" customHeight="1">
      <c r="A67413" s="7"/>
      <c r="B67413" s="7"/>
    </row>
    <row r="67414" ht="15.75" customHeight="1">
      <c r="A67414" s="7"/>
      <c r="B67414" s="7"/>
    </row>
    <row r="67415" ht="15.75" customHeight="1">
      <c r="A67415" s="7"/>
      <c r="B67415" s="7"/>
    </row>
    <row r="67416" ht="15.75" customHeight="1">
      <c r="A67416" s="7"/>
      <c r="B67416" s="7"/>
    </row>
    <row r="67417" ht="15.75" customHeight="1">
      <c r="A67417" s="7"/>
      <c r="B67417" s="7"/>
    </row>
    <row r="67418" ht="15.75" customHeight="1">
      <c r="A67418" s="7"/>
      <c r="B67418" s="7"/>
    </row>
    <row r="67419" ht="15.75" customHeight="1">
      <c r="A67419" s="7"/>
      <c r="B67419" s="7"/>
    </row>
    <row r="67420" ht="15.75" customHeight="1">
      <c r="A67420" s="7"/>
      <c r="B67420" s="7"/>
    </row>
    <row r="67421" ht="15.75" customHeight="1">
      <c r="A67421" s="7"/>
      <c r="B67421" s="7"/>
    </row>
    <row r="67422" ht="15.75" customHeight="1">
      <c r="A67422" s="7"/>
      <c r="B67422" s="7"/>
    </row>
    <row r="67423" ht="15.75" customHeight="1">
      <c r="A67423" s="7"/>
      <c r="B67423" s="7"/>
    </row>
    <row r="67424" ht="15.75" customHeight="1">
      <c r="A67424" s="7"/>
      <c r="B67424" s="7"/>
    </row>
    <row r="67425" ht="15.75" customHeight="1">
      <c r="A67425" s="7"/>
      <c r="B67425" s="7"/>
    </row>
    <row r="67426" ht="15.75" customHeight="1">
      <c r="A67426" s="7"/>
      <c r="B67426" s="7"/>
    </row>
    <row r="67427" ht="15.75" customHeight="1">
      <c r="A67427" s="7"/>
      <c r="B67427" s="7"/>
    </row>
    <row r="67428" ht="15.75" customHeight="1">
      <c r="A67428" s="7"/>
      <c r="B67428" s="7"/>
    </row>
    <row r="67429" ht="15.75" customHeight="1">
      <c r="A67429" s="7"/>
      <c r="B67429" s="7"/>
    </row>
    <row r="67430" ht="15.75" customHeight="1">
      <c r="A67430" s="7"/>
      <c r="B67430" s="7"/>
    </row>
    <row r="67431" ht="15.75" customHeight="1">
      <c r="A67431" s="7"/>
      <c r="B67431" s="7"/>
    </row>
    <row r="67432" ht="15.75" customHeight="1">
      <c r="A67432" s="7"/>
      <c r="B67432" s="7"/>
    </row>
    <row r="67433" ht="15.75" customHeight="1">
      <c r="A67433" s="7"/>
      <c r="B67433" s="7"/>
    </row>
    <row r="67434" ht="15.75" customHeight="1">
      <c r="A67434" s="7"/>
      <c r="B67434" s="7"/>
    </row>
    <row r="67435" ht="15.75" customHeight="1">
      <c r="A67435" s="7"/>
      <c r="B67435" s="7"/>
    </row>
    <row r="67436" ht="15.75" customHeight="1">
      <c r="A67436" s="7"/>
      <c r="B67436" s="7"/>
    </row>
    <row r="67437" ht="15.75" customHeight="1">
      <c r="A67437" s="7"/>
      <c r="B67437" s="7"/>
    </row>
    <row r="67438" ht="15.75" customHeight="1">
      <c r="A67438" s="7"/>
      <c r="B67438" s="7"/>
    </row>
    <row r="67439" ht="15.75" customHeight="1">
      <c r="A67439" s="7"/>
      <c r="B67439" s="7"/>
    </row>
    <row r="67440" ht="15.75" customHeight="1">
      <c r="A67440" s="7"/>
      <c r="B67440" s="7"/>
    </row>
    <row r="67441" ht="15.75" customHeight="1">
      <c r="A67441" s="7"/>
      <c r="B67441" s="7"/>
    </row>
    <row r="67442" ht="15.75" customHeight="1">
      <c r="A67442" s="7"/>
      <c r="B67442" s="7"/>
    </row>
    <row r="67443" ht="15.75" customHeight="1">
      <c r="A67443" s="7"/>
      <c r="B67443" s="7"/>
    </row>
    <row r="67444" ht="15.75" customHeight="1">
      <c r="A67444" s="7"/>
      <c r="B67444" s="7"/>
    </row>
    <row r="67445" ht="15.75" customHeight="1">
      <c r="A67445" s="7"/>
      <c r="B67445" s="7"/>
    </row>
    <row r="67446" ht="15.75" customHeight="1">
      <c r="A67446" s="7"/>
      <c r="B67446" s="7"/>
    </row>
    <row r="67447" ht="15.75" customHeight="1">
      <c r="A67447" s="7"/>
      <c r="B67447" s="7"/>
    </row>
    <row r="67448" ht="15.75" customHeight="1">
      <c r="A67448" s="7"/>
      <c r="B67448" s="7"/>
    </row>
    <row r="67449" ht="15.75" customHeight="1">
      <c r="A67449" s="7"/>
      <c r="B67449" s="7"/>
    </row>
    <row r="67450" ht="15.75" customHeight="1">
      <c r="A67450" s="7"/>
      <c r="B67450" s="7"/>
    </row>
    <row r="67451" ht="15.75" customHeight="1">
      <c r="A67451" s="7"/>
      <c r="B67451" s="7"/>
    </row>
    <row r="67452" ht="15.75" customHeight="1">
      <c r="A67452" s="7"/>
      <c r="B67452" s="7"/>
    </row>
    <row r="67453" ht="15.75" customHeight="1">
      <c r="A67453" s="7"/>
      <c r="B67453" s="7"/>
    </row>
    <row r="67454" ht="15.75" customHeight="1">
      <c r="A67454" s="7"/>
      <c r="B67454" s="7"/>
    </row>
    <row r="67455" ht="15.75" customHeight="1">
      <c r="A67455" s="7"/>
      <c r="B67455" s="7"/>
    </row>
    <row r="67456" ht="15.75" customHeight="1">
      <c r="A67456" s="7"/>
      <c r="B67456" s="7"/>
    </row>
    <row r="67457" ht="15.75" customHeight="1">
      <c r="A67457" s="7"/>
      <c r="B67457" s="7"/>
    </row>
    <row r="67458" ht="15.75" customHeight="1">
      <c r="A67458" s="7"/>
      <c r="B67458" s="7"/>
    </row>
    <row r="67459" ht="15.75" customHeight="1">
      <c r="A67459" s="7"/>
      <c r="B67459" s="7"/>
    </row>
    <row r="67460" ht="15.75" customHeight="1">
      <c r="A67460" s="7"/>
      <c r="B67460" s="7"/>
    </row>
    <row r="67461" ht="15.75" customHeight="1">
      <c r="A67461" s="7"/>
      <c r="B67461" s="7"/>
    </row>
    <row r="67462" ht="15.75" customHeight="1">
      <c r="A67462" s="7"/>
      <c r="B67462" s="7"/>
    </row>
    <row r="67463" ht="15.75" customHeight="1">
      <c r="A67463" s="7"/>
      <c r="B67463" s="7"/>
    </row>
    <row r="67464" ht="15.75" customHeight="1">
      <c r="A67464" s="7"/>
      <c r="B67464" s="7"/>
    </row>
    <row r="67465" ht="15.75" customHeight="1">
      <c r="A67465" s="7"/>
      <c r="B67465" s="7"/>
    </row>
    <row r="67466" ht="15.75" customHeight="1">
      <c r="A67466" s="7"/>
      <c r="B67466" s="7"/>
    </row>
    <row r="67467" ht="15.75" customHeight="1">
      <c r="A67467" s="7"/>
      <c r="B67467" s="7"/>
    </row>
    <row r="67468" ht="15.75" customHeight="1">
      <c r="A67468" s="7"/>
      <c r="B67468" s="7"/>
    </row>
    <row r="67469" ht="15.75" customHeight="1">
      <c r="A67469" s="7"/>
      <c r="B67469" s="7"/>
    </row>
    <row r="67470" ht="15.75" customHeight="1">
      <c r="A67470" s="7"/>
      <c r="B67470" s="7"/>
    </row>
    <row r="67471" ht="15.75" customHeight="1">
      <c r="A67471" s="7"/>
      <c r="B67471" s="7"/>
    </row>
    <row r="67472" ht="15.75" customHeight="1">
      <c r="A67472" s="7"/>
      <c r="B67472" s="7"/>
    </row>
    <row r="67473" ht="15.75" customHeight="1">
      <c r="A67473" s="7"/>
      <c r="B67473" s="7"/>
    </row>
    <row r="67474" ht="15.75" customHeight="1">
      <c r="A67474" s="7"/>
      <c r="B67474" s="7"/>
    </row>
    <row r="67475" ht="15.75" customHeight="1">
      <c r="A67475" s="7"/>
      <c r="B67475" s="7"/>
    </row>
    <row r="67476" ht="15.75" customHeight="1">
      <c r="A67476" s="7"/>
      <c r="B67476" s="7"/>
    </row>
    <row r="67477" ht="15.75" customHeight="1">
      <c r="A67477" s="7"/>
      <c r="B67477" s="7"/>
    </row>
    <row r="67478" ht="15.75" customHeight="1">
      <c r="A67478" s="7"/>
      <c r="B67478" s="7"/>
    </row>
    <row r="67479" ht="15.75" customHeight="1">
      <c r="A67479" s="7"/>
      <c r="B67479" s="7"/>
    </row>
    <row r="67480" ht="15.75" customHeight="1">
      <c r="A67480" s="7"/>
      <c r="B67480" s="7"/>
    </row>
    <row r="67481" ht="15.75" customHeight="1">
      <c r="A67481" s="7"/>
      <c r="B67481" s="7"/>
    </row>
    <row r="67482" ht="15.75" customHeight="1">
      <c r="A67482" s="7"/>
      <c r="B67482" s="7"/>
    </row>
    <row r="67483" ht="15.75" customHeight="1">
      <c r="A67483" s="7"/>
      <c r="B67483" s="7"/>
    </row>
    <row r="67484" ht="15.75" customHeight="1">
      <c r="A67484" s="7"/>
      <c r="B67484" s="7"/>
    </row>
    <row r="67485" ht="15.75" customHeight="1">
      <c r="A67485" s="7"/>
      <c r="B67485" s="7"/>
    </row>
    <row r="67486" ht="15.75" customHeight="1">
      <c r="A67486" s="7"/>
      <c r="B67486" s="7"/>
    </row>
    <row r="67487" ht="15.75" customHeight="1">
      <c r="A67487" s="7"/>
      <c r="B67487" s="7"/>
    </row>
    <row r="67488" ht="15.75" customHeight="1">
      <c r="A67488" s="7"/>
      <c r="B67488" s="7"/>
    </row>
    <row r="67489" ht="15.75" customHeight="1">
      <c r="A67489" s="7"/>
      <c r="B67489" s="7"/>
    </row>
    <row r="67490" ht="15.75" customHeight="1">
      <c r="A67490" s="7"/>
      <c r="B67490" s="7"/>
    </row>
    <row r="67491" ht="15.75" customHeight="1">
      <c r="A67491" s="7"/>
      <c r="B67491" s="7"/>
    </row>
    <row r="67492" ht="15.75" customHeight="1">
      <c r="A67492" s="7"/>
      <c r="B67492" s="7"/>
    </row>
    <row r="67493" ht="15.75" customHeight="1">
      <c r="A67493" s="7"/>
      <c r="B67493" s="7"/>
    </row>
    <row r="67494" ht="15.75" customHeight="1">
      <c r="A67494" s="7"/>
      <c r="B67494" s="7"/>
    </row>
    <row r="67495" ht="15.75" customHeight="1">
      <c r="A67495" s="7"/>
      <c r="B67495" s="7"/>
    </row>
    <row r="67496" ht="15.75" customHeight="1">
      <c r="A67496" s="7"/>
      <c r="B67496" s="7"/>
    </row>
    <row r="67497" ht="15.75" customHeight="1">
      <c r="A67497" s="7"/>
      <c r="B67497" s="7"/>
    </row>
    <row r="67498" ht="15.75" customHeight="1">
      <c r="A67498" s="7"/>
      <c r="B67498" s="7"/>
    </row>
    <row r="67499" ht="15.75" customHeight="1">
      <c r="A67499" s="7"/>
      <c r="B67499" s="7"/>
    </row>
    <row r="67500" ht="15.75" customHeight="1">
      <c r="A67500" s="7"/>
      <c r="B67500" s="7"/>
    </row>
    <row r="67501" ht="15.75" customHeight="1">
      <c r="A67501" s="7"/>
      <c r="B67501" s="7"/>
    </row>
    <row r="67502" ht="15.75" customHeight="1">
      <c r="A67502" s="7"/>
      <c r="B67502" s="7"/>
    </row>
    <row r="67503" ht="15.75" customHeight="1">
      <c r="A67503" s="7"/>
      <c r="B67503" s="7"/>
    </row>
    <row r="67504" ht="15.75" customHeight="1">
      <c r="A67504" s="7"/>
      <c r="B67504" s="7"/>
    </row>
    <row r="67505" ht="15.75" customHeight="1">
      <c r="A67505" s="7"/>
      <c r="B67505" s="7"/>
    </row>
    <row r="67506" ht="15.75" customHeight="1">
      <c r="A67506" s="7"/>
      <c r="B67506" s="7"/>
    </row>
    <row r="67507" ht="15.75" customHeight="1">
      <c r="A67507" s="7"/>
      <c r="B67507" s="7"/>
    </row>
    <row r="67508" ht="15.75" customHeight="1">
      <c r="A67508" s="7"/>
      <c r="B67508" s="7"/>
    </row>
    <row r="67509" ht="15.75" customHeight="1">
      <c r="A67509" s="7"/>
      <c r="B67509" s="7"/>
    </row>
    <row r="67510" ht="15.75" customHeight="1">
      <c r="A67510" s="7"/>
      <c r="B67510" s="7"/>
    </row>
    <row r="67511" ht="15.75" customHeight="1">
      <c r="A67511" s="7"/>
      <c r="B67511" s="7"/>
    </row>
    <row r="67512" ht="15.75" customHeight="1">
      <c r="A67512" s="7"/>
      <c r="B67512" s="7"/>
    </row>
    <row r="67513" ht="15.75" customHeight="1">
      <c r="A67513" s="7"/>
      <c r="B67513" s="7"/>
    </row>
    <row r="67514" ht="15.75" customHeight="1">
      <c r="A67514" s="7"/>
      <c r="B67514" s="7"/>
    </row>
    <row r="67515" ht="15.75" customHeight="1">
      <c r="A67515" s="7"/>
      <c r="B67515" s="7"/>
    </row>
    <row r="67516" ht="15.75" customHeight="1">
      <c r="A67516" s="7"/>
      <c r="B67516" s="7"/>
    </row>
    <row r="67517" ht="15.75" customHeight="1">
      <c r="A67517" s="7"/>
      <c r="B67517" s="7"/>
    </row>
    <row r="67518" ht="15.75" customHeight="1">
      <c r="A67518" s="7"/>
      <c r="B67518" s="7"/>
    </row>
    <row r="67519" ht="15.75" customHeight="1">
      <c r="A67519" s="7"/>
      <c r="B67519" s="7"/>
    </row>
    <row r="67520" ht="15.75" customHeight="1">
      <c r="A67520" s="7"/>
      <c r="B67520" s="7"/>
    </row>
    <row r="67521" ht="15.75" customHeight="1">
      <c r="A67521" s="7"/>
      <c r="B67521" s="7"/>
    </row>
    <row r="67522" ht="15.75" customHeight="1">
      <c r="A67522" s="7"/>
      <c r="B67522" s="7"/>
    </row>
    <row r="67523" ht="15.75" customHeight="1">
      <c r="A67523" s="7"/>
      <c r="B67523" s="7"/>
    </row>
    <row r="67524" ht="15.75" customHeight="1">
      <c r="A67524" s="7"/>
      <c r="B67524" s="7"/>
    </row>
    <row r="67525" ht="15.75" customHeight="1">
      <c r="A67525" s="7"/>
      <c r="B67525" s="7"/>
    </row>
    <row r="67526" ht="15.75" customHeight="1">
      <c r="A67526" s="7"/>
      <c r="B67526" s="7"/>
    </row>
    <row r="67527" ht="15.75" customHeight="1">
      <c r="A67527" s="7"/>
      <c r="B67527" s="7"/>
    </row>
    <row r="67528" ht="15.75" customHeight="1">
      <c r="A67528" s="7"/>
      <c r="B67528" s="7"/>
    </row>
    <row r="67529" ht="15.75" customHeight="1">
      <c r="A67529" s="7"/>
      <c r="B67529" s="7"/>
    </row>
    <row r="67530" ht="15.75" customHeight="1">
      <c r="A67530" s="7"/>
      <c r="B67530" s="7"/>
    </row>
    <row r="67531" ht="15.75" customHeight="1">
      <c r="A67531" s="7"/>
      <c r="B67531" s="7"/>
    </row>
    <row r="67532" ht="15.75" customHeight="1">
      <c r="A67532" s="7"/>
      <c r="B67532" s="7"/>
    </row>
    <row r="67533" ht="15.75" customHeight="1">
      <c r="A67533" s="7"/>
      <c r="B67533" s="7"/>
    </row>
    <row r="67534" ht="15.75" customHeight="1">
      <c r="A67534" s="7"/>
      <c r="B67534" s="7"/>
    </row>
    <row r="67535" ht="15.75" customHeight="1">
      <c r="A67535" s="7"/>
      <c r="B67535" s="7"/>
    </row>
    <row r="67536" ht="15.75" customHeight="1">
      <c r="A67536" s="7"/>
      <c r="B67536" s="7"/>
    </row>
    <row r="67537" ht="15.75" customHeight="1">
      <c r="A67537" s="7"/>
      <c r="B67537" s="7"/>
    </row>
    <row r="67538" ht="15.75" customHeight="1">
      <c r="A67538" s="7"/>
      <c r="B67538" s="7"/>
    </row>
    <row r="67539" ht="15.75" customHeight="1">
      <c r="A67539" s="7"/>
      <c r="B67539" s="7"/>
    </row>
    <row r="67540" ht="15.75" customHeight="1">
      <c r="A67540" s="7"/>
      <c r="B67540" s="7"/>
    </row>
    <row r="67541" ht="15.75" customHeight="1">
      <c r="A67541" s="7"/>
      <c r="B67541" s="7"/>
    </row>
    <row r="67542" ht="15.75" customHeight="1">
      <c r="A67542" s="7"/>
      <c r="B67542" s="7"/>
    </row>
    <row r="67543" ht="15.75" customHeight="1">
      <c r="A67543" s="7"/>
      <c r="B67543" s="7"/>
    </row>
    <row r="67544" ht="15.75" customHeight="1">
      <c r="A67544" s="7"/>
      <c r="B67544" s="7"/>
    </row>
    <row r="67545" ht="15.75" customHeight="1">
      <c r="A67545" s="7"/>
      <c r="B67545" s="7"/>
    </row>
    <row r="67546" ht="15.75" customHeight="1">
      <c r="A67546" s="7"/>
      <c r="B67546" s="7"/>
    </row>
    <row r="67547" ht="15.75" customHeight="1">
      <c r="A67547" s="7"/>
      <c r="B67547" s="7"/>
    </row>
    <row r="67548" ht="15.75" customHeight="1">
      <c r="A67548" s="7"/>
      <c r="B67548" s="7"/>
    </row>
    <row r="67549" ht="15.75" customHeight="1">
      <c r="A67549" s="7"/>
      <c r="B67549" s="7"/>
    </row>
    <row r="67550" ht="15.75" customHeight="1">
      <c r="A67550" s="7"/>
      <c r="B67550" s="7"/>
    </row>
    <row r="67551" ht="15.75" customHeight="1">
      <c r="A67551" s="7"/>
      <c r="B67551" s="7"/>
    </row>
    <row r="67552" ht="15.75" customHeight="1">
      <c r="A67552" s="7"/>
      <c r="B67552" s="7"/>
    </row>
    <row r="67553" ht="15.75" customHeight="1">
      <c r="A67553" s="7"/>
      <c r="B67553" s="7"/>
    </row>
    <row r="67554" ht="15.75" customHeight="1">
      <c r="A67554" s="7"/>
      <c r="B67554" s="7"/>
    </row>
    <row r="67555" ht="15.75" customHeight="1">
      <c r="A67555" s="7"/>
      <c r="B67555" s="7"/>
    </row>
    <row r="67556" ht="15.75" customHeight="1">
      <c r="A67556" s="7"/>
      <c r="B67556" s="7"/>
    </row>
    <row r="67557" ht="15.75" customHeight="1">
      <c r="A67557" s="7"/>
      <c r="B67557" s="7"/>
    </row>
    <row r="67558" ht="15.75" customHeight="1">
      <c r="A67558" s="7"/>
      <c r="B67558" s="7"/>
    </row>
    <row r="67559" ht="15.75" customHeight="1">
      <c r="A67559" s="7"/>
      <c r="B67559" s="7"/>
    </row>
    <row r="67560" ht="15.75" customHeight="1">
      <c r="A67560" s="7"/>
      <c r="B67560" s="7"/>
    </row>
    <row r="67561" ht="15.75" customHeight="1">
      <c r="A67561" s="7"/>
      <c r="B67561" s="7"/>
    </row>
    <row r="67562" ht="15.75" customHeight="1">
      <c r="A67562" s="7"/>
      <c r="B67562" s="7"/>
    </row>
    <row r="67563" ht="15.75" customHeight="1">
      <c r="A67563" s="7"/>
      <c r="B67563" s="7"/>
    </row>
    <row r="67564" ht="15.75" customHeight="1">
      <c r="A67564" s="7"/>
      <c r="B67564" s="7"/>
    </row>
    <row r="67565" ht="15.75" customHeight="1">
      <c r="A67565" s="7"/>
      <c r="B67565" s="7"/>
    </row>
    <row r="67566" ht="15.75" customHeight="1">
      <c r="A67566" s="7"/>
      <c r="B67566" s="7"/>
    </row>
    <row r="67567" ht="15.75" customHeight="1">
      <c r="A67567" s="7"/>
      <c r="B67567" s="7"/>
    </row>
    <row r="67568" ht="15.75" customHeight="1">
      <c r="A67568" s="7"/>
      <c r="B67568" s="7"/>
    </row>
    <row r="67569" ht="15.75" customHeight="1">
      <c r="A67569" s="7"/>
      <c r="B67569" s="7"/>
    </row>
    <row r="67570" ht="15.75" customHeight="1">
      <c r="A67570" s="7"/>
      <c r="B67570" s="7"/>
    </row>
    <row r="67571" ht="15.75" customHeight="1">
      <c r="A67571" s="7"/>
      <c r="B67571" s="7"/>
    </row>
    <row r="67572" ht="15.75" customHeight="1">
      <c r="A67572" s="7"/>
      <c r="B67572" s="7"/>
    </row>
    <row r="67573" ht="15.75" customHeight="1">
      <c r="A67573" s="7"/>
      <c r="B67573" s="7"/>
    </row>
    <row r="67574" ht="15.75" customHeight="1">
      <c r="A67574" s="7"/>
      <c r="B67574" s="7"/>
    </row>
    <row r="67575" ht="15.75" customHeight="1">
      <c r="A67575" s="7"/>
      <c r="B67575" s="7"/>
    </row>
    <row r="67576" ht="15.75" customHeight="1">
      <c r="A67576" s="7"/>
      <c r="B67576" s="7"/>
    </row>
    <row r="67577" ht="15.75" customHeight="1">
      <c r="A67577" s="7"/>
      <c r="B67577" s="7"/>
    </row>
    <row r="67578" ht="15.75" customHeight="1">
      <c r="A67578" s="7"/>
      <c r="B67578" s="7"/>
    </row>
    <row r="67579" ht="15.75" customHeight="1">
      <c r="A67579" s="7"/>
      <c r="B67579" s="7"/>
    </row>
    <row r="67580" ht="15.75" customHeight="1">
      <c r="A67580" s="7"/>
      <c r="B67580" s="7"/>
    </row>
    <row r="67581" ht="15.75" customHeight="1">
      <c r="A67581" s="7"/>
      <c r="B67581" s="7"/>
    </row>
    <row r="67582" ht="15.75" customHeight="1">
      <c r="A67582" s="7"/>
      <c r="B67582" s="7"/>
    </row>
    <row r="67583" ht="15.75" customHeight="1">
      <c r="A67583" s="7"/>
      <c r="B67583" s="7"/>
    </row>
    <row r="67584" ht="15.75" customHeight="1">
      <c r="A67584" s="7"/>
      <c r="B67584" s="7"/>
    </row>
    <row r="67585" ht="15.75" customHeight="1">
      <c r="A67585" s="7"/>
      <c r="B67585" s="7"/>
    </row>
    <row r="67586" ht="15.75" customHeight="1">
      <c r="A67586" s="7"/>
      <c r="B67586" s="7"/>
    </row>
    <row r="67587" ht="15.75" customHeight="1">
      <c r="A67587" s="7"/>
      <c r="B67587" s="7"/>
    </row>
    <row r="67588" ht="15.75" customHeight="1">
      <c r="A67588" s="7"/>
      <c r="B67588" s="7"/>
    </row>
    <row r="67589" ht="15.75" customHeight="1">
      <c r="A67589" s="7"/>
      <c r="B67589" s="7"/>
    </row>
    <row r="67590" ht="15.75" customHeight="1">
      <c r="A67590" s="7"/>
      <c r="B67590" s="7"/>
    </row>
    <row r="67591" ht="15.75" customHeight="1">
      <c r="A67591" s="7"/>
      <c r="B67591" s="7"/>
    </row>
    <row r="67592" ht="15.75" customHeight="1">
      <c r="A67592" s="7"/>
      <c r="B67592" s="7"/>
    </row>
    <row r="67593" ht="15.75" customHeight="1">
      <c r="A67593" s="7"/>
      <c r="B67593" s="7"/>
    </row>
    <row r="67594" ht="15.75" customHeight="1">
      <c r="A67594" s="7"/>
      <c r="B67594" s="7"/>
    </row>
    <row r="67595" ht="15.75" customHeight="1">
      <c r="A67595" s="7"/>
      <c r="B67595" s="7"/>
    </row>
    <row r="67596" ht="15.75" customHeight="1">
      <c r="A67596" s="7"/>
      <c r="B67596" s="7"/>
    </row>
    <row r="67597" ht="15.75" customHeight="1">
      <c r="A67597" s="7"/>
      <c r="B67597" s="7"/>
    </row>
    <row r="67598" ht="15.75" customHeight="1">
      <c r="A67598" s="7"/>
      <c r="B67598" s="7"/>
    </row>
    <row r="67599" ht="15.75" customHeight="1">
      <c r="A67599" s="7"/>
      <c r="B67599" s="7"/>
    </row>
    <row r="67600" ht="15.75" customHeight="1">
      <c r="A67600" s="7"/>
      <c r="B67600" s="7"/>
    </row>
    <row r="67601" ht="15.75" customHeight="1">
      <c r="A67601" s="7"/>
      <c r="B67601" s="7"/>
    </row>
    <row r="67602" ht="15.75" customHeight="1">
      <c r="A67602" s="7"/>
      <c r="B67602" s="7"/>
    </row>
    <row r="67603" ht="15.75" customHeight="1">
      <c r="A67603" s="7"/>
      <c r="B67603" s="7"/>
    </row>
    <row r="67604" ht="15.75" customHeight="1">
      <c r="A67604" s="7"/>
      <c r="B67604" s="7"/>
    </row>
    <row r="67605" ht="15.75" customHeight="1">
      <c r="A67605" s="7"/>
      <c r="B67605" s="7"/>
    </row>
    <row r="67606" ht="15.75" customHeight="1">
      <c r="A67606" s="7"/>
      <c r="B67606" s="7"/>
    </row>
    <row r="67607" ht="15.75" customHeight="1">
      <c r="A67607" s="7"/>
      <c r="B67607" s="7"/>
    </row>
    <row r="67608" ht="15.75" customHeight="1">
      <c r="A67608" s="7"/>
      <c r="B67608" s="7"/>
    </row>
    <row r="67609" ht="15.75" customHeight="1">
      <c r="A67609" s="7"/>
      <c r="B67609" s="7"/>
    </row>
    <row r="67610" ht="15.75" customHeight="1">
      <c r="A67610" s="7"/>
      <c r="B67610" s="7"/>
    </row>
    <row r="67611" ht="15.75" customHeight="1">
      <c r="A67611" s="7"/>
      <c r="B67611" s="7"/>
    </row>
    <row r="67612" ht="15.75" customHeight="1">
      <c r="A67612" s="7"/>
      <c r="B67612" s="7"/>
    </row>
    <row r="67613" ht="15.75" customHeight="1">
      <c r="A67613" s="7"/>
      <c r="B67613" s="7"/>
    </row>
    <row r="67614" ht="15.75" customHeight="1">
      <c r="A67614" s="7"/>
      <c r="B67614" s="7"/>
    </row>
    <row r="67615" ht="15.75" customHeight="1">
      <c r="A67615" s="7"/>
      <c r="B67615" s="7"/>
    </row>
    <row r="67616" ht="15.75" customHeight="1">
      <c r="A67616" s="7"/>
      <c r="B67616" s="7"/>
    </row>
    <row r="67617" ht="15.75" customHeight="1">
      <c r="A67617" s="7"/>
      <c r="B67617" s="7"/>
    </row>
    <row r="67618" ht="15.75" customHeight="1">
      <c r="A67618" s="7"/>
      <c r="B67618" s="7"/>
    </row>
    <row r="67619" ht="15.75" customHeight="1">
      <c r="A67619" s="7"/>
      <c r="B67619" s="7"/>
    </row>
    <row r="67620" ht="15.75" customHeight="1">
      <c r="A67620" s="7"/>
      <c r="B67620" s="7"/>
    </row>
    <row r="67621" ht="15.75" customHeight="1">
      <c r="A67621" s="7"/>
      <c r="B67621" s="7"/>
    </row>
    <row r="67622" ht="15.75" customHeight="1">
      <c r="A67622" s="7"/>
      <c r="B67622" s="7"/>
    </row>
    <row r="67623" ht="15.75" customHeight="1">
      <c r="A67623" s="7"/>
      <c r="B67623" s="7"/>
    </row>
    <row r="67624" ht="15.75" customHeight="1">
      <c r="A67624" s="7"/>
      <c r="B67624" s="7"/>
    </row>
    <row r="67625" ht="15.75" customHeight="1">
      <c r="A67625" s="7"/>
      <c r="B67625" s="7"/>
    </row>
    <row r="67626" ht="15.75" customHeight="1">
      <c r="A67626" s="7"/>
      <c r="B67626" s="7"/>
    </row>
    <row r="67627" ht="15.75" customHeight="1">
      <c r="A67627" s="7"/>
      <c r="B67627" s="7"/>
    </row>
    <row r="67628" ht="15.75" customHeight="1">
      <c r="A67628" s="7"/>
      <c r="B67628" s="7"/>
    </row>
    <row r="67629" ht="15.75" customHeight="1">
      <c r="A67629" s="7"/>
      <c r="B67629" s="7"/>
    </row>
    <row r="67630" ht="15.75" customHeight="1">
      <c r="A67630" s="7"/>
      <c r="B67630" s="7"/>
    </row>
    <row r="67631" ht="15.75" customHeight="1">
      <c r="A67631" s="7"/>
      <c r="B67631" s="7"/>
    </row>
    <row r="67632" ht="15.75" customHeight="1">
      <c r="A67632" s="7"/>
      <c r="B67632" s="7"/>
    </row>
    <row r="67633" ht="15.75" customHeight="1">
      <c r="A67633" s="7"/>
      <c r="B67633" s="7"/>
    </row>
    <row r="67634" ht="15.75" customHeight="1">
      <c r="A67634" s="7"/>
      <c r="B67634" s="7"/>
    </row>
    <row r="67635" ht="15.75" customHeight="1">
      <c r="A67635" s="7"/>
      <c r="B67635" s="7"/>
    </row>
    <row r="67636" ht="15.75" customHeight="1">
      <c r="A67636" s="7"/>
      <c r="B67636" s="7"/>
    </row>
    <row r="67637" ht="15.75" customHeight="1">
      <c r="A67637" s="7"/>
      <c r="B67637" s="7"/>
    </row>
    <row r="67638" ht="15.75" customHeight="1">
      <c r="A67638" s="7"/>
      <c r="B67638" s="7"/>
    </row>
    <row r="67639" ht="15.75" customHeight="1">
      <c r="A67639" s="7"/>
      <c r="B67639" s="7"/>
    </row>
    <row r="67640" ht="15.75" customHeight="1">
      <c r="A67640" s="7"/>
      <c r="B67640" s="7"/>
    </row>
    <row r="67641" ht="15.75" customHeight="1">
      <c r="A67641" s="7"/>
      <c r="B67641" s="7"/>
    </row>
    <row r="67642" ht="15.75" customHeight="1">
      <c r="A67642" s="7"/>
      <c r="B67642" s="7"/>
    </row>
    <row r="67643" ht="15.75" customHeight="1">
      <c r="A67643" s="7"/>
      <c r="B67643" s="7"/>
    </row>
    <row r="67644" ht="15.75" customHeight="1">
      <c r="A67644" s="7"/>
      <c r="B67644" s="7"/>
    </row>
    <row r="67645" ht="15.75" customHeight="1">
      <c r="A67645" s="7"/>
      <c r="B67645" s="7"/>
    </row>
    <row r="67646" ht="15.75" customHeight="1">
      <c r="A67646" s="7"/>
      <c r="B67646" s="7"/>
    </row>
    <row r="67647" ht="15.75" customHeight="1">
      <c r="A67647" s="7"/>
      <c r="B67647" s="7"/>
    </row>
    <row r="67648" ht="15.75" customHeight="1">
      <c r="A67648" s="7"/>
      <c r="B67648" s="7"/>
    </row>
    <row r="67649" ht="15.75" customHeight="1">
      <c r="A67649" s="7"/>
      <c r="B67649" s="7"/>
    </row>
    <row r="67650" ht="15.75" customHeight="1">
      <c r="A67650" s="7"/>
      <c r="B67650" s="7"/>
    </row>
    <row r="67651" ht="15.75" customHeight="1">
      <c r="A67651" s="7"/>
      <c r="B67651" s="7"/>
    </row>
    <row r="67652" ht="15.75" customHeight="1">
      <c r="A67652" s="7"/>
      <c r="B67652" s="7"/>
    </row>
    <row r="67653" ht="15.75" customHeight="1">
      <c r="A67653" s="7"/>
      <c r="B67653" s="7"/>
    </row>
    <row r="67654" ht="15.75" customHeight="1">
      <c r="A67654" s="7"/>
      <c r="B67654" s="7"/>
    </row>
    <row r="67655" ht="15.75" customHeight="1">
      <c r="A67655" s="7"/>
      <c r="B67655" s="7"/>
    </row>
    <row r="67656" ht="15.75" customHeight="1">
      <c r="A67656" s="7"/>
      <c r="B67656" s="7"/>
    </row>
    <row r="67657" ht="15.75" customHeight="1">
      <c r="A67657" s="7"/>
      <c r="B67657" s="7"/>
    </row>
    <row r="67658" ht="15.75" customHeight="1">
      <c r="A67658" s="7"/>
      <c r="B67658" s="7"/>
    </row>
    <row r="67659" ht="15.75" customHeight="1">
      <c r="A67659" s="7"/>
      <c r="B67659" s="7"/>
    </row>
    <row r="67660" ht="15.75" customHeight="1">
      <c r="A67660" s="7"/>
      <c r="B67660" s="7"/>
    </row>
    <row r="67661" ht="15.75" customHeight="1">
      <c r="A67661" s="7"/>
      <c r="B67661" s="7"/>
    </row>
    <row r="67662" ht="15.75" customHeight="1">
      <c r="A67662" s="7"/>
      <c r="B67662" s="7"/>
    </row>
    <row r="67663" ht="15.75" customHeight="1">
      <c r="A67663" s="7"/>
      <c r="B67663" s="7"/>
    </row>
    <row r="67664" ht="15.75" customHeight="1">
      <c r="A67664" s="7"/>
      <c r="B67664" s="7"/>
    </row>
    <row r="67665" ht="15.75" customHeight="1">
      <c r="A67665" s="7"/>
      <c r="B67665" s="7"/>
    </row>
    <row r="67666" ht="15.75" customHeight="1">
      <c r="A67666" s="7"/>
      <c r="B67666" s="7"/>
    </row>
    <row r="67667" ht="15.75" customHeight="1">
      <c r="A67667" s="7"/>
      <c r="B67667" s="7"/>
    </row>
    <row r="67668" ht="15.75" customHeight="1">
      <c r="A67668" s="7"/>
      <c r="B67668" s="7"/>
    </row>
    <row r="67669" ht="15.75" customHeight="1">
      <c r="A67669" s="7"/>
      <c r="B67669" s="7"/>
    </row>
    <row r="67670" ht="15.75" customHeight="1">
      <c r="A67670" s="7"/>
      <c r="B67670" s="7"/>
    </row>
    <row r="67671" ht="15.75" customHeight="1">
      <c r="A67671" s="7"/>
      <c r="B67671" s="7"/>
    </row>
    <row r="67672" ht="15.75" customHeight="1">
      <c r="A67672" s="7"/>
      <c r="B67672" s="7"/>
    </row>
    <row r="67673" ht="15.75" customHeight="1">
      <c r="A67673" s="7"/>
      <c r="B67673" s="7"/>
    </row>
    <row r="67674" ht="15.75" customHeight="1">
      <c r="A67674" s="7"/>
      <c r="B67674" s="7"/>
    </row>
    <row r="67675" ht="15.75" customHeight="1">
      <c r="A67675" s="7"/>
      <c r="B67675" s="7"/>
    </row>
    <row r="67676" ht="15.75" customHeight="1">
      <c r="A67676" s="7"/>
      <c r="B67676" s="7"/>
    </row>
    <row r="67677" ht="15.75" customHeight="1">
      <c r="A67677" s="7"/>
      <c r="B67677" s="7"/>
    </row>
    <row r="67678" ht="15.75" customHeight="1">
      <c r="A67678" s="7"/>
      <c r="B67678" s="7"/>
    </row>
    <row r="67679" ht="15.75" customHeight="1">
      <c r="A67679" s="7"/>
      <c r="B67679" s="7"/>
    </row>
    <row r="67680" ht="15.75" customHeight="1">
      <c r="A67680" s="7"/>
      <c r="B67680" s="7"/>
    </row>
    <row r="67681" ht="15.75" customHeight="1">
      <c r="A67681" s="7"/>
      <c r="B67681" s="7"/>
    </row>
    <row r="67682" ht="15.75" customHeight="1">
      <c r="A67682" s="7"/>
      <c r="B67682" s="7"/>
    </row>
    <row r="67683" ht="15.75" customHeight="1">
      <c r="A67683" s="7"/>
      <c r="B67683" s="7"/>
    </row>
    <row r="67684" ht="15.75" customHeight="1">
      <c r="A67684" s="7"/>
      <c r="B67684" s="7"/>
    </row>
    <row r="67685" ht="15.75" customHeight="1">
      <c r="A67685" s="7"/>
      <c r="B67685" s="7"/>
    </row>
    <row r="67686" ht="15.75" customHeight="1">
      <c r="A67686" s="7"/>
      <c r="B67686" s="7"/>
    </row>
    <row r="67687" ht="15.75" customHeight="1">
      <c r="A67687" s="7"/>
      <c r="B67687" s="7"/>
    </row>
    <row r="67688" ht="15.75" customHeight="1">
      <c r="A67688" s="7"/>
      <c r="B67688" s="7"/>
    </row>
    <row r="67689" ht="15.75" customHeight="1">
      <c r="A67689" s="7"/>
      <c r="B67689" s="7"/>
    </row>
    <row r="67690" ht="15.75" customHeight="1">
      <c r="A67690" s="7"/>
      <c r="B67690" s="7"/>
    </row>
    <row r="67691" ht="15.75" customHeight="1">
      <c r="A67691" s="7"/>
      <c r="B67691" s="7"/>
    </row>
    <row r="67692" ht="15.75" customHeight="1">
      <c r="A67692" s="7"/>
      <c r="B67692" s="7"/>
    </row>
    <row r="67693" ht="15.75" customHeight="1">
      <c r="A67693" s="7"/>
      <c r="B67693" s="7"/>
    </row>
    <row r="67694" ht="15.75" customHeight="1">
      <c r="A67694" s="7"/>
      <c r="B67694" s="7"/>
    </row>
    <row r="67695" ht="15.75" customHeight="1">
      <c r="A67695" s="7"/>
      <c r="B67695" s="7"/>
    </row>
    <row r="67696" ht="15.75" customHeight="1">
      <c r="A67696" s="7"/>
      <c r="B67696" s="7"/>
    </row>
    <row r="67697" ht="15.75" customHeight="1">
      <c r="A67697" s="7"/>
      <c r="B67697" s="7"/>
    </row>
    <row r="67698" ht="15.75" customHeight="1">
      <c r="A67698" s="7"/>
      <c r="B67698" s="7"/>
    </row>
    <row r="67699" ht="15.75" customHeight="1">
      <c r="A67699" s="7"/>
      <c r="B67699" s="7"/>
    </row>
    <row r="67700" ht="15.75" customHeight="1">
      <c r="A67700" s="7"/>
      <c r="B67700" s="7"/>
    </row>
    <row r="67701" ht="15.75" customHeight="1">
      <c r="A67701" s="7"/>
      <c r="B67701" s="7"/>
    </row>
    <row r="67702" ht="15.75" customHeight="1">
      <c r="A67702" s="7"/>
      <c r="B67702" s="7"/>
    </row>
    <row r="67703" ht="15.75" customHeight="1">
      <c r="A67703" s="7"/>
      <c r="B67703" s="7"/>
    </row>
    <row r="67704" ht="15.75" customHeight="1">
      <c r="A67704" s="7"/>
      <c r="B67704" s="7"/>
    </row>
    <row r="67705" ht="15.75" customHeight="1">
      <c r="A67705" s="7"/>
      <c r="B67705" s="7"/>
    </row>
    <row r="67706" ht="15.75" customHeight="1">
      <c r="A67706" s="7"/>
      <c r="B67706" s="7"/>
    </row>
    <row r="67707" ht="15.75" customHeight="1">
      <c r="A67707" s="7"/>
      <c r="B67707" s="7"/>
    </row>
    <row r="67708" ht="15.75" customHeight="1">
      <c r="A67708" s="7"/>
      <c r="B67708" s="7"/>
    </row>
    <row r="67709" ht="15.75" customHeight="1">
      <c r="A67709" s="7"/>
      <c r="B67709" s="7"/>
    </row>
    <row r="67710" ht="15.75" customHeight="1">
      <c r="A67710" s="7"/>
      <c r="B67710" s="7"/>
    </row>
    <row r="67711" ht="15.75" customHeight="1">
      <c r="A67711" s="7"/>
      <c r="B67711" s="7"/>
    </row>
    <row r="67712" ht="15.75" customHeight="1">
      <c r="A67712" s="7"/>
      <c r="B67712" s="7"/>
    </row>
    <row r="67713" ht="15.75" customHeight="1">
      <c r="A67713" s="7"/>
      <c r="B67713" s="7"/>
    </row>
    <row r="67714" ht="15.75" customHeight="1">
      <c r="A67714" s="7"/>
      <c r="B67714" s="7"/>
    </row>
    <row r="67715" ht="15.75" customHeight="1">
      <c r="A67715" s="7"/>
      <c r="B67715" s="7"/>
    </row>
    <row r="67716" ht="15.75" customHeight="1">
      <c r="A67716" s="7"/>
      <c r="B67716" s="7"/>
    </row>
    <row r="67717" ht="15.75" customHeight="1">
      <c r="A67717" s="7"/>
      <c r="B67717" s="7"/>
    </row>
    <row r="67718" ht="15.75" customHeight="1">
      <c r="A67718" s="7"/>
      <c r="B67718" s="7"/>
    </row>
    <row r="67719" ht="15.75" customHeight="1">
      <c r="A67719" s="7"/>
      <c r="B67719" s="7"/>
    </row>
    <row r="67720" ht="15.75" customHeight="1">
      <c r="A67720" s="7"/>
      <c r="B67720" s="7"/>
    </row>
    <row r="67721" ht="15.75" customHeight="1">
      <c r="A67721" s="7"/>
      <c r="B67721" s="7"/>
    </row>
    <row r="67722" ht="15.75" customHeight="1">
      <c r="A67722" s="7"/>
      <c r="B67722" s="7"/>
    </row>
    <row r="67723" ht="15.75" customHeight="1">
      <c r="A67723" s="7"/>
      <c r="B67723" s="7"/>
    </row>
    <row r="67724" ht="15.75" customHeight="1">
      <c r="A67724" s="7"/>
      <c r="B67724" s="7"/>
    </row>
    <row r="67725" ht="15.75" customHeight="1">
      <c r="A67725" s="7"/>
      <c r="B67725" s="7"/>
    </row>
    <row r="67726" ht="15.75" customHeight="1">
      <c r="A67726" s="7"/>
      <c r="B67726" s="7"/>
    </row>
    <row r="67727" ht="15.75" customHeight="1">
      <c r="A67727" s="7"/>
      <c r="B67727" s="7"/>
    </row>
    <row r="67728" ht="15.75" customHeight="1">
      <c r="A67728" s="7"/>
      <c r="B67728" s="7"/>
    </row>
    <row r="67729" ht="15.75" customHeight="1">
      <c r="A67729" s="7"/>
      <c r="B67729" s="7"/>
    </row>
    <row r="67730" ht="15.75" customHeight="1">
      <c r="A67730" s="7"/>
      <c r="B67730" s="7"/>
    </row>
    <row r="67731" ht="15.75" customHeight="1">
      <c r="A67731" s="7"/>
      <c r="B67731" s="7"/>
    </row>
    <row r="67732" ht="15.75" customHeight="1">
      <c r="A67732" s="7"/>
      <c r="B67732" s="7"/>
    </row>
    <row r="67733" ht="15.75" customHeight="1">
      <c r="A67733" s="7"/>
      <c r="B67733" s="7"/>
    </row>
    <row r="67734" ht="15.75" customHeight="1">
      <c r="A67734" s="7"/>
      <c r="B67734" s="7"/>
    </row>
    <row r="67735" ht="15.75" customHeight="1">
      <c r="A67735" s="7"/>
      <c r="B67735" s="7"/>
    </row>
    <row r="67736" ht="15.75" customHeight="1">
      <c r="A67736" s="7"/>
      <c r="B67736" s="7"/>
    </row>
    <row r="67737" ht="15.75" customHeight="1">
      <c r="A67737" s="7"/>
      <c r="B67737" s="7"/>
    </row>
    <row r="67738" ht="15.75" customHeight="1">
      <c r="A67738" s="7"/>
      <c r="B67738" s="7"/>
    </row>
    <row r="67739" ht="15.75" customHeight="1">
      <c r="A67739" s="7"/>
      <c r="B67739" s="7"/>
    </row>
    <row r="67740" ht="15.75" customHeight="1">
      <c r="A67740" s="7"/>
      <c r="B67740" s="7"/>
    </row>
    <row r="67741" ht="15.75" customHeight="1">
      <c r="A67741" s="7"/>
      <c r="B67741" s="7"/>
    </row>
    <row r="67742" ht="15.75" customHeight="1">
      <c r="A67742" s="7"/>
      <c r="B67742" s="7"/>
    </row>
    <row r="67743" ht="15.75" customHeight="1">
      <c r="A67743" s="7"/>
      <c r="B67743" s="7"/>
    </row>
    <row r="67744" ht="15.75" customHeight="1">
      <c r="A67744" s="7"/>
      <c r="B67744" s="7"/>
    </row>
    <row r="67745" ht="15.75" customHeight="1">
      <c r="A67745" s="7"/>
      <c r="B67745" s="7"/>
    </row>
    <row r="67746" ht="15.75" customHeight="1">
      <c r="A67746" s="7"/>
      <c r="B67746" s="7"/>
    </row>
    <row r="67747" ht="15.75" customHeight="1">
      <c r="A67747" s="7"/>
      <c r="B67747" s="7"/>
    </row>
    <row r="67748" ht="15.75" customHeight="1">
      <c r="A67748" s="7"/>
      <c r="B67748" s="7"/>
    </row>
    <row r="67749" ht="15.75" customHeight="1">
      <c r="A67749" s="7"/>
      <c r="B67749" s="7"/>
    </row>
    <row r="67750" ht="15.75" customHeight="1">
      <c r="A67750" s="7"/>
      <c r="B67750" s="7"/>
    </row>
    <row r="67751" ht="15.75" customHeight="1">
      <c r="A67751" s="7"/>
      <c r="B67751" s="7"/>
    </row>
    <row r="67752" ht="15.75" customHeight="1">
      <c r="A67752" s="7"/>
      <c r="B67752" s="7"/>
    </row>
    <row r="67753" ht="15.75" customHeight="1">
      <c r="A67753" s="7"/>
      <c r="B67753" s="7"/>
    </row>
    <row r="67754" ht="15.75" customHeight="1">
      <c r="A67754" s="7"/>
      <c r="B67754" s="7"/>
    </row>
    <row r="67755" ht="15.75" customHeight="1">
      <c r="A67755" s="7"/>
      <c r="B67755" s="7"/>
    </row>
    <row r="67756" ht="15.75" customHeight="1">
      <c r="A67756" s="7"/>
      <c r="B67756" s="7"/>
    </row>
    <row r="67757" ht="15.75" customHeight="1">
      <c r="A67757" s="7"/>
      <c r="B67757" s="7"/>
    </row>
    <row r="67758" ht="15.75" customHeight="1">
      <c r="A67758" s="7"/>
      <c r="B67758" s="7"/>
    </row>
    <row r="67759" ht="15.75" customHeight="1">
      <c r="A67759" s="7"/>
      <c r="B67759" s="7"/>
    </row>
    <row r="67760" ht="15.75" customHeight="1">
      <c r="A67760" s="7"/>
      <c r="B67760" s="7"/>
    </row>
    <row r="67761" ht="15.75" customHeight="1">
      <c r="A67761" s="7"/>
      <c r="B67761" s="7"/>
    </row>
    <row r="67762" ht="15.75" customHeight="1">
      <c r="A67762" s="7"/>
      <c r="B67762" s="7"/>
    </row>
    <row r="67763" ht="15.75" customHeight="1">
      <c r="A67763" s="7"/>
      <c r="B67763" s="7"/>
    </row>
    <row r="67764" ht="15.75" customHeight="1">
      <c r="A67764" s="7"/>
      <c r="B67764" s="7"/>
    </row>
    <row r="67765" ht="15.75" customHeight="1">
      <c r="A67765" s="7"/>
      <c r="B67765" s="7"/>
    </row>
    <row r="67766" ht="15.75" customHeight="1">
      <c r="A67766" s="7"/>
      <c r="B67766" s="7"/>
    </row>
    <row r="67767" ht="15.75" customHeight="1">
      <c r="A67767" s="7"/>
      <c r="B67767" s="7"/>
    </row>
    <row r="67768" ht="15.75" customHeight="1">
      <c r="A67768" s="7"/>
      <c r="B67768" s="7"/>
    </row>
    <row r="67769" ht="15.75" customHeight="1">
      <c r="A67769" s="7"/>
      <c r="B67769" s="7"/>
    </row>
    <row r="67770" ht="15.75" customHeight="1">
      <c r="A67770" s="7"/>
      <c r="B67770" s="7"/>
    </row>
    <row r="67771" ht="15.75" customHeight="1">
      <c r="A67771" s="7"/>
      <c r="B67771" s="7"/>
    </row>
    <row r="67772" ht="15.75" customHeight="1">
      <c r="A67772" s="7"/>
      <c r="B67772" s="7"/>
    </row>
    <row r="67773" ht="15.75" customHeight="1">
      <c r="A67773" s="7"/>
      <c r="B67773" s="7"/>
    </row>
    <row r="67774" ht="15.75" customHeight="1">
      <c r="A67774" s="7"/>
      <c r="B67774" s="7"/>
    </row>
    <row r="67775" ht="15.75" customHeight="1">
      <c r="A67775" s="7"/>
      <c r="B67775" s="7"/>
    </row>
    <row r="67776" ht="15.75" customHeight="1">
      <c r="A67776" s="7"/>
      <c r="B67776" s="7"/>
    </row>
    <row r="67777" ht="15.75" customHeight="1">
      <c r="A67777" s="7"/>
      <c r="B67777" s="7"/>
    </row>
    <row r="67778" ht="15.75" customHeight="1">
      <c r="A67778" s="7"/>
      <c r="B67778" s="7"/>
    </row>
    <row r="67779" ht="15.75" customHeight="1">
      <c r="A67779" s="7"/>
      <c r="B67779" s="7"/>
    </row>
    <row r="67780" ht="15.75" customHeight="1">
      <c r="A67780" s="7"/>
      <c r="B67780" s="7"/>
    </row>
    <row r="67781" ht="15.75" customHeight="1">
      <c r="A67781" s="7"/>
      <c r="B67781" s="7"/>
    </row>
    <row r="67782" ht="15.75" customHeight="1">
      <c r="A67782" s="7"/>
      <c r="B67782" s="7"/>
    </row>
    <row r="67783" ht="15.75" customHeight="1">
      <c r="A67783" s="7"/>
      <c r="B67783" s="7"/>
    </row>
    <row r="67784" ht="15.75" customHeight="1">
      <c r="A67784" s="7"/>
      <c r="B67784" s="7"/>
    </row>
    <row r="67785" ht="15.75" customHeight="1">
      <c r="A67785" s="7"/>
      <c r="B67785" s="7"/>
    </row>
    <row r="67786" ht="15.75" customHeight="1">
      <c r="A67786" s="7"/>
      <c r="B67786" s="7"/>
    </row>
    <row r="67787" ht="15.75" customHeight="1">
      <c r="A67787" s="7"/>
      <c r="B67787" s="7"/>
    </row>
    <row r="67788" ht="15.75" customHeight="1">
      <c r="A67788" s="7"/>
      <c r="B67788" s="7"/>
    </row>
    <row r="67789" ht="15.75" customHeight="1">
      <c r="A67789" s="7"/>
      <c r="B67789" s="7"/>
    </row>
    <row r="67790" ht="15.75" customHeight="1">
      <c r="A67790" s="7"/>
      <c r="B67790" s="7"/>
    </row>
    <row r="67791" ht="15.75" customHeight="1">
      <c r="A67791" s="7"/>
      <c r="B67791" s="7"/>
    </row>
    <row r="67792" ht="15.75" customHeight="1">
      <c r="A67792" s="7"/>
      <c r="B67792" s="7"/>
    </row>
    <row r="67793" ht="15.75" customHeight="1">
      <c r="A67793" s="7"/>
      <c r="B67793" s="7"/>
    </row>
    <row r="67794" ht="15.75" customHeight="1">
      <c r="A67794" s="7"/>
      <c r="B67794" s="7"/>
    </row>
    <row r="67795" ht="15.75" customHeight="1">
      <c r="A67795" s="7"/>
      <c r="B67795" s="7"/>
    </row>
    <row r="67796" ht="15.75" customHeight="1">
      <c r="A67796" s="7"/>
      <c r="B67796" s="7"/>
    </row>
    <row r="67797" ht="15.75" customHeight="1">
      <c r="A67797" s="7"/>
      <c r="B67797" s="7"/>
    </row>
    <row r="67798" ht="15.75" customHeight="1">
      <c r="A67798" s="7"/>
      <c r="B67798" s="7"/>
    </row>
    <row r="67799" ht="15.75" customHeight="1">
      <c r="A67799" s="7"/>
      <c r="B67799" s="7"/>
    </row>
    <row r="67800" ht="15.75" customHeight="1">
      <c r="A67800" s="7"/>
      <c r="B67800" s="7"/>
    </row>
    <row r="67801" ht="15.75" customHeight="1">
      <c r="A67801" s="7"/>
      <c r="B67801" s="7"/>
    </row>
    <row r="67802" ht="15.75" customHeight="1">
      <c r="A67802" s="7"/>
      <c r="B67802" s="7"/>
    </row>
    <row r="67803" ht="15.75" customHeight="1">
      <c r="A67803" s="7"/>
      <c r="B67803" s="7"/>
    </row>
    <row r="67804" ht="15.75" customHeight="1">
      <c r="A67804" s="7"/>
      <c r="B67804" s="7"/>
    </row>
    <row r="67805" ht="15.75" customHeight="1">
      <c r="A67805" s="7"/>
      <c r="B67805" s="7"/>
    </row>
    <row r="67806" ht="15.75" customHeight="1">
      <c r="A67806" s="7"/>
      <c r="B67806" s="7"/>
    </row>
    <row r="67807" ht="15.75" customHeight="1">
      <c r="A67807" s="7"/>
      <c r="B67807" s="7"/>
    </row>
    <row r="67808" ht="15.75" customHeight="1">
      <c r="A67808" s="7"/>
      <c r="B67808" s="7"/>
    </row>
    <row r="67809" ht="15.75" customHeight="1">
      <c r="A67809" s="7"/>
      <c r="B67809" s="7"/>
    </row>
    <row r="67810" ht="15.75" customHeight="1">
      <c r="A67810" s="7"/>
      <c r="B67810" s="7"/>
    </row>
    <row r="67811" ht="15.75" customHeight="1">
      <c r="A67811" s="7"/>
      <c r="B67811" s="7"/>
    </row>
    <row r="67812" ht="15.75" customHeight="1">
      <c r="A67812" s="7"/>
      <c r="B67812" s="7"/>
    </row>
    <row r="67813" ht="15.75" customHeight="1">
      <c r="A67813" s="7"/>
      <c r="B67813" s="7"/>
    </row>
    <row r="67814" ht="15.75" customHeight="1">
      <c r="A67814" s="7"/>
      <c r="B67814" s="7"/>
    </row>
    <row r="67815" ht="15.75" customHeight="1">
      <c r="A67815" s="7"/>
      <c r="B67815" s="7"/>
    </row>
    <row r="67816" ht="15.75" customHeight="1">
      <c r="A67816" s="7"/>
      <c r="B67816" s="7"/>
    </row>
    <row r="67817" ht="15.75" customHeight="1">
      <c r="A67817" s="7"/>
      <c r="B67817" s="7"/>
    </row>
    <row r="67818" ht="15.75" customHeight="1">
      <c r="A67818" s="7"/>
      <c r="B67818" s="7"/>
    </row>
    <row r="67819" ht="15.75" customHeight="1">
      <c r="A67819" s="7"/>
      <c r="B67819" s="7"/>
    </row>
    <row r="67820" ht="15.75" customHeight="1">
      <c r="A67820" s="7"/>
      <c r="B67820" s="7"/>
    </row>
    <row r="67821" ht="15.75" customHeight="1">
      <c r="A67821" s="7"/>
      <c r="B67821" s="7"/>
    </row>
    <row r="67822" ht="15.75" customHeight="1">
      <c r="A67822" s="7"/>
      <c r="B67822" s="7"/>
    </row>
    <row r="67823" ht="15.75" customHeight="1">
      <c r="A67823" s="7"/>
      <c r="B67823" s="7"/>
    </row>
    <row r="67824" ht="15.75" customHeight="1">
      <c r="A67824" s="7"/>
      <c r="B67824" s="7"/>
    </row>
    <row r="67825" ht="15.75" customHeight="1">
      <c r="A67825" s="7"/>
      <c r="B67825" s="7"/>
    </row>
    <row r="67826" ht="15.75" customHeight="1">
      <c r="A67826" s="7"/>
      <c r="B67826" s="7"/>
    </row>
    <row r="67827" ht="15.75" customHeight="1">
      <c r="A67827" s="7"/>
      <c r="B67827" s="7"/>
    </row>
    <row r="67828" ht="15.75" customHeight="1">
      <c r="A67828" s="7"/>
      <c r="B67828" s="7"/>
    </row>
    <row r="67829" ht="15.75" customHeight="1">
      <c r="A67829" s="7"/>
      <c r="B67829" s="7"/>
    </row>
    <row r="67830" ht="15.75" customHeight="1">
      <c r="A67830" s="7"/>
      <c r="B67830" s="7"/>
    </row>
    <row r="67831" ht="15.75" customHeight="1">
      <c r="A67831" s="7"/>
      <c r="B67831" s="7"/>
    </row>
    <row r="67832" ht="15.75" customHeight="1">
      <c r="A67832" s="7"/>
      <c r="B67832" s="7"/>
    </row>
    <row r="67833" ht="15.75" customHeight="1">
      <c r="A67833" s="7"/>
      <c r="B67833" s="7"/>
    </row>
    <row r="67834" ht="15.75" customHeight="1">
      <c r="A67834" s="7"/>
      <c r="B67834" s="7"/>
    </row>
    <row r="67835" ht="15.75" customHeight="1">
      <c r="A67835" s="7"/>
      <c r="B67835" s="7"/>
    </row>
    <row r="67836" ht="15.75" customHeight="1">
      <c r="A67836" s="7"/>
      <c r="B67836" s="7"/>
    </row>
    <row r="67837" ht="15.75" customHeight="1">
      <c r="A67837" s="7"/>
      <c r="B67837" s="7"/>
    </row>
    <row r="67838" ht="15.75" customHeight="1">
      <c r="A67838" s="7"/>
      <c r="B67838" s="7"/>
    </row>
    <row r="67839" ht="15.75" customHeight="1">
      <c r="A67839" s="7"/>
      <c r="B67839" s="7"/>
    </row>
    <row r="67840" ht="15.75" customHeight="1">
      <c r="A67840" s="7"/>
      <c r="B67840" s="7"/>
    </row>
    <row r="67841" ht="15.75" customHeight="1">
      <c r="A67841" s="7"/>
      <c r="B67841" s="7"/>
    </row>
    <row r="67842" ht="15.75" customHeight="1">
      <c r="A67842" s="7"/>
      <c r="B67842" s="7"/>
    </row>
    <row r="67843" ht="15.75" customHeight="1">
      <c r="A67843" s="7"/>
      <c r="B67843" s="7"/>
    </row>
    <row r="67844" ht="15.75" customHeight="1">
      <c r="A67844" s="7"/>
      <c r="B67844" s="7"/>
    </row>
    <row r="67845" ht="15.75" customHeight="1">
      <c r="A67845" s="7"/>
      <c r="B67845" s="7"/>
    </row>
    <row r="67846" ht="15.75" customHeight="1">
      <c r="A67846" s="7"/>
      <c r="B67846" s="7"/>
    </row>
    <row r="67847" ht="15.75" customHeight="1">
      <c r="A67847" s="7"/>
      <c r="B67847" s="7"/>
    </row>
    <row r="67848" ht="15.75" customHeight="1">
      <c r="A67848" s="7"/>
      <c r="B67848" s="7"/>
    </row>
    <row r="67849" ht="15.75" customHeight="1">
      <c r="A67849" s="7"/>
      <c r="B67849" s="7"/>
    </row>
    <row r="67850" ht="15.75" customHeight="1">
      <c r="A67850" s="7"/>
      <c r="B67850" s="7"/>
    </row>
    <row r="67851" ht="15.75" customHeight="1">
      <c r="A67851" s="7"/>
      <c r="B67851" s="7"/>
    </row>
    <row r="67852" ht="15.75" customHeight="1">
      <c r="A67852" s="7"/>
      <c r="B67852" s="7"/>
    </row>
    <row r="67853" ht="15.75" customHeight="1">
      <c r="A67853" s="7"/>
      <c r="B67853" s="7"/>
    </row>
    <row r="67854" ht="15.75" customHeight="1">
      <c r="A67854" s="7"/>
      <c r="B67854" s="7"/>
    </row>
    <row r="67855" ht="15.75" customHeight="1">
      <c r="A67855" s="7"/>
      <c r="B67855" s="7"/>
    </row>
    <row r="67856" ht="15.75" customHeight="1">
      <c r="A67856" s="7"/>
      <c r="B67856" s="7"/>
    </row>
    <row r="67857" ht="15.75" customHeight="1">
      <c r="A67857" s="7"/>
      <c r="B67857" s="7"/>
    </row>
    <row r="67858" ht="15.75" customHeight="1">
      <c r="A67858" s="7"/>
      <c r="B67858" s="7"/>
    </row>
    <row r="67859" ht="15.75" customHeight="1">
      <c r="A67859" s="7"/>
      <c r="B67859" s="7"/>
    </row>
    <row r="67860" ht="15.75" customHeight="1">
      <c r="A67860" s="7"/>
      <c r="B67860" s="7"/>
    </row>
    <row r="67861" ht="15.75" customHeight="1">
      <c r="A67861" s="7"/>
      <c r="B67861" s="7"/>
    </row>
    <row r="67862" ht="15.75" customHeight="1">
      <c r="A67862" s="7"/>
      <c r="B67862" s="7"/>
    </row>
    <row r="67863" ht="15.75" customHeight="1">
      <c r="A67863" s="7"/>
      <c r="B67863" s="7"/>
    </row>
    <row r="67864" ht="15.75" customHeight="1">
      <c r="A67864" s="7"/>
      <c r="B67864" s="7"/>
    </row>
    <row r="67865" ht="15.75" customHeight="1">
      <c r="A67865" s="7"/>
      <c r="B67865" s="7"/>
    </row>
    <row r="67866" ht="15.75" customHeight="1">
      <c r="A67866" s="7"/>
      <c r="B67866" s="7"/>
    </row>
    <row r="67867" ht="15.75" customHeight="1">
      <c r="A67867" s="7"/>
      <c r="B67867" s="7"/>
    </row>
    <row r="67868" ht="15.75" customHeight="1">
      <c r="A67868" s="7"/>
      <c r="B67868" s="7"/>
    </row>
    <row r="67869" ht="15.75" customHeight="1">
      <c r="A67869" s="7"/>
      <c r="B67869" s="7"/>
    </row>
    <row r="67870" ht="15.75" customHeight="1">
      <c r="A67870" s="7"/>
      <c r="B67870" s="7"/>
    </row>
    <row r="67871" ht="15.75" customHeight="1">
      <c r="A67871" s="7"/>
      <c r="B67871" s="7"/>
    </row>
    <row r="67872" ht="15.75" customHeight="1">
      <c r="A67872" s="7"/>
      <c r="B67872" s="7"/>
    </row>
    <row r="67873" ht="15.75" customHeight="1">
      <c r="A67873" s="7"/>
      <c r="B67873" s="7"/>
    </row>
    <row r="67874" ht="15.75" customHeight="1">
      <c r="A67874" s="7"/>
      <c r="B67874" s="7"/>
    </row>
    <row r="67875" ht="15.75" customHeight="1">
      <c r="A67875" s="7"/>
      <c r="B67875" s="7"/>
    </row>
    <row r="67876" ht="15.75" customHeight="1">
      <c r="A67876" s="7"/>
      <c r="B67876" s="7"/>
    </row>
    <row r="67877" ht="15.75" customHeight="1">
      <c r="A67877" s="7"/>
      <c r="B67877" s="7"/>
    </row>
    <row r="67878" ht="15.75" customHeight="1">
      <c r="A67878" s="7"/>
      <c r="B67878" s="7"/>
    </row>
    <row r="67879" ht="15.75" customHeight="1">
      <c r="A67879" s="7"/>
      <c r="B67879" s="7"/>
    </row>
    <row r="67880" ht="15.75" customHeight="1">
      <c r="A67880" s="7"/>
      <c r="B67880" s="7"/>
    </row>
    <row r="67881" ht="15.75" customHeight="1">
      <c r="A67881" s="7"/>
      <c r="B67881" s="7"/>
    </row>
    <row r="67882" ht="15.75" customHeight="1">
      <c r="A67882" s="7"/>
      <c r="B67882" s="7"/>
    </row>
    <row r="67883" ht="15.75" customHeight="1">
      <c r="A67883" s="7"/>
      <c r="B67883" s="7"/>
    </row>
    <row r="67884" ht="15.75" customHeight="1">
      <c r="A67884" s="7"/>
      <c r="B67884" s="7"/>
    </row>
    <row r="67885" ht="15.75" customHeight="1">
      <c r="A67885" s="7"/>
      <c r="B67885" s="7"/>
    </row>
    <row r="67886" ht="15.75" customHeight="1">
      <c r="A67886" s="7"/>
      <c r="B67886" s="7"/>
    </row>
    <row r="67887" ht="15.75" customHeight="1">
      <c r="A67887" s="7"/>
      <c r="B67887" s="7"/>
    </row>
    <row r="67888" ht="15.75" customHeight="1">
      <c r="A67888" s="7"/>
      <c r="B67888" s="7"/>
    </row>
    <row r="67889" ht="15.75" customHeight="1">
      <c r="A67889" s="7"/>
      <c r="B67889" s="7"/>
    </row>
    <row r="67890" ht="15.75" customHeight="1">
      <c r="A67890" s="7"/>
      <c r="B67890" s="7"/>
    </row>
    <row r="67891" ht="15.75" customHeight="1">
      <c r="A67891" s="7"/>
      <c r="B67891" s="7"/>
    </row>
    <row r="67892" ht="15.75" customHeight="1">
      <c r="A67892" s="7"/>
      <c r="B67892" s="7"/>
    </row>
    <row r="67893" ht="15.75" customHeight="1">
      <c r="A67893" s="7"/>
      <c r="B67893" s="7"/>
    </row>
    <row r="67894" ht="15.75" customHeight="1">
      <c r="A67894" s="7"/>
      <c r="B67894" s="7"/>
    </row>
    <row r="67895" ht="15.75" customHeight="1">
      <c r="A67895" s="7"/>
      <c r="B67895" s="7"/>
    </row>
    <row r="67896" ht="15.75" customHeight="1">
      <c r="A67896" s="7"/>
      <c r="B67896" s="7"/>
    </row>
    <row r="67897" ht="15.75" customHeight="1">
      <c r="A67897" s="7"/>
      <c r="B67897" s="7"/>
    </row>
    <row r="67898" ht="15.75" customHeight="1">
      <c r="A67898" s="7"/>
      <c r="B67898" s="7"/>
    </row>
    <row r="67899" ht="15.75" customHeight="1">
      <c r="A67899" s="7"/>
      <c r="B67899" s="7"/>
    </row>
    <row r="67900" ht="15.75" customHeight="1">
      <c r="A67900" s="7"/>
      <c r="B67900" s="7"/>
    </row>
    <row r="67901" ht="15.75" customHeight="1">
      <c r="A67901" s="7"/>
      <c r="B67901" s="7"/>
    </row>
    <row r="67902" ht="15.75" customHeight="1">
      <c r="A67902" s="7"/>
      <c r="B67902" s="7"/>
    </row>
    <row r="67903" ht="15.75" customHeight="1">
      <c r="A67903" s="7"/>
      <c r="B67903" s="7"/>
    </row>
    <row r="67904" ht="15.75" customHeight="1">
      <c r="A67904" s="7"/>
      <c r="B67904" s="7"/>
    </row>
    <row r="67905" ht="15.75" customHeight="1">
      <c r="A67905" s="7"/>
      <c r="B67905" s="7"/>
    </row>
    <row r="67906" ht="15.75" customHeight="1">
      <c r="A67906" s="7"/>
      <c r="B67906" s="7"/>
    </row>
    <row r="67907" ht="15.75" customHeight="1">
      <c r="A67907" s="7"/>
      <c r="B67907" s="7"/>
    </row>
    <row r="67908" ht="15.75" customHeight="1">
      <c r="A67908" s="7"/>
      <c r="B67908" s="7"/>
    </row>
    <row r="67909" ht="15.75" customHeight="1">
      <c r="A67909" s="7"/>
      <c r="B67909" s="7"/>
    </row>
    <row r="67910" ht="15.75" customHeight="1">
      <c r="A67910" s="7"/>
      <c r="B67910" s="7"/>
    </row>
    <row r="67911" ht="15.75" customHeight="1">
      <c r="A67911" s="7"/>
      <c r="B67911" s="7"/>
    </row>
    <row r="67912" ht="15.75" customHeight="1">
      <c r="A67912" s="7"/>
      <c r="B67912" s="7"/>
    </row>
    <row r="67913" ht="15.75" customHeight="1">
      <c r="A67913" s="7"/>
      <c r="B67913" s="7"/>
    </row>
    <row r="67914" ht="15.75" customHeight="1">
      <c r="A67914" s="7"/>
      <c r="B67914" s="7"/>
    </row>
    <row r="67915" ht="15.75" customHeight="1">
      <c r="A67915" s="7"/>
      <c r="B67915" s="7"/>
    </row>
    <row r="67916" ht="15.75" customHeight="1">
      <c r="A67916" s="7"/>
      <c r="B67916" s="7"/>
    </row>
    <row r="67917" ht="15.75" customHeight="1">
      <c r="A67917" s="7"/>
      <c r="B67917" s="7"/>
    </row>
    <row r="67918" ht="15.75" customHeight="1">
      <c r="A67918" s="7"/>
      <c r="B67918" s="7"/>
    </row>
    <row r="67919" ht="15.75" customHeight="1">
      <c r="A67919" s="7"/>
      <c r="B67919" s="7"/>
    </row>
    <row r="67920" ht="15.75" customHeight="1">
      <c r="A67920" s="7"/>
      <c r="B67920" s="7"/>
    </row>
    <row r="67921" ht="15.75" customHeight="1">
      <c r="A67921" s="7"/>
      <c r="B67921" s="7"/>
    </row>
    <row r="67922" ht="15.75" customHeight="1">
      <c r="A67922" s="7"/>
      <c r="B67922" s="7"/>
    </row>
    <row r="67923" ht="15.75" customHeight="1">
      <c r="A67923" s="7"/>
      <c r="B67923" s="7"/>
    </row>
    <row r="67924" ht="15.75" customHeight="1">
      <c r="A67924" s="7"/>
      <c r="B67924" s="7"/>
    </row>
    <row r="67925" ht="15.75" customHeight="1">
      <c r="A67925" s="7"/>
      <c r="B67925" s="7"/>
    </row>
    <row r="67926" ht="15.75" customHeight="1">
      <c r="A67926" s="7"/>
      <c r="B67926" s="7"/>
    </row>
    <row r="67927" ht="15.75" customHeight="1">
      <c r="A67927" s="7"/>
      <c r="B67927" s="7"/>
    </row>
    <row r="67928" ht="15.75" customHeight="1">
      <c r="A67928" s="7"/>
      <c r="B67928" s="7"/>
    </row>
    <row r="67929" ht="15.75" customHeight="1">
      <c r="A67929" s="7"/>
      <c r="B67929" s="7"/>
    </row>
    <row r="67930" ht="15.75" customHeight="1">
      <c r="A67930" s="7"/>
      <c r="B67930" s="7"/>
    </row>
    <row r="67931" ht="15.75" customHeight="1">
      <c r="A67931" s="7"/>
      <c r="B67931" s="7"/>
    </row>
    <row r="67932" ht="15.75" customHeight="1">
      <c r="A67932" s="7"/>
      <c r="B67932" s="7"/>
    </row>
    <row r="67933" ht="15.75" customHeight="1">
      <c r="A67933" s="7"/>
      <c r="B67933" s="7"/>
    </row>
    <row r="67934" ht="15.75" customHeight="1">
      <c r="A67934" s="7"/>
      <c r="B67934" s="7"/>
    </row>
    <row r="67935" ht="15.75" customHeight="1">
      <c r="A67935" s="7"/>
      <c r="B67935" s="7"/>
    </row>
    <row r="67936" ht="15.75" customHeight="1">
      <c r="A67936" s="7"/>
      <c r="B67936" s="7"/>
    </row>
    <row r="67937" ht="15.75" customHeight="1">
      <c r="A67937" s="7"/>
      <c r="B67937" s="7"/>
    </row>
    <row r="67938" ht="15.75" customHeight="1">
      <c r="A67938" s="7"/>
      <c r="B67938" s="7"/>
    </row>
    <row r="67939" ht="15.75" customHeight="1">
      <c r="A67939" s="7"/>
      <c r="B67939" s="7"/>
    </row>
    <row r="67940" ht="15.75" customHeight="1">
      <c r="A67940" s="7"/>
      <c r="B67940" s="7"/>
    </row>
    <row r="67941" ht="15.75" customHeight="1">
      <c r="A67941" s="7"/>
      <c r="B67941" s="7"/>
    </row>
    <row r="67942" ht="15.75" customHeight="1">
      <c r="A67942" s="7"/>
      <c r="B67942" s="7"/>
    </row>
    <row r="67943" ht="15.75" customHeight="1">
      <c r="A67943" s="7"/>
      <c r="B67943" s="7"/>
    </row>
    <row r="67944" ht="15.75" customHeight="1">
      <c r="A67944" s="7"/>
      <c r="B67944" s="7"/>
    </row>
    <row r="67945" ht="15.75" customHeight="1">
      <c r="A67945" s="7"/>
      <c r="B67945" s="7"/>
    </row>
    <row r="67946" ht="15.75" customHeight="1">
      <c r="A67946" s="7"/>
      <c r="B67946" s="7"/>
    </row>
    <row r="67947" ht="15.75" customHeight="1">
      <c r="A67947" s="7"/>
      <c r="B67947" s="7"/>
    </row>
    <row r="67948" ht="15.75" customHeight="1">
      <c r="A67948" s="7"/>
      <c r="B67948" s="7"/>
    </row>
    <row r="67949" ht="15.75" customHeight="1">
      <c r="A67949" s="7"/>
      <c r="B67949" s="7"/>
    </row>
    <row r="67950" ht="15.75" customHeight="1">
      <c r="A67950" s="7"/>
      <c r="B67950" s="7"/>
    </row>
    <row r="67951" ht="15.75" customHeight="1">
      <c r="A67951" s="7"/>
      <c r="B67951" s="7"/>
    </row>
    <row r="67952" ht="15.75" customHeight="1">
      <c r="A67952" s="7"/>
      <c r="B67952" s="7"/>
    </row>
    <row r="67953" ht="15.75" customHeight="1">
      <c r="A67953" s="7"/>
      <c r="B67953" s="7"/>
    </row>
    <row r="67954" ht="15.75" customHeight="1">
      <c r="A67954" s="7"/>
      <c r="B67954" s="7"/>
    </row>
    <row r="67955" ht="15.75" customHeight="1">
      <c r="A67955" s="7"/>
      <c r="B67955" s="7"/>
    </row>
    <row r="67956" ht="15.75" customHeight="1">
      <c r="A67956" s="7"/>
      <c r="B67956" s="7"/>
    </row>
    <row r="67957" ht="15.75" customHeight="1">
      <c r="A67957" s="7"/>
      <c r="B67957" s="7"/>
    </row>
    <row r="67958" ht="15.75" customHeight="1">
      <c r="A67958" s="7"/>
      <c r="B67958" s="7"/>
    </row>
    <row r="67959" ht="15.75" customHeight="1">
      <c r="A67959" s="7"/>
      <c r="B67959" s="7"/>
    </row>
    <row r="67960" ht="15.75" customHeight="1">
      <c r="A67960" s="7"/>
      <c r="B67960" s="7"/>
    </row>
    <row r="67961" ht="15.75" customHeight="1">
      <c r="A67961" s="7"/>
      <c r="B67961" s="7"/>
    </row>
    <row r="67962" ht="15.75" customHeight="1">
      <c r="A67962" s="7"/>
      <c r="B67962" s="7"/>
    </row>
    <row r="67963" ht="15.75" customHeight="1">
      <c r="A67963" s="7"/>
      <c r="B67963" s="7"/>
    </row>
    <row r="67964" ht="15.75" customHeight="1">
      <c r="A67964" s="7"/>
      <c r="B67964" s="7"/>
    </row>
    <row r="67965" ht="15.75" customHeight="1">
      <c r="A67965" s="7"/>
      <c r="B67965" s="7"/>
    </row>
    <row r="67966" ht="15.75" customHeight="1">
      <c r="A67966" s="7"/>
      <c r="B67966" s="7"/>
    </row>
    <row r="67967" ht="15.75" customHeight="1">
      <c r="A67967" s="7"/>
      <c r="B67967" s="7"/>
    </row>
    <row r="67968" ht="15.75" customHeight="1">
      <c r="A67968" s="7"/>
      <c r="B67968" s="7"/>
    </row>
    <row r="67969" ht="15.75" customHeight="1">
      <c r="A67969" s="7"/>
      <c r="B67969" s="7"/>
    </row>
    <row r="67970" ht="15.75" customHeight="1">
      <c r="A67970" s="7"/>
      <c r="B67970" s="7"/>
    </row>
    <row r="67971" ht="15.75" customHeight="1">
      <c r="A67971" s="7"/>
      <c r="B67971" s="7"/>
    </row>
    <row r="67972" ht="15.75" customHeight="1">
      <c r="A67972" s="7"/>
      <c r="B67972" s="7"/>
    </row>
    <row r="67973" ht="15.75" customHeight="1">
      <c r="A67973" s="7"/>
      <c r="B67973" s="7"/>
    </row>
    <row r="67974" ht="15.75" customHeight="1">
      <c r="A67974" s="7"/>
      <c r="B67974" s="7"/>
    </row>
    <row r="67975" ht="15.75" customHeight="1">
      <c r="A67975" s="7"/>
      <c r="B67975" s="7"/>
    </row>
    <row r="67976" ht="15.75" customHeight="1">
      <c r="A67976" s="7"/>
      <c r="B67976" s="7"/>
    </row>
    <row r="67977" ht="15.75" customHeight="1">
      <c r="A67977" s="7"/>
      <c r="B67977" s="7"/>
    </row>
    <row r="67978" ht="15.75" customHeight="1">
      <c r="A67978" s="7"/>
      <c r="B67978" s="7"/>
    </row>
    <row r="67979" ht="15.75" customHeight="1">
      <c r="A67979" s="7"/>
      <c r="B67979" s="7"/>
    </row>
    <row r="67980" ht="15.75" customHeight="1">
      <c r="A67980" s="7"/>
      <c r="B67980" s="7"/>
    </row>
    <row r="67981" ht="15.75" customHeight="1">
      <c r="A67981" s="7"/>
      <c r="B67981" s="7"/>
    </row>
    <row r="67982" ht="15.75" customHeight="1">
      <c r="A67982" s="7"/>
      <c r="B67982" s="7"/>
    </row>
    <row r="67983" ht="15.75" customHeight="1">
      <c r="A67983" s="7"/>
      <c r="B67983" s="7"/>
    </row>
    <row r="67984" ht="15.75" customHeight="1">
      <c r="A67984" s="7"/>
      <c r="B67984" s="7"/>
    </row>
    <row r="67985" ht="15.75" customHeight="1">
      <c r="A67985" s="7"/>
      <c r="B67985" s="7"/>
    </row>
    <row r="67986" ht="15.75" customHeight="1">
      <c r="A67986" s="7"/>
      <c r="B67986" s="7"/>
    </row>
    <row r="67987" ht="15.75" customHeight="1">
      <c r="A67987" s="7"/>
      <c r="B67987" s="7"/>
    </row>
    <row r="67988" ht="15.75" customHeight="1">
      <c r="A67988" s="7"/>
      <c r="B67988" s="7"/>
    </row>
    <row r="67989" ht="15.75" customHeight="1">
      <c r="A67989" s="7"/>
      <c r="B67989" s="7"/>
    </row>
    <row r="67990" ht="15.75" customHeight="1">
      <c r="A67990" s="7"/>
      <c r="B67990" s="7"/>
    </row>
    <row r="67991" ht="15.75" customHeight="1">
      <c r="A67991" s="7"/>
      <c r="B67991" s="7"/>
    </row>
    <row r="67992" ht="15.75" customHeight="1">
      <c r="A67992" s="7"/>
      <c r="B67992" s="7"/>
    </row>
    <row r="67993" ht="15.75" customHeight="1">
      <c r="A67993" s="7"/>
      <c r="B67993" s="7"/>
    </row>
    <row r="67994" ht="15.75" customHeight="1">
      <c r="A67994" s="7"/>
      <c r="B67994" s="7"/>
    </row>
    <row r="67995" ht="15.75" customHeight="1">
      <c r="A67995" s="7"/>
      <c r="B67995" s="7"/>
    </row>
    <row r="67996" ht="15.75" customHeight="1">
      <c r="A67996" s="7"/>
      <c r="B67996" s="7"/>
    </row>
    <row r="67997" ht="15.75" customHeight="1">
      <c r="A67997" s="7"/>
      <c r="B67997" s="7"/>
    </row>
    <row r="67998" ht="15.75" customHeight="1">
      <c r="A67998" s="7"/>
      <c r="B67998" s="7"/>
    </row>
    <row r="67999" ht="15.75" customHeight="1">
      <c r="A67999" s="7"/>
      <c r="B67999" s="7"/>
    </row>
    <row r="68000" ht="15.75" customHeight="1">
      <c r="A68000" s="7"/>
      <c r="B68000" s="7"/>
    </row>
    <row r="68001" ht="15.75" customHeight="1">
      <c r="A68001" s="7"/>
      <c r="B68001" s="7"/>
    </row>
    <row r="68002" ht="15.75" customHeight="1">
      <c r="A68002" s="7"/>
      <c r="B68002" s="7"/>
    </row>
    <row r="68003" ht="15.75" customHeight="1">
      <c r="A68003" s="7"/>
      <c r="B68003" s="7"/>
    </row>
    <row r="68004" ht="15.75" customHeight="1">
      <c r="A68004" s="7"/>
      <c r="B68004" s="7"/>
    </row>
    <row r="68005" ht="15.75" customHeight="1">
      <c r="A68005" s="7"/>
      <c r="B68005" s="7"/>
    </row>
    <row r="68006" ht="15.75" customHeight="1">
      <c r="A68006" s="7"/>
      <c r="B68006" s="7"/>
    </row>
    <row r="68007" ht="15.75" customHeight="1">
      <c r="A68007" s="7"/>
      <c r="B68007" s="7"/>
    </row>
    <row r="68008" ht="15.75" customHeight="1">
      <c r="A68008" s="7"/>
      <c r="B68008" s="7"/>
    </row>
    <row r="68009" ht="15.75" customHeight="1">
      <c r="A68009" s="7"/>
      <c r="B68009" s="7"/>
    </row>
    <row r="68010" ht="15.75" customHeight="1">
      <c r="A68010" s="7"/>
      <c r="B68010" s="7"/>
    </row>
    <row r="68011" ht="15.75" customHeight="1">
      <c r="A68011" s="7"/>
      <c r="B68011" s="7"/>
    </row>
    <row r="68012" ht="15.75" customHeight="1">
      <c r="A68012" s="7"/>
      <c r="B68012" s="7"/>
    </row>
    <row r="68013" ht="15.75" customHeight="1">
      <c r="A68013" s="7"/>
      <c r="B68013" s="7"/>
    </row>
    <row r="68014" ht="15.75" customHeight="1">
      <c r="A68014" s="7"/>
      <c r="B68014" s="7"/>
    </row>
    <row r="68015" ht="15.75" customHeight="1">
      <c r="A68015" s="7"/>
      <c r="B68015" s="7"/>
    </row>
    <row r="68016" ht="15.75" customHeight="1">
      <c r="A68016" s="7"/>
      <c r="B68016" s="7"/>
    </row>
    <row r="68017" ht="15.75" customHeight="1">
      <c r="A68017" s="7"/>
      <c r="B68017" s="7"/>
    </row>
    <row r="68018" ht="15.75" customHeight="1">
      <c r="A68018" s="7"/>
      <c r="B68018" s="7"/>
    </row>
    <row r="68019" ht="15.75" customHeight="1">
      <c r="A68019" s="7"/>
      <c r="B68019" s="7"/>
    </row>
    <row r="68020" ht="15.75" customHeight="1">
      <c r="A68020" s="7"/>
      <c r="B68020" s="7"/>
    </row>
    <row r="68021" ht="15.75" customHeight="1">
      <c r="A68021" s="7"/>
      <c r="B68021" s="7"/>
    </row>
    <row r="68022" ht="15.75" customHeight="1">
      <c r="A68022" s="7"/>
      <c r="B68022" s="7"/>
    </row>
    <row r="68023" ht="15.75" customHeight="1">
      <c r="A68023" s="7"/>
      <c r="B68023" s="7"/>
    </row>
    <row r="68024" ht="15.75" customHeight="1">
      <c r="A68024" s="7"/>
      <c r="B68024" s="7"/>
    </row>
    <row r="68025" ht="15.75" customHeight="1">
      <c r="A68025" s="7"/>
      <c r="B68025" s="7"/>
    </row>
    <row r="68026" ht="15.75" customHeight="1">
      <c r="A68026" s="7"/>
      <c r="B68026" s="7"/>
    </row>
    <row r="68027" ht="15.75" customHeight="1">
      <c r="A68027" s="7"/>
      <c r="B68027" s="7"/>
    </row>
    <row r="68028" ht="15.75" customHeight="1">
      <c r="A68028" s="7"/>
      <c r="B68028" s="7"/>
    </row>
    <row r="68029" ht="15.75" customHeight="1">
      <c r="A68029" s="7"/>
      <c r="B68029" s="7"/>
    </row>
    <row r="68030" ht="15.75" customHeight="1">
      <c r="A68030" s="7"/>
      <c r="B68030" s="7"/>
    </row>
    <row r="68031" ht="15.75" customHeight="1">
      <c r="A68031" s="7"/>
      <c r="B68031" s="7"/>
    </row>
    <row r="68032" ht="15.75" customHeight="1">
      <c r="A68032" s="7"/>
      <c r="B68032" s="7"/>
    </row>
    <row r="68033" ht="15.75" customHeight="1">
      <c r="A68033" s="7"/>
      <c r="B68033" s="7"/>
    </row>
    <row r="68034" ht="15.75" customHeight="1">
      <c r="A68034" s="7"/>
      <c r="B68034" s="7"/>
    </row>
    <row r="68035" ht="15.75" customHeight="1">
      <c r="A68035" s="7"/>
      <c r="B68035" s="7"/>
    </row>
    <row r="68036" ht="15.75" customHeight="1">
      <c r="A68036" s="7"/>
      <c r="B68036" s="7"/>
    </row>
    <row r="68037" ht="15.75" customHeight="1">
      <c r="A68037" s="7"/>
      <c r="B68037" s="7"/>
    </row>
    <row r="68038" ht="15.75" customHeight="1">
      <c r="A68038" s="7"/>
      <c r="B68038" s="7"/>
    </row>
    <row r="68039" ht="15.75" customHeight="1">
      <c r="A68039" s="7"/>
      <c r="B68039" s="7"/>
    </row>
    <row r="68040" ht="15.75" customHeight="1">
      <c r="A68040" s="7"/>
      <c r="B68040" s="7"/>
    </row>
    <row r="68041" ht="15.75" customHeight="1">
      <c r="A68041" s="7"/>
      <c r="B68041" s="7"/>
    </row>
    <row r="68042" ht="15.75" customHeight="1">
      <c r="A68042" s="7"/>
      <c r="B68042" s="7"/>
    </row>
    <row r="68043" ht="15.75" customHeight="1">
      <c r="A68043" s="7"/>
      <c r="B68043" s="7"/>
    </row>
    <row r="68044" ht="15.75" customHeight="1">
      <c r="A68044" s="7"/>
      <c r="B68044" s="7"/>
    </row>
    <row r="68045" ht="15.75" customHeight="1">
      <c r="A68045" s="7"/>
      <c r="B68045" s="7"/>
    </row>
    <row r="68046" ht="15.75" customHeight="1">
      <c r="A68046" s="7"/>
      <c r="B68046" s="7"/>
    </row>
    <row r="68047" ht="15.75" customHeight="1">
      <c r="A68047" s="7"/>
      <c r="B68047" s="7"/>
    </row>
    <row r="68048" ht="15.75" customHeight="1">
      <c r="A68048" s="7"/>
      <c r="B68048" s="7"/>
    </row>
    <row r="68049" ht="15.75" customHeight="1">
      <c r="A68049" s="7"/>
      <c r="B68049" s="7"/>
    </row>
    <row r="68050" ht="15.75" customHeight="1">
      <c r="A68050" s="7"/>
      <c r="B68050" s="7"/>
    </row>
    <row r="68051" ht="15.75" customHeight="1">
      <c r="A68051" s="7"/>
      <c r="B68051" s="7"/>
    </row>
    <row r="68052" ht="15.75" customHeight="1">
      <c r="A68052" s="7"/>
      <c r="B68052" s="7"/>
    </row>
    <row r="68053" ht="15.75" customHeight="1">
      <c r="A68053" s="7"/>
      <c r="B68053" s="7"/>
    </row>
    <row r="68054" ht="15.75" customHeight="1">
      <c r="A68054" s="7"/>
      <c r="B68054" s="7"/>
    </row>
    <row r="68055" ht="15.75" customHeight="1">
      <c r="A68055" s="7"/>
      <c r="B68055" s="7"/>
    </row>
    <row r="68056" ht="15.75" customHeight="1">
      <c r="A68056" s="7"/>
      <c r="B68056" s="7"/>
    </row>
    <row r="68057" ht="15.75" customHeight="1">
      <c r="A68057" s="7"/>
      <c r="B68057" s="7"/>
    </row>
    <row r="68058" ht="15.75" customHeight="1">
      <c r="A68058" s="7"/>
      <c r="B68058" s="7"/>
    </row>
    <row r="68059" ht="15.75" customHeight="1">
      <c r="A68059" s="7"/>
      <c r="B68059" s="7"/>
    </row>
    <row r="68060" ht="15.75" customHeight="1">
      <c r="A68060" s="7"/>
      <c r="B68060" s="7"/>
    </row>
    <row r="68061" ht="15.75" customHeight="1">
      <c r="A68061" s="7"/>
      <c r="B68061" s="7"/>
    </row>
    <row r="68062" ht="15.75" customHeight="1">
      <c r="A68062" s="7"/>
      <c r="B68062" s="7"/>
    </row>
    <row r="68063" ht="15.75" customHeight="1">
      <c r="A68063" s="7"/>
      <c r="B68063" s="7"/>
    </row>
    <row r="68064" ht="15.75" customHeight="1">
      <c r="A68064" s="7"/>
      <c r="B68064" s="7"/>
    </row>
    <row r="68065" ht="15.75" customHeight="1">
      <c r="A68065" s="7"/>
      <c r="B68065" s="7"/>
    </row>
    <row r="68066" ht="15.75" customHeight="1">
      <c r="A68066" s="7"/>
      <c r="B68066" s="7"/>
    </row>
    <row r="68067" ht="15.75" customHeight="1">
      <c r="A68067" s="7"/>
      <c r="B68067" s="7"/>
    </row>
    <row r="68068" ht="15.75" customHeight="1">
      <c r="A68068" s="7"/>
      <c r="B68068" s="7"/>
    </row>
    <row r="68069" ht="15.75" customHeight="1">
      <c r="A68069" s="7"/>
      <c r="B68069" s="7"/>
    </row>
    <row r="68070" ht="15.75" customHeight="1">
      <c r="A68070" s="7"/>
      <c r="B68070" s="7"/>
    </row>
    <row r="68071" ht="15.75" customHeight="1">
      <c r="A68071" s="7"/>
      <c r="B68071" s="7"/>
    </row>
    <row r="68072" ht="15.75" customHeight="1">
      <c r="A68072" s="7"/>
      <c r="B68072" s="7"/>
    </row>
    <row r="68073" ht="15.75" customHeight="1">
      <c r="A68073" s="7"/>
      <c r="B68073" s="7"/>
    </row>
    <row r="68074" ht="15.75" customHeight="1">
      <c r="A68074" s="7"/>
      <c r="B68074" s="7"/>
    </row>
    <row r="68075" ht="15.75" customHeight="1">
      <c r="A68075" s="7"/>
      <c r="B68075" s="7"/>
    </row>
    <row r="68076" ht="15.75" customHeight="1">
      <c r="A68076" s="7"/>
      <c r="B68076" s="7"/>
    </row>
    <row r="68077" ht="15.75" customHeight="1">
      <c r="A68077" s="7"/>
      <c r="B68077" s="7"/>
    </row>
    <row r="68078" ht="15.75" customHeight="1">
      <c r="A68078" s="7"/>
      <c r="B68078" s="7"/>
    </row>
    <row r="68079" ht="15.75" customHeight="1">
      <c r="A68079" s="7"/>
      <c r="B68079" s="7"/>
    </row>
    <row r="68080" ht="15.75" customHeight="1">
      <c r="A68080" s="7"/>
      <c r="B68080" s="7"/>
    </row>
    <row r="68081" ht="15.75" customHeight="1">
      <c r="A68081" s="7"/>
      <c r="B68081" s="7"/>
    </row>
    <row r="68082" ht="15.75" customHeight="1">
      <c r="A68082" s="7"/>
      <c r="B68082" s="7"/>
    </row>
    <row r="68083" ht="15.75" customHeight="1">
      <c r="A68083" s="7"/>
      <c r="B68083" s="7"/>
    </row>
    <row r="68084" ht="15.75" customHeight="1">
      <c r="A68084" s="7"/>
      <c r="B68084" s="7"/>
    </row>
    <row r="68085" ht="15.75" customHeight="1">
      <c r="A68085" s="7"/>
      <c r="B68085" s="7"/>
    </row>
    <row r="68086" ht="15.75" customHeight="1">
      <c r="A68086" s="7"/>
      <c r="B68086" s="7"/>
    </row>
    <row r="68087" ht="15.75" customHeight="1">
      <c r="A68087" s="7"/>
      <c r="B68087" s="7"/>
    </row>
    <row r="68088" ht="15.75" customHeight="1">
      <c r="A68088" s="7"/>
      <c r="B68088" s="7"/>
    </row>
    <row r="68089" ht="15.75" customHeight="1">
      <c r="A68089" s="7"/>
      <c r="B68089" s="7"/>
    </row>
    <row r="68090" ht="15.75" customHeight="1">
      <c r="A68090" s="7"/>
      <c r="B68090" s="7"/>
    </row>
    <row r="68091" ht="15.75" customHeight="1">
      <c r="A68091" s="7"/>
      <c r="B68091" s="7"/>
    </row>
    <row r="68092" ht="15.75" customHeight="1">
      <c r="A68092" s="7"/>
      <c r="B68092" s="7"/>
    </row>
    <row r="68093" ht="15.75" customHeight="1">
      <c r="A68093" s="7"/>
      <c r="B68093" s="7"/>
    </row>
    <row r="68094" ht="15.75" customHeight="1">
      <c r="A68094" s="7"/>
      <c r="B68094" s="7"/>
    </row>
    <row r="68095" ht="15.75" customHeight="1">
      <c r="A68095" s="7"/>
      <c r="B68095" s="7"/>
    </row>
    <row r="68096" ht="15.75" customHeight="1">
      <c r="A68096" s="7"/>
      <c r="B68096" s="7"/>
    </row>
    <row r="68097" ht="15.75" customHeight="1">
      <c r="A68097" s="7"/>
      <c r="B68097" s="7"/>
    </row>
    <row r="68098" ht="15.75" customHeight="1">
      <c r="A68098" s="7"/>
      <c r="B68098" s="7"/>
    </row>
    <row r="68099" ht="15.75" customHeight="1">
      <c r="A68099" s="7"/>
      <c r="B68099" s="7"/>
    </row>
    <row r="68100" ht="15.75" customHeight="1">
      <c r="A68100" s="7"/>
      <c r="B68100" s="7"/>
    </row>
    <row r="68101" ht="15.75" customHeight="1">
      <c r="A68101" s="7"/>
      <c r="B68101" s="7"/>
    </row>
    <row r="68102" ht="15.75" customHeight="1">
      <c r="A68102" s="7"/>
      <c r="B68102" s="7"/>
    </row>
    <row r="68103" ht="15.75" customHeight="1">
      <c r="A68103" s="7"/>
      <c r="B68103" s="7"/>
    </row>
    <row r="68104" ht="15.75" customHeight="1">
      <c r="A68104" s="7"/>
      <c r="B68104" s="7"/>
    </row>
    <row r="68105" ht="15.75" customHeight="1">
      <c r="A68105" s="7"/>
      <c r="B68105" s="7"/>
    </row>
    <row r="68106" ht="15.75" customHeight="1">
      <c r="A68106" s="7"/>
      <c r="B68106" s="7"/>
    </row>
    <row r="68107" ht="15.75" customHeight="1">
      <c r="A68107" s="7"/>
      <c r="B68107" s="7"/>
    </row>
    <row r="68108" ht="15.75" customHeight="1">
      <c r="A68108" s="7"/>
      <c r="B68108" s="7"/>
    </row>
    <row r="68109" ht="15.75" customHeight="1">
      <c r="A68109" s="7"/>
      <c r="B68109" s="7"/>
    </row>
    <row r="68110" ht="15.75" customHeight="1">
      <c r="A68110" s="7"/>
      <c r="B68110" s="7"/>
    </row>
    <row r="68111" ht="15.75" customHeight="1">
      <c r="A68111" s="7"/>
      <c r="B68111" s="7"/>
    </row>
    <row r="68112" ht="15.75" customHeight="1">
      <c r="A68112" s="7"/>
      <c r="B68112" s="7"/>
    </row>
    <row r="68113" ht="15.75" customHeight="1">
      <c r="A68113" s="7"/>
      <c r="B68113" s="7"/>
    </row>
    <row r="68114" ht="15.75" customHeight="1">
      <c r="A68114" s="7"/>
      <c r="B68114" s="7"/>
    </row>
    <row r="68115" ht="15.75" customHeight="1">
      <c r="A68115" s="7"/>
      <c r="B68115" s="7"/>
    </row>
    <row r="68116" ht="15.75" customHeight="1">
      <c r="A68116" s="7"/>
      <c r="B68116" s="7"/>
    </row>
    <row r="68117" ht="15.75" customHeight="1">
      <c r="A68117" s="7"/>
      <c r="B68117" s="7"/>
    </row>
    <row r="68118" ht="15.75" customHeight="1">
      <c r="A68118" s="7"/>
      <c r="B68118" s="7"/>
    </row>
    <row r="68119" ht="15.75" customHeight="1">
      <c r="A68119" s="7"/>
      <c r="B68119" s="7"/>
    </row>
    <row r="68120" ht="15.75" customHeight="1">
      <c r="A68120" s="7"/>
      <c r="B68120" s="7"/>
    </row>
    <row r="68121" ht="15.75" customHeight="1">
      <c r="A68121" s="7"/>
      <c r="B68121" s="7"/>
    </row>
    <row r="68122" ht="15.75" customHeight="1">
      <c r="A68122" s="7"/>
      <c r="B68122" s="7"/>
    </row>
    <row r="68123" ht="15.75" customHeight="1">
      <c r="A68123" s="7"/>
      <c r="B68123" s="7"/>
    </row>
    <row r="68124" ht="15.75" customHeight="1">
      <c r="A68124" s="7"/>
      <c r="B68124" s="7"/>
    </row>
    <row r="68125" ht="15.75" customHeight="1">
      <c r="A68125" s="7"/>
      <c r="B68125" s="7"/>
    </row>
    <row r="68126" ht="15.75" customHeight="1">
      <c r="A68126" s="7"/>
      <c r="B68126" s="7"/>
    </row>
    <row r="68127" ht="15.75" customHeight="1">
      <c r="A68127" s="7"/>
      <c r="B68127" s="7"/>
    </row>
    <row r="68128" ht="15.75" customHeight="1">
      <c r="A68128" s="7"/>
      <c r="B68128" s="7"/>
    </row>
    <row r="68129" ht="15.75" customHeight="1">
      <c r="A68129" s="7"/>
      <c r="B68129" s="7"/>
    </row>
    <row r="68130" ht="15.75" customHeight="1">
      <c r="A68130" s="7"/>
      <c r="B68130" s="7"/>
    </row>
    <row r="68131" ht="15.75" customHeight="1">
      <c r="A68131" s="7"/>
      <c r="B68131" s="7"/>
    </row>
    <row r="68132" ht="15.75" customHeight="1">
      <c r="A68132" s="7"/>
      <c r="B68132" s="7"/>
    </row>
    <row r="68133" ht="15.75" customHeight="1">
      <c r="A68133" s="7"/>
      <c r="B68133" s="7"/>
    </row>
    <row r="68134" ht="15.75" customHeight="1">
      <c r="A68134" s="7"/>
      <c r="B68134" s="7"/>
    </row>
    <row r="68135" ht="15.75" customHeight="1">
      <c r="A68135" s="7"/>
      <c r="B68135" s="7"/>
    </row>
    <row r="68136" ht="15.75" customHeight="1">
      <c r="A68136" s="7"/>
      <c r="B68136" s="7"/>
    </row>
    <row r="68137" ht="15.75" customHeight="1">
      <c r="A68137" s="7"/>
      <c r="B68137" s="7"/>
    </row>
    <row r="68138" ht="15.75" customHeight="1">
      <c r="A68138" s="7"/>
      <c r="B68138" s="7"/>
    </row>
    <row r="68139" ht="15.75" customHeight="1">
      <c r="A68139" s="7"/>
      <c r="B68139" s="7"/>
    </row>
    <row r="68140" ht="15.75" customHeight="1">
      <c r="A68140" s="7"/>
      <c r="B68140" s="7"/>
    </row>
    <row r="68141" ht="15.75" customHeight="1">
      <c r="A68141" s="7"/>
      <c r="B68141" s="7"/>
    </row>
    <row r="68142" ht="15.75" customHeight="1">
      <c r="A68142" s="7"/>
      <c r="B68142" s="7"/>
    </row>
    <row r="68143" ht="15.75" customHeight="1">
      <c r="A68143" s="7"/>
      <c r="B68143" s="7"/>
    </row>
    <row r="68144" ht="15.75" customHeight="1">
      <c r="A68144" s="7"/>
      <c r="B68144" s="7"/>
    </row>
    <row r="68145" ht="15.75" customHeight="1">
      <c r="A68145" s="7"/>
      <c r="B68145" s="7"/>
    </row>
    <row r="68146" ht="15.75" customHeight="1">
      <c r="A68146" s="7"/>
      <c r="B68146" s="7"/>
    </row>
    <row r="68147" ht="15.75" customHeight="1">
      <c r="A68147" s="7"/>
      <c r="B68147" s="7"/>
    </row>
    <row r="68148" ht="15.75" customHeight="1">
      <c r="A68148" s="7"/>
      <c r="B68148" s="7"/>
    </row>
    <row r="68149" ht="15.75" customHeight="1">
      <c r="A68149" s="7"/>
      <c r="B68149" s="7"/>
    </row>
    <row r="68150" ht="15.75" customHeight="1">
      <c r="A68150" s="7"/>
      <c r="B68150" s="7"/>
    </row>
    <row r="68151" ht="15.75" customHeight="1">
      <c r="A68151" s="7"/>
      <c r="B68151" s="7"/>
    </row>
    <row r="68152" ht="15.75" customHeight="1">
      <c r="A68152" s="7"/>
      <c r="B68152" s="7"/>
    </row>
    <row r="68153" ht="15.75" customHeight="1">
      <c r="A68153" s="7"/>
      <c r="B68153" s="7"/>
    </row>
    <row r="68154" ht="15.75" customHeight="1">
      <c r="A68154" s="7"/>
      <c r="B68154" s="7"/>
    </row>
    <row r="68155" ht="15.75" customHeight="1">
      <c r="A68155" s="7"/>
      <c r="B68155" s="7"/>
    </row>
    <row r="68156" ht="15.75" customHeight="1">
      <c r="A68156" s="7"/>
      <c r="B68156" s="7"/>
    </row>
    <row r="68157" ht="15.75" customHeight="1">
      <c r="A68157" s="7"/>
      <c r="B68157" s="7"/>
    </row>
    <row r="68158" ht="15.75" customHeight="1">
      <c r="A68158" s="7"/>
      <c r="B68158" s="7"/>
    </row>
    <row r="68159" ht="15.75" customHeight="1">
      <c r="A68159" s="7"/>
      <c r="B68159" s="7"/>
    </row>
    <row r="68160" ht="15.75" customHeight="1">
      <c r="A68160" s="7"/>
      <c r="B68160" s="7"/>
    </row>
    <row r="68161" ht="15.75" customHeight="1">
      <c r="A68161" s="7"/>
      <c r="B68161" s="7"/>
    </row>
    <row r="68162" ht="15.75" customHeight="1">
      <c r="A68162" s="7"/>
      <c r="B68162" s="7"/>
    </row>
    <row r="68163" ht="15.75" customHeight="1">
      <c r="A68163" s="7"/>
      <c r="B68163" s="7"/>
    </row>
    <row r="68164" ht="15.75" customHeight="1">
      <c r="A68164" s="7"/>
      <c r="B68164" s="7"/>
    </row>
    <row r="68165" ht="15.75" customHeight="1">
      <c r="A68165" s="7"/>
      <c r="B68165" s="7"/>
    </row>
    <row r="68166" ht="15.75" customHeight="1">
      <c r="A68166" s="7"/>
      <c r="B68166" s="7"/>
    </row>
    <row r="68167" ht="15.75" customHeight="1">
      <c r="A68167" s="7"/>
      <c r="B68167" s="7"/>
    </row>
    <row r="68168" ht="15.75" customHeight="1">
      <c r="A68168" s="7"/>
      <c r="B68168" s="7"/>
    </row>
    <row r="68169" ht="15.75" customHeight="1">
      <c r="A68169" s="7"/>
      <c r="B68169" s="7"/>
    </row>
    <row r="68170" ht="15.75" customHeight="1">
      <c r="A68170" s="7"/>
      <c r="B68170" s="7"/>
    </row>
    <row r="68171" ht="15.75" customHeight="1">
      <c r="A68171" s="7"/>
      <c r="B68171" s="7"/>
    </row>
    <row r="68172" ht="15.75" customHeight="1">
      <c r="A68172" s="7"/>
      <c r="B68172" s="7"/>
    </row>
    <row r="68173" ht="15.75" customHeight="1">
      <c r="A68173" s="7"/>
      <c r="B68173" s="7"/>
    </row>
    <row r="68174" ht="15.75" customHeight="1">
      <c r="A68174" s="7"/>
      <c r="B68174" s="7"/>
    </row>
    <row r="68175" ht="15.75" customHeight="1">
      <c r="A68175" s="7"/>
      <c r="B68175" s="7"/>
    </row>
    <row r="68176" ht="15.75" customHeight="1">
      <c r="A68176" s="7"/>
      <c r="B68176" s="7"/>
    </row>
    <row r="68177" ht="15.75" customHeight="1">
      <c r="A68177" s="7"/>
      <c r="B68177" s="7"/>
    </row>
    <row r="68178" ht="15.75" customHeight="1">
      <c r="A68178" s="7"/>
      <c r="B68178" s="7"/>
    </row>
    <row r="68179" ht="15.75" customHeight="1">
      <c r="A68179" s="7"/>
      <c r="B68179" s="7"/>
    </row>
    <row r="68180" ht="15.75" customHeight="1">
      <c r="A68180" s="7"/>
      <c r="B68180" s="7"/>
    </row>
    <row r="68181" ht="15.75" customHeight="1">
      <c r="A68181" s="7"/>
      <c r="B68181" s="7"/>
    </row>
    <row r="68182" ht="15.75" customHeight="1">
      <c r="A68182" s="7"/>
      <c r="B68182" s="7"/>
    </row>
    <row r="68183" ht="15.75" customHeight="1">
      <c r="A68183" s="7"/>
      <c r="B68183" s="7"/>
    </row>
    <row r="68184" ht="15.75" customHeight="1">
      <c r="A68184" s="7"/>
      <c r="B68184" s="7"/>
    </row>
    <row r="68185" ht="15.75" customHeight="1">
      <c r="A68185" s="7"/>
      <c r="B68185" s="7"/>
    </row>
    <row r="68186" ht="15.75" customHeight="1">
      <c r="A68186" s="7"/>
      <c r="B68186" s="7"/>
    </row>
    <row r="68187" ht="15.75" customHeight="1">
      <c r="A68187" s="7"/>
      <c r="B68187" s="7"/>
    </row>
    <row r="68188" ht="15.75" customHeight="1">
      <c r="A68188" s="7"/>
      <c r="B68188" s="7"/>
    </row>
    <row r="68189" ht="15.75" customHeight="1">
      <c r="A68189" s="7"/>
      <c r="B68189" s="7"/>
    </row>
    <row r="68190" ht="15.75" customHeight="1">
      <c r="A68190" s="7"/>
      <c r="B68190" s="7"/>
    </row>
    <row r="68191" ht="15.75" customHeight="1">
      <c r="A68191" s="7"/>
      <c r="B68191" s="7"/>
    </row>
    <row r="68192" ht="15.75" customHeight="1">
      <c r="A68192" s="7"/>
      <c r="B68192" s="7"/>
    </row>
    <row r="68193" ht="15.75" customHeight="1">
      <c r="A68193" s="7"/>
      <c r="B68193" s="7"/>
    </row>
    <row r="68194" ht="15.75" customHeight="1">
      <c r="A68194" s="7"/>
      <c r="B68194" s="7"/>
    </row>
    <row r="68195" ht="15.75" customHeight="1">
      <c r="A68195" s="7"/>
      <c r="B68195" s="7"/>
    </row>
    <row r="68196" ht="15.75" customHeight="1">
      <c r="A68196" s="7"/>
      <c r="B68196" s="7"/>
    </row>
    <row r="68197" ht="15.75" customHeight="1">
      <c r="A68197" s="7"/>
      <c r="B68197" s="7"/>
    </row>
    <row r="68198" ht="15.75" customHeight="1">
      <c r="A68198" s="7"/>
      <c r="B68198" s="7"/>
    </row>
    <row r="68199" ht="15.75" customHeight="1">
      <c r="A68199" s="7"/>
      <c r="B68199" s="7"/>
    </row>
    <row r="68200" ht="15.75" customHeight="1">
      <c r="A68200" s="7"/>
      <c r="B68200" s="7"/>
    </row>
    <row r="68201" ht="15.75" customHeight="1">
      <c r="A68201" s="7"/>
      <c r="B68201" s="7"/>
    </row>
    <row r="68202" ht="15.75" customHeight="1">
      <c r="A68202" s="7"/>
      <c r="B68202" s="7"/>
    </row>
    <row r="68203" ht="15.75" customHeight="1">
      <c r="A68203" s="7"/>
      <c r="B68203" s="7"/>
    </row>
    <row r="68204" ht="15.75" customHeight="1">
      <c r="A68204" s="7"/>
      <c r="B68204" s="7"/>
    </row>
    <row r="68205" ht="15.75" customHeight="1">
      <c r="A68205" s="7"/>
      <c r="B68205" s="7"/>
    </row>
    <row r="68206" ht="15.75" customHeight="1">
      <c r="A68206" s="7"/>
      <c r="B68206" s="7"/>
    </row>
    <row r="68207" ht="15.75" customHeight="1">
      <c r="A68207" s="7"/>
      <c r="B68207" s="7"/>
    </row>
    <row r="68208" ht="15.75" customHeight="1">
      <c r="A68208" s="7"/>
      <c r="B68208" s="7"/>
    </row>
    <row r="68209" ht="15.75" customHeight="1">
      <c r="A68209" s="7"/>
      <c r="B68209" s="7"/>
    </row>
    <row r="68210" ht="15.75" customHeight="1">
      <c r="A68210" s="7"/>
      <c r="B68210" s="7"/>
    </row>
    <row r="68211" ht="15.75" customHeight="1">
      <c r="A68211" s="7"/>
      <c r="B68211" s="7"/>
    </row>
    <row r="68212" ht="15.75" customHeight="1">
      <c r="A68212" s="7"/>
      <c r="B68212" s="7"/>
    </row>
    <row r="68213" ht="15.75" customHeight="1">
      <c r="A68213" s="7"/>
      <c r="B68213" s="7"/>
    </row>
    <row r="68214" ht="15.75" customHeight="1">
      <c r="A68214" s="7"/>
      <c r="B68214" s="7"/>
    </row>
    <row r="68215" ht="15.75" customHeight="1">
      <c r="A68215" s="7"/>
      <c r="B68215" s="7"/>
    </row>
    <row r="68216" ht="15.75" customHeight="1">
      <c r="A68216" s="7"/>
      <c r="B68216" s="7"/>
    </row>
    <row r="68217" ht="15.75" customHeight="1">
      <c r="A68217" s="7"/>
      <c r="B68217" s="7"/>
    </row>
    <row r="68218" ht="15.75" customHeight="1">
      <c r="A68218" s="7"/>
      <c r="B68218" s="7"/>
    </row>
    <row r="68219" ht="15.75" customHeight="1">
      <c r="A68219" s="7"/>
      <c r="B68219" s="7"/>
    </row>
    <row r="68220" ht="15.75" customHeight="1">
      <c r="A68220" s="7"/>
      <c r="B68220" s="7"/>
    </row>
    <row r="68221" ht="15.75" customHeight="1">
      <c r="A68221" s="7"/>
      <c r="B68221" s="7"/>
    </row>
    <row r="68222" ht="15.75" customHeight="1">
      <c r="A68222" s="7"/>
      <c r="B68222" s="7"/>
    </row>
    <row r="68223" ht="15.75" customHeight="1">
      <c r="A68223" s="7"/>
      <c r="B68223" s="7"/>
    </row>
    <row r="68224" ht="15.75" customHeight="1">
      <c r="A68224" s="7"/>
      <c r="B68224" s="7"/>
    </row>
    <row r="68225" ht="15.75" customHeight="1">
      <c r="A68225" s="7"/>
      <c r="B68225" s="7"/>
    </row>
    <row r="68226" ht="15.75" customHeight="1">
      <c r="A68226" s="7"/>
      <c r="B68226" s="7"/>
    </row>
    <row r="68227" ht="15.75" customHeight="1">
      <c r="A68227" s="7"/>
      <c r="B68227" s="7"/>
    </row>
    <row r="68228" ht="15.75" customHeight="1">
      <c r="A68228" s="7"/>
      <c r="B68228" s="7"/>
    </row>
    <row r="68229" ht="15.75" customHeight="1">
      <c r="A68229" s="7"/>
      <c r="B68229" s="7"/>
    </row>
    <row r="68230" ht="15.75" customHeight="1">
      <c r="A68230" s="7"/>
      <c r="B68230" s="7"/>
    </row>
    <row r="68231" ht="15.75" customHeight="1">
      <c r="A68231" s="7"/>
      <c r="B68231" s="7"/>
    </row>
    <row r="68232" ht="15.75" customHeight="1">
      <c r="A68232" s="7"/>
      <c r="B68232" s="7"/>
    </row>
    <row r="68233" ht="15.75" customHeight="1">
      <c r="A68233" s="7"/>
      <c r="B68233" s="7"/>
    </row>
    <row r="68234" ht="15.75" customHeight="1">
      <c r="A68234" s="7"/>
      <c r="B68234" s="7"/>
    </row>
    <row r="68235" ht="15.75" customHeight="1">
      <c r="A68235" s="7"/>
      <c r="B68235" s="7"/>
    </row>
    <row r="68236" ht="15.75" customHeight="1">
      <c r="A68236" s="7"/>
      <c r="B68236" s="7"/>
    </row>
    <row r="68237" ht="15.75" customHeight="1">
      <c r="A68237" s="7"/>
      <c r="B68237" s="7"/>
    </row>
    <row r="68238" ht="15.75" customHeight="1">
      <c r="A68238" s="7"/>
      <c r="B68238" s="7"/>
    </row>
    <row r="68239" ht="15.75" customHeight="1">
      <c r="A68239" s="7"/>
      <c r="B68239" s="7"/>
    </row>
    <row r="68240" ht="15.75" customHeight="1">
      <c r="A68240" s="7"/>
      <c r="B68240" s="7"/>
    </row>
    <row r="68241" ht="15.75" customHeight="1">
      <c r="A68241" s="7"/>
      <c r="B68241" s="7"/>
    </row>
    <row r="68242" ht="15.75" customHeight="1">
      <c r="A68242" s="7"/>
      <c r="B68242" s="7"/>
    </row>
    <row r="68243" ht="15.75" customHeight="1">
      <c r="A68243" s="7"/>
      <c r="B68243" s="7"/>
    </row>
    <row r="68244" ht="15.75" customHeight="1">
      <c r="A68244" s="7"/>
      <c r="B68244" s="7"/>
    </row>
    <row r="68245" ht="15.75" customHeight="1">
      <c r="A68245" s="7"/>
      <c r="B68245" s="7"/>
    </row>
    <row r="68246" ht="15.75" customHeight="1">
      <c r="A68246" s="7"/>
      <c r="B68246" s="7"/>
    </row>
    <row r="68247" ht="15.75" customHeight="1">
      <c r="A68247" s="7"/>
      <c r="B68247" s="7"/>
    </row>
    <row r="68248" ht="15.75" customHeight="1">
      <c r="A68248" s="7"/>
      <c r="B68248" s="7"/>
    </row>
    <row r="68249" ht="15.75" customHeight="1">
      <c r="A68249" s="7"/>
      <c r="B68249" s="7"/>
    </row>
    <row r="68250" ht="15.75" customHeight="1">
      <c r="A68250" s="7"/>
      <c r="B68250" s="7"/>
    </row>
    <row r="68251" ht="15.75" customHeight="1">
      <c r="A68251" s="7"/>
      <c r="B68251" s="7"/>
    </row>
    <row r="68252" ht="15.75" customHeight="1">
      <c r="A68252" s="7"/>
      <c r="B68252" s="7"/>
    </row>
    <row r="68253" ht="15.75" customHeight="1">
      <c r="A68253" s="7"/>
      <c r="B68253" s="7"/>
    </row>
    <row r="68254" ht="15.75" customHeight="1">
      <c r="A68254" s="7"/>
      <c r="B68254" s="7"/>
    </row>
    <row r="68255" ht="15.75" customHeight="1">
      <c r="A68255" s="7"/>
      <c r="B68255" s="7"/>
    </row>
    <row r="68256" ht="15.75" customHeight="1">
      <c r="A68256" s="7"/>
      <c r="B68256" s="7"/>
    </row>
    <row r="68257" ht="15.75" customHeight="1">
      <c r="A68257" s="7"/>
      <c r="B68257" s="7"/>
    </row>
    <row r="68258" ht="15.75" customHeight="1">
      <c r="A68258" s="7"/>
      <c r="B68258" s="7"/>
    </row>
    <row r="68259" ht="15.75" customHeight="1">
      <c r="A68259" s="7"/>
      <c r="B68259" s="7"/>
    </row>
    <row r="68260" ht="15.75" customHeight="1">
      <c r="A68260" s="7"/>
      <c r="B68260" s="7"/>
    </row>
    <row r="68261" ht="15.75" customHeight="1">
      <c r="A68261" s="7"/>
      <c r="B68261" s="7"/>
    </row>
    <row r="68262" ht="15.75" customHeight="1">
      <c r="A68262" s="7"/>
      <c r="B68262" s="7"/>
    </row>
    <row r="68263" ht="15.75" customHeight="1">
      <c r="A68263" s="7"/>
      <c r="B68263" s="7"/>
    </row>
    <row r="68264" ht="15.75" customHeight="1">
      <c r="A68264" s="7"/>
      <c r="B68264" s="7"/>
    </row>
    <row r="68265" ht="15.75" customHeight="1">
      <c r="A68265" s="7"/>
      <c r="B68265" s="7"/>
    </row>
    <row r="68266" ht="15.75" customHeight="1">
      <c r="A68266" s="7"/>
      <c r="B68266" s="7"/>
    </row>
    <row r="68267" ht="15.75" customHeight="1">
      <c r="A68267" s="7"/>
      <c r="B68267" s="7"/>
    </row>
    <row r="68268" ht="15.75" customHeight="1">
      <c r="A68268" s="7"/>
      <c r="B68268" s="7"/>
    </row>
    <row r="68269" ht="15.75" customHeight="1">
      <c r="A68269" s="7"/>
      <c r="B68269" s="7"/>
    </row>
    <row r="68270" ht="15.75" customHeight="1">
      <c r="A68270" s="7"/>
      <c r="B68270" s="7"/>
    </row>
    <row r="68271" ht="15.75" customHeight="1">
      <c r="A68271" s="7"/>
      <c r="B68271" s="7"/>
    </row>
    <row r="68272" ht="15.75" customHeight="1">
      <c r="A68272" s="7"/>
      <c r="B68272" s="7"/>
    </row>
    <row r="68273" ht="15.75" customHeight="1">
      <c r="A68273" s="7"/>
      <c r="B68273" s="7"/>
    </row>
    <row r="68274" ht="15.75" customHeight="1">
      <c r="A68274" s="7"/>
      <c r="B68274" s="7"/>
    </row>
    <row r="68275" ht="15.75" customHeight="1">
      <c r="A68275" s="7"/>
      <c r="B68275" s="7"/>
    </row>
    <row r="68276" ht="15.75" customHeight="1">
      <c r="A68276" s="7"/>
      <c r="B68276" s="7"/>
    </row>
    <row r="68277" ht="15.75" customHeight="1">
      <c r="A68277" s="7"/>
      <c r="B68277" s="7"/>
    </row>
    <row r="68278" ht="15.75" customHeight="1">
      <c r="A68278" s="7"/>
      <c r="B68278" s="7"/>
    </row>
    <row r="68279" ht="15.75" customHeight="1">
      <c r="A68279" s="7"/>
      <c r="B68279" s="7"/>
    </row>
    <row r="68280" ht="15.75" customHeight="1">
      <c r="A68280" s="7"/>
      <c r="B68280" s="7"/>
    </row>
    <row r="68281" ht="15.75" customHeight="1">
      <c r="A68281" s="7"/>
      <c r="B68281" s="7"/>
    </row>
    <row r="68282" ht="15.75" customHeight="1">
      <c r="A68282" s="7"/>
      <c r="B68282" s="7"/>
    </row>
    <row r="68283" ht="15.75" customHeight="1">
      <c r="A68283" s="7"/>
      <c r="B68283" s="7"/>
    </row>
    <row r="68284" ht="15.75" customHeight="1">
      <c r="A68284" s="7"/>
      <c r="B68284" s="7"/>
    </row>
    <row r="68285" ht="15.75" customHeight="1">
      <c r="A68285" s="7"/>
      <c r="B68285" s="7"/>
    </row>
    <row r="68286" ht="15.75" customHeight="1">
      <c r="A68286" s="7"/>
      <c r="B68286" s="7"/>
    </row>
    <row r="68287" ht="15.75" customHeight="1">
      <c r="A68287" s="7"/>
      <c r="B68287" s="7"/>
    </row>
    <row r="68288" ht="15.75" customHeight="1">
      <c r="A68288" s="7"/>
      <c r="B68288" s="7"/>
    </row>
    <row r="68289" ht="15.75" customHeight="1">
      <c r="A68289" s="7"/>
      <c r="B68289" s="7"/>
    </row>
    <row r="68290" ht="15.75" customHeight="1">
      <c r="A68290" s="7"/>
      <c r="B68290" s="7"/>
    </row>
    <row r="68291" ht="15.75" customHeight="1">
      <c r="A68291" s="7"/>
      <c r="B68291" s="7"/>
    </row>
    <row r="68292" ht="15.75" customHeight="1">
      <c r="A68292" s="7"/>
      <c r="B68292" s="7"/>
    </row>
    <row r="68293" ht="15.75" customHeight="1">
      <c r="A68293" s="7"/>
      <c r="B68293" s="7"/>
    </row>
    <row r="68294" ht="15.75" customHeight="1">
      <c r="A68294" s="7"/>
      <c r="B68294" s="7"/>
    </row>
    <row r="68295" ht="15.75" customHeight="1">
      <c r="A68295" s="7"/>
      <c r="B68295" s="7"/>
    </row>
    <row r="68296" ht="15.75" customHeight="1">
      <c r="A68296" s="7"/>
      <c r="B68296" s="7"/>
    </row>
    <row r="68297" ht="15.75" customHeight="1">
      <c r="A68297" s="7"/>
      <c r="B68297" s="7"/>
    </row>
    <row r="68298" ht="15.75" customHeight="1">
      <c r="A68298" s="7"/>
      <c r="B68298" s="7"/>
    </row>
    <row r="68299" ht="15.75" customHeight="1">
      <c r="A68299" s="7"/>
      <c r="B68299" s="7"/>
    </row>
    <row r="68300" ht="15.75" customHeight="1">
      <c r="A68300" s="7"/>
      <c r="B68300" s="7"/>
    </row>
    <row r="68301" ht="15.75" customHeight="1">
      <c r="A68301" s="7"/>
      <c r="B68301" s="7"/>
    </row>
    <row r="68302" ht="15.75" customHeight="1">
      <c r="A68302" s="7"/>
      <c r="B68302" s="7"/>
    </row>
    <row r="68303" ht="15.75" customHeight="1">
      <c r="A68303" s="7"/>
      <c r="B68303" s="7"/>
    </row>
    <row r="68304" ht="15.75" customHeight="1">
      <c r="A68304" s="7"/>
      <c r="B68304" s="7"/>
    </row>
    <row r="68305" ht="15.75" customHeight="1">
      <c r="A68305" s="7"/>
      <c r="B68305" s="7"/>
    </row>
    <row r="68306" ht="15.75" customHeight="1">
      <c r="A68306" s="7"/>
      <c r="B68306" s="7"/>
    </row>
    <row r="68307" ht="15.75" customHeight="1">
      <c r="A68307" s="7"/>
      <c r="B68307" s="7"/>
    </row>
    <row r="68308" ht="15.75" customHeight="1">
      <c r="A68308" s="7"/>
      <c r="B68308" s="7"/>
    </row>
    <row r="68309" ht="15.75" customHeight="1">
      <c r="A68309" s="7"/>
      <c r="B68309" s="7"/>
    </row>
    <row r="68310" ht="15.75" customHeight="1">
      <c r="A68310" s="7"/>
      <c r="B68310" s="7"/>
    </row>
    <row r="68311" ht="15.75" customHeight="1">
      <c r="A68311" s="7"/>
      <c r="B68311" s="7"/>
    </row>
    <row r="68312" ht="15.75" customHeight="1">
      <c r="A68312" s="7"/>
      <c r="B68312" s="7"/>
    </row>
    <row r="68313" ht="15.75" customHeight="1">
      <c r="A68313" s="7"/>
      <c r="B68313" s="7"/>
    </row>
    <row r="68314" ht="15.75" customHeight="1">
      <c r="A68314" s="7"/>
      <c r="B68314" s="7"/>
    </row>
    <row r="68315" ht="15.75" customHeight="1">
      <c r="A68315" s="7"/>
      <c r="B68315" s="7"/>
    </row>
    <row r="68316" ht="15.75" customHeight="1">
      <c r="A68316" s="7"/>
      <c r="B68316" s="7"/>
    </row>
    <row r="68317" ht="15.75" customHeight="1">
      <c r="A68317" s="7"/>
      <c r="B68317" s="7"/>
    </row>
    <row r="68318" ht="15.75" customHeight="1">
      <c r="A68318" s="7"/>
      <c r="B68318" s="7"/>
    </row>
    <row r="68319" ht="15.75" customHeight="1">
      <c r="A68319" s="7"/>
      <c r="B68319" s="7"/>
    </row>
    <row r="68320" ht="15.75" customHeight="1">
      <c r="A68320" s="7"/>
      <c r="B68320" s="7"/>
    </row>
    <row r="68321" ht="15.75" customHeight="1">
      <c r="A68321" s="7"/>
      <c r="B68321" s="7"/>
    </row>
    <row r="68322" ht="15.75" customHeight="1">
      <c r="A68322" s="7"/>
      <c r="B68322" s="7"/>
    </row>
    <row r="68323" ht="15.75" customHeight="1">
      <c r="A68323" s="7"/>
      <c r="B68323" s="7"/>
    </row>
    <row r="68324" ht="15.75" customHeight="1">
      <c r="A68324" s="7"/>
      <c r="B68324" s="7"/>
    </row>
    <row r="68325" ht="15.75" customHeight="1">
      <c r="A68325" s="7"/>
      <c r="B68325" s="7"/>
    </row>
    <row r="68326" ht="15.75" customHeight="1">
      <c r="A68326" s="7"/>
      <c r="B68326" s="7"/>
    </row>
    <row r="68327" ht="15.75" customHeight="1">
      <c r="A68327" s="7"/>
      <c r="B68327" s="7"/>
    </row>
    <row r="68328" ht="15.75" customHeight="1">
      <c r="A68328" s="7"/>
      <c r="B68328" s="7"/>
    </row>
    <row r="68329" ht="15.75" customHeight="1">
      <c r="A68329" s="7"/>
      <c r="B68329" s="7"/>
    </row>
    <row r="68330" ht="15.75" customHeight="1">
      <c r="A68330" s="7"/>
      <c r="B68330" s="7"/>
    </row>
    <row r="68331" ht="15.75" customHeight="1">
      <c r="A68331" s="7"/>
      <c r="B68331" s="7"/>
    </row>
    <row r="68332" ht="15.75" customHeight="1">
      <c r="A68332" s="7"/>
      <c r="B68332" s="7"/>
    </row>
    <row r="68333" ht="15.75" customHeight="1">
      <c r="A68333" s="7"/>
      <c r="B68333" s="7"/>
    </row>
    <row r="68334" ht="15.75" customHeight="1">
      <c r="A68334" s="7"/>
      <c r="B68334" s="7"/>
    </row>
    <row r="68335" ht="15.75" customHeight="1">
      <c r="A68335" s="7"/>
      <c r="B68335" s="7"/>
    </row>
    <row r="68336" ht="15.75" customHeight="1">
      <c r="A68336" s="7"/>
      <c r="B68336" s="7"/>
    </row>
    <row r="68337" ht="15.75" customHeight="1">
      <c r="A68337" s="7"/>
      <c r="B68337" s="7"/>
    </row>
    <row r="68338" ht="15.75" customHeight="1">
      <c r="A68338" s="7"/>
      <c r="B68338" s="7"/>
    </row>
    <row r="68339" ht="15.75" customHeight="1">
      <c r="A68339" s="7"/>
      <c r="B68339" s="7"/>
    </row>
    <row r="68340" ht="15.75" customHeight="1">
      <c r="A68340" s="7"/>
      <c r="B68340" s="7"/>
    </row>
    <row r="68341" ht="15.75" customHeight="1">
      <c r="A68341" s="7"/>
      <c r="B68341" s="7"/>
    </row>
    <row r="68342" ht="15.75" customHeight="1">
      <c r="A68342" s="7"/>
      <c r="B68342" s="7"/>
    </row>
    <row r="68343" ht="15.75" customHeight="1">
      <c r="A68343" s="7"/>
      <c r="B68343" s="7"/>
    </row>
    <row r="68344" ht="15.75" customHeight="1">
      <c r="A68344" s="7"/>
      <c r="B68344" s="7"/>
    </row>
    <row r="68345" ht="15.75" customHeight="1">
      <c r="A68345" s="7"/>
      <c r="B68345" s="7"/>
    </row>
    <row r="68346" ht="15.75" customHeight="1">
      <c r="A68346" s="7"/>
      <c r="B68346" s="7"/>
    </row>
    <row r="68347" ht="15.75" customHeight="1">
      <c r="A68347" s="7"/>
      <c r="B68347" s="7"/>
    </row>
    <row r="68348" ht="15.75" customHeight="1">
      <c r="A68348" s="7"/>
      <c r="B68348" s="7"/>
    </row>
    <row r="68349" ht="15.75" customHeight="1">
      <c r="A68349" s="7"/>
      <c r="B68349" s="7"/>
    </row>
    <row r="68350" ht="15.75" customHeight="1">
      <c r="A68350" s="7"/>
      <c r="B68350" s="7"/>
    </row>
    <row r="68351" ht="15.75" customHeight="1">
      <c r="A68351" s="7"/>
      <c r="B68351" s="7"/>
    </row>
    <row r="68352" ht="15.75" customHeight="1">
      <c r="A68352" s="7"/>
      <c r="B68352" s="7"/>
    </row>
    <row r="68353" ht="15.75" customHeight="1">
      <c r="A68353" s="7"/>
      <c r="B68353" s="7"/>
    </row>
    <row r="68354" ht="15.75" customHeight="1">
      <c r="A68354" s="7"/>
      <c r="B68354" s="7"/>
    </row>
    <row r="68355" ht="15.75" customHeight="1">
      <c r="A68355" s="7"/>
      <c r="B68355" s="7"/>
    </row>
    <row r="68356" ht="15.75" customHeight="1">
      <c r="A68356" s="7"/>
      <c r="B68356" s="7"/>
    </row>
    <row r="68357" ht="15.75" customHeight="1">
      <c r="A68357" s="7"/>
      <c r="B68357" s="7"/>
    </row>
    <row r="68358" ht="15.75" customHeight="1">
      <c r="A68358" s="7"/>
      <c r="B68358" s="7"/>
    </row>
    <row r="68359" ht="15.75" customHeight="1">
      <c r="A68359" s="7"/>
      <c r="B68359" s="7"/>
    </row>
    <row r="68360" ht="15.75" customHeight="1">
      <c r="A68360" s="7"/>
      <c r="B68360" s="7"/>
    </row>
    <row r="68361" ht="15.75" customHeight="1">
      <c r="A68361" s="7"/>
      <c r="B68361" s="7"/>
    </row>
    <row r="68362" ht="15.75" customHeight="1">
      <c r="A68362" s="7"/>
      <c r="B68362" s="7"/>
    </row>
    <row r="68363" ht="15.75" customHeight="1">
      <c r="A68363" s="7"/>
      <c r="B68363" s="7"/>
    </row>
    <row r="68364" ht="15.75" customHeight="1">
      <c r="A68364" s="7"/>
      <c r="B68364" s="7"/>
    </row>
    <row r="68365" ht="15.75" customHeight="1">
      <c r="A68365" s="7"/>
      <c r="B68365" s="7"/>
    </row>
    <row r="68366" ht="15.75" customHeight="1">
      <c r="A68366" s="7"/>
      <c r="B68366" s="7"/>
    </row>
    <row r="68367" ht="15.75" customHeight="1">
      <c r="A68367" s="7"/>
      <c r="B68367" s="7"/>
    </row>
    <row r="68368" ht="15.75" customHeight="1">
      <c r="A68368" s="7"/>
      <c r="B68368" s="7"/>
    </row>
    <row r="68369" ht="15.75" customHeight="1">
      <c r="A68369" s="7"/>
      <c r="B68369" s="7"/>
    </row>
    <row r="68370" ht="15.75" customHeight="1">
      <c r="A68370" s="7"/>
      <c r="B68370" s="7"/>
    </row>
    <row r="68371" ht="15.75" customHeight="1">
      <c r="A68371" s="7"/>
      <c r="B68371" s="7"/>
    </row>
    <row r="68372" ht="15.75" customHeight="1">
      <c r="A68372" s="7"/>
      <c r="B68372" s="7"/>
    </row>
    <row r="68373" ht="15.75" customHeight="1">
      <c r="A68373" s="7"/>
      <c r="B68373" s="7"/>
    </row>
    <row r="68374" ht="15.75" customHeight="1">
      <c r="A68374" s="7"/>
      <c r="B68374" s="7"/>
    </row>
    <row r="68375" ht="15.75" customHeight="1">
      <c r="A68375" s="7"/>
      <c r="B68375" s="7"/>
    </row>
    <row r="68376" ht="15.75" customHeight="1">
      <c r="A68376" s="7"/>
      <c r="B68376" s="7"/>
    </row>
    <row r="68377" ht="15.75" customHeight="1">
      <c r="A68377" s="7"/>
      <c r="B68377" s="7"/>
    </row>
    <row r="68378" ht="15.75" customHeight="1">
      <c r="A68378" s="7"/>
      <c r="B68378" s="7"/>
    </row>
    <row r="68379" ht="15.75" customHeight="1">
      <c r="A68379" s="7"/>
      <c r="B68379" s="7"/>
    </row>
    <row r="68380" ht="15.75" customHeight="1">
      <c r="A68380" s="7"/>
      <c r="B68380" s="7"/>
    </row>
    <row r="68381" ht="15.75" customHeight="1">
      <c r="A68381" s="7"/>
      <c r="B68381" s="7"/>
    </row>
    <row r="68382" ht="15.75" customHeight="1">
      <c r="A68382" s="7"/>
      <c r="B68382" s="7"/>
    </row>
    <row r="68383" ht="15.75" customHeight="1">
      <c r="A68383" s="7"/>
      <c r="B68383" s="7"/>
    </row>
    <row r="68384" ht="15.75" customHeight="1">
      <c r="A68384" s="7"/>
      <c r="B68384" s="7"/>
    </row>
    <row r="68385" ht="15.75" customHeight="1">
      <c r="A68385" s="7"/>
      <c r="B68385" s="7"/>
    </row>
    <row r="68386" ht="15.75" customHeight="1">
      <c r="A68386" s="7"/>
      <c r="B68386" s="7"/>
    </row>
    <row r="68387" ht="15.75" customHeight="1">
      <c r="A68387" s="7"/>
      <c r="B68387" s="7"/>
    </row>
    <row r="68388" ht="15.75" customHeight="1">
      <c r="A68388" s="7"/>
      <c r="B68388" s="7"/>
    </row>
    <row r="68389" ht="15.75" customHeight="1">
      <c r="A68389" s="7"/>
      <c r="B68389" s="7"/>
    </row>
    <row r="68390" ht="15.75" customHeight="1">
      <c r="A68390" s="7"/>
      <c r="B68390" s="7"/>
    </row>
    <row r="68391" ht="15.75" customHeight="1">
      <c r="A68391" s="7"/>
      <c r="B68391" s="7"/>
    </row>
    <row r="68392" ht="15.75" customHeight="1">
      <c r="A68392" s="7"/>
      <c r="B68392" s="7"/>
    </row>
    <row r="68393" ht="15.75" customHeight="1">
      <c r="A68393" s="7"/>
      <c r="B68393" s="7"/>
    </row>
    <row r="68394" ht="15.75" customHeight="1">
      <c r="A68394" s="7"/>
      <c r="B68394" s="7"/>
    </row>
    <row r="68395" ht="15.75" customHeight="1">
      <c r="A68395" s="7"/>
      <c r="B68395" s="7"/>
    </row>
    <row r="68396" ht="15.75" customHeight="1">
      <c r="A68396" s="7"/>
      <c r="B68396" s="7"/>
    </row>
    <row r="68397" ht="15.75" customHeight="1">
      <c r="A68397" s="7"/>
      <c r="B68397" s="7"/>
    </row>
    <row r="68398" ht="15.75" customHeight="1">
      <c r="A68398" s="7"/>
      <c r="B68398" s="7"/>
    </row>
    <row r="68399" ht="15.75" customHeight="1">
      <c r="A68399" s="7"/>
      <c r="B68399" s="7"/>
    </row>
    <row r="68400" ht="15.75" customHeight="1">
      <c r="A68400" s="7"/>
      <c r="B68400" s="7"/>
    </row>
    <row r="68401" ht="15.75" customHeight="1">
      <c r="A68401" s="7"/>
      <c r="B68401" s="7"/>
    </row>
    <row r="68402" ht="15.75" customHeight="1">
      <c r="A68402" s="7"/>
      <c r="B68402" s="7"/>
    </row>
    <row r="68403" ht="15.75" customHeight="1">
      <c r="A68403" s="7"/>
      <c r="B68403" s="7"/>
    </row>
    <row r="68404" ht="15.75" customHeight="1">
      <c r="A68404" s="7"/>
      <c r="B68404" s="7"/>
    </row>
    <row r="68405" ht="15.75" customHeight="1">
      <c r="A68405" s="7"/>
      <c r="B68405" s="7"/>
    </row>
    <row r="68406" ht="15.75" customHeight="1">
      <c r="A68406" s="7"/>
      <c r="B68406" s="7"/>
    </row>
    <row r="68407" ht="15.75" customHeight="1">
      <c r="A68407" s="7"/>
      <c r="B68407" s="7"/>
    </row>
    <row r="68408" ht="15.75" customHeight="1">
      <c r="A68408" s="7"/>
      <c r="B68408" s="7"/>
    </row>
    <row r="68409" ht="15.75" customHeight="1">
      <c r="A68409" s="7"/>
      <c r="B68409" s="7"/>
    </row>
    <row r="68410" ht="15.75" customHeight="1">
      <c r="A68410" s="7"/>
      <c r="B68410" s="7"/>
    </row>
    <row r="68411" ht="15.75" customHeight="1">
      <c r="A68411" s="7"/>
      <c r="B68411" s="7"/>
    </row>
    <row r="68412" ht="15.75" customHeight="1">
      <c r="A68412" s="7"/>
      <c r="B68412" s="7"/>
    </row>
    <row r="68413" ht="15.75" customHeight="1">
      <c r="A68413" s="7"/>
      <c r="B68413" s="7"/>
    </row>
    <row r="68414" ht="15.75" customHeight="1">
      <c r="A68414" s="7"/>
      <c r="B68414" s="7"/>
    </row>
    <row r="68415" ht="15.75" customHeight="1">
      <c r="A68415" s="7"/>
      <c r="B68415" s="7"/>
    </row>
    <row r="68416" ht="15.75" customHeight="1">
      <c r="A68416" s="7"/>
      <c r="B68416" s="7"/>
    </row>
    <row r="68417" ht="15.75" customHeight="1">
      <c r="A68417" s="7"/>
      <c r="B68417" s="7"/>
    </row>
    <row r="68418" ht="15.75" customHeight="1">
      <c r="A68418" s="7"/>
      <c r="B68418" s="7"/>
    </row>
    <row r="68419" ht="15.75" customHeight="1">
      <c r="A68419" s="7"/>
      <c r="B68419" s="7"/>
    </row>
    <row r="68420" ht="15.75" customHeight="1">
      <c r="A68420" s="7"/>
      <c r="B68420" s="7"/>
    </row>
    <row r="68421" ht="15.75" customHeight="1">
      <c r="A68421" s="7"/>
      <c r="B68421" s="7"/>
    </row>
    <row r="68422" ht="15.75" customHeight="1">
      <c r="A68422" s="7"/>
      <c r="B68422" s="7"/>
    </row>
    <row r="68423" ht="15.75" customHeight="1">
      <c r="A68423" s="7"/>
      <c r="B68423" s="7"/>
    </row>
    <row r="68424" ht="15.75" customHeight="1">
      <c r="A68424" s="7"/>
      <c r="B68424" s="7"/>
    </row>
    <row r="68425" ht="15.75" customHeight="1">
      <c r="A68425" s="7"/>
      <c r="B68425" s="7"/>
    </row>
    <row r="68426" ht="15.75" customHeight="1">
      <c r="A68426" s="7"/>
      <c r="B68426" s="7"/>
    </row>
    <row r="68427" ht="15.75" customHeight="1">
      <c r="A68427" s="7"/>
      <c r="B68427" s="7"/>
    </row>
    <row r="68428" ht="15.75" customHeight="1">
      <c r="A68428" s="7"/>
      <c r="B68428" s="7"/>
    </row>
    <row r="68429" ht="15.75" customHeight="1">
      <c r="A68429" s="7"/>
      <c r="B68429" s="7"/>
    </row>
    <row r="68430" ht="15.75" customHeight="1">
      <c r="A68430" s="7"/>
      <c r="B68430" s="7"/>
    </row>
    <row r="68431" ht="15.75" customHeight="1">
      <c r="A68431" s="7"/>
      <c r="B68431" s="7"/>
    </row>
    <row r="68432" ht="15.75" customHeight="1">
      <c r="A68432" s="7"/>
      <c r="B68432" s="7"/>
    </row>
    <row r="68433" ht="15.75" customHeight="1">
      <c r="A68433" s="7"/>
      <c r="B68433" s="7"/>
    </row>
    <row r="68434" ht="15.75" customHeight="1">
      <c r="A68434" s="7"/>
      <c r="B68434" s="7"/>
    </row>
    <row r="68435" ht="15.75" customHeight="1">
      <c r="A68435" s="7"/>
      <c r="B68435" s="7"/>
    </row>
    <row r="68436" ht="15.75" customHeight="1">
      <c r="A68436" s="7"/>
      <c r="B68436" s="7"/>
    </row>
    <row r="68437" ht="15.75" customHeight="1">
      <c r="A68437" s="7"/>
      <c r="B68437" s="7"/>
    </row>
    <row r="68438" ht="15.75" customHeight="1">
      <c r="A68438" s="7"/>
      <c r="B68438" s="7"/>
    </row>
    <row r="68439" ht="15.75" customHeight="1">
      <c r="A68439" s="7"/>
      <c r="B68439" s="7"/>
    </row>
    <row r="68440" ht="15.75" customHeight="1">
      <c r="A68440" s="7"/>
      <c r="B68440" s="7"/>
    </row>
    <row r="68441" ht="15.75" customHeight="1">
      <c r="A68441" s="7"/>
      <c r="B68441" s="7"/>
    </row>
    <row r="68442" ht="15.75" customHeight="1">
      <c r="A68442" s="7"/>
      <c r="B68442" s="7"/>
    </row>
    <row r="68443" ht="15.75" customHeight="1">
      <c r="A68443" s="7"/>
      <c r="B68443" s="7"/>
    </row>
    <row r="68444" ht="15.75" customHeight="1">
      <c r="A68444" s="7"/>
      <c r="B68444" s="7"/>
    </row>
    <row r="68445" ht="15.75" customHeight="1">
      <c r="A68445" s="7"/>
      <c r="B68445" s="7"/>
    </row>
    <row r="68446" ht="15.75" customHeight="1">
      <c r="A68446" s="7"/>
      <c r="B68446" s="7"/>
    </row>
    <row r="68447" ht="15.75" customHeight="1">
      <c r="A68447" s="7"/>
      <c r="B68447" s="7"/>
    </row>
    <row r="68448" ht="15.75" customHeight="1">
      <c r="A68448" s="7"/>
      <c r="B68448" s="7"/>
    </row>
    <row r="68449" ht="15.75" customHeight="1">
      <c r="A68449" s="7"/>
      <c r="B68449" s="7"/>
    </row>
    <row r="68450" ht="15.75" customHeight="1">
      <c r="A68450" s="7"/>
      <c r="B68450" s="7"/>
    </row>
    <row r="68451" ht="15.75" customHeight="1">
      <c r="A68451" s="7"/>
      <c r="B68451" s="7"/>
    </row>
    <row r="68452" ht="15.75" customHeight="1">
      <c r="A68452" s="7"/>
      <c r="B68452" s="7"/>
    </row>
    <row r="68453" ht="15.75" customHeight="1">
      <c r="A68453" s="7"/>
      <c r="B68453" s="7"/>
    </row>
    <row r="68454" ht="15.75" customHeight="1">
      <c r="A68454" s="7"/>
      <c r="B68454" s="7"/>
    </row>
    <row r="68455" ht="15.75" customHeight="1">
      <c r="A68455" s="7"/>
      <c r="B68455" s="7"/>
    </row>
    <row r="68456" ht="15.75" customHeight="1">
      <c r="A68456" s="7"/>
      <c r="B68456" s="7"/>
    </row>
    <row r="68457" ht="15.75" customHeight="1">
      <c r="A68457" s="7"/>
      <c r="B68457" s="7"/>
    </row>
    <row r="68458" ht="15.75" customHeight="1">
      <c r="A68458" s="7"/>
      <c r="B68458" s="7"/>
    </row>
    <row r="68459" ht="15.75" customHeight="1">
      <c r="A68459" s="7"/>
      <c r="B68459" s="7"/>
    </row>
    <row r="68460" ht="15.75" customHeight="1">
      <c r="A68460" s="7"/>
      <c r="B68460" s="7"/>
    </row>
    <row r="68461" ht="15.75" customHeight="1">
      <c r="A68461" s="7"/>
      <c r="B68461" s="7"/>
    </row>
    <row r="68462" ht="15.75" customHeight="1">
      <c r="A68462" s="7"/>
      <c r="B68462" s="7"/>
    </row>
    <row r="68463" ht="15.75" customHeight="1">
      <c r="A68463" s="7"/>
      <c r="B68463" s="7"/>
    </row>
    <row r="68464" ht="15.75" customHeight="1">
      <c r="A68464" s="7"/>
      <c r="B68464" s="7"/>
    </row>
    <row r="68465" ht="15.75" customHeight="1">
      <c r="A68465" s="7"/>
      <c r="B68465" s="7"/>
    </row>
    <row r="68466" ht="15.75" customHeight="1">
      <c r="A68466" s="7"/>
      <c r="B68466" s="7"/>
    </row>
    <row r="68467" ht="15.75" customHeight="1">
      <c r="A68467" s="7"/>
      <c r="B68467" s="7"/>
    </row>
    <row r="68468" ht="15.75" customHeight="1">
      <c r="A68468" s="7"/>
      <c r="B68468" s="7"/>
    </row>
    <row r="68469" ht="15.75" customHeight="1">
      <c r="A68469" s="7"/>
      <c r="B68469" s="7"/>
    </row>
    <row r="68470" ht="15.75" customHeight="1">
      <c r="A68470" s="7"/>
      <c r="B68470" s="7"/>
    </row>
    <row r="68471" ht="15.75" customHeight="1">
      <c r="A68471" s="7"/>
      <c r="B68471" s="7"/>
    </row>
    <row r="68472" ht="15.75" customHeight="1">
      <c r="A68472" s="7"/>
      <c r="B68472" s="7"/>
    </row>
    <row r="68473" ht="15.75" customHeight="1">
      <c r="A68473" s="7"/>
      <c r="B68473" s="7"/>
    </row>
    <row r="68474" ht="15.75" customHeight="1">
      <c r="A68474" s="7"/>
      <c r="B68474" s="7"/>
    </row>
    <row r="68475" ht="15.75" customHeight="1">
      <c r="A68475" s="7"/>
      <c r="B68475" s="7"/>
    </row>
    <row r="68476" ht="15.75" customHeight="1">
      <c r="A68476" s="7"/>
      <c r="B68476" s="7"/>
    </row>
    <row r="68477" ht="15.75" customHeight="1">
      <c r="A68477" s="7"/>
      <c r="B68477" s="7"/>
    </row>
    <row r="68478" ht="15.75" customHeight="1">
      <c r="A68478" s="7"/>
      <c r="B68478" s="7"/>
    </row>
    <row r="68479" ht="15.75" customHeight="1">
      <c r="A68479" s="7"/>
      <c r="B68479" s="7"/>
    </row>
    <row r="68480" ht="15.75" customHeight="1">
      <c r="A68480" s="7"/>
      <c r="B68480" s="7"/>
    </row>
    <row r="68481" ht="15.75" customHeight="1">
      <c r="A68481" s="7"/>
      <c r="B68481" s="7"/>
    </row>
    <row r="68482" ht="15.75" customHeight="1">
      <c r="A68482" s="7"/>
      <c r="B68482" s="7"/>
    </row>
    <row r="68483" ht="15.75" customHeight="1">
      <c r="A68483" s="7"/>
      <c r="B68483" s="7"/>
    </row>
    <row r="68484" ht="15.75" customHeight="1">
      <c r="A68484" s="7"/>
      <c r="B68484" s="7"/>
    </row>
    <row r="68485" ht="15.75" customHeight="1">
      <c r="A68485" s="7"/>
      <c r="B68485" s="7"/>
    </row>
    <row r="68486" ht="15.75" customHeight="1">
      <c r="A68486" s="7"/>
      <c r="B68486" s="7"/>
    </row>
    <row r="68487" ht="15.75" customHeight="1">
      <c r="A68487" s="7"/>
      <c r="B68487" s="7"/>
    </row>
    <row r="68488" ht="15.75" customHeight="1">
      <c r="A68488" s="7"/>
      <c r="B68488" s="7"/>
    </row>
    <row r="68489" ht="15.75" customHeight="1">
      <c r="A68489" s="7"/>
      <c r="B68489" s="7"/>
    </row>
    <row r="68490" ht="15.75" customHeight="1">
      <c r="A68490" s="7"/>
      <c r="B68490" s="7"/>
    </row>
    <row r="68491" ht="15.75" customHeight="1">
      <c r="A68491" s="7"/>
      <c r="B68491" s="7"/>
    </row>
    <row r="68492" ht="15.75" customHeight="1">
      <c r="A68492" s="7"/>
      <c r="B68492" s="7"/>
    </row>
    <row r="68493" ht="15.75" customHeight="1">
      <c r="A68493" s="7"/>
      <c r="B68493" s="7"/>
    </row>
    <row r="68494" ht="15.75" customHeight="1">
      <c r="A68494" s="7"/>
      <c r="B68494" s="7"/>
    </row>
    <row r="68495" ht="15.75" customHeight="1">
      <c r="A68495" s="7"/>
      <c r="B68495" s="7"/>
    </row>
    <row r="68496" ht="15.75" customHeight="1">
      <c r="A68496" s="7"/>
      <c r="B68496" s="7"/>
    </row>
    <row r="68497" ht="15.75" customHeight="1">
      <c r="A68497" s="7"/>
      <c r="B68497" s="7"/>
    </row>
    <row r="68498" ht="15.75" customHeight="1">
      <c r="A68498" s="7"/>
      <c r="B68498" s="7"/>
    </row>
    <row r="68499" ht="15.75" customHeight="1">
      <c r="A68499" s="7"/>
      <c r="B68499" s="7"/>
    </row>
    <row r="68500" ht="15.75" customHeight="1">
      <c r="A68500" s="7"/>
      <c r="B68500" s="7"/>
    </row>
    <row r="68501" ht="15.75" customHeight="1">
      <c r="A68501" s="7"/>
      <c r="B68501" s="7"/>
    </row>
    <row r="68502" ht="15.75" customHeight="1">
      <c r="A68502" s="7"/>
      <c r="B68502" s="7"/>
    </row>
    <row r="68503" ht="15.75" customHeight="1">
      <c r="A68503" s="7"/>
      <c r="B68503" s="7"/>
    </row>
    <row r="68504" ht="15.75" customHeight="1">
      <c r="A68504" s="7"/>
      <c r="B68504" s="7"/>
    </row>
    <row r="68505" ht="15.75" customHeight="1">
      <c r="A68505" s="7"/>
      <c r="B68505" s="7"/>
    </row>
    <row r="68506" ht="15.75" customHeight="1">
      <c r="A68506" s="7"/>
      <c r="B68506" s="7"/>
    </row>
    <row r="68507" ht="15.75" customHeight="1">
      <c r="A68507" s="7"/>
      <c r="B68507" s="7"/>
    </row>
    <row r="68508" ht="15.75" customHeight="1">
      <c r="A68508" s="7"/>
      <c r="B68508" s="7"/>
    </row>
    <row r="68509" ht="15.75" customHeight="1">
      <c r="A68509" s="7"/>
      <c r="B68509" s="7"/>
    </row>
    <row r="68510" ht="15.75" customHeight="1">
      <c r="A68510" s="7"/>
      <c r="B68510" s="7"/>
    </row>
    <row r="68511" ht="15.75" customHeight="1">
      <c r="A68511" s="7"/>
      <c r="B68511" s="7"/>
    </row>
    <row r="68512" ht="15.75" customHeight="1">
      <c r="A68512" s="7"/>
      <c r="B68512" s="7"/>
    </row>
    <row r="68513" ht="15.75" customHeight="1">
      <c r="A68513" s="7"/>
      <c r="B68513" s="7"/>
    </row>
    <row r="68514" ht="15.75" customHeight="1">
      <c r="A68514" s="7"/>
      <c r="B68514" s="7"/>
    </row>
    <row r="68515" ht="15.75" customHeight="1">
      <c r="A68515" s="7"/>
      <c r="B68515" s="7"/>
    </row>
    <row r="68516" ht="15.75" customHeight="1">
      <c r="A68516" s="7"/>
      <c r="B68516" s="7"/>
    </row>
    <row r="68517" ht="15.75" customHeight="1">
      <c r="A68517" s="7"/>
      <c r="B68517" s="7"/>
    </row>
    <row r="68518" ht="15.75" customHeight="1">
      <c r="A68518" s="7"/>
      <c r="B68518" s="7"/>
    </row>
    <row r="68519" ht="15.75" customHeight="1">
      <c r="A68519" s="7"/>
      <c r="B68519" s="7"/>
    </row>
    <row r="68520" ht="15.75" customHeight="1">
      <c r="A68520" s="7"/>
      <c r="B68520" s="7"/>
    </row>
    <row r="68521" ht="15.75" customHeight="1">
      <c r="A68521" s="7"/>
      <c r="B68521" s="7"/>
    </row>
    <row r="68522" ht="15.75" customHeight="1">
      <c r="A68522" s="7"/>
      <c r="B68522" s="7"/>
    </row>
    <row r="68523" ht="15.75" customHeight="1">
      <c r="A68523" s="7"/>
      <c r="B68523" s="7"/>
    </row>
    <row r="68524" ht="15.75" customHeight="1">
      <c r="A68524" s="7"/>
      <c r="B68524" s="7"/>
    </row>
    <row r="68525" ht="15.75" customHeight="1">
      <c r="A68525" s="7"/>
      <c r="B68525" s="7"/>
    </row>
    <row r="68526" ht="15.75" customHeight="1">
      <c r="A68526" s="7"/>
      <c r="B68526" s="7"/>
    </row>
    <row r="68527" ht="15.75" customHeight="1">
      <c r="A68527" s="7"/>
      <c r="B68527" s="7"/>
    </row>
    <row r="68528" ht="15.75" customHeight="1">
      <c r="A68528" s="7"/>
      <c r="B68528" s="7"/>
    </row>
    <row r="68529" ht="15.75" customHeight="1">
      <c r="A68529" s="7"/>
      <c r="B68529" s="7"/>
    </row>
    <row r="68530" ht="15.75" customHeight="1">
      <c r="A68530" s="7"/>
      <c r="B68530" s="7"/>
    </row>
    <row r="68531" ht="15.75" customHeight="1">
      <c r="A68531" s="7"/>
      <c r="B68531" s="7"/>
    </row>
    <row r="68532" ht="15.75" customHeight="1">
      <c r="A68532" s="7"/>
      <c r="B68532" s="7"/>
    </row>
    <row r="68533" ht="15.75" customHeight="1">
      <c r="A68533" s="7"/>
      <c r="B68533" s="7"/>
    </row>
    <row r="68534" ht="15.75" customHeight="1">
      <c r="A68534" s="7"/>
      <c r="B68534" s="7"/>
    </row>
    <row r="68535" ht="15.75" customHeight="1">
      <c r="A68535" s="7"/>
      <c r="B68535" s="7"/>
    </row>
    <row r="68536" ht="15.75" customHeight="1">
      <c r="A68536" s="7"/>
      <c r="B68536" s="7"/>
    </row>
    <row r="68537" ht="15.75" customHeight="1">
      <c r="A68537" s="7"/>
      <c r="B68537" s="7"/>
    </row>
    <row r="68538" ht="15.75" customHeight="1">
      <c r="A68538" s="7"/>
      <c r="B68538" s="7"/>
    </row>
    <row r="68539" ht="15.75" customHeight="1">
      <c r="A68539" s="7"/>
      <c r="B68539" s="7"/>
    </row>
    <row r="68540" ht="15.75" customHeight="1">
      <c r="A68540" s="7"/>
      <c r="B68540" s="7"/>
    </row>
    <row r="68541" ht="15.75" customHeight="1">
      <c r="A68541" s="7"/>
      <c r="B68541" s="7"/>
    </row>
    <row r="68542" ht="15.75" customHeight="1">
      <c r="A68542" s="7"/>
      <c r="B68542" s="7"/>
    </row>
    <row r="68543" ht="15.75" customHeight="1">
      <c r="A68543" s="7"/>
      <c r="B68543" s="7"/>
    </row>
    <row r="68544" ht="15.75" customHeight="1">
      <c r="A68544" s="7"/>
      <c r="B68544" s="7"/>
    </row>
    <row r="68545" ht="15.75" customHeight="1">
      <c r="A68545" s="7"/>
      <c r="B68545" s="7"/>
    </row>
    <row r="68546" ht="15.75" customHeight="1">
      <c r="A68546" s="7"/>
      <c r="B68546" s="7"/>
    </row>
    <row r="68547" ht="15.75" customHeight="1">
      <c r="A68547" s="7"/>
      <c r="B68547" s="7"/>
    </row>
    <row r="68548" ht="15.75" customHeight="1">
      <c r="A68548" s="7"/>
      <c r="B68548" s="7"/>
    </row>
    <row r="68549" ht="15.75" customHeight="1">
      <c r="A68549" s="7"/>
      <c r="B68549" s="7"/>
    </row>
    <row r="68550" ht="15.75" customHeight="1">
      <c r="A68550" s="7"/>
      <c r="B68550" s="7"/>
    </row>
    <row r="68551" ht="15.75" customHeight="1">
      <c r="A68551" s="7"/>
      <c r="B68551" s="7"/>
    </row>
    <row r="68552" ht="15.75" customHeight="1">
      <c r="A68552" s="7"/>
      <c r="B68552" s="7"/>
    </row>
    <row r="68553" ht="15.75" customHeight="1">
      <c r="A68553" s="7"/>
      <c r="B68553" s="7"/>
    </row>
    <row r="68554" ht="15.75" customHeight="1">
      <c r="A68554" s="7"/>
      <c r="B68554" s="7"/>
    </row>
    <row r="68555" ht="15.75" customHeight="1">
      <c r="A68555" s="7"/>
      <c r="B68555" s="7"/>
    </row>
    <row r="68556" ht="15.75" customHeight="1">
      <c r="A68556" s="7"/>
      <c r="B68556" s="7"/>
    </row>
    <row r="68557" ht="15.75" customHeight="1">
      <c r="A68557" s="7"/>
      <c r="B68557" s="7"/>
    </row>
    <row r="68558" ht="15.75" customHeight="1">
      <c r="A68558" s="7"/>
      <c r="B68558" s="7"/>
    </row>
    <row r="68559" ht="15.75" customHeight="1">
      <c r="A68559" s="7"/>
      <c r="B68559" s="7"/>
    </row>
    <row r="68560" ht="15.75" customHeight="1">
      <c r="A68560" s="7"/>
      <c r="B68560" s="7"/>
    </row>
    <row r="68561" ht="15.75" customHeight="1">
      <c r="A68561" s="7"/>
      <c r="B68561" s="7"/>
    </row>
    <row r="68562" ht="15.75" customHeight="1">
      <c r="A68562" s="7"/>
      <c r="B68562" s="7"/>
    </row>
    <row r="68563" ht="15.75" customHeight="1">
      <c r="A68563" s="7"/>
      <c r="B68563" s="7"/>
    </row>
    <row r="68564" ht="15.75" customHeight="1">
      <c r="A68564" s="7"/>
      <c r="B68564" s="7"/>
    </row>
    <row r="68565" ht="15.75" customHeight="1">
      <c r="A68565" s="7"/>
      <c r="B68565" s="7"/>
    </row>
    <row r="68566" ht="15.75" customHeight="1">
      <c r="A68566" s="7"/>
      <c r="B68566" s="7"/>
    </row>
    <row r="68567" ht="15.75" customHeight="1">
      <c r="A68567" s="7"/>
      <c r="B68567" s="7"/>
    </row>
    <row r="68568" ht="15.75" customHeight="1">
      <c r="A68568" s="7"/>
      <c r="B68568" s="7"/>
    </row>
    <row r="68569" ht="15.75" customHeight="1">
      <c r="A68569" s="7"/>
      <c r="B68569" s="7"/>
    </row>
    <row r="68570" ht="15.75" customHeight="1">
      <c r="A68570" s="7"/>
      <c r="B68570" s="7"/>
    </row>
    <row r="68571" ht="15.75" customHeight="1">
      <c r="A68571" s="7"/>
      <c r="B68571" s="7"/>
    </row>
    <row r="68572" ht="15.75" customHeight="1">
      <c r="A68572" s="7"/>
      <c r="B68572" s="7"/>
    </row>
    <row r="68573" ht="15.75" customHeight="1">
      <c r="A68573" s="7"/>
      <c r="B68573" s="7"/>
    </row>
    <row r="68574" ht="15.75" customHeight="1">
      <c r="A68574" s="7"/>
      <c r="B68574" s="7"/>
    </row>
    <row r="68575" ht="15.75" customHeight="1">
      <c r="A68575" s="7"/>
      <c r="B68575" s="7"/>
    </row>
    <row r="68576" ht="15.75" customHeight="1">
      <c r="A68576" s="7"/>
      <c r="B68576" s="7"/>
    </row>
    <row r="68577" ht="15.75" customHeight="1">
      <c r="A68577" s="7"/>
      <c r="B68577" s="7"/>
    </row>
    <row r="68578" ht="15.75" customHeight="1">
      <c r="A68578" s="7"/>
      <c r="B68578" s="7"/>
    </row>
    <row r="68579" ht="15.75" customHeight="1">
      <c r="A68579" s="7"/>
      <c r="B68579" s="7"/>
    </row>
    <row r="68580" ht="15.75" customHeight="1">
      <c r="A68580" s="7"/>
      <c r="B68580" s="7"/>
    </row>
    <row r="68581" ht="15.75" customHeight="1">
      <c r="A68581" s="7"/>
      <c r="B68581" s="7"/>
    </row>
    <row r="68582" ht="15.75" customHeight="1">
      <c r="A68582" s="7"/>
      <c r="B68582" s="7"/>
    </row>
    <row r="68583" ht="15.75" customHeight="1">
      <c r="A68583" s="7"/>
      <c r="B68583" s="7"/>
    </row>
    <row r="68584" ht="15.75" customHeight="1">
      <c r="A68584" s="7"/>
      <c r="B68584" s="7"/>
    </row>
    <row r="68585" ht="15.75" customHeight="1">
      <c r="A68585" s="7"/>
      <c r="B68585" s="7"/>
    </row>
    <row r="68586" ht="15.75" customHeight="1">
      <c r="A68586" s="7"/>
      <c r="B68586" s="7"/>
    </row>
    <row r="68587" ht="15.75" customHeight="1">
      <c r="A68587" s="7"/>
      <c r="B68587" s="7"/>
    </row>
    <row r="68588" ht="15.75" customHeight="1">
      <c r="A68588" s="7"/>
      <c r="B68588" s="7"/>
    </row>
    <row r="68589" ht="15.75" customHeight="1">
      <c r="A68589" s="7"/>
      <c r="B68589" s="7"/>
    </row>
    <row r="68590" ht="15.75" customHeight="1">
      <c r="A68590" s="7"/>
      <c r="B68590" s="7"/>
    </row>
    <row r="68591" ht="15.75" customHeight="1">
      <c r="A68591" s="7"/>
      <c r="B68591" s="7"/>
    </row>
    <row r="68592" ht="15.75" customHeight="1">
      <c r="A68592" s="7"/>
      <c r="B68592" s="7"/>
    </row>
    <row r="68593" ht="15.75" customHeight="1">
      <c r="A68593" s="7"/>
      <c r="B68593" s="7"/>
    </row>
    <row r="68594" ht="15.75" customHeight="1">
      <c r="A68594" s="7"/>
      <c r="B68594" s="7"/>
    </row>
    <row r="68595" ht="15.75" customHeight="1">
      <c r="A68595" s="7"/>
      <c r="B68595" s="7"/>
    </row>
    <row r="68596" ht="15.75" customHeight="1">
      <c r="A68596" s="7"/>
      <c r="B68596" s="7"/>
    </row>
    <row r="68597" ht="15.75" customHeight="1">
      <c r="A68597" s="7"/>
      <c r="B68597" s="7"/>
    </row>
    <row r="68598" ht="15.75" customHeight="1">
      <c r="A68598" s="7"/>
      <c r="B68598" s="7"/>
    </row>
    <row r="68599" ht="15.75" customHeight="1">
      <c r="A68599" s="7"/>
      <c r="B68599" s="7"/>
    </row>
    <row r="68600" ht="15.75" customHeight="1">
      <c r="A68600" s="7"/>
      <c r="B68600" s="7"/>
    </row>
    <row r="68601" ht="15.75" customHeight="1">
      <c r="A68601" s="7"/>
      <c r="B68601" s="7"/>
    </row>
    <row r="68602" ht="15.75" customHeight="1">
      <c r="A68602" s="7"/>
      <c r="B68602" s="7"/>
    </row>
    <row r="68603" ht="15.75" customHeight="1">
      <c r="A68603" s="7"/>
      <c r="B68603" s="7"/>
    </row>
    <row r="68604" ht="15.75" customHeight="1">
      <c r="A68604" s="7"/>
      <c r="B68604" s="7"/>
    </row>
    <row r="68605" ht="15.75" customHeight="1">
      <c r="A68605" s="7"/>
      <c r="B68605" s="7"/>
    </row>
    <row r="68606" ht="15.75" customHeight="1">
      <c r="A68606" s="7"/>
      <c r="B68606" s="7"/>
    </row>
    <row r="68607" ht="15.75" customHeight="1">
      <c r="A68607" s="7"/>
      <c r="B68607" s="7"/>
    </row>
    <row r="68608" ht="15.75" customHeight="1">
      <c r="A68608" s="7"/>
      <c r="B68608" s="7"/>
    </row>
    <row r="68609" ht="15.75" customHeight="1">
      <c r="A68609" s="7"/>
      <c r="B68609" s="7"/>
    </row>
    <row r="68610" ht="15.75" customHeight="1">
      <c r="A68610" s="7"/>
      <c r="B68610" s="7"/>
    </row>
    <row r="68611" ht="15.75" customHeight="1">
      <c r="A68611" s="7"/>
      <c r="B68611" s="7"/>
    </row>
    <row r="68612" ht="15.75" customHeight="1">
      <c r="A68612" s="7"/>
      <c r="B68612" s="7"/>
    </row>
    <row r="68613" ht="15.75" customHeight="1">
      <c r="A68613" s="7"/>
      <c r="B68613" s="7"/>
    </row>
    <row r="68614" ht="15.75" customHeight="1">
      <c r="A68614" s="7"/>
      <c r="B68614" s="7"/>
    </row>
    <row r="68615" ht="15.75" customHeight="1">
      <c r="A68615" s="7"/>
      <c r="B68615" s="7"/>
    </row>
    <row r="68616" ht="15.75" customHeight="1">
      <c r="A68616" s="7"/>
      <c r="B68616" s="7"/>
    </row>
    <row r="68617" ht="15.75" customHeight="1">
      <c r="A68617" s="7"/>
      <c r="B68617" s="7"/>
    </row>
    <row r="68618" ht="15.75" customHeight="1">
      <c r="A68618" s="7"/>
      <c r="B68618" s="7"/>
    </row>
    <row r="68619" ht="15.75" customHeight="1">
      <c r="A68619" s="7"/>
      <c r="B68619" s="7"/>
    </row>
    <row r="68620" ht="15.75" customHeight="1">
      <c r="A68620" s="7"/>
      <c r="B68620" s="7"/>
    </row>
    <row r="68621" ht="15.75" customHeight="1">
      <c r="A68621" s="7"/>
      <c r="B68621" s="7"/>
    </row>
    <row r="68622" ht="15.75" customHeight="1">
      <c r="A68622" s="7"/>
      <c r="B68622" s="7"/>
    </row>
    <row r="68623" ht="15.75" customHeight="1">
      <c r="A68623" s="7"/>
      <c r="B68623" s="7"/>
    </row>
    <row r="68624" ht="15.75" customHeight="1">
      <c r="A68624" s="7"/>
      <c r="B68624" s="7"/>
    </row>
    <row r="68625" ht="15.75" customHeight="1">
      <c r="A68625" s="7"/>
      <c r="B68625" s="7"/>
    </row>
    <row r="68626" ht="15.75" customHeight="1">
      <c r="A68626" s="7"/>
      <c r="B68626" s="7"/>
    </row>
    <row r="68627" ht="15.75" customHeight="1">
      <c r="A68627" s="7"/>
      <c r="B68627" s="7"/>
    </row>
    <row r="68628" ht="15.75" customHeight="1">
      <c r="A68628" s="7"/>
      <c r="B68628" s="7"/>
    </row>
    <row r="68629" ht="15.75" customHeight="1">
      <c r="A68629" s="7"/>
      <c r="B68629" s="7"/>
    </row>
    <row r="68630" ht="15.75" customHeight="1">
      <c r="A68630" s="7"/>
      <c r="B68630" s="7"/>
    </row>
    <row r="68631" ht="15.75" customHeight="1">
      <c r="A68631" s="7"/>
      <c r="B68631" s="7"/>
    </row>
    <row r="68632" ht="15.75" customHeight="1">
      <c r="A68632" s="7"/>
      <c r="B68632" s="7"/>
    </row>
    <row r="68633" ht="15.75" customHeight="1">
      <c r="A68633" s="7"/>
      <c r="B68633" s="7"/>
    </row>
    <row r="68634" ht="15.75" customHeight="1">
      <c r="A68634" s="7"/>
      <c r="B68634" s="7"/>
    </row>
    <row r="68635" ht="15.75" customHeight="1">
      <c r="A68635" s="7"/>
      <c r="B68635" s="7"/>
    </row>
    <row r="68636" ht="15.75" customHeight="1">
      <c r="A68636" s="7"/>
      <c r="B68636" s="7"/>
    </row>
    <row r="68637" ht="15.75" customHeight="1">
      <c r="A68637" s="7"/>
      <c r="B68637" s="7"/>
    </row>
    <row r="68638" ht="15.75" customHeight="1">
      <c r="A68638" s="7"/>
      <c r="B68638" s="7"/>
    </row>
    <row r="68639" ht="15.75" customHeight="1">
      <c r="A68639" s="7"/>
      <c r="B68639" s="7"/>
    </row>
    <row r="68640" ht="15.75" customHeight="1">
      <c r="A68640" s="7"/>
      <c r="B68640" s="7"/>
    </row>
    <row r="68641" ht="15.75" customHeight="1">
      <c r="A68641" s="7"/>
      <c r="B68641" s="7"/>
    </row>
    <row r="68642" ht="15.75" customHeight="1">
      <c r="A68642" s="7"/>
      <c r="B68642" s="7"/>
    </row>
    <row r="68643" ht="15.75" customHeight="1">
      <c r="A68643" s="7"/>
      <c r="B68643" s="7"/>
    </row>
    <row r="68644" ht="15.75" customHeight="1">
      <c r="A68644" s="7"/>
      <c r="B68644" s="7"/>
    </row>
    <row r="68645" ht="15.75" customHeight="1">
      <c r="A68645" s="7"/>
      <c r="B68645" s="7"/>
    </row>
    <row r="68646" ht="15.75" customHeight="1">
      <c r="A68646" s="7"/>
      <c r="B68646" s="7"/>
    </row>
    <row r="68647" ht="15.75" customHeight="1">
      <c r="A68647" s="7"/>
      <c r="B68647" s="7"/>
    </row>
    <row r="68648" ht="15.75" customHeight="1">
      <c r="A68648" s="7"/>
      <c r="B68648" s="7"/>
    </row>
    <row r="68649" ht="15.75" customHeight="1">
      <c r="A68649" s="7"/>
      <c r="B68649" s="7"/>
    </row>
    <row r="68650" ht="15.75" customHeight="1">
      <c r="A68650" s="7"/>
      <c r="B68650" s="7"/>
    </row>
    <row r="68651" ht="15.75" customHeight="1">
      <c r="A68651" s="7"/>
      <c r="B68651" s="7"/>
    </row>
    <row r="68652" ht="15.75" customHeight="1">
      <c r="A68652" s="7"/>
      <c r="B68652" s="7"/>
    </row>
    <row r="68653" ht="15.75" customHeight="1">
      <c r="A68653" s="7"/>
      <c r="B68653" s="7"/>
    </row>
    <row r="68654" ht="15.75" customHeight="1">
      <c r="A68654" s="7"/>
      <c r="B68654" s="7"/>
    </row>
    <row r="68655" ht="15.75" customHeight="1">
      <c r="A68655" s="7"/>
      <c r="B68655" s="7"/>
    </row>
    <row r="68656" ht="15.75" customHeight="1">
      <c r="A68656" s="7"/>
      <c r="B68656" s="7"/>
    </row>
    <row r="68657" ht="15.75" customHeight="1">
      <c r="A68657" s="7"/>
      <c r="B68657" s="7"/>
    </row>
    <row r="68658" ht="15.75" customHeight="1">
      <c r="A68658" s="7"/>
      <c r="B68658" s="7"/>
    </row>
    <row r="68659" ht="15.75" customHeight="1">
      <c r="A68659" s="7"/>
      <c r="B68659" s="7"/>
    </row>
    <row r="68660" ht="15.75" customHeight="1">
      <c r="A68660" s="7"/>
      <c r="B68660" s="7"/>
    </row>
    <row r="68661" ht="15.75" customHeight="1">
      <c r="A68661" s="7"/>
      <c r="B68661" s="7"/>
    </row>
    <row r="68662" ht="15.75" customHeight="1">
      <c r="A68662" s="7"/>
      <c r="B68662" s="7"/>
    </row>
    <row r="68663" ht="15.75" customHeight="1">
      <c r="A68663" s="7"/>
      <c r="B68663" s="7"/>
    </row>
    <row r="68664" ht="15.75" customHeight="1">
      <c r="A68664" s="7"/>
      <c r="B68664" s="7"/>
    </row>
    <row r="68665" ht="15.75" customHeight="1">
      <c r="A68665" s="7"/>
      <c r="B68665" s="7"/>
    </row>
    <row r="68666" ht="15.75" customHeight="1">
      <c r="A68666" s="7"/>
      <c r="B68666" s="7"/>
    </row>
    <row r="68667" ht="15.75" customHeight="1">
      <c r="A68667" s="7"/>
      <c r="B68667" s="7"/>
    </row>
    <row r="68668" ht="15.75" customHeight="1">
      <c r="A68668" s="7"/>
      <c r="B68668" s="7"/>
    </row>
    <row r="68669" ht="15.75" customHeight="1">
      <c r="A68669" s="7"/>
      <c r="B68669" s="7"/>
    </row>
    <row r="68670" ht="15.75" customHeight="1">
      <c r="A68670" s="7"/>
      <c r="B68670" s="7"/>
    </row>
    <row r="68671" ht="15.75" customHeight="1">
      <c r="A68671" s="7"/>
      <c r="B68671" s="7"/>
    </row>
    <row r="68672" ht="15.75" customHeight="1">
      <c r="A68672" s="7"/>
      <c r="B68672" s="7"/>
    </row>
    <row r="68673" ht="15.75" customHeight="1">
      <c r="A68673" s="7"/>
      <c r="B68673" s="7"/>
    </row>
    <row r="68674" ht="15.75" customHeight="1">
      <c r="A68674" s="7"/>
      <c r="B68674" s="7"/>
    </row>
    <row r="68675" ht="15.75" customHeight="1">
      <c r="A68675" s="7"/>
      <c r="B68675" s="7"/>
    </row>
    <row r="68676" ht="15.75" customHeight="1">
      <c r="A68676" s="7"/>
      <c r="B68676" s="7"/>
    </row>
    <row r="68677" ht="15.75" customHeight="1">
      <c r="A68677" s="7"/>
      <c r="B68677" s="7"/>
    </row>
    <row r="68678" ht="15.75" customHeight="1">
      <c r="A68678" s="7"/>
      <c r="B68678" s="7"/>
    </row>
    <row r="68679" ht="15.75" customHeight="1">
      <c r="A68679" s="7"/>
      <c r="B68679" s="7"/>
    </row>
    <row r="68680" ht="15.75" customHeight="1">
      <c r="A68680" s="7"/>
      <c r="B68680" s="7"/>
    </row>
    <row r="68681" ht="15.75" customHeight="1">
      <c r="A68681" s="7"/>
      <c r="B68681" s="7"/>
    </row>
    <row r="68682" ht="15.75" customHeight="1">
      <c r="A68682" s="7"/>
      <c r="B68682" s="7"/>
    </row>
    <row r="68683" ht="15.75" customHeight="1">
      <c r="A68683" s="7"/>
      <c r="B68683" s="7"/>
    </row>
    <row r="68684" ht="15.75" customHeight="1">
      <c r="A68684" s="7"/>
      <c r="B68684" s="7"/>
    </row>
    <row r="68685" ht="15.75" customHeight="1">
      <c r="A68685" s="7"/>
      <c r="B68685" s="7"/>
    </row>
    <row r="68686" ht="15.75" customHeight="1">
      <c r="A68686" s="7"/>
      <c r="B68686" s="7"/>
    </row>
    <row r="68687" ht="15.75" customHeight="1">
      <c r="A68687" s="7"/>
      <c r="B68687" s="7"/>
    </row>
    <row r="68688" ht="15.75" customHeight="1">
      <c r="A68688" s="7"/>
      <c r="B68688" s="7"/>
    </row>
    <row r="68689" ht="15.75" customHeight="1">
      <c r="A68689" s="7"/>
      <c r="B68689" s="7"/>
    </row>
    <row r="68690" ht="15.75" customHeight="1">
      <c r="A68690" s="7"/>
      <c r="B68690" s="7"/>
    </row>
    <row r="68691" ht="15.75" customHeight="1">
      <c r="A68691" s="7"/>
      <c r="B68691" s="7"/>
    </row>
    <row r="68692" ht="15.75" customHeight="1">
      <c r="A68692" s="7"/>
      <c r="B68692" s="7"/>
    </row>
    <row r="68693" ht="15.75" customHeight="1">
      <c r="A68693" s="7"/>
      <c r="B68693" s="7"/>
    </row>
    <row r="68694" ht="15.75" customHeight="1">
      <c r="A68694" s="7"/>
      <c r="B68694" s="7"/>
    </row>
    <row r="68695" ht="15.75" customHeight="1">
      <c r="A68695" s="7"/>
      <c r="B68695" s="7"/>
    </row>
    <row r="68696" ht="15.75" customHeight="1">
      <c r="A68696" s="7"/>
      <c r="B68696" s="7"/>
    </row>
    <row r="68697" ht="15.75" customHeight="1">
      <c r="A68697" s="7"/>
      <c r="B68697" s="7"/>
    </row>
    <row r="68698" ht="15.75" customHeight="1">
      <c r="A68698" s="7"/>
      <c r="B68698" s="7"/>
    </row>
    <row r="68699" ht="15.75" customHeight="1">
      <c r="A68699" s="7"/>
      <c r="B68699" s="7"/>
    </row>
    <row r="68700" ht="15.75" customHeight="1">
      <c r="A68700" s="7"/>
      <c r="B68700" s="7"/>
    </row>
    <row r="68701" ht="15.75" customHeight="1">
      <c r="A68701" s="7"/>
      <c r="B68701" s="7"/>
    </row>
    <row r="68702" ht="15.75" customHeight="1">
      <c r="A68702" s="7"/>
      <c r="B68702" s="7"/>
    </row>
    <row r="68703" ht="15.75" customHeight="1">
      <c r="A68703" s="7"/>
      <c r="B68703" s="7"/>
    </row>
    <row r="68704" ht="15.75" customHeight="1">
      <c r="A68704" s="7"/>
      <c r="B68704" s="7"/>
    </row>
    <row r="68705" ht="15.75" customHeight="1">
      <c r="A68705" s="7"/>
      <c r="B68705" s="7"/>
    </row>
    <row r="68706" ht="15.75" customHeight="1">
      <c r="A68706" s="7"/>
      <c r="B68706" s="7"/>
    </row>
    <row r="68707" ht="15.75" customHeight="1">
      <c r="A68707" s="7"/>
      <c r="B68707" s="7"/>
    </row>
    <row r="68708" ht="15.75" customHeight="1">
      <c r="A68708" s="7"/>
      <c r="B68708" s="7"/>
    </row>
    <row r="68709" ht="15.75" customHeight="1">
      <c r="A68709" s="7"/>
      <c r="B68709" s="7"/>
    </row>
    <row r="68710" ht="15.75" customHeight="1">
      <c r="A68710" s="7"/>
      <c r="B68710" s="7"/>
    </row>
    <row r="68711" ht="15.75" customHeight="1">
      <c r="A68711" s="7"/>
      <c r="B68711" s="7"/>
    </row>
    <row r="68712" ht="15.75" customHeight="1">
      <c r="A68712" s="7"/>
      <c r="B68712" s="7"/>
    </row>
    <row r="68713" ht="15.75" customHeight="1">
      <c r="A68713" s="7"/>
      <c r="B68713" s="7"/>
    </row>
    <row r="68714" ht="15.75" customHeight="1">
      <c r="A68714" s="7"/>
      <c r="B68714" s="7"/>
    </row>
    <row r="68715" ht="15.75" customHeight="1">
      <c r="A68715" s="7"/>
      <c r="B68715" s="7"/>
    </row>
    <row r="68716" ht="15.75" customHeight="1">
      <c r="A68716" s="7"/>
      <c r="B68716" s="7"/>
    </row>
    <row r="68717" ht="15.75" customHeight="1">
      <c r="A68717" s="7"/>
      <c r="B68717" s="7"/>
    </row>
    <row r="68718" ht="15.75" customHeight="1">
      <c r="A68718" s="7"/>
      <c r="B68718" s="7"/>
    </row>
    <row r="68719" ht="15.75" customHeight="1">
      <c r="A68719" s="7"/>
      <c r="B68719" s="7"/>
    </row>
    <row r="68720" ht="15.75" customHeight="1">
      <c r="A68720" s="7"/>
      <c r="B68720" s="7"/>
    </row>
    <row r="68721" ht="15.75" customHeight="1">
      <c r="A68721" s="7"/>
      <c r="B68721" s="7"/>
    </row>
    <row r="68722" ht="15.75" customHeight="1">
      <c r="A68722" s="7"/>
      <c r="B68722" s="7"/>
    </row>
    <row r="68723" ht="15.75" customHeight="1">
      <c r="A68723" s="7"/>
      <c r="B68723" s="7"/>
    </row>
    <row r="68724" ht="15.75" customHeight="1">
      <c r="A68724" s="7"/>
      <c r="B68724" s="7"/>
    </row>
    <row r="68725" ht="15.75" customHeight="1">
      <c r="A68725" s="7"/>
      <c r="B68725" s="7"/>
    </row>
    <row r="68726" ht="15.75" customHeight="1">
      <c r="A68726" s="7"/>
      <c r="B68726" s="7"/>
    </row>
    <row r="68727" ht="15.75" customHeight="1">
      <c r="A68727" s="7"/>
      <c r="B68727" s="7"/>
    </row>
    <row r="68728" ht="15.75" customHeight="1">
      <c r="A68728" s="7"/>
      <c r="B68728" s="7"/>
    </row>
    <row r="68729" ht="15.75" customHeight="1">
      <c r="A68729" s="7"/>
      <c r="B68729" s="7"/>
    </row>
    <row r="68730" ht="15.75" customHeight="1">
      <c r="A68730" s="7"/>
      <c r="B68730" s="7"/>
    </row>
    <row r="68731" ht="15.75" customHeight="1">
      <c r="A68731" s="7"/>
      <c r="B68731" s="7"/>
    </row>
    <row r="68732" ht="15.75" customHeight="1">
      <c r="A68732" s="7"/>
      <c r="B68732" s="7"/>
    </row>
    <row r="68733" ht="15.75" customHeight="1">
      <c r="A68733" s="7"/>
      <c r="B68733" s="7"/>
    </row>
    <row r="68734" ht="15.75" customHeight="1">
      <c r="A68734" s="7"/>
      <c r="B68734" s="7"/>
    </row>
    <row r="68735" ht="15.75" customHeight="1">
      <c r="A68735" s="7"/>
      <c r="B68735" s="7"/>
    </row>
    <row r="68736" ht="15.75" customHeight="1">
      <c r="A68736" s="7"/>
      <c r="B68736" s="7"/>
    </row>
    <row r="68737" ht="15.75" customHeight="1">
      <c r="A68737" s="7"/>
      <c r="B68737" s="7"/>
    </row>
    <row r="68738" ht="15.75" customHeight="1">
      <c r="A68738" s="7"/>
      <c r="B68738" s="7"/>
    </row>
    <row r="68739" ht="15.75" customHeight="1">
      <c r="A68739" s="7"/>
      <c r="B68739" s="7"/>
    </row>
    <row r="68740" ht="15.75" customHeight="1">
      <c r="A68740" s="7"/>
      <c r="B68740" s="7"/>
    </row>
    <row r="68741" ht="15.75" customHeight="1">
      <c r="A68741" s="7"/>
      <c r="B68741" s="7"/>
    </row>
    <row r="68742" ht="15.75" customHeight="1">
      <c r="A68742" s="7"/>
      <c r="B68742" s="7"/>
    </row>
    <row r="68743" ht="15.75" customHeight="1">
      <c r="A68743" s="7"/>
      <c r="B68743" s="7"/>
    </row>
    <row r="68744" ht="15.75" customHeight="1">
      <c r="A68744" s="7"/>
      <c r="B68744" s="7"/>
    </row>
    <row r="68745" ht="15.75" customHeight="1">
      <c r="A68745" s="7"/>
      <c r="B68745" s="7"/>
    </row>
    <row r="68746" ht="15.75" customHeight="1">
      <c r="A68746" s="7"/>
      <c r="B68746" s="7"/>
    </row>
    <row r="68747" ht="15.75" customHeight="1">
      <c r="A68747" s="7"/>
      <c r="B68747" s="7"/>
    </row>
    <row r="68748" ht="15.75" customHeight="1">
      <c r="A68748" s="7"/>
      <c r="B68748" s="7"/>
    </row>
    <row r="68749" ht="15.75" customHeight="1">
      <c r="A68749" s="7"/>
      <c r="B68749" s="7"/>
    </row>
    <row r="68750" ht="15.75" customHeight="1">
      <c r="A68750" s="7"/>
      <c r="B68750" s="7"/>
    </row>
    <row r="68751" ht="15.75" customHeight="1">
      <c r="A68751" s="7"/>
      <c r="B68751" s="7"/>
    </row>
    <row r="68752" ht="15.75" customHeight="1">
      <c r="A68752" s="7"/>
      <c r="B68752" s="7"/>
    </row>
    <row r="68753" ht="15.75" customHeight="1">
      <c r="A68753" s="7"/>
      <c r="B68753" s="7"/>
    </row>
    <row r="68754" ht="15.75" customHeight="1">
      <c r="A68754" s="7"/>
      <c r="B68754" s="7"/>
    </row>
    <row r="68755" ht="15.75" customHeight="1">
      <c r="A68755" s="7"/>
      <c r="B68755" s="7"/>
    </row>
    <row r="68756" ht="15.75" customHeight="1">
      <c r="A68756" s="7"/>
      <c r="B68756" s="7"/>
    </row>
    <row r="68757" ht="15.75" customHeight="1">
      <c r="A68757" s="7"/>
      <c r="B68757" s="7"/>
    </row>
    <row r="68758" ht="15.75" customHeight="1">
      <c r="A68758" s="7"/>
      <c r="B68758" s="7"/>
    </row>
    <row r="68759" ht="15.75" customHeight="1">
      <c r="A68759" s="7"/>
      <c r="B68759" s="7"/>
    </row>
    <row r="68760" ht="15.75" customHeight="1">
      <c r="A68760" s="7"/>
      <c r="B68760" s="7"/>
    </row>
    <row r="68761" ht="15.75" customHeight="1">
      <c r="A68761" s="7"/>
      <c r="B68761" s="7"/>
    </row>
    <row r="68762" ht="15.75" customHeight="1">
      <c r="A68762" s="7"/>
      <c r="B68762" s="7"/>
    </row>
    <row r="68763" ht="15.75" customHeight="1">
      <c r="A68763" s="7"/>
      <c r="B68763" s="7"/>
    </row>
    <row r="68764" ht="15.75" customHeight="1">
      <c r="A68764" s="7"/>
      <c r="B68764" s="7"/>
    </row>
    <row r="68765" ht="15.75" customHeight="1">
      <c r="A68765" s="7"/>
      <c r="B68765" s="7"/>
    </row>
    <row r="68766" ht="15.75" customHeight="1">
      <c r="A68766" s="7"/>
      <c r="B68766" s="7"/>
    </row>
    <row r="68767" ht="15.75" customHeight="1">
      <c r="A68767" s="7"/>
      <c r="B68767" s="7"/>
    </row>
    <row r="68768" ht="15.75" customHeight="1">
      <c r="A68768" s="7"/>
      <c r="B68768" s="7"/>
    </row>
    <row r="68769" ht="15.75" customHeight="1">
      <c r="A68769" s="7"/>
      <c r="B68769" s="7"/>
    </row>
    <row r="68770" ht="15.75" customHeight="1">
      <c r="A68770" s="7"/>
      <c r="B68770" s="7"/>
    </row>
    <row r="68771" ht="15.75" customHeight="1">
      <c r="A68771" s="7"/>
      <c r="B68771" s="7"/>
    </row>
    <row r="68772" ht="15.75" customHeight="1">
      <c r="A68772" s="7"/>
      <c r="B68772" s="7"/>
    </row>
    <row r="68773" ht="15.75" customHeight="1">
      <c r="A68773" s="7"/>
      <c r="B68773" s="7"/>
    </row>
    <row r="68774" ht="15.75" customHeight="1">
      <c r="A68774" s="7"/>
      <c r="B68774" s="7"/>
    </row>
    <row r="68775" ht="15.75" customHeight="1">
      <c r="A68775" s="7"/>
      <c r="B68775" s="7"/>
    </row>
    <row r="68776" ht="15.75" customHeight="1">
      <c r="A68776" s="7"/>
      <c r="B68776" s="7"/>
    </row>
    <row r="68777" ht="15.75" customHeight="1">
      <c r="A68777" s="7"/>
      <c r="B68777" s="7"/>
    </row>
    <row r="68778" ht="15.75" customHeight="1">
      <c r="A68778" s="7"/>
      <c r="B68778" s="7"/>
    </row>
    <row r="68779" ht="15.75" customHeight="1">
      <c r="A68779" s="7"/>
      <c r="B68779" s="7"/>
    </row>
    <row r="68780" ht="15.75" customHeight="1">
      <c r="A68780" s="7"/>
      <c r="B68780" s="7"/>
    </row>
    <row r="68781" ht="15.75" customHeight="1">
      <c r="A68781" s="7"/>
      <c r="B68781" s="7"/>
    </row>
    <row r="68782" ht="15.75" customHeight="1">
      <c r="A68782" s="7"/>
      <c r="B68782" s="7"/>
    </row>
    <row r="68783" ht="15.75" customHeight="1">
      <c r="A68783" s="7"/>
      <c r="B68783" s="7"/>
    </row>
    <row r="68784" ht="15.75" customHeight="1">
      <c r="A68784" s="7"/>
      <c r="B68784" s="7"/>
    </row>
    <row r="68785" ht="15.75" customHeight="1">
      <c r="A68785" s="7"/>
      <c r="B68785" s="7"/>
    </row>
    <row r="68786" ht="15.75" customHeight="1">
      <c r="A68786" s="7"/>
      <c r="B68786" s="7"/>
    </row>
    <row r="68787" ht="15.75" customHeight="1">
      <c r="A68787" s="7"/>
      <c r="B68787" s="7"/>
    </row>
    <row r="68788" ht="15.75" customHeight="1">
      <c r="A68788" s="7"/>
      <c r="B68788" s="7"/>
    </row>
    <row r="68789" ht="15.75" customHeight="1">
      <c r="A68789" s="7"/>
      <c r="B68789" s="7"/>
    </row>
    <row r="68790" ht="15.75" customHeight="1">
      <c r="A68790" s="7"/>
      <c r="B68790" s="7"/>
    </row>
    <row r="68791" ht="15.75" customHeight="1">
      <c r="A68791" s="7"/>
      <c r="B68791" s="7"/>
    </row>
    <row r="68792" ht="15.75" customHeight="1">
      <c r="A68792" s="7"/>
      <c r="B68792" s="7"/>
    </row>
    <row r="68793" ht="15.75" customHeight="1">
      <c r="A68793" s="7"/>
      <c r="B68793" s="7"/>
    </row>
    <row r="68794" ht="15.75" customHeight="1">
      <c r="A68794" s="7"/>
      <c r="B68794" s="7"/>
    </row>
    <row r="68795" ht="15.75" customHeight="1">
      <c r="A68795" s="7"/>
      <c r="B68795" s="7"/>
    </row>
    <row r="68796" ht="15.75" customHeight="1">
      <c r="A68796" s="7"/>
      <c r="B68796" s="7"/>
    </row>
    <row r="68797" ht="15.75" customHeight="1">
      <c r="A68797" s="7"/>
      <c r="B68797" s="7"/>
    </row>
    <row r="68798" ht="15.75" customHeight="1">
      <c r="A68798" s="7"/>
      <c r="B68798" s="7"/>
    </row>
    <row r="68799" ht="15.75" customHeight="1">
      <c r="A68799" s="7"/>
      <c r="B68799" s="7"/>
    </row>
    <row r="68800" ht="15.75" customHeight="1">
      <c r="A68800" s="7"/>
      <c r="B68800" s="7"/>
    </row>
    <row r="68801" ht="15.75" customHeight="1">
      <c r="A68801" s="7"/>
      <c r="B68801" s="7"/>
    </row>
    <row r="68802" ht="15.75" customHeight="1">
      <c r="A68802" s="7"/>
      <c r="B68802" s="7"/>
    </row>
    <row r="68803" ht="15.75" customHeight="1">
      <c r="A68803" s="7"/>
      <c r="B68803" s="7"/>
    </row>
    <row r="68804" ht="15.75" customHeight="1">
      <c r="A68804" s="7"/>
      <c r="B68804" s="7"/>
    </row>
    <row r="68805" ht="15.75" customHeight="1">
      <c r="A68805" s="7"/>
      <c r="B68805" s="7"/>
    </row>
    <row r="68806" ht="15.75" customHeight="1">
      <c r="A68806" s="7"/>
      <c r="B68806" s="7"/>
    </row>
    <row r="68807" ht="15.75" customHeight="1">
      <c r="A68807" s="7"/>
      <c r="B68807" s="7"/>
    </row>
    <row r="68808" ht="15.75" customHeight="1">
      <c r="A68808" s="7"/>
      <c r="B68808" s="7"/>
    </row>
    <row r="68809" ht="15.75" customHeight="1">
      <c r="A68809" s="7"/>
      <c r="B68809" s="7"/>
    </row>
    <row r="68810" ht="15.75" customHeight="1">
      <c r="A68810" s="7"/>
      <c r="B68810" s="7"/>
    </row>
    <row r="68811" ht="15.75" customHeight="1">
      <c r="A68811" s="7"/>
      <c r="B68811" s="7"/>
    </row>
    <row r="68812" ht="15.75" customHeight="1">
      <c r="A68812" s="7"/>
      <c r="B68812" s="7"/>
    </row>
    <row r="68813" ht="15.75" customHeight="1">
      <c r="A68813" s="7"/>
      <c r="B68813" s="7"/>
    </row>
    <row r="68814" ht="15.75" customHeight="1">
      <c r="A68814" s="7"/>
      <c r="B68814" s="7"/>
    </row>
    <row r="68815" ht="15.75" customHeight="1">
      <c r="A68815" s="7"/>
      <c r="B68815" s="7"/>
    </row>
    <row r="68816" ht="15.75" customHeight="1">
      <c r="A68816" s="7"/>
      <c r="B68816" s="7"/>
    </row>
    <row r="68817" ht="15.75" customHeight="1">
      <c r="A68817" s="7"/>
      <c r="B68817" s="7"/>
    </row>
    <row r="68818" ht="15.75" customHeight="1">
      <c r="A68818" s="7"/>
      <c r="B68818" s="7"/>
    </row>
    <row r="68819" ht="15.75" customHeight="1">
      <c r="A68819" s="7"/>
      <c r="B68819" s="7"/>
    </row>
    <row r="68820" ht="15.75" customHeight="1">
      <c r="A68820" s="7"/>
      <c r="B68820" s="7"/>
    </row>
    <row r="68821" ht="15.75" customHeight="1">
      <c r="A68821" s="7"/>
      <c r="B68821" s="7"/>
    </row>
    <row r="68822" ht="15.75" customHeight="1">
      <c r="A68822" s="7"/>
      <c r="B68822" s="7"/>
    </row>
    <row r="68823" ht="15.75" customHeight="1">
      <c r="A68823" s="7"/>
      <c r="B68823" s="7"/>
    </row>
    <row r="68824" ht="15.75" customHeight="1">
      <c r="A68824" s="7"/>
      <c r="B68824" s="7"/>
    </row>
    <row r="68825" ht="15.75" customHeight="1">
      <c r="A68825" s="7"/>
      <c r="B68825" s="7"/>
    </row>
    <row r="68826" ht="15.75" customHeight="1">
      <c r="A68826" s="7"/>
      <c r="B68826" s="7"/>
    </row>
    <row r="68827" ht="15.75" customHeight="1">
      <c r="A68827" s="7"/>
      <c r="B68827" s="7"/>
    </row>
    <row r="68828" ht="15.75" customHeight="1">
      <c r="A68828" s="7"/>
      <c r="B68828" s="7"/>
    </row>
    <row r="68829" ht="15.75" customHeight="1">
      <c r="A68829" s="7"/>
      <c r="B68829" s="7"/>
    </row>
    <row r="68830" ht="15.75" customHeight="1">
      <c r="A68830" s="7"/>
      <c r="B68830" s="7"/>
    </row>
    <row r="68831" ht="15.75" customHeight="1">
      <c r="A68831" s="7"/>
      <c r="B68831" s="7"/>
    </row>
    <row r="68832" ht="15.75" customHeight="1">
      <c r="A68832" s="7"/>
      <c r="B68832" s="7"/>
    </row>
    <row r="68833" ht="15.75" customHeight="1">
      <c r="A68833" s="7"/>
      <c r="B68833" s="7"/>
    </row>
    <row r="68834" ht="15.75" customHeight="1">
      <c r="A68834" s="7"/>
      <c r="B68834" s="7"/>
    </row>
    <row r="68835" ht="15.75" customHeight="1">
      <c r="A68835" s="7"/>
      <c r="B68835" s="7"/>
    </row>
    <row r="68836" ht="15.75" customHeight="1">
      <c r="A68836" s="7"/>
      <c r="B68836" s="7"/>
    </row>
    <row r="68837" ht="15.75" customHeight="1">
      <c r="A68837" s="7"/>
      <c r="B68837" s="7"/>
    </row>
    <row r="68838" ht="15.75" customHeight="1">
      <c r="A68838" s="7"/>
      <c r="B68838" s="7"/>
    </row>
    <row r="68839" ht="15.75" customHeight="1">
      <c r="A68839" s="7"/>
      <c r="B68839" s="7"/>
    </row>
    <row r="68840" ht="15.75" customHeight="1">
      <c r="A68840" s="7"/>
      <c r="B68840" s="7"/>
    </row>
    <row r="68841" ht="15.75" customHeight="1">
      <c r="A68841" s="7"/>
      <c r="B68841" s="7"/>
    </row>
    <row r="68842" ht="15.75" customHeight="1">
      <c r="A68842" s="7"/>
      <c r="B68842" s="7"/>
    </row>
    <row r="68843" ht="15.75" customHeight="1">
      <c r="A68843" s="7"/>
      <c r="B68843" s="7"/>
    </row>
    <row r="68844" ht="15.75" customHeight="1">
      <c r="A68844" s="7"/>
      <c r="B68844" s="7"/>
    </row>
    <row r="68845" ht="15.75" customHeight="1">
      <c r="A68845" s="7"/>
      <c r="B68845" s="7"/>
    </row>
    <row r="68846" ht="15.75" customHeight="1">
      <c r="A68846" s="7"/>
      <c r="B68846" s="7"/>
    </row>
    <row r="68847" ht="15.75" customHeight="1">
      <c r="A68847" s="7"/>
      <c r="B68847" s="7"/>
    </row>
    <row r="68848" ht="15.75" customHeight="1">
      <c r="A68848" s="7"/>
      <c r="B68848" s="7"/>
    </row>
    <row r="68849" ht="15.75" customHeight="1">
      <c r="A68849" s="7"/>
      <c r="B68849" s="7"/>
    </row>
    <row r="68850" ht="15.75" customHeight="1">
      <c r="A68850" s="7"/>
      <c r="B68850" s="7"/>
    </row>
    <row r="68851" ht="15.75" customHeight="1">
      <c r="A68851" s="7"/>
      <c r="B68851" s="7"/>
    </row>
    <row r="68852" ht="15.75" customHeight="1">
      <c r="A68852" s="7"/>
      <c r="B68852" s="7"/>
    </row>
    <row r="68853" ht="15.75" customHeight="1">
      <c r="A68853" s="7"/>
      <c r="B68853" s="7"/>
    </row>
    <row r="68854" ht="15.75" customHeight="1">
      <c r="A68854" s="7"/>
      <c r="B68854" s="7"/>
    </row>
    <row r="68855" ht="15.75" customHeight="1">
      <c r="A68855" s="7"/>
      <c r="B68855" s="7"/>
    </row>
    <row r="68856" ht="15.75" customHeight="1">
      <c r="A68856" s="7"/>
      <c r="B68856" s="7"/>
    </row>
    <row r="68857" ht="15.75" customHeight="1">
      <c r="A68857" s="7"/>
      <c r="B68857" s="7"/>
    </row>
    <row r="68858" ht="15.75" customHeight="1">
      <c r="A68858" s="7"/>
      <c r="B68858" s="7"/>
    </row>
    <row r="68859" ht="15.75" customHeight="1">
      <c r="A68859" s="7"/>
      <c r="B68859" s="7"/>
    </row>
    <row r="68860" ht="15.75" customHeight="1">
      <c r="A68860" s="7"/>
      <c r="B68860" s="7"/>
    </row>
    <row r="68861" ht="15.75" customHeight="1">
      <c r="A68861" s="7"/>
      <c r="B68861" s="7"/>
    </row>
    <row r="68862" ht="15.75" customHeight="1">
      <c r="A68862" s="7"/>
      <c r="B68862" s="7"/>
    </row>
    <row r="68863" ht="15.75" customHeight="1">
      <c r="A68863" s="7"/>
      <c r="B68863" s="7"/>
    </row>
    <row r="68864" ht="15.75" customHeight="1">
      <c r="A68864" s="7"/>
      <c r="B68864" s="7"/>
    </row>
    <row r="68865" ht="15.75" customHeight="1">
      <c r="A68865" s="7"/>
      <c r="B68865" s="7"/>
    </row>
    <row r="68866" ht="15.75" customHeight="1">
      <c r="A68866" s="7"/>
      <c r="B68866" s="7"/>
    </row>
    <row r="68867" ht="15.75" customHeight="1">
      <c r="A68867" s="7"/>
      <c r="B68867" s="7"/>
    </row>
    <row r="68868" ht="15.75" customHeight="1">
      <c r="A68868" s="7"/>
      <c r="B68868" s="7"/>
    </row>
    <row r="68869" ht="15.75" customHeight="1">
      <c r="A68869" s="7"/>
      <c r="B68869" s="7"/>
    </row>
    <row r="68870" ht="15.75" customHeight="1">
      <c r="A68870" s="7"/>
      <c r="B68870" s="7"/>
    </row>
    <row r="68871" ht="15.75" customHeight="1">
      <c r="A68871" s="7"/>
      <c r="B68871" s="7"/>
    </row>
    <row r="68872" ht="15.75" customHeight="1">
      <c r="A68872" s="7"/>
      <c r="B68872" s="7"/>
    </row>
    <row r="68873" ht="15.75" customHeight="1">
      <c r="A68873" s="7"/>
      <c r="B68873" s="7"/>
    </row>
    <row r="68874" ht="15.75" customHeight="1">
      <c r="A68874" s="7"/>
      <c r="B68874" s="7"/>
    </row>
    <row r="68875" ht="15.75" customHeight="1">
      <c r="A68875" s="7"/>
      <c r="B68875" s="7"/>
    </row>
    <row r="68876" ht="15.75" customHeight="1">
      <c r="A68876" s="7"/>
      <c r="B68876" s="7"/>
    </row>
    <row r="68877" ht="15.75" customHeight="1">
      <c r="A68877" s="7"/>
      <c r="B68877" s="7"/>
    </row>
    <row r="68878" ht="15.75" customHeight="1">
      <c r="A68878" s="7"/>
      <c r="B68878" s="7"/>
    </row>
    <row r="68879" ht="15.75" customHeight="1">
      <c r="A68879" s="7"/>
      <c r="B68879" s="7"/>
    </row>
    <row r="68880" ht="15.75" customHeight="1">
      <c r="A68880" s="7"/>
      <c r="B68880" s="7"/>
    </row>
    <row r="68881" ht="15.75" customHeight="1">
      <c r="A68881" s="7"/>
      <c r="B68881" s="7"/>
    </row>
    <row r="68882" ht="15.75" customHeight="1">
      <c r="A68882" s="7"/>
      <c r="B68882" s="7"/>
    </row>
    <row r="68883" ht="15.75" customHeight="1">
      <c r="A68883" s="7"/>
      <c r="B68883" s="7"/>
    </row>
    <row r="68884" ht="15.75" customHeight="1">
      <c r="A68884" s="7"/>
      <c r="B68884" s="7"/>
    </row>
    <row r="68885" ht="15.75" customHeight="1">
      <c r="A68885" s="7"/>
      <c r="B68885" s="7"/>
    </row>
    <row r="68886" ht="15.75" customHeight="1">
      <c r="A68886" s="7"/>
      <c r="B68886" s="7"/>
    </row>
    <row r="68887" ht="15.75" customHeight="1">
      <c r="A68887" s="7"/>
      <c r="B68887" s="7"/>
    </row>
    <row r="68888" ht="15.75" customHeight="1">
      <c r="A68888" s="7"/>
      <c r="B68888" s="7"/>
    </row>
    <row r="68889" ht="15.75" customHeight="1">
      <c r="A68889" s="7"/>
      <c r="B68889" s="7"/>
    </row>
    <row r="68890" ht="15.75" customHeight="1">
      <c r="A68890" s="7"/>
      <c r="B68890" s="7"/>
    </row>
    <row r="68891" ht="15.75" customHeight="1">
      <c r="A68891" s="7"/>
      <c r="B68891" s="7"/>
    </row>
    <row r="68892" ht="15.75" customHeight="1">
      <c r="A68892" s="7"/>
      <c r="B68892" s="7"/>
    </row>
    <row r="68893" ht="15.75" customHeight="1">
      <c r="A68893" s="7"/>
      <c r="B68893" s="7"/>
    </row>
    <row r="68894" ht="15.75" customHeight="1">
      <c r="A68894" s="7"/>
      <c r="B68894" s="7"/>
    </row>
    <row r="68895" ht="15.75" customHeight="1">
      <c r="A68895" s="7"/>
      <c r="B68895" s="7"/>
    </row>
    <row r="68896" ht="15.75" customHeight="1">
      <c r="A68896" s="7"/>
      <c r="B68896" s="7"/>
    </row>
    <row r="68897" ht="15.75" customHeight="1">
      <c r="A68897" s="7"/>
      <c r="B68897" s="7"/>
    </row>
    <row r="68898" ht="15.75" customHeight="1">
      <c r="A68898" s="7"/>
      <c r="B68898" s="7"/>
    </row>
    <row r="68899" ht="15.75" customHeight="1">
      <c r="A68899" s="7"/>
      <c r="B68899" s="7"/>
    </row>
    <row r="68900" ht="15.75" customHeight="1">
      <c r="A68900" s="7"/>
      <c r="B68900" s="7"/>
    </row>
    <row r="68901" ht="15.75" customHeight="1">
      <c r="A68901" s="7"/>
      <c r="B68901" s="7"/>
    </row>
    <row r="68902" ht="15.75" customHeight="1">
      <c r="A68902" s="7"/>
      <c r="B68902" s="7"/>
    </row>
    <row r="68903" ht="15.75" customHeight="1">
      <c r="A68903" s="7"/>
      <c r="B68903" s="7"/>
    </row>
    <row r="68904" ht="15.75" customHeight="1">
      <c r="A68904" s="7"/>
      <c r="B68904" s="7"/>
    </row>
    <row r="68905" ht="15.75" customHeight="1">
      <c r="A68905" s="7"/>
      <c r="B68905" s="7"/>
    </row>
    <row r="68906" ht="15.75" customHeight="1">
      <c r="A68906" s="7"/>
      <c r="B68906" s="7"/>
    </row>
    <row r="68907" ht="15.75" customHeight="1">
      <c r="A68907" s="7"/>
      <c r="B68907" s="7"/>
    </row>
    <row r="68908" ht="15.75" customHeight="1">
      <c r="A68908" s="7"/>
      <c r="B68908" s="7"/>
    </row>
    <row r="68909" ht="15.75" customHeight="1">
      <c r="A68909" s="7"/>
      <c r="B68909" s="7"/>
    </row>
    <row r="68910" ht="15.75" customHeight="1">
      <c r="A68910" s="7"/>
      <c r="B68910" s="7"/>
    </row>
    <row r="68911" ht="15.75" customHeight="1">
      <c r="A68911" s="7"/>
      <c r="B68911" s="7"/>
    </row>
    <row r="68912" ht="15.75" customHeight="1">
      <c r="A68912" s="7"/>
      <c r="B68912" s="7"/>
    </row>
    <row r="68913" ht="15.75" customHeight="1">
      <c r="A68913" s="7"/>
      <c r="B68913" s="7"/>
    </row>
    <row r="68914" ht="15.75" customHeight="1">
      <c r="A68914" s="7"/>
      <c r="B68914" s="7"/>
    </row>
    <row r="68915" ht="15.75" customHeight="1">
      <c r="A68915" s="7"/>
      <c r="B68915" s="7"/>
    </row>
    <row r="68916" ht="15.75" customHeight="1">
      <c r="A68916" s="7"/>
      <c r="B68916" s="7"/>
    </row>
    <row r="68917" ht="15.75" customHeight="1">
      <c r="A68917" s="7"/>
      <c r="B68917" s="7"/>
    </row>
    <row r="68918" ht="15.75" customHeight="1">
      <c r="A68918" s="7"/>
      <c r="B68918" s="7"/>
    </row>
    <row r="68919" ht="15.75" customHeight="1">
      <c r="A68919" s="7"/>
      <c r="B68919" s="7"/>
    </row>
    <row r="68920" ht="15.75" customHeight="1">
      <c r="A68920" s="7"/>
      <c r="B68920" s="7"/>
    </row>
    <row r="68921" ht="15.75" customHeight="1">
      <c r="A68921" s="7"/>
      <c r="B68921" s="7"/>
    </row>
    <row r="68922" ht="15.75" customHeight="1">
      <c r="A68922" s="7"/>
      <c r="B68922" s="7"/>
    </row>
    <row r="68923" ht="15.75" customHeight="1">
      <c r="A68923" s="7"/>
      <c r="B68923" s="7"/>
    </row>
    <row r="68924" ht="15.75" customHeight="1">
      <c r="A68924" s="7"/>
      <c r="B68924" s="7"/>
    </row>
    <row r="68925" ht="15.75" customHeight="1">
      <c r="A68925" s="7"/>
      <c r="B68925" s="7"/>
    </row>
    <row r="68926" ht="15.75" customHeight="1">
      <c r="A68926" s="7"/>
      <c r="B68926" s="7"/>
    </row>
    <row r="68927" ht="15.75" customHeight="1">
      <c r="A68927" s="7"/>
      <c r="B68927" s="7"/>
    </row>
    <row r="68928" ht="15.75" customHeight="1">
      <c r="A68928" s="7"/>
      <c r="B68928" s="7"/>
    </row>
    <row r="68929" ht="15.75" customHeight="1">
      <c r="A68929" s="7"/>
      <c r="B68929" s="7"/>
    </row>
    <row r="68930" ht="15.75" customHeight="1">
      <c r="A68930" s="7"/>
      <c r="B68930" s="7"/>
    </row>
    <row r="68931" ht="15.75" customHeight="1">
      <c r="A68931" s="7"/>
      <c r="B68931" s="7"/>
    </row>
    <row r="68932" ht="15.75" customHeight="1">
      <c r="A68932" s="7"/>
      <c r="B68932" s="7"/>
    </row>
    <row r="68933" ht="15.75" customHeight="1">
      <c r="A68933" s="7"/>
      <c r="B68933" s="7"/>
    </row>
    <row r="68934" ht="15.75" customHeight="1">
      <c r="A68934" s="7"/>
      <c r="B68934" s="7"/>
    </row>
    <row r="68935" ht="15.75" customHeight="1">
      <c r="A68935" s="7"/>
      <c r="B68935" s="7"/>
    </row>
    <row r="68936" ht="15.75" customHeight="1">
      <c r="A68936" s="7"/>
      <c r="B68936" s="7"/>
    </row>
    <row r="68937" ht="15.75" customHeight="1">
      <c r="A68937" s="7"/>
      <c r="B68937" s="7"/>
    </row>
    <row r="68938" ht="15.75" customHeight="1">
      <c r="A68938" s="7"/>
      <c r="B68938" s="7"/>
    </row>
    <row r="68939" ht="15.75" customHeight="1">
      <c r="A68939" s="7"/>
      <c r="B68939" s="7"/>
    </row>
    <row r="68940" ht="15.75" customHeight="1">
      <c r="A68940" s="7"/>
      <c r="B68940" s="7"/>
    </row>
    <row r="68941" ht="15.75" customHeight="1">
      <c r="A68941" s="7"/>
      <c r="B68941" s="7"/>
    </row>
    <row r="68942" ht="15.75" customHeight="1">
      <c r="A68942" s="7"/>
      <c r="B68942" s="7"/>
    </row>
    <row r="68943" ht="15.75" customHeight="1">
      <c r="A68943" s="7"/>
      <c r="B68943" s="7"/>
    </row>
    <row r="68944" ht="15.75" customHeight="1">
      <c r="A68944" s="7"/>
      <c r="B68944" s="7"/>
    </row>
    <row r="68945" ht="15.75" customHeight="1">
      <c r="A68945" s="7"/>
      <c r="B68945" s="7"/>
    </row>
    <row r="68946" ht="15.75" customHeight="1">
      <c r="A68946" s="7"/>
      <c r="B68946" s="7"/>
    </row>
    <row r="68947" ht="15.75" customHeight="1">
      <c r="A68947" s="7"/>
      <c r="B68947" s="7"/>
    </row>
    <row r="68948" ht="15.75" customHeight="1">
      <c r="A68948" s="7"/>
      <c r="B68948" s="7"/>
    </row>
    <row r="68949" ht="15.75" customHeight="1">
      <c r="A68949" s="7"/>
      <c r="B68949" s="7"/>
    </row>
    <row r="68950" ht="15.75" customHeight="1">
      <c r="A68950" s="7"/>
      <c r="B68950" s="7"/>
    </row>
    <row r="68951" ht="15.75" customHeight="1">
      <c r="A68951" s="7"/>
      <c r="B68951" s="7"/>
    </row>
    <row r="68952" ht="15.75" customHeight="1">
      <c r="A68952" s="7"/>
      <c r="B68952" s="7"/>
    </row>
    <row r="68953" ht="15.75" customHeight="1">
      <c r="A68953" s="7"/>
      <c r="B68953" s="7"/>
    </row>
    <row r="68954" ht="15.75" customHeight="1">
      <c r="A68954" s="7"/>
      <c r="B68954" s="7"/>
    </row>
    <row r="68955" ht="15.75" customHeight="1">
      <c r="A68955" s="7"/>
      <c r="B68955" s="7"/>
    </row>
    <row r="68956" ht="15.75" customHeight="1">
      <c r="A68956" s="7"/>
      <c r="B68956" s="7"/>
    </row>
    <row r="68957" ht="15.75" customHeight="1">
      <c r="A68957" s="7"/>
      <c r="B68957" s="7"/>
    </row>
    <row r="68958" ht="15.75" customHeight="1">
      <c r="A68958" s="7"/>
      <c r="B68958" s="7"/>
    </row>
    <row r="68959" ht="15.75" customHeight="1">
      <c r="A68959" s="7"/>
      <c r="B68959" s="7"/>
    </row>
    <row r="68960" ht="15.75" customHeight="1">
      <c r="A68960" s="7"/>
      <c r="B68960" s="7"/>
    </row>
    <row r="68961" ht="15.75" customHeight="1">
      <c r="A68961" s="7"/>
      <c r="B68961" s="7"/>
    </row>
    <row r="68962" ht="15.75" customHeight="1">
      <c r="A68962" s="7"/>
      <c r="B68962" s="7"/>
    </row>
    <row r="68963" ht="15.75" customHeight="1">
      <c r="A68963" s="7"/>
      <c r="B68963" s="7"/>
    </row>
    <row r="68964" ht="15.75" customHeight="1">
      <c r="A68964" s="7"/>
      <c r="B68964" s="7"/>
    </row>
    <row r="68965" ht="15.75" customHeight="1">
      <c r="A68965" s="7"/>
      <c r="B68965" s="7"/>
    </row>
    <row r="68966" ht="15.75" customHeight="1">
      <c r="A68966" s="7"/>
      <c r="B68966" s="7"/>
    </row>
    <row r="68967" ht="15.75" customHeight="1">
      <c r="A68967" s="7"/>
      <c r="B68967" s="7"/>
    </row>
    <row r="68968" ht="15.75" customHeight="1">
      <c r="A68968" s="7"/>
      <c r="B68968" s="7"/>
    </row>
    <row r="68969" ht="15.75" customHeight="1">
      <c r="A68969" s="7"/>
      <c r="B68969" s="7"/>
    </row>
    <row r="68970" ht="15.75" customHeight="1">
      <c r="A68970" s="7"/>
      <c r="B68970" s="7"/>
    </row>
    <row r="68971" ht="15.75" customHeight="1">
      <c r="A68971" s="7"/>
      <c r="B68971" s="7"/>
    </row>
    <row r="68972" ht="15.75" customHeight="1">
      <c r="A68972" s="7"/>
      <c r="B68972" s="7"/>
    </row>
    <row r="68973" ht="15.75" customHeight="1">
      <c r="A68973" s="7"/>
      <c r="B68973" s="7"/>
    </row>
    <row r="68974" ht="15.75" customHeight="1">
      <c r="A68974" s="7"/>
      <c r="B68974" s="7"/>
    </row>
    <row r="68975" ht="15.75" customHeight="1">
      <c r="A68975" s="7"/>
      <c r="B68975" s="7"/>
    </row>
    <row r="68976" ht="15.75" customHeight="1">
      <c r="A68976" s="7"/>
      <c r="B68976" s="7"/>
    </row>
    <row r="68977" ht="15.75" customHeight="1">
      <c r="A68977" s="7"/>
      <c r="B68977" s="7"/>
    </row>
    <row r="68978" ht="15.75" customHeight="1">
      <c r="A68978" s="7"/>
      <c r="B68978" s="7"/>
    </row>
    <row r="68979" ht="15.75" customHeight="1">
      <c r="A68979" s="7"/>
      <c r="B68979" s="7"/>
    </row>
    <row r="68980" ht="15.75" customHeight="1">
      <c r="A68980" s="7"/>
      <c r="B68980" s="7"/>
    </row>
    <row r="68981" ht="15.75" customHeight="1">
      <c r="A68981" s="7"/>
      <c r="B68981" s="7"/>
    </row>
    <row r="68982" ht="15.75" customHeight="1">
      <c r="A68982" s="7"/>
      <c r="B68982" s="7"/>
    </row>
    <row r="68983" ht="15.75" customHeight="1">
      <c r="A68983" s="7"/>
      <c r="B68983" s="7"/>
    </row>
    <row r="68984" ht="15.75" customHeight="1">
      <c r="A68984" s="7"/>
      <c r="B68984" s="7"/>
    </row>
    <row r="68985" ht="15.75" customHeight="1">
      <c r="A68985" s="7"/>
      <c r="B68985" s="7"/>
    </row>
    <row r="68986" ht="15.75" customHeight="1">
      <c r="A68986" s="7"/>
      <c r="B68986" s="7"/>
    </row>
    <row r="68987" ht="15.75" customHeight="1">
      <c r="A68987" s="7"/>
      <c r="B68987" s="7"/>
    </row>
    <row r="68988" ht="15.75" customHeight="1">
      <c r="A68988" s="7"/>
      <c r="B68988" s="7"/>
    </row>
    <row r="68989" ht="15.75" customHeight="1">
      <c r="A68989" s="7"/>
      <c r="B68989" s="7"/>
    </row>
    <row r="68990" ht="15.75" customHeight="1">
      <c r="A68990" s="7"/>
      <c r="B68990" s="7"/>
    </row>
    <row r="68991" ht="15.75" customHeight="1">
      <c r="A68991" s="7"/>
      <c r="B68991" s="7"/>
    </row>
    <row r="68992" ht="15.75" customHeight="1">
      <c r="A68992" s="7"/>
      <c r="B68992" s="7"/>
    </row>
    <row r="68993" ht="15.75" customHeight="1">
      <c r="A68993" s="7"/>
      <c r="B68993" s="7"/>
    </row>
    <row r="68994" ht="15.75" customHeight="1">
      <c r="A68994" s="7"/>
      <c r="B68994" s="7"/>
    </row>
    <row r="68995" ht="15.75" customHeight="1">
      <c r="A68995" s="7"/>
      <c r="B68995" s="7"/>
    </row>
    <row r="68996" ht="15.75" customHeight="1">
      <c r="A68996" s="7"/>
      <c r="B68996" s="7"/>
    </row>
    <row r="68997" ht="15.75" customHeight="1">
      <c r="A68997" s="7"/>
      <c r="B68997" s="7"/>
    </row>
    <row r="68998" ht="15.75" customHeight="1">
      <c r="A68998" s="7"/>
      <c r="B68998" s="7"/>
    </row>
    <row r="68999" ht="15.75" customHeight="1">
      <c r="A68999" s="7"/>
      <c r="B68999" s="7"/>
    </row>
    <row r="69000" ht="15.75" customHeight="1">
      <c r="A69000" s="7"/>
      <c r="B69000" s="7"/>
    </row>
    <row r="69001" ht="15.75" customHeight="1">
      <c r="A69001" s="7"/>
      <c r="B69001" s="7"/>
    </row>
    <row r="69002" ht="15.75" customHeight="1">
      <c r="A69002" s="7"/>
      <c r="B69002" s="7"/>
    </row>
    <row r="69003" ht="15.75" customHeight="1">
      <c r="A69003" s="7"/>
      <c r="B69003" s="7"/>
    </row>
    <row r="69004" ht="15.75" customHeight="1">
      <c r="A69004" s="7"/>
      <c r="B69004" s="7"/>
    </row>
    <row r="69005" ht="15.75" customHeight="1">
      <c r="A69005" s="7"/>
      <c r="B69005" s="7"/>
    </row>
    <row r="69006" ht="15.75" customHeight="1">
      <c r="A69006" s="7"/>
      <c r="B69006" s="7"/>
    </row>
    <row r="69007" ht="15.75" customHeight="1">
      <c r="A69007" s="7"/>
      <c r="B69007" s="7"/>
    </row>
    <row r="69008" ht="15.75" customHeight="1">
      <c r="A69008" s="7"/>
      <c r="B69008" s="7"/>
    </row>
    <row r="69009" ht="15.75" customHeight="1">
      <c r="A69009" s="7"/>
      <c r="B69009" s="7"/>
    </row>
    <row r="69010" ht="15.75" customHeight="1">
      <c r="A69010" s="7"/>
      <c r="B69010" s="7"/>
    </row>
    <row r="69011" ht="15.75" customHeight="1">
      <c r="A69011" s="7"/>
      <c r="B69011" s="7"/>
    </row>
    <row r="69012" ht="15.75" customHeight="1">
      <c r="A69012" s="7"/>
      <c r="B69012" s="7"/>
    </row>
    <row r="69013" ht="15.75" customHeight="1">
      <c r="A69013" s="7"/>
      <c r="B69013" s="7"/>
    </row>
    <row r="69014" ht="15.75" customHeight="1">
      <c r="A69014" s="7"/>
      <c r="B69014" s="7"/>
    </row>
    <row r="69015" ht="15.75" customHeight="1">
      <c r="A69015" s="7"/>
      <c r="B69015" s="7"/>
    </row>
    <row r="69016" ht="15.75" customHeight="1">
      <c r="A69016" s="7"/>
      <c r="B69016" s="7"/>
    </row>
    <row r="69017" ht="15.75" customHeight="1">
      <c r="A69017" s="7"/>
      <c r="B69017" s="7"/>
    </row>
    <row r="69018" ht="15.75" customHeight="1">
      <c r="A69018" s="7"/>
      <c r="B69018" s="7"/>
    </row>
    <row r="69019" ht="15.75" customHeight="1">
      <c r="A69019" s="7"/>
      <c r="B69019" s="7"/>
    </row>
    <row r="69020" ht="15.75" customHeight="1">
      <c r="A69020" s="7"/>
      <c r="B69020" s="7"/>
    </row>
    <row r="69021" ht="15.75" customHeight="1">
      <c r="A69021" s="7"/>
      <c r="B69021" s="7"/>
    </row>
    <row r="69022" ht="15.75" customHeight="1">
      <c r="A69022" s="7"/>
      <c r="B69022" s="7"/>
    </row>
    <row r="69023" ht="15.75" customHeight="1">
      <c r="A69023" s="7"/>
      <c r="B69023" s="7"/>
    </row>
    <row r="69024" ht="15.75" customHeight="1">
      <c r="A69024" s="7"/>
      <c r="B69024" s="7"/>
    </row>
    <row r="69025" ht="15.75" customHeight="1">
      <c r="A69025" s="7"/>
      <c r="B69025" s="7"/>
    </row>
    <row r="69026" ht="15.75" customHeight="1">
      <c r="A69026" s="7"/>
      <c r="B69026" s="7"/>
    </row>
    <row r="69027" ht="15.75" customHeight="1">
      <c r="A69027" s="7"/>
      <c r="B69027" s="7"/>
    </row>
    <row r="69028" ht="15.75" customHeight="1">
      <c r="A69028" s="7"/>
      <c r="B69028" s="7"/>
    </row>
    <row r="69029" ht="15.75" customHeight="1">
      <c r="A69029" s="7"/>
      <c r="B69029" s="7"/>
    </row>
    <row r="69030" ht="15.75" customHeight="1">
      <c r="A69030" s="7"/>
      <c r="B69030" s="7"/>
    </row>
    <row r="69031" ht="15.75" customHeight="1">
      <c r="A69031" s="7"/>
      <c r="B69031" s="7"/>
    </row>
    <row r="69032" ht="15.75" customHeight="1">
      <c r="A69032" s="7"/>
      <c r="B69032" s="7"/>
    </row>
    <row r="69033" ht="15.75" customHeight="1">
      <c r="A69033" s="7"/>
      <c r="B69033" s="7"/>
    </row>
    <row r="69034" ht="15.75" customHeight="1">
      <c r="A69034" s="7"/>
      <c r="B69034" s="7"/>
    </row>
    <row r="69035" ht="15.75" customHeight="1">
      <c r="A69035" s="7"/>
      <c r="B69035" s="7"/>
    </row>
    <row r="69036" ht="15.75" customHeight="1">
      <c r="A69036" s="7"/>
      <c r="B69036" s="7"/>
    </row>
    <row r="69037" ht="15.75" customHeight="1">
      <c r="A69037" s="7"/>
      <c r="B69037" s="7"/>
    </row>
    <row r="69038" ht="15.75" customHeight="1">
      <c r="A69038" s="7"/>
      <c r="B69038" s="7"/>
    </row>
    <row r="69039" ht="15.75" customHeight="1">
      <c r="A69039" s="7"/>
      <c r="B69039" s="7"/>
    </row>
    <row r="69040" ht="15.75" customHeight="1">
      <c r="A69040" s="7"/>
      <c r="B69040" s="7"/>
    </row>
    <row r="69041" ht="15.75" customHeight="1">
      <c r="A69041" s="7"/>
      <c r="B69041" s="7"/>
    </row>
    <row r="69042" ht="15.75" customHeight="1">
      <c r="A69042" s="7"/>
      <c r="B69042" s="7"/>
    </row>
    <row r="69043" ht="15.75" customHeight="1">
      <c r="A69043" s="7"/>
      <c r="B69043" s="7"/>
    </row>
    <row r="69044" ht="15.75" customHeight="1">
      <c r="A69044" s="7"/>
      <c r="B69044" s="7"/>
    </row>
    <row r="69045" ht="15.75" customHeight="1">
      <c r="A69045" s="7"/>
      <c r="B69045" s="7"/>
    </row>
    <row r="69046" ht="15.75" customHeight="1">
      <c r="A69046" s="7"/>
      <c r="B69046" s="7"/>
    </row>
    <row r="69047" ht="15.75" customHeight="1">
      <c r="A69047" s="7"/>
      <c r="B69047" s="7"/>
    </row>
    <row r="69048" ht="15.75" customHeight="1">
      <c r="A69048" s="7"/>
      <c r="B69048" s="7"/>
    </row>
    <row r="69049" ht="15.75" customHeight="1">
      <c r="A69049" s="7"/>
      <c r="B69049" s="7"/>
    </row>
    <row r="69050" ht="15.75" customHeight="1">
      <c r="A69050" s="7"/>
      <c r="B69050" s="7"/>
    </row>
    <row r="69051" ht="15.75" customHeight="1">
      <c r="A69051" s="7"/>
      <c r="B69051" s="7"/>
    </row>
    <row r="69052" ht="15.75" customHeight="1">
      <c r="A69052" s="7"/>
      <c r="B69052" s="7"/>
    </row>
    <row r="69053" ht="15.75" customHeight="1">
      <c r="A69053" s="7"/>
      <c r="B69053" s="7"/>
    </row>
    <row r="69054" ht="15.75" customHeight="1">
      <c r="A69054" s="7"/>
      <c r="B69054" s="7"/>
    </row>
    <row r="69055" ht="15.75" customHeight="1">
      <c r="A69055" s="7"/>
      <c r="B69055" s="7"/>
    </row>
    <row r="69056" ht="15.75" customHeight="1">
      <c r="A69056" s="7"/>
      <c r="B69056" s="7"/>
    </row>
    <row r="69057" ht="15.75" customHeight="1">
      <c r="A69057" s="7"/>
      <c r="B69057" s="7"/>
    </row>
    <row r="69058" ht="15.75" customHeight="1">
      <c r="A69058" s="7"/>
      <c r="B69058" s="7"/>
    </row>
    <row r="69059" ht="15.75" customHeight="1">
      <c r="A69059" s="7"/>
      <c r="B69059" s="7"/>
    </row>
    <row r="69060" ht="15.75" customHeight="1">
      <c r="A69060" s="7"/>
      <c r="B69060" s="7"/>
    </row>
    <row r="69061" ht="15.75" customHeight="1">
      <c r="A69061" s="7"/>
      <c r="B69061" s="7"/>
    </row>
    <row r="69062" ht="15.75" customHeight="1">
      <c r="A69062" s="7"/>
      <c r="B69062" s="7"/>
    </row>
    <row r="69063" ht="15.75" customHeight="1">
      <c r="A69063" s="7"/>
      <c r="B69063" s="7"/>
    </row>
    <row r="69064" ht="15.75" customHeight="1">
      <c r="A69064" s="7"/>
      <c r="B69064" s="7"/>
    </row>
    <row r="69065" ht="15.75" customHeight="1">
      <c r="A69065" s="7"/>
      <c r="B69065" s="7"/>
    </row>
    <row r="69066" ht="15.75" customHeight="1">
      <c r="A69066" s="7"/>
      <c r="B69066" s="7"/>
    </row>
    <row r="69067" ht="15.75" customHeight="1">
      <c r="A69067" s="7"/>
      <c r="B69067" s="7"/>
    </row>
    <row r="69068" ht="15.75" customHeight="1">
      <c r="A69068" s="7"/>
      <c r="B69068" s="7"/>
    </row>
    <row r="69069" ht="15.75" customHeight="1">
      <c r="A69069" s="7"/>
      <c r="B69069" s="7"/>
    </row>
    <row r="69070" ht="15.75" customHeight="1">
      <c r="A69070" s="7"/>
      <c r="B69070" s="7"/>
    </row>
    <row r="69071" ht="15.75" customHeight="1">
      <c r="A69071" s="7"/>
      <c r="B69071" s="7"/>
    </row>
    <row r="69072" ht="15.75" customHeight="1">
      <c r="A69072" s="7"/>
      <c r="B69072" s="7"/>
    </row>
    <row r="69073" ht="15.75" customHeight="1">
      <c r="A69073" s="7"/>
      <c r="B69073" s="7"/>
    </row>
    <row r="69074" ht="15.75" customHeight="1">
      <c r="A69074" s="7"/>
      <c r="B69074" s="7"/>
    </row>
    <row r="69075" ht="15.75" customHeight="1">
      <c r="A69075" s="7"/>
      <c r="B69075" s="7"/>
    </row>
    <row r="69076" ht="15.75" customHeight="1">
      <c r="A69076" s="7"/>
      <c r="B69076" s="7"/>
    </row>
    <row r="69077" ht="15.75" customHeight="1">
      <c r="A69077" s="7"/>
      <c r="B69077" s="7"/>
    </row>
    <row r="69078" ht="15.75" customHeight="1">
      <c r="A69078" s="7"/>
      <c r="B69078" s="7"/>
    </row>
    <row r="69079" ht="15.75" customHeight="1">
      <c r="A69079" s="7"/>
      <c r="B69079" s="7"/>
    </row>
    <row r="69080" ht="15.75" customHeight="1">
      <c r="A69080" s="7"/>
      <c r="B69080" s="7"/>
    </row>
    <row r="69081" ht="15.75" customHeight="1">
      <c r="A69081" s="7"/>
      <c r="B69081" s="7"/>
    </row>
    <row r="69082" ht="15.75" customHeight="1">
      <c r="A69082" s="7"/>
      <c r="B69082" s="7"/>
    </row>
    <row r="69083" ht="15.75" customHeight="1">
      <c r="A69083" s="7"/>
      <c r="B69083" s="7"/>
    </row>
    <row r="69084" ht="15.75" customHeight="1">
      <c r="A69084" s="7"/>
      <c r="B69084" s="7"/>
    </row>
    <row r="69085" ht="15.75" customHeight="1">
      <c r="A69085" s="7"/>
      <c r="B69085" s="7"/>
    </row>
    <row r="69086" ht="15.75" customHeight="1">
      <c r="A69086" s="7"/>
      <c r="B69086" s="7"/>
    </row>
    <row r="69087" ht="15.75" customHeight="1">
      <c r="A69087" s="7"/>
      <c r="B69087" s="7"/>
    </row>
    <row r="69088" ht="15.75" customHeight="1">
      <c r="A69088" s="7"/>
      <c r="B69088" s="7"/>
    </row>
    <row r="69089" ht="15.75" customHeight="1">
      <c r="A69089" s="7"/>
      <c r="B69089" s="7"/>
    </row>
    <row r="69090" ht="15.75" customHeight="1">
      <c r="A69090" s="7"/>
      <c r="B69090" s="7"/>
    </row>
    <row r="69091" ht="15.75" customHeight="1">
      <c r="A69091" s="7"/>
      <c r="B69091" s="7"/>
    </row>
    <row r="69092" ht="15.75" customHeight="1">
      <c r="A69092" s="7"/>
      <c r="B69092" s="7"/>
    </row>
    <row r="69093" ht="15.75" customHeight="1">
      <c r="A69093" s="7"/>
      <c r="B69093" s="7"/>
    </row>
    <row r="69094" ht="15.75" customHeight="1">
      <c r="A69094" s="7"/>
      <c r="B69094" s="7"/>
    </row>
    <row r="69095" ht="15.75" customHeight="1">
      <c r="A69095" s="7"/>
      <c r="B69095" s="7"/>
    </row>
    <row r="69096" ht="15.75" customHeight="1">
      <c r="A69096" s="7"/>
      <c r="B69096" s="7"/>
    </row>
    <row r="69097" ht="15.75" customHeight="1">
      <c r="A69097" s="7"/>
      <c r="B69097" s="7"/>
    </row>
    <row r="69098" ht="15.75" customHeight="1">
      <c r="A69098" s="7"/>
      <c r="B69098" s="7"/>
    </row>
    <row r="69099" ht="15.75" customHeight="1">
      <c r="A69099" s="7"/>
      <c r="B69099" s="7"/>
    </row>
    <row r="69100" ht="15.75" customHeight="1">
      <c r="A69100" s="7"/>
      <c r="B69100" s="7"/>
    </row>
    <row r="69101" ht="15.75" customHeight="1">
      <c r="A69101" s="7"/>
      <c r="B69101" s="7"/>
    </row>
    <row r="69102" ht="15.75" customHeight="1">
      <c r="A69102" s="7"/>
      <c r="B69102" s="7"/>
    </row>
    <row r="69103" ht="15.75" customHeight="1">
      <c r="A69103" s="7"/>
      <c r="B69103" s="7"/>
    </row>
    <row r="69104" ht="15.75" customHeight="1">
      <c r="A69104" s="7"/>
      <c r="B69104" s="7"/>
    </row>
    <row r="69105" ht="15.75" customHeight="1">
      <c r="A69105" s="7"/>
      <c r="B69105" s="7"/>
    </row>
    <row r="69106" ht="15.75" customHeight="1">
      <c r="A69106" s="7"/>
      <c r="B69106" s="7"/>
    </row>
    <row r="69107" ht="15.75" customHeight="1">
      <c r="A69107" s="7"/>
      <c r="B69107" s="7"/>
    </row>
    <row r="69108" ht="15.75" customHeight="1">
      <c r="A69108" s="7"/>
      <c r="B69108" s="7"/>
    </row>
    <row r="69109" ht="15.75" customHeight="1">
      <c r="A69109" s="7"/>
      <c r="B69109" s="7"/>
    </row>
    <row r="69110" ht="15.75" customHeight="1">
      <c r="A69110" s="7"/>
      <c r="B69110" s="7"/>
    </row>
    <row r="69111" ht="15.75" customHeight="1">
      <c r="A69111" s="7"/>
      <c r="B69111" s="7"/>
    </row>
    <row r="69112" ht="15.75" customHeight="1">
      <c r="A69112" s="7"/>
      <c r="B69112" s="7"/>
    </row>
    <row r="69113" ht="15.75" customHeight="1">
      <c r="A69113" s="7"/>
      <c r="B69113" s="7"/>
    </row>
    <row r="69114" ht="15.75" customHeight="1">
      <c r="A69114" s="7"/>
      <c r="B69114" s="7"/>
    </row>
    <row r="69115" ht="15.75" customHeight="1">
      <c r="A69115" s="7"/>
      <c r="B69115" s="7"/>
    </row>
    <row r="69116" ht="15.75" customHeight="1">
      <c r="A69116" s="7"/>
      <c r="B69116" s="7"/>
    </row>
    <row r="69117" ht="15.75" customHeight="1">
      <c r="A69117" s="7"/>
      <c r="B69117" s="7"/>
    </row>
    <row r="69118" ht="15.75" customHeight="1">
      <c r="A69118" s="7"/>
      <c r="B69118" s="7"/>
    </row>
    <row r="69119" ht="15.75" customHeight="1">
      <c r="A69119" s="7"/>
      <c r="B69119" s="7"/>
    </row>
    <row r="69120" ht="15.75" customHeight="1">
      <c r="A69120" s="7"/>
      <c r="B69120" s="7"/>
    </row>
    <row r="69121" ht="15.75" customHeight="1">
      <c r="A69121" s="7"/>
      <c r="B69121" s="7"/>
    </row>
    <row r="69122" ht="15.75" customHeight="1">
      <c r="A69122" s="7"/>
      <c r="B69122" s="7"/>
    </row>
    <row r="69123" ht="15.75" customHeight="1">
      <c r="A69123" s="7"/>
      <c r="B69123" s="7"/>
    </row>
    <row r="69124" ht="15.75" customHeight="1">
      <c r="A69124" s="7"/>
      <c r="B69124" s="7"/>
    </row>
    <row r="69125" ht="15.75" customHeight="1">
      <c r="A69125" s="7"/>
      <c r="B69125" s="7"/>
    </row>
    <row r="69126" ht="15.75" customHeight="1">
      <c r="A69126" s="7"/>
      <c r="B69126" s="7"/>
    </row>
    <row r="69127" ht="15.75" customHeight="1">
      <c r="A69127" s="7"/>
      <c r="B69127" s="7"/>
    </row>
    <row r="69128" ht="15.75" customHeight="1">
      <c r="A69128" s="7"/>
      <c r="B69128" s="7"/>
    </row>
    <row r="69129" ht="15.75" customHeight="1">
      <c r="A69129" s="7"/>
      <c r="B69129" s="7"/>
    </row>
    <row r="69130" ht="15.75" customHeight="1">
      <c r="A69130" s="7"/>
      <c r="B69130" s="7"/>
    </row>
    <row r="69131" ht="15.75" customHeight="1">
      <c r="A69131" s="7"/>
      <c r="B69131" s="7"/>
    </row>
    <row r="69132" ht="15.75" customHeight="1">
      <c r="A69132" s="7"/>
      <c r="B69132" s="7"/>
    </row>
    <row r="69133" ht="15.75" customHeight="1">
      <c r="A69133" s="7"/>
      <c r="B69133" s="7"/>
    </row>
    <row r="69134" ht="15.75" customHeight="1">
      <c r="A69134" s="7"/>
      <c r="B69134" s="7"/>
    </row>
    <row r="69135" ht="15.75" customHeight="1">
      <c r="A69135" s="7"/>
      <c r="B69135" s="7"/>
    </row>
    <row r="69136" ht="15.75" customHeight="1">
      <c r="A69136" s="7"/>
      <c r="B69136" s="7"/>
    </row>
    <row r="69137" ht="15.75" customHeight="1">
      <c r="A69137" s="7"/>
      <c r="B69137" s="7"/>
    </row>
    <row r="69138" ht="15.75" customHeight="1">
      <c r="A69138" s="7"/>
      <c r="B69138" s="7"/>
    </row>
    <row r="69139" ht="15.75" customHeight="1">
      <c r="A69139" s="7"/>
      <c r="B69139" s="7"/>
    </row>
    <row r="69140" ht="15.75" customHeight="1">
      <c r="A69140" s="7"/>
      <c r="B69140" s="7"/>
    </row>
    <row r="69141" ht="15.75" customHeight="1">
      <c r="A69141" s="7"/>
      <c r="B69141" s="7"/>
    </row>
    <row r="69142" ht="15.75" customHeight="1">
      <c r="A69142" s="7"/>
      <c r="B69142" s="7"/>
    </row>
    <row r="69143" ht="15.75" customHeight="1">
      <c r="A69143" s="7"/>
      <c r="B69143" s="7"/>
    </row>
    <row r="69144" ht="15.75" customHeight="1">
      <c r="A69144" s="7"/>
      <c r="B69144" s="7"/>
    </row>
    <row r="69145" ht="15.75" customHeight="1">
      <c r="A69145" s="7"/>
      <c r="B69145" s="7"/>
    </row>
    <row r="69146" ht="15.75" customHeight="1">
      <c r="A69146" s="7"/>
      <c r="B69146" s="7"/>
    </row>
    <row r="69147" ht="15.75" customHeight="1">
      <c r="A69147" s="7"/>
      <c r="B69147" s="7"/>
    </row>
    <row r="69148" ht="15.75" customHeight="1">
      <c r="A69148" s="7"/>
      <c r="B69148" s="7"/>
    </row>
    <row r="69149" ht="15.75" customHeight="1">
      <c r="A69149" s="7"/>
      <c r="B69149" s="7"/>
    </row>
    <row r="69150" ht="15.75" customHeight="1">
      <c r="A69150" s="7"/>
      <c r="B69150" s="7"/>
    </row>
    <row r="69151" ht="15.75" customHeight="1">
      <c r="A69151" s="7"/>
      <c r="B69151" s="7"/>
    </row>
    <row r="69152" ht="15.75" customHeight="1">
      <c r="A69152" s="7"/>
      <c r="B69152" s="7"/>
    </row>
    <row r="69153" ht="15.75" customHeight="1">
      <c r="A69153" s="7"/>
      <c r="B69153" s="7"/>
    </row>
    <row r="69154" ht="15.75" customHeight="1">
      <c r="A69154" s="7"/>
      <c r="B69154" s="7"/>
    </row>
    <row r="69155" ht="15.75" customHeight="1">
      <c r="A69155" s="7"/>
      <c r="B69155" s="7"/>
    </row>
    <row r="69156" ht="15.75" customHeight="1">
      <c r="A69156" s="7"/>
      <c r="B69156" s="7"/>
    </row>
    <row r="69157" ht="15.75" customHeight="1">
      <c r="A69157" s="7"/>
      <c r="B69157" s="7"/>
    </row>
    <row r="69158" ht="15.75" customHeight="1">
      <c r="A69158" s="7"/>
      <c r="B69158" s="7"/>
    </row>
    <row r="69159" ht="15.75" customHeight="1">
      <c r="A69159" s="7"/>
      <c r="B69159" s="7"/>
    </row>
    <row r="69160" ht="15.75" customHeight="1">
      <c r="A69160" s="7"/>
      <c r="B69160" s="7"/>
    </row>
    <row r="69161" ht="15.75" customHeight="1">
      <c r="A69161" s="7"/>
      <c r="B69161" s="7"/>
    </row>
    <row r="69162" ht="15.75" customHeight="1">
      <c r="A69162" s="7"/>
      <c r="B69162" s="7"/>
    </row>
    <row r="69163" ht="15.75" customHeight="1">
      <c r="A69163" s="7"/>
      <c r="B69163" s="7"/>
    </row>
    <row r="69164" ht="15.75" customHeight="1">
      <c r="A69164" s="7"/>
      <c r="B69164" s="7"/>
    </row>
    <row r="69165" ht="15.75" customHeight="1">
      <c r="A69165" s="7"/>
      <c r="B69165" s="7"/>
    </row>
    <row r="69166" ht="15.75" customHeight="1">
      <c r="A69166" s="7"/>
      <c r="B69166" s="7"/>
    </row>
    <row r="69167" ht="15.75" customHeight="1">
      <c r="A69167" s="7"/>
      <c r="B69167" s="7"/>
    </row>
    <row r="69168" ht="15.75" customHeight="1">
      <c r="A69168" s="7"/>
      <c r="B69168" s="7"/>
    </row>
    <row r="69169" ht="15.75" customHeight="1">
      <c r="A69169" s="7"/>
      <c r="B69169" s="7"/>
    </row>
    <row r="69170" ht="15.75" customHeight="1">
      <c r="A69170" s="7"/>
      <c r="B69170" s="7"/>
    </row>
    <row r="69171" ht="15.75" customHeight="1">
      <c r="A69171" s="7"/>
      <c r="B69171" s="7"/>
    </row>
    <row r="69172" ht="15.75" customHeight="1">
      <c r="A69172" s="7"/>
      <c r="B69172" s="7"/>
    </row>
    <row r="69173" ht="15.75" customHeight="1">
      <c r="A69173" s="7"/>
      <c r="B69173" s="7"/>
    </row>
    <row r="69174" ht="15.75" customHeight="1">
      <c r="A69174" s="7"/>
      <c r="B69174" s="7"/>
    </row>
    <row r="69175" ht="15.75" customHeight="1">
      <c r="A69175" s="7"/>
      <c r="B69175" s="7"/>
    </row>
    <row r="69176" ht="15.75" customHeight="1">
      <c r="A69176" s="7"/>
      <c r="B69176" s="7"/>
    </row>
    <row r="69177" ht="15.75" customHeight="1">
      <c r="A69177" s="7"/>
      <c r="B69177" s="7"/>
    </row>
    <row r="69178" ht="15.75" customHeight="1">
      <c r="A69178" s="7"/>
      <c r="B69178" s="7"/>
    </row>
    <row r="69179" ht="15.75" customHeight="1">
      <c r="A69179" s="7"/>
      <c r="B69179" s="7"/>
    </row>
    <row r="69180" ht="15.75" customHeight="1">
      <c r="A69180" s="7"/>
      <c r="B69180" s="7"/>
    </row>
    <row r="69181" ht="15.75" customHeight="1">
      <c r="A69181" s="7"/>
      <c r="B69181" s="7"/>
    </row>
    <row r="69182" ht="15.75" customHeight="1">
      <c r="A69182" s="7"/>
      <c r="B69182" s="7"/>
    </row>
    <row r="69183" ht="15.75" customHeight="1">
      <c r="A69183" s="7"/>
      <c r="B69183" s="7"/>
    </row>
    <row r="69184" ht="15.75" customHeight="1">
      <c r="A69184" s="7"/>
      <c r="B69184" s="7"/>
    </row>
    <row r="69185" ht="15.75" customHeight="1">
      <c r="A69185" s="7"/>
      <c r="B69185" s="7"/>
    </row>
    <row r="69186" ht="15.75" customHeight="1">
      <c r="A69186" s="7"/>
      <c r="B69186" s="7"/>
    </row>
    <row r="69187" ht="15.75" customHeight="1">
      <c r="A69187" s="7"/>
      <c r="B69187" s="7"/>
    </row>
    <row r="69188" ht="15.75" customHeight="1">
      <c r="A69188" s="7"/>
      <c r="B69188" s="7"/>
    </row>
    <row r="69189" ht="15.75" customHeight="1">
      <c r="A69189" s="7"/>
      <c r="B69189" s="7"/>
    </row>
    <row r="69190" ht="15.75" customHeight="1">
      <c r="A69190" s="7"/>
      <c r="B69190" s="7"/>
    </row>
    <row r="69191" ht="15.75" customHeight="1">
      <c r="A69191" s="7"/>
      <c r="B69191" s="7"/>
    </row>
    <row r="69192" ht="15.75" customHeight="1">
      <c r="A69192" s="7"/>
      <c r="B69192" s="7"/>
    </row>
    <row r="69193" ht="15.75" customHeight="1">
      <c r="A69193" s="7"/>
      <c r="B69193" s="7"/>
    </row>
    <row r="69194" ht="15.75" customHeight="1">
      <c r="A69194" s="7"/>
      <c r="B69194" s="7"/>
    </row>
    <row r="69195" ht="15.75" customHeight="1">
      <c r="A69195" s="7"/>
      <c r="B69195" s="7"/>
    </row>
    <row r="69196" ht="15.75" customHeight="1">
      <c r="A69196" s="7"/>
      <c r="B69196" s="7"/>
    </row>
    <row r="69197" ht="15.75" customHeight="1">
      <c r="A69197" s="7"/>
      <c r="B69197" s="7"/>
    </row>
    <row r="69198" ht="15.75" customHeight="1">
      <c r="A69198" s="7"/>
      <c r="B69198" s="7"/>
    </row>
    <row r="69199" ht="15.75" customHeight="1">
      <c r="A69199" s="7"/>
      <c r="B69199" s="7"/>
    </row>
    <row r="69200" ht="15.75" customHeight="1">
      <c r="A69200" s="7"/>
      <c r="B69200" s="7"/>
    </row>
    <row r="69201" ht="15.75" customHeight="1">
      <c r="A69201" s="7"/>
      <c r="B69201" s="7"/>
    </row>
    <row r="69202" ht="15.75" customHeight="1">
      <c r="A69202" s="7"/>
      <c r="B69202" s="7"/>
    </row>
    <row r="69203" ht="15.75" customHeight="1">
      <c r="A69203" s="7"/>
      <c r="B69203" s="7"/>
    </row>
    <row r="69204" ht="15.75" customHeight="1">
      <c r="A69204" s="7"/>
      <c r="B69204" s="7"/>
    </row>
    <row r="69205" ht="15.75" customHeight="1">
      <c r="A69205" s="7"/>
      <c r="B69205" s="7"/>
    </row>
    <row r="69206" ht="15.75" customHeight="1">
      <c r="A69206" s="7"/>
      <c r="B69206" s="7"/>
    </row>
    <row r="69207" ht="15.75" customHeight="1">
      <c r="A69207" s="7"/>
      <c r="B69207" s="7"/>
    </row>
    <row r="69208" ht="15.75" customHeight="1">
      <c r="A69208" s="7"/>
      <c r="B69208" s="7"/>
    </row>
    <row r="69209" ht="15.75" customHeight="1">
      <c r="A69209" s="7"/>
      <c r="B69209" s="7"/>
    </row>
    <row r="69210" ht="15.75" customHeight="1">
      <c r="A69210" s="7"/>
      <c r="B69210" s="7"/>
    </row>
    <row r="69211" ht="15.75" customHeight="1">
      <c r="A69211" s="7"/>
      <c r="B69211" s="7"/>
    </row>
    <row r="69212" ht="15.75" customHeight="1">
      <c r="A69212" s="7"/>
      <c r="B69212" s="7"/>
    </row>
    <row r="69213" ht="15.75" customHeight="1">
      <c r="A69213" s="7"/>
      <c r="B69213" s="7"/>
    </row>
    <row r="69214" ht="15.75" customHeight="1">
      <c r="A69214" s="7"/>
      <c r="B69214" s="7"/>
    </row>
    <row r="69215" ht="15.75" customHeight="1">
      <c r="A69215" s="7"/>
      <c r="B69215" s="7"/>
    </row>
    <row r="69216" ht="15.75" customHeight="1">
      <c r="A69216" s="7"/>
      <c r="B69216" s="7"/>
    </row>
    <row r="69217" ht="15.75" customHeight="1">
      <c r="A69217" s="7"/>
      <c r="B69217" s="7"/>
    </row>
    <row r="69218" ht="15.75" customHeight="1">
      <c r="A69218" s="7"/>
      <c r="B69218" s="7"/>
    </row>
    <row r="69219" ht="15.75" customHeight="1">
      <c r="A69219" s="7"/>
      <c r="B69219" s="7"/>
    </row>
    <row r="69220" ht="15.75" customHeight="1">
      <c r="A69220" s="7"/>
      <c r="B69220" s="7"/>
    </row>
    <row r="69221" ht="15.75" customHeight="1">
      <c r="A69221" s="7"/>
      <c r="B69221" s="7"/>
    </row>
    <row r="69222" ht="15.75" customHeight="1">
      <c r="A69222" s="7"/>
      <c r="B69222" s="7"/>
    </row>
    <row r="69223" ht="15.75" customHeight="1">
      <c r="A69223" s="7"/>
      <c r="B69223" s="7"/>
    </row>
    <row r="69224" ht="15.75" customHeight="1">
      <c r="A69224" s="7"/>
      <c r="B69224" s="7"/>
    </row>
    <row r="69225" ht="15.75" customHeight="1">
      <c r="A69225" s="7"/>
      <c r="B69225" s="7"/>
    </row>
    <row r="69226" ht="15.75" customHeight="1">
      <c r="A69226" s="7"/>
      <c r="B69226" s="7"/>
    </row>
    <row r="69227" ht="15.75" customHeight="1">
      <c r="A69227" s="7"/>
      <c r="B69227" s="7"/>
    </row>
    <row r="69228" ht="15.75" customHeight="1">
      <c r="A69228" s="7"/>
      <c r="B69228" s="7"/>
    </row>
    <row r="69229" ht="15.75" customHeight="1">
      <c r="A69229" s="7"/>
      <c r="B69229" s="7"/>
    </row>
    <row r="69230" ht="15.75" customHeight="1">
      <c r="A69230" s="7"/>
      <c r="B69230" s="7"/>
    </row>
    <row r="69231" ht="15.75" customHeight="1">
      <c r="A69231" s="7"/>
      <c r="B69231" s="7"/>
    </row>
    <row r="69232" ht="15.75" customHeight="1">
      <c r="A69232" s="7"/>
      <c r="B69232" s="7"/>
    </row>
    <row r="69233" ht="15.75" customHeight="1">
      <c r="A69233" s="7"/>
      <c r="B69233" s="7"/>
    </row>
    <row r="69234" ht="15.75" customHeight="1">
      <c r="A69234" s="7"/>
      <c r="B69234" s="7"/>
    </row>
    <row r="69235" ht="15.75" customHeight="1">
      <c r="A69235" s="7"/>
      <c r="B69235" s="7"/>
    </row>
    <row r="69236" ht="15.75" customHeight="1">
      <c r="A69236" s="7"/>
      <c r="B69236" s="7"/>
    </row>
    <row r="69237" ht="15.75" customHeight="1">
      <c r="A69237" s="7"/>
      <c r="B69237" s="7"/>
    </row>
    <row r="69238" ht="15.75" customHeight="1">
      <c r="A69238" s="7"/>
      <c r="B69238" s="7"/>
    </row>
    <row r="69239" ht="15.75" customHeight="1">
      <c r="A69239" s="7"/>
      <c r="B69239" s="7"/>
    </row>
    <row r="69240" ht="15.75" customHeight="1">
      <c r="A69240" s="7"/>
      <c r="B69240" s="7"/>
    </row>
    <row r="69241" ht="15.75" customHeight="1">
      <c r="A69241" s="7"/>
      <c r="B69241" s="7"/>
    </row>
    <row r="69242" ht="15.75" customHeight="1">
      <c r="A69242" s="7"/>
      <c r="B69242" s="7"/>
    </row>
    <row r="69243" ht="15.75" customHeight="1">
      <c r="A69243" s="7"/>
      <c r="B69243" s="7"/>
    </row>
    <row r="69244" ht="15.75" customHeight="1">
      <c r="A69244" s="7"/>
      <c r="B69244" s="7"/>
    </row>
    <row r="69245" ht="15.75" customHeight="1">
      <c r="A69245" s="7"/>
      <c r="B69245" s="7"/>
    </row>
    <row r="69246" ht="15.75" customHeight="1">
      <c r="A69246" s="7"/>
      <c r="B69246" s="7"/>
    </row>
    <row r="69247" ht="15.75" customHeight="1">
      <c r="A69247" s="7"/>
      <c r="B69247" s="7"/>
    </row>
    <row r="69248" ht="15.75" customHeight="1">
      <c r="A69248" s="7"/>
      <c r="B69248" s="7"/>
    </row>
    <row r="69249" ht="15.75" customHeight="1">
      <c r="A69249" s="7"/>
      <c r="B69249" s="7"/>
    </row>
    <row r="69250" ht="15.75" customHeight="1">
      <c r="A69250" s="7"/>
      <c r="B69250" s="7"/>
    </row>
    <row r="69251" ht="15.75" customHeight="1">
      <c r="A69251" s="7"/>
      <c r="B69251" s="7"/>
    </row>
    <row r="69252" ht="15.75" customHeight="1">
      <c r="A69252" s="7"/>
      <c r="B69252" s="7"/>
    </row>
    <row r="69253" ht="15.75" customHeight="1">
      <c r="A69253" s="7"/>
      <c r="B69253" s="7"/>
    </row>
    <row r="69254" ht="15.75" customHeight="1">
      <c r="A69254" s="7"/>
      <c r="B69254" s="7"/>
    </row>
    <row r="69255" ht="15.75" customHeight="1">
      <c r="A69255" s="7"/>
      <c r="B69255" s="7"/>
    </row>
    <row r="69256" ht="15.75" customHeight="1">
      <c r="A69256" s="7"/>
      <c r="B69256" s="7"/>
    </row>
    <row r="69257" ht="15.75" customHeight="1">
      <c r="A69257" s="7"/>
      <c r="B69257" s="7"/>
    </row>
    <row r="69258" ht="15.75" customHeight="1">
      <c r="A69258" s="7"/>
      <c r="B69258" s="7"/>
    </row>
    <row r="69259" ht="15.75" customHeight="1">
      <c r="A69259" s="7"/>
      <c r="B69259" s="7"/>
    </row>
    <row r="69260" ht="15.75" customHeight="1">
      <c r="A69260" s="7"/>
      <c r="B69260" s="7"/>
    </row>
    <row r="69261" ht="15.75" customHeight="1">
      <c r="A69261" s="7"/>
      <c r="B69261" s="7"/>
    </row>
    <row r="69262" ht="15.75" customHeight="1">
      <c r="A69262" s="7"/>
      <c r="B69262" s="7"/>
    </row>
    <row r="69263" ht="15.75" customHeight="1">
      <c r="A69263" s="7"/>
      <c r="B69263" s="7"/>
    </row>
    <row r="69264" ht="15.75" customHeight="1">
      <c r="A69264" s="7"/>
      <c r="B69264" s="7"/>
    </row>
    <row r="69265" ht="15.75" customHeight="1">
      <c r="A69265" s="7"/>
      <c r="B69265" s="7"/>
    </row>
    <row r="69266" ht="15.75" customHeight="1">
      <c r="A69266" s="7"/>
      <c r="B69266" s="7"/>
    </row>
    <row r="69267" ht="15.75" customHeight="1">
      <c r="A69267" s="7"/>
      <c r="B69267" s="7"/>
    </row>
    <row r="69268" ht="15.75" customHeight="1">
      <c r="A69268" s="7"/>
      <c r="B69268" s="7"/>
    </row>
    <row r="69269" ht="15.75" customHeight="1">
      <c r="A69269" s="7"/>
      <c r="B69269" s="7"/>
    </row>
    <row r="69270" ht="15.75" customHeight="1">
      <c r="A69270" s="7"/>
      <c r="B69270" s="7"/>
    </row>
    <row r="69271" ht="15.75" customHeight="1">
      <c r="A69271" s="7"/>
      <c r="B69271" s="7"/>
    </row>
    <row r="69272" ht="15.75" customHeight="1">
      <c r="A69272" s="7"/>
      <c r="B69272" s="7"/>
    </row>
    <row r="69273" ht="15.75" customHeight="1">
      <c r="A69273" s="7"/>
      <c r="B69273" s="7"/>
    </row>
    <row r="69274" ht="15.75" customHeight="1">
      <c r="A69274" s="7"/>
      <c r="B69274" s="7"/>
    </row>
    <row r="69275" ht="15.75" customHeight="1">
      <c r="A69275" s="7"/>
      <c r="B69275" s="7"/>
    </row>
    <row r="69276" ht="15.75" customHeight="1">
      <c r="A69276" s="7"/>
      <c r="B69276" s="7"/>
    </row>
    <row r="69277" ht="15.75" customHeight="1">
      <c r="A69277" s="7"/>
      <c r="B69277" s="7"/>
    </row>
    <row r="69278" ht="15.75" customHeight="1">
      <c r="A69278" s="7"/>
      <c r="B69278" s="7"/>
    </row>
    <row r="69279" ht="15.75" customHeight="1">
      <c r="A69279" s="7"/>
      <c r="B69279" s="7"/>
    </row>
    <row r="69280" ht="15.75" customHeight="1">
      <c r="A69280" s="7"/>
      <c r="B69280" s="7"/>
    </row>
    <row r="69281" ht="15.75" customHeight="1">
      <c r="A69281" s="7"/>
      <c r="B69281" s="7"/>
    </row>
    <row r="69282" ht="15.75" customHeight="1">
      <c r="A69282" s="7"/>
      <c r="B69282" s="7"/>
    </row>
    <row r="69283" ht="15.75" customHeight="1">
      <c r="A69283" s="7"/>
      <c r="B69283" s="7"/>
    </row>
    <row r="69284" ht="15.75" customHeight="1">
      <c r="A69284" s="7"/>
      <c r="B69284" s="7"/>
    </row>
    <row r="69285" ht="15.75" customHeight="1">
      <c r="A69285" s="7"/>
      <c r="B69285" s="7"/>
    </row>
    <row r="69286" ht="15.75" customHeight="1">
      <c r="A69286" s="7"/>
      <c r="B69286" s="7"/>
    </row>
    <row r="69287" ht="15.75" customHeight="1">
      <c r="A69287" s="7"/>
      <c r="B69287" s="7"/>
    </row>
    <row r="69288" ht="15.75" customHeight="1">
      <c r="A69288" s="7"/>
      <c r="B69288" s="7"/>
    </row>
    <row r="69289" ht="15.75" customHeight="1">
      <c r="A69289" s="7"/>
      <c r="B69289" s="7"/>
    </row>
    <row r="69290" ht="15.75" customHeight="1">
      <c r="A69290" s="7"/>
      <c r="B69290" s="7"/>
    </row>
    <row r="69291" ht="15.75" customHeight="1">
      <c r="A69291" s="7"/>
      <c r="B69291" s="7"/>
    </row>
    <row r="69292" ht="15.75" customHeight="1">
      <c r="A69292" s="7"/>
      <c r="B69292" s="7"/>
    </row>
    <row r="69293" ht="15.75" customHeight="1">
      <c r="A69293" s="7"/>
      <c r="B69293" s="7"/>
    </row>
    <row r="69294" ht="15.75" customHeight="1">
      <c r="A69294" s="7"/>
      <c r="B69294" s="7"/>
    </row>
    <row r="69295" ht="15.75" customHeight="1">
      <c r="A69295" s="7"/>
      <c r="B69295" s="7"/>
    </row>
    <row r="69296" ht="15.75" customHeight="1">
      <c r="A69296" s="7"/>
      <c r="B69296" s="7"/>
    </row>
    <row r="69297" ht="15.75" customHeight="1">
      <c r="A69297" s="7"/>
      <c r="B69297" s="7"/>
    </row>
    <row r="69298" ht="15.75" customHeight="1">
      <c r="A69298" s="7"/>
      <c r="B69298" s="7"/>
    </row>
    <row r="69299" ht="15.75" customHeight="1">
      <c r="A69299" s="7"/>
      <c r="B69299" s="7"/>
    </row>
    <row r="69300" ht="15.75" customHeight="1">
      <c r="A69300" s="7"/>
      <c r="B69300" s="7"/>
    </row>
    <row r="69301" ht="15.75" customHeight="1">
      <c r="A69301" s="7"/>
      <c r="B69301" s="7"/>
    </row>
    <row r="69302" ht="15.75" customHeight="1">
      <c r="A69302" s="7"/>
      <c r="B69302" s="7"/>
    </row>
    <row r="69303" ht="15.75" customHeight="1">
      <c r="A69303" s="7"/>
      <c r="B69303" s="7"/>
    </row>
    <row r="69304" ht="15.75" customHeight="1">
      <c r="A69304" s="7"/>
      <c r="B69304" s="7"/>
    </row>
    <row r="69305" ht="15.75" customHeight="1">
      <c r="A69305" s="7"/>
      <c r="B69305" s="7"/>
    </row>
    <row r="69306" ht="15.75" customHeight="1">
      <c r="A69306" s="7"/>
      <c r="B69306" s="7"/>
    </row>
    <row r="69307" ht="15.75" customHeight="1">
      <c r="A69307" s="7"/>
      <c r="B69307" s="7"/>
    </row>
    <row r="69308" ht="15.75" customHeight="1">
      <c r="A69308" s="7"/>
      <c r="B69308" s="7"/>
    </row>
    <row r="69309" ht="15.75" customHeight="1">
      <c r="A69309" s="7"/>
      <c r="B69309" s="7"/>
    </row>
    <row r="69310" ht="15.75" customHeight="1">
      <c r="A69310" s="7"/>
      <c r="B69310" s="7"/>
    </row>
    <row r="69311" ht="15.75" customHeight="1">
      <c r="A69311" s="7"/>
      <c r="B69311" s="7"/>
    </row>
    <row r="69312" ht="15.75" customHeight="1">
      <c r="A69312" s="7"/>
      <c r="B69312" s="7"/>
    </row>
    <row r="69313" ht="15.75" customHeight="1">
      <c r="A69313" s="7"/>
      <c r="B69313" s="7"/>
    </row>
    <row r="69314" ht="15.75" customHeight="1">
      <c r="A69314" s="7"/>
      <c r="B69314" s="7"/>
    </row>
    <row r="69315" ht="15.75" customHeight="1">
      <c r="A69315" s="7"/>
      <c r="B69315" s="7"/>
    </row>
    <row r="69316" ht="15.75" customHeight="1">
      <c r="A69316" s="7"/>
      <c r="B69316" s="7"/>
    </row>
    <row r="69317" ht="15.75" customHeight="1">
      <c r="A69317" s="7"/>
      <c r="B69317" s="7"/>
    </row>
    <row r="69318" ht="15.75" customHeight="1">
      <c r="A69318" s="7"/>
      <c r="B69318" s="7"/>
    </row>
    <row r="69319" ht="15.75" customHeight="1">
      <c r="A69319" s="7"/>
      <c r="B69319" s="7"/>
    </row>
    <row r="69320" ht="15.75" customHeight="1">
      <c r="A69320" s="7"/>
      <c r="B69320" s="7"/>
    </row>
    <row r="69321" ht="15.75" customHeight="1">
      <c r="A69321" s="7"/>
      <c r="B69321" s="7"/>
    </row>
    <row r="69322" ht="15.75" customHeight="1">
      <c r="A69322" s="7"/>
      <c r="B69322" s="7"/>
    </row>
    <row r="69323" ht="15.75" customHeight="1">
      <c r="A69323" s="7"/>
      <c r="B69323" s="7"/>
    </row>
    <row r="69324" ht="15.75" customHeight="1">
      <c r="A69324" s="7"/>
      <c r="B69324" s="7"/>
    </row>
    <row r="69325" ht="15.75" customHeight="1">
      <c r="A69325" s="7"/>
      <c r="B69325" s="7"/>
    </row>
    <row r="69326" ht="15.75" customHeight="1">
      <c r="A69326" s="7"/>
      <c r="B69326" s="7"/>
    </row>
    <row r="69327" ht="15.75" customHeight="1">
      <c r="A69327" s="7"/>
      <c r="B69327" s="7"/>
    </row>
    <row r="69328" ht="15.75" customHeight="1">
      <c r="A69328" s="7"/>
      <c r="B69328" s="7"/>
    </row>
    <row r="69329" ht="15.75" customHeight="1">
      <c r="A69329" s="7"/>
      <c r="B69329" s="7"/>
    </row>
    <row r="69330" ht="15.75" customHeight="1">
      <c r="A69330" s="7"/>
      <c r="B69330" s="7"/>
    </row>
    <row r="69331" ht="15.75" customHeight="1">
      <c r="A69331" s="7"/>
      <c r="B69331" s="7"/>
    </row>
    <row r="69332" ht="15.75" customHeight="1">
      <c r="A69332" s="7"/>
      <c r="B69332" s="7"/>
    </row>
    <row r="69333" ht="15.75" customHeight="1">
      <c r="A69333" s="7"/>
      <c r="B69333" s="7"/>
    </row>
    <row r="69334" ht="15.75" customHeight="1">
      <c r="A69334" s="7"/>
      <c r="B69334" s="7"/>
    </row>
    <row r="69335" ht="15.75" customHeight="1">
      <c r="A69335" s="7"/>
      <c r="B69335" s="7"/>
    </row>
    <row r="69336" ht="15.75" customHeight="1">
      <c r="A69336" s="7"/>
      <c r="B69336" s="7"/>
    </row>
    <row r="69337" ht="15.75" customHeight="1">
      <c r="A69337" s="7"/>
      <c r="B69337" s="7"/>
    </row>
    <row r="69338" ht="15.75" customHeight="1">
      <c r="A69338" s="7"/>
      <c r="B69338" s="7"/>
    </row>
    <row r="69339" ht="15.75" customHeight="1">
      <c r="A69339" s="7"/>
      <c r="B69339" s="7"/>
    </row>
    <row r="69340" ht="15.75" customHeight="1">
      <c r="A69340" s="7"/>
      <c r="B69340" s="7"/>
    </row>
    <row r="69341" ht="15.75" customHeight="1">
      <c r="A69341" s="7"/>
      <c r="B69341" s="7"/>
    </row>
    <row r="69342" ht="15.75" customHeight="1">
      <c r="A69342" s="7"/>
      <c r="B69342" s="7"/>
    </row>
    <row r="69343" ht="15.75" customHeight="1">
      <c r="A69343" s="7"/>
      <c r="B69343" s="7"/>
    </row>
    <row r="69344" ht="15.75" customHeight="1">
      <c r="A69344" s="7"/>
      <c r="B69344" s="7"/>
    </row>
    <row r="69345" ht="15.75" customHeight="1">
      <c r="A69345" s="7"/>
      <c r="B69345" s="7"/>
    </row>
    <row r="69346" ht="15.75" customHeight="1">
      <c r="A69346" s="7"/>
      <c r="B69346" s="7"/>
    </row>
    <row r="69347" ht="15.75" customHeight="1">
      <c r="A69347" s="7"/>
      <c r="B69347" s="7"/>
    </row>
    <row r="69348" ht="15.75" customHeight="1">
      <c r="A69348" s="7"/>
      <c r="B69348" s="7"/>
    </row>
    <row r="69349" ht="15.75" customHeight="1">
      <c r="A69349" s="7"/>
      <c r="B69349" s="7"/>
    </row>
    <row r="69350" ht="15.75" customHeight="1">
      <c r="A69350" s="7"/>
      <c r="B69350" s="7"/>
    </row>
    <row r="69351" ht="15.75" customHeight="1">
      <c r="A69351" s="7"/>
      <c r="B69351" s="7"/>
    </row>
    <row r="69352" ht="15.75" customHeight="1">
      <c r="A69352" s="7"/>
      <c r="B69352" s="7"/>
    </row>
    <row r="69353" ht="15.75" customHeight="1">
      <c r="A69353" s="7"/>
      <c r="B69353" s="7"/>
    </row>
    <row r="69354" ht="15.75" customHeight="1">
      <c r="A69354" s="7"/>
      <c r="B69354" s="7"/>
    </row>
    <row r="69355" ht="15.75" customHeight="1">
      <c r="A69355" s="7"/>
      <c r="B69355" s="7"/>
    </row>
    <row r="69356" ht="15.75" customHeight="1">
      <c r="A69356" s="7"/>
      <c r="B69356" s="7"/>
    </row>
    <row r="69357" ht="15.75" customHeight="1">
      <c r="A69357" s="7"/>
      <c r="B69357" s="7"/>
    </row>
    <row r="69358" ht="15.75" customHeight="1">
      <c r="A69358" s="7"/>
      <c r="B69358" s="7"/>
    </row>
    <row r="69359" ht="15.75" customHeight="1">
      <c r="A69359" s="7"/>
      <c r="B69359" s="7"/>
    </row>
    <row r="69360" ht="15.75" customHeight="1">
      <c r="A69360" s="7"/>
      <c r="B69360" s="7"/>
    </row>
    <row r="69361" ht="15.75" customHeight="1">
      <c r="A69361" s="7"/>
      <c r="B69361" s="7"/>
    </row>
    <row r="69362" ht="15.75" customHeight="1">
      <c r="A69362" s="7"/>
      <c r="B69362" s="7"/>
    </row>
    <row r="69363" ht="15.75" customHeight="1">
      <c r="A69363" s="7"/>
      <c r="B69363" s="7"/>
    </row>
    <row r="69364" ht="15.75" customHeight="1">
      <c r="A69364" s="7"/>
      <c r="B69364" s="7"/>
    </row>
    <row r="69365" ht="15.75" customHeight="1">
      <c r="A69365" s="7"/>
      <c r="B69365" s="7"/>
    </row>
    <row r="69366" ht="15.75" customHeight="1">
      <c r="A69366" s="7"/>
      <c r="B69366" s="7"/>
    </row>
    <row r="69367" ht="15.75" customHeight="1">
      <c r="A69367" s="7"/>
      <c r="B69367" s="7"/>
    </row>
    <row r="69368" ht="15.75" customHeight="1">
      <c r="A69368" s="7"/>
      <c r="B69368" s="7"/>
    </row>
    <row r="69369" ht="15.75" customHeight="1">
      <c r="A69369" s="7"/>
      <c r="B69369" s="7"/>
    </row>
    <row r="69370" ht="15.75" customHeight="1">
      <c r="A69370" s="7"/>
      <c r="B69370" s="7"/>
    </row>
    <row r="69371" ht="15.75" customHeight="1">
      <c r="A69371" s="7"/>
      <c r="B69371" s="7"/>
    </row>
    <row r="69372" ht="15.75" customHeight="1">
      <c r="A69372" s="7"/>
      <c r="B69372" s="7"/>
    </row>
    <row r="69373" ht="15.75" customHeight="1">
      <c r="A69373" s="7"/>
      <c r="B69373" s="7"/>
    </row>
    <row r="69374" ht="15.75" customHeight="1">
      <c r="A69374" s="7"/>
      <c r="B69374" s="7"/>
    </row>
    <row r="69375" ht="15.75" customHeight="1">
      <c r="A69375" s="7"/>
      <c r="B69375" s="7"/>
    </row>
    <row r="69376" ht="15.75" customHeight="1">
      <c r="A69376" s="7"/>
      <c r="B69376" s="7"/>
    </row>
    <row r="69377" ht="15.75" customHeight="1">
      <c r="A69377" s="7"/>
      <c r="B69377" s="7"/>
    </row>
    <row r="69378" ht="15.75" customHeight="1">
      <c r="A69378" s="7"/>
      <c r="B69378" s="7"/>
    </row>
    <row r="69379" ht="15.75" customHeight="1">
      <c r="A69379" s="7"/>
      <c r="B69379" s="7"/>
    </row>
    <row r="69380" ht="15.75" customHeight="1">
      <c r="A69380" s="7"/>
      <c r="B69380" s="7"/>
    </row>
    <row r="69381" ht="15.75" customHeight="1">
      <c r="A69381" s="7"/>
      <c r="B69381" s="7"/>
    </row>
    <row r="69382" ht="15.75" customHeight="1">
      <c r="A69382" s="7"/>
      <c r="B69382" s="7"/>
    </row>
    <row r="69383" ht="15.75" customHeight="1">
      <c r="A69383" s="7"/>
      <c r="B69383" s="7"/>
    </row>
    <row r="69384" ht="15.75" customHeight="1">
      <c r="A69384" s="7"/>
      <c r="B69384" s="7"/>
    </row>
    <row r="69385" ht="15.75" customHeight="1">
      <c r="A69385" s="7"/>
      <c r="B69385" s="7"/>
    </row>
    <row r="69386" ht="15.75" customHeight="1">
      <c r="A69386" s="7"/>
      <c r="B69386" s="7"/>
    </row>
    <row r="69387" ht="15.75" customHeight="1">
      <c r="A69387" s="7"/>
      <c r="B69387" s="7"/>
    </row>
    <row r="69388" ht="15.75" customHeight="1">
      <c r="A69388" s="7"/>
      <c r="B69388" s="7"/>
    </row>
    <row r="69389" ht="15.75" customHeight="1">
      <c r="A69389" s="7"/>
      <c r="B69389" s="7"/>
    </row>
    <row r="69390" ht="15.75" customHeight="1">
      <c r="A69390" s="7"/>
      <c r="B69390" s="7"/>
    </row>
    <row r="69391" ht="15.75" customHeight="1">
      <c r="A69391" s="7"/>
      <c r="B69391" s="7"/>
    </row>
    <row r="69392" ht="15.75" customHeight="1">
      <c r="A69392" s="7"/>
      <c r="B69392" s="7"/>
    </row>
    <row r="69393" ht="15.75" customHeight="1">
      <c r="A69393" s="7"/>
      <c r="B69393" s="7"/>
    </row>
    <row r="69394" ht="15.75" customHeight="1">
      <c r="A69394" s="7"/>
      <c r="B69394" s="7"/>
    </row>
    <row r="69395" ht="15.75" customHeight="1">
      <c r="A69395" s="7"/>
      <c r="B69395" s="7"/>
    </row>
    <row r="69396" ht="15.75" customHeight="1">
      <c r="A69396" s="7"/>
      <c r="B69396" s="7"/>
    </row>
    <row r="69397" ht="15.75" customHeight="1">
      <c r="A69397" s="7"/>
      <c r="B69397" s="7"/>
    </row>
    <row r="69398" ht="15.75" customHeight="1">
      <c r="A69398" s="7"/>
      <c r="B69398" s="7"/>
    </row>
    <row r="69399" ht="15.75" customHeight="1">
      <c r="A69399" s="7"/>
      <c r="B69399" s="7"/>
    </row>
    <row r="69400" ht="15.75" customHeight="1">
      <c r="A69400" s="7"/>
      <c r="B69400" s="7"/>
    </row>
    <row r="69401" ht="15.75" customHeight="1">
      <c r="A69401" s="7"/>
      <c r="B69401" s="7"/>
    </row>
    <row r="69402" ht="15.75" customHeight="1">
      <c r="A69402" s="7"/>
      <c r="B69402" s="7"/>
    </row>
    <row r="69403" ht="15.75" customHeight="1">
      <c r="A69403" s="7"/>
      <c r="B69403" s="7"/>
    </row>
    <row r="69404" ht="15.75" customHeight="1">
      <c r="A69404" s="7"/>
      <c r="B69404" s="7"/>
    </row>
    <row r="69405" ht="15.75" customHeight="1">
      <c r="A69405" s="7"/>
      <c r="B69405" s="7"/>
    </row>
    <row r="69406" ht="15.75" customHeight="1">
      <c r="A69406" s="7"/>
      <c r="B69406" s="7"/>
    </row>
    <row r="69407" ht="15.75" customHeight="1">
      <c r="A69407" s="7"/>
      <c r="B69407" s="7"/>
    </row>
    <row r="69408" ht="15.75" customHeight="1">
      <c r="A69408" s="7"/>
      <c r="B69408" s="7"/>
    </row>
    <row r="69409" ht="15.75" customHeight="1">
      <c r="A69409" s="7"/>
      <c r="B69409" s="7"/>
    </row>
    <row r="69410" ht="15.75" customHeight="1">
      <c r="A69410" s="7"/>
      <c r="B69410" s="7"/>
    </row>
    <row r="69411" ht="15.75" customHeight="1">
      <c r="A69411" s="7"/>
      <c r="B69411" s="7"/>
    </row>
    <row r="69412" ht="15.75" customHeight="1">
      <c r="A69412" s="7"/>
      <c r="B69412" s="7"/>
    </row>
    <row r="69413" ht="15.75" customHeight="1">
      <c r="A69413" s="7"/>
      <c r="B69413" s="7"/>
    </row>
    <row r="69414" ht="15.75" customHeight="1">
      <c r="A69414" s="7"/>
      <c r="B69414" s="7"/>
    </row>
    <row r="69415" ht="15.75" customHeight="1">
      <c r="A69415" s="7"/>
      <c r="B69415" s="7"/>
    </row>
    <row r="69416" ht="15.75" customHeight="1">
      <c r="A69416" s="7"/>
      <c r="B69416" s="7"/>
    </row>
    <row r="69417" ht="15.75" customHeight="1">
      <c r="A69417" s="7"/>
      <c r="B69417" s="7"/>
    </row>
    <row r="69418" ht="15.75" customHeight="1">
      <c r="A69418" s="7"/>
      <c r="B69418" s="7"/>
    </row>
    <row r="69419" ht="15.75" customHeight="1">
      <c r="A69419" s="7"/>
      <c r="B69419" s="7"/>
    </row>
    <row r="69420" ht="15.75" customHeight="1">
      <c r="A69420" s="7"/>
      <c r="B69420" s="7"/>
    </row>
    <row r="69421" ht="15.75" customHeight="1">
      <c r="A69421" s="7"/>
      <c r="B69421" s="7"/>
    </row>
    <row r="69422" ht="15.75" customHeight="1">
      <c r="A69422" s="7"/>
      <c r="B69422" s="7"/>
    </row>
    <row r="69423" ht="15.75" customHeight="1">
      <c r="A69423" s="7"/>
      <c r="B69423" s="7"/>
    </row>
    <row r="69424" ht="15.75" customHeight="1">
      <c r="A69424" s="7"/>
      <c r="B69424" s="7"/>
    </row>
    <row r="69425" ht="15.75" customHeight="1">
      <c r="A69425" s="7"/>
      <c r="B69425" s="7"/>
    </row>
    <row r="69426" ht="15.75" customHeight="1">
      <c r="A69426" s="7"/>
      <c r="B69426" s="7"/>
    </row>
    <row r="69427" ht="15.75" customHeight="1">
      <c r="A69427" s="7"/>
      <c r="B69427" s="7"/>
    </row>
    <row r="69428" ht="15.75" customHeight="1">
      <c r="A69428" s="7"/>
      <c r="B69428" s="7"/>
    </row>
    <row r="69429" ht="15.75" customHeight="1">
      <c r="A69429" s="7"/>
      <c r="B69429" s="7"/>
    </row>
    <row r="69430" ht="15.75" customHeight="1">
      <c r="A69430" s="7"/>
      <c r="B69430" s="7"/>
    </row>
    <row r="69431" ht="15.75" customHeight="1">
      <c r="A69431" s="7"/>
      <c r="B69431" s="7"/>
    </row>
    <row r="69432" ht="15.75" customHeight="1">
      <c r="A69432" s="7"/>
      <c r="B69432" s="7"/>
    </row>
    <row r="69433" ht="15.75" customHeight="1">
      <c r="A69433" s="7"/>
      <c r="B69433" s="7"/>
    </row>
    <row r="69434" ht="15.75" customHeight="1">
      <c r="A69434" s="7"/>
      <c r="B69434" s="7"/>
    </row>
    <row r="69435" ht="15.75" customHeight="1">
      <c r="A69435" s="7"/>
      <c r="B69435" s="7"/>
    </row>
    <row r="69436" ht="15.75" customHeight="1">
      <c r="A69436" s="7"/>
      <c r="B69436" s="7"/>
    </row>
    <row r="69437" ht="15.75" customHeight="1">
      <c r="A69437" s="7"/>
      <c r="B69437" s="7"/>
    </row>
    <row r="69438" ht="15.75" customHeight="1">
      <c r="A69438" s="7"/>
      <c r="B69438" s="7"/>
    </row>
    <row r="69439" ht="15.75" customHeight="1">
      <c r="A69439" s="7"/>
      <c r="B69439" s="7"/>
    </row>
    <row r="69440" ht="15.75" customHeight="1">
      <c r="A69440" s="7"/>
      <c r="B69440" s="7"/>
    </row>
    <row r="69441" ht="15.75" customHeight="1">
      <c r="A69441" s="7"/>
      <c r="B69441" s="7"/>
    </row>
    <row r="69442" ht="15.75" customHeight="1">
      <c r="A69442" s="7"/>
      <c r="B69442" s="7"/>
    </row>
    <row r="69443" ht="15.75" customHeight="1">
      <c r="A69443" s="7"/>
      <c r="B69443" s="7"/>
    </row>
    <row r="69444" ht="15.75" customHeight="1">
      <c r="A69444" s="7"/>
      <c r="B69444" s="7"/>
    </row>
    <row r="69445" ht="15.75" customHeight="1">
      <c r="A69445" s="7"/>
      <c r="B69445" s="7"/>
    </row>
    <row r="69446" ht="15.75" customHeight="1">
      <c r="A69446" s="7"/>
      <c r="B69446" s="7"/>
    </row>
    <row r="69447" ht="15.75" customHeight="1">
      <c r="A69447" s="7"/>
      <c r="B69447" s="7"/>
    </row>
    <row r="69448" ht="15.75" customHeight="1">
      <c r="A69448" s="7"/>
      <c r="B69448" s="7"/>
    </row>
    <row r="69449" ht="15.75" customHeight="1">
      <c r="A69449" s="7"/>
      <c r="B69449" s="7"/>
    </row>
    <row r="69450" ht="15.75" customHeight="1">
      <c r="A69450" s="7"/>
      <c r="B69450" s="7"/>
    </row>
    <row r="69451" ht="15.75" customHeight="1">
      <c r="A69451" s="7"/>
      <c r="B69451" s="7"/>
    </row>
    <row r="69452" ht="15.75" customHeight="1">
      <c r="A69452" s="7"/>
      <c r="B69452" s="7"/>
    </row>
    <row r="69453" ht="15.75" customHeight="1">
      <c r="A69453" s="7"/>
      <c r="B69453" s="7"/>
    </row>
    <row r="69454" ht="15.75" customHeight="1">
      <c r="A69454" s="7"/>
      <c r="B69454" s="7"/>
    </row>
    <row r="69455" ht="15.75" customHeight="1">
      <c r="A69455" s="7"/>
      <c r="B69455" s="7"/>
    </row>
    <row r="69456" ht="15.75" customHeight="1">
      <c r="A69456" s="7"/>
      <c r="B69456" s="7"/>
    </row>
    <row r="69457" ht="15.75" customHeight="1">
      <c r="A69457" s="7"/>
      <c r="B69457" s="7"/>
    </row>
    <row r="69458" ht="15.75" customHeight="1">
      <c r="A69458" s="7"/>
      <c r="B69458" s="7"/>
    </row>
    <row r="69459" ht="15.75" customHeight="1">
      <c r="A69459" s="7"/>
      <c r="B69459" s="7"/>
    </row>
    <row r="69460" ht="15.75" customHeight="1">
      <c r="A69460" s="7"/>
      <c r="B69460" s="7"/>
    </row>
    <row r="69461" ht="15.75" customHeight="1">
      <c r="A69461" s="7"/>
      <c r="B69461" s="7"/>
    </row>
    <row r="69462" ht="15.75" customHeight="1">
      <c r="A69462" s="7"/>
      <c r="B69462" s="7"/>
    </row>
    <row r="69463" ht="15.75" customHeight="1">
      <c r="A69463" s="7"/>
      <c r="B69463" s="7"/>
    </row>
    <row r="69464" ht="15.75" customHeight="1">
      <c r="A69464" s="7"/>
      <c r="B69464" s="7"/>
    </row>
    <row r="69465" ht="15.75" customHeight="1">
      <c r="A69465" s="7"/>
      <c r="B69465" s="7"/>
    </row>
    <row r="69466" ht="15.75" customHeight="1">
      <c r="A69466" s="7"/>
      <c r="B69466" s="7"/>
    </row>
    <row r="69467" ht="15.75" customHeight="1">
      <c r="A69467" s="7"/>
      <c r="B69467" s="7"/>
    </row>
    <row r="69468" ht="15.75" customHeight="1">
      <c r="A69468" s="7"/>
      <c r="B69468" s="7"/>
    </row>
    <row r="69469" ht="15.75" customHeight="1">
      <c r="A69469" s="7"/>
      <c r="B69469" s="7"/>
    </row>
    <row r="69470" ht="15.75" customHeight="1">
      <c r="A69470" s="7"/>
      <c r="B69470" s="7"/>
    </row>
    <row r="69471" ht="15.75" customHeight="1">
      <c r="A69471" s="7"/>
      <c r="B69471" s="7"/>
    </row>
    <row r="69472" ht="15.75" customHeight="1">
      <c r="A69472" s="7"/>
      <c r="B69472" s="7"/>
    </row>
    <row r="69473" ht="15.75" customHeight="1">
      <c r="A69473" s="7"/>
      <c r="B69473" s="7"/>
    </row>
    <row r="69474" ht="15.75" customHeight="1">
      <c r="A69474" s="7"/>
      <c r="B69474" s="7"/>
    </row>
    <row r="69475" ht="15.75" customHeight="1">
      <c r="A69475" s="7"/>
      <c r="B69475" s="7"/>
    </row>
    <row r="69476" ht="15.75" customHeight="1">
      <c r="A69476" s="7"/>
      <c r="B69476" s="7"/>
    </row>
    <row r="69477" ht="15.75" customHeight="1">
      <c r="A69477" s="7"/>
      <c r="B69477" s="7"/>
    </row>
    <row r="69478" ht="15.75" customHeight="1">
      <c r="A69478" s="7"/>
      <c r="B69478" s="7"/>
    </row>
    <row r="69479" ht="15.75" customHeight="1">
      <c r="A69479" s="7"/>
      <c r="B69479" s="7"/>
    </row>
    <row r="69480" ht="15.75" customHeight="1">
      <c r="A69480" s="7"/>
      <c r="B69480" s="7"/>
    </row>
    <row r="69481" ht="15.75" customHeight="1">
      <c r="A69481" s="7"/>
      <c r="B69481" s="7"/>
    </row>
    <row r="69482" ht="15.75" customHeight="1">
      <c r="A69482" s="7"/>
      <c r="B69482" s="7"/>
    </row>
    <row r="69483" ht="15.75" customHeight="1">
      <c r="A69483" s="7"/>
      <c r="B69483" s="7"/>
    </row>
    <row r="69484" ht="15.75" customHeight="1">
      <c r="A69484" s="7"/>
      <c r="B69484" s="7"/>
    </row>
    <row r="69485" ht="15.75" customHeight="1">
      <c r="A69485" s="7"/>
      <c r="B69485" s="7"/>
    </row>
    <row r="69486" ht="15.75" customHeight="1">
      <c r="A69486" s="7"/>
      <c r="B69486" s="7"/>
    </row>
    <row r="69487" ht="15.75" customHeight="1">
      <c r="A69487" s="7"/>
      <c r="B69487" s="7"/>
    </row>
    <row r="69488" ht="15.75" customHeight="1">
      <c r="A69488" s="7"/>
      <c r="B69488" s="7"/>
    </row>
    <row r="69489" ht="15.75" customHeight="1">
      <c r="A69489" s="7"/>
      <c r="B69489" s="7"/>
    </row>
    <row r="69490" ht="15.75" customHeight="1">
      <c r="A69490" s="7"/>
      <c r="B69490" s="7"/>
    </row>
    <row r="69491" ht="15.75" customHeight="1">
      <c r="A69491" s="7"/>
      <c r="B69491" s="7"/>
    </row>
    <row r="69492" ht="15.75" customHeight="1">
      <c r="A69492" s="7"/>
      <c r="B69492" s="7"/>
    </row>
    <row r="69493" ht="15.75" customHeight="1">
      <c r="A69493" s="7"/>
      <c r="B69493" s="7"/>
    </row>
    <row r="69494" ht="15.75" customHeight="1">
      <c r="A69494" s="7"/>
      <c r="B69494" s="7"/>
    </row>
    <row r="69495" ht="15.75" customHeight="1">
      <c r="A69495" s="7"/>
      <c r="B69495" s="7"/>
    </row>
    <row r="69496" ht="15.75" customHeight="1">
      <c r="A69496" s="7"/>
      <c r="B69496" s="7"/>
    </row>
    <row r="69497" ht="15.75" customHeight="1">
      <c r="A69497" s="7"/>
      <c r="B69497" s="7"/>
    </row>
    <row r="69498" ht="15.75" customHeight="1">
      <c r="A69498" s="7"/>
      <c r="B69498" s="7"/>
    </row>
    <row r="69499" ht="15.75" customHeight="1">
      <c r="A69499" s="7"/>
      <c r="B69499" s="7"/>
    </row>
    <row r="69500" ht="15.75" customHeight="1">
      <c r="A69500" s="7"/>
      <c r="B69500" s="7"/>
    </row>
    <row r="69501" ht="15.75" customHeight="1">
      <c r="A69501" s="7"/>
      <c r="B69501" s="7"/>
    </row>
    <row r="69502" ht="15.75" customHeight="1">
      <c r="A69502" s="7"/>
      <c r="B69502" s="7"/>
    </row>
    <row r="69503" ht="15.75" customHeight="1">
      <c r="A69503" s="7"/>
      <c r="B69503" s="7"/>
    </row>
    <row r="69504" ht="15.75" customHeight="1">
      <c r="A69504" s="7"/>
      <c r="B69504" s="7"/>
    </row>
    <row r="69505" ht="15.75" customHeight="1">
      <c r="A69505" s="7"/>
      <c r="B69505" s="7"/>
    </row>
    <row r="69506" ht="15.75" customHeight="1">
      <c r="A69506" s="7"/>
      <c r="B69506" s="7"/>
    </row>
    <row r="69507" ht="15.75" customHeight="1">
      <c r="A69507" s="7"/>
      <c r="B69507" s="7"/>
    </row>
    <row r="69508" ht="15.75" customHeight="1">
      <c r="A69508" s="7"/>
      <c r="B69508" s="7"/>
    </row>
    <row r="69509" ht="15.75" customHeight="1">
      <c r="A69509" s="7"/>
      <c r="B69509" s="7"/>
    </row>
    <row r="69510" ht="15.75" customHeight="1">
      <c r="A69510" s="7"/>
      <c r="B69510" s="7"/>
    </row>
    <row r="69511" ht="15.75" customHeight="1">
      <c r="A69511" s="7"/>
      <c r="B69511" s="7"/>
    </row>
    <row r="69512" ht="15.75" customHeight="1">
      <c r="A69512" s="7"/>
      <c r="B69512" s="7"/>
    </row>
    <row r="69513" ht="15.75" customHeight="1">
      <c r="A69513" s="7"/>
      <c r="B69513" s="7"/>
    </row>
    <row r="69514" ht="15.75" customHeight="1">
      <c r="A69514" s="7"/>
      <c r="B69514" s="7"/>
    </row>
    <row r="69515" ht="15.75" customHeight="1">
      <c r="A69515" s="7"/>
      <c r="B69515" s="7"/>
    </row>
    <row r="69516" ht="15.75" customHeight="1">
      <c r="A69516" s="7"/>
      <c r="B69516" s="7"/>
    </row>
    <row r="69517" ht="15.75" customHeight="1">
      <c r="A69517" s="7"/>
      <c r="B69517" s="7"/>
    </row>
    <row r="69518" ht="15.75" customHeight="1">
      <c r="A69518" s="7"/>
      <c r="B69518" s="7"/>
    </row>
    <row r="69519" ht="15.75" customHeight="1">
      <c r="A69519" s="7"/>
      <c r="B69519" s="7"/>
    </row>
    <row r="69520" ht="15.75" customHeight="1">
      <c r="A69520" s="7"/>
      <c r="B69520" s="7"/>
    </row>
    <row r="69521" ht="15.75" customHeight="1">
      <c r="A69521" s="7"/>
      <c r="B69521" s="7"/>
    </row>
    <row r="69522" ht="15.75" customHeight="1">
      <c r="A69522" s="7"/>
      <c r="B69522" s="7"/>
    </row>
    <row r="69523" ht="15.75" customHeight="1">
      <c r="A69523" s="7"/>
      <c r="B69523" s="7"/>
    </row>
    <row r="69524" ht="15.75" customHeight="1">
      <c r="A69524" s="7"/>
      <c r="B69524" s="7"/>
    </row>
    <row r="69525" ht="15.75" customHeight="1">
      <c r="A69525" s="7"/>
      <c r="B69525" s="7"/>
    </row>
    <row r="69526" ht="15.75" customHeight="1">
      <c r="A69526" s="7"/>
      <c r="B69526" s="7"/>
    </row>
    <row r="69527" ht="15.75" customHeight="1">
      <c r="A69527" s="7"/>
      <c r="B69527" s="7"/>
    </row>
    <row r="69528" ht="15.75" customHeight="1">
      <c r="A69528" s="7"/>
      <c r="B69528" s="7"/>
    </row>
    <row r="69529" ht="15.75" customHeight="1">
      <c r="A69529" s="7"/>
      <c r="B69529" s="7"/>
    </row>
    <row r="69530" ht="15.75" customHeight="1">
      <c r="A69530" s="7"/>
      <c r="B69530" s="7"/>
    </row>
    <row r="69531" ht="15.75" customHeight="1">
      <c r="A69531" s="7"/>
      <c r="B69531" s="7"/>
    </row>
    <row r="69532" ht="15.75" customHeight="1">
      <c r="A69532" s="7"/>
      <c r="B69532" s="7"/>
    </row>
    <row r="69533" ht="15.75" customHeight="1">
      <c r="A69533" s="7"/>
      <c r="B69533" s="7"/>
    </row>
    <row r="69534" ht="15.75" customHeight="1">
      <c r="A69534" s="7"/>
      <c r="B69534" s="7"/>
    </row>
    <row r="69535" ht="15.75" customHeight="1">
      <c r="A69535" s="7"/>
      <c r="B69535" s="7"/>
    </row>
    <row r="69536" ht="15.75" customHeight="1">
      <c r="A69536" s="7"/>
      <c r="B69536" s="7"/>
    </row>
    <row r="69537" ht="15.75" customHeight="1">
      <c r="A69537" s="7"/>
      <c r="B69537" s="7"/>
    </row>
    <row r="69538" ht="15.75" customHeight="1">
      <c r="A69538" s="7"/>
      <c r="B69538" s="7"/>
    </row>
    <row r="69539" ht="15.75" customHeight="1">
      <c r="A69539" s="7"/>
      <c r="B69539" s="7"/>
    </row>
    <row r="69540" ht="15.75" customHeight="1">
      <c r="A69540" s="7"/>
      <c r="B69540" s="7"/>
    </row>
    <row r="69541" ht="15.75" customHeight="1">
      <c r="A69541" s="7"/>
      <c r="B69541" s="7"/>
    </row>
    <row r="69542" ht="15.75" customHeight="1">
      <c r="A69542" s="7"/>
      <c r="B69542" s="7"/>
    </row>
    <row r="69543" ht="15.75" customHeight="1">
      <c r="A69543" s="7"/>
      <c r="B69543" s="7"/>
    </row>
    <row r="69544" ht="15.75" customHeight="1">
      <c r="A69544" s="7"/>
      <c r="B69544" s="7"/>
    </row>
    <row r="69545" ht="15.75" customHeight="1">
      <c r="A69545" s="7"/>
      <c r="B69545" s="7"/>
    </row>
    <row r="69546" ht="15.75" customHeight="1">
      <c r="A69546" s="7"/>
      <c r="B69546" s="7"/>
    </row>
    <row r="69547" ht="15.75" customHeight="1">
      <c r="A69547" s="7"/>
      <c r="B69547" s="7"/>
    </row>
    <row r="69548" ht="15.75" customHeight="1">
      <c r="A69548" s="7"/>
      <c r="B69548" s="7"/>
    </row>
    <row r="69549" ht="15.75" customHeight="1">
      <c r="A69549" s="7"/>
      <c r="B69549" s="7"/>
    </row>
    <row r="69550" ht="15.75" customHeight="1">
      <c r="A69550" s="7"/>
      <c r="B69550" s="7"/>
    </row>
    <row r="69551" ht="15.75" customHeight="1">
      <c r="A69551" s="7"/>
      <c r="B69551" s="7"/>
    </row>
    <row r="69552" ht="15.75" customHeight="1">
      <c r="A69552" s="7"/>
      <c r="B69552" s="7"/>
    </row>
    <row r="69553" ht="15.75" customHeight="1">
      <c r="A69553" s="7"/>
      <c r="B69553" s="7"/>
    </row>
    <row r="69554" ht="15.75" customHeight="1">
      <c r="A69554" s="7"/>
      <c r="B69554" s="7"/>
    </row>
    <row r="69555" ht="15.75" customHeight="1">
      <c r="A69555" s="7"/>
      <c r="B69555" s="7"/>
    </row>
    <row r="69556" ht="15.75" customHeight="1">
      <c r="A69556" s="7"/>
      <c r="B69556" s="7"/>
    </row>
    <row r="69557" ht="15.75" customHeight="1">
      <c r="A69557" s="7"/>
      <c r="B69557" s="7"/>
    </row>
    <row r="69558" ht="15.75" customHeight="1">
      <c r="A69558" s="7"/>
      <c r="B69558" s="7"/>
    </row>
    <row r="69559" ht="15.75" customHeight="1">
      <c r="A69559" s="7"/>
      <c r="B69559" s="7"/>
    </row>
    <row r="69560" ht="15.75" customHeight="1">
      <c r="A69560" s="7"/>
      <c r="B69560" s="7"/>
    </row>
    <row r="69561" ht="15.75" customHeight="1">
      <c r="A69561" s="7"/>
      <c r="B69561" s="7"/>
    </row>
    <row r="69562" ht="15.75" customHeight="1">
      <c r="A69562" s="7"/>
      <c r="B69562" s="7"/>
    </row>
    <row r="69563" ht="15.75" customHeight="1">
      <c r="A69563" s="7"/>
      <c r="B69563" s="7"/>
    </row>
    <row r="69564" ht="15.75" customHeight="1">
      <c r="A69564" s="7"/>
      <c r="B69564" s="7"/>
    </row>
    <row r="69565" ht="15.75" customHeight="1">
      <c r="A69565" s="7"/>
      <c r="B69565" s="7"/>
    </row>
    <row r="69566" ht="15.75" customHeight="1">
      <c r="A69566" s="7"/>
      <c r="B69566" s="7"/>
    </row>
    <row r="69567" ht="15.75" customHeight="1">
      <c r="A69567" s="7"/>
      <c r="B69567" s="7"/>
    </row>
    <row r="69568" ht="15.75" customHeight="1">
      <c r="A69568" s="7"/>
      <c r="B69568" s="7"/>
    </row>
    <row r="69569" ht="15.75" customHeight="1">
      <c r="A69569" s="7"/>
      <c r="B69569" s="7"/>
    </row>
    <row r="69570" ht="15.75" customHeight="1">
      <c r="A69570" s="7"/>
      <c r="B69570" s="7"/>
    </row>
    <row r="69571" ht="15.75" customHeight="1">
      <c r="A69571" s="7"/>
      <c r="B69571" s="7"/>
    </row>
    <row r="69572" ht="15.75" customHeight="1">
      <c r="A69572" s="7"/>
      <c r="B69572" s="7"/>
    </row>
    <row r="69573" ht="15.75" customHeight="1">
      <c r="A69573" s="7"/>
      <c r="B69573" s="7"/>
    </row>
    <row r="69574" ht="15.75" customHeight="1">
      <c r="A69574" s="7"/>
      <c r="B69574" s="7"/>
    </row>
    <row r="69575" ht="15.75" customHeight="1">
      <c r="A69575" s="7"/>
      <c r="B69575" s="7"/>
    </row>
    <row r="69576" ht="15.75" customHeight="1">
      <c r="A69576" s="7"/>
      <c r="B69576" s="7"/>
    </row>
    <row r="69577" ht="15.75" customHeight="1">
      <c r="A69577" s="7"/>
      <c r="B69577" s="7"/>
    </row>
    <row r="69578" ht="15.75" customHeight="1">
      <c r="A69578" s="7"/>
      <c r="B69578" s="7"/>
    </row>
    <row r="69579" ht="15.75" customHeight="1">
      <c r="A69579" s="7"/>
      <c r="B69579" s="7"/>
    </row>
    <row r="69580" ht="15.75" customHeight="1">
      <c r="A69580" s="7"/>
      <c r="B69580" s="7"/>
    </row>
    <row r="69581" ht="15.75" customHeight="1">
      <c r="A69581" s="7"/>
      <c r="B69581" s="7"/>
    </row>
    <row r="69582" ht="15.75" customHeight="1">
      <c r="A69582" s="7"/>
      <c r="B69582" s="7"/>
    </row>
    <row r="69583" ht="15.75" customHeight="1">
      <c r="A69583" s="7"/>
      <c r="B69583" s="7"/>
    </row>
    <row r="69584" ht="15.75" customHeight="1">
      <c r="A69584" s="7"/>
      <c r="B69584" s="7"/>
    </row>
    <row r="69585" ht="15.75" customHeight="1">
      <c r="A69585" s="7"/>
      <c r="B69585" s="7"/>
    </row>
    <row r="69586" ht="15.75" customHeight="1">
      <c r="A69586" s="7"/>
      <c r="B69586" s="7"/>
    </row>
    <row r="69587" ht="15.75" customHeight="1">
      <c r="A69587" s="7"/>
      <c r="B69587" s="7"/>
    </row>
    <row r="69588" ht="15.75" customHeight="1">
      <c r="A69588" s="7"/>
      <c r="B69588" s="7"/>
    </row>
    <row r="69589" ht="15.75" customHeight="1">
      <c r="A69589" s="7"/>
      <c r="B69589" s="7"/>
    </row>
    <row r="69590" ht="15.75" customHeight="1">
      <c r="A69590" s="7"/>
      <c r="B69590" s="7"/>
    </row>
    <row r="69591" ht="15.75" customHeight="1">
      <c r="A69591" s="7"/>
      <c r="B69591" s="7"/>
    </row>
    <row r="69592" ht="15.75" customHeight="1">
      <c r="A69592" s="7"/>
      <c r="B69592" s="7"/>
    </row>
    <row r="69593" ht="15.75" customHeight="1">
      <c r="A69593" s="7"/>
      <c r="B69593" s="7"/>
    </row>
    <row r="69594" ht="15.75" customHeight="1">
      <c r="A69594" s="7"/>
      <c r="B69594" s="7"/>
    </row>
    <row r="69595" ht="15.75" customHeight="1">
      <c r="A69595" s="7"/>
      <c r="B69595" s="7"/>
    </row>
    <row r="69596" ht="15.75" customHeight="1">
      <c r="A69596" s="7"/>
      <c r="B69596" s="7"/>
    </row>
    <row r="69597" ht="15.75" customHeight="1">
      <c r="A69597" s="7"/>
      <c r="B69597" s="7"/>
    </row>
    <row r="69598" ht="15.75" customHeight="1">
      <c r="A69598" s="7"/>
      <c r="B69598" s="7"/>
    </row>
    <row r="69599" ht="15.75" customHeight="1">
      <c r="A69599" s="7"/>
      <c r="B69599" s="7"/>
    </row>
    <row r="69600" ht="15.75" customHeight="1">
      <c r="A69600" s="7"/>
      <c r="B69600" s="7"/>
    </row>
    <row r="69601" ht="15.75" customHeight="1">
      <c r="A69601" s="7"/>
      <c r="B69601" s="7"/>
    </row>
    <row r="69602" ht="15.75" customHeight="1">
      <c r="A69602" s="7"/>
      <c r="B69602" s="7"/>
    </row>
    <row r="69603" ht="15.75" customHeight="1">
      <c r="A69603" s="7"/>
      <c r="B69603" s="7"/>
    </row>
    <row r="69604" ht="15.75" customHeight="1">
      <c r="A69604" s="7"/>
      <c r="B69604" s="7"/>
    </row>
    <row r="69605" ht="15.75" customHeight="1">
      <c r="A69605" s="7"/>
      <c r="B69605" s="7"/>
    </row>
    <row r="69606" ht="15.75" customHeight="1">
      <c r="A69606" s="7"/>
      <c r="B69606" s="7"/>
    </row>
    <row r="69607" ht="15.75" customHeight="1">
      <c r="A69607" s="7"/>
      <c r="B69607" s="7"/>
    </row>
    <row r="69608" ht="15.75" customHeight="1">
      <c r="A69608" s="7"/>
      <c r="B69608" s="7"/>
    </row>
    <row r="69609" ht="15.75" customHeight="1">
      <c r="A69609" s="7"/>
      <c r="B69609" s="7"/>
    </row>
    <row r="69610" ht="15.75" customHeight="1">
      <c r="A69610" s="7"/>
      <c r="B69610" s="7"/>
    </row>
    <row r="69611" ht="15.75" customHeight="1">
      <c r="A69611" s="7"/>
      <c r="B69611" s="7"/>
    </row>
    <row r="69612" ht="15.75" customHeight="1">
      <c r="A69612" s="7"/>
      <c r="B69612" s="7"/>
    </row>
    <row r="69613" ht="15.75" customHeight="1">
      <c r="A69613" s="7"/>
      <c r="B69613" s="7"/>
    </row>
    <row r="69614" ht="15.75" customHeight="1">
      <c r="A69614" s="7"/>
      <c r="B69614" s="7"/>
    </row>
    <row r="69615" ht="15.75" customHeight="1">
      <c r="A69615" s="7"/>
      <c r="B69615" s="7"/>
    </row>
    <row r="69616" ht="15.75" customHeight="1">
      <c r="A69616" s="7"/>
      <c r="B69616" s="7"/>
    </row>
    <row r="69617" ht="15.75" customHeight="1">
      <c r="A69617" s="7"/>
      <c r="B69617" s="7"/>
    </row>
    <row r="69618" ht="15.75" customHeight="1">
      <c r="A69618" s="7"/>
      <c r="B69618" s="7"/>
    </row>
    <row r="69619" ht="15.75" customHeight="1">
      <c r="A69619" s="7"/>
      <c r="B69619" s="7"/>
    </row>
    <row r="69620" ht="15.75" customHeight="1">
      <c r="A69620" s="7"/>
      <c r="B69620" s="7"/>
    </row>
    <row r="69621" ht="15.75" customHeight="1">
      <c r="A69621" s="7"/>
      <c r="B69621" s="7"/>
    </row>
    <row r="69622" ht="15.75" customHeight="1">
      <c r="A69622" s="7"/>
      <c r="B69622" s="7"/>
    </row>
    <row r="69623" ht="15.75" customHeight="1">
      <c r="A69623" s="7"/>
      <c r="B69623" s="7"/>
    </row>
    <row r="69624" ht="15.75" customHeight="1">
      <c r="A69624" s="7"/>
      <c r="B69624" s="7"/>
    </row>
    <row r="69625" ht="15.75" customHeight="1">
      <c r="A69625" s="7"/>
      <c r="B69625" s="7"/>
    </row>
    <row r="69626" ht="15.75" customHeight="1">
      <c r="A69626" s="7"/>
      <c r="B69626" s="7"/>
    </row>
    <row r="69627" ht="15.75" customHeight="1">
      <c r="A69627" s="7"/>
      <c r="B69627" s="7"/>
    </row>
    <row r="69628" ht="15.75" customHeight="1">
      <c r="A69628" s="7"/>
      <c r="B69628" s="7"/>
    </row>
    <row r="69629" ht="15.75" customHeight="1">
      <c r="A69629" s="7"/>
      <c r="B69629" s="7"/>
    </row>
    <row r="69630" ht="15.75" customHeight="1">
      <c r="A69630" s="7"/>
      <c r="B69630" s="7"/>
    </row>
    <row r="69631" ht="15.75" customHeight="1">
      <c r="A69631" s="7"/>
      <c r="B69631" s="7"/>
    </row>
    <row r="69632" ht="15.75" customHeight="1">
      <c r="A69632" s="7"/>
      <c r="B69632" s="7"/>
    </row>
    <row r="69633" ht="15.75" customHeight="1">
      <c r="A69633" s="7"/>
      <c r="B69633" s="7"/>
    </row>
    <row r="69634" ht="15.75" customHeight="1">
      <c r="A69634" s="7"/>
      <c r="B69634" s="7"/>
    </row>
    <row r="69635" ht="15.75" customHeight="1">
      <c r="A69635" s="7"/>
      <c r="B69635" s="7"/>
    </row>
    <row r="69636" ht="15.75" customHeight="1">
      <c r="A69636" s="7"/>
      <c r="B69636" s="7"/>
    </row>
    <row r="69637" ht="15.75" customHeight="1">
      <c r="A69637" s="7"/>
      <c r="B69637" s="7"/>
    </row>
    <row r="69638" ht="15.75" customHeight="1">
      <c r="A69638" s="7"/>
      <c r="B69638" s="7"/>
    </row>
    <row r="69639" ht="15.75" customHeight="1">
      <c r="A69639" s="7"/>
      <c r="B69639" s="7"/>
    </row>
    <row r="69640" ht="15.75" customHeight="1">
      <c r="A69640" s="7"/>
      <c r="B69640" s="7"/>
    </row>
    <row r="69641" ht="15.75" customHeight="1">
      <c r="A69641" s="7"/>
      <c r="B69641" s="7"/>
    </row>
    <row r="69642" ht="15.75" customHeight="1">
      <c r="A69642" s="7"/>
      <c r="B69642" s="7"/>
    </row>
    <row r="69643" ht="15.75" customHeight="1">
      <c r="A69643" s="7"/>
      <c r="B69643" s="7"/>
    </row>
    <row r="69644" ht="15.75" customHeight="1">
      <c r="A69644" s="7"/>
      <c r="B69644" s="7"/>
    </row>
    <row r="69645" ht="15.75" customHeight="1">
      <c r="A69645" s="7"/>
      <c r="B69645" s="7"/>
    </row>
    <row r="69646" ht="15.75" customHeight="1">
      <c r="A69646" s="7"/>
      <c r="B69646" s="7"/>
    </row>
    <row r="69647" ht="15.75" customHeight="1">
      <c r="A69647" s="7"/>
      <c r="B69647" s="7"/>
    </row>
    <row r="69648" ht="15.75" customHeight="1">
      <c r="A69648" s="7"/>
      <c r="B69648" s="7"/>
    </row>
    <row r="69649" ht="15.75" customHeight="1">
      <c r="A69649" s="7"/>
      <c r="B69649" s="7"/>
    </row>
    <row r="69650" ht="15.75" customHeight="1">
      <c r="A69650" s="7"/>
      <c r="B69650" s="7"/>
    </row>
    <row r="69651" ht="15.75" customHeight="1">
      <c r="A69651" s="7"/>
      <c r="B69651" s="7"/>
    </row>
    <row r="69652" ht="15.75" customHeight="1">
      <c r="A69652" s="7"/>
      <c r="B69652" s="7"/>
    </row>
    <row r="69653" ht="15.75" customHeight="1">
      <c r="A69653" s="7"/>
      <c r="B69653" s="7"/>
    </row>
    <row r="69654" ht="15.75" customHeight="1">
      <c r="A69654" s="7"/>
      <c r="B69654" s="7"/>
    </row>
    <row r="69655" ht="15.75" customHeight="1">
      <c r="A69655" s="7"/>
      <c r="B69655" s="7"/>
    </row>
    <row r="69656" ht="15.75" customHeight="1">
      <c r="A69656" s="7"/>
      <c r="B69656" s="7"/>
    </row>
    <row r="69657" ht="15.75" customHeight="1">
      <c r="A69657" s="7"/>
      <c r="B69657" s="7"/>
    </row>
    <row r="69658" ht="15.75" customHeight="1">
      <c r="A69658" s="7"/>
      <c r="B69658" s="7"/>
    </row>
    <row r="69659" ht="15.75" customHeight="1">
      <c r="A69659" s="7"/>
      <c r="B69659" s="7"/>
    </row>
    <row r="69660" ht="15.75" customHeight="1">
      <c r="A69660" s="7"/>
      <c r="B69660" s="7"/>
    </row>
    <row r="69661" ht="15.75" customHeight="1">
      <c r="A69661" s="7"/>
      <c r="B69661" s="7"/>
    </row>
    <row r="69662" ht="15.75" customHeight="1">
      <c r="A69662" s="7"/>
      <c r="B69662" s="7"/>
    </row>
    <row r="69663" ht="15.75" customHeight="1">
      <c r="A69663" s="7"/>
      <c r="B69663" s="7"/>
    </row>
    <row r="69664" ht="15.75" customHeight="1">
      <c r="A69664" s="7"/>
      <c r="B69664" s="7"/>
    </row>
    <row r="69665" ht="15.75" customHeight="1">
      <c r="A69665" s="7"/>
      <c r="B69665" s="7"/>
    </row>
    <row r="69666" ht="15.75" customHeight="1">
      <c r="A69666" s="7"/>
      <c r="B69666" s="7"/>
    </row>
    <row r="69667" ht="15.75" customHeight="1">
      <c r="A69667" s="7"/>
      <c r="B69667" s="7"/>
    </row>
    <row r="69668" ht="15.75" customHeight="1">
      <c r="A69668" s="7"/>
      <c r="B69668" s="7"/>
    </row>
    <row r="69669" ht="15.75" customHeight="1">
      <c r="A69669" s="7"/>
      <c r="B69669" s="7"/>
    </row>
    <row r="69670" ht="15.75" customHeight="1">
      <c r="A69670" s="7"/>
      <c r="B69670" s="7"/>
    </row>
    <row r="69671" ht="15.75" customHeight="1">
      <c r="A69671" s="7"/>
      <c r="B69671" s="7"/>
    </row>
    <row r="69672" ht="15.75" customHeight="1">
      <c r="A69672" s="7"/>
      <c r="B69672" s="7"/>
    </row>
    <row r="69673" ht="15.75" customHeight="1">
      <c r="A69673" s="7"/>
      <c r="B69673" s="7"/>
    </row>
    <row r="69674" ht="15.75" customHeight="1">
      <c r="A69674" s="7"/>
      <c r="B69674" s="7"/>
    </row>
    <row r="69675" ht="15.75" customHeight="1">
      <c r="A69675" s="7"/>
      <c r="B69675" s="7"/>
    </row>
    <row r="69676" ht="15.75" customHeight="1">
      <c r="A69676" s="7"/>
      <c r="B69676" s="7"/>
    </row>
    <row r="69677" ht="15.75" customHeight="1">
      <c r="A69677" s="7"/>
      <c r="B69677" s="7"/>
    </row>
    <row r="69678" ht="15.75" customHeight="1">
      <c r="A69678" s="7"/>
      <c r="B69678" s="7"/>
    </row>
    <row r="69679" ht="15.75" customHeight="1">
      <c r="A69679" s="7"/>
      <c r="B69679" s="7"/>
    </row>
    <row r="69680" ht="15.75" customHeight="1">
      <c r="A69680" s="7"/>
      <c r="B69680" s="7"/>
    </row>
    <row r="69681" ht="15.75" customHeight="1">
      <c r="A69681" s="7"/>
      <c r="B69681" s="7"/>
    </row>
    <row r="69682" ht="15.75" customHeight="1">
      <c r="A69682" s="7"/>
      <c r="B69682" s="7"/>
    </row>
    <row r="69683" ht="15.75" customHeight="1">
      <c r="A69683" s="7"/>
      <c r="B69683" s="7"/>
    </row>
    <row r="69684" ht="15.75" customHeight="1">
      <c r="A69684" s="7"/>
      <c r="B69684" s="7"/>
    </row>
    <row r="69685" ht="15.75" customHeight="1">
      <c r="A69685" s="7"/>
      <c r="B69685" s="7"/>
    </row>
    <row r="69686" ht="15.75" customHeight="1">
      <c r="A69686" s="7"/>
      <c r="B69686" s="7"/>
    </row>
    <row r="69687" ht="15.75" customHeight="1">
      <c r="A69687" s="7"/>
      <c r="B69687" s="7"/>
    </row>
    <row r="69688" ht="15.75" customHeight="1">
      <c r="A69688" s="7"/>
      <c r="B69688" s="7"/>
    </row>
    <row r="69689" ht="15.75" customHeight="1">
      <c r="A69689" s="7"/>
      <c r="B69689" s="7"/>
    </row>
    <row r="69690" ht="15.75" customHeight="1">
      <c r="A69690" s="7"/>
      <c r="B69690" s="7"/>
    </row>
    <row r="69691" ht="15.75" customHeight="1">
      <c r="A69691" s="7"/>
      <c r="B69691" s="7"/>
    </row>
    <row r="69692" ht="15.75" customHeight="1">
      <c r="A69692" s="7"/>
      <c r="B69692" s="7"/>
    </row>
    <row r="69693" ht="15.75" customHeight="1">
      <c r="A69693" s="7"/>
      <c r="B69693" s="7"/>
    </row>
    <row r="69694" ht="15.75" customHeight="1">
      <c r="A69694" s="7"/>
      <c r="B69694" s="7"/>
    </row>
    <row r="69695" ht="15.75" customHeight="1">
      <c r="A69695" s="7"/>
      <c r="B69695" s="7"/>
    </row>
    <row r="69696" ht="15.75" customHeight="1">
      <c r="A69696" s="7"/>
      <c r="B69696" s="7"/>
    </row>
    <row r="69697" ht="15.75" customHeight="1">
      <c r="A69697" s="7"/>
      <c r="B69697" s="7"/>
    </row>
    <row r="69698" ht="15.75" customHeight="1">
      <c r="A69698" s="7"/>
      <c r="B69698" s="7"/>
    </row>
    <row r="69699" ht="15.75" customHeight="1">
      <c r="A69699" s="7"/>
      <c r="B69699" s="7"/>
    </row>
    <row r="69700" ht="15.75" customHeight="1">
      <c r="A69700" s="7"/>
      <c r="B69700" s="7"/>
    </row>
    <row r="69701" ht="15.75" customHeight="1">
      <c r="A69701" s="7"/>
      <c r="B69701" s="7"/>
    </row>
    <row r="69702" ht="15.75" customHeight="1">
      <c r="A69702" s="7"/>
      <c r="B69702" s="7"/>
    </row>
    <row r="69703" ht="15.75" customHeight="1">
      <c r="A69703" s="7"/>
      <c r="B69703" s="7"/>
    </row>
    <row r="69704" ht="15.75" customHeight="1">
      <c r="A69704" s="7"/>
      <c r="B69704" s="7"/>
    </row>
    <row r="69705" ht="15.75" customHeight="1">
      <c r="A69705" s="7"/>
      <c r="B69705" s="7"/>
    </row>
    <row r="69706" ht="15.75" customHeight="1">
      <c r="A69706" s="7"/>
      <c r="B69706" s="7"/>
    </row>
    <row r="69707" ht="15.75" customHeight="1">
      <c r="A69707" s="7"/>
      <c r="B69707" s="7"/>
    </row>
    <row r="69708" ht="15.75" customHeight="1">
      <c r="A69708" s="7"/>
      <c r="B69708" s="7"/>
    </row>
    <row r="69709" ht="15.75" customHeight="1">
      <c r="A69709" s="7"/>
      <c r="B69709" s="7"/>
    </row>
    <row r="69710" ht="15.75" customHeight="1">
      <c r="A69710" s="7"/>
      <c r="B69710" s="7"/>
    </row>
    <row r="69711" ht="15.75" customHeight="1">
      <c r="A69711" s="7"/>
      <c r="B69711" s="7"/>
    </row>
    <row r="69712" ht="15.75" customHeight="1">
      <c r="A69712" s="7"/>
      <c r="B69712" s="7"/>
    </row>
    <row r="69713" ht="15.75" customHeight="1">
      <c r="A69713" s="7"/>
      <c r="B69713" s="7"/>
    </row>
    <row r="69714" ht="15.75" customHeight="1">
      <c r="A69714" s="7"/>
      <c r="B69714" s="7"/>
    </row>
    <row r="69715" ht="15.75" customHeight="1">
      <c r="A69715" s="7"/>
      <c r="B69715" s="7"/>
    </row>
    <row r="69716" ht="15.75" customHeight="1">
      <c r="A69716" s="7"/>
      <c r="B69716" s="7"/>
    </row>
    <row r="69717" ht="15.75" customHeight="1">
      <c r="A69717" s="7"/>
      <c r="B69717" s="7"/>
    </row>
    <row r="69718" ht="15.75" customHeight="1">
      <c r="A69718" s="7"/>
      <c r="B69718" s="7"/>
    </row>
    <row r="69719" ht="15.75" customHeight="1">
      <c r="A69719" s="7"/>
      <c r="B69719" s="7"/>
    </row>
    <row r="69720" ht="15.75" customHeight="1">
      <c r="A69720" s="7"/>
      <c r="B69720" s="7"/>
    </row>
    <row r="69721" ht="15.75" customHeight="1">
      <c r="A69721" s="7"/>
      <c r="B69721" s="7"/>
    </row>
    <row r="69722" ht="15.75" customHeight="1">
      <c r="A69722" s="7"/>
      <c r="B69722" s="7"/>
    </row>
    <row r="69723" ht="15.75" customHeight="1">
      <c r="A69723" s="7"/>
      <c r="B69723" s="7"/>
    </row>
    <row r="69724" ht="15.75" customHeight="1">
      <c r="A69724" s="7"/>
      <c r="B69724" s="7"/>
    </row>
    <row r="69725" ht="15.75" customHeight="1">
      <c r="A69725" s="7"/>
      <c r="B69725" s="7"/>
    </row>
    <row r="69726" ht="15.75" customHeight="1">
      <c r="A69726" s="7"/>
      <c r="B69726" s="7"/>
    </row>
    <row r="69727" ht="15.75" customHeight="1">
      <c r="A69727" s="7"/>
      <c r="B69727" s="7"/>
    </row>
    <row r="69728" ht="15.75" customHeight="1">
      <c r="A69728" s="7"/>
      <c r="B69728" s="7"/>
    </row>
    <row r="69729" ht="15.75" customHeight="1">
      <c r="A69729" s="7"/>
      <c r="B69729" s="7"/>
    </row>
    <row r="69730" ht="15.75" customHeight="1">
      <c r="A69730" s="7"/>
      <c r="B69730" s="7"/>
    </row>
    <row r="69731" ht="15.75" customHeight="1">
      <c r="A69731" s="7"/>
      <c r="B69731" s="7"/>
    </row>
    <row r="69732" ht="15.75" customHeight="1">
      <c r="A69732" s="7"/>
      <c r="B69732" s="7"/>
    </row>
    <row r="69733" ht="15.75" customHeight="1">
      <c r="A69733" s="7"/>
      <c r="B69733" s="7"/>
    </row>
    <row r="69734" ht="15.75" customHeight="1">
      <c r="A69734" s="7"/>
      <c r="B69734" s="7"/>
    </row>
    <row r="69735" ht="15.75" customHeight="1">
      <c r="A69735" s="7"/>
      <c r="B69735" s="7"/>
    </row>
    <row r="69736" ht="15.75" customHeight="1">
      <c r="A69736" s="7"/>
      <c r="B69736" s="7"/>
    </row>
    <row r="69737" ht="15.75" customHeight="1">
      <c r="A69737" s="7"/>
      <c r="B69737" s="7"/>
    </row>
    <row r="69738" ht="15.75" customHeight="1">
      <c r="A69738" s="7"/>
      <c r="B69738" s="7"/>
    </row>
    <row r="69739" ht="15.75" customHeight="1">
      <c r="A69739" s="7"/>
      <c r="B69739" s="7"/>
    </row>
    <row r="69740" ht="15.75" customHeight="1">
      <c r="A69740" s="7"/>
      <c r="B69740" s="7"/>
    </row>
    <row r="69741" ht="15.75" customHeight="1">
      <c r="A69741" s="7"/>
      <c r="B69741" s="7"/>
    </row>
    <row r="69742" ht="15.75" customHeight="1">
      <c r="A69742" s="7"/>
      <c r="B69742" s="7"/>
    </row>
    <row r="69743" ht="15.75" customHeight="1">
      <c r="A69743" s="7"/>
      <c r="B69743" s="7"/>
    </row>
    <row r="69744" ht="15.75" customHeight="1">
      <c r="A69744" s="7"/>
      <c r="B69744" s="7"/>
    </row>
    <row r="69745" ht="15.75" customHeight="1">
      <c r="A69745" s="7"/>
      <c r="B69745" s="7"/>
    </row>
    <row r="69746" ht="15.75" customHeight="1">
      <c r="A69746" s="7"/>
      <c r="B69746" s="7"/>
    </row>
    <row r="69747" ht="15.75" customHeight="1">
      <c r="A69747" s="7"/>
      <c r="B69747" s="7"/>
    </row>
    <row r="69748" ht="15.75" customHeight="1">
      <c r="A69748" s="7"/>
      <c r="B69748" s="7"/>
    </row>
    <row r="69749" ht="15.75" customHeight="1">
      <c r="A69749" s="7"/>
      <c r="B69749" s="7"/>
    </row>
    <row r="69750" ht="15.75" customHeight="1">
      <c r="A69750" s="7"/>
      <c r="B69750" s="7"/>
    </row>
    <row r="69751" ht="15.75" customHeight="1">
      <c r="A69751" s="7"/>
      <c r="B69751" s="7"/>
    </row>
    <row r="69752" ht="15.75" customHeight="1">
      <c r="A69752" s="7"/>
      <c r="B69752" s="7"/>
    </row>
    <row r="69753" ht="15.75" customHeight="1">
      <c r="A69753" s="7"/>
      <c r="B69753" s="7"/>
    </row>
    <row r="69754" ht="15.75" customHeight="1">
      <c r="A69754" s="7"/>
      <c r="B69754" s="7"/>
    </row>
    <row r="69755" ht="15.75" customHeight="1">
      <c r="A69755" s="7"/>
      <c r="B69755" s="7"/>
    </row>
    <row r="69756" ht="15.75" customHeight="1">
      <c r="A69756" s="7"/>
      <c r="B69756" s="7"/>
    </row>
    <row r="69757" ht="15.75" customHeight="1">
      <c r="A69757" s="7"/>
      <c r="B69757" s="7"/>
    </row>
    <row r="69758" ht="15.75" customHeight="1">
      <c r="A69758" s="7"/>
      <c r="B69758" s="7"/>
    </row>
    <row r="69759" ht="15.75" customHeight="1">
      <c r="A69759" s="7"/>
      <c r="B69759" s="7"/>
    </row>
    <row r="69760" ht="15.75" customHeight="1">
      <c r="A69760" s="7"/>
      <c r="B69760" s="7"/>
    </row>
    <row r="69761" ht="15.75" customHeight="1">
      <c r="A69761" s="7"/>
      <c r="B69761" s="7"/>
    </row>
    <row r="69762" ht="15.75" customHeight="1">
      <c r="A69762" s="7"/>
      <c r="B69762" s="7"/>
    </row>
    <row r="69763" ht="15.75" customHeight="1">
      <c r="A69763" s="7"/>
      <c r="B69763" s="7"/>
    </row>
    <row r="69764" ht="15.75" customHeight="1">
      <c r="A69764" s="7"/>
      <c r="B69764" s="7"/>
    </row>
    <row r="69765" ht="15.75" customHeight="1">
      <c r="A69765" s="7"/>
      <c r="B69765" s="7"/>
    </row>
    <row r="69766" ht="15.75" customHeight="1">
      <c r="A69766" s="7"/>
      <c r="B69766" s="7"/>
    </row>
    <row r="69767" ht="15.75" customHeight="1">
      <c r="A69767" s="7"/>
      <c r="B69767" s="7"/>
    </row>
    <row r="69768" ht="15.75" customHeight="1">
      <c r="A69768" s="7"/>
      <c r="B69768" s="7"/>
    </row>
    <row r="69769" ht="15.75" customHeight="1">
      <c r="A69769" s="7"/>
      <c r="B69769" s="7"/>
    </row>
    <row r="69770" ht="15.75" customHeight="1">
      <c r="A69770" s="7"/>
      <c r="B69770" s="7"/>
    </row>
    <row r="69771" ht="15.75" customHeight="1">
      <c r="A69771" s="7"/>
      <c r="B69771" s="7"/>
    </row>
    <row r="69772" ht="15.75" customHeight="1">
      <c r="A69772" s="7"/>
      <c r="B69772" s="7"/>
    </row>
    <row r="69773" ht="15.75" customHeight="1">
      <c r="A69773" s="7"/>
      <c r="B69773" s="7"/>
    </row>
    <row r="69774" ht="15.75" customHeight="1">
      <c r="A69774" s="7"/>
      <c r="B69774" s="7"/>
    </row>
    <row r="69775" ht="15.75" customHeight="1">
      <c r="A69775" s="7"/>
      <c r="B69775" s="7"/>
    </row>
    <row r="69776" ht="15.75" customHeight="1">
      <c r="A69776" s="7"/>
      <c r="B69776" s="7"/>
    </row>
    <row r="69777" ht="15.75" customHeight="1">
      <c r="A69777" s="7"/>
      <c r="B69777" s="7"/>
    </row>
    <row r="69778" ht="15.75" customHeight="1">
      <c r="A69778" s="7"/>
      <c r="B69778" s="7"/>
    </row>
    <row r="69779" ht="15.75" customHeight="1">
      <c r="A69779" s="7"/>
      <c r="B69779" s="7"/>
    </row>
    <row r="69780" ht="15.75" customHeight="1">
      <c r="A69780" s="7"/>
      <c r="B69780" s="7"/>
    </row>
    <row r="69781" ht="15.75" customHeight="1">
      <c r="A69781" s="7"/>
      <c r="B69781" s="7"/>
    </row>
    <row r="69782" ht="15.75" customHeight="1">
      <c r="A69782" s="7"/>
      <c r="B69782" s="7"/>
    </row>
    <row r="69783" ht="15.75" customHeight="1">
      <c r="A69783" s="7"/>
      <c r="B69783" s="7"/>
    </row>
    <row r="69784" ht="15.75" customHeight="1">
      <c r="A69784" s="7"/>
      <c r="B69784" s="7"/>
    </row>
    <row r="69785" ht="15.75" customHeight="1">
      <c r="A69785" s="7"/>
      <c r="B69785" s="7"/>
    </row>
    <row r="69786" ht="15.75" customHeight="1">
      <c r="A69786" s="7"/>
      <c r="B69786" s="7"/>
    </row>
    <row r="69787" ht="15.75" customHeight="1">
      <c r="A69787" s="7"/>
      <c r="B69787" s="7"/>
    </row>
    <row r="69788" ht="15.75" customHeight="1">
      <c r="A69788" s="7"/>
      <c r="B69788" s="7"/>
    </row>
    <row r="69789" ht="15.75" customHeight="1">
      <c r="A69789" s="7"/>
      <c r="B69789" s="7"/>
    </row>
    <row r="69790" ht="15.75" customHeight="1">
      <c r="A69790" s="7"/>
      <c r="B69790" s="7"/>
    </row>
    <row r="69791" ht="15.75" customHeight="1">
      <c r="A69791" s="7"/>
      <c r="B69791" s="7"/>
    </row>
    <row r="69792" ht="15.75" customHeight="1">
      <c r="A69792" s="7"/>
      <c r="B69792" s="7"/>
    </row>
    <row r="69793" ht="15.75" customHeight="1">
      <c r="A69793" s="7"/>
      <c r="B69793" s="7"/>
    </row>
    <row r="69794" ht="15.75" customHeight="1">
      <c r="A69794" s="7"/>
      <c r="B69794" s="7"/>
    </row>
    <row r="69795" ht="15.75" customHeight="1">
      <c r="A69795" s="7"/>
      <c r="B69795" s="7"/>
    </row>
    <row r="69796" ht="15.75" customHeight="1">
      <c r="A69796" s="7"/>
      <c r="B69796" s="7"/>
    </row>
    <row r="69797" ht="15.75" customHeight="1">
      <c r="A69797" s="7"/>
      <c r="B69797" s="7"/>
    </row>
    <row r="69798" ht="15.75" customHeight="1">
      <c r="A69798" s="7"/>
      <c r="B69798" s="7"/>
    </row>
    <row r="69799" ht="15.75" customHeight="1">
      <c r="A69799" s="7"/>
      <c r="B69799" s="7"/>
    </row>
    <row r="69800" ht="15.75" customHeight="1">
      <c r="A69800" s="7"/>
      <c r="B69800" s="7"/>
    </row>
    <row r="69801" ht="15.75" customHeight="1">
      <c r="A69801" s="7"/>
      <c r="B69801" s="7"/>
    </row>
    <row r="69802" ht="15.75" customHeight="1">
      <c r="A69802" s="7"/>
      <c r="B69802" s="7"/>
    </row>
    <row r="69803" ht="15.75" customHeight="1">
      <c r="A69803" s="7"/>
      <c r="B69803" s="7"/>
    </row>
    <row r="69804" ht="15.75" customHeight="1">
      <c r="A69804" s="7"/>
      <c r="B69804" s="7"/>
    </row>
    <row r="69805" ht="15.75" customHeight="1">
      <c r="A69805" s="7"/>
      <c r="B69805" s="7"/>
    </row>
    <row r="69806" ht="15.75" customHeight="1">
      <c r="A69806" s="7"/>
      <c r="B69806" s="7"/>
    </row>
    <row r="69807" ht="15.75" customHeight="1">
      <c r="A69807" s="7"/>
      <c r="B69807" s="7"/>
    </row>
    <row r="69808" ht="15.75" customHeight="1">
      <c r="A69808" s="7"/>
      <c r="B69808" s="7"/>
    </row>
    <row r="69809" ht="15.75" customHeight="1">
      <c r="A69809" s="7"/>
      <c r="B69809" s="7"/>
    </row>
    <row r="69810" ht="15.75" customHeight="1">
      <c r="A69810" s="7"/>
      <c r="B69810" s="7"/>
    </row>
    <row r="69811" ht="15.75" customHeight="1">
      <c r="A69811" s="7"/>
      <c r="B69811" s="7"/>
    </row>
    <row r="69812" ht="15.75" customHeight="1">
      <c r="A69812" s="7"/>
      <c r="B69812" s="7"/>
    </row>
    <row r="69813" ht="15.75" customHeight="1">
      <c r="A69813" s="7"/>
      <c r="B69813" s="7"/>
    </row>
    <row r="69814" ht="15.75" customHeight="1">
      <c r="A69814" s="7"/>
      <c r="B69814" s="7"/>
    </row>
    <row r="69815" ht="15.75" customHeight="1">
      <c r="A69815" s="7"/>
      <c r="B69815" s="7"/>
    </row>
    <row r="69816" ht="15.75" customHeight="1">
      <c r="A69816" s="7"/>
      <c r="B69816" s="7"/>
    </row>
    <row r="69817" ht="15.75" customHeight="1">
      <c r="A69817" s="7"/>
      <c r="B69817" s="7"/>
    </row>
    <row r="69818" ht="15.75" customHeight="1">
      <c r="A69818" s="7"/>
      <c r="B69818" s="7"/>
    </row>
    <row r="69819" ht="15.75" customHeight="1">
      <c r="A69819" s="7"/>
      <c r="B69819" s="7"/>
    </row>
    <row r="69820" ht="15.75" customHeight="1">
      <c r="A69820" s="7"/>
      <c r="B69820" s="7"/>
    </row>
    <row r="69821" ht="15.75" customHeight="1">
      <c r="A69821" s="7"/>
      <c r="B69821" s="7"/>
    </row>
    <row r="69822" ht="15.75" customHeight="1">
      <c r="A69822" s="7"/>
      <c r="B69822" s="7"/>
    </row>
    <row r="69823" ht="15.75" customHeight="1">
      <c r="A69823" s="7"/>
      <c r="B69823" s="7"/>
    </row>
    <row r="69824" ht="15.75" customHeight="1">
      <c r="A69824" s="7"/>
      <c r="B69824" s="7"/>
    </row>
    <row r="69825" ht="15.75" customHeight="1">
      <c r="A69825" s="7"/>
      <c r="B69825" s="7"/>
    </row>
    <row r="69826" ht="15.75" customHeight="1">
      <c r="A69826" s="7"/>
      <c r="B69826" s="7"/>
    </row>
    <row r="69827" ht="15.75" customHeight="1">
      <c r="A69827" s="7"/>
      <c r="B69827" s="7"/>
    </row>
    <row r="69828" ht="15.75" customHeight="1">
      <c r="A69828" s="7"/>
      <c r="B69828" s="7"/>
    </row>
    <row r="69829" ht="15.75" customHeight="1">
      <c r="A69829" s="7"/>
      <c r="B69829" s="7"/>
    </row>
    <row r="69830" ht="15.75" customHeight="1">
      <c r="A69830" s="7"/>
      <c r="B69830" s="7"/>
    </row>
    <row r="69831" ht="15.75" customHeight="1">
      <c r="A69831" s="7"/>
      <c r="B69831" s="7"/>
    </row>
    <row r="69832" ht="15.75" customHeight="1">
      <c r="A69832" s="7"/>
      <c r="B69832" s="7"/>
    </row>
    <row r="69833" ht="15.75" customHeight="1">
      <c r="A69833" s="7"/>
      <c r="B69833" s="7"/>
    </row>
    <row r="69834" ht="15.75" customHeight="1">
      <c r="A69834" s="7"/>
      <c r="B69834" s="7"/>
    </row>
    <row r="69835" ht="15.75" customHeight="1">
      <c r="A69835" s="7"/>
      <c r="B69835" s="7"/>
    </row>
    <row r="69836" ht="15.75" customHeight="1">
      <c r="A69836" s="7"/>
      <c r="B69836" s="7"/>
    </row>
    <row r="69837" ht="15.75" customHeight="1">
      <c r="A69837" s="7"/>
      <c r="B69837" s="7"/>
    </row>
    <row r="69838" ht="15.75" customHeight="1">
      <c r="A69838" s="7"/>
      <c r="B69838" s="7"/>
    </row>
    <row r="69839" ht="15.75" customHeight="1">
      <c r="A69839" s="7"/>
      <c r="B69839" s="7"/>
    </row>
    <row r="69840" ht="15.75" customHeight="1">
      <c r="A69840" s="7"/>
      <c r="B69840" s="7"/>
    </row>
    <row r="69841" ht="15.75" customHeight="1">
      <c r="A69841" s="7"/>
      <c r="B69841" s="7"/>
    </row>
    <row r="69842" ht="15.75" customHeight="1">
      <c r="A69842" s="7"/>
      <c r="B69842" s="7"/>
    </row>
    <row r="69843" ht="15.75" customHeight="1">
      <c r="A69843" s="7"/>
      <c r="B69843" s="7"/>
    </row>
    <row r="69844" ht="15.75" customHeight="1">
      <c r="A69844" s="7"/>
      <c r="B69844" s="7"/>
    </row>
    <row r="69845" ht="15.75" customHeight="1">
      <c r="A69845" s="7"/>
      <c r="B69845" s="7"/>
    </row>
    <row r="69846" ht="15.75" customHeight="1">
      <c r="A69846" s="7"/>
      <c r="B69846" s="7"/>
    </row>
    <row r="69847" ht="15.75" customHeight="1">
      <c r="A69847" s="7"/>
      <c r="B69847" s="7"/>
    </row>
    <row r="69848" ht="15.75" customHeight="1">
      <c r="A69848" s="7"/>
      <c r="B69848" s="7"/>
    </row>
    <row r="69849" ht="15.75" customHeight="1">
      <c r="A69849" s="7"/>
      <c r="B69849" s="7"/>
    </row>
    <row r="69850" ht="15.75" customHeight="1">
      <c r="A69850" s="7"/>
      <c r="B69850" s="7"/>
    </row>
    <row r="69851" ht="15.75" customHeight="1">
      <c r="A69851" s="7"/>
      <c r="B69851" s="7"/>
    </row>
    <row r="69852" ht="15.75" customHeight="1">
      <c r="A69852" s="7"/>
      <c r="B69852" s="7"/>
    </row>
    <row r="69853" ht="15.75" customHeight="1">
      <c r="A69853" s="7"/>
      <c r="B69853" s="7"/>
    </row>
    <row r="69854" ht="15.75" customHeight="1">
      <c r="A69854" s="7"/>
      <c r="B69854" s="7"/>
    </row>
    <row r="69855" ht="15.75" customHeight="1">
      <c r="A69855" s="7"/>
      <c r="B69855" s="7"/>
    </row>
    <row r="69856" ht="15.75" customHeight="1">
      <c r="A69856" s="7"/>
      <c r="B69856" s="7"/>
    </row>
    <row r="69857" ht="15.75" customHeight="1">
      <c r="A69857" s="7"/>
      <c r="B69857" s="7"/>
    </row>
    <row r="69858" ht="15.75" customHeight="1">
      <c r="A69858" s="7"/>
      <c r="B69858" s="7"/>
    </row>
    <row r="69859" ht="15.75" customHeight="1">
      <c r="A69859" s="7"/>
      <c r="B69859" s="7"/>
    </row>
    <row r="69860" ht="15.75" customHeight="1">
      <c r="A69860" s="7"/>
      <c r="B69860" s="7"/>
    </row>
    <row r="69861" ht="15.75" customHeight="1">
      <c r="A69861" s="7"/>
      <c r="B69861" s="7"/>
    </row>
    <row r="69862" ht="15.75" customHeight="1">
      <c r="A69862" s="7"/>
      <c r="B69862" s="7"/>
    </row>
    <row r="69863" ht="15.75" customHeight="1">
      <c r="A69863" s="7"/>
      <c r="B69863" s="7"/>
    </row>
    <row r="69864" ht="15.75" customHeight="1">
      <c r="A69864" s="7"/>
      <c r="B69864" s="7"/>
    </row>
    <row r="69865" ht="15.75" customHeight="1">
      <c r="A69865" s="7"/>
      <c r="B69865" s="7"/>
    </row>
    <row r="69866" ht="15.75" customHeight="1">
      <c r="A69866" s="7"/>
      <c r="B69866" s="7"/>
    </row>
    <row r="69867" ht="15.75" customHeight="1">
      <c r="A69867" s="7"/>
      <c r="B69867" s="7"/>
    </row>
    <row r="69868" ht="15.75" customHeight="1">
      <c r="A69868" s="7"/>
      <c r="B69868" s="7"/>
    </row>
    <row r="69869" ht="15.75" customHeight="1">
      <c r="A69869" s="7"/>
      <c r="B69869" s="7"/>
    </row>
    <row r="69870" ht="15.75" customHeight="1">
      <c r="A69870" s="7"/>
      <c r="B69870" s="7"/>
    </row>
    <row r="69871" ht="15.75" customHeight="1">
      <c r="A69871" s="7"/>
      <c r="B69871" s="7"/>
    </row>
    <row r="69872" ht="15.75" customHeight="1">
      <c r="A69872" s="7"/>
      <c r="B69872" s="7"/>
    </row>
    <row r="69873" ht="15.75" customHeight="1">
      <c r="A69873" s="7"/>
      <c r="B69873" s="7"/>
    </row>
    <row r="69874" ht="15.75" customHeight="1">
      <c r="A69874" s="7"/>
      <c r="B69874" s="7"/>
    </row>
    <row r="69875" ht="15.75" customHeight="1">
      <c r="A69875" s="7"/>
      <c r="B69875" s="7"/>
    </row>
    <row r="69876" ht="15.75" customHeight="1">
      <c r="A69876" s="7"/>
      <c r="B69876" s="7"/>
    </row>
    <row r="69877" ht="15.75" customHeight="1">
      <c r="A69877" s="7"/>
      <c r="B69877" s="7"/>
    </row>
    <row r="69878" ht="15.75" customHeight="1">
      <c r="A69878" s="7"/>
      <c r="B69878" s="7"/>
    </row>
    <row r="69879" ht="15.75" customHeight="1">
      <c r="A69879" s="7"/>
      <c r="B69879" s="7"/>
    </row>
    <row r="69880" ht="15.75" customHeight="1">
      <c r="A69880" s="7"/>
      <c r="B69880" s="7"/>
    </row>
    <row r="69881" ht="15.75" customHeight="1">
      <c r="A69881" s="7"/>
      <c r="B69881" s="7"/>
    </row>
    <row r="69882" ht="15.75" customHeight="1">
      <c r="A69882" s="7"/>
      <c r="B69882" s="7"/>
    </row>
    <row r="69883" ht="15.75" customHeight="1">
      <c r="A69883" s="7"/>
      <c r="B69883" s="7"/>
    </row>
    <row r="69884" ht="15.75" customHeight="1">
      <c r="A69884" s="7"/>
      <c r="B69884" s="7"/>
    </row>
    <row r="69885" ht="15.75" customHeight="1">
      <c r="A69885" s="7"/>
      <c r="B69885" s="7"/>
    </row>
    <row r="69886" ht="15.75" customHeight="1">
      <c r="A69886" s="7"/>
      <c r="B69886" s="7"/>
    </row>
    <row r="69887" ht="15.75" customHeight="1">
      <c r="A69887" s="7"/>
      <c r="B69887" s="7"/>
    </row>
    <row r="69888" ht="15.75" customHeight="1">
      <c r="A69888" s="7"/>
      <c r="B69888" s="7"/>
    </row>
    <row r="69889" ht="15.75" customHeight="1">
      <c r="A69889" s="7"/>
      <c r="B69889" s="7"/>
    </row>
    <row r="69890" ht="15.75" customHeight="1">
      <c r="A69890" s="7"/>
      <c r="B69890" s="7"/>
    </row>
    <row r="69891" ht="15.75" customHeight="1">
      <c r="A69891" s="7"/>
      <c r="B69891" s="7"/>
    </row>
    <row r="69892" ht="15.75" customHeight="1">
      <c r="A69892" s="7"/>
      <c r="B69892" s="7"/>
    </row>
    <row r="69893" ht="15.75" customHeight="1">
      <c r="A69893" s="7"/>
      <c r="B69893" s="7"/>
    </row>
    <row r="69894" ht="15.75" customHeight="1">
      <c r="A69894" s="7"/>
      <c r="B69894" s="7"/>
    </row>
    <row r="69895" ht="15.75" customHeight="1">
      <c r="A69895" s="7"/>
      <c r="B69895" s="7"/>
    </row>
    <row r="69896" ht="15.75" customHeight="1">
      <c r="A69896" s="7"/>
      <c r="B69896" s="7"/>
    </row>
    <row r="69897" ht="15.75" customHeight="1">
      <c r="A69897" s="7"/>
      <c r="B69897" s="7"/>
    </row>
    <row r="69898" ht="15.75" customHeight="1">
      <c r="A69898" s="7"/>
      <c r="B69898" s="7"/>
    </row>
    <row r="69899" ht="15.75" customHeight="1">
      <c r="A69899" s="7"/>
      <c r="B69899" s="7"/>
    </row>
    <row r="69900" ht="15.75" customHeight="1">
      <c r="A69900" s="7"/>
      <c r="B69900" s="7"/>
    </row>
    <row r="69901" ht="15.75" customHeight="1">
      <c r="A69901" s="7"/>
      <c r="B69901" s="7"/>
    </row>
    <row r="69902" ht="15.75" customHeight="1">
      <c r="A69902" s="7"/>
      <c r="B69902" s="7"/>
    </row>
    <row r="69903" ht="15.75" customHeight="1">
      <c r="A69903" s="7"/>
      <c r="B69903" s="7"/>
    </row>
    <row r="69904" ht="15.75" customHeight="1">
      <c r="A69904" s="7"/>
      <c r="B69904" s="7"/>
    </row>
    <row r="69905" ht="15.75" customHeight="1">
      <c r="A69905" s="7"/>
      <c r="B69905" s="7"/>
    </row>
    <row r="69906" ht="15.75" customHeight="1">
      <c r="A69906" s="7"/>
      <c r="B69906" s="7"/>
    </row>
    <row r="69907" ht="15.75" customHeight="1">
      <c r="A69907" s="7"/>
      <c r="B69907" s="7"/>
    </row>
    <row r="69908" ht="15.75" customHeight="1">
      <c r="A69908" s="7"/>
      <c r="B69908" s="7"/>
    </row>
    <row r="69909" ht="15.75" customHeight="1">
      <c r="A69909" s="7"/>
      <c r="B69909" s="7"/>
    </row>
    <row r="69910" ht="15.75" customHeight="1">
      <c r="A69910" s="7"/>
      <c r="B69910" s="7"/>
    </row>
    <row r="69911" ht="15.75" customHeight="1">
      <c r="A69911" s="7"/>
      <c r="B69911" s="7"/>
    </row>
    <row r="69912" ht="15.75" customHeight="1">
      <c r="A69912" s="7"/>
      <c r="B69912" s="7"/>
    </row>
    <row r="69913" ht="15.75" customHeight="1">
      <c r="A69913" s="7"/>
      <c r="B69913" s="7"/>
    </row>
    <row r="69914" ht="15.75" customHeight="1">
      <c r="A69914" s="7"/>
      <c r="B69914" s="7"/>
    </row>
    <row r="69915" ht="15.75" customHeight="1">
      <c r="A69915" s="7"/>
      <c r="B69915" s="7"/>
    </row>
    <row r="69916" ht="15.75" customHeight="1">
      <c r="A69916" s="7"/>
      <c r="B69916" s="7"/>
    </row>
    <row r="69917" ht="15.75" customHeight="1">
      <c r="A69917" s="7"/>
      <c r="B69917" s="7"/>
    </row>
    <row r="69918" ht="15.75" customHeight="1">
      <c r="A69918" s="7"/>
      <c r="B69918" s="7"/>
    </row>
    <row r="69919" ht="15.75" customHeight="1">
      <c r="A69919" s="7"/>
      <c r="B69919" s="7"/>
    </row>
    <row r="69920" ht="15.75" customHeight="1">
      <c r="A69920" s="7"/>
      <c r="B69920" s="7"/>
    </row>
    <row r="69921" ht="15.75" customHeight="1">
      <c r="A69921" s="7"/>
      <c r="B69921" s="7"/>
    </row>
    <row r="69922" ht="15.75" customHeight="1">
      <c r="A69922" s="7"/>
      <c r="B69922" s="7"/>
    </row>
    <row r="69923" ht="15.75" customHeight="1">
      <c r="A69923" s="7"/>
      <c r="B69923" s="7"/>
    </row>
    <row r="69924" ht="15.75" customHeight="1">
      <c r="A69924" s="7"/>
      <c r="B69924" s="7"/>
    </row>
    <row r="69925" ht="15.75" customHeight="1">
      <c r="A69925" s="7"/>
      <c r="B69925" s="7"/>
    </row>
    <row r="69926" ht="15.75" customHeight="1">
      <c r="A69926" s="7"/>
      <c r="B69926" s="7"/>
    </row>
    <row r="69927" ht="15.75" customHeight="1">
      <c r="A69927" s="7"/>
      <c r="B69927" s="7"/>
    </row>
    <row r="69928" ht="15.75" customHeight="1">
      <c r="A69928" s="7"/>
      <c r="B69928" s="7"/>
    </row>
    <row r="69929" ht="15.75" customHeight="1">
      <c r="A69929" s="7"/>
      <c r="B69929" s="7"/>
    </row>
    <row r="69930" ht="15.75" customHeight="1">
      <c r="A69930" s="7"/>
      <c r="B69930" s="7"/>
    </row>
    <row r="69931" ht="15.75" customHeight="1">
      <c r="A69931" s="7"/>
      <c r="B69931" s="7"/>
    </row>
    <row r="69932" ht="15.75" customHeight="1">
      <c r="A69932" s="7"/>
      <c r="B69932" s="7"/>
    </row>
    <row r="69933" ht="15.75" customHeight="1">
      <c r="A69933" s="7"/>
      <c r="B69933" s="7"/>
    </row>
    <row r="69934" ht="15.75" customHeight="1">
      <c r="A69934" s="7"/>
      <c r="B69934" s="7"/>
    </row>
    <row r="69935" ht="15.75" customHeight="1">
      <c r="A69935" s="7"/>
      <c r="B69935" s="7"/>
    </row>
    <row r="69936" ht="15.75" customHeight="1">
      <c r="A69936" s="7"/>
      <c r="B69936" s="7"/>
    </row>
    <row r="69937" ht="15.75" customHeight="1">
      <c r="A69937" s="7"/>
      <c r="B69937" s="7"/>
    </row>
    <row r="69938" ht="15.75" customHeight="1">
      <c r="A69938" s="7"/>
      <c r="B69938" s="7"/>
    </row>
    <row r="69939" ht="15.75" customHeight="1">
      <c r="A69939" s="7"/>
      <c r="B69939" s="7"/>
    </row>
    <row r="69940" ht="15.75" customHeight="1">
      <c r="A69940" s="7"/>
      <c r="B69940" s="7"/>
    </row>
    <row r="69941" ht="15.75" customHeight="1">
      <c r="A69941" s="7"/>
      <c r="B69941" s="7"/>
    </row>
    <row r="69942" ht="15.75" customHeight="1">
      <c r="A69942" s="7"/>
      <c r="B69942" s="7"/>
    </row>
    <row r="69943" ht="15.75" customHeight="1">
      <c r="A69943" s="7"/>
      <c r="B69943" s="7"/>
    </row>
    <row r="69944" ht="15.75" customHeight="1">
      <c r="A69944" s="7"/>
      <c r="B69944" s="7"/>
    </row>
    <row r="69945" ht="15.75" customHeight="1">
      <c r="A69945" s="7"/>
      <c r="B69945" s="7"/>
    </row>
    <row r="69946" ht="15.75" customHeight="1">
      <c r="A69946" s="7"/>
      <c r="B69946" s="7"/>
    </row>
    <row r="69947" ht="15.75" customHeight="1">
      <c r="A69947" s="7"/>
      <c r="B69947" s="7"/>
    </row>
    <row r="69948" ht="15.75" customHeight="1">
      <c r="A69948" s="7"/>
      <c r="B69948" s="7"/>
    </row>
    <row r="69949" ht="15.75" customHeight="1">
      <c r="A69949" s="7"/>
      <c r="B69949" s="7"/>
    </row>
    <row r="69950" ht="15.75" customHeight="1">
      <c r="A69950" s="7"/>
      <c r="B69950" s="7"/>
    </row>
    <row r="69951" ht="15.75" customHeight="1">
      <c r="A69951" s="7"/>
      <c r="B69951" s="7"/>
    </row>
    <row r="69952" ht="15.75" customHeight="1">
      <c r="A69952" s="7"/>
      <c r="B69952" s="7"/>
    </row>
    <row r="69953" ht="15.75" customHeight="1">
      <c r="A69953" s="7"/>
      <c r="B69953" s="7"/>
    </row>
    <row r="69954" ht="15.75" customHeight="1">
      <c r="A69954" s="7"/>
      <c r="B69954" s="7"/>
    </row>
    <row r="69955" ht="15.75" customHeight="1">
      <c r="A69955" s="7"/>
      <c r="B69955" s="7"/>
    </row>
    <row r="69956" ht="15.75" customHeight="1">
      <c r="A69956" s="7"/>
      <c r="B69956" s="7"/>
    </row>
    <row r="69957" ht="15.75" customHeight="1">
      <c r="A69957" s="7"/>
      <c r="B69957" s="7"/>
    </row>
    <row r="69958" ht="15.75" customHeight="1">
      <c r="A69958" s="7"/>
      <c r="B69958" s="7"/>
    </row>
    <row r="69959" ht="15.75" customHeight="1">
      <c r="A69959" s="7"/>
      <c r="B69959" s="7"/>
    </row>
    <row r="69960" ht="15.75" customHeight="1">
      <c r="A69960" s="7"/>
      <c r="B69960" s="7"/>
    </row>
    <row r="69961" ht="15.75" customHeight="1">
      <c r="A69961" s="7"/>
      <c r="B69961" s="7"/>
    </row>
    <row r="69962" ht="15.75" customHeight="1">
      <c r="A69962" s="7"/>
      <c r="B69962" s="7"/>
    </row>
    <row r="69963" ht="15.75" customHeight="1">
      <c r="A69963" s="7"/>
      <c r="B69963" s="7"/>
    </row>
    <row r="69964" ht="15.75" customHeight="1">
      <c r="A69964" s="7"/>
      <c r="B69964" s="7"/>
    </row>
    <row r="69965" ht="15.75" customHeight="1">
      <c r="A69965" s="7"/>
      <c r="B69965" s="7"/>
    </row>
    <row r="69966" ht="15.75" customHeight="1">
      <c r="A69966" s="7"/>
      <c r="B69966" s="7"/>
    </row>
    <row r="69967" ht="15.75" customHeight="1">
      <c r="A69967" s="7"/>
      <c r="B69967" s="7"/>
    </row>
    <row r="69968" ht="15.75" customHeight="1">
      <c r="A69968" s="7"/>
      <c r="B69968" s="7"/>
    </row>
    <row r="69969" ht="15.75" customHeight="1">
      <c r="A69969" s="7"/>
      <c r="B69969" s="7"/>
    </row>
    <row r="69970" ht="15.75" customHeight="1">
      <c r="A69970" s="7"/>
      <c r="B69970" s="7"/>
    </row>
    <row r="69971" ht="15.75" customHeight="1">
      <c r="A69971" s="7"/>
      <c r="B69971" s="7"/>
    </row>
    <row r="69972" ht="15.75" customHeight="1">
      <c r="A69972" s="7"/>
      <c r="B69972" s="7"/>
    </row>
    <row r="69973" ht="15.75" customHeight="1">
      <c r="A69973" s="7"/>
      <c r="B69973" s="7"/>
    </row>
    <row r="69974" ht="15.75" customHeight="1">
      <c r="A69974" s="7"/>
      <c r="B69974" s="7"/>
    </row>
    <row r="69975" ht="15.75" customHeight="1">
      <c r="A69975" s="7"/>
      <c r="B69975" s="7"/>
    </row>
    <row r="69976" ht="15.75" customHeight="1">
      <c r="A69976" s="7"/>
      <c r="B69976" s="7"/>
    </row>
    <row r="69977" ht="15.75" customHeight="1">
      <c r="A69977" s="7"/>
      <c r="B69977" s="7"/>
    </row>
    <row r="69978" ht="15.75" customHeight="1">
      <c r="A69978" s="7"/>
      <c r="B69978" s="7"/>
    </row>
    <row r="69979" ht="15.75" customHeight="1">
      <c r="A69979" s="7"/>
      <c r="B69979" s="7"/>
    </row>
    <row r="69980" ht="15.75" customHeight="1">
      <c r="A69980" s="7"/>
      <c r="B69980" s="7"/>
    </row>
    <row r="69981" ht="15.75" customHeight="1">
      <c r="A69981" s="7"/>
      <c r="B69981" s="7"/>
    </row>
    <row r="69982" ht="15.75" customHeight="1">
      <c r="A69982" s="7"/>
      <c r="B69982" s="7"/>
    </row>
    <row r="69983" ht="15.75" customHeight="1">
      <c r="A69983" s="7"/>
      <c r="B69983" s="7"/>
    </row>
    <row r="69984" ht="15.75" customHeight="1">
      <c r="A69984" s="7"/>
      <c r="B69984" s="7"/>
    </row>
    <row r="69985" ht="15.75" customHeight="1">
      <c r="A69985" s="7"/>
      <c r="B69985" s="7"/>
    </row>
    <row r="69986" ht="15.75" customHeight="1">
      <c r="A69986" s="7"/>
      <c r="B69986" s="7"/>
    </row>
    <row r="69987" ht="15.75" customHeight="1">
      <c r="A69987" s="7"/>
      <c r="B69987" s="7"/>
    </row>
    <row r="69988" ht="15.75" customHeight="1">
      <c r="A69988" s="7"/>
      <c r="B69988" s="7"/>
    </row>
    <row r="69989" ht="15.75" customHeight="1">
      <c r="A69989" s="7"/>
      <c r="B69989" s="7"/>
    </row>
    <row r="69990" ht="15.75" customHeight="1">
      <c r="A69990" s="7"/>
      <c r="B69990" s="7"/>
    </row>
    <row r="69991" ht="15.75" customHeight="1">
      <c r="A69991" s="7"/>
      <c r="B69991" s="7"/>
    </row>
    <row r="69992" ht="15.75" customHeight="1">
      <c r="A69992" s="7"/>
      <c r="B69992" s="7"/>
    </row>
    <row r="69993" ht="15.75" customHeight="1">
      <c r="A69993" s="7"/>
      <c r="B69993" s="7"/>
    </row>
    <row r="69994" ht="15.75" customHeight="1">
      <c r="A69994" s="7"/>
      <c r="B69994" s="7"/>
    </row>
    <row r="69995" ht="15.75" customHeight="1">
      <c r="A69995" s="7"/>
      <c r="B69995" s="7"/>
    </row>
    <row r="69996" ht="15.75" customHeight="1">
      <c r="A69996" s="7"/>
      <c r="B69996" s="7"/>
    </row>
    <row r="69997" ht="15.75" customHeight="1">
      <c r="A69997" s="7"/>
      <c r="B69997" s="7"/>
    </row>
    <row r="69998" ht="15.75" customHeight="1">
      <c r="A69998" s="7"/>
      <c r="B69998" s="7"/>
    </row>
    <row r="69999" ht="15.75" customHeight="1">
      <c r="A69999" s="7"/>
      <c r="B69999" s="7"/>
    </row>
    <row r="70000" ht="15.75" customHeight="1">
      <c r="A70000" s="7"/>
      <c r="B70000" s="7"/>
    </row>
    <row r="70001" ht="15.75" customHeight="1">
      <c r="A70001" s="7"/>
      <c r="B70001" s="7"/>
    </row>
    <row r="70002" ht="15.75" customHeight="1">
      <c r="A70002" s="7"/>
      <c r="B70002" s="7"/>
    </row>
    <row r="70003" ht="15.75" customHeight="1">
      <c r="A70003" s="7"/>
      <c r="B70003" s="7"/>
    </row>
    <row r="70004" ht="15.75" customHeight="1">
      <c r="A70004" s="7"/>
      <c r="B70004" s="7"/>
    </row>
    <row r="70005" ht="15.75" customHeight="1">
      <c r="A70005" s="7"/>
      <c r="B70005" s="7"/>
    </row>
    <row r="70006" ht="15.75" customHeight="1">
      <c r="A70006" s="7"/>
      <c r="B70006" s="7"/>
    </row>
    <row r="70007" ht="15.75" customHeight="1">
      <c r="A70007" s="7"/>
      <c r="B70007" s="7"/>
    </row>
    <row r="70008" ht="15.75" customHeight="1">
      <c r="A70008" s="7"/>
      <c r="B70008" s="7"/>
    </row>
    <row r="70009" ht="15.75" customHeight="1">
      <c r="A70009" s="7"/>
      <c r="B70009" s="7"/>
    </row>
    <row r="70010" ht="15.75" customHeight="1">
      <c r="A70010" s="7"/>
      <c r="B70010" s="7"/>
    </row>
    <row r="70011" ht="15.75" customHeight="1">
      <c r="A70011" s="7"/>
      <c r="B70011" s="7"/>
    </row>
    <row r="70012" ht="15.75" customHeight="1">
      <c r="A70012" s="7"/>
      <c r="B70012" s="7"/>
    </row>
    <row r="70013" ht="15.75" customHeight="1">
      <c r="A70013" s="7"/>
      <c r="B70013" s="7"/>
    </row>
    <row r="70014" ht="15.75" customHeight="1">
      <c r="A70014" s="7"/>
      <c r="B70014" s="7"/>
    </row>
    <row r="70015" ht="15.75" customHeight="1">
      <c r="A70015" s="7"/>
      <c r="B70015" s="7"/>
    </row>
    <row r="70016" ht="15.75" customHeight="1">
      <c r="A70016" s="7"/>
      <c r="B70016" s="7"/>
    </row>
    <row r="70017" ht="15.75" customHeight="1">
      <c r="A70017" s="7"/>
      <c r="B70017" s="7"/>
    </row>
    <row r="70018" ht="15.75" customHeight="1">
      <c r="A70018" s="7"/>
      <c r="B70018" s="7"/>
    </row>
    <row r="70019" ht="15.75" customHeight="1">
      <c r="A70019" s="7"/>
      <c r="B70019" s="7"/>
    </row>
    <row r="70020" ht="15.75" customHeight="1">
      <c r="A70020" s="7"/>
      <c r="B70020" s="7"/>
    </row>
    <row r="70021" ht="15.75" customHeight="1">
      <c r="A70021" s="7"/>
      <c r="B70021" s="7"/>
    </row>
    <row r="70022" ht="15.75" customHeight="1">
      <c r="A70022" s="7"/>
      <c r="B70022" s="7"/>
    </row>
    <row r="70023" ht="15.75" customHeight="1">
      <c r="A70023" s="7"/>
      <c r="B70023" s="7"/>
    </row>
    <row r="70024" ht="15.75" customHeight="1">
      <c r="A70024" s="7"/>
      <c r="B70024" s="7"/>
    </row>
    <row r="70025" ht="15.75" customHeight="1">
      <c r="A70025" s="7"/>
      <c r="B70025" s="7"/>
    </row>
    <row r="70026" ht="15.75" customHeight="1">
      <c r="A70026" s="7"/>
      <c r="B70026" s="7"/>
    </row>
    <row r="70027" ht="15.75" customHeight="1">
      <c r="A70027" s="7"/>
      <c r="B70027" s="7"/>
    </row>
    <row r="70028" ht="15.75" customHeight="1">
      <c r="A70028" s="7"/>
      <c r="B70028" s="7"/>
    </row>
    <row r="70029" ht="15.75" customHeight="1">
      <c r="A70029" s="7"/>
      <c r="B70029" s="7"/>
    </row>
    <row r="70030" ht="15.75" customHeight="1">
      <c r="A70030" s="7"/>
      <c r="B70030" s="7"/>
    </row>
    <row r="70031" ht="15.75" customHeight="1">
      <c r="A70031" s="7"/>
      <c r="B70031" s="7"/>
    </row>
    <row r="70032" ht="15.75" customHeight="1">
      <c r="A70032" s="7"/>
      <c r="B70032" s="7"/>
    </row>
    <row r="70033" ht="15.75" customHeight="1">
      <c r="A70033" s="7"/>
      <c r="B70033" s="7"/>
    </row>
    <row r="70034" ht="15.75" customHeight="1">
      <c r="A70034" s="7"/>
      <c r="B70034" s="7"/>
    </row>
    <row r="70035" ht="15.75" customHeight="1">
      <c r="A70035" s="7"/>
      <c r="B70035" s="7"/>
    </row>
    <row r="70036" ht="15.75" customHeight="1">
      <c r="A70036" s="7"/>
      <c r="B70036" s="7"/>
    </row>
    <row r="70037" ht="15.75" customHeight="1">
      <c r="A70037" s="7"/>
      <c r="B70037" s="7"/>
    </row>
    <row r="70038" ht="15.75" customHeight="1">
      <c r="A70038" s="7"/>
      <c r="B70038" s="7"/>
    </row>
    <row r="70039" ht="15.75" customHeight="1">
      <c r="A70039" s="7"/>
      <c r="B70039" s="7"/>
    </row>
    <row r="70040" ht="15.75" customHeight="1">
      <c r="A70040" s="7"/>
      <c r="B70040" s="7"/>
    </row>
    <row r="70041" ht="15.75" customHeight="1">
      <c r="A70041" s="7"/>
      <c r="B70041" s="7"/>
    </row>
    <row r="70042" ht="15.75" customHeight="1">
      <c r="A70042" s="7"/>
      <c r="B70042" s="7"/>
    </row>
    <row r="70043" ht="15.75" customHeight="1">
      <c r="A70043" s="7"/>
      <c r="B70043" s="7"/>
    </row>
    <row r="70044" ht="15.75" customHeight="1">
      <c r="A70044" s="7"/>
      <c r="B70044" s="7"/>
    </row>
    <row r="70045" ht="15.75" customHeight="1">
      <c r="A70045" s="7"/>
      <c r="B70045" s="7"/>
    </row>
    <row r="70046" ht="15.75" customHeight="1">
      <c r="A70046" s="7"/>
      <c r="B70046" s="7"/>
    </row>
    <row r="70047" ht="15.75" customHeight="1">
      <c r="A70047" s="7"/>
      <c r="B70047" s="7"/>
    </row>
    <row r="70048" ht="15.75" customHeight="1">
      <c r="A70048" s="7"/>
      <c r="B70048" s="7"/>
    </row>
    <row r="70049" ht="15.75" customHeight="1">
      <c r="A70049" s="7"/>
      <c r="B70049" s="7"/>
    </row>
    <row r="70050" ht="15.75" customHeight="1">
      <c r="A70050" s="7"/>
      <c r="B70050" s="7"/>
    </row>
    <row r="70051" ht="15.75" customHeight="1">
      <c r="A70051" s="7"/>
      <c r="B70051" s="7"/>
    </row>
    <row r="70052" ht="15.75" customHeight="1">
      <c r="A70052" s="7"/>
      <c r="B70052" s="7"/>
    </row>
    <row r="70053" ht="15.75" customHeight="1">
      <c r="A70053" s="7"/>
      <c r="B70053" s="7"/>
    </row>
    <row r="70054" ht="15.75" customHeight="1">
      <c r="A70054" s="7"/>
      <c r="B70054" s="7"/>
    </row>
    <row r="70055" ht="15.75" customHeight="1">
      <c r="A70055" s="7"/>
      <c r="B70055" s="7"/>
    </row>
    <row r="70056" ht="15.75" customHeight="1">
      <c r="A70056" s="7"/>
      <c r="B70056" s="7"/>
    </row>
    <row r="70057" ht="15.75" customHeight="1">
      <c r="A70057" s="7"/>
      <c r="B70057" s="7"/>
    </row>
    <row r="70058" ht="15.75" customHeight="1">
      <c r="A70058" s="7"/>
      <c r="B70058" s="7"/>
    </row>
    <row r="70059" ht="15.75" customHeight="1">
      <c r="A70059" s="7"/>
      <c r="B70059" s="7"/>
    </row>
    <row r="70060" ht="15.75" customHeight="1">
      <c r="A70060" s="7"/>
      <c r="B70060" s="7"/>
    </row>
    <row r="70061" ht="15.75" customHeight="1">
      <c r="A70061" s="7"/>
      <c r="B70061" s="7"/>
    </row>
    <row r="70062" ht="15.75" customHeight="1">
      <c r="A70062" s="7"/>
      <c r="B70062" s="7"/>
    </row>
    <row r="70063" ht="15.75" customHeight="1">
      <c r="A70063" s="7"/>
      <c r="B70063" s="7"/>
    </row>
    <row r="70064" ht="15.75" customHeight="1">
      <c r="A70064" s="7"/>
      <c r="B70064" s="7"/>
    </row>
    <row r="70065" ht="15.75" customHeight="1">
      <c r="A70065" s="7"/>
      <c r="B70065" s="7"/>
    </row>
    <row r="70066" ht="15.75" customHeight="1">
      <c r="A70066" s="7"/>
      <c r="B70066" s="7"/>
    </row>
    <row r="70067" ht="15.75" customHeight="1">
      <c r="A70067" s="7"/>
      <c r="B70067" s="7"/>
    </row>
    <row r="70068" ht="15.75" customHeight="1">
      <c r="A70068" s="7"/>
      <c r="B70068" s="7"/>
    </row>
    <row r="70069" ht="15.75" customHeight="1">
      <c r="A70069" s="7"/>
      <c r="B70069" s="7"/>
    </row>
    <row r="70070" ht="15.75" customHeight="1">
      <c r="A70070" s="7"/>
      <c r="B70070" s="7"/>
    </row>
    <row r="70071" ht="15.75" customHeight="1">
      <c r="A70071" s="7"/>
      <c r="B70071" s="7"/>
    </row>
    <row r="70072" ht="15.75" customHeight="1">
      <c r="A70072" s="7"/>
      <c r="B70072" s="7"/>
    </row>
    <row r="70073" ht="15.75" customHeight="1">
      <c r="A70073" s="7"/>
      <c r="B70073" s="7"/>
    </row>
    <row r="70074" ht="15.75" customHeight="1">
      <c r="A70074" s="7"/>
      <c r="B70074" s="7"/>
    </row>
    <row r="70075" ht="15.75" customHeight="1">
      <c r="A70075" s="7"/>
      <c r="B70075" s="7"/>
    </row>
    <row r="70076" ht="15.75" customHeight="1">
      <c r="A70076" s="7"/>
      <c r="B70076" s="7"/>
    </row>
    <row r="70077" ht="15.75" customHeight="1">
      <c r="A70077" s="7"/>
      <c r="B70077" s="7"/>
    </row>
    <row r="70078" ht="15.75" customHeight="1">
      <c r="A70078" s="7"/>
      <c r="B70078" s="7"/>
    </row>
    <row r="70079" ht="15.75" customHeight="1">
      <c r="A70079" s="7"/>
      <c r="B70079" s="7"/>
    </row>
    <row r="70080" ht="15.75" customHeight="1">
      <c r="A70080" s="7"/>
      <c r="B70080" s="7"/>
    </row>
    <row r="70081" ht="15.75" customHeight="1">
      <c r="A70081" s="7"/>
      <c r="B70081" s="7"/>
    </row>
    <row r="70082" ht="15.75" customHeight="1">
      <c r="A70082" s="7"/>
      <c r="B70082" s="7"/>
    </row>
    <row r="70083" ht="15.75" customHeight="1">
      <c r="A70083" s="7"/>
      <c r="B70083" s="7"/>
    </row>
    <row r="70084" ht="15.75" customHeight="1">
      <c r="A70084" s="7"/>
      <c r="B70084" s="7"/>
    </row>
    <row r="70085" ht="15.75" customHeight="1">
      <c r="A70085" s="7"/>
      <c r="B70085" s="7"/>
    </row>
    <row r="70086" ht="15.75" customHeight="1">
      <c r="A70086" s="7"/>
      <c r="B70086" s="7"/>
    </row>
    <row r="70087" ht="15.75" customHeight="1">
      <c r="A70087" s="7"/>
      <c r="B70087" s="7"/>
    </row>
    <row r="70088" ht="15.75" customHeight="1">
      <c r="A70088" s="7"/>
      <c r="B70088" s="7"/>
    </row>
    <row r="70089" ht="15.75" customHeight="1">
      <c r="A70089" s="7"/>
      <c r="B70089" s="7"/>
    </row>
    <row r="70090" ht="15.75" customHeight="1">
      <c r="A70090" s="7"/>
      <c r="B70090" s="7"/>
    </row>
    <row r="70091" ht="15.75" customHeight="1">
      <c r="A70091" s="7"/>
      <c r="B70091" s="7"/>
    </row>
    <row r="70092" ht="15.75" customHeight="1">
      <c r="A70092" s="7"/>
      <c r="B70092" s="7"/>
    </row>
    <row r="70093" ht="15.75" customHeight="1">
      <c r="A70093" s="7"/>
      <c r="B70093" s="7"/>
    </row>
    <row r="70094" ht="15.75" customHeight="1">
      <c r="A70094" s="7"/>
      <c r="B70094" s="7"/>
    </row>
    <row r="70095" ht="15.75" customHeight="1">
      <c r="A70095" s="7"/>
      <c r="B70095" s="7"/>
    </row>
    <row r="70096" ht="15.75" customHeight="1">
      <c r="A70096" s="7"/>
      <c r="B70096" s="7"/>
    </row>
    <row r="70097" ht="15.75" customHeight="1">
      <c r="A70097" s="7"/>
      <c r="B70097" s="7"/>
    </row>
    <row r="70098" ht="15.75" customHeight="1">
      <c r="A70098" s="7"/>
      <c r="B70098" s="7"/>
    </row>
    <row r="70099" ht="15.75" customHeight="1">
      <c r="A70099" s="7"/>
      <c r="B70099" s="7"/>
    </row>
    <row r="70100" ht="15.75" customHeight="1">
      <c r="A70100" s="7"/>
      <c r="B70100" s="7"/>
    </row>
    <row r="70101" ht="15.75" customHeight="1">
      <c r="A70101" s="7"/>
      <c r="B70101" s="7"/>
    </row>
    <row r="70102" ht="15.75" customHeight="1">
      <c r="A70102" s="7"/>
      <c r="B70102" s="7"/>
    </row>
    <row r="70103" ht="15.75" customHeight="1">
      <c r="A70103" s="7"/>
      <c r="B70103" s="7"/>
    </row>
    <row r="70104" ht="15.75" customHeight="1">
      <c r="A70104" s="7"/>
      <c r="B70104" s="7"/>
    </row>
    <row r="70105" ht="15.75" customHeight="1">
      <c r="A70105" s="7"/>
      <c r="B70105" s="7"/>
    </row>
    <row r="70106" ht="15.75" customHeight="1">
      <c r="A70106" s="7"/>
      <c r="B70106" s="7"/>
    </row>
    <row r="70107" ht="15.75" customHeight="1">
      <c r="A70107" s="7"/>
      <c r="B70107" s="7"/>
    </row>
    <row r="70108" ht="15.75" customHeight="1">
      <c r="A70108" s="7"/>
      <c r="B70108" s="7"/>
    </row>
    <row r="70109" ht="15.75" customHeight="1">
      <c r="A70109" s="7"/>
      <c r="B70109" s="7"/>
    </row>
    <row r="70110" ht="15.75" customHeight="1">
      <c r="A70110" s="7"/>
      <c r="B70110" s="7"/>
    </row>
    <row r="70111" ht="15.75" customHeight="1">
      <c r="A70111" s="7"/>
      <c r="B70111" s="7"/>
    </row>
    <row r="70112" ht="15.75" customHeight="1">
      <c r="A70112" s="7"/>
      <c r="B70112" s="7"/>
    </row>
    <row r="70113" ht="15.75" customHeight="1">
      <c r="A70113" s="7"/>
      <c r="B70113" s="7"/>
    </row>
    <row r="70114" ht="15.75" customHeight="1">
      <c r="A70114" s="7"/>
      <c r="B70114" s="7"/>
    </row>
    <row r="70115" ht="15.75" customHeight="1">
      <c r="A70115" s="7"/>
      <c r="B70115" s="7"/>
    </row>
    <row r="70116" ht="15.75" customHeight="1">
      <c r="A70116" s="7"/>
      <c r="B70116" s="7"/>
    </row>
    <row r="70117" ht="15.75" customHeight="1">
      <c r="A70117" s="7"/>
      <c r="B70117" s="7"/>
    </row>
    <row r="70118" ht="15.75" customHeight="1">
      <c r="A70118" s="7"/>
      <c r="B70118" s="7"/>
    </row>
    <row r="70119" ht="15.75" customHeight="1">
      <c r="A70119" s="7"/>
      <c r="B70119" s="7"/>
    </row>
    <row r="70120" ht="15.75" customHeight="1">
      <c r="A70120" s="7"/>
      <c r="B70120" s="7"/>
    </row>
    <row r="70121" ht="15.75" customHeight="1">
      <c r="A70121" s="7"/>
      <c r="B70121" s="7"/>
    </row>
    <row r="70122" ht="15.75" customHeight="1">
      <c r="A70122" s="7"/>
      <c r="B70122" s="7"/>
    </row>
    <row r="70123" ht="15.75" customHeight="1">
      <c r="A70123" s="7"/>
      <c r="B70123" s="7"/>
    </row>
    <row r="70124" ht="15.75" customHeight="1">
      <c r="A70124" s="7"/>
      <c r="B70124" s="7"/>
    </row>
    <row r="70125" ht="15.75" customHeight="1">
      <c r="A70125" s="7"/>
      <c r="B70125" s="7"/>
    </row>
    <row r="70126" ht="15.75" customHeight="1">
      <c r="A70126" s="7"/>
      <c r="B70126" s="7"/>
    </row>
    <row r="70127" ht="15.75" customHeight="1">
      <c r="A70127" s="7"/>
      <c r="B70127" s="7"/>
    </row>
    <row r="70128" ht="15.75" customHeight="1">
      <c r="A70128" s="7"/>
      <c r="B70128" s="7"/>
    </row>
    <row r="70129" ht="15.75" customHeight="1">
      <c r="A70129" s="7"/>
      <c r="B70129" s="7"/>
    </row>
    <row r="70130" ht="15.75" customHeight="1">
      <c r="A70130" s="7"/>
      <c r="B70130" s="7"/>
    </row>
    <row r="70131" ht="15.75" customHeight="1">
      <c r="A70131" s="7"/>
      <c r="B70131" s="7"/>
    </row>
    <row r="70132" ht="15.75" customHeight="1">
      <c r="A70132" s="7"/>
      <c r="B70132" s="7"/>
    </row>
    <row r="70133" ht="15.75" customHeight="1">
      <c r="A70133" s="7"/>
      <c r="B70133" s="7"/>
    </row>
    <row r="70134" ht="15.75" customHeight="1">
      <c r="A70134" s="7"/>
      <c r="B70134" s="7"/>
    </row>
    <row r="70135" ht="15.75" customHeight="1">
      <c r="A70135" s="7"/>
      <c r="B70135" s="7"/>
    </row>
    <row r="70136" ht="15.75" customHeight="1">
      <c r="A70136" s="7"/>
      <c r="B70136" s="7"/>
    </row>
    <row r="70137" ht="15.75" customHeight="1">
      <c r="A70137" s="7"/>
      <c r="B70137" s="7"/>
    </row>
    <row r="70138" ht="15.75" customHeight="1">
      <c r="A70138" s="7"/>
      <c r="B70138" s="7"/>
    </row>
    <row r="70139" ht="15.75" customHeight="1">
      <c r="A70139" s="7"/>
      <c r="B70139" s="7"/>
    </row>
    <row r="70140" ht="15.75" customHeight="1">
      <c r="A70140" s="7"/>
      <c r="B70140" s="7"/>
    </row>
    <row r="70141" ht="15.75" customHeight="1">
      <c r="A70141" s="7"/>
      <c r="B70141" s="7"/>
    </row>
    <row r="70142" ht="15.75" customHeight="1">
      <c r="A70142" s="7"/>
      <c r="B70142" s="7"/>
    </row>
    <row r="70143" ht="15.75" customHeight="1">
      <c r="A70143" s="7"/>
      <c r="B70143" s="7"/>
    </row>
    <row r="70144" ht="15.75" customHeight="1">
      <c r="A70144" s="7"/>
      <c r="B70144" s="7"/>
    </row>
    <row r="70145" ht="15.75" customHeight="1">
      <c r="A70145" s="7"/>
      <c r="B70145" s="7"/>
    </row>
    <row r="70146" ht="15.75" customHeight="1">
      <c r="A70146" s="7"/>
      <c r="B70146" s="7"/>
    </row>
    <row r="70147" ht="15.75" customHeight="1">
      <c r="A70147" s="7"/>
      <c r="B70147" s="7"/>
    </row>
    <row r="70148" ht="15.75" customHeight="1">
      <c r="A70148" s="7"/>
      <c r="B70148" s="7"/>
    </row>
    <row r="70149" ht="15.75" customHeight="1">
      <c r="A70149" s="7"/>
      <c r="B70149" s="7"/>
    </row>
    <row r="70150" ht="15.75" customHeight="1">
      <c r="A70150" s="7"/>
      <c r="B70150" s="7"/>
    </row>
    <row r="70151" ht="15.75" customHeight="1">
      <c r="A70151" s="7"/>
      <c r="B70151" s="7"/>
    </row>
    <row r="70152" ht="15.75" customHeight="1">
      <c r="A70152" s="7"/>
      <c r="B70152" s="7"/>
    </row>
    <row r="70153" ht="15.75" customHeight="1">
      <c r="A70153" s="7"/>
      <c r="B70153" s="7"/>
    </row>
    <row r="70154" ht="15.75" customHeight="1">
      <c r="A70154" s="7"/>
      <c r="B70154" s="7"/>
    </row>
    <row r="70155" ht="15.75" customHeight="1">
      <c r="A70155" s="7"/>
      <c r="B70155" s="7"/>
    </row>
    <row r="70156" ht="15.75" customHeight="1">
      <c r="A70156" s="7"/>
      <c r="B70156" s="7"/>
    </row>
    <row r="70157" ht="15.75" customHeight="1">
      <c r="A70157" s="7"/>
      <c r="B70157" s="7"/>
    </row>
    <row r="70158" ht="15.75" customHeight="1">
      <c r="A70158" s="7"/>
      <c r="B70158" s="7"/>
    </row>
    <row r="70159" ht="15.75" customHeight="1">
      <c r="A70159" s="7"/>
      <c r="B70159" s="7"/>
    </row>
    <row r="70160" ht="15.75" customHeight="1">
      <c r="A70160" s="7"/>
      <c r="B70160" s="7"/>
    </row>
    <row r="70161" ht="15.75" customHeight="1">
      <c r="A70161" s="7"/>
      <c r="B70161" s="7"/>
    </row>
    <row r="70162" ht="15.75" customHeight="1">
      <c r="A70162" s="7"/>
      <c r="B70162" s="7"/>
    </row>
    <row r="70163" ht="15.75" customHeight="1">
      <c r="A70163" s="7"/>
      <c r="B70163" s="7"/>
    </row>
    <row r="70164" ht="15.75" customHeight="1">
      <c r="A70164" s="7"/>
      <c r="B70164" s="7"/>
    </row>
    <row r="70165" ht="15.75" customHeight="1">
      <c r="A70165" s="7"/>
      <c r="B70165" s="7"/>
    </row>
    <row r="70166" ht="15.75" customHeight="1">
      <c r="A70166" s="7"/>
      <c r="B70166" s="7"/>
    </row>
    <row r="70167" ht="15.75" customHeight="1">
      <c r="A70167" s="7"/>
      <c r="B70167" s="7"/>
    </row>
    <row r="70168" ht="15.75" customHeight="1">
      <c r="A70168" s="7"/>
      <c r="B70168" s="7"/>
    </row>
    <row r="70169" ht="15.75" customHeight="1">
      <c r="A70169" s="7"/>
      <c r="B70169" s="7"/>
    </row>
    <row r="70170" ht="15.75" customHeight="1">
      <c r="A70170" s="7"/>
      <c r="B70170" s="7"/>
    </row>
    <row r="70171" ht="15.75" customHeight="1">
      <c r="A70171" s="7"/>
      <c r="B70171" s="7"/>
    </row>
    <row r="70172" ht="15.75" customHeight="1">
      <c r="A70172" s="7"/>
      <c r="B70172" s="7"/>
    </row>
    <row r="70173" ht="15.75" customHeight="1">
      <c r="A70173" s="7"/>
      <c r="B70173" s="7"/>
    </row>
    <row r="70174" ht="15.75" customHeight="1">
      <c r="A70174" s="7"/>
      <c r="B70174" s="7"/>
    </row>
    <row r="70175" ht="15.75" customHeight="1">
      <c r="A70175" s="7"/>
      <c r="B70175" s="7"/>
    </row>
    <row r="70176" ht="15.75" customHeight="1">
      <c r="A70176" s="7"/>
      <c r="B70176" s="7"/>
    </row>
    <row r="70177" ht="15.75" customHeight="1">
      <c r="A70177" s="7"/>
      <c r="B70177" s="7"/>
    </row>
    <row r="70178" ht="15.75" customHeight="1">
      <c r="A70178" s="7"/>
      <c r="B70178" s="7"/>
    </row>
    <row r="70179" ht="15.75" customHeight="1">
      <c r="A70179" s="7"/>
      <c r="B70179" s="7"/>
    </row>
    <row r="70180" ht="15.75" customHeight="1">
      <c r="A70180" s="7"/>
      <c r="B70180" s="7"/>
    </row>
    <row r="70181" ht="15.75" customHeight="1">
      <c r="A70181" s="7"/>
      <c r="B70181" s="7"/>
    </row>
    <row r="70182" ht="15.75" customHeight="1">
      <c r="A70182" s="7"/>
      <c r="B70182" s="7"/>
    </row>
    <row r="70183" ht="15.75" customHeight="1">
      <c r="A70183" s="7"/>
      <c r="B70183" s="7"/>
    </row>
    <row r="70184" ht="15.75" customHeight="1">
      <c r="A70184" s="7"/>
      <c r="B70184" s="7"/>
    </row>
    <row r="70185" ht="15.75" customHeight="1">
      <c r="A70185" s="7"/>
      <c r="B70185" s="7"/>
    </row>
    <row r="70186" ht="15.75" customHeight="1">
      <c r="A70186" s="7"/>
      <c r="B70186" s="7"/>
    </row>
    <row r="70187" ht="15.75" customHeight="1">
      <c r="A70187" s="7"/>
      <c r="B70187" s="7"/>
    </row>
    <row r="70188" ht="15.75" customHeight="1">
      <c r="A70188" s="7"/>
      <c r="B70188" s="7"/>
    </row>
    <row r="70189" ht="15.75" customHeight="1">
      <c r="A70189" s="7"/>
      <c r="B70189" s="7"/>
    </row>
    <row r="70190" ht="15.75" customHeight="1">
      <c r="A70190" s="7"/>
      <c r="B70190" s="7"/>
    </row>
    <row r="70191" ht="15.75" customHeight="1">
      <c r="A70191" s="7"/>
      <c r="B70191" s="7"/>
    </row>
    <row r="70192" ht="15.75" customHeight="1">
      <c r="A70192" s="7"/>
      <c r="B70192" s="7"/>
    </row>
    <row r="70193" ht="15.75" customHeight="1">
      <c r="A70193" s="7"/>
      <c r="B70193" s="7"/>
    </row>
    <row r="70194" ht="15.75" customHeight="1">
      <c r="A70194" s="7"/>
      <c r="B70194" s="7"/>
    </row>
    <row r="70195" ht="15.75" customHeight="1">
      <c r="A70195" s="7"/>
      <c r="B70195" s="7"/>
    </row>
    <row r="70196" ht="15.75" customHeight="1">
      <c r="A70196" s="7"/>
      <c r="B70196" s="7"/>
    </row>
    <row r="70197" ht="15.75" customHeight="1">
      <c r="A70197" s="7"/>
      <c r="B70197" s="7"/>
    </row>
    <row r="70198" ht="15.75" customHeight="1">
      <c r="A70198" s="7"/>
      <c r="B70198" s="7"/>
    </row>
    <row r="70199" ht="15.75" customHeight="1">
      <c r="A70199" s="7"/>
      <c r="B70199" s="7"/>
    </row>
    <row r="70200" ht="15.75" customHeight="1">
      <c r="A70200" s="7"/>
      <c r="B70200" s="7"/>
    </row>
    <row r="70201" ht="15.75" customHeight="1">
      <c r="A70201" s="7"/>
      <c r="B70201" s="7"/>
    </row>
    <row r="70202" ht="15.75" customHeight="1">
      <c r="A70202" s="7"/>
      <c r="B70202" s="7"/>
    </row>
    <row r="70203" ht="15.75" customHeight="1">
      <c r="A70203" s="7"/>
      <c r="B70203" s="7"/>
    </row>
    <row r="70204" ht="15.75" customHeight="1">
      <c r="A70204" s="7"/>
      <c r="B70204" s="7"/>
    </row>
    <row r="70205" ht="15.75" customHeight="1">
      <c r="A70205" s="7"/>
      <c r="B70205" s="7"/>
    </row>
    <row r="70206" ht="15.75" customHeight="1">
      <c r="A70206" s="7"/>
      <c r="B70206" s="7"/>
    </row>
    <row r="70207" ht="15.75" customHeight="1">
      <c r="A70207" s="7"/>
      <c r="B70207" s="7"/>
    </row>
    <row r="70208" ht="15.75" customHeight="1">
      <c r="A70208" s="7"/>
      <c r="B70208" s="7"/>
    </row>
    <row r="70209" ht="15.75" customHeight="1">
      <c r="A70209" s="7"/>
      <c r="B70209" s="7"/>
    </row>
    <row r="70210" ht="15.75" customHeight="1">
      <c r="A70210" s="7"/>
      <c r="B70210" s="7"/>
    </row>
    <row r="70211" ht="15.75" customHeight="1">
      <c r="A70211" s="7"/>
      <c r="B70211" s="7"/>
    </row>
    <row r="70212" ht="15.75" customHeight="1">
      <c r="A70212" s="7"/>
      <c r="B70212" s="7"/>
    </row>
    <row r="70213" ht="15.75" customHeight="1">
      <c r="A70213" s="7"/>
      <c r="B70213" s="7"/>
    </row>
    <row r="70214" ht="15.75" customHeight="1">
      <c r="A70214" s="7"/>
      <c r="B70214" s="7"/>
    </row>
    <row r="70215" ht="15.75" customHeight="1">
      <c r="A70215" s="7"/>
      <c r="B70215" s="7"/>
    </row>
    <row r="70216" ht="15.75" customHeight="1">
      <c r="A70216" s="7"/>
      <c r="B70216" s="7"/>
    </row>
    <row r="70217" ht="15.75" customHeight="1">
      <c r="A70217" s="7"/>
      <c r="B70217" s="7"/>
    </row>
    <row r="70218" ht="15.75" customHeight="1">
      <c r="A70218" s="7"/>
      <c r="B70218" s="7"/>
    </row>
    <row r="70219" ht="15.75" customHeight="1">
      <c r="A70219" s="7"/>
      <c r="B70219" s="7"/>
    </row>
    <row r="70220" ht="15.75" customHeight="1">
      <c r="A70220" s="7"/>
      <c r="B70220" s="7"/>
    </row>
    <row r="70221" ht="15.75" customHeight="1">
      <c r="A70221" s="7"/>
      <c r="B70221" s="7"/>
    </row>
    <row r="70222" ht="15.75" customHeight="1">
      <c r="A70222" s="7"/>
      <c r="B70222" s="7"/>
    </row>
    <row r="70223" ht="15.75" customHeight="1">
      <c r="A70223" s="7"/>
      <c r="B70223" s="7"/>
    </row>
    <row r="70224" ht="15.75" customHeight="1">
      <c r="A70224" s="7"/>
      <c r="B70224" s="7"/>
    </row>
    <row r="70225" ht="15.75" customHeight="1">
      <c r="A70225" s="7"/>
      <c r="B70225" s="7"/>
    </row>
    <row r="70226" ht="15.75" customHeight="1">
      <c r="A70226" s="7"/>
      <c r="B70226" s="7"/>
    </row>
    <row r="70227" ht="15.75" customHeight="1">
      <c r="A70227" s="7"/>
      <c r="B70227" s="7"/>
    </row>
    <row r="70228" ht="15.75" customHeight="1">
      <c r="A70228" s="7"/>
      <c r="B70228" s="7"/>
    </row>
    <row r="70229" ht="15.75" customHeight="1">
      <c r="A70229" s="7"/>
      <c r="B70229" s="7"/>
    </row>
    <row r="70230" ht="15.75" customHeight="1">
      <c r="A70230" s="7"/>
      <c r="B70230" s="7"/>
    </row>
    <row r="70231" ht="15.75" customHeight="1">
      <c r="A70231" s="7"/>
      <c r="B70231" s="7"/>
    </row>
    <row r="70232" ht="15.75" customHeight="1">
      <c r="A70232" s="7"/>
      <c r="B70232" s="7"/>
    </row>
    <row r="70233" ht="15.75" customHeight="1">
      <c r="A70233" s="7"/>
      <c r="B70233" s="7"/>
    </row>
    <row r="70234" ht="15.75" customHeight="1">
      <c r="A70234" s="7"/>
      <c r="B70234" s="7"/>
    </row>
    <row r="70235" ht="15.75" customHeight="1">
      <c r="A70235" s="7"/>
      <c r="B70235" s="7"/>
    </row>
    <row r="70236" ht="15.75" customHeight="1">
      <c r="A70236" s="7"/>
      <c r="B70236" s="7"/>
    </row>
    <row r="70237" ht="15.75" customHeight="1">
      <c r="A70237" s="7"/>
      <c r="B70237" s="7"/>
    </row>
    <row r="70238" ht="15.75" customHeight="1">
      <c r="A70238" s="7"/>
      <c r="B70238" s="7"/>
    </row>
    <row r="70239" ht="15.75" customHeight="1">
      <c r="A70239" s="7"/>
      <c r="B70239" s="7"/>
    </row>
    <row r="70240" ht="15.75" customHeight="1">
      <c r="A70240" s="7"/>
      <c r="B70240" s="7"/>
    </row>
    <row r="70241" ht="15.75" customHeight="1">
      <c r="A70241" s="7"/>
      <c r="B70241" s="7"/>
    </row>
    <row r="70242" ht="15.75" customHeight="1">
      <c r="A70242" s="7"/>
      <c r="B70242" s="7"/>
    </row>
    <row r="70243" ht="15.75" customHeight="1">
      <c r="A70243" s="7"/>
      <c r="B70243" s="7"/>
    </row>
    <row r="70244" ht="15.75" customHeight="1">
      <c r="A70244" s="7"/>
      <c r="B70244" s="7"/>
    </row>
    <row r="70245" ht="15.75" customHeight="1">
      <c r="A70245" s="7"/>
      <c r="B70245" s="7"/>
    </row>
    <row r="70246" ht="15.75" customHeight="1">
      <c r="A70246" s="7"/>
      <c r="B70246" s="7"/>
    </row>
    <row r="70247" ht="15.75" customHeight="1">
      <c r="A70247" s="7"/>
      <c r="B70247" s="7"/>
    </row>
    <row r="70248" ht="15.75" customHeight="1">
      <c r="A70248" s="7"/>
      <c r="B70248" s="7"/>
    </row>
    <row r="70249" ht="15.75" customHeight="1">
      <c r="A70249" s="7"/>
      <c r="B70249" s="7"/>
    </row>
    <row r="70250" ht="15.75" customHeight="1">
      <c r="A70250" s="7"/>
      <c r="B70250" s="7"/>
    </row>
    <row r="70251" ht="15.75" customHeight="1">
      <c r="A70251" s="7"/>
      <c r="B70251" s="7"/>
    </row>
    <row r="70252" ht="15.75" customHeight="1">
      <c r="A70252" s="7"/>
      <c r="B70252" s="7"/>
    </row>
    <row r="70253" ht="15.75" customHeight="1">
      <c r="A70253" s="7"/>
      <c r="B70253" s="7"/>
    </row>
    <row r="70254" ht="15.75" customHeight="1">
      <c r="A70254" s="7"/>
      <c r="B70254" s="7"/>
    </row>
    <row r="70255" ht="15.75" customHeight="1">
      <c r="A70255" s="7"/>
      <c r="B70255" s="7"/>
    </row>
    <row r="70256" ht="15.75" customHeight="1">
      <c r="A70256" s="7"/>
      <c r="B70256" s="7"/>
    </row>
    <row r="70257" ht="15.75" customHeight="1">
      <c r="A70257" s="7"/>
      <c r="B70257" s="7"/>
    </row>
    <row r="70258" ht="15.75" customHeight="1">
      <c r="A70258" s="7"/>
      <c r="B70258" s="7"/>
    </row>
    <row r="70259" ht="15.75" customHeight="1">
      <c r="A70259" s="7"/>
      <c r="B70259" s="7"/>
    </row>
    <row r="70260" ht="15.75" customHeight="1">
      <c r="A70260" s="7"/>
      <c r="B70260" s="7"/>
    </row>
    <row r="70261" ht="15.75" customHeight="1">
      <c r="A70261" s="7"/>
      <c r="B70261" s="7"/>
    </row>
    <row r="70262" ht="15.75" customHeight="1">
      <c r="A70262" s="7"/>
      <c r="B70262" s="7"/>
    </row>
    <row r="70263" ht="15.75" customHeight="1">
      <c r="A70263" s="7"/>
      <c r="B70263" s="7"/>
    </row>
    <row r="70264" ht="15.75" customHeight="1">
      <c r="A70264" s="7"/>
      <c r="B70264" s="7"/>
    </row>
    <row r="70265" ht="15.75" customHeight="1">
      <c r="A70265" s="7"/>
      <c r="B70265" s="7"/>
    </row>
    <row r="70266" ht="15.75" customHeight="1">
      <c r="A70266" s="7"/>
      <c r="B70266" s="7"/>
    </row>
    <row r="70267" ht="15.75" customHeight="1">
      <c r="A70267" s="7"/>
      <c r="B70267" s="7"/>
    </row>
    <row r="70268" ht="15.75" customHeight="1">
      <c r="A70268" s="7"/>
      <c r="B70268" s="7"/>
    </row>
    <row r="70269" ht="15.75" customHeight="1">
      <c r="A70269" s="7"/>
      <c r="B70269" s="7"/>
    </row>
    <row r="70270" ht="15.75" customHeight="1">
      <c r="A70270" s="7"/>
      <c r="B70270" s="7"/>
    </row>
    <row r="70271" ht="15.75" customHeight="1">
      <c r="A70271" s="7"/>
      <c r="B70271" s="7"/>
    </row>
    <row r="70272" ht="15.75" customHeight="1">
      <c r="A70272" s="7"/>
      <c r="B70272" s="7"/>
    </row>
    <row r="70273" ht="15.75" customHeight="1">
      <c r="A70273" s="7"/>
      <c r="B70273" s="7"/>
    </row>
    <row r="70274" ht="15.75" customHeight="1">
      <c r="A70274" s="7"/>
      <c r="B70274" s="7"/>
    </row>
    <row r="70275" ht="15.75" customHeight="1">
      <c r="A70275" s="7"/>
      <c r="B70275" s="7"/>
    </row>
    <row r="70276" ht="15.75" customHeight="1">
      <c r="A70276" s="7"/>
      <c r="B70276" s="7"/>
    </row>
    <row r="70277" ht="15.75" customHeight="1">
      <c r="A70277" s="7"/>
      <c r="B70277" s="7"/>
    </row>
    <row r="70278" ht="15.75" customHeight="1">
      <c r="A70278" s="7"/>
      <c r="B70278" s="7"/>
    </row>
    <row r="70279" ht="15.75" customHeight="1">
      <c r="A70279" s="7"/>
      <c r="B70279" s="7"/>
    </row>
    <row r="70280" ht="15.75" customHeight="1">
      <c r="A70280" s="7"/>
      <c r="B70280" s="7"/>
    </row>
    <row r="70281" ht="15.75" customHeight="1">
      <c r="A70281" s="7"/>
      <c r="B70281" s="7"/>
    </row>
    <row r="70282" ht="15.75" customHeight="1">
      <c r="A70282" s="7"/>
      <c r="B70282" s="7"/>
    </row>
    <row r="70283" ht="15.75" customHeight="1">
      <c r="A70283" s="7"/>
      <c r="B70283" s="7"/>
    </row>
    <row r="70284" ht="15.75" customHeight="1">
      <c r="A70284" s="7"/>
      <c r="B70284" s="7"/>
    </row>
    <row r="70285" ht="15.75" customHeight="1">
      <c r="A70285" s="7"/>
      <c r="B70285" s="7"/>
    </row>
    <row r="70286" ht="15.75" customHeight="1">
      <c r="A70286" s="7"/>
      <c r="B70286" s="7"/>
    </row>
    <row r="70287" ht="15.75" customHeight="1">
      <c r="A70287" s="7"/>
      <c r="B70287" s="7"/>
    </row>
    <row r="70288" ht="15.75" customHeight="1">
      <c r="A70288" s="7"/>
      <c r="B70288" s="7"/>
    </row>
    <row r="70289" ht="15.75" customHeight="1">
      <c r="A70289" s="7"/>
      <c r="B70289" s="7"/>
    </row>
    <row r="70290" ht="15.75" customHeight="1">
      <c r="A70290" s="7"/>
      <c r="B70290" s="7"/>
    </row>
    <row r="70291" ht="15.75" customHeight="1">
      <c r="A70291" s="7"/>
      <c r="B70291" s="7"/>
    </row>
    <row r="70292" ht="15.75" customHeight="1">
      <c r="A70292" s="7"/>
      <c r="B70292" s="7"/>
    </row>
    <row r="70293" ht="15.75" customHeight="1">
      <c r="A70293" s="7"/>
      <c r="B70293" s="7"/>
    </row>
    <row r="70294" ht="15.75" customHeight="1">
      <c r="A70294" s="7"/>
      <c r="B70294" s="7"/>
    </row>
    <row r="70295" ht="15.75" customHeight="1">
      <c r="A70295" s="7"/>
      <c r="B70295" s="7"/>
    </row>
    <row r="70296" ht="15.75" customHeight="1">
      <c r="A70296" s="7"/>
      <c r="B70296" s="7"/>
    </row>
    <row r="70297" ht="15.75" customHeight="1">
      <c r="A70297" s="7"/>
      <c r="B70297" s="7"/>
    </row>
    <row r="70298" ht="15.75" customHeight="1">
      <c r="A70298" s="7"/>
      <c r="B70298" s="7"/>
    </row>
    <row r="70299" ht="15.75" customHeight="1">
      <c r="A70299" s="7"/>
      <c r="B70299" s="7"/>
    </row>
    <row r="70300" ht="15.75" customHeight="1">
      <c r="A70300" s="7"/>
      <c r="B70300" s="7"/>
    </row>
    <row r="70301" ht="15.75" customHeight="1">
      <c r="A70301" s="7"/>
      <c r="B70301" s="7"/>
    </row>
    <row r="70302" ht="15.75" customHeight="1">
      <c r="A70302" s="7"/>
      <c r="B70302" s="7"/>
    </row>
    <row r="70303" ht="15.75" customHeight="1">
      <c r="A70303" s="7"/>
      <c r="B70303" s="7"/>
    </row>
    <row r="70304" ht="15.75" customHeight="1">
      <c r="A70304" s="7"/>
      <c r="B70304" s="7"/>
    </row>
    <row r="70305" ht="15.75" customHeight="1">
      <c r="A70305" s="7"/>
      <c r="B70305" s="7"/>
    </row>
    <row r="70306" ht="15.75" customHeight="1">
      <c r="A70306" s="7"/>
      <c r="B70306" s="7"/>
    </row>
    <row r="70307" ht="15.75" customHeight="1">
      <c r="A70307" s="7"/>
      <c r="B70307" s="7"/>
    </row>
    <row r="70308" ht="15.75" customHeight="1">
      <c r="A70308" s="7"/>
      <c r="B70308" s="7"/>
    </row>
    <row r="70309" ht="15.75" customHeight="1">
      <c r="A70309" s="7"/>
      <c r="B70309" s="7"/>
    </row>
    <row r="70310" ht="15.75" customHeight="1">
      <c r="A70310" s="7"/>
      <c r="B70310" s="7"/>
    </row>
    <row r="70311" ht="15.75" customHeight="1">
      <c r="A70311" s="7"/>
      <c r="B70311" s="7"/>
    </row>
    <row r="70312" ht="15.75" customHeight="1">
      <c r="A70312" s="7"/>
      <c r="B70312" s="7"/>
    </row>
    <row r="70313" ht="15.75" customHeight="1">
      <c r="A70313" s="7"/>
      <c r="B70313" s="7"/>
    </row>
    <row r="70314" ht="15.75" customHeight="1">
      <c r="A70314" s="7"/>
      <c r="B70314" s="7"/>
    </row>
    <row r="70315" ht="15.75" customHeight="1">
      <c r="A70315" s="7"/>
      <c r="B70315" s="7"/>
    </row>
    <row r="70316" ht="15.75" customHeight="1">
      <c r="A70316" s="7"/>
      <c r="B70316" s="7"/>
    </row>
    <row r="70317" ht="15.75" customHeight="1">
      <c r="A70317" s="7"/>
      <c r="B70317" s="7"/>
    </row>
    <row r="70318" ht="15.75" customHeight="1">
      <c r="A70318" s="7"/>
      <c r="B70318" s="7"/>
    </row>
    <row r="70319" ht="15.75" customHeight="1">
      <c r="A70319" s="7"/>
      <c r="B70319" s="7"/>
    </row>
    <row r="70320" ht="15.75" customHeight="1">
      <c r="A70320" s="7"/>
      <c r="B70320" s="7"/>
    </row>
    <row r="70321" ht="15.75" customHeight="1">
      <c r="A70321" s="7"/>
      <c r="B70321" s="7"/>
    </row>
    <row r="70322" ht="15.75" customHeight="1">
      <c r="A70322" s="7"/>
      <c r="B70322" s="7"/>
    </row>
    <row r="70323" ht="15.75" customHeight="1">
      <c r="A70323" s="7"/>
      <c r="B70323" s="7"/>
    </row>
    <row r="70324" ht="15.75" customHeight="1">
      <c r="A70324" s="7"/>
      <c r="B70324" s="7"/>
    </row>
    <row r="70325" ht="15.75" customHeight="1">
      <c r="A70325" s="7"/>
      <c r="B70325" s="7"/>
    </row>
    <row r="70326" ht="15.75" customHeight="1">
      <c r="A70326" s="7"/>
      <c r="B70326" s="7"/>
    </row>
    <row r="70327" ht="15.75" customHeight="1">
      <c r="A70327" s="7"/>
      <c r="B70327" s="7"/>
    </row>
    <row r="70328" ht="15.75" customHeight="1">
      <c r="A70328" s="7"/>
      <c r="B70328" s="7"/>
    </row>
    <row r="70329" ht="15.75" customHeight="1">
      <c r="A70329" s="7"/>
      <c r="B70329" s="7"/>
    </row>
    <row r="70330" ht="15.75" customHeight="1">
      <c r="A70330" s="7"/>
      <c r="B70330" s="7"/>
    </row>
    <row r="70331" ht="15.75" customHeight="1">
      <c r="A70331" s="7"/>
      <c r="B70331" s="7"/>
    </row>
    <row r="70332" ht="15.75" customHeight="1">
      <c r="A70332" s="7"/>
      <c r="B70332" s="7"/>
    </row>
    <row r="70333" ht="15.75" customHeight="1">
      <c r="A70333" s="7"/>
      <c r="B70333" s="7"/>
    </row>
    <row r="70334" ht="15.75" customHeight="1">
      <c r="A70334" s="7"/>
      <c r="B70334" s="7"/>
    </row>
    <row r="70335" ht="15.75" customHeight="1">
      <c r="A70335" s="7"/>
      <c r="B70335" s="7"/>
    </row>
    <row r="70336" ht="15.75" customHeight="1">
      <c r="A70336" s="7"/>
      <c r="B70336" s="7"/>
    </row>
    <row r="70337" ht="15.75" customHeight="1">
      <c r="A70337" s="7"/>
      <c r="B70337" s="7"/>
    </row>
    <row r="70338" ht="15.75" customHeight="1">
      <c r="A70338" s="7"/>
      <c r="B70338" s="7"/>
    </row>
    <row r="70339" ht="15.75" customHeight="1">
      <c r="A70339" s="7"/>
      <c r="B70339" s="7"/>
    </row>
    <row r="70340" ht="15.75" customHeight="1">
      <c r="A70340" s="7"/>
      <c r="B70340" s="7"/>
    </row>
    <row r="70341" ht="15.75" customHeight="1">
      <c r="A70341" s="7"/>
      <c r="B70341" s="7"/>
    </row>
    <row r="70342" ht="15.75" customHeight="1">
      <c r="A70342" s="7"/>
      <c r="B70342" s="7"/>
    </row>
    <row r="70343" ht="15.75" customHeight="1">
      <c r="A70343" s="7"/>
      <c r="B70343" s="7"/>
    </row>
    <row r="70344" ht="15.75" customHeight="1">
      <c r="A70344" s="7"/>
      <c r="B70344" s="7"/>
    </row>
    <row r="70345" ht="15.75" customHeight="1">
      <c r="A70345" s="7"/>
      <c r="B70345" s="7"/>
    </row>
    <row r="70346" ht="15.75" customHeight="1">
      <c r="A70346" s="7"/>
      <c r="B70346" s="7"/>
    </row>
    <row r="70347" ht="15.75" customHeight="1">
      <c r="A70347" s="7"/>
      <c r="B70347" s="7"/>
    </row>
    <row r="70348" ht="15.75" customHeight="1">
      <c r="A70348" s="7"/>
      <c r="B70348" s="7"/>
    </row>
    <row r="70349" ht="15.75" customHeight="1">
      <c r="A70349" s="7"/>
      <c r="B70349" s="7"/>
    </row>
    <row r="70350" ht="15.75" customHeight="1">
      <c r="A70350" s="7"/>
      <c r="B70350" s="7"/>
    </row>
    <row r="70351" ht="15.75" customHeight="1">
      <c r="A70351" s="7"/>
      <c r="B70351" s="7"/>
    </row>
    <row r="70352" ht="15.75" customHeight="1">
      <c r="A70352" s="7"/>
      <c r="B70352" s="7"/>
    </row>
    <row r="70353" ht="15.75" customHeight="1">
      <c r="A70353" s="7"/>
      <c r="B70353" s="7"/>
    </row>
    <row r="70354" ht="15.75" customHeight="1">
      <c r="A70354" s="7"/>
      <c r="B70354" s="7"/>
    </row>
    <row r="70355" ht="15.75" customHeight="1">
      <c r="A70355" s="7"/>
      <c r="B70355" s="7"/>
    </row>
    <row r="70356" ht="15.75" customHeight="1">
      <c r="A70356" s="7"/>
      <c r="B70356" s="7"/>
    </row>
    <row r="70357" ht="15.75" customHeight="1">
      <c r="A70357" s="7"/>
      <c r="B70357" s="7"/>
    </row>
    <row r="70358" ht="15.75" customHeight="1">
      <c r="A70358" s="7"/>
      <c r="B70358" s="7"/>
    </row>
    <row r="70359" ht="15.75" customHeight="1">
      <c r="A70359" s="7"/>
      <c r="B70359" s="7"/>
    </row>
    <row r="70360" ht="15.75" customHeight="1">
      <c r="A70360" s="7"/>
      <c r="B70360" s="7"/>
    </row>
    <row r="70361" ht="15.75" customHeight="1">
      <c r="A70361" s="7"/>
      <c r="B70361" s="7"/>
    </row>
    <row r="70362" ht="15.75" customHeight="1">
      <c r="A70362" s="7"/>
      <c r="B70362" s="7"/>
    </row>
    <row r="70363" ht="15.75" customHeight="1">
      <c r="A70363" s="7"/>
      <c r="B70363" s="7"/>
    </row>
    <row r="70364" ht="15.75" customHeight="1">
      <c r="A70364" s="7"/>
      <c r="B70364" s="7"/>
    </row>
    <row r="70365" ht="15.75" customHeight="1">
      <c r="A70365" s="7"/>
      <c r="B70365" s="7"/>
    </row>
    <row r="70366" ht="15.75" customHeight="1">
      <c r="A70366" s="7"/>
      <c r="B70366" s="7"/>
    </row>
    <row r="70367" ht="15.75" customHeight="1">
      <c r="A70367" s="7"/>
      <c r="B70367" s="7"/>
    </row>
    <row r="70368" ht="15.75" customHeight="1">
      <c r="A70368" s="7"/>
      <c r="B70368" s="7"/>
    </row>
    <row r="70369" ht="15.75" customHeight="1">
      <c r="A70369" s="7"/>
      <c r="B70369" s="7"/>
    </row>
    <row r="70370" ht="15.75" customHeight="1">
      <c r="A70370" s="7"/>
      <c r="B70370" s="7"/>
    </row>
    <row r="70371" ht="15.75" customHeight="1">
      <c r="A70371" s="7"/>
      <c r="B70371" s="7"/>
    </row>
    <row r="70372" ht="15.75" customHeight="1">
      <c r="A70372" s="7"/>
      <c r="B70372" s="7"/>
    </row>
    <row r="70373" ht="15.75" customHeight="1">
      <c r="A70373" s="7"/>
      <c r="B70373" s="7"/>
    </row>
    <row r="70374" ht="15.75" customHeight="1">
      <c r="A70374" s="7"/>
      <c r="B70374" s="7"/>
    </row>
    <row r="70375" ht="15.75" customHeight="1">
      <c r="A70375" s="7"/>
      <c r="B70375" s="7"/>
    </row>
    <row r="70376" ht="15.75" customHeight="1">
      <c r="A70376" s="7"/>
      <c r="B70376" s="7"/>
    </row>
    <row r="70377" ht="15.75" customHeight="1">
      <c r="A70377" s="7"/>
      <c r="B70377" s="7"/>
    </row>
    <row r="70378" ht="15.75" customHeight="1">
      <c r="A70378" s="7"/>
      <c r="B70378" s="7"/>
    </row>
    <row r="70379" ht="15.75" customHeight="1">
      <c r="A70379" s="7"/>
      <c r="B70379" s="7"/>
    </row>
    <row r="70380" ht="15.75" customHeight="1">
      <c r="A70380" s="7"/>
      <c r="B70380" s="7"/>
    </row>
    <row r="70381" ht="15.75" customHeight="1">
      <c r="A70381" s="7"/>
      <c r="B70381" s="7"/>
    </row>
    <row r="70382" ht="15.75" customHeight="1">
      <c r="A70382" s="7"/>
      <c r="B70382" s="7"/>
    </row>
    <row r="70383" ht="15.75" customHeight="1">
      <c r="A70383" s="7"/>
      <c r="B70383" s="7"/>
    </row>
    <row r="70384" ht="15.75" customHeight="1">
      <c r="A70384" s="7"/>
      <c r="B70384" s="7"/>
    </row>
    <row r="70385" ht="15.75" customHeight="1">
      <c r="A70385" s="7"/>
      <c r="B70385" s="7"/>
    </row>
    <row r="70386" ht="15.75" customHeight="1">
      <c r="A70386" s="7"/>
      <c r="B70386" s="7"/>
    </row>
    <row r="70387" ht="15.75" customHeight="1">
      <c r="A70387" s="7"/>
      <c r="B70387" s="7"/>
    </row>
    <row r="70388" ht="15.75" customHeight="1">
      <c r="A70388" s="7"/>
      <c r="B70388" s="7"/>
    </row>
    <row r="70389" ht="15.75" customHeight="1">
      <c r="A70389" s="7"/>
      <c r="B70389" s="7"/>
    </row>
    <row r="70390" ht="15.75" customHeight="1">
      <c r="A70390" s="7"/>
      <c r="B70390" s="7"/>
    </row>
    <row r="70391" ht="15.75" customHeight="1">
      <c r="A70391" s="7"/>
      <c r="B70391" s="7"/>
    </row>
    <row r="70392" ht="15.75" customHeight="1">
      <c r="A70392" s="7"/>
      <c r="B70392" s="7"/>
    </row>
    <row r="70393" ht="15.75" customHeight="1">
      <c r="A70393" s="7"/>
      <c r="B70393" s="7"/>
    </row>
    <row r="70394" ht="15.75" customHeight="1">
      <c r="A70394" s="7"/>
      <c r="B70394" s="7"/>
    </row>
    <row r="70395" ht="15.75" customHeight="1">
      <c r="A70395" s="7"/>
      <c r="B70395" s="7"/>
    </row>
    <row r="70396" ht="15.75" customHeight="1">
      <c r="A70396" s="7"/>
      <c r="B70396" s="7"/>
    </row>
    <row r="70397" ht="15.75" customHeight="1">
      <c r="A70397" s="7"/>
      <c r="B70397" s="7"/>
    </row>
    <row r="70398" ht="15.75" customHeight="1">
      <c r="A70398" s="7"/>
      <c r="B70398" s="7"/>
    </row>
    <row r="70399" ht="15.75" customHeight="1">
      <c r="A70399" s="7"/>
      <c r="B70399" s="7"/>
    </row>
    <row r="70400" ht="15.75" customHeight="1">
      <c r="A70400" s="7"/>
      <c r="B70400" s="7"/>
    </row>
    <row r="70401" ht="15.75" customHeight="1">
      <c r="A70401" s="7"/>
      <c r="B70401" s="7"/>
    </row>
    <row r="70402" ht="15.75" customHeight="1">
      <c r="A70402" s="7"/>
      <c r="B70402" s="7"/>
    </row>
    <row r="70403" ht="15.75" customHeight="1">
      <c r="A70403" s="7"/>
      <c r="B70403" s="7"/>
    </row>
    <row r="70404" ht="15.75" customHeight="1">
      <c r="A70404" s="7"/>
      <c r="B70404" s="7"/>
    </row>
    <row r="70405" ht="15.75" customHeight="1">
      <c r="A70405" s="7"/>
      <c r="B70405" s="7"/>
    </row>
    <row r="70406" ht="15.75" customHeight="1">
      <c r="A70406" s="7"/>
      <c r="B70406" s="7"/>
    </row>
    <row r="70407" ht="15.75" customHeight="1">
      <c r="A70407" s="7"/>
      <c r="B70407" s="7"/>
    </row>
    <row r="70408" ht="15.75" customHeight="1">
      <c r="A70408" s="7"/>
      <c r="B70408" s="7"/>
    </row>
    <row r="70409" ht="15.75" customHeight="1">
      <c r="A70409" s="7"/>
      <c r="B70409" s="7"/>
    </row>
    <row r="70410" ht="15.75" customHeight="1">
      <c r="A70410" s="7"/>
      <c r="B70410" s="7"/>
    </row>
    <row r="70411" ht="15.75" customHeight="1">
      <c r="A70411" s="7"/>
      <c r="B70411" s="7"/>
    </row>
    <row r="70412" ht="15.75" customHeight="1">
      <c r="A70412" s="7"/>
      <c r="B70412" s="7"/>
    </row>
    <row r="70413" ht="15.75" customHeight="1">
      <c r="A70413" s="7"/>
      <c r="B70413" s="7"/>
    </row>
    <row r="70414" ht="15.75" customHeight="1">
      <c r="A70414" s="7"/>
      <c r="B70414" s="7"/>
    </row>
    <row r="70415" ht="15.75" customHeight="1">
      <c r="A70415" s="7"/>
      <c r="B70415" s="7"/>
    </row>
    <row r="70416" ht="15.75" customHeight="1">
      <c r="A70416" s="7"/>
      <c r="B70416" s="7"/>
    </row>
    <row r="70417" ht="15.75" customHeight="1">
      <c r="A70417" s="7"/>
      <c r="B70417" s="7"/>
    </row>
    <row r="70418" ht="15.75" customHeight="1">
      <c r="A70418" s="7"/>
      <c r="B70418" s="7"/>
    </row>
    <row r="70419" ht="15.75" customHeight="1">
      <c r="A70419" s="7"/>
      <c r="B70419" s="7"/>
    </row>
    <row r="70420" ht="15.75" customHeight="1">
      <c r="A70420" s="7"/>
      <c r="B70420" s="7"/>
    </row>
    <row r="70421" ht="15.75" customHeight="1">
      <c r="A70421" s="7"/>
      <c r="B70421" s="7"/>
    </row>
    <row r="70422" ht="15.75" customHeight="1">
      <c r="A70422" s="7"/>
      <c r="B70422" s="7"/>
    </row>
    <row r="70423" ht="15.75" customHeight="1">
      <c r="A70423" s="7"/>
      <c r="B70423" s="7"/>
    </row>
    <row r="70424" ht="15.75" customHeight="1">
      <c r="A70424" s="7"/>
      <c r="B70424" s="7"/>
    </row>
    <row r="70425" ht="15.75" customHeight="1">
      <c r="A70425" s="7"/>
      <c r="B70425" s="7"/>
    </row>
    <row r="70426" ht="15.75" customHeight="1">
      <c r="A70426" s="7"/>
      <c r="B70426" s="7"/>
    </row>
    <row r="70427" ht="15.75" customHeight="1">
      <c r="A70427" s="7"/>
      <c r="B70427" s="7"/>
    </row>
    <row r="70428" ht="15.75" customHeight="1">
      <c r="A70428" s="7"/>
      <c r="B70428" s="7"/>
    </row>
    <row r="70429" ht="15.75" customHeight="1">
      <c r="A70429" s="7"/>
      <c r="B70429" s="7"/>
    </row>
    <row r="70430" ht="15.75" customHeight="1">
      <c r="A70430" s="7"/>
      <c r="B70430" s="7"/>
    </row>
    <row r="70431" ht="15.75" customHeight="1">
      <c r="A70431" s="7"/>
      <c r="B70431" s="7"/>
    </row>
    <row r="70432" ht="15.75" customHeight="1">
      <c r="A70432" s="7"/>
      <c r="B70432" s="7"/>
    </row>
    <row r="70433" ht="15.75" customHeight="1">
      <c r="A70433" s="7"/>
      <c r="B70433" s="7"/>
    </row>
    <row r="70434" ht="15.75" customHeight="1">
      <c r="A70434" s="7"/>
      <c r="B70434" s="7"/>
    </row>
    <row r="70435" ht="15.75" customHeight="1">
      <c r="A70435" s="7"/>
      <c r="B70435" s="7"/>
    </row>
    <row r="70436" ht="15.75" customHeight="1">
      <c r="A70436" s="7"/>
      <c r="B70436" s="7"/>
    </row>
    <row r="70437" ht="15.75" customHeight="1">
      <c r="A70437" s="7"/>
      <c r="B70437" s="7"/>
    </row>
    <row r="70438" ht="15.75" customHeight="1">
      <c r="A70438" s="7"/>
      <c r="B70438" s="7"/>
    </row>
    <row r="70439" ht="15.75" customHeight="1">
      <c r="A70439" s="7"/>
      <c r="B70439" s="7"/>
    </row>
    <row r="70440" ht="15.75" customHeight="1">
      <c r="A70440" s="7"/>
      <c r="B70440" s="7"/>
    </row>
    <row r="70441" ht="15.75" customHeight="1">
      <c r="A70441" s="7"/>
      <c r="B70441" s="7"/>
    </row>
    <row r="70442" ht="15.75" customHeight="1">
      <c r="A70442" s="7"/>
      <c r="B70442" s="7"/>
    </row>
    <row r="70443" ht="15.75" customHeight="1">
      <c r="A70443" s="7"/>
      <c r="B70443" s="7"/>
    </row>
    <row r="70444" ht="15.75" customHeight="1">
      <c r="A70444" s="7"/>
      <c r="B70444" s="7"/>
    </row>
    <row r="70445" ht="15.75" customHeight="1">
      <c r="A70445" s="7"/>
      <c r="B70445" s="7"/>
    </row>
    <row r="70446" ht="15.75" customHeight="1">
      <c r="A70446" s="7"/>
      <c r="B70446" s="7"/>
    </row>
    <row r="70447" ht="15.75" customHeight="1">
      <c r="A70447" s="7"/>
      <c r="B70447" s="7"/>
    </row>
    <row r="70448" ht="15.75" customHeight="1">
      <c r="A70448" s="7"/>
      <c r="B70448" s="7"/>
    </row>
    <row r="70449" ht="15.75" customHeight="1">
      <c r="A70449" s="7"/>
      <c r="B70449" s="7"/>
    </row>
    <row r="70450" ht="15.75" customHeight="1">
      <c r="A70450" s="7"/>
      <c r="B70450" s="7"/>
    </row>
    <row r="70451" ht="15.75" customHeight="1">
      <c r="A70451" s="7"/>
      <c r="B70451" s="7"/>
    </row>
    <row r="70452" ht="15.75" customHeight="1">
      <c r="A70452" s="7"/>
      <c r="B70452" s="7"/>
    </row>
    <row r="70453" ht="15.75" customHeight="1">
      <c r="A70453" s="7"/>
      <c r="B70453" s="7"/>
    </row>
    <row r="70454" ht="15.75" customHeight="1">
      <c r="A70454" s="7"/>
      <c r="B70454" s="7"/>
    </row>
    <row r="70455" ht="15.75" customHeight="1">
      <c r="A70455" s="7"/>
      <c r="B70455" s="7"/>
    </row>
    <row r="70456" ht="15.75" customHeight="1">
      <c r="A70456" s="7"/>
      <c r="B70456" s="7"/>
    </row>
    <row r="70457" ht="15.75" customHeight="1">
      <c r="A70457" s="7"/>
      <c r="B70457" s="7"/>
    </row>
    <row r="70458" ht="15.75" customHeight="1">
      <c r="A70458" s="7"/>
      <c r="B70458" s="7"/>
    </row>
    <row r="70459" ht="15.75" customHeight="1">
      <c r="A70459" s="7"/>
      <c r="B70459" s="7"/>
    </row>
    <row r="70460" ht="15.75" customHeight="1">
      <c r="A70460" s="7"/>
      <c r="B70460" s="7"/>
    </row>
    <row r="70461" ht="15.75" customHeight="1">
      <c r="A70461" s="7"/>
      <c r="B70461" s="7"/>
    </row>
    <row r="70462" ht="15.75" customHeight="1">
      <c r="A70462" s="7"/>
      <c r="B70462" s="7"/>
    </row>
    <row r="70463" ht="15.75" customHeight="1">
      <c r="A70463" s="7"/>
      <c r="B70463" s="7"/>
    </row>
    <row r="70464" ht="15.75" customHeight="1">
      <c r="A70464" s="7"/>
      <c r="B70464" s="7"/>
    </row>
    <row r="70465" ht="15.75" customHeight="1">
      <c r="A70465" s="7"/>
      <c r="B70465" s="7"/>
    </row>
    <row r="70466" ht="15.75" customHeight="1">
      <c r="A70466" s="7"/>
      <c r="B70466" s="7"/>
    </row>
    <row r="70467" ht="15.75" customHeight="1">
      <c r="A70467" s="7"/>
      <c r="B70467" s="7"/>
    </row>
    <row r="70468" ht="15.75" customHeight="1">
      <c r="A70468" s="7"/>
      <c r="B70468" s="7"/>
    </row>
    <row r="70469" ht="15.75" customHeight="1">
      <c r="A70469" s="7"/>
      <c r="B70469" s="7"/>
    </row>
    <row r="70470" ht="15.75" customHeight="1">
      <c r="A70470" s="7"/>
      <c r="B70470" s="7"/>
    </row>
    <row r="70471" ht="15.75" customHeight="1">
      <c r="A70471" s="7"/>
      <c r="B70471" s="7"/>
    </row>
    <row r="70472" ht="15.75" customHeight="1">
      <c r="A70472" s="7"/>
      <c r="B70472" s="7"/>
    </row>
    <row r="70473" ht="15.75" customHeight="1">
      <c r="A70473" s="7"/>
      <c r="B70473" s="7"/>
    </row>
    <row r="70474" ht="15.75" customHeight="1">
      <c r="A70474" s="7"/>
      <c r="B70474" s="7"/>
    </row>
    <row r="70475" ht="15.75" customHeight="1">
      <c r="A70475" s="7"/>
      <c r="B70475" s="7"/>
    </row>
    <row r="70476" ht="15.75" customHeight="1">
      <c r="A70476" s="7"/>
      <c r="B70476" s="7"/>
    </row>
    <row r="70477" ht="15.75" customHeight="1">
      <c r="A70477" s="7"/>
      <c r="B70477" s="7"/>
    </row>
    <row r="70478" ht="15.75" customHeight="1">
      <c r="A70478" s="7"/>
      <c r="B70478" s="7"/>
    </row>
    <row r="70479" ht="15.75" customHeight="1">
      <c r="A70479" s="7"/>
      <c r="B70479" s="7"/>
    </row>
    <row r="70480" ht="15.75" customHeight="1">
      <c r="A70480" s="7"/>
      <c r="B70480" s="7"/>
    </row>
    <row r="70481" ht="15.75" customHeight="1">
      <c r="A70481" s="7"/>
      <c r="B70481" s="7"/>
    </row>
    <row r="70482" ht="15.75" customHeight="1">
      <c r="A70482" s="7"/>
      <c r="B70482" s="7"/>
    </row>
    <row r="70483" ht="15.75" customHeight="1">
      <c r="A70483" s="7"/>
      <c r="B70483" s="7"/>
    </row>
    <row r="70484" ht="15.75" customHeight="1">
      <c r="A70484" s="7"/>
      <c r="B70484" s="7"/>
    </row>
    <row r="70485" ht="15.75" customHeight="1">
      <c r="A70485" s="7"/>
      <c r="B70485" s="7"/>
    </row>
    <row r="70486" ht="15.75" customHeight="1">
      <c r="A70486" s="7"/>
      <c r="B70486" s="7"/>
    </row>
    <row r="70487" ht="15.75" customHeight="1">
      <c r="A70487" s="7"/>
      <c r="B70487" s="7"/>
    </row>
    <row r="70488" ht="15.75" customHeight="1">
      <c r="A70488" s="7"/>
      <c r="B70488" s="7"/>
    </row>
    <row r="70489" ht="15.75" customHeight="1">
      <c r="A70489" s="7"/>
      <c r="B70489" s="7"/>
    </row>
    <row r="70490" ht="15.75" customHeight="1">
      <c r="A70490" s="7"/>
      <c r="B70490" s="7"/>
    </row>
    <row r="70491" ht="15.75" customHeight="1">
      <c r="A70491" s="7"/>
      <c r="B70491" s="7"/>
    </row>
    <row r="70492" ht="15.75" customHeight="1">
      <c r="A70492" s="7"/>
      <c r="B70492" s="7"/>
    </row>
    <row r="70493" ht="15.75" customHeight="1">
      <c r="A70493" s="7"/>
      <c r="B70493" s="7"/>
    </row>
    <row r="70494" ht="15.75" customHeight="1">
      <c r="A70494" s="7"/>
      <c r="B70494" s="7"/>
    </row>
    <row r="70495" ht="15.75" customHeight="1">
      <c r="A70495" s="7"/>
      <c r="B70495" s="7"/>
    </row>
    <row r="70496" ht="15.75" customHeight="1">
      <c r="A70496" s="7"/>
      <c r="B70496" s="7"/>
    </row>
    <row r="70497" ht="15.75" customHeight="1">
      <c r="A70497" s="7"/>
      <c r="B70497" s="7"/>
    </row>
    <row r="70498" ht="15.75" customHeight="1">
      <c r="A70498" s="7"/>
      <c r="B70498" s="7"/>
    </row>
    <row r="70499" ht="15.75" customHeight="1">
      <c r="A70499" s="7"/>
      <c r="B70499" s="7"/>
    </row>
    <row r="70500" ht="15.75" customHeight="1">
      <c r="A70500" s="7"/>
      <c r="B70500" s="7"/>
    </row>
    <row r="70501" ht="15.75" customHeight="1">
      <c r="A70501" s="7"/>
      <c r="B70501" s="7"/>
    </row>
    <row r="70502" ht="15.75" customHeight="1">
      <c r="A70502" s="7"/>
      <c r="B70502" s="7"/>
    </row>
    <row r="70503" ht="15.75" customHeight="1">
      <c r="A70503" s="7"/>
      <c r="B70503" s="7"/>
    </row>
    <row r="70504" ht="15.75" customHeight="1">
      <c r="A70504" s="7"/>
      <c r="B70504" s="7"/>
    </row>
    <row r="70505" ht="15.75" customHeight="1">
      <c r="A70505" s="7"/>
      <c r="B70505" s="7"/>
    </row>
    <row r="70506" ht="15.75" customHeight="1">
      <c r="A70506" s="7"/>
      <c r="B70506" s="7"/>
    </row>
    <row r="70507" ht="15.75" customHeight="1">
      <c r="A70507" s="7"/>
      <c r="B70507" s="7"/>
    </row>
    <row r="70508" ht="15.75" customHeight="1">
      <c r="A70508" s="7"/>
      <c r="B70508" s="7"/>
    </row>
    <row r="70509" ht="15.75" customHeight="1">
      <c r="A70509" s="7"/>
      <c r="B70509" s="7"/>
    </row>
    <row r="70510" ht="15.75" customHeight="1">
      <c r="A70510" s="7"/>
      <c r="B70510" s="7"/>
    </row>
    <row r="70511" ht="15.75" customHeight="1">
      <c r="A70511" s="7"/>
      <c r="B70511" s="7"/>
    </row>
    <row r="70512" ht="15.75" customHeight="1">
      <c r="A70512" s="7"/>
      <c r="B70512" s="7"/>
    </row>
    <row r="70513" ht="15.75" customHeight="1">
      <c r="A70513" s="7"/>
      <c r="B70513" s="7"/>
    </row>
    <row r="70514" ht="15.75" customHeight="1">
      <c r="A70514" s="7"/>
      <c r="B70514" s="7"/>
    </row>
    <row r="70515" ht="15.75" customHeight="1">
      <c r="A70515" s="7"/>
      <c r="B70515" s="7"/>
    </row>
    <row r="70516" ht="15.75" customHeight="1">
      <c r="A70516" s="7"/>
      <c r="B70516" s="7"/>
    </row>
    <row r="70517" ht="15.75" customHeight="1">
      <c r="A70517" s="7"/>
      <c r="B70517" s="7"/>
    </row>
    <row r="70518" ht="15.75" customHeight="1">
      <c r="A70518" s="7"/>
      <c r="B70518" s="7"/>
    </row>
    <row r="70519" ht="15.75" customHeight="1">
      <c r="A70519" s="7"/>
      <c r="B70519" s="7"/>
    </row>
    <row r="70520" ht="15.75" customHeight="1">
      <c r="A70520" s="7"/>
      <c r="B70520" s="7"/>
    </row>
    <row r="70521" ht="15.75" customHeight="1">
      <c r="A70521" s="7"/>
      <c r="B70521" s="7"/>
    </row>
    <row r="70522" ht="15.75" customHeight="1">
      <c r="A70522" s="7"/>
      <c r="B70522" s="7"/>
    </row>
    <row r="70523" ht="15.75" customHeight="1">
      <c r="A70523" s="7"/>
      <c r="B70523" s="7"/>
    </row>
    <row r="70524" ht="15.75" customHeight="1">
      <c r="A70524" s="7"/>
      <c r="B70524" s="7"/>
    </row>
    <row r="70525" ht="15.75" customHeight="1">
      <c r="A70525" s="7"/>
      <c r="B70525" s="7"/>
    </row>
    <row r="70526" ht="15.75" customHeight="1">
      <c r="A70526" s="7"/>
      <c r="B70526" s="7"/>
    </row>
    <row r="70527" ht="15.75" customHeight="1">
      <c r="A70527" s="7"/>
      <c r="B70527" s="7"/>
    </row>
    <row r="70528" ht="15.75" customHeight="1">
      <c r="A70528" s="7"/>
      <c r="B70528" s="7"/>
    </row>
    <row r="70529" ht="15.75" customHeight="1">
      <c r="A70529" s="7"/>
      <c r="B70529" s="7"/>
    </row>
    <row r="70530" ht="15.75" customHeight="1">
      <c r="A70530" s="7"/>
      <c r="B70530" s="7"/>
    </row>
    <row r="70531" ht="15.75" customHeight="1">
      <c r="A70531" s="7"/>
      <c r="B70531" s="7"/>
    </row>
    <row r="70532" ht="15.75" customHeight="1">
      <c r="A70532" s="7"/>
      <c r="B70532" s="7"/>
    </row>
    <row r="70533" ht="15.75" customHeight="1">
      <c r="A70533" s="7"/>
      <c r="B70533" s="7"/>
    </row>
    <row r="70534" ht="15.75" customHeight="1">
      <c r="A70534" s="7"/>
      <c r="B70534" s="7"/>
    </row>
    <row r="70535" ht="15.75" customHeight="1">
      <c r="A70535" s="7"/>
      <c r="B70535" s="7"/>
    </row>
    <row r="70536" ht="15.75" customHeight="1">
      <c r="A70536" s="7"/>
      <c r="B70536" s="7"/>
    </row>
    <row r="70537" ht="15.75" customHeight="1">
      <c r="A70537" s="7"/>
      <c r="B70537" s="7"/>
    </row>
    <row r="70538" ht="15.75" customHeight="1">
      <c r="A70538" s="7"/>
      <c r="B70538" s="7"/>
    </row>
    <row r="70539" ht="15.75" customHeight="1">
      <c r="A70539" s="7"/>
      <c r="B70539" s="7"/>
    </row>
    <row r="70540" ht="15.75" customHeight="1">
      <c r="A70540" s="7"/>
      <c r="B70540" s="7"/>
    </row>
    <row r="70541" ht="15.75" customHeight="1">
      <c r="A70541" s="7"/>
      <c r="B70541" s="7"/>
    </row>
    <row r="70542" ht="15.75" customHeight="1">
      <c r="A70542" s="7"/>
      <c r="B70542" s="7"/>
    </row>
    <row r="70543" ht="15.75" customHeight="1">
      <c r="A70543" s="7"/>
      <c r="B70543" s="7"/>
    </row>
    <row r="70544" ht="15.75" customHeight="1">
      <c r="A70544" s="7"/>
      <c r="B70544" s="7"/>
    </row>
    <row r="70545" ht="15.75" customHeight="1">
      <c r="A70545" s="7"/>
      <c r="B70545" s="7"/>
    </row>
    <row r="70546" ht="15.75" customHeight="1">
      <c r="A70546" s="7"/>
      <c r="B70546" s="7"/>
    </row>
    <row r="70547" ht="15.75" customHeight="1">
      <c r="A70547" s="7"/>
      <c r="B70547" s="7"/>
    </row>
    <row r="70548" ht="15.75" customHeight="1">
      <c r="A70548" s="7"/>
      <c r="B70548" s="7"/>
    </row>
    <row r="70549" ht="15.75" customHeight="1">
      <c r="A70549" s="7"/>
      <c r="B70549" s="7"/>
    </row>
    <row r="70550" ht="15.75" customHeight="1">
      <c r="A70550" s="7"/>
      <c r="B70550" s="7"/>
    </row>
    <row r="70551" ht="15.75" customHeight="1">
      <c r="A70551" s="7"/>
      <c r="B70551" s="7"/>
    </row>
    <row r="70552" ht="15.75" customHeight="1">
      <c r="A70552" s="7"/>
      <c r="B70552" s="7"/>
    </row>
    <row r="70553" ht="15.75" customHeight="1">
      <c r="A70553" s="7"/>
      <c r="B70553" s="7"/>
    </row>
    <row r="70554" ht="15.75" customHeight="1">
      <c r="A70554" s="7"/>
      <c r="B70554" s="7"/>
    </row>
    <row r="70555" ht="15.75" customHeight="1">
      <c r="A70555" s="7"/>
      <c r="B70555" s="7"/>
    </row>
    <row r="70556" ht="15.75" customHeight="1">
      <c r="A70556" s="7"/>
      <c r="B70556" s="7"/>
    </row>
    <row r="70557" ht="15.75" customHeight="1">
      <c r="A70557" s="7"/>
      <c r="B70557" s="7"/>
    </row>
    <row r="70558" ht="15.75" customHeight="1">
      <c r="A70558" s="7"/>
      <c r="B70558" s="7"/>
    </row>
    <row r="70559" ht="15.75" customHeight="1">
      <c r="A70559" s="7"/>
      <c r="B70559" s="7"/>
    </row>
    <row r="70560" ht="15.75" customHeight="1">
      <c r="A70560" s="7"/>
      <c r="B70560" s="7"/>
    </row>
    <row r="70561" ht="15.75" customHeight="1">
      <c r="A70561" s="7"/>
      <c r="B70561" s="7"/>
    </row>
    <row r="70562" ht="15.75" customHeight="1">
      <c r="A70562" s="7"/>
      <c r="B70562" s="7"/>
    </row>
    <row r="70563" ht="15.75" customHeight="1">
      <c r="A70563" s="7"/>
      <c r="B70563" s="7"/>
    </row>
    <row r="70564" ht="15.75" customHeight="1">
      <c r="A70564" s="7"/>
      <c r="B70564" s="7"/>
    </row>
    <row r="70565" ht="15.75" customHeight="1">
      <c r="A70565" s="7"/>
      <c r="B70565" s="7"/>
    </row>
    <row r="70566" ht="15.75" customHeight="1">
      <c r="A70566" s="7"/>
      <c r="B70566" s="7"/>
    </row>
    <row r="70567" ht="15.75" customHeight="1">
      <c r="A70567" s="7"/>
      <c r="B70567" s="7"/>
    </row>
    <row r="70568" ht="15.75" customHeight="1">
      <c r="A70568" s="7"/>
      <c r="B70568" s="7"/>
    </row>
    <row r="70569" ht="15.75" customHeight="1">
      <c r="A70569" s="7"/>
      <c r="B70569" s="7"/>
    </row>
    <row r="70570" ht="15.75" customHeight="1">
      <c r="A70570" s="7"/>
      <c r="B70570" s="7"/>
    </row>
    <row r="70571" ht="15.75" customHeight="1">
      <c r="A70571" s="7"/>
      <c r="B70571" s="7"/>
    </row>
    <row r="70572" ht="15.75" customHeight="1">
      <c r="A70572" s="7"/>
      <c r="B70572" s="7"/>
    </row>
    <row r="70573" ht="15.75" customHeight="1">
      <c r="A70573" s="7"/>
      <c r="B70573" s="7"/>
    </row>
    <row r="70574" ht="15.75" customHeight="1">
      <c r="A70574" s="7"/>
      <c r="B70574" s="7"/>
    </row>
    <row r="70575" ht="15.75" customHeight="1">
      <c r="A70575" s="7"/>
      <c r="B70575" s="7"/>
    </row>
    <row r="70576" ht="15.75" customHeight="1">
      <c r="A70576" s="7"/>
      <c r="B70576" s="7"/>
    </row>
    <row r="70577" ht="15.75" customHeight="1">
      <c r="A70577" s="7"/>
      <c r="B70577" s="7"/>
    </row>
    <row r="70578" ht="15.75" customHeight="1">
      <c r="A70578" s="7"/>
      <c r="B70578" s="7"/>
    </row>
    <row r="70579" ht="15.75" customHeight="1">
      <c r="A70579" s="7"/>
      <c r="B70579" s="7"/>
    </row>
    <row r="70580" ht="15.75" customHeight="1">
      <c r="A70580" s="7"/>
      <c r="B70580" s="7"/>
    </row>
    <row r="70581" ht="15.75" customHeight="1">
      <c r="A70581" s="7"/>
      <c r="B70581" s="7"/>
    </row>
    <row r="70582" ht="15.75" customHeight="1">
      <c r="A70582" s="7"/>
      <c r="B70582" s="7"/>
    </row>
    <row r="70583" ht="15.75" customHeight="1">
      <c r="A70583" s="7"/>
      <c r="B70583" s="7"/>
    </row>
    <row r="70584" ht="15.75" customHeight="1">
      <c r="A70584" s="7"/>
      <c r="B70584" s="7"/>
    </row>
    <row r="70585" ht="15.75" customHeight="1">
      <c r="A70585" s="7"/>
      <c r="B70585" s="7"/>
    </row>
    <row r="70586" ht="15.75" customHeight="1">
      <c r="A70586" s="7"/>
      <c r="B70586" s="7"/>
    </row>
    <row r="70587" ht="15.75" customHeight="1">
      <c r="A70587" s="7"/>
      <c r="B70587" s="7"/>
    </row>
    <row r="70588" ht="15.75" customHeight="1">
      <c r="A70588" s="7"/>
      <c r="B70588" s="7"/>
    </row>
    <row r="70589" ht="15.75" customHeight="1">
      <c r="A70589" s="7"/>
      <c r="B70589" s="7"/>
    </row>
    <row r="70590" ht="15.75" customHeight="1">
      <c r="A70590" s="7"/>
      <c r="B70590" s="7"/>
    </row>
    <row r="70591" ht="15.75" customHeight="1">
      <c r="A70591" s="7"/>
      <c r="B70591" s="7"/>
    </row>
    <row r="70592" ht="15.75" customHeight="1">
      <c r="A70592" s="7"/>
      <c r="B70592" s="7"/>
    </row>
    <row r="70593" ht="15.75" customHeight="1">
      <c r="A70593" s="7"/>
      <c r="B70593" s="7"/>
    </row>
    <row r="70594" ht="15.75" customHeight="1">
      <c r="A70594" s="7"/>
      <c r="B70594" s="7"/>
    </row>
    <row r="70595" ht="15.75" customHeight="1">
      <c r="A70595" s="7"/>
      <c r="B70595" s="7"/>
    </row>
    <row r="70596" ht="15.75" customHeight="1">
      <c r="A70596" s="7"/>
      <c r="B70596" s="7"/>
    </row>
    <row r="70597" ht="15.75" customHeight="1">
      <c r="A70597" s="7"/>
      <c r="B70597" s="7"/>
    </row>
    <row r="70598" ht="15.75" customHeight="1">
      <c r="A70598" s="7"/>
      <c r="B70598" s="7"/>
    </row>
    <row r="70599" ht="15.75" customHeight="1">
      <c r="A70599" s="7"/>
      <c r="B70599" s="7"/>
    </row>
    <row r="70600" ht="15.75" customHeight="1">
      <c r="A70600" s="7"/>
      <c r="B70600" s="7"/>
    </row>
    <row r="70601" ht="15.75" customHeight="1">
      <c r="A70601" s="7"/>
      <c r="B70601" s="7"/>
    </row>
    <row r="70602" ht="15.75" customHeight="1">
      <c r="A70602" s="7"/>
      <c r="B70602" s="7"/>
    </row>
    <row r="70603" ht="15.75" customHeight="1">
      <c r="A70603" s="7"/>
      <c r="B70603" s="7"/>
    </row>
    <row r="70604" ht="15.75" customHeight="1">
      <c r="A70604" s="7"/>
      <c r="B70604" s="7"/>
    </row>
    <row r="70605" ht="15.75" customHeight="1">
      <c r="A70605" s="7"/>
      <c r="B70605" s="7"/>
    </row>
    <row r="70606" ht="15.75" customHeight="1">
      <c r="A70606" s="7"/>
      <c r="B70606" s="7"/>
    </row>
    <row r="70607" ht="15.75" customHeight="1">
      <c r="A70607" s="7"/>
      <c r="B70607" s="7"/>
    </row>
    <row r="70608" ht="15.75" customHeight="1">
      <c r="A70608" s="7"/>
      <c r="B70608" s="7"/>
    </row>
    <row r="70609" ht="15.75" customHeight="1">
      <c r="A70609" s="7"/>
      <c r="B70609" s="7"/>
    </row>
    <row r="70610" ht="15.75" customHeight="1">
      <c r="A70610" s="7"/>
      <c r="B70610" s="7"/>
    </row>
    <row r="70611" ht="15.75" customHeight="1">
      <c r="A70611" s="7"/>
      <c r="B70611" s="7"/>
    </row>
    <row r="70612" ht="15.75" customHeight="1">
      <c r="A70612" s="7"/>
      <c r="B70612" s="7"/>
    </row>
    <row r="70613" ht="15.75" customHeight="1">
      <c r="A70613" s="7"/>
      <c r="B70613" s="7"/>
    </row>
    <row r="70614" ht="15.75" customHeight="1">
      <c r="A70614" s="7"/>
      <c r="B70614" s="7"/>
    </row>
    <row r="70615" ht="15.75" customHeight="1">
      <c r="A70615" s="7"/>
      <c r="B70615" s="7"/>
    </row>
    <row r="70616" ht="15.75" customHeight="1">
      <c r="A70616" s="7"/>
      <c r="B70616" s="7"/>
    </row>
    <row r="70617" ht="15.75" customHeight="1">
      <c r="A70617" s="7"/>
      <c r="B70617" s="7"/>
    </row>
    <row r="70618" ht="15.75" customHeight="1">
      <c r="A70618" s="7"/>
      <c r="B70618" s="7"/>
    </row>
    <row r="70619" ht="15.75" customHeight="1">
      <c r="A70619" s="7"/>
      <c r="B70619" s="7"/>
    </row>
    <row r="70620" ht="15.75" customHeight="1">
      <c r="A70620" s="7"/>
      <c r="B70620" s="7"/>
    </row>
    <row r="70621" ht="15.75" customHeight="1">
      <c r="A70621" s="7"/>
      <c r="B70621" s="7"/>
    </row>
    <row r="70622" ht="15.75" customHeight="1">
      <c r="A70622" s="7"/>
      <c r="B70622" s="7"/>
    </row>
    <row r="70623" ht="15.75" customHeight="1">
      <c r="A70623" s="7"/>
      <c r="B70623" s="7"/>
    </row>
    <row r="70624" ht="15.75" customHeight="1">
      <c r="A70624" s="7"/>
      <c r="B70624" s="7"/>
    </row>
    <row r="70625" ht="15.75" customHeight="1">
      <c r="A70625" s="7"/>
      <c r="B70625" s="7"/>
    </row>
    <row r="70626" ht="15.75" customHeight="1">
      <c r="A70626" s="7"/>
      <c r="B70626" s="7"/>
    </row>
    <row r="70627" ht="15.75" customHeight="1">
      <c r="A70627" s="7"/>
      <c r="B70627" s="7"/>
    </row>
    <row r="70628" ht="15.75" customHeight="1">
      <c r="A70628" s="7"/>
      <c r="B70628" s="7"/>
    </row>
    <row r="70629" ht="15.75" customHeight="1">
      <c r="A70629" s="7"/>
      <c r="B70629" s="7"/>
    </row>
    <row r="70630" ht="15.75" customHeight="1">
      <c r="A70630" s="7"/>
      <c r="B70630" s="7"/>
    </row>
    <row r="70631" ht="15.75" customHeight="1">
      <c r="A70631" s="7"/>
      <c r="B70631" s="7"/>
    </row>
    <row r="70632" ht="15.75" customHeight="1">
      <c r="A70632" s="7"/>
      <c r="B70632" s="7"/>
    </row>
    <row r="70633" ht="15.75" customHeight="1">
      <c r="A70633" s="7"/>
      <c r="B70633" s="7"/>
    </row>
    <row r="70634" ht="15.75" customHeight="1">
      <c r="A70634" s="7"/>
      <c r="B70634" s="7"/>
    </row>
    <row r="70635" ht="15.75" customHeight="1">
      <c r="A70635" s="7"/>
      <c r="B70635" s="7"/>
    </row>
    <row r="70636" ht="15.75" customHeight="1">
      <c r="A70636" s="7"/>
      <c r="B70636" s="7"/>
    </row>
    <row r="70637" ht="15.75" customHeight="1">
      <c r="A70637" s="7"/>
      <c r="B70637" s="7"/>
    </row>
    <row r="70638" ht="15.75" customHeight="1">
      <c r="A70638" s="7"/>
      <c r="B70638" s="7"/>
    </row>
    <row r="70639" ht="15.75" customHeight="1">
      <c r="A70639" s="7"/>
      <c r="B70639" s="7"/>
    </row>
    <row r="70640" ht="15.75" customHeight="1">
      <c r="A70640" s="7"/>
      <c r="B70640" s="7"/>
    </row>
    <row r="70641" ht="15.75" customHeight="1">
      <c r="A70641" s="7"/>
      <c r="B70641" s="7"/>
    </row>
    <row r="70642" ht="15.75" customHeight="1">
      <c r="A70642" s="7"/>
      <c r="B70642" s="7"/>
    </row>
    <row r="70643" ht="15.75" customHeight="1">
      <c r="A70643" s="7"/>
      <c r="B70643" s="7"/>
    </row>
    <row r="70644" ht="15.75" customHeight="1">
      <c r="A70644" s="7"/>
      <c r="B70644" s="7"/>
    </row>
    <row r="70645" ht="15.75" customHeight="1">
      <c r="A70645" s="7"/>
      <c r="B70645" s="7"/>
    </row>
    <row r="70646" ht="15.75" customHeight="1">
      <c r="A70646" s="7"/>
      <c r="B70646" s="7"/>
    </row>
    <row r="70647" ht="15.75" customHeight="1">
      <c r="A70647" s="7"/>
      <c r="B70647" s="7"/>
    </row>
    <row r="70648" ht="15.75" customHeight="1">
      <c r="A70648" s="7"/>
      <c r="B70648" s="7"/>
    </row>
    <row r="70649" ht="15.75" customHeight="1">
      <c r="A70649" s="7"/>
      <c r="B70649" s="7"/>
    </row>
    <row r="70650" ht="15.75" customHeight="1">
      <c r="A70650" s="7"/>
      <c r="B70650" s="7"/>
    </row>
    <row r="70651" ht="15.75" customHeight="1">
      <c r="A70651" s="7"/>
      <c r="B70651" s="7"/>
    </row>
    <row r="70652" ht="15.75" customHeight="1">
      <c r="A70652" s="7"/>
      <c r="B70652" s="7"/>
    </row>
    <row r="70653" ht="15.75" customHeight="1">
      <c r="A70653" s="7"/>
      <c r="B70653" s="7"/>
    </row>
    <row r="70654" ht="15.75" customHeight="1">
      <c r="A70654" s="7"/>
      <c r="B70654" s="7"/>
    </row>
    <row r="70655" ht="15.75" customHeight="1">
      <c r="A70655" s="7"/>
      <c r="B70655" s="7"/>
    </row>
    <row r="70656" ht="15.75" customHeight="1">
      <c r="A70656" s="7"/>
      <c r="B70656" s="7"/>
    </row>
    <row r="70657" ht="15.75" customHeight="1">
      <c r="A70657" s="7"/>
      <c r="B70657" s="7"/>
    </row>
    <row r="70658" ht="15.75" customHeight="1">
      <c r="A70658" s="7"/>
      <c r="B70658" s="7"/>
    </row>
    <row r="70659" ht="15.75" customHeight="1">
      <c r="A70659" s="7"/>
      <c r="B70659" s="7"/>
    </row>
    <row r="70660" ht="15.75" customHeight="1">
      <c r="A70660" s="7"/>
      <c r="B70660" s="7"/>
    </row>
    <row r="70661" ht="15.75" customHeight="1">
      <c r="A70661" s="7"/>
      <c r="B70661" s="7"/>
    </row>
    <row r="70662" ht="15.75" customHeight="1">
      <c r="A70662" s="7"/>
      <c r="B70662" s="7"/>
    </row>
    <row r="70663" ht="15.75" customHeight="1">
      <c r="A70663" s="7"/>
      <c r="B70663" s="7"/>
    </row>
    <row r="70664" ht="15.75" customHeight="1">
      <c r="A70664" s="7"/>
      <c r="B70664" s="7"/>
    </row>
    <row r="70665" ht="15.75" customHeight="1">
      <c r="A70665" s="7"/>
      <c r="B70665" s="7"/>
    </row>
    <row r="70666" ht="15.75" customHeight="1">
      <c r="A70666" s="7"/>
      <c r="B70666" s="7"/>
    </row>
    <row r="70667" ht="15.75" customHeight="1">
      <c r="A70667" s="7"/>
      <c r="B70667" s="7"/>
    </row>
    <row r="70668" ht="15.75" customHeight="1">
      <c r="A70668" s="7"/>
      <c r="B70668" s="7"/>
    </row>
    <row r="70669" ht="15.75" customHeight="1">
      <c r="A70669" s="7"/>
      <c r="B70669" s="7"/>
    </row>
    <row r="70670" ht="15.75" customHeight="1">
      <c r="A70670" s="7"/>
      <c r="B70670" s="7"/>
    </row>
    <row r="70671" ht="15.75" customHeight="1">
      <c r="A70671" s="7"/>
      <c r="B70671" s="7"/>
    </row>
    <row r="70672" ht="15.75" customHeight="1">
      <c r="A70672" s="7"/>
      <c r="B70672" s="7"/>
    </row>
    <row r="70673" ht="15.75" customHeight="1">
      <c r="A70673" s="7"/>
      <c r="B70673" s="7"/>
    </row>
    <row r="70674" ht="15.75" customHeight="1">
      <c r="A70674" s="7"/>
      <c r="B70674" s="7"/>
    </row>
    <row r="70675" ht="15.75" customHeight="1">
      <c r="A70675" s="7"/>
      <c r="B70675" s="7"/>
    </row>
    <row r="70676" ht="15.75" customHeight="1">
      <c r="A70676" s="7"/>
      <c r="B70676" s="7"/>
    </row>
    <row r="70677" ht="15.75" customHeight="1">
      <c r="A70677" s="7"/>
      <c r="B70677" s="7"/>
    </row>
    <row r="70678" ht="15.75" customHeight="1">
      <c r="A70678" s="7"/>
      <c r="B70678" s="7"/>
    </row>
    <row r="70679" ht="15.75" customHeight="1">
      <c r="A70679" s="7"/>
      <c r="B70679" s="7"/>
    </row>
    <row r="70680" ht="15.75" customHeight="1">
      <c r="A70680" s="7"/>
      <c r="B70680" s="7"/>
    </row>
    <row r="70681" ht="15.75" customHeight="1">
      <c r="A70681" s="7"/>
      <c r="B70681" s="7"/>
    </row>
    <row r="70682" ht="15.75" customHeight="1">
      <c r="A70682" s="7"/>
      <c r="B70682" s="7"/>
    </row>
    <row r="70683" ht="15.75" customHeight="1">
      <c r="A70683" s="7"/>
      <c r="B70683" s="7"/>
    </row>
    <row r="70684" ht="15.75" customHeight="1">
      <c r="A70684" s="7"/>
      <c r="B70684" s="7"/>
    </row>
    <row r="70685" ht="15.75" customHeight="1">
      <c r="A70685" s="7"/>
      <c r="B70685" s="7"/>
    </row>
    <row r="70686" ht="15.75" customHeight="1">
      <c r="A70686" s="7"/>
      <c r="B70686" s="7"/>
    </row>
    <row r="70687" ht="15.75" customHeight="1">
      <c r="A70687" s="7"/>
      <c r="B70687" s="7"/>
    </row>
    <row r="70688" ht="15.75" customHeight="1">
      <c r="A70688" s="7"/>
      <c r="B70688" s="7"/>
    </row>
    <row r="70689" ht="15.75" customHeight="1">
      <c r="A70689" s="7"/>
      <c r="B70689" s="7"/>
    </row>
    <row r="70690" ht="15.75" customHeight="1">
      <c r="A70690" s="7"/>
      <c r="B70690" s="7"/>
    </row>
    <row r="70691" ht="15.75" customHeight="1">
      <c r="A70691" s="7"/>
      <c r="B70691" s="7"/>
    </row>
    <row r="70692" ht="15.75" customHeight="1">
      <c r="A70692" s="7"/>
      <c r="B70692" s="7"/>
    </row>
    <row r="70693" ht="15.75" customHeight="1">
      <c r="A70693" s="7"/>
      <c r="B70693" s="7"/>
    </row>
    <row r="70694" ht="15.75" customHeight="1">
      <c r="A70694" s="7"/>
      <c r="B70694" s="7"/>
    </row>
    <row r="70695" ht="15.75" customHeight="1">
      <c r="A70695" s="7"/>
      <c r="B70695" s="7"/>
    </row>
    <row r="70696" ht="15.75" customHeight="1">
      <c r="A70696" s="7"/>
      <c r="B70696" s="7"/>
    </row>
    <row r="70697" ht="15.75" customHeight="1">
      <c r="A70697" s="7"/>
      <c r="B70697" s="7"/>
    </row>
    <row r="70698" ht="15.75" customHeight="1">
      <c r="A70698" s="7"/>
      <c r="B70698" s="7"/>
    </row>
    <row r="70699" ht="15.75" customHeight="1">
      <c r="A70699" s="7"/>
      <c r="B70699" s="7"/>
    </row>
    <row r="70700" ht="15.75" customHeight="1">
      <c r="A70700" s="7"/>
      <c r="B70700" s="7"/>
    </row>
    <row r="70701" ht="15.75" customHeight="1">
      <c r="A70701" s="7"/>
      <c r="B70701" s="7"/>
    </row>
    <row r="70702" ht="15.75" customHeight="1">
      <c r="A70702" s="7"/>
      <c r="B70702" s="7"/>
    </row>
    <row r="70703" ht="15.75" customHeight="1">
      <c r="A70703" s="7"/>
      <c r="B70703" s="7"/>
    </row>
    <row r="70704" ht="15.75" customHeight="1">
      <c r="A70704" s="7"/>
      <c r="B70704" s="7"/>
    </row>
    <row r="70705" ht="15.75" customHeight="1">
      <c r="A70705" s="7"/>
      <c r="B70705" s="7"/>
    </row>
    <row r="70706" ht="15.75" customHeight="1">
      <c r="A70706" s="7"/>
      <c r="B70706" s="7"/>
    </row>
    <row r="70707" ht="15.75" customHeight="1">
      <c r="A70707" s="7"/>
      <c r="B70707" s="7"/>
    </row>
    <row r="70708" ht="15.75" customHeight="1">
      <c r="A70708" s="7"/>
      <c r="B70708" s="7"/>
    </row>
    <row r="70709" ht="15.75" customHeight="1">
      <c r="A70709" s="7"/>
      <c r="B70709" s="7"/>
    </row>
    <row r="70710" ht="15.75" customHeight="1">
      <c r="A70710" s="7"/>
      <c r="B70710" s="7"/>
    </row>
    <row r="70711" ht="15.75" customHeight="1">
      <c r="A70711" s="7"/>
      <c r="B70711" s="7"/>
    </row>
    <row r="70712" ht="15.75" customHeight="1">
      <c r="A70712" s="7"/>
      <c r="B70712" s="7"/>
    </row>
    <row r="70713" ht="15.75" customHeight="1">
      <c r="A70713" s="7"/>
      <c r="B70713" s="7"/>
    </row>
    <row r="70714" ht="15.75" customHeight="1">
      <c r="A70714" s="7"/>
      <c r="B70714" s="7"/>
    </row>
    <row r="70715" ht="15.75" customHeight="1">
      <c r="A70715" s="7"/>
      <c r="B70715" s="7"/>
    </row>
    <row r="70716" ht="15.75" customHeight="1">
      <c r="A70716" s="7"/>
      <c r="B70716" s="7"/>
    </row>
    <row r="70717" ht="15.75" customHeight="1">
      <c r="A70717" s="7"/>
      <c r="B70717" s="7"/>
    </row>
    <row r="70718" ht="15.75" customHeight="1">
      <c r="A70718" s="7"/>
      <c r="B70718" s="7"/>
    </row>
    <row r="70719" ht="15.75" customHeight="1">
      <c r="A70719" s="7"/>
      <c r="B70719" s="7"/>
    </row>
    <row r="70720" ht="15.75" customHeight="1">
      <c r="A70720" s="7"/>
      <c r="B70720" s="7"/>
    </row>
    <row r="70721" ht="15.75" customHeight="1">
      <c r="A70721" s="7"/>
      <c r="B70721" s="7"/>
    </row>
    <row r="70722" ht="15.75" customHeight="1">
      <c r="A70722" s="7"/>
      <c r="B70722" s="7"/>
    </row>
    <row r="70723" ht="15.75" customHeight="1">
      <c r="A70723" s="7"/>
      <c r="B70723" s="7"/>
    </row>
    <row r="70724" ht="15.75" customHeight="1">
      <c r="A70724" s="7"/>
      <c r="B70724" s="7"/>
    </row>
    <row r="70725" ht="15.75" customHeight="1">
      <c r="A70725" s="7"/>
      <c r="B70725" s="7"/>
    </row>
    <row r="70726" ht="15.75" customHeight="1">
      <c r="A70726" s="7"/>
      <c r="B70726" s="7"/>
    </row>
    <row r="70727" ht="15.75" customHeight="1">
      <c r="A70727" s="7"/>
      <c r="B70727" s="7"/>
    </row>
    <row r="70728" ht="15.75" customHeight="1">
      <c r="A70728" s="7"/>
      <c r="B70728" s="7"/>
    </row>
    <row r="70729" ht="15.75" customHeight="1">
      <c r="A70729" s="7"/>
      <c r="B70729" s="7"/>
    </row>
    <row r="70730" ht="15.75" customHeight="1">
      <c r="A70730" s="7"/>
      <c r="B70730" s="7"/>
    </row>
    <row r="70731" ht="15.75" customHeight="1">
      <c r="A70731" s="7"/>
      <c r="B70731" s="7"/>
    </row>
    <row r="70732" ht="15.75" customHeight="1">
      <c r="A70732" s="7"/>
      <c r="B70732" s="7"/>
    </row>
    <row r="70733" ht="15.75" customHeight="1">
      <c r="A70733" s="7"/>
      <c r="B70733" s="7"/>
    </row>
    <row r="70734" ht="15.75" customHeight="1">
      <c r="A70734" s="7"/>
      <c r="B70734" s="7"/>
    </row>
    <row r="70735" ht="15.75" customHeight="1">
      <c r="A70735" s="7"/>
      <c r="B70735" s="7"/>
    </row>
    <row r="70736" ht="15.75" customHeight="1">
      <c r="A70736" s="7"/>
      <c r="B70736" s="7"/>
    </row>
    <row r="70737" ht="15.75" customHeight="1">
      <c r="A70737" s="7"/>
      <c r="B70737" s="7"/>
    </row>
    <row r="70738" ht="15.75" customHeight="1">
      <c r="A70738" s="7"/>
      <c r="B70738" s="7"/>
    </row>
    <row r="70739" ht="15.75" customHeight="1">
      <c r="A70739" s="7"/>
      <c r="B70739" s="7"/>
    </row>
    <row r="70740" ht="15.75" customHeight="1">
      <c r="A70740" s="7"/>
      <c r="B70740" s="7"/>
    </row>
    <row r="70741" ht="15.75" customHeight="1">
      <c r="A70741" s="7"/>
      <c r="B70741" s="7"/>
    </row>
    <row r="70742" ht="15.75" customHeight="1">
      <c r="A70742" s="7"/>
      <c r="B70742" s="7"/>
    </row>
    <row r="70743" ht="15.75" customHeight="1">
      <c r="A70743" s="7"/>
      <c r="B70743" s="7"/>
    </row>
    <row r="70744" ht="15.75" customHeight="1">
      <c r="A70744" s="7"/>
      <c r="B70744" s="7"/>
    </row>
    <row r="70745" ht="15.75" customHeight="1">
      <c r="A70745" s="7"/>
      <c r="B70745" s="7"/>
    </row>
    <row r="70746" ht="15.75" customHeight="1">
      <c r="A70746" s="7"/>
      <c r="B70746" s="7"/>
    </row>
    <row r="70747" ht="15.75" customHeight="1">
      <c r="A70747" s="7"/>
      <c r="B70747" s="7"/>
    </row>
    <row r="70748" ht="15.75" customHeight="1">
      <c r="A70748" s="7"/>
      <c r="B70748" s="7"/>
    </row>
    <row r="70749" ht="15.75" customHeight="1">
      <c r="A70749" s="7"/>
      <c r="B70749" s="7"/>
    </row>
    <row r="70750" ht="15.75" customHeight="1">
      <c r="A70750" s="7"/>
      <c r="B70750" s="7"/>
    </row>
    <row r="70751" ht="15.75" customHeight="1">
      <c r="A70751" s="7"/>
      <c r="B70751" s="7"/>
    </row>
    <row r="70752" ht="15.75" customHeight="1">
      <c r="A70752" s="7"/>
      <c r="B70752" s="7"/>
    </row>
    <row r="70753" ht="15.75" customHeight="1">
      <c r="A70753" s="7"/>
      <c r="B70753" s="7"/>
    </row>
    <row r="70754" ht="15.75" customHeight="1">
      <c r="A70754" s="7"/>
      <c r="B70754" s="7"/>
    </row>
    <row r="70755" ht="15.75" customHeight="1">
      <c r="A70755" s="7"/>
      <c r="B70755" s="7"/>
    </row>
    <row r="70756" ht="15.75" customHeight="1">
      <c r="A70756" s="7"/>
      <c r="B70756" s="7"/>
    </row>
    <row r="70757" ht="15.75" customHeight="1">
      <c r="A70757" s="7"/>
      <c r="B70757" s="7"/>
    </row>
    <row r="70758" ht="15.75" customHeight="1">
      <c r="A70758" s="7"/>
      <c r="B70758" s="7"/>
    </row>
    <row r="70759" ht="15.75" customHeight="1">
      <c r="A70759" s="7"/>
      <c r="B70759" s="7"/>
    </row>
    <row r="70760" ht="15.75" customHeight="1">
      <c r="A70760" s="7"/>
      <c r="B70760" s="7"/>
    </row>
    <row r="70761" ht="15.75" customHeight="1">
      <c r="A70761" s="7"/>
      <c r="B70761" s="7"/>
    </row>
    <row r="70762" ht="15.75" customHeight="1">
      <c r="A70762" s="7"/>
      <c r="B70762" s="7"/>
    </row>
    <row r="70763" ht="15.75" customHeight="1">
      <c r="A70763" s="7"/>
      <c r="B70763" s="7"/>
    </row>
    <row r="70764" ht="15.75" customHeight="1">
      <c r="A70764" s="7"/>
      <c r="B70764" s="7"/>
    </row>
    <row r="70765" ht="15.75" customHeight="1">
      <c r="A70765" s="7"/>
      <c r="B70765" s="7"/>
    </row>
    <row r="70766" ht="15.75" customHeight="1">
      <c r="A70766" s="7"/>
      <c r="B70766" s="7"/>
    </row>
    <row r="70767" ht="15.75" customHeight="1">
      <c r="A70767" s="7"/>
      <c r="B70767" s="7"/>
    </row>
    <row r="70768" ht="15.75" customHeight="1">
      <c r="A70768" s="7"/>
      <c r="B70768" s="7"/>
    </row>
    <row r="70769" ht="15.75" customHeight="1">
      <c r="A70769" s="7"/>
      <c r="B70769" s="7"/>
    </row>
    <row r="70770" ht="15.75" customHeight="1">
      <c r="A70770" s="7"/>
      <c r="B70770" s="7"/>
    </row>
    <row r="70771" ht="15.75" customHeight="1">
      <c r="A70771" s="7"/>
      <c r="B70771" s="7"/>
    </row>
    <row r="70772" ht="15.75" customHeight="1">
      <c r="A70772" s="7"/>
      <c r="B70772" s="7"/>
    </row>
    <row r="70773" ht="15.75" customHeight="1">
      <c r="A70773" s="7"/>
      <c r="B70773" s="7"/>
    </row>
    <row r="70774" ht="15.75" customHeight="1">
      <c r="A70774" s="7"/>
      <c r="B70774" s="7"/>
    </row>
    <row r="70775" ht="15.75" customHeight="1">
      <c r="A70775" s="7"/>
      <c r="B70775" s="7"/>
    </row>
    <row r="70776" ht="15.75" customHeight="1">
      <c r="A70776" s="7"/>
      <c r="B70776" s="7"/>
    </row>
    <row r="70777" ht="15.75" customHeight="1">
      <c r="A70777" s="7"/>
      <c r="B70777" s="7"/>
    </row>
    <row r="70778" ht="15.75" customHeight="1">
      <c r="A70778" s="7"/>
      <c r="B70778" s="7"/>
    </row>
    <row r="70779" ht="15.75" customHeight="1">
      <c r="A70779" s="7"/>
      <c r="B70779" s="7"/>
    </row>
    <row r="70780" ht="15.75" customHeight="1">
      <c r="A70780" s="7"/>
      <c r="B70780" s="7"/>
    </row>
    <row r="70781" ht="15.75" customHeight="1">
      <c r="A70781" s="7"/>
      <c r="B70781" s="7"/>
    </row>
    <row r="70782" ht="15.75" customHeight="1">
      <c r="A70782" s="7"/>
      <c r="B70782" s="7"/>
    </row>
    <row r="70783" ht="15.75" customHeight="1">
      <c r="A70783" s="7"/>
      <c r="B70783" s="7"/>
    </row>
    <row r="70784" ht="15.75" customHeight="1">
      <c r="A70784" s="7"/>
      <c r="B70784" s="7"/>
    </row>
    <row r="70785" ht="15.75" customHeight="1">
      <c r="A70785" s="7"/>
      <c r="B70785" s="7"/>
    </row>
    <row r="70786" ht="15.75" customHeight="1">
      <c r="A70786" s="7"/>
      <c r="B70786" s="7"/>
    </row>
    <row r="70787" ht="15.75" customHeight="1">
      <c r="A70787" s="7"/>
      <c r="B70787" s="7"/>
    </row>
    <row r="70788" ht="15.75" customHeight="1">
      <c r="A70788" s="7"/>
      <c r="B70788" s="7"/>
    </row>
    <row r="70789" ht="15.75" customHeight="1">
      <c r="A70789" s="7"/>
      <c r="B70789" s="7"/>
    </row>
    <row r="70790" ht="15.75" customHeight="1">
      <c r="A70790" s="7"/>
      <c r="B70790" s="7"/>
    </row>
    <row r="70791" ht="15.75" customHeight="1">
      <c r="A70791" s="7"/>
      <c r="B70791" s="7"/>
    </row>
    <row r="70792" ht="15.75" customHeight="1">
      <c r="A70792" s="7"/>
      <c r="B70792" s="7"/>
    </row>
    <row r="70793" ht="15.75" customHeight="1">
      <c r="A70793" s="7"/>
      <c r="B70793" s="7"/>
    </row>
    <row r="70794" ht="15.75" customHeight="1">
      <c r="A70794" s="7"/>
      <c r="B70794" s="7"/>
    </row>
    <row r="70795" ht="15.75" customHeight="1">
      <c r="A70795" s="7"/>
      <c r="B70795" s="7"/>
    </row>
    <row r="70796" ht="15.75" customHeight="1">
      <c r="A70796" s="7"/>
      <c r="B70796" s="7"/>
    </row>
    <row r="70797" ht="15.75" customHeight="1">
      <c r="A70797" s="7"/>
      <c r="B70797" s="7"/>
    </row>
    <row r="70798" ht="15.75" customHeight="1">
      <c r="A70798" s="7"/>
      <c r="B70798" s="7"/>
    </row>
    <row r="70799" ht="15.75" customHeight="1">
      <c r="A70799" s="7"/>
      <c r="B70799" s="7"/>
    </row>
    <row r="70800" ht="15.75" customHeight="1">
      <c r="A70800" s="7"/>
      <c r="B70800" s="7"/>
    </row>
    <row r="70801" ht="15.75" customHeight="1">
      <c r="A70801" s="7"/>
      <c r="B70801" s="7"/>
    </row>
    <row r="70802" ht="15.75" customHeight="1">
      <c r="A70802" s="7"/>
      <c r="B70802" s="7"/>
    </row>
    <row r="70803" ht="15.75" customHeight="1">
      <c r="A70803" s="7"/>
      <c r="B70803" s="7"/>
    </row>
    <row r="70804" ht="15.75" customHeight="1">
      <c r="A70804" s="7"/>
      <c r="B70804" s="7"/>
    </row>
    <row r="70805" ht="15.75" customHeight="1">
      <c r="A70805" s="7"/>
      <c r="B70805" s="7"/>
    </row>
    <row r="70806" ht="15.75" customHeight="1">
      <c r="A70806" s="7"/>
      <c r="B70806" s="7"/>
    </row>
    <row r="70807" ht="15.75" customHeight="1">
      <c r="A70807" s="7"/>
      <c r="B70807" s="7"/>
    </row>
    <row r="70808" ht="15.75" customHeight="1">
      <c r="A70808" s="7"/>
      <c r="B70808" s="7"/>
    </row>
    <row r="70809" ht="15.75" customHeight="1">
      <c r="A70809" s="7"/>
      <c r="B70809" s="7"/>
    </row>
    <row r="70810" ht="15.75" customHeight="1">
      <c r="A70810" s="7"/>
      <c r="B70810" s="7"/>
    </row>
    <row r="70811" ht="15.75" customHeight="1">
      <c r="A70811" s="7"/>
      <c r="B70811" s="7"/>
    </row>
    <row r="70812" ht="15.75" customHeight="1">
      <c r="A70812" s="7"/>
      <c r="B70812" s="7"/>
    </row>
    <row r="70813" ht="15.75" customHeight="1">
      <c r="A70813" s="7"/>
      <c r="B70813" s="7"/>
    </row>
    <row r="70814" ht="15.75" customHeight="1">
      <c r="A70814" s="7"/>
      <c r="B70814" s="7"/>
    </row>
    <row r="70815" ht="15.75" customHeight="1">
      <c r="A70815" s="7"/>
      <c r="B70815" s="7"/>
    </row>
    <row r="70816" ht="15.75" customHeight="1">
      <c r="A70816" s="7"/>
      <c r="B70816" s="7"/>
    </row>
    <row r="70817" ht="15.75" customHeight="1">
      <c r="A70817" s="7"/>
      <c r="B70817" s="7"/>
    </row>
    <row r="70818" ht="15.75" customHeight="1">
      <c r="A70818" s="7"/>
      <c r="B70818" s="7"/>
    </row>
    <row r="70819" ht="15.75" customHeight="1">
      <c r="A70819" s="7"/>
      <c r="B70819" s="7"/>
    </row>
    <row r="70820" ht="15.75" customHeight="1">
      <c r="A70820" s="7"/>
      <c r="B70820" s="7"/>
    </row>
    <row r="70821" ht="15.75" customHeight="1">
      <c r="A70821" s="7"/>
      <c r="B70821" s="7"/>
    </row>
    <row r="70822" ht="15.75" customHeight="1">
      <c r="A70822" s="7"/>
      <c r="B70822" s="7"/>
    </row>
    <row r="70823" ht="15.75" customHeight="1">
      <c r="A70823" s="7"/>
      <c r="B70823" s="7"/>
    </row>
    <row r="70824" ht="15.75" customHeight="1">
      <c r="A70824" s="7"/>
      <c r="B70824" s="7"/>
    </row>
    <row r="70825" ht="15.75" customHeight="1">
      <c r="A70825" s="7"/>
      <c r="B70825" s="7"/>
    </row>
    <row r="70826" ht="15.75" customHeight="1">
      <c r="A70826" s="7"/>
      <c r="B70826" s="7"/>
    </row>
    <row r="70827" ht="15.75" customHeight="1">
      <c r="A70827" s="7"/>
      <c r="B70827" s="7"/>
    </row>
    <row r="70828" ht="15.75" customHeight="1">
      <c r="A70828" s="7"/>
      <c r="B70828" s="7"/>
    </row>
    <row r="70829" ht="15.75" customHeight="1">
      <c r="A70829" s="7"/>
      <c r="B70829" s="7"/>
    </row>
    <row r="70830" ht="15.75" customHeight="1">
      <c r="A70830" s="7"/>
      <c r="B70830" s="7"/>
    </row>
    <row r="70831" ht="15.75" customHeight="1">
      <c r="A70831" s="7"/>
      <c r="B70831" s="7"/>
    </row>
    <row r="70832" ht="15.75" customHeight="1">
      <c r="A70832" s="7"/>
      <c r="B70832" s="7"/>
    </row>
    <row r="70833" ht="15.75" customHeight="1">
      <c r="A70833" s="7"/>
      <c r="B70833" s="7"/>
    </row>
    <row r="70834" ht="15.75" customHeight="1">
      <c r="A70834" s="7"/>
      <c r="B70834" s="7"/>
    </row>
    <row r="70835" ht="15.75" customHeight="1">
      <c r="A70835" s="7"/>
      <c r="B70835" s="7"/>
    </row>
    <row r="70836" ht="15.75" customHeight="1">
      <c r="A70836" s="7"/>
      <c r="B70836" s="7"/>
    </row>
    <row r="70837" ht="15.75" customHeight="1">
      <c r="A70837" s="7"/>
      <c r="B70837" s="7"/>
    </row>
    <row r="70838" ht="15.75" customHeight="1">
      <c r="A70838" s="7"/>
      <c r="B70838" s="7"/>
    </row>
    <row r="70839" ht="15.75" customHeight="1">
      <c r="A70839" s="7"/>
      <c r="B70839" s="7"/>
    </row>
    <row r="70840" ht="15.75" customHeight="1">
      <c r="A70840" s="7"/>
      <c r="B70840" s="7"/>
    </row>
    <row r="70841" ht="15.75" customHeight="1">
      <c r="A70841" s="7"/>
      <c r="B70841" s="7"/>
    </row>
    <row r="70842" ht="15.75" customHeight="1">
      <c r="A70842" s="7"/>
      <c r="B70842" s="7"/>
    </row>
    <row r="70843" ht="15.75" customHeight="1">
      <c r="A70843" s="7"/>
      <c r="B70843" s="7"/>
    </row>
    <row r="70844" ht="15.75" customHeight="1">
      <c r="A70844" s="7"/>
      <c r="B70844" s="7"/>
    </row>
    <row r="70845" ht="15.75" customHeight="1">
      <c r="A70845" s="7"/>
      <c r="B70845" s="7"/>
    </row>
    <row r="70846" ht="15.75" customHeight="1">
      <c r="A70846" s="7"/>
      <c r="B70846" s="7"/>
    </row>
    <row r="70847" ht="15.75" customHeight="1">
      <c r="A70847" s="7"/>
      <c r="B70847" s="7"/>
    </row>
    <row r="70848" ht="15.75" customHeight="1">
      <c r="A70848" s="7"/>
      <c r="B70848" s="7"/>
    </row>
    <row r="70849" ht="15.75" customHeight="1">
      <c r="A70849" s="7"/>
      <c r="B70849" s="7"/>
    </row>
    <row r="70850" ht="15.75" customHeight="1">
      <c r="A70850" s="7"/>
      <c r="B70850" s="7"/>
    </row>
    <row r="70851" ht="15.75" customHeight="1">
      <c r="A70851" s="7"/>
      <c r="B70851" s="7"/>
    </row>
    <row r="70852" ht="15.75" customHeight="1">
      <c r="A70852" s="7"/>
      <c r="B70852" s="7"/>
    </row>
    <row r="70853" ht="15.75" customHeight="1">
      <c r="A70853" s="7"/>
      <c r="B70853" s="7"/>
    </row>
    <row r="70854" ht="15.75" customHeight="1">
      <c r="A70854" s="7"/>
      <c r="B70854" s="7"/>
    </row>
    <row r="70855" ht="15.75" customHeight="1">
      <c r="A70855" s="7"/>
      <c r="B70855" s="7"/>
    </row>
    <row r="70856" ht="15.75" customHeight="1">
      <c r="A70856" s="7"/>
      <c r="B70856" s="7"/>
    </row>
    <row r="70857" ht="15.75" customHeight="1">
      <c r="A70857" s="7"/>
      <c r="B70857" s="7"/>
    </row>
    <row r="70858" ht="15.75" customHeight="1">
      <c r="A70858" s="7"/>
      <c r="B70858" s="7"/>
    </row>
    <row r="70859" ht="15.75" customHeight="1">
      <c r="A70859" s="7"/>
      <c r="B70859" s="7"/>
    </row>
    <row r="70860" ht="15.75" customHeight="1">
      <c r="A70860" s="7"/>
      <c r="B70860" s="7"/>
    </row>
    <row r="70861" ht="15.75" customHeight="1">
      <c r="A70861" s="7"/>
      <c r="B70861" s="7"/>
    </row>
    <row r="70862" ht="15.75" customHeight="1">
      <c r="A70862" s="7"/>
      <c r="B70862" s="7"/>
    </row>
    <row r="70863" ht="15.75" customHeight="1">
      <c r="A70863" s="7"/>
      <c r="B70863" s="7"/>
    </row>
    <row r="70864" ht="15.75" customHeight="1">
      <c r="A70864" s="7"/>
      <c r="B70864" s="7"/>
    </row>
    <row r="70865" ht="15.75" customHeight="1">
      <c r="A70865" s="7"/>
      <c r="B70865" s="7"/>
    </row>
    <row r="70866" ht="15.75" customHeight="1">
      <c r="A70866" s="7"/>
      <c r="B70866" s="7"/>
    </row>
    <row r="70867" ht="15.75" customHeight="1">
      <c r="A70867" s="7"/>
      <c r="B70867" s="7"/>
    </row>
    <row r="70868" ht="15.75" customHeight="1">
      <c r="A70868" s="7"/>
      <c r="B70868" s="7"/>
    </row>
    <row r="70869" ht="15.75" customHeight="1">
      <c r="A70869" s="7"/>
      <c r="B70869" s="7"/>
    </row>
    <row r="70870" ht="15.75" customHeight="1">
      <c r="A70870" s="7"/>
      <c r="B70870" s="7"/>
    </row>
    <row r="70871" ht="15.75" customHeight="1">
      <c r="A70871" s="7"/>
      <c r="B70871" s="7"/>
    </row>
    <row r="70872" ht="15.75" customHeight="1">
      <c r="A70872" s="7"/>
      <c r="B70872" s="7"/>
    </row>
    <row r="70873" ht="15.75" customHeight="1">
      <c r="A70873" s="7"/>
      <c r="B70873" s="7"/>
    </row>
    <row r="70874" ht="15.75" customHeight="1">
      <c r="A70874" s="7"/>
      <c r="B70874" s="7"/>
    </row>
    <row r="70875" ht="15.75" customHeight="1">
      <c r="A70875" s="7"/>
      <c r="B70875" s="7"/>
    </row>
    <row r="70876" ht="15.75" customHeight="1">
      <c r="A70876" s="7"/>
      <c r="B70876" s="7"/>
    </row>
    <row r="70877" ht="15.75" customHeight="1">
      <c r="A70877" s="7"/>
      <c r="B70877" s="7"/>
    </row>
    <row r="70878" ht="15.75" customHeight="1">
      <c r="A70878" s="7"/>
      <c r="B70878" s="7"/>
    </row>
    <row r="70879" ht="15.75" customHeight="1">
      <c r="A70879" s="7"/>
      <c r="B70879" s="7"/>
    </row>
    <row r="70880" ht="15.75" customHeight="1">
      <c r="A70880" s="7"/>
      <c r="B70880" s="7"/>
    </row>
    <row r="70881" ht="15.75" customHeight="1">
      <c r="A70881" s="7"/>
      <c r="B70881" s="7"/>
    </row>
    <row r="70882" ht="15.75" customHeight="1">
      <c r="A70882" s="7"/>
      <c r="B70882" s="7"/>
    </row>
    <row r="70883" ht="15.75" customHeight="1">
      <c r="A70883" s="7"/>
      <c r="B70883" s="7"/>
    </row>
    <row r="70884" ht="15.75" customHeight="1">
      <c r="A70884" s="7"/>
      <c r="B70884" s="7"/>
    </row>
    <row r="70885" ht="15.75" customHeight="1">
      <c r="A70885" s="7"/>
      <c r="B70885" s="7"/>
    </row>
    <row r="70886" ht="15.75" customHeight="1">
      <c r="A70886" s="7"/>
      <c r="B70886" s="7"/>
    </row>
    <row r="70887" ht="15.75" customHeight="1">
      <c r="A70887" s="7"/>
      <c r="B70887" s="7"/>
    </row>
    <row r="70888" ht="15.75" customHeight="1">
      <c r="A70888" s="7"/>
      <c r="B70888" s="7"/>
    </row>
    <row r="70889" ht="15.75" customHeight="1">
      <c r="A70889" s="7"/>
      <c r="B70889" s="7"/>
    </row>
    <row r="70890" ht="15.75" customHeight="1">
      <c r="A70890" s="7"/>
      <c r="B70890" s="7"/>
    </row>
    <row r="70891" ht="15.75" customHeight="1">
      <c r="A70891" s="7"/>
      <c r="B70891" s="7"/>
    </row>
    <row r="70892" ht="15.75" customHeight="1">
      <c r="A70892" s="7"/>
      <c r="B70892" s="7"/>
    </row>
    <row r="70893" ht="15.75" customHeight="1">
      <c r="A70893" s="7"/>
      <c r="B70893" s="7"/>
    </row>
    <row r="70894" ht="15.75" customHeight="1">
      <c r="A70894" s="7"/>
      <c r="B70894" s="7"/>
    </row>
    <row r="70895" ht="15.75" customHeight="1">
      <c r="A70895" s="7"/>
      <c r="B70895" s="7"/>
    </row>
    <row r="70896" ht="15.75" customHeight="1">
      <c r="A70896" s="7"/>
      <c r="B70896" s="7"/>
    </row>
    <row r="70897" ht="15.75" customHeight="1">
      <c r="A70897" s="7"/>
      <c r="B70897" s="7"/>
    </row>
    <row r="70898" ht="15.75" customHeight="1">
      <c r="A70898" s="7"/>
      <c r="B70898" s="7"/>
    </row>
    <row r="70899" ht="15.75" customHeight="1">
      <c r="A70899" s="7"/>
      <c r="B70899" s="7"/>
    </row>
    <row r="70900" ht="15.75" customHeight="1">
      <c r="A70900" s="7"/>
      <c r="B70900" s="7"/>
    </row>
    <row r="70901" ht="15.75" customHeight="1">
      <c r="A70901" s="7"/>
      <c r="B70901" s="7"/>
    </row>
    <row r="70902" ht="15.75" customHeight="1">
      <c r="A70902" s="7"/>
      <c r="B70902" s="7"/>
    </row>
    <row r="70903" ht="15.75" customHeight="1">
      <c r="A70903" s="7"/>
      <c r="B70903" s="7"/>
    </row>
    <row r="70904" ht="15.75" customHeight="1">
      <c r="A70904" s="7"/>
      <c r="B70904" s="7"/>
    </row>
    <row r="70905" ht="15.75" customHeight="1">
      <c r="A70905" s="7"/>
      <c r="B70905" s="7"/>
    </row>
    <row r="70906" ht="15.75" customHeight="1">
      <c r="A70906" s="7"/>
      <c r="B70906" s="7"/>
    </row>
    <row r="70907" ht="15.75" customHeight="1">
      <c r="A70907" s="7"/>
      <c r="B70907" s="7"/>
    </row>
    <row r="70908" ht="15.75" customHeight="1">
      <c r="A70908" s="7"/>
      <c r="B70908" s="7"/>
    </row>
    <row r="70909" ht="15.75" customHeight="1">
      <c r="A70909" s="7"/>
      <c r="B70909" s="7"/>
    </row>
    <row r="70910" ht="15.75" customHeight="1">
      <c r="A70910" s="7"/>
      <c r="B70910" s="7"/>
    </row>
    <row r="70911" ht="15.75" customHeight="1">
      <c r="A70911" s="7"/>
      <c r="B70911" s="7"/>
    </row>
    <row r="70912" ht="15.75" customHeight="1">
      <c r="A70912" s="7"/>
      <c r="B70912" s="7"/>
    </row>
    <row r="70913" ht="15.75" customHeight="1">
      <c r="A70913" s="7"/>
      <c r="B70913" s="7"/>
    </row>
    <row r="70914" ht="15.75" customHeight="1">
      <c r="A70914" s="7"/>
      <c r="B70914" s="7"/>
    </row>
    <row r="70915" ht="15.75" customHeight="1">
      <c r="A70915" s="7"/>
      <c r="B70915" s="7"/>
    </row>
    <row r="70916" ht="15.75" customHeight="1">
      <c r="A70916" s="7"/>
      <c r="B70916" s="7"/>
    </row>
    <row r="70917" ht="15.75" customHeight="1">
      <c r="A70917" s="7"/>
      <c r="B70917" s="7"/>
    </row>
    <row r="70918" ht="15.75" customHeight="1">
      <c r="A70918" s="7"/>
      <c r="B70918" s="7"/>
    </row>
    <row r="70919" ht="15.75" customHeight="1">
      <c r="A70919" s="7"/>
      <c r="B70919" s="7"/>
    </row>
    <row r="70920" ht="15.75" customHeight="1">
      <c r="A70920" s="7"/>
      <c r="B70920" s="7"/>
    </row>
    <row r="70921" ht="15.75" customHeight="1">
      <c r="A70921" s="7"/>
      <c r="B70921" s="7"/>
    </row>
    <row r="70922" ht="15.75" customHeight="1">
      <c r="A70922" s="7"/>
      <c r="B70922" s="7"/>
    </row>
    <row r="70923" ht="15.75" customHeight="1">
      <c r="A70923" s="7"/>
      <c r="B70923" s="7"/>
    </row>
    <row r="70924" ht="15.75" customHeight="1">
      <c r="A70924" s="7"/>
      <c r="B70924" s="7"/>
    </row>
    <row r="70925" ht="15.75" customHeight="1">
      <c r="A70925" s="7"/>
      <c r="B70925" s="7"/>
    </row>
    <row r="70926" ht="15.75" customHeight="1">
      <c r="A70926" s="7"/>
      <c r="B70926" s="7"/>
    </row>
    <row r="70927" ht="15.75" customHeight="1">
      <c r="A70927" s="7"/>
      <c r="B70927" s="7"/>
    </row>
    <row r="70928" ht="15.75" customHeight="1">
      <c r="A70928" s="7"/>
      <c r="B70928" s="7"/>
    </row>
    <row r="70929" ht="15.75" customHeight="1">
      <c r="A70929" s="7"/>
      <c r="B70929" s="7"/>
    </row>
    <row r="70930" ht="15.75" customHeight="1">
      <c r="A70930" s="7"/>
      <c r="B70930" s="7"/>
    </row>
    <row r="70931" ht="15.75" customHeight="1">
      <c r="A70931" s="7"/>
      <c r="B70931" s="7"/>
    </row>
    <row r="70932" ht="15.75" customHeight="1">
      <c r="A70932" s="7"/>
      <c r="B70932" s="7"/>
    </row>
    <row r="70933" ht="15.75" customHeight="1">
      <c r="A70933" s="7"/>
      <c r="B70933" s="7"/>
    </row>
    <row r="70934" ht="15.75" customHeight="1">
      <c r="A70934" s="7"/>
      <c r="B70934" s="7"/>
    </row>
    <row r="70935" ht="15.75" customHeight="1">
      <c r="A70935" s="7"/>
      <c r="B70935" s="7"/>
    </row>
    <row r="70936" ht="15.75" customHeight="1">
      <c r="A70936" s="7"/>
      <c r="B70936" s="7"/>
    </row>
    <row r="70937" ht="15.75" customHeight="1">
      <c r="A70937" s="7"/>
      <c r="B70937" s="7"/>
    </row>
    <row r="70938" ht="15.75" customHeight="1">
      <c r="A70938" s="7"/>
      <c r="B70938" s="7"/>
    </row>
    <row r="70939" ht="15.75" customHeight="1">
      <c r="A70939" s="7"/>
      <c r="B70939" s="7"/>
    </row>
    <row r="70940" ht="15.75" customHeight="1">
      <c r="A70940" s="7"/>
      <c r="B70940" s="7"/>
    </row>
    <row r="70941" ht="15.75" customHeight="1">
      <c r="A70941" s="7"/>
      <c r="B70941" s="7"/>
    </row>
    <row r="70942" ht="15.75" customHeight="1">
      <c r="A70942" s="7"/>
      <c r="B70942" s="7"/>
    </row>
    <row r="70943" ht="15.75" customHeight="1">
      <c r="A70943" s="7"/>
      <c r="B70943" s="7"/>
    </row>
    <row r="70944" ht="15.75" customHeight="1">
      <c r="A70944" s="7"/>
      <c r="B70944" s="7"/>
    </row>
    <row r="70945" ht="15.75" customHeight="1">
      <c r="A70945" s="7"/>
      <c r="B70945" s="7"/>
    </row>
    <row r="70946" ht="15.75" customHeight="1">
      <c r="A70946" s="7"/>
      <c r="B70946" s="7"/>
    </row>
    <row r="70947" ht="15.75" customHeight="1">
      <c r="A70947" s="7"/>
      <c r="B70947" s="7"/>
    </row>
    <row r="70948" ht="15.75" customHeight="1">
      <c r="A70948" s="7"/>
      <c r="B70948" s="7"/>
    </row>
    <row r="70949" ht="15.75" customHeight="1">
      <c r="A70949" s="7"/>
      <c r="B70949" s="7"/>
    </row>
    <row r="70950" ht="15.75" customHeight="1">
      <c r="A70950" s="7"/>
      <c r="B70950" s="7"/>
    </row>
    <row r="70951" ht="15.75" customHeight="1">
      <c r="A70951" s="7"/>
      <c r="B70951" s="7"/>
    </row>
    <row r="70952" ht="15.75" customHeight="1">
      <c r="A70952" s="7"/>
      <c r="B70952" s="7"/>
    </row>
    <row r="70953" ht="15.75" customHeight="1">
      <c r="A70953" s="7"/>
      <c r="B70953" s="7"/>
    </row>
    <row r="70954" ht="15.75" customHeight="1">
      <c r="A70954" s="7"/>
      <c r="B70954" s="7"/>
    </row>
    <row r="70955" ht="15.75" customHeight="1">
      <c r="A70955" s="7"/>
      <c r="B70955" s="7"/>
    </row>
    <row r="70956" ht="15.75" customHeight="1">
      <c r="A70956" s="7"/>
      <c r="B70956" s="7"/>
    </row>
    <row r="70957" ht="15.75" customHeight="1">
      <c r="A70957" s="7"/>
      <c r="B70957" s="7"/>
    </row>
    <row r="70958" ht="15.75" customHeight="1">
      <c r="A70958" s="7"/>
      <c r="B70958" s="7"/>
    </row>
    <row r="70959" ht="15.75" customHeight="1">
      <c r="A70959" s="7"/>
      <c r="B70959" s="7"/>
    </row>
    <row r="70960" ht="15.75" customHeight="1">
      <c r="A70960" s="7"/>
      <c r="B70960" s="7"/>
    </row>
    <row r="70961" ht="15.75" customHeight="1">
      <c r="A70961" s="7"/>
      <c r="B70961" s="7"/>
    </row>
    <row r="70962" ht="15.75" customHeight="1">
      <c r="A70962" s="7"/>
      <c r="B70962" s="7"/>
    </row>
    <row r="70963" ht="15.75" customHeight="1">
      <c r="A70963" s="7"/>
      <c r="B70963" s="7"/>
    </row>
    <row r="70964" ht="15.75" customHeight="1">
      <c r="A70964" s="7"/>
      <c r="B70964" s="7"/>
    </row>
    <row r="70965" ht="15.75" customHeight="1">
      <c r="A70965" s="7"/>
      <c r="B70965" s="7"/>
    </row>
    <row r="70966" ht="15.75" customHeight="1">
      <c r="A70966" s="7"/>
      <c r="B70966" s="7"/>
    </row>
    <row r="70967" ht="15.75" customHeight="1">
      <c r="A70967" s="7"/>
      <c r="B70967" s="7"/>
    </row>
    <row r="70968" ht="15.75" customHeight="1">
      <c r="A70968" s="7"/>
      <c r="B70968" s="7"/>
    </row>
    <row r="70969" ht="15.75" customHeight="1">
      <c r="A70969" s="7"/>
      <c r="B70969" s="7"/>
    </row>
    <row r="70970" ht="15.75" customHeight="1">
      <c r="A70970" s="7"/>
      <c r="B70970" s="7"/>
    </row>
    <row r="70971" ht="15.75" customHeight="1">
      <c r="A70971" s="7"/>
      <c r="B70971" s="7"/>
    </row>
    <row r="70972" ht="15.75" customHeight="1">
      <c r="A70972" s="7"/>
      <c r="B70972" s="7"/>
    </row>
    <row r="70973" ht="15.75" customHeight="1">
      <c r="A70973" s="7"/>
      <c r="B70973" s="7"/>
    </row>
    <row r="70974" ht="15.75" customHeight="1">
      <c r="A70974" s="7"/>
      <c r="B70974" s="7"/>
    </row>
    <row r="70975" ht="15.75" customHeight="1">
      <c r="A70975" s="7"/>
      <c r="B70975" s="7"/>
    </row>
    <row r="70976" ht="15.75" customHeight="1">
      <c r="A70976" s="7"/>
      <c r="B70976" s="7"/>
    </row>
    <row r="70977" ht="15.75" customHeight="1">
      <c r="A70977" s="7"/>
      <c r="B70977" s="7"/>
    </row>
    <row r="70978" ht="15.75" customHeight="1">
      <c r="A70978" s="7"/>
      <c r="B70978" s="7"/>
    </row>
    <row r="70979" ht="15.75" customHeight="1">
      <c r="A70979" s="7"/>
      <c r="B70979" s="7"/>
    </row>
    <row r="70980" ht="15.75" customHeight="1">
      <c r="A70980" s="7"/>
      <c r="B70980" s="7"/>
    </row>
    <row r="70981" ht="15.75" customHeight="1">
      <c r="A70981" s="7"/>
      <c r="B70981" s="7"/>
    </row>
    <row r="70982" ht="15.75" customHeight="1">
      <c r="A70982" s="7"/>
      <c r="B70982" s="7"/>
    </row>
    <row r="70983" ht="15.75" customHeight="1">
      <c r="A70983" s="7"/>
      <c r="B70983" s="7"/>
    </row>
    <row r="70984" ht="15.75" customHeight="1">
      <c r="A70984" s="7"/>
      <c r="B70984" s="7"/>
    </row>
    <row r="70985" ht="15.75" customHeight="1">
      <c r="A70985" s="7"/>
      <c r="B70985" s="7"/>
    </row>
    <row r="70986" ht="15.75" customHeight="1">
      <c r="A70986" s="7"/>
      <c r="B70986" s="7"/>
    </row>
    <row r="70987" ht="15.75" customHeight="1">
      <c r="A70987" s="7"/>
      <c r="B70987" s="7"/>
    </row>
    <row r="70988" ht="15.75" customHeight="1">
      <c r="A70988" s="7"/>
      <c r="B70988" s="7"/>
    </row>
    <row r="70989" ht="15.75" customHeight="1">
      <c r="A70989" s="7"/>
      <c r="B70989" s="7"/>
    </row>
    <row r="70990" ht="15.75" customHeight="1">
      <c r="A70990" s="7"/>
      <c r="B70990" s="7"/>
    </row>
    <row r="70991" ht="15.75" customHeight="1">
      <c r="A70991" s="7"/>
      <c r="B70991" s="7"/>
    </row>
    <row r="70992" ht="15.75" customHeight="1">
      <c r="A70992" s="7"/>
      <c r="B70992" s="7"/>
    </row>
    <row r="70993" ht="15.75" customHeight="1">
      <c r="A70993" s="7"/>
      <c r="B70993" s="7"/>
    </row>
    <row r="70994" ht="15.75" customHeight="1">
      <c r="A70994" s="7"/>
      <c r="B70994" s="7"/>
    </row>
    <row r="70995" ht="15.75" customHeight="1">
      <c r="A70995" s="7"/>
      <c r="B70995" s="7"/>
    </row>
    <row r="70996" ht="15.75" customHeight="1">
      <c r="A70996" s="7"/>
      <c r="B70996" s="7"/>
    </row>
    <row r="70997" ht="15.75" customHeight="1">
      <c r="A70997" s="7"/>
      <c r="B70997" s="7"/>
    </row>
    <row r="70998" ht="15.75" customHeight="1">
      <c r="A70998" s="7"/>
      <c r="B70998" s="7"/>
    </row>
    <row r="70999" ht="15.75" customHeight="1">
      <c r="A70999" s="7"/>
      <c r="B70999" s="7"/>
    </row>
    <row r="71000" ht="15.75" customHeight="1">
      <c r="A71000" s="7"/>
      <c r="B71000" s="7"/>
    </row>
    <row r="71001" ht="15.75" customHeight="1">
      <c r="A71001" s="7"/>
      <c r="B71001" s="7"/>
    </row>
    <row r="71002" ht="15.75" customHeight="1">
      <c r="A71002" s="7"/>
      <c r="B71002" s="7"/>
    </row>
    <row r="71003" ht="15.75" customHeight="1">
      <c r="A71003" s="7"/>
      <c r="B71003" s="7"/>
    </row>
    <row r="71004" ht="15.75" customHeight="1">
      <c r="A71004" s="7"/>
      <c r="B71004" s="7"/>
    </row>
    <row r="71005" ht="15.75" customHeight="1">
      <c r="A71005" s="7"/>
      <c r="B71005" s="7"/>
    </row>
    <row r="71006" ht="15.75" customHeight="1">
      <c r="A71006" s="7"/>
      <c r="B71006" s="7"/>
    </row>
    <row r="71007" ht="15.75" customHeight="1">
      <c r="A71007" s="7"/>
      <c r="B71007" s="7"/>
    </row>
    <row r="71008" ht="15.75" customHeight="1">
      <c r="A71008" s="7"/>
      <c r="B71008" s="7"/>
    </row>
    <row r="71009" ht="15.75" customHeight="1">
      <c r="A71009" s="7"/>
      <c r="B71009" s="7"/>
    </row>
    <row r="71010" ht="15.75" customHeight="1">
      <c r="A71010" s="7"/>
      <c r="B71010" s="7"/>
    </row>
    <row r="71011" ht="15.75" customHeight="1">
      <c r="A71011" s="7"/>
      <c r="B71011" s="7"/>
    </row>
    <row r="71012" ht="15.75" customHeight="1">
      <c r="A71012" s="7"/>
      <c r="B71012" s="7"/>
    </row>
    <row r="71013" ht="15.75" customHeight="1">
      <c r="A71013" s="7"/>
      <c r="B71013" s="7"/>
    </row>
    <row r="71014" ht="15.75" customHeight="1">
      <c r="A71014" s="7"/>
      <c r="B71014" s="7"/>
    </row>
    <row r="71015" ht="15.75" customHeight="1">
      <c r="A71015" s="7"/>
      <c r="B71015" s="7"/>
    </row>
    <row r="71016" ht="15.75" customHeight="1">
      <c r="A71016" s="7"/>
      <c r="B71016" s="7"/>
    </row>
    <row r="71017" ht="15.75" customHeight="1">
      <c r="A71017" s="7"/>
      <c r="B71017" s="7"/>
    </row>
    <row r="71018" ht="15.75" customHeight="1">
      <c r="A71018" s="7"/>
      <c r="B71018" s="7"/>
    </row>
    <row r="71019" ht="15.75" customHeight="1">
      <c r="A71019" s="7"/>
      <c r="B71019" s="7"/>
    </row>
    <row r="71020" ht="15.75" customHeight="1">
      <c r="A71020" s="7"/>
      <c r="B71020" s="7"/>
    </row>
    <row r="71021" ht="15.75" customHeight="1">
      <c r="A71021" s="7"/>
      <c r="B71021" s="7"/>
    </row>
    <row r="71022" ht="15.75" customHeight="1">
      <c r="A71022" s="7"/>
      <c r="B71022" s="7"/>
    </row>
    <row r="71023" ht="15.75" customHeight="1">
      <c r="A71023" s="7"/>
      <c r="B71023" s="7"/>
    </row>
    <row r="71024" ht="15.75" customHeight="1">
      <c r="A71024" s="7"/>
      <c r="B71024" s="7"/>
    </row>
    <row r="71025" ht="15.75" customHeight="1">
      <c r="A71025" s="7"/>
      <c r="B71025" s="7"/>
    </row>
    <row r="71026" ht="15.75" customHeight="1">
      <c r="A71026" s="7"/>
      <c r="B71026" s="7"/>
    </row>
    <row r="71027" ht="15.75" customHeight="1">
      <c r="A71027" s="7"/>
      <c r="B71027" s="7"/>
    </row>
    <row r="71028" ht="15.75" customHeight="1">
      <c r="A71028" s="7"/>
      <c r="B71028" s="7"/>
    </row>
    <row r="71029" ht="15.75" customHeight="1">
      <c r="A71029" s="7"/>
      <c r="B71029" s="7"/>
    </row>
    <row r="71030" ht="15.75" customHeight="1">
      <c r="A71030" s="7"/>
      <c r="B71030" s="7"/>
    </row>
    <row r="71031" ht="15.75" customHeight="1">
      <c r="A71031" s="7"/>
      <c r="B71031" s="7"/>
    </row>
    <row r="71032" ht="15.75" customHeight="1">
      <c r="A71032" s="7"/>
      <c r="B71032" s="7"/>
    </row>
    <row r="71033" ht="15.75" customHeight="1">
      <c r="A71033" s="7"/>
      <c r="B71033" s="7"/>
    </row>
    <row r="71034" ht="15.75" customHeight="1">
      <c r="A71034" s="7"/>
      <c r="B71034" s="7"/>
    </row>
    <row r="71035" ht="15.75" customHeight="1">
      <c r="A71035" s="7"/>
      <c r="B71035" s="7"/>
    </row>
    <row r="71036" ht="15.75" customHeight="1">
      <c r="A71036" s="7"/>
      <c r="B71036" s="7"/>
    </row>
    <row r="71037" ht="15.75" customHeight="1">
      <c r="A71037" s="7"/>
      <c r="B71037" s="7"/>
    </row>
    <row r="71038" ht="15.75" customHeight="1">
      <c r="A71038" s="7"/>
      <c r="B71038" s="7"/>
    </row>
    <row r="71039" ht="15.75" customHeight="1">
      <c r="A71039" s="7"/>
      <c r="B71039" s="7"/>
    </row>
    <row r="71040" ht="15.75" customHeight="1">
      <c r="A71040" s="7"/>
      <c r="B71040" s="7"/>
    </row>
    <row r="71041" ht="15.75" customHeight="1">
      <c r="A71041" s="7"/>
      <c r="B71041" s="7"/>
    </row>
    <row r="71042" ht="15.75" customHeight="1">
      <c r="A71042" s="7"/>
      <c r="B71042" s="7"/>
    </row>
    <row r="71043" ht="15.75" customHeight="1">
      <c r="A71043" s="7"/>
      <c r="B71043" s="7"/>
    </row>
    <row r="71044" ht="15.75" customHeight="1">
      <c r="A71044" s="7"/>
      <c r="B71044" s="7"/>
    </row>
    <row r="71045" ht="15.75" customHeight="1">
      <c r="A71045" s="7"/>
      <c r="B71045" s="7"/>
    </row>
    <row r="71046" ht="15.75" customHeight="1">
      <c r="A71046" s="7"/>
      <c r="B71046" s="7"/>
    </row>
    <row r="71047" ht="15.75" customHeight="1">
      <c r="A71047" s="7"/>
      <c r="B71047" s="7"/>
    </row>
    <row r="71048" ht="15.75" customHeight="1">
      <c r="A71048" s="7"/>
      <c r="B71048" s="7"/>
    </row>
    <row r="71049" ht="15.75" customHeight="1">
      <c r="A71049" s="7"/>
      <c r="B71049" s="7"/>
    </row>
    <row r="71050" ht="15.75" customHeight="1">
      <c r="A71050" s="7"/>
      <c r="B71050" s="7"/>
    </row>
    <row r="71051" ht="15.75" customHeight="1">
      <c r="A71051" s="7"/>
      <c r="B71051" s="7"/>
    </row>
    <row r="71052" ht="15.75" customHeight="1">
      <c r="A71052" s="7"/>
      <c r="B71052" s="7"/>
    </row>
    <row r="71053" ht="15.75" customHeight="1">
      <c r="A71053" s="7"/>
      <c r="B71053" s="7"/>
    </row>
    <row r="71054" ht="15.75" customHeight="1">
      <c r="A71054" s="7"/>
      <c r="B71054" s="7"/>
    </row>
    <row r="71055" ht="15.75" customHeight="1">
      <c r="A71055" s="7"/>
      <c r="B71055" s="7"/>
    </row>
    <row r="71056" ht="15.75" customHeight="1">
      <c r="A71056" s="7"/>
      <c r="B71056" s="7"/>
    </row>
    <row r="71057" ht="15.75" customHeight="1">
      <c r="A71057" s="7"/>
      <c r="B71057" s="7"/>
    </row>
    <row r="71058" ht="15.75" customHeight="1">
      <c r="A71058" s="7"/>
      <c r="B71058" s="7"/>
    </row>
    <row r="71059" ht="15.75" customHeight="1">
      <c r="A71059" s="7"/>
      <c r="B71059" s="7"/>
    </row>
    <row r="71060" ht="15.75" customHeight="1">
      <c r="A71060" s="7"/>
      <c r="B71060" s="7"/>
    </row>
    <row r="71061" ht="15.75" customHeight="1">
      <c r="A71061" s="7"/>
      <c r="B71061" s="7"/>
    </row>
    <row r="71062" ht="15.75" customHeight="1">
      <c r="A71062" s="7"/>
      <c r="B71062" s="7"/>
    </row>
    <row r="71063" ht="15.75" customHeight="1">
      <c r="A71063" s="7"/>
      <c r="B71063" s="7"/>
    </row>
    <row r="71064" ht="15.75" customHeight="1">
      <c r="A71064" s="7"/>
      <c r="B71064" s="7"/>
    </row>
    <row r="71065" ht="15.75" customHeight="1">
      <c r="A71065" s="7"/>
      <c r="B71065" s="7"/>
    </row>
    <row r="71066" ht="15.75" customHeight="1">
      <c r="A71066" s="7"/>
      <c r="B71066" s="7"/>
    </row>
    <row r="71067" ht="15.75" customHeight="1">
      <c r="A71067" s="7"/>
      <c r="B71067" s="7"/>
    </row>
    <row r="71068" ht="15.75" customHeight="1">
      <c r="A71068" s="7"/>
      <c r="B71068" s="7"/>
    </row>
    <row r="71069" ht="15.75" customHeight="1">
      <c r="A71069" s="7"/>
      <c r="B71069" s="7"/>
    </row>
    <row r="71070" ht="15.75" customHeight="1">
      <c r="A71070" s="7"/>
      <c r="B71070" s="7"/>
    </row>
    <row r="71071" ht="15.75" customHeight="1">
      <c r="A71071" s="7"/>
      <c r="B71071" s="7"/>
    </row>
    <row r="71072" ht="15.75" customHeight="1">
      <c r="A71072" s="7"/>
      <c r="B71072" s="7"/>
    </row>
    <row r="71073" ht="15.75" customHeight="1">
      <c r="A71073" s="7"/>
      <c r="B71073" s="7"/>
    </row>
    <row r="71074" ht="15.75" customHeight="1">
      <c r="A71074" s="7"/>
      <c r="B71074" s="7"/>
    </row>
    <row r="71075" ht="15.75" customHeight="1">
      <c r="A71075" s="7"/>
      <c r="B71075" s="7"/>
    </row>
    <row r="71076" ht="15.75" customHeight="1">
      <c r="A71076" s="7"/>
      <c r="B71076" s="7"/>
    </row>
    <row r="71077" ht="15.75" customHeight="1">
      <c r="A71077" s="7"/>
      <c r="B71077" s="7"/>
    </row>
    <row r="71078" ht="15.75" customHeight="1">
      <c r="A71078" s="7"/>
      <c r="B71078" s="7"/>
    </row>
    <row r="71079" ht="15.75" customHeight="1">
      <c r="A71079" s="7"/>
      <c r="B71079" s="7"/>
    </row>
    <row r="71080" ht="15.75" customHeight="1">
      <c r="A71080" s="7"/>
      <c r="B71080" s="7"/>
    </row>
    <row r="71081" ht="15.75" customHeight="1">
      <c r="A71081" s="7"/>
      <c r="B71081" s="7"/>
    </row>
    <row r="71082" ht="15.75" customHeight="1">
      <c r="A71082" s="7"/>
      <c r="B71082" s="7"/>
    </row>
    <row r="71083" ht="15.75" customHeight="1">
      <c r="A71083" s="7"/>
      <c r="B71083" s="7"/>
    </row>
    <row r="71084" ht="15.75" customHeight="1">
      <c r="A71084" s="7"/>
      <c r="B71084" s="7"/>
    </row>
    <row r="71085" ht="15.75" customHeight="1">
      <c r="A71085" s="7"/>
      <c r="B71085" s="7"/>
    </row>
    <row r="71086" ht="15.75" customHeight="1">
      <c r="A71086" s="7"/>
      <c r="B71086" s="7"/>
    </row>
    <row r="71087" ht="15.75" customHeight="1">
      <c r="A71087" s="7"/>
      <c r="B71087" s="7"/>
    </row>
    <row r="71088" ht="15.75" customHeight="1">
      <c r="A71088" s="7"/>
      <c r="B71088" s="7"/>
    </row>
    <row r="71089" ht="15.75" customHeight="1">
      <c r="A71089" s="7"/>
      <c r="B71089" s="7"/>
    </row>
    <row r="71090" ht="15.75" customHeight="1">
      <c r="A71090" s="7"/>
      <c r="B71090" s="7"/>
    </row>
    <row r="71091" ht="15.75" customHeight="1">
      <c r="A71091" s="7"/>
      <c r="B71091" s="7"/>
    </row>
    <row r="71092" ht="15.75" customHeight="1">
      <c r="A71092" s="7"/>
      <c r="B71092" s="7"/>
    </row>
    <row r="71093" ht="15.75" customHeight="1">
      <c r="A71093" s="7"/>
      <c r="B71093" s="7"/>
    </row>
    <row r="71094" ht="15.75" customHeight="1">
      <c r="A71094" s="7"/>
      <c r="B71094" s="7"/>
    </row>
    <row r="71095" ht="15.75" customHeight="1">
      <c r="A71095" s="7"/>
      <c r="B71095" s="7"/>
    </row>
    <row r="71096" ht="15.75" customHeight="1">
      <c r="A71096" s="7"/>
      <c r="B71096" s="7"/>
    </row>
    <row r="71097" ht="15.75" customHeight="1">
      <c r="A71097" s="7"/>
      <c r="B71097" s="7"/>
    </row>
    <row r="71098" ht="15.75" customHeight="1">
      <c r="A71098" s="7"/>
      <c r="B71098" s="7"/>
    </row>
    <row r="71099" ht="15.75" customHeight="1">
      <c r="A71099" s="7"/>
      <c r="B71099" s="7"/>
    </row>
    <row r="71100" ht="15.75" customHeight="1">
      <c r="A71100" s="7"/>
      <c r="B71100" s="7"/>
    </row>
    <row r="71101" ht="15.75" customHeight="1">
      <c r="A71101" s="7"/>
      <c r="B71101" s="7"/>
    </row>
    <row r="71102" ht="15.75" customHeight="1">
      <c r="A71102" s="7"/>
      <c r="B71102" s="7"/>
    </row>
    <row r="71103" ht="15.75" customHeight="1">
      <c r="A71103" s="7"/>
      <c r="B71103" s="7"/>
    </row>
    <row r="71104" ht="15.75" customHeight="1">
      <c r="A71104" s="7"/>
      <c r="B71104" s="7"/>
    </row>
    <row r="71105" ht="15.75" customHeight="1">
      <c r="A71105" s="7"/>
      <c r="B71105" s="7"/>
    </row>
    <row r="71106" ht="15.75" customHeight="1">
      <c r="A71106" s="7"/>
      <c r="B71106" s="7"/>
    </row>
    <row r="71107" ht="15.75" customHeight="1">
      <c r="A71107" s="7"/>
      <c r="B71107" s="7"/>
    </row>
    <row r="71108" ht="15.75" customHeight="1">
      <c r="A71108" s="7"/>
      <c r="B71108" s="7"/>
    </row>
    <row r="71109" ht="15.75" customHeight="1">
      <c r="A71109" s="7"/>
      <c r="B71109" s="7"/>
    </row>
    <row r="71110" ht="15.75" customHeight="1">
      <c r="A71110" s="7"/>
      <c r="B71110" s="7"/>
    </row>
    <row r="71111" ht="15.75" customHeight="1">
      <c r="A71111" s="7"/>
      <c r="B71111" s="7"/>
    </row>
    <row r="71112" ht="15.75" customHeight="1">
      <c r="A71112" s="7"/>
      <c r="B71112" s="7"/>
    </row>
    <row r="71113" ht="15.75" customHeight="1">
      <c r="A71113" s="7"/>
      <c r="B71113" s="7"/>
    </row>
    <row r="71114" ht="15.75" customHeight="1">
      <c r="A71114" s="7"/>
      <c r="B71114" s="7"/>
    </row>
    <row r="71115" ht="15.75" customHeight="1">
      <c r="A71115" s="7"/>
      <c r="B71115" s="7"/>
    </row>
    <row r="71116" ht="15.75" customHeight="1">
      <c r="A71116" s="7"/>
      <c r="B71116" s="7"/>
    </row>
    <row r="71117" ht="15.75" customHeight="1">
      <c r="A71117" s="7"/>
      <c r="B71117" s="7"/>
    </row>
    <row r="71118" ht="15.75" customHeight="1">
      <c r="A71118" s="7"/>
      <c r="B71118" s="7"/>
    </row>
    <row r="71119" ht="15.75" customHeight="1">
      <c r="A71119" s="7"/>
      <c r="B71119" s="7"/>
    </row>
    <row r="71120" ht="15.75" customHeight="1">
      <c r="A71120" s="7"/>
      <c r="B71120" s="7"/>
    </row>
    <row r="71121" ht="15.75" customHeight="1">
      <c r="A71121" s="7"/>
      <c r="B71121" s="7"/>
    </row>
    <row r="71122" ht="15.75" customHeight="1">
      <c r="A71122" s="7"/>
      <c r="B71122" s="7"/>
    </row>
    <row r="71123" ht="15.75" customHeight="1">
      <c r="A71123" s="7"/>
      <c r="B71123" s="7"/>
    </row>
    <row r="71124" ht="15.75" customHeight="1">
      <c r="A71124" s="7"/>
      <c r="B71124" s="7"/>
    </row>
    <row r="71125" ht="15.75" customHeight="1">
      <c r="A71125" s="7"/>
      <c r="B71125" s="7"/>
    </row>
    <row r="71126" ht="15.75" customHeight="1">
      <c r="A71126" s="7"/>
      <c r="B71126" s="7"/>
    </row>
    <row r="71127" ht="15.75" customHeight="1">
      <c r="A71127" s="7"/>
      <c r="B71127" s="7"/>
    </row>
    <row r="71128" ht="15.75" customHeight="1">
      <c r="A71128" s="7"/>
      <c r="B71128" s="7"/>
    </row>
    <row r="71129" ht="15.75" customHeight="1">
      <c r="A71129" s="7"/>
      <c r="B71129" s="7"/>
    </row>
    <row r="71130" ht="15.75" customHeight="1">
      <c r="A71130" s="7"/>
      <c r="B71130" s="7"/>
    </row>
    <row r="71131" ht="15.75" customHeight="1">
      <c r="A71131" s="7"/>
      <c r="B71131" s="7"/>
    </row>
    <row r="71132" ht="15.75" customHeight="1">
      <c r="A71132" s="7"/>
      <c r="B71132" s="7"/>
    </row>
    <row r="71133" ht="15.75" customHeight="1">
      <c r="A71133" s="7"/>
      <c r="B71133" s="7"/>
    </row>
    <row r="71134" ht="15.75" customHeight="1">
      <c r="A71134" s="7"/>
      <c r="B71134" s="7"/>
    </row>
    <row r="71135" ht="15.75" customHeight="1">
      <c r="A71135" s="7"/>
      <c r="B71135" s="7"/>
    </row>
    <row r="71136" ht="15.75" customHeight="1">
      <c r="A71136" s="7"/>
      <c r="B71136" s="7"/>
    </row>
    <row r="71137" ht="15.75" customHeight="1">
      <c r="A71137" s="7"/>
      <c r="B71137" s="7"/>
    </row>
    <row r="71138" ht="15.75" customHeight="1">
      <c r="A71138" s="7"/>
      <c r="B71138" s="7"/>
    </row>
    <row r="71139" ht="15.75" customHeight="1">
      <c r="A71139" s="7"/>
      <c r="B71139" s="7"/>
    </row>
    <row r="71140" ht="15.75" customHeight="1">
      <c r="A71140" s="7"/>
      <c r="B71140" s="7"/>
    </row>
    <row r="71141" ht="15.75" customHeight="1">
      <c r="A71141" s="7"/>
      <c r="B71141" s="7"/>
    </row>
    <row r="71142" ht="15.75" customHeight="1">
      <c r="A71142" s="7"/>
      <c r="B71142" s="7"/>
    </row>
    <row r="71143" ht="15.75" customHeight="1">
      <c r="A71143" s="7"/>
      <c r="B71143" s="7"/>
    </row>
    <row r="71144" ht="15.75" customHeight="1">
      <c r="A71144" s="7"/>
      <c r="B71144" s="7"/>
    </row>
    <row r="71145" ht="15.75" customHeight="1">
      <c r="A71145" s="7"/>
      <c r="B71145" s="7"/>
    </row>
    <row r="71146" ht="15.75" customHeight="1">
      <c r="A71146" s="7"/>
      <c r="B71146" s="7"/>
    </row>
    <row r="71147" ht="15.75" customHeight="1">
      <c r="A71147" s="7"/>
      <c r="B71147" s="7"/>
    </row>
    <row r="71148" ht="15.75" customHeight="1">
      <c r="A71148" s="7"/>
      <c r="B71148" s="7"/>
    </row>
    <row r="71149" ht="15.75" customHeight="1">
      <c r="A71149" s="7"/>
      <c r="B71149" s="7"/>
    </row>
    <row r="71150" ht="15.75" customHeight="1">
      <c r="A71150" s="7"/>
      <c r="B71150" s="7"/>
    </row>
    <row r="71151" ht="15.75" customHeight="1">
      <c r="A71151" s="7"/>
      <c r="B71151" s="7"/>
    </row>
    <row r="71152" ht="15.75" customHeight="1">
      <c r="A71152" s="7"/>
      <c r="B71152" s="7"/>
    </row>
    <row r="71153" ht="15.75" customHeight="1">
      <c r="A71153" s="7"/>
      <c r="B71153" s="7"/>
    </row>
    <row r="71154" ht="15.75" customHeight="1">
      <c r="A71154" s="7"/>
      <c r="B71154" s="7"/>
    </row>
    <row r="71155" ht="15.75" customHeight="1">
      <c r="A71155" s="7"/>
      <c r="B71155" s="7"/>
    </row>
    <row r="71156" ht="15.75" customHeight="1">
      <c r="A71156" s="7"/>
      <c r="B71156" s="7"/>
    </row>
    <row r="71157" ht="15.75" customHeight="1">
      <c r="A71157" s="7"/>
      <c r="B71157" s="7"/>
    </row>
    <row r="71158" ht="15.75" customHeight="1">
      <c r="A71158" s="7"/>
      <c r="B71158" s="7"/>
    </row>
    <row r="71159" ht="15.75" customHeight="1">
      <c r="A71159" s="7"/>
      <c r="B71159" s="7"/>
    </row>
    <row r="71160" ht="15.75" customHeight="1">
      <c r="A71160" s="7"/>
      <c r="B71160" s="7"/>
    </row>
    <row r="71161" ht="15.75" customHeight="1">
      <c r="A71161" s="7"/>
      <c r="B71161" s="7"/>
    </row>
    <row r="71162" ht="15.75" customHeight="1">
      <c r="A71162" s="7"/>
      <c r="B71162" s="7"/>
    </row>
    <row r="71163" ht="15.75" customHeight="1">
      <c r="A71163" s="7"/>
      <c r="B71163" s="7"/>
    </row>
    <row r="71164" ht="15.75" customHeight="1">
      <c r="A71164" s="7"/>
      <c r="B71164" s="7"/>
    </row>
    <row r="71165" ht="15.75" customHeight="1">
      <c r="A71165" s="7"/>
      <c r="B71165" s="7"/>
    </row>
    <row r="71166" ht="15.75" customHeight="1">
      <c r="A71166" s="7"/>
      <c r="B71166" s="7"/>
    </row>
    <row r="71167" ht="15.75" customHeight="1">
      <c r="A71167" s="7"/>
      <c r="B71167" s="7"/>
    </row>
    <row r="71168" ht="15.75" customHeight="1">
      <c r="A71168" s="7"/>
      <c r="B71168" s="7"/>
    </row>
    <row r="71169" ht="15.75" customHeight="1">
      <c r="A71169" s="7"/>
      <c r="B71169" s="7"/>
    </row>
    <row r="71170" ht="15.75" customHeight="1">
      <c r="A71170" s="7"/>
      <c r="B71170" s="7"/>
    </row>
    <row r="71171" ht="15.75" customHeight="1">
      <c r="A71171" s="7"/>
      <c r="B71171" s="7"/>
    </row>
    <row r="71172" ht="15.75" customHeight="1">
      <c r="A71172" s="7"/>
      <c r="B71172" s="7"/>
    </row>
    <row r="71173" ht="15.75" customHeight="1">
      <c r="A71173" s="7"/>
      <c r="B71173" s="7"/>
    </row>
    <row r="71174" ht="15.75" customHeight="1">
      <c r="A71174" s="7"/>
      <c r="B71174" s="7"/>
    </row>
    <row r="71175" ht="15.75" customHeight="1">
      <c r="A71175" s="7"/>
      <c r="B71175" s="7"/>
    </row>
    <row r="71176" ht="15.75" customHeight="1">
      <c r="A71176" s="7"/>
      <c r="B71176" s="7"/>
    </row>
    <row r="71177" ht="15.75" customHeight="1">
      <c r="A71177" s="7"/>
      <c r="B71177" s="7"/>
    </row>
    <row r="71178" ht="15.75" customHeight="1">
      <c r="A71178" s="7"/>
      <c r="B71178" s="7"/>
    </row>
    <row r="71179" ht="15.75" customHeight="1">
      <c r="A71179" s="7"/>
      <c r="B71179" s="7"/>
    </row>
    <row r="71180" ht="15.75" customHeight="1">
      <c r="A71180" s="7"/>
      <c r="B71180" s="7"/>
    </row>
    <row r="71181" ht="15.75" customHeight="1">
      <c r="A71181" s="7"/>
      <c r="B71181" s="7"/>
    </row>
    <row r="71182" ht="15.75" customHeight="1">
      <c r="A71182" s="7"/>
      <c r="B71182" s="7"/>
    </row>
    <row r="71183" ht="15.75" customHeight="1">
      <c r="A71183" s="7"/>
      <c r="B71183" s="7"/>
    </row>
    <row r="71184" ht="15.75" customHeight="1">
      <c r="A71184" s="7"/>
      <c r="B71184" s="7"/>
    </row>
    <row r="71185" ht="15.75" customHeight="1">
      <c r="A71185" s="7"/>
      <c r="B71185" s="7"/>
    </row>
    <row r="71186" ht="15.75" customHeight="1">
      <c r="A71186" s="7"/>
      <c r="B71186" s="7"/>
    </row>
    <row r="71187" ht="15.75" customHeight="1">
      <c r="A71187" s="7"/>
      <c r="B71187" s="7"/>
    </row>
    <row r="71188" ht="15.75" customHeight="1">
      <c r="A71188" s="7"/>
      <c r="B71188" s="7"/>
    </row>
    <row r="71189" ht="15.75" customHeight="1">
      <c r="A71189" s="7"/>
      <c r="B71189" s="7"/>
    </row>
    <row r="71190" ht="15.75" customHeight="1">
      <c r="A71190" s="7"/>
      <c r="B71190" s="7"/>
    </row>
    <row r="71191" ht="15.75" customHeight="1">
      <c r="A71191" s="7"/>
      <c r="B71191" s="7"/>
    </row>
    <row r="71192" ht="15.75" customHeight="1">
      <c r="A71192" s="7"/>
      <c r="B71192" s="7"/>
    </row>
    <row r="71193" ht="15.75" customHeight="1">
      <c r="A71193" s="7"/>
      <c r="B71193" s="7"/>
    </row>
    <row r="71194" ht="15.75" customHeight="1">
      <c r="A71194" s="7"/>
      <c r="B71194" s="7"/>
    </row>
    <row r="71195" ht="15.75" customHeight="1">
      <c r="A71195" s="7"/>
      <c r="B71195" s="7"/>
    </row>
    <row r="71196" ht="15.75" customHeight="1">
      <c r="A71196" s="7"/>
      <c r="B71196" s="7"/>
    </row>
    <row r="71197" ht="15.75" customHeight="1">
      <c r="A71197" s="7"/>
      <c r="B71197" s="7"/>
    </row>
    <row r="71198" ht="15.75" customHeight="1">
      <c r="A71198" s="7"/>
      <c r="B71198" s="7"/>
    </row>
    <row r="71199" ht="15.75" customHeight="1">
      <c r="A71199" s="7"/>
      <c r="B71199" s="7"/>
    </row>
    <row r="71200" ht="15.75" customHeight="1">
      <c r="A71200" s="7"/>
      <c r="B71200" s="7"/>
    </row>
    <row r="71201" ht="15.75" customHeight="1">
      <c r="A71201" s="7"/>
      <c r="B71201" s="7"/>
    </row>
    <row r="71202" ht="15.75" customHeight="1">
      <c r="A71202" s="7"/>
      <c r="B71202" s="7"/>
    </row>
    <row r="71203" ht="15.75" customHeight="1">
      <c r="A71203" s="7"/>
      <c r="B71203" s="7"/>
    </row>
    <row r="71204" ht="15.75" customHeight="1">
      <c r="A71204" s="7"/>
      <c r="B71204" s="7"/>
    </row>
    <row r="71205" ht="15.75" customHeight="1">
      <c r="A71205" s="7"/>
      <c r="B71205" s="7"/>
    </row>
    <row r="71206" ht="15.75" customHeight="1">
      <c r="A71206" s="7"/>
      <c r="B71206" s="7"/>
    </row>
    <row r="71207" ht="15.75" customHeight="1">
      <c r="A71207" s="7"/>
      <c r="B71207" s="7"/>
    </row>
    <row r="71208" ht="15.75" customHeight="1">
      <c r="A71208" s="7"/>
      <c r="B71208" s="7"/>
    </row>
    <row r="71209" ht="15.75" customHeight="1">
      <c r="A71209" s="7"/>
      <c r="B71209" s="7"/>
    </row>
    <row r="71210" ht="15.75" customHeight="1">
      <c r="A71210" s="7"/>
      <c r="B71210" s="7"/>
    </row>
    <row r="71211" ht="15.75" customHeight="1">
      <c r="A71211" s="7"/>
      <c r="B71211" s="7"/>
    </row>
    <row r="71212" ht="15.75" customHeight="1">
      <c r="A71212" s="7"/>
      <c r="B71212" s="7"/>
    </row>
    <row r="71213" ht="15.75" customHeight="1">
      <c r="A71213" s="7"/>
      <c r="B71213" s="7"/>
    </row>
    <row r="71214" ht="15.75" customHeight="1">
      <c r="A71214" s="7"/>
      <c r="B71214" s="7"/>
    </row>
    <row r="71215" ht="15.75" customHeight="1">
      <c r="A71215" s="7"/>
      <c r="B71215" s="7"/>
    </row>
    <row r="71216" ht="15.75" customHeight="1">
      <c r="A71216" s="7"/>
      <c r="B71216" s="7"/>
    </row>
    <row r="71217" ht="15.75" customHeight="1">
      <c r="A71217" s="7"/>
      <c r="B71217" s="7"/>
    </row>
    <row r="71218" ht="15.75" customHeight="1">
      <c r="A71218" s="7"/>
      <c r="B71218" s="7"/>
    </row>
    <row r="71219" ht="15.75" customHeight="1">
      <c r="A71219" s="7"/>
      <c r="B71219" s="7"/>
    </row>
    <row r="71220" ht="15.75" customHeight="1">
      <c r="A71220" s="7"/>
      <c r="B71220" s="7"/>
    </row>
    <row r="71221" ht="15.75" customHeight="1">
      <c r="A71221" s="7"/>
      <c r="B71221" s="7"/>
    </row>
    <row r="71222" ht="15.75" customHeight="1">
      <c r="A71222" s="7"/>
      <c r="B71222" s="7"/>
    </row>
    <row r="71223" ht="15.75" customHeight="1">
      <c r="A71223" s="7"/>
      <c r="B71223" s="7"/>
    </row>
    <row r="71224" ht="15.75" customHeight="1">
      <c r="A71224" s="7"/>
      <c r="B71224" s="7"/>
    </row>
    <row r="71225" ht="15.75" customHeight="1">
      <c r="A71225" s="7"/>
      <c r="B71225" s="7"/>
    </row>
    <row r="71226" ht="15.75" customHeight="1">
      <c r="A71226" s="7"/>
      <c r="B71226" s="7"/>
    </row>
    <row r="71227" ht="15.75" customHeight="1">
      <c r="A71227" s="7"/>
      <c r="B71227" s="7"/>
    </row>
    <row r="71228" ht="15.75" customHeight="1">
      <c r="A71228" s="7"/>
      <c r="B71228" s="7"/>
    </row>
    <row r="71229" ht="15.75" customHeight="1">
      <c r="A71229" s="7"/>
      <c r="B71229" s="7"/>
    </row>
    <row r="71230" ht="15.75" customHeight="1">
      <c r="A71230" s="7"/>
      <c r="B71230" s="7"/>
    </row>
    <row r="71231" ht="15.75" customHeight="1">
      <c r="A71231" s="7"/>
      <c r="B71231" s="7"/>
    </row>
    <row r="71232" ht="15.75" customHeight="1">
      <c r="A71232" s="7"/>
      <c r="B71232" s="7"/>
    </row>
    <row r="71233" ht="15.75" customHeight="1">
      <c r="A71233" s="7"/>
      <c r="B71233" s="7"/>
    </row>
    <row r="71234" ht="15.75" customHeight="1">
      <c r="A71234" s="7"/>
      <c r="B71234" s="7"/>
    </row>
    <row r="71235" ht="15.75" customHeight="1">
      <c r="A71235" s="7"/>
      <c r="B71235" s="7"/>
    </row>
    <row r="71236" ht="15.75" customHeight="1">
      <c r="A71236" s="7"/>
      <c r="B71236" s="7"/>
    </row>
    <row r="71237" ht="15.75" customHeight="1">
      <c r="A71237" s="7"/>
      <c r="B71237" s="7"/>
    </row>
    <row r="71238" ht="15.75" customHeight="1">
      <c r="A71238" s="7"/>
      <c r="B71238" s="7"/>
    </row>
    <row r="71239" ht="15.75" customHeight="1">
      <c r="A71239" s="7"/>
      <c r="B71239" s="7"/>
    </row>
    <row r="71240" ht="15.75" customHeight="1">
      <c r="A71240" s="7"/>
      <c r="B71240" s="7"/>
    </row>
    <row r="71241" ht="15.75" customHeight="1">
      <c r="A71241" s="7"/>
      <c r="B71241" s="7"/>
    </row>
    <row r="71242" ht="15.75" customHeight="1">
      <c r="A71242" s="7"/>
      <c r="B71242" s="7"/>
    </row>
    <row r="71243" ht="15.75" customHeight="1">
      <c r="A71243" s="7"/>
      <c r="B71243" s="7"/>
    </row>
    <row r="71244" ht="15.75" customHeight="1">
      <c r="A71244" s="7"/>
      <c r="B71244" s="7"/>
    </row>
    <row r="71245" ht="15.75" customHeight="1">
      <c r="A71245" s="7"/>
      <c r="B71245" s="7"/>
    </row>
    <row r="71246" ht="15.75" customHeight="1">
      <c r="A71246" s="7"/>
      <c r="B71246" s="7"/>
    </row>
    <row r="71247" ht="15.75" customHeight="1">
      <c r="A71247" s="7"/>
      <c r="B71247" s="7"/>
    </row>
    <row r="71248" ht="15.75" customHeight="1">
      <c r="A71248" s="7"/>
      <c r="B71248" s="7"/>
    </row>
    <row r="71249" ht="15.75" customHeight="1">
      <c r="A71249" s="7"/>
      <c r="B71249" s="7"/>
    </row>
    <row r="71250" ht="15.75" customHeight="1">
      <c r="A71250" s="7"/>
      <c r="B71250" s="7"/>
    </row>
    <row r="71251" ht="15.75" customHeight="1">
      <c r="A71251" s="7"/>
      <c r="B71251" s="7"/>
    </row>
    <row r="71252" ht="15.75" customHeight="1">
      <c r="A71252" s="7"/>
      <c r="B71252" s="7"/>
    </row>
    <row r="71253" ht="15.75" customHeight="1">
      <c r="A71253" s="7"/>
      <c r="B71253" s="7"/>
    </row>
    <row r="71254" ht="15.75" customHeight="1">
      <c r="A71254" s="7"/>
      <c r="B71254" s="7"/>
    </row>
    <row r="71255" ht="15.75" customHeight="1">
      <c r="A71255" s="7"/>
      <c r="B71255" s="7"/>
    </row>
    <row r="71256" ht="15.75" customHeight="1">
      <c r="A71256" s="7"/>
      <c r="B71256" s="7"/>
    </row>
    <row r="71257" ht="15.75" customHeight="1">
      <c r="A71257" s="7"/>
      <c r="B71257" s="7"/>
    </row>
    <row r="71258" ht="15.75" customHeight="1">
      <c r="A71258" s="7"/>
      <c r="B71258" s="7"/>
    </row>
    <row r="71259" ht="15.75" customHeight="1">
      <c r="A71259" s="7"/>
      <c r="B71259" s="7"/>
    </row>
    <row r="71260" ht="15.75" customHeight="1">
      <c r="A71260" s="7"/>
      <c r="B71260" s="7"/>
    </row>
    <row r="71261" ht="15.75" customHeight="1">
      <c r="A71261" s="7"/>
      <c r="B71261" s="7"/>
    </row>
    <row r="71262" ht="15.75" customHeight="1">
      <c r="A71262" s="7"/>
      <c r="B71262" s="7"/>
    </row>
    <row r="71263" ht="15.75" customHeight="1">
      <c r="A71263" s="7"/>
      <c r="B71263" s="7"/>
    </row>
    <row r="71264" ht="15.75" customHeight="1">
      <c r="A71264" s="7"/>
      <c r="B71264" s="7"/>
    </row>
    <row r="71265" ht="15.75" customHeight="1">
      <c r="A71265" s="7"/>
      <c r="B71265" s="7"/>
    </row>
    <row r="71266" ht="15.75" customHeight="1">
      <c r="A71266" s="7"/>
      <c r="B71266" s="7"/>
    </row>
    <row r="71267" ht="15.75" customHeight="1">
      <c r="A71267" s="7"/>
      <c r="B71267" s="7"/>
    </row>
    <row r="71268" ht="15.75" customHeight="1">
      <c r="A71268" s="7"/>
      <c r="B71268" s="7"/>
    </row>
    <row r="71269" ht="15.75" customHeight="1">
      <c r="A71269" s="7"/>
      <c r="B71269" s="7"/>
    </row>
    <row r="71270" ht="15.75" customHeight="1">
      <c r="A71270" s="7"/>
      <c r="B71270" s="7"/>
    </row>
    <row r="71271" ht="15.75" customHeight="1">
      <c r="A71271" s="7"/>
      <c r="B71271" s="7"/>
    </row>
    <row r="71272" ht="15.75" customHeight="1">
      <c r="A71272" s="7"/>
      <c r="B71272" s="7"/>
    </row>
    <row r="71273" ht="15.75" customHeight="1">
      <c r="A71273" s="7"/>
      <c r="B71273" s="7"/>
    </row>
    <row r="71274" ht="15.75" customHeight="1">
      <c r="A71274" s="7"/>
      <c r="B71274" s="7"/>
    </row>
    <row r="71275" ht="15.75" customHeight="1">
      <c r="A71275" s="7"/>
      <c r="B71275" s="7"/>
    </row>
    <row r="71276" ht="15.75" customHeight="1">
      <c r="A71276" s="7"/>
      <c r="B71276" s="7"/>
    </row>
    <row r="71277" ht="15.75" customHeight="1">
      <c r="A71277" s="7"/>
      <c r="B71277" s="7"/>
    </row>
    <row r="71278" ht="15.75" customHeight="1">
      <c r="A71278" s="7"/>
      <c r="B71278" s="7"/>
    </row>
    <row r="71279" ht="15.75" customHeight="1">
      <c r="A71279" s="7"/>
      <c r="B71279" s="7"/>
    </row>
    <row r="71280" ht="15.75" customHeight="1">
      <c r="A71280" s="7"/>
      <c r="B71280" s="7"/>
    </row>
    <row r="71281" ht="15.75" customHeight="1">
      <c r="A71281" s="7"/>
      <c r="B71281" s="7"/>
    </row>
    <row r="71282" ht="15.75" customHeight="1">
      <c r="A71282" s="7"/>
      <c r="B71282" s="7"/>
    </row>
    <row r="71283" ht="15.75" customHeight="1">
      <c r="A71283" s="7"/>
      <c r="B71283" s="7"/>
    </row>
    <row r="71284" ht="15.75" customHeight="1">
      <c r="A71284" s="7"/>
      <c r="B71284" s="7"/>
    </row>
    <row r="71285" ht="15.75" customHeight="1">
      <c r="A71285" s="7"/>
      <c r="B71285" s="7"/>
    </row>
    <row r="71286" ht="15.75" customHeight="1">
      <c r="A71286" s="7"/>
      <c r="B71286" s="7"/>
    </row>
    <row r="71287" ht="15.75" customHeight="1">
      <c r="A71287" s="7"/>
      <c r="B71287" s="7"/>
    </row>
    <row r="71288" ht="15.75" customHeight="1">
      <c r="A71288" s="7"/>
      <c r="B71288" s="7"/>
    </row>
    <row r="71289" ht="15.75" customHeight="1">
      <c r="A71289" s="7"/>
      <c r="B71289" s="7"/>
    </row>
    <row r="71290" ht="15.75" customHeight="1">
      <c r="A71290" s="7"/>
      <c r="B71290" s="7"/>
    </row>
    <row r="71291" ht="15.75" customHeight="1">
      <c r="A71291" s="7"/>
      <c r="B71291" s="7"/>
    </row>
    <row r="71292" ht="15.75" customHeight="1">
      <c r="A71292" s="7"/>
      <c r="B71292" s="7"/>
    </row>
    <row r="71293" ht="15.75" customHeight="1">
      <c r="A71293" s="7"/>
      <c r="B71293" s="7"/>
    </row>
    <row r="71294" ht="15.75" customHeight="1">
      <c r="A71294" s="7"/>
      <c r="B71294" s="7"/>
    </row>
    <row r="71295" ht="15.75" customHeight="1">
      <c r="A71295" s="7"/>
      <c r="B71295" s="7"/>
    </row>
    <row r="71296" ht="15.75" customHeight="1">
      <c r="A71296" s="7"/>
      <c r="B71296" s="7"/>
    </row>
    <row r="71297" ht="15.75" customHeight="1">
      <c r="A71297" s="7"/>
      <c r="B71297" s="7"/>
    </row>
    <row r="71298" ht="15.75" customHeight="1">
      <c r="A71298" s="7"/>
      <c r="B71298" s="7"/>
    </row>
    <row r="71299" ht="15.75" customHeight="1">
      <c r="A71299" s="7"/>
      <c r="B71299" s="7"/>
    </row>
    <row r="71300" ht="15.75" customHeight="1">
      <c r="A71300" s="7"/>
      <c r="B71300" s="7"/>
    </row>
    <row r="71301" ht="15.75" customHeight="1">
      <c r="A71301" s="7"/>
      <c r="B71301" s="7"/>
    </row>
    <row r="71302" ht="15.75" customHeight="1">
      <c r="A71302" s="7"/>
      <c r="B71302" s="7"/>
    </row>
    <row r="71303" ht="15.75" customHeight="1">
      <c r="A71303" s="7"/>
      <c r="B71303" s="7"/>
    </row>
    <row r="71304" ht="15.75" customHeight="1">
      <c r="A71304" s="7"/>
      <c r="B71304" s="7"/>
    </row>
    <row r="71305" ht="15.75" customHeight="1">
      <c r="A71305" s="7"/>
      <c r="B71305" s="7"/>
    </row>
    <row r="71306" ht="15.75" customHeight="1">
      <c r="A71306" s="7"/>
      <c r="B71306" s="7"/>
    </row>
    <row r="71307" ht="15.75" customHeight="1">
      <c r="A71307" s="7"/>
      <c r="B71307" s="7"/>
    </row>
    <row r="71308" ht="15.75" customHeight="1">
      <c r="A71308" s="7"/>
      <c r="B71308" s="7"/>
    </row>
    <row r="71309" ht="15.75" customHeight="1">
      <c r="A71309" s="7"/>
      <c r="B71309" s="7"/>
    </row>
    <row r="71310" ht="15.75" customHeight="1">
      <c r="A71310" s="7"/>
      <c r="B71310" s="7"/>
    </row>
    <row r="71311" ht="15.75" customHeight="1">
      <c r="A71311" s="7"/>
      <c r="B71311" s="7"/>
    </row>
    <row r="71312" ht="15.75" customHeight="1">
      <c r="A71312" s="7"/>
      <c r="B71312" s="7"/>
    </row>
    <row r="71313" ht="15.75" customHeight="1">
      <c r="A71313" s="7"/>
      <c r="B71313" s="7"/>
    </row>
    <row r="71314" ht="15.75" customHeight="1">
      <c r="A71314" s="7"/>
      <c r="B71314" s="7"/>
    </row>
    <row r="71315" ht="15.75" customHeight="1">
      <c r="A71315" s="7"/>
      <c r="B71315" s="7"/>
    </row>
    <row r="71316" ht="15.75" customHeight="1">
      <c r="A71316" s="7"/>
      <c r="B71316" s="7"/>
    </row>
    <row r="71317" ht="15.75" customHeight="1">
      <c r="A71317" s="7"/>
      <c r="B71317" s="7"/>
    </row>
    <row r="71318" ht="15.75" customHeight="1">
      <c r="A71318" s="7"/>
      <c r="B71318" s="7"/>
    </row>
    <row r="71319" ht="15.75" customHeight="1">
      <c r="A71319" s="7"/>
      <c r="B71319" s="7"/>
    </row>
    <row r="71320" ht="15.75" customHeight="1">
      <c r="A71320" s="7"/>
      <c r="B71320" s="7"/>
    </row>
    <row r="71321" ht="15.75" customHeight="1">
      <c r="A71321" s="7"/>
      <c r="B71321" s="7"/>
    </row>
    <row r="71322" ht="15.75" customHeight="1">
      <c r="A71322" s="7"/>
      <c r="B71322" s="7"/>
    </row>
    <row r="71323" ht="15.75" customHeight="1">
      <c r="A71323" s="7"/>
      <c r="B71323" s="7"/>
    </row>
    <row r="71324" ht="15.75" customHeight="1">
      <c r="A71324" s="7"/>
      <c r="B71324" s="7"/>
    </row>
    <row r="71325" ht="15.75" customHeight="1">
      <c r="A71325" s="7"/>
      <c r="B71325" s="7"/>
    </row>
    <row r="71326" ht="15.75" customHeight="1">
      <c r="A71326" s="7"/>
      <c r="B71326" s="7"/>
    </row>
    <row r="71327" ht="15.75" customHeight="1">
      <c r="A71327" s="7"/>
      <c r="B71327" s="7"/>
    </row>
    <row r="71328" ht="15.75" customHeight="1">
      <c r="A71328" s="7"/>
      <c r="B71328" s="7"/>
    </row>
    <row r="71329" ht="15.75" customHeight="1">
      <c r="A71329" s="7"/>
      <c r="B71329" s="7"/>
    </row>
    <row r="71330" ht="15.75" customHeight="1">
      <c r="A71330" s="7"/>
      <c r="B71330" s="7"/>
    </row>
    <row r="71331" ht="15.75" customHeight="1">
      <c r="A71331" s="7"/>
      <c r="B71331" s="7"/>
    </row>
    <row r="71332" ht="15.75" customHeight="1">
      <c r="A71332" s="7"/>
      <c r="B71332" s="7"/>
    </row>
    <row r="71333" ht="15.75" customHeight="1">
      <c r="A71333" s="7"/>
      <c r="B71333" s="7"/>
    </row>
    <row r="71334" ht="15.75" customHeight="1">
      <c r="A71334" s="7"/>
      <c r="B71334" s="7"/>
    </row>
    <row r="71335" ht="15.75" customHeight="1">
      <c r="A71335" s="7"/>
      <c r="B71335" s="7"/>
    </row>
    <row r="71336" ht="15.75" customHeight="1">
      <c r="A71336" s="7"/>
      <c r="B71336" s="7"/>
    </row>
    <row r="71337" ht="15.75" customHeight="1">
      <c r="A71337" s="7"/>
      <c r="B71337" s="7"/>
    </row>
    <row r="71338" ht="15.75" customHeight="1">
      <c r="A71338" s="7"/>
      <c r="B71338" s="7"/>
    </row>
    <row r="71339" ht="15.75" customHeight="1">
      <c r="A71339" s="7"/>
      <c r="B71339" s="7"/>
    </row>
    <row r="71340" ht="15.75" customHeight="1">
      <c r="A71340" s="7"/>
      <c r="B71340" s="7"/>
    </row>
    <row r="71341" ht="15.75" customHeight="1">
      <c r="A71341" s="7"/>
      <c r="B71341" s="7"/>
    </row>
    <row r="71342" ht="15.75" customHeight="1">
      <c r="A71342" s="7"/>
      <c r="B71342" s="7"/>
    </row>
    <row r="71343" ht="15.75" customHeight="1">
      <c r="A71343" s="7"/>
      <c r="B71343" s="7"/>
    </row>
    <row r="71344" ht="15.75" customHeight="1">
      <c r="A71344" s="7"/>
      <c r="B71344" s="7"/>
    </row>
    <row r="71345" ht="15.75" customHeight="1">
      <c r="A71345" s="7"/>
      <c r="B71345" s="7"/>
    </row>
    <row r="71346" ht="15.75" customHeight="1">
      <c r="A71346" s="7"/>
      <c r="B71346" s="7"/>
    </row>
    <row r="71347" ht="15.75" customHeight="1">
      <c r="A71347" s="7"/>
      <c r="B71347" s="7"/>
    </row>
    <row r="71348" ht="15.75" customHeight="1">
      <c r="A71348" s="7"/>
      <c r="B71348" s="7"/>
    </row>
    <row r="71349" ht="15.75" customHeight="1">
      <c r="A71349" s="7"/>
      <c r="B71349" s="7"/>
    </row>
    <row r="71350" ht="15.75" customHeight="1">
      <c r="A71350" s="7"/>
      <c r="B71350" s="7"/>
    </row>
    <row r="71351" ht="15.75" customHeight="1">
      <c r="A71351" s="7"/>
      <c r="B71351" s="7"/>
    </row>
    <row r="71352" ht="15.75" customHeight="1">
      <c r="A71352" s="7"/>
      <c r="B71352" s="7"/>
    </row>
    <row r="71353" ht="15.75" customHeight="1">
      <c r="A71353" s="7"/>
      <c r="B71353" s="7"/>
    </row>
    <row r="71354" ht="15.75" customHeight="1">
      <c r="A71354" s="7"/>
      <c r="B71354" s="7"/>
    </row>
    <row r="71355" ht="15.75" customHeight="1">
      <c r="A71355" s="7"/>
      <c r="B71355" s="7"/>
    </row>
    <row r="71356" ht="15.75" customHeight="1">
      <c r="A71356" s="7"/>
      <c r="B71356" s="7"/>
    </row>
    <row r="71357" ht="15.75" customHeight="1">
      <c r="A71357" s="7"/>
      <c r="B71357" s="7"/>
    </row>
    <row r="71358" ht="15.75" customHeight="1">
      <c r="A71358" s="7"/>
      <c r="B71358" s="7"/>
    </row>
    <row r="71359" ht="15.75" customHeight="1">
      <c r="A71359" s="7"/>
      <c r="B71359" s="7"/>
    </row>
    <row r="71360" ht="15.75" customHeight="1">
      <c r="A71360" s="7"/>
      <c r="B71360" s="7"/>
    </row>
    <row r="71361" ht="15.75" customHeight="1">
      <c r="A71361" s="7"/>
      <c r="B71361" s="7"/>
    </row>
    <row r="71362" ht="15.75" customHeight="1">
      <c r="A71362" s="7"/>
      <c r="B71362" s="7"/>
    </row>
    <row r="71363" ht="15.75" customHeight="1">
      <c r="A71363" s="7"/>
      <c r="B71363" s="7"/>
    </row>
    <row r="71364" ht="15.75" customHeight="1">
      <c r="A71364" s="7"/>
      <c r="B71364" s="7"/>
    </row>
    <row r="71365" ht="15.75" customHeight="1">
      <c r="A71365" s="7"/>
      <c r="B71365" s="7"/>
    </row>
    <row r="71366" ht="15.75" customHeight="1">
      <c r="A71366" s="7"/>
      <c r="B71366" s="7"/>
    </row>
    <row r="71367" ht="15.75" customHeight="1">
      <c r="A71367" s="7"/>
      <c r="B71367" s="7"/>
    </row>
    <row r="71368" ht="15.75" customHeight="1">
      <c r="A71368" s="7"/>
      <c r="B71368" s="7"/>
    </row>
    <row r="71369" ht="15.75" customHeight="1">
      <c r="A71369" s="7"/>
      <c r="B71369" s="7"/>
    </row>
    <row r="71370" ht="15.75" customHeight="1">
      <c r="A71370" s="7"/>
      <c r="B71370" s="7"/>
    </row>
    <row r="71371" ht="15.75" customHeight="1">
      <c r="A71371" s="7"/>
      <c r="B71371" s="7"/>
    </row>
    <row r="71372" ht="15.75" customHeight="1">
      <c r="A71372" s="7"/>
      <c r="B71372" s="7"/>
    </row>
    <row r="71373" ht="15.75" customHeight="1">
      <c r="A71373" s="7"/>
      <c r="B71373" s="7"/>
    </row>
    <row r="71374" ht="15.75" customHeight="1">
      <c r="A71374" s="7"/>
      <c r="B71374" s="7"/>
    </row>
    <row r="71375" ht="15.75" customHeight="1">
      <c r="A71375" s="7"/>
      <c r="B71375" s="7"/>
    </row>
    <row r="71376" ht="15.75" customHeight="1">
      <c r="A71376" s="7"/>
      <c r="B71376" s="7"/>
    </row>
    <row r="71377" ht="15.75" customHeight="1">
      <c r="A71377" s="7"/>
      <c r="B71377" s="7"/>
    </row>
    <row r="71378" ht="15.75" customHeight="1">
      <c r="A71378" s="7"/>
      <c r="B71378" s="7"/>
    </row>
    <row r="71379" ht="15.75" customHeight="1">
      <c r="A71379" s="7"/>
      <c r="B71379" s="7"/>
    </row>
    <row r="71380" ht="15.75" customHeight="1">
      <c r="A71380" s="7"/>
      <c r="B71380" s="7"/>
    </row>
    <row r="71381" ht="15.75" customHeight="1">
      <c r="A71381" s="7"/>
      <c r="B71381" s="7"/>
    </row>
    <row r="71382" ht="15.75" customHeight="1">
      <c r="A71382" s="7"/>
      <c r="B71382" s="7"/>
    </row>
    <row r="71383" ht="15.75" customHeight="1">
      <c r="A71383" s="7"/>
      <c r="B71383" s="7"/>
    </row>
    <row r="71384" ht="15.75" customHeight="1">
      <c r="A71384" s="7"/>
      <c r="B71384" s="7"/>
    </row>
    <row r="71385" ht="15.75" customHeight="1">
      <c r="A71385" s="7"/>
      <c r="B71385" s="7"/>
    </row>
    <row r="71386" ht="15.75" customHeight="1">
      <c r="A71386" s="7"/>
      <c r="B71386" s="7"/>
    </row>
    <row r="71387" ht="15.75" customHeight="1">
      <c r="A71387" s="7"/>
      <c r="B71387" s="7"/>
    </row>
    <row r="71388" ht="15.75" customHeight="1">
      <c r="A71388" s="7"/>
      <c r="B71388" s="7"/>
    </row>
    <row r="71389" ht="15.75" customHeight="1">
      <c r="A71389" s="7"/>
      <c r="B71389" s="7"/>
    </row>
    <row r="71390" ht="15.75" customHeight="1">
      <c r="A71390" s="7"/>
      <c r="B71390" s="7"/>
    </row>
    <row r="71391" ht="15.75" customHeight="1">
      <c r="A71391" s="7"/>
      <c r="B71391" s="7"/>
    </row>
    <row r="71392" ht="15.75" customHeight="1">
      <c r="A71392" s="7"/>
      <c r="B71392" s="7"/>
    </row>
    <row r="71393" ht="15.75" customHeight="1">
      <c r="A71393" s="7"/>
      <c r="B71393" s="7"/>
    </row>
    <row r="71394" ht="15.75" customHeight="1">
      <c r="A71394" s="7"/>
      <c r="B71394" s="7"/>
    </row>
    <row r="71395" ht="15.75" customHeight="1">
      <c r="A71395" s="7"/>
      <c r="B71395" s="7"/>
    </row>
    <row r="71396" ht="15.75" customHeight="1">
      <c r="A71396" s="7"/>
      <c r="B71396" s="7"/>
    </row>
    <row r="71397" ht="15.75" customHeight="1">
      <c r="A71397" s="7"/>
      <c r="B71397" s="7"/>
    </row>
    <row r="71398" ht="15.75" customHeight="1">
      <c r="A71398" s="7"/>
      <c r="B71398" s="7"/>
    </row>
    <row r="71399" ht="15.75" customHeight="1">
      <c r="A71399" s="7"/>
      <c r="B71399" s="7"/>
    </row>
    <row r="71400" ht="15.75" customHeight="1">
      <c r="A71400" s="7"/>
      <c r="B71400" s="7"/>
    </row>
    <row r="71401" ht="15.75" customHeight="1">
      <c r="A71401" s="7"/>
      <c r="B71401" s="7"/>
    </row>
    <row r="71402" ht="15.75" customHeight="1">
      <c r="A71402" s="7"/>
      <c r="B71402" s="7"/>
    </row>
    <row r="71403" ht="15.75" customHeight="1">
      <c r="A71403" s="7"/>
      <c r="B71403" s="7"/>
    </row>
    <row r="71404" ht="15.75" customHeight="1">
      <c r="A71404" s="7"/>
      <c r="B71404" s="7"/>
    </row>
    <row r="71405" ht="15.75" customHeight="1">
      <c r="A71405" s="7"/>
      <c r="B71405" s="7"/>
    </row>
    <row r="71406" ht="15.75" customHeight="1">
      <c r="A71406" s="7"/>
      <c r="B71406" s="7"/>
    </row>
    <row r="71407" ht="15.75" customHeight="1">
      <c r="A71407" s="7"/>
      <c r="B71407" s="7"/>
    </row>
    <row r="71408" ht="15.75" customHeight="1">
      <c r="A71408" s="7"/>
      <c r="B71408" s="7"/>
    </row>
    <row r="71409" ht="15.75" customHeight="1">
      <c r="A71409" s="7"/>
      <c r="B71409" s="7"/>
    </row>
    <row r="71410" ht="15.75" customHeight="1">
      <c r="A71410" s="7"/>
      <c r="B71410" s="7"/>
    </row>
    <row r="71411" ht="15.75" customHeight="1">
      <c r="A71411" s="7"/>
      <c r="B71411" s="7"/>
    </row>
    <row r="71412" ht="15.75" customHeight="1">
      <c r="A71412" s="7"/>
      <c r="B71412" s="7"/>
    </row>
    <row r="71413" ht="15.75" customHeight="1">
      <c r="A71413" s="7"/>
      <c r="B71413" s="7"/>
    </row>
    <row r="71414" ht="15.75" customHeight="1">
      <c r="A71414" s="7"/>
      <c r="B71414" s="7"/>
    </row>
    <row r="71415" ht="15.75" customHeight="1">
      <c r="A71415" s="7"/>
      <c r="B71415" s="7"/>
    </row>
    <row r="71416" ht="15.75" customHeight="1">
      <c r="A71416" s="7"/>
      <c r="B71416" s="7"/>
    </row>
    <row r="71417" ht="15.75" customHeight="1">
      <c r="A71417" s="7"/>
      <c r="B71417" s="7"/>
    </row>
    <row r="71418" ht="15.75" customHeight="1">
      <c r="A71418" s="7"/>
      <c r="B71418" s="7"/>
    </row>
    <row r="71419" ht="15.75" customHeight="1">
      <c r="A71419" s="7"/>
      <c r="B71419" s="7"/>
    </row>
    <row r="71420" ht="15.75" customHeight="1">
      <c r="A71420" s="7"/>
      <c r="B71420" s="7"/>
    </row>
    <row r="71421" ht="15.75" customHeight="1">
      <c r="A71421" s="7"/>
      <c r="B71421" s="7"/>
    </row>
    <row r="71422" ht="15.75" customHeight="1">
      <c r="A71422" s="7"/>
      <c r="B71422" s="7"/>
    </row>
    <row r="71423" ht="15.75" customHeight="1">
      <c r="A71423" s="7"/>
      <c r="B71423" s="7"/>
    </row>
    <row r="71424" ht="15.75" customHeight="1">
      <c r="A71424" s="7"/>
      <c r="B71424" s="7"/>
    </row>
    <row r="71425" ht="15.75" customHeight="1">
      <c r="A71425" s="7"/>
      <c r="B71425" s="7"/>
    </row>
    <row r="71426" ht="15.75" customHeight="1">
      <c r="A71426" s="7"/>
      <c r="B71426" s="7"/>
    </row>
    <row r="71427" ht="15.75" customHeight="1">
      <c r="A71427" s="7"/>
      <c r="B71427" s="7"/>
    </row>
    <row r="71428" ht="15.75" customHeight="1">
      <c r="A71428" s="7"/>
      <c r="B71428" s="7"/>
    </row>
    <row r="71429" ht="15.75" customHeight="1">
      <c r="A71429" s="7"/>
      <c r="B71429" s="7"/>
    </row>
    <row r="71430" ht="15.75" customHeight="1">
      <c r="A71430" s="7"/>
      <c r="B71430" s="7"/>
    </row>
    <row r="71431" ht="15.75" customHeight="1">
      <c r="A71431" s="7"/>
      <c r="B71431" s="7"/>
    </row>
    <row r="71432" ht="15.75" customHeight="1">
      <c r="A71432" s="7"/>
      <c r="B71432" s="7"/>
    </row>
    <row r="71433" ht="15.75" customHeight="1">
      <c r="A71433" s="7"/>
      <c r="B71433" s="7"/>
    </row>
    <row r="71434" ht="15.75" customHeight="1">
      <c r="A71434" s="7"/>
      <c r="B71434" s="7"/>
    </row>
    <row r="71435" ht="15.75" customHeight="1">
      <c r="A71435" s="7"/>
      <c r="B71435" s="7"/>
    </row>
    <row r="71436" ht="15.75" customHeight="1">
      <c r="A71436" s="7"/>
      <c r="B71436" s="7"/>
    </row>
    <row r="71437" ht="15.75" customHeight="1">
      <c r="A71437" s="7"/>
      <c r="B71437" s="7"/>
    </row>
    <row r="71438" ht="15.75" customHeight="1">
      <c r="A71438" s="7"/>
      <c r="B71438" s="7"/>
    </row>
    <row r="71439" ht="15.75" customHeight="1">
      <c r="A71439" s="7"/>
      <c r="B71439" s="7"/>
    </row>
    <row r="71440" ht="15.75" customHeight="1">
      <c r="A71440" s="7"/>
      <c r="B71440" s="7"/>
    </row>
    <row r="71441" ht="15.75" customHeight="1">
      <c r="A71441" s="7"/>
      <c r="B71441" s="7"/>
    </row>
    <row r="71442" ht="15.75" customHeight="1">
      <c r="A71442" s="7"/>
      <c r="B71442" s="7"/>
    </row>
    <row r="71443" ht="15.75" customHeight="1">
      <c r="A71443" s="7"/>
      <c r="B71443" s="7"/>
    </row>
    <row r="71444" ht="15.75" customHeight="1">
      <c r="A71444" s="7"/>
      <c r="B71444" s="7"/>
    </row>
    <row r="71445" ht="15.75" customHeight="1">
      <c r="A71445" s="7"/>
      <c r="B71445" s="7"/>
    </row>
    <row r="71446" ht="15.75" customHeight="1">
      <c r="A71446" s="7"/>
      <c r="B71446" s="7"/>
    </row>
    <row r="71447" ht="15.75" customHeight="1">
      <c r="A71447" s="7"/>
      <c r="B71447" s="7"/>
    </row>
    <row r="71448" ht="15.75" customHeight="1">
      <c r="A71448" s="7"/>
      <c r="B71448" s="7"/>
    </row>
    <row r="71449" ht="15.75" customHeight="1">
      <c r="A71449" s="7"/>
      <c r="B71449" s="7"/>
    </row>
    <row r="71450" ht="15.75" customHeight="1">
      <c r="A71450" s="7"/>
      <c r="B71450" s="7"/>
    </row>
    <row r="71451" ht="15.75" customHeight="1">
      <c r="A71451" s="7"/>
      <c r="B71451" s="7"/>
    </row>
    <row r="71452" ht="15.75" customHeight="1">
      <c r="A71452" s="7"/>
      <c r="B71452" s="7"/>
    </row>
    <row r="71453" ht="15.75" customHeight="1">
      <c r="A71453" s="7"/>
      <c r="B71453" s="7"/>
    </row>
    <row r="71454" ht="15.75" customHeight="1">
      <c r="A71454" s="7"/>
      <c r="B71454" s="7"/>
    </row>
    <row r="71455" ht="15.75" customHeight="1">
      <c r="A71455" s="7"/>
      <c r="B71455" s="7"/>
    </row>
    <row r="71456" ht="15.75" customHeight="1">
      <c r="A71456" s="7"/>
      <c r="B71456" s="7"/>
    </row>
    <row r="71457" ht="15.75" customHeight="1">
      <c r="A71457" s="7"/>
      <c r="B71457" s="7"/>
    </row>
    <row r="71458" ht="15.75" customHeight="1">
      <c r="A71458" s="7"/>
      <c r="B71458" s="7"/>
    </row>
    <row r="71459" ht="15.75" customHeight="1">
      <c r="A71459" s="7"/>
      <c r="B71459" s="7"/>
    </row>
    <row r="71460" ht="15.75" customHeight="1">
      <c r="A71460" s="7"/>
      <c r="B71460" s="7"/>
    </row>
    <row r="71461" ht="15.75" customHeight="1">
      <c r="A71461" s="7"/>
      <c r="B71461" s="7"/>
    </row>
    <row r="71462" ht="15.75" customHeight="1">
      <c r="A71462" s="7"/>
      <c r="B71462" s="7"/>
    </row>
    <row r="71463" ht="15.75" customHeight="1">
      <c r="A71463" s="7"/>
      <c r="B71463" s="7"/>
    </row>
    <row r="71464" ht="15.75" customHeight="1">
      <c r="A71464" s="7"/>
      <c r="B71464" s="7"/>
    </row>
    <row r="71465" ht="15.75" customHeight="1">
      <c r="A71465" s="7"/>
      <c r="B71465" s="7"/>
    </row>
    <row r="71466" ht="15.75" customHeight="1">
      <c r="A71466" s="7"/>
      <c r="B71466" s="7"/>
    </row>
    <row r="71467" ht="15.75" customHeight="1">
      <c r="A71467" s="7"/>
      <c r="B71467" s="7"/>
    </row>
    <row r="71468" ht="15.75" customHeight="1">
      <c r="A71468" s="7"/>
      <c r="B71468" s="7"/>
    </row>
    <row r="71469" ht="15.75" customHeight="1">
      <c r="A71469" s="7"/>
      <c r="B71469" s="7"/>
    </row>
    <row r="71470" ht="15.75" customHeight="1">
      <c r="A71470" s="7"/>
      <c r="B71470" s="7"/>
    </row>
    <row r="71471" ht="15.75" customHeight="1">
      <c r="A71471" s="7"/>
      <c r="B71471" s="7"/>
    </row>
    <row r="71472" ht="15.75" customHeight="1">
      <c r="A71472" s="7"/>
      <c r="B71472" s="7"/>
    </row>
    <row r="71473" ht="15.75" customHeight="1">
      <c r="A71473" s="7"/>
      <c r="B71473" s="7"/>
    </row>
    <row r="71474" ht="15.75" customHeight="1">
      <c r="A71474" s="7"/>
      <c r="B71474" s="7"/>
    </row>
    <row r="71475" ht="15.75" customHeight="1">
      <c r="A71475" s="7"/>
      <c r="B71475" s="7"/>
    </row>
    <row r="71476" ht="15.75" customHeight="1">
      <c r="A71476" s="7"/>
      <c r="B71476" s="7"/>
    </row>
    <row r="71477" ht="15.75" customHeight="1">
      <c r="A71477" s="7"/>
      <c r="B71477" s="7"/>
    </row>
    <row r="71478" ht="15.75" customHeight="1">
      <c r="A71478" s="7"/>
      <c r="B71478" s="7"/>
    </row>
    <row r="71479" ht="15.75" customHeight="1">
      <c r="A71479" s="7"/>
      <c r="B71479" s="7"/>
    </row>
    <row r="71480" ht="15.75" customHeight="1">
      <c r="A71480" s="7"/>
      <c r="B71480" s="7"/>
    </row>
    <row r="71481" ht="15.75" customHeight="1">
      <c r="A71481" s="7"/>
      <c r="B71481" s="7"/>
    </row>
    <row r="71482" ht="15.75" customHeight="1">
      <c r="A71482" s="7"/>
      <c r="B71482" s="7"/>
    </row>
    <row r="71483" ht="15.75" customHeight="1">
      <c r="A71483" s="7"/>
      <c r="B71483" s="7"/>
    </row>
    <row r="71484" ht="15.75" customHeight="1">
      <c r="A71484" s="7"/>
      <c r="B71484" s="7"/>
    </row>
    <row r="71485" ht="15.75" customHeight="1">
      <c r="A71485" s="7"/>
      <c r="B71485" s="7"/>
    </row>
    <row r="71486" ht="15.75" customHeight="1">
      <c r="A71486" s="7"/>
      <c r="B71486" s="7"/>
    </row>
    <row r="71487" ht="15.75" customHeight="1">
      <c r="A71487" s="7"/>
      <c r="B71487" s="7"/>
    </row>
    <row r="71488" ht="15.75" customHeight="1">
      <c r="A71488" s="7"/>
      <c r="B71488" s="7"/>
    </row>
    <row r="71489" ht="15.75" customHeight="1">
      <c r="A71489" s="7"/>
      <c r="B71489" s="7"/>
    </row>
    <row r="71490" ht="15.75" customHeight="1">
      <c r="A71490" s="7"/>
      <c r="B71490" s="7"/>
    </row>
    <row r="71491" ht="15.75" customHeight="1">
      <c r="A71491" s="7"/>
      <c r="B71491" s="7"/>
    </row>
    <row r="71492" ht="15.75" customHeight="1">
      <c r="A71492" s="7"/>
      <c r="B71492" s="7"/>
    </row>
    <row r="71493" ht="15.75" customHeight="1">
      <c r="A71493" s="7"/>
      <c r="B71493" s="7"/>
    </row>
    <row r="71494" ht="15.75" customHeight="1">
      <c r="A71494" s="7"/>
      <c r="B71494" s="7"/>
    </row>
    <row r="71495" ht="15.75" customHeight="1">
      <c r="A71495" s="7"/>
      <c r="B71495" s="7"/>
    </row>
    <row r="71496" ht="15.75" customHeight="1">
      <c r="A71496" s="7"/>
      <c r="B71496" s="7"/>
    </row>
    <row r="71497" ht="15.75" customHeight="1">
      <c r="A71497" s="7"/>
      <c r="B71497" s="7"/>
    </row>
    <row r="71498" ht="15.75" customHeight="1">
      <c r="A71498" s="7"/>
      <c r="B71498" s="7"/>
    </row>
    <row r="71499" ht="15.75" customHeight="1">
      <c r="A71499" s="7"/>
      <c r="B71499" s="7"/>
    </row>
    <row r="71500" ht="15.75" customHeight="1">
      <c r="A71500" s="7"/>
      <c r="B71500" s="7"/>
    </row>
    <row r="71501" ht="15.75" customHeight="1">
      <c r="A71501" s="7"/>
      <c r="B71501" s="7"/>
    </row>
    <row r="71502" ht="15.75" customHeight="1">
      <c r="A71502" s="7"/>
      <c r="B71502" s="7"/>
    </row>
    <row r="71503" ht="15.75" customHeight="1">
      <c r="A71503" s="7"/>
      <c r="B71503" s="7"/>
    </row>
    <row r="71504" ht="15.75" customHeight="1">
      <c r="A71504" s="7"/>
      <c r="B71504" s="7"/>
    </row>
    <row r="71505" ht="15.75" customHeight="1">
      <c r="A71505" s="7"/>
      <c r="B71505" s="7"/>
    </row>
    <row r="71506" ht="15.75" customHeight="1">
      <c r="A71506" s="7"/>
      <c r="B71506" s="7"/>
    </row>
    <row r="71507" ht="15.75" customHeight="1">
      <c r="A71507" s="7"/>
      <c r="B71507" s="7"/>
    </row>
    <row r="71508" ht="15.75" customHeight="1">
      <c r="A71508" s="7"/>
      <c r="B71508" s="7"/>
    </row>
    <row r="71509" ht="15.75" customHeight="1">
      <c r="A71509" s="7"/>
      <c r="B71509" s="7"/>
    </row>
    <row r="71510" ht="15.75" customHeight="1">
      <c r="A71510" s="7"/>
      <c r="B71510" s="7"/>
    </row>
    <row r="71511" ht="15.75" customHeight="1">
      <c r="A71511" s="7"/>
      <c r="B71511" s="7"/>
    </row>
    <row r="71512" ht="15.75" customHeight="1">
      <c r="A71512" s="7"/>
      <c r="B71512" s="7"/>
    </row>
    <row r="71513" ht="15.75" customHeight="1">
      <c r="A71513" s="7"/>
      <c r="B71513" s="7"/>
    </row>
    <row r="71514" ht="15.75" customHeight="1">
      <c r="A71514" s="7"/>
      <c r="B71514" s="7"/>
    </row>
    <row r="71515" ht="15.75" customHeight="1">
      <c r="A71515" s="7"/>
      <c r="B71515" s="7"/>
    </row>
    <row r="71516" ht="15.75" customHeight="1">
      <c r="A71516" s="7"/>
      <c r="B71516" s="7"/>
    </row>
    <row r="71517" ht="15.75" customHeight="1">
      <c r="A71517" s="7"/>
      <c r="B71517" s="7"/>
    </row>
    <row r="71518" ht="15.75" customHeight="1">
      <c r="A71518" s="7"/>
      <c r="B71518" s="7"/>
    </row>
    <row r="71519" ht="15.75" customHeight="1">
      <c r="A71519" s="7"/>
      <c r="B71519" s="7"/>
    </row>
    <row r="71520" ht="15.75" customHeight="1">
      <c r="A71520" s="7"/>
      <c r="B71520" s="7"/>
    </row>
    <row r="71521" ht="15.75" customHeight="1">
      <c r="A71521" s="7"/>
      <c r="B71521" s="7"/>
    </row>
    <row r="71522" ht="15.75" customHeight="1">
      <c r="A71522" s="7"/>
      <c r="B71522" s="7"/>
    </row>
    <row r="71523" ht="15.75" customHeight="1">
      <c r="A71523" s="7"/>
      <c r="B71523" s="7"/>
    </row>
    <row r="71524" ht="15.75" customHeight="1">
      <c r="A71524" s="7"/>
      <c r="B71524" s="7"/>
    </row>
    <row r="71525" ht="15.75" customHeight="1">
      <c r="A71525" s="7"/>
      <c r="B71525" s="7"/>
    </row>
    <row r="71526" ht="15.75" customHeight="1">
      <c r="A71526" s="7"/>
      <c r="B71526" s="7"/>
    </row>
    <row r="71527" ht="15.75" customHeight="1">
      <c r="A71527" s="7"/>
      <c r="B71527" s="7"/>
    </row>
    <row r="71528" ht="15.75" customHeight="1">
      <c r="A71528" s="7"/>
      <c r="B71528" s="7"/>
    </row>
    <row r="71529" ht="15.75" customHeight="1">
      <c r="A71529" s="7"/>
      <c r="B71529" s="7"/>
    </row>
    <row r="71530" ht="15.75" customHeight="1">
      <c r="A71530" s="7"/>
      <c r="B71530" s="7"/>
    </row>
    <row r="71531" ht="15.75" customHeight="1">
      <c r="A71531" s="7"/>
      <c r="B71531" s="7"/>
    </row>
    <row r="71532" ht="15.75" customHeight="1">
      <c r="A71532" s="7"/>
      <c r="B71532" s="7"/>
    </row>
    <row r="71533" ht="15.75" customHeight="1">
      <c r="A71533" s="7"/>
      <c r="B71533" s="7"/>
    </row>
    <row r="71534" ht="15.75" customHeight="1">
      <c r="A71534" s="7"/>
      <c r="B71534" s="7"/>
    </row>
    <row r="71535" ht="15.75" customHeight="1">
      <c r="A71535" s="7"/>
      <c r="B71535" s="7"/>
    </row>
    <row r="71536" ht="15.75" customHeight="1">
      <c r="A71536" s="7"/>
      <c r="B71536" s="7"/>
    </row>
    <row r="71537" ht="15.75" customHeight="1">
      <c r="A71537" s="7"/>
      <c r="B71537" s="7"/>
    </row>
    <row r="71538" ht="15.75" customHeight="1">
      <c r="A71538" s="7"/>
      <c r="B71538" s="7"/>
    </row>
    <row r="71539" ht="15.75" customHeight="1">
      <c r="A71539" s="7"/>
      <c r="B71539" s="7"/>
    </row>
    <row r="71540" ht="15.75" customHeight="1">
      <c r="A71540" s="7"/>
      <c r="B71540" s="7"/>
    </row>
    <row r="71541" ht="15.75" customHeight="1">
      <c r="A71541" s="7"/>
      <c r="B71541" s="7"/>
    </row>
    <row r="71542" ht="15.75" customHeight="1">
      <c r="A71542" s="7"/>
      <c r="B71542" s="7"/>
    </row>
    <row r="71543" ht="15.75" customHeight="1">
      <c r="A71543" s="7"/>
      <c r="B71543" s="7"/>
    </row>
    <row r="71544" ht="15.75" customHeight="1">
      <c r="A71544" s="7"/>
      <c r="B71544" s="7"/>
    </row>
    <row r="71545" ht="15.75" customHeight="1">
      <c r="A71545" s="7"/>
      <c r="B71545" s="7"/>
    </row>
    <row r="71546" ht="15.75" customHeight="1">
      <c r="A71546" s="7"/>
      <c r="B71546" s="7"/>
    </row>
    <row r="71547" ht="15.75" customHeight="1">
      <c r="A71547" s="7"/>
      <c r="B71547" s="7"/>
    </row>
    <row r="71548" ht="15.75" customHeight="1">
      <c r="A71548" s="7"/>
      <c r="B71548" s="7"/>
    </row>
    <row r="71549" ht="15.75" customHeight="1">
      <c r="A71549" s="7"/>
      <c r="B71549" s="7"/>
    </row>
    <row r="71550" ht="15.75" customHeight="1">
      <c r="A71550" s="7"/>
      <c r="B71550" s="7"/>
    </row>
    <row r="71551" ht="15.75" customHeight="1">
      <c r="A71551" s="7"/>
      <c r="B71551" s="7"/>
    </row>
    <row r="71552" ht="15.75" customHeight="1">
      <c r="A71552" s="7"/>
      <c r="B71552" s="7"/>
    </row>
    <row r="71553" ht="15.75" customHeight="1">
      <c r="A71553" s="7"/>
      <c r="B71553" s="7"/>
    </row>
    <row r="71554" ht="15.75" customHeight="1">
      <c r="A71554" s="7"/>
      <c r="B71554" s="7"/>
    </row>
    <row r="71555" ht="15.75" customHeight="1">
      <c r="A71555" s="7"/>
      <c r="B71555" s="7"/>
    </row>
    <row r="71556" ht="15.75" customHeight="1">
      <c r="A71556" s="7"/>
      <c r="B71556" s="7"/>
    </row>
    <row r="71557" ht="15.75" customHeight="1">
      <c r="A71557" s="7"/>
      <c r="B71557" s="7"/>
    </row>
    <row r="71558" ht="15.75" customHeight="1">
      <c r="A71558" s="7"/>
      <c r="B71558" s="7"/>
    </row>
    <row r="71559" ht="15.75" customHeight="1">
      <c r="A71559" s="7"/>
      <c r="B71559" s="7"/>
    </row>
    <row r="71560" ht="15.75" customHeight="1">
      <c r="A71560" s="7"/>
      <c r="B71560" s="7"/>
    </row>
    <row r="71561" ht="15.75" customHeight="1">
      <c r="A71561" s="7"/>
      <c r="B71561" s="7"/>
    </row>
    <row r="71562" ht="15.75" customHeight="1">
      <c r="A71562" s="7"/>
      <c r="B71562" s="7"/>
    </row>
    <row r="71563" ht="15.75" customHeight="1">
      <c r="A71563" s="7"/>
      <c r="B71563" s="7"/>
    </row>
    <row r="71564" ht="15.75" customHeight="1">
      <c r="A71564" s="7"/>
      <c r="B71564" s="7"/>
    </row>
    <row r="71565" ht="15.75" customHeight="1">
      <c r="A71565" s="7"/>
      <c r="B71565" s="7"/>
    </row>
    <row r="71566" ht="15.75" customHeight="1">
      <c r="A71566" s="7"/>
      <c r="B71566" s="7"/>
    </row>
    <row r="71567" ht="15.75" customHeight="1">
      <c r="A71567" s="7"/>
      <c r="B71567" s="7"/>
    </row>
    <row r="71568" ht="15.75" customHeight="1">
      <c r="A71568" s="7"/>
      <c r="B71568" s="7"/>
    </row>
    <row r="71569" ht="15.75" customHeight="1">
      <c r="A71569" s="7"/>
      <c r="B71569" s="7"/>
    </row>
    <row r="71570" ht="15.75" customHeight="1">
      <c r="A71570" s="7"/>
      <c r="B71570" s="7"/>
    </row>
    <row r="71571" ht="15.75" customHeight="1">
      <c r="A71571" s="7"/>
      <c r="B71571" s="7"/>
    </row>
    <row r="71572" ht="15.75" customHeight="1">
      <c r="A71572" s="7"/>
      <c r="B71572" s="7"/>
    </row>
    <row r="71573" ht="15.75" customHeight="1">
      <c r="A71573" s="7"/>
      <c r="B71573" s="7"/>
    </row>
    <row r="71574" ht="15.75" customHeight="1">
      <c r="A71574" s="7"/>
      <c r="B71574" s="7"/>
    </row>
    <row r="71575" ht="15.75" customHeight="1">
      <c r="A71575" s="7"/>
      <c r="B71575" s="7"/>
    </row>
    <row r="71576" ht="15.75" customHeight="1">
      <c r="A71576" s="7"/>
      <c r="B71576" s="7"/>
    </row>
    <row r="71577" ht="15.75" customHeight="1">
      <c r="A71577" s="7"/>
      <c r="B71577" s="7"/>
    </row>
    <row r="71578" ht="15.75" customHeight="1">
      <c r="A71578" s="7"/>
      <c r="B71578" s="7"/>
    </row>
    <row r="71579" ht="15.75" customHeight="1">
      <c r="A71579" s="7"/>
      <c r="B71579" s="7"/>
    </row>
    <row r="71580" ht="15.75" customHeight="1">
      <c r="A71580" s="7"/>
      <c r="B71580" s="7"/>
    </row>
    <row r="71581" ht="15.75" customHeight="1">
      <c r="A71581" s="7"/>
      <c r="B71581" s="7"/>
    </row>
    <row r="71582" ht="15.75" customHeight="1">
      <c r="A71582" s="7"/>
      <c r="B71582" s="7"/>
    </row>
    <row r="71583" ht="15.75" customHeight="1">
      <c r="A71583" s="7"/>
      <c r="B71583" s="7"/>
    </row>
    <row r="71584" ht="15.75" customHeight="1">
      <c r="A71584" s="7"/>
      <c r="B71584" s="7"/>
    </row>
    <row r="71585" ht="15.75" customHeight="1">
      <c r="A71585" s="7"/>
      <c r="B71585" s="7"/>
    </row>
    <row r="71586" ht="15.75" customHeight="1">
      <c r="A71586" s="7"/>
      <c r="B71586" s="7"/>
    </row>
    <row r="71587" ht="15.75" customHeight="1">
      <c r="A71587" s="7"/>
      <c r="B71587" s="7"/>
    </row>
    <row r="71588" ht="15.75" customHeight="1">
      <c r="A71588" s="7"/>
      <c r="B71588" s="7"/>
    </row>
    <row r="71589" ht="15.75" customHeight="1">
      <c r="A71589" s="7"/>
      <c r="B71589" s="7"/>
    </row>
    <row r="71590" ht="15.75" customHeight="1">
      <c r="A71590" s="7"/>
      <c r="B71590" s="7"/>
    </row>
    <row r="71591" ht="15.75" customHeight="1">
      <c r="A71591" s="7"/>
      <c r="B71591" s="7"/>
    </row>
    <row r="71592" ht="15.75" customHeight="1">
      <c r="A71592" s="7"/>
      <c r="B71592" s="7"/>
    </row>
    <row r="71593" ht="15.75" customHeight="1">
      <c r="A71593" s="7"/>
      <c r="B71593" s="7"/>
    </row>
    <row r="71594" ht="15.75" customHeight="1">
      <c r="A71594" s="7"/>
      <c r="B71594" s="7"/>
    </row>
    <row r="71595" ht="15.75" customHeight="1">
      <c r="A71595" s="7"/>
      <c r="B71595" s="7"/>
    </row>
    <row r="71596" ht="15.75" customHeight="1">
      <c r="A71596" s="7"/>
      <c r="B71596" s="7"/>
    </row>
    <row r="71597" ht="15.75" customHeight="1">
      <c r="A71597" s="7"/>
      <c r="B71597" s="7"/>
    </row>
    <row r="71598" ht="15.75" customHeight="1">
      <c r="A71598" s="7"/>
      <c r="B71598" s="7"/>
    </row>
    <row r="71599" ht="15.75" customHeight="1">
      <c r="A71599" s="7"/>
      <c r="B71599" s="7"/>
    </row>
    <row r="71600" ht="15.75" customHeight="1">
      <c r="A71600" s="7"/>
      <c r="B71600" s="7"/>
    </row>
    <row r="71601" ht="15.75" customHeight="1">
      <c r="A71601" s="7"/>
      <c r="B71601" s="7"/>
    </row>
    <row r="71602" ht="15.75" customHeight="1">
      <c r="A71602" s="7"/>
      <c r="B71602" s="7"/>
    </row>
    <row r="71603" ht="15.75" customHeight="1">
      <c r="A71603" s="7"/>
      <c r="B71603" s="7"/>
    </row>
    <row r="71604" ht="15.75" customHeight="1">
      <c r="A71604" s="7"/>
      <c r="B71604" s="7"/>
    </row>
    <row r="71605" ht="15.75" customHeight="1">
      <c r="A71605" s="7"/>
      <c r="B71605" s="7"/>
    </row>
    <row r="71606" ht="15.75" customHeight="1">
      <c r="A71606" s="7"/>
      <c r="B71606" s="7"/>
    </row>
    <row r="71607" ht="15.75" customHeight="1">
      <c r="A71607" s="7"/>
      <c r="B71607" s="7"/>
    </row>
    <row r="71608" ht="15.75" customHeight="1">
      <c r="A71608" s="7"/>
      <c r="B71608" s="7"/>
    </row>
    <row r="71609" ht="15.75" customHeight="1">
      <c r="A71609" s="7"/>
      <c r="B71609" s="7"/>
    </row>
    <row r="71610" ht="15.75" customHeight="1">
      <c r="A71610" s="7"/>
      <c r="B71610" s="7"/>
    </row>
    <row r="71611" ht="15.75" customHeight="1">
      <c r="A71611" s="7"/>
      <c r="B71611" s="7"/>
    </row>
    <row r="71612" ht="15.75" customHeight="1">
      <c r="A71612" s="7"/>
      <c r="B71612" s="7"/>
    </row>
    <row r="71613" ht="15.75" customHeight="1">
      <c r="A71613" s="7"/>
      <c r="B71613" s="7"/>
    </row>
    <row r="71614" ht="15.75" customHeight="1">
      <c r="A71614" s="7"/>
      <c r="B71614" s="7"/>
    </row>
    <row r="71615" ht="15.75" customHeight="1">
      <c r="A71615" s="7"/>
      <c r="B71615" s="7"/>
    </row>
    <row r="71616" ht="15.75" customHeight="1">
      <c r="A71616" s="7"/>
      <c r="B71616" s="7"/>
    </row>
    <row r="71617" ht="15.75" customHeight="1">
      <c r="A71617" s="7"/>
      <c r="B71617" s="7"/>
    </row>
    <row r="71618" ht="15.75" customHeight="1">
      <c r="A71618" s="7"/>
      <c r="B71618" s="7"/>
    </row>
    <row r="71619" ht="15.75" customHeight="1">
      <c r="A71619" s="7"/>
      <c r="B71619" s="7"/>
    </row>
    <row r="71620" ht="15.75" customHeight="1">
      <c r="A71620" s="7"/>
      <c r="B71620" s="7"/>
    </row>
    <row r="71621" ht="15.75" customHeight="1">
      <c r="A71621" s="7"/>
      <c r="B71621" s="7"/>
    </row>
    <row r="71622" ht="15.75" customHeight="1">
      <c r="A71622" s="7"/>
      <c r="B71622" s="7"/>
    </row>
    <row r="71623" ht="15.75" customHeight="1">
      <c r="A71623" s="7"/>
      <c r="B71623" s="7"/>
    </row>
    <row r="71624" ht="15.75" customHeight="1">
      <c r="A71624" s="7"/>
      <c r="B71624" s="7"/>
    </row>
    <row r="71625" ht="15.75" customHeight="1">
      <c r="A71625" s="7"/>
      <c r="B71625" s="7"/>
    </row>
    <row r="71626" ht="15.75" customHeight="1">
      <c r="A71626" s="7"/>
      <c r="B71626" s="7"/>
    </row>
    <row r="71627" ht="15.75" customHeight="1">
      <c r="A71627" s="7"/>
      <c r="B71627" s="7"/>
    </row>
    <row r="71628" ht="15.75" customHeight="1">
      <c r="A71628" s="7"/>
      <c r="B71628" s="7"/>
    </row>
    <row r="71629" ht="15.75" customHeight="1">
      <c r="A71629" s="7"/>
      <c r="B71629" s="7"/>
    </row>
    <row r="71630" ht="15.75" customHeight="1">
      <c r="A71630" s="7"/>
      <c r="B71630" s="7"/>
    </row>
    <row r="71631" ht="15.75" customHeight="1">
      <c r="A71631" s="7"/>
      <c r="B71631" s="7"/>
    </row>
    <row r="71632" ht="15.75" customHeight="1">
      <c r="A71632" s="7"/>
      <c r="B71632" s="7"/>
    </row>
    <row r="71633" ht="15.75" customHeight="1">
      <c r="A71633" s="7"/>
      <c r="B71633" s="7"/>
    </row>
    <row r="71634" ht="15.75" customHeight="1">
      <c r="A71634" s="7"/>
      <c r="B71634" s="7"/>
    </row>
    <row r="71635" ht="15.75" customHeight="1">
      <c r="A71635" s="7"/>
      <c r="B71635" s="7"/>
    </row>
    <row r="71636" ht="15.75" customHeight="1">
      <c r="A71636" s="7"/>
      <c r="B71636" s="7"/>
    </row>
    <row r="71637" ht="15.75" customHeight="1">
      <c r="A71637" s="7"/>
      <c r="B71637" s="7"/>
    </row>
    <row r="71638" ht="15.75" customHeight="1">
      <c r="A71638" s="7"/>
      <c r="B71638" s="7"/>
    </row>
    <row r="71639" ht="15.75" customHeight="1">
      <c r="A71639" s="7"/>
      <c r="B71639" s="7"/>
    </row>
    <row r="71640" ht="15.75" customHeight="1">
      <c r="A71640" s="7"/>
      <c r="B71640" s="7"/>
    </row>
    <row r="71641" ht="15.75" customHeight="1">
      <c r="A71641" s="7"/>
      <c r="B71641" s="7"/>
    </row>
    <row r="71642" ht="15.75" customHeight="1">
      <c r="A71642" s="7"/>
      <c r="B71642" s="7"/>
    </row>
    <row r="71643" ht="15.75" customHeight="1">
      <c r="A71643" s="7"/>
      <c r="B71643" s="7"/>
    </row>
    <row r="71644" ht="15.75" customHeight="1">
      <c r="A71644" s="7"/>
      <c r="B71644" s="7"/>
    </row>
    <row r="71645" ht="15.75" customHeight="1">
      <c r="A71645" s="7"/>
      <c r="B71645" s="7"/>
    </row>
    <row r="71646" ht="15.75" customHeight="1">
      <c r="A71646" s="7"/>
      <c r="B71646" s="7"/>
    </row>
    <row r="71647" ht="15.75" customHeight="1">
      <c r="A71647" s="7"/>
      <c r="B71647" s="7"/>
    </row>
    <row r="71648" ht="15.75" customHeight="1">
      <c r="A71648" s="7"/>
      <c r="B71648" s="7"/>
    </row>
    <row r="71649" ht="15.75" customHeight="1">
      <c r="A71649" s="7"/>
      <c r="B71649" s="7"/>
    </row>
    <row r="71650" ht="15.75" customHeight="1">
      <c r="A71650" s="7"/>
      <c r="B71650" s="7"/>
    </row>
    <row r="71651" ht="15.75" customHeight="1">
      <c r="A71651" s="7"/>
      <c r="B71651" s="7"/>
    </row>
    <row r="71652" ht="15.75" customHeight="1">
      <c r="A71652" s="7"/>
      <c r="B71652" s="7"/>
    </row>
    <row r="71653" ht="15.75" customHeight="1">
      <c r="A71653" s="7"/>
      <c r="B71653" s="7"/>
    </row>
    <row r="71654" ht="15.75" customHeight="1">
      <c r="A71654" s="7"/>
      <c r="B71654" s="7"/>
    </row>
    <row r="71655" ht="15.75" customHeight="1">
      <c r="A71655" s="7"/>
      <c r="B71655" s="7"/>
    </row>
    <row r="71656" ht="15.75" customHeight="1">
      <c r="A71656" s="7"/>
      <c r="B71656" s="7"/>
    </row>
    <row r="71657" ht="15.75" customHeight="1">
      <c r="A71657" s="7"/>
      <c r="B71657" s="7"/>
    </row>
    <row r="71658" ht="15.75" customHeight="1">
      <c r="A71658" s="7"/>
      <c r="B71658" s="7"/>
    </row>
    <row r="71659" ht="15.75" customHeight="1">
      <c r="A71659" s="7"/>
      <c r="B71659" s="7"/>
    </row>
    <row r="71660" ht="15.75" customHeight="1">
      <c r="A71660" s="7"/>
      <c r="B71660" s="7"/>
    </row>
    <row r="71661" ht="15.75" customHeight="1">
      <c r="A71661" s="7"/>
      <c r="B71661" s="7"/>
    </row>
    <row r="71662" ht="15.75" customHeight="1">
      <c r="A71662" s="7"/>
      <c r="B71662" s="7"/>
    </row>
    <row r="71663" ht="15.75" customHeight="1">
      <c r="A71663" s="7"/>
      <c r="B71663" s="7"/>
    </row>
    <row r="71664" ht="15.75" customHeight="1">
      <c r="A71664" s="7"/>
      <c r="B71664" s="7"/>
    </row>
    <row r="71665" ht="15.75" customHeight="1">
      <c r="A71665" s="7"/>
      <c r="B71665" s="7"/>
    </row>
    <row r="71666" ht="15.75" customHeight="1">
      <c r="A71666" s="7"/>
      <c r="B71666" s="7"/>
    </row>
    <row r="71667" ht="15.75" customHeight="1">
      <c r="A71667" s="7"/>
      <c r="B71667" s="7"/>
    </row>
    <row r="71668" ht="15.75" customHeight="1">
      <c r="A71668" s="7"/>
      <c r="B71668" s="7"/>
    </row>
    <row r="71669" ht="15.75" customHeight="1">
      <c r="A71669" s="7"/>
      <c r="B71669" s="7"/>
    </row>
    <row r="71670" ht="15.75" customHeight="1">
      <c r="A71670" s="7"/>
      <c r="B71670" s="7"/>
    </row>
    <row r="71671" ht="15.75" customHeight="1">
      <c r="A71671" s="7"/>
      <c r="B71671" s="7"/>
    </row>
    <row r="71672" ht="15.75" customHeight="1">
      <c r="A71672" s="7"/>
      <c r="B71672" s="7"/>
    </row>
    <row r="71673" ht="15.75" customHeight="1">
      <c r="A71673" s="7"/>
      <c r="B71673" s="7"/>
    </row>
    <row r="71674" ht="15.75" customHeight="1">
      <c r="A71674" s="7"/>
      <c r="B71674" s="7"/>
    </row>
    <row r="71675" ht="15.75" customHeight="1">
      <c r="A71675" s="7"/>
      <c r="B71675" s="7"/>
    </row>
    <row r="71676" ht="15.75" customHeight="1">
      <c r="A71676" s="7"/>
      <c r="B71676" s="7"/>
    </row>
    <row r="71677" ht="15.75" customHeight="1">
      <c r="A71677" s="7"/>
      <c r="B71677" s="7"/>
    </row>
    <row r="71678" ht="15.75" customHeight="1">
      <c r="A71678" s="7"/>
      <c r="B71678" s="7"/>
    </row>
    <row r="71679" ht="15.75" customHeight="1">
      <c r="A71679" s="7"/>
      <c r="B71679" s="7"/>
    </row>
    <row r="71680" ht="15.75" customHeight="1">
      <c r="A71680" s="7"/>
      <c r="B71680" s="7"/>
    </row>
    <row r="71681" ht="15.75" customHeight="1">
      <c r="A71681" s="7"/>
      <c r="B71681" s="7"/>
    </row>
    <row r="71682" ht="15.75" customHeight="1">
      <c r="A71682" s="7"/>
      <c r="B71682" s="7"/>
    </row>
    <row r="71683" ht="15.75" customHeight="1">
      <c r="A71683" s="7"/>
      <c r="B71683" s="7"/>
    </row>
    <row r="71684" ht="15.75" customHeight="1">
      <c r="A71684" s="7"/>
      <c r="B71684" s="7"/>
    </row>
    <row r="71685" ht="15.75" customHeight="1">
      <c r="A71685" s="7"/>
      <c r="B71685" s="7"/>
    </row>
    <row r="71686" ht="15.75" customHeight="1">
      <c r="A71686" s="7"/>
      <c r="B71686" s="7"/>
    </row>
    <row r="71687" ht="15.75" customHeight="1">
      <c r="A71687" s="7"/>
      <c r="B71687" s="7"/>
    </row>
    <row r="71688" ht="15.75" customHeight="1">
      <c r="A71688" s="7"/>
      <c r="B71688" s="7"/>
    </row>
    <row r="71689" ht="15.75" customHeight="1">
      <c r="A71689" s="7"/>
      <c r="B71689" s="7"/>
    </row>
    <row r="71690" ht="15.75" customHeight="1">
      <c r="A71690" s="7"/>
      <c r="B71690" s="7"/>
    </row>
    <row r="71691" ht="15.75" customHeight="1">
      <c r="A71691" s="7"/>
      <c r="B71691" s="7"/>
    </row>
    <row r="71692" ht="15.75" customHeight="1">
      <c r="A71692" s="7"/>
      <c r="B71692" s="7"/>
    </row>
    <row r="71693" ht="15.75" customHeight="1">
      <c r="A71693" s="7"/>
      <c r="B71693" s="7"/>
    </row>
    <row r="71694" ht="15.75" customHeight="1">
      <c r="A71694" s="7"/>
      <c r="B71694" s="7"/>
    </row>
    <row r="71695" ht="15.75" customHeight="1">
      <c r="A71695" s="7"/>
      <c r="B71695" s="7"/>
    </row>
    <row r="71696" ht="15.75" customHeight="1">
      <c r="A71696" s="7"/>
      <c r="B71696" s="7"/>
    </row>
    <row r="71697" ht="15.75" customHeight="1">
      <c r="A71697" s="7"/>
      <c r="B71697" s="7"/>
    </row>
    <row r="71698" ht="15.75" customHeight="1">
      <c r="A71698" s="7"/>
      <c r="B71698" s="7"/>
    </row>
    <row r="71699" ht="15.75" customHeight="1">
      <c r="A71699" s="7"/>
      <c r="B71699" s="7"/>
    </row>
    <row r="71700" ht="15.75" customHeight="1">
      <c r="A71700" s="7"/>
      <c r="B71700" s="7"/>
    </row>
    <row r="71701" ht="15.75" customHeight="1">
      <c r="A71701" s="7"/>
      <c r="B71701" s="7"/>
    </row>
    <row r="71702" ht="15.75" customHeight="1">
      <c r="A71702" s="7"/>
      <c r="B71702" s="7"/>
    </row>
    <row r="71703" ht="15.75" customHeight="1">
      <c r="A71703" s="7"/>
      <c r="B71703" s="7"/>
    </row>
    <row r="71704" ht="15.75" customHeight="1">
      <c r="A71704" s="7"/>
      <c r="B71704" s="7"/>
    </row>
    <row r="71705" ht="15.75" customHeight="1">
      <c r="A71705" s="7"/>
      <c r="B71705" s="7"/>
    </row>
    <row r="71706" ht="15.75" customHeight="1">
      <c r="A71706" s="7"/>
      <c r="B71706" s="7"/>
    </row>
    <row r="71707" ht="15.75" customHeight="1">
      <c r="A71707" s="7"/>
      <c r="B71707" s="7"/>
    </row>
    <row r="71708" ht="15.75" customHeight="1">
      <c r="A71708" s="7"/>
      <c r="B71708" s="7"/>
    </row>
    <row r="71709" ht="15.75" customHeight="1">
      <c r="A71709" s="7"/>
      <c r="B71709" s="7"/>
    </row>
    <row r="71710" ht="15.75" customHeight="1">
      <c r="A71710" s="7"/>
      <c r="B71710" s="7"/>
    </row>
    <row r="71711" ht="15.75" customHeight="1">
      <c r="A71711" s="7"/>
      <c r="B71711" s="7"/>
    </row>
    <row r="71712" ht="15.75" customHeight="1">
      <c r="A71712" s="7"/>
      <c r="B71712" s="7"/>
    </row>
    <row r="71713" ht="15.75" customHeight="1">
      <c r="A71713" s="7"/>
      <c r="B71713" s="7"/>
    </row>
    <row r="71714" ht="15.75" customHeight="1">
      <c r="A71714" s="7"/>
      <c r="B71714" s="7"/>
    </row>
    <row r="71715" ht="15.75" customHeight="1">
      <c r="A71715" s="7"/>
      <c r="B71715" s="7"/>
    </row>
    <row r="71716" ht="15.75" customHeight="1">
      <c r="A71716" s="7"/>
      <c r="B71716" s="7"/>
    </row>
    <row r="71717" ht="15.75" customHeight="1">
      <c r="A71717" s="7"/>
      <c r="B71717" s="7"/>
    </row>
    <row r="71718" ht="15.75" customHeight="1">
      <c r="A71718" s="7"/>
      <c r="B71718" s="7"/>
    </row>
    <row r="71719" ht="15.75" customHeight="1">
      <c r="A71719" s="7"/>
      <c r="B71719" s="7"/>
    </row>
    <row r="71720" ht="15.75" customHeight="1">
      <c r="A71720" s="7"/>
      <c r="B71720" s="7"/>
    </row>
    <row r="71721" ht="15.75" customHeight="1">
      <c r="A71721" s="7"/>
      <c r="B71721" s="7"/>
    </row>
    <row r="71722" ht="15.75" customHeight="1">
      <c r="A71722" s="7"/>
      <c r="B71722" s="7"/>
    </row>
    <row r="71723" ht="15.75" customHeight="1">
      <c r="A71723" s="7"/>
      <c r="B71723" s="7"/>
    </row>
    <row r="71724" ht="15.75" customHeight="1">
      <c r="A71724" s="7"/>
      <c r="B71724" s="7"/>
    </row>
    <row r="71725" ht="15.75" customHeight="1">
      <c r="A71725" s="7"/>
      <c r="B71725" s="7"/>
    </row>
    <row r="71726" ht="15.75" customHeight="1">
      <c r="A71726" s="7"/>
      <c r="B71726" s="7"/>
    </row>
    <row r="71727" ht="15.75" customHeight="1">
      <c r="A71727" s="7"/>
      <c r="B71727" s="7"/>
    </row>
    <row r="71728" ht="15.75" customHeight="1">
      <c r="A71728" s="7"/>
      <c r="B71728" s="7"/>
    </row>
    <row r="71729" ht="15.75" customHeight="1">
      <c r="A71729" s="7"/>
      <c r="B71729" s="7"/>
    </row>
    <row r="71730" ht="15.75" customHeight="1">
      <c r="A71730" s="7"/>
      <c r="B71730" s="7"/>
    </row>
    <row r="71731" ht="15.75" customHeight="1">
      <c r="A71731" s="7"/>
      <c r="B71731" s="7"/>
    </row>
    <row r="71732" ht="15.75" customHeight="1">
      <c r="A71732" s="7"/>
      <c r="B71732" s="7"/>
    </row>
    <row r="71733" ht="15.75" customHeight="1">
      <c r="A71733" s="7"/>
      <c r="B71733" s="7"/>
    </row>
    <row r="71734" ht="15.75" customHeight="1">
      <c r="A71734" s="7"/>
      <c r="B71734" s="7"/>
    </row>
    <row r="71735" ht="15.75" customHeight="1">
      <c r="A71735" s="7"/>
      <c r="B71735" s="7"/>
    </row>
    <row r="71736" ht="15.75" customHeight="1">
      <c r="A71736" s="7"/>
      <c r="B71736" s="7"/>
    </row>
    <row r="71737" ht="15.75" customHeight="1">
      <c r="A71737" s="7"/>
      <c r="B71737" s="7"/>
    </row>
    <row r="71738" ht="15.75" customHeight="1">
      <c r="A71738" s="7"/>
      <c r="B71738" s="7"/>
    </row>
    <row r="71739" ht="15.75" customHeight="1">
      <c r="A71739" s="7"/>
      <c r="B71739" s="7"/>
    </row>
    <row r="71740" ht="15.75" customHeight="1">
      <c r="A71740" s="7"/>
      <c r="B71740" s="7"/>
    </row>
    <row r="71741" ht="15.75" customHeight="1">
      <c r="A71741" s="7"/>
      <c r="B71741" s="7"/>
    </row>
    <row r="71742" ht="15.75" customHeight="1">
      <c r="A71742" s="7"/>
      <c r="B71742" s="7"/>
    </row>
    <row r="71743" ht="15.75" customHeight="1">
      <c r="A71743" s="7"/>
      <c r="B71743" s="7"/>
    </row>
    <row r="71744" ht="15.75" customHeight="1">
      <c r="A71744" s="7"/>
      <c r="B71744" s="7"/>
    </row>
    <row r="71745" ht="15.75" customHeight="1">
      <c r="A71745" s="7"/>
      <c r="B71745" s="7"/>
    </row>
    <row r="71746" ht="15.75" customHeight="1">
      <c r="A71746" s="7"/>
      <c r="B71746" s="7"/>
    </row>
    <row r="71747" ht="15.75" customHeight="1">
      <c r="A71747" s="7"/>
      <c r="B71747" s="7"/>
    </row>
    <row r="71748" ht="15.75" customHeight="1">
      <c r="A71748" s="7"/>
      <c r="B71748" s="7"/>
    </row>
    <row r="71749" ht="15.75" customHeight="1">
      <c r="A71749" s="7"/>
      <c r="B71749" s="7"/>
    </row>
    <row r="71750" ht="15.75" customHeight="1">
      <c r="A71750" s="7"/>
      <c r="B71750" s="7"/>
    </row>
    <row r="71751" ht="15.75" customHeight="1">
      <c r="A71751" s="7"/>
      <c r="B71751" s="7"/>
    </row>
    <row r="71752" ht="15.75" customHeight="1">
      <c r="A71752" s="7"/>
      <c r="B71752" s="7"/>
    </row>
    <row r="71753" ht="15.75" customHeight="1">
      <c r="A71753" s="7"/>
      <c r="B71753" s="7"/>
    </row>
    <row r="71754" ht="15.75" customHeight="1">
      <c r="A71754" s="7"/>
      <c r="B71754" s="7"/>
    </row>
    <row r="71755" ht="15.75" customHeight="1">
      <c r="A71755" s="7"/>
      <c r="B71755" s="7"/>
    </row>
    <row r="71756" ht="15.75" customHeight="1">
      <c r="A71756" s="7"/>
      <c r="B71756" s="7"/>
    </row>
    <row r="71757" ht="15.75" customHeight="1">
      <c r="A71757" s="7"/>
      <c r="B71757" s="7"/>
    </row>
    <row r="71758" ht="15.75" customHeight="1">
      <c r="A71758" s="7"/>
      <c r="B71758" s="7"/>
    </row>
    <row r="71759" ht="15.75" customHeight="1">
      <c r="A71759" s="7"/>
      <c r="B71759" s="7"/>
    </row>
    <row r="71760" ht="15.75" customHeight="1">
      <c r="A71760" s="7"/>
      <c r="B71760" s="7"/>
    </row>
    <row r="71761" ht="15.75" customHeight="1">
      <c r="A71761" s="7"/>
      <c r="B71761" s="7"/>
    </row>
    <row r="71762" ht="15.75" customHeight="1">
      <c r="A71762" s="7"/>
      <c r="B71762" s="7"/>
    </row>
    <row r="71763" ht="15.75" customHeight="1">
      <c r="A71763" s="7"/>
      <c r="B71763" s="7"/>
    </row>
    <row r="71764" ht="15.75" customHeight="1">
      <c r="A71764" s="7"/>
      <c r="B71764" s="7"/>
    </row>
    <row r="71765" ht="15.75" customHeight="1">
      <c r="A71765" s="7"/>
      <c r="B71765" s="7"/>
    </row>
    <row r="71766" ht="15.75" customHeight="1">
      <c r="A71766" s="7"/>
      <c r="B71766" s="7"/>
    </row>
    <row r="71767" ht="15.75" customHeight="1">
      <c r="A71767" s="7"/>
      <c r="B71767" s="7"/>
    </row>
    <row r="71768" ht="15.75" customHeight="1">
      <c r="A71768" s="7"/>
      <c r="B71768" s="7"/>
    </row>
    <row r="71769" ht="15.75" customHeight="1">
      <c r="A71769" s="7"/>
      <c r="B71769" s="7"/>
    </row>
    <row r="71770" ht="15.75" customHeight="1">
      <c r="A71770" s="7"/>
      <c r="B71770" s="7"/>
    </row>
    <row r="71771" ht="15.75" customHeight="1">
      <c r="A71771" s="7"/>
      <c r="B71771" s="7"/>
    </row>
    <row r="71772" ht="15.75" customHeight="1">
      <c r="A71772" s="7"/>
      <c r="B71772" s="7"/>
    </row>
    <row r="71773" ht="15.75" customHeight="1">
      <c r="A71773" s="7"/>
      <c r="B71773" s="7"/>
    </row>
    <row r="71774" ht="15.75" customHeight="1">
      <c r="A71774" s="7"/>
      <c r="B71774" s="7"/>
    </row>
    <row r="71775" ht="15.75" customHeight="1">
      <c r="A71775" s="7"/>
      <c r="B71775" s="7"/>
    </row>
    <row r="71776" ht="15.75" customHeight="1">
      <c r="A71776" s="7"/>
      <c r="B71776" s="7"/>
    </row>
    <row r="71777" ht="15.75" customHeight="1">
      <c r="A71777" s="7"/>
      <c r="B71777" s="7"/>
    </row>
    <row r="71778" ht="15.75" customHeight="1">
      <c r="A71778" s="7"/>
      <c r="B71778" s="7"/>
    </row>
    <row r="71779" ht="15.75" customHeight="1">
      <c r="A71779" s="7"/>
      <c r="B71779" s="7"/>
    </row>
    <row r="71780" ht="15.75" customHeight="1">
      <c r="A71780" s="7"/>
      <c r="B71780" s="7"/>
    </row>
    <row r="71781" ht="15.75" customHeight="1">
      <c r="A71781" s="7"/>
      <c r="B71781" s="7"/>
    </row>
    <row r="71782" ht="15.75" customHeight="1">
      <c r="A71782" s="7"/>
      <c r="B71782" s="7"/>
    </row>
    <row r="71783" ht="15.75" customHeight="1">
      <c r="A71783" s="7"/>
      <c r="B71783" s="7"/>
    </row>
    <row r="71784" ht="15.75" customHeight="1">
      <c r="A71784" s="7"/>
      <c r="B71784" s="7"/>
    </row>
    <row r="71785" ht="15.75" customHeight="1">
      <c r="A71785" s="7"/>
      <c r="B71785" s="7"/>
    </row>
    <row r="71786" ht="15.75" customHeight="1">
      <c r="A71786" s="7"/>
      <c r="B71786" s="7"/>
    </row>
    <row r="71787" ht="15.75" customHeight="1">
      <c r="A71787" s="7"/>
      <c r="B71787" s="7"/>
    </row>
    <row r="71788" ht="15.75" customHeight="1">
      <c r="A71788" s="7"/>
      <c r="B71788" s="7"/>
    </row>
    <row r="71789" ht="15.75" customHeight="1">
      <c r="A71789" s="7"/>
      <c r="B71789" s="7"/>
    </row>
    <row r="71790" ht="15.75" customHeight="1">
      <c r="A71790" s="7"/>
      <c r="B71790" s="7"/>
    </row>
    <row r="71791" ht="15.75" customHeight="1">
      <c r="A71791" s="7"/>
      <c r="B71791" s="7"/>
    </row>
    <row r="71792" ht="15.75" customHeight="1">
      <c r="A71792" s="7"/>
      <c r="B71792" s="7"/>
    </row>
    <row r="71793" ht="15.75" customHeight="1">
      <c r="A71793" s="7"/>
      <c r="B71793" s="7"/>
    </row>
    <row r="71794" ht="15.75" customHeight="1">
      <c r="A71794" s="7"/>
      <c r="B71794" s="7"/>
    </row>
    <row r="71795" ht="15.75" customHeight="1">
      <c r="A71795" s="7"/>
      <c r="B71795" s="7"/>
    </row>
    <row r="71796" ht="15.75" customHeight="1">
      <c r="A71796" s="7"/>
      <c r="B71796" s="7"/>
    </row>
    <row r="71797" ht="15.75" customHeight="1">
      <c r="A71797" s="7"/>
      <c r="B71797" s="7"/>
    </row>
    <row r="71798" ht="15.75" customHeight="1">
      <c r="A71798" s="7"/>
      <c r="B71798" s="7"/>
    </row>
    <row r="71799" ht="15.75" customHeight="1">
      <c r="A71799" s="7"/>
      <c r="B71799" s="7"/>
    </row>
    <row r="71800" ht="15.75" customHeight="1">
      <c r="A71800" s="7"/>
      <c r="B71800" s="7"/>
    </row>
    <row r="71801" ht="15.75" customHeight="1">
      <c r="A71801" s="7"/>
      <c r="B71801" s="7"/>
    </row>
    <row r="71802" ht="15.75" customHeight="1">
      <c r="A71802" s="7"/>
      <c r="B71802" s="7"/>
    </row>
    <row r="71803" ht="15.75" customHeight="1">
      <c r="A71803" s="7"/>
      <c r="B71803" s="7"/>
    </row>
    <row r="71804" ht="15.75" customHeight="1">
      <c r="A71804" s="7"/>
      <c r="B71804" s="7"/>
    </row>
    <row r="71805" ht="15.75" customHeight="1">
      <c r="A71805" s="7"/>
      <c r="B71805" s="7"/>
    </row>
    <row r="71806" ht="15.75" customHeight="1">
      <c r="A71806" s="7"/>
      <c r="B71806" s="7"/>
    </row>
    <row r="71807" ht="15.75" customHeight="1">
      <c r="A71807" s="7"/>
      <c r="B71807" s="7"/>
    </row>
    <row r="71808" ht="15.75" customHeight="1">
      <c r="A71808" s="7"/>
      <c r="B71808" s="7"/>
    </row>
    <row r="71809" ht="15.75" customHeight="1">
      <c r="A71809" s="7"/>
      <c r="B71809" s="7"/>
    </row>
    <row r="71810" ht="15.75" customHeight="1">
      <c r="A71810" s="7"/>
      <c r="B71810" s="7"/>
    </row>
    <row r="71811" ht="15.75" customHeight="1">
      <c r="A71811" s="7"/>
      <c r="B71811" s="7"/>
    </row>
    <row r="71812" ht="15.75" customHeight="1">
      <c r="A71812" s="7"/>
      <c r="B71812" s="7"/>
    </row>
    <row r="71813" ht="15.75" customHeight="1">
      <c r="A71813" s="7"/>
      <c r="B71813" s="7"/>
    </row>
    <row r="71814" ht="15.75" customHeight="1">
      <c r="A71814" s="7"/>
      <c r="B71814" s="7"/>
    </row>
    <row r="71815" ht="15.75" customHeight="1">
      <c r="A71815" s="7"/>
      <c r="B71815" s="7"/>
    </row>
    <row r="71816" ht="15.75" customHeight="1">
      <c r="A71816" s="7"/>
      <c r="B71816" s="7"/>
    </row>
    <row r="71817" ht="15.75" customHeight="1">
      <c r="A71817" s="7"/>
      <c r="B71817" s="7"/>
    </row>
    <row r="71818" ht="15.75" customHeight="1">
      <c r="A71818" s="7"/>
      <c r="B71818" s="7"/>
    </row>
    <row r="71819" ht="15.75" customHeight="1">
      <c r="A71819" s="7"/>
      <c r="B71819" s="7"/>
    </row>
    <row r="71820" ht="15.75" customHeight="1">
      <c r="A71820" s="7"/>
      <c r="B71820" s="7"/>
    </row>
    <row r="71821" ht="15.75" customHeight="1">
      <c r="A71821" s="7"/>
      <c r="B71821" s="7"/>
    </row>
    <row r="71822" ht="15.75" customHeight="1">
      <c r="A71822" s="7"/>
      <c r="B71822" s="7"/>
    </row>
    <row r="71823" ht="15.75" customHeight="1">
      <c r="A71823" s="7"/>
      <c r="B71823" s="7"/>
    </row>
    <row r="71824" ht="15.75" customHeight="1">
      <c r="A71824" s="7"/>
      <c r="B71824" s="7"/>
    </row>
    <row r="71825" ht="15.75" customHeight="1">
      <c r="A71825" s="7"/>
      <c r="B71825" s="7"/>
    </row>
    <row r="71826" ht="15.75" customHeight="1">
      <c r="A71826" s="7"/>
      <c r="B71826" s="7"/>
    </row>
    <row r="71827" ht="15.75" customHeight="1">
      <c r="A71827" s="7"/>
      <c r="B71827" s="7"/>
    </row>
    <row r="71828" ht="15.75" customHeight="1">
      <c r="A71828" s="7"/>
      <c r="B71828" s="7"/>
    </row>
    <row r="71829" ht="15.75" customHeight="1">
      <c r="A71829" s="7"/>
      <c r="B71829" s="7"/>
    </row>
    <row r="71830" ht="15.75" customHeight="1">
      <c r="A71830" s="7"/>
      <c r="B71830" s="7"/>
    </row>
    <row r="71831" ht="15.75" customHeight="1">
      <c r="A71831" s="7"/>
      <c r="B71831" s="7"/>
    </row>
    <row r="71832" ht="15.75" customHeight="1">
      <c r="A71832" s="7"/>
      <c r="B71832" s="7"/>
    </row>
    <row r="71833" ht="15.75" customHeight="1">
      <c r="A71833" s="7"/>
      <c r="B71833" s="7"/>
    </row>
    <row r="71834" ht="15.75" customHeight="1">
      <c r="A71834" s="7"/>
      <c r="B71834" s="7"/>
    </row>
    <row r="71835" ht="15.75" customHeight="1">
      <c r="A71835" s="7"/>
      <c r="B71835" s="7"/>
    </row>
    <row r="71836" ht="15.75" customHeight="1">
      <c r="A71836" s="7"/>
      <c r="B71836" s="7"/>
    </row>
    <row r="71837" ht="15.75" customHeight="1">
      <c r="A71837" s="7"/>
      <c r="B71837" s="7"/>
    </row>
    <row r="71838" ht="15.75" customHeight="1">
      <c r="A71838" s="7"/>
      <c r="B71838" s="7"/>
    </row>
    <row r="71839" ht="15.75" customHeight="1">
      <c r="A71839" s="7"/>
      <c r="B71839" s="7"/>
    </row>
    <row r="71840" ht="15.75" customHeight="1">
      <c r="A71840" s="7"/>
      <c r="B71840" s="7"/>
    </row>
    <row r="71841" ht="15.75" customHeight="1">
      <c r="A71841" s="7"/>
      <c r="B71841" s="7"/>
    </row>
    <row r="71842" ht="15.75" customHeight="1">
      <c r="A71842" s="7"/>
      <c r="B71842" s="7"/>
    </row>
    <row r="71843" ht="15.75" customHeight="1">
      <c r="A71843" s="7"/>
      <c r="B71843" s="7"/>
    </row>
    <row r="71844" ht="15.75" customHeight="1">
      <c r="A71844" s="7"/>
      <c r="B71844" s="7"/>
    </row>
    <row r="71845" ht="15.75" customHeight="1">
      <c r="A71845" s="7"/>
      <c r="B71845" s="7"/>
    </row>
    <row r="71846" ht="15.75" customHeight="1">
      <c r="A71846" s="7"/>
      <c r="B71846" s="7"/>
    </row>
    <row r="71847" ht="15.75" customHeight="1">
      <c r="A71847" s="7"/>
      <c r="B71847" s="7"/>
    </row>
    <row r="71848" ht="15.75" customHeight="1">
      <c r="A71848" s="7"/>
      <c r="B71848" s="7"/>
    </row>
    <row r="71849" ht="15.75" customHeight="1">
      <c r="A71849" s="7"/>
      <c r="B71849" s="7"/>
    </row>
    <row r="71850" ht="15.75" customHeight="1">
      <c r="A71850" s="7"/>
      <c r="B71850" s="7"/>
    </row>
    <row r="71851" ht="15.75" customHeight="1">
      <c r="A71851" s="7"/>
      <c r="B71851" s="7"/>
    </row>
    <row r="71852" ht="15.75" customHeight="1">
      <c r="A71852" s="7"/>
      <c r="B71852" s="7"/>
    </row>
    <row r="71853" ht="15.75" customHeight="1">
      <c r="A71853" s="7"/>
      <c r="B71853" s="7"/>
    </row>
    <row r="71854" ht="15.75" customHeight="1">
      <c r="A71854" s="7"/>
      <c r="B71854" s="7"/>
    </row>
    <row r="71855" ht="15.75" customHeight="1">
      <c r="A71855" s="7"/>
      <c r="B71855" s="7"/>
    </row>
    <row r="71856" ht="15.75" customHeight="1">
      <c r="A71856" s="7"/>
      <c r="B71856" s="7"/>
    </row>
    <row r="71857" ht="15.75" customHeight="1">
      <c r="A71857" s="7"/>
      <c r="B71857" s="7"/>
    </row>
    <row r="71858" ht="15.75" customHeight="1">
      <c r="A71858" s="7"/>
      <c r="B71858" s="7"/>
    </row>
    <row r="71859" ht="15.75" customHeight="1">
      <c r="A71859" s="7"/>
      <c r="B71859" s="7"/>
    </row>
    <row r="71860" ht="15.75" customHeight="1">
      <c r="A71860" s="7"/>
      <c r="B71860" s="7"/>
    </row>
    <row r="71861" ht="15.75" customHeight="1">
      <c r="A71861" s="7"/>
      <c r="B71861" s="7"/>
    </row>
    <row r="71862" ht="15.75" customHeight="1">
      <c r="A71862" s="7"/>
      <c r="B71862" s="7"/>
    </row>
    <row r="71863" ht="15.75" customHeight="1">
      <c r="A71863" s="7"/>
      <c r="B71863" s="7"/>
    </row>
    <row r="71864" ht="15.75" customHeight="1">
      <c r="A71864" s="7"/>
      <c r="B71864" s="7"/>
    </row>
    <row r="71865" ht="15.75" customHeight="1">
      <c r="A71865" s="7"/>
      <c r="B71865" s="7"/>
    </row>
    <row r="71866" ht="15.75" customHeight="1">
      <c r="A71866" s="7"/>
      <c r="B71866" s="7"/>
    </row>
    <row r="71867" ht="15.75" customHeight="1">
      <c r="A71867" s="7"/>
      <c r="B71867" s="7"/>
    </row>
    <row r="71868" ht="15.75" customHeight="1">
      <c r="A71868" s="7"/>
      <c r="B71868" s="7"/>
    </row>
    <row r="71869" ht="15.75" customHeight="1">
      <c r="A71869" s="7"/>
      <c r="B71869" s="7"/>
    </row>
    <row r="71870" ht="15.75" customHeight="1">
      <c r="A71870" s="7"/>
      <c r="B71870" s="7"/>
    </row>
    <row r="71871" ht="15.75" customHeight="1">
      <c r="A71871" s="7"/>
      <c r="B71871" s="7"/>
    </row>
    <row r="71872" ht="15.75" customHeight="1">
      <c r="A71872" s="7"/>
      <c r="B71872" s="7"/>
    </row>
    <row r="71873" ht="15.75" customHeight="1">
      <c r="A71873" s="7"/>
      <c r="B71873" s="7"/>
    </row>
    <row r="71874" ht="15.75" customHeight="1">
      <c r="A71874" s="7"/>
      <c r="B71874" s="7"/>
    </row>
    <row r="71875" ht="15.75" customHeight="1">
      <c r="A71875" s="7"/>
      <c r="B71875" s="7"/>
    </row>
    <row r="71876" ht="15.75" customHeight="1">
      <c r="A71876" s="7"/>
      <c r="B71876" s="7"/>
    </row>
    <row r="71877" ht="15.75" customHeight="1">
      <c r="A71877" s="7"/>
      <c r="B71877" s="7"/>
    </row>
    <row r="71878" ht="15.75" customHeight="1">
      <c r="A71878" s="7"/>
      <c r="B71878" s="7"/>
    </row>
    <row r="71879" ht="15.75" customHeight="1">
      <c r="A71879" s="7"/>
      <c r="B71879" s="7"/>
    </row>
    <row r="71880" ht="15.75" customHeight="1">
      <c r="A71880" s="7"/>
      <c r="B71880" s="7"/>
    </row>
    <row r="71881" ht="15.75" customHeight="1">
      <c r="A71881" s="7"/>
      <c r="B71881" s="7"/>
    </row>
    <row r="71882" ht="15.75" customHeight="1">
      <c r="A71882" s="7"/>
      <c r="B71882" s="7"/>
    </row>
    <row r="71883" ht="15.75" customHeight="1">
      <c r="A71883" s="7"/>
      <c r="B71883" s="7"/>
    </row>
    <row r="71884" ht="15.75" customHeight="1">
      <c r="A71884" s="7"/>
      <c r="B71884" s="7"/>
    </row>
    <row r="71885" ht="15.75" customHeight="1">
      <c r="A71885" s="7"/>
      <c r="B71885" s="7"/>
    </row>
    <row r="71886" ht="15.75" customHeight="1">
      <c r="A71886" s="7"/>
      <c r="B71886" s="7"/>
    </row>
    <row r="71887" ht="15.75" customHeight="1">
      <c r="A71887" s="7"/>
      <c r="B71887" s="7"/>
    </row>
    <row r="71888" ht="15.75" customHeight="1">
      <c r="A71888" s="7"/>
      <c r="B71888" s="7"/>
    </row>
    <row r="71889" ht="15.75" customHeight="1">
      <c r="A71889" s="7"/>
      <c r="B71889" s="7"/>
    </row>
    <row r="71890" ht="15.75" customHeight="1">
      <c r="A71890" s="7"/>
      <c r="B71890" s="7"/>
    </row>
    <row r="71891" ht="15.75" customHeight="1">
      <c r="A71891" s="7"/>
      <c r="B71891" s="7"/>
    </row>
    <row r="71892" ht="15.75" customHeight="1">
      <c r="A71892" s="7"/>
      <c r="B71892" s="7"/>
    </row>
    <row r="71893" ht="15.75" customHeight="1">
      <c r="A71893" s="7"/>
      <c r="B71893" s="7"/>
    </row>
    <row r="71894" ht="15.75" customHeight="1">
      <c r="A71894" s="7"/>
      <c r="B71894" s="7"/>
    </row>
    <row r="71895" ht="15.75" customHeight="1">
      <c r="A71895" s="7"/>
      <c r="B71895" s="7"/>
    </row>
    <row r="71896" ht="15.75" customHeight="1">
      <c r="A71896" s="7"/>
      <c r="B71896" s="7"/>
    </row>
    <row r="71897" ht="15.75" customHeight="1">
      <c r="A71897" s="7"/>
      <c r="B71897" s="7"/>
    </row>
    <row r="71898" ht="15.75" customHeight="1">
      <c r="A71898" s="7"/>
      <c r="B71898" s="7"/>
    </row>
    <row r="71899" ht="15.75" customHeight="1">
      <c r="A71899" s="7"/>
      <c r="B71899" s="7"/>
    </row>
    <row r="71900" ht="15.75" customHeight="1">
      <c r="A71900" s="7"/>
      <c r="B71900" s="7"/>
    </row>
    <row r="71901" ht="15.75" customHeight="1">
      <c r="A71901" s="7"/>
      <c r="B71901" s="7"/>
    </row>
    <row r="71902" ht="15.75" customHeight="1">
      <c r="A71902" s="7"/>
      <c r="B71902" s="7"/>
    </row>
    <row r="71903" ht="15.75" customHeight="1">
      <c r="A71903" s="7"/>
      <c r="B71903" s="7"/>
    </row>
    <row r="71904" ht="15.75" customHeight="1">
      <c r="A71904" s="7"/>
      <c r="B71904" s="7"/>
    </row>
    <row r="71905" ht="15.75" customHeight="1">
      <c r="A71905" s="7"/>
      <c r="B71905" s="7"/>
    </row>
    <row r="71906" ht="15.75" customHeight="1">
      <c r="A71906" s="7"/>
      <c r="B71906" s="7"/>
    </row>
    <row r="71907" ht="15.75" customHeight="1">
      <c r="A71907" s="7"/>
      <c r="B71907" s="7"/>
    </row>
    <row r="71908" ht="15.75" customHeight="1">
      <c r="A71908" s="7"/>
      <c r="B71908" s="7"/>
    </row>
    <row r="71909" ht="15.75" customHeight="1">
      <c r="A71909" s="7"/>
      <c r="B71909" s="7"/>
    </row>
    <row r="71910" ht="15.75" customHeight="1">
      <c r="A71910" s="7"/>
      <c r="B71910" s="7"/>
    </row>
    <row r="71911" ht="15.75" customHeight="1">
      <c r="A71911" s="7"/>
      <c r="B71911" s="7"/>
    </row>
    <row r="71912" ht="15.75" customHeight="1">
      <c r="A71912" s="7"/>
      <c r="B71912" s="7"/>
    </row>
    <row r="71913" ht="15.75" customHeight="1">
      <c r="A71913" s="7"/>
      <c r="B71913" s="7"/>
    </row>
    <row r="71914" ht="15.75" customHeight="1">
      <c r="A71914" s="7"/>
      <c r="B71914" s="7"/>
    </row>
    <row r="71915" ht="15.75" customHeight="1">
      <c r="A71915" s="7"/>
      <c r="B71915" s="7"/>
    </row>
    <row r="71916" ht="15.75" customHeight="1">
      <c r="A71916" s="7"/>
      <c r="B71916" s="7"/>
    </row>
    <row r="71917" ht="15.75" customHeight="1">
      <c r="A71917" s="7"/>
      <c r="B71917" s="7"/>
    </row>
    <row r="71918" ht="15.75" customHeight="1">
      <c r="A71918" s="7"/>
      <c r="B71918" s="7"/>
    </row>
    <row r="71919" ht="15.75" customHeight="1">
      <c r="A71919" s="7"/>
      <c r="B71919" s="7"/>
    </row>
    <row r="71920" ht="15.75" customHeight="1">
      <c r="A71920" s="7"/>
      <c r="B71920" s="7"/>
    </row>
    <row r="71921" ht="15.75" customHeight="1">
      <c r="A71921" s="7"/>
      <c r="B71921" s="7"/>
    </row>
    <row r="71922" ht="15.75" customHeight="1">
      <c r="A71922" s="7"/>
      <c r="B71922" s="7"/>
    </row>
    <row r="71923" ht="15.75" customHeight="1">
      <c r="A71923" s="7"/>
      <c r="B71923" s="7"/>
    </row>
    <row r="71924" ht="15.75" customHeight="1">
      <c r="A71924" s="7"/>
      <c r="B71924" s="7"/>
    </row>
    <row r="71925" ht="15.75" customHeight="1">
      <c r="A71925" s="7"/>
      <c r="B71925" s="7"/>
    </row>
    <row r="71926" ht="15.75" customHeight="1">
      <c r="A71926" s="7"/>
      <c r="B71926" s="7"/>
    </row>
    <row r="71927" ht="15.75" customHeight="1">
      <c r="A71927" s="7"/>
      <c r="B71927" s="7"/>
    </row>
    <row r="71928" ht="15.75" customHeight="1">
      <c r="A71928" s="7"/>
      <c r="B71928" s="7"/>
    </row>
    <row r="71929" ht="15.75" customHeight="1">
      <c r="A71929" s="7"/>
      <c r="B71929" s="7"/>
    </row>
    <row r="71930" ht="15.75" customHeight="1">
      <c r="A71930" s="7"/>
      <c r="B71930" s="7"/>
    </row>
    <row r="71931" ht="15.75" customHeight="1">
      <c r="A71931" s="7"/>
      <c r="B71931" s="7"/>
    </row>
    <row r="71932" ht="15.75" customHeight="1">
      <c r="A71932" s="7"/>
      <c r="B71932" s="7"/>
    </row>
    <row r="71933" ht="15.75" customHeight="1">
      <c r="A71933" s="7"/>
      <c r="B71933" s="7"/>
    </row>
    <row r="71934" ht="15.75" customHeight="1">
      <c r="A71934" s="7"/>
      <c r="B71934" s="7"/>
    </row>
    <row r="71935" ht="15.75" customHeight="1">
      <c r="A71935" s="7"/>
      <c r="B71935" s="7"/>
    </row>
    <row r="71936" ht="15.75" customHeight="1">
      <c r="A71936" s="7"/>
      <c r="B71936" s="7"/>
    </row>
    <row r="71937" ht="15.75" customHeight="1">
      <c r="A71937" s="7"/>
      <c r="B71937" s="7"/>
    </row>
    <row r="71938" ht="15.75" customHeight="1">
      <c r="A71938" s="7"/>
      <c r="B71938" s="7"/>
    </row>
    <row r="71939" ht="15.75" customHeight="1">
      <c r="A71939" s="7"/>
      <c r="B71939" s="7"/>
    </row>
    <row r="71940" ht="15.75" customHeight="1">
      <c r="A71940" s="7"/>
      <c r="B71940" s="7"/>
    </row>
    <row r="71941" ht="15.75" customHeight="1">
      <c r="A71941" s="7"/>
      <c r="B71941" s="7"/>
    </row>
    <row r="71942" ht="15.75" customHeight="1">
      <c r="A71942" s="7"/>
      <c r="B71942" s="7"/>
    </row>
    <row r="71943" ht="15.75" customHeight="1">
      <c r="A71943" s="7"/>
      <c r="B71943" s="7"/>
    </row>
    <row r="71944" ht="15.75" customHeight="1">
      <c r="A71944" s="7"/>
      <c r="B71944" s="7"/>
    </row>
    <row r="71945" ht="15.75" customHeight="1">
      <c r="A71945" s="7"/>
      <c r="B71945" s="7"/>
    </row>
    <row r="71946" ht="15.75" customHeight="1">
      <c r="A71946" s="7"/>
      <c r="B71946" s="7"/>
    </row>
    <row r="71947" ht="15.75" customHeight="1">
      <c r="A71947" s="7"/>
      <c r="B71947" s="7"/>
    </row>
    <row r="71948" ht="15.75" customHeight="1">
      <c r="A71948" s="7"/>
      <c r="B71948" s="7"/>
    </row>
    <row r="71949" ht="15.75" customHeight="1">
      <c r="A71949" s="7"/>
      <c r="B71949" s="7"/>
    </row>
    <row r="71950" ht="15.75" customHeight="1">
      <c r="A71950" s="7"/>
      <c r="B71950" s="7"/>
    </row>
    <row r="71951" ht="15.75" customHeight="1">
      <c r="A71951" s="7"/>
      <c r="B71951" s="7"/>
    </row>
    <row r="71952" ht="15.75" customHeight="1">
      <c r="A71952" s="7"/>
      <c r="B71952" s="7"/>
    </row>
    <row r="71953" ht="15.75" customHeight="1">
      <c r="A71953" s="7"/>
      <c r="B71953" s="7"/>
    </row>
    <row r="71954" ht="15.75" customHeight="1">
      <c r="A71954" s="7"/>
      <c r="B71954" s="7"/>
    </row>
    <row r="71955" ht="15.75" customHeight="1">
      <c r="A71955" s="7"/>
      <c r="B71955" s="7"/>
    </row>
    <row r="71956" ht="15.75" customHeight="1">
      <c r="A71956" s="7"/>
      <c r="B71956" s="7"/>
    </row>
    <row r="71957" ht="15.75" customHeight="1">
      <c r="A71957" s="7"/>
      <c r="B71957" s="7"/>
    </row>
    <row r="71958" ht="15.75" customHeight="1">
      <c r="A71958" s="7"/>
      <c r="B71958" s="7"/>
    </row>
    <row r="71959" ht="15.75" customHeight="1">
      <c r="A71959" s="7"/>
      <c r="B71959" s="7"/>
    </row>
    <row r="71960" ht="15.75" customHeight="1">
      <c r="A71960" s="7"/>
      <c r="B71960" s="7"/>
    </row>
    <row r="71961" ht="15.75" customHeight="1">
      <c r="A71961" s="7"/>
      <c r="B71961" s="7"/>
    </row>
    <row r="71962" ht="15.75" customHeight="1">
      <c r="A71962" s="7"/>
      <c r="B71962" s="7"/>
    </row>
    <row r="71963" ht="15.75" customHeight="1">
      <c r="A71963" s="7"/>
      <c r="B71963" s="7"/>
    </row>
    <row r="71964" ht="15.75" customHeight="1">
      <c r="A71964" s="7"/>
      <c r="B71964" s="7"/>
    </row>
    <row r="71965" ht="15.75" customHeight="1">
      <c r="A71965" s="7"/>
      <c r="B71965" s="7"/>
    </row>
    <row r="71966" ht="15.75" customHeight="1">
      <c r="A71966" s="7"/>
      <c r="B71966" s="7"/>
    </row>
    <row r="71967" ht="15.75" customHeight="1">
      <c r="A71967" s="7"/>
      <c r="B71967" s="7"/>
    </row>
    <row r="71968" ht="15.75" customHeight="1">
      <c r="A71968" s="7"/>
      <c r="B71968" s="7"/>
    </row>
    <row r="71969" ht="15.75" customHeight="1">
      <c r="A71969" s="7"/>
      <c r="B71969" s="7"/>
    </row>
    <row r="71970" ht="15.75" customHeight="1">
      <c r="A71970" s="7"/>
      <c r="B71970" s="7"/>
    </row>
    <row r="71971" ht="15.75" customHeight="1">
      <c r="A71971" s="7"/>
      <c r="B71971" s="7"/>
    </row>
    <row r="71972" ht="15.75" customHeight="1">
      <c r="A71972" s="7"/>
      <c r="B71972" s="7"/>
    </row>
    <row r="71973" ht="15.75" customHeight="1">
      <c r="A71973" s="7"/>
      <c r="B71973" s="7"/>
    </row>
    <row r="71974" ht="15.75" customHeight="1">
      <c r="A71974" s="7"/>
      <c r="B71974" s="7"/>
    </row>
    <row r="71975" ht="15.75" customHeight="1">
      <c r="A71975" s="7"/>
      <c r="B71975" s="7"/>
    </row>
    <row r="71976" ht="15.75" customHeight="1">
      <c r="A71976" s="7"/>
      <c r="B71976" s="7"/>
    </row>
    <row r="71977" ht="15.75" customHeight="1">
      <c r="A71977" s="7"/>
      <c r="B71977" s="7"/>
    </row>
    <row r="71978" ht="15.75" customHeight="1">
      <c r="A71978" s="7"/>
      <c r="B71978" s="7"/>
    </row>
    <row r="71979" ht="15.75" customHeight="1">
      <c r="A71979" s="7"/>
      <c r="B71979" s="7"/>
    </row>
    <row r="71980" ht="15.75" customHeight="1">
      <c r="A71980" s="7"/>
      <c r="B71980" s="7"/>
    </row>
    <row r="71981" ht="15.75" customHeight="1">
      <c r="A71981" s="7"/>
      <c r="B71981" s="7"/>
    </row>
    <row r="71982" ht="15.75" customHeight="1">
      <c r="A71982" s="7"/>
      <c r="B71982" s="7"/>
    </row>
    <row r="71983" ht="15.75" customHeight="1">
      <c r="A71983" s="7"/>
      <c r="B71983" s="7"/>
    </row>
    <row r="71984" ht="15.75" customHeight="1">
      <c r="A71984" s="7"/>
      <c r="B71984" s="7"/>
    </row>
    <row r="71985" ht="15.75" customHeight="1">
      <c r="A71985" s="7"/>
      <c r="B71985" s="7"/>
    </row>
    <row r="71986" ht="15.75" customHeight="1">
      <c r="A71986" s="7"/>
      <c r="B71986" s="7"/>
    </row>
    <row r="71987" ht="15.75" customHeight="1">
      <c r="A71987" s="7"/>
      <c r="B71987" s="7"/>
    </row>
    <row r="71988" ht="15.75" customHeight="1">
      <c r="A71988" s="7"/>
      <c r="B71988" s="7"/>
    </row>
    <row r="71989" ht="15.75" customHeight="1">
      <c r="A71989" s="7"/>
      <c r="B71989" s="7"/>
    </row>
    <row r="71990" ht="15.75" customHeight="1">
      <c r="A71990" s="7"/>
      <c r="B71990" s="7"/>
    </row>
    <row r="71991" ht="15.75" customHeight="1">
      <c r="A71991" s="7"/>
      <c r="B71991" s="7"/>
    </row>
    <row r="71992" ht="15.75" customHeight="1">
      <c r="A71992" s="7"/>
      <c r="B71992" s="7"/>
    </row>
    <row r="71993" ht="15.75" customHeight="1">
      <c r="A71993" s="7"/>
      <c r="B71993" s="7"/>
    </row>
    <row r="71994" ht="15.75" customHeight="1">
      <c r="A71994" s="7"/>
      <c r="B71994" s="7"/>
    </row>
    <row r="71995" ht="15.75" customHeight="1">
      <c r="A71995" s="7"/>
      <c r="B71995" s="7"/>
    </row>
    <row r="71996" ht="15.75" customHeight="1">
      <c r="A71996" s="7"/>
      <c r="B71996" s="7"/>
    </row>
    <row r="71997" ht="15.75" customHeight="1">
      <c r="A71997" s="7"/>
      <c r="B71997" s="7"/>
    </row>
    <row r="71998" ht="15.75" customHeight="1">
      <c r="A71998" s="7"/>
      <c r="B71998" s="7"/>
    </row>
    <row r="71999" ht="15.75" customHeight="1">
      <c r="A71999" s="7"/>
      <c r="B71999" s="7"/>
    </row>
    <row r="72000" ht="15.75" customHeight="1">
      <c r="A72000" s="7"/>
      <c r="B72000" s="7"/>
    </row>
    <row r="72001" ht="15.75" customHeight="1">
      <c r="A72001" s="7"/>
      <c r="B72001" s="7"/>
    </row>
    <row r="72002" ht="15.75" customHeight="1">
      <c r="A72002" s="7"/>
      <c r="B72002" s="7"/>
    </row>
    <row r="72003" ht="15.75" customHeight="1">
      <c r="A72003" s="7"/>
      <c r="B72003" s="7"/>
    </row>
    <row r="72004" ht="15.75" customHeight="1">
      <c r="A72004" s="7"/>
      <c r="B72004" s="7"/>
    </row>
    <row r="72005" ht="15.75" customHeight="1">
      <c r="A72005" s="7"/>
      <c r="B72005" s="7"/>
    </row>
    <row r="72006" ht="15.75" customHeight="1">
      <c r="A72006" s="7"/>
      <c r="B72006" s="7"/>
    </row>
    <row r="72007" ht="15.75" customHeight="1">
      <c r="A72007" s="7"/>
      <c r="B72007" s="7"/>
    </row>
    <row r="72008" ht="15.75" customHeight="1">
      <c r="A72008" s="7"/>
      <c r="B72008" s="7"/>
    </row>
    <row r="72009" ht="15.75" customHeight="1">
      <c r="A72009" s="7"/>
      <c r="B72009" s="7"/>
    </row>
    <row r="72010" ht="15.75" customHeight="1">
      <c r="A72010" s="7"/>
      <c r="B72010" s="7"/>
    </row>
    <row r="72011" ht="15.75" customHeight="1">
      <c r="A72011" s="7"/>
      <c r="B72011" s="7"/>
    </row>
    <row r="72012" ht="15.75" customHeight="1">
      <c r="A72012" s="7"/>
      <c r="B72012" s="7"/>
    </row>
    <row r="72013" ht="15.75" customHeight="1">
      <c r="A72013" s="7"/>
      <c r="B72013" s="7"/>
    </row>
    <row r="72014" ht="15.75" customHeight="1">
      <c r="A72014" s="7"/>
      <c r="B72014" s="7"/>
    </row>
    <row r="72015" ht="15.75" customHeight="1">
      <c r="A72015" s="7"/>
      <c r="B72015" s="7"/>
    </row>
    <row r="72016" ht="15.75" customHeight="1">
      <c r="A72016" s="7"/>
      <c r="B72016" s="7"/>
    </row>
    <row r="72017" ht="15.75" customHeight="1">
      <c r="A72017" s="7"/>
      <c r="B72017" s="7"/>
    </row>
    <row r="72018" ht="15.75" customHeight="1">
      <c r="A72018" s="7"/>
      <c r="B72018" s="7"/>
    </row>
    <row r="72019" ht="15.75" customHeight="1">
      <c r="A72019" s="7"/>
      <c r="B72019" s="7"/>
    </row>
    <row r="72020" ht="15.75" customHeight="1">
      <c r="A72020" s="7"/>
      <c r="B72020" s="7"/>
    </row>
    <row r="72021" ht="15.75" customHeight="1">
      <c r="A72021" s="7"/>
      <c r="B72021" s="7"/>
    </row>
    <row r="72022" ht="15.75" customHeight="1">
      <c r="A72022" s="7"/>
      <c r="B72022" s="7"/>
    </row>
    <row r="72023" ht="15.75" customHeight="1">
      <c r="A72023" s="7"/>
      <c r="B72023" s="7"/>
    </row>
    <row r="72024" ht="15.75" customHeight="1">
      <c r="A72024" s="7"/>
      <c r="B72024" s="7"/>
    </row>
    <row r="72025" ht="15.75" customHeight="1">
      <c r="A72025" s="7"/>
      <c r="B72025" s="7"/>
    </row>
    <row r="72026" ht="15.75" customHeight="1">
      <c r="A72026" s="7"/>
      <c r="B72026" s="7"/>
    </row>
    <row r="72027" ht="15.75" customHeight="1">
      <c r="A72027" s="7"/>
      <c r="B72027" s="7"/>
    </row>
    <row r="72028" ht="15.75" customHeight="1">
      <c r="A72028" s="7"/>
      <c r="B72028" s="7"/>
    </row>
    <row r="72029" ht="15.75" customHeight="1">
      <c r="A72029" s="7"/>
      <c r="B72029" s="7"/>
    </row>
    <row r="72030" ht="15.75" customHeight="1">
      <c r="A72030" s="7"/>
      <c r="B72030" s="7"/>
    </row>
    <row r="72031" ht="15.75" customHeight="1">
      <c r="A72031" s="7"/>
      <c r="B72031" s="7"/>
    </row>
    <row r="72032" ht="15.75" customHeight="1">
      <c r="A72032" s="7"/>
      <c r="B72032" s="7"/>
    </row>
    <row r="72033" ht="15.75" customHeight="1">
      <c r="A72033" s="7"/>
      <c r="B72033" s="7"/>
    </row>
    <row r="72034" ht="15.75" customHeight="1">
      <c r="A72034" s="7"/>
      <c r="B72034" s="7"/>
    </row>
    <row r="72035" ht="15.75" customHeight="1">
      <c r="A72035" s="7"/>
      <c r="B72035" s="7"/>
    </row>
    <row r="72036" ht="15.75" customHeight="1">
      <c r="A72036" s="7"/>
      <c r="B72036" s="7"/>
    </row>
    <row r="72037" ht="15.75" customHeight="1">
      <c r="A72037" s="7"/>
      <c r="B72037" s="7"/>
    </row>
    <row r="72038" ht="15.75" customHeight="1">
      <c r="A72038" s="7"/>
      <c r="B72038" s="7"/>
    </row>
    <row r="72039" ht="15.75" customHeight="1">
      <c r="A72039" s="7"/>
      <c r="B72039" s="7"/>
    </row>
    <row r="72040" ht="15.75" customHeight="1">
      <c r="A72040" s="7"/>
      <c r="B72040" s="7"/>
    </row>
    <row r="72041" ht="15.75" customHeight="1">
      <c r="A72041" s="7"/>
      <c r="B72041" s="7"/>
    </row>
    <row r="72042" ht="15.75" customHeight="1">
      <c r="A72042" s="7"/>
      <c r="B72042" s="7"/>
    </row>
    <row r="72043" ht="15.75" customHeight="1">
      <c r="A72043" s="7"/>
      <c r="B72043" s="7"/>
    </row>
    <row r="72044" ht="15.75" customHeight="1">
      <c r="A72044" s="7"/>
      <c r="B72044" s="7"/>
    </row>
    <row r="72045" ht="15.75" customHeight="1">
      <c r="A72045" s="7"/>
      <c r="B72045" s="7"/>
    </row>
    <row r="72046" ht="15.75" customHeight="1">
      <c r="A72046" s="7"/>
      <c r="B72046" s="7"/>
    </row>
    <row r="72047" ht="15.75" customHeight="1">
      <c r="A72047" s="7"/>
      <c r="B72047" s="7"/>
    </row>
    <row r="72048" ht="15.75" customHeight="1">
      <c r="A72048" s="7"/>
      <c r="B72048" s="7"/>
    </row>
    <row r="72049" ht="15.75" customHeight="1">
      <c r="A72049" s="7"/>
      <c r="B72049" s="7"/>
    </row>
    <row r="72050" ht="15.75" customHeight="1">
      <c r="A72050" s="7"/>
      <c r="B72050" s="7"/>
    </row>
    <row r="72051" ht="15.75" customHeight="1">
      <c r="A72051" s="7"/>
      <c r="B72051" s="7"/>
    </row>
    <row r="72052" ht="15.75" customHeight="1">
      <c r="A72052" s="7"/>
      <c r="B72052" s="7"/>
    </row>
    <row r="72053" ht="15.75" customHeight="1">
      <c r="A72053" s="7"/>
      <c r="B72053" s="7"/>
    </row>
    <row r="72054" ht="15.75" customHeight="1">
      <c r="A72054" s="7"/>
      <c r="B72054" s="7"/>
    </row>
    <row r="72055" ht="15.75" customHeight="1">
      <c r="A72055" s="7"/>
      <c r="B72055" s="7"/>
    </row>
    <row r="72056" ht="15.75" customHeight="1">
      <c r="A72056" s="7"/>
      <c r="B72056" s="7"/>
    </row>
    <row r="72057" ht="15.75" customHeight="1">
      <c r="A72057" s="7"/>
      <c r="B72057" s="7"/>
    </row>
    <row r="72058" ht="15.75" customHeight="1">
      <c r="A72058" s="7"/>
      <c r="B72058" s="7"/>
    </row>
    <row r="72059" ht="15.75" customHeight="1">
      <c r="A72059" s="7"/>
      <c r="B72059" s="7"/>
    </row>
    <row r="72060" ht="15.75" customHeight="1">
      <c r="A72060" s="7"/>
      <c r="B72060" s="7"/>
    </row>
    <row r="72061" ht="15.75" customHeight="1">
      <c r="A72061" s="7"/>
      <c r="B72061" s="7"/>
    </row>
    <row r="72062" ht="15.75" customHeight="1">
      <c r="A72062" s="7"/>
      <c r="B72062" s="7"/>
    </row>
    <row r="72063" ht="15.75" customHeight="1">
      <c r="A72063" s="7"/>
      <c r="B72063" s="7"/>
    </row>
    <row r="72064" ht="15.75" customHeight="1">
      <c r="A72064" s="7"/>
      <c r="B72064" s="7"/>
    </row>
    <row r="72065" ht="15.75" customHeight="1">
      <c r="A72065" s="7"/>
      <c r="B72065" s="7"/>
    </row>
    <row r="72066" ht="15.75" customHeight="1">
      <c r="A72066" s="7"/>
      <c r="B72066" s="7"/>
    </row>
    <row r="72067" ht="15.75" customHeight="1">
      <c r="A72067" s="7"/>
      <c r="B72067" s="7"/>
    </row>
    <row r="72068" ht="15.75" customHeight="1">
      <c r="A72068" s="7"/>
      <c r="B72068" s="7"/>
    </row>
    <row r="72069" ht="15.75" customHeight="1">
      <c r="A72069" s="7"/>
      <c r="B72069" s="7"/>
    </row>
    <row r="72070" ht="15.75" customHeight="1">
      <c r="A72070" s="7"/>
      <c r="B72070" s="7"/>
    </row>
    <row r="72071" ht="15.75" customHeight="1">
      <c r="A72071" s="7"/>
      <c r="B72071" s="7"/>
    </row>
    <row r="72072" ht="15.75" customHeight="1">
      <c r="A72072" s="7"/>
      <c r="B72072" s="7"/>
    </row>
    <row r="72073" ht="15.75" customHeight="1">
      <c r="A72073" s="7"/>
      <c r="B72073" s="7"/>
    </row>
    <row r="72074" ht="15.75" customHeight="1">
      <c r="A72074" s="7"/>
      <c r="B72074" s="7"/>
    </row>
    <row r="72075" ht="15.75" customHeight="1">
      <c r="A72075" s="7"/>
      <c r="B72075" s="7"/>
    </row>
    <row r="72076" ht="15.75" customHeight="1">
      <c r="A72076" s="7"/>
      <c r="B72076" s="7"/>
    </row>
    <row r="72077" ht="15.75" customHeight="1">
      <c r="A72077" s="7"/>
      <c r="B72077" s="7"/>
    </row>
    <row r="72078" ht="15.75" customHeight="1">
      <c r="A72078" s="7"/>
      <c r="B72078" s="7"/>
    </row>
    <row r="72079" ht="15.75" customHeight="1">
      <c r="A72079" s="7"/>
      <c r="B72079" s="7"/>
    </row>
    <row r="72080" ht="15.75" customHeight="1">
      <c r="A72080" s="7"/>
      <c r="B72080" s="7"/>
    </row>
    <row r="72081" ht="15.75" customHeight="1">
      <c r="A72081" s="7"/>
      <c r="B72081" s="7"/>
    </row>
    <row r="72082" ht="15.75" customHeight="1">
      <c r="A72082" s="7"/>
      <c r="B72082" s="7"/>
    </row>
    <row r="72083" ht="15.75" customHeight="1">
      <c r="A72083" s="7"/>
      <c r="B72083" s="7"/>
    </row>
    <row r="72084" ht="15.75" customHeight="1">
      <c r="A72084" s="7"/>
      <c r="B72084" s="7"/>
    </row>
    <row r="72085" ht="15.75" customHeight="1">
      <c r="A72085" s="7"/>
      <c r="B72085" s="7"/>
    </row>
    <row r="72086" ht="15.75" customHeight="1">
      <c r="A72086" s="7"/>
      <c r="B72086" s="7"/>
    </row>
    <row r="72087" ht="15.75" customHeight="1">
      <c r="A72087" s="7"/>
      <c r="B72087" s="7"/>
    </row>
    <row r="72088" ht="15.75" customHeight="1">
      <c r="A72088" s="7"/>
      <c r="B72088" s="7"/>
    </row>
    <row r="72089" ht="15.75" customHeight="1">
      <c r="A72089" s="7"/>
      <c r="B72089" s="7"/>
    </row>
    <row r="72090" ht="15.75" customHeight="1">
      <c r="A72090" s="7"/>
      <c r="B72090" s="7"/>
    </row>
    <row r="72091" ht="15.75" customHeight="1">
      <c r="A72091" s="7"/>
      <c r="B72091" s="7"/>
    </row>
    <row r="72092" ht="15.75" customHeight="1">
      <c r="A72092" s="7"/>
      <c r="B72092" s="7"/>
    </row>
    <row r="72093" ht="15.75" customHeight="1">
      <c r="A72093" s="7"/>
      <c r="B72093" s="7"/>
    </row>
    <row r="72094" ht="15.75" customHeight="1">
      <c r="A72094" s="7"/>
      <c r="B72094" s="7"/>
    </row>
    <row r="72095" ht="15.75" customHeight="1">
      <c r="A72095" s="7"/>
      <c r="B72095" s="7"/>
    </row>
    <row r="72096" ht="15.75" customHeight="1">
      <c r="A72096" s="7"/>
      <c r="B72096" s="7"/>
    </row>
    <row r="72097" ht="15.75" customHeight="1">
      <c r="A72097" s="7"/>
      <c r="B72097" s="7"/>
    </row>
    <row r="72098" ht="15.75" customHeight="1">
      <c r="A72098" s="7"/>
      <c r="B72098" s="7"/>
    </row>
    <row r="72099" ht="15.75" customHeight="1">
      <c r="A72099" s="7"/>
      <c r="B72099" s="7"/>
    </row>
    <row r="72100" ht="15.75" customHeight="1">
      <c r="A72100" s="7"/>
      <c r="B72100" s="7"/>
    </row>
    <row r="72101" ht="15.75" customHeight="1">
      <c r="A72101" s="7"/>
      <c r="B72101" s="7"/>
    </row>
    <row r="72102" ht="15.75" customHeight="1">
      <c r="A72102" s="7"/>
      <c r="B72102" s="7"/>
    </row>
    <row r="72103" ht="15.75" customHeight="1">
      <c r="A72103" s="7"/>
      <c r="B72103" s="7"/>
    </row>
    <row r="72104" ht="15.75" customHeight="1">
      <c r="A72104" s="7"/>
      <c r="B72104" s="7"/>
    </row>
    <row r="72105" ht="15.75" customHeight="1">
      <c r="A72105" s="7"/>
      <c r="B72105" s="7"/>
    </row>
    <row r="72106" ht="15.75" customHeight="1">
      <c r="A72106" s="7"/>
      <c r="B72106" s="7"/>
    </row>
    <row r="72107" ht="15.75" customHeight="1">
      <c r="A72107" s="7"/>
      <c r="B72107" s="7"/>
    </row>
    <row r="72108" ht="15.75" customHeight="1">
      <c r="A72108" s="7"/>
      <c r="B72108" s="7"/>
    </row>
    <row r="72109" ht="15.75" customHeight="1">
      <c r="A72109" s="7"/>
      <c r="B72109" s="7"/>
    </row>
    <row r="72110" ht="15.75" customHeight="1">
      <c r="A72110" s="7"/>
      <c r="B72110" s="7"/>
    </row>
    <row r="72111" ht="15.75" customHeight="1">
      <c r="A72111" s="7"/>
      <c r="B72111" s="7"/>
    </row>
    <row r="72112" ht="15.75" customHeight="1">
      <c r="A72112" s="7"/>
      <c r="B72112" s="7"/>
    </row>
    <row r="72113" ht="15.75" customHeight="1">
      <c r="A72113" s="7"/>
      <c r="B72113" s="7"/>
    </row>
    <row r="72114" ht="15.75" customHeight="1">
      <c r="A72114" s="7"/>
      <c r="B72114" s="7"/>
    </row>
    <row r="72115" ht="15.75" customHeight="1">
      <c r="A72115" s="7"/>
      <c r="B72115" s="7"/>
    </row>
    <row r="72116" ht="15.75" customHeight="1">
      <c r="A72116" s="7"/>
      <c r="B72116" s="7"/>
    </row>
    <row r="72117" ht="15.75" customHeight="1">
      <c r="A72117" s="7"/>
      <c r="B72117" s="7"/>
    </row>
    <row r="72118" ht="15.75" customHeight="1">
      <c r="A72118" s="7"/>
      <c r="B72118" s="7"/>
    </row>
    <row r="72119" ht="15.75" customHeight="1">
      <c r="A72119" s="7"/>
      <c r="B72119" s="7"/>
    </row>
    <row r="72120" ht="15.75" customHeight="1">
      <c r="A72120" s="7"/>
      <c r="B72120" s="7"/>
    </row>
    <row r="72121" ht="15.75" customHeight="1">
      <c r="A72121" s="7"/>
      <c r="B72121" s="7"/>
    </row>
    <row r="72122" ht="15.75" customHeight="1">
      <c r="A72122" s="7"/>
      <c r="B72122" s="7"/>
    </row>
    <row r="72123" ht="15.75" customHeight="1">
      <c r="A72123" s="7"/>
      <c r="B72123" s="7"/>
    </row>
    <row r="72124" ht="15.75" customHeight="1">
      <c r="A72124" s="7"/>
      <c r="B72124" s="7"/>
    </row>
    <row r="72125" ht="15.75" customHeight="1">
      <c r="A72125" s="7"/>
      <c r="B72125" s="7"/>
    </row>
    <row r="72126" ht="15.75" customHeight="1">
      <c r="A72126" s="7"/>
      <c r="B72126" s="7"/>
    </row>
    <row r="72127" ht="15.75" customHeight="1">
      <c r="A72127" s="7"/>
      <c r="B72127" s="7"/>
    </row>
    <row r="72128" ht="15.75" customHeight="1">
      <c r="A72128" s="7"/>
      <c r="B72128" s="7"/>
    </row>
    <row r="72129" ht="15.75" customHeight="1">
      <c r="A72129" s="7"/>
      <c r="B72129" s="7"/>
    </row>
    <row r="72130" ht="15.75" customHeight="1">
      <c r="A72130" s="7"/>
      <c r="B72130" s="7"/>
    </row>
    <row r="72131" ht="15.75" customHeight="1">
      <c r="A72131" s="7"/>
      <c r="B72131" s="7"/>
    </row>
    <row r="72132" ht="15.75" customHeight="1">
      <c r="A72132" s="7"/>
      <c r="B72132" s="7"/>
    </row>
    <row r="72133" ht="15.75" customHeight="1">
      <c r="A72133" s="7"/>
      <c r="B72133" s="7"/>
    </row>
    <row r="72134" ht="15.75" customHeight="1">
      <c r="A72134" s="7"/>
      <c r="B72134" s="7"/>
    </row>
    <row r="72135" ht="15.75" customHeight="1">
      <c r="A72135" s="7"/>
      <c r="B72135" s="7"/>
    </row>
    <row r="72136" ht="15.75" customHeight="1">
      <c r="A72136" s="7"/>
      <c r="B72136" s="7"/>
    </row>
    <row r="72137" ht="15.75" customHeight="1">
      <c r="A72137" s="7"/>
      <c r="B72137" s="7"/>
    </row>
    <row r="72138" ht="15.75" customHeight="1">
      <c r="A72138" s="7"/>
      <c r="B72138" s="7"/>
    </row>
    <row r="72139" ht="15.75" customHeight="1">
      <c r="A72139" s="7"/>
      <c r="B72139" s="7"/>
    </row>
    <row r="72140" ht="15.75" customHeight="1">
      <c r="A72140" s="7"/>
      <c r="B72140" s="7"/>
    </row>
    <row r="72141" ht="15.75" customHeight="1">
      <c r="A72141" s="7"/>
      <c r="B72141" s="7"/>
    </row>
    <row r="72142" ht="15.75" customHeight="1">
      <c r="A72142" s="7"/>
      <c r="B72142" s="7"/>
    </row>
    <row r="72143" ht="15.75" customHeight="1">
      <c r="A72143" s="7"/>
      <c r="B72143" s="7"/>
    </row>
    <row r="72144" ht="15.75" customHeight="1">
      <c r="A72144" s="7"/>
      <c r="B72144" s="7"/>
    </row>
    <row r="72145" ht="15.75" customHeight="1">
      <c r="A72145" s="7"/>
      <c r="B72145" s="7"/>
    </row>
    <row r="72146" ht="15.75" customHeight="1">
      <c r="A72146" s="7"/>
      <c r="B72146" s="7"/>
    </row>
    <row r="72147" ht="15.75" customHeight="1">
      <c r="A72147" s="7"/>
      <c r="B72147" s="7"/>
    </row>
    <row r="72148" ht="15.75" customHeight="1">
      <c r="A72148" s="7"/>
      <c r="B72148" s="7"/>
    </row>
    <row r="72149" ht="15.75" customHeight="1">
      <c r="A72149" s="7"/>
      <c r="B72149" s="7"/>
    </row>
    <row r="72150" ht="15.75" customHeight="1">
      <c r="A72150" s="7"/>
      <c r="B72150" s="7"/>
    </row>
    <row r="72151" ht="15.75" customHeight="1">
      <c r="A72151" s="7"/>
      <c r="B72151" s="7"/>
    </row>
    <row r="72152" ht="15.75" customHeight="1">
      <c r="A72152" s="7"/>
      <c r="B72152" s="7"/>
    </row>
    <row r="72153" ht="15.75" customHeight="1">
      <c r="A72153" s="7"/>
      <c r="B72153" s="7"/>
    </row>
    <row r="72154" ht="15.75" customHeight="1">
      <c r="A72154" s="7"/>
      <c r="B72154" s="7"/>
    </row>
    <row r="72155" ht="15.75" customHeight="1">
      <c r="A72155" s="7"/>
      <c r="B72155" s="7"/>
    </row>
    <row r="72156" ht="15.75" customHeight="1">
      <c r="A72156" s="7"/>
      <c r="B72156" s="7"/>
    </row>
    <row r="72157" ht="15.75" customHeight="1">
      <c r="A72157" s="7"/>
      <c r="B72157" s="7"/>
    </row>
    <row r="72158" ht="15.75" customHeight="1">
      <c r="A72158" s="7"/>
      <c r="B72158" s="7"/>
    </row>
    <row r="72159" ht="15.75" customHeight="1">
      <c r="A72159" s="7"/>
      <c r="B72159" s="7"/>
    </row>
    <row r="72160" ht="15.75" customHeight="1">
      <c r="A72160" s="7"/>
      <c r="B72160" s="7"/>
    </row>
    <row r="72161" ht="15.75" customHeight="1">
      <c r="A72161" s="7"/>
      <c r="B72161" s="7"/>
    </row>
    <row r="72162" ht="15.75" customHeight="1">
      <c r="A72162" s="7"/>
      <c r="B72162" s="7"/>
    </row>
    <row r="72163" ht="15.75" customHeight="1">
      <c r="A72163" s="7"/>
      <c r="B72163" s="7"/>
    </row>
    <row r="72164" ht="15.75" customHeight="1">
      <c r="A72164" s="7"/>
      <c r="B72164" s="7"/>
    </row>
    <row r="72165" ht="15.75" customHeight="1">
      <c r="A72165" s="7"/>
      <c r="B72165" s="7"/>
    </row>
    <row r="72166" ht="15.75" customHeight="1">
      <c r="A72166" s="7"/>
      <c r="B72166" s="7"/>
    </row>
    <row r="72167" ht="15.75" customHeight="1">
      <c r="A72167" s="7"/>
      <c r="B72167" s="7"/>
    </row>
    <row r="72168" ht="15.75" customHeight="1">
      <c r="A72168" s="7"/>
      <c r="B72168" s="7"/>
    </row>
    <row r="72169" ht="15.75" customHeight="1">
      <c r="A72169" s="7"/>
      <c r="B72169" s="7"/>
    </row>
    <row r="72170" ht="15.75" customHeight="1">
      <c r="A72170" s="7"/>
      <c r="B72170" s="7"/>
    </row>
    <row r="72171" ht="15.75" customHeight="1">
      <c r="A72171" s="7"/>
      <c r="B72171" s="7"/>
    </row>
    <row r="72172" ht="15.75" customHeight="1">
      <c r="A72172" s="7"/>
      <c r="B72172" s="7"/>
    </row>
    <row r="72173" ht="15.75" customHeight="1">
      <c r="A72173" s="7"/>
      <c r="B72173" s="7"/>
    </row>
    <row r="72174" ht="15.75" customHeight="1">
      <c r="A72174" s="7"/>
      <c r="B72174" s="7"/>
    </row>
    <row r="72175" ht="15.75" customHeight="1">
      <c r="A72175" s="7"/>
      <c r="B72175" s="7"/>
    </row>
    <row r="72176" ht="15.75" customHeight="1">
      <c r="A72176" s="7"/>
      <c r="B72176" s="7"/>
    </row>
    <row r="72177" ht="15.75" customHeight="1">
      <c r="A72177" s="7"/>
      <c r="B72177" s="7"/>
    </row>
    <row r="72178" ht="15.75" customHeight="1">
      <c r="A72178" s="7"/>
      <c r="B72178" s="7"/>
    </row>
    <row r="72179" ht="15.75" customHeight="1">
      <c r="A72179" s="7"/>
      <c r="B72179" s="7"/>
    </row>
    <row r="72180" ht="15.75" customHeight="1">
      <c r="A72180" s="7"/>
      <c r="B72180" s="7"/>
    </row>
    <row r="72181" ht="15.75" customHeight="1">
      <c r="A72181" s="7"/>
      <c r="B72181" s="7"/>
    </row>
    <row r="72182" ht="15.75" customHeight="1">
      <c r="A72182" s="7"/>
      <c r="B72182" s="7"/>
    </row>
    <row r="72183" ht="15.75" customHeight="1">
      <c r="A72183" s="7"/>
      <c r="B72183" s="7"/>
    </row>
    <row r="72184" ht="15.75" customHeight="1">
      <c r="A72184" s="7"/>
      <c r="B72184" s="7"/>
    </row>
    <row r="72185" ht="15.75" customHeight="1">
      <c r="A72185" s="7"/>
      <c r="B72185" s="7"/>
    </row>
    <row r="72186" ht="15.75" customHeight="1">
      <c r="A72186" s="7"/>
      <c r="B72186" s="7"/>
    </row>
    <row r="72187" ht="15.75" customHeight="1">
      <c r="A72187" s="7"/>
      <c r="B72187" s="7"/>
    </row>
    <row r="72188" ht="15.75" customHeight="1">
      <c r="A72188" s="7"/>
      <c r="B72188" s="7"/>
    </row>
    <row r="72189" ht="15.75" customHeight="1">
      <c r="A72189" s="7"/>
      <c r="B72189" s="7"/>
    </row>
    <row r="72190" ht="15.75" customHeight="1">
      <c r="A72190" s="7"/>
      <c r="B72190" s="7"/>
    </row>
    <row r="72191" ht="15.75" customHeight="1">
      <c r="A72191" s="7"/>
      <c r="B72191" s="7"/>
    </row>
    <row r="72192" ht="15.75" customHeight="1">
      <c r="A72192" s="7"/>
      <c r="B72192" s="7"/>
    </row>
    <row r="72193" ht="15.75" customHeight="1">
      <c r="A72193" s="7"/>
      <c r="B72193" s="7"/>
    </row>
    <row r="72194" ht="15.75" customHeight="1">
      <c r="A72194" s="7"/>
      <c r="B72194" s="7"/>
    </row>
    <row r="72195" ht="15.75" customHeight="1">
      <c r="A72195" s="7"/>
      <c r="B72195" s="7"/>
    </row>
    <row r="72196" ht="15.75" customHeight="1">
      <c r="A72196" s="7"/>
      <c r="B72196" s="7"/>
    </row>
    <row r="72197" ht="15.75" customHeight="1">
      <c r="A72197" s="7"/>
      <c r="B72197" s="7"/>
    </row>
    <row r="72198" ht="15.75" customHeight="1">
      <c r="A72198" s="7"/>
      <c r="B72198" s="7"/>
    </row>
    <row r="72199" ht="15.75" customHeight="1">
      <c r="A72199" s="7"/>
      <c r="B72199" s="7"/>
    </row>
    <row r="72200" ht="15.75" customHeight="1">
      <c r="A72200" s="7"/>
      <c r="B72200" s="7"/>
    </row>
    <row r="72201" ht="15.75" customHeight="1">
      <c r="A72201" s="7"/>
      <c r="B72201" s="7"/>
    </row>
    <row r="72202" ht="15.75" customHeight="1">
      <c r="A72202" s="7"/>
      <c r="B72202" s="7"/>
    </row>
    <row r="72203" ht="15.75" customHeight="1">
      <c r="A72203" s="7"/>
      <c r="B72203" s="7"/>
    </row>
    <row r="72204" ht="15.75" customHeight="1">
      <c r="A72204" s="7"/>
      <c r="B72204" s="7"/>
    </row>
    <row r="72205" ht="15.75" customHeight="1">
      <c r="A72205" s="7"/>
      <c r="B72205" s="7"/>
    </row>
    <row r="72206" ht="15.75" customHeight="1">
      <c r="A72206" s="7"/>
      <c r="B72206" s="7"/>
    </row>
    <row r="72207" ht="15.75" customHeight="1">
      <c r="A72207" s="7"/>
      <c r="B72207" s="7"/>
    </row>
    <row r="72208" ht="15.75" customHeight="1">
      <c r="A72208" s="7"/>
      <c r="B72208" s="7"/>
    </row>
    <row r="72209" ht="15.75" customHeight="1">
      <c r="A72209" s="7"/>
      <c r="B72209" s="7"/>
    </row>
    <row r="72210" ht="15.75" customHeight="1">
      <c r="A72210" s="7"/>
      <c r="B72210" s="7"/>
    </row>
    <row r="72211" ht="15.75" customHeight="1">
      <c r="A72211" s="7"/>
      <c r="B72211" s="7"/>
    </row>
    <row r="72212" ht="15.75" customHeight="1">
      <c r="A72212" s="7"/>
      <c r="B72212" s="7"/>
    </row>
    <row r="72213" ht="15.75" customHeight="1">
      <c r="A72213" s="7"/>
      <c r="B72213" s="7"/>
    </row>
    <row r="72214" ht="15.75" customHeight="1">
      <c r="A72214" s="7"/>
      <c r="B72214" s="7"/>
    </row>
    <row r="72215" ht="15.75" customHeight="1">
      <c r="A72215" s="7"/>
      <c r="B72215" s="7"/>
    </row>
    <row r="72216" ht="15.75" customHeight="1">
      <c r="A72216" s="7"/>
      <c r="B72216" s="7"/>
    </row>
    <row r="72217" ht="15.75" customHeight="1">
      <c r="A72217" s="7"/>
      <c r="B72217" s="7"/>
    </row>
    <row r="72218" ht="15.75" customHeight="1">
      <c r="A72218" s="7"/>
      <c r="B72218" s="7"/>
    </row>
    <row r="72219" ht="15.75" customHeight="1">
      <c r="A72219" s="7"/>
      <c r="B72219" s="7"/>
    </row>
    <row r="72220" ht="15.75" customHeight="1">
      <c r="A72220" s="7"/>
      <c r="B72220" s="7"/>
    </row>
    <row r="72221" ht="15.75" customHeight="1">
      <c r="A72221" s="7"/>
      <c r="B72221" s="7"/>
    </row>
    <row r="72222" ht="15.75" customHeight="1">
      <c r="A72222" s="7"/>
      <c r="B72222" s="7"/>
    </row>
    <row r="72223" ht="15.75" customHeight="1">
      <c r="A72223" s="7"/>
      <c r="B72223" s="7"/>
    </row>
    <row r="72224" ht="15.75" customHeight="1">
      <c r="A72224" s="7"/>
      <c r="B72224" s="7"/>
    </row>
    <row r="72225" ht="15.75" customHeight="1">
      <c r="A72225" s="7"/>
      <c r="B72225" s="7"/>
    </row>
    <row r="72226" ht="15.75" customHeight="1">
      <c r="A72226" s="7"/>
      <c r="B72226" s="7"/>
    </row>
    <row r="72227" ht="15.75" customHeight="1">
      <c r="A72227" s="7"/>
      <c r="B72227" s="7"/>
    </row>
    <row r="72228" ht="15.75" customHeight="1">
      <c r="A72228" s="7"/>
      <c r="B72228" s="7"/>
    </row>
    <row r="72229" ht="15.75" customHeight="1">
      <c r="A72229" s="7"/>
      <c r="B72229" s="7"/>
    </row>
    <row r="72230" ht="15.75" customHeight="1">
      <c r="A72230" s="7"/>
      <c r="B72230" s="7"/>
    </row>
    <row r="72231" ht="15.75" customHeight="1">
      <c r="A72231" s="7"/>
      <c r="B72231" s="7"/>
    </row>
    <row r="72232" ht="15.75" customHeight="1">
      <c r="A72232" s="7"/>
      <c r="B72232" s="7"/>
    </row>
    <row r="72233" ht="15.75" customHeight="1">
      <c r="A72233" s="7"/>
      <c r="B72233" s="7"/>
    </row>
    <row r="72234" ht="15.75" customHeight="1">
      <c r="A72234" s="7"/>
      <c r="B72234" s="7"/>
    </row>
    <row r="72235" ht="15.75" customHeight="1">
      <c r="A72235" s="7"/>
      <c r="B72235" s="7"/>
    </row>
    <row r="72236" ht="15.75" customHeight="1">
      <c r="A72236" s="7"/>
      <c r="B72236" s="7"/>
    </row>
    <row r="72237" ht="15.75" customHeight="1">
      <c r="A72237" s="7"/>
      <c r="B72237" s="7"/>
    </row>
    <row r="72238" ht="15.75" customHeight="1">
      <c r="A72238" s="7"/>
      <c r="B72238" s="7"/>
    </row>
    <row r="72239" ht="15.75" customHeight="1">
      <c r="A72239" s="7"/>
      <c r="B72239" s="7"/>
    </row>
    <row r="72240" ht="15.75" customHeight="1">
      <c r="A72240" s="7"/>
      <c r="B72240" s="7"/>
    </row>
    <row r="72241" ht="15.75" customHeight="1">
      <c r="A72241" s="7"/>
      <c r="B72241" s="7"/>
    </row>
    <row r="72242" ht="15.75" customHeight="1">
      <c r="A72242" s="7"/>
      <c r="B72242" s="7"/>
    </row>
    <row r="72243" ht="15.75" customHeight="1">
      <c r="A72243" s="7"/>
      <c r="B72243" s="7"/>
    </row>
    <row r="72244" ht="15.75" customHeight="1">
      <c r="A72244" s="7"/>
      <c r="B72244" s="7"/>
    </row>
    <row r="72245" ht="15.75" customHeight="1">
      <c r="A72245" s="7"/>
      <c r="B72245" s="7"/>
    </row>
    <row r="72246" ht="15.75" customHeight="1">
      <c r="A72246" s="7"/>
      <c r="B72246" s="7"/>
    </row>
    <row r="72247" ht="15.75" customHeight="1">
      <c r="A72247" s="7"/>
      <c r="B72247" s="7"/>
    </row>
    <row r="72248" ht="15.75" customHeight="1">
      <c r="A72248" s="7"/>
      <c r="B72248" s="7"/>
    </row>
    <row r="72249" ht="15.75" customHeight="1">
      <c r="A72249" s="7"/>
      <c r="B72249" s="7"/>
    </row>
    <row r="72250" ht="15.75" customHeight="1">
      <c r="A72250" s="7"/>
      <c r="B72250" s="7"/>
    </row>
    <row r="72251" ht="15.75" customHeight="1">
      <c r="A72251" s="7"/>
      <c r="B72251" s="7"/>
    </row>
    <row r="72252" ht="15.75" customHeight="1">
      <c r="A72252" s="7"/>
      <c r="B72252" s="7"/>
    </row>
    <row r="72253" ht="15.75" customHeight="1">
      <c r="A72253" s="7"/>
      <c r="B72253" s="7"/>
    </row>
    <row r="72254" ht="15.75" customHeight="1">
      <c r="A72254" s="7"/>
      <c r="B72254" s="7"/>
    </row>
    <row r="72255" ht="15.75" customHeight="1">
      <c r="A72255" s="7"/>
      <c r="B72255" s="7"/>
    </row>
    <row r="72256" ht="15.75" customHeight="1">
      <c r="A72256" s="7"/>
      <c r="B72256" s="7"/>
    </row>
    <row r="72257" ht="15.75" customHeight="1">
      <c r="A72257" s="7"/>
      <c r="B72257" s="7"/>
    </row>
    <row r="72258" ht="15.75" customHeight="1">
      <c r="A72258" s="7"/>
      <c r="B72258" s="7"/>
    </row>
    <row r="72259" ht="15.75" customHeight="1">
      <c r="A72259" s="7"/>
      <c r="B72259" s="7"/>
    </row>
    <row r="72260" ht="15.75" customHeight="1">
      <c r="A72260" s="7"/>
      <c r="B72260" s="7"/>
    </row>
    <row r="72261" ht="15.75" customHeight="1">
      <c r="A72261" s="7"/>
      <c r="B72261" s="7"/>
    </row>
    <row r="72262" ht="15.75" customHeight="1">
      <c r="A72262" s="7"/>
      <c r="B72262" s="7"/>
    </row>
    <row r="72263" ht="15.75" customHeight="1">
      <c r="A72263" s="7"/>
      <c r="B72263" s="7"/>
    </row>
    <row r="72264" ht="15.75" customHeight="1">
      <c r="A72264" s="7"/>
      <c r="B72264" s="7"/>
    </row>
    <row r="72265" ht="15.75" customHeight="1">
      <c r="A72265" s="7"/>
      <c r="B72265" s="7"/>
    </row>
    <row r="72266" ht="15.75" customHeight="1">
      <c r="A72266" s="7"/>
      <c r="B72266" s="7"/>
    </row>
    <row r="72267" ht="15.75" customHeight="1">
      <c r="A72267" s="7"/>
      <c r="B72267" s="7"/>
    </row>
    <row r="72268" ht="15.75" customHeight="1">
      <c r="A72268" s="7"/>
      <c r="B72268" s="7"/>
    </row>
    <row r="72269" ht="15.75" customHeight="1">
      <c r="A72269" s="7"/>
      <c r="B72269" s="7"/>
    </row>
    <row r="72270" ht="15.75" customHeight="1">
      <c r="A72270" s="7"/>
      <c r="B72270" s="7"/>
    </row>
    <row r="72271" ht="15.75" customHeight="1">
      <c r="A72271" s="7"/>
      <c r="B72271" s="7"/>
    </row>
    <row r="72272" ht="15.75" customHeight="1">
      <c r="A72272" s="7"/>
      <c r="B72272" s="7"/>
    </row>
    <row r="72273" ht="15.75" customHeight="1">
      <c r="A72273" s="7"/>
      <c r="B72273" s="7"/>
    </row>
    <row r="72274" ht="15.75" customHeight="1">
      <c r="A72274" s="7"/>
      <c r="B72274" s="7"/>
    </row>
    <row r="72275" ht="15.75" customHeight="1">
      <c r="A72275" s="7"/>
      <c r="B72275" s="7"/>
    </row>
    <row r="72276" ht="15.75" customHeight="1">
      <c r="A72276" s="7"/>
      <c r="B72276" s="7"/>
    </row>
    <row r="72277" ht="15.75" customHeight="1">
      <c r="A72277" s="7"/>
      <c r="B72277" s="7"/>
    </row>
    <row r="72278" ht="15.75" customHeight="1">
      <c r="A72278" s="7"/>
      <c r="B72278" s="7"/>
    </row>
    <row r="72279" ht="15.75" customHeight="1">
      <c r="A72279" s="7"/>
      <c r="B72279" s="7"/>
    </row>
    <row r="72280" ht="15.75" customHeight="1">
      <c r="A72280" s="7"/>
      <c r="B72280" s="7"/>
    </row>
    <row r="72281" ht="15.75" customHeight="1">
      <c r="A72281" s="7"/>
      <c r="B72281" s="7"/>
    </row>
    <row r="72282" ht="15.75" customHeight="1">
      <c r="A72282" s="7"/>
      <c r="B72282" s="7"/>
    </row>
    <row r="72283" ht="15.75" customHeight="1">
      <c r="A72283" s="7"/>
      <c r="B72283" s="7"/>
    </row>
    <row r="72284" ht="15.75" customHeight="1">
      <c r="A72284" s="7"/>
      <c r="B72284" s="7"/>
    </row>
    <row r="72285" ht="15.75" customHeight="1">
      <c r="A72285" s="7"/>
      <c r="B72285" s="7"/>
    </row>
    <row r="72286" ht="15.75" customHeight="1">
      <c r="A72286" s="7"/>
      <c r="B72286" s="7"/>
    </row>
    <row r="72287" ht="15.75" customHeight="1">
      <c r="A72287" s="7"/>
      <c r="B72287" s="7"/>
    </row>
    <row r="72288" ht="15.75" customHeight="1">
      <c r="A72288" s="7"/>
      <c r="B72288" s="7"/>
    </row>
    <row r="72289" ht="15.75" customHeight="1">
      <c r="A72289" s="7"/>
      <c r="B72289" s="7"/>
    </row>
    <row r="72290" ht="15.75" customHeight="1">
      <c r="A72290" s="7"/>
      <c r="B72290" s="7"/>
    </row>
    <row r="72291" ht="15.75" customHeight="1">
      <c r="A72291" s="7"/>
      <c r="B72291" s="7"/>
    </row>
    <row r="72292" ht="15.75" customHeight="1">
      <c r="A72292" s="7"/>
      <c r="B72292" s="7"/>
    </row>
    <row r="72293" ht="15.75" customHeight="1">
      <c r="A72293" s="7"/>
      <c r="B72293" s="7"/>
    </row>
    <row r="72294" ht="15.75" customHeight="1">
      <c r="A72294" s="7"/>
      <c r="B72294" s="7"/>
    </row>
    <row r="72295" ht="15.75" customHeight="1">
      <c r="A72295" s="7"/>
      <c r="B72295" s="7"/>
    </row>
    <row r="72296" ht="15.75" customHeight="1">
      <c r="A72296" s="7"/>
      <c r="B72296" s="7"/>
    </row>
    <row r="72297" ht="15.75" customHeight="1">
      <c r="A72297" s="7"/>
      <c r="B72297" s="7"/>
    </row>
    <row r="72298" ht="15.75" customHeight="1">
      <c r="A72298" s="7"/>
      <c r="B72298" s="7"/>
    </row>
    <row r="72299" ht="15.75" customHeight="1">
      <c r="A72299" s="7"/>
      <c r="B72299" s="7"/>
    </row>
    <row r="72300" ht="15.75" customHeight="1">
      <c r="A72300" s="7"/>
      <c r="B72300" s="7"/>
    </row>
    <row r="72301" ht="15.75" customHeight="1">
      <c r="A72301" s="7"/>
      <c r="B72301" s="7"/>
    </row>
    <row r="72302" ht="15.75" customHeight="1">
      <c r="A72302" s="7"/>
      <c r="B72302" s="7"/>
    </row>
    <row r="72303" ht="15.75" customHeight="1">
      <c r="A72303" s="7"/>
      <c r="B72303" s="7"/>
    </row>
    <row r="72304" ht="15.75" customHeight="1">
      <c r="A72304" s="7"/>
      <c r="B72304" s="7"/>
    </row>
    <row r="72305" ht="15.75" customHeight="1">
      <c r="A72305" s="7"/>
      <c r="B72305" s="7"/>
    </row>
    <row r="72306" ht="15.75" customHeight="1">
      <c r="A72306" s="7"/>
      <c r="B72306" s="7"/>
    </row>
    <row r="72307" ht="15.75" customHeight="1">
      <c r="A72307" s="7"/>
      <c r="B72307" s="7"/>
    </row>
    <row r="72308" ht="15.75" customHeight="1">
      <c r="A72308" s="7"/>
      <c r="B72308" s="7"/>
    </row>
    <row r="72309" ht="15.75" customHeight="1">
      <c r="A72309" s="7"/>
      <c r="B72309" s="7"/>
    </row>
    <row r="72310" ht="15.75" customHeight="1">
      <c r="A72310" s="7"/>
      <c r="B72310" s="7"/>
    </row>
    <row r="72311" ht="15.75" customHeight="1">
      <c r="A72311" s="7"/>
      <c r="B72311" s="7"/>
    </row>
    <row r="72312" ht="15.75" customHeight="1">
      <c r="A72312" s="7"/>
      <c r="B72312" s="7"/>
    </row>
    <row r="72313" ht="15.75" customHeight="1">
      <c r="A72313" s="7"/>
      <c r="B72313" s="7"/>
    </row>
    <row r="72314" ht="15.75" customHeight="1">
      <c r="A72314" s="7"/>
      <c r="B72314" s="7"/>
    </row>
    <row r="72315" ht="15.75" customHeight="1">
      <c r="A72315" s="7"/>
      <c r="B72315" s="7"/>
    </row>
    <row r="72316" ht="15.75" customHeight="1">
      <c r="A72316" s="7"/>
      <c r="B72316" s="7"/>
    </row>
    <row r="72317" ht="15.75" customHeight="1">
      <c r="A72317" s="7"/>
      <c r="B72317" s="7"/>
    </row>
    <row r="72318" ht="15.75" customHeight="1">
      <c r="A72318" s="7"/>
      <c r="B72318" s="7"/>
    </row>
    <row r="72319" ht="15.75" customHeight="1">
      <c r="A72319" s="7"/>
      <c r="B72319" s="7"/>
    </row>
    <row r="72320" ht="15.75" customHeight="1">
      <c r="A72320" s="7"/>
      <c r="B72320" s="7"/>
    </row>
    <row r="72321" ht="15.75" customHeight="1">
      <c r="A72321" s="7"/>
      <c r="B72321" s="7"/>
    </row>
    <row r="72322" ht="15.75" customHeight="1">
      <c r="A72322" s="7"/>
      <c r="B72322" s="7"/>
    </row>
    <row r="72323" ht="15.75" customHeight="1">
      <c r="A72323" s="7"/>
      <c r="B72323" s="7"/>
    </row>
    <row r="72324" ht="15.75" customHeight="1">
      <c r="A72324" s="7"/>
      <c r="B72324" s="7"/>
    </row>
    <row r="72325" ht="15.75" customHeight="1">
      <c r="A72325" s="7"/>
      <c r="B72325" s="7"/>
    </row>
    <row r="72326" ht="15.75" customHeight="1">
      <c r="A72326" s="7"/>
      <c r="B72326" s="7"/>
    </row>
    <row r="72327" ht="15.75" customHeight="1">
      <c r="A72327" s="7"/>
      <c r="B72327" s="7"/>
    </row>
    <row r="72328" ht="15.75" customHeight="1">
      <c r="A72328" s="7"/>
      <c r="B72328" s="7"/>
    </row>
    <row r="72329" ht="15.75" customHeight="1">
      <c r="A72329" s="7"/>
      <c r="B72329" s="7"/>
    </row>
    <row r="72330" ht="15.75" customHeight="1">
      <c r="A72330" s="7"/>
      <c r="B72330" s="7"/>
    </row>
    <row r="72331" ht="15.75" customHeight="1">
      <c r="A72331" s="7"/>
      <c r="B72331" s="7"/>
    </row>
    <row r="72332" ht="15.75" customHeight="1">
      <c r="A72332" s="7"/>
      <c r="B72332" s="7"/>
    </row>
    <row r="72333" ht="15.75" customHeight="1">
      <c r="A72333" s="7"/>
      <c r="B72333" s="7"/>
    </row>
    <row r="72334" ht="15.75" customHeight="1">
      <c r="A72334" s="7"/>
      <c r="B72334" s="7"/>
    </row>
    <row r="72335" ht="15.75" customHeight="1">
      <c r="A72335" s="7"/>
      <c r="B72335" s="7"/>
    </row>
    <row r="72336" ht="15.75" customHeight="1">
      <c r="A72336" s="7"/>
      <c r="B72336" s="7"/>
    </row>
    <row r="72337" ht="15.75" customHeight="1">
      <c r="A72337" s="7"/>
      <c r="B72337" s="7"/>
    </row>
    <row r="72338" ht="15.75" customHeight="1">
      <c r="A72338" s="7"/>
      <c r="B72338" s="7"/>
    </row>
    <row r="72339" ht="15.75" customHeight="1">
      <c r="A72339" s="7"/>
      <c r="B72339" s="7"/>
    </row>
    <row r="72340" ht="15.75" customHeight="1">
      <c r="A72340" s="7"/>
      <c r="B72340" s="7"/>
    </row>
    <row r="72341" ht="15.75" customHeight="1">
      <c r="A72341" s="7"/>
      <c r="B72341" s="7"/>
    </row>
    <row r="72342" ht="15.75" customHeight="1">
      <c r="A72342" s="7"/>
      <c r="B72342" s="7"/>
    </row>
    <row r="72343" ht="15.75" customHeight="1">
      <c r="A72343" s="7"/>
      <c r="B72343" s="7"/>
    </row>
    <row r="72344" ht="15.75" customHeight="1">
      <c r="A72344" s="7"/>
      <c r="B72344" s="7"/>
    </row>
    <row r="72345" ht="15.75" customHeight="1">
      <c r="A72345" s="7"/>
      <c r="B72345" s="7"/>
    </row>
    <row r="72346" ht="15.75" customHeight="1">
      <c r="A72346" s="7"/>
      <c r="B72346" s="7"/>
    </row>
    <row r="72347" ht="15.75" customHeight="1">
      <c r="A72347" s="7"/>
      <c r="B72347" s="7"/>
    </row>
    <row r="72348" ht="15.75" customHeight="1">
      <c r="A72348" s="7"/>
      <c r="B72348" s="7"/>
    </row>
    <row r="72349" ht="15.75" customHeight="1">
      <c r="A72349" s="7"/>
      <c r="B72349" s="7"/>
    </row>
    <row r="72350" ht="15.75" customHeight="1">
      <c r="A72350" s="7"/>
      <c r="B72350" s="7"/>
    </row>
    <row r="72351" ht="15.75" customHeight="1">
      <c r="A72351" s="7"/>
      <c r="B72351" s="7"/>
    </row>
    <row r="72352" ht="15.75" customHeight="1">
      <c r="A72352" s="7"/>
      <c r="B72352" s="7"/>
    </row>
    <row r="72353" ht="15.75" customHeight="1">
      <c r="A72353" s="7"/>
      <c r="B72353" s="7"/>
    </row>
    <row r="72354" ht="15.75" customHeight="1">
      <c r="A72354" s="7"/>
      <c r="B72354" s="7"/>
    </row>
    <row r="72355" ht="15.75" customHeight="1">
      <c r="A72355" s="7"/>
      <c r="B72355" s="7"/>
    </row>
    <row r="72356" ht="15.75" customHeight="1">
      <c r="A72356" s="7"/>
      <c r="B72356" s="7"/>
    </row>
    <row r="72357" ht="15.75" customHeight="1">
      <c r="A72357" s="7"/>
      <c r="B72357" s="7"/>
    </row>
    <row r="72358" ht="15.75" customHeight="1">
      <c r="A72358" s="7"/>
      <c r="B72358" s="7"/>
    </row>
    <row r="72359" ht="15.75" customHeight="1">
      <c r="A72359" s="7"/>
      <c r="B72359" s="7"/>
    </row>
    <row r="72360" ht="15.75" customHeight="1">
      <c r="A72360" s="7"/>
      <c r="B72360" s="7"/>
    </row>
    <row r="72361" ht="15.75" customHeight="1">
      <c r="A72361" s="7"/>
      <c r="B72361" s="7"/>
    </row>
    <row r="72362" ht="15.75" customHeight="1">
      <c r="A72362" s="7"/>
      <c r="B72362" s="7"/>
    </row>
    <row r="72363" ht="15.75" customHeight="1">
      <c r="A72363" s="7"/>
      <c r="B72363" s="7"/>
    </row>
    <row r="72364" ht="15.75" customHeight="1">
      <c r="A72364" s="7"/>
      <c r="B72364" s="7"/>
    </row>
    <row r="72365" ht="15.75" customHeight="1">
      <c r="A72365" s="7"/>
      <c r="B72365" s="7"/>
    </row>
    <row r="72366" ht="15.75" customHeight="1">
      <c r="A72366" s="7"/>
      <c r="B72366" s="7"/>
    </row>
    <row r="72367" ht="15.75" customHeight="1">
      <c r="A72367" s="7"/>
      <c r="B72367" s="7"/>
    </row>
    <row r="72368" ht="15.75" customHeight="1">
      <c r="A72368" s="7"/>
      <c r="B72368" s="7"/>
    </row>
    <row r="72369" ht="15.75" customHeight="1">
      <c r="A72369" s="7"/>
      <c r="B72369" s="7"/>
    </row>
    <row r="72370" ht="15.75" customHeight="1">
      <c r="A72370" s="7"/>
      <c r="B72370" s="7"/>
    </row>
    <row r="72371" ht="15.75" customHeight="1">
      <c r="A72371" s="7"/>
      <c r="B72371" s="7"/>
    </row>
    <row r="72372" ht="15.75" customHeight="1">
      <c r="A72372" s="7"/>
      <c r="B72372" s="7"/>
    </row>
    <row r="72373" ht="15.75" customHeight="1">
      <c r="A72373" s="7"/>
      <c r="B72373" s="7"/>
    </row>
    <row r="72374" ht="15.75" customHeight="1">
      <c r="A72374" s="7"/>
      <c r="B72374" s="7"/>
    </row>
    <row r="72375" ht="15.75" customHeight="1">
      <c r="A72375" s="7"/>
      <c r="B72375" s="7"/>
    </row>
    <row r="72376" ht="15.75" customHeight="1">
      <c r="A72376" s="7"/>
      <c r="B72376" s="7"/>
    </row>
    <row r="72377" ht="15.75" customHeight="1">
      <c r="A72377" s="7"/>
      <c r="B72377" s="7"/>
    </row>
    <row r="72378" ht="15.75" customHeight="1">
      <c r="A72378" s="7"/>
      <c r="B72378" s="7"/>
    </row>
    <row r="72379" ht="15.75" customHeight="1">
      <c r="A72379" s="7"/>
      <c r="B72379" s="7"/>
    </row>
    <row r="72380" ht="15.75" customHeight="1">
      <c r="A72380" s="7"/>
      <c r="B72380" s="7"/>
    </row>
    <row r="72381" ht="15.75" customHeight="1">
      <c r="A72381" s="7"/>
      <c r="B72381" s="7"/>
    </row>
    <row r="72382" ht="15.75" customHeight="1">
      <c r="A72382" s="7"/>
      <c r="B72382" s="7"/>
    </row>
    <row r="72383" ht="15.75" customHeight="1">
      <c r="A72383" s="7"/>
      <c r="B72383" s="7"/>
    </row>
    <row r="72384" ht="15.75" customHeight="1">
      <c r="A72384" s="7"/>
      <c r="B72384" s="7"/>
    </row>
    <row r="72385" ht="15.75" customHeight="1">
      <c r="A72385" s="7"/>
      <c r="B72385" s="7"/>
    </row>
    <row r="72386" ht="15.75" customHeight="1">
      <c r="A72386" s="7"/>
      <c r="B72386" s="7"/>
    </row>
    <row r="72387" ht="15.75" customHeight="1">
      <c r="A72387" s="7"/>
      <c r="B72387" s="7"/>
    </row>
    <row r="72388" ht="15.75" customHeight="1">
      <c r="A72388" s="7"/>
      <c r="B72388" s="7"/>
    </row>
    <row r="72389" ht="15.75" customHeight="1">
      <c r="A72389" s="7"/>
      <c r="B72389" s="7"/>
    </row>
    <row r="72390" ht="15.75" customHeight="1">
      <c r="A72390" s="7"/>
      <c r="B72390" s="7"/>
    </row>
    <row r="72391" ht="15.75" customHeight="1">
      <c r="A72391" s="7"/>
      <c r="B72391" s="7"/>
    </row>
    <row r="72392" ht="15.75" customHeight="1">
      <c r="A72392" s="7"/>
      <c r="B72392" s="7"/>
    </row>
    <row r="72393" ht="15.75" customHeight="1">
      <c r="A72393" s="7"/>
      <c r="B72393" s="7"/>
    </row>
    <row r="72394" ht="15.75" customHeight="1">
      <c r="A72394" s="7"/>
      <c r="B72394" s="7"/>
    </row>
    <row r="72395" ht="15.75" customHeight="1">
      <c r="A72395" s="7"/>
      <c r="B72395" s="7"/>
    </row>
    <row r="72396" ht="15.75" customHeight="1">
      <c r="A72396" s="7"/>
      <c r="B72396" s="7"/>
    </row>
    <row r="72397" ht="15.75" customHeight="1">
      <c r="A72397" s="7"/>
      <c r="B72397" s="7"/>
    </row>
    <row r="72398" ht="15.75" customHeight="1">
      <c r="A72398" s="7"/>
      <c r="B72398" s="7"/>
    </row>
    <row r="72399" ht="15.75" customHeight="1">
      <c r="A72399" s="7"/>
      <c r="B72399" s="7"/>
    </row>
    <row r="72400" ht="15.75" customHeight="1">
      <c r="A72400" s="7"/>
      <c r="B72400" s="7"/>
    </row>
    <row r="72401" ht="15.75" customHeight="1">
      <c r="A72401" s="7"/>
      <c r="B72401" s="7"/>
    </row>
    <row r="72402" ht="15.75" customHeight="1">
      <c r="A72402" s="7"/>
      <c r="B72402" s="7"/>
    </row>
    <row r="72403" ht="15.75" customHeight="1">
      <c r="A72403" s="7"/>
      <c r="B72403" s="7"/>
    </row>
    <row r="72404" ht="15.75" customHeight="1">
      <c r="A72404" s="7"/>
      <c r="B72404" s="7"/>
    </row>
    <row r="72405" ht="15.75" customHeight="1">
      <c r="A72405" s="7"/>
      <c r="B72405" s="7"/>
    </row>
    <row r="72406" ht="15.75" customHeight="1">
      <c r="A72406" s="7"/>
      <c r="B72406" s="7"/>
    </row>
    <row r="72407" ht="15.75" customHeight="1">
      <c r="A72407" s="7"/>
      <c r="B72407" s="7"/>
    </row>
    <row r="72408" ht="15.75" customHeight="1">
      <c r="A72408" s="7"/>
      <c r="B72408" s="7"/>
    </row>
    <row r="72409" ht="15.75" customHeight="1">
      <c r="A72409" s="7"/>
      <c r="B72409" s="7"/>
    </row>
    <row r="72410" ht="15.75" customHeight="1">
      <c r="A72410" s="7"/>
      <c r="B72410" s="7"/>
    </row>
    <row r="72411" ht="15.75" customHeight="1">
      <c r="A72411" s="7"/>
      <c r="B72411" s="7"/>
    </row>
    <row r="72412" ht="15.75" customHeight="1">
      <c r="A72412" s="7"/>
      <c r="B72412" s="7"/>
    </row>
    <row r="72413" ht="15.75" customHeight="1">
      <c r="A72413" s="7"/>
      <c r="B72413" s="7"/>
    </row>
    <row r="72414" ht="15.75" customHeight="1">
      <c r="A72414" s="7"/>
      <c r="B72414" s="7"/>
    </row>
    <row r="72415" ht="15.75" customHeight="1">
      <c r="A72415" s="7"/>
      <c r="B72415" s="7"/>
    </row>
    <row r="72416" ht="15.75" customHeight="1">
      <c r="A72416" s="7"/>
      <c r="B72416" s="7"/>
    </row>
    <row r="72417" ht="15.75" customHeight="1">
      <c r="A72417" s="7"/>
      <c r="B72417" s="7"/>
    </row>
    <row r="72418" ht="15.75" customHeight="1">
      <c r="A72418" s="7"/>
      <c r="B72418" s="7"/>
    </row>
    <row r="72419" ht="15.75" customHeight="1">
      <c r="A72419" s="7"/>
      <c r="B72419" s="7"/>
    </row>
    <row r="72420" ht="15.75" customHeight="1">
      <c r="A72420" s="7"/>
      <c r="B72420" s="7"/>
    </row>
    <row r="72421" ht="15.75" customHeight="1">
      <c r="A72421" s="7"/>
      <c r="B72421" s="7"/>
    </row>
    <row r="72422" ht="15.75" customHeight="1">
      <c r="A72422" s="7"/>
      <c r="B72422" s="7"/>
    </row>
    <row r="72423" ht="15.75" customHeight="1">
      <c r="A72423" s="7"/>
      <c r="B72423" s="7"/>
    </row>
    <row r="72424" ht="15.75" customHeight="1">
      <c r="A72424" s="7"/>
      <c r="B72424" s="7"/>
    </row>
    <row r="72425" ht="15.75" customHeight="1">
      <c r="A72425" s="7"/>
      <c r="B72425" s="7"/>
    </row>
    <row r="72426" ht="15.75" customHeight="1">
      <c r="A72426" s="7"/>
      <c r="B72426" s="7"/>
    </row>
    <row r="72427" ht="15.75" customHeight="1">
      <c r="A72427" s="7"/>
      <c r="B72427" s="7"/>
    </row>
    <row r="72428" ht="15.75" customHeight="1">
      <c r="A72428" s="7"/>
      <c r="B72428" s="7"/>
    </row>
    <row r="72429" ht="15.75" customHeight="1">
      <c r="A72429" s="7"/>
      <c r="B72429" s="7"/>
    </row>
    <row r="72430" ht="15.75" customHeight="1">
      <c r="A72430" s="7"/>
      <c r="B72430" s="7"/>
    </row>
    <row r="72431" ht="15.75" customHeight="1">
      <c r="A72431" s="7"/>
      <c r="B72431" s="7"/>
    </row>
    <row r="72432" ht="15.75" customHeight="1">
      <c r="A72432" s="7"/>
      <c r="B72432" s="7"/>
    </row>
    <row r="72433" ht="15.75" customHeight="1">
      <c r="A72433" s="7"/>
      <c r="B72433" s="7"/>
    </row>
    <row r="72434" ht="15.75" customHeight="1">
      <c r="A72434" s="7"/>
      <c r="B72434" s="7"/>
    </row>
    <row r="72435" ht="15.75" customHeight="1">
      <c r="A72435" s="7"/>
      <c r="B72435" s="7"/>
    </row>
    <row r="72436" ht="15.75" customHeight="1">
      <c r="A72436" s="7"/>
      <c r="B72436" s="7"/>
    </row>
    <row r="72437" ht="15.75" customHeight="1">
      <c r="A72437" s="7"/>
      <c r="B72437" s="7"/>
    </row>
    <row r="72438" ht="15.75" customHeight="1">
      <c r="A72438" s="7"/>
      <c r="B72438" s="7"/>
    </row>
    <row r="72439" ht="15.75" customHeight="1">
      <c r="A72439" s="7"/>
      <c r="B72439" s="7"/>
    </row>
    <row r="72440" ht="15.75" customHeight="1">
      <c r="A72440" s="7"/>
      <c r="B72440" s="7"/>
    </row>
    <row r="72441" ht="15.75" customHeight="1">
      <c r="A72441" s="7"/>
      <c r="B72441" s="7"/>
    </row>
    <row r="72442" ht="15.75" customHeight="1">
      <c r="A72442" s="7"/>
      <c r="B72442" s="7"/>
    </row>
    <row r="72443" ht="15.75" customHeight="1">
      <c r="A72443" s="7"/>
      <c r="B72443" s="7"/>
    </row>
    <row r="72444" ht="15.75" customHeight="1">
      <c r="A72444" s="7"/>
      <c r="B72444" s="7"/>
    </row>
    <row r="72445" ht="15.75" customHeight="1">
      <c r="A72445" s="7"/>
      <c r="B72445" s="7"/>
    </row>
    <row r="72446" ht="15.75" customHeight="1">
      <c r="A72446" s="7"/>
      <c r="B72446" s="7"/>
    </row>
    <row r="72447" ht="15.75" customHeight="1">
      <c r="A72447" s="7"/>
      <c r="B72447" s="7"/>
    </row>
    <row r="72448" ht="15.75" customHeight="1">
      <c r="A72448" s="7"/>
      <c r="B72448" s="7"/>
    </row>
    <row r="72449" ht="15.75" customHeight="1">
      <c r="A72449" s="7"/>
      <c r="B72449" s="7"/>
    </row>
    <row r="72450" ht="15.75" customHeight="1">
      <c r="A72450" s="7"/>
      <c r="B72450" s="7"/>
    </row>
    <row r="72451" ht="15.75" customHeight="1">
      <c r="A72451" s="7"/>
      <c r="B72451" s="7"/>
    </row>
    <row r="72452" ht="15.75" customHeight="1">
      <c r="A72452" s="7"/>
      <c r="B72452" s="7"/>
    </row>
    <row r="72453" ht="15.75" customHeight="1">
      <c r="A72453" s="7"/>
      <c r="B72453" s="7"/>
    </row>
    <row r="72454" ht="15.75" customHeight="1">
      <c r="A72454" s="7"/>
      <c r="B72454" s="7"/>
    </row>
    <row r="72455" ht="15.75" customHeight="1">
      <c r="A72455" s="7"/>
      <c r="B72455" s="7"/>
    </row>
    <row r="72456" ht="15.75" customHeight="1">
      <c r="A72456" s="7"/>
      <c r="B72456" s="7"/>
    </row>
    <row r="72457" ht="15.75" customHeight="1">
      <c r="A72457" s="7"/>
      <c r="B72457" s="7"/>
    </row>
    <row r="72458" ht="15.75" customHeight="1">
      <c r="A72458" s="7"/>
      <c r="B72458" s="7"/>
    </row>
    <row r="72459" ht="15.75" customHeight="1">
      <c r="A72459" s="7"/>
      <c r="B72459" s="7"/>
    </row>
    <row r="72460" ht="15.75" customHeight="1">
      <c r="A72460" s="7"/>
      <c r="B72460" s="7"/>
    </row>
    <row r="72461" ht="15.75" customHeight="1">
      <c r="A72461" s="7"/>
      <c r="B72461" s="7"/>
    </row>
    <row r="72462" ht="15.75" customHeight="1">
      <c r="A72462" s="7"/>
      <c r="B72462" s="7"/>
    </row>
    <row r="72463" ht="15.75" customHeight="1">
      <c r="A72463" s="7"/>
      <c r="B72463" s="7"/>
    </row>
    <row r="72464" ht="15.75" customHeight="1">
      <c r="A72464" s="7"/>
      <c r="B72464" s="7"/>
    </row>
    <row r="72465" ht="15.75" customHeight="1">
      <c r="A72465" s="7"/>
      <c r="B72465" s="7"/>
    </row>
    <row r="72466" ht="15.75" customHeight="1">
      <c r="A72466" s="7"/>
      <c r="B72466" s="7"/>
    </row>
    <row r="72467" ht="15.75" customHeight="1">
      <c r="A72467" s="7"/>
      <c r="B72467" s="7"/>
    </row>
    <row r="72468" ht="15.75" customHeight="1">
      <c r="A72468" s="7"/>
      <c r="B72468" s="7"/>
    </row>
    <row r="72469" ht="15.75" customHeight="1">
      <c r="A72469" s="7"/>
      <c r="B72469" s="7"/>
    </row>
    <row r="72470" ht="15.75" customHeight="1">
      <c r="A72470" s="7"/>
      <c r="B72470" s="7"/>
    </row>
    <row r="72471" ht="15.75" customHeight="1">
      <c r="A72471" s="7"/>
      <c r="B72471" s="7"/>
    </row>
    <row r="72472" ht="15.75" customHeight="1">
      <c r="A72472" s="7"/>
      <c r="B72472" s="7"/>
    </row>
    <row r="72473" ht="15.75" customHeight="1">
      <c r="A72473" s="7"/>
      <c r="B72473" s="7"/>
    </row>
    <row r="72474" ht="15.75" customHeight="1">
      <c r="A72474" s="7"/>
      <c r="B72474" s="7"/>
    </row>
    <row r="72475" ht="15.75" customHeight="1">
      <c r="A72475" s="7"/>
      <c r="B72475" s="7"/>
    </row>
    <row r="72476" ht="15.75" customHeight="1">
      <c r="A72476" s="7"/>
      <c r="B72476" s="7"/>
    </row>
    <row r="72477" ht="15.75" customHeight="1">
      <c r="A72477" s="7"/>
      <c r="B72477" s="7"/>
    </row>
    <row r="72478" ht="15.75" customHeight="1">
      <c r="A72478" s="7"/>
      <c r="B72478" s="7"/>
    </row>
    <row r="72479" ht="15.75" customHeight="1">
      <c r="A72479" s="7"/>
      <c r="B72479" s="7"/>
    </row>
    <row r="72480" ht="15.75" customHeight="1">
      <c r="A72480" s="7"/>
      <c r="B72480" s="7"/>
    </row>
    <row r="72481" ht="15.75" customHeight="1">
      <c r="A72481" s="7"/>
      <c r="B72481" s="7"/>
    </row>
    <row r="72482" ht="15.75" customHeight="1">
      <c r="A72482" s="7"/>
      <c r="B72482" s="7"/>
    </row>
    <row r="72483" ht="15.75" customHeight="1">
      <c r="A72483" s="7"/>
      <c r="B72483" s="7"/>
    </row>
    <row r="72484" ht="15.75" customHeight="1">
      <c r="A72484" s="7"/>
      <c r="B72484" s="7"/>
    </row>
    <row r="72485" ht="15.75" customHeight="1">
      <c r="A72485" s="7"/>
      <c r="B72485" s="7"/>
    </row>
    <row r="72486" ht="15.75" customHeight="1">
      <c r="A72486" s="7"/>
      <c r="B72486" s="7"/>
    </row>
    <row r="72487" ht="15.75" customHeight="1">
      <c r="A72487" s="7"/>
      <c r="B72487" s="7"/>
    </row>
    <row r="72488" ht="15.75" customHeight="1">
      <c r="A72488" s="7"/>
      <c r="B72488" s="7"/>
    </row>
    <row r="72489" ht="15.75" customHeight="1">
      <c r="A72489" s="7"/>
      <c r="B72489" s="7"/>
    </row>
    <row r="72490" ht="15.75" customHeight="1">
      <c r="A72490" s="7"/>
      <c r="B72490" s="7"/>
    </row>
    <row r="72491" ht="15.75" customHeight="1">
      <c r="A72491" s="7"/>
      <c r="B72491" s="7"/>
    </row>
    <row r="72492" ht="15.75" customHeight="1">
      <c r="A72492" s="7"/>
      <c r="B72492" s="7"/>
    </row>
    <row r="72493" ht="15.75" customHeight="1">
      <c r="A72493" s="7"/>
      <c r="B72493" s="7"/>
    </row>
    <row r="72494" ht="15.75" customHeight="1">
      <c r="A72494" s="7"/>
      <c r="B72494" s="7"/>
    </row>
    <row r="72495" ht="15.75" customHeight="1">
      <c r="A72495" s="7"/>
      <c r="B72495" s="7"/>
    </row>
    <row r="72496" ht="15.75" customHeight="1">
      <c r="A72496" s="7"/>
      <c r="B72496" s="7"/>
    </row>
    <row r="72497" ht="15.75" customHeight="1">
      <c r="A72497" s="7"/>
      <c r="B72497" s="7"/>
    </row>
    <row r="72498" ht="15.75" customHeight="1">
      <c r="A72498" s="7"/>
      <c r="B72498" s="7"/>
    </row>
    <row r="72499" ht="15.75" customHeight="1">
      <c r="A72499" s="7"/>
      <c r="B72499" s="7"/>
    </row>
    <row r="72500" ht="15.75" customHeight="1">
      <c r="A72500" s="7"/>
      <c r="B72500" s="7"/>
    </row>
    <row r="72501" ht="15.75" customHeight="1">
      <c r="A72501" s="7"/>
      <c r="B72501" s="7"/>
    </row>
    <row r="72502" ht="15.75" customHeight="1">
      <c r="A72502" s="7"/>
      <c r="B72502" s="7"/>
    </row>
    <row r="72503" ht="15.75" customHeight="1">
      <c r="A72503" s="7"/>
      <c r="B72503" s="7"/>
    </row>
    <row r="72504" ht="15.75" customHeight="1">
      <c r="A72504" s="7"/>
      <c r="B72504" s="7"/>
    </row>
    <row r="72505" ht="15.75" customHeight="1">
      <c r="A72505" s="7"/>
      <c r="B72505" s="7"/>
    </row>
    <row r="72506" ht="15.75" customHeight="1">
      <c r="A72506" s="7"/>
      <c r="B72506" s="7"/>
    </row>
    <row r="72507" ht="15.75" customHeight="1">
      <c r="A72507" s="7"/>
      <c r="B72507" s="7"/>
    </row>
    <row r="72508" ht="15.75" customHeight="1">
      <c r="A72508" s="7"/>
      <c r="B72508" s="7"/>
    </row>
    <row r="72509" ht="15.75" customHeight="1">
      <c r="A72509" s="7"/>
      <c r="B72509" s="7"/>
    </row>
    <row r="72510" ht="15.75" customHeight="1">
      <c r="A72510" s="7"/>
      <c r="B72510" s="7"/>
    </row>
    <row r="72511" ht="15.75" customHeight="1">
      <c r="A72511" s="7"/>
      <c r="B72511" s="7"/>
    </row>
    <row r="72512" ht="15.75" customHeight="1">
      <c r="A72512" s="7"/>
      <c r="B72512" s="7"/>
    </row>
    <row r="72513" ht="15.75" customHeight="1">
      <c r="A72513" s="7"/>
      <c r="B72513" s="7"/>
    </row>
    <row r="72514" ht="15.75" customHeight="1">
      <c r="A72514" s="7"/>
      <c r="B72514" s="7"/>
    </row>
    <row r="72515" ht="15.75" customHeight="1">
      <c r="A72515" s="7"/>
      <c r="B72515" s="7"/>
    </row>
    <row r="72516" ht="15.75" customHeight="1">
      <c r="A72516" s="7"/>
      <c r="B72516" s="7"/>
    </row>
    <row r="72517" ht="15.75" customHeight="1">
      <c r="A72517" s="7"/>
      <c r="B72517" s="7"/>
    </row>
    <row r="72518" ht="15.75" customHeight="1">
      <c r="A72518" s="7"/>
      <c r="B72518" s="7"/>
    </row>
    <row r="72519" ht="15.75" customHeight="1">
      <c r="A72519" s="7"/>
      <c r="B72519" s="7"/>
    </row>
    <row r="72520" ht="15.75" customHeight="1">
      <c r="A72520" s="7"/>
      <c r="B72520" s="7"/>
    </row>
    <row r="72521" ht="15.75" customHeight="1">
      <c r="A72521" s="7"/>
      <c r="B72521" s="7"/>
    </row>
    <row r="72522" ht="15.75" customHeight="1">
      <c r="A72522" s="7"/>
      <c r="B72522" s="7"/>
    </row>
    <row r="72523" ht="15.75" customHeight="1">
      <c r="A72523" s="7"/>
      <c r="B72523" s="7"/>
    </row>
    <row r="72524" ht="15.75" customHeight="1">
      <c r="A72524" s="7"/>
      <c r="B72524" s="7"/>
    </row>
    <row r="72525" ht="15.75" customHeight="1">
      <c r="A72525" s="7"/>
      <c r="B72525" s="7"/>
    </row>
    <row r="72526" ht="15.75" customHeight="1">
      <c r="A72526" s="7"/>
      <c r="B72526" s="7"/>
    </row>
    <row r="72527" ht="15.75" customHeight="1">
      <c r="A72527" s="7"/>
      <c r="B72527" s="7"/>
    </row>
    <row r="72528" ht="15.75" customHeight="1">
      <c r="A72528" s="7"/>
      <c r="B72528" s="7"/>
    </row>
    <row r="72529" ht="15.75" customHeight="1">
      <c r="A72529" s="7"/>
      <c r="B72529" s="7"/>
    </row>
    <row r="72530" ht="15.75" customHeight="1">
      <c r="A72530" s="7"/>
      <c r="B72530" s="7"/>
    </row>
    <row r="72531" ht="15.75" customHeight="1">
      <c r="A72531" s="7"/>
      <c r="B72531" s="7"/>
    </row>
    <row r="72532" ht="15.75" customHeight="1">
      <c r="A72532" s="7"/>
      <c r="B72532" s="7"/>
    </row>
    <row r="72533" ht="15.75" customHeight="1">
      <c r="A72533" s="7"/>
      <c r="B72533" s="7"/>
    </row>
    <row r="72534" ht="15.75" customHeight="1">
      <c r="A72534" s="7"/>
      <c r="B72534" s="7"/>
    </row>
    <row r="72535" ht="15.75" customHeight="1">
      <c r="A72535" s="7"/>
      <c r="B72535" s="7"/>
    </row>
    <row r="72536" ht="15.75" customHeight="1">
      <c r="A72536" s="7"/>
      <c r="B72536" s="7"/>
    </row>
    <row r="72537" ht="15.75" customHeight="1">
      <c r="A72537" s="7"/>
      <c r="B72537" s="7"/>
    </row>
    <row r="72538" ht="15.75" customHeight="1">
      <c r="A72538" s="7"/>
      <c r="B72538" s="7"/>
    </row>
    <row r="72539" ht="15.75" customHeight="1">
      <c r="A72539" s="7"/>
      <c r="B72539" s="7"/>
    </row>
    <row r="72540" ht="15.75" customHeight="1">
      <c r="A72540" s="7"/>
      <c r="B72540" s="7"/>
    </row>
    <row r="72541" ht="15.75" customHeight="1">
      <c r="A72541" s="7"/>
      <c r="B72541" s="7"/>
    </row>
    <row r="72542" ht="15.75" customHeight="1">
      <c r="A72542" s="7"/>
      <c r="B72542" s="7"/>
    </row>
    <row r="72543" ht="15.75" customHeight="1">
      <c r="A72543" s="7"/>
      <c r="B72543" s="7"/>
    </row>
    <row r="72544" ht="15.75" customHeight="1">
      <c r="A72544" s="7"/>
      <c r="B72544" s="7"/>
    </row>
    <row r="72545" ht="15.75" customHeight="1">
      <c r="A72545" s="7"/>
      <c r="B72545" s="7"/>
    </row>
    <row r="72546" ht="15.75" customHeight="1">
      <c r="A72546" s="7"/>
      <c r="B72546" s="7"/>
    </row>
    <row r="72547" ht="15.75" customHeight="1">
      <c r="A72547" s="7"/>
      <c r="B72547" s="7"/>
    </row>
    <row r="72548" ht="15.75" customHeight="1">
      <c r="A72548" s="7"/>
      <c r="B72548" s="7"/>
    </row>
    <row r="72549" ht="15.75" customHeight="1">
      <c r="A72549" s="7"/>
      <c r="B72549" s="7"/>
    </row>
    <row r="72550" ht="15.75" customHeight="1">
      <c r="A72550" s="7"/>
      <c r="B72550" s="7"/>
    </row>
    <row r="72551" ht="15.75" customHeight="1">
      <c r="A72551" s="7"/>
      <c r="B72551" s="7"/>
    </row>
    <row r="72552" ht="15.75" customHeight="1">
      <c r="A72552" s="7"/>
      <c r="B72552" s="7"/>
    </row>
    <row r="72553" ht="15.75" customHeight="1">
      <c r="A72553" s="7"/>
      <c r="B72553" s="7"/>
    </row>
    <row r="72554" ht="15.75" customHeight="1">
      <c r="A72554" s="7"/>
      <c r="B72554" s="7"/>
    </row>
    <row r="72555" ht="15.75" customHeight="1">
      <c r="A72555" s="7"/>
      <c r="B72555" s="7"/>
    </row>
    <row r="72556" ht="15.75" customHeight="1">
      <c r="A72556" s="7"/>
      <c r="B72556" s="7"/>
    </row>
    <row r="72557" ht="15.75" customHeight="1">
      <c r="A72557" s="7"/>
      <c r="B72557" s="7"/>
    </row>
    <row r="72558" ht="15.75" customHeight="1">
      <c r="A72558" s="7"/>
      <c r="B72558" s="7"/>
    </row>
    <row r="72559" ht="15.75" customHeight="1">
      <c r="A72559" s="7"/>
      <c r="B72559" s="7"/>
    </row>
    <row r="72560" ht="15.75" customHeight="1">
      <c r="A72560" s="7"/>
      <c r="B72560" s="7"/>
    </row>
    <row r="72561" ht="15.75" customHeight="1">
      <c r="A72561" s="7"/>
      <c r="B72561" s="7"/>
    </row>
    <row r="72562" ht="15.75" customHeight="1">
      <c r="A72562" s="7"/>
      <c r="B72562" s="7"/>
    </row>
    <row r="72563" ht="15.75" customHeight="1">
      <c r="A72563" s="7"/>
      <c r="B72563" s="7"/>
    </row>
    <row r="72564" ht="15.75" customHeight="1">
      <c r="A72564" s="7"/>
      <c r="B72564" s="7"/>
    </row>
    <row r="72565" ht="15.75" customHeight="1">
      <c r="A72565" s="7"/>
      <c r="B72565" s="7"/>
    </row>
    <row r="72566" ht="15.75" customHeight="1">
      <c r="A72566" s="7"/>
      <c r="B72566" s="7"/>
    </row>
    <row r="72567" ht="15.75" customHeight="1">
      <c r="A72567" s="7"/>
      <c r="B72567" s="7"/>
    </row>
    <row r="72568" ht="15.75" customHeight="1">
      <c r="A72568" s="7"/>
      <c r="B72568" s="7"/>
    </row>
    <row r="72569" ht="15.75" customHeight="1">
      <c r="A72569" s="7"/>
      <c r="B72569" s="7"/>
    </row>
    <row r="72570" ht="15.75" customHeight="1">
      <c r="A72570" s="7"/>
      <c r="B72570" s="7"/>
    </row>
    <row r="72571" ht="15.75" customHeight="1">
      <c r="A72571" s="7"/>
      <c r="B72571" s="7"/>
    </row>
    <row r="72572" ht="15.75" customHeight="1">
      <c r="A72572" s="7"/>
      <c r="B72572" s="7"/>
    </row>
    <row r="72573" ht="15.75" customHeight="1">
      <c r="A72573" s="7"/>
      <c r="B72573" s="7"/>
    </row>
    <row r="72574" ht="15.75" customHeight="1">
      <c r="A72574" s="7"/>
      <c r="B72574" s="7"/>
    </row>
    <row r="72575" ht="15.75" customHeight="1">
      <c r="A72575" s="7"/>
      <c r="B72575" s="7"/>
    </row>
    <row r="72576" ht="15.75" customHeight="1">
      <c r="A72576" s="7"/>
      <c r="B72576" s="7"/>
    </row>
    <row r="72577" ht="15.75" customHeight="1">
      <c r="A72577" s="7"/>
      <c r="B72577" s="7"/>
    </row>
    <row r="72578" ht="15.75" customHeight="1">
      <c r="A72578" s="7"/>
      <c r="B72578" s="7"/>
    </row>
    <row r="72579" ht="15.75" customHeight="1">
      <c r="A72579" s="7"/>
      <c r="B72579" s="7"/>
    </row>
    <row r="72580" ht="15.75" customHeight="1">
      <c r="A72580" s="7"/>
      <c r="B72580" s="7"/>
    </row>
    <row r="72581" ht="15.75" customHeight="1">
      <c r="A72581" s="7"/>
      <c r="B72581" s="7"/>
    </row>
    <row r="72582" ht="15.75" customHeight="1">
      <c r="A72582" s="7"/>
      <c r="B72582" s="7"/>
    </row>
    <row r="72583" ht="15.75" customHeight="1">
      <c r="A72583" s="7"/>
      <c r="B72583" s="7"/>
    </row>
    <row r="72584" ht="15.75" customHeight="1">
      <c r="A72584" s="7"/>
      <c r="B72584" s="7"/>
    </row>
    <row r="72585" ht="15.75" customHeight="1">
      <c r="A72585" s="7"/>
      <c r="B72585" s="7"/>
    </row>
    <row r="72586" ht="15.75" customHeight="1">
      <c r="A72586" s="7"/>
      <c r="B72586" s="7"/>
    </row>
    <row r="72587" ht="15.75" customHeight="1">
      <c r="A72587" s="7"/>
      <c r="B72587" s="7"/>
    </row>
    <row r="72588" ht="15.75" customHeight="1">
      <c r="A72588" s="7"/>
      <c r="B72588" s="7"/>
    </row>
    <row r="72589" ht="15.75" customHeight="1">
      <c r="A72589" s="7"/>
      <c r="B72589" s="7"/>
    </row>
    <row r="72590" ht="15.75" customHeight="1">
      <c r="A72590" s="7"/>
      <c r="B72590" s="7"/>
    </row>
    <row r="72591" ht="15.75" customHeight="1">
      <c r="A72591" s="7"/>
      <c r="B72591" s="7"/>
    </row>
    <row r="72592" ht="15.75" customHeight="1">
      <c r="A72592" s="7"/>
      <c r="B72592" s="7"/>
    </row>
    <row r="72593" ht="15.75" customHeight="1">
      <c r="A72593" s="7"/>
      <c r="B72593" s="7"/>
    </row>
    <row r="72594" ht="15.75" customHeight="1">
      <c r="A72594" s="7"/>
      <c r="B72594" s="7"/>
    </row>
    <row r="72595" ht="15.75" customHeight="1">
      <c r="A72595" s="7"/>
      <c r="B72595" s="7"/>
    </row>
    <row r="72596" ht="15.75" customHeight="1">
      <c r="A72596" s="7"/>
      <c r="B72596" s="7"/>
    </row>
    <row r="72597" ht="15.75" customHeight="1">
      <c r="A72597" s="7"/>
      <c r="B72597" s="7"/>
    </row>
    <row r="72598" ht="15.75" customHeight="1">
      <c r="A72598" s="7"/>
      <c r="B72598" s="7"/>
    </row>
    <row r="72599" ht="15.75" customHeight="1">
      <c r="A72599" s="7"/>
      <c r="B72599" s="7"/>
    </row>
    <row r="72600" ht="15.75" customHeight="1">
      <c r="A72600" s="7"/>
      <c r="B72600" s="7"/>
    </row>
    <row r="72601" ht="15.75" customHeight="1">
      <c r="A72601" s="7"/>
      <c r="B72601" s="7"/>
    </row>
    <row r="72602" ht="15.75" customHeight="1">
      <c r="A72602" s="7"/>
      <c r="B72602" s="7"/>
    </row>
    <row r="72603" ht="15.75" customHeight="1">
      <c r="A72603" s="7"/>
      <c r="B72603" s="7"/>
    </row>
    <row r="72604" ht="15.75" customHeight="1">
      <c r="A72604" s="7"/>
      <c r="B72604" s="7"/>
    </row>
    <row r="72605" ht="15.75" customHeight="1">
      <c r="A72605" s="7"/>
      <c r="B72605" s="7"/>
    </row>
    <row r="72606" ht="15.75" customHeight="1">
      <c r="A72606" s="7"/>
      <c r="B72606" s="7"/>
    </row>
    <row r="72607" ht="15.75" customHeight="1">
      <c r="A72607" s="7"/>
      <c r="B72607" s="7"/>
    </row>
    <row r="72608" ht="15.75" customHeight="1">
      <c r="A72608" s="7"/>
      <c r="B72608" s="7"/>
    </row>
    <row r="72609" ht="15.75" customHeight="1">
      <c r="A72609" s="7"/>
      <c r="B72609" s="7"/>
    </row>
    <row r="72610" ht="15.75" customHeight="1">
      <c r="A72610" s="7"/>
      <c r="B72610" s="7"/>
    </row>
    <row r="72611" ht="15.75" customHeight="1">
      <c r="A72611" s="7"/>
      <c r="B72611" s="7"/>
    </row>
    <row r="72612" ht="15.75" customHeight="1">
      <c r="A72612" s="7"/>
      <c r="B72612" s="7"/>
    </row>
    <row r="72613" ht="15.75" customHeight="1">
      <c r="A72613" s="7"/>
      <c r="B72613" s="7"/>
    </row>
    <row r="72614" ht="15.75" customHeight="1">
      <c r="A72614" s="7"/>
      <c r="B72614" s="7"/>
    </row>
    <row r="72615" ht="15.75" customHeight="1">
      <c r="A72615" s="7"/>
      <c r="B72615" s="7"/>
    </row>
    <row r="72616" ht="15.75" customHeight="1">
      <c r="A72616" s="7"/>
      <c r="B72616" s="7"/>
    </row>
    <row r="72617" ht="15.75" customHeight="1">
      <c r="A72617" s="7"/>
      <c r="B72617" s="7"/>
    </row>
    <row r="72618" ht="15.75" customHeight="1">
      <c r="A72618" s="7"/>
      <c r="B72618" s="7"/>
    </row>
    <row r="72619" ht="15.75" customHeight="1">
      <c r="A72619" s="7"/>
      <c r="B72619" s="7"/>
    </row>
    <row r="72620" ht="15.75" customHeight="1">
      <c r="A72620" s="7"/>
      <c r="B72620" s="7"/>
    </row>
    <row r="72621" ht="15.75" customHeight="1">
      <c r="A72621" s="7"/>
      <c r="B72621" s="7"/>
    </row>
    <row r="72622" ht="15.75" customHeight="1">
      <c r="A72622" s="7"/>
      <c r="B72622" s="7"/>
    </row>
    <row r="72623" ht="15.75" customHeight="1">
      <c r="A72623" s="7"/>
      <c r="B72623" s="7"/>
    </row>
    <row r="72624" ht="15.75" customHeight="1">
      <c r="A72624" s="7"/>
      <c r="B72624" s="7"/>
    </row>
    <row r="72625" ht="15.75" customHeight="1">
      <c r="A72625" s="7"/>
      <c r="B72625" s="7"/>
    </row>
    <row r="72626" ht="15.75" customHeight="1">
      <c r="A72626" s="7"/>
      <c r="B72626" s="7"/>
    </row>
    <row r="72627" ht="15.75" customHeight="1">
      <c r="A72627" s="7"/>
      <c r="B72627" s="7"/>
    </row>
    <row r="72628" ht="15.75" customHeight="1">
      <c r="A72628" s="7"/>
      <c r="B72628" s="7"/>
    </row>
    <row r="72629" ht="15.75" customHeight="1">
      <c r="A72629" s="7"/>
      <c r="B72629" s="7"/>
    </row>
    <row r="72630" ht="15.75" customHeight="1">
      <c r="A72630" s="7"/>
      <c r="B72630" s="7"/>
    </row>
    <row r="72631" ht="15.75" customHeight="1">
      <c r="A72631" s="7"/>
      <c r="B72631" s="7"/>
    </row>
    <row r="72632" ht="15.75" customHeight="1">
      <c r="A72632" s="7"/>
      <c r="B72632" s="7"/>
    </row>
    <row r="72633" ht="15.75" customHeight="1">
      <c r="A72633" s="7"/>
      <c r="B72633" s="7"/>
    </row>
    <row r="72634" ht="15.75" customHeight="1">
      <c r="A72634" s="7"/>
      <c r="B72634" s="7"/>
    </row>
    <row r="72635" ht="15.75" customHeight="1">
      <c r="A72635" s="7"/>
      <c r="B72635" s="7"/>
    </row>
    <row r="72636" ht="15.75" customHeight="1">
      <c r="A72636" s="7"/>
      <c r="B72636" s="7"/>
    </row>
    <row r="72637" ht="15.75" customHeight="1">
      <c r="A72637" s="7"/>
      <c r="B72637" s="7"/>
    </row>
    <row r="72638" ht="15.75" customHeight="1">
      <c r="A72638" s="7"/>
      <c r="B72638" s="7"/>
    </row>
    <row r="72639" ht="15.75" customHeight="1">
      <c r="A72639" s="7"/>
      <c r="B72639" s="7"/>
    </row>
    <row r="72640" ht="15.75" customHeight="1">
      <c r="A72640" s="7"/>
      <c r="B72640" s="7"/>
    </row>
    <row r="72641" ht="15.75" customHeight="1">
      <c r="A72641" s="7"/>
      <c r="B72641" s="7"/>
    </row>
    <row r="72642" ht="15.75" customHeight="1">
      <c r="A72642" s="7"/>
      <c r="B72642" s="7"/>
    </row>
    <row r="72643" ht="15.75" customHeight="1">
      <c r="A72643" s="7"/>
      <c r="B72643" s="7"/>
    </row>
    <row r="72644" ht="15.75" customHeight="1">
      <c r="A72644" s="7"/>
      <c r="B72644" s="7"/>
    </row>
    <row r="72645" ht="15.75" customHeight="1">
      <c r="A72645" s="7"/>
      <c r="B72645" s="7"/>
    </row>
    <row r="72646" ht="15.75" customHeight="1">
      <c r="A72646" s="7"/>
      <c r="B72646" s="7"/>
    </row>
    <row r="72647" ht="15.75" customHeight="1">
      <c r="A72647" s="7"/>
      <c r="B72647" s="7"/>
    </row>
    <row r="72648" ht="15.75" customHeight="1">
      <c r="A72648" s="7"/>
      <c r="B72648" s="7"/>
    </row>
    <row r="72649" ht="15.75" customHeight="1">
      <c r="A72649" s="7"/>
      <c r="B72649" s="7"/>
    </row>
    <row r="72650" ht="15.75" customHeight="1">
      <c r="A72650" s="7"/>
      <c r="B72650" s="7"/>
    </row>
    <row r="72651" ht="15.75" customHeight="1">
      <c r="A72651" s="7"/>
      <c r="B72651" s="7"/>
    </row>
    <row r="72652" ht="15.75" customHeight="1">
      <c r="A72652" s="7"/>
      <c r="B72652" s="7"/>
    </row>
    <row r="72653" ht="15.75" customHeight="1">
      <c r="A72653" s="7"/>
      <c r="B72653" s="7"/>
    </row>
    <row r="72654" ht="15.75" customHeight="1">
      <c r="A72654" s="7"/>
      <c r="B72654" s="7"/>
    </row>
    <row r="72655" ht="15.75" customHeight="1">
      <c r="A72655" s="7"/>
      <c r="B72655" s="7"/>
    </row>
    <row r="72656" ht="15.75" customHeight="1">
      <c r="A72656" s="7"/>
      <c r="B72656" s="7"/>
    </row>
    <row r="72657" ht="15.75" customHeight="1">
      <c r="A72657" s="7"/>
      <c r="B72657" s="7"/>
    </row>
    <row r="72658" ht="15.75" customHeight="1">
      <c r="A72658" s="7"/>
      <c r="B72658" s="7"/>
    </row>
    <row r="72659" ht="15.75" customHeight="1">
      <c r="A72659" s="7"/>
      <c r="B72659" s="7"/>
    </row>
    <row r="72660" ht="15.75" customHeight="1">
      <c r="A72660" s="7"/>
      <c r="B72660" s="7"/>
    </row>
    <row r="72661" ht="15.75" customHeight="1">
      <c r="A72661" s="7"/>
      <c r="B72661" s="7"/>
    </row>
    <row r="72662" ht="15.75" customHeight="1">
      <c r="A72662" s="7"/>
      <c r="B72662" s="7"/>
    </row>
    <row r="72663" ht="15.75" customHeight="1">
      <c r="A72663" s="7"/>
      <c r="B72663" s="7"/>
    </row>
    <row r="72664" ht="15.75" customHeight="1">
      <c r="A72664" s="7"/>
      <c r="B72664" s="7"/>
    </row>
    <row r="72665" ht="15.75" customHeight="1">
      <c r="A72665" s="7"/>
      <c r="B72665" s="7"/>
    </row>
    <row r="72666" ht="15.75" customHeight="1">
      <c r="A72666" s="7"/>
      <c r="B72666" s="7"/>
    </row>
    <row r="72667" ht="15.75" customHeight="1">
      <c r="A72667" s="7"/>
      <c r="B72667" s="7"/>
    </row>
    <row r="72668" ht="15.75" customHeight="1">
      <c r="A72668" s="7"/>
      <c r="B72668" s="7"/>
    </row>
    <row r="72669" ht="15.75" customHeight="1">
      <c r="A72669" s="7"/>
      <c r="B72669" s="7"/>
    </row>
    <row r="72670" ht="15.75" customHeight="1">
      <c r="A72670" s="7"/>
      <c r="B72670" s="7"/>
    </row>
    <row r="72671" ht="15.75" customHeight="1">
      <c r="A72671" s="7"/>
      <c r="B72671" s="7"/>
    </row>
    <row r="72672" ht="15.75" customHeight="1">
      <c r="A72672" s="7"/>
      <c r="B72672" s="7"/>
    </row>
    <row r="72673" ht="15.75" customHeight="1">
      <c r="A72673" s="7"/>
      <c r="B72673" s="7"/>
    </row>
    <row r="72674" ht="15.75" customHeight="1">
      <c r="A72674" s="7"/>
      <c r="B72674" s="7"/>
    </row>
    <row r="72675" ht="15.75" customHeight="1">
      <c r="A72675" s="7"/>
      <c r="B72675" s="7"/>
    </row>
    <row r="72676" ht="15.75" customHeight="1">
      <c r="A72676" s="7"/>
      <c r="B72676" s="7"/>
    </row>
    <row r="72677" ht="15.75" customHeight="1">
      <c r="A72677" s="7"/>
      <c r="B72677" s="7"/>
    </row>
    <row r="72678" ht="15.75" customHeight="1">
      <c r="A72678" s="7"/>
      <c r="B72678" s="7"/>
    </row>
    <row r="72679" ht="15.75" customHeight="1">
      <c r="A72679" s="7"/>
      <c r="B72679" s="7"/>
    </row>
    <row r="72680" ht="15.75" customHeight="1">
      <c r="A72680" s="7"/>
      <c r="B72680" s="7"/>
    </row>
    <row r="72681" ht="15.75" customHeight="1">
      <c r="A72681" s="7"/>
      <c r="B72681" s="7"/>
    </row>
    <row r="72682" ht="15.75" customHeight="1">
      <c r="A72682" s="7"/>
      <c r="B72682" s="7"/>
    </row>
    <row r="72683" ht="15.75" customHeight="1">
      <c r="A72683" s="7"/>
      <c r="B72683" s="7"/>
    </row>
    <row r="72684" ht="15.75" customHeight="1">
      <c r="A72684" s="7"/>
      <c r="B72684" s="7"/>
    </row>
    <row r="72685" ht="15.75" customHeight="1">
      <c r="A72685" s="7"/>
      <c r="B72685" s="7"/>
    </row>
    <row r="72686" ht="15.75" customHeight="1">
      <c r="A72686" s="7"/>
      <c r="B72686" s="7"/>
    </row>
    <row r="72687" ht="15.75" customHeight="1">
      <c r="A72687" s="7"/>
      <c r="B72687" s="7"/>
    </row>
    <row r="72688" ht="15.75" customHeight="1">
      <c r="A72688" s="7"/>
      <c r="B72688" s="7"/>
    </row>
    <row r="72689" ht="15.75" customHeight="1">
      <c r="A72689" s="7"/>
      <c r="B72689" s="7"/>
    </row>
    <row r="72690" ht="15.75" customHeight="1">
      <c r="A72690" s="7"/>
      <c r="B72690" s="7"/>
    </row>
    <row r="72691" ht="15.75" customHeight="1">
      <c r="A72691" s="7"/>
      <c r="B72691" s="7"/>
    </row>
    <row r="72692" ht="15.75" customHeight="1">
      <c r="A72692" s="7"/>
      <c r="B72692" s="7"/>
    </row>
    <row r="72693" ht="15.75" customHeight="1">
      <c r="A72693" s="7"/>
      <c r="B72693" s="7"/>
    </row>
    <row r="72694" ht="15.75" customHeight="1">
      <c r="A72694" s="7"/>
      <c r="B72694" s="7"/>
    </row>
    <row r="72695" ht="15.75" customHeight="1">
      <c r="A72695" s="7"/>
      <c r="B72695" s="7"/>
    </row>
    <row r="72696" ht="15.75" customHeight="1">
      <c r="A72696" s="7"/>
      <c r="B72696" s="7"/>
    </row>
    <row r="72697" ht="15.75" customHeight="1">
      <c r="A72697" s="7"/>
      <c r="B72697" s="7"/>
    </row>
    <row r="72698" ht="15.75" customHeight="1">
      <c r="A72698" s="7"/>
      <c r="B72698" s="7"/>
    </row>
    <row r="72699" ht="15.75" customHeight="1">
      <c r="A72699" s="7"/>
      <c r="B72699" s="7"/>
    </row>
    <row r="72700" ht="15.75" customHeight="1">
      <c r="A72700" s="7"/>
      <c r="B72700" s="7"/>
    </row>
    <row r="72701" ht="15.75" customHeight="1">
      <c r="A72701" s="7"/>
      <c r="B72701" s="7"/>
    </row>
    <row r="72702" ht="15.75" customHeight="1">
      <c r="A72702" s="7"/>
      <c r="B72702" s="7"/>
    </row>
    <row r="72703" ht="15.75" customHeight="1">
      <c r="A72703" s="7"/>
      <c r="B72703" s="7"/>
    </row>
    <row r="72704" ht="15.75" customHeight="1">
      <c r="A72704" s="7"/>
      <c r="B72704" s="7"/>
    </row>
    <row r="72705" ht="15.75" customHeight="1">
      <c r="A72705" s="7"/>
      <c r="B72705" s="7"/>
    </row>
    <row r="72706" ht="15.75" customHeight="1">
      <c r="A72706" s="7"/>
      <c r="B72706" s="7"/>
    </row>
    <row r="72707" ht="15.75" customHeight="1">
      <c r="A72707" s="7"/>
      <c r="B72707" s="7"/>
    </row>
    <row r="72708" ht="15.75" customHeight="1">
      <c r="A72708" s="7"/>
      <c r="B72708" s="7"/>
    </row>
    <row r="72709" ht="15.75" customHeight="1">
      <c r="A72709" s="7"/>
      <c r="B72709" s="7"/>
    </row>
    <row r="72710" ht="15.75" customHeight="1">
      <c r="A72710" s="7"/>
      <c r="B72710" s="7"/>
    </row>
    <row r="72711" ht="15.75" customHeight="1">
      <c r="A72711" s="7"/>
      <c r="B72711" s="7"/>
    </row>
    <row r="72712" ht="15.75" customHeight="1">
      <c r="A72712" s="7"/>
      <c r="B72712" s="7"/>
    </row>
    <row r="72713" ht="15.75" customHeight="1">
      <c r="A72713" s="7"/>
      <c r="B72713" s="7"/>
    </row>
    <row r="72714" ht="15.75" customHeight="1">
      <c r="A72714" s="7"/>
      <c r="B72714" s="7"/>
    </row>
    <row r="72715" ht="15.75" customHeight="1">
      <c r="A72715" s="7"/>
      <c r="B72715" s="7"/>
    </row>
    <row r="72716" ht="15.75" customHeight="1">
      <c r="A72716" s="7"/>
      <c r="B72716" s="7"/>
    </row>
    <row r="72717" ht="15.75" customHeight="1">
      <c r="A72717" s="7"/>
      <c r="B72717" s="7"/>
    </row>
    <row r="72718" ht="15.75" customHeight="1">
      <c r="A72718" s="7"/>
      <c r="B72718" s="7"/>
    </row>
    <row r="72719" ht="15.75" customHeight="1">
      <c r="A72719" s="7"/>
      <c r="B72719" s="7"/>
    </row>
    <row r="72720" ht="15.75" customHeight="1">
      <c r="A72720" s="7"/>
      <c r="B72720" s="7"/>
    </row>
    <row r="72721" ht="15.75" customHeight="1">
      <c r="A72721" s="7"/>
      <c r="B72721" s="7"/>
    </row>
    <row r="72722" ht="15.75" customHeight="1">
      <c r="A72722" s="7"/>
      <c r="B72722" s="7"/>
    </row>
    <row r="72723" ht="15.75" customHeight="1">
      <c r="A72723" s="7"/>
      <c r="B72723" s="7"/>
    </row>
    <row r="72724" ht="15.75" customHeight="1">
      <c r="A72724" s="7"/>
      <c r="B72724" s="7"/>
    </row>
    <row r="72725" ht="15.75" customHeight="1">
      <c r="A72725" s="7"/>
      <c r="B72725" s="7"/>
    </row>
    <row r="72726" ht="15.75" customHeight="1">
      <c r="A72726" s="7"/>
      <c r="B72726" s="7"/>
    </row>
    <row r="72727" ht="15.75" customHeight="1">
      <c r="A72727" s="7"/>
      <c r="B72727" s="7"/>
    </row>
    <row r="72728" ht="15.75" customHeight="1">
      <c r="A72728" s="7"/>
      <c r="B72728" s="7"/>
    </row>
    <row r="72729" ht="15.75" customHeight="1">
      <c r="A72729" s="7"/>
      <c r="B72729" s="7"/>
    </row>
    <row r="72730" ht="15.75" customHeight="1">
      <c r="A72730" s="7"/>
      <c r="B72730" s="7"/>
    </row>
    <row r="72731" ht="15.75" customHeight="1">
      <c r="A72731" s="7"/>
      <c r="B72731" s="7"/>
    </row>
    <row r="72732" ht="15.75" customHeight="1">
      <c r="A72732" s="7"/>
      <c r="B72732" s="7"/>
    </row>
    <row r="72733" ht="15.75" customHeight="1">
      <c r="A72733" s="7"/>
      <c r="B72733" s="7"/>
    </row>
    <row r="72734" ht="15.75" customHeight="1">
      <c r="A72734" s="7"/>
      <c r="B72734" s="7"/>
    </row>
    <row r="72735" ht="15.75" customHeight="1">
      <c r="A72735" s="7"/>
      <c r="B72735" s="7"/>
    </row>
    <row r="72736" ht="15.75" customHeight="1">
      <c r="A72736" s="7"/>
      <c r="B72736" s="7"/>
    </row>
    <row r="72737" ht="15.75" customHeight="1">
      <c r="A72737" s="7"/>
      <c r="B72737" s="7"/>
    </row>
    <row r="72738" ht="15.75" customHeight="1">
      <c r="A72738" s="7"/>
      <c r="B72738" s="7"/>
    </row>
    <row r="72739" ht="15.75" customHeight="1">
      <c r="A72739" s="7"/>
      <c r="B72739" s="7"/>
    </row>
    <row r="72740" ht="15.75" customHeight="1">
      <c r="A72740" s="7"/>
      <c r="B72740" s="7"/>
    </row>
    <row r="72741" ht="15.75" customHeight="1">
      <c r="A72741" s="7"/>
      <c r="B72741" s="7"/>
    </row>
    <row r="72742" ht="15.75" customHeight="1">
      <c r="A72742" s="7"/>
      <c r="B72742" s="7"/>
    </row>
    <row r="72743" ht="15.75" customHeight="1">
      <c r="A72743" s="7"/>
      <c r="B72743" s="7"/>
    </row>
    <row r="72744" ht="15.75" customHeight="1">
      <c r="A72744" s="7"/>
      <c r="B72744" s="7"/>
    </row>
    <row r="72745" ht="15.75" customHeight="1">
      <c r="A72745" s="7"/>
      <c r="B72745" s="7"/>
    </row>
    <row r="72746" ht="15.75" customHeight="1">
      <c r="A72746" s="7"/>
      <c r="B72746" s="7"/>
    </row>
    <row r="72747" ht="15.75" customHeight="1">
      <c r="A72747" s="7"/>
      <c r="B72747" s="7"/>
    </row>
    <row r="72748" ht="15.75" customHeight="1">
      <c r="A72748" s="7"/>
      <c r="B72748" s="7"/>
    </row>
    <row r="72749" ht="15.75" customHeight="1">
      <c r="A72749" s="7"/>
      <c r="B72749" s="7"/>
    </row>
    <row r="72750" ht="15.75" customHeight="1">
      <c r="A72750" s="7"/>
      <c r="B72750" s="7"/>
    </row>
    <row r="72751" ht="15.75" customHeight="1">
      <c r="A72751" s="7"/>
      <c r="B72751" s="7"/>
    </row>
    <row r="72752" ht="15.75" customHeight="1">
      <c r="A72752" s="7"/>
      <c r="B72752" s="7"/>
    </row>
    <row r="72753" ht="15.75" customHeight="1">
      <c r="A72753" s="7"/>
      <c r="B72753" s="7"/>
    </row>
    <row r="72754" ht="15.75" customHeight="1">
      <c r="A72754" s="7"/>
      <c r="B72754" s="7"/>
    </row>
    <row r="72755" ht="15.75" customHeight="1">
      <c r="A72755" s="7"/>
      <c r="B72755" s="7"/>
    </row>
    <row r="72756" ht="15.75" customHeight="1">
      <c r="A72756" s="7"/>
      <c r="B72756" s="7"/>
    </row>
    <row r="72757" ht="15.75" customHeight="1">
      <c r="A72757" s="7"/>
      <c r="B72757" s="7"/>
    </row>
    <row r="72758" ht="15.75" customHeight="1">
      <c r="A72758" s="7"/>
      <c r="B72758" s="7"/>
    </row>
    <row r="72759" ht="15.75" customHeight="1">
      <c r="A72759" s="7"/>
      <c r="B72759" s="7"/>
    </row>
    <row r="72760" ht="15.75" customHeight="1">
      <c r="A72760" s="7"/>
      <c r="B72760" s="7"/>
    </row>
    <row r="72761" ht="15.75" customHeight="1">
      <c r="A72761" s="7"/>
      <c r="B72761" s="7"/>
    </row>
    <row r="72762" ht="15.75" customHeight="1">
      <c r="A72762" s="7"/>
      <c r="B72762" s="7"/>
    </row>
    <row r="72763" ht="15.75" customHeight="1">
      <c r="A72763" s="7"/>
      <c r="B72763" s="7"/>
    </row>
    <row r="72764" ht="15.75" customHeight="1">
      <c r="A72764" s="7"/>
      <c r="B72764" s="7"/>
    </row>
    <row r="72765" ht="15.75" customHeight="1">
      <c r="A72765" s="7"/>
      <c r="B72765" s="7"/>
    </row>
    <row r="72766" ht="15.75" customHeight="1">
      <c r="A72766" s="7"/>
      <c r="B72766" s="7"/>
    </row>
    <row r="72767" ht="15.75" customHeight="1">
      <c r="A72767" s="7"/>
      <c r="B72767" s="7"/>
    </row>
    <row r="72768" ht="15.75" customHeight="1">
      <c r="A72768" s="7"/>
      <c r="B72768" s="7"/>
    </row>
    <row r="72769" ht="15.75" customHeight="1">
      <c r="A72769" s="7"/>
      <c r="B72769" s="7"/>
    </row>
    <row r="72770" ht="15.75" customHeight="1">
      <c r="A72770" s="7"/>
      <c r="B72770" s="7"/>
    </row>
    <row r="72771" ht="15.75" customHeight="1">
      <c r="A72771" s="7"/>
      <c r="B72771" s="7"/>
    </row>
    <row r="72772" ht="15.75" customHeight="1">
      <c r="A72772" s="7"/>
      <c r="B72772" s="7"/>
    </row>
    <row r="72773" ht="15.75" customHeight="1">
      <c r="A72773" s="7"/>
      <c r="B72773" s="7"/>
    </row>
    <row r="72774" ht="15.75" customHeight="1">
      <c r="A72774" s="7"/>
      <c r="B72774" s="7"/>
    </row>
    <row r="72775" ht="15.75" customHeight="1">
      <c r="A72775" s="7"/>
      <c r="B72775" s="7"/>
    </row>
    <row r="72776" ht="15.75" customHeight="1">
      <c r="A72776" s="7"/>
      <c r="B72776" s="7"/>
    </row>
    <row r="72777" ht="15.75" customHeight="1">
      <c r="A72777" s="7"/>
      <c r="B72777" s="7"/>
    </row>
    <row r="72778" ht="15.75" customHeight="1">
      <c r="A72778" s="7"/>
      <c r="B72778" s="7"/>
    </row>
    <row r="72779" ht="15.75" customHeight="1">
      <c r="A72779" s="7"/>
      <c r="B72779" s="7"/>
    </row>
    <row r="72780" ht="15.75" customHeight="1">
      <c r="A72780" s="7"/>
      <c r="B72780" s="7"/>
    </row>
    <row r="72781" ht="15.75" customHeight="1">
      <c r="A72781" s="7"/>
      <c r="B72781" s="7"/>
    </row>
    <row r="72782" ht="15.75" customHeight="1">
      <c r="A72782" s="7"/>
      <c r="B72782" s="7"/>
    </row>
    <row r="72783" ht="15.75" customHeight="1">
      <c r="A72783" s="7"/>
      <c r="B72783" s="7"/>
    </row>
    <row r="72784" ht="15.75" customHeight="1">
      <c r="A72784" s="7"/>
      <c r="B72784" s="7"/>
    </row>
    <row r="72785" ht="15.75" customHeight="1">
      <c r="A72785" s="7"/>
      <c r="B72785" s="7"/>
    </row>
    <row r="72786" ht="15.75" customHeight="1">
      <c r="A72786" s="7"/>
      <c r="B72786" s="7"/>
    </row>
    <row r="72787" ht="15.75" customHeight="1">
      <c r="A72787" s="7"/>
      <c r="B72787" s="7"/>
    </row>
    <row r="72788" ht="15.75" customHeight="1">
      <c r="A72788" s="7"/>
      <c r="B72788" s="7"/>
    </row>
    <row r="72789" ht="15.75" customHeight="1">
      <c r="A72789" s="7"/>
      <c r="B72789" s="7"/>
    </row>
    <row r="72790" ht="15.75" customHeight="1">
      <c r="A72790" s="7"/>
      <c r="B72790" s="7"/>
    </row>
    <row r="72791" ht="15.75" customHeight="1">
      <c r="A72791" s="7"/>
      <c r="B72791" s="7"/>
    </row>
    <row r="72792" ht="15.75" customHeight="1">
      <c r="A72792" s="7"/>
      <c r="B72792" s="7"/>
    </row>
    <row r="72793" ht="15.75" customHeight="1">
      <c r="A72793" s="7"/>
      <c r="B72793" s="7"/>
    </row>
    <row r="72794" ht="15.75" customHeight="1">
      <c r="A72794" s="7"/>
      <c r="B72794" s="7"/>
    </row>
    <row r="72795" ht="15.75" customHeight="1">
      <c r="A72795" s="7"/>
      <c r="B72795" s="7"/>
    </row>
    <row r="72796" ht="15.75" customHeight="1">
      <c r="A72796" s="7"/>
      <c r="B72796" s="7"/>
    </row>
    <row r="72797" ht="15.75" customHeight="1">
      <c r="A72797" s="7"/>
      <c r="B72797" s="7"/>
    </row>
    <row r="72798" ht="15.75" customHeight="1">
      <c r="A72798" s="7"/>
      <c r="B72798" s="7"/>
    </row>
    <row r="72799" ht="15.75" customHeight="1">
      <c r="A72799" s="7"/>
      <c r="B72799" s="7"/>
    </row>
    <row r="72800" ht="15.75" customHeight="1">
      <c r="A72800" s="7"/>
      <c r="B72800" s="7"/>
    </row>
    <row r="72801" ht="15.75" customHeight="1">
      <c r="A72801" s="7"/>
      <c r="B72801" s="7"/>
    </row>
    <row r="72802" ht="15.75" customHeight="1">
      <c r="A72802" s="7"/>
      <c r="B72802" s="7"/>
    </row>
    <row r="72803" ht="15.75" customHeight="1">
      <c r="A72803" s="7"/>
      <c r="B72803" s="7"/>
    </row>
    <row r="72804" ht="15.75" customHeight="1">
      <c r="A72804" s="7"/>
      <c r="B72804" s="7"/>
    </row>
    <row r="72805" ht="15.75" customHeight="1">
      <c r="A72805" s="7"/>
      <c r="B72805" s="7"/>
    </row>
    <row r="72806" ht="15.75" customHeight="1">
      <c r="A72806" s="7"/>
      <c r="B72806" s="7"/>
    </row>
    <row r="72807" ht="15.75" customHeight="1">
      <c r="A72807" s="7"/>
      <c r="B72807" s="7"/>
    </row>
    <row r="72808" ht="15.75" customHeight="1">
      <c r="A72808" s="7"/>
      <c r="B72808" s="7"/>
    </row>
    <row r="72809" ht="15.75" customHeight="1">
      <c r="A72809" s="7"/>
      <c r="B72809" s="7"/>
    </row>
    <row r="72810" ht="15.75" customHeight="1">
      <c r="A72810" s="7"/>
      <c r="B72810" s="7"/>
    </row>
    <row r="72811" ht="15.75" customHeight="1">
      <c r="A72811" s="7"/>
      <c r="B72811" s="7"/>
    </row>
    <row r="72812" ht="15.75" customHeight="1">
      <c r="A72812" s="7"/>
      <c r="B72812" s="7"/>
    </row>
    <row r="72813" ht="15.75" customHeight="1">
      <c r="A72813" s="7"/>
      <c r="B72813" s="7"/>
    </row>
    <row r="72814" ht="15.75" customHeight="1">
      <c r="A72814" s="7"/>
      <c r="B72814" s="7"/>
    </row>
    <row r="72815" ht="15.75" customHeight="1">
      <c r="A72815" s="7"/>
      <c r="B72815" s="7"/>
    </row>
    <row r="72816" ht="15.75" customHeight="1">
      <c r="A72816" s="7"/>
      <c r="B72816" s="7"/>
    </row>
    <row r="72817" ht="15.75" customHeight="1">
      <c r="A72817" s="7"/>
      <c r="B72817" s="7"/>
    </row>
    <row r="72818" ht="15.75" customHeight="1">
      <c r="A72818" s="7"/>
      <c r="B72818" s="7"/>
    </row>
    <row r="72819" ht="15.75" customHeight="1">
      <c r="A72819" s="7"/>
      <c r="B72819" s="7"/>
    </row>
    <row r="72820" ht="15.75" customHeight="1">
      <c r="A72820" s="7"/>
      <c r="B72820" s="7"/>
    </row>
    <row r="72821" ht="15.75" customHeight="1">
      <c r="A72821" s="7"/>
      <c r="B72821" s="7"/>
    </row>
    <row r="72822" ht="15.75" customHeight="1">
      <c r="A72822" s="7"/>
      <c r="B72822" s="7"/>
    </row>
    <row r="72823" ht="15.75" customHeight="1">
      <c r="A72823" s="7"/>
      <c r="B72823" s="7"/>
    </row>
    <row r="72824" ht="15.75" customHeight="1">
      <c r="A72824" s="7"/>
      <c r="B72824" s="7"/>
    </row>
    <row r="72825" ht="15.75" customHeight="1">
      <c r="A72825" s="7"/>
      <c r="B72825" s="7"/>
    </row>
    <row r="72826" ht="15.75" customHeight="1">
      <c r="A72826" s="7"/>
      <c r="B72826" s="7"/>
    </row>
    <row r="72827" ht="15.75" customHeight="1">
      <c r="A72827" s="7"/>
      <c r="B72827" s="7"/>
    </row>
    <row r="72828" ht="15.75" customHeight="1">
      <c r="A72828" s="7"/>
      <c r="B72828" s="7"/>
    </row>
    <row r="72829" ht="15.75" customHeight="1">
      <c r="A72829" s="7"/>
      <c r="B72829" s="7"/>
    </row>
    <row r="72830" ht="15.75" customHeight="1">
      <c r="A72830" s="7"/>
      <c r="B72830" s="7"/>
    </row>
    <row r="72831" ht="15.75" customHeight="1">
      <c r="A72831" s="7"/>
      <c r="B72831" s="7"/>
    </row>
    <row r="72832" ht="15.75" customHeight="1">
      <c r="A72832" s="7"/>
      <c r="B72832" s="7"/>
    </row>
    <row r="72833" ht="15.75" customHeight="1">
      <c r="A72833" s="7"/>
      <c r="B72833" s="7"/>
    </row>
    <row r="72834" ht="15.75" customHeight="1">
      <c r="A72834" s="7"/>
      <c r="B72834" s="7"/>
    </row>
    <row r="72835" ht="15.75" customHeight="1">
      <c r="A72835" s="7"/>
      <c r="B72835" s="7"/>
    </row>
    <row r="72836" ht="15.75" customHeight="1">
      <c r="A72836" s="7"/>
      <c r="B72836" s="7"/>
    </row>
    <row r="72837" ht="15.75" customHeight="1">
      <c r="A72837" s="7"/>
      <c r="B72837" s="7"/>
    </row>
    <row r="72838" ht="15.75" customHeight="1">
      <c r="A72838" s="7"/>
      <c r="B72838" s="7"/>
    </row>
    <row r="72839" ht="15.75" customHeight="1">
      <c r="A72839" s="7"/>
      <c r="B72839" s="7"/>
    </row>
    <row r="72840" ht="15.75" customHeight="1">
      <c r="A72840" s="7"/>
      <c r="B72840" s="7"/>
    </row>
    <row r="72841" ht="15.75" customHeight="1">
      <c r="A72841" s="7"/>
      <c r="B72841" s="7"/>
    </row>
    <row r="72842" ht="15.75" customHeight="1">
      <c r="A72842" s="7"/>
      <c r="B72842" s="7"/>
    </row>
    <row r="72843" ht="15.75" customHeight="1">
      <c r="A72843" s="7"/>
      <c r="B72843" s="7"/>
    </row>
    <row r="72844" ht="15.75" customHeight="1">
      <c r="A72844" s="7"/>
      <c r="B72844" s="7"/>
    </row>
    <row r="72845" ht="15.75" customHeight="1">
      <c r="A72845" s="7"/>
      <c r="B72845" s="7"/>
    </row>
    <row r="72846" ht="15.75" customHeight="1">
      <c r="A72846" s="7"/>
      <c r="B72846" s="7"/>
    </row>
    <row r="72847" ht="15.75" customHeight="1">
      <c r="A72847" s="7"/>
      <c r="B72847" s="7"/>
    </row>
    <row r="72848" ht="15.75" customHeight="1">
      <c r="A72848" s="7"/>
      <c r="B72848" s="7"/>
    </row>
    <row r="72849" ht="15.75" customHeight="1">
      <c r="A72849" s="7"/>
      <c r="B72849" s="7"/>
    </row>
    <row r="72850" ht="15.75" customHeight="1">
      <c r="A72850" s="7"/>
      <c r="B72850" s="7"/>
    </row>
    <row r="72851" ht="15.75" customHeight="1">
      <c r="A72851" s="7"/>
      <c r="B72851" s="7"/>
    </row>
    <row r="72852" ht="15.75" customHeight="1">
      <c r="A72852" s="7"/>
      <c r="B72852" s="7"/>
    </row>
    <row r="72853" ht="15.75" customHeight="1">
      <c r="A72853" s="7"/>
      <c r="B72853" s="7"/>
    </row>
    <row r="72854" ht="15.75" customHeight="1">
      <c r="A72854" s="7"/>
      <c r="B72854" s="7"/>
    </row>
    <row r="72855" ht="15.75" customHeight="1">
      <c r="A72855" s="7"/>
      <c r="B72855" s="7"/>
    </row>
    <row r="72856" ht="15.75" customHeight="1">
      <c r="A72856" s="7"/>
      <c r="B72856" s="7"/>
    </row>
    <row r="72857" ht="15.75" customHeight="1">
      <c r="A72857" s="7"/>
      <c r="B72857" s="7"/>
    </row>
    <row r="72858" ht="15.75" customHeight="1">
      <c r="A72858" s="7"/>
      <c r="B72858" s="7"/>
    </row>
    <row r="72859" ht="15.75" customHeight="1">
      <c r="A72859" s="7"/>
      <c r="B72859" s="7"/>
    </row>
    <row r="72860" ht="15.75" customHeight="1">
      <c r="A72860" s="7"/>
      <c r="B72860" s="7"/>
    </row>
    <row r="72861" ht="15.75" customHeight="1">
      <c r="A72861" s="7"/>
      <c r="B72861" s="7"/>
    </row>
    <row r="72862" ht="15.75" customHeight="1">
      <c r="A72862" s="7"/>
      <c r="B72862" s="7"/>
    </row>
    <row r="72863" ht="15.75" customHeight="1">
      <c r="A72863" s="7"/>
      <c r="B72863" s="7"/>
    </row>
    <row r="72864" ht="15.75" customHeight="1">
      <c r="A72864" s="7"/>
      <c r="B72864" s="7"/>
    </row>
    <row r="72865" ht="15.75" customHeight="1">
      <c r="A72865" s="7"/>
      <c r="B72865" s="7"/>
    </row>
    <row r="72866" ht="15.75" customHeight="1">
      <c r="A72866" s="7"/>
      <c r="B72866" s="7"/>
    </row>
    <row r="72867" ht="15.75" customHeight="1">
      <c r="A72867" s="7"/>
      <c r="B72867" s="7"/>
    </row>
    <row r="72868" ht="15.75" customHeight="1">
      <c r="A72868" s="7"/>
      <c r="B72868" s="7"/>
    </row>
    <row r="72869" ht="15.75" customHeight="1">
      <c r="A72869" s="7"/>
      <c r="B72869" s="7"/>
    </row>
    <row r="72870" ht="15.75" customHeight="1">
      <c r="A72870" s="7"/>
      <c r="B72870" s="7"/>
    </row>
    <row r="72871" ht="15.75" customHeight="1">
      <c r="A72871" s="7"/>
      <c r="B72871" s="7"/>
    </row>
    <row r="72872" ht="15.75" customHeight="1">
      <c r="A72872" s="7"/>
      <c r="B72872" s="7"/>
    </row>
    <row r="72873" ht="15.75" customHeight="1">
      <c r="A72873" s="7"/>
      <c r="B72873" s="7"/>
    </row>
    <row r="72874" ht="15.75" customHeight="1">
      <c r="A72874" s="7"/>
      <c r="B72874" s="7"/>
    </row>
    <row r="72875" ht="15.75" customHeight="1">
      <c r="A72875" s="7"/>
      <c r="B72875" s="7"/>
    </row>
    <row r="72876" ht="15.75" customHeight="1">
      <c r="A72876" s="7"/>
      <c r="B72876" s="7"/>
    </row>
    <row r="72877" ht="15.75" customHeight="1">
      <c r="A72877" s="7"/>
      <c r="B72877" s="7"/>
    </row>
    <row r="72878" ht="15.75" customHeight="1">
      <c r="A72878" s="7"/>
      <c r="B72878" s="7"/>
    </row>
    <row r="72879" ht="15.75" customHeight="1">
      <c r="A72879" s="7"/>
      <c r="B72879" s="7"/>
    </row>
    <row r="72880" ht="15.75" customHeight="1">
      <c r="A72880" s="7"/>
      <c r="B72880" s="7"/>
    </row>
    <row r="72881" ht="15.75" customHeight="1">
      <c r="A72881" s="7"/>
      <c r="B72881" s="7"/>
    </row>
    <row r="72882" ht="15.75" customHeight="1">
      <c r="A72882" s="7"/>
      <c r="B72882" s="7"/>
    </row>
    <row r="72883" ht="15.75" customHeight="1">
      <c r="A72883" s="7"/>
      <c r="B72883" s="7"/>
    </row>
    <row r="72884" ht="15.75" customHeight="1">
      <c r="A72884" s="7"/>
      <c r="B72884" s="7"/>
    </row>
    <row r="72885" ht="15.75" customHeight="1">
      <c r="A72885" s="7"/>
      <c r="B72885" s="7"/>
    </row>
    <row r="72886" ht="15.75" customHeight="1">
      <c r="A72886" s="7"/>
      <c r="B72886" s="7"/>
    </row>
    <row r="72887" ht="15.75" customHeight="1">
      <c r="A72887" s="7"/>
      <c r="B72887" s="7"/>
    </row>
    <row r="72888" ht="15.75" customHeight="1">
      <c r="A72888" s="7"/>
      <c r="B72888" s="7"/>
    </row>
    <row r="72889" ht="15.75" customHeight="1">
      <c r="A72889" s="7"/>
      <c r="B72889" s="7"/>
    </row>
    <row r="72890" ht="15.75" customHeight="1">
      <c r="A72890" s="7"/>
      <c r="B72890" s="7"/>
    </row>
    <row r="72891" ht="15.75" customHeight="1">
      <c r="A72891" s="7"/>
      <c r="B72891" s="7"/>
    </row>
    <row r="72892" ht="15.75" customHeight="1">
      <c r="A72892" s="7"/>
      <c r="B72892" s="7"/>
    </row>
    <row r="72893" ht="15.75" customHeight="1">
      <c r="A72893" s="7"/>
      <c r="B72893" s="7"/>
    </row>
    <row r="72894" ht="15.75" customHeight="1">
      <c r="A72894" s="7"/>
      <c r="B72894" s="7"/>
    </row>
    <row r="72895" ht="15.75" customHeight="1">
      <c r="A72895" s="7"/>
      <c r="B72895" s="7"/>
    </row>
    <row r="72896" ht="15.75" customHeight="1">
      <c r="A72896" s="7"/>
      <c r="B72896" s="7"/>
    </row>
    <row r="72897" ht="15.75" customHeight="1">
      <c r="A72897" s="7"/>
      <c r="B72897" s="7"/>
    </row>
    <row r="72898" ht="15.75" customHeight="1">
      <c r="A72898" s="7"/>
      <c r="B72898" s="7"/>
    </row>
    <row r="72899" ht="15.75" customHeight="1">
      <c r="A72899" s="7"/>
      <c r="B72899" s="7"/>
    </row>
    <row r="72900" ht="15.75" customHeight="1">
      <c r="A72900" s="7"/>
      <c r="B72900" s="7"/>
    </row>
    <row r="72901" ht="15.75" customHeight="1">
      <c r="A72901" s="7"/>
      <c r="B72901" s="7"/>
    </row>
    <row r="72902" ht="15.75" customHeight="1">
      <c r="A72902" s="7"/>
      <c r="B72902" s="7"/>
    </row>
    <row r="72903" ht="15.75" customHeight="1">
      <c r="A72903" s="7"/>
      <c r="B72903" s="7"/>
    </row>
    <row r="72904" ht="15.75" customHeight="1">
      <c r="A72904" s="7"/>
      <c r="B72904" s="7"/>
    </row>
    <row r="72905" ht="15.75" customHeight="1">
      <c r="A72905" s="7"/>
      <c r="B72905" s="7"/>
    </row>
    <row r="72906" ht="15.75" customHeight="1">
      <c r="A72906" s="7"/>
      <c r="B72906" s="7"/>
    </row>
    <row r="72907" ht="15.75" customHeight="1">
      <c r="A72907" s="7"/>
      <c r="B72907" s="7"/>
    </row>
    <row r="72908" ht="15.75" customHeight="1">
      <c r="A72908" s="7"/>
      <c r="B72908" s="7"/>
    </row>
    <row r="72909" ht="15.75" customHeight="1">
      <c r="A72909" s="7"/>
      <c r="B72909" s="7"/>
    </row>
    <row r="72910" ht="15.75" customHeight="1">
      <c r="A72910" s="7"/>
      <c r="B72910" s="7"/>
    </row>
    <row r="72911" ht="15.75" customHeight="1">
      <c r="A72911" s="7"/>
      <c r="B72911" s="7"/>
    </row>
    <row r="72912" ht="15.75" customHeight="1">
      <c r="A72912" s="7"/>
      <c r="B72912" s="7"/>
    </row>
    <row r="72913" ht="15.75" customHeight="1">
      <c r="A72913" s="7"/>
      <c r="B72913" s="7"/>
    </row>
    <row r="72914" ht="15.75" customHeight="1">
      <c r="A72914" s="7"/>
      <c r="B72914" s="7"/>
    </row>
    <row r="72915" ht="15.75" customHeight="1">
      <c r="A72915" s="7"/>
      <c r="B72915" s="7"/>
    </row>
    <row r="72916" ht="15.75" customHeight="1">
      <c r="A72916" s="7"/>
      <c r="B72916" s="7"/>
    </row>
    <row r="72917" ht="15.75" customHeight="1">
      <c r="A72917" s="7"/>
      <c r="B72917" s="7"/>
    </row>
    <row r="72918" ht="15.75" customHeight="1">
      <c r="A72918" s="7"/>
      <c r="B72918" s="7"/>
    </row>
    <row r="72919" ht="15.75" customHeight="1">
      <c r="A72919" s="7"/>
      <c r="B72919" s="7"/>
    </row>
    <row r="72920" ht="15.75" customHeight="1">
      <c r="A72920" s="7"/>
      <c r="B72920" s="7"/>
    </row>
    <row r="72921" ht="15.75" customHeight="1">
      <c r="A72921" s="7"/>
      <c r="B72921" s="7"/>
    </row>
    <row r="72922" ht="15.75" customHeight="1">
      <c r="A72922" s="7"/>
      <c r="B72922" s="7"/>
    </row>
    <row r="72923" ht="15.75" customHeight="1">
      <c r="A72923" s="7"/>
      <c r="B72923" s="7"/>
    </row>
    <row r="72924" ht="15.75" customHeight="1">
      <c r="A72924" s="7"/>
      <c r="B72924" s="7"/>
    </row>
    <row r="72925" ht="15.75" customHeight="1">
      <c r="A72925" s="7"/>
      <c r="B72925" s="7"/>
    </row>
    <row r="72926" ht="15.75" customHeight="1">
      <c r="A72926" s="7"/>
      <c r="B72926" s="7"/>
    </row>
    <row r="72927" ht="15.75" customHeight="1">
      <c r="A72927" s="7"/>
      <c r="B72927" s="7"/>
    </row>
    <row r="72928" ht="15.75" customHeight="1">
      <c r="A72928" s="7"/>
      <c r="B72928" s="7"/>
    </row>
    <row r="72929" ht="15.75" customHeight="1">
      <c r="A72929" s="7"/>
      <c r="B72929" s="7"/>
    </row>
    <row r="72930" ht="15.75" customHeight="1">
      <c r="A72930" s="7"/>
      <c r="B72930" s="7"/>
    </row>
    <row r="72931" ht="15.75" customHeight="1">
      <c r="A72931" s="7"/>
      <c r="B72931" s="7"/>
    </row>
    <row r="72932" ht="15.75" customHeight="1">
      <c r="A72932" s="7"/>
      <c r="B72932" s="7"/>
    </row>
    <row r="72933" ht="15.75" customHeight="1">
      <c r="A72933" s="7"/>
      <c r="B72933" s="7"/>
    </row>
    <row r="72934" ht="15.75" customHeight="1">
      <c r="A72934" s="7"/>
      <c r="B72934" s="7"/>
    </row>
    <row r="72935" ht="15.75" customHeight="1">
      <c r="A72935" s="7"/>
      <c r="B72935" s="7"/>
    </row>
    <row r="72936" ht="15.75" customHeight="1">
      <c r="A72936" s="7"/>
      <c r="B72936" s="7"/>
    </row>
    <row r="72937" ht="15.75" customHeight="1">
      <c r="A72937" s="7"/>
      <c r="B72937" s="7"/>
    </row>
    <row r="72938" ht="15.75" customHeight="1">
      <c r="A72938" s="7"/>
      <c r="B72938" s="7"/>
    </row>
    <row r="72939" ht="15.75" customHeight="1">
      <c r="A72939" s="7"/>
      <c r="B72939" s="7"/>
    </row>
    <row r="72940" ht="15.75" customHeight="1">
      <c r="A72940" s="7"/>
      <c r="B72940" s="7"/>
    </row>
    <row r="72941" ht="15.75" customHeight="1">
      <c r="A72941" s="7"/>
      <c r="B72941" s="7"/>
    </row>
    <row r="72942" ht="15.75" customHeight="1">
      <c r="A72942" s="7"/>
      <c r="B72942" s="7"/>
    </row>
    <row r="72943" ht="15.75" customHeight="1">
      <c r="A72943" s="7"/>
      <c r="B72943" s="7"/>
    </row>
    <row r="72944" ht="15.75" customHeight="1">
      <c r="A72944" s="7"/>
      <c r="B72944" s="7"/>
    </row>
    <row r="72945" ht="15.75" customHeight="1">
      <c r="A72945" s="7"/>
      <c r="B72945" s="7"/>
    </row>
    <row r="72946" ht="15.75" customHeight="1">
      <c r="A72946" s="7"/>
      <c r="B72946" s="7"/>
    </row>
    <row r="72947" ht="15.75" customHeight="1">
      <c r="A72947" s="7"/>
      <c r="B72947" s="7"/>
    </row>
    <row r="72948" ht="15.75" customHeight="1">
      <c r="A72948" s="7"/>
      <c r="B72948" s="7"/>
    </row>
    <row r="72949" ht="15.75" customHeight="1">
      <c r="A72949" s="7"/>
      <c r="B72949" s="7"/>
    </row>
    <row r="72950" ht="15.75" customHeight="1">
      <c r="A72950" s="7"/>
      <c r="B72950" s="7"/>
    </row>
    <row r="72951" ht="15.75" customHeight="1">
      <c r="A72951" s="7"/>
      <c r="B72951" s="7"/>
    </row>
    <row r="72952" ht="15.75" customHeight="1">
      <c r="A72952" s="7"/>
      <c r="B72952" s="7"/>
    </row>
    <row r="72953" ht="15.75" customHeight="1">
      <c r="A72953" s="7"/>
      <c r="B72953" s="7"/>
    </row>
    <row r="72954" ht="15.75" customHeight="1">
      <c r="A72954" s="7"/>
      <c r="B72954" s="7"/>
    </row>
    <row r="72955" ht="15.75" customHeight="1">
      <c r="A72955" s="7"/>
      <c r="B72955" s="7"/>
    </row>
    <row r="72956" ht="15.75" customHeight="1">
      <c r="A72956" s="7"/>
      <c r="B72956" s="7"/>
    </row>
    <row r="72957" ht="15.75" customHeight="1">
      <c r="A72957" s="7"/>
      <c r="B72957" s="7"/>
    </row>
    <row r="72958" ht="15.75" customHeight="1">
      <c r="A72958" s="7"/>
      <c r="B72958" s="7"/>
    </row>
    <row r="72959" ht="15.75" customHeight="1">
      <c r="A72959" s="7"/>
      <c r="B72959" s="7"/>
    </row>
    <row r="72960" ht="15.75" customHeight="1">
      <c r="A72960" s="7"/>
      <c r="B72960" s="7"/>
    </row>
    <row r="72961" ht="15.75" customHeight="1">
      <c r="A72961" s="7"/>
      <c r="B72961" s="7"/>
    </row>
    <row r="72962" ht="15.75" customHeight="1">
      <c r="A72962" s="7"/>
      <c r="B72962" s="7"/>
    </row>
    <row r="72963" ht="15.75" customHeight="1">
      <c r="A72963" s="7"/>
      <c r="B72963" s="7"/>
    </row>
    <row r="72964" ht="15.75" customHeight="1">
      <c r="A72964" s="7"/>
      <c r="B72964" s="7"/>
    </row>
    <row r="72965" ht="15.75" customHeight="1">
      <c r="A72965" s="7"/>
      <c r="B72965" s="7"/>
    </row>
    <row r="72966" ht="15.75" customHeight="1">
      <c r="A72966" s="7"/>
      <c r="B72966" s="7"/>
    </row>
    <row r="72967" ht="15.75" customHeight="1">
      <c r="A72967" s="7"/>
      <c r="B72967" s="7"/>
    </row>
    <row r="72968" ht="15.75" customHeight="1">
      <c r="A72968" s="7"/>
      <c r="B72968" s="7"/>
    </row>
    <row r="72969" ht="15.75" customHeight="1">
      <c r="A72969" s="7"/>
      <c r="B72969" s="7"/>
    </row>
    <row r="72970" ht="15.75" customHeight="1">
      <c r="A72970" s="7"/>
      <c r="B72970" s="7"/>
    </row>
    <row r="72971" ht="15.75" customHeight="1">
      <c r="A72971" s="7"/>
      <c r="B72971" s="7"/>
    </row>
    <row r="72972" ht="15.75" customHeight="1">
      <c r="A72972" s="7"/>
      <c r="B72972" s="7"/>
    </row>
    <row r="72973" ht="15.75" customHeight="1">
      <c r="A72973" s="7"/>
      <c r="B72973" s="7"/>
    </row>
    <row r="72974" ht="15.75" customHeight="1">
      <c r="A72974" s="7"/>
      <c r="B72974" s="7"/>
    </row>
    <row r="72975" ht="15.75" customHeight="1">
      <c r="A72975" s="7"/>
      <c r="B72975" s="7"/>
    </row>
    <row r="72976" ht="15.75" customHeight="1">
      <c r="A72976" s="7"/>
      <c r="B72976" s="7"/>
    </row>
    <row r="72977" ht="15.75" customHeight="1">
      <c r="A72977" s="7"/>
      <c r="B72977" s="7"/>
    </row>
    <row r="72978" ht="15.75" customHeight="1">
      <c r="A72978" s="7"/>
      <c r="B72978" s="7"/>
    </row>
    <row r="72979" ht="15.75" customHeight="1">
      <c r="A72979" s="7"/>
      <c r="B72979" s="7"/>
    </row>
    <row r="72980" ht="15.75" customHeight="1">
      <c r="A72980" s="7"/>
      <c r="B72980" s="7"/>
    </row>
    <row r="72981" ht="15.75" customHeight="1">
      <c r="A72981" s="7"/>
      <c r="B72981" s="7"/>
    </row>
    <row r="72982" ht="15.75" customHeight="1">
      <c r="A72982" s="7"/>
      <c r="B72982" s="7"/>
    </row>
    <row r="72983" ht="15.75" customHeight="1">
      <c r="A72983" s="7"/>
      <c r="B72983" s="7"/>
    </row>
    <row r="72984" ht="15.75" customHeight="1">
      <c r="A72984" s="7"/>
      <c r="B72984" s="7"/>
    </row>
    <row r="72985" ht="15.75" customHeight="1">
      <c r="A72985" s="7"/>
      <c r="B72985" s="7"/>
    </row>
    <row r="72986" ht="15.75" customHeight="1">
      <c r="A72986" s="7"/>
      <c r="B72986" s="7"/>
    </row>
    <row r="72987" ht="15.75" customHeight="1">
      <c r="A72987" s="7"/>
      <c r="B72987" s="7"/>
    </row>
    <row r="72988" ht="15.75" customHeight="1">
      <c r="A72988" s="7"/>
      <c r="B72988" s="7"/>
    </row>
    <row r="72989" ht="15.75" customHeight="1">
      <c r="A72989" s="7"/>
      <c r="B72989" s="7"/>
    </row>
    <row r="72990" ht="15.75" customHeight="1">
      <c r="A72990" s="7"/>
      <c r="B72990" s="7"/>
    </row>
    <row r="72991" ht="15.75" customHeight="1">
      <c r="A72991" s="7"/>
      <c r="B72991" s="7"/>
    </row>
    <row r="72992" ht="15.75" customHeight="1">
      <c r="A72992" s="7"/>
      <c r="B72992" s="7"/>
    </row>
    <row r="72993" ht="15.75" customHeight="1">
      <c r="A72993" s="7"/>
      <c r="B72993" s="7"/>
    </row>
    <row r="72994" ht="15.75" customHeight="1">
      <c r="A72994" s="7"/>
      <c r="B72994" s="7"/>
    </row>
    <row r="72995" ht="15.75" customHeight="1">
      <c r="A72995" s="7"/>
      <c r="B72995" s="7"/>
    </row>
    <row r="72996" ht="15.75" customHeight="1">
      <c r="A72996" s="7"/>
      <c r="B72996" s="7"/>
    </row>
    <row r="72997" ht="15.75" customHeight="1">
      <c r="A72997" s="7"/>
      <c r="B72997" s="7"/>
    </row>
    <row r="72998" ht="15.75" customHeight="1">
      <c r="A72998" s="7"/>
      <c r="B72998" s="7"/>
    </row>
    <row r="72999" ht="15.75" customHeight="1">
      <c r="A72999" s="7"/>
      <c r="B72999" s="7"/>
    </row>
    <row r="73000" ht="15.75" customHeight="1">
      <c r="A73000" s="7"/>
      <c r="B73000" s="7"/>
    </row>
    <row r="73001" ht="15.75" customHeight="1">
      <c r="A73001" s="7"/>
      <c r="B73001" s="7"/>
    </row>
    <row r="73002" ht="15.75" customHeight="1">
      <c r="A73002" s="7"/>
      <c r="B73002" s="7"/>
    </row>
    <row r="73003" ht="15.75" customHeight="1">
      <c r="A73003" s="7"/>
      <c r="B73003" s="7"/>
    </row>
    <row r="73004" ht="15.75" customHeight="1">
      <c r="A73004" s="7"/>
      <c r="B73004" s="7"/>
    </row>
    <row r="73005" ht="15.75" customHeight="1">
      <c r="A73005" s="7"/>
      <c r="B73005" s="7"/>
    </row>
    <row r="73006" ht="15.75" customHeight="1">
      <c r="A73006" s="7"/>
      <c r="B73006" s="7"/>
    </row>
    <row r="73007" ht="15.75" customHeight="1">
      <c r="A73007" s="7"/>
      <c r="B73007" s="7"/>
    </row>
    <row r="73008" ht="15.75" customHeight="1">
      <c r="A73008" s="7"/>
      <c r="B73008" s="7"/>
    </row>
    <row r="73009" ht="15.75" customHeight="1">
      <c r="A73009" s="7"/>
      <c r="B73009" s="7"/>
    </row>
    <row r="73010" ht="15.75" customHeight="1">
      <c r="A73010" s="7"/>
      <c r="B73010" s="7"/>
    </row>
    <row r="73011" ht="15.75" customHeight="1">
      <c r="A73011" s="7"/>
      <c r="B73011" s="7"/>
    </row>
    <row r="73012" ht="15.75" customHeight="1">
      <c r="A73012" s="7"/>
      <c r="B73012" s="7"/>
    </row>
    <row r="73013" ht="15.75" customHeight="1">
      <c r="A73013" s="7"/>
      <c r="B73013" s="7"/>
    </row>
    <row r="73014" ht="15.75" customHeight="1">
      <c r="A73014" s="7"/>
      <c r="B73014" s="7"/>
    </row>
    <row r="73015" ht="15.75" customHeight="1">
      <c r="A73015" s="7"/>
      <c r="B73015" s="7"/>
    </row>
    <row r="73016" ht="15.75" customHeight="1">
      <c r="A73016" s="7"/>
      <c r="B73016" s="7"/>
    </row>
    <row r="73017" ht="15.75" customHeight="1">
      <c r="A73017" s="7"/>
      <c r="B73017" s="7"/>
    </row>
    <row r="73018" ht="15.75" customHeight="1">
      <c r="A73018" s="7"/>
      <c r="B73018" s="7"/>
    </row>
    <row r="73019" ht="15.75" customHeight="1">
      <c r="A73019" s="7"/>
      <c r="B73019" s="7"/>
    </row>
    <row r="73020" ht="15.75" customHeight="1">
      <c r="A73020" s="7"/>
      <c r="B73020" s="7"/>
    </row>
    <row r="73021" ht="15.75" customHeight="1">
      <c r="A73021" s="7"/>
      <c r="B73021" s="7"/>
    </row>
    <row r="73022" ht="15.75" customHeight="1">
      <c r="A73022" s="7"/>
      <c r="B73022" s="7"/>
    </row>
    <row r="73023" ht="15.75" customHeight="1">
      <c r="A73023" s="7"/>
      <c r="B73023" s="7"/>
    </row>
    <row r="73024" ht="15.75" customHeight="1">
      <c r="A73024" s="7"/>
      <c r="B73024" s="7"/>
    </row>
    <row r="73025" ht="15.75" customHeight="1">
      <c r="A73025" s="7"/>
      <c r="B73025" s="7"/>
    </row>
    <row r="73026" ht="15.75" customHeight="1">
      <c r="A73026" s="7"/>
      <c r="B73026" s="7"/>
    </row>
    <row r="73027" ht="15.75" customHeight="1">
      <c r="A73027" s="7"/>
      <c r="B73027" s="7"/>
    </row>
    <row r="73028" ht="15.75" customHeight="1">
      <c r="A73028" s="7"/>
      <c r="B73028" s="7"/>
    </row>
    <row r="73029" ht="15.75" customHeight="1">
      <c r="A73029" s="7"/>
      <c r="B73029" s="7"/>
    </row>
    <row r="73030" ht="15.75" customHeight="1">
      <c r="A73030" s="7"/>
      <c r="B73030" s="7"/>
    </row>
    <row r="73031" ht="15.75" customHeight="1">
      <c r="A73031" s="7"/>
      <c r="B73031" s="7"/>
    </row>
    <row r="73032" ht="15.75" customHeight="1">
      <c r="A73032" s="7"/>
      <c r="B73032" s="7"/>
    </row>
    <row r="73033" ht="15.75" customHeight="1">
      <c r="A73033" s="7"/>
      <c r="B73033" s="7"/>
    </row>
    <row r="73034" ht="15.75" customHeight="1">
      <c r="A73034" s="7"/>
      <c r="B73034" s="7"/>
    </row>
    <row r="73035" ht="15.75" customHeight="1">
      <c r="A73035" s="7"/>
      <c r="B73035" s="7"/>
    </row>
    <row r="73036" ht="15.75" customHeight="1">
      <c r="A73036" s="7"/>
      <c r="B73036" s="7"/>
    </row>
    <row r="73037" ht="15.75" customHeight="1">
      <c r="A73037" s="7"/>
      <c r="B73037" s="7"/>
    </row>
    <row r="73038" ht="15.75" customHeight="1">
      <c r="A73038" s="7"/>
      <c r="B73038" s="7"/>
    </row>
    <row r="73039" ht="15.75" customHeight="1">
      <c r="A73039" s="7"/>
      <c r="B73039" s="7"/>
    </row>
    <row r="73040" ht="15.75" customHeight="1">
      <c r="A73040" s="7"/>
      <c r="B73040" s="7"/>
    </row>
    <row r="73041" ht="15.75" customHeight="1">
      <c r="A73041" s="7"/>
      <c r="B73041" s="7"/>
    </row>
    <row r="73042" ht="15.75" customHeight="1">
      <c r="A73042" s="7"/>
      <c r="B73042" s="7"/>
    </row>
    <row r="73043" ht="15.75" customHeight="1">
      <c r="A73043" s="7"/>
      <c r="B73043" s="7"/>
    </row>
    <row r="73044" ht="15.75" customHeight="1">
      <c r="A73044" s="7"/>
      <c r="B73044" s="7"/>
    </row>
    <row r="73045" ht="15.75" customHeight="1">
      <c r="A73045" s="7"/>
      <c r="B73045" s="7"/>
    </row>
    <row r="73046" ht="15.75" customHeight="1">
      <c r="A73046" s="7"/>
      <c r="B73046" s="7"/>
    </row>
    <row r="73047" ht="15.75" customHeight="1">
      <c r="A73047" s="7"/>
      <c r="B73047" s="7"/>
    </row>
    <row r="73048" ht="15.75" customHeight="1">
      <c r="A73048" s="7"/>
      <c r="B73048" s="7"/>
    </row>
    <row r="73049" ht="15.75" customHeight="1">
      <c r="A73049" s="7"/>
      <c r="B73049" s="7"/>
    </row>
    <row r="73050" ht="15.75" customHeight="1">
      <c r="A73050" s="7"/>
      <c r="B73050" s="7"/>
    </row>
    <row r="73051" ht="15.75" customHeight="1">
      <c r="A73051" s="7"/>
      <c r="B73051" s="7"/>
    </row>
    <row r="73052" ht="15.75" customHeight="1">
      <c r="A73052" s="7"/>
      <c r="B73052" s="7"/>
    </row>
    <row r="73053" ht="15.75" customHeight="1">
      <c r="A73053" s="7"/>
      <c r="B73053" s="7"/>
    </row>
    <row r="73054" ht="15.75" customHeight="1">
      <c r="A73054" s="7"/>
      <c r="B73054" s="7"/>
    </row>
    <row r="73055" ht="15.75" customHeight="1">
      <c r="A73055" s="7"/>
      <c r="B73055" s="7"/>
    </row>
    <row r="73056" ht="15.75" customHeight="1">
      <c r="A73056" s="7"/>
      <c r="B73056" s="7"/>
    </row>
    <row r="73057" ht="15.75" customHeight="1">
      <c r="A73057" s="7"/>
      <c r="B73057" s="7"/>
    </row>
    <row r="73058" ht="15.75" customHeight="1">
      <c r="A73058" s="7"/>
      <c r="B73058" s="7"/>
    </row>
    <row r="73059" ht="15.75" customHeight="1">
      <c r="A73059" s="7"/>
      <c r="B73059" s="7"/>
    </row>
    <row r="73060" ht="15.75" customHeight="1">
      <c r="A73060" s="7"/>
      <c r="B73060" s="7"/>
    </row>
    <row r="73061" ht="15.75" customHeight="1">
      <c r="A73061" s="7"/>
      <c r="B73061" s="7"/>
    </row>
    <row r="73062" ht="15.75" customHeight="1">
      <c r="A73062" s="7"/>
      <c r="B73062" s="7"/>
    </row>
    <row r="73063" ht="15.75" customHeight="1">
      <c r="A73063" s="7"/>
      <c r="B73063" s="7"/>
    </row>
    <row r="73064" ht="15.75" customHeight="1">
      <c r="A73064" s="7"/>
      <c r="B73064" s="7"/>
    </row>
    <row r="73065" ht="15.75" customHeight="1">
      <c r="A73065" s="7"/>
      <c r="B73065" s="7"/>
    </row>
    <row r="73066" ht="15.75" customHeight="1">
      <c r="A73066" s="7"/>
      <c r="B73066" s="7"/>
    </row>
    <row r="73067" ht="15.75" customHeight="1">
      <c r="A73067" s="7"/>
      <c r="B73067" s="7"/>
    </row>
    <row r="73068" ht="15.75" customHeight="1">
      <c r="A73068" s="7"/>
      <c r="B73068" s="7"/>
    </row>
    <row r="73069" ht="15.75" customHeight="1">
      <c r="A73069" s="7"/>
      <c r="B73069" s="7"/>
    </row>
    <row r="73070" ht="15.75" customHeight="1">
      <c r="A73070" s="7"/>
      <c r="B73070" s="7"/>
    </row>
    <row r="73071" ht="15.75" customHeight="1">
      <c r="A73071" s="7"/>
      <c r="B73071" s="7"/>
    </row>
    <row r="73072" ht="15.75" customHeight="1">
      <c r="A73072" s="7"/>
      <c r="B73072" s="7"/>
    </row>
    <row r="73073" ht="15.75" customHeight="1">
      <c r="A73073" s="7"/>
      <c r="B73073" s="7"/>
    </row>
    <row r="73074" ht="15.75" customHeight="1">
      <c r="A73074" s="7"/>
      <c r="B73074" s="7"/>
    </row>
    <row r="73075" ht="15.75" customHeight="1">
      <c r="A73075" s="7"/>
      <c r="B73075" s="7"/>
    </row>
    <row r="73076" ht="15.75" customHeight="1">
      <c r="A73076" s="7"/>
      <c r="B73076" s="7"/>
    </row>
    <row r="73077" ht="15.75" customHeight="1">
      <c r="A73077" s="7"/>
      <c r="B73077" s="7"/>
    </row>
    <row r="73078" ht="15.75" customHeight="1">
      <c r="A73078" s="7"/>
      <c r="B73078" s="7"/>
    </row>
    <row r="73079" ht="15.75" customHeight="1">
      <c r="A73079" s="7"/>
      <c r="B73079" s="7"/>
    </row>
    <row r="73080" ht="15.75" customHeight="1">
      <c r="A73080" s="7"/>
      <c r="B73080" s="7"/>
    </row>
    <row r="73081" ht="15.75" customHeight="1">
      <c r="A73081" s="7"/>
      <c r="B73081" s="7"/>
    </row>
    <row r="73082" ht="15.75" customHeight="1">
      <c r="A73082" s="7"/>
      <c r="B73082" s="7"/>
    </row>
    <row r="73083" ht="15.75" customHeight="1">
      <c r="A73083" s="7"/>
      <c r="B73083" s="7"/>
    </row>
    <row r="73084" ht="15.75" customHeight="1">
      <c r="A73084" s="7"/>
      <c r="B73084" s="7"/>
    </row>
    <row r="73085" ht="15.75" customHeight="1">
      <c r="A73085" s="7"/>
      <c r="B73085" s="7"/>
    </row>
    <row r="73086" ht="15.75" customHeight="1">
      <c r="A73086" s="7"/>
      <c r="B73086" s="7"/>
    </row>
    <row r="73087" ht="15.75" customHeight="1">
      <c r="A73087" s="7"/>
      <c r="B73087" s="7"/>
    </row>
    <row r="73088" ht="15.75" customHeight="1">
      <c r="A73088" s="7"/>
      <c r="B73088" s="7"/>
    </row>
    <row r="73089" ht="15.75" customHeight="1">
      <c r="A73089" s="7"/>
      <c r="B73089" s="7"/>
    </row>
    <row r="73090" ht="15.75" customHeight="1">
      <c r="A73090" s="7"/>
      <c r="B73090" s="7"/>
    </row>
    <row r="73091" ht="15.75" customHeight="1">
      <c r="A73091" s="7"/>
      <c r="B73091" s="7"/>
    </row>
    <row r="73092" ht="15.75" customHeight="1">
      <c r="A73092" s="7"/>
      <c r="B73092" s="7"/>
    </row>
    <row r="73093" ht="15.75" customHeight="1">
      <c r="A73093" s="7"/>
      <c r="B73093" s="7"/>
    </row>
    <row r="73094" ht="15.75" customHeight="1">
      <c r="A73094" s="7"/>
      <c r="B73094" s="7"/>
    </row>
    <row r="73095" ht="15.75" customHeight="1">
      <c r="A73095" s="7"/>
      <c r="B73095" s="7"/>
    </row>
    <row r="73096" ht="15.75" customHeight="1">
      <c r="A73096" s="7"/>
      <c r="B73096" s="7"/>
    </row>
    <row r="73097" ht="15.75" customHeight="1">
      <c r="A73097" s="7"/>
      <c r="B73097" s="7"/>
    </row>
    <row r="73098" ht="15.75" customHeight="1">
      <c r="A73098" s="7"/>
      <c r="B73098" s="7"/>
    </row>
    <row r="73099" ht="15.75" customHeight="1">
      <c r="A73099" s="7"/>
      <c r="B73099" s="7"/>
    </row>
    <row r="73100" ht="15.75" customHeight="1">
      <c r="A73100" s="7"/>
      <c r="B73100" s="7"/>
    </row>
    <row r="73101" ht="15.75" customHeight="1">
      <c r="A73101" s="7"/>
      <c r="B73101" s="7"/>
    </row>
    <row r="73102" ht="15.75" customHeight="1">
      <c r="A73102" s="7"/>
      <c r="B73102" s="7"/>
    </row>
    <row r="73103" ht="15.75" customHeight="1">
      <c r="A73103" s="7"/>
      <c r="B73103" s="7"/>
    </row>
    <row r="73104" ht="15.75" customHeight="1">
      <c r="A73104" s="7"/>
      <c r="B73104" s="7"/>
    </row>
    <row r="73105" ht="15.75" customHeight="1">
      <c r="A73105" s="7"/>
      <c r="B73105" s="7"/>
    </row>
    <row r="73106" ht="15.75" customHeight="1">
      <c r="A73106" s="7"/>
      <c r="B73106" s="7"/>
    </row>
    <row r="73107" ht="15.75" customHeight="1">
      <c r="A73107" s="7"/>
      <c r="B73107" s="7"/>
    </row>
    <row r="73108" ht="15.75" customHeight="1">
      <c r="A73108" s="7"/>
      <c r="B73108" s="7"/>
    </row>
    <row r="73109" ht="15.75" customHeight="1">
      <c r="A73109" s="7"/>
      <c r="B73109" s="7"/>
    </row>
    <row r="73110" ht="15.75" customHeight="1">
      <c r="A73110" s="7"/>
      <c r="B73110" s="7"/>
    </row>
    <row r="73111" ht="15.75" customHeight="1">
      <c r="A73111" s="7"/>
      <c r="B73111" s="7"/>
    </row>
    <row r="73112" ht="15.75" customHeight="1">
      <c r="A73112" s="7"/>
      <c r="B73112" s="7"/>
    </row>
    <row r="73113" ht="15.75" customHeight="1">
      <c r="A73113" s="7"/>
      <c r="B73113" s="7"/>
    </row>
    <row r="73114" ht="15.75" customHeight="1">
      <c r="A73114" s="7"/>
      <c r="B73114" s="7"/>
    </row>
    <row r="73115" ht="15.75" customHeight="1">
      <c r="A73115" s="7"/>
      <c r="B73115" s="7"/>
    </row>
    <row r="73116" ht="15.75" customHeight="1">
      <c r="A73116" s="7"/>
      <c r="B73116" s="7"/>
    </row>
    <row r="73117" ht="15.75" customHeight="1">
      <c r="A73117" s="7"/>
      <c r="B73117" s="7"/>
    </row>
    <row r="73118" ht="15.75" customHeight="1">
      <c r="A73118" s="7"/>
      <c r="B73118" s="7"/>
    </row>
    <row r="73119" ht="15.75" customHeight="1">
      <c r="A73119" s="7"/>
      <c r="B73119" s="7"/>
    </row>
    <row r="73120" ht="15.75" customHeight="1">
      <c r="A73120" s="7"/>
      <c r="B73120" s="7"/>
    </row>
    <row r="73121" ht="15.75" customHeight="1">
      <c r="A73121" s="7"/>
      <c r="B73121" s="7"/>
    </row>
    <row r="73122" ht="15.75" customHeight="1">
      <c r="A73122" s="7"/>
      <c r="B73122" s="7"/>
    </row>
    <row r="73123" ht="15.75" customHeight="1">
      <c r="A73123" s="7"/>
      <c r="B73123" s="7"/>
    </row>
    <row r="73124" ht="15.75" customHeight="1">
      <c r="A73124" s="7"/>
      <c r="B73124" s="7"/>
    </row>
    <row r="73125" ht="15.75" customHeight="1">
      <c r="A73125" s="7"/>
      <c r="B73125" s="7"/>
    </row>
    <row r="73126" ht="15.75" customHeight="1">
      <c r="A73126" s="7"/>
      <c r="B73126" s="7"/>
    </row>
    <row r="73127" ht="15.75" customHeight="1">
      <c r="A73127" s="7"/>
      <c r="B73127" s="7"/>
    </row>
    <row r="73128" ht="15.75" customHeight="1">
      <c r="A73128" s="7"/>
      <c r="B73128" s="7"/>
    </row>
    <row r="73129" ht="15.75" customHeight="1">
      <c r="A73129" s="7"/>
      <c r="B73129" s="7"/>
    </row>
    <row r="73130" ht="15.75" customHeight="1">
      <c r="A73130" s="7"/>
      <c r="B73130" s="7"/>
    </row>
    <row r="73131" ht="15.75" customHeight="1">
      <c r="A73131" s="7"/>
      <c r="B73131" s="7"/>
    </row>
    <row r="73132" ht="15.75" customHeight="1">
      <c r="A73132" s="7"/>
      <c r="B73132" s="7"/>
    </row>
    <row r="73133" ht="15.75" customHeight="1">
      <c r="A73133" s="7"/>
      <c r="B73133" s="7"/>
    </row>
    <row r="73134" ht="15.75" customHeight="1">
      <c r="A73134" s="7"/>
      <c r="B73134" s="7"/>
    </row>
    <row r="73135" ht="15.75" customHeight="1">
      <c r="A73135" s="7"/>
      <c r="B73135" s="7"/>
    </row>
    <row r="73136" ht="15.75" customHeight="1">
      <c r="A73136" s="7"/>
      <c r="B73136" s="7"/>
    </row>
    <row r="73137" ht="15.75" customHeight="1">
      <c r="A73137" s="7"/>
      <c r="B73137" s="7"/>
    </row>
    <row r="73138" ht="15.75" customHeight="1">
      <c r="A73138" s="7"/>
      <c r="B73138" s="7"/>
    </row>
    <row r="73139" ht="15.75" customHeight="1">
      <c r="A73139" s="7"/>
      <c r="B73139" s="7"/>
    </row>
    <row r="73140" ht="15.75" customHeight="1">
      <c r="A73140" s="7"/>
      <c r="B73140" s="7"/>
    </row>
    <row r="73141" ht="15.75" customHeight="1">
      <c r="A73141" s="7"/>
      <c r="B73141" s="7"/>
    </row>
    <row r="73142" ht="15.75" customHeight="1">
      <c r="A73142" s="7"/>
      <c r="B73142" s="7"/>
    </row>
    <row r="73143" ht="15.75" customHeight="1">
      <c r="A73143" s="7"/>
      <c r="B73143" s="7"/>
    </row>
    <row r="73144" ht="15.75" customHeight="1">
      <c r="A73144" s="7"/>
      <c r="B73144" s="7"/>
    </row>
    <row r="73145" ht="15.75" customHeight="1">
      <c r="A73145" s="7"/>
      <c r="B73145" s="7"/>
    </row>
    <row r="73146" ht="15.75" customHeight="1">
      <c r="A73146" s="7"/>
      <c r="B73146" s="7"/>
    </row>
    <row r="73147" ht="15.75" customHeight="1">
      <c r="A73147" s="7"/>
      <c r="B73147" s="7"/>
    </row>
    <row r="73148" ht="15.75" customHeight="1">
      <c r="A73148" s="7"/>
      <c r="B73148" s="7"/>
    </row>
    <row r="73149" ht="15.75" customHeight="1">
      <c r="A73149" s="7"/>
      <c r="B73149" s="7"/>
    </row>
    <row r="73150" ht="15.75" customHeight="1">
      <c r="A73150" s="7"/>
      <c r="B73150" s="7"/>
    </row>
    <row r="73151" ht="15.75" customHeight="1">
      <c r="A73151" s="7"/>
      <c r="B73151" s="7"/>
    </row>
    <row r="73152" ht="15.75" customHeight="1">
      <c r="A73152" s="7"/>
      <c r="B73152" s="7"/>
    </row>
    <row r="73153" ht="15.75" customHeight="1">
      <c r="A73153" s="7"/>
      <c r="B73153" s="7"/>
    </row>
    <row r="73154" ht="15.75" customHeight="1">
      <c r="A73154" s="7"/>
      <c r="B73154" s="7"/>
    </row>
    <row r="73155" ht="15.75" customHeight="1">
      <c r="A73155" s="7"/>
      <c r="B73155" s="7"/>
    </row>
    <row r="73156" ht="15.75" customHeight="1">
      <c r="A73156" s="7"/>
      <c r="B73156" s="7"/>
    </row>
    <row r="73157" ht="15.75" customHeight="1">
      <c r="A73157" s="7"/>
      <c r="B73157" s="7"/>
    </row>
    <row r="73158" ht="15.75" customHeight="1">
      <c r="A73158" s="7"/>
      <c r="B73158" s="7"/>
    </row>
    <row r="73159" ht="15.75" customHeight="1">
      <c r="A73159" s="7"/>
      <c r="B73159" s="7"/>
    </row>
    <row r="73160" ht="15.75" customHeight="1">
      <c r="A73160" s="7"/>
      <c r="B73160" s="7"/>
    </row>
    <row r="73161" ht="15.75" customHeight="1">
      <c r="A73161" s="7"/>
      <c r="B73161" s="7"/>
    </row>
    <row r="73162" ht="15.75" customHeight="1">
      <c r="A73162" s="7"/>
      <c r="B73162" s="7"/>
    </row>
    <row r="73163" ht="15.75" customHeight="1">
      <c r="A73163" s="7"/>
      <c r="B73163" s="7"/>
    </row>
    <row r="73164" ht="15.75" customHeight="1">
      <c r="A73164" s="7"/>
      <c r="B73164" s="7"/>
    </row>
    <row r="73165" ht="15.75" customHeight="1">
      <c r="A73165" s="7"/>
      <c r="B73165" s="7"/>
    </row>
    <row r="73166" ht="15.75" customHeight="1">
      <c r="A73166" s="7"/>
      <c r="B73166" s="7"/>
    </row>
    <row r="73167" ht="15.75" customHeight="1">
      <c r="A73167" s="7"/>
      <c r="B73167" s="7"/>
    </row>
    <row r="73168" ht="15.75" customHeight="1">
      <c r="A73168" s="7"/>
      <c r="B73168" s="7"/>
    </row>
    <row r="73169" ht="15.75" customHeight="1">
      <c r="A73169" s="7"/>
      <c r="B73169" s="7"/>
    </row>
    <row r="73170" ht="15.75" customHeight="1">
      <c r="A73170" s="7"/>
      <c r="B73170" s="7"/>
    </row>
    <row r="73171" ht="15.75" customHeight="1">
      <c r="A73171" s="7"/>
      <c r="B73171" s="7"/>
    </row>
    <row r="73172" ht="15.75" customHeight="1">
      <c r="A73172" s="7"/>
      <c r="B73172" s="7"/>
    </row>
    <row r="73173" ht="15.75" customHeight="1">
      <c r="A73173" s="7"/>
      <c r="B73173" s="7"/>
    </row>
    <row r="73174" ht="15.75" customHeight="1">
      <c r="A73174" s="7"/>
      <c r="B73174" s="7"/>
    </row>
    <row r="73175" ht="15.75" customHeight="1">
      <c r="A73175" s="7"/>
      <c r="B73175" s="7"/>
    </row>
    <row r="73176" ht="15.75" customHeight="1">
      <c r="A73176" s="7"/>
      <c r="B73176" s="7"/>
    </row>
    <row r="73177" ht="15.75" customHeight="1">
      <c r="A73177" s="7"/>
      <c r="B73177" s="7"/>
    </row>
    <row r="73178" ht="15.75" customHeight="1">
      <c r="A73178" s="7"/>
      <c r="B73178" s="7"/>
    </row>
    <row r="73179" ht="15.75" customHeight="1">
      <c r="A73179" s="7"/>
      <c r="B73179" s="7"/>
    </row>
    <row r="73180" ht="15.75" customHeight="1">
      <c r="A73180" s="7"/>
      <c r="B73180" s="7"/>
    </row>
    <row r="73181" ht="15.75" customHeight="1">
      <c r="A73181" s="7"/>
      <c r="B73181" s="7"/>
    </row>
    <row r="73182" ht="15.75" customHeight="1">
      <c r="A73182" s="7"/>
      <c r="B73182" s="7"/>
    </row>
    <row r="73183" ht="15.75" customHeight="1">
      <c r="A73183" s="7"/>
      <c r="B73183" s="7"/>
    </row>
    <row r="73184" ht="15.75" customHeight="1">
      <c r="A73184" s="7"/>
      <c r="B73184" s="7"/>
    </row>
    <row r="73185" ht="15.75" customHeight="1">
      <c r="A73185" s="7"/>
      <c r="B73185" s="7"/>
    </row>
    <row r="73186" ht="15.75" customHeight="1">
      <c r="A73186" s="7"/>
      <c r="B73186" s="7"/>
    </row>
    <row r="73187" ht="15.75" customHeight="1">
      <c r="A73187" s="7"/>
      <c r="B73187" s="7"/>
    </row>
    <row r="73188" ht="15.75" customHeight="1">
      <c r="A73188" s="7"/>
      <c r="B73188" s="7"/>
    </row>
    <row r="73189" ht="15.75" customHeight="1">
      <c r="A73189" s="7"/>
      <c r="B73189" s="7"/>
    </row>
    <row r="73190" ht="15.75" customHeight="1">
      <c r="A73190" s="7"/>
      <c r="B73190" s="7"/>
    </row>
    <row r="73191" ht="15.75" customHeight="1">
      <c r="A73191" s="7"/>
      <c r="B73191" s="7"/>
    </row>
    <row r="73192" ht="15.75" customHeight="1">
      <c r="A73192" s="7"/>
      <c r="B73192" s="7"/>
    </row>
    <row r="73193" ht="15.75" customHeight="1">
      <c r="A73193" s="7"/>
      <c r="B73193" s="7"/>
    </row>
    <row r="73194" ht="15.75" customHeight="1">
      <c r="A73194" s="7"/>
      <c r="B73194" s="7"/>
    </row>
    <row r="73195" ht="15.75" customHeight="1">
      <c r="A73195" s="7"/>
      <c r="B73195" s="7"/>
    </row>
    <row r="73196" ht="15.75" customHeight="1">
      <c r="A73196" s="7"/>
      <c r="B73196" s="7"/>
    </row>
    <row r="73197" ht="15.75" customHeight="1">
      <c r="A73197" s="7"/>
      <c r="B73197" s="7"/>
    </row>
    <row r="73198" ht="15.75" customHeight="1">
      <c r="A73198" s="7"/>
      <c r="B73198" s="7"/>
    </row>
    <row r="73199" ht="15.75" customHeight="1">
      <c r="A73199" s="7"/>
      <c r="B73199" s="7"/>
    </row>
    <row r="73200" ht="15.75" customHeight="1">
      <c r="A73200" s="7"/>
      <c r="B73200" s="7"/>
    </row>
    <row r="73201" ht="15.75" customHeight="1">
      <c r="A73201" s="7"/>
      <c r="B73201" s="7"/>
    </row>
    <row r="73202" ht="15.75" customHeight="1">
      <c r="A73202" s="7"/>
      <c r="B73202" s="7"/>
    </row>
    <row r="73203" ht="15.75" customHeight="1">
      <c r="A73203" s="7"/>
      <c r="B73203" s="7"/>
    </row>
    <row r="73204" ht="15.75" customHeight="1">
      <c r="A73204" s="7"/>
      <c r="B73204" s="7"/>
    </row>
    <row r="73205" ht="15.75" customHeight="1">
      <c r="A73205" s="7"/>
      <c r="B73205" s="7"/>
    </row>
    <row r="73206" ht="15.75" customHeight="1">
      <c r="A73206" s="7"/>
      <c r="B73206" s="7"/>
    </row>
    <row r="73207" ht="15.75" customHeight="1">
      <c r="A73207" s="7"/>
      <c r="B73207" s="7"/>
    </row>
    <row r="73208" ht="15.75" customHeight="1">
      <c r="A73208" s="7"/>
      <c r="B73208" s="7"/>
    </row>
    <row r="73209" ht="15.75" customHeight="1">
      <c r="A73209" s="7"/>
      <c r="B73209" s="7"/>
    </row>
    <row r="73210" ht="15.75" customHeight="1">
      <c r="A73210" s="7"/>
      <c r="B73210" s="7"/>
    </row>
    <row r="73211" ht="15.75" customHeight="1">
      <c r="A73211" s="7"/>
      <c r="B73211" s="7"/>
    </row>
    <row r="73212" ht="15.75" customHeight="1">
      <c r="A73212" s="7"/>
      <c r="B73212" s="7"/>
    </row>
    <row r="73213" ht="15.75" customHeight="1">
      <c r="A73213" s="7"/>
      <c r="B73213" s="7"/>
    </row>
    <row r="73214" ht="15.75" customHeight="1">
      <c r="A73214" s="7"/>
      <c r="B73214" s="7"/>
    </row>
    <row r="73215" ht="15.75" customHeight="1">
      <c r="A73215" s="7"/>
      <c r="B73215" s="7"/>
    </row>
    <row r="73216" ht="15.75" customHeight="1">
      <c r="A73216" s="7"/>
      <c r="B73216" s="7"/>
    </row>
    <row r="73217" ht="15.75" customHeight="1">
      <c r="A73217" s="7"/>
      <c r="B73217" s="7"/>
    </row>
    <row r="73218" ht="15.75" customHeight="1">
      <c r="A73218" s="7"/>
      <c r="B73218" s="7"/>
    </row>
    <row r="73219" ht="15.75" customHeight="1">
      <c r="A73219" s="7"/>
      <c r="B73219" s="7"/>
    </row>
    <row r="73220" ht="15.75" customHeight="1">
      <c r="A73220" s="7"/>
      <c r="B73220" s="7"/>
    </row>
    <row r="73221" ht="15.75" customHeight="1">
      <c r="A73221" s="7"/>
      <c r="B73221" s="7"/>
    </row>
    <row r="73222" ht="15.75" customHeight="1">
      <c r="A73222" s="7"/>
      <c r="B73222" s="7"/>
    </row>
    <row r="73223" ht="15.75" customHeight="1">
      <c r="A73223" s="7"/>
      <c r="B73223" s="7"/>
    </row>
    <row r="73224" ht="15.75" customHeight="1">
      <c r="A73224" s="7"/>
      <c r="B73224" s="7"/>
    </row>
    <row r="73225" ht="15.75" customHeight="1">
      <c r="A73225" s="7"/>
      <c r="B73225" s="7"/>
    </row>
    <row r="73226" ht="15.75" customHeight="1">
      <c r="A73226" s="7"/>
      <c r="B73226" s="7"/>
    </row>
    <row r="73227" ht="15.75" customHeight="1">
      <c r="A73227" s="7"/>
      <c r="B73227" s="7"/>
    </row>
    <row r="73228" ht="15.75" customHeight="1">
      <c r="A73228" s="7"/>
      <c r="B73228" s="7"/>
    </row>
    <row r="73229" ht="15.75" customHeight="1">
      <c r="A73229" s="7"/>
      <c r="B73229" s="7"/>
    </row>
    <row r="73230" ht="15.75" customHeight="1">
      <c r="A73230" s="7"/>
      <c r="B73230" s="7"/>
    </row>
    <row r="73231" ht="15.75" customHeight="1">
      <c r="A73231" s="7"/>
      <c r="B73231" s="7"/>
    </row>
    <row r="73232" ht="15.75" customHeight="1">
      <c r="A73232" s="7"/>
      <c r="B73232" s="7"/>
    </row>
    <row r="73233" ht="15.75" customHeight="1">
      <c r="A73233" s="7"/>
      <c r="B73233" s="7"/>
    </row>
    <row r="73234" ht="15.75" customHeight="1">
      <c r="A73234" s="7"/>
      <c r="B73234" s="7"/>
    </row>
    <row r="73235" ht="15.75" customHeight="1">
      <c r="A73235" s="7"/>
      <c r="B73235" s="7"/>
    </row>
    <row r="73236" ht="15.75" customHeight="1">
      <c r="A73236" s="7"/>
      <c r="B73236" s="7"/>
    </row>
    <row r="73237" ht="15.75" customHeight="1">
      <c r="A73237" s="7"/>
      <c r="B73237" s="7"/>
    </row>
    <row r="73238" ht="15.75" customHeight="1">
      <c r="A73238" s="7"/>
      <c r="B73238" s="7"/>
    </row>
    <row r="73239" ht="15.75" customHeight="1">
      <c r="A73239" s="7"/>
      <c r="B73239" s="7"/>
    </row>
    <row r="73240" ht="15.75" customHeight="1">
      <c r="A73240" s="7"/>
      <c r="B73240" s="7"/>
    </row>
    <row r="73241" ht="15.75" customHeight="1">
      <c r="A73241" s="7"/>
      <c r="B73241" s="7"/>
    </row>
    <row r="73242" ht="15.75" customHeight="1">
      <c r="A73242" s="7"/>
      <c r="B73242" s="7"/>
    </row>
    <row r="73243" ht="15.75" customHeight="1">
      <c r="A73243" s="7"/>
      <c r="B73243" s="7"/>
    </row>
    <row r="73244" ht="15.75" customHeight="1">
      <c r="A73244" s="7"/>
      <c r="B73244" s="7"/>
    </row>
    <row r="73245" ht="15.75" customHeight="1">
      <c r="A73245" s="7"/>
      <c r="B73245" s="7"/>
    </row>
    <row r="73246" ht="15.75" customHeight="1">
      <c r="A73246" s="7"/>
      <c r="B73246" s="7"/>
    </row>
    <row r="73247" ht="15.75" customHeight="1">
      <c r="A73247" s="7"/>
      <c r="B73247" s="7"/>
    </row>
    <row r="73248" ht="15.75" customHeight="1">
      <c r="A73248" s="7"/>
      <c r="B73248" s="7"/>
    </row>
    <row r="73249" ht="15.75" customHeight="1">
      <c r="A73249" s="7"/>
      <c r="B73249" s="7"/>
    </row>
    <row r="73250" ht="15.75" customHeight="1">
      <c r="A73250" s="7"/>
      <c r="B73250" s="7"/>
    </row>
    <row r="73251" ht="15.75" customHeight="1">
      <c r="A73251" s="7"/>
      <c r="B73251" s="7"/>
    </row>
    <row r="73252" ht="15.75" customHeight="1">
      <c r="A73252" s="7"/>
      <c r="B73252" s="7"/>
    </row>
    <row r="73253" ht="15.75" customHeight="1">
      <c r="A73253" s="7"/>
      <c r="B73253" s="7"/>
    </row>
    <row r="73254" ht="15.75" customHeight="1">
      <c r="A73254" s="7"/>
      <c r="B73254" s="7"/>
    </row>
    <row r="73255" ht="15.75" customHeight="1">
      <c r="A73255" s="7"/>
      <c r="B73255" s="7"/>
    </row>
    <row r="73256" ht="15.75" customHeight="1">
      <c r="A73256" s="7"/>
      <c r="B73256" s="7"/>
    </row>
    <row r="73257" ht="15.75" customHeight="1">
      <c r="A73257" s="7"/>
      <c r="B73257" s="7"/>
    </row>
    <row r="73258" ht="15.75" customHeight="1">
      <c r="A73258" s="7"/>
      <c r="B73258" s="7"/>
    </row>
    <row r="73259" ht="15.75" customHeight="1">
      <c r="A73259" s="7"/>
      <c r="B73259" s="7"/>
    </row>
    <row r="73260" ht="15.75" customHeight="1">
      <c r="A73260" s="7"/>
      <c r="B73260" s="7"/>
    </row>
    <row r="73261" ht="15.75" customHeight="1">
      <c r="A73261" s="7"/>
      <c r="B73261" s="7"/>
    </row>
    <row r="73262" ht="15.75" customHeight="1">
      <c r="A73262" s="7"/>
      <c r="B73262" s="7"/>
    </row>
    <row r="73263" ht="15.75" customHeight="1">
      <c r="A73263" s="7"/>
      <c r="B73263" s="7"/>
    </row>
    <row r="73264" ht="15.75" customHeight="1">
      <c r="A73264" s="7"/>
      <c r="B73264" s="7"/>
    </row>
    <row r="73265" ht="15.75" customHeight="1">
      <c r="A73265" s="7"/>
      <c r="B73265" s="7"/>
    </row>
    <row r="73266" ht="15.75" customHeight="1">
      <c r="A73266" s="7"/>
      <c r="B73266" s="7"/>
    </row>
    <row r="73267" ht="15.75" customHeight="1">
      <c r="A73267" s="7"/>
      <c r="B73267" s="7"/>
    </row>
    <row r="73268" ht="15.75" customHeight="1">
      <c r="A73268" s="7"/>
      <c r="B73268" s="7"/>
    </row>
    <row r="73269" ht="15.75" customHeight="1">
      <c r="A73269" s="7"/>
      <c r="B73269" s="7"/>
    </row>
    <row r="73270" ht="15.75" customHeight="1">
      <c r="A73270" s="7"/>
      <c r="B73270" s="7"/>
    </row>
    <row r="73271" ht="15.75" customHeight="1">
      <c r="A73271" s="7"/>
      <c r="B73271" s="7"/>
    </row>
    <row r="73272" ht="15.75" customHeight="1">
      <c r="A73272" s="7"/>
      <c r="B73272" s="7"/>
    </row>
    <row r="73273" ht="15.75" customHeight="1">
      <c r="A73273" s="7"/>
      <c r="B73273" s="7"/>
    </row>
    <row r="73274" ht="15.75" customHeight="1">
      <c r="A73274" s="7"/>
      <c r="B73274" s="7"/>
    </row>
    <row r="73275" ht="15.75" customHeight="1">
      <c r="A73275" s="7"/>
      <c r="B73275" s="7"/>
    </row>
    <row r="73276" ht="15.75" customHeight="1">
      <c r="A73276" s="7"/>
      <c r="B73276" s="7"/>
    </row>
    <row r="73277" ht="15.75" customHeight="1">
      <c r="A73277" s="7"/>
      <c r="B73277" s="7"/>
    </row>
    <row r="73278" ht="15.75" customHeight="1">
      <c r="A73278" s="7"/>
      <c r="B73278" s="7"/>
    </row>
    <row r="73279" ht="15.75" customHeight="1">
      <c r="A73279" s="7"/>
      <c r="B73279" s="7"/>
    </row>
    <row r="73280" ht="15.75" customHeight="1">
      <c r="A73280" s="7"/>
      <c r="B73280" s="7"/>
    </row>
    <row r="73281" ht="15.75" customHeight="1">
      <c r="A73281" s="7"/>
      <c r="B73281" s="7"/>
    </row>
    <row r="73282" ht="15.75" customHeight="1">
      <c r="A73282" s="7"/>
      <c r="B73282" s="7"/>
    </row>
    <row r="73283" ht="15.75" customHeight="1">
      <c r="A73283" s="7"/>
      <c r="B73283" s="7"/>
    </row>
    <row r="73284" ht="15.75" customHeight="1">
      <c r="A73284" s="7"/>
      <c r="B73284" s="7"/>
    </row>
    <row r="73285" ht="15.75" customHeight="1">
      <c r="A73285" s="7"/>
      <c r="B73285" s="7"/>
    </row>
    <row r="73286" ht="15.75" customHeight="1">
      <c r="A73286" s="7"/>
      <c r="B73286" s="7"/>
    </row>
    <row r="73287" ht="15.75" customHeight="1">
      <c r="A73287" s="7"/>
      <c r="B73287" s="7"/>
    </row>
    <row r="73288" ht="15.75" customHeight="1">
      <c r="A73288" s="7"/>
      <c r="B73288" s="7"/>
    </row>
    <row r="73289" ht="15.75" customHeight="1">
      <c r="A73289" s="7"/>
      <c r="B73289" s="7"/>
    </row>
    <row r="73290" ht="15.75" customHeight="1">
      <c r="A73290" s="7"/>
      <c r="B73290" s="7"/>
    </row>
    <row r="73291" ht="15.75" customHeight="1">
      <c r="A73291" s="7"/>
      <c r="B73291" s="7"/>
    </row>
    <row r="73292" ht="15.75" customHeight="1">
      <c r="A73292" s="7"/>
      <c r="B73292" s="7"/>
    </row>
    <row r="73293" ht="15.75" customHeight="1">
      <c r="A73293" s="7"/>
      <c r="B73293" s="7"/>
    </row>
    <row r="73294" ht="15.75" customHeight="1">
      <c r="A73294" s="7"/>
      <c r="B73294" s="7"/>
    </row>
    <row r="73295" ht="15.75" customHeight="1">
      <c r="A73295" s="7"/>
      <c r="B73295" s="7"/>
    </row>
    <row r="73296" ht="15.75" customHeight="1">
      <c r="A73296" s="7"/>
      <c r="B73296" s="7"/>
    </row>
    <row r="73297" ht="15.75" customHeight="1">
      <c r="A73297" s="7"/>
      <c r="B73297" s="7"/>
    </row>
    <row r="73298" ht="15.75" customHeight="1">
      <c r="A73298" s="7"/>
      <c r="B73298" s="7"/>
    </row>
    <row r="73299" ht="15.75" customHeight="1">
      <c r="A73299" s="7"/>
      <c r="B73299" s="7"/>
    </row>
    <row r="73300" ht="15.75" customHeight="1">
      <c r="A73300" s="7"/>
      <c r="B73300" s="7"/>
    </row>
    <row r="73301" ht="15.75" customHeight="1">
      <c r="A73301" s="7"/>
      <c r="B73301" s="7"/>
    </row>
    <row r="73302" ht="15.75" customHeight="1">
      <c r="A73302" s="7"/>
      <c r="B73302" s="7"/>
    </row>
    <row r="73303" ht="15.75" customHeight="1">
      <c r="A73303" s="7"/>
      <c r="B73303" s="7"/>
    </row>
    <row r="73304" ht="15.75" customHeight="1">
      <c r="A73304" s="7"/>
      <c r="B73304" s="7"/>
    </row>
    <row r="73305" ht="15.75" customHeight="1">
      <c r="A73305" s="7"/>
      <c r="B73305" s="7"/>
    </row>
    <row r="73306" ht="15.75" customHeight="1">
      <c r="A73306" s="7"/>
      <c r="B73306" s="7"/>
    </row>
    <row r="73307" ht="15.75" customHeight="1">
      <c r="A73307" s="7"/>
      <c r="B73307" s="7"/>
    </row>
    <row r="73308" ht="15.75" customHeight="1">
      <c r="A73308" s="7"/>
      <c r="B73308" s="7"/>
    </row>
    <row r="73309" ht="15.75" customHeight="1">
      <c r="A73309" s="7"/>
      <c r="B73309" s="7"/>
    </row>
    <row r="73310" ht="15.75" customHeight="1">
      <c r="A73310" s="7"/>
      <c r="B73310" s="7"/>
    </row>
    <row r="73311" ht="15.75" customHeight="1">
      <c r="A73311" s="7"/>
      <c r="B73311" s="7"/>
    </row>
    <row r="73312" ht="15.75" customHeight="1">
      <c r="A73312" s="7"/>
      <c r="B73312" s="7"/>
    </row>
    <row r="73313" ht="15.75" customHeight="1">
      <c r="A73313" s="7"/>
      <c r="B73313" s="7"/>
    </row>
    <row r="73314" ht="15.75" customHeight="1">
      <c r="A73314" s="7"/>
      <c r="B73314" s="7"/>
    </row>
    <row r="73315" ht="15.75" customHeight="1">
      <c r="A73315" s="7"/>
      <c r="B73315" s="7"/>
    </row>
    <row r="73316" ht="15.75" customHeight="1">
      <c r="A73316" s="7"/>
      <c r="B73316" s="7"/>
    </row>
    <row r="73317" ht="15.75" customHeight="1">
      <c r="A73317" s="7"/>
      <c r="B73317" s="7"/>
    </row>
    <row r="73318" ht="15.75" customHeight="1">
      <c r="A73318" s="7"/>
      <c r="B73318" s="7"/>
    </row>
    <row r="73319" ht="15.75" customHeight="1">
      <c r="A73319" s="7"/>
      <c r="B73319" s="7"/>
    </row>
    <row r="73320" ht="15.75" customHeight="1">
      <c r="A73320" s="7"/>
      <c r="B73320" s="7"/>
    </row>
    <row r="73321" ht="15.75" customHeight="1">
      <c r="A73321" s="7"/>
      <c r="B73321" s="7"/>
    </row>
    <row r="73322" ht="15.75" customHeight="1">
      <c r="A73322" s="7"/>
      <c r="B73322" s="7"/>
    </row>
    <row r="73323" ht="15.75" customHeight="1">
      <c r="A73323" s="7"/>
      <c r="B73323" s="7"/>
    </row>
    <row r="73324" ht="15.75" customHeight="1">
      <c r="A73324" s="7"/>
      <c r="B73324" s="7"/>
    </row>
    <row r="73325" ht="15.75" customHeight="1">
      <c r="A73325" s="7"/>
      <c r="B73325" s="7"/>
    </row>
    <row r="73326" ht="15.75" customHeight="1">
      <c r="A73326" s="7"/>
      <c r="B73326" s="7"/>
    </row>
    <row r="73327" ht="15.75" customHeight="1">
      <c r="A73327" s="7"/>
      <c r="B73327" s="7"/>
    </row>
    <row r="73328" ht="15.75" customHeight="1">
      <c r="A73328" s="7"/>
      <c r="B73328" s="7"/>
    </row>
    <row r="73329" ht="15.75" customHeight="1">
      <c r="A73329" s="7"/>
      <c r="B73329" s="7"/>
    </row>
    <row r="73330" ht="15.75" customHeight="1">
      <c r="A73330" s="7"/>
      <c r="B73330" s="7"/>
    </row>
    <row r="73331" ht="15.75" customHeight="1">
      <c r="A73331" s="7"/>
      <c r="B73331" s="7"/>
    </row>
    <row r="73332" ht="15.75" customHeight="1">
      <c r="A73332" s="7"/>
      <c r="B73332" s="7"/>
    </row>
    <row r="73333" ht="15.75" customHeight="1">
      <c r="A73333" s="7"/>
      <c r="B73333" s="7"/>
    </row>
    <row r="73334" ht="15.75" customHeight="1">
      <c r="A73334" s="7"/>
      <c r="B73334" s="7"/>
    </row>
    <row r="73335" ht="15.75" customHeight="1">
      <c r="A73335" s="7"/>
      <c r="B73335" s="7"/>
    </row>
    <row r="73336" ht="15.75" customHeight="1">
      <c r="A73336" s="7"/>
      <c r="B73336" s="7"/>
    </row>
    <row r="73337" ht="15.75" customHeight="1">
      <c r="A73337" s="7"/>
      <c r="B73337" s="7"/>
    </row>
    <row r="73338" ht="15.75" customHeight="1">
      <c r="A73338" s="7"/>
      <c r="B73338" s="7"/>
    </row>
    <row r="73339" ht="15.75" customHeight="1">
      <c r="A73339" s="7"/>
      <c r="B73339" s="7"/>
    </row>
    <row r="73340" ht="15.75" customHeight="1">
      <c r="A73340" s="7"/>
      <c r="B73340" s="7"/>
    </row>
    <row r="73341" ht="15.75" customHeight="1">
      <c r="A73341" s="7"/>
      <c r="B73341" s="7"/>
    </row>
    <row r="73342" ht="15.75" customHeight="1">
      <c r="A73342" s="7"/>
      <c r="B73342" s="7"/>
    </row>
    <row r="73343" ht="15.75" customHeight="1">
      <c r="A73343" s="7"/>
      <c r="B73343" s="7"/>
    </row>
    <row r="73344" ht="15.75" customHeight="1">
      <c r="A73344" s="7"/>
      <c r="B73344" s="7"/>
    </row>
    <row r="73345" ht="15.75" customHeight="1">
      <c r="A73345" s="7"/>
      <c r="B73345" s="7"/>
    </row>
    <row r="73346" ht="15.75" customHeight="1">
      <c r="A73346" s="7"/>
      <c r="B73346" s="7"/>
    </row>
    <row r="73347" ht="15.75" customHeight="1">
      <c r="A73347" s="7"/>
      <c r="B73347" s="7"/>
    </row>
    <row r="73348" ht="15.75" customHeight="1">
      <c r="A73348" s="7"/>
      <c r="B73348" s="7"/>
    </row>
    <row r="73349" ht="15.75" customHeight="1">
      <c r="A73349" s="7"/>
      <c r="B73349" s="7"/>
    </row>
    <row r="73350" ht="15.75" customHeight="1">
      <c r="A73350" s="7"/>
      <c r="B73350" s="7"/>
    </row>
    <row r="73351" ht="15.75" customHeight="1">
      <c r="A73351" s="7"/>
      <c r="B73351" s="7"/>
    </row>
    <row r="73352" ht="15.75" customHeight="1">
      <c r="A73352" s="7"/>
      <c r="B73352" s="7"/>
    </row>
    <row r="73353" ht="15.75" customHeight="1">
      <c r="A73353" s="7"/>
      <c r="B73353" s="7"/>
    </row>
    <row r="73354" ht="15.75" customHeight="1">
      <c r="A73354" s="7"/>
      <c r="B73354" s="7"/>
    </row>
    <row r="73355" ht="15.75" customHeight="1">
      <c r="A73355" s="7"/>
      <c r="B73355" s="7"/>
    </row>
    <row r="73356" ht="15.75" customHeight="1">
      <c r="A73356" s="7"/>
      <c r="B73356" s="7"/>
    </row>
    <row r="73357" ht="15.75" customHeight="1">
      <c r="A73357" s="7"/>
      <c r="B73357" s="7"/>
    </row>
    <row r="73358" ht="15.75" customHeight="1">
      <c r="A73358" s="7"/>
      <c r="B73358" s="7"/>
    </row>
    <row r="73359" ht="15.75" customHeight="1">
      <c r="A73359" s="7"/>
      <c r="B73359" s="7"/>
    </row>
    <row r="73360" ht="15.75" customHeight="1">
      <c r="A73360" s="7"/>
      <c r="B73360" s="7"/>
    </row>
    <row r="73361" ht="15.75" customHeight="1">
      <c r="A73361" s="7"/>
      <c r="B73361" s="7"/>
    </row>
    <row r="73362" ht="15.75" customHeight="1">
      <c r="A73362" s="7"/>
      <c r="B73362" s="7"/>
    </row>
    <row r="73363" ht="15.75" customHeight="1">
      <c r="A73363" s="7"/>
      <c r="B73363" s="7"/>
    </row>
    <row r="73364" ht="15.75" customHeight="1">
      <c r="A73364" s="7"/>
      <c r="B73364" s="7"/>
    </row>
    <row r="73365" ht="15.75" customHeight="1">
      <c r="A73365" s="7"/>
      <c r="B73365" s="7"/>
    </row>
    <row r="73366" ht="15.75" customHeight="1">
      <c r="A73366" s="7"/>
      <c r="B73366" s="7"/>
    </row>
    <row r="73367" ht="15.75" customHeight="1">
      <c r="A73367" s="7"/>
      <c r="B73367" s="7"/>
    </row>
    <row r="73368" ht="15.75" customHeight="1">
      <c r="A73368" s="7"/>
      <c r="B73368" s="7"/>
    </row>
    <row r="73369" ht="15.75" customHeight="1">
      <c r="A73369" s="7"/>
      <c r="B73369" s="7"/>
    </row>
    <row r="73370" ht="15.75" customHeight="1">
      <c r="A73370" s="7"/>
      <c r="B73370" s="7"/>
    </row>
    <row r="73371" ht="15.75" customHeight="1">
      <c r="A73371" s="7"/>
      <c r="B73371" s="7"/>
    </row>
    <row r="73372" ht="15.75" customHeight="1">
      <c r="A73372" s="7"/>
      <c r="B73372" s="7"/>
    </row>
    <row r="73373" ht="15.75" customHeight="1">
      <c r="A73373" s="7"/>
      <c r="B73373" s="7"/>
    </row>
    <row r="73374" ht="15.75" customHeight="1">
      <c r="A73374" s="7"/>
      <c r="B73374" s="7"/>
    </row>
    <row r="73375" ht="15.75" customHeight="1">
      <c r="A73375" s="7"/>
      <c r="B73375" s="7"/>
    </row>
    <row r="73376" ht="15.75" customHeight="1">
      <c r="A73376" s="7"/>
      <c r="B73376" s="7"/>
    </row>
    <row r="73377" ht="15.75" customHeight="1">
      <c r="A73377" s="7"/>
      <c r="B73377" s="7"/>
    </row>
    <row r="73378" ht="15.75" customHeight="1">
      <c r="A73378" s="7"/>
      <c r="B73378" s="7"/>
    </row>
    <row r="73379" ht="15.75" customHeight="1">
      <c r="A73379" s="7"/>
      <c r="B73379" s="7"/>
    </row>
    <row r="73380" ht="15.75" customHeight="1">
      <c r="A73380" s="7"/>
      <c r="B73380" s="7"/>
    </row>
    <row r="73381" ht="15.75" customHeight="1">
      <c r="A73381" s="7"/>
      <c r="B73381" s="7"/>
    </row>
    <row r="73382" ht="15.75" customHeight="1">
      <c r="A73382" s="7"/>
      <c r="B73382" s="7"/>
    </row>
    <row r="73383" ht="15.75" customHeight="1">
      <c r="A73383" s="7"/>
      <c r="B73383" s="7"/>
    </row>
    <row r="73384" ht="15.75" customHeight="1">
      <c r="A73384" s="7"/>
      <c r="B73384" s="7"/>
    </row>
    <row r="73385" ht="15.75" customHeight="1">
      <c r="A73385" s="7"/>
      <c r="B73385" s="7"/>
    </row>
    <row r="73386" ht="15.75" customHeight="1">
      <c r="A73386" s="7"/>
      <c r="B73386" s="7"/>
    </row>
    <row r="73387" ht="15.75" customHeight="1">
      <c r="A73387" s="7"/>
      <c r="B73387" s="7"/>
    </row>
    <row r="73388" ht="15.75" customHeight="1">
      <c r="A73388" s="7"/>
      <c r="B73388" s="7"/>
    </row>
    <row r="73389" ht="15.75" customHeight="1">
      <c r="A73389" s="7"/>
      <c r="B73389" s="7"/>
    </row>
    <row r="73390" ht="15.75" customHeight="1">
      <c r="A73390" s="7"/>
      <c r="B73390" s="7"/>
    </row>
    <row r="73391" ht="15.75" customHeight="1">
      <c r="A73391" s="7"/>
      <c r="B73391" s="7"/>
    </row>
    <row r="73392" ht="15.75" customHeight="1">
      <c r="A73392" s="7"/>
      <c r="B73392" s="7"/>
    </row>
    <row r="73393" ht="15.75" customHeight="1">
      <c r="A73393" s="7"/>
      <c r="B73393" s="7"/>
    </row>
    <row r="73394" ht="15.75" customHeight="1">
      <c r="A73394" s="7"/>
      <c r="B73394" s="7"/>
    </row>
    <row r="73395" ht="15.75" customHeight="1">
      <c r="A73395" s="7"/>
      <c r="B73395" s="7"/>
    </row>
    <row r="73396" ht="15.75" customHeight="1">
      <c r="A73396" s="7"/>
      <c r="B73396" s="7"/>
    </row>
    <row r="73397" ht="15.75" customHeight="1">
      <c r="A73397" s="7"/>
      <c r="B73397" s="7"/>
    </row>
    <row r="73398" ht="15.75" customHeight="1">
      <c r="A73398" s="7"/>
      <c r="B73398" s="7"/>
    </row>
    <row r="73399" ht="15.75" customHeight="1">
      <c r="A73399" s="7"/>
      <c r="B73399" s="7"/>
    </row>
    <row r="73400" ht="15.75" customHeight="1">
      <c r="A73400" s="7"/>
      <c r="B73400" s="7"/>
    </row>
    <row r="73401" ht="15.75" customHeight="1">
      <c r="A73401" s="7"/>
      <c r="B73401" s="7"/>
    </row>
    <row r="73402" ht="15.75" customHeight="1">
      <c r="A73402" s="7"/>
      <c r="B73402" s="7"/>
    </row>
    <row r="73403" ht="15.75" customHeight="1">
      <c r="A73403" s="7"/>
      <c r="B73403" s="7"/>
    </row>
    <row r="73404" ht="15.75" customHeight="1">
      <c r="A73404" s="7"/>
      <c r="B73404" s="7"/>
    </row>
    <row r="73405" ht="15.75" customHeight="1">
      <c r="A73405" s="7"/>
      <c r="B73405" s="7"/>
    </row>
    <row r="73406" ht="15.75" customHeight="1">
      <c r="A73406" s="7"/>
      <c r="B73406" s="7"/>
    </row>
    <row r="73407" ht="15.75" customHeight="1">
      <c r="A73407" s="7"/>
      <c r="B73407" s="7"/>
    </row>
    <row r="73408" ht="15.75" customHeight="1">
      <c r="A73408" s="7"/>
      <c r="B73408" s="7"/>
    </row>
    <row r="73409" ht="15.75" customHeight="1">
      <c r="A73409" s="7"/>
      <c r="B73409" s="7"/>
    </row>
    <row r="73410" ht="15.75" customHeight="1">
      <c r="A73410" s="7"/>
      <c r="B73410" s="7"/>
    </row>
    <row r="73411" ht="15.75" customHeight="1">
      <c r="A73411" s="7"/>
      <c r="B73411" s="7"/>
    </row>
    <row r="73412" ht="15.75" customHeight="1">
      <c r="A73412" s="7"/>
      <c r="B73412" s="7"/>
    </row>
    <row r="73413" ht="15.75" customHeight="1">
      <c r="A73413" s="7"/>
      <c r="B73413" s="7"/>
    </row>
    <row r="73414" ht="15.75" customHeight="1">
      <c r="A73414" s="7"/>
      <c r="B73414" s="7"/>
    </row>
    <row r="73415" ht="15.75" customHeight="1">
      <c r="A73415" s="7"/>
      <c r="B73415" s="7"/>
    </row>
    <row r="73416" ht="15.75" customHeight="1">
      <c r="A73416" s="7"/>
      <c r="B73416" s="7"/>
    </row>
    <row r="73417" ht="15.75" customHeight="1">
      <c r="A73417" s="7"/>
      <c r="B73417" s="7"/>
    </row>
    <row r="73418" ht="15.75" customHeight="1">
      <c r="A73418" s="7"/>
      <c r="B73418" s="7"/>
    </row>
    <row r="73419" ht="15.75" customHeight="1">
      <c r="A73419" s="7"/>
      <c r="B73419" s="7"/>
    </row>
    <row r="73420" ht="15.75" customHeight="1">
      <c r="A73420" s="7"/>
      <c r="B73420" s="7"/>
    </row>
    <row r="73421" ht="15.75" customHeight="1">
      <c r="A73421" s="7"/>
      <c r="B73421" s="7"/>
    </row>
    <row r="73422" ht="15.75" customHeight="1">
      <c r="A73422" s="7"/>
      <c r="B73422" s="7"/>
    </row>
    <row r="73423" ht="15.75" customHeight="1">
      <c r="A73423" s="7"/>
      <c r="B73423" s="7"/>
    </row>
    <row r="73424" ht="15.75" customHeight="1">
      <c r="A73424" s="7"/>
      <c r="B73424" s="7"/>
    </row>
    <row r="73425" ht="15.75" customHeight="1">
      <c r="A73425" s="7"/>
      <c r="B73425" s="7"/>
    </row>
    <row r="73426" ht="15.75" customHeight="1">
      <c r="A73426" s="7"/>
      <c r="B73426" s="7"/>
    </row>
    <row r="73427" ht="15.75" customHeight="1">
      <c r="A73427" s="7"/>
      <c r="B73427" s="7"/>
    </row>
    <row r="73428" ht="15.75" customHeight="1">
      <c r="A73428" s="7"/>
      <c r="B73428" s="7"/>
    </row>
    <row r="73429" ht="15.75" customHeight="1">
      <c r="A73429" s="7"/>
      <c r="B73429" s="7"/>
    </row>
    <row r="73430" ht="15.75" customHeight="1">
      <c r="A73430" s="7"/>
      <c r="B73430" s="7"/>
    </row>
    <row r="73431" ht="15.75" customHeight="1">
      <c r="A73431" s="7"/>
      <c r="B73431" s="7"/>
    </row>
    <row r="73432" ht="15.75" customHeight="1">
      <c r="A73432" s="7"/>
      <c r="B73432" s="7"/>
    </row>
    <row r="73433" ht="15.75" customHeight="1">
      <c r="A73433" s="7"/>
      <c r="B73433" s="7"/>
    </row>
    <row r="73434" ht="15.75" customHeight="1">
      <c r="A73434" s="7"/>
      <c r="B73434" s="7"/>
    </row>
    <row r="73435" ht="15.75" customHeight="1">
      <c r="A73435" s="7"/>
      <c r="B73435" s="7"/>
    </row>
    <row r="73436" ht="15.75" customHeight="1">
      <c r="A73436" s="7"/>
      <c r="B73436" s="7"/>
    </row>
    <row r="73437" ht="15.75" customHeight="1">
      <c r="A73437" s="7"/>
      <c r="B73437" s="7"/>
    </row>
    <row r="73438" ht="15.75" customHeight="1">
      <c r="A73438" s="7"/>
      <c r="B73438" s="7"/>
    </row>
    <row r="73439" ht="15.75" customHeight="1">
      <c r="A73439" s="7"/>
      <c r="B73439" s="7"/>
    </row>
    <row r="73440" ht="15.75" customHeight="1">
      <c r="A73440" s="7"/>
      <c r="B73440" s="7"/>
    </row>
    <row r="73441" ht="15.75" customHeight="1">
      <c r="A73441" s="7"/>
      <c r="B73441" s="7"/>
    </row>
    <row r="73442" ht="15.75" customHeight="1">
      <c r="A73442" s="7"/>
      <c r="B73442" s="7"/>
    </row>
    <row r="73443" ht="15.75" customHeight="1">
      <c r="A73443" s="7"/>
      <c r="B73443" s="7"/>
    </row>
    <row r="73444" ht="15.75" customHeight="1">
      <c r="A73444" s="7"/>
      <c r="B73444" s="7"/>
    </row>
    <row r="73445" ht="15.75" customHeight="1">
      <c r="A73445" s="7"/>
      <c r="B73445" s="7"/>
    </row>
    <row r="73446" ht="15.75" customHeight="1">
      <c r="A73446" s="7"/>
      <c r="B73446" s="7"/>
    </row>
    <row r="73447" ht="15.75" customHeight="1">
      <c r="A73447" s="7"/>
      <c r="B73447" s="7"/>
    </row>
    <row r="73448" ht="15.75" customHeight="1">
      <c r="A73448" s="7"/>
      <c r="B73448" s="7"/>
    </row>
    <row r="73449" ht="15.75" customHeight="1">
      <c r="A73449" s="7"/>
      <c r="B73449" s="7"/>
    </row>
    <row r="73450" ht="15.75" customHeight="1">
      <c r="A73450" s="7"/>
      <c r="B73450" s="7"/>
    </row>
    <row r="73451" ht="15.75" customHeight="1">
      <c r="A73451" s="7"/>
      <c r="B73451" s="7"/>
    </row>
    <row r="73452" ht="15.75" customHeight="1">
      <c r="A73452" s="7"/>
      <c r="B73452" s="7"/>
    </row>
    <row r="73453" ht="15.75" customHeight="1">
      <c r="A73453" s="7"/>
      <c r="B73453" s="7"/>
    </row>
    <row r="73454" ht="15.75" customHeight="1">
      <c r="A73454" s="7"/>
      <c r="B73454" s="7"/>
    </row>
    <row r="73455" ht="15.75" customHeight="1">
      <c r="A73455" s="7"/>
      <c r="B73455" s="7"/>
    </row>
    <row r="73456" ht="15.75" customHeight="1">
      <c r="A73456" s="7"/>
      <c r="B73456" s="7"/>
    </row>
    <row r="73457" ht="15.75" customHeight="1">
      <c r="A73457" s="7"/>
      <c r="B73457" s="7"/>
    </row>
    <row r="73458" ht="15.75" customHeight="1">
      <c r="A73458" s="7"/>
      <c r="B73458" s="7"/>
    </row>
    <row r="73459" ht="15.75" customHeight="1">
      <c r="A73459" s="7"/>
      <c r="B73459" s="7"/>
    </row>
    <row r="73460" ht="15.75" customHeight="1">
      <c r="A73460" s="7"/>
      <c r="B73460" s="7"/>
    </row>
    <row r="73461" ht="15.75" customHeight="1">
      <c r="A73461" s="7"/>
      <c r="B73461" s="7"/>
    </row>
    <row r="73462" ht="15.75" customHeight="1">
      <c r="A73462" s="7"/>
      <c r="B73462" s="7"/>
    </row>
    <row r="73463" ht="15.75" customHeight="1">
      <c r="A73463" s="7"/>
      <c r="B73463" s="7"/>
    </row>
    <row r="73464" ht="15.75" customHeight="1">
      <c r="A73464" s="7"/>
      <c r="B73464" s="7"/>
    </row>
    <row r="73465" ht="15.75" customHeight="1">
      <c r="A73465" s="7"/>
      <c r="B73465" s="7"/>
    </row>
    <row r="73466" ht="15.75" customHeight="1">
      <c r="A73466" s="7"/>
      <c r="B73466" s="7"/>
    </row>
    <row r="73467" ht="15.75" customHeight="1">
      <c r="A73467" s="7"/>
      <c r="B73467" s="7"/>
    </row>
    <row r="73468" ht="15.75" customHeight="1">
      <c r="A73468" s="7"/>
      <c r="B73468" s="7"/>
    </row>
    <row r="73469" ht="15.75" customHeight="1">
      <c r="A73469" s="7"/>
      <c r="B73469" s="7"/>
    </row>
    <row r="73470" ht="15.75" customHeight="1">
      <c r="A73470" s="7"/>
      <c r="B73470" s="7"/>
    </row>
    <row r="73471" ht="15.75" customHeight="1">
      <c r="A73471" s="7"/>
      <c r="B73471" s="7"/>
    </row>
    <row r="73472" ht="15.75" customHeight="1">
      <c r="A73472" s="7"/>
      <c r="B73472" s="7"/>
    </row>
    <row r="73473" ht="15.75" customHeight="1">
      <c r="A73473" s="7"/>
      <c r="B73473" s="7"/>
    </row>
    <row r="73474" ht="15.75" customHeight="1">
      <c r="A73474" s="7"/>
      <c r="B73474" s="7"/>
    </row>
    <row r="73475" ht="15.75" customHeight="1">
      <c r="A73475" s="7"/>
      <c r="B73475" s="7"/>
    </row>
    <row r="73476" ht="15.75" customHeight="1">
      <c r="A73476" s="7"/>
      <c r="B73476" s="7"/>
    </row>
    <row r="73477" ht="15.75" customHeight="1">
      <c r="A73477" s="7"/>
      <c r="B73477" s="7"/>
    </row>
    <row r="73478" ht="15.75" customHeight="1">
      <c r="A73478" s="7"/>
      <c r="B73478" s="7"/>
    </row>
    <row r="73479" ht="15.75" customHeight="1">
      <c r="A73479" s="7"/>
      <c r="B73479" s="7"/>
    </row>
    <row r="73480" ht="15.75" customHeight="1">
      <c r="A73480" s="7"/>
      <c r="B73480" s="7"/>
    </row>
    <row r="73481" ht="15.75" customHeight="1">
      <c r="A73481" s="7"/>
      <c r="B73481" s="7"/>
    </row>
    <row r="73482" ht="15.75" customHeight="1">
      <c r="A73482" s="7"/>
      <c r="B73482" s="7"/>
    </row>
    <row r="73483" ht="15.75" customHeight="1">
      <c r="A73483" s="7"/>
      <c r="B73483" s="7"/>
    </row>
    <row r="73484" ht="15.75" customHeight="1">
      <c r="A73484" s="7"/>
      <c r="B73484" s="7"/>
    </row>
    <row r="73485" ht="15.75" customHeight="1">
      <c r="A73485" s="7"/>
      <c r="B73485" s="7"/>
    </row>
    <row r="73486" ht="15.75" customHeight="1">
      <c r="A73486" s="7"/>
      <c r="B73486" s="7"/>
    </row>
    <row r="73487" ht="15.75" customHeight="1">
      <c r="A73487" s="7"/>
      <c r="B73487" s="7"/>
    </row>
    <row r="73488" ht="15.75" customHeight="1">
      <c r="A73488" s="7"/>
      <c r="B73488" s="7"/>
    </row>
    <row r="73489" ht="15.75" customHeight="1">
      <c r="A73489" s="7"/>
      <c r="B73489" s="7"/>
    </row>
    <row r="73490" ht="15.75" customHeight="1">
      <c r="A73490" s="7"/>
      <c r="B73490" s="7"/>
    </row>
    <row r="73491" ht="15.75" customHeight="1">
      <c r="A73491" s="7"/>
      <c r="B73491" s="7"/>
    </row>
    <row r="73492" ht="15.75" customHeight="1">
      <c r="A73492" s="7"/>
      <c r="B73492" s="7"/>
    </row>
    <row r="73493" ht="15.75" customHeight="1">
      <c r="A73493" s="7"/>
      <c r="B73493" s="7"/>
    </row>
    <row r="73494" ht="15.75" customHeight="1">
      <c r="A73494" s="7"/>
      <c r="B73494" s="7"/>
    </row>
    <row r="73495" ht="15.75" customHeight="1">
      <c r="A73495" s="7"/>
      <c r="B73495" s="7"/>
    </row>
    <row r="73496" ht="15.75" customHeight="1">
      <c r="A73496" s="7"/>
      <c r="B73496" s="7"/>
    </row>
    <row r="73497" ht="15.75" customHeight="1">
      <c r="A73497" s="7"/>
      <c r="B73497" s="7"/>
    </row>
    <row r="73498" ht="15.75" customHeight="1">
      <c r="A73498" s="7"/>
      <c r="B73498" s="7"/>
    </row>
    <row r="73499" ht="15.75" customHeight="1">
      <c r="A73499" s="7"/>
      <c r="B73499" s="7"/>
    </row>
    <row r="73500" ht="15.75" customHeight="1">
      <c r="A73500" s="7"/>
      <c r="B73500" s="7"/>
    </row>
    <row r="73501" ht="15.75" customHeight="1">
      <c r="A73501" s="7"/>
      <c r="B73501" s="7"/>
    </row>
    <row r="73502" ht="15.75" customHeight="1">
      <c r="A73502" s="7"/>
      <c r="B73502" s="7"/>
    </row>
    <row r="73503" ht="15.75" customHeight="1">
      <c r="A73503" s="7"/>
      <c r="B73503" s="7"/>
    </row>
    <row r="73504" ht="15.75" customHeight="1">
      <c r="A73504" s="7"/>
      <c r="B73504" s="7"/>
    </row>
    <row r="73505" ht="15.75" customHeight="1">
      <c r="A73505" s="7"/>
      <c r="B73505" s="7"/>
    </row>
    <row r="73506" ht="15.75" customHeight="1">
      <c r="A73506" s="7"/>
      <c r="B73506" s="7"/>
    </row>
    <row r="73507" ht="15.75" customHeight="1">
      <c r="A73507" s="7"/>
      <c r="B73507" s="7"/>
    </row>
    <row r="73508" ht="15.75" customHeight="1">
      <c r="A73508" s="7"/>
      <c r="B73508" s="7"/>
    </row>
    <row r="73509" ht="15.75" customHeight="1">
      <c r="A73509" s="7"/>
      <c r="B73509" s="7"/>
    </row>
    <row r="73510" ht="15.75" customHeight="1">
      <c r="A73510" s="7"/>
      <c r="B73510" s="7"/>
    </row>
    <row r="73511" ht="15.75" customHeight="1">
      <c r="A73511" s="7"/>
      <c r="B73511" s="7"/>
    </row>
    <row r="73512" ht="15.75" customHeight="1">
      <c r="A73512" s="7"/>
      <c r="B73512" s="7"/>
    </row>
    <row r="73513" ht="15.75" customHeight="1">
      <c r="A73513" s="7"/>
      <c r="B73513" s="7"/>
    </row>
    <row r="73514" ht="15.75" customHeight="1">
      <c r="A73514" s="7"/>
      <c r="B73514" s="7"/>
    </row>
    <row r="73515" ht="15.75" customHeight="1">
      <c r="A73515" s="7"/>
      <c r="B73515" s="7"/>
    </row>
    <row r="73516" ht="15.75" customHeight="1">
      <c r="A73516" s="7"/>
      <c r="B73516" s="7"/>
    </row>
    <row r="73517" ht="15.75" customHeight="1">
      <c r="A73517" s="7"/>
      <c r="B73517" s="7"/>
    </row>
    <row r="73518" ht="15.75" customHeight="1">
      <c r="A73518" s="7"/>
      <c r="B73518" s="7"/>
    </row>
    <row r="73519" ht="15.75" customHeight="1">
      <c r="A73519" s="7"/>
      <c r="B73519" s="7"/>
    </row>
    <row r="73520" ht="15.75" customHeight="1">
      <c r="A73520" s="7"/>
      <c r="B73520" s="7"/>
    </row>
    <row r="73521" ht="15.75" customHeight="1">
      <c r="A73521" s="7"/>
      <c r="B73521" s="7"/>
    </row>
    <row r="73522" ht="15.75" customHeight="1">
      <c r="A73522" s="7"/>
      <c r="B73522" s="7"/>
    </row>
    <row r="73523" ht="15.75" customHeight="1">
      <c r="A73523" s="7"/>
      <c r="B73523" s="7"/>
    </row>
    <row r="73524" ht="15.75" customHeight="1">
      <c r="A73524" s="7"/>
      <c r="B73524" s="7"/>
    </row>
    <row r="73525" ht="15.75" customHeight="1">
      <c r="A73525" s="7"/>
      <c r="B73525" s="7"/>
    </row>
    <row r="73526" ht="15.75" customHeight="1">
      <c r="A73526" s="7"/>
      <c r="B73526" s="7"/>
    </row>
    <row r="73527" ht="15.75" customHeight="1">
      <c r="A73527" s="7"/>
      <c r="B73527" s="7"/>
    </row>
    <row r="73528" ht="15.75" customHeight="1">
      <c r="A73528" s="7"/>
      <c r="B73528" s="7"/>
    </row>
    <row r="73529" ht="15.75" customHeight="1">
      <c r="A73529" s="7"/>
      <c r="B73529" s="7"/>
    </row>
    <row r="73530" ht="15.75" customHeight="1">
      <c r="A73530" s="7"/>
      <c r="B73530" s="7"/>
    </row>
    <row r="73531" ht="15.75" customHeight="1">
      <c r="A73531" s="7"/>
      <c r="B73531" s="7"/>
    </row>
    <row r="73532" ht="15.75" customHeight="1">
      <c r="A73532" s="7"/>
      <c r="B73532" s="7"/>
    </row>
    <row r="73533" ht="15.75" customHeight="1">
      <c r="A73533" s="7"/>
      <c r="B73533" s="7"/>
    </row>
    <row r="73534" ht="15.75" customHeight="1">
      <c r="A73534" s="7"/>
      <c r="B73534" s="7"/>
    </row>
    <row r="73535" ht="15.75" customHeight="1">
      <c r="A73535" s="7"/>
      <c r="B73535" s="7"/>
    </row>
    <row r="73536" ht="15.75" customHeight="1">
      <c r="A73536" s="7"/>
      <c r="B73536" s="7"/>
    </row>
    <row r="73537" ht="15.75" customHeight="1">
      <c r="A73537" s="7"/>
      <c r="B73537" s="7"/>
    </row>
    <row r="73538" ht="15.75" customHeight="1">
      <c r="A73538" s="7"/>
      <c r="B73538" s="7"/>
    </row>
    <row r="73539" ht="15.75" customHeight="1">
      <c r="A73539" s="7"/>
      <c r="B73539" s="7"/>
    </row>
    <row r="73540" ht="15.75" customHeight="1">
      <c r="A73540" s="7"/>
      <c r="B73540" s="7"/>
    </row>
    <row r="73541" ht="15.75" customHeight="1">
      <c r="A73541" s="7"/>
      <c r="B73541" s="7"/>
    </row>
    <row r="73542" ht="15.75" customHeight="1">
      <c r="A73542" s="7"/>
      <c r="B73542" s="7"/>
    </row>
    <row r="73543" ht="15.75" customHeight="1">
      <c r="A73543" s="7"/>
      <c r="B73543" s="7"/>
    </row>
    <row r="73544" ht="15.75" customHeight="1">
      <c r="A73544" s="7"/>
      <c r="B73544" s="7"/>
    </row>
    <row r="73545" ht="15.75" customHeight="1">
      <c r="A73545" s="7"/>
      <c r="B73545" s="7"/>
    </row>
    <row r="73546" ht="15.75" customHeight="1">
      <c r="A73546" s="7"/>
      <c r="B73546" s="7"/>
    </row>
    <row r="73547" ht="15.75" customHeight="1">
      <c r="A73547" s="7"/>
      <c r="B73547" s="7"/>
    </row>
    <row r="73548" ht="15.75" customHeight="1">
      <c r="A73548" s="7"/>
      <c r="B73548" s="7"/>
    </row>
    <row r="73549" ht="15.75" customHeight="1">
      <c r="A73549" s="7"/>
      <c r="B73549" s="7"/>
    </row>
    <row r="73550" ht="15.75" customHeight="1">
      <c r="A73550" s="7"/>
      <c r="B73550" s="7"/>
    </row>
    <row r="73551" ht="15.75" customHeight="1">
      <c r="A73551" s="7"/>
      <c r="B73551" s="7"/>
    </row>
    <row r="73552" ht="15.75" customHeight="1">
      <c r="A73552" s="7"/>
      <c r="B73552" s="7"/>
    </row>
    <row r="73553" ht="15.75" customHeight="1">
      <c r="A73553" s="7"/>
      <c r="B73553" s="7"/>
    </row>
    <row r="73554" ht="15.75" customHeight="1">
      <c r="A73554" s="7"/>
      <c r="B73554" s="7"/>
    </row>
    <row r="73555" ht="15.75" customHeight="1">
      <c r="A73555" s="7"/>
      <c r="B73555" s="7"/>
    </row>
    <row r="73556" ht="15.75" customHeight="1">
      <c r="A73556" s="7"/>
      <c r="B73556" s="7"/>
    </row>
    <row r="73557" ht="15.75" customHeight="1">
      <c r="A73557" s="7"/>
      <c r="B73557" s="7"/>
    </row>
    <row r="73558" ht="15.75" customHeight="1">
      <c r="A73558" s="7"/>
      <c r="B73558" s="7"/>
    </row>
    <row r="73559" ht="15.75" customHeight="1">
      <c r="A73559" s="7"/>
      <c r="B73559" s="7"/>
    </row>
    <row r="73560" ht="15.75" customHeight="1">
      <c r="A73560" s="7"/>
      <c r="B73560" s="7"/>
    </row>
    <row r="73561" ht="15.75" customHeight="1">
      <c r="A73561" s="7"/>
      <c r="B73561" s="7"/>
    </row>
    <row r="73562" ht="15.75" customHeight="1">
      <c r="A73562" s="7"/>
      <c r="B73562" s="7"/>
    </row>
    <row r="73563" ht="15.75" customHeight="1">
      <c r="A73563" s="7"/>
      <c r="B73563" s="7"/>
    </row>
    <row r="73564" ht="15.75" customHeight="1">
      <c r="A73564" s="7"/>
      <c r="B73564" s="7"/>
    </row>
    <row r="73565" ht="15.75" customHeight="1">
      <c r="A73565" s="7"/>
      <c r="B73565" s="7"/>
    </row>
    <row r="73566" ht="15.75" customHeight="1">
      <c r="A73566" s="7"/>
      <c r="B73566" s="7"/>
    </row>
    <row r="73567" ht="15.75" customHeight="1">
      <c r="A73567" s="7"/>
      <c r="B73567" s="7"/>
    </row>
    <row r="73568" ht="15.75" customHeight="1">
      <c r="A73568" s="7"/>
      <c r="B73568" s="7"/>
    </row>
    <row r="73569" ht="15.75" customHeight="1">
      <c r="A73569" s="7"/>
      <c r="B73569" s="7"/>
    </row>
    <row r="73570" ht="15.75" customHeight="1">
      <c r="A73570" s="7"/>
      <c r="B73570" s="7"/>
    </row>
    <row r="73571" ht="15.75" customHeight="1">
      <c r="A73571" s="7"/>
      <c r="B73571" s="7"/>
    </row>
    <row r="73572" ht="15.75" customHeight="1">
      <c r="A73572" s="7"/>
      <c r="B73572" s="7"/>
    </row>
    <row r="73573" ht="15.75" customHeight="1">
      <c r="A73573" s="7"/>
      <c r="B73573" s="7"/>
    </row>
    <row r="73574" ht="15.75" customHeight="1">
      <c r="A73574" s="7"/>
      <c r="B73574" s="7"/>
    </row>
    <row r="73575" ht="15.75" customHeight="1">
      <c r="A73575" s="7"/>
      <c r="B73575" s="7"/>
    </row>
    <row r="73576" ht="15.75" customHeight="1">
      <c r="A73576" s="7"/>
      <c r="B73576" s="7"/>
    </row>
    <row r="73577" ht="15.75" customHeight="1">
      <c r="A73577" s="7"/>
      <c r="B73577" s="7"/>
    </row>
    <row r="73578" ht="15.75" customHeight="1">
      <c r="A73578" s="7"/>
      <c r="B73578" s="7"/>
    </row>
    <row r="73579" ht="15.75" customHeight="1">
      <c r="A73579" s="7"/>
      <c r="B73579" s="7"/>
    </row>
    <row r="73580" ht="15.75" customHeight="1">
      <c r="A73580" s="7"/>
      <c r="B73580" s="7"/>
    </row>
    <row r="73581" ht="15.75" customHeight="1">
      <c r="A73581" s="7"/>
      <c r="B73581" s="7"/>
    </row>
    <row r="73582" ht="15.75" customHeight="1">
      <c r="A73582" s="7"/>
      <c r="B73582" s="7"/>
    </row>
    <row r="73583" ht="15.75" customHeight="1">
      <c r="A73583" s="7"/>
      <c r="B73583" s="7"/>
    </row>
    <row r="73584" ht="15.75" customHeight="1">
      <c r="A73584" s="7"/>
      <c r="B73584" s="7"/>
    </row>
    <row r="73585" ht="15.75" customHeight="1">
      <c r="A73585" s="7"/>
      <c r="B73585" s="7"/>
    </row>
    <row r="73586" ht="15.75" customHeight="1">
      <c r="A73586" s="7"/>
      <c r="B73586" s="7"/>
    </row>
    <row r="73587" ht="15.75" customHeight="1">
      <c r="A73587" s="7"/>
      <c r="B73587" s="7"/>
    </row>
    <row r="73588" ht="15.75" customHeight="1">
      <c r="A73588" s="7"/>
      <c r="B73588" s="7"/>
    </row>
    <row r="73589" ht="15.75" customHeight="1">
      <c r="A73589" s="7"/>
      <c r="B73589" s="7"/>
    </row>
    <row r="73590" ht="15.75" customHeight="1">
      <c r="A73590" s="7"/>
      <c r="B73590" s="7"/>
    </row>
    <row r="73591" ht="15.75" customHeight="1">
      <c r="A73591" s="7"/>
      <c r="B73591" s="7"/>
    </row>
    <row r="73592" ht="15.75" customHeight="1">
      <c r="A73592" s="7"/>
      <c r="B73592" s="7"/>
    </row>
    <row r="73593" ht="15.75" customHeight="1">
      <c r="A73593" s="7"/>
      <c r="B73593" s="7"/>
    </row>
    <row r="73594" ht="15.75" customHeight="1">
      <c r="A73594" s="7"/>
      <c r="B73594" s="7"/>
    </row>
    <row r="73595" ht="15.75" customHeight="1">
      <c r="A73595" s="7"/>
      <c r="B73595" s="7"/>
    </row>
    <row r="73596" ht="15.75" customHeight="1">
      <c r="A73596" s="7"/>
      <c r="B73596" s="7"/>
    </row>
    <row r="73597" ht="15.75" customHeight="1">
      <c r="A73597" s="7"/>
      <c r="B73597" s="7"/>
    </row>
    <row r="73598" ht="15.75" customHeight="1">
      <c r="A73598" s="7"/>
      <c r="B73598" s="7"/>
    </row>
    <row r="73599" ht="15.75" customHeight="1">
      <c r="A73599" s="7"/>
      <c r="B73599" s="7"/>
    </row>
    <row r="73600" ht="15.75" customHeight="1">
      <c r="A73600" s="7"/>
      <c r="B73600" s="7"/>
    </row>
    <row r="73601" ht="15.75" customHeight="1">
      <c r="A73601" s="7"/>
      <c r="B73601" s="7"/>
    </row>
    <row r="73602" ht="15.75" customHeight="1">
      <c r="A73602" s="7"/>
      <c r="B73602" s="7"/>
    </row>
    <row r="73603" ht="15.75" customHeight="1">
      <c r="A73603" s="7"/>
      <c r="B73603" s="7"/>
    </row>
    <row r="73604" ht="15.75" customHeight="1">
      <c r="A73604" s="7"/>
      <c r="B73604" s="7"/>
    </row>
    <row r="73605" ht="15.75" customHeight="1">
      <c r="A73605" s="7"/>
      <c r="B73605" s="7"/>
    </row>
    <row r="73606" ht="15.75" customHeight="1">
      <c r="A73606" s="7"/>
      <c r="B73606" s="7"/>
    </row>
    <row r="73607" ht="15.75" customHeight="1">
      <c r="A73607" s="7"/>
      <c r="B73607" s="7"/>
    </row>
    <row r="73608" ht="15.75" customHeight="1">
      <c r="A73608" s="7"/>
      <c r="B73608" s="7"/>
    </row>
    <row r="73609" ht="15.75" customHeight="1">
      <c r="A73609" s="7"/>
      <c r="B73609" s="7"/>
    </row>
    <row r="73610" ht="15.75" customHeight="1">
      <c r="A73610" s="7"/>
      <c r="B73610" s="7"/>
    </row>
    <row r="73611" ht="15.75" customHeight="1">
      <c r="A73611" s="7"/>
      <c r="B73611" s="7"/>
    </row>
    <row r="73612" ht="15.75" customHeight="1">
      <c r="A73612" s="7"/>
      <c r="B73612" s="7"/>
    </row>
    <row r="73613" ht="15.75" customHeight="1">
      <c r="A73613" s="7"/>
      <c r="B73613" s="7"/>
    </row>
    <row r="73614" ht="15.75" customHeight="1">
      <c r="A73614" s="7"/>
      <c r="B73614" s="7"/>
    </row>
    <row r="73615" ht="15.75" customHeight="1">
      <c r="A73615" s="7"/>
      <c r="B73615" s="7"/>
    </row>
    <row r="73616" ht="15.75" customHeight="1">
      <c r="A73616" s="7"/>
      <c r="B73616" s="7"/>
    </row>
    <row r="73617" ht="15.75" customHeight="1">
      <c r="A73617" s="7"/>
      <c r="B73617" s="7"/>
    </row>
    <row r="73618" ht="15.75" customHeight="1">
      <c r="A73618" s="7"/>
      <c r="B73618" s="7"/>
    </row>
    <row r="73619" ht="15.75" customHeight="1">
      <c r="A73619" s="7"/>
      <c r="B73619" s="7"/>
    </row>
    <row r="73620" ht="15.75" customHeight="1">
      <c r="A73620" s="7"/>
      <c r="B73620" s="7"/>
    </row>
    <row r="73621" ht="15.75" customHeight="1">
      <c r="A73621" s="7"/>
      <c r="B73621" s="7"/>
    </row>
    <row r="73622" ht="15.75" customHeight="1">
      <c r="A73622" s="7"/>
      <c r="B73622" s="7"/>
    </row>
    <row r="73623" ht="15.75" customHeight="1">
      <c r="A73623" s="7"/>
      <c r="B73623" s="7"/>
    </row>
    <row r="73624" ht="15.75" customHeight="1">
      <c r="A73624" s="7"/>
      <c r="B73624" s="7"/>
    </row>
    <row r="73625" ht="15.75" customHeight="1">
      <c r="A73625" s="7"/>
      <c r="B73625" s="7"/>
    </row>
    <row r="73626" ht="15.75" customHeight="1">
      <c r="A73626" s="7"/>
      <c r="B73626" s="7"/>
    </row>
    <row r="73627" ht="15.75" customHeight="1">
      <c r="A73627" s="7"/>
      <c r="B73627" s="7"/>
    </row>
    <row r="73628" ht="15.75" customHeight="1">
      <c r="A73628" s="7"/>
      <c r="B73628" s="7"/>
    </row>
    <row r="73629" ht="15.75" customHeight="1">
      <c r="A73629" s="7"/>
      <c r="B73629" s="7"/>
    </row>
    <row r="73630" ht="15.75" customHeight="1">
      <c r="A73630" s="7"/>
      <c r="B73630" s="7"/>
    </row>
    <row r="73631" ht="15.75" customHeight="1">
      <c r="A73631" s="7"/>
      <c r="B73631" s="7"/>
    </row>
    <row r="73632" ht="15.75" customHeight="1">
      <c r="A73632" s="7"/>
      <c r="B73632" s="7"/>
    </row>
    <row r="73633" ht="15.75" customHeight="1">
      <c r="A73633" s="7"/>
      <c r="B73633" s="7"/>
    </row>
    <row r="73634" ht="15.75" customHeight="1">
      <c r="A73634" s="7"/>
      <c r="B73634" s="7"/>
    </row>
    <row r="73635" ht="15.75" customHeight="1">
      <c r="A73635" s="7"/>
      <c r="B73635" s="7"/>
    </row>
    <row r="73636" ht="15.75" customHeight="1">
      <c r="A73636" s="7"/>
      <c r="B73636" s="7"/>
    </row>
    <row r="73637" ht="15.75" customHeight="1">
      <c r="A73637" s="7"/>
      <c r="B73637" s="7"/>
    </row>
    <row r="73638" ht="15.75" customHeight="1">
      <c r="A73638" s="7"/>
      <c r="B73638" s="7"/>
    </row>
    <row r="73639" ht="15.75" customHeight="1">
      <c r="A73639" s="7"/>
      <c r="B73639" s="7"/>
    </row>
    <row r="73640" ht="15.75" customHeight="1">
      <c r="A73640" s="7"/>
      <c r="B73640" s="7"/>
    </row>
    <row r="73641" ht="15.75" customHeight="1">
      <c r="A73641" s="7"/>
      <c r="B73641" s="7"/>
    </row>
    <row r="73642" ht="15.75" customHeight="1">
      <c r="A73642" s="7"/>
      <c r="B73642" s="7"/>
    </row>
    <row r="73643" ht="15.75" customHeight="1">
      <c r="A73643" s="7"/>
      <c r="B73643" s="7"/>
    </row>
    <row r="73644" ht="15.75" customHeight="1">
      <c r="A73644" s="7"/>
      <c r="B73644" s="7"/>
    </row>
    <row r="73645" ht="15.75" customHeight="1">
      <c r="A73645" s="7"/>
      <c r="B73645" s="7"/>
    </row>
    <row r="73646" ht="15.75" customHeight="1">
      <c r="A73646" s="7"/>
      <c r="B73646" s="7"/>
    </row>
    <row r="73647" ht="15.75" customHeight="1">
      <c r="A73647" s="7"/>
      <c r="B73647" s="7"/>
    </row>
    <row r="73648" ht="15.75" customHeight="1">
      <c r="A73648" s="7"/>
      <c r="B73648" s="7"/>
    </row>
    <row r="73649" ht="15.75" customHeight="1">
      <c r="A73649" s="7"/>
      <c r="B73649" s="7"/>
    </row>
    <row r="73650" ht="15.75" customHeight="1">
      <c r="A73650" s="7"/>
      <c r="B73650" s="7"/>
    </row>
    <row r="73651" ht="15.75" customHeight="1">
      <c r="A73651" s="7"/>
      <c r="B73651" s="7"/>
    </row>
    <row r="73652" ht="15.75" customHeight="1">
      <c r="A73652" s="7"/>
      <c r="B73652" s="7"/>
    </row>
    <row r="73653" ht="15.75" customHeight="1">
      <c r="A73653" s="7"/>
      <c r="B73653" s="7"/>
    </row>
    <row r="73654" ht="15.75" customHeight="1">
      <c r="A73654" s="7"/>
      <c r="B73654" s="7"/>
    </row>
    <row r="73655" ht="15.75" customHeight="1">
      <c r="A73655" s="7"/>
      <c r="B73655" s="7"/>
    </row>
    <row r="73656" ht="15.75" customHeight="1">
      <c r="A73656" s="7"/>
      <c r="B73656" s="7"/>
    </row>
    <row r="73657" ht="15.75" customHeight="1">
      <c r="A73657" s="7"/>
      <c r="B73657" s="7"/>
    </row>
    <row r="73658" ht="15.75" customHeight="1">
      <c r="A73658" s="7"/>
      <c r="B73658" s="7"/>
    </row>
    <row r="73659" ht="15.75" customHeight="1">
      <c r="A73659" s="7"/>
      <c r="B73659" s="7"/>
    </row>
    <row r="73660" ht="15.75" customHeight="1">
      <c r="A73660" s="7"/>
      <c r="B73660" s="7"/>
    </row>
    <row r="73661" ht="15.75" customHeight="1">
      <c r="A73661" s="7"/>
      <c r="B73661" s="7"/>
    </row>
    <row r="73662" ht="15.75" customHeight="1">
      <c r="A73662" s="7"/>
      <c r="B73662" s="7"/>
    </row>
    <row r="73663" ht="15.75" customHeight="1">
      <c r="A73663" s="7"/>
      <c r="B73663" s="7"/>
    </row>
    <row r="73664" ht="15.75" customHeight="1">
      <c r="A73664" s="7"/>
      <c r="B73664" s="7"/>
    </row>
    <row r="73665" ht="15.75" customHeight="1">
      <c r="A73665" s="7"/>
      <c r="B73665" s="7"/>
    </row>
    <row r="73666" ht="15.75" customHeight="1">
      <c r="A73666" s="7"/>
      <c r="B73666" s="7"/>
    </row>
    <row r="73667" ht="15.75" customHeight="1">
      <c r="A73667" s="7"/>
      <c r="B73667" s="7"/>
    </row>
    <row r="73668" ht="15.75" customHeight="1">
      <c r="A73668" s="7"/>
      <c r="B73668" s="7"/>
    </row>
    <row r="73669" ht="15.75" customHeight="1">
      <c r="A73669" s="7"/>
      <c r="B73669" s="7"/>
    </row>
    <row r="73670" ht="15.75" customHeight="1">
      <c r="A73670" s="7"/>
      <c r="B73670" s="7"/>
    </row>
    <row r="73671" ht="15.75" customHeight="1">
      <c r="A73671" s="7"/>
      <c r="B73671" s="7"/>
    </row>
    <row r="73672" ht="15.75" customHeight="1">
      <c r="A73672" s="7"/>
      <c r="B73672" s="7"/>
    </row>
    <row r="73673" ht="15.75" customHeight="1">
      <c r="A73673" s="7"/>
      <c r="B73673" s="7"/>
    </row>
    <row r="73674" ht="15.75" customHeight="1">
      <c r="A73674" s="7"/>
      <c r="B73674" s="7"/>
    </row>
    <row r="73675" ht="15.75" customHeight="1">
      <c r="A73675" s="7"/>
      <c r="B73675" s="7"/>
    </row>
    <row r="73676" ht="15.75" customHeight="1">
      <c r="A73676" s="7"/>
      <c r="B73676" s="7"/>
    </row>
    <row r="73677" ht="15.75" customHeight="1">
      <c r="A73677" s="7"/>
      <c r="B73677" s="7"/>
    </row>
    <row r="73678" ht="15.75" customHeight="1">
      <c r="A73678" s="7"/>
      <c r="B73678" s="7"/>
    </row>
    <row r="73679" ht="15.75" customHeight="1">
      <c r="A73679" s="7"/>
      <c r="B73679" s="7"/>
    </row>
    <row r="73680" ht="15.75" customHeight="1">
      <c r="A73680" s="7"/>
      <c r="B73680" s="7"/>
    </row>
    <row r="73681" ht="15.75" customHeight="1">
      <c r="A73681" s="7"/>
      <c r="B73681" s="7"/>
    </row>
    <row r="73682" ht="15.75" customHeight="1">
      <c r="A73682" s="7"/>
      <c r="B73682" s="7"/>
    </row>
    <row r="73683" ht="15.75" customHeight="1">
      <c r="A73683" s="7"/>
      <c r="B73683" s="7"/>
    </row>
    <row r="73684" ht="15.75" customHeight="1">
      <c r="A73684" s="7"/>
      <c r="B73684" s="7"/>
    </row>
    <row r="73685" ht="15.75" customHeight="1">
      <c r="A73685" s="7"/>
      <c r="B73685" s="7"/>
    </row>
    <row r="73686" ht="15.75" customHeight="1">
      <c r="A73686" s="7"/>
      <c r="B73686" s="7"/>
    </row>
    <row r="73687" ht="15.75" customHeight="1">
      <c r="A73687" s="7"/>
      <c r="B73687" s="7"/>
    </row>
    <row r="73688" ht="15.75" customHeight="1">
      <c r="A73688" s="7"/>
      <c r="B73688" s="7"/>
    </row>
    <row r="73689" ht="15.75" customHeight="1">
      <c r="A73689" s="7"/>
      <c r="B73689" s="7"/>
    </row>
    <row r="73690" ht="15.75" customHeight="1">
      <c r="A73690" s="7"/>
      <c r="B73690" s="7"/>
    </row>
    <row r="73691" ht="15.75" customHeight="1">
      <c r="A73691" s="7"/>
      <c r="B73691" s="7"/>
    </row>
    <row r="73692" ht="15.75" customHeight="1">
      <c r="A73692" s="7"/>
      <c r="B73692" s="7"/>
    </row>
    <row r="73693" ht="15.75" customHeight="1">
      <c r="A73693" s="7"/>
      <c r="B73693" s="7"/>
    </row>
    <row r="73694" ht="15.75" customHeight="1">
      <c r="A73694" s="7"/>
      <c r="B73694" s="7"/>
    </row>
    <row r="73695" ht="15.75" customHeight="1">
      <c r="A73695" s="7"/>
      <c r="B73695" s="7"/>
    </row>
    <row r="73696" ht="15.75" customHeight="1">
      <c r="A73696" s="7"/>
      <c r="B73696" s="7"/>
    </row>
    <row r="73697" ht="15.75" customHeight="1">
      <c r="A73697" s="7"/>
      <c r="B73697" s="7"/>
    </row>
    <row r="73698" ht="15.75" customHeight="1">
      <c r="A73698" s="7"/>
      <c r="B73698" s="7"/>
    </row>
    <row r="73699" ht="15.75" customHeight="1">
      <c r="A73699" s="7"/>
      <c r="B73699" s="7"/>
    </row>
    <row r="73700" ht="15.75" customHeight="1">
      <c r="A73700" s="7"/>
      <c r="B73700" s="7"/>
    </row>
    <row r="73701" ht="15.75" customHeight="1">
      <c r="A73701" s="7"/>
      <c r="B73701" s="7"/>
    </row>
    <row r="73702" ht="15.75" customHeight="1">
      <c r="A73702" s="7"/>
      <c r="B73702" s="7"/>
    </row>
    <row r="73703" ht="15.75" customHeight="1">
      <c r="A73703" s="7"/>
      <c r="B73703" s="7"/>
    </row>
    <row r="73704" ht="15.75" customHeight="1">
      <c r="A73704" s="7"/>
      <c r="B73704" s="7"/>
    </row>
    <row r="73705" ht="15.75" customHeight="1">
      <c r="A73705" s="7"/>
      <c r="B73705" s="7"/>
    </row>
    <row r="73706" ht="15.75" customHeight="1">
      <c r="A73706" s="7"/>
      <c r="B73706" s="7"/>
    </row>
    <row r="73707" ht="15.75" customHeight="1">
      <c r="A73707" s="7"/>
      <c r="B73707" s="7"/>
    </row>
    <row r="73708" ht="15.75" customHeight="1">
      <c r="A73708" s="7"/>
      <c r="B73708" s="7"/>
    </row>
    <row r="73709" ht="15.75" customHeight="1">
      <c r="A73709" s="7"/>
      <c r="B73709" s="7"/>
    </row>
    <row r="73710" ht="15.75" customHeight="1">
      <c r="A73710" s="7"/>
      <c r="B73710" s="7"/>
    </row>
    <row r="73711" ht="15.75" customHeight="1">
      <c r="A73711" s="7"/>
      <c r="B73711" s="7"/>
    </row>
    <row r="73712" ht="15.75" customHeight="1">
      <c r="A73712" s="7"/>
      <c r="B73712" s="7"/>
    </row>
    <row r="73713" ht="15.75" customHeight="1">
      <c r="A73713" s="7"/>
      <c r="B73713" s="7"/>
    </row>
    <row r="73714" ht="15.75" customHeight="1">
      <c r="A73714" s="7"/>
      <c r="B73714" s="7"/>
    </row>
    <row r="73715" ht="15.75" customHeight="1">
      <c r="A73715" s="7"/>
      <c r="B73715" s="7"/>
    </row>
    <row r="73716" ht="15.75" customHeight="1">
      <c r="A73716" s="7"/>
      <c r="B73716" s="7"/>
    </row>
    <row r="73717" ht="15.75" customHeight="1">
      <c r="A73717" s="7"/>
      <c r="B73717" s="7"/>
    </row>
    <row r="73718" ht="15.75" customHeight="1">
      <c r="A73718" s="7"/>
      <c r="B73718" s="7"/>
    </row>
    <row r="73719" ht="15.75" customHeight="1">
      <c r="A73719" s="7"/>
      <c r="B73719" s="7"/>
    </row>
    <row r="73720" ht="15.75" customHeight="1">
      <c r="A73720" s="7"/>
      <c r="B73720" s="7"/>
    </row>
    <row r="73721" ht="15.75" customHeight="1">
      <c r="A73721" s="7"/>
      <c r="B73721" s="7"/>
    </row>
    <row r="73722" ht="15.75" customHeight="1">
      <c r="A73722" s="7"/>
      <c r="B73722" s="7"/>
    </row>
    <row r="73723" ht="15.75" customHeight="1">
      <c r="A73723" s="7"/>
      <c r="B73723" s="7"/>
    </row>
    <row r="73724" ht="15.75" customHeight="1">
      <c r="A73724" s="7"/>
      <c r="B73724" s="7"/>
    </row>
    <row r="73725" ht="15.75" customHeight="1">
      <c r="A73725" s="7"/>
      <c r="B73725" s="7"/>
    </row>
    <row r="73726" ht="15.75" customHeight="1">
      <c r="A73726" s="7"/>
      <c r="B73726" s="7"/>
    </row>
    <row r="73727" ht="15.75" customHeight="1">
      <c r="A73727" s="7"/>
      <c r="B73727" s="7"/>
    </row>
    <row r="73728" ht="15.75" customHeight="1">
      <c r="A73728" s="7"/>
      <c r="B73728" s="7"/>
    </row>
    <row r="73729" ht="15.75" customHeight="1">
      <c r="A73729" s="7"/>
      <c r="B73729" s="7"/>
    </row>
    <row r="73730" ht="15.75" customHeight="1">
      <c r="A73730" s="7"/>
      <c r="B73730" s="7"/>
    </row>
    <row r="73731" ht="15.75" customHeight="1">
      <c r="A73731" s="7"/>
      <c r="B73731" s="7"/>
    </row>
    <row r="73732" ht="15.75" customHeight="1">
      <c r="A73732" s="7"/>
      <c r="B73732" s="7"/>
    </row>
    <row r="73733" ht="15.75" customHeight="1">
      <c r="A73733" s="7"/>
      <c r="B73733" s="7"/>
    </row>
    <row r="73734" ht="15.75" customHeight="1">
      <c r="A73734" s="7"/>
      <c r="B73734" s="7"/>
    </row>
    <row r="73735" ht="15.75" customHeight="1">
      <c r="A73735" s="7"/>
      <c r="B73735" s="7"/>
    </row>
    <row r="73736" ht="15.75" customHeight="1">
      <c r="A73736" s="7"/>
      <c r="B73736" s="7"/>
    </row>
    <row r="73737" ht="15.75" customHeight="1">
      <c r="A73737" s="7"/>
      <c r="B73737" s="7"/>
    </row>
    <row r="73738" ht="15.75" customHeight="1">
      <c r="A73738" s="7"/>
      <c r="B73738" s="7"/>
    </row>
    <row r="73739" ht="15.75" customHeight="1">
      <c r="A73739" s="7"/>
      <c r="B73739" s="7"/>
    </row>
    <row r="73740" ht="15.75" customHeight="1">
      <c r="A73740" s="7"/>
      <c r="B73740" s="7"/>
    </row>
    <row r="73741" ht="15.75" customHeight="1">
      <c r="A73741" s="7"/>
      <c r="B73741" s="7"/>
    </row>
    <row r="73742" ht="15.75" customHeight="1">
      <c r="A73742" s="7"/>
      <c r="B73742" s="7"/>
    </row>
    <row r="73743" ht="15.75" customHeight="1">
      <c r="A73743" s="7"/>
      <c r="B73743" s="7"/>
    </row>
    <row r="73744" ht="15.75" customHeight="1">
      <c r="A73744" s="7"/>
      <c r="B73744" s="7"/>
    </row>
    <row r="73745" ht="15.75" customHeight="1">
      <c r="A73745" s="7"/>
      <c r="B73745" s="7"/>
    </row>
    <row r="73746" ht="15.75" customHeight="1">
      <c r="A73746" s="7"/>
      <c r="B73746" s="7"/>
    </row>
    <row r="73747" ht="15.75" customHeight="1">
      <c r="A73747" s="7"/>
      <c r="B73747" s="7"/>
    </row>
    <row r="73748" ht="15.75" customHeight="1">
      <c r="A73748" s="7"/>
      <c r="B73748" s="7"/>
    </row>
    <row r="73749" ht="15.75" customHeight="1">
      <c r="A73749" s="7"/>
      <c r="B73749" s="7"/>
    </row>
    <row r="73750" ht="15.75" customHeight="1">
      <c r="A73750" s="7"/>
      <c r="B73750" s="7"/>
    </row>
    <row r="73751" ht="15.75" customHeight="1">
      <c r="A73751" s="7"/>
      <c r="B73751" s="7"/>
    </row>
    <row r="73752" ht="15.75" customHeight="1">
      <c r="A73752" s="7"/>
      <c r="B73752" s="7"/>
    </row>
    <row r="73753" ht="15.75" customHeight="1">
      <c r="A73753" s="7"/>
      <c r="B73753" s="7"/>
    </row>
    <row r="73754" ht="15.75" customHeight="1">
      <c r="A73754" s="7"/>
      <c r="B73754" s="7"/>
    </row>
    <row r="73755" ht="15.75" customHeight="1">
      <c r="A73755" s="7"/>
      <c r="B73755" s="7"/>
    </row>
    <row r="73756" ht="15.75" customHeight="1">
      <c r="A73756" s="7"/>
      <c r="B73756" s="7"/>
    </row>
    <row r="73757" ht="15.75" customHeight="1">
      <c r="A73757" s="7"/>
      <c r="B73757" s="7"/>
    </row>
    <row r="73758" ht="15.75" customHeight="1">
      <c r="A73758" s="7"/>
      <c r="B73758" s="7"/>
    </row>
    <row r="73759" ht="15.75" customHeight="1">
      <c r="A73759" s="7"/>
      <c r="B73759" s="7"/>
    </row>
    <row r="73760" ht="15.75" customHeight="1">
      <c r="A73760" s="7"/>
      <c r="B73760" s="7"/>
    </row>
    <row r="73761" ht="15.75" customHeight="1">
      <c r="A73761" s="7"/>
      <c r="B73761" s="7"/>
    </row>
    <row r="73762" ht="15.75" customHeight="1">
      <c r="A73762" s="7"/>
      <c r="B73762" s="7"/>
    </row>
    <row r="73763" ht="15.75" customHeight="1">
      <c r="A73763" s="7"/>
      <c r="B73763" s="7"/>
    </row>
    <row r="73764" ht="15.75" customHeight="1">
      <c r="A73764" s="7"/>
      <c r="B73764" s="7"/>
    </row>
    <row r="73765" ht="15.75" customHeight="1">
      <c r="A73765" s="7"/>
      <c r="B73765" s="7"/>
    </row>
    <row r="73766" ht="15.75" customHeight="1">
      <c r="A73766" s="7"/>
      <c r="B73766" s="7"/>
    </row>
    <row r="73767" ht="15.75" customHeight="1">
      <c r="A73767" s="7"/>
      <c r="B73767" s="7"/>
    </row>
    <row r="73768" ht="15.75" customHeight="1">
      <c r="A73768" s="7"/>
      <c r="B73768" s="7"/>
    </row>
    <row r="73769" ht="15.75" customHeight="1">
      <c r="A73769" s="7"/>
      <c r="B73769" s="7"/>
    </row>
    <row r="73770" ht="15.75" customHeight="1">
      <c r="A73770" s="7"/>
      <c r="B73770" s="7"/>
    </row>
    <row r="73771" ht="15.75" customHeight="1">
      <c r="A73771" s="7"/>
      <c r="B73771" s="7"/>
    </row>
    <row r="73772" ht="15.75" customHeight="1">
      <c r="A73772" s="7"/>
      <c r="B73772" s="7"/>
    </row>
    <row r="73773" ht="15.75" customHeight="1">
      <c r="A73773" s="7"/>
      <c r="B73773" s="7"/>
    </row>
    <row r="73774" ht="15.75" customHeight="1">
      <c r="A73774" s="7"/>
      <c r="B73774" s="7"/>
    </row>
    <row r="73775" ht="15.75" customHeight="1">
      <c r="A73775" s="7"/>
      <c r="B73775" s="7"/>
    </row>
    <row r="73776" ht="15.75" customHeight="1">
      <c r="A73776" s="7"/>
      <c r="B73776" s="7"/>
    </row>
    <row r="73777" ht="15.75" customHeight="1">
      <c r="A73777" s="7"/>
      <c r="B73777" s="7"/>
    </row>
    <row r="73778" ht="15.75" customHeight="1">
      <c r="A73778" s="7"/>
      <c r="B73778" s="7"/>
    </row>
    <row r="73779" ht="15.75" customHeight="1">
      <c r="A73779" s="7"/>
      <c r="B73779" s="7"/>
    </row>
    <row r="73780" ht="15.75" customHeight="1">
      <c r="A73780" s="7"/>
      <c r="B73780" s="7"/>
    </row>
    <row r="73781" ht="15.75" customHeight="1">
      <c r="A73781" s="7"/>
      <c r="B73781" s="7"/>
    </row>
    <row r="73782" ht="15.75" customHeight="1">
      <c r="A73782" s="7"/>
      <c r="B73782" s="7"/>
    </row>
    <row r="73783" ht="15.75" customHeight="1">
      <c r="A73783" s="7"/>
      <c r="B73783" s="7"/>
    </row>
    <row r="73784" ht="15.75" customHeight="1">
      <c r="A73784" s="7"/>
      <c r="B73784" s="7"/>
    </row>
    <row r="73785" ht="15.75" customHeight="1">
      <c r="A73785" s="7"/>
      <c r="B73785" s="7"/>
    </row>
    <row r="73786" ht="15.75" customHeight="1">
      <c r="A73786" s="7"/>
      <c r="B73786" s="7"/>
    </row>
    <row r="73787" ht="15.75" customHeight="1">
      <c r="A73787" s="7"/>
      <c r="B73787" s="7"/>
    </row>
    <row r="73788" ht="15.75" customHeight="1">
      <c r="A73788" s="7"/>
      <c r="B73788" s="7"/>
    </row>
    <row r="73789" ht="15.75" customHeight="1">
      <c r="A73789" s="7"/>
      <c r="B73789" s="7"/>
    </row>
    <row r="73790" ht="15.75" customHeight="1">
      <c r="A73790" s="7"/>
      <c r="B73790" s="7"/>
    </row>
    <row r="73791" ht="15.75" customHeight="1">
      <c r="A73791" s="7"/>
      <c r="B73791" s="7"/>
    </row>
    <row r="73792" ht="15.75" customHeight="1">
      <c r="A73792" s="7"/>
      <c r="B73792" s="7"/>
    </row>
    <row r="73793" ht="15.75" customHeight="1">
      <c r="A73793" s="7"/>
      <c r="B73793" s="7"/>
    </row>
    <row r="73794" ht="15.75" customHeight="1">
      <c r="A73794" s="7"/>
      <c r="B73794" s="7"/>
    </row>
    <row r="73795" ht="15.75" customHeight="1">
      <c r="A73795" s="7"/>
      <c r="B73795" s="7"/>
    </row>
    <row r="73796" ht="15.75" customHeight="1">
      <c r="A73796" s="7"/>
      <c r="B73796" s="7"/>
    </row>
    <row r="73797" ht="15.75" customHeight="1">
      <c r="A73797" s="7"/>
      <c r="B73797" s="7"/>
    </row>
    <row r="73798" ht="15.75" customHeight="1">
      <c r="A73798" s="7"/>
      <c r="B73798" s="7"/>
    </row>
    <row r="73799" ht="15.75" customHeight="1">
      <c r="A73799" s="7"/>
      <c r="B73799" s="7"/>
    </row>
    <row r="73800" ht="15.75" customHeight="1">
      <c r="A73800" s="7"/>
      <c r="B73800" s="7"/>
    </row>
    <row r="73801" ht="15.75" customHeight="1">
      <c r="A73801" s="7"/>
      <c r="B73801" s="7"/>
    </row>
    <row r="73802" ht="15.75" customHeight="1">
      <c r="A73802" s="7"/>
      <c r="B73802" s="7"/>
    </row>
    <row r="73803" ht="15.75" customHeight="1">
      <c r="A73803" s="7"/>
      <c r="B73803" s="7"/>
    </row>
    <row r="73804" ht="15.75" customHeight="1">
      <c r="A73804" s="7"/>
      <c r="B73804" s="7"/>
    </row>
    <row r="73805" ht="15.75" customHeight="1">
      <c r="A73805" s="7"/>
      <c r="B73805" s="7"/>
    </row>
    <row r="73806" ht="15.75" customHeight="1">
      <c r="A73806" s="7"/>
      <c r="B73806" s="7"/>
    </row>
    <row r="73807" ht="15.75" customHeight="1">
      <c r="A73807" s="7"/>
      <c r="B73807" s="7"/>
    </row>
    <row r="73808" ht="15.75" customHeight="1">
      <c r="A73808" s="7"/>
      <c r="B73808" s="7"/>
    </row>
    <row r="73809" ht="15.75" customHeight="1">
      <c r="A73809" s="7"/>
      <c r="B73809" s="7"/>
    </row>
    <row r="73810" ht="15.75" customHeight="1">
      <c r="A73810" s="7"/>
      <c r="B73810" s="7"/>
    </row>
    <row r="73811" ht="15.75" customHeight="1">
      <c r="A73811" s="7"/>
      <c r="B73811" s="7"/>
    </row>
    <row r="73812" ht="15.75" customHeight="1">
      <c r="A73812" s="7"/>
      <c r="B73812" s="7"/>
    </row>
    <row r="73813" ht="15.75" customHeight="1">
      <c r="A73813" s="7"/>
      <c r="B73813" s="7"/>
    </row>
    <row r="73814" ht="15.75" customHeight="1">
      <c r="A73814" s="7"/>
      <c r="B73814" s="7"/>
    </row>
    <row r="73815" ht="15.75" customHeight="1">
      <c r="A73815" s="7"/>
      <c r="B73815" s="7"/>
    </row>
    <row r="73816" ht="15.75" customHeight="1">
      <c r="A73816" s="7"/>
      <c r="B73816" s="7"/>
    </row>
    <row r="73817" ht="15.75" customHeight="1">
      <c r="A73817" s="7"/>
      <c r="B73817" s="7"/>
    </row>
    <row r="73818" ht="15.75" customHeight="1">
      <c r="A73818" s="7"/>
      <c r="B73818" s="7"/>
    </row>
    <row r="73819" ht="15.75" customHeight="1">
      <c r="A73819" s="7"/>
      <c r="B73819" s="7"/>
    </row>
    <row r="73820" ht="15.75" customHeight="1">
      <c r="A73820" s="7"/>
      <c r="B73820" s="7"/>
    </row>
    <row r="73821" ht="15.75" customHeight="1">
      <c r="A73821" s="7"/>
      <c r="B73821" s="7"/>
    </row>
    <row r="73822" ht="15.75" customHeight="1">
      <c r="A73822" s="7"/>
      <c r="B73822" s="7"/>
    </row>
    <row r="73823" ht="15.75" customHeight="1">
      <c r="A73823" s="7"/>
      <c r="B73823" s="7"/>
    </row>
    <row r="73824" ht="15.75" customHeight="1">
      <c r="A73824" s="7"/>
      <c r="B73824" s="7"/>
    </row>
    <row r="73825" ht="15.75" customHeight="1">
      <c r="A73825" s="7"/>
      <c r="B73825" s="7"/>
    </row>
    <row r="73826" ht="15.75" customHeight="1">
      <c r="A73826" s="7"/>
      <c r="B73826" s="7"/>
    </row>
    <row r="73827" ht="15.75" customHeight="1">
      <c r="A73827" s="7"/>
      <c r="B73827" s="7"/>
    </row>
    <row r="73828" ht="15.75" customHeight="1">
      <c r="A73828" s="7"/>
      <c r="B73828" s="7"/>
    </row>
    <row r="73829" ht="15.75" customHeight="1">
      <c r="A73829" s="7"/>
      <c r="B73829" s="7"/>
    </row>
    <row r="73830" ht="15.75" customHeight="1">
      <c r="A73830" s="7"/>
      <c r="B73830" s="7"/>
    </row>
    <row r="73831" ht="15.75" customHeight="1">
      <c r="A73831" s="7"/>
      <c r="B73831" s="7"/>
    </row>
    <row r="73832" ht="15.75" customHeight="1">
      <c r="A73832" s="7"/>
      <c r="B73832" s="7"/>
    </row>
    <row r="73833" ht="15.75" customHeight="1">
      <c r="A73833" s="7"/>
      <c r="B73833" s="7"/>
    </row>
    <row r="73834" ht="15.75" customHeight="1">
      <c r="A73834" s="7"/>
      <c r="B73834" s="7"/>
    </row>
    <row r="73835" ht="15.75" customHeight="1">
      <c r="A73835" s="7"/>
      <c r="B73835" s="7"/>
    </row>
    <row r="73836" ht="15.75" customHeight="1">
      <c r="A73836" s="7"/>
      <c r="B73836" s="7"/>
    </row>
    <row r="73837" ht="15.75" customHeight="1">
      <c r="A73837" s="7"/>
      <c r="B73837" s="7"/>
    </row>
    <row r="73838" ht="15.75" customHeight="1">
      <c r="A73838" s="7"/>
      <c r="B73838" s="7"/>
    </row>
    <row r="73839" ht="15.75" customHeight="1">
      <c r="A73839" s="7"/>
      <c r="B73839" s="7"/>
    </row>
    <row r="73840" ht="15.75" customHeight="1">
      <c r="A73840" s="7"/>
      <c r="B73840" s="7"/>
    </row>
    <row r="73841" ht="15.75" customHeight="1">
      <c r="A73841" s="7"/>
      <c r="B73841" s="7"/>
    </row>
    <row r="73842" ht="15.75" customHeight="1">
      <c r="A73842" s="7"/>
      <c r="B73842" s="7"/>
    </row>
    <row r="73843" ht="15.75" customHeight="1">
      <c r="A73843" s="7"/>
      <c r="B73843" s="7"/>
    </row>
    <row r="73844" ht="15.75" customHeight="1">
      <c r="A73844" s="7"/>
      <c r="B73844" s="7"/>
    </row>
    <row r="73845" ht="15.75" customHeight="1">
      <c r="A73845" s="7"/>
      <c r="B73845" s="7"/>
    </row>
    <row r="73846" ht="15.75" customHeight="1">
      <c r="A73846" s="7"/>
      <c r="B73846" s="7"/>
    </row>
    <row r="73847" ht="15.75" customHeight="1">
      <c r="A73847" s="7"/>
      <c r="B73847" s="7"/>
    </row>
    <row r="73848" ht="15.75" customHeight="1">
      <c r="A73848" s="7"/>
      <c r="B73848" s="7"/>
    </row>
    <row r="73849" ht="15.75" customHeight="1">
      <c r="A73849" s="7"/>
      <c r="B73849" s="7"/>
    </row>
    <row r="73850" ht="15.75" customHeight="1">
      <c r="A73850" s="7"/>
      <c r="B73850" s="7"/>
    </row>
    <row r="73851" ht="15.75" customHeight="1">
      <c r="A73851" s="7"/>
      <c r="B73851" s="7"/>
    </row>
    <row r="73852" ht="15.75" customHeight="1">
      <c r="A73852" s="7"/>
      <c r="B73852" s="7"/>
    </row>
    <row r="73853" ht="15.75" customHeight="1">
      <c r="A73853" s="7"/>
      <c r="B73853" s="7"/>
    </row>
    <row r="73854" ht="15.75" customHeight="1">
      <c r="A73854" s="7"/>
      <c r="B73854" s="7"/>
    </row>
    <row r="73855" ht="15.75" customHeight="1">
      <c r="A73855" s="7"/>
      <c r="B73855" s="7"/>
    </row>
    <row r="73856" ht="15.75" customHeight="1">
      <c r="A73856" s="7"/>
      <c r="B73856" s="7"/>
    </row>
    <row r="73857" ht="15.75" customHeight="1">
      <c r="A73857" s="7"/>
      <c r="B73857" s="7"/>
    </row>
    <row r="73858" ht="15.75" customHeight="1">
      <c r="A73858" s="7"/>
      <c r="B73858" s="7"/>
    </row>
    <row r="73859" ht="15.75" customHeight="1">
      <c r="A73859" s="7"/>
      <c r="B73859" s="7"/>
    </row>
    <row r="73860" ht="15.75" customHeight="1">
      <c r="A73860" s="7"/>
      <c r="B73860" s="7"/>
    </row>
    <row r="73861" ht="15.75" customHeight="1">
      <c r="A73861" s="7"/>
      <c r="B73861" s="7"/>
    </row>
    <row r="73862" ht="15.75" customHeight="1">
      <c r="A73862" s="7"/>
      <c r="B73862" s="7"/>
    </row>
    <row r="73863" ht="15.75" customHeight="1">
      <c r="A73863" s="7"/>
      <c r="B73863" s="7"/>
    </row>
    <row r="73864" ht="15.75" customHeight="1">
      <c r="A73864" s="7"/>
      <c r="B73864" s="7"/>
    </row>
    <row r="73865" ht="15.75" customHeight="1">
      <c r="A73865" s="7"/>
      <c r="B73865" s="7"/>
    </row>
    <row r="73866" ht="15.75" customHeight="1">
      <c r="A73866" s="7"/>
      <c r="B73866" s="7"/>
    </row>
    <row r="73867" ht="15.75" customHeight="1">
      <c r="A73867" s="7"/>
      <c r="B73867" s="7"/>
    </row>
    <row r="73868" ht="15.75" customHeight="1">
      <c r="A73868" s="7"/>
      <c r="B73868" s="7"/>
    </row>
    <row r="73869" ht="15.75" customHeight="1">
      <c r="A73869" s="7"/>
      <c r="B73869" s="7"/>
    </row>
    <row r="73870" ht="15.75" customHeight="1">
      <c r="A73870" s="7"/>
      <c r="B73870" s="7"/>
    </row>
    <row r="73871" ht="15.75" customHeight="1">
      <c r="A73871" s="7"/>
      <c r="B73871" s="7"/>
    </row>
    <row r="73872" ht="15.75" customHeight="1">
      <c r="A73872" s="7"/>
      <c r="B73872" s="7"/>
    </row>
    <row r="73873" ht="15.75" customHeight="1">
      <c r="A73873" s="7"/>
      <c r="B73873" s="7"/>
    </row>
    <row r="73874" ht="15.75" customHeight="1">
      <c r="A73874" s="7"/>
      <c r="B73874" s="7"/>
    </row>
    <row r="73875" ht="15.75" customHeight="1">
      <c r="A73875" s="7"/>
      <c r="B73875" s="7"/>
    </row>
    <row r="73876" ht="15.75" customHeight="1">
      <c r="A73876" s="7"/>
      <c r="B73876" s="7"/>
    </row>
    <row r="73877" ht="15.75" customHeight="1">
      <c r="A73877" s="7"/>
      <c r="B73877" s="7"/>
    </row>
    <row r="73878" ht="15.75" customHeight="1">
      <c r="A73878" s="7"/>
      <c r="B73878" s="7"/>
    </row>
    <row r="73879" ht="15.75" customHeight="1">
      <c r="A73879" s="7"/>
      <c r="B73879" s="7"/>
    </row>
    <row r="73880" ht="15.75" customHeight="1">
      <c r="A73880" s="7"/>
      <c r="B73880" s="7"/>
    </row>
    <row r="73881" ht="15.75" customHeight="1">
      <c r="A73881" s="7"/>
      <c r="B73881" s="7"/>
    </row>
    <row r="73882" ht="15.75" customHeight="1">
      <c r="A73882" s="7"/>
      <c r="B73882" s="7"/>
    </row>
    <row r="73883" ht="15.75" customHeight="1">
      <c r="A73883" s="7"/>
      <c r="B73883" s="7"/>
    </row>
    <row r="73884" ht="15.75" customHeight="1">
      <c r="A73884" s="7"/>
      <c r="B73884" s="7"/>
    </row>
    <row r="73885" ht="15.75" customHeight="1">
      <c r="A73885" s="7"/>
      <c r="B73885" s="7"/>
    </row>
    <row r="73886" ht="15.75" customHeight="1">
      <c r="A73886" s="7"/>
      <c r="B73886" s="7"/>
    </row>
    <row r="73887" ht="15.75" customHeight="1">
      <c r="A73887" s="7"/>
      <c r="B73887" s="7"/>
    </row>
    <row r="73888" ht="15.75" customHeight="1">
      <c r="A73888" s="7"/>
      <c r="B73888" s="7"/>
    </row>
    <row r="73889" ht="15.75" customHeight="1">
      <c r="A73889" s="7"/>
      <c r="B73889" s="7"/>
    </row>
    <row r="73890" ht="15.75" customHeight="1">
      <c r="A73890" s="7"/>
      <c r="B73890" s="7"/>
    </row>
    <row r="73891" ht="15.75" customHeight="1">
      <c r="A73891" s="7"/>
      <c r="B73891" s="7"/>
    </row>
    <row r="73892" ht="15.75" customHeight="1">
      <c r="A73892" s="7"/>
      <c r="B73892" s="7"/>
    </row>
    <row r="73893" ht="15.75" customHeight="1">
      <c r="A73893" s="7"/>
      <c r="B73893" s="7"/>
    </row>
    <row r="73894" ht="15.75" customHeight="1">
      <c r="A73894" s="7"/>
      <c r="B73894" s="7"/>
    </row>
    <row r="73895" ht="15.75" customHeight="1">
      <c r="A73895" s="7"/>
      <c r="B73895" s="7"/>
    </row>
    <row r="73896" ht="15.75" customHeight="1">
      <c r="A73896" s="7"/>
      <c r="B73896" s="7"/>
    </row>
    <row r="73897" ht="15.75" customHeight="1">
      <c r="A73897" s="7"/>
      <c r="B73897" s="7"/>
    </row>
    <row r="73898" ht="15.75" customHeight="1">
      <c r="A73898" s="7"/>
      <c r="B73898" s="7"/>
    </row>
    <row r="73899" ht="15.75" customHeight="1">
      <c r="A73899" s="7"/>
      <c r="B73899" s="7"/>
    </row>
    <row r="73900" ht="15.75" customHeight="1">
      <c r="A73900" s="7"/>
      <c r="B73900" s="7"/>
    </row>
    <row r="73901" ht="15.75" customHeight="1">
      <c r="A73901" s="7"/>
      <c r="B73901" s="7"/>
    </row>
    <row r="73902" ht="15.75" customHeight="1">
      <c r="A73902" s="7"/>
      <c r="B73902" s="7"/>
    </row>
    <row r="73903" ht="15.75" customHeight="1">
      <c r="A73903" s="7"/>
      <c r="B73903" s="7"/>
    </row>
    <row r="73904" ht="15.75" customHeight="1">
      <c r="A73904" s="7"/>
      <c r="B73904" s="7"/>
    </row>
    <row r="73905" ht="15.75" customHeight="1">
      <c r="A73905" s="7"/>
      <c r="B73905" s="7"/>
    </row>
    <row r="73906" ht="15.75" customHeight="1">
      <c r="A73906" s="7"/>
      <c r="B73906" s="7"/>
    </row>
    <row r="73907" ht="15.75" customHeight="1">
      <c r="A73907" s="7"/>
      <c r="B73907" s="7"/>
    </row>
    <row r="73908" ht="15.75" customHeight="1">
      <c r="A73908" s="7"/>
      <c r="B73908" s="7"/>
    </row>
    <row r="73909" ht="15.75" customHeight="1">
      <c r="A73909" s="7"/>
      <c r="B73909" s="7"/>
    </row>
    <row r="73910" ht="15.75" customHeight="1">
      <c r="A73910" s="7"/>
      <c r="B73910" s="7"/>
    </row>
    <row r="73911" ht="15.75" customHeight="1">
      <c r="A73911" s="7"/>
      <c r="B73911" s="7"/>
    </row>
    <row r="73912" ht="15.75" customHeight="1">
      <c r="A73912" s="7"/>
      <c r="B73912" s="7"/>
    </row>
    <row r="73913" ht="15.75" customHeight="1">
      <c r="A73913" s="7"/>
      <c r="B73913" s="7"/>
    </row>
    <row r="73914" ht="15.75" customHeight="1">
      <c r="A73914" s="7"/>
      <c r="B73914" s="7"/>
    </row>
    <row r="73915" ht="15.75" customHeight="1">
      <c r="A73915" s="7"/>
      <c r="B73915" s="7"/>
    </row>
    <row r="73916" ht="15.75" customHeight="1">
      <c r="A73916" s="7"/>
      <c r="B73916" s="7"/>
    </row>
    <row r="73917" ht="15.75" customHeight="1">
      <c r="A73917" s="7"/>
      <c r="B73917" s="7"/>
    </row>
    <row r="73918" ht="15.75" customHeight="1">
      <c r="A73918" s="7"/>
      <c r="B73918" s="7"/>
    </row>
    <row r="73919" ht="15.75" customHeight="1">
      <c r="A73919" s="7"/>
      <c r="B73919" s="7"/>
    </row>
    <row r="73920" ht="15.75" customHeight="1">
      <c r="A73920" s="7"/>
      <c r="B73920" s="7"/>
    </row>
    <row r="73921" ht="15.75" customHeight="1">
      <c r="A73921" s="7"/>
      <c r="B73921" s="7"/>
    </row>
    <row r="73922" ht="15.75" customHeight="1">
      <c r="A73922" s="7"/>
      <c r="B73922" s="7"/>
    </row>
    <row r="73923" ht="15.75" customHeight="1">
      <c r="A73923" s="7"/>
      <c r="B73923" s="7"/>
    </row>
    <row r="73924" ht="15.75" customHeight="1">
      <c r="A73924" s="7"/>
      <c r="B73924" s="7"/>
    </row>
    <row r="73925" ht="15.75" customHeight="1">
      <c r="A73925" s="7"/>
      <c r="B73925" s="7"/>
    </row>
    <row r="73926" ht="15.75" customHeight="1">
      <c r="A73926" s="7"/>
      <c r="B73926" s="7"/>
    </row>
    <row r="73927" ht="15.75" customHeight="1">
      <c r="A73927" s="7"/>
      <c r="B73927" s="7"/>
    </row>
    <row r="73928" ht="15.75" customHeight="1">
      <c r="A73928" s="7"/>
      <c r="B73928" s="7"/>
    </row>
    <row r="73929" ht="15.75" customHeight="1">
      <c r="A73929" s="7"/>
      <c r="B73929" s="7"/>
    </row>
    <row r="73930" ht="15.75" customHeight="1">
      <c r="A73930" s="7"/>
      <c r="B73930" s="7"/>
    </row>
    <row r="73931" ht="15.75" customHeight="1">
      <c r="A73931" s="7"/>
      <c r="B73931" s="7"/>
    </row>
    <row r="73932" ht="15.75" customHeight="1">
      <c r="A73932" s="7"/>
      <c r="B73932" s="7"/>
    </row>
    <row r="73933" ht="15.75" customHeight="1">
      <c r="A73933" s="7"/>
      <c r="B73933" s="7"/>
    </row>
    <row r="73934" ht="15.75" customHeight="1">
      <c r="A73934" s="7"/>
      <c r="B73934" s="7"/>
    </row>
    <row r="73935" ht="15.75" customHeight="1">
      <c r="A73935" s="7"/>
      <c r="B73935" s="7"/>
    </row>
    <row r="73936" ht="15.75" customHeight="1">
      <c r="A73936" s="7"/>
      <c r="B73936" s="7"/>
    </row>
    <row r="73937" ht="15.75" customHeight="1">
      <c r="A73937" s="7"/>
      <c r="B73937" s="7"/>
    </row>
    <row r="73938" ht="15.75" customHeight="1">
      <c r="A73938" s="7"/>
      <c r="B73938" s="7"/>
    </row>
    <row r="73939" ht="15.75" customHeight="1">
      <c r="A73939" s="7"/>
      <c r="B73939" s="7"/>
    </row>
    <row r="73940" ht="15.75" customHeight="1">
      <c r="A73940" s="7"/>
      <c r="B73940" s="7"/>
    </row>
    <row r="73941" ht="15.75" customHeight="1">
      <c r="A73941" s="7"/>
      <c r="B73941" s="7"/>
    </row>
    <row r="73942" ht="15.75" customHeight="1">
      <c r="A73942" s="7"/>
      <c r="B73942" s="7"/>
    </row>
    <row r="73943" ht="15.75" customHeight="1">
      <c r="A73943" s="7"/>
      <c r="B73943" s="7"/>
    </row>
    <row r="73944" ht="15.75" customHeight="1">
      <c r="A73944" s="7"/>
      <c r="B73944" s="7"/>
    </row>
    <row r="73945" ht="15.75" customHeight="1">
      <c r="A73945" s="7"/>
      <c r="B73945" s="7"/>
    </row>
    <row r="73946" ht="15.75" customHeight="1">
      <c r="A73946" s="7"/>
      <c r="B73946" s="7"/>
    </row>
    <row r="73947" ht="15.75" customHeight="1">
      <c r="A73947" s="7"/>
      <c r="B73947" s="7"/>
    </row>
    <row r="73948" ht="15.75" customHeight="1">
      <c r="A73948" s="7"/>
      <c r="B73948" s="7"/>
    </row>
    <row r="73949" ht="15.75" customHeight="1">
      <c r="A73949" s="7"/>
      <c r="B73949" s="7"/>
    </row>
    <row r="73950" ht="15.75" customHeight="1">
      <c r="A73950" s="7"/>
      <c r="B73950" s="7"/>
    </row>
    <row r="73951" ht="15.75" customHeight="1">
      <c r="A73951" s="7"/>
      <c r="B73951" s="7"/>
    </row>
    <row r="73952" ht="15.75" customHeight="1">
      <c r="A73952" s="7"/>
      <c r="B73952" s="7"/>
    </row>
    <row r="73953" ht="15.75" customHeight="1">
      <c r="A73953" s="7"/>
      <c r="B73953" s="7"/>
    </row>
    <row r="73954" ht="15.75" customHeight="1">
      <c r="A73954" s="7"/>
      <c r="B73954" s="7"/>
    </row>
    <row r="73955" ht="15.75" customHeight="1">
      <c r="A73955" s="7"/>
      <c r="B73955" s="7"/>
    </row>
    <row r="73956" ht="15.75" customHeight="1">
      <c r="A73956" s="7"/>
      <c r="B73956" s="7"/>
    </row>
    <row r="73957" ht="15.75" customHeight="1">
      <c r="A73957" s="7"/>
      <c r="B73957" s="7"/>
    </row>
    <row r="73958" ht="15.75" customHeight="1">
      <c r="A73958" s="7"/>
      <c r="B73958" s="7"/>
    </row>
    <row r="73959" ht="15.75" customHeight="1">
      <c r="A73959" s="7"/>
      <c r="B73959" s="7"/>
    </row>
    <row r="73960" ht="15.75" customHeight="1">
      <c r="A73960" s="7"/>
      <c r="B73960" s="7"/>
    </row>
    <row r="73961" ht="15.75" customHeight="1">
      <c r="A73961" s="7"/>
      <c r="B73961" s="7"/>
    </row>
    <row r="73962" ht="15.75" customHeight="1">
      <c r="A73962" s="7"/>
      <c r="B73962" s="7"/>
    </row>
    <row r="73963" ht="15.75" customHeight="1">
      <c r="A73963" s="7"/>
      <c r="B73963" s="7"/>
    </row>
    <row r="73964" ht="15.75" customHeight="1">
      <c r="A73964" s="7"/>
      <c r="B73964" s="7"/>
    </row>
    <row r="73965" ht="15.75" customHeight="1">
      <c r="A73965" s="7"/>
      <c r="B73965" s="7"/>
    </row>
    <row r="73966" ht="15.75" customHeight="1">
      <c r="A73966" s="7"/>
      <c r="B73966" s="7"/>
    </row>
    <row r="73967" ht="15.75" customHeight="1">
      <c r="A73967" s="7"/>
      <c r="B73967" s="7"/>
    </row>
    <row r="73968" ht="15.75" customHeight="1">
      <c r="A73968" s="7"/>
      <c r="B73968" s="7"/>
    </row>
    <row r="73969" ht="15.75" customHeight="1">
      <c r="A73969" s="7"/>
      <c r="B73969" s="7"/>
    </row>
    <row r="73970" ht="15.75" customHeight="1">
      <c r="A73970" s="7"/>
      <c r="B73970" s="7"/>
    </row>
    <row r="73971" ht="15.75" customHeight="1">
      <c r="A73971" s="7"/>
      <c r="B73971" s="7"/>
    </row>
    <row r="73972" ht="15.75" customHeight="1">
      <c r="A73972" s="7"/>
      <c r="B73972" s="7"/>
    </row>
    <row r="73973" ht="15.75" customHeight="1">
      <c r="A73973" s="7"/>
      <c r="B73973" s="7"/>
    </row>
    <row r="73974" ht="15.75" customHeight="1">
      <c r="A73974" s="7"/>
      <c r="B73974" s="7"/>
    </row>
    <row r="73975" ht="15.75" customHeight="1">
      <c r="A73975" s="7"/>
      <c r="B73975" s="7"/>
    </row>
    <row r="73976" ht="15.75" customHeight="1">
      <c r="A73976" s="7"/>
      <c r="B73976" s="7"/>
    </row>
    <row r="73977" ht="15.75" customHeight="1">
      <c r="A73977" s="7"/>
      <c r="B73977" s="7"/>
    </row>
    <row r="73978" ht="15.75" customHeight="1">
      <c r="A73978" s="7"/>
      <c r="B73978" s="7"/>
    </row>
    <row r="73979" ht="15.75" customHeight="1">
      <c r="A73979" s="7"/>
      <c r="B73979" s="7"/>
    </row>
    <row r="73980" ht="15.75" customHeight="1">
      <c r="A73980" s="7"/>
      <c r="B73980" s="7"/>
    </row>
    <row r="73981" ht="15.75" customHeight="1">
      <c r="A73981" s="7"/>
      <c r="B73981" s="7"/>
    </row>
    <row r="73982" ht="15.75" customHeight="1">
      <c r="A73982" s="7"/>
      <c r="B73982" s="7"/>
    </row>
    <row r="73983" ht="15.75" customHeight="1">
      <c r="A73983" s="7"/>
      <c r="B73983" s="7"/>
    </row>
    <row r="73984" ht="15.75" customHeight="1">
      <c r="A73984" s="7"/>
      <c r="B73984" s="7"/>
    </row>
    <row r="73985" ht="15.75" customHeight="1">
      <c r="A73985" s="7"/>
      <c r="B73985" s="7"/>
    </row>
    <row r="73986" ht="15.75" customHeight="1">
      <c r="A73986" s="7"/>
      <c r="B73986" s="7"/>
    </row>
    <row r="73987" ht="15.75" customHeight="1">
      <c r="A73987" s="7"/>
      <c r="B73987" s="7"/>
    </row>
    <row r="73988" ht="15.75" customHeight="1">
      <c r="A73988" s="7"/>
      <c r="B73988" s="7"/>
    </row>
    <row r="73989" ht="15.75" customHeight="1">
      <c r="A73989" s="7"/>
      <c r="B73989" s="7"/>
    </row>
    <row r="73990" ht="15.75" customHeight="1">
      <c r="A73990" s="7"/>
      <c r="B73990" s="7"/>
    </row>
    <row r="73991" ht="15.75" customHeight="1">
      <c r="A73991" s="7"/>
      <c r="B73991" s="7"/>
    </row>
    <row r="73992" ht="15.75" customHeight="1">
      <c r="A73992" s="7"/>
      <c r="B73992" s="7"/>
    </row>
    <row r="73993" ht="15.75" customHeight="1">
      <c r="A73993" s="7"/>
      <c r="B73993" s="7"/>
    </row>
    <row r="73994" ht="15.75" customHeight="1">
      <c r="A73994" s="7"/>
      <c r="B73994" s="7"/>
    </row>
    <row r="73995" ht="15.75" customHeight="1">
      <c r="A73995" s="7"/>
      <c r="B73995" s="7"/>
    </row>
    <row r="73996" ht="15.75" customHeight="1">
      <c r="A73996" s="7"/>
      <c r="B73996" s="7"/>
    </row>
    <row r="73997" ht="15.75" customHeight="1">
      <c r="A73997" s="7"/>
      <c r="B73997" s="7"/>
    </row>
    <row r="73998" ht="15.75" customHeight="1">
      <c r="A73998" s="7"/>
      <c r="B73998" s="7"/>
    </row>
    <row r="73999" ht="15.75" customHeight="1">
      <c r="A73999" s="7"/>
      <c r="B73999" s="7"/>
    </row>
    <row r="74000" ht="15.75" customHeight="1">
      <c r="A74000" s="7"/>
      <c r="B74000" s="7"/>
    </row>
    <row r="74001" ht="15.75" customHeight="1">
      <c r="A74001" s="7"/>
      <c r="B74001" s="7"/>
    </row>
    <row r="74002" ht="15.75" customHeight="1">
      <c r="A74002" s="7"/>
      <c r="B74002" s="7"/>
    </row>
    <row r="74003" ht="15.75" customHeight="1">
      <c r="A74003" s="7"/>
      <c r="B74003" s="7"/>
    </row>
    <row r="74004" ht="15.75" customHeight="1">
      <c r="A74004" s="7"/>
      <c r="B74004" s="7"/>
    </row>
    <row r="74005" ht="15.75" customHeight="1">
      <c r="A74005" s="7"/>
      <c r="B74005" s="7"/>
    </row>
    <row r="74006" ht="15.75" customHeight="1">
      <c r="A74006" s="7"/>
      <c r="B74006" s="7"/>
    </row>
    <row r="74007" ht="15.75" customHeight="1">
      <c r="A74007" s="7"/>
      <c r="B74007" s="7"/>
    </row>
    <row r="74008" ht="15.75" customHeight="1">
      <c r="A74008" s="7"/>
      <c r="B74008" s="7"/>
    </row>
    <row r="74009" ht="15.75" customHeight="1">
      <c r="A74009" s="7"/>
      <c r="B74009" s="7"/>
    </row>
    <row r="74010" ht="15.75" customHeight="1">
      <c r="A74010" s="7"/>
      <c r="B74010" s="7"/>
    </row>
    <row r="74011" ht="15.75" customHeight="1">
      <c r="A74011" s="7"/>
      <c r="B74011" s="7"/>
    </row>
    <row r="74012" ht="15.75" customHeight="1">
      <c r="A74012" s="7"/>
      <c r="B74012" s="7"/>
    </row>
    <row r="74013" ht="15.75" customHeight="1">
      <c r="A74013" s="7"/>
      <c r="B74013" s="7"/>
    </row>
    <row r="74014" ht="15.75" customHeight="1">
      <c r="A74014" s="7"/>
      <c r="B74014" s="7"/>
    </row>
    <row r="74015" ht="15.75" customHeight="1">
      <c r="A74015" s="7"/>
      <c r="B74015" s="7"/>
    </row>
    <row r="74016" ht="15.75" customHeight="1">
      <c r="A74016" s="7"/>
      <c r="B74016" s="7"/>
    </row>
    <row r="74017" ht="15.75" customHeight="1">
      <c r="A74017" s="7"/>
      <c r="B74017" s="7"/>
    </row>
    <row r="74018" ht="15.75" customHeight="1">
      <c r="A74018" s="7"/>
      <c r="B74018" s="7"/>
    </row>
    <row r="74019" ht="15.75" customHeight="1">
      <c r="A74019" s="7"/>
      <c r="B74019" s="7"/>
    </row>
    <row r="74020" ht="15.75" customHeight="1">
      <c r="A74020" s="7"/>
      <c r="B74020" s="7"/>
    </row>
    <row r="74021" ht="15.75" customHeight="1">
      <c r="A74021" s="7"/>
      <c r="B74021" s="7"/>
    </row>
    <row r="74022" ht="15.75" customHeight="1">
      <c r="A74022" s="7"/>
      <c r="B74022" s="7"/>
    </row>
    <row r="74023" ht="15.75" customHeight="1">
      <c r="A74023" s="7"/>
      <c r="B74023" s="7"/>
    </row>
    <row r="74024" ht="15.75" customHeight="1">
      <c r="A74024" s="7"/>
      <c r="B74024" s="7"/>
    </row>
    <row r="74025" ht="15.75" customHeight="1">
      <c r="A74025" s="7"/>
      <c r="B74025" s="7"/>
    </row>
    <row r="74026" ht="15.75" customHeight="1">
      <c r="A74026" s="7"/>
      <c r="B74026" s="7"/>
    </row>
    <row r="74027" ht="15.75" customHeight="1">
      <c r="A74027" s="7"/>
      <c r="B74027" s="7"/>
    </row>
    <row r="74028" ht="15.75" customHeight="1">
      <c r="A74028" s="7"/>
      <c r="B74028" s="7"/>
    </row>
    <row r="74029" ht="15.75" customHeight="1">
      <c r="A74029" s="7"/>
      <c r="B74029" s="7"/>
    </row>
    <row r="74030" ht="15.75" customHeight="1">
      <c r="A74030" s="7"/>
      <c r="B74030" s="7"/>
    </row>
    <row r="74031" ht="15.75" customHeight="1">
      <c r="A74031" s="7"/>
      <c r="B74031" s="7"/>
    </row>
    <row r="74032" ht="15.75" customHeight="1">
      <c r="A74032" s="7"/>
      <c r="B74032" s="7"/>
    </row>
    <row r="74033" ht="15.75" customHeight="1">
      <c r="A74033" s="7"/>
      <c r="B74033" s="7"/>
    </row>
    <row r="74034" ht="15.75" customHeight="1">
      <c r="A74034" s="7"/>
      <c r="B74034" s="7"/>
    </row>
    <row r="74035" ht="15.75" customHeight="1">
      <c r="A74035" s="7"/>
      <c r="B74035" s="7"/>
    </row>
    <row r="74036" ht="15.75" customHeight="1">
      <c r="A74036" s="7"/>
      <c r="B74036" s="7"/>
    </row>
    <row r="74037" ht="15.75" customHeight="1">
      <c r="A74037" s="7"/>
      <c r="B74037" s="7"/>
    </row>
    <row r="74038" ht="15.75" customHeight="1">
      <c r="A74038" s="7"/>
      <c r="B74038" s="7"/>
    </row>
    <row r="74039" ht="15.75" customHeight="1">
      <c r="A74039" s="7"/>
      <c r="B74039" s="7"/>
    </row>
    <row r="74040" ht="15.75" customHeight="1">
      <c r="A74040" s="7"/>
      <c r="B74040" s="7"/>
    </row>
    <row r="74041" ht="15.75" customHeight="1">
      <c r="A74041" s="7"/>
      <c r="B74041" s="7"/>
    </row>
    <row r="74042" ht="15.75" customHeight="1">
      <c r="A74042" s="7"/>
      <c r="B74042" s="7"/>
    </row>
    <row r="74043" ht="15.75" customHeight="1">
      <c r="A74043" s="7"/>
      <c r="B74043" s="7"/>
    </row>
    <row r="74044" ht="15.75" customHeight="1">
      <c r="A74044" s="7"/>
      <c r="B74044" s="7"/>
    </row>
    <row r="74045" ht="15.75" customHeight="1">
      <c r="A74045" s="7"/>
      <c r="B74045" s="7"/>
    </row>
    <row r="74046" ht="15.75" customHeight="1">
      <c r="A74046" s="7"/>
      <c r="B74046" s="7"/>
    </row>
    <row r="74047" ht="15.75" customHeight="1">
      <c r="A74047" s="7"/>
      <c r="B74047" s="7"/>
    </row>
    <row r="74048" ht="15.75" customHeight="1">
      <c r="A74048" s="7"/>
      <c r="B74048" s="7"/>
    </row>
    <row r="74049" ht="15.75" customHeight="1">
      <c r="A74049" s="7"/>
      <c r="B74049" s="7"/>
    </row>
    <row r="74050" ht="15.75" customHeight="1">
      <c r="A74050" s="7"/>
      <c r="B74050" s="7"/>
    </row>
    <row r="74051" ht="15.75" customHeight="1">
      <c r="A74051" s="7"/>
      <c r="B74051" s="7"/>
    </row>
    <row r="74052" ht="15.75" customHeight="1">
      <c r="A74052" s="7"/>
      <c r="B74052" s="7"/>
    </row>
    <row r="74053" ht="15.75" customHeight="1">
      <c r="A74053" s="7"/>
      <c r="B74053" s="7"/>
    </row>
    <row r="74054" ht="15.75" customHeight="1">
      <c r="A74054" s="7"/>
      <c r="B74054" s="7"/>
    </row>
    <row r="74055" ht="15.75" customHeight="1">
      <c r="A74055" s="7"/>
      <c r="B74055" s="7"/>
    </row>
    <row r="74056" ht="15.75" customHeight="1">
      <c r="A74056" s="7"/>
      <c r="B74056" s="7"/>
    </row>
    <row r="74057" ht="15.75" customHeight="1">
      <c r="A74057" s="7"/>
      <c r="B74057" s="7"/>
    </row>
    <row r="74058" ht="15.75" customHeight="1">
      <c r="A74058" s="7"/>
      <c r="B74058" s="7"/>
    </row>
    <row r="74059" ht="15.75" customHeight="1">
      <c r="A74059" s="7"/>
      <c r="B74059" s="7"/>
    </row>
    <row r="74060" ht="15.75" customHeight="1">
      <c r="A74060" s="7"/>
      <c r="B74060" s="7"/>
    </row>
    <row r="74061" ht="15.75" customHeight="1">
      <c r="A74061" s="7"/>
      <c r="B74061" s="7"/>
    </row>
    <row r="74062" ht="15.75" customHeight="1">
      <c r="A74062" s="7"/>
      <c r="B74062" s="7"/>
    </row>
    <row r="74063" ht="15.75" customHeight="1">
      <c r="A74063" s="7"/>
      <c r="B74063" s="7"/>
    </row>
    <row r="74064" ht="15.75" customHeight="1">
      <c r="A74064" s="7"/>
      <c r="B74064" s="7"/>
    </row>
    <row r="74065" ht="15.75" customHeight="1">
      <c r="A74065" s="7"/>
      <c r="B74065" s="7"/>
    </row>
    <row r="74066" ht="15.75" customHeight="1">
      <c r="A74066" s="7"/>
      <c r="B74066" s="7"/>
    </row>
    <row r="74067" ht="15.75" customHeight="1">
      <c r="A74067" s="7"/>
      <c r="B74067" s="7"/>
    </row>
    <row r="74068" ht="15.75" customHeight="1">
      <c r="A74068" s="7"/>
      <c r="B74068" s="7"/>
    </row>
    <row r="74069" ht="15.75" customHeight="1">
      <c r="A74069" s="7"/>
      <c r="B74069" s="7"/>
    </row>
    <row r="74070" ht="15.75" customHeight="1">
      <c r="A74070" s="7"/>
      <c r="B74070" s="7"/>
    </row>
    <row r="74071" ht="15.75" customHeight="1">
      <c r="A74071" s="7"/>
      <c r="B74071" s="7"/>
    </row>
    <row r="74072" ht="15.75" customHeight="1">
      <c r="A74072" s="7"/>
      <c r="B74072" s="7"/>
    </row>
    <row r="74073" ht="15.75" customHeight="1">
      <c r="A74073" s="7"/>
      <c r="B74073" s="7"/>
    </row>
    <row r="74074" ht="15.75" customHeight="1">
      <c r="A74074" s="7"/>
      <c r="B74074" s="7"/>
    </row>
    <row r="74075" ht="15.75" customHeight="1">
      <c r="A74075" s="7"/>
      <c r="B74075" s="7"/>
    </row>
    <row r="74076" ht="15.75" customHeight="1">
      <c r="A74076" s="7"/>
      <c r="B74076" s="7"/>
    </row>
    <row r="74077" ht="15.75" customHeight="1">
      <c r="A74077" s="7"/>
      <c r="B74077" s="7"/>
    </row>
    <row r="74078" ht="15.75" customHeight="1">
      <c r="A74078" s="7"/>
      <c r="B74078" s="7"/>
    </row>
    <row r="74079" ht="15.75" customHeight="1">
      <c r="A74079" s="7"/>
      <c r="B74079" s="7"/>
    </row>
    <row r="74080" ht="15.75" customHeight="1">
      <c r="A74080" s="7"/>
      <c r="B74080" s="7"/>
    </row>
    <row r="74081" ht="15.75" customHeight="1">
      <c r="A74081" s="7"/>
      <c r="B74081" s="7"/>
    </row>
    <row r="74082" ht="15.75" customHeight="1">
      <c r="A74082" s="7"/>
      <c r="B74082" s="7"/>
    </row>
    <row r="74083" ht="15.75" customHeight="1">
      <c r="A74083" s="7"/>
      <c r="B74083" s="7"/>
    </row>
    <row r="74084" ht="15.75" customHeight="1">
      <c r="A74084" s="7"/>
      <c r="B74084" s="7"/>
    </row>
    <row r="74085" ht="15.75" customHeight="1">
      <c r="A74085" s="7"/>
      <c r="B74085" s="7"/>
    </row>
    <row r="74086" ht="15.75" customHeight="1">
      <c r="A74086" s="7"/>
      <c r="B74086" s="7"/>
    </row>
    <row r="74087" ht="15.75" customHeight="1">
      <c r="A74087" s="7"/>
      <c r="B74087" s="7"/>
    </row>
    <row r="74088" ht="15.75" customHeight="1">
      <c r="A74088" s="7"/>
      <c r="B74088" s="7"/>
    </row>
    <row r="74089" ht="15.75" customHeight="1">
      <c r="A74089" s="7"/>
      <c r="B74089" s="7"/>
    </row>
    <row r="74090" ht="15.75" customHeight="1">
      <c r="A74090" s="7"/>
      <c r="B74090" s="7"/>
    </row>
    <row r="74091" ht="15.75" customHeight="1">
      <c r="A74091" s="7"/>
      <c r="B74091" s="7"/>
    </row>
    <row r="74092" ht="15.75" customHeight="1">
      <c r="A74092" s="7"/>
      <c r="B74092" s="7"/>
    </row>
    <row r="74093" ht="15.75" customHeight="1">
      <c r="A74093" s="7"/>
      <c r="B74093" s="7"/>
    </row>
    <row r="74094" ht="15.75" customHeight="1">
      <c r="A74094" s="7"/>
      <c r="B74094" s="7"/>
    </row>
    <row r="74095" ht="15.75" customHeight="1">
      <c r="A74095" s="7"/>
      <c r="B74095" s="7"/>
    </row>
    <row r="74096" ht="15.75" customHeight="1">
      <c r="A74096" s="7"/>
      <c r="B74096" s="7"/>
    </row>
    <row r="74097" ht="15.75" customHeight="1">
      <c r="A74097" s="7"/>
      <c r="B74097" s="7"/>
    </row>
    <row r="74098" ht="15.75" customHeight="1">
      <c r="A74098" s="7"/>
      <c r="B74098" s="7"/>
    </row>
    <row r="74099" ht="15.75" customHeight="1">
      <c r="A74099" s="7"/>
      <c r="B74099" s="7"/>
    </row>
    <row r="74100" ht="15.75" customHeight="1">
      <c r="A74100" s="7"/>
      <c r="B74100" s="7"/>
    </row>
    <row r="74101" ht="15.75" customHeight="1">
      <c r="A74101" s="7"/>
      <c r="B74101" s="7"/>
    </row>
    <row r="74102" ht="15.75" customHeight="1">
      <c r="A74102" s="7"/>
      <c r="B74102" s="7"/>
    </row>
    <row r="74103" ht="15.75" customHeight="1">
      <c r="A74103" s="7"/>
      <c r="B74103" s="7"/>
    </row>
    <row r="74104" ht="15.75" customHeight="1">
      <c r="A74104" s="7"/>
      <c r="B74104" s="7"/>
    </row>
    <row r="74105" ht="15.75" customHeight="1">
      <c r="A74105" s="7"/>
      <c r="B74105" s="7"/>
    </row>
    <row r="74106" ht="15.75" customHeight="1">
      <c r="A74106" s="7"/>
      <c r="B74106" s="7"/>
    </row>
    <row r="74107" ht="15.75" customHeight="1">
      <c r="A74107" s="7"/>
      <c r="B74107" s="7"/>
    </row>
    <row r="74108" ht="15.75" customHeight="1">
      <c r="A74108" s="7"/>
      <c r="B74108" s="7"/>
    </row>
    <row r="74109" ht="15.75" customHeight="1">
      <c r="A74109" s="7"/>
      <c r="B74109" s="7"/>
    </row>
    <row r="74110" ht="15.75" customHeight="1">
      <c r="A74110" s="7"/>
      <c r="B74110" s="7"/>
    </row>
    <row r="74111" ht="15.75" customHeight="1">
      <c r="A74111" s="7"/>
      <c r="B74111" s="7"/>
    </row>
    <row r="74112" ht="15.75" customHeight="1">
      <c r="A74112" s="7"/>
      <c r="B74112" s="7"/>
    </row>
    <row r="74113" ht="15.75" customHeight="1">
      <c r="A74113" s="7"/>
      <c r="B74113" s="7"/>
    </row>
    <row r="74114" ht="15.75" customHeight="1">
      <c r="A74114" s="7"/>
      <c r="B74114" s="7"/>
    </row>
    <row r="74115" ht="15.75" customHeight="1">
      <c r="A74115" s="7"/>
      <c r="B74115" s="7"/>
    </row>
    <row r="74116" ht="15.75" customHeight="1">
      <c r="A74116" s="7"/>
      <c r="B74116" s="7"/>
    </row>
    <row r="74117" ht="15.75" customHeight="1">
      <c r="A74117" s="7"/>
      <c r="B74117" s="7"/>
    </row>
    <row r="74118" ht="15.75" customHeight="1">
      <c r="A74118" s="7"/>
      <c r="B74118" s="7"/>
    </row>
    <row r="74119" ht="15.75" customHeight="1">
      <c r="A74119" s="7"/>
      <c r="B74119" s="7"/>
    </row>
    <row r="74120" ht="15.75" customHeight="1">
      <c r="A74120" s="7"/>
      <c r="B74120" s="7"/>
    </row>
    <row r="74121" ht="15.75" customHeight="1">
      <c r="A74121" s="7"/>
      <c r="B74121" s="7"/>
    </row>
    <row r="74122" ht="15.75" customHeight="1">
      <c r="A74122" s="7"/>
      <c r="B74122" s="7"/>
    </row>
    <row r="74123" ht="15.75" customHeight="1">
      <c r="A74123" s="7"/>
      <c r="B74123" s="7"/>
    </row>
    <row r="74124" ht="15.75" customHeight="1">
      <c r="A74124" s="7"/>
      <c r="B74124" s="7"/>
    </row>
    <row r="74125" ht="15.75" customHeight="1">
      <c r="A74125" s="7"/>
      <c r="B74125" s="7"/>
    </row>
    <row r="74126" ht="15.75" customHeight="1">
      <c r="A74126" s="7"/>
      <c r="B74126" s="7"/>
    </row>
    <row r="74127" ht="15.75" customHeight="1">
      <c r="A74127" s="7"/>
      <c r="B74127" s="7"/>
    </row>
    <row r="74128" ht="15.75" customHeight="1">
      <c r="A74128" s="7"/>
      <c r="B74128" s="7"/>
    </row>
    <row r="74129" ht="15.75" customHeight="1">
      <c r="A74129" s="7"/>
      <c r="B74129" s="7"/>
    </row>
    <row r="74130" ht="15.75" customHeight="1">
      <c r="A74130" s="7"/>
      <c r="B74130" s="7"/>
    </row>
    <row r="74131" ht="15.75" customHeight="1">
      <c r="A74131" s="7"/>
      <c r="B74131" s="7"/>
    </row>
    <row r="74132" ht="15.75" customHeight="1">
      <c r="A74132" s="7"/>
      <c r="B74132" s="7"/>
    </row>
    <row r="74133" ht="15.75" customHeight="1">
      <c r="A74133" s="7"/>
      <c r="B74133" s="7"/>
    </row>
    <row r="74134" ht="15.75" customHeight="1">
      <c r="A74134" s="7"/>
      <c r="B74134" s="7"/>
    </row>
    <row r="74135" ht="15.75" customHeight="1">
      <c r="A74135" s="7"/>
      <c r="B74135" s="7"/>
    </row>
    <row r="74136" ht="15.75" customHeight="1">
      <c r="A74136" s="7"/>
      <c r="B74136" s="7"/>
    </row>
    <row r="74137" ht="15.75" customHeight="1">
      <c r="A74137" s="7"/>
      <c r="B74137" s="7"/>
    </row>
    <row r="74138" ht="15.75" customHeight="1">
      <c r="A74138" s="7"/>
      <c r="B74138" s="7"/>
    </row>
    <row r="74139" ht="15.75" customHeight="1">
      <c r="A74139" s="7"/>
      <c r="B74139" s="7"/>
    </row>
    <row r="74140" ht="15.75" customHeight="1">
      <c r="A74140" s="7"/>
      <c r="B74140" s="7"/>
    </row>
    <row r="74141" ht="15.75" customHeight="1">
      <c r="A74141" s="7"/>
      <c r="B74141" s="7"/>
    </row>
    <row r="74142" ht="15.75" customHeight="1">
      <c r="A74142" s="7"/>
      <c r="B74142" s="7"/>
    </row>
    <row r="74143" ht="15.75" customHeight="1">
      <c r="A74143" s="7"/>
      <c r="B74143" s="7"/>
    </row>
    <row r="74144" ht="15.75" customHeight="1">
      <c r="A74144" s="7"/>
      <c r="B74144" s="7"/>
    </row>
    <row r="74145" ht="15.75" customHeight="1">
      <c r="A74145" s="7"/>
      <c r="B74145" s="7"/>
    </row>
    <row r="74146" ht="15.75" customHeight="1">
      <c r="A74146" s="7"/>
      <c r="B74146" s="7"/>
    </row>
    <row r="74147" ht="15.75" customHeight="1">
      <c r="A74147" s="7"/>
      <c r="B74147" s="7"/>
    </row>
    <row r="74148" ht="15.75" customHeight="1">
      <c r="A74148" s="7"/>
      <c r="B74148" s="7"/>
    </row>
    <row r="74149" ht="15.75" customHeight="1">
      <c r="A74149" s="7"/>
      <c r="B74149" s="7"/>
    </row>
    <row r="74150" ht="15.75" customHeight="1">
      <c r="A74150" s="7"/>
      <c r="B74150" s="7"/>
    </row>
    <row r="74151" ht="15.75" customHeight="1">
      <c r="A74151" s="7"/>
      <c r="B74151" s="7"/>
    </row>
    <row r="74152" ht="15.75" customHeight="1">
      <c r="A74152" s="7"/>
      <c r="B74152" s="7"/>
    </row>
    <row r="74153" ht="15.75" customHeight="1">
      <c r="A74153" s="7"/>
      <c r="B74153" s="7"/>
    </row>
    <row r="74154" ht="15.75" customHeight="1">
      <c r="A74154" s="7"/>
      <c r="B74154" s="7"/>
    </row>
    <row r="74155" ht="15.75" customHeight="1">
      <c r="A74155" s="7"/>
      <c r="B74155" s="7"/>
    </row>
    <row r="74156" ht="15.75" customHeight="1">
      <c r="A74156" s="7"/>
      <c r="B74156" s="7"/>
    </row>
    <row r="74157" ht="15.75" customHeight="1">
      <c r="A74157" s="7"/>
      <c r="B74157" s="7"/>
    </row>
    <row r="74158" ht="15.75" customHeight="1">
      <c r="A74158" s="7"/>
      <c r="B74158" s="7"/>
    </row>
    <row r="74159" ht="15.75" customHeight="1">
      <c r="A74159" s="7"/>
      <c r="B74159" s="7"/>
    </row>
    <row r="74160" ht="15.75" customHeight="1">
      <c r="A74160" s="7"/>
      <c r="B74160" s="7"/>
    </row>
    <row r="74161" ht="15.75" customHeight="1">
      <c r="A74161" s="7"/>
      <c r="B74161" s="7"/>
    </row>
    <row r="74162" ht="15.75" customHeight="1">
      <c r="A74162" s="7"/>
      <c r="B74162" s="7"/>
    </row>
    <row r="74163" ht="15.75" customHeight="1">
      <c r="A74163" s="7"/>
      <c r="B74163" s="7"/>
    </row>
    <row r="74164" ht="15.75" customHeight="1">
      <c r="A74164" s="7"/>
      <c r="B74164" s="7"/>
    </row>
    <row r="74165" ht="15.75" customHeight="1">
      <c r="A74165" s="7"/>
      <c r="B74165" s="7"/>
    </row>
    <row r="74166" ht="15.75" customHeight="1">
      <c r="A74166" s="7"/>
      <c r="B74166" s="7"/>
    </row>
    <row r="74167" ht="15.75" customHeight="1">
      <c r="A74167" s="7"/>
      <c r="B74167" s="7"/>
    </row>
    <row r="74168" ht="15.75" customHeight="1">
      <c r="A74168" s="7"/>
      <c r="B74168" s="7"/>
    </row>
    <row r="74169" ht="15.75" customHeight="1">
      <c r="A74169" s="7"/>
      <c r="B74169" s="7"/>
    </row>
    <row r="74170" ht="15.75" customHeight="1">
      <c r="A74170" s="7"/>
      <c r="B74170" s="7"/>
    </row>
    <row r="74171" ht="15.75" customHeight="1">
      <c r="A74171" s="7"/>
      <c r="B74171" s="7"/>
    </row>
    <row r="74172" ht="15.75" customHeight="1">
      <c r="A74172" s="7"/>
      <c r="B74172" s="7"/>
    </row>
    <row r="74173" ht="15.75" customHeight="1">
      <c r="A74173" s="7"/>
      <c r="B74173" s="7"/>
    </row>
    <row r="74174" ht="15.75" customHeight="1">
      <c r="A74174" s="7"/>
      <c r="B74174" s="7"/>
    </row>
    <row r="74175" ht="15.75" customHeight="1">
      <c r="A74175" s="7"/>
      <c r="B74175" s="7"/>
    </row>
    <row r="74176" ht="15.75" customHeight="1">
      <c r="A74176" s="7"/>
      <c r="B74176" s="7"/>
    </row>
    <row r="74177" ht="15.75" customHeight="1">
      <c r="A74177" s="7"/>
      <c r="B74177" s="7"/>
    </row>
    <row r="74178" ht="15.75" customHeight="1">
      <c r="A74178" s="7"/>
      <c r="B74178" s="7"/>
    </row>
    <row r="74179" ht="15.75" customHeight="1">
      <c r="A74179" s="7"/>
      <c r="B74179" s="7"/>
    </row>
    <row r="74180" ht="15.75" customHeight="1">
      <c r="A74180" s="7"/>
      <c r="B74180" s="7"/>
    </row>
    <row r="74181" ht="15.75" customHeight="1">
      <c r="A74181" s="7"/>
      <c r="B74181" s="7"/>
    </row>
    <row r="74182" ht="15.75" customHeight="1">
      <c r="A74182" s="7"/>
      <c r="B74182" s="7"/>
    </row>
    <row r="74183" ht="15.75" customHeight="1">
      <c r="A74183" s="7"/>
      <c r="B74183" s="7"/>
    </row>
    <row r="74184" ht="15.75" customHeight="1">
      <c r="A74184" s="7"/>
      <c r="B74184" s="7"/>
    </row>
    <row r="74185" ht="15.75" customHeight="1">
      <c r="A74185" s="7"/>
      <c r="B74185" s="7"/>
    </row>
    <row r="74186" ht="15.75" customHeight="1">
      <c r="A74186" s="7"/>
      <c r="B74186" s="7"/>
    </row>
    <row r="74187" ht="15.75" customHeight="1">
      <c r="A74187" s="7"/>
      <c r="B74187" s="7"/>
    </row>
    <row r="74188" ht="15.75" customHeight="1">
      <c r="A74188" s="7"/>
      <c r="B74188" s="7"/>
    </row>
    <row r="74189" ht="15.75" customHeight="1">
      <c r="A74189" s="7"/>
      <c r="B74189" s="7"/>
    </row>
    <row r="74190" ht="15.75" customHeight="1">
      <c r="A74190" s="7"/>
      <c r="B74190" s="7"/>
    </row>
    <row r="74191" ht="15.75" customHeight="1">
      <c r="A74191" s="7"/>
      <c r="B74191" s="7"/>
    </row>
    <row r="74192" ht="15.75" customHeight="1">
      <c r="A74192" s="7"/>
      <c r="B74192" s="7"/>
    </row>
    <row r="74193" ht="15.75" customHeight="1">
      <c r="A74193" s="7"/>
      <c r="B74193" s="7"/>
    </row>
    <row r="74194" ht="15.75" customHeight="1">
      <c r="A74194" s="7"/>
      <c r="B74194" s="7"/>
    </row>
    <row r="74195" ht="15.75" customHeight="1">
      <c r="A74195" s="7"/>
      <c r="B74195" s="7"/>
    </row>
    <row r="74196" ht="15.75" customHeight="1">
      <c r="A74196" s="7"/>
      <c r="B74196" s="7"/>
    </row>
    <row r="74197" ht="15.75" customHeight="1">
      <c r="A74197" s="7"/>
      <c r="B74197" s="7"/>
    </row>
    <row r="74198" ht="15.75" customHeight="1">
      <c r="A74198" s="7"/>
      <c r="B74198" s="7"/>
    </row>
    <row r="74199" ht="15.75" customHeight="1">
      <c r="A74199" s="7"/>
      <c r="B74199" s="7"/>
    </row>
    <row r="74200" ht="15.75" customHeight="1">
      <c r="A74200" s="7"/>
      <c r="B74200" s="7"/>
    </row>
    <row r="74201" ht="15.75" customHeight="1">
      <c r="A74201" s="7"/>
      <c r="B74201" s="7"/>
    </row>
    <row r="74202" ht="15.75" customHeight="1">
      <c r="A74202" s="7"/>
      <c r="B74202" s="7"/>
    </row>
    <row r="74203" ht="15.75" customHeight="1">
      <c r="A74203" s="7"/>
      <c r="B74203" s="7"/>
    </row>
    <row r="74204" ht="15.75" customHeight="1">
      <c r="A74204" s="7"/>
      <c r="B74204" s="7"/>
    </row>
    <row r="74205" ht="15.75" customHeight="1">
      <c r="A74205" s="7"/>
      <c r="B74205" s="7"/>
    </row>
    <row r="74206" ht="15.75" customHeight="1">
      <c r="A74206" s="7"/>
      <c r="B74206" s="7"/>
    </row>
    <row r="74207" ht="15.75" customHeight="1">
      <c r="A74207" s="7"/>
      <c r="B74207" s="7"/>
    </row>
    <row r="74208" ht="15.75" customHeight="1">
      <c r="A74208" s="7"/>
      <c r="B74208" s="7"/>
    </row>
    <row r="74209" ht="15.75" customHeight="1">
      <c r="A74209" s="7"/>
      <c r="B74209" s="7"/>
    </row>
    <row r="74210" ht="15.75" customHeight="1">
      <c r="A74210" s="7"/>
      <c r="B74210" s="7"/>
    </row>
    <row r="74211" ht="15.75" customHeight="1">
      <c r="A74211" s="7"/>
      <c r="B74211" s="7"/>
    </row>
    <row r="74212" ht="15.75" customHeight="1">
      <c r="A74212" s="7"/>
      <c r="B74212" s="7"/>
    </row>
    <row r="74213" ht="15.75" customHeight="1">
      <c r="A74213" s="7"/>
      <c r="B74213" s="7"/>
    </row>
    <row r="74214" ht="15.75" customHeight="1">
      <c r="A74214" s="7"/>
      <c r="B74214" s="7"/>
    </row>
    <row r="74215" ht="15.75" customHeight="1">
      <c r="A74215" s="7"/>
      <c r="B74215" s="7"/>
    </row>
    <row r="74216" ht="15.75" customHeight="1">
      <c r="A74216" s="7"/>
      <c r="B74216" s="7"/>
    </row>
    <row r="74217" ht="15.75" customHeight="1">
      <c r="A74217" s="7"/>
      <c r="B74217" s="7"/>
    </row>
    <row r="74218" ht="15.75" customHeight="1">
      <c r="A74218" s="7"/>
      <c r="B74218" s="7"/>
    </row>
    <row r="74219" ht="15.75" customHeight="1">
      <c r="A74219" s="7"/>
      <c r="B74219" s="7"/>
    </row>
    <row r="74220" ht="15.75" customHeight="1">
      <c r="A74220" s="7"/>
      <c r="B74220" s="7"/>
    </row>
    <row r="74221" ht="15.75" customHeight="1">
      <c r="A74221" s="7"/>
      <c r="B74221" s="7"/>
    </row>
    <row r="74222" ht="15.75" customHeight="1">
      <c r="A74222" s="7"/>
      <c r="B74222" s="7"/>
    </row>
    <row r="74223" ht="15.75" customHeight="1">
      <c r="A74223" s="7"/>
      <c r="B74223" s="7"/>
    </row>
    <row r="74224" ht="15.75" customHeight="1">
      <c r="A74224" s="7"/>
      <c r="B74224" s="7"/>
    </row>
    <row r="74225" ht="15.75" customHeight="1">
      <c r="A74225" s="7"/>
      <c r="B74225" s="7"/>
    </row>
    <row r="74226" ht="15.75" customHeight="1">
      <c r="A74226" s="7"/>
      <c r="B74226" s="7"/>
    </row>
    <row r="74227" ht="15.75" customHeight="1">
      <c r="A74227" s="7"/>
      <c r="B74227" s="7"/>
    </row>
    <row r="74228" ht="15.75" customHeight="1">
      <c r="A74228" s="7"/>
      <c r="B74228" s="7"/>
    </row>
    <row r="74229" ht="15.75" customHeight="1">
      <c r="A74229" s="7"/>
      <c r="B74229" s="7"/>
    </row>
    <row r="74230" ht="15.75" customHeight="1">
      <c r="A74230" s="7"/>
      <c r="B74230" s="7"/>
    </row>
    <row r="74231" ht="15.75" customHeight="1">
      <c r="A74231" s="7"/>
      <c r="B74231" s="7"/>
    </row>
    <row r="74232" ht="15.75" customHeight="1">
      <c r="A74232" s="7"/>
      <c r="B74232" s="7"/>
    </row>
    <row r="74233" ht="15.75" customHeight="1">
      <c r="A74233" s="7"/>
      <c r="B74233" s="7"/>
    </row>
    <row r="74234" ht="15.75" customHeight="1">
      <c r="A74234" s="7"/>
      <c r="B74234" s="7"/>
    </row>
    <row r="74235" ht="15.75" customHeight="1">
      <c r="A74235" s="7"/>
      <c r="B74235" s="7"/>
    </row>
    <row r="74236" ht="15.75" customHeight="1">
      <c r="A74236" s="7"/>
      <c r="B74236" s="7"/>
    </row>
    <row r="74237" ht="15.75" customHeight="1">
      <c r="A74237" s="7"/>
      <c r="B74237" s="7"/>
    </row>
    <row r="74238" ht="15.75" customHeight="1">
      <c r="A74238" s="7"/>
      <c r="B74238" s="7"/>
    </row>
    <row r="74239" ht="15.75" customHeight="1">
      <c r="A74239" s="7"/>
      <c r="B74239" s="7"/>
    </row>
    <row r="74240" ht="15.75" customHeight="1">
      <c r="A74240" s="7"/>
      <c r="B74240" s="7"/>
    </row>
    <row r="74241" ht="15.75" customHeight="1">
      <c r="A74241" s="7"/>
      <c r="B74241" s="7"/>
    </row>
    <row r="74242" ht="15.75" customHeight="1">
      <c r="A74242" s="7"/>
      <c r="B74242" s="7"/>
    </row>
    <row r="74243" ht="15.75" customHeight="1">
      <c r="A74243" s="7"/>
      <c r="B74243" s="7"/>
    </row>
    <row r="74244" ht="15.75" customHeight="1">
      <c r="A74244" s="7"/>
      <c r="B74244" s="7"/>
    </row>
    <row r="74245" ht="15.75" customHeight="1">
      <c r="A74245" s="7"/>
      <c r="B74245" s="7"/>
    </row>
    <row r="74246" ht="15.75" customHeight="1">
      <c r="A74246" s="7"/>
      <c r="B74246" s="7"/>
    </row>
    <row r="74247" ht="15.75" customHeight="1">
      <c r="A74247" s="7"/>
      <c r="B74247" s="7"/>
    </row>
    <row r="74248" ht="15.75" customHeight="1">
      <c r="A74248" s="7"/>
      <c r="B74248" s="7"/>
    </row>
    <row r="74249" ht="15.75" customHeight="1">
      <c r="A74249" s="7"/>
      <c r="B74249" s="7"/>
    </row>
    <row r="74250" ht="15.75" customHeight="1">
      <c r="A74250" s="7"/>
      <c r="B74250" s="7"/>
    </row>
    <row r="74251" ht="15.75" customHeight="1">
      <c r="A74251" s="7"/>
      <c r="B74251" s="7"/>
    </row>
    <row r="74252" ht="15.75" customHeight="1">
      <c r="A74252" s="7"/>
      <c r="B74252" s="7"/>
    </row>
    <row r="74253" ht="15.75" customHeight="1">
      <c r="A74253" s="7"/>
      <c r="B74253" s="7"/>
    </row>
    <row r="74254" ht="15.75" customHeight="1">
      <c r="A74254" s="7"/>
      <c r="B74254" s="7"/>
    </row>
    <row r="74255" ht="15.75" customHeight="1">
      <c r="A74255" s="7"/>
      <c r="B74255" s="7"/>
    </row>
    <row r="74256" ht="15.75" customHeight="1">
      <c r="A74256" s="7"/>
      <c r="B74256" s="7"/>
    </row>
    <row r="74257" ht="15.75" customHeight="1">
      <c r="A74257" s="7"/>
      <c r="B74257" s="7"/>
    </row>
    <row r="74258" ht="15.75" customHeight="1">
      <c r="A74258" s="7"/>
      <c r="B74258" s="7"/>
    </row>
    <row r="74259" ht="15.75" customHeight="1">
      <c r="A74259" s="7"/>
      <c r="B74259" s="7"/>
    </row>
    <row r="74260" ht="15.75" customHeight="1">
      <c r="A74260" s="7"/>
      <c r="B74260" s="7"/>
    </row>
    <row r="74261" ht="15.75" customHeight="1">
      <c r="A74261" s="7"/>
      <c r="B74261" s="7"/>
    </row>
    <row r="74262" ht="15.75" customHeight="1">
      <c r="A74262" s="7"/>
      <c r="B74262" s="7"/>
    </row>
    <row r="74263" ht="15.75" customHeight="1">
      <c r="A74263" s="7"/>
      <c r="B74263" s="7"/>
    </row>
    <row r="74264" ht="15.75" customHeight="1">
      <c r="A74264" s="7"/>
      <c r="B74264" s="7"/>
    </row>
    <row r="74265" ht="15.75" customHeight="1">
      <c r="A74265" s="7"/>
      <c r="B74265" s="7"/>
    </row>
    <row r="74266" ht="15.75" customHeight="1">
      <c r="A74266" s="7"/>
      <c r="B74266" s="7"/>
    </row>
    <row r="74267" ht="15.75" customHeight="1">
      <c r="A74267" s="7"/>
      <c r="B74267" s="7"/>
    </row>
    <row r="74268" ht="15.75" customHeight="1">
      <c r="A74268" s="7"/>
      <c r="B74268" s="7"/>
    </row>
    <row r="74269" ht="15.75" customHeight="1">
      <c r="A74269" s="7"/>
      <c r="B74269" s="7"/>
    </row>
    <row r="74270" ht="15.75" customHeight="1">
      <c r="A74270" s="7"/>
      <c r="B74270" s="7"/>
    </row>
    <row r="74271" ht="15.75" customHeight="1">
      <c r="A74271" s="7"/>
      <c r="B74271" s="7"/>
    </row>
    <row r="74272" ht="15.75" customHeight="1">
      <c r="A74272" s="7"/>
      <c r="B74272" s="7"/>
    </row>
    <row r="74273" ht="15.75" customHeight="1">
      <c r="A74273" s="7"/>
      <c r="B74273" s="7"/>
    </row>
    <row r="74274" ht="15.75" customHeight="1">
      <c r="A74274" s="7"/>
      <c r="B74274" s="7"/>
    </row>
    <row r="74275" ht="15.75" customHeight="1">
      <c r="A74275" s="7"/>
      <c r="B74275" s="7"/>
    </row>
    <row r="74276" ht="15.75" customHeight="1">
      <c r="A74276" s="7"/>
      <c r="B74276" s="7"/>
    </row>
    <row r="74277" ht="15.75" customHeight="1">
      <c r="A74277" s="7"/>
      <c r="B74277" s="7"/>
    </row>
    <row r="74278" ht="15.75" customHeight="1">
      <c r="A74278" s="7"/>
      <c r="B74278" s="7"/>
    </row>
    <row r="74279" ht="15.75" customHeight="1">
      <c r="A74279" s="7"/>
      <c r="B74279" s="7"/>
    </row>
    <row r="74280" ht="15.75" customHeight="1">
      <c r="A74280" s="7"/>
      <c r="B74280" s="7"/>
    </row>
    <row r="74281" ht="15.75" customHeight="1">
      <c r="A74281" s="7"/>
      <c r="B74281" s="7"/>
    </row>
    <row r="74282" ht="15.75" customHeight="1">
      <c r="A74282" s="7"/>
      <c r="B74282" s="7"/>
    </row>
    <row r="74283" ht="15.75" customHeight="1">
      <c r="A74283" s="7"/>
      <c r="B74283" s="7"/>
    </row>
    <row r="74284" ht="15.75" customHeight="1">
      <c r="A74284" s="7"/>
      <c r="B74284" s="7"/>
    </row>
    <row r="74285" ht="15.75" customHeight="1">
      <c r="A74285" s="7"/>
      <c r="B74285" s="7"/>
    </row>
    <row r="74286" ht="15.75" customHeight="1">
      <c r="A74286" s="7"/>
      <c r="B74286" s="7"/>
    </row>
    <row r="74287" ht="15.75" customHeight="1">
      <c r="A74287" s="7"/>
      <c r="B74287" s="7"/>
    </row>
    <row r="74288" ht="15.75" customHeight="1">
      <c r="A74288" s="7"/>
      <c r="B74288" s="7"/>
    </row>
    <row r="74289" ht="15.75" customHeight="1">
      <c r="A74289" s="7"/>
      <c r="B74289" s="7"/>
    </row>
    <row r="74290" ht="15.75" customHeight="1">
      <c r="A74290" s="7"/>
      <c r="B74290" s="7"/>
    </row>
    <row r="74291" ht="15.75" customHeight="1">
      <c r="A74291" s="7"/>
      <c r="B74291" s="7"/>
    </row>
    <row r="74292" ht="15.75" customHeight="1">
      <c r="A74292" s="7"/>
      <c r="B74292" s="7"/>
    </row>
    <row r="74293" ht="15.75" customHeight="1">
      <c r="A74293" s="7"/>
      <c r="B74293" s="7"/>
    </row>
    <row r="74294" ht="15.75" customHeight="1">
      <c r="A74294" s="7"/>
      <c r="B74294" s="7"/>
    </row>
    <row r="74295" ht="15.75" customHeight="1">
      <c r="A74295" s="7"/>
      <c r="B74295" s="7"/>
    </row>
    <row r="74296" ht="15.75" customHeight="1">
      <c r="A74296" s="7"/>
      <c r="B74296" s="7"/>
    </row>
    <row r="74297" ht="15.75" customHeight="1">
      <c r="A74297" s="7"/>
      <c r="B74297" s="7"/>
    </row>
    <row r="74298" ht="15.75" customHeight="1">
      <c r="A74298" s="7"/>
      <c r="B74298" s="7"/>
    </row>
    <row r="74299" ht="15.75" customHeight="1">
      <c r="A74299" s="7"/>
      <c r="B74299" s="7"/>
    </row>
    <row r="74300" ht="15.75" customHeight="1">
      <c r="A74300" s="7"/>
      <c r="B74300" s="7"/>
    </row>
    <row r="74301" ht="15.75" customHeight="1">
      <c r="A74301" s="7"/>
      <c r="B74301" s="7"/>
    </row>
    <row r="74302" ht="15.75" customHeight="1">
      <c r="A74302" s="7"/>
      <c r="B74302" s="7"/>
    </row>
    <row r="74303" ht="15.75" customHeight="1">
      <c r="A74303" s="7"/>
      <c r="B74303" s="7"/>
    </row>
    <row r="74304" ht="15.75" customHeight="1">
      <c r="A74304" s="7"/>
      <c r="B74304" s="7"/>
    </row>
    <row r="74305" ht="15.75" customHeight="1">
      <c r="A74305" s="7"/>
      <c r="B74305" s="7"/>
    </row>
    <row r="74306" ht="15.75" customHeight="1">
      <c r="A74306" s="7"/>
      <c r="B74306" s="7"/>
    </row>
    <row r="74307" ht="15.75" customHeight="1">
      <c r="A74307" s="7"/>
      <c r="B74307" s="7"/>
    </row>
    <row r="74308" ht="15.75" customHeight="1">
      <c r="A74308" s="7"/>
      <c r="B74308" s="7"/>
    </row>
    <row r="74309" ht="15.75" customHeight="1">
      <c r="A74309" s="7"/>
      <c r="B74309" s="7"/>
    </row>
    <row r="74310" ht="15.75" customHeight="1">
      <c r="A74310" s="7"/>
      <c r="B74310" s="7"/>
    </row>
    <row r="74311" ht="15.75" customHeight="1">
      <c r="A74311" s="7"/>
      <c r="B74311" s="7"/>
    </row>
    <row r="74312" ht="15.75" customHeight="1">
      <c r="A74312" s="7"/>
      <c r="B74312" s="7"/>
    </row>
    <row r="74313" ht="15.75" customHeight="1">
      <c r="A74313" s="7"/>
      <c r="B74313" s="7"/>
    </row>
    <row r="74314" ht="15.75" customHeight="1">
      <c r="A74314" s="7"/>
      <c r="B74314" s="7"/>
    </row>
    <row r="74315" ht="15.75" customHeight="1">
      <c r="A74315" s="7"/>
      <c r="B74315" s="7"/>
    </row>
    <row r="74316" ht="15.75" customHeight="1">
      <c r="A74316" s="7"/>
      <c r="B74316" s="7"/>
    </row>
    <row r="74317" ht="15.75" customHeight="1">
      <c r="A74317" s="7"/>
      <c r="B74317" s="7"/>
    </row>
    <row r="74318" ht="15.75" customHeight="1">
      <c r="A74318" s="7"/>
      <c r="B74318" s="7"/>
    </row>
    <row r="74319" ht="15.75" customHeight="1">
      <c r="A74319" s="7"/>
      <c r="B74319" s="7"/>
    </row>
    <row r="74320" ht="15.75" customHeight="1">
      <c r="A74320" s="7"/>
      <c r="B74320" s="7"/>
    </row>
    <row r="74321" ht="15.75" customHeight="1">
      <c r="A74321" s="7"/>
      <c r="B74321" s="7"/>
    </row>
    <row r="74322" ht="15.75" customHeight="1">
      <c r="A74322" s="7"/>
      <c r="B74322" s="7"/>
    </row>
    <row r="74323" ht="15.75" customHeight="1">
      <c r="A74323" s="7"/>
      <c r="B74323" s="7"/>
    </row>
    <row r="74324" ht="15.75" customHeight="1">
      <c r="A74324" s="7"/>
      <c r="B74324" s="7"/>
    </row>
    <row r="74325" ht="15.75" customHeight="1">
      <c r="A74325" s="7"/>
      <c r="B74325" s="7"/>
    </row>
    <row r="74326" ht="15.75" customHeight="1">
      <c r="A74326" s="7"/>
      <c r="B74326" s="7"/>
    </row>
    <row r="74327" ht="15.75" customHeight="1">
      <c r="A74327" s="7"/>
      <c r="B74327" s="7"/>
    </row>
    <row r="74328" ht="15.75" customHeight="1">
      <c r="A74328" s="7"/>
      <c r="B74328" s="7"/>
    </row>
    <row r="74329" ht="15.75" customHeight="1">
      <c r="A74329" s="7"/>
      <c r="B74329" s="7"/>
    </row>
    <row r="74330" ht="15.75" customHeight="1">
      <c r="A74330" s="7"/>
      <c r="B74330" s="7"/>
    </row>
    <row r="74331" ht="15.75" customHeight="1">
      <c r="A74331" s="7"/>
      <c r="B74331" s="7"/>
    </row>
    <row r="74332" ht="15.75" customHeight="1">
      <c r="A74332" s="7"/>
      <c r="B74332" s="7"/>
    </row>
    <row r="74333" ht="15.75" customHeight="1">
      <c r="A74333" s="7"/>
      <c r="B74333" s="7"/>
    </row>
    <row r="74334" ht="15.75" customHeight="1">
      <c r="A74334" s="7"/>
      <c r="B74334" s="7"/>
    </row>
    <row r="74335" ht="15.75" customHeight="1">
      <c r="A74335" s="7"/>
      <c r="B74335" s="7"/>
    </row>
    <row r="74336" ht="15.75" customHeight="1">
      <c r="A74336" s="7"/>
      <c r="B74336" s="7"/>
    </row>
    <row r="74337" ht="15.75" customHeight="1">
      <c r="A74337" s="7"/>
      <c r="B74337" s="7"/>
    </row>
    <row r="74338" ht="15.75" customHeight="1">
      <c r="A74338" s="7"/>
      <c r="B74338" s="7"/>
    </row>
    <row r="74339" ht="15.75" customHeight="1">
      <c r="A74339" s="7"/>
      <c r="B74339" s="7"/>
    </row>
    <row r="74340" ht="15.75" customHeight="1">
      <c r="A74340" s="7"/>
      <c r="B74340" s="7"/>
    </row>
    <row r="74341" ht="15.75" customHeight="1">
      <c r="A74341" s="7"/>
      <c r="B74341" s="7"/>
    </row>
    <row r="74342" ht="15.75" customHeight="1">
      <c r="A74342" s="7"/>
      <c r="B74342" s="7"/>
    </row>
    <row r="74343" ht="15.75" customHeight="1">
      <c r="A74343" s="7"/>
      <c r="B74343" s="7"/>
    </row>
    <row r="74344" ht="15.75" customHeight="1">
      <c r="A74344" s="7"/>
      <c r="B74344" s="7"/>
    </row>
    <row r="74345" ht="15.75" customHeight="1">
      <c r="A74345" s="7"/>
      <c r="B74345" s="7"/>
    </row>
    <row r="74346" ht="15.75" customHeight="1">
      <c r="A74346" s="7"/>
      <c r="B74346" s="7"/>
    </row>
    <row r="74347" ht="15.75" customHeight="1">
      <c r="A74347" s="7"/>
      <c r="B74347" s="7"/>
    </row>
    <row r="74348" ht="15.75" customHeight="1">
      <c r="A74348" s="7"/>
      <c r="B74348" s="7"/>
    </row>
    <row r="74349" ht="15.75" customHeight="1">
      <c r="A74349" s="7"/>
      <c r="B74349" s="7"/>
    </row>
    <row r="74350" ht="15.75" customHeight="1">
      <c r="A74350" s="7"/>
      <c r="B74350" s="7"/>
    </row>
    <row r="74351" ht="15.75" customHeight="1">
      <c r="A74351" s="7"/>
      <c r="B74351" s="7"/>
    </row>
    <row r="74352" ht="15.75" customHeight="1">
      <c r="A74352" s="7"/>
      <c r="B74352" s="7"/>
    </row>
    <row r="74353" ht="15.75" customHeight="1">
      <c r="A74353" s="7"/>
      <c r="B74353" s="7"/>
    </row>
    <row r="74354" ht="15.75" customHeight="1">
      <c r="A74354" s="7"/>
      <c r="B74354" s="7"/>
    </row>
    <row r="74355" ht="15.75" customHeight="1">
      <c r="A74355" s="7"/>
      <c r="B74355" s="7"/>
    </row>
    <row r="74356" ht="15.75" customHeight="1">
      <c r="A74356" s="7"/>
      <c r="B74356" s="7"/>
    </row>
    <row r="74357" ht="15.75" customHeight="1">
      <c r="A74357" s="7"/>
      <c r="B74357" s="7"/>
    </row>
    <row r="74358" ht="15.75" customHeight="1">
      <c r="A74358" s="7"/>
      <c r="B74358" s="7"/>
    </row>
    <row r="74359" ht="15.75" customHeight="1">
      <c r="A74359" s="7"/>
      <c r="B74359" s="7"/>
    </row>
    <row r="74360" ht="15.75" customHeight="1">
      <c r="A74360" s="7"/>
      <c r="B74360" s="7"/>
    </row>
    <row r="74361" ht="15.75" customHeight="1">
      <c r="A74361" s="7"/>
      <c r="B74361" s="7"/>
    </row>
    <row r="74362" ht="15.75" customHeight="1">
      <c r="A74362" s="7"/>
      <c r="B74362" s="7"/>
    </row>
    <row r="74363" ht="15.75" customHeight="1">
      <c r="A74363" s="7"/>
      <c r="B74363" s="7"/>
    </row>
    <row r="74364" ht="15.75" customHeight="1">
      <c r="A74364" s="7"/>
      <c r="B74364" s="7"/>
    </row>
    <row r="74365" ht="15.75" customHeight="1">
      <c r="A74365" s="7"/>
      <c r="B74365" s="7"/>
    </row>
    <row r="74366" ht="15.75" customHeight="1">
      <c r="A74366" s="7"/>
      <c r="B74366" s="7"/>
    </row>
    <row r="74367" ht="15.75" customHeight="1">
      <c r="A74367" s="7"/>
      <c r="B74367" s="7"/>
    </row>
    <row r="74368" ht="15.75" customHeight="1">
      <c r="A74368" s="7"/>
      <c r="B74368" s="7"/>
    </row>
    <row r="74369" ht="15.75" customHeight="1">
      <c r="A74369" s="7"/>
      <c r="B74369" s="7"/>
    </row>
    <row r="74370" ht="15.75" customHeight="1">
      <c r="A74370" s="7"/>
      <c r="B74370" s="7"/>
    </row>
    <row r="74371" ht="15.75" customHeight="1">
      <c r="A74371" s="7"/>
      <c r="B74371" s="7"/>
    </row>
    <row r="74372" ht="15.75" customHeight="1">
      <c r="A74372" s="7"/>
      <c r="B74372" s="7"/>
    </row>
    <row r="74373" ht="15.75" customHeight="1">
      <c r="A74373" s="7"/>
      <c r="B74373" s="7"/>
    </row>
    <row r="74374" ht="15.75" customHeight="1">
      <c r="A74374" s="7"/>
      <c r="B74374" s="7"/>
    </row>
    <row r="74375" ht="15.75" customHeight="1">
      <c r="A74375" s="7"/>
      <c r="B74375" s="7"/>
    </row>
    <row r="74376" ht="15.75" customHeight="1">
      <c r="A74376" s="7"/>
      <c r="B74376" s="7"/>
    </row>
    <row r="74377" ht="15.75" customHeight="1">
      <c r="A74377" s="7"/>
      <c r="B74377" s="7"/>
    </row>
    <row r="74378" ht="15.75" customHeight="1">
      <c r="A74378" s="7"/>
      <c r="B74378" s="7"/>
    </row>
    <row r="74379" ht="15.75" customHeight="1">
      <c r="A74379" s="7"/>
      <c r="B74379" s="7"/>
    </row>
    <row r="74380" ht="15.75" customHeight="1">
      <c r="A74380" s="7"/>
      <c r="B74380" s="7"/>
    </row>
    <row r="74381" ht="15.75" customHeight="1">
      <c r="A74381" s="7"/>
      <c r="B74381" s="7"/>
    </row>
    <row r="74382" ht="15.75" customHeight="1">
      <c r="A74382" s="7"/>
      <c r="B74382" s="7"/>
    </row>
    <row r="74383" ht="15.75" customHeight="1">
      <c r="A74383" s="7"/>
      <c r="B74383" s="7"/>
    </row>
    <row r="74384" ht="15.75" customHeight="1">
      <c r="A74384" s="7"/>
      <c r="B74384" s="7"/>
    </row>
    <row r="74385" ht="15.75" customHeight="1">
      <c r="A74385" s="7"/>
      <c r="B74385" s="7"/>
    </row>
    <row r="74386" ht="15.75" customHeight="1">
      <c r="A74386" s="7"/>
      <c r="B74386" s="7"/>
    </row>
    <row r="74387" ht="15.75" customHeight="1">
      <c r="A74387" s="7"/>
      <c r="B74387" s="7"/>
    </row>
    <row r="74388" ht="15.75" customHeight="1">
      <c r="A74388" s="7"/>
      <c r="B74388" s="7"/>
    </row>
    <row r="74389" ht="15.75" customHeight="1">
      <c r="A74389" s="7"/>
      <c r="B74389" s="7"/>
    </row>
    <row r="74390" ht="15.75" customHeight="1">
      <c r="A74390" s="7"/>
      <c r="B74390" s="7"/>
    </row>
    <row r="74391" ht="15.75" customHeight="1">
      <c r="A74391" s="7"/>
      <c r="B74391" s="7"/>
    </row>
    <row r="74392" ht="15.75" customHeight="1">
      <c r="A74392" s="7"/>
      <c r="B74392" s="7"/>
    </row>
    <row r="74393" ht="15.75" customHeight="1">
      <c r="A74393" s="7"/>
      <c r="B74393" s="7"/>
    </row>
    <row r="74394" ht="15.75" customHeight="1">
      <c r="A74394" s="7"/>
      <c r="B74394" s="7"/>
    </row>
    <row r="74395" ht="15.75" customHeight="1">
      <c r="A74395" s="7"/>
      <c r="B74395" s="7"/>
    </row>
    <row r="74396" ht="15.75" customHeight="1">
      <c r="A74396" s="7"/>
      <c r="B74396" s="7"/>
    </row>
    <row r="74397" ht="15.75" customHeight="1">
      <c r="A74397" s="7"/>
      <c r="B74397" s="7"/>
    </row>
    <row r="74398" ht="15.75" customHeight="1">
      <c r="A74398" s="7"/>
      <c r="B74398" s="7"/>
    </row>
    <row r="74399" ht="15.75" customHeight="1">
      <c r="A74399" s="7"/>
      <c r="B74399" s="7"/>
    </row>
    <row r="74400" ht="15.75" customHeight="1">
      <c r="A74400" s="7"/>
      <c r="B74400" s="7"/>
    </row>
    <row r="74401" ht="15.75" customHeight="1">
      <c r="A74401" s="7"/>
      <c r="B74401" s="7"/>
    </row>
    <row r="74402" ht="15.75" customHeight="1">
      <c r="A74402" s="7"/>
      <c r="B74402" s="7"/>
    </row>
    <row r="74403" ht="15.75" customHeight="1">
      <c r="A74403" s="7"/>
      <c r="B74403" s="7"/>
    </row>
    <row r="74404" ht="15.75" customHeight="1">
      <c r="A74404" s="7"/>
      <c r="B74404" s="7"/>
    </row>
    <row r="74405" ht="15.75" customHeight="1">
      <c r="A74405" s="7"/>
      <c r="B74405" s="7"/>
    </row>
    <row r="74406" ht="15.75" customHeight="1">
      <c r="A74406" s="7"/>
      <c r="B74406" s="7"/>
    </row>
    <row r="74407" ht="15.75" customHeight="1">
      <c r="A74407" s="7"/>
      <c r="B74407" s="7"/>
    </row>
    <row r="74408" ht="15.75" customHeight="1">
      <c r="A74408" s="7"/>
      <c r="B74408" s="7"/>
    </row>
    <row r="74409" ht="15.75" customHeight="1">
      <c r="A74409" s="7"/>
      <c r="B74409" s="7"/>
    </row>
    <row r="74410" ht="15.75" customHeight="1">
      <c r="A74410" s="7"/>
      <c r="B74410" s="7"/>
    </row>
    <row r="74411" ht="15.75" customHeight="1">
      <c r="A74411" s="7"/>
      <c r="B74411" s="7"/>
    </row>
    <row r="74412" ht="15.75" customHeight="1">
      <c r="A74412" s="7"/>
      <c r="B74412" s="7"/>
    </row>
    <row r="74413" ht="15.75" customHeight="1">
      <c r="A74413" s="7"/>
      <c r="B74413" s="7"/>
    </row>
    <row r="74414" ht="15.75" customHeight="1">
      <c r="A74414" s="7"/>
      <c r="B74414" s="7"/>
    </row>
    <row r="74415" ht="15.75" customHeight="1">
      <c r="A74415" s="7"/>
      <c r="B74415" s="7"/>
    </row>
    <row r="74416" ht="15.75" customHeight="1">
      <c r="A74416" s="7"/>
      <c r="B74416" s="7"/>
    </row>
    <row r="74417" ht="15.75" customHeight="1">
      <c r="A74417" s="7"/>
      <c r="B74417" s="7"/>
    </row>
    <row r="74418" ht="15.75" customHeight="1">
      <c r="A74418" s="7"/>
      <c r="B74418" s="7"/>
    </row>
    <row r="74419" ht="15.75" customHeight="1">
      <c r="A74419" s="7"/>
      <c r="B74419" s="7"/>
    </row>
    <row r="74420" ht="15.75" customHeight="1">
      <c r="A74420" s="7"/>
      <c r="B74420" s="7"/>
    </row>
    <row r="74421" ht="15.75" customHeight="1">
      <c r="A74421" s="7"/>
      <c r="B74421" s="7"/>
    </row>
    <row r="74422" ht="15.75" customHeight="1">
      <c r="A74422" s="7"/>
      <c r="B74422" s="7"/>
    </row>
    <row r="74423" ht="15.75" customHeight="1">
      <c r="A74423" s="7"/>
      <c r="B74423" s="7"/>
    </row>
    <row r="74424" ht="15.75" customHeight="1">
      <c r="A74424" s="7"/>
      <c r="B74424" s="7"/>
    </row>
    <row r="74425" ht="15.75" customHeight="1">
      <c r="A74425" s="7"/>
      <c r="B74425" s="7"/>
    </row>
    <row r="74426" ht="15.75" customHeight="1">
      <c r="A74426" s="7"/>
      <c r="B74426" s="7"/>
    </row>
    <row r="74427" ht="15.75" customHeight="1">
      <c r="A74427" s="7"/>
      <c r="B74427" s="7"/>
    </row>
    <row r="74428" ht="15.75" customHeight="1">
      <c r="A74428" s="7"/>
      <c r="B74428" s="7"/>
    </row>
    <row r="74429" ht="15.75" customHeight="1">
      <c r="A74429" s="7"/>
      <c r="B74429" s="7"/>
    </row>
    <row r="74430" ht="15.75" customHeight="1">
      <c r="A74430" s="7"/>
      <c r="B74430" s="7"/>
    </row>
    <row r="74431" ht="15.75" customHeight="1">
      <c r="A74431" s="7"/>
      <c r="B74431" s="7"/>
    </row>
    <row r="74432" ht="15.75" customHeight="1">
      <c r="A74432" s="7"/>
      <c r="B74432" s="7"/>
    </row>
    <row r="74433" ht="15.75" customHeight="1">
      <c r="A74433" s="7"/>
      <c r="B74433" s="7"/>
    </row>
    <row r="74434" ht="15.75" customHeight="1">
      <c r="A74434" s="7"/>
      <c r="B74434" s="7"/>
    </row>
    <row r="74435" ht="15.75" customHeight="1">
      <c r="A74435" s="7"/>
      <c r="B74435" s="7"/>
    </row>
    <row r="74436" ht="15.75" customHeight="1">
      <c r="A74436" s="7"/>
      <c r="B74436" s="7"/>
    </row>
    <row r="74437" ht="15.75" customHeight="1">
      <c r="A74437" s="7"/>
      <c r="B74437" s="7"/>
    </row>
    <row r="74438" ht="15.75" customHeight="1">
      <c r="A74438" s="7"/>
      <c r="B74438" s="7"/>
    </row>
    <row r="74439" ht="15.75" customHeight="1">
      <c r="A74439" s="7"/>
      <c r="B74439" s="7"/>
    </row>
    <row r="74440" ht="15.75" customHeight="1">
      <c r="A74440" s="7"/>
      <c r="B74440" s="7"/>
    </row>
    <row r="74441" ht="15.75" customHeight="1">
      <c r="A74441" s="7"/>
      <c r="B74441" s="7"/>
    </row>
    <row r="74442" ht="15.75" customHeight="1">
      <c r="A74442" s="7"/>
      <c r="B74442" s="7"/>
    </row>
    <row r="74443" ht="15.75" customHeight="1">
      <c r="A74443" s="7"/>
      <c r="B74443" s="7"/>
    </row>
    <row r="74444" ht="15.75" customHeight="1">
      <c r="A74444" s="7"/>
      <c r="B74444" s="7"/>
    </row>
    <row r="74445" ht="15.75" customHeight="1">
      <c r="A74445" s="7"/>
      <c r="B74445" s="7"/>
    </row>
    <row r="74446" ht="15.75" customHeight="1">
      <c r="A74446" s="7"/>
      <c r="B74446" s="7"/>
    </row>
    <row r="74447" ht="15.75" customHeight="1">
      <c r="A74447" s="7"/>
      <c r="B74447" s="7"/>
    </row>
    <row r="74448" ht="15.75" customHeight="1">
      <c r="A74448" s="7"/>
      <c r="B74448" s="7"/>
    </row>
    <row r="74449" ht="15.75" customHeight="1">
      <c r="A74449" s="7"/>
      <c r="B74449" s="7"/>
    </row>
    <row r="74450" ht="15.75" customHeight="1">
      <c r="A74450" s="7"/>
      <c r="B74450" s="7"/>
    </row>
    <row r="74451" ht="15.75" customHeight="1">
      <c r="A74451" s="7"/>
      <c r="B74451" s="7"/>
    </row>
    <row r="74452" ht="15.75" customHeight="1">
      <c r="A74452" s="7"/>
      <c r="B74452" s="7"/>
    </row>
    <row r="74453" ht="15.75" customHeight="1">
      <c r="A74453" s="7"/>
      <c r="B74453" s="7"/>
    </row>
    <row r="74454" ht="15.75" customHeight="1">
      <c r="A74454" s="7"/>
      <c r="B74454" s="7"/>
    </row>
    <row r="74455" ht="15.75" customHeight="1">
      <c r="A74455" s="7"/>
      <c r="B74455" s="7"/>
    </row>
    <row r="74456" ht="15.75" customHeight="1">
      <c r="A74456" s="7"/>
      <c r="B74456" s="7"/>
    </row>
    <row r="74457" ht="15.75" customHeight="1">
      <c r="A74457" s="7"/>
      <c r="B74457" s="7"/>
    </row>
    <row r="74458" ht="15.75" customHeight="1">
      <c r="A74458" s="7"/>
      <c r="B74458" s="7"/>
    </row>
    <row r="74459" ht="15.75" customHeight="1">
      <c r="A74459" s="7"/>
      <c r="B74459" s="7"/>
    </row>
    <row r="74460" ht="15.75" customHeight="1">
      <c r="A74460" s="7"/>
      <c r="B74460" s="7"/>
    </row>
    <row r="74461" ht="15.75" customHeight="1">
      <c r="A74461" s="7"/>
      <c r="B74461" s="7"/>
    </row>
    <row r="74462" ht="15.75" customHeight="1">
      <c r="A74462" s="7"/>
      <c r="B74462" s="7"/>
    </row>
    <row r="74463" ht="15.75" customHeight="1">
      <c r="A74463" s="7"/>
      <c r="B74463" s="7"/>
    </row>
    <row r="74464" ht="15.75" customHeight="1">
      <c r="A74464" s="7"/>
      <c r="B74464" s="7"/>
    </row>
    <row r="74465" ht="15.75" customHeight="1">
      <c r="A74465" s="7"/>
      <c r="B74465" s="7"/>
    </row>
    <row r="74466" ht="15.75" customHeight="1">
      <c r="A74466" s="7"/>
      <c r="B74466" s="7"/>
    </row>
    <row r="74467" ht="15.75" customHeight="1">
      <c r="A74467" s="7"/>
      <c r="B74467" s="7"/>
    </row>
    <row r="74468" ht="15.75" customHeight="1">
      <c r="A74468" s="7"/>
      <c r="B74468" s="7"/>
    </row>
    <row r="74469" ht="15.75" customHeight="1">
      <c r="A74469" s="7"/>
      <c r="B74469" s="7"/>
    </row>
    <row r="74470" ht="15.75" customHeight="1">
      <c r="A74470" s="7"/>
      <c r="B74470" s="7"/>
    </row>
    <row r="74471" ht="15.75" customHeight="1">
      <c r="A74471" s="7"/>
      <c r="B74471" s="7"/>
    </row>
    <row r="74472" ht="15.75" customHeight="1">
      <c r="A74472" s="7"/>
      <c r="B74472" s="7"/>
    </row>
    <row r="74473" ht="15.75" customHeight="1">
      <c r="A74473" s="7"/>
      <c r="B74473" s="7"/>
    </row>
    <row r="74474" ht="15.75" customHeight="1">
      <c r="A74474" s="7"/>
      <c r="B74474" s="7"/>
    </row>
    <row r="74475" ht="15.75" customHeight="1">
      <c r="A74475" s="7"/>
      <c r="B74475" s="7"/>
    </row>
    <row r="74476" ht="15.75" customHeight="1">
      <c r="A74476" s="7"/>
      <c r="B74476" s="7"/>
    </row>
    <row r="74477" ht="15.75" customHeight="1">
      <c r="A74477" s="7"/>
      <c r="B74477" s="7"/>
    </row>
    <row r="74478" ht="15.75" customHeight="1">
      <c r="A74478" s="7"/>
      <c r="B74478" s="7"/>
    </row>
    <row r="74479" ht="15.75" customHeight="1">
      <c r="A74479" s="7"/>
      <c r="B74479" s="7"/>
    </row>
    <row r="74480" ht="15.75" customHeight="1">
      <c r="A74480" s="7"/>
      <c r="B74480" s="7"/>
    </row>
    <row r="74481" ht="15.75" customHeight="1">
      <c r="A74481" s="7"/>
      <c r="B74481" s="7"/>
    </row>
    <row r="74482" ht="15.75" customHeight="1">
      <c r="A74482" s="7"/>
      <c r="B74482" s="7"/>
    </row>
    <row r="74483" ht="15.75" customHeight="1">
      <c r="A74483" s="7"/>
      <c r="B74483" s="7"/>
    </row>
    <row r="74484" ht="15.75" customHeight="1">
      <c r="A74484" s="7"/>
      <c r="B74484" s="7"/>
    </row>
    <row r="74485" ht="15.75" customHeight="1">
      <c r="A74485" s="7"/>
      <c r="B74485" s="7"/>
    </row>
    <row r="74486" ht="15.75" customHeight="1">
      <c r="A74486" s="7"/>
      <c r="B74486" s="7"/>
    </row>
    <row r="74487" ht="15.75" customHeight="1">
      <c r="A74487" s="7"/>
      <c r="B74487" s="7"/>
    </row>
    <row r="74488" ht="15.75" customHeight="1">
      <c r="A74488" s="7"/>
      <c r="B74488" s="7"/>
    </row>
    <row r="74489" ht="15.75" customHeight="1">
      <c r="A74489" s="7"/>
      <c r="B74489" s="7"/>
    </row>
    <row r="74490" ht="15.75" customHeight="1">
      <c r="A74490" s="7"/>
      <c r="B74490" s="7"/>
    </row>
    <row r="74491" ht="15.75" customHeight="1">
      <c r="A74491" s="7"/>
      <c r="B74491" s="7"/>
    </row>
    <row r="74492" ht="15.75" customHeight="1">
      <c r="A74492" s="7"/>
      <c r="B74492" s="7"/>
    </row>
    <row r="74493" ht="15.75" customHeight="1">
      <c r="A74493" s="7"/>
      <c r="B74493" s="7"/>
    </row>
    <row r="74494" ht="15.75" customHeight="1">
      <c r="A74494" s="7"/>
      <c r="B74494" s="7"/>
    </row>
    <row r="74495" ht="15.75" customHeight="1">
      <c r="A74495" s="7"/>
      <c r="B74495" s="7"/>
    </row>
    <row r="74496" ht="15.75" customHeight="1">
      <c r="A74496" s="7"/>
      <c r="B74496" s="7"/>
    </row>
    <row r="74497" ht="15.75" customHeight="1">
      <c r="A74497" s="7"/>
      <c r="B74497" s="7"/>
    </row>
    <row r="74498" ht="15.75" customHeight="1">
      <c r="A74498" s="7"/>
      <c r="B74498" s="7"/>
    </row>
    <row r="74499" ht="15.75" customHeight="1">
      <c r="A74499" s="7"/>
      <c r="B74499" s="7"/>
    </row>
    <row r="74500" ht="15.75" customHeight="1">
      <c r="A74500" s="7"/>
      <c r="B74500" s="7"/>
    </row>
    <row r="74501" ht="15.75" customHeight="1">
      <c r="A74501" s="7"/>
      <c r="B74501" s="7"/>
    </row>
    <row r="74502" ht="15.75" customHeight="1">
      <c r="A74502" s="7"/>
      <c r="B74502" s="7"/>
    </row>
    <row r="74503" ht="15.75" customHeight="1">
      <c r="A74503" s="7"/>
      <c r="B74503" s="7"/>
    </row>
    <row r="74504" ht="15.75" customHeight="1">
      <c r="A74504" s="7"/>
      <c r="B74504" s="7"/>
    </row>
    <row r="74505" ht="15.75" customHeight="1">
      <c r="A74505" s="7"/>
      <c r="B74505" s="7"/>
    </row>
    <row r="74506" ht="15.75" customHeight="1">
      <c r="A74506" s="7"/>
      <c r="B74506" s="7"/>
    </row>
    <row r="74507" ht="15.75" customHeight="1">
      <c r="A74507" s="7"/>
      <c r="B74507" s="7"/>
    </row>
    <row r="74508" ht="15.75" customHeight="1">
      <c r="A74508" s="7"/>
      <c r="B74508" s="7"/>
    </row>
    <row r="74509" ht="15.75" customHeight="1">
      <c r="A74509" s="7"/>
      <c r="B74509" s="7"/>
    </row>
    <row r="74510" ht="15.75" customHeight="1">
      <c r="A74510" s="7"/>
      <c r="B74510" s="7"/>
    </row>
    <row r="74511" ht="15.75" customHeight="1">
      <c r="A74511" s="7"/>
      <c r="B74511" s="7"/>
    </row>
    <row r="74512" ht="15.75" customHeight="1">
      <c r="A74512" s="7"/>
      <c r="B74512" s="7"/>
    </row>
    <row r="74513" ht="15.75" customHeight="1">
      <c r="A74513" s="7"/>
      <c r="B74513" s="7"/>
    </row>
    <row r="74514" ht="15.75" customHeight="1">
      <c r="A74514" s="7"/>
      <c r="B74514" s="7"/>
    </row>
    <row r="74515" ht="15.75" customHeight="1">
      <c r="A74515" s="7"/>
      <c r="B74515" s="7"/>
    </row>
    <row r="74516" ht="15.75" customHeight="1">
      <c r="A74516" s="7"/>
      <c r="B74516" s="7"/>
    </row>
    <row r="74517" ht="15.75" customHeight="1">
      <c r="A74517" s="7"/>
      <c r="B74517" s="7"/>
    </row>
    <row r="74518" ht="15.75" customHeight="1">
      <c r="A74518" s="7"/>
      <c r="B74518" s="7"/>
    </row>
    <row r="74519" ht="15.75" customHeight="1">
      <c r="A74519" s="7"/>
      <c r="B74519" s="7"/>
    </row>
    <row r="74520" ht="15.75" customHeight="1">
      <c r="A74520" s="7"/>
      <c r="B74520" s="7"/>
    </row>
    <row r="74521" ht="15.75" customHeight="1">
      <c r="A74521" s="7"/>
      <c r="B74521" s="7"/>
    </row>
    <row r="74522" ht="15.75" customHeight="1">
      <c r="A74522" s="7"/>
      <c r="B74522" s="7"/>
    </row>
    <row r="74523" ht="15.75" customHeight="1">
      <c r="A74523" s="7"/>
      <c r="B74523" s="7"/>
    </row>
    <row r="74524" ht="15.75" customHeight="1">
      <c r="A74524" s="7"/>
      <c r="B74524" s="7"/>
    </row>
    <row r="74525" ht="15.75" customHeight="1">
      <c r="A74525" s="7"/>
      <c r="B74525" s="7"/>
    </row>
    <row r="74526" ht="15.75" customHeight="1">
      <c r="A74526" s="7"/>
      <c r="B74526" s="7"/>
    </row>
    <row r="74527" ht="15.75" customHeight="1">
      <c r="A74527" s="7"/>
      <c r="B74527" s="7"/>
    </row>
    <row r="74528" ht="15.75" customHeight="1">
      <c r="A74528" s="7"/>
      <c r="B74528" s="7"/>
    </row>
    <row r="74529" ht="15.75" customHeight="1">
      <c r="A74529" s="7"/>
      <c r="B74529" s="7"/>
    </row>
    <row r="74530" ht="15.75" customHeight="1">
      <c r="A74530" s="7"/>
      <c r="B74530" s="7"/>
    </row>
    <row r="74531" ht="15.75" customHeight="1">
      <c r="A74531" s="7"/>
      <c r="B74531" s="7"/>
    </row>
    <row r="74532" ht="15.75" customHeight="1">
      <c r="A74532" s="7"/>
      <c r="B74532" s="7"/>
    </row>
    <row r="74533" ht="15.75" customHeight="1">
      <c r="A74533" s="7"/>
      <c r="B74533" s="7"/>
    </row>
    <row r="74534" ht="15.75" customHeight="1">
      <c r="A74534" s="7"/>
      <c r="B74534" s="7"/>
    </row>
    <row r="74535" ht="15.75" customHeight="1">
      <c r="A74535" s="7"/>
      <c r="B74535" s="7"/>
    </row>
    <row r="74536" ht="15.75" customHeight="1">
      <c r="A74536" s="7"/>
      <c r="B74536" s="7"/>
    </row>
    <row r="74537" ht="15.75" customHeight="1">
      <c r="A74537" s="7"/>
      <c r="B74537" s="7"/>
    </row>
    <row r="74538" ht="15.75" customHeight="1">
      <c r="A74538" s="7"/>
      <c r="B74538" s="7"/>
    </row>
    <row r="74539" ht="15.75" customHeight="1">
      <c r="A74539" s="7"/>
      <c r="B74539" s="7"/>
    </row>
    <row r="74540" ht="15.75" customHeight="1">
      <c r="A74540" s="7"/>
      <c r="B74540" s="7"/>
    </row>
    <row r="74541" ht="15.75" customHeight="1">
      <c r="A74541" s="7"/>
      <c r="B74541" s="7"/>
    </row>
    <row r="74542" ht="15.75" customHeight="1">
      <c r="A74542" s="7"/>
      <c r="B74542" s="7"/>
    </row>
    <row r="74543" ht="15.75" customHeight="1">
      <c r="A74543" s="7"/>
      <c r="B74543" s="7"/>
    </row>
    <row r="74544" ht="15.75" customHeight="1">
      <c r="A74544" s="7"/>
      <c r="B74544" s="7"/>
    </row>
    <row r="74545" ht="15.75" customHeight="1">
      <c r="A74545" s="7"/>
      <c r="B74545" s="7"/>
    </row>
    <row r="74546" ht="15.75" customHeight="1">
      <c r="A74546" s="7"/>
      <c r="B74546" s="7"/>
    </row>
    <row r="74547" ht="15.75" customHeight="1">
      <c r="A74547" s="7"/>
      <c r="B74547" s="7"/>
    </row>
    <row r="74548" ht="15.75" customHeight="1">
      <c r="A74548" s="7"/>
      <c r="B74548" s="7"/>
    </row>
    <row r="74549" ht="15.75" customHeight="1">
      <c r="A74549" s="7"/>
      <c r="B74549" s="7"/>
    </row>
    <row r="74550" ht="15.75" customHeight="1">
      <c r="A74550" s="7"/>
      <c r="B74550" s="7"/>
    </row>
    <row r="74551" ht="15.75" customHeight="1">
      <c r="A74551" s="7"/>
      <c r="B74551" s="7"/>
    </row>
    <row r="74552" ht="15.75" customHeight="1">
      <c r="A74552" s="7"/>
      <c r="B74552" s="7"/>
    </row>
    <row r="74553" ht="15.75" customHeight="1">
      <c r="A74553" s="7"/>
      <c r="B74553" s="7"/>
    </row>
    <row r="74554" ht="15.75" customHeight="1">
      <c r="A74554" s="7"/>
      <c r="B74554" s="7"/>
    </row>
    <row r="74555" ht="15.75" customHeight="1">
      <c r="A74555" s="7"/>
      <c r="B74555" s="7"/>
    </row>
    <row r="74556" ht="15.75" customHeight="1">
      <c r="A74556" s="7"/>
      <c r="B74556" s="7"/>
    </row>
    <row r="74557" ht="15.75" customHeight="1">
      <c r="A74557" s="7"/>
      <c r="B74557" s="7"/>
    </row>
    <row r="74558" ht="15.75" customHeight="1">
      <c r="A74558" s="7"/>
      <c r="B74558" s="7"/>
    </row>
    <row r="74559" ht="15.75" customHeight="1">
      <c r="A74559" s="7"/>
      <c r="B74559" s="7"/>
    </row>
    <row r="74560" ht="15.75" customHeight="1">
      <c r="A74560" s="7"/>
      <c r="B74560" s="7"/>
    </row>
    <row r="74561" ht="15.75" customHeight="1">
      <c r="A74561" s="7"/>
      <c r="B74561" s="7"/>
    </row>
    <row r="74562" ht="15.75" customHeight="1">
      <c r="A74562" s="7"/>
      <c r="B74562" s="7"/>
    </row>
    <row r="74563" ht="15.75" customHeight="1">
      <c r="A74563" s="7"/>
      <c r="B74563" s="7"/>
    </row>
    <row r="74564" ht="15.75" customHeight="1">
      <c r="A74564" s="7"/>
      <c r="B74564" s="7"/>
    </row>
    <row r="74565" ht="15.75" customHeight="1">
      <c r="A74565" s="7"/>
      <c r="B74565" s="7"/>
    </row>
    <row r="74566" ht="15.75" customHeight="1">
      <c r="A74566" s="7"/>
      <c r="B74566" s="7"/>
    </row>
    <row r="74567" ht="15.75" customHeight="1">
      <c r="A74567" s="7"/>
      <c r="B74567" s="7"/>
    </row>
    <row r="74568" ht="15.75" customHeight="1">
      <c r="A74568" s="7"/>
      <c r="B74568" s="7"/>
    </row>
    <row r="74569" ht="15.75" customHeight="1">
      <c r="A74569" s="7"/>
      <c r="B74569" s="7"/>
    </row>
    <row r="74570" ht="15.75" customHeight="1">
      <c r="A74570" s="7"/>
      <c r="B74570" s="7"/>
    </row>
    <row r="74571" ht="15.75" customHeight="1">
      <c r="A74571" s="7"/>
      <c r="B74571" s="7"/>
    </row>
    <row r="74572" ht="15.75" customHeight="1">
      <c r="A74572" s="7"/>
      <c r="B74572" s="7"/>
    </row>
    <row r="74573" ht="15.75" customHeight="1">
      <c r="A74573" s="7"/>
      <c r="B74573" s="7"/>
    </row>
    <row r="74574" ht="15.75" customHeight="1">
      <c r="A74574" s="7"/>
      <c r="B74574" s="7"/>
    </row>
    <row r="74575" ht="15.75" customHeight="1">
      <c r="A74575" s="7"/>
      <c r="B74575" s="7"/>
    </row>
    <row r="74576" ht="15.75" customHeight="1">
      <c r="A74576" s="7"/>
      <c r="B74576" s="7"/>
    </row>
    <row r="74577" ht="15.75" customHeight="1">
      <c r="A74577" s="7"/>
      <c r="B74577" s="7"/>
    </row>
    <row r="74578" ht="15.75" customHeight="1">
      <c r="A74578" s="7"/>
      <c r="B74578" s="7"/>
    </row>
    <row r="74579" ht="15.75" customHeight="1">
      <c r="A74579" s="7"/>
      <c r="B74579" s="7"/>
    </row>
    <row r="74580" ht="15.75" customHeight="1">
      <c r="A74580" s="7"/>
      <c r="B74580" s="7"/>
    </row>
    <row r="74581" ht="15.75" customHeight="1">
      <c r="A74581" s="7"/>
      <c r="B74581" s="7"/>
    </row>
    <row r="74582" ht="15.75" customHeight="1">
      <c r="A74582" s="7"/>
      <c r="B74582" s="7"/>
    </row>
    <row r="74583" ht="15.75" customHeight="1">
      <c r="A74583" s="7"/>
      <c r="B74583" s="7"/>
    </row>
    <row r="74584" ht="15.75" customHeight="1">
      <c r="A74584" s="7"/>
      <c r="B74584" s="7"/>
    </row>
    <row r="74585" ht="15.75" customHeight="1">
      <c r="A74585" s="7"/>
      <c r="B74585" s="7"/>
    </row>
    <row r="74586" ht="15.75" customHeight="1">
      <c r="A74586" s="7"/>
      <c r="B74586" s="7"/>
    </row>
    <row r="74587" ht="15.75" customHeight="1">
      <c r="A74587" s="7"/>
      <c r="B74587" s="7"/>
    </row>
    <row r="74588" ht="15.75" customHeight="1">
      <c r="A74588" s="7"/>
      <c r="B74588" s="7"/>
    </row>
    <row r="74589" ht="15.75" customHeight="1">
      <c r="A74589" s="7"/>
      <c r="B74589" s="7"/>
    </row>
    <row r="74590" ht="15.75" customHeight="1">
      <c r="A74590" s="7"/>
      <c r="B74590" s="7"/>
    </row>
    <row r="74591" ht="15.75" customHeight="1">
      <c r="A74591" s="7"/>
      <c r="B74591" s="7"/>
    </row>
    <row r="74592" ht="15.75" customHeight="1">
      <c r="A74592" s="7"/>
      <c r="B74592" s="7"/>
    </row>
    <row r="74593" ht="15.75" customHeight="1">
      <c r="A74593" s="7"/>
      <c r="B74593" s="7"/>
    </row>
    <row r="74594" ht="15.75" customHeight="1">
      <c r="A74594" s="7"/>
      <c r="B74594" s="7"/>
    </row>
    <row r="74595" ht="15.75" customHeight="1">
      <c r="A74595" s="7"/>
      <c r="B74595" s="7"/>
    </row>
    <row r="74596" ht="15.75" customHeight="1">
      <c r="A74596" s="7"/>
      <c r="B74596" s="7"/>
    </row>
    <row r="74597" ht="15.75" customHeight="1">
      <c r="A74597" s="7"/>
      <c r="B74597" s="7"/>
    </row>
    <row r="74598" ht="15.75" customHeight="1">
      <c r="A74598" s="7"/>
      <c r="B74598" s="7"/>
    </row>
    <row r="74599" ht="15.75" customHeight="1">
      <c r="A74599" s="7"/>
      <c r="B74599" s="7"/>
    </row>
    <row r="74600" ht="15.75" customHeight="1">
      <c r="A74600" s="7"/>
      <c r="B74600" s="7"/>
    </row>
    <row r="74601" ht="15.75" customHeight="1">
      <c r="A74601" s="7"/>
      <c r="B74601" s="7"/>
    </row>
    <row r="74602" ht="15.75" customHeight="1">
      <c r="A74602" s="7"/>
      <c r="B74602" s="7"/>
    </row>
    <row r="74603" ht="15.75" customHeight="1">
      <c r="A74603" s="7"/>
      <c r="B74603" s="7"/>
    </row>
    <row r="74604" ht="15.75" customHeight="1">
      <c r="A74604" s="7"/>
      <c r="B74604" s="7"/>
    </row>
    <row r="74605" ht="15.75" customHeight="1">
      <c r="A74605" s="7"/>
      <c r="B74605" s="7"/>
    </row>
    <row r="74606" ht="15.75" customHeight="1">
      <c r="A74606" s="7"/>
      <c r="B74606" s="7"/>
    </row>
    <row r="74607" ht="15.75" customHeight="1">
      <c r="A74607" s="7"/>
      <c r="B74607" s="7"/>
    </row>
    <row r="74608" ht="15.75" customHeight="1">
      <c r="A74608" s="7"/>
      <c r="B74608" s="7"/>
    </row>
    <row r="74609" ht="15.75" customHeight="1">
      <c r="A74609" s="7"/>
      <c r="B74609" s="7"/>
    </row>
    <row r="74610" ht="15.75" customHeight="1">
      <c r="A74610" s="7"/>
      <c r="B74610" s="7"/>
    </row>
    <row r="74611" ht="15.75" customHeight="1">
      <c r="A74611" s="7"/>
      <c r="B74611" s="7"/>
    </row>
    <row r="74612" ht="15.75" customHeight="1">
      <c r="A74612" s="7"/>
      <c r="B74612" s="7"/>
    </row>
    <row r="74613" ht="15.75" customHeight="1">
      <c r="A74613" s="7"/>
      <c r="B74613" s="7"/>
    </row>
    <row r="74614" ht="15.75" customHeight="1">
      <c r="A74614" s="7"/>
      <c r="B74614" s="7"/>
    </row>
    <row r="74615" ht="15.75" customHeight="1">
      <c r="A74615" s="7"/>
      <c r="B74615" s="7"/>
    </row>
    <row r="74616" ht="15.75" customHeight="1">
      <c r="A74616" s="7"/>
      <c r="B74616" s="7"/>
    </row>
    <row r="74617" ht="15.75" customHeight="1">
      <c r="A74617" s="7"/>
      <c r="B74617" s="7"/>
    </row>
    <row r="74618" ht="15.75" customHeight="1">
      <c r="A74618" s="7"/>
      <c r="B74618" s="7"/>
    </row>
    <row r="74619" ht="15.75" customHeight="1">
      <c r="A74619" s="7"/>
      <c r="B74619" s="7"/>
    </row>
    <row r="74620" ht="15.75" customHeight="1">
      <c r="A74620" s="7"/>
      <c r="B74620" s="7"/>
    </row>
    <row r="74621" ht="15.75" customHeight="1">
      <c r="A74621" s="7"/>
      <c r="B74621" s="7"/>
    </row>
    <row r="74622" ht="15.75" customHeight="1">
      <c r="A74622" s="7"/>
      <c r="B74622" s="7"/>
    </row>
    <row r="74623" ht="15.75" customHeight="1">
      <c r="A74623" s="7"/>
      <c r="B74623" s="7"/>
    </row>
    <row r="74624" ht="15.75" customHeight="1">
      <c r="A74624" s="7"/>
      <c r="B74624" s="7"/>
    </row>
    <row r="74625" ht="15.75" customHeight="1">
      <c r="A74625" s="7"/>
      <c r="B74625" s="7"/>
    </row>
    <row r="74626" ht="15.75" customHeight="1">
      <c r="A74626" s="7"/>
      <c r="B74626" s="7"/>
    </row>
    <row r="74627" ht="15.75" customHeight="1">
      <c r="A74627" s="7"/>
      <c r="B74627" s="7"/>
    </row>
    <row r="74628" ht="15.75" customHeight="1">
      <c r="A74628" s="7"/>
      <c r="B74628" s="7"/>
    </row>
    <row r="74629" ht="15.75" customHeight="1">
      <c r="A74629" s="7"/>
      <c r="B74629" s="7"/>
    </row>
    <row r="74630" ht="15.75" customHeight="1">
      <c r="A74630" s="7"/>
      <c r="B74630" s="7"/>
    </row>
    <row r="74631" ht="15.75" customHeight="1">
      <c r="A74631" s="7"/>
      <c r="B74631" s="7"/>
    </row>
    <row r="74632" ht="15.75" customHeight="1">
      <c r="A74632" s="7"/>
      <c r="B74632" s="7"/>
    </row>
    <row r="74633" ht="15.75" customHeight="1">
      <c r="A74633" s="7"/>
      <c r="B74633" s="7"/>
    </row>
    <row r="74634" ht="15.75" customHeight="1">
      <c r="A74634" s="7"/>
      <c r="B74634" s="7"/>
    </row>
    <row r="74635" ht="15.75" customHeight="1">
      <c r="A74635" s="7"/>
      <c r="B74635" s="7"/>
    </row>
    <row r="74636" ht="15.75" customHeight="1">
      <c r="A74636" s="7"/>
      <c r="B74636" s="7"/>
    </row>
    <row r="74637" ht="15.75" customHeight="1">
      <c r="A74637" s="7"/>
      <c r="B74637" s="7"/>
    </row>
    <row r="74638" ht="15.75" customHeight="1">
      <c r="A74638" s="7"/>
      <c r="B74638" s="7"/>
    </row>
    <row r="74639" ht="15.75" customHeight="1">
      <c r="A74639" s="7"/>
      <c r="B74639" s="7"/>
    </row>
    <row r="74640" ht="15.75" customHeight="1">
      <c r="A74640" s="7"/>
      <c r="B74640" s="7"/>
    </row>
    <row r="74641" ht="15.75" customHeight="1">
      <c r="A74641" s="7"/>
      <c r="B74641" s="7"/>
    </row>
    <row r="74642" ht="15.75" customHeight="1">
      <c r="A74642" s="7"/>
      <c r="B74642" s="7"/>
    </row>
    <row r="74643" ht="15.75" customHeight="1">
      <c r="A74643" s="7"/>
      <c r="B74643" s="7"/>
    </row>
    <row r="74644" ht="15.75" customHeight="1">
      <c r="A74644" s="7"/>
      <c r="B74644" s="7"/>
    </row>
    <row r="74645" ht="15.75" customHeight="1">
      <c r="A74645" s="7"/>
      <c r="B74645" s="7"/>
    </row>
    <row r="74646" ht="15.75" customHeight="1">
      <c r="A74646" s="7"/>
      <c r="B74646" s="7"/>
    </row>
    <row r="74647" ht="15.75" customHeight="1">
      <c r="A74647" s="7"/>
      <c r="B74647" s="7"/>
    </row>
    <row r="74648" ht="15.75" customHeight="1">
      <c r="A74648" s="7"/>
      <c r="B74648" s="7"/>
    </row>
    <row r="74649" ht="15.75" customHeight="1">
      <c r="A74649" s="7"/>
      <c r="B74649" s="7"/>
    </row>
    <row r="74650" ht="15.75" customHeight="1">
      <c r="A74650" s="7"/>
      <c r="B74650" s="7"/>
    </row>
    <row r="74651" ht="15.75" customHeight="1">
      <c r="A74651" s="7"/>
      <c r="B74651" s="7"/>
    </row>
    <row r="74652" ht="15.75" customHeight="1">
      <c r="A74652" s="7"/>
      <c r="B74652" s="7"/>
    </row>
    <row r="74653" ht="15.75" customHeight="1">
      <c r="A74653" s="7"/>
      <c r="B74653" s="7"/>
    </row>
    <row r="74654" ht="15.75" customHeight="1">
      <c r="A74654" s="7"/>
      <c r="B74654" s="7"/>
    </row>
    <row r="74655" ht="15.75" customHeight="1">
      <c r="A74655" s="7"/>
      <c r="B74655" s="7"/>
    </row>
    <row r="74656" ht="15.75" customHeight="1">
      <c r="A74656" s="7"/>
      <c r="B74656" s="7"/>
    </row>
    <row r="74657" ht="15.75" customHeight="1">
      <c r="A74657" s="7"/>
      <c r="B74657" s="7"/>
    </row>
    <row r="74658" ht="15.75" customHeight="1">
      <c r="A74658" s="7"/>
      <c r="B74658" s="7"/>
    </row>
    <row r="74659" ht="15.75" customHeight="1">
      <c r="A74659" s="7"/>
      <c r="B74659" s="7"/>
    </row>
    <row r="74660" ht="15.75" customHeight="1">
      <c r="A74660" s="7"/>
      <c r="B74660" s="7"/>
    </row>
    <row r="74661" ht="15.75" customHeight="1">
      <c r="A74661" s="7"/>
      <c r="B74661" s="7"/>
    </row>
    <row r="74662" ht="15.75" customHeight="1">
      <c r="A74662" s="7"/>
      <c r="B74662" s="7"/>
    </row>
    <row r="74663" ht="15.75" customHeight="1">
      <c r="A74663" s="7"/>
      <c r="B74663" s="7"/>
    </row>
    <row r="74664" ht="15.75" customHeight="1">
      <c r="A74664" s="7"/>
      <c r="B74664" s="7"/>
    </row>
    <row r="74665" ht="15.75" customHeight="1">
      <c r="A74665" s="7"/>
      <c r="B74665" s="7"/>
    </row>
    <row r="74666" ht="15.75" customHeight="1">
      <c r="A74666" s="7"/>
      <c r="B74666" s="7"/>
    </row>
    <row r="74667" ht="15.75" customHeight="1">
      <c r="A74667" s="7"/>
      <c r="B74667" s="7"/>
    </row>
    <row r="74668" ht="15.75" customHeight="1">
      <c r="A74668" s="7"/>
      <c r="B74668" s="7"/>
    </row>
    <row r="74669" ht="15.75" customHeight="1">
      <c r="A74669" s="7"/>
      <c r="B74669" s="7"/>
    </row>
    <row r="74670" ht="15.75" customHeight="1">
      <c r="A74670" s="7"/>
      <c r="B74670" s="7"/>
    </row>
    <row r="74671" ht="15.75" customHeight="1">
      <c r="A74671" s="7"/>
      <c r="B74671" s="7"/>
    </row>
    <row r="74672" ht="15.75" customHeight="1">
      <c r="A74672" s="7"/>
      <c r="B74672" s="7"/>
    </row>
    <row r="74673" ht="15.75" customHeight="1">
      <c r="A74673" s="7"/>
      <c r="B74673" s="7"/>
    </row>
    <row r="74674" ht="15.75" customHeight="1">
      <c r="A74674" s="7"/>
      <c r="B74674" s="7"/>
    </row>
    <row r="74675" ht="15.75" customHeight="1">
      <c r="A74675" s="7"/>
      <c r="B74675" s="7"/>
    </row>
    <row r="74676" ht="15.75" customHeight="1">
      <c r="A74676" s="7"/>
      <c r="B74676" s="7"/>
    </row>
    <row r="74677" ht="15.75" customHeight="1">
      <c r="A74677" s="7"/>
      <c r="B74677" s="7"/>
    </row>
    <row r="74678" ht="15.75" customHeight="1">
      <c r="A74678" s="7"/>
      <c r="B74678" s="7"/>
    </row>
    <row r="74679" ht="15.75" customHeight="1">
      <c r="A74679" s="7"/>
      <c r="B74679" s="7"/>
    </row>
    <row r="74680" ht="15.75" customHeight="1">
      <c r="A74680" s="7"/>
      <c r="B74680" s="7"/>
    </row>
    <row r="74681" ht="15.75" customHeight="1">
      <c r="A74681" s="7"/>
      <c r="B74681" s="7"/>
    </row>
    <row r="74682" ht="15.75" customHeight="1">
      <c r="A74682" s="7"/>
      <c r="B74682" s="7"/>
    </row>
    <row r="74683" ht="15.75" customHeight="1">
      <c r="A74683" s="7"/>
      <c r="B74683" s="7"/>
    </row>
    <row r="74684" ht="15.75" customHeight="1">
      <c r="A74684" s="7"/>
      <c r="B74684" s="7"/>
    </row>
    <row r="74685" ht="15.75" customHeight="1">
      <c r="A74685" s="7"/>
      <c r="B74685" s="7"/>
    </row>
    <row r="74686" ht="15.75" customHeight="1">
      <c r="A74686" s="7"/>
      <c r="B74686" s="7"/>
    </row>
    <row r="74687" ht="15.75" customHeight="1">
      <c r="A74687" s="7"/>
      <c r="B74687" s="7"/>
    </row>
    <row r="74688" ht="15.75" customHeight="1">
      <c r="A74688" s="7"/>
      <c r="B74688" s="7"/>
    </row>
    <row r="74689" ht="15.75" customHeight="1">
      <c r="A74689" s="7"/>
      <c r="B74689" s="7"/>
    </row>
    <row r="74690" ht="15.75" customHeight="1">
      <c r="A74690" s="7"/>
      <c r="B74690" s="7"/>
    </row>
    <row r="74691" ht="15.75" customHeight="1">
      <c r="A74691" s="7"/>
      <c r="B74691" s="7"/>
    </row>
    <row r="74692" ht="15.75" customHeight="1">
      <c r="A74692" s="7"/>
      <c r="B74692" s="7"/>
    </row>
    <row r="74693" ht="15.75" customHeight="1">
      <c r="A74693" s="7"/>
      <c r="B74693" s="7"/>
    </row>
    <row r="74694" ht="15.75" customHeight="1">
      <c r="A74694" s="7"/>
      <c r="B74694" s="7"/>
    </row>
    <row r="74695" ht="15.75" customHeight="1">
      <c r="A74695" s="7"/>
      <c r="B74695" s="7"/>
    </row>
    <row r="74696" ht="15.75" customHeight="1">
      <c r="A74696" s="7"/>
      <c r="B74696" s="7"/>
    </row>
    <row r="74697" ht="15.75" customHeight="1">
      <c r="A74697" s="7"/>
      <c r="B74697" s="7"/>
    </row>
    <row r="74698" ht="15.75" customHeight="1">
      <c r="A74698" s="7"/>
      <c r="B74698" s="7"/>
    </row>
    <row r="74699" ht="15.75" customHeight="1">
      <c r="A74699" s="7"/>
      <c r="B74699" s="7"/>
    </row>
    <row r="74700" ht="15.75" customHeight="1">
      <c r="A74700" s="7"/>
      <c r="B74700" s="7"/>
    </row>
    <row r="74701" ht="15.75" customHeight="1">
      <c r="A74701" s="7"/>
      <c r="B74701" s="7"/>
    </row>
    <row r="74702" ht="15.75" customHeight="1">
      <c r="A74702" s="7"/>
      <c r="B74702" s="7"/>
    </row>
    <row r="74703" ht="15.75" customHeight="1">
      <c r="A74703" s="7"/>
      <c r="B74703" s="7"/>
    </row>
    <row r="74704" ht="15.75" customHeight="1">
      <c r="A74704" s="7"/>
      <c r="B74704" s="7"/>
    </row>
    <row r="74705" ht="15.75" customHeight="1">
      <c r="A74705" s="7"/>
      <c r="B74705" s="7"/>
    </row>
    <row r="74706" ht="15.75" customHeight="1">
      <c r="A74706" s="7"/>
      <c r="B74706" s="7"/>
    </row>
    <row r="74707" ht="15.75" customHeight="1">
      <c r="A74707" s="7"/>
      <c r="B74707" s="7"/>
    </row>
    <row r="74708" ht="15.75" customHeight="1">
      <c r="A74708" s="7"/>
      <c r="B74708" s="7"/>
    </row>
    <row r="74709" ht="15.75" customHeight="1">
      <c r="A74709" s="7"/>
      <c r="B74709" s="7"/>
    </row>
    <row r="74710" ht="15.75" customHeight="1">
      <c r="A74710" s="7"/>
      <c r="B74710" s="7"/>
    </row>
    <row r="74711" ht="15.75" customHeight="1">
      <c r="A74711" s="7"/>
      <c r="B74711" s="7"/>
    </row>
    <row r="74712" ht="15.75" customHeight="1">
      <c r="A74712" s="7"/>
      <c r="B74712" s="7"/>
    </row>
    <row r="74713" ht="15.75" customHeight="1">
      <c r="A74713" s="7"/>
      <c r="B74713" s="7"/>
    </row>
    <row r="74714" ht="15.75" customHeight="1">
      <c r="A74714" s="7"/>
      <c r="B74714" s="7"/>
    </row>
    <row r="74715" ht="15.75" customHeight="1">
      <c r="A74715" s="7"/>
      <c r="B74715" s="7"/>
    </row>
    <row r="74716" ht="15.75" customHeight="1">
      <c r="A74716" s="7"/>
      <c r="B74716" s="7"/>
    </row>
    <row r="74717" ht="15.75" customHeight="1">
      <c r="A74717" s="7"/>
      <c r="B74717" s="7"/>
    </row>
    <row r="74718" ht="15.75" customHeight="1">
      <c r="A74718" s="7"/>
      <c r="B74718" s="7"/>
    </row>
    <row r="74719" ht="15.75" customHeight="1">
      <c r="A74719" s="7"/>
      <c r="B74719" s="7"/>
    </row>
    <row r="74720" ht="15.75" customHeight="1">
      <c r="A74720" s="7"/>
      <c r="B74720" s="7"/>
    </row>
    <row r="74721" ht="15.75" customHeight="1">
      <c r="A74721" s="7"/>
      <c r="B74721" s="7"/>
    </row>
    <row r="74722" ht="15.75" customHeight="1">
      <c r="A74722" s="7"/>
      <c r="B74722" s="7"/>
    </row>
    <row r="74723" ht="15.75" customHeight="1">
      <c r="A74723" s="7"/>
      <c r="B74723" s="7"/>
    </row>
    <row r="74724" ht="15.75" customHeight="1">
      <c r="A74724" s="7"/>
      <c r="B74724" s="7"/>
    </row>
    <row r="74725" ht="15.75" customHeight="1">
      <c r="A74725" s="7"/>
      <c r="B74725" s="7"/>
    </row>
    <row r="74726" ht="15.75" customHeight="1">
      <c r="A74726" s="7"/>
      <c r="B74726" s="7"/>
    </row>
    <row r="74727" ht="15.75" customHeight="1">
      <c r="A74727" s="7"/>
      <c r="B74727" s="7"/>
    </row>
    <row r="74728" ht="15.75" customHeight="1">
      <c r="A74728" s="7"/>
      <c r="B74728" s="7"/>
    </row>
    <row r="74729" ht="15.75" customHeight="1">
      <c r="A74729" s="7"/>
      <c r="B74729" s="7"/>
    </row>
    <row r="74730" ht="15.75" customHeight="1">
      <c r="A74730" s="7"/>
      <c r="B74730" s="7"/>
    </row>
    <row r="74731" ht="15.75" customHeight="1">
      <c r="A74731" s="7"/>
      <c r="B74731" s="7"/>
    </row>
    <row r="74732" ht="15.75" customHeight="1">
      <c r="A74732" s="7"/>
      <c r="B74732" s="7"/>
    </row>
    <row r="74733" ht="15.75" customHeight="1">
      <c r="A74733" s="7"/>
      <c r="B74733" s="7"/>
    </row>
    <row r="74734" ht="15.75" customHeight="1">
      <c r="A74734" s="7"/>
      <c r="B74734" s="7"/>
    </row>
    <row r="74735" ht="15.75" customHeight="1">
      <c r="A74735" s="7"/>
      <c r="B74735" s="7"/>
    </row>
    <row r="74736" ht="15.75" customHeight="1">
      <c r="A74736" s="7"/>
      <c r="B74736" s="7"/>
    </row>
    <row r="74737" ht="15.75" customHeight="1">
      <c r="A74737" s="7"/>
      <c r="B74737" s="7"/>
    </row>
    <row r="74738" ht="15.75" customHeight="1">
      <c r="A74738" s="7"/>
      <c r="B74738" s="7"/>
    </row>
    <row r="74739" ht="15.75" customHeight="1">
      <c r="A74739" s="7"/>
      <c r="B74739" s="7"/>
    </row>
    <row r="74740" ht="15.75" customHeight="1">
      <c r="A74740" s="7"/>
      <c r="B74740" s="7"/>
    </row>
    <row r="74741" ht="15.75" customHeight="1">
      <c r="A74741" s="7"/>
      <c r="B74741" s="7"/>
    </row>
    <row r="74742" ht="15.75" customHeight="1">
      <c r="A74742" s="7"/>
      <c r="B74742" s="7"/>
    </row>
    <row r="74743" ht="15.75" customHeight="1">
      <c r="A74743" s="7"/>
      <c r="B74743" s="7"/>
    </row>
    <row r="74744" ht="15.75" customHeight="1">
      <c r="A74744" s="7"/>
      <c r="B74744" s="7"/>
    </row>
    <row r="74745" ht="15.75" customHeight="1">
      <c r="A74745" s="7"/>
      <c r="B74745" s="7"/>
    </row>
    <row r="74746" ht="15.75" customHeight="1">
      <c r="A74746" s="7"/>
      <c r="B74746" s="7"/>
    </row>
    <row r="74747" ht="15.75" customHeight="1">
      <c r="A74747" s="7"/>
      <c r="B74747" s="7"/>
    </row>
    <row r="74748" ht="15.75" customHeight="1">
      <c r="A74748" s="7"/>
      <c r="B74748" s="7"/>
    </row>
    <row r="74749" ht="15.75" customHeight="1">
      <c r="A74749" s="7"/>
      <c r="B74749" s="7"/>
    </row>
    <row r="74750" ht="15.75" customHeight="1">
      <c r="A74750" s="7"/>
      <c r="B74750" s="7"/>
    </row>
    <row r="74751" ht="15.75" customHeight="1">
      <c r="A74751" s="7"/>
      <c r="B74751" s="7"/>
    </row>
    <row r="74752" ht="15.75" customHeight="1">
      <c r="A74752" s="7"/>
      <c r="B74752" s="7"/>
    </row>
    <row r="74753" ht="15.75" customHeight="1">
      <c r="A74753" s="7"/>
      <c r="B74753" s="7"/>
    </row>
    <row r="74754" ht="15.75" customHeight="1">
      <c r="A74754" s="7"/>
      <c r="B74754" s="7"/>
    </row>
    <row r="74755" ht="15.75" customHeight="1">
      <c r="A74755" s="7"/>
      <c r="B74755" s="7"/>
    </row>
    <row r="74756" ht="15.75" customHeight="1">
      <c r="A74756" s="7"/>
      <c r="B74756" s="7"/>
    </row>
    <row r="74757" ht="15.75" customHeight="1">
      <c r="A74757" s="7"/>
      <c r="B74757" s="7"/>
    </row>
    <row r="74758" ht="15.75" customHeight="1">
      <c r="A74758" s="7"/>
      <c r="B74758" s="7"/>
    </row>
    <row r="74759" ht="15.75" customHeight="1">
      <c r="A74759" s="7"/>
      <c r="B74759" s="7"/>
    </row>
    <row r="74760" ht="15.75" customHeight="1">
      <c r="A74760" s="7"/>
      <c r="B74760" s="7"/>
    </row>
    <row r="74761" ht="15.75" customHeight="1">
      <c r="A74761" s="7"/>
      <c r="B74761" s="7"/>
    </row>
    <row r="74762" ht="15.75" customHeight="1">
      <c r="A74762" s="7"/>
      <c r="B74762" s="7"/>
    </row>
    <row r="74763" ht="15.75" customHeight="1">
      <c r="A74763" s="7"/>
      <c r="B74763" s="7"/>
    </row>
    <row r="74764" ht="15.75" customHeight="1">
      <c r="A74764" s="7"/>
      <c r="B74764" s="7"/>
    </row>
    <row r="74765" ht="15.75" customHeight="1">
      <c r="A74765" s="7"/>
      <c r="B74765" s="7"/>
    </row>
    <row r="74766" ht="15.75" customHeight="1">
      <c r="A74766" s="7"/>
      <c r="B74766" s="7"/>
    </row>
    <row r="74767" ht="15.75" customHeight="1">
      <c r="A74767" s="7"/>
      <c r="B74767" s="7"/>
    </row>
    <row r="74768" ht="15.75" customHeight="1">
      <c r="A74768" s="7"/>
      <c r="B74768" s="7"/>
    </row>
    <row r="74769" ht="15.75" customHeight="1">
      <c r="A74769" s="7"/>
      <c r="B74769" s="7"/>
    </row>
    <row r="74770" ht="15.75" customHeight="1">
      <c r="A74770" s="7"/>
      <c r="B74770" s="7"/>
    </row>
    <row r="74771" ht="15.75" customHeight="1">
      <c r="A74771" s="7"/>
      <c r="B74771" s="7"/>
    </row>
    <row r="74772" ht="15.75" customHeight="1">
      <c r="A74772" s="7"/>
      <c r="B74772" s="7"/>
    </row>
    <row r="74773" ht="15.75" customHeight="1">
      <c r="A74773" s="7"/>
      <c r="B74773" s="7"/>
    </row>
    <row r="74774" ht="15.75" customHeight="1">
      <c r="A74774" s="7"/>
      <c r="B74774" s="7"/>
    </row>
    <row r="74775" ht="15.75" customHeight="1">
      <c r="A74775" s="7"/>
      <c r="B74775" s="7"/>
    </row>
    <row r="74776" ht="15.75" customHeight="1">
      <c r="A74776" s="7"/>
      <c r="B74776" s="7"/>
    </row>
    <row r="74777" ht="15.75" customHeight="1">
      <c r="A74777" s="7"/>
      <c r="B74777" s="7"/>
    </row>
    <row r="74778" ht="15.75" customHeight="1">
      <c r="A74778" s="7"/>
      <c r="B74778" s="7"/>
    </row>
    <row r="74779" ht="15.75" customHeight="1">
      <c r="A74779" s="7"/>
      <c r="B74779" s="7"/>
    </row>
    <row r="74780" ht="15.75" customHeight="1">
      <c r="A74780" s="7"/>
      <c r="B74780" s="7"/>
    </row>
    <row r="74781" ht="15.75" customHeight="1">
      <c r="A74781" s="7"/>
      <c r="B74781" s="7"/>
    </row>
    <row r="74782" ht="15.75" customHeight="1">
      <c r="A74782" s="7"/>
      <c r="B74782" s="7"/>
    </row>
    <row r="74783" ht="15.75" customHeight="1">
      <c r="A74783" s="7"/>
      <c r="B74783" s="7"/>
    </row>
    <row r="74784" ht="15.75" customHeight="1">
      <c r="A74784" s="7"/>
      <c r="B74784" s="7"/>
    </row>
    <row r="74785" ht="15.75" customHeight="1">
      <c r="A74785" s="7"/>
      <c r="B74785" s="7"/>
    </row>
    <row r="74786" ht="15.75" customHeight="1">
      <c r="A74786" s="7"/>
      <c r="B74786" s="7"/>
    </row>
    <row r="74787" ht="15.75" customHeight="1">
      <c r="A74787" s="7"/>
      <c r="B74787" s="7"/>
    </row>
    <row r="74788" ht="15.75" customHeight="1">
      <c r="A74788" s="7"/>
      <c r="B74788" s="7"/>
    </row>
    <row r="74789" ht="15.75" customHeight="1">
      <c r="A74789" s="7"/>
      <c r="B74789" s="7"/>
    </row>
    <row r="74790" ht="15.75" customHeight="1">
      <c r="A74790" s="7"/>
      <c r="B74790" s="7"/>
    </row>
    <row r="74791" ht="15.75" customHeight="1">
      <c r="A74791" s="7"/>
      <c r="B74791" s="7"/>
    </row>
    <row r="74792" ht="15.75" customHeight="1">
      <c r="A74792" s="7"/>
      <c r="B74792" s="7"/>
    </row>
    <row r="74793" ht="15.75" customHeight="1">
      <c r="A74793" s="7"/>
      <c r="B74793" s="7"/>
    </row>
    <row r="74794" ht="15.75" customHeight="1">
      <c r="A74794" s="7"/>
      <c r="B74794" s="7"/>
    </row>
    <row r="74795" ht="15.75" customHeight="1">
      <c r="A74795" s="7"/>
      <c r="B74795" s="7"/>
    </row>
    <row r="74796" ht="15.75" customHeight="1">
      <c r="A74796" s="7"/>
      <c r="B74796" s="7"/>
    </row>
    <row r="74797" ht="15.75" customHeight="1">
      <c r="A74797" s="7"/>
      <c r="B74797" s="7"/>
    </row>
    <row r="74798" ht="15.75" customHeight="1">
      <c r="A74798" s="7"/>
      <c r="B74798" s="7"/>
    </row>
    <row r="74799" ht="15.75" customHeight="1">
      <c r="A74799" s="7"/>
      <c r="B74799" s="7"/>
    </row>
    <row r="74800" ht="15.75" customHeight="1">
      <c r="A74800" s="7"/>
      <c r="B74800" s="7"/>
    </row>
    <row r="74801" ht="15.75" customHeight="1">
      <c r="A74801" s="7"/>
      <c r="B74801" s="7"/>
    </row>
    <row r="74802" ht="15.75" customHeight="1">
      <c r="A74802" s="7"/>
      <c r="B74802" s="7"/>
    </row>
    <row r="74803" ht="15.75" customHeight="1">
      <c r="A74803" s="7"/>
      <c r="B74803" s="7"/>
    </row>
    <row r="74804" ht="15.75" customHeight="1">
      <c r="A74804" s="7"/>
      <c r="B74804" s="7"/>
    </row>
    <row r="74805" ht="15.75" customHeight="1">
      <c r="A74805" s="7"/>
      <c r="B74805" s="7"/>
    </row>
    <row r="74806" ht="15.75" customHeight="1">
      <c r="A74806" s="7"/>
      <c r="B74806" s="7"/>
    </row>
    <row r="74807" ht="15.75" customHeight="1">
      <c r="A74807" s="7"/>
      <c r="B74807" s="7"/>
    </row>
    <row r="74808" ht="15.75" customHeight="1">
      <c r="A74808" s="7"/>
      <c r="B74808" s="7"/>
    </row>
    <row r="74809" ht="15.75" customHeight="1">
      <c r="A74809" s="7"/>
      <c r="B74809" s="7"/>
    </row>
    <row r="74810" ht="15.75" customHeight="1">
      <c r="A74810" s="7"/>
      <c r="B74810" s="7"/>
    </row>
    <row r="74811" ht="15.75" customHeight="1">
      <c r="A74811" s="7"/>
      <c r="B74811" s="7"/>
    </row>
    <row r="74812" ht="15.75" customHeight="1">
      <c r="A74812" s="7"/>
      <c r="B74812" s="7"/>
    </row>
    <row r="74813" ht="15.75" customHeight="1">
      <c r="A74813" s="7"/>
      <c r="B74813" s="7"/>
    </row>
    <row r="74814" ht="15.75" customHeight="1">
      <c r="A74814" s="7"/>
      <c r="B74814" s="7"/>
    </row>
    <row r="74815" ht="15.75" customHeight="1">
      <c r="A74815" s="7"/>
      <c r="B74815" s="7"/>
    </row>
    <row r="74816" ht="15.75" customHeight="1">
      <c r="A74816" s="7"/>
      <c r="B74816" s="7"/>
    </row>
    <row r="74817" ht="15.75" customHeight="1">
      <c r="A74817" s="7"/>
      <c r="B74817" s="7"/>
    </row>
    <row r="74818" ht="15.75" customHeight="1">
      <c r="A74818" s="7"/>
      <c r="B74818" s="7"/>
    </row>
    <row r="74819" ht="15.75" customHeight="1">
      <c r="A74819" s="7"/>
      <c r="B74819" s="7"/>
    </row>
    <row r="74820" ht="15.75" customHeight="1">
      <c r="A74820" s="7"/>
      <c r="B74820" s="7"/>
    </row>
    <row r="74821" ht="15.75" customHeight="1">
      <c r="A74821" s="7"/>
      <c r="B74821" s="7"/>
    </row>
    <row r="74822" ht="15.75" customHeight="1">
      <c r="A74822" s="7"/>
      <c r="B74822" s="7"/>
    </row>
    <row r="74823" ht="15.75" customHeight="1">
      <c r="A74823" s="7"/>
      <c r="B74823" s="7"/>
    </row>
    <row r="74824" ht="15.75" customHeight="1">
      <c r="A74824" s="7"/>
      <c r="B74824" s="7"/>
    </row>
    <row r="74825" ht="15.75" customHeight="1">
      <c r="A74825" s="7"/>
      <c r="B74825" s="7"/>
    </row>
    <row r="74826" ht="15.75" customHeight="1">
      <c r="A74826" s="7"/>
      <c r="B74826" s="7"/>
    </row>
    <row r="74827" ht="15.75" customHeight="1">
      <c r="A74827" s="7"/>
      <c r="B74827" s="7"/>
    </row>
    <row r="74828" ht="15.75" customHeight="1">
      <c r="A74828" s="7"/>
      <c r="B74828" s="7"/>
    </row>
    <row r="74829" ht="15.75" customHeight="1">
      <c r="A74829" s="7"/>
      <c r="B74829" s="7"/>
    </row>
    <row r="74830" ht="15.75" customHeight="1">
      <c r="A74830" s="7"/>
      <c r="B74830" s="7"/>
    </row>
    <row r="74831" ht="15.75" customHeight="1">
      <c r="A74831" s="7"/>
      <c r="B74831" s="7"/>
    </row>
    <row r="74832" ht="15.75" customHeight="1">
      <c r="A74832" s="7"/>
      <c r="B74832" s="7"/>
    </row>
    <row r="74833" ht="15.75" customHeight="1">
      <c r="A74833" s="7"/>
      <c r="B74833" s="7"/>
    </row>
    <row r="74834" ht="15.75" customHeight="1">
      <c r="A74834" s="7"/>
      <c r="B74834" s="7"/>
    </row>
    <row r="74835" ht="15.75" customHeight="1">
      <c r="A74835" s="7"/>
      <c r="B74835" s="7"/>
    </row>
    <row r="74836" ht="15.75" customHeight="1">
      <c r="A74836" s="7"/>
      <c r="B74836" s="7"/>
    </row>
    <row r="74837" ht="15.75" customHeight="1">
      <c r="A74837" s="7"/>
      <c r="B74837" s="7"/>
    </row>
    <row r="74838" ht="15.75" customHeight="1">
      <c r="A74838" s="7"/>
      <c r="B74838" s="7"/>
    </row>
    <row r="74839" ht="15.75" customHeight="1">
      <c r="A74839" s="7"/>
      <c r="B74839" s="7"/>
    </row>
    <row r="74840" ht="15.75" customHeight="1">
      <c r="A74840" s="7"/>
      <c r="B74840" s="7"/>
    </row>
    <row r="74841" ht="15.75" customHeight="1">
      <c r="A74841" s="7"/>
      <c r="B74841" s="7"/>
    </row>
    <row r="74842" ht="15.75" customHeight="1">
      <c r="A74842" s="7"/>
      <c r="B74842" s="7"/>
    </row>
    <row r="74843" ht="15.75" customHeight="1">
      <c r="A74843" s="7"/>
      <c r="B74843" s="7"/>
    </row>
    <row r="74844" ht="15.75" customHeight="1">
      <c r="A74844" s="7"/>
      <c r="B74844" s="7"/>
    </row>
    <row r="74845" ht="15.75" customHeight="1">
      <c r="A74845" s="7"/>
      <c r="B74845" s="7"/>
    </row>
    <row r="74846" ht="15.75" customHeight="1">
      <c r="A74846" s="7"/>
      <c r="B74846" s="7"/>
    </row>
    <row r="74847" ht="15.75" customHeight="1">
      <c r="A74847" s="7"/>
      <c r="B74847" s="7"/>
    </row>
    <row r="74848" ht="15.75" customHeight="1">
      <c r="A74848" s="7"/>
      <c r="B74848" s="7"/>
    </row>
    <row r="74849" ht="15.75" customHeight="1">
      <c r="A74849" s="7"/>
      <c r="B74849" s="7"/>
    </row>
    <row r="74850" ht="15.75" customHeight="1">
      <c r="A74850" s="7"/>
      <c r="B74850" s="7"/>
    </row>
    <row r="74851" ht="15.75" customHeight="1">
      <c r="A74851" s="7"/>
      <c r="B74851" s="7"/>
    </row>
    <row r="74852" ht="15.75" customHeight="1">
      <c r="A74852" s="7"/>
      <c r="B74852" s="7"/>
    </row>
    <row r="74853" ht="15.75" customHeight="1">
      <c r="A74853" s="7"/>
      <c r="B74853" s="7"/>
    </row>
    <row r="74854" ht="15.75" customHeight="1">
      <c r="A74854" s="7"/>
      <c r="B74854" s="7"/>
    </row>
    <row r="74855" ht="15.75" customHeight="1">
      <c r="A74855" s="7"/>
      <c r="B74855" s="7"/>
    </row>
    <row r="74856" ht="15.75" customHeight="1">
      <c r="A74856" s="7"/>
      <c r="B74856" s="7"/>
    </row>
    <row r="74857" ht="15.75" customHeight="1">
      <c r="A74857" s="7"/>
      <c r="B74857" s="7"/>
    </row>
    <row r="74858" ht="15.75" customHeight="1">
      <c r="A74858" s="7"/>
      <c r="B74858" s="7"/>
    </row>
    <row r="74859" ht="15.75" customHeight="1">
      <c r="A74859" s="7"/>
      <c r="B74859" s="7"/>
    </row>
    <row r="74860" ht="15.75" customHeight="1">
      <c r="A74860" s="7"/>
      <c r="B74860" s="7"/>
    </row>
    <row r="74861" ht="15.75" customHeight="1">
      <c r="A74861" s="7"/>
      <c r="B74861" s="7"/>
    </row>
    <row r="74862" ht="15.75" customHeight="1">
      <c r="A74862" s="7"/>
      <c r="B74862" s="7"/>
    </row>
    <row r="74863" ht="15.75" customHeight="1">
      <c r="A74863" s="7"/>
      <c r="B74863" s="7"/>
    </row>
    <row r="74864" ht="15.75" customHeight="1">
      <c r="A74864" s="7"/>
      <c r="B74864" s="7"/>
    </row>
    <row r="74865" ht="15.75" customHeight="1">
      <c r="A74865" s="7"/>
      <c r="B74865" s="7"/>
    </row>
    <row r="74866" ht="15.75" customHeight="1">
      <c r="A74866" s="7"/>
      <c r="B74866" s="7"/>
    </row>
    <row r="74867" ht="15.75" customHeight="1">
      <c r="A74867" s="7"/>
      <c r="B74867" s="7"/>
    </row>
    <row r="74868" ht="15.75" customHeight="1">
      <c r="A74868" s="7"/>
      <c r="B74868" s="7"/>
    </row>
    <row r="74869" ht="15.75" customHeight="1">
      <c r="A74869" s="7"/>
      <c r="B74869" s="7"/>
    </row>
    <row r="74870" ht="15.75" customHeight="1">
      <c r="A74870" s="7"/>
      <c r="B74870" s="7"/>
    </row>
    <row r="74871" ht="15.75" customHeight="1">
      <c r="A74871" s="7"/>
      <c r="B74871" s="7"/>
    </row>
    <row r="74872" ht="15.75" customHeight="1">
      <c r="A74872" s="7"/>
      <c r="B74872" s="7"/>
    </row>
    <row r="74873" ht="15.75" customHeight="1">
      <c r="A74873" s="7"/>
      <c r="B74873" s="7"/>
    </row>
    <row r="74874" ht="15.75" customHeight="1">
      <c r="A74874" s="7"/>
      <c r="B74874" s="7"/>
    </row>
    <row r="74875" ht="15.75" customHeight="1">
      <c r="A74875" s="7"/>
      <c r="B74875" s="7"/>
    </row>
    <row r="74876" ht="15.75" customHeight="1">
      <c r="A74876" s="7"/>
      <c r="B74876" s="7"/>
    </row>
    <row r="74877" ht="15.75" customHeight="1">
      <c r="A74877" s="7"/>
      <c r="B74877" s="7"/>
    </row>
    <row r="74878" ht="15.75" customHeight="1">
      <c r="A74878" s="7"/>
      <c r="B74878" s="7"/>
    </row>
    <row r="74879" ht="15.75" customHeight="1">
      <c r="A74879" s="7"/>
      <c r="B74879" s="7"/>
    </row>
    <row r="74880" ht="15.75" customHeight="1">
      <c r="A74880" s="7"/>
      <c r="B74880" s="7"/>
    </row>
    <row r="74881" ht="15.75" customHeight="1">
      <c r="A74881" s="7"/>
      <c r="B74881" s="7"/>
    </row>
    <row r="74882" ht="15.75" customHeight="1">
      <c r="A74882" s="7"/>
      <c r="B74882" s="7"/>
    </row>
    <row r="74883" ht="15.75" customHeight="1">
      <c r="A74883" s="7"/>
      <c r="B74883" s="7"/>
    </row>
    <row r="74884" ht="15.75" customHeight="1">
      <c r="A74884" s="7"/>
      <c r="B74884" s="7"/>
    </row>
    <row r="74885" ht="15.75" customHeight="1">
      <c r="A74885" s="7"/>
      <c r="B74885" s="7"/>
    </row>
    <row r="74886" ht="15.75" customHeight="1">
      <c r="A74886" s="7"/>
      <c r="B74886" s="7"/>
    </row>
    <row r="74887" ht="15.75" customHeight="1">
      <c r="A74887" s="7"/>
      <c r="B74887" s="7"/>
    </row>
    <row r="74888" ht="15.75" customHeight="1">
      <c r="A74888" s="7"/>
      <c r="B74888" s="7"/>
    </row>
    <row r="74889" ht="15.75" customHeight="1">
      <c r="A74889" s="7"/>
      <c r="B74889" s="7"/>
    </row>
    <row r="74890" ht="15.75" customHeight="1">
      <c r="A74890" s="7"/>
      <c r="B74890" s="7"/>
    </row>
    <row r="74891" ht="15.75" customHeight="1">
      <c r="A74891" s="7"/>
      <c r="B74891" s="7"/>
    </row>
    <row r="74892" ht="15.75" customHeight="1">
      <c r="A74892" s="7"/>
      <c r="B74892" s="7"/>
    </row>
    <row r="74893" ht="15.75" customHeight="1">
      <c r="A74893" s="7"/>
      <c r="B74893" s="7"/>
    </row>
    <row r="74894" ht="15.75" customHeight="1">
      <c r="A74894" s="7"/>
      <c r="B74894" s="7"/>
    </row>
    <row r="74895" ht="15.75" customHeight="1">
      <c r="A74895" s="7"/>
      <c r="B74895" s="7"/>
    </row>
    <row r="74896" ht="15.75" customHeight="1">
      <c r="A74896" s="7"/>
      <c r="B74896" s="7"/>
    </row>
    <row r="74897" ht="15.75" customHeight="1">
      <c r="A74897" s="7"/>
      <c r="B74897" s="7"/>
    </row>
    <row r="74898" ht="15.75" customHeight="1">
      <c r="A74898" s="7"/>
      <c r="B74898" s="7"/>
    </row>
    <row r="74899" ht="15.75" customHeight="1">
      <c r="A74899" s="7"/>
      <c r="B74899" s="7"/>
    </row>
    <row r="74900" ht="15.75" customHeight="1">
      <c r="A74900" s="7"/>
      <c r="B74900" s="7"/>
    </row>
    <row r="74901" ht="15.75" customHeight="1">
      <c r="A74901" s="7"/>
      <c r="B74901" s="7"/>
    </row>
    <row r="74902" ht="15.75" customHeight="1">
      <c r="A74902" s="7"/>
      <c r="B74902" s="7"/>
    </row>
    <row r="74903" ht="15.75" customHeight="1">
      <c r="A74903" s="7"/>
      <c r="B74903" s="7"/>
    </row>
    <row r="74904" ht="15.75" customHeight="1">
      <c r="A74904" s="7"/>
      <c r="B74904" s="7"/>
    </row>
    <row r="74905" ht="15.75" customHeight="1">
      <c r="A74905" s="7"/>
      <c r="B74905" s="7"/>
    </row>
    <row r="74906" ht="15.75" customHeight="1">
      <c r="A74906" s="7"/>
      <c r="B74906" s="7"/>
    </row>
    <row r="74907" ht="15.75" customHeight="1">
      <c r="A74907" s="7"/>
      <c r="B74907" s="7"/>
    </row>
    <row r="74908" ht="15.75" customHeight="1">
      <c r="A74908" s="7"/>
      <c r="B74908" s="7"/>
    </row>
    <row r="74909" ht="15.75" customHeight="1">
      <c r="A74909" s="7"/>
      <c r="B74909" s="7"/>
    </row>
    <row r="74910" ht="15.75" customHeight="1">
      <c r="A74910" s="7"/>
      <c r="B74910" s="7"/>
    </row>
    <row r="74911" ht="15.75" customHeight="1">
      <c r="A74911" s="7"/>
      <c r="B74911" s="7"/>
    </row>
    <row r="74912" ht="15.75" customHeight="1">
      <c r="A74912" s="7"/>
      <c r="B74912" s="7"/>
    </row>
    <row r="74913" ht="15.75" customHeight="1">
      <c r="A74913" s="7"/>
      <c r="B74913" s="7"/>
    </row>
    <row r="74914" ht="15.75" customHeight="1">
      <c r="A74914" s="7"/>
      <c r="B74914" s="7"/>
    </row>
    <row r="74915" ht="15.75" customHeight="1">
      <c r="A74915" s="7"/>
      <c r="B74915" s="7"/>
    </row>
    <row r="74916" ht="15.75" customHeight="1">
      <c r="A74916" s="7"/>
      <c r="B74916" s="7"/>
    </row>
    <row r="74917" ht="15.75" customHeight="1">
      <c r="A74917" s="7"/>
      <c r="B74917" s="7"/>
    </row>
    <row r="74918" ht="15.75" customHeight="1">
      <c r="A74918" s="7"/>
      <c r="B74918" s="7"/>
    </row>
    <row r="74919" ht="15.75" customHeight="1">
      <c r="A74919" s="7"/>
      <c r="B74919" s="7"/>
    </row>
    <row r="74920" ht="15.75" customHeight="1">
      <c r="A74920" s="7"/>
      <c r="B74920" s="7"/>
    </row>
    <row r="74921" ht="15.75" customHeight="1">
      <c r="A74921" s="7"/>
      <c r="B74921" s="7"/>
    </row>
    <row r="74922" ht="15.75" customHeight="1">
      <c r="A74922" s="7"/>
      <c r="B74922" s="7"/>
    </row>
    <row r="74923" ht="15.75" customHeight="1">
      <c r="A74923" s="7"/>
      <c r="B74923" s="7"/>
    </row>
    <row r="74924" ht="15.75" customHeight="1">
      <c r="A74924" s="7"/>
      <c r="B74924" s="7"/>
    </row>
    <row r="74925" ht="15.75" customHeight="1">
      <c r="A74925" s="7"/>
      <c r="B74925" s="7"/>
    </row>
    <row r="74926" ht="15.75" customHeight="1">
      <c r="A74926" s="7"/>
      <c r="B74926" s="7"/>
    </row>
    <row r="74927" ht="15.75" customHeight="1">
      <c r="A74927" s="7"/>
      <c r="B74927" s="7"/>
    </row>
    <row r="74928" ht="15.75" customHeight="1">
      <c r="A74928" s="7"/>
      <c r="B74928" s="7"/>
    </row>
    <row r="74929" ht="15.75" customHeight="1">
      <c r="A74929" s="7"/>
      <c r="B74929" s="7"/>
    </row>
    <row r="74930" ht="15.75" customHeight="1">
      <c r="A74930" s="7"/>
      <c r="B74930" s="7"/>
    </row>
    <row r="74931" ht="15.75" customHeight="1">
      <c r="A74931" s="7"/>
      <c r="B74931" s="7"/>
    </row>
    <row r="74932" ht="15.75" customHeight="1">
      <c r="A74932" s="7"/>
      <c r="B74932" s="7"/>
    </row>
    <row r="74933" ht="15.75" customHeight="1">
      <c r="A74933" s="7"/>
      <c r="B74933" s="7"/>
    </row>
    <row r="74934" ht="15.75" customHeight="1">
      <c r="A74934" s="7"/>
      <c r="B74934" s="7"/>
    </row>
    <row r="74935" ht="15.75" customHeight="1">
      <c r="A74935" s="7"/>
      <c r="B74935" s="7"/>
    </row>
    <row r="74936" ht="15.75" customHeight="1">
      <c r="A74936" s="7"/>
      <c r="B74936" s="7"/>
    </row>
    <row r="74937" ht="15.75" customHeight="1">
      <c r="A74937" s="7"/>
      <c r="B74937" s="7"/>
    </row>
    <row r="74938" ht="15.75" customHeight="1">
      <c r="A74938" s="7"/>
      <c r="B74938" s="7"/>
    </row>
    <row r="74939" ht="15.75" customHeight="1">
      <c r="A74939" s="7"/>
      <c r="B74939" s="7"/>
    </row>
    <row r="74940" ht="15.75" customHeight="1">
      <c r="A74940" s="7"/>
      <c r="B74940" s="7"/>
    </row>
    <row r="74941" ht="15.75" customHeight="1">
      <c r="A74941" s="7"/>
      <c r="B74941" s="7"/>
    </row>
    <row r="74942" ht="15.75" customHeight="1">
      <c r="A74942" s="7"/>
      <c r="B74942" s="7"/>
    </row>
    <row r="74943" ht="15.75" customHeight="1">
      <c r="A74943" s="7"/>
      <c r="B74943" s="7"/>
    </row>
    <row r="74944" ht="15.75" customHeight="1">
      <c r="A74944" s="7"/>
      <c r="B74944" s="7"/>
    </row>
    <row r="74945" ht="15.75" customHeight="1">
      <c r="A74945" s="7"/>
      <c r="B74945" s="7"/>
    </row>
    <row r="74946" ht="15.75" customHeight="1">
      <c r="A74946" s="7"/>
      <c r="B74946" s="7"/>
    </row>
    <row r="74947" ht="15.75" customHeight="1">
      <c r="A74947" s="7"/>
      <c r="B74947" s="7"/>
    </row>
    <row r="74948" ht="15.75" customHeight="1">
      <c r="A74948" s="7"/>
      <c r="B74948" s="7"/>
    </row>
    <row r="74949" ht="15.75" customHeight="1">
      <c r="A74949" s="7"/>
      <c r="B74949" s="7"/>
    </row>
    <row r="74950" ht="15.75" customHeight="1">
      <c r="A74950" s="7"/>
      <c r="B74950" s="7"/>
    </row>
    <row r="74951" ht="15.75" customHeight="1">
      <c r="A74951" s="7"/>
      <c r="B74951" s="7"/>
    </row>
    <row r="74952" ht="15.75" customHeight="1">
      <c r="A74952" s="7"/>
      <c r="B74952" s="7"/>
    </row>
    <row r="74953" ht="15.75" customHeight="1">
      <c r="A74953" s="7"/>
      <c r="B74953" s="7"/>
    </row>
    <row r="74954" ht="15.75" customHeight="1">
      <c r="A74954" s="7"/>
      <c r="B74954" s="7"/>
    </row>
    <row r="74955" ht="15.75" customHeight="1">
      <c r="A74955" s="7"/>
      <c r="B74955" s="7"/>
    </row>
    <row r="74956" ht="15.75" customHeight="1">
      <c r="A74956" s="7"/>
      <c r="B74956" s="7"/>
    </row>
    <row r="74957" ht="15.75" customHeight="1">
      <c r="A74957" s="7"/>
      <c r="B74957" s="7"/>
    </row>
    <row r="74958" ht="15.75" customHeight="1">
      <c r="A74958" s="7"/>
      <c r="B74958" s="7"/>
    </row>
    <row r="74959" ht="15.75" customHeight="1">
      <c r="A74959" s="7"/>
      <c r="B74959" s="7"/>
    </row>
    <row r="74960" ht="15.75" customHeight="1">
      <c r="A74960" s="7"/>
      <c r="B74960" s="7"/>
    </row>
    <row r="74961" ht="15.75" customHeight="1">
      <c r="A74961" s="7"/>
      <c r="B74961" s="7"/>
    </row>
    <row r="74962" ht="15.75" customHeight="1">
      <c r="A74962" s="7"/>
      <c r="B74962" s="7"/>
    </row>
    <row r="74963" ht="15.75" customHeight="1">
      <c r="A74963" s="7"/>
      <c r="B74963" s="7"/>
    </row>
    <row r="74964" ht="15.75" customHeight="1">
      <c r="A74964" s="7"/>
      <c r="B74964" s="7"/>
    </row>
    <row r="74965" ht="15.75" customHeight="1">
      <c r="A74965" s="7"/>
      <c r="B74965" s="7"/>
    </row>
    <row r="74966" ht="15.75" customHeight="1">
      <c r="A74966" s="7"/>
      <c r="B74966" s="7"/>
    </row>
    <row r="74967" ht="15.75" customHeight="1">
      <c r="A74967" s="7"/>
      <c r="B74967" s="7"/>
    </row>
    <row r="74968" ht="15.75" customHeight="1">
      <c r="A74968" s="7"/>
      <c r="B74968" s="7"/>
    </row>
    <row r="74969" ht="15.75" customHeight="1">
      <c r="A74969" s="7"/>
      <c r="B74969" s="7"/>
    </row>
    <row r="74970" ht="15.75" customHeight="1">
      <c r="A74970" s="7"/>
      <c r="B74970" s="7"/>
    </row>
    <row r="74971" ht="15.75" customHeight="1">
      <c r="A74971" s="7"/>
      <c r="B74971" s="7"/>
    </row>
    <row r="74972" ht="15.75" customHeight="1">
      <c r="A74972" s="7"/>
      <c r="B74972" s="7"/>
    </row>
    <row r="74973" ht="15.75" customHeight="1">
      <c r="A74973" s="7"/>
      <c r="B74973" s="7"/>
    </row>
    <row r="74974" ht="15.75" customHeight="1">
      <c r="A74974" s="7"/>
      <c r="B74974" s="7"/>
    </row>
    <row r="74975" ht="15.75" customHeight="1">
      <c r="A74975" s="7"/>
      <c r="B74975" s="7"/>
    </row>
    <row r="74976" ht="15.75" customHeight="1">
      <c r="A74976" s="7"/>
      <c r="B74976" s="7"/>
    </row>
    <row r="74977" ht="15.75" customHeight="1">
      <c r="A74977" s="7"/>
      <c r="B74977" s="7"/>
    </row>
    <row r="74978" ht="15.75" customHeight="1">
      <c r="A74978" s="7"/>
      <c r="B74978" s="7"/>
    </row>
    <row r="74979" ht="15.75" customHeight="1">
      <c r="A74979" s="7"/>
      <c r="B74979" s="7"/>
    </row>
    <row r="74980" ht="15.75" customHeight="1">
      <c r="A74980" s="7"/>
      <c r="B74980" s="7"/>
    </row>
    <row r="74981" ht="15.75" customHeight="1">
      <c r="A74981" s="7"/>
      <c r="B74981" s="7"/>
    </row>
    <row r="74982" ht="15.75" customHeight="1">
      <c r="A74982" s="7"/>
      <c r="B74982" s="7"/>
    </row>
    <row r="74983" ht="15.75" customHeight="1">
      <c r="A74983" s="7"/>
      <c r="B74983" s="7"/>
    </row>
    <row r="74984" ht="15.75" customHeight="1">
      <c r="A74984" s="7"/>
      <c r="B74984" s="7"/>
    </row>
    <row r="74985" ht="15.75" customHeight="1">
      <c r="A74985" s="7"/>
      <c r="B74985" s="7"/>
    </row>
    <row r="74986" ht="15.75" customHeight="1">
      <c r="A74986" s="7"/>
      <c r="B74986" s="7"/>
    </row>
    <row r="74987" ht="15.75" customHeight="1">
      <c r="A74987" s="7"/>
      <c r="B74987" s="7"/>
    </row>
    <row r="74988" ht="15.75" customHeight="1">
      <c r="A74988" s="7"/>
      <c r="B74988" s="7"/>
    </row>
    <row r="74989" ht="15.75" customHeight="1">
      <c r="A74989" s="7"/>
      <c r="B74989" s="7"/>
    </row>
    <row r="74990" ht="15.75" customHeight="1">
      <c r="A74990" s="7"/>
      <c r="B74990" s="7"/>
    </row>
    <row r="74991" ht="15.75" customHeight="1">
      <c r="A74991" s="7"/>
      <c r="B74991" s="7"/>
    </row>
    <row r="74992" ht="15.75" customHeight="1">
      <c r="A74992" s="7"/>
      <c r="B74992" s="7"/>
    </row>
    <row r="74993" ht="15.75" customHeight="1">
      <c r="A74993" s="7"/>
      <c r="B74993" s="7"/>
    </row>
    <row r="74994" ht="15.75" customHeight="1">
      <c r="A74994" s="7"/>
      <c r="B74994" s="7"/>
    </row>
    <row r="74995" ht="15.75" customHeight="1">
      <c r="A74995" s="7"/>
      <c r="B74995" s="7"/>
    </row>
    <row r="74996" ht="15.75" customHeight="1">
      <c r="A74996" s="7"/>
      <c r="B74996" s="7"/>
    </row>
    <row r="74997" ht="15.75" customHeight="1">
      <c r="A74997" s="7"/>
      <c r="B74997" s="7"/>
    </row>
    <row r="74998" ht="15.75" customHeight="1">
      <c r="A74998" s="7"/>
      <c r="B74998" s="7"/>
    </row>
    <row r="74999" ht="15.75" customHeight="1">
      <c r="A74999" s="7"/>
      <c r="B74999" s="7"/>
    </row>
    <row r="75000" ht="15.75" customHeight="1">
      <c r="A75000" s="7"/>
      <c r="B75000" s="7"/>
    </row>
    <row r="75001" ht="15.75" customHeight="1">
      <c r="A75001" s="7"/>
      <c r="B75001" s="7"/>
    </row>
    <row r="75002" ht="15.75" customHeight="1">
      <c r="A75002" s="7"/>
      <c r="B75002" s="7"/>
    </row>
    <row r="75003" ht="15.75" customHeight="1">
      <c r="A75003" s="7"/>
      <c r="B75003" s="7"/>
    </row>
    <row r="75004" ht="15.75" customHeight="1">
      <c r="A75004" s="7"/>
      <c r="B75004" s="7"/>
    </row>
    <row r="75005" ht="15.75" customHeight="1">
      <c r="A75005" s="7"/>
      <c r="B75005" s="7"/>
    </row>
    <row r="75006" ht="15.75" customHeight="1">
      <c r="A75006" s="7"/>
      <c r="B75006" s="7"/>
    </row>
    <row r="75007" ht="15.75" customHeight="1">
      <c r="A75007" s="7"/>
      <c r="B75007" s="7"/>
    </row>
    <row r="75008" ht="15.75" customHeight="1">
      <c r="A75008" s="7"/>
      <c r="B75008" s="7"/>
    </row>
    <row r="75009" ht="15.75" customHeight="1">
      <c r="A75009" s="7"/>
      <c r="B75009" s="7"/>
    </row>
    <row r="75010" ht="15.75" customHeight="1">
      <c r="A75010" s="7"/>
      <c r="B75010" s="7"/>
    </row>
    <row r="75011" ht="15.75" customHeight="1">
      <c r="A75011" s="7"/>
      <c r="B75011" s="7"/>
    </row>
    <row r="75012" ht="15.75" customHeight="1">
      <c r="A75012" s="7"/>
      <c r="B75012" s="7"/>
    </row>
    <row r="75013" ht="15.75" customHeight="1">
      <c r="A75013" s="7"/>
      <c r="B75013" s="7"/>
    </row>
    <row r="75014" ht="15.75" customHeight="1">
      <c r="A75014" s="7"/>
      <c r="B75014" s="7"/>
    </row>
    <row r="75015" ht="15.75" customHeight="1">
      <c r="A75015" s="7"/>
      <c r="B75015" s="7"/>
    </row>
    <row r="75016" ht="15.75" customHeight="1">
      <c r="A75016" s="7"/>
      <c r="B75016" s="7"/>
    </row>
    <row r="75017" ht="15.75" customHeight="1">
      <c r="A75017" s="7"/>
      <c r="B75017" s="7"/>
    </row>
    <row r="75018" ht="15.75" customHeight="1">
      <c r="A75018" s="7"/>
      <c r="B75018" s="7"/>
    </row>
    <row r="75019" ht="15.75" customHeight="1">
      <c r="A75019" s="7"/>
      <c r="B75019" s="7"/>
    </row>
    <row r="75020" ht="15.75" customHeight="1">
      <c r="A75020" s="7"/>
      <c r="B75020" s="7"/>
    </row>
    <row r="75021" ht="15.75" customHeight="1">
      <c r="A75021" s="7"/>
      <c r="B75021" s="7"/>
    </row>
    <row r="75022" ht="15.75" customHeight="1">
      <c r="A75022" s="7"/>
      <c r="B75022" s="7"/>
    </row>
    <row r="75023" ht="15.75" customHeight="1">
      <c r="A75023" s="7"/>
      <c r="B75023" s="7"/>
    </row>
    <row r="75024" ht="15.75" customHeight="1">
      <c r="A75024" s="7"/>
      <c r="B75024" s="7"/>
    </row>
    <row r="75025" ht="15.75" customHeight="1">
      <c r="A75025" s="7"/>
      <c r="B75025" s="7"/>
    </row>
    <row r="75026" ht="15.75" customHeight="1">
      <c r="A75026" s="7"/>
      <c r="B75026" s="7"/>
    </row>
    <row r="75027" ht="15.75" customHeight="1">
      <c r="A75027" s="7"/>
      <c r="B75027" s="7"/>
    </row>
    <row r="75028" ht="15.75" customHeight="1">
      <c r="A75028" s="7"/>
      <c r="B75028" s="7"/>
    </row>
    <row r="75029" ht="15.75" customHeight="1">
      <c r="A75029" s="7"/>
      <c r="B75029" s="7"/>
    </row>
    <row r="75030" ht="15.75" customHeight="1">
      <c r="A75030" s="7"/>
      <c r="B75030" s="7"/>
    </row>
    <row r="75031" ht="15.75" customHeight="1">
      <c r="A75031" s="7"/>
      <c r="B75031" s="7"/>
    </row>
    <row r="75032" ht="15.75" customHeight="1">
      <c r="A75032" s="7"/>
      <c r="B75032" s="7"/>
    </row>
    <row r="75033" ht="15.75" customHeight="1">
      <c r="A75033" s="7"/>
      <c r="B75033" s="7"/>
    </row>
    <row r="75034" ht="15.75" customHeight="1">
      <c r="A75034" s="7"/>
      <c r="B75034" s="7"/>
    </row>
    <row r="75035" ht="15.75" customHeight="1">
      <c r="A75035" s="7"/>
      <c r="B75035" s="7"/>
    </row>
    <row r="75036" ht="15.75" customHeight="1">
      <c r="A75036" s="7"/>
      <c r="B75036" s="7"/>
    </row>
    <row r="75037" ht="15.75" customHeight="1">
      <c r="A75037" s="7"/>
      <c r="B75037" s="7"/>
    </row>
    <row r="75038" ht="15.75" customHeight="1">
      <c r="A75038" s="7"/>
      <c r="B75038" s="7"/>
    </row>
    <row r="75039" ht="15.75" customHeight="1">
      <c r="A75039" s="7"/>
      <c r="B75039" s="7"/>
    </row>
    <row r="75040" ht="15.75" customHeight="1">
      <c r="A75040" s="7"/>
      <c r="B75040" s="7"/>
    </row>
    <row r="75041" ht="15.75" customHeight="1">
      <c r="A75041" s="7"/>
      <c r="B75041" s="7"/>
    </row>
    <row r="75042" ht="15.75" customHeight="1">
      <c r="A75042" s="7"/>
      <c r="B75042" s="7"/>
    </row>
    <row r="75043" ht="15.75" customHeight="1">
      <c r="A75043" s="7"/>
      <c r="B75043" s="7"/>
    </row>
    <row r="75044" ht="15.75" customHeight="1">
      <c r="A75044" s="7"/>
      <c r="B75044" s="7"/>
    </row>
    <row r="75045" ht="15.75" customHeight="1">
      <c r="A75045" s="7"/>
      <c r="B75045" s="7"/>
    </row>
    <row r="75046" ht="15.75" customHeight="1">
      <c r="A75046" s="7"/>
      <c r="B75046" s="7"/>
    </row>
    <row r="75047" ht="15.75" customHeight="1">
      <c r="A75047" s="7"/>
      <c r="B75047" s="7"/>
    </row>
    <row r="75048" ht="15.75" customHeight="1">
      <c r="A75048" s="7"/>
      <c r="B75048" s="7"/>
    </row>
    <row r="75049" ht="15.75" customHeight="1">
      <c r="A75049" s="7"/>
      <c r="B75049" s="7"/>
    </row>
    <row r="75050" ht="15.75" customHeight="1">
      <c r="A75050" s="7"/>
      <c r="B75050" s="7"/>
    </row>
    <row r="75051" ht="15.75" customHeight="1">
      <c r="A75051" s="7"/>
      <c r="B75051" s="7"/>
    </row>
    <row r="75052" ht="15.75" customHeight="1">
      <c r="A75052" s="7"/>
      <c r="B75052" s="7"/>
    </row>
    <row r="75053" ht="15.75" customHeight="1">
      <c r="A75053" s="7"/>
      <c r="B75053" s="7"/>
    </row>
    <row r="75054" ht="15.75" customHeight="1">
      <c r="A75054" s="7"/>
      <c r="B75054" s="7"/>
    </row>
    <row r="75055" ht="15.75" customHeight="1">
      <c r="A75055" s="7"/>
      <c r="B75055" s="7"/>
    </row>
    <row r="75056" ht="15.75" customHeight="1">
      <c r="A75056" s="7"/>
      <c r="B75056" s="7"/>
    </row>
    <row r="75057" ht="15.75" customHeight="1">
      <c r="A75057" s="7"/>
      <c r="B75057" s="7"/>
    </row>
    <row r="75058" ht="15.75" customHeight="1">
      <c r="A75058" s="7"/>
      <c r="B75058" s="7"/>
    </row>
    <row r="75059" ht="15.75" customHeight="1">
      <c r="A75059" s="7"/>
      <c r="B75059" s="7"/>
    </row>
    <row r="75060" ht="15.75" customHeight="1">
      <c r="A75060" s="7"/>
      <c r="B75060" s="7"/>
    </row>
    <row r="75061" ht="15.75" customHeight="1">
      <c r="A75061" s="7"/>
      <c r="B75061" s="7"/>
    </row>
    <row r="75062" ht="15.75" customHeight="1">
      <c r="A75062" s="7"/>
      <c r="B75062" s="7"/>
    </row>
    <row r="75063" ht="15.75" customHeight="1">
      <c r="A75063" s="7"/>
      <c r="B75063" s="7"/>
    </row>
    <row r="75064" ht="15.75" customHeight="1">
      <c r="A75064" s="7"/>
      <c r="B75064" s="7"/>
    </row>
    <row r="75065" ht="15.75" customHeight="1">
      <c r="A75065" s="7"/>
      <c r="B75065" s="7"/>
    </row>
    <row r="75066" ht="15.75" customHeight="1">
      <c r="A75066" s="7"/>
      <c r="B75066" s="7"/>
    </row>
    <row r="75067" ht="15.75" customHeight="1">
      <c r="A75067" s="7"/>
      <c r="B75067" s="7"/>
    </row>
    <row r="75068" ht="15.75" customHeight="1">
      <c r="A75068" s="7"/>
      <c r="B75068" s="7"/>
    </row>
    <row r="75069" ht="15.75" customHeight="1">
      <c r="A75069" s="7"/>
      <c r="B75069" s="7"/>
    </row>
    <row r="75070" ht="15.75" customHeight="1">
      <c r="A75070" s="7"/>
      <c r="B75070" s="7"/>
    </row>
    <row r="75071" ht="15.75" customHeight="1">
      <c r="A75071" s="7"/>
      <c r="B75071" s="7"/>
    </row>
    <row r="75072" ht="15.75" customHeight="1">
      <c r="A75072" s="7"/>
      <c r="B75072" s="7"/>
    </row>
    <row r="75073" ht="15.75" customHeight="1">
      <c r="A75073" s="7"/>
      <c r="B75073" s="7"/>
    </row>
    <row r="75074" ht="15.75" customHeight="1">
      <c r="A75074" s="7"/>
      <c r="B75074" s="7"/>
    </row>
    <row r="75075" ht="15.75" customHeight="1">
      <c r="A75075" s="7"/>
      <c r="B75075" s="7"/>
    </row>
    <row r="75076" ht="15.75" customHeight="1">
      <c r="A75076" s="7"/>
      <c r="B75076" s="7"/>
    </row>
    <row r="75077" ht="15.75" customHeight="1">
      <c r="A75077" s="7"/>
      <c r="B75077" s="7"/>
    </row>
    <row r="75078" ht="15.75" customHeight="1">
      <c r="A75078" s="7"/>
      <c r="B75078" s="7"/>
    </row>
    <row r="75079" ht="15.75" customHeight="1">
      <c r="A75079" s="7"/>
      <c r="B75079" s="7"/>
    </row>
    <row r="75080" ht="15.75" customHeight="1">
      <c r="A75080" s="7"/>
      <c r="B75080" s="7"/>
    </row>
    <row r="75081" ht="15.75" customHeight="1">
      <c r="A75081" s="7"/>
      <c r="B75081" s="7"/>
    </row>
    <row r="75082" ht="15.75" customHeight="1">
      <c r="A75082" s="7"/>
      <c r="B75082" s="7"/>
    </row>
    <row r="75083" ht="15.75" customHeight="1">
      <c r="A75083" s="7"/>
      <c r="B75083" s="7"/>
    </row>
    <row r="75084" ht="15.75" customHeight="1">
      <c r="A75084" s="7"/>
      <c r="B75084" s="7"/>
    </row>
    <row r="75085" ht="15.75" customHeight="1">
      <c r="A75085" s="7"/>
      <c r="B75085" s="7"/>
    </row>
    <row r="75086" ht="15.75" customHeight="1">
      <c r="A75086" s="7"/>
      <c r="B75086" s="7"/>
    </row>
    <row r="75087" ht="15.75" customHeight="1">
      <c r="A75087" s="7"/>
      <c r="B75087" s="7"/>
    </row>
    <row r="75088" ht="15.75" customHeight="1">
      <c r="A75088" s="7"/>
      <c r="B75088" s="7"/>
    </row>
    <row r="75089" ht="15.75" customHeight="1">
      <c r="A75089" s="7"/>
      <c r="B75089" s="7"/>
    </row>
    <row r="75090" ht="15.75" customHeight="1">
      <c r="A75090" s="7"/>
      <c r="B75090" s="7"/>
    </row>
    <row r="75091" ht="15.75" customHeight="1">
      <c r="A75091" s="7"/>
      <c r="B75091" s="7"/>
    </row>
    <row r="75092" ht="15.75" customHeight="1">
      <c r="A75092" s="7"/>
      <c r="B75092" s="7"/>
    </row>
    <row r="75093" ht="15.75" customHeight="1">
      <c r="A75093" s="7"/>
      <c r="B75093" s="7"/>
    </row>
    <row r="75094" ht="15.75" customHeight="1">
      <c r="A75094" s="7"/>
      <c r="B75094" s="7"/>
    </row>
    <row r="75095" ht="15.75" customHeight="1">
      <c r="A75095" s="7"/>
      <c r="B75095" s="7"/>
    </row>
    <row r="75096" ht="15.75" customHeight="1">
      <c r="A75096" s="7"/>
      <c r="B75096" s="7"/>
    </row>
    <row r="75097" ht="15.75" customHeight="1">
      <c r="A75097" s="7"/>
      <c r="B75097" s="7"/>
    </row>
    <row r="75098" ht="15.75" customHeight="1">
      <c r="A75098" s="7"/>
      <c r="B75098" s="7"/>
    </row>
    <row r="75099" ht="15.75" customHeight="1">
      <c r="A75099" s="7"/>
      <c r="B75099" s="7"/>
    </row>
    <row r="75100" ht="15.75" customHeight="1">
      <c r="A75100" s="7"/>
      <c r="B75100" s="7"/>
    </row>
    <row r="75101" ht="15.75" customHeight="1">
      <c r="A75101" s="7"/>
      <c r="B75101" s="7"/>
    </row>
    <row r="75102" ht="15.75" customHeight="1">
      <c r="A75102" s="7"/>
      <c r="B75102" s="7"/>
    </row>
    <row r="75103" ht="15.75" customHeight="1">
      <c r="A75103" s="7"/>
      <c r="B75103" s="7"/>
    </row>
    <row r="75104" ht="15.75" customHeight="1">
      <c r="A75104" s="7"/>
      <c r="B75104" s="7"/>
    </row>
    <row r="75105" ht="15.75" customHeight="1">
      <c r="A75105" s="7"/>
      <c r="B75105" s="7"/>
    </row>
    <row r="75106" ht="15.75" customHeight="1">
      <c r="A75106" s="7"/>
      <c r="B75106" s="7"/>
    </row>
    <row r="75107" ht="15.75" customHeight="1">
      <c r="A75107" s="7"/>
      <c r="B75107" s="7"/>
    </row>
    <row r="75108" ht="15.75" customHeight="1">
      <c r="A75108" s="7"/>
      <c r="B75108" s="7"/>
    </row>
    <row r="75109" ht="15.75" customHeight="1">
      <c r="A75109" s="7"/>
      <c r="B75109" s="7"/>
    </row>
    <row r="75110" ht="15.75" customHeight="1">
      <c r="A75110" s="7"/>
      <c r="B75110" s="7"/>
    </row>
    <row r="75111" ht="15.75" customHeight="1">
      <c r="A75111" s="7"/>
      <c r="B75111" s="7"/>
    </row>
    <row r="75112" ht="15.75" customHeight="1">
      <c r="A75112" s="7"/>
      <c r="B75112" s="7"/>
    </row>
    <row r="75113" ht="15.75" customHeight="1">
      <c r="A75113" s="7"/>
      <c r="B75113" s="7"/>
    </row>
    <row r="75114" ht="15.75" customHeight="1">
      <c r="A75114" s="7"/>
      <c r="B75114" s="7"/>
    </row>
    <row r="75115" ht="15.75" customHeight="1">
      <c r="A75115" s="7"/>
      <c r="B75115" s="7"/>
    </row>
    <row r="75116" ht="15.75" customHeight="1">
      <c r="A75116" s="7"/>
      <c r="B75116" s="7"/>
    </row>
    <row r="75117" ht="15.75" customHeight="1">
      <c r="A75117" s="7"/>
      <c r="B75117" s="7"/>
    </row>
    <row r="75118" ht="15.75" customHeight="1">
      <c r="A75118" s="7"/>
      <c r="B75118" s="7"/>
    </row>
    <row r="75119" ht="15.75" customHeight="1">
      <c r="A75119" s="7"/>
      <c r="B75119" s="7"/>
    </row>
    <row r="75120" ht="15.75" customHeight="1">
      <c r="A75120" s="7"/>
      <c r="B75120" s="7"/>
    </row>
    <row r="75121" ht="15.75" customHeight="1">
      <c r="A75121" s="7"/>
      <c r="B75121" s="7"/>
    </row>
    <row r="75122" ht="15.75" customHeight="1">
      <c r="A75122" s="7"/>
      <c r="B75122" s="7"/>
    </row>
    <row r="75123" ht="15.75" customHeight="1">
      <c r="A75123" s="7"/>
      <c r="B75123" s="7"/>
    </row>
    <row r="75124" ht="15.75" customHeight="1">
      <c r="A75124" s="7"/>
      <c r="B75124" s="7"/>
    </row>
    <row r="75125" ht="15.75" customHeight="1">
      <c r="A75125" s="7"/>
      <c r="B75125" s="7"/>
    </row>
    <row r="75126" ht="15.75" customHeight="1">
      <c r="A75126" s="7"/>
      <c r="B75126" s="7"/>
    </row>
    <row r="75127" ht="15.75" customHeight="1">
      <c r="A75127" s="7"/>
      <c r="B75127" s="7"/>
    </row>
    <row r="75128" ht="15.75" customHeight="1">
      <c r="A75128" s="7"/>
      <c r="B75128" s="7"/>
    </row>
    <row r="75129" ht="15.75" customHeight="1">
      <c r="A75129" s="7"/>
      <c r="B75129" s="7"/>
    </row>
    <row r="75130" ht="15.75" customHeight="1">
      <c r="A75130" s="7"/>
      <c r="B75130" s="7"/>
    </row>
    <row r="75131" ht="15.75" customHeight="1">
      <c r="A75131" s="7"/>
      <c r="B75131" s="7"/>
    </row>
    <row r="75132" ht="15.75" customHeight="1">
      <c r="A75132" s="7"/>
      <c r="B75132" s="7"/>
    </row>
    <row r="75133" ht="15.75" customHeight="1">
      <c r="A75133" s="7"/>
      <c r="B75133" s="7"/>
    </row>
    <row r="75134" ht="15.75" customHeight="1">
      <c r="A75134" s="7"/>
      <c r="B75134" s="7"/>
    </row>
    <row r="75135" ht="15.75" customHeight="1">
      <c r="A75135" s="7"/>
      <c r="B75135" s="7"/>
    </row>
    <row r="75136" ht="15.75" customHeight="1">
      <c r="A75136" s="7"/>
      <c r="B75136" s="7"/>
    </row>
    <row r="75137" ht="15.75" customHeight="1">
      <c r="A75137" s="7"/>
      <c r="B75137" s="7"/>
    </row>
    <row r="75138" ht="15.75" customHeight="1">
      <c r="A75138" s="7"/>
      <c r="B75138" s="7"/>
    </row>
    <row r="75139" ht="15.75" customHeight="1">
      <c r="A75139" s="7"/>
      <c r="B75139" s="7"/>
    </row>
    <row r="75140" ht="15.75" customHeight="1">
      <c r="A75140" s="7"/>
      <c r="B75140" s="7"/>
    </row>
    <row r="75141" ht="15.75" customHeight="1">
      <c r="A75141" s="7"/>
      <c r="B75141" s="7"/>
    </row>
    <row r="75142" ht="15.75" customHeight="1">
      <c r="A75142" s="7"/>
      <c r="B75142" s="7"/>
    </row>
    <row r="75143" ht="15.75" customHeight="1">
      <c r="A75143" s="7"/>
      <c r="B75143" s="7"/>
    </row>
    <row r="75144" ht="15.75" customHeight="1">
      <c r="A75144" s="7"/>
      <c r="B75144" s="7"/>
    </row>
    <row r="75145" ht="15.75" customHeight="1">
      <c r="A75145" s="7"/>
      <c r="B75145" s="7"/>
    </row>
    <row r="75146" ht="15.75" customHeight="1">
      <c r="A75146" s="7"/>
      <c r="B75146" s="7"/>
    </row>
    <row r="75147" ht="15.75" customHeight="1">
      <c r="A75147" s="7"/>
      <c r="B75147" s="7"/>
    </row>
    <row r="75148" ht="15.75" customHeight="1">
      <c r="A75148" s="7"/>
      <c r="B75148" s="7"/>
    </row>
    <row r="75149" ht="15.75" customHeight="1">
      <c r="A75149" s="7"/>
      <c r="B75149" s="7"/>
    </row>
    <row r="75150" ht="15.75" customHeight="1">
      <c r="A75150" s="7"/>
      <c r="B75150" s="7"/>
    </row>
    <row r="75151" ht="15.75" customHeight="1">
      <c r="A75151" s="7"/>
      <c r="B75151" s="7"/>
    </row>
    <row r="75152" ht="15.75" customHeight="1">
      <c r="A75152" s="7"/>
      <c r="B75152" s="7"/>
    </row>
    <row r="75153" ht="15.75" customHeight="1">
      <c r="A75153" s="7"/>
      <c r="B75153" s="7"/>
    </row>
    <row r="75154" ht="15.75" customHeight="1">
      <c r="A75154" s="7"/>
      <c r="B75154" s="7"/>
    </row>
    <row r="75155" ht="15.75" customHeight="1">
      <c r="A75155" s="7"/>
      <c r="B75155" s="7"/>
    </row>
    <row r="75156" ht="15.75" customHeight="1">
      <c r="A75156" s="7"/>
      <c r="B75156" s="7"/>
    </row>
    <row r="75157" ht="15.75" customHeight="1">
      <c r="A75157" s="7"/>
      <c r="B75157" s="7"/>
    </row>
    <row r="75158" ht="15.75" customHeight="1">
      <c r="A75158" s="7"/>
      <c r="B75158" s="7"/>
    </row>
    <row r="75159" ht="15.75" customHeight="1">
      <c r="A75159" s="7"/>
      <c r="B75159" s="7"/>
    </row>
    <row r="75160" ht="15.75" customHeight="1">
      <c r="A75160" s="7"/>
      <c r="B75160" s="7"/>
    </row>
    <row r="75161" ht="15.75" customHeight="1">
      <c r="A75161" s="7"/>
      <c r="B75161" s="7"/>
    </row>
    <row r="75162" ht="15.75" customHeight="1">
      <c r="A75162" s="7"/>
      <c r="B75162" s="7"/>
    </row>
    <row r="75163" ht="15.75" customHeight="1">
      <c r="A75163" s="7"/>
      <c r="B75163" s="7"/>
    </row>
    <row r="75164" ht="15.75" customHeight="1">
      <c r="A75164" s="7"/>
      <c r="B75164" s="7"/>
    </row>
    <row r="75165" ht="15.75" customHeight="1">
      <c r="A75165" s="7"/>
      <c r="B75165" s="7"/>
    </row>
    <row r="75166" ht="15.75" customHeight="1">
      <c r="A75166" s="7"/>
      <c r="B75166" s="7"/>
    </row>
    <row r="75167" ht="15.75" customHeight="1">
      <c r="A75167" s="7"/>
      <c r="B75167" s="7"/>
    </row>
    <row r="75168" ht="15.75" customHeight="1">
      <c r="A75168" s="7"/>
      <c r="B75168" s="7"/>
    </row>
    <row r="75169" ht="15.75" customHeight="1">
      <c r="A75169" s="7"/>
      <c r="B75169" s="7"/>
    </row>
    <row r="75170" ht="15.75" customHeight="1">
      <c r="A75170" s="7"/>
      <c r="B75170" s="7"/>
    </row>
    <row r="75171" ht="15.75" customHeight="1">
      <c r="A75171" s="7"/>
      <c r="B75171" s="7"/>
    </row>
    <row r="75172" ht="15.75" customHeight="1">
      <c r="A75172" s="7"/>
      <c r="B75172" s="7"/>
    </row>
    <row r="75173" ht="15.75" customHeight="1">
      <c r="A75173" s="7"/>
      <c r="B75173" s="7"/>
    </row>
    <row r="75174" ht="15.75" customHeight="1">
      <c r="A75174" s="7"/>
      <c r="B75174" s="7"/>
    </row>
    <row r="75175" ht="15.75" customHeight="1">
      <c r="A75175" s="7"/>
      <c r="B75175" s="7"/>
    </row>
    <row r="75176" ht="15.75" customHeight="1">
      <c r="A75176" s="7"/>
      <c r="B75176" s="7"/>
    </row>
    <row r="75177" ht="15.75" customHeight="1">
      <c r="A75177" s="7"/>
      <c r="B75177" s="7"/>
    </row>
    <row r="75178" ht="15.75" customHeight="1">
      <c r="A75178" s="7"/>
      <c r="B75178" s="7"/>
    </row>
    <row r="75179" ht="15.75" customHeight="1">
      <c r="A75179" s="7"/>
      <c r="B75179" s="7"/>
    </row>
    <row r="75180" ht="15.75" customHeight="1">
      <c r="A75180" s="7"/>
      <c r="B75180" s="7"/>
    </row>
    <row r="75181" ht="15.75" customHeight="1">
      <c r="A75181" s="7"/>
      <c r="B75181" s="7"/>
    </row>
    <row r="75182" ht="15.75" customHeight="1">
      <c r="A75182" s="7"/>
      <c r="B75182" s="7"/>
    </row>
    <row r="75183" ht="15.75" customHeight="1">
      <c r="A75183" s="7"/>
      <c r="B75183" s="7"/>
    </row>
    <row r="75184" ht="15.75" customHeight="1">
      <c r="A75184" s="7"/>
      <c r="B75184" s="7"/>
    </row>
    <row r="75185" ht="15.75" customHeight="1">
      <c r="A75185" s="7"/>
      <c r="B75185" s="7"/>
    </row>
    <row r="75186" ht="15.75" customHeight="1">
      <c r="A75186" s="7"/>
      <c r="B75186" s="7"/>
    </row>
    <row r="75187" ht="15.75" customHeight="1">
      <c r="A75187" s="7"/>
      <c r="B75187" s="7"/>
    </row>
    <row r="75188" ht="15.75" customHeight="1">
      <c r="A75188" s="7"/>
      <c r="B75188" s="7"/>
    </row>
    <row r="75189" ht="15.75" customHeight="1">
      <c r="A75189" s="7"/>
      <c r="B75189" s="7"/>
    </row>
    <row r="75190" ht="15.75" customHeight="1">
      <c r="A75190" s="7"/>
      <c r="B75190" s="7"/>
    </row>
    <row r="75191" ht="15.75" customHeight="1">
      <c r="A75191" s="7"/>
      <c r="B75191" s="7"/>
    </row>
    <row r="75192" ht="15.75" customHeight="1">
      <c r="A75192" s="7"/>
      <c r="B75192" s="7"/>
    </row>
    <row r="75193" ht="15.75" customHeight="1">
      <c r="A75193" s="7"/>
      <c r="B75193" s="7"/>
    </row>
    <row r="75194" ht="15.75" customHeight="1">
      <c r="A75194" s="7"/>
      <c r="B75194" s="7"/>
    </row>
    <row r="75195" ht="15.75" customHeight="1">
      <c r="A75195" s="7"/>
      <c r="B75195" s="7"/>
    </row>
    <row r="75196" ht="15.75" customHeight="1">
      <c r="A75196" s="7"/>
      <c r="B75196" s="7"/>
    </row>
    <row r="75197" ht="15.75" customHeight="1">
      <c r="A75197" s="7"/>
      <c r="B75197" s="7"/>
    </row>
    <row r="75198" ht="15.75" customHeight="1">
      <c r="A75198" s="7"/>
      <c r="B75198" s="7"/>
    </row>
    <row r="75199" ht="15.75" customHeight="1">
      <c r="A75199" s="7"/>
      <c r="B75199" s="7"/>
    </row>
    <row r="75200" ht="15.75" customHeight="1">
      <c r="A75200" s="7"/>
      <c r="B75200" s="7"/>
    </row>
    <row r="75201" ht="15.75" customHeight="1">
      <c r="A75201" s="7"/>
      <c r="B75201" s="7"/>
    </row>
    <row r="75202" ht="15.75" customHeight="1">
      <c r="A75202" s="7"/>
      <c r="B75202" s="7"/>
    </row>
    <row r="75203" ht="15.75" customHeight="1">
      <c r="A75203" s="7"/>
      <c r="B75203" s="7"/>
    </row>
    <row r="75204" ht="15.75" customHeight="1">
      <c r="A75204" s="7"/>
      <c r="B75204" s="7"/>
    </row>
    <row r="75205" ht="15.75" customHeight="1">
      <c r="A75205" s="7"/>
      <c r="B75205" s="7"/>
    </row>
    <row r="75206" ht="15.75" customHeight="1">
      <c r="A75206" s="7"/>
      <c r="B75206" s="7"/>
    </row>
    <row r="75207" ht="15.75" customHeight="1">
      <c r="A75207" s="7"/>
      <c r="B75207" s="7"/>
    </row>
    <row r="75208" ht="15.75" customHeight="1">
      <c r="A75208" s="7"/>
      <c r="B75208" s="7"/>
    </row>
    <row r="75209" ht="15.75" customHeight="1">
      <c r="A75209" s="7"/>
      <c r="B75209" s="7"/>
    </row>
    <row r="75210" ht="15.75" customHeight="1">
      <c r="A75210" s="7"/>
      <c r="B75210" s="7"/>
    </row>
    <row r="75211" ht="15.75" customHeight="1">
      <c r="A75211" s="7"/>
      <c r="B75211" s="7"/>
    </row>
    <row r="75212" ht="15.75" customHeight="1">
      <c r="A75212" s="7"/>
      <c r="B75212" s="7"/>
    </row>
    <row r="75213" ht="15.75" customHeight="1">
      <c r="A75213" s="7"/>
      <c r="B75213" s="7"/>
    </row>
    <row r="75214" ht="15.75" customHeight="1">
      <c r="A75214" s="7"/>
      <c r="B75214" s="7"/>
    </row>
    <row r="75215" ht="15.75" customHeight="1">
      <c r="A75215" s="7"/>
      <c r="B75215" s="7"/>
    </row>
    <row r="75216" ht="15.75" customHeight="1">
      <c r="A75216" s="7"/>
      <c r="B75216" s="7"/>
    </row>
    <row r="75217" ht="15.75" customHeight="1">
      <c r="A75217" s="7"/>
      <c r="B75217" s="7"/>
    </row>
    <row r="75218" ht="15.75" customHeight="1">
      <c r="A75218" s="7"/>
      <c r="B75218" s="7"/>
    </row>
    <row r="75219" ht="15.75" customHeight="1">
      <c r="A75219" s="7"/>
      <c r="B75219" s="7"/>
    </row>
    <row r="75220" ht="15.75" customHeight="1">
      <c r="A75220" s="7"/>
      <c r="B75220" s="7"/>
    </row>
    <row r="75221" ht="15.75" customHeight="1">
      <c r="A75221" s="7"/>
      <c r="B75221" s="7"/>
    </row>
    <row r="75222" ht="15.75" customHeight="1">
      <c r="A75222" s="7"/>
      <c r="B75222" s="7"/>
    </row>
    <row r="75223" ht="15.75" customHeight="1">
      <c r="A75223" s="7"/>
      <c r="B75223" s="7"/>
    </row>
    <row r="75224" ht="15.75" customHeight="1">
      <c r="A75224" s="7"/>
      <c r="B75224" s="7"/>
    </row>
    <row r="75225" ht="15.75" customHeight="1">
      <c r="A75225" s="7"/>
      <c r="B75225" s="7"/>
    </row>
    <row r="75226" ht="15.75" customHeight="1">
      <c r="A75226" s="7"/>
      <c r="B75226" s="7"/>
    </row>
    <row r="75227" ht="15.75" customHeight="1">
      <c r="A75227" s="7"/>
      <c r="B75227" s="7"/>
    </row>
    <row r="75228" ht="15.75" customHeight="1">
      <c r="A75228" s="7"/>
      <c r="B75228" s="7"/>
    </row>
    <row r="75229" ht="15.75" customHeight="1">
      <c r="A75229" s="7"/>
      <c r="B75229" s="7"/>
    </row>
    <row r="75230" ht="15.75" customHeight="1">
      <c r="A75230" s="7"/>
      <c r="B75230" s="7"/>
    </row>
    <row r="75231" ht="15.75" customHeight="1">
      <c r="A75231" s="7"/>
      <c r="B75231" s="7"/>
    </row>
    <row r="75232" ht="15.75" customHeight="1">
      <c r="A75232" s="7"/>
      <c r="B75232" s="7"/>
    </row>
    <row r="75233" ht="15.75" customHeight="1">
      <c r="A75233" s="7"/>
      <c r="B75233" s="7"/>
    </row>
    <row r="75234" ht="15.75" customHeight="1">
      <c r="A75234" s="7"/>
      <c r="B75234" s="7"/>
    </row>
    <row r="75235" ht="15.75" customHeight="1">
      <c r="A75235" s="7"/>
      <c r="B75235" s="7"/>
    </row>
    <row r="75236" ht="15.75" customHeight="1">
      <c r="A75236" s="7"/>
      <c r="B75236" s="7"/>
    </row>
    <row r="75237" ht="15.75" customHeight="1">
      <c r="A75237" s="7"/>
      <c r="B75237" s="7"/>
    </row>
    <row r="75238" ht="15.75" customHeight="1">
      <c r="A75238" s="7"/>
      <c r="B75238" s="7"/>
    </row>
    <row r="75239" ht="15.75" customHeight="1">
      <c r="A75239" s="7"/>
      <c r="B75239" s="7"/>
    </row>
    <row r="75240" ht="15.75" customHeight="1">
      <c r="A75240" s="7"/>
      <c r="B75240" s="7"/>
    </row>
    <row r="75241" ht="15.75" customHeight="1">
      <c r="A75241" s="7"/>
      <c r="B75241" s="7"/>
    </row>
    <row r="75242" ht="15.75" customHeight="1">
      <c r="A75242" s="7"/>
      <c r="B75242" s="7"/>
    </row>
    <row r="75243" ht="15.75" customHeight="1">
      <c r="A75243" s="7"/>
      <c r="B75243" s="7"/>
    </row>
    <row r="75244" ht="15.75" customHeight="1">
      <c r="A75244" s="7"/>
      <c r="B75244" s="7"/>
    </row>
    <row r="75245" ht="15.75" customHeight="1">
      <c r="A75245" s="7"/>
      <c r="B75245" s="7"/>
    </row>
    <row r="75246" ht="15.75" customHeight="1">
      <c r="A75246" s="7"/>
      <c r="B75246" s="7"/>
    </row>
    <row r="75247" ht="15.75" customHeight="1">
      <c r="A75247" s="7"/>
      <c r="B75247" s="7"/>
    </row>
    <row r="75248" ht="15.75" customHeight="1">
      <c r="A75248" s="7"/>
      <c r="B75248" s="7"/>
    </row>
    <row r="75249" ht="15.75" customHeight="1">
      <c r="A75249" s="7"/>
      <c r="B75249" s="7"/>
    </row>
    <row r="75250" ht="15.75" customHeight="1">
      <c r="A75250" s="7"/>
      <c r="B75250" s="7"/>
    </row>
    <row r="75251" ht="15.75" customHeight="1">
      <c r="A75251" s="7"/>
      <c r="B75251" s="7"/>
    </row>
    <row r="75252" ht="15.75" customHeight="1">
      <c r="A75252" s="7"/>
      <c r="B75252" s="7"/>
    </row>
    <row r="75253" ht="15.75" customHeight="1">
      <c r="A75253" s="7"/>
      <c r="B75253" s="7"/>
    </row>
    <row r="75254" ht="15.75" customHeight="1">
      <c r="A75254" s="7"/>
      <c r="B75254" s="7"/>
    </row>
    <row r="75255" ht="15.75" customHeight="1">
      <c r="A75255" s="7"/>
      <c r="B75255" s="7"/>
    </row>
    <row r="75256" ht="15.75" customHeight="1">
      <c r="A75256" s="7"/>
      <c r="B75256" s="7"/>
    </row>
    <row r="75257" ht="15.75" customHeight="1">
      <c r="A75257" s="7"/>
      <c r="B75257" s="7"/>
    </row>
    <row r="75258" ht="15.75" customHeight="1">
      <c r="A75258" s="7"/>
      <c r="B75258" s="7"/>
    </row>
    <row r="75259" ht="15.75" customHeight="1">
      <c r="A75259" s="7"/>
      <c r="B75259" s="7"/>
    </row>
    <row r="75260" ht="15.75" customHeight="1">
      <c r="A75260" s="7"/>
      <c r="B75260" s="7"/>
    </row>
    <row r="75261" ht="15.75" customHeight="1">
      <c r="A75261" s="7"/>
      <c r="B75261" s="7"/>
    </row>
    <row r="75262" ht="15.75" customHeight="1">
      <c r="A75262" s="7"/>
      <c r="B75262" s="7"/>
    </row>
    <row r="75263" ht="15.75" customHeight="1">
      <c r="A75263" s="7"/>
      <c r="B75263" s="7"/>
    </row>
    <row r="75264" ht="15.75" customHeight="1">
      <c r="A75264" s="7"/>
      <c r="B75264" s="7"/>
    </row>
    <row r="75265" ht="15.75" customHeight="1">
      <c r="A75265" s="7"/>
      <c r="B75265" s="7"/>
    </row>
    <row r="75266" ht="15.75" customHeight="1">
      <c r="A75266" s="7"/>
      <c r="B75266" s="7"/>
    </row>
    <row r="75267" ht="15.75" customHeight="1">
      <c r="A75267" s="7"/>
      <c r="B75267" s="7"/>
    </row>
    <row r="75268" ht="15.75" customHeight="1">
      <c r="A75268" s="7"/>
      <c r="B75268" s="7"/>
    </row>
    <row r="75269" ht="15.75" customHeight="1">
      <c r="A75269" s="7"/>
      <c r="B75269" s="7"/>
    </row>
    <row r="75270" ht="15.75" customHeight="1">
      <c r="A75270" s="7"/>
      <c r="B75270" s="7"/>
    </row>
    <row r="75271" ht="15.75" customHeight="1">
      <c r="A75271" s="7"/>
      <c r="B75271" s="7"/>
    </row>
    <row r="75272" ht="15.75" customHeight="1">
      <c r="A75272" s="7"/>
      <c r="B75272" s="7"/>
    </row>
    <row r="75273" ht="15.75" customHeight="1">
      <c r="A75273" s="7"/>
      <c r="B75273" s="7"/>
    </row>
    <row r="75274" ht="15.75" customHeight="1">
      <c r="A75274" s="7"/>
      <c r="B75274" s="7"/>
    </row>
    <row r="75275" ht="15.75" customHeight="1">
      <c r="A75275" s="7"/>
      <c r="B75275" s="7"/>
    </row>
    <row r="75276" ht="15.75" customHeight="1">
      <c r="A75276" s="7"/>
      <c r="B75276" s="7"/>
    </row>
    <row r="75277" ht="15.75" customHeight="1">
      <c r="A75277" s="7"/>
      <c r="B75277" s="7"/>
    </row>
    <row r="75278" ht="15.75" customHeight="1">
      <c r="A75278" s="7"/>
      <c r="B75278" s="7"/>
    </row>
    <row r="75279" ht="15.75" customHeight="1">
      <c r="A75279" s="7"/>
      <c r="B75279" s="7"/>
    </row>
    <row r="75280" ht="15.75" customHeight="1">
      <c r="A75280" s="7"/>
      <c r="B75280" s="7"/>
    </row>
    <row r="75281" ht="15.75" customHeight="1">
      <c r="A75281" s="7"/>
      <c r="B75281" s="7"/>
    </row>
    <row r="75282" ht="15.75" customHeight="1">
      <c r="A75282" s="7"/>
      <c r="B75282" s="7"/>
    </row>
    <row r="75283" ht="15.75" customHeight="1">
      <c r="A75283" s="7"/>
      <c r="B75283" s="7"/>
    </row>
    <row r="75284" ht="15.75" customHeight="1">
      <c r="A75284" s="7"/>
      <c r="B75284" s="7"/>
    </row>
    <row r="75285" ht="15.75" customHeight="1">
      <c r="A75285" s="7"/>
      <c r="B75285" s="7"/>
    </row>
    <row r="75286" ht="15.75" customHeight="1">
      <c r="A75286" s="7"/>
      <c r="B75286" s="7"/>
    </row>
    <row r="75287" ht="15.75" customHeight="1">
      <c r="A75287" s="7"/>
      <c r="B75287" s="7"/>
    </row>
    <row r="75288" ht="15.75" customHeight="1">
      <c r="A75288" s="7"/>
      <c r="B75288" s="7"/>
    </row>
    <row r="75289" ht="15.75" customHeight="1">
      <c r="A75289" s="7"/>
      <c r="B75289" s="7"/>
    </row>
    <row r="75290" ht="15.75" customHeight="1">
      <c r="A75290" s="7"/>
      <c r="B75290" s="7"/>
    </row>
    <row r="75291" ht="15.75" customHeight="1">
      <c r="A75291" s="7"/>
      <c r="B75291" s="7"/>
    </row>
    <row r="75292" ht="15.75" customHeight="1">
      <c r="A75292" s="7"/>
      <c r="B75292" s="7"/>
    </row>
    <row r="75293" ht="15.75" customHeight="1">
      <c r="A75293" s="7"/>
      <c r="B75293" s="7"/>
    </row>
    <row r="75294" ht="15.75" customHeight="1">
      <c r="A75294" s="7"/>
      <c r="B75294" s="7"/>
    </row>
    <row r="75295" ht="15.75" customHeight="1">
      <c r="A75295" s="7"/>
      <c r="B75295" s="7"/>
    </row>
    <row r="75296" ht="15.75" customHeight="1">
      <c r="A75296" s="7"/>
      <c r="B75296" s="7"/>
    </row>
    <row r="75297" ht="15.75" customHeight="1">
      <c r="A75297" s="7"/>
      <c r="B75297" s="7"/>
    </row>
    <row r="75298" ht="15.75" customHeight="1">
      <c r="A75298" s="7"/>
      <c r="B75298" s="7"/>
    </row>
    <row r="75299" ht="15.75" customHeight="1">
      <c r="A75299" s="7"/>
      <c r="B75299" s="7"/>
    </row>
    <row r="75300" ht="15.75" customHeight="1">
      <c r="A75300" s="7"/>
      <c r="B75300" s="7"/>
    </row>
    <row r="75301" ht="15.75" customHeight="1">
      <c r="A75301" s="7"/>
      <c r="B75301" s="7"/>
    </row>
    <row r="75302" ht="15.75" customHeight="1">
      <c r="A75302" s="7"/>
      <c r="B75302" s="7"/>
    </row>
    <row r="75303" ht="15.75" customHeight="1">
      <c r="A75303" s="7"/>
      <c r="B75303" s="7"/>
    </row>
    <row r="75304" ht="15.75" customHeight="1">
      <c r="A75304" s="7"/>
      <c r="B75304" s="7"/>
    </row>
    <row r="75305" ht="15.75" customHeight="1">
      <c r="A75305" s="7"/>
      <c r="B75305" s="7"/>
    </row>
    <row r="75306" ht="15.75" customHeight="1">
      <c r="A75306" s="7"/>
      <c r="B75306" s="7"/>
    </row>
    <row r="75307" ht="15.75" customHeight="1">
      <c r="A75307" s="7"/>
      <c r="B75307" s="7"/>
    </row>
    <row r="75308" ht="15.75" customHeight="1">
      <c r="A75308" s="7"/>
      <c r="B75308" s="7"/>
    </row>
    <row r="75309" ht="15.75" customHeight="1">
      <c r="A75309" s="7"/>
      <c r="B75309" s="7"/>
    </row>
    <row r="75310" ht="15.75" customHeight="1">
      <c r="A75310" s="7"/>
      <c r="B75310" s="7"/>
    </row>
    <row r="75311" ht="15.75" customHeight="1">
      <c r="A75311" s="7"/>
      <c r="B75311" s="7"/>
    </row>
    <row r="75312" ht="15.75" customHeight="1">
      <c r="A75312" s="7"/>
      <c r="B75312" s="7"/>
    </row>
    <row r="75313" ht="15.75" customHeight="1">
      <c r="A75313" s="7"/>
      <c r="B75313" s="7"/>
    </row>
    <row r="75314" ht="15.75" customHeight="1">
      <c r="A75314" s="7"/>
      <c r="B75314" s="7"/>
    </row>
    <row r="75315" ht="15.75" customHeight="1">
      <c r="A75315" s="7"/>
      <c r="B75315" s="7"/>
    </row>
    <row r="75316" ht="15.75" customHeight="1">
      <c r="A75316" s="7"/>
      <c r="B75316" s="7"/>
    </row>
    <row r="75317" ht="15.75" customHeight="1">
      <c r="A75317" s="7"/>
      <c r="B75317" s="7"/>
    </row>
    <row r="75318" ht="15.75" customHeight="1">
      <c r="A75318" s="7"/>
      <c r="B75318" s="7"/>
    </row>
    <row r="75319" ht="15.75" customHeight="1">
      <c r="A75319" s="7"/>
      <c r="B75319" s="7"/>
    </row>
    <row r="75320" ht="15.75" customHeight="1">
      <c r="A75320" s="7"/>
      <c r="B75320" s="7"/>
    </row>
    <row r="75321" ht="15.75" customHeight="1">
      <c r="A75321" s="7"/>
      <c r="B75321" s="7"/>
    </row>
    <row r="75322" ht="15.75" customHeight="1">
      <c r="A75322" s="7"/>
      <c r="B75322" s="7"/>
    </row>
    <row r="75323" ht="15.75" customHeight="1">
      <c r="A75323" s="7"/>
      <c r="B75323" s="7"/>
    </row>
    <row r="75324" ht="15.75" customHeight="1">
      <c r="A75324" s="7"/>
      <c r="B75324" s="7"/>
    </row>
    <row r="75325" ht="15.75" customHeight="1">
      <c r="A75325" s="7"/>
      <c r="B75325" s="7"/>
    </row>
    <row r="75326" ht="15.75" customHeight="1">
      <c r="A75326" s="7"/>
      <c r="B75326" s="7"/>
    </row>
    <row r="75327" ht="15.75" customHeight="1">
      <c r="A75327" s="7"/>
      <c r="B75327" s="7"/>
    </row>
    <row r="75328" ht="15.75" customHeight="1">
      <c r="A75328" s="7"/>
      <c r="B75328" s="7"/>
    </row>
    <row r="75329" ht="15.75" customHeight="1">
      <c r="A75329" s="7"/>
      <c r="B75329" s="7"/>
    </row>
    <row r="75330" ht="15.75" customHeight="1">
      <c r="A75330" s="7"/>
      <c r="B75330" s="7"/>
    </row>
    <row r="75331" ht="15.75" customHeight="1">
      <c r="A75331" s="7"/>
      <c r="B75331" s="7"/>
    </row>
    <row r="75332" ht="15.75" customHeight="1">
      <c r="A75332" s="7"/>
      <c r="B75332" s="7"/>
    </row>
    <row r="75333" ht="15.75" customHeight="1">
      <c r="A75333" s="7"/>
      <c r="B75333" s="7"/>
    </row>
    <row r="75334" ht="15.75" customHeight="1">
      <c r="A75334" s="7"/>
      <c r="B75334" s="7"/>
    </row>
    <row r="75335" ht="15.75" customHeight="1">
      <c r="A75335" s="7"/>
      <c r="B75335" s="7"/>
    </row>
    <row r="75336" ht="15.75" customHeight="1">
      <c r="A75336" s="7"/>
      <c r="B75336" s="7"/>
    </row>
    <row r="75337" ht="15.75" customHeight="1">
      <c r="A75337" s="7"/>
      <c r="B75337" s="7"/>
    </row>
    <row r="75338" ht="15.75" customHeight="1">
      <c r="A75338" s="7"/>
      <c r="B75338" s="7"/>
    </row>
    <row r="75339" ht="15.75" customHeight="1">
      <c r="A75339" s="7"/>
      <c r="B75339" s="7"/>
    </row>
    <row r="75340" ht="15.75" customHeight="1">
      <c r="A75340" s="7"/>
      <c r="B75340" s="7"/>
    </row>
    <row r="75341" ht="15.75" customHeight="1">
      <c r="A75341" s="7"/>
      <c r="B75341" s="7"/>
    </row>
    <row r="75342" ht="15.75" customHeight="1">
      <c r="A75342" s="7"/>
      <c r="B75342" s="7"/>
    </row>
    <row r="75343" ht="15.75" customHeight="1">
      <c r="A75343" s="7"/>
      <c r="B75343" s="7"/>
    </row>
    <row r="75344" ht="15.75" customHeight="1">
      <c r="A75344" s="7"/>
      <c r="B75344" s="7"/>
    </row>
    <row r="75345" ht="15.75" customHeight="1">
      <c r="A75345" s="7"/>
      <c r="B75345" s="7"/>
    </row>
    <row r="75346" ht="15.75" customHeight="1">
      <c r="A75346" s="7"/>
      <c r="B75346" s="7"/>
    </row>
    <row r="75347" ht="15.75" customHeight="1">
      <c r="A75347" s="7"/>
      <c r="B75347" s="7"/>
    </row>
    <row r="75348" ht="15.75" customHeight="1">
      <c r="A75348" s="7"/>
      <c r="B75348" s="7"/>
    </row>
    <row r="75349" ht="15.75" customHeight="1">
      <c r="A75349" s="7"/>
      <c r="B75349" s="7"/>
    </row>
    <row r="75350" ht="15.75" customHeight="1">
      <c r="A75350" s="7"/>
      <c r="B75350" s="7"/>
    </row>
    <row r="75351" ht="15.75" customHeight="1">
      <c r="A75351" s="7"/>
      <c r="B75351" s="7"/>
    </row>
    <row r="75352" ht="15.75" customHeight="1">
      <c r="A75352" s="7"/>
      <c r="B75352" s="7"/>
    </row>
    <row r="75353" ht="15.75" customHeight="1">
      <c r="A75353" s="7"/>
      <c r="B75353" s="7"/>
    </row>
    <row r="75354" ht="15.75" customHeight="1">
      <c r="A75354" s="7"/>
      <c r="B75354" s="7"/>
    </row>
    <row r="75355" ht="15.75" customHeight="1">
      <c r="A75355" s="7"/>
      <c r="B75355" s="7"/>
    </row>
    <row r="75356" ht="15.75" customHeight="1">
      <c r="A75356" s="7"/>
      <c r="B75356" s="7"/>
    </row>
    <row r="75357" ht="15.75" customHeight="1">
      <c r="A75357" s="7"/>
      <c r="B75357" s="7"/>
    </row>
    <row r="75358" ht="15.75" customHeight="1">
      <c r="A75358" s="7"/>
      <c r="B75358" s="7"/>
    </row>
    <row r="75359" ht="15.75" customHeight="1">
      <c r="A75359" s="7"/>
      <c r="B75359" s="7"/>
    </row>
    <row r="75360" ht="15.75" customHeight="1">
      <c r="A75360" s="7"/>
      <c r="B75360" s="7"/>
    </row>
    <row r="75361" ht="15.75" customHeight="1">
      <c r="A75361" s="7"/>
      <c r="B75361" s="7"/>
    </row>
    <row r="75362" ht="15.75" customHeight="1">
      <c r="A75362" s="7"/>
      <c r="B75362" s="7"/>
    </row>
    <row r="75363" ht="15.75" customHeight="1">
      <c r="A75363" s="7"/>
      <c r="B75363" s="7"/>
    </row>
    <row r="75364" ht="15.75" customHeight="1">
      <c r="A75364" s="7"/>
      <c r="B75364" s="7"/>
    </row>
    <row r="75365" ht="15.75" customHeight="1">
      <c r="A75365" s="7"/>
      <c r="B75365" s="7"/>
    </row>
    <row r="75366" ht="15.75" customHeight="1">
      <c r="A75366" s="7"/>
      <c r="B75366" s="7"/>
    </row>
    <row r="75367" ht="15.75" customHeight="1">
      <c r="A75367" s="7"/>
      <c r="B75367" s="7"/>
    </row>
    <row r="75368" ht="15.75" customHeight="1">
      <c r="A75368" s="7"/>
      <c r="B75368" s="7"/>
    </row>
    <row r="75369" ht="15.75" customHeight="1">
      <c r="A75369" s="7"/>
      <c r="B75369" s="7"/>
    </row>
    <row r="75370" ht="15.75" customHeight="1">
      <c r="A75370" s="7"/>
      <c r="B75370" s="7"/>
    </row>
    <row r="75371" ht="15.75" customHeight="1">
      <c r="A75371" s="7"/>
      <c r="B75371" s="7"/>
    </row>
    <row r="75372" ht="15.75" customHeight="1">
      <c r="A75372" s="7"/>
      <c r="B75372" s="7"/>
    </row>
    <row r="75373" ht="15.75" customHeight="1">
      <c r="A75373" s="7"/>
      <c r="B75373" s="7"/>
    </row>
    <row r="75374" ht="15.75" customHeight="1">
      <c r="A75374" s="7"/>
      <c r="B75374" s="7"/>
    </row>
    <row r="75375" ht="15.75" customHeight="1">
      <c r="A75375" s="7"/>
      <c r="B75375" s="7"/>
    </row>
    <row r="75376" ht="15.75" customHeight="1">
      <c r="A75376" s="7"/>
      <c r="B75376" s="7"/>
    </row>
    <row r="75377" ht="15.75" customHeight="1">
      <c r="A75377" s="7"/>
      <c r="B75377" s="7"/>
    </row>
    <row r="75378" ht="15.75" customHeight="1">
      <c r="A75378" s="7"/>
      <c r="B75378" s="7"/>
    </row>
    <row r="75379" ht="15.75" customHeight="1">
      <c r="A75379" s="7"/>
      <c r="B75379" s="7"/>
    </row>
    <row r="75380" ht="15.75" customHeight="1">
      <c r="A75380" s="7"/>
      <c r="B75380" s="7"/>
    </row>
    <row r="75381" ht="15.75" customHeight="1">
      <c r="A75381" s="7"/>
      <c r="B75381" s="7"/>
    </row>
    <row r="75382" ht="15.75" customHeight="1">
      <c r="A75382" s="7"/>
      <c r="B75382" s="7"/>
    </row>
    <row r="75383" ht="15.75" customHeight="1">
      <c r="A75383" s="7"/>
      <c r="B75383" s="7"/>
    </row>
    <row r="75384" ht="15.75" customHeight="1">
      <c r="A75384" s="7"/>
      <c r="B75384" s="7"/>
    </row>
    <row r="75385" ht="15.75" customHeight="1">
      <c r="A75385" s="7"/>
      <c r="B75385" s="7"/>
    </row>
    <row r="75386" ht="15.75" customHeight="1">
      <c r="A75386" s="7"/>
      <c r="B75386" s="7"/>
    </row>
    <row r="75387" ht="15.75" customHeight="1">
      <c r="A75387" s="7"/>
      <c r="B75387" s="7"/>
    </row>
    <row r="75388" ht="15.75" customHeight="1">
      <c r="A75388" s="7"/>
      <c r="B75388" s="7"/>
    </row>
    <row r="75389" ht="15.75" customHeight="1">
      <c r="A75389" s="7"/>
      <c r="B75389" s="7"/>
    </row>
    <row r="75390" ht="15.75" customHeight="1">
      <c r="A75390" s="7"/>
      <c r="B75390" s="7"/>
    </row>
    <row r="75391" ht="15.75" customHeight="1">
      <c r="A75391" s="7"/>
      <c r="B75391" s="7"/>
    </row>
    <row r="75392" ht="15.75" customHeight="1">
      <c r="A75392" s="7"/>
      <c r="B75392" s="7"/>
    </row>
    <row r="75393" ht="15.75" customHeight="1">
      <c r="A75393" s="7"/>
      <c r="B75393" s="7"/>
    </row>
    <row r="75394" ht="15.75" customHeight="1">
      <c r="A75394" s="7"/>
      <c r="B75394" s="7"/>
    </row>
    <row r="75395" ht="15.75" customHeight="1">
      <c r="A75395" s="7"/>
      <c r="B75395" s="7"/>
    </row>
    <row r="75396" ht="15.75" customHeight="1">
      <c r="A75396" s="7"/>
      <c r="B75396" s="7"/>
    </row>
    <row r="75397" ht="15.75" customHeight="1">
      <c r="A75397" s="7"/>
      <c r="B75397" s="7"/>
    </row>
    <row r="75398" ht="15.75" customHeight="1">
      <c r="A75398" s="7"/>
      <c r="B75398" s="7"/>
    </row>
    <row r="75399" ht="15.75" customHeight="1">
      <c r="A75399" s="7"/>
      <c r="B75399" s="7"/>
    </row>
    <row r="75400" ht="15.75" customHeight="1">
      <c r="A75400" s="7"/>
      <c r="B75400" s="7"/>
    </row>
    <row r="75401" ht="15.75" customHeight="1">
      <c r="A75401" s="7"/>
      <c r="B75401" s="7"/>
    </row>
    <row r="75402" ht="15.75" customHeight="1">
      <c r="A75402" s="7"/>
      <c r="B75402" s="7"/>
    </row>
    <row r="75403" ht="15.75" customHeight="1">
      <c r="A75403" s="7"/>
      <c r="B75403" s="7"/>
    </row>
    <row r="75404" ht="15.75" customHeight="1">
      <c r="A75404" s="7"/>
      <c r="B75404" s="7"/>
    </row>
    <row r="75405" ht="15.75" customHeight="1">
      <c r="A75405" s="7"/>
      <c r="B75405" s="7"/>
    </row>
    <row r="75406" ht="15.75" customHeight="1">
      <c r="A75406" s="7"/>
      <c r="B75406" s="7"/>
    </row>
    <row r="75407" ht="15.75" customHeight="1">
      <c r="A75407" s="7"/>
      <c r="B75407" s="7"/>
    </row>
    <row r="75408" ht="15.75" customHeight="1">
      <c r="A75408" s="7"/>
      <c r="B75408" s="7"/>
    </row>
    <row r="75409" ht="15.75" customHeight="1">
      <c r="A75409" s="7"/>
      <c r="B75409" s="7"/>
    </row>
    <row r="75410" ht="15.75" customHeight="1">
      <c r="A75410" s="7"/>
      <c r="B75410" s="7"/>
    </row>
    <row r="75411" ht="15.75" customHeight="1">
      <c r="A75411" s="7"/>
      <c r="B75411" s="7"/>
    </row>
    <row r="75412" ht="15.75" customHeight="1">
      <c r="A75412" s="7"/>
      <c r="B75412" s="7"/>
    </row>
    <row r="75413" ht="15.75" customHeight="1">
      <c r="A75413" s="7"/>
      <c r="B75413" s="7"/>
    </row>
    <row r="75414" ht="15.75" customHeight="1">
      <c r="A75414" s="7"/>
      <c r="B75414" s="7"/>
    </row>
    <row r="75415" ht="15.75" customHeight="1">
      <c r="A75415" s="7"/>
      <c r="B75415" s="7"/>
    </row>
    <row r="75416" ht="15.75" customHeight="1">
      <c r="A75416" s="7"/>
      <c r="B75416" s="7"/>
    </row>
    <row r="75417" ht="15.75" customHeight="1">
      <c r="A75417" s="7"/>
      <c r="B75417" s="7"/>
    </row>
    <row r="75418" ht="15.75" customHeight="1">
      <c r="A75418" s="7"/>
      <c r="B75418" s="7"/>
    </row>
    <row r="75419" ht="15.75" customHeight="1">
      <c r="A75419" s="7"/>
      <c r="B75419" s="7"/>
    </row>
    <row r="75420" ht="15.75" customHeight="1">
      <c r="A75420" s="7"/>
      <c r="B75420" s="7"/>
    </row>
    <row r="75421" ht="15.75" customHeight="1">
      <c r="A75421" s="7"/>
      <c r="B75421" s="7"/>
    </row>
    <row r="75422" ht="15.75" customHeight="1">
      <c r="A75422" s="7"/>
      <c r="B75422" s="7"/>
    </row>
    <row r="75423" ht="15.75" customHeight="1">
      <c r="A75423" s="7"/>
      <c r="B75423" s="7"/>
    </row>
    <row r="75424" ht="15.75" customHeight="1">
      <c r="A75424" s="7"/>
      <c r="B75424" s="7"/>
    </row>
    <row r="75425" ht="15.75" customHeight="1">
      <c r="A75425" s="7"/>
      <c r="B75425" s="7"/>
    </row>
    <row r="75426" ht="15.75" customHeight="1">
      <c r="A75426" s="7"/>
      <c r="B75426" s="7"/>
    </row>
    <row r="75427" ht="15.75" customHeight="1">
      <c r="A75427" s="7"/>
      <c r="B75427" s="7"/>
    </row>
    <row r="75428" ht="15.75" customHeight="1">
      <c r="A75428" s="7"/>
      <c r="B75428" s="7"/>
    </row>
    <row r="75429" ht="15.75" customHeight="1">
      <c r="A75429" s="7"/>
      <c r="B75429" s="7"/>
    </row>
    <row r="75430" ht="15.75" customHeight="1">
      <c r="A75430" s="7"/>
      <c r="B75430" s="7"/>
    </row>
    <row r="75431" ht="15.75" customHeight="1">
      <c r="A75431" s="7"/>
      <c r="B75431" s="7"/>
    </row>
    <row r="75432" ht="15.75" customHeight="1">
      <c r="A75432" s="7"/>
      <c r="B75432" s="7"/>
    </row>
    <row r="75433" ht="15.75" customHeight="1">
      <c r="A75433" s="7"/>
      <c r="B75433" s="7"/>
    </row>
    <row r="75434" ht="15.75" customHeight="1">
      <c r="A75434" s="7"/>
      <c r="B75434" s="7"/>
    </row>
    <row r="75435" ht="15.75" customHeight="1">
      <c r="A75435" s="7"/>
      <c r="B75435" s="7"/>
    </row>
    <row r="75436" ht="15.75" customHeight="1">
      <c r="A75436" s="7"/>
      <c r="B75436" s="7"/>
    </row>
    <row r="75437" ht="15.75" customHeight="1">
      <c r="A75437" s="7"/>
      <c r="B75437" s="7"/>
    </row>
    <row r="75438" ht="15.75" customHeight="1">
      <c r="A75438" s="7"/>
      <c r="B75438" s="7"/>
    </row>
    <row r="75439" ht="15.75" customHeight="1">
      <c r="A75439" s="7"/>
      <c r="B75439" s="7"/>
    </row>
    <row r="75440" ht="15.75" customHeight="1">
      <c r="A75440" s="7"/>
      <c r="B75440" s="7"/>
    </row>
    <row r="75441" ht="15.75" customHeight="1">
      <c r="A75441" s="7"/>
      <c r="B75441" s="7"/>
    </row>
    <row r="75442" ht="15.75" customHeight="1">
      <c r="A75442" s="7"/>
      <c r="B75442" s="7"/>
    </row>
    <row r="75443" ht="15.75" customHeight="1">
      <c r="A75443" s="7"/>
      <c r="B75443" s="7"/>
    </row>
    <row r="75444" ht="15.75" customHeight="1">
      <c r="A75444" s="7"/>
      <c r="B75444" s="7"/>
    </row>
    <row r="75445" ht="15.75" customHeight="1">
      <c r="A75445" s="7"/>
      <c r="B75445" s="7"/>
    </row>
    <row r="75446" ht="15.75" customHeight="1">
      <c r="A75446" s="7"/>
      <c r="B75446" s="7"/>
    </row>
    <row r="75447" ht="15.75" customHeight="1">
      <c r="A75447" s="7"/>
      <c r="B75447" s="7"/>
    </row>
    <row r="75448" ht="15.75" customHeight="1">
      <c r="A75448" s="7"/>
      <c r="B75448" s="7"/>
    </row>
    <row r="75449" ht="15.75" customHeight="1">
      <c r="A75449" s="7"/>
      <c r="B75449" s="7"/>
    </row>
    <row r="75450" ht="15.75" customHeight="1">
      <c r="A75450" s="7"/>
      <c r="B75450" s="7"/>
    </row>
    <row r="75451" ht="15.75" customHeight="1">
      <c r="A75451" s="7"/>
      <c r="B75451" s="7"/>
    </row>
    <row r="75452" ht="15.75" customHeight="1">
      <c r="A75452" s="7"/>
      <c r="B75452" s="7"/>
    </row>
    <row r="75453" ht="15.75" customHeight="1">
      <c r="A75453" s="7"/>
      <c r="B75453" s="7"/>
    </row>
    <row r="75454" ht="15.75" customHeight="1">
      <c r="A75454" s="7"/>
      <c r="B75454" s="7"/>
    </row>
    <row r="75455" ht="15.75" customHeight="1">
      <c r="A75455" s="7"/>
      <c r="B75455" s="7"/>
    </row>
    <row r="75456" ht="15.75" customHeight="1">
      <c r="A75456" s="7"/>
      <c r="B75456" s="7"/>
    </row>
    <row r="75457" ht="15.75" customHeight="1">
      <c r="A75457" s="7"/>
      <c r="B75457" s="7"/>
    </row>
    <row r="75458" ht="15.75" customHeight="1">
      <c r="A75458" s="7"/>
      <c r="B75458" s="7"/>
    </row>
    <row r="75459" ht="15.75" customHeight="1">
      <c r="A75459" s="7"/>
      <c r="B75459" s="7"/>
    </row>
    <row r="75460" ht="15.75" customHeight="1">
      <c r="A75460" s="7"/>
      <c r="B75460" s="7"/>
    </row>
    <row r="75461" ht="15.75" customHeight="1">
      <c r="A75461" s="7"/>
      <c r="B75461" s="7"/>
    </row>
    <row r="75462" ht="15.75" customHeight="1">
      <c r="A75462" s="7"/>
      <c r="B75462" s="7"/>
    </row>
    <row r="75463" ht="15.75" customHeight="1">
      <c r="A75463" s="7"/>
      <c r="B75463" s="7"/>
    </row>
    <row r="75464" ht="15.75" customHeight="1">
      <c r="A75464" s="7"/>
      <c r="B75464" s="7"/>
    </row>
    <row r="75465" ht="15.75" customHeight="1">
      <c r="A75465" s="7"/>
      <c r="B75465" s="7"/>
    </row>
    <row r="75466" ht="15.75" customHeight="1">
      <c r="A75466" s="7"/>
      <c r="B75466" s="7"/>
    </row>
    <row r="75467" ht="15.75" customHeight="1">
      <c r="A75467" s="7"/>
      <c r="B75467" s="7"/>
    </row>
    <row r="75468" ht="15.75" customHeight="1">
      <c r="A75468" s="7"/>
      <c r="B75468" s="7"/>
    </row>
    <row r="75469" ht="15.75" customHeight="1">
      <c r="A75469" s="7"/>
      <c r="B75469" s="7"/>
    </row>
    <row r="75470" ht="15.75" customHeight="1">
      <c r="A75470" s="7"/>
      <c r="B75470" s="7"/>
    </row>
    <row r="75471" ht="15.75" customHeight="1">
      <c r="A75471" s="7"/>
      <c r="B75471" s="7"/>
    </row>
    <row r="75472" ht="15.75" customHeight="1">
      <c r="A75472" s="7"/>
      <c r="B75472" s="7"/>
    </row>
    <row r="75473" ht="15.75" customHeight="1">
      <c r="A75473" s="7"/>
      <c r="B75473" s="7"/>
    </row>
    <row r="75474" ht="15.75" customHeight="1">
      <c r="A75474" s="7"/>
      <c r="B75474" s="7"/>
    </row>
    <row r="75475" ht="15.75" customHeight="1">
      <c r="A75475" s="7"/>
      <c r="B75475" s="7"/>
    </row>
    <row r="75476" ht="15.75" customHeight="1">
      <c r="A75476" s="7"/>
      <c r="B75476" s="7"/>
    </row>
    <row r="75477" ht="15.75" customHeight="1">
      <c r="A75477" s="7"/>
      <c r="B75477" s="7"/>
    </row>
    <row r="75478" ht="15.75" customHeight="1">
      <c r="A75478" s="7"/>
      <c r="B75478" s="7"/>
    </row>
    <row r="75479" ht="15.75" customHeight="1">
      <c r="A75479" s="7"/>
      <c r="B75479" s="7"/>
    </row>
    <row r="75480" ht="15.75" customHeight="1">
      <c r="A75480" s="7"/>
      <c r="B75480" s="7"/>
    </row>
    <row r="75481" ht="15.75" customHeight="1">
      <c r="A75481" s="7"/>
      <c r="B75481" s="7"/>
    </row>
    <row r="75482" ht="15.75" customHeight="1">
      <c r="A75482" s="7"/>
      <c r="B75482" s="7"/>
    </row>
    <row r="75483" ht="15.75" customHeight="1">
      <c r="A75483" s="7"/>
      <c r="B75483" s="7"/>
    </row>
    <row r="75484" ht="15.75" customHeight="1">
      <c r="A75484" s="7"/>
      <c r="B75484" s="7"/>
    </row>
    <row r="75485" ht="15.75" customHeight="1">
      <c r="A75485" s="7"/>
      <c r="B75485" s="7"/>
    </row>
    <row r="75486" ht="15.75" customHeight="1">
      <c r="A75486" s="7"/>
      <c r="B75486" s="7"/>
    </row>
    <row r="75487" ht="15.75" customHeight="1">
      <c r="A75487" s="7"/>
      <c r="B75487" s="7"/>
    </row>
    <row r="75488" ht="15.75" customHeight="1">
      <c r="A75488" s="7"/>
      <c r="B75488" s="7"/>
    </row>
    <row r="75489" ht="15.75" customHeight="1">
      <c r="A75489" s="7"/>
      <c r="B75489" s="7"/>
    </row>
    <row r="75490" ht="15.75" customHeight="1">
      <c r="A75490" s="7"/>
      <c r="B75490" s="7"/>
    </row>
    <row r="75491" ht="15.75" customHeight="1">
      <c r="A75491" s="7"/>
      <c r="B75491" s="7"/>
    </row>
    <row r="75492" ht="15.75" customHeight="1">
      <c r="A75492" s="7"/>
      <c r="B75492" s="7"/>
    </row>
    <row r="75493" ht="15.75" customHeight="1">
      <c r="A75493" s="7"/>
      <c r="B75493" s="7"/>
    </row>
    <row r="75494" ht="15.75" customHeight="1">
      <c r="A75494" s="7"/>
      <c r="B75494" s="7"/>
    </row>
    <row r="75495" ht="15.75" customHeight="1">
      <c r="A75495" s="7"/>
      <c r="B75495" s="7"/>
    </row>
    <row r="75496" ht="15.75" customHeight="1">
      <c r="A75496" s="7"/>
      <c r="B75496" s="7"/>
    </row>
    <row r="75497" ht="15.75" customHeight="1">
      <c r="A75497" s="7"/>
      <c r="B75497" s="7"/>
    </row>
    <row r="75498" ht="15.75" customHeight="1">
      <c r="A75498" s="7"/>
      <c r="B75498" s="7"/>
    </row>
    <row r="75499" ht="15.75" customHeight="1">
      <c r="A75499" s="7"/>
      <c r="B75499" s="7"/>
    </row>
    <row r="75500" ht="15.75" customHeight="1">
      <c r="A75500" s="7"/>
      <c r="B75500" s="7"/>
    </row>
    <row r="75501" ht="15.75" customHeight="1">
      <c r="A75501" s="7"/>
      <c r="B75501" s="7"/>
    </row>
    <row r="75502" ht="15.75" customHeight="1">
      <c r="A75502" s="7"/>
      <c r="B75502" s="7"/>
    </row>
    <row r="75503" ht="15.75" customHeight="1">
      <c r="A75503" s="7"/>
      <c r="B75503" s="7"/>
    </row>
    <row r="75504" ht="15.75" customHeight="1">
      <c r="A75504" s="7"/>
      <c r="B75504" s="7"/>
    </row>
    <row r="75505" ht="15.75" customHeight="1">
      <c r="A75505" s="7"/>
      <c r="B75505" s="7"/>
    </row>
    <row r="75506" ht="15.75" customHeight="1">
      <c r="A75506" s="7"/>
      <c r="B75506" s="7"/>
    </row>
    <row r="75507" ht="15.75" customHeight="1">
      <c r="A75507" s="7"/>
      <c r="B75507" s="7"/>
    </row>
    <row r="75508" ht="15.75" customHeight="1">
      <c r="A75508" s="7"/>
      <c r="B75508" s="7"/>
    </row>
    <row r="75509" ht="15.75" customHeight="1">
      <c r="A75509" s="7"/>
      <c r="B75509" s="7"/>
    </row>
    <row r="75510" ht="15.75" customHeight="1">
      <c r="A75510" s="7"/>
      <c r="B75510" s="7"/>
    </row>
    <row r="75511" ht="15.75" customHeight="1">
      <c r="A75511" s="7"/>
      <c r="B75511" s="7"/>
    </row>
    <row r="75512" ht="15.75" customHeight="1">
      <c r="A75512" s="7"/>
      <c r="B75512" s="7"/>
    </row>
    <row r="75513" ht="15.75" customHeight="1">
      <c r="A75513" s="7"/>
      <c r="B75513" s="7"/>
    </row>
    <row r="75514" ht="15.75" customHeight="1">
      <c r="A75514" s="7"/>
      <c r="B75514" s="7"/>
    </row>
    <row r="75515" ht="15.75" customHeight="1">
      <c r="A75515" s="7"/>
      <c r="B75515" s="7"/>
    </row>
    <row r="75516" ht="15.75" customHeight="1">
      <c r="A75516" s="7"/>
      <c r="B75516" s="7"/>
    </row>
    <row r="75517" ht="15.75" customHeight="1">
      <c r="A75517" s="7"/>
      <c r="B75517" s="7"/>
    </row>
    <row r="75518" ht="15.75" customHeight="1">
      <c r="A75518" s="7"/>
      <c r="B75518" s="7"/>
    </row>
    <row r="75519" ht="15.75" customHeight="1">
      <c r="A75519" s="7"/>
      <c r="B75519" s="7"/>
    </row>
    <row r="75520" ht="15.75" customHeight="1">
      <c r="A75520" s="7"/>
      <c r="B75520" s="7"/>
    </row>
    <row r="75521" ht="15.75" customHeight="1">
      <c r="A75521" s="7"/>
      <c r="B75521" s="7"/>
    </row>
    <row r="75522" ht="15.75" customHeight="1">
      <c r="A75522" s="7"/>
      <c r="B75522" s="7"/>
    </row>
    <row r="75523" ht="15.75" customHeight="1">
      <c r="A75523" s="7"/>
      <c r="B75523" s="7"/>
    </row>
    <row r="75524" ht="15.75" customHeight="1">
      <c r="A75524" s="7"/>
      <c r="B75524" s="7"/>
    </row>
    <row r="75525" ht="15.75" customHeight="1">
      <c r="A75525" s="7"/>
      <c r="B75525" s="7"/>
    </row>
    <row r="75526" ht="15.75" customHeight="1">
      <c r="A75526" s="7"/>
      <c r="B75526" s="7"/>
    </row>
    <row r="75527" ht="15.75" customHeight="1">
      <c r="A75527" s="7"/>
      <c r="B75527" s="7"/>
    </row>
    <row r="75528" ht="15.75" customHeight="1">
      <c r="A75528" s="7"/>
      <c r="B75528" s="7"/>
    </row>
    <row r="75529" ht="15.75" customHeight="1">
      <c r="A75529" s="7"/>
      <c r="B75529" s="7"/>
    </row>
    <row r="75530" ht="15.75" customHeight="1">
      <c r="A75530" s="7"/>
      <c r="B75530" s="7"/>
    </row>
    <row r="75531" ht="15.75" customHeight="1">
      <c r="A75531" s="7"/>
      <c r="B75531" s="7"/>
    </row>
    <row r="75532" ht="15.75" customHeight="1">
      <c r="A75532" s="7"/>
      <c r="B75532" s="7"/>
    </row>
    <row r="75533" ht="15.75" customHeight="1">
      <c r="A75533" s="7"/>
      <c r="B75533" s="7"/>
    </row>
    <row r="75534" ht="15.75" customHeight="1">
      <c r="A75534" s="7"/>
      <c r="B75534" s="7"/>
    </row>
    <row r="75535" ht="15.75" customHeight="1">
      <c r="A75535" s="7"/>
      <c r="B75535" s="7"/>
    </row>
    <row r="75536" ht="15.75" customHeight="1">
      <c r="A75536" s="7"/>
      <c r="B75536" s="7"/>
    </row>
    <row r="75537" ht="15.75" customHeight="1">
      <c r="A75537" s="7"/>
      <c r="B75537" s="7"/>
    </row>
    <row r="75538" ht="15.75" customHeight="1">
      <c r="A75538" s="7"/>
      <c r="B75538" s="7"/>
    </row>
    <row r="75539" ht="15.75" customHeight="1">
      <c r="A75539" s="7"/>
      <c r="B75539" s="7"/>
    </row>
    <row r="75540" ht="15.75" customHeight="1">
      <c r="A75540" s="7"/>
      <c r="B75540" s="7"/>
    </row>
    <row r="75541" ht="15.75" customHeight="1">
      <c r="A75541" s="7"/>
      <c r="B75541" s="7"/>
    </row>
    <row r="75542" ht="15.75" customHeight="1">
      <c r="A75542" s="7"/>
      <c r="B75542" s="7"/>
    </row>
    <row r="75543" ht="15.75" customHeight="1">
      <c r="A75543" s="7"/>
      <c r="B75543" s="7"/>
    </row>
    <row r="75544" ht="15.75" customHeight="1">
      <c r="A75544" s="7"/>
      <c r="B75544" s="7"/>
    </row>
    <row r="75545" ht="15.75" customHeight="1">
      <c r="A75545" s="7"/>
      <c r="B75545" s="7"/>
    </row>
    <row r="75546" ht="15.75" customHeight="1">
      <c r="A75546" s="7"/>
      <c r="B75546" s="7"/>
    </row>
    <row r="75547" ht="15.75" customHeight="1">
      <c r="A75547" s="7"/>
      <c r="B75547" s="7"/>
    </row>
    <row r="75548" ht="15.75" customHeight="1">
      <c r="A75548" s="7"/>
      <c r="B75548" s="7"/>
    </row>
    <row r="75549" ht="15.75" customHeight="1">
      <c r="A75549" s="7"/>
      <c r="B75549" s="7"/>
    </row>
    <row r="75550" ht="15.75" customHeight="1">
      <c r="A75550" s="7"/>
      <c r="B75550" s="7"/>
    </row>
    <row r="75551" ht="15.75" customHeight="1">
      <c r="A75551" s="7"/>
      <c r="B75551" s="7"/>
    </row>
    <row r="75552" ht="15.75" customHeight="1">
      <c r="A75552" s="7"/>
      <c r="B75552" s="7"/>
    </row>
    <row r="75553" ht="15.75" customHeight="1">
      <c r="A75553" s="7"/>
      <c r="B75553" s="7"/>
    </row>
    <row r="75554" ht="15.75" customHeight="1">
      <c r="A75554" s="7"/>
      <c r="B75554" s="7"/>
    </row>
    <row r="75555" ht="15.75" customHeight="1">
      <c r="A75555" s="7"/>
      <c r="B75555" s="7"/>
    </row>
    <row r="75556" ht="15.75" customHeight="1">
      <c r="A75556" s="7"/>
      <c r="B75556" s="7"/>
    </row>
    <row r="75557" ht="15.75" customHeight="1">
      <c r="A75557" s="7"/>
      <c r="B75557" s="7"/>
    </row>
    <row r="75558" ht="15.75" customHeight="1">
      <c r="A75558" s="7"/>
      <c r="B75558" s="7"/>
    </row>
    <row r="75559" ht="15.75" customHeight="1">
      <c r="A75559" s="7"/>
      <c r="B75559" s="7"/>
    </row>
    <row r="75560" ht="15.75" customHeight="1">
      <c r="A75560" s="7"/>
      <c r="B75560" s="7"/>
    </row>
    <row r="75561" ht="15.75" customHeight="1">
      <c r="A75561" s="7"/>
      <c r="B75561" s="7"/>
    </row>
    <row r="75562" ht="15.75" customHeight="1">
      <c r="A75562" s="7"/>
      <c r="B75562" s="7"/>
    </row>
    <row r="75563" ht="15.75" customHeight="1">
      <c r="A75563" s="7"/>
      <c r="B75563" s="7"/>
    </row>
    <row r="75564" ht="15.75" customHeight="1">
      <c r="A75564" s="7"/>
      <c r="B75564" s="7"/>
    </row>
    <row r="75565" ht="15.75" customHeight="1">
      <c r="A75565" s="7"/>
      <c r="B75565" s="7"/>
    </row>
    <row r="75566" ht="15.75" customHeight="1">
      <c r="A75566" s="7"/>
      <c r="B75566" s="7"/>
    </row>
    <row r="75567" ht="15.75" customHeight="1">
      <c r="A75567" s="7"/>
      <c r="B75567" s="7"/>
    </row>
    <row r="75568" ht="15.75" customHeight="1">
      <c r="A75568" s="7"/>
      <c r="B75568" s="7"/>
    </row>
    <row r="75569" ht="15.75" customHeight="1">
      <c r="A75569" s="7"/>
      <c r="B75569" s="7"/>
    </row>
    <row r="75570" ht="15.75" customHeight="1">
      <c r="A75570" s="7"/>
      <c r="B75570" s="7"/>
    </row>
    <row r="75571" ht="15.75" customHeight="1">
      <c r="A75571" s="7"/>
      <c r="B75571" s="7"/>
    </row>
    <row r="75572" ht="15.75" customHeight="1">
      <c r="A75572" s="7"/>
      <c r="B75572" s="7"/>
    </row>
    <row r="75573" ht="15.75" customHeight="1">
      <c r="A75573" s="7"/>
      <c r="B75573" s="7"/>
    </row>
    <row r="75574" ht="15.75" customHeight="1">
      <c r="A75574" s="7"/>
      <c r="B75574" s="7"/>
    </row>
    <row r="75575" ht="15.75" customHeight="1">
      <c r="A75575" s="7"/>
      <c r="B75575" s="7"/>
    </row>
    <row r="75576" ht="15.75" customHeight="1">
      <c r="A75576" s="7"/>
      <c r="B75576" s="7"/>
    </row>
    <row r="75577" ht="15.75" customHeight="1">
      <c r="A75577" s="7"/>
      <c r="B75577" s="7"/>
    </row>
    <row r="75578" ht="15.75" customHeight="1">
      <c r="A75578" s="7"/>
      <c r="B75578" s="7"/>
    </row>
    <row r="75579" ht="15.75" customHeight="1">
      <c r="A75579" s="7"/>
      <c r="B75579" s="7"/>
    </row>
    <row r="75580" ht="15.75" customHeight="1">
      <c r="A75580" s="7"/>
      <c r="B75580" s="7"/>
    </row>
    <row r="75581" ht="15.75" customHeight="1">
      <c r="A75581" s="7"/>
      <c r="B75581" s="7"/>
    </row>
    <row r="75582" ht="15.75" customHeight="1">
      <c r="A75582" s="7"/>
      <c r="B75582" s="7"/>
    </row>
    <row r="75583" ht="15.75" customHeight="1">
      <c r="A75583" s="7"/>
      <c r="B75583" s="7"/>
    </row>
    <row r="75584" ht="15.75" customHeight="1">
      <c r="A75584" s="7"/>
      <c r="B75584" s="7"/>
    </row>
    <row r="75585" ht="15.75" customHeight="1">
      <c r="A75585" s="7"/>
      <c r="B75585" s="7"/>
    </row>
    <row r="75586" ht="15.75" customHeight="1">
      <c r="A75586" s="7"/>
      <c r="B75586" s="7"/>
    </row>
    <row r="75587" ht="15.75" customHeight="1">
      <c r="A75587" s="7"/>
      <c r="B75587" s="7"/>
    </row>
    <row r="75588" ht="15.75" customHeight="1">
      <c r="A75588" s="7"/>
      <c r="B75588" s="7"/>
    </row>
    <row r="75589" ht="15.75" customHeight="1">
      <c r="A75589" s="7"/>
      <c r="B75589" s="7"/>
    </row>
    <row r="75590" ht="15.75" customHeight="1">
      <c r="A75590" s="7"/>
      <c r="B75590" s="7"/>
    </row>
    <row r="75591" ht="15.75" customHeight="1">
      <c r="A75591" s="7"/>
      <c r="B75591" s="7"/>
    </row>
    <row r="75592" ht="15.75" customHeight="1">
      <c r="A75592" s="7"/>
      <c r="B75592" s="7"/>
    </row>
    <row r="75593" ht="15.75" customHeight="1">
      <c r="A75593" s="7"/>
      <c r="B75593" s="7"/>
    </row>
    <row r="75594" ht="15.75" customHeight="1">
      <c r="A75594" s="7"/>
      <c r="B75594" s="7"/>
    </row>
    <row r="75595" ht="15.75" customHeight="1">
      <c r="A75595" s="7"/>
      <c r="B75595" s="7"/>
    </row>
    <row r="75596" ht="15.75" customHeight="1">
      <c r="A75596" s="7"/>
      <c r="B75596" s="7"/>
    </row>
    <row r="75597" ht="15.75" customHeight="1">
      <c r="A75597" s="7"/>
      <c r="B75597" s="7"/>
    </row>
    <row r="75598" ht="15.75" customHeight="1">
      <c r="A75598" s="7"/>
      <c r="B75598" s="7"/>
    </row>
    <row r="75599" ht="15.75" customHeight="1">
      <c r="A75599" s="7"/>
      <c r="B75599" s="7"/>
    </row>
    <row r="75600" ht="15.75" customHeight="1">
      <c r="A75600" s="7"/>
      <c r="B75600" s="7"/>
    </row>
    <row r="75601" ht="15.75" customHeight="1">
      <c r="A75601" s="7"/>
      <c r="B75601" s="7"/>
    </row>
    <row r="75602" ht="15.75" customHeight="1">
      <c r="A75602" s="7"/>
      <c r="B75602" s="7"/>
    </row>
    <row r="75603" ht="15.75" customHeight="1">
      <c r="A75603" s="7"/>
      <c r="B75603" s="7"/>
    </row>
    <row r="75604" ht="15.75" customHeight="1">
      <c r="A75604" s="7"/>
      <c r="B75604" s="7"/>
    </row>
    <row r="75605" ht="15.75" customHeight="1">
      <c r="A75605" s="7"/>
      <c r="B75605" s="7"/>
    </row>
    <row r="75606" ht="15.75" customHeight="1">
      <c r="A75606" s="7"/>
      <c r="B75606" s="7"/>
    </row>
    <row r="75607" ht="15.75" customHeight="1">
      <c r="A75607" s="7"/>
      <c r="B75607" s="7"/>
    </row>
    <row r="75608" ht="15.75" customHeight="1">
      <c r="A75608" s="7"/>
      <c r="B75608" s="7"/>
    </row>
    <row r="75609" ht="15.75" customHeight="1">
      <c r="A75609" s="7"/>
      <c r="B75609" s="7"/>
    </row>
    <row r="75610" ht="15.75" customHeight="1">
      <c r="A75610" s="7"/>
      <c r="B75610" s="7"/>
    </row>
    <row r="75611" ht="15.75" customHeight="1">
      <c r="A75611" s="7"/>
      <c r="B75611" s="7"/>
    </row>
    <row r="75612" ht="15.75" customHeight="1">
      <c r="A75612" s="7"/>
      <c r="B75612" s="7"/>
    </row>
    <row r="75613" ht="15.75" customHeight="1">
      <c r="A75613" s="7"/>
      <c r="B75613" s="7"/>
    </row>
    <row r="75614" ht="15.75" customHeight="1">
      <c r="A75614" s="7"/>
      <c r="B75614" s="7"/>
    </row>
    <row r="75615" ht="15.75" customHeight="1">
      <c r="A75615" s="7"/>
      <c r="B75615" s="7"/>
    </row>
    <row r="75616" ht="15.75" customHeight="1">
      <c r="A75616" s="7"/>
      <c r="B75616" s="7"/>
    </row>
    <row r="75617" ht="15.75" customHeight="1">
      <c r="A75617" s="7"/>
      <c r="B75617" s="7"/>
    </row>
    <row r="75618" ht="15.75" customHeight="1">
      <c r="A75618" s="7"/>
      <c r="B75618" s="7"/>
    </row>
    <row r="75619" ht="15.75" customHeight="1">
      <c r="A75619" s="7"/>
      <c r="B75619" s="7"/>
    </row>
    <row r="75620" ht="15.75" customHeight="1">
      <c r="A75620" s="7"/>
      <c r="B75620" s="7"/>
    </row>
    <row r="75621" ht="15.75" customHeight="1">
      <c r="A75621" s="7"/>
      <c r="B75621" s="7"/>
    </row>
    <row r="75622" ht="15.75" customHeight="1">
      <c r="A75622" s="7"/>
      <c r="B75622" s="7"/>
    </row>
    <row r="75623" ht="15.75" customHeight="1">
      <c r="A75623" s="7"/>
      <c r="B75623" s="7"/>
    </row>
    <row r="75624" ht="15.75" customHeight="1">
      <c r="A75624" s="7"/>
      <c r="B75624" s="7"/>
    </row>
    <row r="75625" ht="15.75" customHeight="1">
      <c r="A75625" s="7"/>
      <c r="B75625" s="7"/>
    </row>
    <row r="75626" ht="15.75" customHeight="1">
      <c r="A75626" s="7"/>
      <c r="B75626" s="7"/>
    </row>
    <row r="75627" ht="15.75" customHeight="1">
      <c r="A75627" s="7"/>
      <c r="B75627" s="7"/>
    </row>
    <row r="75628" ht="15.75" customHeight="1">
      <c r="A75628" s="7"/>
      <c r="B75628" s="7"/>
    </row>
    <row r="75629" ht="15.75" customHeight="1">
      <c r="A75629" s="7"/>
      <c r="B75629" s="7"/>
    </row>
    <row r="75630" ht="15.75" customHeight="1">
      <c r="A75630" s="7"/>
      <c r="B75630" s="7"/>
    </row>
    <row r="75631" ht="15.75" customHeight="1">
      <c r="A75631" s="7"/>
      <c r="B75631" s="7"/>
    </row>
    <row r="75632" ht="15.75" customHeight="1">
      <c r="A75632" s="7"/>
      <c r="B75632" s="7"/>
    </row>
    <row r="75633" ht="15.75" customHeight="1">
      <c r="A75633" s="7"/>
      <c r="B75633" s="7"/>
    </row>
    <row r="75634" ht="15.75" customHeight="1">
      <c r="A75634" s="7"/>
      <c r="B75634" s="7"/>
    </row>
    <row r="75635" ht="15.75" customHeight="1">
      <c r="A75635" s="7"/>
      <c r="B75635" s="7"/>
    </row>
    <row r="75636" ht="15.75" customHeight="1">
      <c r="A75636" s="7"/>
      <c r="B75636" s="7"/>
    </row>
    <row r="75637" ht="15.75" customHeight="1">
      <c r="A75637" s="7"/>
      <c r="B75637" s="7"/>
    </row>
    <row r="75638" ht="15.75" customHeight="1">
      <c r="A75638" s="7"/>
      <c r="B75638" s="7"/>
    </row>
    <row r="75639" ht="15.75" customHeight="1">
      <c r="A75639" s="7"/>
      <c r="B75639" s="7"/>
    </row>
    <row r="75640" ht="15.75" customHeight="1">
      <c r="A75640" s="7"/>
      <c r="B75640" s="7"/>
    </row>
    <row r="75641" ht="15.75" customHeight="1">
      <c r="A75641" s="7"/>
      <c r="B75641" s="7"/>
    </row>
    <row r="75642" ht="15.75" customHeight="1">
      <c r="A75642" s="7"/>
      <c r="B75642" s="7"/>
    </row>
    <row r="75643" ht="15.75" customHeight="1">
      <c r="A75643" s="7"/>
      <c r="B75643" s="7"/>
    </row>
    <row r="75644" ht="15.75" customHeight="1">
      <c r="A75644" s="7"/>
      <c r="B75644" s="7"/>
    </row>
    <row r="75645" ht="15.75" customHeight="1">
      <c r="A75645" s="7"/>
      <c r="B75645" s="7"/>
    </row>
    <row r="75646" ht="15.75" customHeight="1">
      <c r="A75646" s="7"/>
      <c r="B75646" s="7"/>
    </row>
    <row r="75647" ht="15.75" customHeight="1">
      <c r="A75647" s="7"/>
      <c r="B75647" s="7"/>
    </row>
    <row r="75648" ht="15.75" customHeight="1">
      <c r="A75648" s="7"/>
      <c r="B75648" s="7"/>
    </row>
    <row r="75649" ht="15.75" customHeight="1">
      <c r="A75649" s="7"/>
      <c r="B75649" s="7"/>
    </row>
    <row r="75650" ht="15.75" customHeight="1">
      <c r="A75650" s="7"/>
      <c r="B75650" s="7"/>
    </row>
    <row r="75651" ht="15.75" customHeight="1">
      <c r="A75651" s="7"/>
      <c r="B75651" s="7"/>
    </row>
    <row r="75652" ht="15.75" customHeight="1">
      <c r="A75652" s="7"/>
      <c r="B75652" s="7"/>
    </row>
    <row r="75653" ht="15.75" customHeight="1">
      <c r="A75653" s="7"/>
      <c r="B75653" s="7"/>
    </row>
    <row r="75654" ht="15.75" customHeight="1">
      <c r="A75654" s="7"/>
      <c r="B75654" s="7"/>
    </row>
    <row r="75655" ht="15.75" customHeight="1">
      <c r="A75655" s="7"/>
      <c r="B75655" s="7"/>
    </row>
    <row r="75656" ht="15.75" customHeight="1">
      <c r="A75656" s="7"/>
      <c r="B75656" s="7"/>
    </row>
    <row r="75657" ht="15.75" customHeight="1">
      <c r="A75657" s="7"/>
      <c r="B75657" s="7"/>
    </row>
    <row r="75658" ht="15.75" customHeight="1">
      <c r="A75658" s="7"/>
      <c r="B75658" s="7"/>
    </row>
    <row r="75659" ht="15.75" customHeight="1">
      <c r="A75659" s="7"/>
      <c r="B75659" s="7"/>
    </row>
    <row r="75660" ht="15.75" customHeight="1">
      <c r="A75660" s="7"/>
      <c r="B75660" s="7"/>
    </row>
    <row r="75661" ht="15.75" customHeight="1">
      <c r="A75661" s="7"/>
      <c r="B75661" s="7"/>
    </row>
    <row r="75662" ht="15.75" customHeight="1">
      <c r="A75662" s="7"/>
      <c r="B75662" s="7"/>
    </row>
    <row r="75663" ht="15.75" customHeight="1">
      <c r="A75663" s="7"/>
      <c r="B75663" s="7"/>
    </row>
    <row r="75664" ht="15.75" customHeight="1">
      <c r="A75664" s="7"/>
      <c r="B75664" s="7"/>
    </row>
    <row r="75665" ht="15.75" customHeight="1">
      <c r="A75665" s="7"/>
      <c r="B75665" s="7"/>
    </row>
    <row r="75666" ht="15.75" customHeight="1">
      <c r="A75666" s="7"/>
      <c r="B75666" s="7"/>
    </row>
    <row r="75667" ht="15.75" customHeight="1">
      <c r="A75667" s="7"/>
      <c r="B75667" s="7"/>
    </row>
    <row r="75668" ht="15.75" customHeight="1">
      <c r="A75668" s="7"/>
      <c r="B75668" s="7"/>
    </row>
    <row r="75669" ht="15.75" customHeight="1">
      <c r="A75669" s="7"/>
      <c r="B75669" s="7"/>
    </row>
    <row r="75670" ht="15.75" customHeight="1">
      <c r="A75670" s="7"/>
      <c r="B75670" s="7"/>
    </row>
    <row r="75671" ht="15.75" customHeight="1">
      <c r="A75671" s="7"/>
      <c r="B75671" s="7"/>
    </row>
    <row r="75672" ht="15.75" customHeight="1">
      <c r="A75672" s="7"/>
      <c r="B75672" s="7"/>
    </row>
    <row r="75673" ht="15.75" customHeight="1">
      <c r="A75673" s="7"/>
      <c r="B75673" s="7"/>
    </row>
    <row r="75674" ht="15.75" customHeight="1">
      <c r="A75674" s="7"/>
      <c r="B75674" s="7"/>
    </row>
    <row r="75675" ht="15.75" customHeight="1">
      <c r="A75675" s="7"/>
      <c r="B75675" s="7"/>
    </row>
    <row r="75676" ht="15.75" customHeight="1">
      <c r="A75676" s="7"/>
      <c r="B75676" s="7"/>
    </row>
    <row r="75677" ht="15.75" customHeight="1">
      <c r="A75677" s="7"/>
      <c r="B75677" s="7"/>
    </row>
    <row r="75678" ht="15.75" customHeight="1">
      <c r="A75678" s="7"/>
      <c r="B75678" s="7"/>
    </row>
    <row r="75679" ht="15.75" customHeight="1">
      <c r="A75679" s="7"/>
      <c r="B75679" s="7"/>
    </row>
    <row r="75680" ht="15.75" customHeight="1">
      <c r="A75680" s="7"/>
      <c r="B75680" s="7"/>
    </row>
    <row r="75681" ht="15.75" customHeight="1">
      <c r="A75681" s="7"/>
      <c r="B75681" s="7"/>
    </row>
    <row r="75682" ht="15.75" customHeight="1">
      <c r="A75682" s="7"/>
      <c r="B75682" s="7"/>
    </row>
    <row r="75683" ht="15.75" customHeight="1">
      <c r="A75683" s="7"/>
      <c r="B75683" s="7"/>
    </row>
    <row r="75684" ht="15.75" customHeight="1">
      <c r="A75684" s="7"/>
      <c r="B75684" s="7"/>
    </row>
    <row r="75685" ht="15.75" customHeight="1">
      <c r="A75685" s="7"/>
      <c r="B75685" s="7"/>
    </row>
    <row r="75686" ht="15.75" customHeight="1">
      <c r="A75686" s="7"/>
      <c r="B75686" s="7"/>
    </row>
    <row r="75687" ht="15.75" customHeight="1">
      <c r="A75687" s="7"/>
      <c r="B75687" s="7"/>
    </row>
    <row r="75688" ht="15.75" customHeight="1">
      <c r="A75688" s="7"/>
      <c r="B75688" s="7"/>
    </row>
    <row r="75689" ht="15.75" customHeight="1">
      <c r="A75689" s="7"/>
      <c r="B75689" s="7"/>
    </row>
    <row r="75690" ht="15.75" customHeight="1">
      <c r="A75690" s="7"/>
      <c r="B75690" s="7"/>
    </row>
    <row r="75691" ht="15.75" customHeight="1">
      <c r="A75691" s="7"/>
      <c r="B75691" s="7"/>
    </row>
    <row r="75692" ht="15.75" customHeight="1">
      <c r="A75692" s="7"/>
      <c r="B75692" s="7"/>
    </row>
    <row r="75693" ht="15.75" customHeight="1">
      <c r="A75693" s="7"/>
      <c r="B75693" s="7"/>
    </row>
    <row r="75694" ht="15.75" customHeight="1">
      <c r="A75694" s="7"/>
      <c r="B75694" s="7"/>
    </row>
    <row r="75695" ht="15.75" customHeight="1">
      <c r="A75695" s="7"/>
      <c r="B75695" s="7"/>
    </row>
    <row r="75696" ht="15.75" customHeight="1">
      <c r="A75696" s="7"/>
      <c r="B75696" s="7"/>
    </row>
    <row r="75697" ht="15.75" customHeight="1">
      <c r="A75697" s="7"/>
      <c r="B75697" s="7"/>
    </row>
    <row r="75698" ht="15.75" customHeight="1">
      <c r="A75698" s="7"/>
      <c r="B75698" s="7"/>
    </row>
    <row r="75699" ht="15.75" customHeight="1">
      <c r="A75699" s="7"/>
      <c r="B75699" s="7"/>
    </row>
    <row r="75700" ht="15.75" customHeight="1">
      <c r="A75700" s="7"/>
      <c r="B75700" s="7"/>
    </row>
    <row r="75701" ht="15.75" customHeight="1">
      <c r="A75701" s="7"/>
      <c r="B75701" s="7"/>
    </row>
    <row r="75702" ht="15.75" customHeight="1">
      <c r="A75702" s="7"/>
      <c r="B75702" s="7"/>
    </row>
    <row r="75703" ht="15.75" customHeight="1">
      <c r="A75703" s="7"/>
      <c r="B75703" s="7"/>
    </row>
    <row r="75704" ht="15.75" customHeight="1">
      <c r="A75704" s="7"/>
      <c r="B75704" s="7"/>
    </row>
    <row r="75705" ht="15.75" customHeight="1">
      <c r="A75705" s="7"/>
      <c r="B75705" s="7"/>
    </row>
    <row r="75706" ht="15.75" customHeight="1">
      <c r="A75706" s="7"/>
      <c r="B75706" s="7"/>
    </row>
    <row r="75707" ht="15.75" customHeight="1">
      <c r="A75707" s="7"/>
      <c r="B75707" s="7"/>
    </row>
    <row r="75708" ht="15.75" customHeight="1">
      <c r="A75708" s="7"/>
      <c r="B75708" s="7"/>
    </row>
    <row r="75709" ht="15.75" customHeight="1">
      <c r="A75709" s="7"/>
      <c r="B75709" s="7"/>
    </row>
    <row r="75710" ht="15.75" customHeight="1">
      <c r="A75710" s="7"/>
      <c r="B75710" s="7"/>
    </row>
    <row r="75711" ht="15.75" customHeight="1">
      <c r="A75711" s="7"/>
      <c r="B75711" s="7"/>
    </row>
    <row r="75712" ht="15.75" customHeight="1">
      <c r="A75712" s="7"/>
      <c r="B75712" s="7"/>
    </row>
    <row r="75713" ht="15.75" customHeight="1">
      <c r="A75713" s="7"/>
      <c r="B75713" s="7"/>
    </row>
    <row r="75714" ht="15.75" customHeight="1">
      <c r="A75714" s="7"/>
      <c r="B75714" s="7"/>
    </row>
    <row r="75715" ht="15.75" customHeight="1">
      <c r="A75715" s="7"/>
      <c r="B75715" s="7"/>
    </row>
    <row r="75716" ht="15.75" customHeight="1">
      <c r="A75716" s="7"/>
      <c r="B75716" s="7"/>
    </row>
    <row r="75717" ht="15.75" customHeight="1">
      <c r="A75717" s="7"/>
      <c r="B75717" s="7"/>
    </row>
    <row r="75718" ht="15.75" customHeight="1">
      <c r="A75718" s="7"/>
      <c r="B75718" s="7"/>
    </row>
    <row r="75719" ht="15.75" customHeight="1">
      <c r="A75719" s="7"/>
      <c r="B75719" s="7"/>
    </row>
    <row r="75720" ht="15.75" customHeight="1">
      <c r="A75720" s="7"/>
      <c r="B75720" s="7"/>
    </row>
    <row r="75721" ht="15.75" customHeight="1">
      <c r="A75721" s="7"/>
      <c r="B75721" s="7"/>
    </row>
    <row r="75722" ht="15.75" customHeight="1">
      <c r="A75722" s="7"/>
      <c r="B75722" s="7"/>
    </row>
    <row r="75723" ht="15.75" customHeight="1">
      <c r="A75723" s="7"/>
      <c r="B75723" s="7"/>
    </row>
    <row r="75724" ht="15.75" customHeight="1">
      <c r="A75724" s="7"/>
      <c r="B75724" s="7"/>
    </row>
    <row r="75725" ht="15.75" customHeight="1">
      <c r="A75725" s="7"/>
      <c r="B75725" s="7"/>
    </row>
    <row r="75726" ht="15.75" customHeight="1">
      <c r="A75726" s="7"/>
      <c r="B75726" s="7"/>
    </row>
    <row r="75727" ht="15.75" customHeight="1">
      <c r="A75727" s="7"/>
      <c r="B75727" s="7"/>
    </row>
    <row r="75728" ht="15.75" customHeight="1">
      <c r="A75728" s="7"/>
      <c r="B75728" s="7"/>
    </row>
    <row r="75729" ht="15.75" customHeight="1">
      <c r="A75729" s="7"/>
      <c r="B75729" s="7"/>
    </row>
    <row r="75730" ht="15.75" customHeight="1">
      <c r="A75730" s="7"/>
      <c r="B75730" s="7"/>
    </row>
    <row r="75731" ht="15.75" customHeight="1">
      <c r="A75731" s="7"/>
      <c r="B75731" s="7"/>
    </row>
    <row r="75732" ht="15.75" customHeight="1">
      <c r="A75732" s="7"/>
      <c r="B75732" s="7"/>
    </row>
    <row r="75733" ht="15.75" customHeight="1">
      <c r="A75733" s="7"/>
      <c r="B75733" s="7"/>
    </row>
    <row r="75734" ht="15.75" customHeight="1">
      <c r="A75734" s="7"/>
      <c r="B75734" s="7"/>
    </row>
    <row r="75735" ht="15.75" customHeight="1">
      <c r="A75735" s="7"/>
      <c r="B75735" s="7"/>
    </row>
    <row r="75736" ht="15.75" customHeight="1">
      <c r="A75736" s="7"/>
      <c r="B75736" s="7"/>
    </row>
    <row r="75737" ht="15.75" customHeight="1">
      <c r="A75737" s="7"/>
      <c r="B75737" s="7"/>
    </row>
    <row r="75738" ht="15.75" customHeight="1">
      <c r="A75738" s="7"/>
      <c r="B75738" s="7"/>
    </row>
    <row r="75739" ht="15.75" customHeight="1">
      <c r="A75739" s="7"/>
      <c r="B75739" s="7"/>
    </row>
    <row r="75740" ht="15.75" customHeight="1">
      <c r="A75740" s="7"/>
      <c r="B75740" s="7"/>
    </row>
    <row r="75741" ht="15.75" customHeight="1">
      <c r="A75741" s="7"/>
      <c r="B75741" s="7"/>
    </row>
    <row r="75742" ht="15.75" customHeight="1">
      <c r="A75742" s="7"/>
      <c r="B75742" s="7"/>
    </row>
    <row r="75743" ht="15.75" customHeight="1">
      <c r="A75743" s="7"/>
      <c r="B75743" s="7"/>
    </row>
    <row r="75744" ht="15.75" customHeight="1">
      <c r="A75744" s="7"/>
      <c r="B75744" s="7"/>
    </row>
    <row r="75745" ht="15.75" customHeight="1">
      <c r="A75745" s="7"/>
      <c r="B75745" s="7"/>
    </row>
    <row r="75746" ht="15.75" customHeight="1">
      <c r="A75746" s="7"/>
      <c r="B75746" s="7"/>
    </row>
    <row r="75747" ht="15.75" customHeight="1">
      <c r="A75747" s="7"/>
      <c r="B75747" s="7"/>
    </row>
    <row r="75748" ht="15.75" customHeight="1">
      <c r="A75748" s="7"/>
      <c r="B75748" s="7"/>
    </row>
    <row r="75749" ht="15.75" customHeight="1">
      <c r="A75749" s="7"/>
      <c r="B75749" s="7"/>
    </row>
    <row r="75750" ht="15.75" customHeight="1">
      <c r="A75750" s="7"/>
      <c r="B75750" s="7"/>
    </row>
    <row r="75751" ht="15.75" customHeight="1">
      <c r="A75751" s="7"/>
      <c r="B75751" s="7"/>
    </row>
    <row r="75752" ht="15.75" customHeight="1">
      <c r="A75752" s="7"/>
      <c r="B75752" s="7"/>
    </row>
    <row r="75753" ht="15.75" customHeight="1">
      <c r="A75753" s="7"/>
      <c r="B75753" s="7"/>
    </row>
    <row r="75754" ht="15.75" customHeight="1">
      <c r="A75754" s="7"/>
      <c r="B75754" s="7"/>
    </row>
    <row r="75755" ht="15.75" customHeight="1">
      <c r="A75755" s="7"/>
      <c r="B75755" s="7"/>
    </row>
    <row r="75756" ht="15.75" customHeight="1">
      <c r="A75756" s="7"/>
      <c r="B75756" s="7"/>
    </row>
    <row r="75757" ht="15.75" customHeight="1">
      <c r="A75757" s="7"/>
      <c r="B75757" s="7"/>
    </row>
    <row r="75758" ht="15.75" customHeight="1">
      <c r="A75758" s="7"/>
      <c r="B75758" s="7"/>
    </row>
    <row r="75759" ht="15.75" customHeight="1">
      <c r="A75759" s="7"/>
      <c r="B75759" s="7"/>
    </row>
    <row r="75760" ht="15.75" customHeight="1">
      <c r="A75760" s="7"/>
      <c r="B75760" s="7"/>
    </row>
    <row r="75761" ht="15.75" customHeight="1">
      <c r="A75761" s="7"/>
      <c r="B75761" s="7"/>
    </row>
    <row r="75762" ht="15.75" customHeight="1">
      <c r="A75762" s="7"/>
      <c r="B75762" s="7"/>
    </row>
    <row r="75763" ht="15.75" customHeight="1">
      <c r="A75763" s="7"/>
      <c r="B75763" s="7"/>
    </row>
    <row r="75764" ht="15.75" customHeight="1">
      <c r="A75764" s="7"/>
      <c r="B75764" s="7"/>
    </row>
    <row r="75765" ht="15.75" customHeight="1">
      <c r="A75765" s="7"/>
      <c r="B75765" s="7"/>
    </row>
    <row r="75766" ht="15.75" customHeight="1">
      <c r="A75766" s="7"/>
      <c r="B75766" s="7"/>
    </row>
    <row r="75767" ht="15.75" customHeight="1">
      <c r="A75767" s="7"/>
      <c r="B75767" s="7"/>
    </row>
    <row r="75768" ht="15.75" customHeight="1">
      <c r="A75768" s="7"/>
      <c r="B75768" s="7"/>
    </row>
    <row r="75769" ht="15.75" customHeight="1">
      <c r="A75769" s="7"/>
      <c r="B75769" s="7"/>
    </row>
    <row r="75770" ht="15.75" customHeight="1">
      <c r="A75770" s="7"/>
      <c r="B75770" s="7"/>
    </row>
    <row r="75771" ht="15.75" customHeight="1">
      <c r="A75771" s="7"/>
      <c r="B75771" s="7"/>
    </row>
    <row r="75772" ht="15.75" customHeight="1">
      <c r="A75772" s="7"/>
      <c r="B75772" s="7"/>
    </row>
    <row r="75773" ht="15.75" customHeight="1">
      <c r="A75773" s="7"/>
      <c r="B75773" s="7"/>
    </row>
    <row r="75774" ht="15.75" customHeight="1">
      <c r="A75774" s="7"/>
      <c r="B75774" s="7"/>
    </row>
    <row r="75775" ht="15.75" customHeight="1">
      <c r="A75775" s="7"/>
      <c r="B75775" s="7"/>
    </row>
    <row r="75776" ht="15.75" customHeight="1">
      <c r="A75776" s="7"/>
      <c r="B75776" s="7"/>
    </row>
    <row r="75777" ht="15.75" customHeight="1">
      <c r="A75777" s="7"/>
      <c r="B75777" s="7"/>
    </row>
    <row r="75778" ht="15.75" customHeight="1">
      <c r="A75778" s="7"/>
      <c r="B75778" s="7"/>
    </row>
    <row r="75779" ht="15.75" customHeight="1">
      <c r="A75779" s="7"/>
      <c r="B75779" s="7"/>
    </row>
    <row r="75780" ht="15.75" customHeight="1">
      <c r="A75780" s="7"/>
      <c r="B75780" s="7"/>
    </row>
    <row r="75781" ht="15.75" customHeight="1">
      <c r="A75781" s="7"/>
      <c r="B75781" s="7"/>
    </row>
    <row r="75782" ht="15.75" customHeight="1">
      <c r="A75782" s="7"/>
      <c r="B75782" s="7"/>
    </row>
    <row r="75783" ht="15.75" customHeight="1">
      <c r="A75783" s="7"/>
      <c r="B75783" s="7"/>
    </row>
    <row r="75784" ht="15.75" customHeight="1">
      <c r="A75784" s="7"/>
      <c r="B75784" s="7"/>
    </row>
    <row r="75785" ht="15.75" customHeight="1">
      <c r="A75785" s="7"/>
      <c r="B75785" s="7"/>
    </row>
    <row r="75786" ht="15.75" customHeight="1">
      <c r="A75786" s="7"/>
      <c r="B75786" s="7"/>
    </row>
    <row r="75787" ht="15.75" customHeight="1">
      <c r="A75787" s="7"/>
      <c r="B75787" s="7"/>
    </row>
    <row r="75788" ht="15.75" customHeight="1">
      <c r="A75788" s="7"/>
      <c r="B75788" s="7"/>
    </row>
    <row r="75789" ht="15.75" customHeight="1">
      <c r="A75789" s="7"/>
      <c r="B75789" s="7"/>
    </row>
    <row r="75790" ht="15.75" customHeight="1">
      <c r="A75790" s="7"/>
      <c r="B75790" s="7"/>
    </row>
    <row r="75791" ht="15.75" customHeight="1">
      <c r="A75791" s="7"/>
      <c r="B75791" s="7"/>
    </row>
    <row r="75792" ht="15.75" customHeight="1">
      <c r="A75792" s="7"/>
      <c r="B75792" s="7"/>
    </row>
    <row r="75793" ht="15.75" customHeight="1">
      <c r="A75793" s="7"/>
      <c r="B75793" s="7"/>
    </row>
    <row r="75794" ht="15.75" customHeight="1">
      <c r="A75794" s="7"/>
      <c r="B75794" s="7"/>
    </row>
    <row r="75795" ht="15.75" customHeight="1">
      <c r="A75795" s="7"/>
      <c r="B75795" s="7"/>
    </row>
    <row r="75796" ht="15.75" customHeight="1">
      <c r="A75796" s="7"/>
      <c r="B75796" s="7"/>
    </row>
    <row r="75797" ht="15.75" customHeight="1">
      <c r="A75797" s="7"/>
      <c r="B75797" s="7"/>
    </row>
    <row r="75798" ht="15.75" customHeight="1">
      <c r="A75798" s="7"/>
      <c r="B75798" s="7"/>
    </row>
    <row r="75799" ht="15.75" customHeight="1">
      <c r="A75799" s="7"/>
      <c r="B75799" s="7"/>
    </row>
    <row r="75800" ht="15.75" customHeight="1">
      <c r="A75800" s="7"/>
      <c r="B75800" s="7"/>
    </row>
    <row r="75801" ht="15.75" customHeight="1">
      <c r="A75801" s="7"/>
      <c r="B75801" s="7"/>
    </row>
    <row r="75802" ht="15.75" customHeight="1">
      <c r="A75802" s="7"/>
      <c r="B75802" s="7"/>
    </row>
    <row r="75803" ht="15.75" customHeight="1">
      <c r="A75803" s="7"/>
      <c r="B75803" s="7"/>
    </row>
    <row r="75804" ht="15.75" customHeight="1">
      <c r="A75804" s="7"/>
      <c r="B75804" s="7"/>
    </row>
    <row r="75805" ht="15.75" customHeight="1">
      <c r="A75805" s="7"/>
      <c r="B75805" s="7"/>
    </row>
    <row r="75806" ht="15.75" customHeight="1">
      <c r="A75806" s="7"/>
      <c r="B75806" s="7"/>
    </row>
    <row r="75807" ht="15.75" customHeight="1">
      <c r="A75807" s="7"/>
      <c r="B75807" s="7"/>
    </row>
    <row r="75808" ht="15.75" customHeight="1">
      <c r="A75808" s="7"/>
      <c r="B75808" s="7"/>
    </row>
    <row r="75809" ht="15.75" customHeight="1">
      <c r="A75809" s="7"/>
      <c r="B75809" s="7"/>
    </row>
    <row r="75810" ht="15.75" customHeight="1">
      <c r="A75810" s="7"/>
      <c r="B75810" s="7"/>
    </row>
    <row r="75811" ht="15.75" customHeight="1">
      <c r="A75811" s="7"/>
      <c r="B75811" s="7"/>
    </row>
    <row r="75812" ht="15.75" customHeight="1">
      <c r="A75812" s="7"/>
      <c r="B75812" s="7"/>
    </row>
    <row r="75813" ht="15.75" customHeight="1">
      <c r="A75813" s="7"/>
      <c r="B75813" s="7"/>
    </row>
    <row r="75814" ht="15.75" customHeight="1">
      <c r="A75814" s="7"/>
      <c r="B75814" s="7"/>
    </row>
    <row r="75815" ht="15.75" customHeight="1">
      <c r="A75815" s="7"/>
      <c r="B75815" s="7"/>
    </row>
    <row r="75816" ht="15.75" customHeight="1">
      <c r="A75816" s="7"/>
      <c r="B75816" s="7"/>
    </row>
    <row r="75817" ht="15.75" customHeight="1">
      <c r="A75817" s="7"/>
      <c r="B75817" s="7"/>
    </row>
    <row r="75818" ht="15.75" customHeight="1">
      <c r="A75818" s="7"/>
      <c r="B75818" s="7"/>
    </row>
    <row r="75819" ht="15.75" customHeight="1">
      <c r="A75819" s="7"/>
      <c r="B75819" s="7"/>
    </row>
    <row r="75820" ht="15.75" customHeight="1">
      <c r="A75820" s="7"/>
      <c r="B75820" s="7"/>
    </row>
    <row r="75821" ht="15.75" customHeight="1">
      <c r="A75821" s="7"/>
      <c r="B75821" s="7"/>
    </row>
    <row r="75822" ht="15.75" customHeight="1">
      <c r="A75822" s="7"/>
      <c r="B75822" s="7"/>
    </row>
    <row r="75823" ht="15.75" customHeight="1">
      <c r="A75823" s="7"/>
      <c r="B75823" s="7"/>
    </row>
    <row r="75824" ht="15.75" customHeight="1">
      <c r="A75824" s="7"/>
      <c r="B75824" s="7"/>
    </row>
    <row r="75825" ht="15.75" customHeight="1">
      <c r="A75825" s="7"/>
      <c r="B75825" s="7"/>
    </row>
    <row r="75826" ht="15.75" customHeight="1">
      <c r="A75826" s="7"/>
      <c r="B75826" s="7"/>
    </row>
    <row r="75827" ht="15.75" customHeight="1">
      <c r="A75827" s="7"/>
      <c r="B75827" s="7"/>
    </row>
    <row r="75828" ht="15.75" customHeight="1">
      <c r="A75828" s="7"/>
      <c r="B75828" s="7"/>
    </row>
    <row r="75829" ht="15.75" customHeight="1">
      <c r="A75829" s="7"/>
      <c r="B75829" s="7"/>
    </row>
    <row r="75830" ht="15.75" customHeight="1">
      <c r="A75830" s="7"/>
      <c r="B75830" s="7"/>
    </row>
    <row r="75831" ht="15.75" customHeight="1">
      <c r="A75831" s="7"/>
      <c r="B75831" s="7"/>
    </row>
    <row r="75832" ht="15.75" customHeight="1">
      <c r="A75832" s="7"/>
      <c r="B75832" s="7"/>
    </row>
    <row r="75833" ht="15.75" customHeight="1">
      <c r="A75833" s="7"/>
      <c r="B75833" s="7"/>
    </row>
    <row r="75834" ht="15.75" customHeight="1">
      <c r="A75834" s="7"/>
      <c r="B75834" s="7"/>
    </row>
    <row r="75835" ht="15.75" customHeight="1">
      <c r="A75835" s="7"/>
      <c r="B75835" s="7"/>
    </row>
    <row r="75836" ht="15.75" customHeight="1">
      <c r="A75836" s="7"/>
      <c r="B75836" s="7"/>
    </row>
    <row r="75837" ht="15.75" customHeight="1">
      <c r="A75837" s="7"/>
      <c r="B75837" s="7"/>
    </row>
    <row r="75838" ht="15.75" customHeight="1">
      <c r="A75838" s="7"/>
      <c r="B75838" s="7"/>
    </row>
    <row r="75839" ht="15.75" customHeight="1">
      <c r="A75839" s="7"/>
      <c r="B75839" s="7"/>
    </row>
    <row r="75840" ht="15.75" customHeight="1">
      <c r="A75840" s="7"/>
      <c r="B75840" s="7"/>
    </row>
    <row r="75841" ht="15.75" customHeight="1">
      <c r="A75841" s="7"/>
      <c r="B75841" s="7"/>
    </row>
    <row r="75842" ht="15.75" customHeight="1">
      <c r="A75842" s="7"/>
      <c r="B75842" s="7"/>
    </row>
    <row r="75843" ht="15.75" customHeight="1">
      <c r="A75843" s="7"/>
      <c r="B75843" s="7"/>
    </row>
    <row r="75844" ht="15.75" customHeight="1">
      <c r="A75844" s="7"/>
      <c r="B75844" s="7"/>
    </row>
    <row r="75845" ht="15.75" customHeight="1">
      <c r="A75845" s="7"/>
      <c r="B75845" s="7"/>
    </row>
    <row r="75846" ht="15.75" customHeight="1">
      <c r="A75846" s="7"/>
      <c r="B75846" s="7"/>
    </row>
    <row r="75847" ht="15.75" customHeight="1">
      <c r="A75847" s="7"/>
      <c r="B75847" s="7"/>
    </row>
    <row r="75848" ht="15.75" customHeight="1">
      <c r="A75848" s="7"/>
      <c r="B75848" s="7"/>
    </row>
    <row r="75849" ht="15.75" customHeight="1">
      <c r="A75849" s="7"/>
      <c r="B75849" s="7"/>
    </row>
    <row r="75850" ht="15.75" customHeight="1">
      <c r="A75850" s="7"/>
      <c r="B75850" s="7"/>
    </row>
    <row r="75851" ht="15.75" customHeight="1">
      <c r="A75851" s="7"/>
      <c r="B75851" s="7"/>
    </row>
    <row r="75852" ht="15.75" customHeight="1">
      <c r="A75852" s="7"/>
      <c r="B75852" s="7"/>
    </row>
    <row r="75853" ht="15.75" customHeight="1">
      <c r="A75853" s="7"/>
      <c r="B75853" s="7"/>
    </row>
    <row r="75854" ht="15.75" customHeight="1">
      <c r="A75854" s="7"/>
      <c r="B75854" s="7"/>
    </row>
    <row r="75855" ht="15.75" customHeight="1">
      <c r="A75855" s="7"/>
      <c r="B75855" s="7"/>
    </row>
    <row r="75856" ht="15.75" customHeight="1">
      <c r="A75856" s="7"/>
      <c r="B75856" s="7"/>
    </row>
    <row r="75857" ht="15.75" customHeight="1">
      <c r="A75857" s="7"/>
      <c r="B75857" s="7"/>
    </row>
    <row r="75858" ht="15.75" customHeight="1">
      <c r="A75858" s="7"/>
      <c r="B75858" s="7"/>
    </row>
    <row r="75859" ht="15.75" customHeight="1">
      <c r="A75859" s="7"/>
      <c r="B75859" s="7"/>
    </row>
    <row r="75860" ht="15.75" customHeight="1">
      <c r="A75860" s="7"/>
      <c r="B75860" s="7"/>
    </row>
    <row r="75861" ht="15.75" customHeight="1">
      <c r="A75861" s="7"/>
      <c r="B75861" s="7"/>
    </row>
    <row r="75862" ht="15.75" customHeight="1">
      <c r="A75862" s="7"/>
      <c r="B75862" s="7"/>
    </row>
    <row r="75863" ht="15.75" customHeight="1">
      <c r="A75863" s="7"/>
      <c r="B75863" s="7"/>
    </row>
    <row r="75864" ht="15.75" customHeight="1">
      <c r="A75864" s="7"/>
      <c r="B75864" s="7"/>
    </row>
    <row r="75865" ht="15.75" customHeight="1">
      <c r="A75865" s="7"/>
      <c r="B75865" s="7"/>
    </row>
    <row r="75866" ht="15.75" customHeight="1">
      <c r="A75866" s="7"/>
      <c r="B75866" s="7"/>
    </row>
    <row r="75867" ht="15.75" customHeight="1">
      <c r="A75867" s="7"/>
      <c r="B75867" s="7"/>
    </row>
    <row r="75868" ht="15.75" customHeight="1">
      <c r="A75868" s="7"/>
      <c r="B75868" s="7"/>
    </row>
    <row r="75869" ht="15.75" customHeight="1">
      <c r="A75869" s="7"/>
      <c r="B75869" s="7"/>
    </row>
    <row r="75870" ht="15.75" customHeight="1">
      <c r="A75870" s="7"/>
      <c r="B75870" s="7"/>
    </row>
    <row r="75871" ht="15.75" customHeight="1">
      <c r="A75871" s="7"/>
      <c r="B75871" s="7"/>
    </row>
    <row r="75872" ht="15.75" customHeight="1">
      <c r="A75872" s="7"/>
      <c r="B75872" s="7"/>
    </row>
    <row r="75873" ht="15.75" customHeight="1">
      <c r="A75873" s="7"/>
      <c r="B75873" s="7"/>
    </row>
    <row r="75874" ht="15.75" customHeight="1">
      <c r="A75874" s="7"/>
      <c r="B75874" s="7"/>
    </row>
    <row r="75875" ht="15.75" customHeight="1">
      <c r="A75875" s="7"/>
      <c r="B75875" s="7"/>
    </row>
    <row r="75876" ht="15.75" customHeight="1">
      <c r="A75876" s="7"/>
      <c r="B75876" s="7"/>
    </row>
    <row r="75877" ht="15.75" customHeight="1">
      <c r="A75877" s="7"/>
      <c r="B75877" s="7"/>
    </row>
    <row r="75878" ht="15.75" customHeight="1">
      <c r="A75878" s="7"/>
      <c r="B75878" s="7"/>
    </row>
    <row r="75879" ht="15.75" customHeight="1">
      <c r="A75879" s="7"/>
      <c r="B75879" s="7"/>
    </row>
    <row r="75880" ht="15.75" customHeight="1">
      <c r="A75880" s="7"/>
      <c r="B75880" s="7"/>
    </row>
    <row r="75881" ht="15.75" customHeight="1">
      <c r="A75881" s="7"/>
      <c r="B75881" s="7"/>
    </row>
    <row r="75882" ht="15.75" customHeight="1">
      <c r="A75882" s="7"/>
      <c r="B75882" s="7"/>
    </row>
    <row r="75883" ht="15.75" customHeight="1">
      <c r="A75883" s="7"/>
      <c r="B75883" s="7"/>
    </row>
    <row r="75884" ht="15.75" customHeight="1">
      <c r="A75884" s="7"/>
      <c r="B75884" s="7"/>
    </row>
    <row r="75885" ht="15.75" customHeight="1">
      <c r="A75885" s="7"/>
      <c r="B75885" s="7"/>
    </row>
    <row r="75886" ht="15.75" customHeight="1">
      <c r="A75886" s="7"/>
      <c r="B75886" s="7"/>
    </row>
    <row r="75887" ht="15.75" customHeight="1">
      <c r="A75887" s="7"/>
      <c r="B75887" s="7"/>
    </row>
    <row r="75888" ht="15.75" customHeight="1">
      <c r="A75888" s="7"/>
      <c r="B75888" s="7"/>
    </row>
    <row r="75889" ht="15.75" customHeight="1">
      <c r="A75889" s="7"/>
      <c r="B75889" s="7"/>
    </row>
    <row r="75890" ht="15.75" customHeight="1">
      <c r="A75890" s="7"/>
      <c r="B75890" s="7"/>
    </row>
    <row r="75891" ht="15.75" customHeight="1">
      <c r="A75891" s="7"/>
      <c r="B75891" s="7"/>
    </row>
    <row r="75892" ht="15.75" customHeight="1">
      <c r="A75892" s="7"/>
      <c r="B75892" s="7"/>
    </row>
    <row r="75893" ht="15.75" customHeight="1">
      <c r="A75893" s="7"/>
      <c r="B75893" s="7"/>
    </row>
    <row r="75894" ht="15.75" customHeight="1">
      <c r="A75894" s="7"/>
      <c r="B75894" s="7"/>
    </row>
    <row r="75895" ht="15.75" customHeight="1">
      <c r="A75895" s="7"/>
      <c r="B75895" s="7"/>
    </row>
    <row r="75896" ht="15.75" customHeight="1">
      <c r="A75896" s="7"/>
      <c r="B75896" s="7"/>
    </row>
    <row r="75897" ht="15.75" customHeight="1">
      <c r="A75897" s="7"/>
      <c r="B75897" s="7"/>
    </row>
    <row r="75898" ht="15.75" customHeight="1">
      <c r="A75898" s="7"/>
      <c r="B75898" s="7"/>
    </row>
    <row r="75899" ht="15.75" customHeight="1">
      <c r="A75899" s="7"/>
      <c r="B75899" s="7"/>
    </row>
    <row r="75900" ht="15.75" customHeight="1">
      <c r="A75900" s="7"/>
      <c r="B75900" s="7"/>
    </row>
    <row r="75901" ht="15.75" customHeight="1">
      <c r="A75901" s="7"/>
      <c r="B75901" s="7"/>
    </row>
    <row r="75902" ht="15.75" customHeight="1">
      <c r="A75902" s="7"/>
      <c r="B75902" s="7"/>
    </row>
    <row r="75903" ht="15.75" customHeight="1">
      <c r="A75903" s="7"/>
      <c r="B75903" s="7"/>
    </row>
    <row r="75904" ht="15.75" customHeight="1">
      <c r="A75904" s="7"/>
      <c r="B75904" s="7"/>
    </row>
    <row r="75905" ht="15.75" customHeight="1">
      <c r="A75905" s="7"/>
      <c r="B75905" s="7"/>
    </row>
    <row r="75906" ht="15.75" customHeight="1">
      <c r="A75906" s="7"/>
      <c r="B75906" s="7"/>
    </row>
    <row r="75907" ht="15.75" customHeight="1">
      <c r="A75907" s="7"/>
      <c r="B75907" s="7"/>
    </row>
    <row r="75908" ht="15.75" customHeight="1">
      <c r="A75908" s="7"/>
      <c r="B75908" s="7"/>
    </row>
    <row r="75909" ht="15.75" customHeight="1">
      <c r="A75909" s="7"/>
      <c r="B75909" s="7"/>
    </row>
    <row r="75910" ht="15.75" customHeight="1">
      <c r="A75910" s="7"/>
      <c r="B75910" s="7"/>
    </row>
    <row r="75911" ht="15.75" customHeight="1">
      <c r="A75911" s="7"/>
      <c r="B75911" s="7"/>
    </row>
    <row r="75912" ht="15.75" customHeight="1">
      <c r="A75912" s="7"/>
      <c r="B75912" s="7"/>
    </row>
    <row r="75913" ht="15.75" customHeight="1">
      <c r="A75913" s="7"/>
      <c r="B75913" s="7"/>
    </row>
    <row r="75914" ht="15.75" customHeight="1">
      <c r="A75914" s="7"/>
      <c r="B75914" s="7"/>
    </row>
    <row r="75915" ht="15.75" customHeight="1">
      <c r="A75915" s="7"/>
      <c r="B75915" s="7"/>
    </row>
    <row r="75916" ht="15.75" customHeight="1">
      <c r="A75916" s="7"/>
      <c r="B75916" s="7"/>
    </row>
    <row r="75917" ht="15.75" customHeight="1">
      <c r="A75917" s="7"/>
      <c r="B75917" s="7"/>
    </row>
    <row r="75918" ht="15.75" customHeight="1">
      <c r="A75918" s="7"/>
      <c r="B75918" s="7"/>
    </row>
    <row r="75919" ht="15.75" customHeight="1">
      <c r="A75919" s="7"/>
      <c r="B75919" s="7"/>
    </row>
    <row r="75920" ht="15.75" customHeight="1">
      <c r="A75920" s="7"/>
      <c r="B75920" s="7"/>
    </row>
    <row r="75921" ht="15.75" customHeight="1">
      <c r="A75921" s="7"/>
      <c r="B75921" s="7"/>
    </row>
    <row r="75922" ht="15.75" customHeight="1">
      <c r="A75922" s="7"/>
      <c r="B75922" s="7"/>
    </row>
    <row r="75923" ht="15.75" customHeight="1">
      <c r="A75923" s="7"/>
      <c r="B75923" s="7"/>
    </row>
    <row r="75924" ht="15.75" customHeight="1">
      <c r="A75924" s="7"/>
      <c r="B75924" s="7"/>
    </row>
    <row r="75925" ht="15.75" customHeight="1">
      <c r="A75925" s="7"/>
      <c r="B75925" s="7"/>
    </row>
    <row r="75926" ht="15.75" customHeight="1">
      <c r="A75926" s="7"/>
      <c r="B75926" s="7"/>
    </row>
    <row r="75927" ht="15.75" customHeight="1">
      <c r="A75927" s="7"/>
      <c r="B75927" s="7"/>
    </row>
    <row r="75928" ht="15.75" customHeight="1">
      <c r="A75928" s="7"/>
      <c r="B75928" s="7"/>
    </row>
    <row r="75929" ht="15.75" customHeight="1">
      <c r="A75929" s="7"/>
      <c r="B75929" s="7"/>
    </row>
    <row r="75930" ht="15.75" customHeight="1">
      <c r="A75930" s="7"/>
      <c r="B75930" s="7"/>
    </row>
    <row r="75931" ht="15.75" customHeight="1">
      <c r="A75931" s="7"/>
      <c r="B75931" s="7"/>
    </row>
    <row r="75932" ht="15.75" customHeight="1">
      <c r="A75932" s="7"/>
      <c r="B75932" s="7"/>
    </row>
    <row r="75933" ht="15.75" customHeight="1">
      <c r="A75933" s="7"/>
      <c r="B75933" s="7"/>
    </row>
    <row r="75934" ht="15.75" customHeight="1">
      <c r="A75934" s="7"/>
      <c r="B75934" s="7"/>
    </row>
    <row r="75935" ht="15.75" customHeight="1">
      <c r="A75935" s="7"/>
      <c r="B75935" s="7"/>
    </row>
    <row r="75936" ht="15.75" customHeight="1">
      <c r="A75936" s="7"/>
      <c r="B75936" s="7"/>
    </row>
    <row r="75937" ht="15.75" customHeight="1">
      <c r="A75937" s="7"/>
      <c r="B75937" s="7"/>
    </row>
    <row r="75938" ht="15.75" customHeight="1">
      <c r="A75938" s="7"/>
      <c r="B75938" s="7"/>
    </row>
    <row r="75939" ht="15.75" customHeight="1">
      <c r="A75939" s="7"/>
      <c r="B75939" s="7"/>
    </row>
    <row r="75940" ht="15.75" customHeight="1">
      <c r="A75940" s="7"/>
      <c r="B75940" s="7"/>
    </row>
    <row r="75941" ht="15.75" customHeight="1">
      <c r="A75941" s="7"/>
      <c r="B75941" s="7"/>
    </row>
    <row r="75942" ht="15.75" customHeight="1">
      <c r="A75942" s="7"/>
      <c r="B75942" s="7"/>
    </row>
    <row r="75943" ht="15.75" customHeight="1">
      <c r="A75943" s="7"/>
      <c r="B75943" s="7"/>
    </row>
    <row r="75944" ht="15.75" customHeight="1">
      <c r="A75944" s="7"/>
      <c r="B75944" s="7"/>
    </row>
    <row r="75945" ht="15.75" customHeight="1">
      <c r="A75945" s="7"/>
      <c r="B75945" s="7"/>
    </row>
    <row r="75946" ht="15.75" customHeight="1">
      <c r="A75946" s="7"/>
      <c r="B75946" s="7"/>
    </row>
    <row r="75947" ht="15.75" customHeight="1">
      <c r="A75947" s="7"/>
      <c r="B75947" s="7"/>
    </row>
    <row r="75948" ht="15.75" customHeight="1">
      <c r="A75948" s="7"/>
      <c r="B75948" s="7"/>
    </row>
    <row r="75949" ht="15.75" customHeight="1">
      <c r="A75949" s="7"/>
      <c r="B75949" s="7"/>
    </row>
    <row r="75950" ht="15.75" customHeight="1">
      <c r="A75950" s="7"/>
      <c r="B75950" s="7"/>
    </row>
    <row r="75951" ht="15.75" customHeight="1">
      <c r="A75951" s="7"/>
      <c r="B75951" s="7"/>
    </row>
    <row r="75952" ht="15.75" customHeight="1">
      <c r="A75952" s="7"/>
      <c r="B75952" s="7"/>
    </row>
    <row r="75953" ht="15.75" customHeight="1">
      <c r="A75953" s="7"/>
      <c r="B75953" s="7"/>
    </row>
    <row r="75954" ht="15.75" customHeight="1">
      <c r="A75954" s="7"/>
      <c r="B75954" s="7"/>
    </row>
    <row r="75955" ht="15.75" customHeight="1">
      <c r="A75955" s="7"/>
      <c r="B75955" s="7"/>
    </row>
    <row r="75956" ht="15.75" customHeight="1">
      <c r="A75956" s="7"/>
      <c r="B75956" s="7"/>
    </row>
    <row r="75957" ht="15.75" customHeight="1">
      <c r="A75957" s="7"/>
      <c r="B75957" s="7"/>
    </row>
    <row r="75958" ht="15.75" customHeight="1">
      <c r="A75958" s="7"/>
      <c r="B75958" s="7"/>
    </row>
    <row r="75959" ht="15.75" customHeight="1">
      <c r="A75959" s="7"/>
      <c r="B75959" s="7"/>
    </row>
    <row r="75960" ht="15.75" customHeight="1">
      <c r="A75960" s="7"/>
      <c r="B75960" s="7"/>
    </row>
    <row r="75961" ht="15.75" customHeight="1">
      <c r="A75961" s="7"/>
      <c r="B75961" s="7"/>
    </row>
    <row r="75962" ht="15.75" customHeight="1">
      <c r="A75962" s="7"/>
      <c r="B75962" s="7"/>
    </row>
    <row r="75963" ht="15.75" customHeight="1">
      <c r="A75963" s="7"/>
      <c r="B75963" s="7"/>
    </row>
    <row r="75964" ht="15.75" customHeight="1">
      <c r="A75964" s="7"/>
      <c r="B75964" s="7"/>
    </row>
    <row r="75965" ht="15.75" customHeight="1">
      <c r="A75965" s="7"/>
      <c r="B75965" s="7"/>
    </row>
    <row r="75966" ht="15.75" customHeight="1">
      <c r="A75966" s="7"/>
      <c r="B75966" s="7"/>
    </row>
    <row r="75967" ht="15.75" customHeight="1">
      <c r="A75967" s="7"/>
      <c r="B75967" s="7"/>
    </row>
    <row r="75968" ht="15.75" customHeight="1">
      <c r="A75968" s="7"/>
      <c r="B75968" s="7"/>
    </row>
    <row r="75969" ht="15.75" customHeight="1">
      <c r="A75969" s="7"/>
      <c r="B75969" s="7"/>
    </row>
    <row r="75970" ht="15.75" customHeight="1">
      <c r="A75970" s="7"/>
      <c r="B75970" s="7"/>
    </row>
    <row r="75971" ht="15.75" customHeight="1">
      <c r="A75971" s="7"/>
      <c r="B75971" s="7"/>
    </row>
    <row r="75972" ht="15.75" customHeight="1">
      <c r="A75972" s="7"/>
      <c r="B75972" s="7"/>
    </row>
    <row r="75973" ht="15.75" customHeight="1">
      <c r="A75973" s="7"/>
      <c r="B75973" s="7"/>
    </row>
    <row r="75974" ht="15.75" customHeight="1">
      <c r="A75974" s="7"/>
      <c r="B75974" s="7"/>
    </row>
    <row r="75975" ht="15.75" customHeight="1">
      <c r="A75975" s="7"/>
      <c r="B75975" s="7"/>
    </row>
    <row r="75976" ht="15.75" customHeight="1">
      <c r="A75976" s="7"/>
      <c r="B75976" s="7"/>
    </row>
    <row r="75977" ht="15.75" customHeight="1">
      <c r="A75977" s="7"/>
      <c r="B75977" s="7"/>
    </row>
    <row r="75978" ht="15.75" customHeight="1">
      <c r="A75978" s="7"/>
      <c r="B75978" s="7"/>
    </row>
    <row r="75979" ht="15.75" customHeight="1">
      <c r="A75979" s="7"/>
      <c r="B75979" s="7"/>
    </row>
    <row r="75980" ht="15.75" customHeight="1">
      <c r="A75980" s="7"/>
      <c r="B75980" s="7"/>
    </row>
    <row r="75981" ht="15.75" customHeight="1">
      <c r="A75981" s="7"/>
      <c r="B75981" s="7"/>
    </row>
    <row r="75982" ht="15.75" customHeight="1">
      <c r="A75982" s="7"/>
      <c r="B75982" s="7"/>
    </row>
    <row r="75983" ht="15.75" customHeight="1">
      <c r="A75983" s="7"/>
      <c r="B75983" s="7"/>
    </row>
    <row r="75984" ht="15.75" customHeight="1">
      <c r="A75984" s="7"/>
      <c r="B75984" s="7"/>
    </row>
    <row r="75985" ht="15.75" customHeight="1">
      <c r="A75985" s="7"/>
      <c r="B75985" s="7"/>
    </row>
    <row r="75986" ht="15.75" customHeight="1">
      <c r="A75986" s="7"/>
      <c r="B75986" s="7"/>
    </row>
    <row r="75987" ht="15.75" customHeight="1">
      <c r="A75987" s="7"/>
      <c r="B75987" s="7"/>
    </row>
    <row r="75988" ht="15.75" customHeight="1">
      <c r="A75988" s="7"/>
      <c r="B75988" s="7"/>
    </row>
    <row r="75989" ht="15.75" customHeight="1">
      <c r="A75989" s="7"/>
      <c r="B75989" s="7"/>
    </row>
    <row r="75990" ht="15.75" customHeight="1">
      <c r="A75990" s="7"/>
      <c r="B75990" s="7"/>
    </row>
    <row r="75991" ht="15.75" customHeight="1">
      <c r="A75991" s="7"/>
      <c r="B75991" s="7"/>
    </row>
    <row r="75992" ht="15.75" customHeight="1">
      <c r="A75992" s="7"/>
      <c r="B75992" s="7"/>
    </row>
    <row r="75993" ht="15.75" customHeight="1">
      <c r="A75993" s="7"/>
      <c r="B75993" s="7"/>
    </row>
    <row r="75994" ht="15.75" customHeight="1">
      <c r="A75994" s="7"/>
      <c r="B75994" s="7"/>
    </row>
    <row r="75995" ht="15.75" customHeight="1">
      <c r="A75995" s="7"/>
      <c r="B75995" s="7"/>
    </row>
    <row r="75996" ht="15.75" customHeight="1">
      <c r="A75996" s="7"/>
      <c r="B75996" s="7"/>
    </row>
    <row r="75997" ht="15.75" customHeight="1">
      <c r="A75997" s="7"/>
      <c r="B75997" s="7"/>
    </row>
    <row r="75998" ht="15.75" customHeight="1">
      <c r="A75998" s="7"/>
      <c r="B75998" s="7"/>
    </row>
    <row r="75999" ht="15.75" customHeight="1">
      <c r="A75999" s="7"/>
      <c r="B75999" s="7"/>
    </row>
    <row r="76000" ht="15.75" customHeight="1">
      <c r="A76000" s="7"/>
      <c r="B76000" s="7"/>
    </row>
    <row r="76001" ht="15.75" customHeight="1">
      <c r="A76001" s="7"/>
      <c r="B76001" s="7"/>
    </row>
    <row r="76002" ht="15.75" customHeight="1">
      <c r="A76002" s="7"/>
      <c r="B76002" s="7"/>
    </row>
    <row r="76003" ht="15.75" customHeight="1">
      <c r="A76003" s="7"/>
      <c r="B76003" s="7"/>
    </row>
    <row r="76004" ht="15.75" customHeight="1">
      <c r="A76004" s="7"/>
      <c r="B76004" s="7"/>
    </row>
    <row r="76005" ht="15.75" customHeight="1">
      <c r="A76005" s="7"/>
      <c r="B76005" s="7"/>
    </row>
    <row r="76006" ht="15.75" customHeight="1">
      <c r="A76006" s="7"/>
      <c r="B76006" s="7"/>
    </row>
    <row r="76007" ht="15.75" customHeight="1">
      <c r="A76007" s="7"/>
      <c r="B76007" s="7"/>
    </row>
    <row r="76008" ht="15.75" customHeight="1">
      <c r="A76008" s="7"/>
      <c r="B76008" s="7"/>
    </row>
    <row r="76009" ht="15.75" customHeight="1">
      <c r="A76009" s="7"/>
      <c r="B76009" s="7"/>
    </row>
    <row r="76010" ht="15.75" customHeight="1">
      <c r="A76010" s="7"/>
      <c r="B76010" s="7"/>
    </row>
    <row r="76011" ht="15.75" customHeight="1">
      <c r="A76011" s="7"/>
      <c r="B76011" s="7"/>
    </row>
    <row r="76012" ht="15.75" customHeight="1">
      <c r="A76012" s="7"/>
      <c r="B76012" s="7"/>
    </row>
    <row r="76013" ht="15.75" customHeight="1">
      <c r="A76013" s="7"/>
      <c r="B76013" s="7"/>
    </row>
    <row r="76014" ht="15.75" customHeight="1">
      <c r="A76014" s="7"/>
      <c r="B76014" s="7"/>
    </row>
    <row r="76015" ht="15.75" customHeight="1">
      <c r="A76015" s="7"/>
      <c r="B76015" s="7"/>
    </row>
    <row r="76016" ht="15.75" customHeight="1">
      <c r="A76016" s="7"/>
      <c r="B76016" s="7"/>
    </row>
    <row r="76017" ht="15.75" customHeight="1">
      <c r="A76017" s="7"/>
      <c r="B76017" s="7"/>
    </row>
    <row r="76018" ht="15.75" customHeight="1">
      <c r="A76018" s="7"/>
      <c r="B76018" s="7"/>
    </row>
    <row r="76019" ht="15.75" customHeight="1">
      <c r="A76019" s="7"/>
      <c r="B76019" s="7"/>
    </row>
    <row r="76020" ht="15.75" customHeight="1">
      <c r="A76020" s="7"/>
      <c r="B76020" s="7"/>
    </row>
    <row r="76021" ht="15.75" customHeight="1">
      <c r="A76021" s="7"/>
      <c r="B76021" s="7"/>
    </row>
    <row r="76022" ht="15.75" customHeight="1">
      <c r="A76022" s="7"/>
      <c r="B76022" s="7"/>
    </row>
    <row r="76023" ht="15.75" customHeight="1">
      <c r="A76023" s="7"/>
      <c r="B76023" s="7"/>
    </row>
    <row r="76024" ht="15.75" customHeight="1">
      <c r="A76024" s="7"/>
      <c r="B76024" s="7"/>
    </row>
    <row r="76025" ht="15.75" customHeight="1">
      <c r="A76025" s="7"/>
      <c r="B76025" s="7"/>
    </row>
    <row r="76026" ht="15.75" customHeight="1">
      <c r="A76026" s="7"/>
      <c r="B76026" s="7"/>
    </row>
    <row r="76027" ht="15.75" customHeight="1">
      <c r="A76027" s="7"/>
      <c r="B76027" s="7"/>
    </row>
    <row r="76028" ht="15.75" customHeight="1">
      <c r="A76028" s="7"/>
      <c r="B76028" s="7"/>
    </row>
    <row r="76029" ht="15.75" customHeight="1">
      <c r="A76029" s="7"/>
      <c r="B76029" s="7"/>
    </row>
    <row r="76030" ht="15.75" customHeight="1">
      <c r="A76030" s="7"/>
      <c r="B76030" s="7"/>
    </row>
    <row r="76031" ht="15.75" customHeight="1">
      <c r="A76031" s="7"/>
      <c r="B76031" s="7"/>
    </row>
    <row r="76032" ht="15.75" customHeight="1">
      <c r="A76032" s="7"/>
      <c r="B76032" s="7"/>
    </row>
    <row r="76033" ht="15.75" customHeight="1">
      <c r="A76033" s="7"/>
      <c r="B76033" s="7"/>
    </row>
    <row r="76034" ht="15.75" customHeight="1">
      <c r="A76034" s="7"/>
      <c r="B76034" s="7"/>
    </row>
    <row r="76035" ht="15.75" customHeight="1">
      <c r="A76035" s="7"/>
      <c r="B76035" s="7"/>
    </row>
    <row r="76036" ht="15.75" customHeight="1">
      <c r="A76036" s="7"/>
      <c r="B76036" s="7"/>
    </row>
    <row r="76037" ht="15.75" customHeight="1">
      <c r="A76037" s="7"/>
      <c r="B76037" s="7"/>
    </row>
    <row r="76038" ht="15.75" customHeight="1">
      <c r="A76038" s="7"/>
      <c r="B76038" s="7"/>
    </row>
    <row r="76039" ht="15.75" customHeight="1">
      <c r="A76039" s="7"/>
      <c r="B76039" s="7"/>
    </row>
    <row r="76040" ht="15.75" customHeight="1">
      <c r="A76040" s="7"/>
      <c r="B76040" s="7"/>
    </row>
    <row r="76041" ht="15.75" customHeight="1">
      <c r="A76041" s="7"/>
      <c r="B76041" s="7"/>
    </row>
    <row r="76042" ht="15.75" customHeight="1">
      <c r="A76042" s="7"/>
      <c r="B76042" s="7"/>
    </row>
    <row r="76043" ht="15.75" customHeight="1">
      <c r="A76043" s="7"/>
      <c r="B76043" s="7"/>
    </row>
    <row r="76044" ht="15.75" customHeight="1">
      <c r="A76044" s="7"/>
      <c r="B76044" s="7"/>
    </row>
    <row r="76045" ht="15.75" customHeight="1">
      <c r="A76045" s="7"/>
      <c r="B76045" s="7"/>
    </row>
    <row r="76046" ht="15.75" customHeight="1">
      <c r="A76046" s="7"/>
      <c r="B76046" s="7"/>
    </row>
    <row r="76047" ht="15.75" customHeight="1">
      <c r="A76047" s="7"/>
      <c r="B76047" s="7"/>
    </row>
    <row r="76048" ht="15.75" customHeight="1">
      <c r="A76048" s="7"/>
      <c r="B76048" s="7"/>
    </row>
    <row r="76049" ht="15.75" customHeight="1">
      <c r="A76049" s="7"/>
      <c r="B76049" s="7"/>
    </row>
    <row r="76050" ht="15.75" customHeight="1">
      <c r="A76050" s="7"/>
      <c r="B76050" s="7"/>
    </row>
    <row r="76051" ht="15.75" customHeight="1">
      <c r="A76051" s="7"/>
      <c r="B76051" s="7"/>
    </row>
    <row r="76052" ht="15.75" customHeight="1">
      <c r="A76052" s="7"/>
      <c r="B76052" s="7"/>
    </row>
    <row r="76053" ht="15.75" customHeight="1">
      <c r="A76053" s="7"/>
      <c r="B76053" s="7"/>
    </row>
    <row r="76054" ht="15.75" customHeight="1">
      <c r="A76054" s="7"/>
      <c r="B76054" s="7"/>
    </row>
    <row r="76055" ht="15.75" customHeight="1">
      <c r="A76055" s="7"/>
      <c r="B76055" s="7"/>
    </row>
    <row r="76056" ht="15.75" customHeight="1">
      <c r="A76056" s="7"/>
      <c r="B76056" s="7"/>
    </row>
    <row r="76057" ht="15.75" customHeight="1">
      <c r="A76057" s="7"/>
      <c r="B76057" s="7"/>
    </row>
    <row r="76058" ht="15.75" customHeight="1">
      <c r="A76058" s="7"/>
      <c r="B76058" s="7"/>
    </row>
    <row r="76059" ht="15.75" customHeight="1">
      <c r="A76059" s="7"/>
      <c r="B76059" s="7"/>
    </row>
    <row r="76060" ht="15.75" customHeight="1">
      <c r="A76060" s="7"/>
      <c r="B76060" s="7"/>
    </row>
    <row r="76061" ht="15.75" customHeight="1">
      <c r="A76061" s="7"/>
      <c r="B76061" s="7"/>
    </row>
    <row r="76062" ht="15.75" customHeight="1">
      <c r="A76062" s="7"/>
      <c r="B76062" s="7"/>
    </row>
    <row r="76063" ht="15.75" customHeight="1">
      <c r="A76063" s="7"/>
      <c r="B76063" s="7"/>
    </row>
    <row r="76064" ht="15.75" customHeight="1">
      <c r="A76064" s="7"/>
      <c r="B76064" s="7"/>
    </row>
    <row r="76065" ht="15.75" customHeight="1">
      <c r="A76065" s="7"/>
      <c r="B76065" s="7"/>
    </row>
    <row r="76066" ht="15.75" customHeight="1">
      <c r="A76066" s="7"/>
      <c r="B76066" s="7"/>
    </row>
    <row r="76067" ht="15.75" customHeight="1">
      <c r="A76067" s="7"/>
      <c r="B76067" s="7"/>
    </row>
    <row r="76068" ht="15.75" customHeight="1">
      <c r="A76068" s="7"/>
      <c r="B76068" s="7"/>
    </row>
    <row r="76069" ht="15.75" customHeight="1">
      <c r="A76069" s="7"/>
      <c r="B76069" s="7"/>
    </row>
    <row r="76070" ht="15.75" customHeight="1">
      <c r="A76070" s="7"/>
      <c r="B76070" s="7"/>
    </row>
    <row r="76071" ht="15.75" customHeight="1">
      <c r="A76071" s="7"/>
      <c r="B76071" s="7"/>
    </row>
    <row r="76072" ht="15.75" customHeight="1">
      <c r="A76072" s="7"/>
      <c r="B76072" s="7"/>
    </row>
    <row r="76073" ht="15.75" customHeight="1">
      <c r="A76073" s="7"/>
      <c r="B76073" s="7"/>
    </row>
    <row r="76074" ht="15.75" customHeight="1">
      <c r="A76074" s="7"/>
      <c r="B76074" s="7"/>
    </row>
    <row r="76075" ht="15.75" customHeight="1">
      <c r="A76075" s="7"/>
      <c r="B76075" s="7"/>
    </row>
    <row r="76076" ht="15.75" customHeight="1">
      <c r="A76076" s="7"/>
      <c r="B76076" s="7"/>
    </row>
    <row r="76077" ht="15.75" customHeight="1">
      <c r="A76077" s="7"/>
      <c r="B76077" s="7"/>
    </row>
    <row r="76078" ht="15.75" customHeight="1">
      <c r="A76078" s="7"/>
      <c r="B76078" s="7"/>
    </row>
    <row r="76079" ht="15.75" customHeight="1">
      <c r="A76079" s="7"/>
      <c r="B76079" s="7"/>
    </row>
    <row r="76080" ht="15.75" customHeight="1">
      <c r="A76080" s="7"/>
      <c r="B76080" s="7"/>
    </row>
    <row r="76081" ht="15.75" customHeight="1">
      <c r="A76081" s="7"/>
      <c r="B76081" s="7"/>
    </row>
    <row r="76082" ht="15.75" customHeight="1">
      <c r="A76082" s="7"/>
      <c r="B76082" s="7"/>
    </row>
    <row r="76083" ht="15.75" customHeight="1">
      <c r="A76083" s="7"/>
      <c r="B76083" s="7"/>
    </row>
    <row r="76084" ht="15.75" customHeight="1">
      <c r="A76084" s="7"/>
      <c r="B76084" s="7"/>
    </row>
    <row r="76085" ht="15.75" customHeight="1">
      <c r="A76085" s="7"/>
      <c r="B76085" s="7"/>
    </row>
    <row r="76086" ht="15.75" customHeight="1">
      <c r="A76086" s="7"/>
      <c r="B76086" s="7"/>
    </row>
    <row r="76087" ht="15.75" customHeight="1">
      <c r="A76087" s="7"/>
      <c r="B76087" s="7"/>
    </row>
    <row r="76088" ht="15.75" customHeight="1">
      <c r="A76088" s="7"/>
      <c r="B76088" s="7"/>
    </row>
    <row r="76089" ht="15.75" customHeight="1">
      <c r="A76089" s="7"/>
      <c r="B76089" s="7"/>
    </row>
    <row r="76090" ht="15.75" customHeight="1">
      <c r="A76090" s="7"/>
      <c r="B76090" s="7"/>
    </row>
    <row r="76091" ht="15.75" customHeight="1">
      <c r="A76091" s="7"/>
      <c r="B76091" s="7"/>
    </row>
    <row r="76092" ht="15.75" customHeight="1">
      <c r="A76092" s="7"/>
      <c r="B76092" s="7"/>
    </row>
    <row r="76093" ht="15.75" customHeight="1">
      <c r="A76093" s="7"/>
      <c r="B76093" s="7"/>
    </row>
    <row r="76094" ht="15.75" customHeight="1">
      <c r="A76094" s="7"/>
      <c r="B76094" s="7"/>
    </row>
    <row r="76095" ht="15.75" customHeight="1">
      <c r="A76095" s="7"/>
      <c r="B76095" s="7"/>
    </row>
    <row r="76096" ht="15.75" customHeight="1">
      <c r="A76096" s="7"/>
      <c r="B76096" s="7"/>
    </row>
    <row r="76097" ht="15.75" customHeight="1">
      <c r="A76097" s="7"/>
      <c r="B76097" s="7"/>
    </row>
    <row r="76098" ht="15.75" customHeight="1">
      <c r="A76098" s="7"/>
      <c r="B76098" s="7"/>
    </row>
    <row r="76099" ht="15.75" customHeight="1">
      <c r="A76099" s="7"/>
      <c r="B76099" s="7"/>
    </row>
    <row r="76100" ht="15.75" customHeight="1">
      <c r="A76100" s="7"/>
      <c r="B76100" s="7"/>
    </row>
    <row r="76101" ht="15.75" customHeight="1">
      <c r="A76101" s="7"/>
      <c r="B76101" s="7"/>
    </row>
    <row r="76102" ht="15.75" customHeight="1">
      <c r="A76102" s="7"/>
      <c r="B76102" s="7"/>
    </row>
    <row r="76103" ht="15.75" customHeight="1">
      <c r="A76103" s="7"/>
      <c r="B76103" s="7"/>
    </row>
    <row r="76104" ht="15.75" customHeight="1">
      <c r="A76104" s="7"/>
      <c r="B76104" s="7"/>
    </row>
    <row r="76105" ht="15.75" customHeight="1">
      <c r="A76105" s="7"/>
      <c r="B76105" s="7"/>
    </row>
    <row r="76106" ht="15.75" customHeight="1">
      <c r="A76106" s="7"/>
      <c r="B76106" s="7"/>
    </row>
    <row r="76107" ht="15.75" customHeight="1">
      <c r="A76107" s="7"/>
      <c r="B76107" s="7"/>
    </row>
    <row r="76108" ht="15.75" customHeight="1">
      <c r="A76108" s="7"/>
      <c r="B76108" s="7"/>
    </row>
    <row r="76109" ht="15.75" customHeight="1">
      <c r="A76109" s="7"/>
      <c r="B76109" s="7"/>
    </row>
    <row r="76110" ht="15.75" customHeight="1">
      <c r="A76110" s="7"/>
      <c r="B76110" s="7"/>
    </row>
    <row r="76111" ht="15.75" customHeight="1">
      <c r="A76111" s="7"/>
      <c r="B76111" s="7"/>
    </row>
    <row r="76112" ht="15.75" customHeight="1">
      <c r="A76112" s="7"/>
      <c r="B76112" s="7"/>
    </row>
    <row r="76113" ht="15.75" customHeight="1">
      <c r="A76113" s="7"/>
      <c r="B76113" s="7"/>
    </row>
    <row r="76114" ht="15.75" customHeight="1">
      <c r="A76114" s="7"/>
      <c r="B76114" s="7"/>
    </row>
    <row r="76115" ht="15.75" customHeight="1">
      <c r="A76115" s="7"/>
      <c r="B76115" s="7"/>
    </row>
    <row r="76116" ht="15.75" customHeight="1">
      <c r="A76116" s="7"/>
      <c r="B76116" s="7"/>
    </row>
    <row r="76117" ht="15.75" customHeight="1">
      <c r="A76117" s="7"/>
      <c r="B76117" s="7"/>
    </row>
    <row r="76118" ht="15.75" customHeight="1">
      <c r="A76118" s="7"/>
      <c r="B76118" s="7"/>
    </row>
    <row r="76119" ht="15.75" customHeight="1">
      <c r="A76119" s="7"/>
      <c r="B76119" s="7"/>
    </row>
    <row r="76120" ht="15.75" customHeight="1">
      <c r="A76120" s="7"/>
      <c r="B76120" s="7"/>
    </row>
    <row r="76121" ht="15.75" customHeight="1">
      <c r="A76121" s="7"/>
      <c r="B76121" s="7"/>
    </row>
    <row r="76122" ht="15.75" customHeight="1">
      <c r="A76122" s="7"/>
      <c r="B76122" s="7"/>
    </row>
    <row r="76123" ht="15.75" customHeight="1">
      <c r="A76123" s="7"/>
      <c r="B76123" s="7"/>
    </row>
    <row r="76124" ht="15.75" customHeight="1">
      <c r="A76124" s="7"/>
      <c r="B76124" s="7"/>
    </row>
    <row r="76125" ht="15.75" customHeight="1">
      <c r="A76125" s="7"/>
      <c r="B76125" s="7"/>
    </row>
    <row r="76126" ht="15.75" customHeight="1">
      <c r="A76126" s="7"/>
      <c r="B76126" s="7"/>
    </row>
    <row r="76127" ht="15.75" customHeight="1">
      <c r="A76127" s="7"/>
      <c r="B76127" s="7"/>
    </row>
    <row r="76128" ht="15.75" customHeight="1">
      <c r="A76128" s="7"/>
      <c r="B76128" s="7"/>
    </row>
    <row r="76129" ht="15.75" customHeight="1">
      <c r="A76129" s="7"/>
      <c r="B76129" s="7"/>
    </row>
    <row r="76130" ht="15.75" customHeight="1">
      <c r="A76130" s="7"/>
      <c r="B76130" s="7"/>
    </row>
    <row r="76131" ht="15.75" customHeight="1">
      <c r="A76131" s="7"/>
      <c r="B76131" s="7"/>
    </row>
    <row r="76132" ht="15.75" customHeight="1">
      <c r="A76132" s="7"/>
      <c r="B76132" s="7"/>
    </row>
    <row r="76133" ht="15.75" customHeight="1">
      <c r="A76133" s="7"/>
      <c r="B76133" s="7"/>
    </row>
    <row r="76134" ht="15.75" customHeight="1">
      <c r="A76134" s="7"/>
      <c r="B76134" s="7"/>
    </row>
    <row r="76135" ht="15.75" customHeight="1">
      <c r="A76135" s="7"/>
      <c r="B76135" s="7"/>
    </row>
    <row r="76136" ht="15.75" customHeight="1">
      <c r="A76136" s="7"/>
      <c r="B76136" s="7"/>
    </row>
    <row r="76137" ht="15.75" customHeight="1">
      <c r="A76137" s="7"/>
      <c r="B76137" s="7"/>
    </row>
    <row r="76138" ht="15.75" customHeight="1">
      <c r="A76138" s="7"/>
      <c r="B76138" s="7"/>
    </row>
    <row r="76139" ht="15.75" customHeight="1">
      <c r="A76139" s="7"/>
      <c r="B76139" s="7"/>
    </row>
    <row r="76140" ht="15.75" customHeight="1">
      <c r="A76140" s="7"/>
      <c r="B76140" s="7"/>
    </row>
    <row r="76141" ht="15.75" customHeight="1">
      <c r="A76141" s="7"/>
      <c r="B76141" s="7"/>
    </row>
    <row r="76142" ht="15.75" customHeight="1">
      <c r="A76142" s="7"/>
      <c r="B76142" s="7"/>
    </row>
    <row r="76143" ht="15.75" customHeight="1">
      <c r="A76143" s="7"/>
      <c r="B76143" s="7"/>
    </row>
    <row r="76144" ht="15.75" customHeight="1">
      <c r="A76144" s="7"/>
      <c r="B76144" s="7"/>
    </row>
    <row r="76145" ht="15.75" customHeight="1">
      <c r="A76145" s="7"/>
      <c r="B76145" s="7"/>
    </row>
    <row r="76146" ht="15.75" customHeight="1">
      <c r="A76146" s="7"/>
      <c r="B76146" s="7"/>
    </row>
    <row r="76147" ht="15.75" customHeight="1">
      <c r="A76147" s="7"/>
      <c r="B76147" s="7"/>
    </row>
    <row r="76148" ht="15.75" customHeight="1">
      <c r="A76148" s="7"/>
      <c r="B76148" s="7"/>
    </row>
    <row r="76149" ht="15.75" customHeight="1">
      <c r="A76149" s="7"/>
      <c r="B76149" s="7"/>
    </row>
    <row r="76150" ht="15.75" customHeight="1">
      <c r="A76150" s="7"/>
      <c r="B76150" s="7"/>
    </row>
    <row r="76151" ht="15.75" customHeight="1">
      <c r="A76151" s="7"/>
      <c r="B76151" s="7"/>
    </row>
    <row r="76152" ht="15.75" customHeight="1">
      <c r="A76152" s="7"/>
      <c r="B76152" s="7"/>
    </row>
    <row r="76153" ht="15.75" customHeight="1">
      <c r="A76153" s="7"/>
      <c r="B76153" s="7"/>
    </row>
    <row r="76154" ht="15.75" customHeight="1">
      <c r="A76154" s="7"/>
      <c r="B76154" s="7"/>
    </row>
    <row r="76155" ht="15.75" customHeight="1">
      <c r="A76155" s="7"/>
      <c r="B76155" s="7"/>
    </row>
    <row r="76156" ht="15.75" customHeight="1">
      <c r="A76156" s="7"/>
      <c r="B76156" s="7"/>
    </row>
    <row r="76157" ht="15.75" customHeight="1">
      <c r="A76157" s="7"/>
      <c r="B76157" s="7"/>
    </row>
    <row r="76158" ht="15.75" customHeight="1">
      <c r="A76158" s="7"/>
      <c r="B76158" s="7"/>
    </row>
    <row r="76159" ht="15.75" customHeight="1">
      <c r="A76159" s="7"/>
      <c r="B76159" s="7"/>
    </row>
    <row r="76160" ht="15.75" customHeight="1">
      <c r="A76160" s="7"/>
      <c r="B76160" s="7"/>
    </row>
    <row r="76161" ht="15.75" customHeight="1">
      <c r="A76161" s="7"/>
      <c r="B76161" s="7"/>
    </row>
    <row r="76162" ht="15.75" customHeight="1">
      <c r="A76162" s="7"/>
      <c r="B76162" s="7"/>
    </row>
    <row r="76163" ht="15.75" customHeight="1">
      <c r="A76163" s="7"/>
      <c r="B76163" s="7"/>
    </row>
    <row r="76164" ht="15.75" customHeight="1">
      <c r="A76164" s="7"/>
      <c r="B76164" s="7"/>
    </row>
    <row r="76165" ht="15.75" customHeight="1">
      <c r="A76165" s="7"/>
      <c r="B76165" s="7"/>
    </row>
    <row r="76166" ht="15.75" customHeight="1">
      <c r="A76166" s="7"/>
      <c r="B76166" s="7"/>
    </row>
    <row r="76167" ht="15.75" customHeight="1">
      <c r="A76167" s="7"/>
      <c r="B76167" s="7"/>
    </row>
    <row r="76168" ht="15.75" customHeight="1">
      <c r="A76168" s="7"/>
      <c r="B76168" s="7"/>
    </row>
    <row r="76169" ht="15.75" customHeight="1">
      <c r="A76169" s="7"/>
      <c r="B76169" s="7"/>
    </row>
    <row r="76170" ht="15.75" customHeight="1">
      <c r="A76170" s="7"/>
      <c r="B76170" s="7"/>
    </row>
    <row r="76171" ht="15.75" customHeight="1">
      <c r="A76171" s="7"/>
      <c r="B76171" s="7"/>
    </row>
    <row r="76172" ht="15.75" customHeight="1">
      <c r="A76172" s="7"/>
      <c r="B76172" s="7"/>
    </row>
    <row r="76173" ht="15.75" customHeight="1">
      <c r="A76173" s="7"/>
      <c r="B76173" s="7"/>
    </row>
    <row r="76174" ht="15.75" customHeight="1">
      <c r="A76174" s="7"/>
      <c r="B76174" s="7"/>
    </row>
    <row r="76175" ht="15.75" customHeight="1">
      <c r="A76175" s="7"/>
      <c r="B76175" s="7"/>
    </row>
    <row r="76176" ht="15.75" customHeight="1">
      <c r="A76176" s="7"/>
      <c r="B76176" s="7"/>
    </row>
    <row r="76177" ht="15.75" customHeight="1">
      <c r="A76177" s="7"/>
      <c r="B76177" s="7"/>
    </row>
    <row r="76178" ht="15.75" customHeight="1">
      <c r="A76178" s="7"/>
      <c r="B76178" s="7"/>
    </row>
    <row r="76179" ht="15.75" customHeight="1">
      <c r="A76179" s="7"/>
      <c r="B76179" s="7"/>
    </row>
    <row r="76180" ht="15.75" customHeight="1">
      <c r="A76180" s="7"/>
      <c r="B76180" s="7"/>
    </row>
    <row r="76181" ht="15.75" customHeight="1">
      <c r="A76181" s="7"/>
      <c r="B76181" s="7"/>
    </row>
    <row r="76182" ht="15.75" customHeight="1">
      <c r="A76182" s="7"/>
      <c r="B76182" s="7"/>
    </row>
    <row r="76183" ht="15.75" customHeight="1">
      <c r="A76183" s="7"/>
      <c r="B76183" s="7"/>
    </row>
    <row r="76184" ht="15.75" customHeight="1">
      <c r="A76184" s="7"/>
      <c r="B76184" s="7"/>
    </row>
    <row r="76185" ht="15.75" customHeight="1">
      <c r="A76185" s="7"/>
      <c r="B76185" s="7"/>
    </row>
    <row r="76186" ht="15.75" customHeight="1">
      <c r="A76186" s="7"/>
      <c r="B76186" s="7"/>
    </row>
    <row r="76187" ht="15.75" customHeight="1">
      <c r="A76187" s="7"/>
      <c r="B76187" s="7"/>
    </row>
    <row r="76188" ht="15.75" customHeight="1">
      <c r="A76188" s="7"/>
      <c r="B76188" s="7"/>
    </row>
    <row r="76189" ht="15.75" customHeight="1">
      <c r="A76189" s="7"/>
      <c r="B76189" s="7"/>
    </row>
    <row r="76190" ht="15.75" customHeight="1">
      <c r="A76190" s="7"/>
      <c r="B76190" s="7"/>
    </row>
    <row r="76191" ht="15.75" customHeight="1">
      <c r="A76191" s="7"/>
      <c r="B76191" s="7"/>
    </row>
    <row r="76192" ht="15.75" customHeight="1">
      <c r="A76192" s="7"/>
      <c r="B76192" s="7"/>
    </row>
    <row r="76193" ht="15.75" customHeight="1">
      <c r="A76193" s="7"/>
      <c r="B76193" s="7"/>
    </row>
    <row r="76194" ht="15.75" customHeight="1">
      <c r="A76194" s="7"/>
      <c r="B76194" s="7"/>
    </row>
    <row r="76195" ht="15.75" customHeight="1">
      <c r="A76195" s="7"/>
      <c r="B76195" s="7"/>
    </row>
    <row r="76196" ht="15.75" customHeight="1">
      <c r="A76196" s="7"/>
      <c r="B76196" s="7"/>
    </row>
    <row r="76197" ht="15.75" customHeight="1">
      <c r="A76197" s="7"/>
      <c r="B76197" s="7"/>
    </row>
    <row r="76198" ht="15.75" customHeight="1">
      <c r="A76198" s="7"/>
      <c r="B76198" s="7"/>
    </row>
    <row r="76199" ht="15.75" customHeight="1">
      <c r="A76199" s="7"/>
      <c r="B76199" s="7"/>
    </row>
    <row r="76200" ht="15.75" customHeight="1">
      <c r="A76200" s="7"/>
      <c r="B76200" s="7"/>
    </row>
    <row r="76201" ht="15.75" customHeight="1">
      <c r="A76201" s="7"/>
      <c r="B76201" s="7"/>
    </row>
    <row r="76202" ht="15.75" customHeight="1">
      <c r="A76202" s="7"/>
      <c r="B76202" s="7"/>
    </row>
    <row r="76203" ht="15.75" customHeight="1">
      <c r="A76203" s="7"/>
      <c r="B76203" s="7"/>
    </row>
    <row r="76204" ht="15.75" customHeight="1">
      <c r="A76204" s="7"/>
      <c r="B76204" s="7"/>
    </row>
    <row r="76205" ht="15.75" customHeight="1">
      <c r="A76205" s="7"/>
      <c r="B76205" s="7"/>
    </row>
    <row r="76206" ht="15.75" customHeight="1">
      <c r="A76206" s="7"/>
      <c r="B76206" s="7"/>
    </row>
    <row r="76207" ht="15.75" customHeight="1">
      <c r="A76207" s="7"/>
      <c r="B76207" s="7"/>
    </row>
    <row r="76208" ht="15.75" customHeight="1">
      <c r="A76208" s="7"/>
      <c r="B76208" s="7"/>
    </row>
    <row r="76209" ht="15.75" customHeight="1">
      <c r="A76209" s="7"/>
      <c r="B76209" s="7"/>
    </row>
    <row r="76210" ht="15.75" customHeight="1">
      <c r="A76210" s="7"/>
      <c r="B76210" s="7"/>
    </row>
    <row r="76211" ht="15.75" customHeight="1">
      <c r="A76211" s="7"/>
      <c r="B76211" s="7"/>
    </row>
    <row r="76212" ht="15.75" customHeight="1">
      <c r="A76212" s="7"/>
      <c r="B76212" s="7"/>
    </row>
    <row r="76213" ht="15.75" customHeight="1">
      <c r="A76213" s="7"/>
      <c r="B76213" s="7"/>
    </row>
    <row r="76214" ht="15.75" customHeight="1">
      <c r="A76214" s="7"/>
      <c r="B76214" s="7"/>
    </row>
    <row r="76215" ht="15.75" customHeight="1">
      <c r="A76215" s="7"/>
      <c r="B76215" s="7"/>
    </row>
    <row r="76216" ht="15.75" customHeight="1">
      <c r="A76216" s="7"/>
      <c r="B76216" s="7"/>
    </row>
    <row r="76217" ht="15.75" customHeight="1">
      <c r="A76217" s="7"/>
      <c r="B76217" s="7"/>
    </row>
    <row r="76218" ht="15.75" customHeight="1">
      <c r="A76218" s="7"/>
      <c r="B76218" s="7"/>
    </row>
    <row r="76219" ht="15.75" customHeight="1">
      <c r="A76219" s="7"/>
      <c r="B76219" s="7"/>
    </row>
    <row r="76220" ht="15.75" customHeight="1">
      <c r="A76220" s="7"/>
      <c r="B76220" s="7"/>
    </row>
    <row r="76221" ht="15.75" customHeight="1">
      <c r="A76221" s="7"/>
      <c r="B76221" s="7"/>
    </row>
    <row r="76222" ht="15.75" customHeight="1">
      <c r="A76222" s="7"/>
      <c r="B76222" s="7"/>
    </row>
    <row r="76223" ht="15.75" customHeight="1">
      <c r="A76223" s="7"/>
      <c r="B76223" s="7"/>
    </row>
    <row r="76224" ht="15.75" customHeight="1">
      <c r="A76224" s="7"/>
      <c r="B76224" s="7"/>
    </row>
    <row r="76225" ht="15.75" customHeight="1">
      <c r="A76225" s="7"/>
      <c r="B76225" s="7"/>
    </row>
    <row r="76226" ht="15.75" customHeight="1">
      <c r="A76226" s="7"/>
      <c r="B76226" s="7"/>
    </row>
    <row r="76227" ht="15.75" customHeight="1">
      <c r="A76227" s="7"/>
      <c r="B76227" s="7"/>
    </row>
    <row r="76228" ht="15.75" customHeight="1">
      <c r="A76228" s="7"/>
      <c r="B76228" s="7"/>
    </row>
    <row r="76229" ht="15.75" customHeight="1">
      <c r="A76229" s="7"/>
      <c r="B76229" s="7"/>
    </row>
    <row r="76230" ht="15.75" customHeight="1">
      <c r="A76230" s="7"/>
      <c r="B76230" s="7"/>
    </row>
    <row r="76231" ht="15.75" customHeight="1">
      <c r="A76231" s="7"/>
      <c r="B76231" s="7"/>
    </row>
    <row r="76232" ht="15.75" customHeight="1">
      <c r="A76232" s="7"/>
      <c r="B76232" s="7"/>
    </row>
    <row r="76233" ht="15.75" customHeight="1">
      <c r="A76233" s="7"/>
      <c r="B76233" s="7"/>
    </row>
    <row r="76234" ht="15.75" customHeight="1">
      <c r="A76234" s="7"/>
      <c r="B76234" s="7"/>
    </row>
    <row r="76235" ht="15.75" customHeight="1">
      <c r="A76235" s="7"/>
      <c r="B76235" s="7"/>
    </row>
    <row r="76236" ht="15.75" customHeight="1">
      <c r="A76236" s="7"/>
      <c r="B76236" s="7"/>
    </row>
    <row r="76237" ht="15.75" customHeight="1">
      <c r="A76237" s="7"/>
      <c r="B76237" s="7"/>
    </row>
    <row r="76238" ht="15.75" customHeight="1">
      <c r="A76238" s="7"/>
      <c r="B76238" s="7"/>
    </row>
    <row r="76239" ht="15.75" customHeight="1">
      <c r="A76239" s="7"/>
      <c r="B76239" s="7"/>
    </row>
    <row r="76240" ht="15.75" customHeight="1">
      <c r="A76240" s="7"/>
      <c r="B76240" s="7"/>
    </row>
    <row r="76241" ht="15.75" customHeight="1">
      <c r="A76241" s="7"/>
      <c r="B76241" s="7"/>
    </row>
    <row r="76242" ht="15.75" customHeight="1">
      <c r="A76242" s="7"/>
      <c r="B76242" s="7"/>
    </row>
    <row r="76243" ht="15.75" customHeight="1">
      <c r="A76243" s="7"/>
      <c r="B76243" s="7"/>
    </row>
    <row r="76244" ht="15.75" customHeight="1">
      <c r="A76244" s="7"/>
      <c r="B76244" s="7"/>
    </row>
    <row r="76245" ht="15.75" customHeight="1">
      <c r="A76245" s="7"/>
      <c r="B76245" s="7"/>
    </row>
    <row r="76246" ht="15.75" customHeight="1">
      <c r="A76246" s="7"/>
      <c r="B76246" s="7"/>
    </row>
    <row r="76247" ht="15.75" customHeight="1">
      <c r="A76247" s="7"/>
      <c r="B76247" s="7"/>
    </row>
    <row r="76248" ht="15.75" customHeight="1">
      <c r="A76248" s="7"/>
      <c r="B76248" s="7"/>
    </row>
    <row r="76249" ht="15.75" customHeight="1">
      <c r="A76249" s="7"/>
      <c r="B76249" s="7"/>
    </row>
    <row r="76250" ht="15.75" customHeight="1">
      <c r="A76250" s="7"/>
      <c r="B76250" s="7"/>
    </row>
    <row r="76251" ht="15.75" customHeight="1">
      <c r="A76251" s="7"/>
      <c r="B76251" s="7"/>
    </row>
    <row r="76252" ht="15.75" customHeight="1">
      <c r="A76252" s="7"/>
      <c r="B76252" s="7"/>
    </row>
    <row r="76253" ht="15.75" customHeight="1">
      <c r="A76253" s="7"/>
      <c r="B76253" s="7"/>
    </row>
    <row r="76254" ht="15.75" customHeight="1">
      <c r="A76254" s="7"/>
      <c r="B76254" s="7"/>
    </row>
    <row r="76255" ht="15.75" customHeight="1">
      <c r="A76255" s="7"/>
      <c r="B76255" s="7"/>
    </row>
    <row r="76256" ht="15.75" customHeight="1">
      <c r="A76256" s="7"/>
      <c r="B76256" s="7"/>
    </row>
    <row r="76257" ht="15.75" customHeight="1">
      <c r="A76257" s="7"/>
      <c r="B76257" s="7"/>
    </row>
    <row r="76258" ht="15.75" customHeight="1">
      <c r="A76258" s="7"/>
      <c r="B76258" s="7"/>
    </row>
    <row r="76259" ht="15.75" customHeight="1">
      <c r="A76259" s="7"/>
      <c r="B76259" s="7"/>
    </row>
    <row r="76260" ht="15.75" customHeight="1">
      <c r="A76260" s="7"/>
      <c r="B76260" s="7"/>
    </row>
    <row r="76261" ht="15.75" customHeight="1">
      <c r="A76261" s="7"/>
      <c r="B76261" s="7"/>
    </row>
    <row r="76262" ht="15.75" customHeight="1">
      <c r="A76262" s="7"/>
      <c r="B76262" s="7"/>
    </row>
    <row r="76263" ht="15.75" customHeight="1">
      <c r="A76263" s="7"/>
      <c r="B76263" s="7"/>
    </row>
    <row r="76264" ht="15.75" customHeight="1">
      <c r="A76264" s="7"/>
      <c r="B76264" s="7"/>
    </row>
    <row r="76265" ht="15.75" customHeight="1">
      <c r="A76265" s="7"/>
      <c r="B76265" s="7"/>
    </row>
    <row r="76266" ht="15.75" customHeight="1">
      <c r="A76266" s="7"/>
      <c r="B76266" s="7"/>
    </row>
    <row r="76267" ht="15.75" customHeight="1">
      <c r="A76267" s="7"/>
      <c r="B76267" s="7"/>
    </row>
    <row r="76268" ht="15.75" customHeight="1">
      <c r="A76268" s="7"/>
      <c r="B76268" s="7"/>
    </row>
    <row r="76269" ht="15.75" customHeight="1">
      <c r="A76269" s="7"/>
      <c r="B76269" s="7"/>
    </row>
    <row r="76270" ht="15.75" customHeight="1">
      <c r="A76270" s="7"/>
      <c r="B76270" s="7"/>
    </row>
    <row r="76271" ht="15.75" customHeight="1">
      <c r="A76271" s="7"/>
      <c r="B76271" s="7"/>
    </row>
    <row r="76272" ht="15.75" customHeight="1">
      <c r="A76272" s="7"/>
      <c r="B76272" s="7"/>
    </row>
    <row r="76273" ht="15.75" customHeight="1">
      <c r="A76273" s="7"/>
      <c r="B76273" s="7"/>
    </row>
    <row r="76274" ht="15.75" customHeight="1">
      <c r="A76274" s="7"/>
      <c r="B76274" s="7"/>
    </row>
    <row r="76275" ht="15.75" customHeight="1">
      <c r="A76275" s="7"/>
      <c r="B76275" s="7"/>
    </row>
    <row r="76276" ht="15.75" customHeight="1">
      <c r="A76276" s="7"/>
      <c r="B76276" s="7"/>
    </row>
    <row r="76277" ht="15.75" customHeight="1">
      <c r="A76277" s="7"/>
      <c r="B76277" s="7"/>
    </row>
    <row r="76278" ht="15.75" customHeight="1">
      <c r="A76278" s="7"/>
      <c r="B76278" s="7"/>
    </row>
    <row r="76279" ht="15.75" customHeight="1">
      <c r="A76279" s="7"/>
      <c r="B76279" s="7"/>
    </row>
    <row r="76280" ht="15.75" customHeight="1">
      <c r="A76280" s="7"/>
      <c r="B76280" s="7"/>
    </row>
    <row r="76281" ht="15.75" customHeight="1">
      <c r="A76281" s="7"/>
      <c r="B76281" s="7"/>
    </row>
    <row r="76282" ht="15.75" customHeight="1">
      <c r="A76282" s="7"/>
      <c r="B76282" s="7"/>
    </row>
    <row r="76283" ht="15.75" customHeight="1">
      <c r="A76283" s="7"/>
      <c r="B76283" s="7"/>
    </row>
    <row r="76284" ht="15.75" customHeight="1">
      <c r="A76284" s="7"/>
      <c r="B76284" s="7"/>
    </row>
    <row r="76285" ht="15.75" customHeight="1">
      <c r="A76285" s="7"/>
      <c r="B76285" s="7"/>
    </row>
    <row r="76286" ht="15.75" customHeight="1">
      <c r="A76286" s="7"/>
      <c r="B76286" s="7"/>
    </row>
    <row r="76287" ht="15.75" customHeight="1">
      <c r="A76287" s="7"/>
      <c r="B76287" s="7"/>
    </row>
    <row r="76288" ht="15.75" customHeight="1">
      <c r="A76288" s="7"/>
      <c r="B76288" s="7"/>
    </row>
    <row r="76289" ht="15.75" customHeight="1">
      <c r="A76289" s="7"/>
      <c r="B76289" s="7"/>
    </row>
    <row r="76290" ht="15.75" customHeight="1">
      <c r="A76290" s="7"/>
      <c r="B76290" s="7"/>
    </row>
    <row r="76291" ht="15.75" customHeight="1">
      <c r="A76291" s="7"/>
      <c r="B76291" s="7"/>
    </row>
    <row r="76292" ht="15.75" customHeight="1">
      <c r="A76292" s="7"/>
      <c r="B76292" s="7"/>
    </row>
    <row r="76293" ht="15.75" customHeight="1">
      <c r="A76293" s="7"/>
      <c r="B76293" s="7"/>
    </row>
    <row r="76294" ht="15.75" customHeight="1">
      <c r="A76294" s="7"/>
      <c r="B76294" s="7"/>
    </row>
    <row r="76295" ht="15.75" customHeight="1">
      <c r="A76295" s="7"/>
      <c r="B76295" s="7"/>
    </row>
    <row r="76296" ht="15.75" customHeight="1">
      <c r="A76296" s="7"/>
      <c r="B76296" s="7"/>
    </row>
    <row r="76297" ht="15.75" customHeight="1">
      <c r="A76297" s="7"/>
      <c r="B76297" s="7"/>
    </row>
    <row r="76298" ht="15.75" customHeight="1">
      <c r="A76298" s="7"/>
      <c r="B76298" s="7"/>
    </row>
    <row r="76299" ht="15.75" customHeight="1">
      <c r="A76299" s="7"/>
      <c r="B76299" s="7"/>
    </row>
    <row r="76300" ht="15.75" customHeight="1">
      <c r="A76300" s="7"/>
      <c r="B76300" s="7"/>
    </row>
    <row r="76301" ht="15.75" customHeight="1">
      <c r="A76301" s="7"/>
      <c r="B76301" s="7"/>
    </row>
    <row r="76302" ht="15.75" customHeight="1">
      <c r="A76302" s="7"/>
      <c r="B76302" s="7"/>
    </row>
    <row r="76303" ht="15.75" customHeight="1">
      <c r="A76303" s="7"/>
      <c r="B76303" s="7"/>
    </row>
    <row r="76304" ht="15.75" customHeight="1">
      <c r="A76304" s="7"/>
      <c r="B76304" s="7"/>
    </row>
    <row r="76305" ht="15.75" customHeight="1">
      <c r="A76305" s="7"/>
      <c r="B76305" s="7"/>
    </row>
    <row r="76306" ht="15.75" customHeight="1">
      <c r="A76306" s="7"/>
      <c r="B76306" s="7"/>
    </row>
    <row r="76307" ht="15.75" customHeight="1">
      <c r="A76307" s="7"/>
      <c r="B76307" s="7"/>
    </row>
    <row r="76308" ht="15.75" customHeight="1">
      <c r="A76308" s="7"/>
      <c r="B76308" s="7"/>
    </row>
    <row r="76309" ht="15.75" customHeight="1">
      <c r="A76309" s="7"/>
      <c r="B76309" s="7"/>
    </row>
    <row r="76310" ht="15.75" customHeight="1">
      <c r="A76310" s="7"/>
      <c r="B76310" s="7"/>
    </row>
    <row r="76311" ht="15.75" customHeight="1">
      <c r="A76311" s="7"/>
      <c r="B76311" s="7"/>
    </row>
    <row r="76312" ht="15.75" customHeight="1">
      <c r="A76312" s="7"/>
      <c r="B76312" s="7"/>
    </row>
    <row r="76313" ht="15.75" customHeight="1">
      <c r="A76313" s="7"/>
      <c r="B76313" s="7"/>
    </row>
    <row r="76314" ht="15.75" customHeight="1">
      <c r="A76314" s="7"/>
      <c r="B76314" s="7"/>
    </row>
    <row r="76315" ht="15.75" customHeight="1">
      <c r="A76315" s="7"/>
      <c r="B76315" s="7"/>
    </row>
    <row r="76316" ht="15.75" customHeight="1">
      <c r="A76316" s="7"/>
      <c r="B76316" s="7"/>
    </row>
    <row r="76317" ht="15.75" customHeight="1">
      <c r="A76317" s="7"/>
      <c r="B76317" s="7"/>
    </row>
    <row r="76318" ht="15.75" customHeight="1">
      <c r="A76318" s="7"/>
      <c r="B76318" s="7"/>
    </row>
    <row r="76319" ht="15.75" customHeight="1">
      <c r="A76319" s="7"/>
      <c r="B76319" s="7"/>
    </row>
    <row r="76320" ht="15.75" customHeight="1">
      <c r="A76320" s="7"/>
      <c r="B76320" s="7"/>
    </row>
    <row r="76321" ht="15.75" customHeight="1">
      <c r="A76321" s="7"/>
      <c r="B76321" s="7"/>
    </row>
    <row r="76322" ht="15.75" customHeight="1">
      <c r="A76322" s="7"/>
      <c r="B76322" s="7"/>
    </row>
    <row r="76323" ht="15.75" customHeight="1">
      <c r="A76323" s="7"/>
      <c r="B76323" s="7"/>
    </row>
    <row r="76324" ht="15.75" customHeight="1">
      <c r="A76324" s="7"/>
      <c r="B76324" s="7"/>
    </row>
    <row r="76325" ht="15.75" customHeight="1">
      <c r="A76325" s="7"/>
      <c r="B76325" s="7"/>
    </row>
    <row r="76326" ht="15.75" customHeight="1">
      <c r="A76326" s="7"/>
      <c r="B76326" s="7"/>
    </row>
    <row r="76327" ht="15.75" customHeight="1">
      <c r="A76327" s="7"/>
      <c r="B76327" s="7"/>
    </row>
    <row r="76328" ht="15.75" customHeight="1">
      <c r="A76328" s="7"/>
      <c r="B76328" s="7"/>
    </row>
    <row r="76329" ht="15.75" customHeight="1">
      <c r="A76329" s="7"/>
      <c r="B76329" s="7"/>
    </row>
    <row r="76330" ht="15.75" customHeight="1">
      <c r="A76330" s="7"/>
      <c r="B76330" s="7"/>
    </row>
    <row r="76331" ht="15.75" customHeight="1">
      <c r="A76331" s="7"/>
      <c r="B76331" s="7"/>
    </row>
    <row r="76332" ht="15.75" customHeight="1">
      <c r="A76332" s="7"/>
      <c r="B76332" s="7"/>
    </row>
    <row r="76333" ht="15.75" customHeight="1">
      <c r="A76333" s="7"/>
      <c r="B76333" s="7"/>
    </row>
    <row r="76334" ht="15.75" customHeight="1">
      <c r="A76334" s="7"/>
      <c r="B76334" s="7"/>
    </row>
    <row r="76335" ht="15.75" customHeight="1">
      <c r="A76335" s="7"/>
      <c r="B76335" s="7"/>
    </row>
    <row r="76336" ht="15.75" customHeight="1">
      <c r="A76336" s="7"/>
      <c r="B76336" s="7"/>
    </row>
    <row r="76337" ht="15.75" customHeight="1">
      <c r="A76337" s="7"/>
      <c r="B76337" s="7"/>
    </row>
    <row r="76338" ht="15.75" customHeight="1">
      <c r="A76338" s="7"/>
      <c r="B76338" s="7"/>
    </row>
    <row r="76339" ht="15.75" customHeight="1">
      <c r="A76339" s="7"/>
      <c r="B76339" s="7"/>
    </row>
    <row r="76340" ht="15.75" customHeight="1">
      <c r="A76340" s="7"/>
      <c r="B76340" s="7"/>
    </row>
    <row r="76341" ht="15.75" customHeight="1">
      <c r="A76341" s="7"/>
      <c r="B76341" s="7"/>
    </row>
    <row r="76342" ht="15.75" customHeight="1">
      <c r="A76342" s="7"/>
      <c r="B76342" s="7"/>
    </row>
    <row r="76343" ht="15.75" customHeight="1">
      <c r="A76343" s="7"/>
      <c r="B76343" s="7"/>
    </row>
    <row r="76344" ht="15.75" customHeight="1">
      <c r="A76344" s="7"/>
      <c r="B76344" s="7"/>
    </row>
    <row r="76345" ht="15.75" customHeight="1">
      <c r="A76345" s="7"/>
      <c r="B76345" s="7"/>
    </row>
    <row r="76346" ht="15.75" customHeight="1">
      <c r="A76346" s="7"/>
      <c r="B76346" s="7"/>
    </row>
    <row r="76347" ht="15.75" customHeight="1">
      <c r="A76347" s="7"/>
      <c r="B76347" s="7"/>
    </row>
    <row r="76348" ht="15.75" customHeight="1">
      <c r="A76348" s="7"/>
      <c r="B76348" s="7"/>
    </row>
    <row r="76349" ht="15.75" customHeight="1">
      <c r="A76349" s="7"/>
      <c r="B76349" s="7"/>
    </row>
    <row r="76350" ht="15.75" customHeight="1">
      <c r="A76350" s="7"/>
      <c r="B76350" s="7"/>
    </row>
    <row r="76351" ht="15.75" customHeight="1">
      <c r="A76351" s="7"/>
      <c r="B76351" s="7"/>
    </row>
    <row r="76352" ht="15.75" customHeight="1">
      <c r="A76352" s="7"/>
      <c r="B76352" s="7"/>
    </row>
    <row r="76353" ht="15.75" customHeight="1">
      <c r="A76353" s="7"/>
      <c r="B76353" s="7"/>
    </row>
    <row r="76354" ht="15.75" customHeight="1">
      <c r="A76354" s="7"/>
      <c r="B76354" s="7"/>
    </row>
    <row r="76355" ht="15.75" customHeight="1">
      <c r="A76355" s="7"/>
      <c r="B76355" s="7"/>
    </row>
    <row r="76356" ht="15.75" customHeight="1">
      <c r="A76356" s="7"/>
      <c r="B76356" s="7"/>
    </row>
    <row r="76357" ht="15.75" customHeight="1">
      <c r="A76357" s="7"/>
      <c r="B76357" s="7"/>
    </row>
    <row r="76358" ht="15.75" customHeight="1">
      <c r="A76358" s="7"/>
      <c r="B76358" s="7"/>
    </row>
    <row r="76359" ht="15.75" customHeight="1">
      <c r="A76359" s="7"/>
      <c r="B76359" s="7"/>
    </row>
    <row r="76360" ht="15.75" customHeight="1">
      <c r="A76360" s="7"/>
      <c r="B76360" s="7"/>
    </row>
    <row r="76361" ht="15.75" customHeight="1">
      <c r="A76361" s="7"/>
      <c r="B76361" s="7"/>
    </row>
    <row r="76362" ht="15.75" customHeight="1">
      <c r="A76362" s="7"/>
      <c r="B76362" s="7"/>
    </row>
    <row r="76363" ht="15.75" customHeight="1">
      <c r="A76363" s="7"/>
      <c r="B76363" s="7"/>
    </row>
    <row r="76364" ht="15.75" customHeight="1">
      <c r="A76364" s="7"/>
      <c r="B76364" s="7"/>
    </row>
    <row r="76365" ht="15.75" customHeight="1">
      <c r="A76365" s="7"/>
      <c r="B76365" s="7"/>
    </row>
    <row r="76366" ht="15.75" customHeight="1">
      <c r="A76366" s="7"/>
      <c r="B76366" s="7"/>
    </row>
    <row r="76367" ht="15.75" customHeight="1">
      <c r="A76367" s="7"/>
      <c r="B76367" s="7"/>
    </row>
    <row r="76368" ht="15.75" customHeight="1">
      <c r="A76368" s="7"/>
      <c r="B76368" s="7"/>
    </row>
    <row r="76369" ht="15.75" customHeight="1">
      <c r="A76369" s="7"/>
      <c r="B76369" s="7"/>
    </row>
    <row r="76370" ht="15.75" customHeight="1">
      <c r="A76370" s="7"/>
      <c r="B76370" s="7"/>
    </row>
    <row r="76371" ht="15.75" customHeight="1">
      <c r="A76371" s="7"/>
      <c r="B76371" s="7"/>
    </row>
    <row r="76372" ht="15.75" customHeight="1">
      <c r="A76372" s="7"/>
      <c r="B76372" s="7"/>
    </row>
    <row r="76373" ht="15.75" customHeight="1">
      <c r="A76373" s="7"/>
      <c r="B76373" s="7"/>
    </row>
    <row r="76374" ht="15.75" customHeight="1">
      <c r="A76374" s="7"/>
      <c r="B76374" s="7"/>
    </row>
    <row r="76375" ht="15.75" customHeight="1">
      <c r="A76375" s="7"/>
      <c r="B76375" s="7"/>
    </row>
    <row r="76376" ht="15.75" customHeight="1">
      <c r="A76376" s="7"/>
      <c r="B76376" s="7"/>
    </row>
    <row r="76377" ht="15.75" customHeight="1">
      <c r="A76377" s="7"/>
      <c r="B76377" s="7"/>
    </row>
    <row r="76378" ht="15.75" customHeight="1">
      <c r="A76378" s="7"/>
      <c r="B76378" s="7"/>
    </row>
    <row r="76379" ht="15.75" customHeight="1">
      <c r="A76379" s="7"/>
      <c r="B76379" s="7"/>
    </row>
    <row r="76380" ht="15.75" customHeight="1">
      <c r="A76380" s="7"/>
      <c r="B76380" s="7"/>
    </row>
    <row r="76381" ht="15.75" customHeight="1">
      <c r="A76381" s="7"/>
      <c r="B76381" s="7"/>
    </row>
    <row r="76382" ht="15.75" customHeight="1">
      <c r="A76382" s="7"/>
      <c r="B76382" s="7"/>
    </row>
    <row r="76383" ht="15.75" customHeight="1">
      <c r="A76383" s="7"/>
      <c r="B76383" s="7"/>
    </row>
    <row r="76384" ht="15.75" customHeight="1">
      <c r="A76384" s="7"/>
      <c r="B76384" s="7"/>
    </row>
    <row r="76385" ht="15.75" customHeight="1">
      <c r="A76385" s="7"/>
      <c r="B76385" s="7"/>
    </row>
    <row r="76386" ht="15.75" customHeight="1">
      <c r="A76386" s="7"/>
      <c r="B76386" s="7"/>
    </row>
    <row r="76387" ht="15.75" customHeight="1">
      <c r="A76387" s="7"/>
      <c r="B76387" s="7"/>
    </row>
    <row r="76388" ht="15.75" customHeight="1">
      <c r="A76388" s="7"/>
      <c r="B76388" s="7"/>
    </row>
    <row r="76389" ht="15.75" customHeight="1">
      <c r="A76389" s="7"/>
      <c r="B76389" s="7"/>
    </row>
    <row r="76390" ht="15.75" customHeight="1">
      <c r="A76390" s="7"/>
      <c r="B76390" s="7"/>
    </row>
    <row r="76391" ht="15.75" customHeight="1">
      <c r="A76391" s="7"/>
      <c r="B76391" s="7"/>
    </row>
    <row r="76392" ht="15.75" customHeight="1">
      <c r="A76392" s="7"/>
      <c r="B76392" s="7"/>
    </row>
    <row r="76393" ht="15.75" customHeight="1">
      <c r="A76393" s="7"/>
      <c r="B76393" s="7"/>
    </row>
    <row r="76394" ht="15.75" customHeight="1">
      <c r="A76394" s="7"/>
      <c r="B76394" s="7"/>
    </row>
    <row r="76395" ht="15.75" customHeight="1">
      <c r="A76395" s="7"/>
      <c r="B76395" s="7"/>
    </row>
    <row r="76396" ht="15.75" customHeight="1">
      <c r="A76396" s="7"/>
      <c r="B76396" s="7"/>
    </row>
    <row r="76397" ht="15.75" customHeight="1">
      <c r="A76397" s="7"/>
      <c r="B76397" s="7"/>
    </row>
    <row r="76398" ht="15.75" customHeight="1">
      <c r="A76398" s="7"/>
      <c r="B76398" s="7"/>
    </row>
    <row r="76399" ht="15.75" customHeight="1">
      <c r="A76399" s="7"/>
      <c r="B76399" s="7"/>
    </row>
    <row r="76400" ht="15.75" customHeight="1">
      <c r="A76400" s="7"/>
      <c r="B76400" s="7"/>
    </row>
    <row r="76401" ht="15.75" customHeight="1">
      <c r="A76401" s="7"/>
      <c r="B76401" s="7"/>
    </row>
    <row r="76402" ht="15.75" customHeight="1">
      <c r="A76402" s="7"/>
      <c r="B76402" s="7"/>
    </row>
    <row r="76403" ht="15.75" customHeight="1">
      <c r="A76403" s="7"/>
      <c r="B76403" s="7"/>
    </row>
    <row r="76404" ht="15.75" customHeight="1">
      <c r="A76404" s="7"/>
      <c r="B76404" s="7"/>
    </row>
    <row r="76405" ht="15.75" customHeight="1">
      <c r="A76405" s="7"/>
      <c r="B76405" s="7"/>
    </row>
    <row r="76406" ht="15.75" customHeight="1">
      <c r="A76406" s="7"/>
      <c r="B76406" s="7"/>
    </row>
    <row r="76407" ht="15.75" customHeight="1">
      <c r="A76407" s="7"/>
      <c r="B76407" s="7"/>
    </row>
    <row r="76408" ht="15.75" customHeight="1">
      <c r="A76408" s="7"/>
      <c r="B76408" s="7"/>
    </row>
    <row r="76409" ht="15.75" customHeight="1">
      <c r="A76409" s="7"/>
      <c r="B76409" s="7"/>
    </row>
    <row r="76410" ht="15.75" customHeight="1">
      <c r="A76410" s="7"/>
      <c r="B76410" s="7"/>
    </row>
    <row r="76411" ht="15.75" customHeight="1">
      <c r="A76411" s="7"/>
      <c r="B76411" s="7"/>
    </row>
    <row r="76412" ht="15.75" customHeight="1">
      <c r="A76412" s="7"/>
      <c r="B76412" s="7"/>
    </row>
    <row r="76413" ht="15.75" customHeight="1">
      <c r="A76413" s="7"/>
      <c r="B76413" s="7"/>
    </row>
    <row r="76414" ht="15.75" customHeight="1">
      <c r="A76414" s="7"/>
      <c r="B76414" s="7"/>
    </row>
    <row r="76415" ht="15.75" customHeight="1">
      <c r="A76415" s="7"/>
      <c r="B76415" s="7"/>
    </row>
    <row r="76416" ht="15.75" customHeight="1">
      <c r="A76416" s="7"/>
      <c r="B76416" s="7"/>
    </row>
    <row r="76417" ht="15.75" customHeight="1">
      <c r="A76417" s="7"/>
      <c r="B76417" s="7"/>
    </row>
    <row r="76418" ht="15.75" customHeight="1">
      <c r="A76418" s="7"/>
      <c r="B76418" s="7"/>
    </row>
    <row r="76419" ht="15.75" customHeight="1">
      <c r="A76419" s="7"/>
      <c r="B76419" s="7"/>
    </row>
    <row r="76420" ht="15.75" customHeight="1">
      <c r="A76420" s="7"/>
      <c r="B76420" s="7"/>
    </row>
    <row r="76421" ht="15.75" customHeight="1">
      <c r="A76421" s="7"/>
      <c r="B76421" s="7"/>
    </row>
    <row r="76422" ht="15.75" customHeight="1">
      <c r="A76422" s="7"/>
      <c r="B76422" s="7"/>
    </row>
    <row r="76423" ht="15.75" customHeight="1">
      <c r="A76423" s="7"/>
      <c r="B76423" s="7"/>
    </row>
    <row r="76424" ht="15.75" customHeight="1">
      <c r="A76424" s="7"/>
      <c r="B76424" s="7"/>
    </row>
    <row r="76425" ht="15.75" customHeight="1">
      <c r="A76425" s="7"/>
      <c r="B76425" s="7"/>
    </row>
    <row r="76426" ht="15.75" customHeight="1">
      <c r="A76426" s="7"/>
      <c r="B76426" s="7"/>
    </row>
    <row r="76427" ht="15.75" customHeight="1">
      <c r="A76427" s="7"/>
      <c r="B76427" s="7"/>
    </row>
    <row r="76428" ht="15.75" customHeight="1">
      <c r="A76428" s="7"/>
      <c r="B76428" s="7"/>
    </row>
    <row r="76429" ht="15.75" customHeight="1">
      <c r="A76429" s="7"/>
      <c r="B76429" s="7"/>
    </row>
    <row r="76430" ht="15.75" customHeight="1">
      <c r="A76430" s="7"/>
      <c r="B76430" s="7"/>
    </row>
    <row r="76431" ht="15.75" customHeight="1">
      <c r="A76431" s="7"/>
      <c r="B76431" s="7"/>
    </row>
    <row r="76432" ht="15.75" customHeight="1">
      <c r="A76432" s="7"/>
      <c r="B76432" s="7"/>
    </row>
    <row r="76433" ht="15.75" customHeight="1">
      <c r="A76433" s="7"/>
      <c r="B76433" s="7"/>
    </row>
    <row r="76434" ht="15.75" customHeight="1">
      <c r="A76434" s="7"/>
      <c r="B76434" s="7"/>
    </row>
    <row r="76435" ht="15.75" customHeight="1">
      <c r="A76435" s="7"/>
      <c r="B76435" s="7"/>
    </row>
    <row r="76436" ht="15.75" customHeight="1">
      <c r="A76436" s="7"/>
      <c r="B76436" s="7"/>
    </row>
    <row r="76437" ht="15.75" customHeight="1">
      <c r="A76437" s="7"/>
      <c r="B76437" s="7"/>
    </row>
    <row r="76438" ht="15.75" customHeight="1">
      <c r="A76438" s="7"/>
      <c r="B76438" s="7"/>
    </row>
    <row r="76439" ht="15.75" customHeight="1">
      <c r="A76439" s="7"/>
      <c r="B76439" s="7"/>
    </row>
    <row r="76440" ht="15.75" customHeight="1">
      <c r="A76440" s="7"/>
      <c r="B76440" s="7"/>
    </row>
    <row r="76441" ht="15.75" customHeight="1">
      <c r="A76441" s="7"/>
      <c r="B76441" s="7"/>
    </row>
    <row r="76442" ht="15.75" customHeight="1">
      <c r="A76442" s="7"/>
      <c r="B76442" s="7"/>
    </row>
    <row r="76443" ht="15.75" customHeight="1">
      <c r="A76443" s="7"/>
      <c r="B76443" s="7"/>
    </row>
    <row r="76444" ht="15.75" customHeight="1">
      <c r="A76444" s="7"/>
      <c r="B76444" s="7"/>
    </row>
    <row r="76445" ht="15.75" customHeight="1">
      <c r="A76445" s="7"/>
      <c r="B76445" s="7"/>
    </row>
    <row r="76446" ht="15.75" customHeight="1">
      <c r="A76446" s="7"/>
      <c r="B76446" s="7"/>
    </row>
    <row r="76447" ht="15.75" customHeight="1">
      <c r="A76447" s="7"/>
      <c r="B76447" s="7"/>
    </row>
    <row r="76448" ht="15.75" customHeight="1">
      <c r="A76448" s="7"/>
      <c r="B76448" s="7"/>
    </row>
    <row r="76449" ht="15.75" customHeight="1">
      <c r="A76449" s="7"/>
      <c r="B76449" s="7"/>
    </row>
    <row r="76450" ht="15.75" customHeight="1">
      <c r="A76450" s="7"/>
      <c r="B76450" s="7"/>
    </row>
    <row r="76451" ht="15.75" customHeight="1">
      <c r="A76451" s="7"/>
      <c r="B76451" s="7"/>
    </row>
    <row r="76452" ht="15.75" customHeight="1">
      <c r="A76452" s="7"/>
      <c r="B76452" s="7"/>
    </row>
    <row r="76453" ht="15.75" customHeight="1">
      <c r="A76453" s="7"/>
      <c r="B76453" s="7"/>
    </row>
    <row r="76454" ht="15.75" customHeight="1">
      <c r="A76454" s="7"/>
      <c r="B76454" s="7"/>
    </row>
    <row r="76455" ht="15.75" customHeight="1">
      <c r="A76455" s="7"/>
      <c r="B76455" s="7"/>
    </row>
    <row r="76456" ht="15.75" customHeight="1">
      <c r="A76456" s="7"/>
      <c r="B76456" s="7"/>
    </row>
    <row r="76457" ht="15.75" customHeight="1">
      <c r="A76457" s="7"/>
      <c r="B76457" s="7"/>
    </row>
    <row r="76458" ht="15.75" customHeight="1">
      <c r="A76458" s="7"/>
      <c r="B76458" s="7"/>
    </row>
    <row r="76459" ht="15.75" customHeight="1">
      <c r="A76459" s="7"/>
      <c r="B76459" s="7"/>
    </row>
    <row r="76460" ht="15.75" customHeight="1">
      <c r="A76460" s="7"/>
      <c r="B76460" s="7"/>
    </row>
    <row r="76461" ht="15.75" customHeight="1">
      <c r="A76461" s="7"/>
      <c r="B76461" s="7"/>
    </row>
    <row r="76462" ht="15.75" customHeight="1">
      <c r="A76462" s="7"/>
      <c r="B76462" s="7"/>
    </row>
    <row r="76463" ht="15.75" customHeight="1">
      <c r="A76463" s="7"/>
      <c r="B76463" s="7"/>
    </row>
    <row r="76464" ht="15.75" customHeight="1">
      <c r="A76464" s="7"/>
      <c r="B76464" s="7"/>
    </row>
    <row r="76465" ht="15.75" customHeight="1">
      <c r="A76465" s="7"/>
      <c r="B76465" s="7"/>
    </row>
    <row r="76466" ht="15.75" customHeight="1">
      <c r="A76466" s="7"/>
      <c r="B76466" s="7"/>
    </row>
    <row r="76467" ht="15.75" customHeight="1">
      <c r="A76467" s="7"/>
      <c r="B76467" s="7"/>
    </row>
    <row r="76468" ht="15.75" customHeight="1">
      <c r="A76468" s="7"/>
      <c r="B76468" s="7"/>
    </row>
    <row r="76469" ht="15.75" customHeight="1">
      <c r="A76469" s="7"/>
      <c r="B76469" s="7"/>
    </row>
    <row r="76470" ht="15.75" customHeight="1">
      <c r="A76470" s="7"/>
      <c r="B76470" s="7"/>
    </row>
    <row r="76471" ht="15.75" customHeight="1">
      <c r="A76471" s="7"/>
      <c r="B76471" s="7"/>
    </row>
    <row r="76472" ht="15.75" customHeight="1">
      <c r="A76472" s="7"/>
      <c r="B76472" s="7"/>
    </row>
    <row r="76473" ht="15.75" customHeight="1">
      <c r="A76473" s="7"/>
      <c r="B76473" s="7"/>
    </row>
    <row r="76474" ht="15.75" customHeight="1">
      <c r="A76474" s="7"/>
      <c r="B76474" s="7"/>
    </row>
    <row r="76475" ht="15.75" customHeight="1">
      <c r="A76475" s="7"/>
      <c r="B76475" s="7"/>
    </row>
    <row r="76476" ht="15.75" customHeight="1">
      <c r="A76476" s="7"/>
      <c r="B76476" s="7"/>
    </row>
    <row r="76477" ht="15.75" customHeight="1">
      <c r="A76477" s="7"/>
      <c r="B76477" s="7"/>
    </row>
    <row r="76478" ht="15.75" customHeight="1">
      <c r="A76478" s="7"/>
      <c r="B76478" s="7"/>
    </row>
    <row r="76479" ht="15.75" customHeight="1">
      <c r="A76479" s="7"/>
      <c r="B76479" s="7"/>
    </row>
    <row r="76480" ht="15.75" customHeight="1">
      <c r="A76480" s="7"/>
      <c r="B76480" s="7"/>
    </row>
    <row r="76481" ht="15.75" customHeight="1">
      <c r="A76481" s="7"/>
      <c r="B76481" s="7"/>
    </row>
    <row r="76482" ht="15.75" customHeight="1">
      <c r="A76482" s="7"/>
      <c r="B76482" s="7"/>
    </row>
    <row r="76483" ht="15.75" customHeight="1">
      <c r="A76483" s="7"/>
      <c r="B76483" s="7"/>
    </row>
    <row r="76484" ht="15.75" customHeight="1">
      <c r="A76484" s="7"/>
      <c r="B76484" s="7"/>
    </row>
    <row r="76485" ht="15.75" customHeight="1">
      <c r="A76485" s="7"/>
      <c r="B76485" s="7"/>
    </row>
    <row r="76486" ht="15.75" customHeight="1">
      <c r="A76486" s="7"/>
      <c r="B76486" s="7"/>
    </row>
    <row r="76487" ht="15.75" customHeight="1">
      <c r="A76487" s="7"/>
      <c r="B76487" s="7"/>
    </row>
    <row r="76488" ht="15.75" customHeight="1">
      <c r="A76488" s="7"/>
      <c r="B76488" s="7"/>
    </row>
    <row r="76489" ht="15.75" customHeight="1">
      <c r="A76489" s="7"/>
      <c r="B76489" s="7"/>
    </row>
    <row r="76490" ht="15.75" customHeight="1">
      <c r="A76490" s="7"/>
      <c r="B76490" s="7"/>
    </row>
    <row r="76491" ht="15.75" customHeight="1">
      <c r="A76491" s="7"/>
      <c r="B76491" s="7"/>
    </row>
    <row r="76492" ht="15.75" customHeight="1">
      <c r="A76492" s="7"/>
      <c r="B76492" s="7"/>
    </row>
    <row r="76493" ht="15.75" customHeight="1">
      <c r="A76493" s="7"/>
      <c r="B76493" s="7"/>
    </row>
    <row r="76494" ht="15.75" customHeight="1">
      <c r="A76494" s="7"/>
      <c r="B76494" s="7"/>
    </row>
    <row r="76495" ht="15.75" customHeight="1">
      <c r="A76495" s="7"/>
      <c r="B76495" s="7"/>
    </row>
    <row r="76496" ht="15.75" customHeight="1">
      <c r="A76496" s="7"/>
      <c r="B76496" s="7"/>
    </row>
    <row r="76497" ht="15.75" customHeight="1">
      <c r="A76497" s="7"/>
      <c r="B76497" s="7"/>
    </row>
    <row r="76498" ht="15.75" customHeight="1">
      <c r="A76498" s="7"/>
      <c r="B76498" s="7"/>
    </row>
    <row r="76499" ht="15.75" customHeight="1">
      <c r="A76499" s="7"/>
      <c r="B76499" s="7"/>
    </row>
    <row r="76500" ht="15.75" customHeight="1">
      <c r="A76500" s="7"/>
      <c r="B76500" s="7"/>
    </row>
    <row r="76501" ht="15.75" customHeight="1">
      <c r="A76501" s="7"/>
      <c r="B76501" s="7"/>
    </row>
    <row r="76502" ht="15.75" customHeight="1">
      <c r="A76502" s="7"/>
      <c r="B76502" s="7"/>
    </row>
    <row r="76503" ht="15.75" customHeight="1">
      <c r="A76503" s="7"/>
      <c r="B76503" s="7"/>
    </row>
    <row r="76504" ht="15.75" customHeight="1">
      <c r="A76504" s="7"/>
      <c r="B76504" s="7"/>
    </row>
    <row r="76505" ht="15.75" customHeight="1">
      <c r="A76505" s="7"/>
      <c r="B76505" s="7"/>
    </row>
    <row r="76506" ht="15.75" customHeight="1">
      <c r="A76506" s="7"/>
      <c r="B76506" s="7"/>
    </row>
    <row r="76507" ht="15.75" customHeight="1">
      <c r="A76507" s="7"/>
      <c r="B76507" s="7"/>
    </row>
    <row r="76508" ht="15.75" customHeight="1">
      <c r="A76508" s="7"/>
      <c r="B76508" s="7"/>
    </row>
    <row r="76509" ht="15.75" customHeight="1">
      <c r="A76509" s="7"/>
      <c r="B76509" s="7"/>
    </row>
    <row r="76510" ht="15.75" customHeight="1">
      <c r="A76510" s="7"/>
      <c r="B76510" s="7"/>
    </row>
    <row r="76511" ht="15.75" customHeight="1">
      <c r="A76511" s="7"/>
      <c r="B76511" s="7"/>
    </row>
    <row r="76512" ht="15.75" customHeight="1">
      <c r="A76512" s="7"/>
      <c r="B76512" s="7"/>
    </row>
    <row r="76513" ht="15.75" customHeight="1">
      <c r="A76513" s="7"/>
      <c r="B76513" s="7"/>
    </row>
    <row r="76514" ht="15.75" customHeight="1">
      <c r="A76514" s="7"/>
      <c r="B76514" s="7"/>
    </row>
    <row r="76515" ht="15.75" customHeight="1">
      <c r="A76515" s="7"/>
      <c r="B76515" s="7"/>
    </row>
    <row r="76516" ht="15.75" customHeight="1">
      <c r="A76516" s="7"/>
      <c r="B76516" s="7"/>
    </row>
    <row r="76517" ht="15.75" customHeight="1">
      <c r="A76517" s="7"/>
      <c r="B76517" s="7"/>
    </row>
    <row r="76518" ht="15.75" customHeight="1">
      <c r="A76518" s="7"/>
      <c r="B76518" s="7"/>
    </row>
    <row r="76519" ht="15.75" customHeight="1">
      <c r="A76519" s="7"/>
      <c r="B76519" s="7"/>
    </row>
    <row r="76520" ht="15.75" customHeight="1">
      <c r="A76520" s="7"/>
      <c r="B76520" s="7"/>
    </row>
    <row r="76521" ht="15.75" customHeight="1">
      <c r="A76521" s="7"/>
      <c r="B76521" s="7"/>
    </row>
    <row r="76522" ht="15.75" customHeight="1">
      <c r="A76522" s="7"/>
      <c r="B76522" s="7"/>
    </row>
    <row r="76523" ht="15.75" customHeight="1">
      <c r="A76523" s="7"/>
      <c r="B76523" s="7"/>
    </row>
    <row r="76524" ht="15.75" customHeight="1">
      <c r="A76524" s="7"/>
      <c r="B76524" s="7"/>
    </row>
    <row r="76525" ht="15.75" customHeight="1">
      <c r="A76525" s="7"/>
      <c r="B76525" s="7"/>
    </row>
    <row r="76526" ht="15.75" customHeight="1">
      <c r="A76526" s="7"/>
      <c r="B76526" s="7"/>
    </row>
    <row r="76527" ht="15.75" customHeight="1">
      <c r="A76527" s="7"/>
      <c r="B76527" s="7"/>
    </row>
    <row r="76528" ht="15.75" customHeight="1">
      <c r="A76528" s="7"/>
      <c r="B76528" s="7"/>
    </row>
    <row r="76529" ht="15.75" customHeight="1">
      <c r="A76529" s="7"/>
      <c r="B76529" s="7"/>
    </row>
    <row r="76530" ht="15.75" customHeight="1">
      <c r="A76530" s="7"/>
      <c r="B76530" s="7"/>
    </row>
    <row r="76531" ht="15.75" customHeight="1">
      <c r="A76531" s="7"/>
      <c r="B76531" s="7"/>
    </row>
    <row r="76532" ht="15.75" customHeight="1">
      <c r="A76532" s="7"/>
      <c r="B76532" s="7"/>
    </row>
    <row r="76533" ht="15.75" customHeight="1">
      <c r="A76533" s="7"/>
      <c r="B76533" s="7"/>
    </row>
    <row r="76534" ht="15.75" customHeight="1">
      <c r="A76534" s="7"/>
      <c r="B76534" s="7"/>
    </row>
    <row r="76535" ht="15.75" customHeight="1">
      <c r="A76535" s="7"/>
      <c r="B76535" s="7"/>
    </row>
    <row r="76536" ht="15.75" customHeight="1">
      <c r="A76536" s="7"/>
      <c r="B76536" s="7"/>
    </row>
    <row r="76537" ht="15.75" customHeight="1">
      <c r="A76537" s="7"/>
      <c r="B76537" s="7"/>
    </row>
    <row r="76538" ht="15.75" customHeight="1">
      <c r="A76538" s="7"/>
      <c r="B76538" s="7"/>
    </row>
    <row r="76539" ht="15.75" customHeight="1">
      <c r="A76539" s="7"/>
      <c r="B76539" s="7"/>
    </row>
    <row r="76540" ht="15.75" customHeight="1">
      <c r="A76540" s="7"/>
      <c r="B76540" s="7"/>
    </row>
    <row r="76541" ht="15.75" customHeight="1">
      <c r="A76541" s="7"/>
      <c r="B76541" s="7"/>
    </row>
    <row r="76542" ht="15.75" customHeight="1">
      <c r="A76542" s="7"/>
      <c r="B76542" s="7"/>
    </row>
    <row r="76543" ht="15.75" customHeight="1">
      <c r="A76543" s="7"/>
      <c r="B76543" s="7"/>
    </row>
    <row r="76544" ht="15.75" customHeight="1">
      <c r="A76544" s="7"/>
      <c r="B76544" s="7"/>
    </row>
    <row r="76545" ht="15.75" customHeight="1">
      <c r="A76545" s="7"/>
      <c r="B76545" s="7"/>
    </row>
    <row r="76546" ht="15.75" customHeight="1">
      <c r="A76546" s="7"/>
      <c r="B76546" s="7"/>
    </row>
    <row r="76547" ht="15.75" customHeight="1">
      <c r="A76547" s="7"/>
      <c r="B76547" s="7"/>
    </row>
    <row r="76548" ht="15.75" customHeight="1">
      <c r="A76548" s="7"/>
      <c r="B76548" s="7"/>
    </row>
    <row r="76549" ht="15.75" customHeight="1">
      <c r="A76549" s="7"/>
      <c r="B76549" s="7"/>
    </row>
    <row r="76550" ht="15.75" customHeight="1">
      <c r="A76550" s="7"/>
      <c r="B76550" s="7"/>
    </row>
    <row r="76551" ht="15.75" customHeight="1">
      <c r="A76551" s="7"/>
      <c r="B76551" s="7"/>
    </row>
    <row r="76552" ht="15.75" customHeight="1">
      <c r="A76552" s="7"/>
      <c r="B76552" s="7"/>
    </row>
    <row r="76553" ht="15.75" customHeight="1">
      <c r="A76553" s="7"/>
      <c r="B76553" s="7"/>
    </row>
    <row r="76554" ht="15.75" customHeight="1">
      <c r="A76554" s="7"/>
      <c r="B76554" s="7"/>
    </row>
    <row r="76555" ht="15.75" customHeight="1">
      <c r="A76555" s="7"/>
      <c r="B76555" s="7"/>
    </row>
    <row r="76556" ht="15.75" customHeight="1">
      <c r="A76556" s="7"/>
      <c r="B76556" s="7"/>
    </row>
    <row r="76557" ht="15.75" customHeight="1">
      <c r="A76557" s="7"/>
      <c r="B76557" s="7"/>
    </row>
    <row r="76558" ht="15.75" customHeight="1">
      <c r="A76558" s="7"/>
      <c r="B76558" s="7"/>
    </row>
    <row r="76559" ht="15.75" customHeight="1">
      <c r="A76559" s="7"/>
      <c r="B76559" s="7"/>
    </row>
    <row r="76560" ht="15.75" customHeight="1">
      <c r="A76560" s="7"/>
      <c r="B76560" s="7"/>
    </row>
    <row r="76561" ht="15.75" customHeight="1">
      <c r="A76561" s="7"/>
      <c r="B76561" s="7"/>
    </row>
    <row r="76562" ht="15.75" customHeight="1">
      <c r="A76562" s="7"/>
      <c r="B76562" s="7"/>
    </row>
    <row r="76563" ht="15.75" customHeight="1">
      <c r="A76563" s="7"/>
      <c r="B76563" s="7"/>
    </row>
    <row r="76564" ht="15.75" customHeight="1">
      <c r="A76564" s="7"/>
      <c r="B76564" s="7"/>
    </row>
    <row r="76565" ht="15.75" customHeight="1">
      <c r="A76565" s="7"/>
      <c r="B76565" s="7"/>
    </row>
    <row r="76566" ht="15.75" customHeight="1">
      <c r="A76566" s="7"/>
      <c r="B76566" s="7"/>
    </row>
    <row r="76567" ht="15.75" customHeight="1">
      <c r="A76567" s="7"/>
      <c r="B76567" s="7"/>
    </row>
    <row r="76568" ht="15.75" customHeight="1">
      <c r="A76568" s="7"/>
      <c r="B76568" s="7"/>
    </row>
    <row r="76569" ht="15.75" customHeight="1">
      <c r="A76569" s="7"/>
      <c r="B76569" s="7"/>
    </row>
    <row r="76570" ht="15.75" customHeight="1">
      <c r="A76570" s="7"/>
      <c r="B76570" s="7"/>
    </row>
    <row r="76571" ht="15.75" customHeight="1">
      <c r="A76571" s="7"/>
      <c r="B76571" s="7"/>
    </row>
    <row r="76572" ht="15.75" customHeight="1">
      <c r="A76572" s="7"/>
      <c r="B76572" s="7"/>
    </row>
    <row r="76573" ht="15.75" customHeight="1">
      <c r="A76573" s="7"/>
      <c r="B76573" s="7"/>
    </row>
    <row r="76574" ht="15.75" customHeight="1">
      <c r="A76574" s="7"/>
      <c r="B76574" s="7"/>
    </row>
    <row r="76575" ht="15.75" customHeight="1">
      <c r="A76575" s="7"/>
      <c r="B76575" s="7"/>
    </row>
    <row r="76576" ht="15.75" customHeight="1">
      <c r="A76576" s="7"/>
      <c r="B76576" s="7"/>
    </row>
    <row r="76577" ht="15.75" customHeight="1">
      <c r="A76577" s="7"/>
      <c r="B76577" s="7"/>
    </row>
    <row r="76578" ht="15.75" customHeight="1">
      <c r="A76578" s="7"/>
      <c r="B76578" s="7"/>
    </row>
    <row r="76579" ht="15.75" customHeight="1">
      <c r="A76579" s="7"/>
      <c r="B76579" s="7"/>
    </row>
    <row r="76580" ht="15.75" customHeight="1">
      <c r="A76580" s="7"/>
      <c r="B76580" s="7"/>
    </row>
    <row r="76581" ht="15.75" customHeight="1">
      <c r="A76581" s="7"/>
      <c r="B76581" s="7"/>
    </row>
    <row r="76582" ht="15.75" customHeight="1">
      <c r="A76582" s="7"/>
      <c r="B76582" s="7"/>
    </row>
    <row r="76583" ht="15.75" customHeight="1">
      <c r="A76583" s="7"/>
      <c r="B76583" s="7"/>
    </row>
    <row r="76584" ht="15.75" customHeight="1">
      <c r="A76584" s="7"/>
      <c r="B76584" s="7"/>
    </row>
    <row r="76585" ht="15.75" customHeight="1">
      <c r="A76585" s="7"/>
      <c r="B76585" s="7"/>
    </row>
    <row r="76586" ht="15.75" customHeight="1">
      <c r="A76586" s="7"/>
      <c r="B76586" s="7"/>
    </row>
    <row r="76587" ht="15.75" customHeight="1">
      <c r="A76587" s="7"/>
      <c r="B76587" s="7"/>
    </row>
    <row r="76588" ht="15.75" customHeight="1">
      <c r="A76588" s="7"/>
      <c r="B76588" s="7"/>
    </row>
    <row r="76589" ht="15.75" customHeight="1">
      <c r="A76589" s="7"/>
      <c r="B76589" s="7"/>
    </row>
    <row r="76590" ht="15.75" customHeight="1">
      <c r="A76590" s="7"/>
      <c r="B76590" s="7"/>
    </row>
    <row r="76591" ht="15.75" customHeight="1">
      <c r="A76591" s="7"/>
      <c r="B76591" s="7"/>
    </row>
    <row r="76592" ht="15.75" customHeight="1">
      <c r="A76592" s="7"/>
      <c r="B76592" s="7"/>
    </row>
    <row r="76593" ht="15.75" customHeight="1">
      <c r="A76593" s="7"/>
      <c r="B76593" s="7"/>
    </row>
    <row r="76594" ht="15.75" customHeight="1">
      <c r="A76594" s="7"/>
      <c r="B76594" s="7"/>
    </row>
    <row r="76595" ht="15.75" customHeight="1">
      <c r="A76595" s="7"/>
      <c r="B76595" s="7"/>
    </row>
    <row r="76596" ht="15.75" customHeight="1">
      <c r="A76596" s="7"/>
      <c r="B76596" s="7"/>
    </row>
    <row r="76597" ht="15.75" customHeight="1">
      <c r="A76597" s="7"/>
      <c r="B76597" s="7"/>
    </row>
    <row r="76598" ht="15.75" customHeight="1">
      <c r="A76598" s="7"/>
      <c r="B76598" s="7"/>
    </row>
    <row r="76599" ht="15.75" customHeight="1">
      <c r="A76599" s="7"/>
      <c r="B76599" s="7"/>
    </row>
    <row r="76600" ht="15.75" customHeight="1">
      <c r="A76600" s="7"/>
      <c r="B76600" s="7"/>
    </row>
    <row r="76601" ht="15.75" customHeight="1">
      <c r="A76601" s="7"/>
      <c r="B76601" s="7"/>
    </row>
    <row r="76602" ht="15.75" customHeight="1">
      <c r="A76602" s="7"/>
      <c r="B76602" s="7"/>
    </row>
    <row r="76603" ht="15.75" customHeight="1">
      <c r="A76603" s="7"/>
      <c r="B76603" s="7"/>
    </row>
    <row r="76604" ht="15.75" customHeight="1">
      <c r="A76604" s="7"/>
      <c r="B76604" s="7"/>
    </row>
    <row r="76605" ht="15.75" customHeight="1">
      <c r="A76605" s="7"/>
      <c r="B76605" s="7"/>
    </row>
    <row r="76606" ht="15.75" customHeight="1">
      <c r="A76606" s="7"/>
      <c r="B76606" s="7"/>
    </row>
    <row r="76607" ht="15.75" customHeight="1">
      <c r="A76607" s="7"/>
      <c r="B76607" s="7"/>
    </row>
    <row r="76608" ht="15.75" customHeight="1">
      <c r="A76608" s="7"/>
      <c r="B76608" s="7"/>
    </row>
    <row r="76609" ht="15.75" customHeight="1">
      <c r="A76609" s="7"/>
      <c r="B76609" s="7"/>
    </row>
    <row r="76610" ht="15.75" customHeight="1">
      <c r="A76610" s="7"/>
      <c r="B76610" s="7"/>
    </row>
    <row r="76611" ht="15.75" customHeight="1">
      <c r="A76611" s="7"/>
      <c r="B76611" s="7"/>
    </row>
    <row r="76612" ht="15.75" customHeight="1">
      <c r="A76612" s="7"/>
      <c r="B76612" s="7"/>
    </row>
    <row r="76613" ht="15.75" customHeight="1">
      <c r="A76613" s="7"/>
      <c r="B76613" s="7"/>
    </row>
    <row r="76614" ht="15.75" customHeight="1">
      <c r="A76614" s="7"/>
      <c r="B76614" s="7"/>
    </row>
    <row r="76615" ht="15.75" customHeight="1">
      <c r="A76615" s="7"/>
      <c r="B76615" s="7"/>
    </row>
    <row r="76616" ht="15.75" customHeight="1">
      <c r="A76616" s="7"/>
      <c r="B76616" s="7"/>
    </row>
    <row r="76617" ht="15.75" customHeight="1">
      <c r="A76617" s="7"/>
      <c r="B76617" s="7"/>
    </row>
    <row r="76618" ht="15.75" customHeight="1">
      <c r="A76618" s="7"/>
      <c r="B76618" s="7"/>
    </row>
    <row r="76619" ht="15.75" customHeight="1">
      <c r="A76619" s="7"/>
      <c r="B76619" s="7"/>
    </row>
    <row r="76620" ht="15.75" customHeight="1">
      <c r="A76620" s="7"/>
      <c r="B76620" s="7"/>
    </row>
    <row r="76621" ht="15.75" customHeight="1">
      <c r="A76621" s="7"/>
      <c r="B76621" s="7"/>
    </row>
    <row r="76622" ht="15.75" customHeight="1">
      <c r="A76622" s="7"/>
      <c r="B76622" s="7"/>
    </row>
    <row r="76623" ht="15.75" customHeight="1">
      <c r="A76623" s="7"/>
      <c r="B76623" s="7"/>
    </row>
    <row r="76624" ht="15.75" customHeight="1">
      <c r="A76624" s="7"/>
      <c r="B76624" s="7"/>
    </row>
    <row r="76625" ht="15.75" customHeight="1">
      <c r="A76625" s="7"/>
      <c r="B76625" s="7"/>
    </row>
    <row r="76626" ht="15.75" customHeight="1">
      <c r="A76626" s="7"/>
      <c r="B76626" s="7"/>
    </row>
    <row r="76627" ht="15.75" customHeight="1">
      <c r="A76627" s="7"/>
      <c r="B76627" s="7"/>
    </row>
    <row r="76628" ht="15.75" customHeight="1">
      <c r="A76628" s="7"/>
      <c r="B76628" s="7"/>
    </row>
    <row r="76629" ht="15.75" customHeight="1">
      <c r="A76629" s="7"/>
      <c r="B76629" s="7"/>
    </row>
    <row r="76630" ht="15.75" customHeight="1">
      <c r="A76630" s="7"/>
      <c r="B76630" s="7"/>
    </row>
    <row r="76631" ht="15.75" customHeight="1">
      <c r="A76631" s="7"/>
      <c r="B76631" s="7"/>
    </row>
    <row r="76632" ht="15.75" customHeight="1">
      <c r="A76632" s="7"/>
      <c r="B76632" s="7"/>
    </row>
    <row r="76633" ht="15.75" customHeight="1">
      <c r="A76633" s="7"/>
      <c r="B76633" s="7"/>
    </row>
    <row r="76634" ht="15.75" customHeight="1">
      <c r="A76634" s="7"/>
      <c r="B76634" s="7"/>
    </row>
    <row r="76635" ht="15.75" customHeight="1">
      <c r="A76635" s="7"/>
      <c r="B76635" s="7"/>
    </row>
    <row r="76636" ht="15.75" customHeight="1">
      <c r="A76636" s="7"/>
      <c r="B76636" s="7"/>
    </row>
    <row r="76637" ht="15.75" customHeight="1">
      <c r="A76637" s="7"/>
      <c r="B76637" s="7"/>
    </row>
    <row r="76638" ht="15.75" customHeight="1">
      <c r="A76638" s="7"/>
      <c r="B76638" s="7"/>
    </row>
    <row r="76639" ht="15.75" customHeight="1">
      <c r="A76639" s="7"/>
      <c r="B76639" s="7"/>
    </row>
    <row r="76640" ht="15.75" customHeight="1">
      <c r="A76640" s="7"/>
      <c r="B76640" s="7"/>
    </row>
    <row r="76641" ht="15.75" customHeight="1">
      <c r="A76641" s="7"/>
      <c r="B76641" s="7"/>
    </row>
    <row r="76642" ht="15.75" customHeight="1">
      <c r="A76642" s="7"/>
      <c r="B76642" s="7"/>
    </row>
    <row r="76643" ht="15.75" customHeight="1">
      <c r="A76643" s="7"/>
      <c r="B76643" s="7"/>
    </row>
    <row r="76644" ht="15.75" customHeight="1">
      <c r="A76644" s="7"/>
      <c r="B76644" s="7"/>
    </row>
    <row r="76645" ht="15.75" customHeight="1">
      <c r="A76645" s="7"/>
      <c r="B76645" s="7"/>
    </row>
    <row r="76646" ht="15.75" customHeight="1">
      <c r="A76646" s="7"/>
      <c r="B76646" s="7"/>
    </row>
    <row r="76647" ht="15.75" customHeight="1">
      <c r="A76647" s="7"/>
      <c r="B76647" s="7"/>
    </row>
    <row r="76648" ht="15.75" customHeight="1">
      <c r="A76648" s="7"/>
      <c r="B76648" s="7"/>
    </row>
    <row r="76649" ht="15.75" customHeight="1">
      <c r="A76649" s="7"/>
      <c r="B76649" s="7"/>
    </row>
    <row r="76650" ht="15.75" customHeight="1">
      <c r="A76650" s="7"/>
      <c r="B76650" s="7"/>
    </row>
    <row r="76651" ht="15.75" customHeight="1">
      <c r="A76651" s="7"/>
      <c r="B76651" s="7"/>
    </row>
    <row r="76652" ht="15.75" customHeight="1">
      <c r="A76652" s="7"/>
      <c r="B76652" s="7"/>
    </row>
    <row r="76653" ht="15.75" customHeight="1">
      <c r="A76653" s="7"/>
      <c r="B76653" s="7"/>
    </row>
    <row r="76654" ht="15.75" customHeight="1">
      <c r="A76654" s="7"/>
      <c r="B76654" s="7"/>
    </row>
    <row r="76655" ht="15.75" customHeight="1">
      <c r="A76655" s="7"/>
      <c r="B76655" s="7"/>
    </row>
    <row r="76656" ht="15.75" customHeight="1">
      <c r="A76656" s="7"/>
      <c r="B76656" s="7"/>
    </row>
    <row r="76657" ht="15.75" customHeight="1">
      <c r="A76657" s="7"/>
      <c r="B76657" s="7"/>
    </row>
    <row r="76658" ht="15.75" customHeight="1">
      <c r="A76658" s="7"/>
      <c r="B76658" s="7"/>
    </row>
    <row r="76659" ht="15.75" customHeight="1">
      <c r="A76659" s="7"/>
      <c r="B76659" s="7"/>
    </row>
    <row r="76660" ht="15.75" customHeight="1">
      <c r="A76660" s="7"/>
      <c r="B76660" s="7"/>
    </row>
    <row r="76661" ht="15.75" customHeight="1">
      <c r="A76661" s="7"/>
      <c r="B76661" s="7"/>
    </row>
    <row r="76662" ht="15.75" customHeight="1">
      <c r="A76662" s="7"/>
      <c r="B76662" s="7"/>
    </row>
    <row r="76663" ht="15.75" customHeight="1">
      <c r="A76663" s="7"/>
      <c r="B76663" s="7"/>
    </row>
    <row r="76664" ht="15.75" customHeight="1">
      <c r="A76664" s="7"/>
      <c r="B76664" s="7"/>
    </row>
    <row r="76665" ht="15.75" customHeight="1">
      <c r="A76665" s="7"/>
      <c r="B76665" s="7"/>
    </row>
    <row r="76666" ht="15.75" customHeight="1">
      <c r="A76666" s="7"/>
      <c r="B76666" s="7"/>
    </row>
    <row r="76667" ht="15.75" customHeight="1">
      <c r="A76667" s="7"/>
      <c r="B76667" s="7"/>
    </row>
    <row r="76668" ht="15.75" customHeight="1">
      <c r="A76668" s="7"/>
      <c r="B76668" s="7"/>
    </row>
    <row r="76669" ht="15.75" customHeight="1">
      <c r="A76669" s="7"/>
      <c r="B76669" s="7"/>
    </row>
    <row r="76670" ht="15.75" customHeight="1">
      <c r="A76670" s="7"/>
      <c r="B76670" s="7"/>
    </row>
    <row r="76671" ht="15.75" customHeight="1">
      <c r="A76671" s="7"/>
      <c r="B76671" s="7"/>
    </row>
    <row r="76672" ht="15.75" customHeight="1">
      <c r="A76672" s="7"/>
      <c r="B76672" s="7"/>
    </row>
    <row r="76673" ht="15.75" customHeight="1">
      <c r="A76673" s="7"/>
      <c r="B76673" s="7"/>
    </row>
    <row r="76674" ht="15.75" customHeight="1">
      <c r="A76674" s="7"/>
      <c r="B76674" s="7"/>
    </row>
    <row r="76675" ht="15.75" customHeight="1">
      <c r="A76675" s="7"/>
      <c r="B76675" s="7"/>
    </row>
    <row r="76676" ht="15.75" customHeight="1">
      <c r="A76676" s="7"/>
      <c r="B76676" s="7"/>
    </row>
    <row r="76677" ht="15.75" customHeight="1">
      <c r="A76677" s="7"/>
      <c r="B76677" s="7"/>
    </row>
    <row r="76678" ht="15.75" customHeight="1">
      <c r="A76678" s="7"/>
      <c r="B76678" s="7"/>
    </row>
    <row r="76679" ht="15.75" customHeight="1">
      <c r="A76679" s="7"/>
      <c r="B76679" s="7"/>
    </row>
    <row r="76680" ht="15.75" customHeight="1">
      <c r="A76680" s="7"/>
      <c r="B76680" s="7"/>
    </row>
    <row r="76681" ht="15.75" customHeight="1">
      <c r="A76681" s="7"/>
      <c r="B76681" s="7"/>
    </row>
    <row r="76682" ht="15.75" customHeight="1">
      <c r="A76682" s="7"/>
      <c r="B76682" s="7"/>
    </row>
    <row r="76683" ht="15.75" customHeight="1">
      <c r="A76683" s="7"/>
      <c r="B76683" s="7"/>
    </row>
    <row r="76684" ht="15.75" customHeight="1">
      <c r="A76684" s="7"/>
      <c r="B76684" s="7"/>
    </row>
    <row r="76685" ht="15.75" customHeight="1">
      <c r="A76685" s="7"/>
      <c r="B76685" s="7"/>
    </row>
    <row r="76686" ht="15.75" customHeight="1">
      <c r="A76686" s="7"/>
      <c r="B76686" s="7"/>
    </row>
    <row r="76687" ht="15.75" customHeight="1">
      <c r="A76687" s="7"/>
      <c r="B76687" s="7"/>
    </row>
    <row r="76688" ht="15.75" customHeight="1">
      <c r="A76688" s="7"/>
      <c r="B76688" s="7"/>
    </row>
    <row r="76689" ht="15.75" customHeight="1">
      <c r="A76689" s="7"/>
      <c r="B76689" s="7"/>
    </row>
    <row r="76690" ht="15.75" customHeight="1">
      <c r="A76690" s="7"/>
      <c r="B76690" s="7"/>
    </row>
    <row r="76691" ht="15.75" customHeight="1">
      <c r="A76691" s="7"/>
      <c r="B76691" s="7"/>
    </row>
    <row r="76692" ht="15.75" customHeight="1">
      <c r="A76692" s="7"/>
      <c r="B76692" s="7"/>
    </row>
    <row r="76693" ht="15.75" customHeight="1">
      <c r="A76693" s="7"/>
      <c r="B76693" s="7"/>
    </row>
    <row r="76694" ht="15.75" customHeight="1">
      <c r="A76694" s="7"/>
      <c r="B76694" s="7"/>
    </row>
    <row r="76695" ht="15.75" customHeight="1">
      <c r="A76695" s="7"/>
      <c r="B76695" s="7"/>
    </row>
    <row r="76696" ht="15.75" customHeight="1">
      <c r="A76696" s="7"/>
      <c r="B76696" s="7"/>
    </row>
    <row r="76697" ht="15.75" customHeight="1">
      <c r="A76697" s="7"/>
      <c r="B76697" s="7"/>
    </row>
    <row r="76698" ht="15.75" customHeight="1">
      <c r="A76698" s="7"/>
      <c r="B76698" s="7"/>
    </row>
    <row r="76699" ht="15.75" customHeight="1">
      <c r="A76699" s="7"/>
      <c r="B76699" s="7"/>
    </row>
    <row r="76700" ht="15.75" customHeight="1">
      <c r="A76700" s="7"/>
      <c r="B76700" s="7"/>
    </row>
    <row r="76701" ht="15.75" customHeight="1">
      <c r="A76701" s="7"/>
      <c r="B76701" s="7"/>
    </row>
    <row r="76702" ht="15.75" customHeight="1">
      <c r="A76702" s="7"/>
      <c r="B76702" s="7"/>
    </row>
    <row r="76703" ht="15.75" customHeight="1">
      <c r="A76703" s="7"/>
      <c r="B76703" s="7"/>
    </row>
    <row r="76704" ht="15.75" customHeight="1">
      <c r="A76704" s="7"/>
      <c r="B76704" s="7"/>
    </row>
    <row r="76705" ht="15.75" customHeight="1">
      <c r="A76705" s="7"/>
      <c r="B76705" s="7"/>
    </row>
    <row r="76706" ht="15.75" customHeight="1">
      <c r="A76706" s="7"/>
      <c r="B76706" s="7"/>
    </row>
    <row r="76707" ht="15.75" customHeight="1">
      <c r="A76707" s="7"/>
      <c r="B76707" s="7"/>
    </row>
    <row r="76708" ht="15.75" customHeight="1">
      <c r="A76708" s="7"/>
      <c r="B76708" s="7"/>
    </row>
    <row r="76709" ht="15.75" customHeight="1">
      <c r="A76709" s="7"/>
      <c r="B76709" s="7"/>
    </row>
    <row r="76710" ht="15.75" customHeight="1">
      <c r="A76710" s="7"/>
      <c r="B76710" s="7"/>
    </row>
    <row r="76711" ht="15.75" customHeight="1">
      <c r="A76711" s="7"/>
      <c r="B76711" s="7"/>
    </row>
    <row r="76712" ht="15.75" customHeight="1">
      <c r="A76712" s="7"/>
      <c r="B76712" s="7"/>
    </row>
    <row r="76713" ht="15.75" customHeight="1">
      <c r="A76713" s="7"/>
      <c r="B76713" s="7"/>
    </row>
    <row r="76714" ht="15.75" customHeight="1">
      <c r="A76714" s="7"/>
      <c r="B76714" s="7"/>
    </row>
    <row r="76715" ht="15.75" customHeight="1">
      <c r="A76715" s="7"/>
      <c r="B76715" s="7"/>
    </row>
    <row r="76716" ht="15.75" customHeight="1">
      <c r="A76716" s="7"/>
      <c r="B76716" s="7"/>
    </row>
    <row r="76717" ht="15.75" customHeight="1">
      <c r="A76717" s="7"/>
      <c r="B76717" s="7"/>
    </row>
    <row r="76718" ht="15.75" customHeight="1">
      <c r="A76718" s="7"/>
      <c r="B76718" s="7"/>
    </row>
    <row r="76719" ht="15.75" customHeight="1">
      <c r="A76719" s="7"/>
      <c r="B76719" s="7"/>
    </row>
    <row r="76720" ht="15.75" customHeight="1">
      <c r="A76720" s="7"/>
      <c r="B76720" s="7"/>
    </row>
    <row r="76721" ht="15.75" customHeight="1">
      <c r="A76721" s="7"/>
      <c r="B76721" s="7"/>
    </row>
    <row r="76722" ht="15.75" customHeight="1">
      <c r="A76722" s="7"/>
      <c r="B76722" s="7"/>
    </row>
    <row r="76723" ht="15.75" customHeight="1">
      <c r="A76723" s="7"/>
      <c r="B76723" s="7"/>
    </row>
    <row r="76724" ht="15.75" customHeight="1">
      <c r="A76724" s="7"/>
      <c r="B76724" s="7"/>
    </row>
    <row r="76725" ht="15.75" customHeight="1">
      <c r="A76725" s="7"/>
      <c r="B76725" s="7"/>
    </row>
    <row r="76726" ht="15.75" customHeight="1">
      <c r="A76726" s="7"/>
      <c r="B76726" s="7"/>
    </row>
    <row r="76727" ht="15.75" customHeight="1">
      <c r="A76727" s="7"/>
      <c r="B76727" s="7"/>
    </row>
    <row r="76728" ht="15.75" customHeight="1">
      <c r="A76728" s="7"/>
      <c r="B76728" s="7"/>
    </row>
    <row r="76729" ht="15.75" customHeight="1">
      <c r="A76729" s="7"/>
      <c r="B76729" s="7"/>
    </row>
    <row r="76730" ht="15.75" customHeight="1">
      <c r="A76730" s="7"/>
      <c r="B76730" s="7"/>
    </row>
    <row r="76731" ht="15.75" customHeight="1">
      <c r="A76731" s="7"/>
      <c r="B76731" s="7"/>
    </row>
    <row r="76732" ht="15.75" customHeight="1">
      <c r="A76732" s="7"/>
      <c r="B76732" s="7"/>
    </row>
    <row r="76733" ht="15.75" customHeight="1">
      <c r="A76733" s="7"/>
      <c r="B76733" s="7"/>
    </row>
    <row r="76734" ht="15.75" customHeight="1">
      <c r="A76734" s="7"/>
      <c r="B76734" s="7"/>
    </row>
    <row r="76735" ht="15.75" customHeight="1">
      <c r="A76735" s="7"/>
      <c r="B76735" s="7"/>
    </row>
    <row r="76736" ht="15.75" customHeight="1">
      <c r="A76736" s="7"/>
      <c r="B76736" s="7"/>
    </row>
    <row r="76737" ht="15.75" customHeight="1">
      <c r="A76737" s="7"/>
      <c r="B76737" s="7"/>
    </row>
    <row r="76738" ht="15.75" customHeight="1">
      <c r="A76738" s="7"/>
      <c r="B76738" s="7"/>
    </row>
    <row r="76739" ht="15.75" customHeight="1">
      <c r="A76739" s="7"/>
      <c r="B76739" s="7"/>
    </row>
    <row r="76740" ht="15.75" customHeight="1">
      <c r="A76740" s="7"/>
      <c r="B76740" s="7"/>
    </row>
    <row r="76741" ht="15.75" customHeight="1">
      <c r="A76741" s="7"/>
      <c r="B76741" s="7"/>
    </row>
    <row r="76742" ht="15.75" customHeight="1">
      <c r="A76742" s="7"/>
      <c r="B76742" s="7"/>
    </row>
    <row r="76743" ht="15.75" customHeight="1">
      <c r="A76743" s="7"/>
      <c r="B76743" s="7"/>
    </row>
    <row r="76744" ht="15.75" customHeight="1">
      <c r="A76744" s="7"/>
      <c r="B76744" s="7"/>
    </row>
    <row r="76745" ht="15.75" customHeight="1">
      <c r="A76745" s="7"/>
      <c r="B76745" s="7"/>
    </row>
    <row r="76746" ht="15.75" customHeight="1">
      <c r="A76746" s="7"/>
      <c r="B76746" s="7"/>
    </row>
    <row r="76747" ht="15.75" customHeight="1">
      <c r="A76747" s="7"/>
      <c r="B76747" s="7"/>
    </row>
    <row r="76748" ht="15.75" customHeight="1">
      <c r="A76748" s="7"/>
      <c r="B76748" s="7"/>
    </row>
    <row r="76749" ht="15.75" customHeight="1">
      <c r="A76749" s="7"/>
      <c r="B76749" s="7"/>
    </row>
    <row r="76750" ht="15.75" customHeight="1">
      <c r="A76750" s="7"/>
      <c r="B76750" s="7"/>
    </row>
    <row r="76751" ht="15.75" customHeight="1">
      <c r="A76751" s="7"/>
      <c r="B76751" s="7"/>
    </row>
    <row r="76752" ht="15.75" customHeight="1">
      <c r="A76752" s="7"/>
      <c r="B76752" s="7"/>
    </row>
    <row r="76753" ht="15.75" customHeight="1">
      <c r="A76753" s="7"/>
      <c r="B76753" s="7"/>
    </row>
    <row r="76754" ht="15.75" customHeight="1">
      <c r="A76754" s="7"/>
      <c r="B76754" s="7"/>
    </row>
    <row r="76755" ht="15.75" customHeight="1">
      <c r="A76755" s="7"/>
      <c r="B76755" s="7"/>
    </row>
    <row r="76756" ht="15.75" customHeight="1">
      <c r="A76756" s="7"/>
      <c r="B76756" s="7"/>
    </row>
    <row r="76757" ht="15.75" customHeight="1">
      <c r="A76757" s="7"/>
      <c r="B76757" s="7"/>
    </row>
    <row r="76758" ht="15.75" customHeight="1">
      <c r="A76758" s="7"/>
      <c r="B76758" s="7"/>
    </row>
    <row r="76759" ht="15.75" customHeight="1">
      <c r="A76759" s="7"/>
      <c r="B76759" s="7"/>
    </row>
    <row r="76760" ht="15.75" customHeight="1">
      <c r="A76760" s="7"/>
      <c r="B76760" s="7"/>
    </row>
    <row r="76761" ht="15.75" customHeight="1">
      <c r="A76761" s="7"/>
      <c r="B76761" s="7"/>
    </row>
    <row r="76762" ht="15.75" customHeight="1">
      <c r="A76762" s="7"/>
      <c r="B76762" s="7"/>
    </row>
    <row r="76763" ht="15.75" customHeight="1">
      <c r="A76763" s="7"/>
      <c r="B76763" s="7"/>
    </row>
    <row r="76764" ht="15.75" customHeight="1">
      <c r="A76764" s="7"/>
      <c r="B76764" s="7"/>
    </row>
    <row r="76765" ht="15.75" customHeight="1">
      <c r="A76765" s="7"/>
      <c r="B76765" s="7"/>
    </row>
    <row r="76766" ht="15.75" customHeight="1">
      <c r="A76766" s="7"/>
      <c r="B76766" s="7"/>
    </row>
    <row r="76767" ht="15.75" customHeight="1">
      <c r="A76767" s="7"/>
      <c r="B76767" s="7"/>
    </row>
    <row r="76768" ht="15.75" customHeight="1">
      <c r="A76768" s="7"/>
      <c r="B76768" s="7"/>
    </row>
    <row r="76769" ht="15.75" customHeight="1">
      <c r="A76769" s="7"/>
      <c r="B76769" s="7"/>
    </row>
    <row r="76770" ht="15.75" customHeight="1">
      <c r="A76770" s="7"/>
      <c r="B76770" s="7"/>
    </row>
    <row r="76771" ht="15.75" customHeight="1">
      <c r="A76771" s="7"/>
      <c r="B76771" s="7"/>
    </row>
    <row r="76772" ht="15.75" customHeight="1">
      <c r="A76772" s="7"/>
      <c r="B76772" s="7"/>
    </row>
    <row r="76773" ht="15.75" customHeight="1">
      <c r="A76773" s="7"/>
      <c r="B76773" s="7"/>
    </row>
    <row r="76774" ht="15.75" customHeight="1">
      <c r="A76774" s="7"/>
      <c r="B76774" s="7"/>
    </row>
    <row r="76775" ht="15.75" customHeight="1">
      <c r="A76775" s="7"/>
      <c r="B76775" s="7"/>
    </row>
    <row r="76776" ht="15.75" customHeight="1">
      <c r="A76776" s="7"/>
      <c r="B76776" s="7"/>
    </row>
    <row r="76777" ht="15.75" customHeight="1">
      <c r="A76777" s="7"/>
      <c r="B76777" s="7"/>
    </row>
    <row r="76778" ht="15.75" customHeight="1">
      <c r="A76778" s="7"/>
      <c r="B76778" s="7"/>
    </row>
    <row r="76779" ht="15.75" customHeight="1">
      <c r="A76779" s="7"/>
      <c r="B76779" s="7"/>
    </row>
    <row r="76780" ht="15.75" customHeight="1">
      <c r="A76780" s="7"/>
      <c r="B76780" s="7"/>
    </row>
    <row r="76781" ht="15.75" customHeight="1">
      <c r="A76781" s="7"/>
      <c r="B76781" s="7"/>
    </row>
    <row r="76782" ht="15.75" customHeight="1">
      <c r="A76782" s="7"/>
      <c r="B76782" s="7"/>
    </row>
    <row r="76783" ht="15.75" customHeight="1">
      <c r="A76783" s="7"/>
      <c r="B76783" s="7"/>
    </row>
    <row r="76784" ht="15.75" customHeight="1">
      <c r="A76784" s="7"/>
      <c r="B76784" s="7"/>
    </row>
    <row r="76785" ht="15.75" customHeight="1">
      <c r="A76785" s="7"/>
      <c r="B76785" s="7"/>
    </row>
    <row r="76786" ht="15.75" customHeight="1">
      <c r="A76786" s="7"/>
      <c r="B76786" s="7"/>
    </row>
    <row r="76787" ht="15.75" customHeight="1">
      <c r="A76787" s="7"/>
      <c r="B76787" s="7"/>
    </row>
    <row r="76788" ht="15.75" customHeight="1">
      <c r="A76788" s="7"/>
      <c r="B76788" s="7"/>
    </row>
    <row r="76789" ht="15.75" customHeight="1">
      <c r="A76789" s="7"/>
      <c r="B76789" s="7"/>
    </row>
    <row r="76790" ht="15.75" customHeight="1">
      <c r="A76790" s="7"/>
      <c r="B76790" s="7"/>
    </row>
    <row r="76791" ht="15.75" customHeight="1">
      <c r="A76791" s="7"/>
      <c r="B76791" s="7"/>
    </row>
    <row r="76792" ht="15.75" customHeight="1">
      <c r="A76792" s="7"/>
      <c r="B76792" s="7"/>
    </row>
    <row r="76793" ht="15.75" customHeight="1">
      <c r="A76793" s="7"/>
      <c r="B76793" s="7"/>
    </row>
    <row r="76794" ht="15.75" customHeight="1">
      <c r="A76794" s="7"/>
      <c r="B76794" s="7"/>
    </row>
    <row r="76795" ht="15.75" customHeight="1">
      <c r="A76795" s="7"/>
      <c r="B76795" s="7"/>
    </row>
    <row r="76796" ht="15.75" customHeight="1">
      <c r="A76796" s="7"/>
      <c r="B76796" s="7"/>
    </row>
    <row r="76797" ht="15.75" customHeight="1">
      <c r="A76797" s="7"/>
      <c r="B76797" s="7"/>
    </row>
    <row r="76798" ht="15.75" customHeight="1">
      <c r="A76798" s="7"/>
      <c r="B76798" s="7"/>
    </row>
    <row r="76799" ht="15.75" customHeight="1">
      <c r="A76799" s="7"/>
      <c r="B76799" s="7"/>
    </row>
    <row r="76800" ht="15.75" customHeight="1">
      <c r="A76800" s="7"/>
      <c r="B76800" s="7"/>
    </row>
    <row r="76801" ht="15.75" customHeight="1">
      <c r="A76801" s="7"/>
      <c r="B76801" s="7"/>
    </row>
    <row r="76802" ht="15.75" customHeight="1">
      <c r="A76802" s="7"/>
      <c r="B76802" s="7"/>
    </row>
    <row r="76803" ht="15.75" customHeight="1">
      <c r="A76803" s="7"/>
      <c r="B76803" s="7"/>
    </row>
    <row r="76804" ht="15.75" customHeight="1">
      <c r="A76804" s="7"/>
      <c r="B76804" s="7"/>
    </row>
    <row r="76805" ht="15.75" customHeight="1">
      <c r="A76805" s="7"/>
      <c r="B76805" s="7"/>
    </row>
    <row r="76806" ht="15.75" customHeight="1">
      <c r="A76806" s="7"/>
      <c r="B76806" s="7"/>
    </row>
    <row r="76807" ht="15.75" customHeight="1">
      <c r="A76807" s="7"/>
      <c r="B76807" s="7"/>
    </row>
    <row r="76808" ht="15.75" customHeight="1">
      <c r="A76808" s="7"/>
      <c r="B76808" s="7"/>
    </row>
    <row r="76809" ht="15.75" customHeight="1">
      <c r="A76809" s="7"/>
      <c r="B76809" s="7"/>
    </row>
    <row r="76810" ht="15.75" customHeight="1">
      <c r="A76810" s="7"/>
      <c r="B76810" s="7"/>
    </row>
    <row r="76811" ht="15.75" customHeight="1">
      <c r="A76811" s="7"/>
      <c r="B76811" s="7"/>
    </row>
    <row r="76812" ht="15.75" customHeight="1">
      <c r="A76812" s="7"/>
      <c r="B76812" s="7"/>
    </row>
    <row r="76813" ht="15.75" customHeight="1">
      <c r="A76813" s="7"/>
      <c r="B76813" s="7"/>
    </row>
    <row r="76814" ht="15.75" customHeight="1">
      <c r="A76814" s="7"/>
      <c r="B76814" s="7"/>
    </row>
    <row r="76815" ht="15.75" customHeight="1">
      <c r="A76815" s="7"/>
      <c r="B76815" s="7"/>
    </row>
    <row r="76816" ht="15.75" customHeight="1">
      <c r="A76816" s="7"/>
      <c r="B76816" s="7"/>
    </row>
    <row r="76817" ht="15.75" customHeight="1">
      <c r="A76817" s="7"/>
      <c r="B76817" s="7"/>
    </row>
    <row r="76818" ht="15.75" customHeight="1">
      <c r="A76818" s="7"/>
      <c r="B76818" s="7"/>
    </row>
    <row r="76819" ht="15.75" customHeight="1">
      <c r="A76819" s="7"/>
      <c r="B76819" s="7"/>
    </row>
    <row r="76820" ht="15.75" customHeight="1">
      <c r="A76820" s="7"/>
      <c r="B76820" s="7"/>
    </row>
    <row r="76821" ht="15.75" customHeight="1">
      <c r="A76821" s="7"/>
      <c r="B76821" s="7"/>
    </row>
    <row r="76822" ht="15.75" customHeight="1">
      <c r="A76822" s="7"/>
      <c r="B76822" s="7"/>
    </row>
    <row r="76823" ht="15.75" customHeight="1">
      <c r="A76823" s="7"/>
      <c r="B76823" s="7"/>
    </row>
    <row r="76824" ht="15.75" customHeight="1">
      <c r="A76824" s="7"/>
      <c r="B76824" s="7"/>
    </row>
    <row r="76825" ht="15.75" customHeight="1">
      <c r="A76825" s="7"/>
      <c r="B76825" s="7"/>
    </row>
    <row r="76826" ht="15.75" customHeight="1">
      <c r="A76826" s="7"/>
      <c r="B76826" s="7"/>
    </row>
    <row r="76827" ht="15.75" customHeight="1">
      <c r="A76827" s="7"/>
      <c r="B76827" s="7"/>
    </row>
    <row r="76828" ht="15.75" customHeight="1">
      <c r="A76828" s="7"/>
      <c r="B76828" s="7"/>
    </row>
    <row r="76829" ht="15.75" customHeight="1">
      <c r="A76829" s="7"/>
      <c r="B76829" s="7"/>
    </row>
    <row r="76830" ht="15.75" customHeight="1">
      <c r="A76830" s="7"/>
      <c r="B76830" s="7"/>
    </row>
    <row r="76831" ht="15.75" customHeight="1">
      <c r="A76831" s="7"/>
      <c r="B76831" s="7"/>
    </row>
    <row r="76832" ht="15.75" customHeight="1">
      <c r="A76832" s="7"/>
      <c r="B76832" s="7"/>
    </row>
    <row r="76833" ht="15.75" customHeight="1">
      <c r="A76833" s="7"/>
      <c r="B76833" s="7"/>
    </row>
    <row r="76834" ht="15.75" customHeight="1">
      <c r="A76834" s="7"/>
      <c r="B76834" s="7"/>
    </row>
    <row r="76835" ht="15.75" customHeight="1">
      <c r="A76835" s="7"/>
      <c r="B76835" s="7"/>
    </row>
    <row r="76836" ht="15.75" customHeight="1">
      <c r="A76836" s="7"/>
      <c r="B76836" s="7"/>
    </row>
    <row r="76837" ht="15.75" customHeight="1">
      <c r="A76837" s="7"/>
      <c r="B76837" s="7"/>
    </row>
    <row r="76838" ht="15.75" customHeight="1">
      <c r="A76838" s="7"/>
      <c r="B76838" s="7"/>
    </row>
    <row r="76839" ht="15.75" customHeight="1">
      <c r="A76839" s="7"/>
      <c r="B76839" s="7"/>
    </row>
    <row r="76840" ht="15.75" customHeight="1">
      <c r="A76840" s="7"/>
      <c r="B76840" s="7"/>
    </row>
    <row r="76841" ht="15.75" customHeight="1">
      <c r="A76841" s="7"/>
      <c r="B76841" s="7"/>
    </row>
    <row r="76842" ht="15.75" customHeight="1">
      <c r="A76842" s="7"/>
      <c r="B76842" s="7"/>
    </row>
    <row r="76843" ht="15.75" customHeight="1">
      <c r="A76843" s="7"/>
      <c r="B76843" s="7"/>
    </row>
    <row r="76844" ht="15.75" customHeight="1">
      <c r="A76844" s="7"/>
      <c r="B76844" s="7"/>
    </row>
    <row r="76845" ht="15.75" customHeight="1">
      <c r="A76845" s="7"/>
      <c r="B76845" s="7"/>
    </row>
    <row r="76846" ht="15.75" customHeight="1">
      <c r="A76846" s="7"/>
      <c r="B76846" s="7"/>
    </row>
    <row r="76847" ht="15.75" customHeight="1">
      <c r="A76847" s="7"/>
      <c r="B76847" s="7"/>
    </row>
    <row r="76848" ht="15.75" customHeight="1">
      <c r="A76848" s="7"/>
      <c r="B76848" s="7"/>
    </row>
    <row r="76849" ht="15.75" customHeight="1">
      <c r="A76849" s="7"/>
      <c r="B76849" s="7"/>
    </row>
    <row r="76850" ht="15.75" customHeight="1">
      <c r="A76850" s="7"/>
      <c r="B76850" s="7"/>
    </row>
    <row r="76851" ht="15.75" customHeight="1">
      <c r="A76851" s="7"/>
      <c r="B76851" s="7"/>
    </row>
    <row r="76852" ht="15.75" customHeight="1">
      <c r="A76852" s="7"/>
      <c r="B76852" s="7"/>
    </row>
    <row r="76853" ht="15.75" customHeight="1">
      <c r="A76853" s="7"/>
      <c r="B76853" s="7"/>
    </row>
    <row r="76854" ht="15.75" customHeight="1">
      <c r="A76854" s="7"/>
      <c r="B76854" s="7"/>
    </row>
    <row r="76855" ht="15.75" customHeight="1">
      <c r="A76855" s="7"/>
      <c r="B76855" s="7"/>
    </row>
    <row r="76856" ht="15.75" customHeight="1">
      <c r="A76856" s="7"/>
      <c r="B76856" s="7"/>
    </row>
    <row r="76857" ht="15.75" customHeight="1">
      <c r="A76857" s="7"/>
      <c r="B76857" s="7"/>
    </row>
    <row r="76858" ht="15.75" customHeight="1">
      <c r="A76858" s="7"/>
      <c r="B76858" s="7"/>
    </row>
    <row r="76859" ht="15.75" customHeight="1">
      <c r="A76859" s="7"/>
      <c r="B76859" s="7"/>
    </row>
    <row r="76860" ht="15.75" customHeight="1">
      <c r="A76860" s="7"/>
      <c r="B76860" s="7"/>
    </row>
    <row r="76861" ht="15.75" customHeight="1">
      <c r="A76861" s="7"/>
      <c r="B76861" s="7"/>
    </row>
    <row r="76862" ht="15.75" customHeight="1">
      <c r="A76862" s="7"/>
      <c r="B76862" s="7"/>
    </row>
    <row r="76863" ht="15.75" customHeight="1">
      <c r="A76863" s="7"/>
      <c r="B76863" s="7"/>
    </row>
    <row r="76864" ht="15.75" customHeight="1">
      <c r="A76864" s="7"/>
      <c r="B76864" s="7"/>
    </row>
    <row r="76865" ht="15.75" customHeight="1">
      <c r="A76865" s="7"/>
      <c r="B76865" s="7"/>
    </row>
    <row r="76866" ht="15.75" customHeight="1">
      <c r="A76866" s="7"/>
      <c r="B76866" s="7"/>
    </row>
    <row r="76867" ht="15.75" customHeight="1">
      <c r="A76867" s="7"/>
      <c r="B76867" s="7"/>
    </row>
    <row r="76868" ht="15.75" customHeight="1">
      <c r="A76868" s="7"/>
      <c r="B76868" s="7"/>
    </row>
    <row r="76869" ht="15.75" customHeight="1">
      <c r="A76869" s="7"/>
      <c r="B76869" s="7"/>
    </row>
    <row r="76870" ht="15.75" customHeight="1">
      <c r="A76870" s="7"/>
      <c r="B76870" s="7"/>
    </row>
    <row r="76871" ht="15.75" customHeight="1">
      <c r="A76871" s="7"/>
      <c r="B76871" s="7"/>
    </row>
    <row r="76872" ht="15.75" customHeight="1">
      <c r="A76872" s="7"/>
      <c r="B76872" s="7"/>
    </row>
    <row r="76873" ht="15.75" customHeight="1">
      <c r="A76873" s="7"/>
      <c r="B76873" s="7"/>
    </row>
    <row r="76874" ht="15.75" customHeight="1">
      <c r="A76874" s="7"/>
      <c r="B76874" s="7"/>
    </row>
    <row r="76875" ht="15.75" customHeight="1">
      <c r="A76875" s="7"/>
      <c r="B76875" s="7"/>
    </row>
    <row r="76876" ht="15.75" customHeight="1">
      <c r="A76876" s="7"/>
      <c r="B76876" s="7"/>
    </row>
    <row r="76877" ht="15.75" customHeight="1">
      <c r="A76877" s="7"/>
      <c r="B76877" s="7"/>
    </row>
    <row r="76878" ht="15.75" customHeight="1">
      <c r="A76878" s="7"/>
      <c r="B76878" s="7"/>
    </row>
    <row r="76879" ht="15.75" customHeight="1">
      <c r="A76879" s="7"/>
      <c r="B76879" s="7"/>
    </row>
    <row r="76880" ht="15.75" customHeight="1">
      <c r="A76880" s="7"/>
      <c r="B76880" s="7"/>
    </row>
    <row r="76881" ht="15.75" customHeight="1">
      <c r="A76881" s="7"/>
      <c r="B76881" s="7"/>
    </row>
    <row r="76882" ht="15.75" customHeight="1">
      <c r="A76882" s="7"/>
      <c r="B76882" s="7"/>
    </row>
    <row r="76883" ht="15.75" customHeight="1">
      <c r="A76883" s="7"/>
      <c r="B76883" s="7"/>
    </row>
    <row r="76884" ht="15.75" customHeight="1">
      <c r="A76884" s="7"/>
      <c r="B76884" s="7"/>
    </row>
    <row r="76885" ht="15.75" customHeight="1">
      <c r="A76885" s="7"/>
      <c r="B76885" s="7"/>
    </row>
    <row r="76886" ht="15.75" customHeight="1">
      <c r="A76886" s="7"/>
      <c r="B76886" s="7"/>
    </row>
    <row r="76887" ht="15.75" customHeight="1">
      <c r="A76887" s="7"/>
      <c r="B76887" s="7"/>
    </row>
    <row r="76888" ht="15.75" customHeight="1">
      <c r="A76888" s="7"/>
      <c r="B76888" s="7"/>
    </row>
    <row r="76889" ht="15.75" customHeight="1">
      <c r="A76889" s="7"/>
      <c r="B76889" s="7"/>
    </row>
    <row r="76890" ht="15.75" customHeight="1">
      <c r="A76890" s="7"/>
      <c r="B76890" s="7"/>
    </row>
    <row r="76891" ht="15.75" customHeight="1">
      <c r="A76891" s="7"/>
      <c r="B76891" s="7"/>
    </row>
    <row r="76892" ht="15.75" customHeight="1">
      <c r="A76892" s="7"/>
      <c r="B76892" s="7"/>
    </row>
    <row r="76893" ht="15.75" customHeight="1">
      <c r="A76893" s="7"/>
      <c r="B76893" s="7"/>
    </row>
    <row r="76894" ht="15.75" customHeight="1">
      <c r="A76894" s="7"/>
      <c r="B76894" s="7"/>
    </row>
    <row r="76895" ht="15.75" customHeight="1">
      <c r="A76895" s="7"/>
      <c r="B76895" s="7"/>
    </row>
    <row r="76896" ht="15.75" customHeight="1">
      <c r="A76896" s="7"/>
      <c r="B76896" s="7"/>
    </row>
    <row r="76897" ht="15.75" customHeight="1">
      <c r="A76897" s="7"/>
      <c r="B76897" s="7"/>
    </row>
    <row r="76898" ht="15.75" customHeight="1">
      <c r="A76898" s="7"/>
      <c r="B76898" s="7"/>
    </row>
    <row r="76899" ht="15.75" customHeight="1">
      <c r="A76899" s="7"/>
      <c r="B76899" s="7"/>
    </row>
    <row r="76900" ht="15.75" customHeight="1">
      <c r="A76900" s="7"/>
      <c r="B76900" s="7"/>
    </row>
    <row r="76901" ht="15.75" customHeight="1">
      <c r="A76901" s="7"/>
      <c r="B76901" s="7"/>
    </row>
    <row r="76902" ht="15.75" customHeight="1">
      <c r="A76902" s="7"/>
      <c r="B76902" s="7"/>
    </row>
    <row r="76903" ht="15.75" customHeight="1">
      <c r="A76903" s="7"/>
      <c r="B76903" s="7"/>
    </row>
    <row r="76904" ht="15.75" customHeight="1">
      <c r="A76904" s="7"/>
      <c r="B76904" s="7"/>
    </row>
    <row r="76905" ht="15.75" customHeight="1">
      <c r="A76905" s="7"/>
      <c r="B76905" s="7"/>
    </row>
    <row r="76906" ht="15.75" customHeight="1">
      <c r="A76906" s="7"/>
      <c r="B76906" s="7"/>
    </row>
    <row r="76907" ht="15.75" customHeight="1">
      <c r="A76907" s="7"/>
      <c r="B76907" s="7"/>
    </row>
    <row r="76908" ht="15.75" customHeight="1">
      <c r="A76908" s="7"/>
      <c r="B76908" s="7"/>
    </row>
    <row r="76909" ht="15.75" customHeight="1">
      <c r="A76909" s="7"/>
      <c r="B76909" s="7"/>
    </row>
    <row r="76910" ht="15.75" customHeight="1">
      <c r="A76910" s="7"/>
      <c r="B76910" s="7"/>
    </row>
    <row r="76911" ht="15.75" customHeight="1">
      <c r="A76911" s="7"/>
      <c r="B76911" s="7"/>
    </row>
    <row r="76912" ht="15.75" customHeight="1">
      <c r="A76912" s="7"/>
      <c r="B76912" s="7"/>
    </row>
    <row r="76913" ht="15.75" customHeight="1">
      <c r="A76913" s="7"/>
      <c r="B76913" s="7"/>
    </row>
    <row r="76914" ht="15.75" customHeight="1">
      <c r="A76914" s="7"/>
      <c r="B76914" s="7"/>
    </row>
    <row r="76915" ht="15.75" customHeight="1">
      <c r="A76915" s="7"/>
      <c r="B76915" s="7"/>
    </row>
    <row r="76916" ht="15.75" customHeight="1">
      <c r="A76916" s="7"/>
      <c r="B76916" s="7"/>
    </row>
    <row r="76917" ht="15.75" customHeight="1">
      <c r="A76917" s="7"/>
      <c r="B76917" s="7"/>
    </row>
    <row r="76918" ht="15.75" customHeight="1">
      <c r="A76918" s="7"/>
      <c r="B76918" s="7"/>
    </row>
    <row r="76919" ht="15.75" customHeight="1">
      <c r="A76919" s="7"/>
      <c r="B76919" s="7"/>
    </row>
    <row r="76920" ht="15.75" customHeight="1">
      <c r="A76920" s="7"/>
      <c r="B76920" s="7"/>
    </row>
    <row r="76921" ht="15.75" customHeight="1">
      <c r="A76921" s="7"/>
      <c r="B76921" s="7"/>
    </row>
    <row r="76922" ht="15.75" customHeight="1">
      <c r="A76922" s="7"/>
      <c r="B76922" s="7"/>
    </row>
    <row r="76923" ht="15.75" customHeight="1">
      <c r="A76923" s="7"/>
      <c r="B76923" s="7"/>
    </row>
    <row r="76924" ht="15.75" customHeight="1">
      <c r="A76924" s="7"/>
      <c r="B76924" s="7"/>
    </row>
    <row r="76925" ht="15.75" customHeight="1">
      <c r="A76925" s="7"/>
      <c r="B76925" s="7"/>
    </row>
    <row r="76926" ht="15.75" customHeight="1">
      <c r="A76926" s="7"/>
      <c r="B76926" s="7"/>
    </row>
    <row r="76927" ht="15.75" customHeight="1">
      <c r="A76927" s="7"/>
      <c r="B76927" s="7"/>
    </row>
    <row r="76928" ht="15.75" customHeight="1">
      <c r="A76928" s="7"/>
      <c r="B76928" s="7"/>
    </row>
    <row r="76929" ht="15.75" customHeight="1">
      <c r="A76929" s="7"/>
      <c r="B76929" s="7"/>
    </row>
    <row r="76930" ht="15.75" customHeight="1">
      <c r="A76930" s="7"/>
      <c r="B76930" s="7"/>
    </row>
    <row r="76931" ht="15.75" customHeight="1">
      <c r="A76931" s="7"/>
      <c r="B76931" s="7"/>
    </row>
    <row r="76932" ht="15.75" customHeight="1">
      <c r="A76932" s="7"/>
      <c r="B76932" s="7"/>
    </row>
    <row r="76933" ht="15.75" customHeight="1">
      <c r="A76933" s="7"/>
      <c r="B76933" s="7"/>
    </row>
    <row r="76934" ht="15.75" customHeight="1">
      <c r="A76934" s="7"/>
      <c r="B76934" s="7"/>
    </row>
    <row r="76935" ht="15.75" customHeight="1">
      <c r="A76935" s="7"/>
      <c r="B76935" s="7"/>
    </row>
    <row r="76936" ht="15.75" customHeight="1">
      <c r="A76936" s="7"/>
      <c r="B76936" s="7"/>
    </row>
    <row r="76937" ht="15.75" customHeight="1">
      <c r="A76937" s="7"/>
      <c r="B76937" s="7"/>
    </row>
    <row r="76938" ht="15.75" customHeight="1">
      <c r="A76938" s="7"/>
      <c r="B76938" s="7"/>
    </row>
    <row r="76939" ht="15.75" customHeight="1">
      <c r="A76939" s="7"/>
      <c r="B76939" s="7"/>
    </row>
    <row r="76940" ht="15.75" customHeight="1">
      <c r="A76940" s="7"/>
      <c r="B76940" s="7"/>
    </row>
    <row r="76941" ht="15.75" customHeight="1">
      <c r="A76941" s="7"/>
      <c r="B76941" s="7"/>
    </row>
    <row r="76942" ht="15.75" customHeight="1">
      <c r="A76942" s="7"/>
      <c r="B76942" s="7"/>
    </row>
    <row r="76943" ht="15.75" customHeight="1">
      <c r="A76943" s="7"/>
      <c r="B76943" s="7"/>
    </row>
    <row r="76944" ht="15.75" customHeight="1">
      <c r="A76944" s="7"/>
      <c r="B76944" s="7"/>
    </row>
    <row r="76945" ht="15.75" customHeight="1">
      <c r="A76945" s="7"/>
      <c r="B76945" s="7"/>
    </row>
    <row r="76946" ht="15.75" customHeight="1">
      <c r="A76946" s="7"/>
      <c r="B76946" s="7"/>
    </row>
    <row r="76947" ht="15.75" customHeight="1">
      <c r="A76947" s="7"/>
      <c r="B76947" s="7"/>
    </row>
    <row r="76948" ht="15.75" customHeight="1">
      <c r="A76948" s="7"/>
      <c r="B76948" s="7"/>
    </row>
    <row r="76949" ht="15.75" customHeight="1">
      <c r="A76949" s="7"/>
      <c r="B76949" s="7"/>
    </row>
    <row r="76950" ht="15.75" customHeight="1">
      <c r="A76950" s="7"/>
      <c r="B76950" s="7"/>
    </row>
    <row r="76951" ht="15.75" customHeight="1">
      <c r="A76951" s="7"/>
      <c r="B76951" s="7"/>
    </row>
    <row r="76952" ht="15.75" customHeight="1">
      <c r="A76952" s="7"/>
      <c r="B76952" s="7"/>
    </row>
    <row r="76953" ht="15.75" customHeight="1">
      <c r="A76953" s="7"/>
      <c r="B76953" s="7"/>
    </row>
    <row r="76954" ht="15.75" customHeight="1">
      <c r="A76954" s="7"/>
      <c r="B76954" s="7"/>
    </row>
    <row r="76955" ht="15.75" customHeight="1">
      <c r="A76955" s="7"/>
      <c r="B76955" s="7"/>
    </row>
    <row r="76956" ht="15.75" customHeight="1">
      <c r="A76956" s="7"/>
      <c r="B76956" s="7"/>
    </row>
    <row r="76957" ht="15.75" customHeight="1">
      <c r="A76957" s="7"/>
      <c r="B76957" s="7"/>
    </row>
    <row r="76958" ht="15.75" customHeight="1">
      <c r="A76958" s="7"/>
      <c r="B76958" s="7"/>
    </row>
    <row r="76959" ht="15.75" customHeight="1">
      <c r="A76959" s="7"/>
      <c r="B76959" s="7"/>
    </row>
    <row r="76960" ht="15.75" customHeight="1">
      <c r="A76960" s="7"/>
      <c r="B76960" s="7"/>
    </row>
    <row r="76961" ht="15.75" customHeight="1">
      <c r="A76961" s="7"/>
      <c r="B76961" s="7"/>
    </row>
    <row r="76962" ht="15.75" customHeight="1">
      <c r="A76962" s="7"/>
      <c r="B76962" s="7"/>
    </row>
    <row r="76963" ht="15.75" customHeight="1">
      <c r="A76963" s="7"/>
      <c r="B76963" s="7"/>
    </row>
    <row r="76964" ht="15.75" customHeight="1">
      <c r="A76964" s="7"/>
      <c r="B76964" s="7"/>
    </row>
    <row r="76965" ht="15.75" customHeight="1">
      <c r="A76965" s="7"/>
      <c r="B76965" s="7"/>
    </row>
    <row r="76966" ht="15.75" customHeight="1">
      <c r="A76966" s="7"/>
      <c r="B76966" s="7"/>
    </row>
    <row r="76967" ht="15.75" customHeight="1">
      <c r="A76967" s="7"/>
      <c r="B76967" s="7"/>
    </row>
    <row r="76968" ht="15.75" customHeight="1">
      <c r="A76968" s="7"/>
      <c r="B76968" s="7"/>
    </row>
    <row r="76969" ht="15.75" customHeight="1">
      <c r="A76969" s="7"/>
      <c r="B76969" s="7"/>
    </row>
    <row r="76970" ht="15.75" customHeight="1">
      <c r="A76970" s="7"/>
      <c r="B76970" s="7"/>
    </row>
    <row r="76971" ht="15.75" customHeight="1">
      <c r="A76971" s="7"/>
      <c r="B76971" s="7"/>
    </row>
    <row r="76972" ht="15.75" customHeight="1">
      <c r="A76972" s="7"/>
      <c r="B76972" s="7"/>
    </row>
    <row r="76973" ht="15.75" customHeight="1">
      <c r="A76973" s="7"/>
      <c r="B76973" s="7"/>
    </row>
    <row r="76974" ht="15.75" customHeight="1">
      <c r="A76974" s="7"/>
      <c r="B76974" s="7"/>
    </row>
    <row r="76975" ht="15.75" customHeight="1">
      <c r="A76975" s="7"/>
      <c r="B76975" s="7"/>
    </row>
    <row r="76976" ht="15.75" customHeight="1">
      <c r="A76976" s="7"/>
      <c r="B76976" s="7"/>
    </row>
    <row r="76977" ht="15.75" customHeight="1">
      <c r="A76977" s="7"/>
      <c r="B76977" s="7"/>
    </row>
    <row r="76978" ht="15.75" customHeight="1">
      <c r="A76978" s="7"/>
      <c r="B76978" s="7"/>
    </row>
    <row r="76979" ht="15.75" customHeight="1">
      <c r="A76979" s="7"/>
      <c r="B76979" s="7"/>
    </row>
    <row r="76980" ht="15.75" customHeight="1">
      <c r="A76980" s="7"/>
      <c r="B76980" s="7"/>
    </row>
    <row r="76981" ht="15.75" customHeight="1">
      <c r="A76981" s="7"/>
      <c r="B76981" s="7"/>
    </row>
    <row r="76982" ht="15.75" customHeight="1">
      <c r="A76982" s="7"/>
      <c r="B76982" s="7"/>
    </row>
    <row r="76983" ht="15.75" customHeight="1">
      <c r="A76983" s="7"/>
      <c r="B76983" s="7"/>
    </row>
    <row r="76984" ht="15.75" customHeight="1">
      <c r="A76984" s="7"/>
      <c r="B76984" s="7"/>
    </row>
    <row r="76985" ht="15.75" customHeight="1">
      <c r="A76985" s="7"/>
      <c r="B76985" s="7"/>
    </row>
    <row r="76986" ht="15.75" customHeight="1">
      <c r="A76986" s="7"/>
      <c r="B76986" s="7"/>
    </row>
    <row r="76987" ht="15.75" customHeight="1">
      <c r="A76987" s="7"/>
      <c r="B76987" s="7"/>
    </row>
    <row r="76988" ht="15.75" customHeight="1">
      <c r="A76988" s="7"/>
      <c r="B76988" s="7"/>
    </row>
    <row r="76989" ht="15.75" customHeight="1">
      <c r="A76989" s="7"/>
      <c r="B76989" s="7"/>
    </row>
    <row r="76990" ht="15.75" customHeight="1">
      <c r="A76990" s="7"/>
      <c r="B76990" s="7"/>
    </row>
    <row r="76991" ht="15.75" customHeight="1">
      <c r="A76991" s="7"/>
      <c r="B76991" s="7"/>
    </row>
    <row r="76992" ht="15.75" customHeight="1">
      <c r="A76992" s="7"/>
      <c r="B76992" s="7"/>
    </row>
    <row r="76993" ht="15.75" customHeight="1">
      <c r="A76993" s="7"/>
      <c r="B76993" s="7"/>
    </row>
    <row r="76994" ht="15.75" customHeight="1">
      <c r="A76994" s="7"/>
      <c r="B76994" s="7"/>
    </row>
    <row r="76995" ht="15.75" customHeight="1">
      <c r="A76995" s="7"/>
      <c r="B76995" s="7"/>
    </row>
    <row r="76996" ht="15.75" customHeight="1">
      <c r="A76996" s="7"/>
      <c r="B76996" s="7"/>
    </row>
    <row r="76997" ht="15.75" customHeight="1">
      <c r="A76997" s="7"/>
      <c r="B76997" s="7"/>
    </row>
    <row r="76998" ht="15.75" customHeight="1">
      <c r="A76998" s="7"/>
      <c r="B76998" s="7"/>
    </row>
    <row r="76999" ht="15.75" customHeight="1">
      <c r="A76999" s="7"/>
      <c r="B76999" s="7"/>
    </row>
    <row r="77000" ht="15.75" customHeight="1">
      <c r="A77000" s="7"/>
      <c r="B77000" s="7"/>
    </row>
    <row r="77001" ht="15.75" customHeight="1">
      <c r="A77001" s="7"/>
      <c r="B77001" s="7"/>
    </row>
    <row r="77002" ht="15.75" customHeight="1">
      <c r="A77002" s="7"/>
      <c r="B77002" s="7"/>
    </row>
    <row r="77003" ht="15.75" customHeight="1">
      <c r="A77003" s="7"/>
      <c r="B77003" s="7"/>
    </row>
    <row r="77004" ht="15.75" customHeight="1">
      <c r="A77004" s="7"/>
      <c r="B77004" s="7"/>
    </row>
    <row r="77005" ht="15.75" customHeight="1">
      <c r="A77005" s="7"/>
      <c r="B77005" s="7"/>
    </row>
    <row r="77006" ht="15.75" customHeight="1">
      <c r="A77006" s="7"/>
      <c r="B77006" s="7"/>
    </row>
    <row r="77007" ht="15.75" customHeight="1">
      <c r="A77007" s="7"/>
      <c r="B77007" s="7"/>
    </row>
    <row r="77008" ht="15.75" customHeight="1">
      <c r="A77008" s="7"/>
      <c r="B77008" s="7"/>
    </row>
    <row r="77009" ht="15.75" customHeight="1">
      <c r="A77009" s="7"/>
      <c r="B77009" s="7"/>
    </row>
    <row r="77010" ht="15.75" customHeight="1">
      <c r="A77010" s="7"/>
      <c r="B77010" s="7"/>
    </row>
    <row r="77011" ht="15.75" customHeight="1">
      <c r="A77011" s="7"/>
      <c r="B77011" s="7"/>
    </row>
    <row r="77012" ht="15.75" customHeight="1">
      <c r="A77012" s="7"/>
      <c r="B77012" s="7"/>
    </row>
    <row r="77013" ht="15.75" customHeight="1">
      <c r="A77013" s="7"/>
      <c r="B77013" s="7"/>
    </row>
    <row r="77014" ht="15.75" customHeight="1">
      <c r="A77014" s="7"/>
      <c r="B77014" s="7"/>
    </row>
    <row r="77015" ht="15.75" customHeight="1">
      <c r="A77015" s="7"/>
      <c r="B77015" s="7"/>
    </row>
    <row r="77016" ht="15.75" customHeight="1">
      <c r="A77016" s="7"/>
      <c r="B77016" s="7"/>
    </row>
    <row r="77017" ht="15.75" customHeight="1">
      <c r="A77017" s="7"/>
      <c r="B77017" s="7"/>
    </row>
    <row r="77018" ht="15.75" customHeight="1">
      <c r="A77018" s="7"/>
      <c r="B77018" s="7"/>
    </row>
    <row r="77019" ht="15.75" customHeight="1">
      <c r="A77019" s="7"/>
      <c r="B77019" s="7"/>
    </row>
    <row r="77020" ht="15.75" customHeight="1">
      <c r="A77020" s="7"/>
      <c r="B77020" s="7"/>
    </row>
    <row r="77021" ht="15.75" customHeight="1">
      <c r="A77021" s="7"/>
      <c r="B77021" s="7"/>
    </row>
    <row r="77022" ht="15.75" customHeight="1">
      <c r="A77022" s="7"/>
      <c r="B77022" s="7"/>
    </row>
    <row r="77023" ht="15.75" customHeight="1">
      <c r="A77023" s="7"/>
      <c r="B77023" s="7"/>
    </row>
    <row r="77024" ht="15.75" customHeight="1">
      <c r="A77024" s="7"/>
      <c r="B77024" s="7"/>
    </row>
    <row r="77025" ht="15.75" customHeight="1">
      <c r="A77025" s="7"/>
      <c r="B77025" s="7"/>
    </row>
    <row r="77026" ht="15.75" customHeight="1">
      <c r="A77026" s="7"/>
      <c r="B77026" s="7"/>
    </row>
    <row r="77027" ht="15.75" customHeight="1">
      <c r="A77027" s="7"/>
      <c r="B77027" s="7"/>
    </row>
    <row r="77028" ht="15.75" customHeight="1">
      <c r="A77028" s="7"/>
      <c r="B77028" s="7"/>
    </row>
    <row r="77029" ht="15.75" customHeight="1">
      <c r="A77029" s="7"/>
      <c r="B77029" s="7"/>
    </row>
    <row r="77030" ht="15.75" customHeight="1">
      <c r="A77030" s="7"/>
      <c r="B77030" s="7"/>
    </row>
    <row r="77031" ht="15.75" customHeight="1">
      <c r="A77031" s="7"/>
      <c r="B77031" s="7"/>
    </row>
    <row r="77032" ht="15.75" customHeight="1">
      <c r="A77032" s="7"/>
      <c r="B77032" s="7"/>
    </row>
    <row r="77033" ht="15.75" customHeight="1">
      <c r="A77033" s="7"/>
      <c r="B77033" s="7"/>
    </row>
    <row r="77034" ht="15.75" customHeight="1">
      <c r="A77034" s="7"/>
      <c r="B77034" s="7"/>
    </row>
    <row r="77035" ht="15.75" customHeight="1">
      <c r="A77035" s="7"/>
      <c r="B77035" s="7"/>
    </row>
    <row r="77036" ht="15.75" customHeight="1">
      <c r="A77036" s="7"/>
      <c r="B77036" s="7"/>
    </row>
    <row r="77037" ht="15.75" customHeight="1">
      <c r="A77037" s="7"/>
      <c r="B77037" s="7"/>
    </row>
    <row r="77038" ht="15.75" customHeight="1">
      <c r="A77038" s="7"/>
      <c r="B77038" s="7"/>
    </row>
    <row r="77039" ht="15.75" customHeight="1">
      <c r="A77039" s="7"/>
      <c r="B77039" s="7"/>
    </row>
    <row r="77040" ht="15.75" customHeight="1">
      <c r="A77040" s="7"/>
      <c r="B77040" s="7"/>
    </row>
    <row r="77041" ht="15.75" customHeight="1">
      <c r="A77041" s="7"/>
      <c r="B77041" s="7"/>
    </row>
    <row r="77042" ht="15.75" customHeight="1">
      <c r="A77042" s="7"/>
      <c r="B77042" s="7"/>
    </row>
    <row r="77043" ht="15.75" customHeight="1">
      <c r="A77043" s="7"/>
      <c r="B77043" s="7"/>
    </row>
    <row r="77044" ht="15.75" customHeight="1">
      <c r="A77044" s="7"/>
      <c r="B77044" s="7"/>
    </row>
    <row r="77045" ht="15.75" customHeight="1">
      <c r="A77045" s="7"/>
      <c r="B77045" s="7"/>
    </row>
    <row r="77046" ht="15.75" customHeight="1">
      <c r="A77046" s="7"/>
      <c r="B77046" s="7"/>
    </row>
    <row r="77047" ht="15.75" customHeight="1">
      <c r="A77047" s="7"/>
      <c r="B77047" s="7"/>
    </row>
    <row r="77048" ht="15.75" customHeight="1">
      <c r="A77048" s="7"/>
      <c r="B77048" s="7"/>
    </row>
    <row r="77049" ht="15.75" customHeight="1">
      <c r="A77049" s="7"/>
      <c r="B77049" s="7"/>
    </row>
    <row r="77050" ht="15.75" customHeight="1">
      <c r="A77050" s="7"/>
      <c r="B77050" s="7"/>
    </row>
    <row r="77051" ht="15.75" customHeight="1">
      <c r="A77051" s="7"/>
      <c r="B77051" s="7"/>
    </row>
    <row r="77052" ht="15.75" customHeight="1">
      <c r="A77052" s="7"/>
      <c r="B77052" s="7"/>
    </row>
    <row r="77053" ht="15.75" customHeight="1">
      <c r="A77053" s="7"/>
      <c r="B77053" s="7"/>
    </row>
    <row r="77054" ht="15.75" customHeight="1">
      <c r="A77054" s="7"/>
      <c r="B77054" s="7"/>
    </row>
    <row r="77055" ht="15.75" customHeight="1">
      <c r="A77055" s="7"/>
      <c r="B77055" s="7"/>
    </row>
    <row r="77056" ht="15.75" customHeight="1">
      <c r="A77056" s="7"/>
      <c r="B77056" s="7"/>
    </row>
    <row r="77057" ht="15.75" customHeight="1">
      <c r="A77057" s="7"/>
      <c r="B77057" s="7"/>
    </row>
    <row r="77058" ht="15.75" customHeight="1">
      <c r="A77058" s="7"/>
      <c r="B77058" s="7"/>
    </row>
    <row r="77059" ht="15.75" customHeight="1">
      <c r="A77059" s="7"/>
      <c r="B77059" s="7"/>
    </row>
    <row r="77060" ht="15.75" customHeight="1">
      <c r="A77060" s="7"/>
      <c r="B77060" s="7"/>
    </row>
    <row r="77061" ht="15.75" customHeight="1">
      <c r="A77061" s="7"/>
      <c r="B77061" s="7"/>
    </row>
    <row r="77062" ht="15.75" customHeight="1">
      <c r="A77062" s="7"/>
      <c r="B77062" s="7"/>
    </row>
    <row r="77063" ht="15.75" customHeight="1">
      <c r="A77063" s="7"/>
      <c r="B77063" s="7"/>
    </row>
    <row r="77064" ht="15.75" customHeight="1">
      <c r="A77064" s="7"/>
      <c r="B77064" s="7"/>
    </row>
    <row r="77065" ht="15.75" customHeight="1">
      <c r="A77065" s="7"/>
      <c r="B77065" s="7"/>
    </row>
    <row r="77066" ht="15.75" customHeight="1">
      <c r="A77066" s="7"/>
      <c r="B77066" s="7"/>
    </row>
    <row r="77067" ht="15.75" customHeight="1">
      <c r="A77067" s="7"/>
      <c r="B77067" s="7"/>
    </row>
    <row r="77068" ht="15.75" customHeight="1">
      <c r="A77068" s="7"/>
      <c r="B77068" s="7"/>
    </row>
    <row r="77069" ht="15.75" customHeight="1">
      <c r="A77069" s="7"/>
      <c r="B77069" s="7"/>
    </row>
    <row r="77070" ht="15.75" customHeight="1">
      <c r="A77070" s="7"/>
      <c r="B77070" s="7"/>
    </row>
    <row r="77071" ht="15.75" customHeight="1">
      <c r="A77071" s="7"/>
      <c r="B77071" s="7"/>
    </row>
    <row r="77072" ht="15.75" customHeight="1">
      <c r="A77072" s="7"/>
      <c r="B77072" s="7"/>
    </row>
    <row r="77073" ht="15.75" customHeight="1">
      <c r="A77073" s="7"/>
      <c r="B77073" s="7"/>
    </row>
    <row r="77074" ht="15.75" customHeight="1">
      <c r="A77074" s="7"/>
      <c r="B77074" s="7"/>
    </row>
    <row r="77075" ht="15.75" customHeight="1">
      <c r="A77075" s="7"/>
      <c r="B77075" s="7"/>
    </row>
    <row r="77076" ht="15.75" customHeight="1">
      <c r="A77076" s="7"/>
      <c r="B77076" s="7"/>
    </row>
    <row r="77077" ht="15.75" customHeight="1">
      <c r="A77077" s="7"/>
      <c r="B77077" s="7"/>
    </row>
    <row r="77078" ht="15.75" customHeight="1">
      <c r="A77078" s="7"/>
      <c r="B77078" s="7"/>
    </row>
    <row r="77079" ht="15.75" customHeight="1">
      <c r="A77079" s="7"/>
      <c r="B77079" s="7"/>
    </row>
    <row r="77080" ht="15.75" customHeight="1">
      <c r="A77080" s="7"/>
      <c r="B77080" s="7"/>
    </row>
    <row r="77081" ht="15.75" customHeight="1">
      <c r="A77081" s="7"/>
      <c r="B77081" s="7"/>
    </row>
    <row r="77082" ht="15.75" customHeight="1">
      <c r="A77082" s="7"/>
      <c r="B77082" s="7"/>
    </row>
    <row r="77083" ht="15.75" customHeight="1">
      <c r="A77083" s="7"/>
      <c r="B77083" s="7"/>
    </row>
    <row r="77084" ht="15.75" customHeight="1">
      <c r="A77084" s="7"/>
      <c r="B77084" s="7"/>
    </row>
    <row r="77085" ht="15.75" customHeight="1">
      <c r="A77085" s="7"/>
      <c r="B77085" s="7"/>
    </row>
    <row r="77086" ht="15.75" customHeight="1">
      <c r="A77086" s="7"/>
      <c r="B77086" s="7"/>
    </row>
    <row r="77087" ht="15.75" customHeight="1">
      <c r="A77087" s="7"/>
      <c r="B77087" s="7"/>
    </row>
    <row r="77088" ht="15.75" customHeight="1">
      <c r="A77088" s="7"/>
      <c r="B77088" s="7"/>
    </row>
    <row r="77089" ht="15.75" customHeight="1">
      <c r="A77089" s="7"/>
      <c r="B77089" s="7"/>
    </row>
    <row r="77090" ht="15.75" customHeight="1">
      <c r="A77090" s="7"/>
      <c r="B77090" s="7"/>
    </row>
    <row r="77091" ht="15.75" customHeight="1">
      <c r="A77091" s="7"/>
      <c r="B77091" s="7"/>
    </row>
    <row r="77092" ht="15.75" customHeight="1">
      <c r="A77092" s="7"/>
      <c r="B77092" s="7"/>
    </row>
    <row r="77093" ht="15.75" customHeight="1">
      <c r="A77093" s="7"/>
      <c r="B77093" s="7"/>
    </row>
    <row r="77094" ht="15.75" customHeight="1">
      <c r="A77094" s="7"/>
      <c r="B77094" s="7"/>
    </row>
    <row r="77095" ht="15.75" customHeight="1">
      <c r="A77095" s="7"/>
      <c r="B77095" s="7"/>
    </row>
    <row r="77096" ht="15.75" customHeight="1">
      <c r="A77096" s="7"/>
      <c r="B77096" s="7"/>
    </row>
    <row r="77097" ht="15.75" customHeight="1">
      <c r="A77097" s="7"/>
      <c r="B77097" s="7"/>
    </row>
    <row r="77098" ht="15.75" customHeight="1">
      <c r="A77098" s="7"/>
      <c r="B77098" s="7"/>
    </row>
    <row r="77099" ht="15.75" customHeight="1">
      <c r="A77099" s="7"/>
      <c r="B77099" s="7"/>
    </row>
    <row r="77100" ht="15.75" customHeight="1">
      <c r="A77100" s="7"/>
      <c r="B77100" s="7"/>
    </row>
    <row r="77101" ht="15.75" customHeight="1">
      <c r="A77101" s="7"/>
      <c r="B77101" s="7"/>
    </row>
    <row r="77102" ht="15.75" customHeight="1">
      <c r="A77102" s="7"/>
      <c r="B77102" s="7"/>
    </row>
    <row r="77103" ht="15.75" customHeight="1">
      <c r="A77103" s="7"/>
      <c r="B77103" s="7"/>
    </row>
    <row r="77104" ht="15.75" customHeight="1">
      <c r="A77104" s="7"/>
      <c r="B77104" s="7"/>
    </row>
    <row r="77105" ht="15.75" customHeight="1">
      <c r="A77105" s="7"/>
      <c r="B77105" s="7"/>
    </row>
    <row r="77106" ht="15.75" customHeight="1">
      <c r="A77106" s="7"/>
      <c r="B77106" s="7"/>
    </row>
    <row r="77107" ht="15.75" customHeight="1">
      <c r="A77107" s="7"/>
      <c r="B77107" s="7"/>
    </row>
    <row r="77108" ht="15.75" customHeight="1">
      <c r="A77108" s="7"/>
      <c r="B77108" s="7"/>
    </row>
    <row r="77109" ht="15.75" customHeight="1">
      <c r="A77109" s="7"/>
      <c r="B77109" s="7"/>
    </row>
    <row r="77110" ht="15.75" customHeight="1">
      <c r="A77110" s="7"/>
      <c r="B77110" s="7"/>
    </row>
    <row r="77111" ht="15.75" customHeight="1">
      <c r="A77111" s="7"/>
      <c r="B77111" s="7"/>
    </row>
    <row r="77112" ht="15.75" customHeight="1">
      <c r="A77112" s="7"/>
      <c r="B77112" s="7"/>
    </row>
    <row r="77113" ht="15.75" customHeight="1">
      <c r="A77113" s="7"/>
      <c r="B77113" s="7"/>
    </row>
    <row r="77114" ht="15.75" customHeight="1">
      <c r="A77114" s="7"/>
      <c r="B77114" s="7"/>
    </row>
    <row r="77115" ht="15.75" customHeight="1">
      <c r="A77115" s="7"/>
      <c r="B77115" s="7"/>
    </row>
    <row r="77116" ht="15.75" customHeight="1">
      <c r="A77116" s="7"/>
      <c r="B77116" s="7"/>
    </row>
    <row r="77117" ht="15.75" customHeight="1">
      <c r="A77117" s="7"/>
      <c r="B77117" s="7"/>
    </row>
    <row r="77118" ht="15.75" customHeight="1">
      <c r="A77118" s="7"/>
      <c r="B77118" s="7"/>
    </row>
    <row r="77119" ht="15.75" customHeight="1">
      <c r="A77119" s="7"/>
      <c r="B77119" s="7"/>
    </row>
    <row r="77120" ht="15.75" customHeight="1">
      <c r="A77120" s="7"/>
      <c r="B77120" s="7"/>
    </row>
    <row r="77121" ht="15.75" customHeight="1">
      <c r="A77121" s="7"/>
      <c r="B77121" s="7"/>
    </row>
    <row r="77122" ht="15.75" customHeight="1">
      <c r="A77122" s="7"/>
      <c r="B77122" s="7"/>
    </row>
    <row r="77123" ht="15.75" customHeight="1">
      <c r="A77123" s="7"/>
      <c r="B77123" s="7"/>
    </row>
    <row r="77124" ht="15.75" customHeight="1">
      <c r="A77124" s="7"/>
      <c r="B77124" s="7"/>
    </row>
    <row r="77125" ht="15.75" customHeight="1">
      <c r="A77125" s="7"/>
      <c r="B77125" s="7"/>
    </row>
    <row r="77126" ht="15.75" customHeight="1">
      <c r="A77126" s="7"/>
      <c r="B77126" s="7"/>
    </row>
    <row r="77127" ht="15.75" customHeight="1">
      <c r="A77127" s="7"/>
      <c r="B77127" s="7"/>
    </row>
    <row r="77128" ht="15.75" customHeight="1">
      <c r="A77128" s="7"/>
      <c r="B77128" s="7"/>
    </row>
    <row r="77129" ht="15.75" customHeight="1">
      <c r="A77129" s="7"/>
      <c r="B77129" s="7"/>
    </row>
    <row r="77130" ht="15.75" customHeight="1">
      <c r="A77130" s="7"/>
      <c r="B77130" s="7"/>
    </row>
    <row r="77131" ht="15.75" customHeight="1">
      <c r="A77131" s="7"/>
      <c r="B77131" s="7"/>
    </row>
    <row r="77132" ht="15.75" customHeight="1">
      <c r="A77132" s="7"/>
      <c r="B77132" s="7"/>
    </row>
    <row r="77133" ht="15.75" customHeight="1">
      <c r="A77133" s="7"/>
      <c r="B77133" s="7"/>
    </row>
    <row r="77134" ht="15.75" customHeight="1">
      <c r="A77134" s="7"/>
      <c r="B77134" s="7"/>
    </row>
    <row r="77135" ht="15.75" customHeight="1">
      <c r="A77135" s="7"/>
      <c r="B77135" s="7"/>
    </row>
    <row r="77136" ht="15.75" customHeight="1">
      <c r="A77136" s="7"/>
      <c r="B77136" s="7"/>
    </row>
    <row r="77137" ht="15.75" customHeight="1">
      <c r="A77137" s="7"/>
      <c r="B77137" s="7"/>
    </row>
    <row r="77138" ht="15.75" customHeight="1">
      <c r="A77138" s="7"/>
      <c r="B77138" s="7"/>
    </row>
    <row r="77139" ht="15.75" customHeight="1">
      <c r="A77139" s="7"/>
      <c r="B77139" s="7"/>
    </row>
    <row r="77140" ht="15.75" customHeight="1">
      <c r="A77140" s="7"/>
      <c r="B77140" s="7"/>
    </row>
    <row r="77141" ht="15.75" customHeight="1">
      <c r="A77141" s="7"/>
      <c r="B77141" s="7"/>
    </row>
    <row r="77142" ht="15.75" customHeight="1">
      <c r="A77142" s="7"/>
      <c r="B77142" s="7"/>
    </row>
    <row r="77143" ht="15.75" customHeight="1">
      <c r="A77143" s="7"/>
      <c r="B77143" s="7"/>
    </row>
    <row r="77144" ht="15.75" customHeight="1">
      <c r="A77144" s="7"/>
      <c r="B77144" s="7"/>
    </row>
    <row r="77145" ht="15.75" customHeight="1">
      <c r="A77145" s="7"/>
      <c r="B77145" s="7"/>
    </row>
    <row r="77146" ht="15.75" customHeight="1">
      <c r="A77146" s="7"/>
      <c r="B77146" s="7"/>
    </row>
    <row r="77147" ht="15.75" customHeight="1">
      <c r="A77147" s="7"/>
      <c r="B77147" s="7"/>
    </row>
    <row r="77148" ht="15.75" customHeight="1">
      <c r="A77148" s="7"/>
      <c r="B77148" s="7"/>
    </row>
    <row r="77149" ht="15.75" customHeight="1">
      <c r="A77149" s="7"/>
      <c r="B77149" s="7"/>
    </row>
    <row r="77150" ht="15.75" customHeight="1">
      <c r="A77150" s="7"/>
      <c r="B77150" s="7"/>
    </row>
    <row r="77151" ht="15.75" customHeight="1">
      <c r="A77151" s="7"/>
      <c r="B77151" s="7"/>
    </row>
    <row r="77152" ht="15.75" customHeight="1">
      <c r="A77152" s="7"/>
      <c r="B77152" s="7"/>
    </row>
    <row r="77153" ht="15.75" customHeight="1">
      <c r="A77153" s="7"/>
      <c r="B77153" s="7"/>
    </row>
    <row r="77154" ht="15.75" customHeight="1">
      <c r="A77154" s="7"/>
      <c r="B77154" s="7"/>
    </row>
    <row r="77155" ht="15.75" customHeight="1">
      <c r="A77155" s="7"/>
      <c r="B77155" s="7"/>
    </row>
    <row r="77156" ht="15.75" customHeight="1">
      <c r="A77156" s="7"/>
      <c r="B77156" s="7"/>
    </row>
    <row r="77157" ht="15.75" customHeight="1">
      <c r="A77157" s="7"/>
      <c r="B77157" s="7"/>
    </row>
    <row r="77158" ht="15.75" customHeight="1">
      <c r="A77158" s="7"/>
      <c r="B77158" s="7"/>
    </row>
    <row r="77159" ht="15.75" customHeight="1">
      <c r="A77159" s="7"/>
      <c r="B77159" s="7"/>
    </row>
    <row r="77160" ht="15.75" customHeight="1">
      <c r="A77160" s="7"/>
      <c r="B77160" s="7"/>
    </row>
    <row r="77161" ht="15.75" customHeight="1">
      <c r="A77161" s="7"/>
      <c r="B77161" s="7"/>
    </row>
    <row r="77162" ht="15.75" customHeight="1">
      <c r="A77162" s="7"/>
      <c r="B77162" s="7"/>
    </row>
    <row r="77163" ht="15.75" customHeight="1">
      <c r="A77163" s="7"/>
      <c r="B77163" s="7"/>
    </row>
    <row r="77164" ht="15.75" customHeight="1">
      <c r="A77164" s="7"/>
      <c r="B77164" s="7"/>
    </row>
    <row r="77165" ht="15.75" customHeight="1">
      <c r="A77165" s="7"/>
      <c r="B77165" s="7"/>
    </row>
    <row r="77166" ht="15.75" customHeight="1">
      <c r="A77166" s="7"/>
      <c r="B77166" s="7"/>
    </row>
    <row r="77167" ht="15.75" customHeight="1">
      <c r="A77167" s="7"/>
      <c r="B77167" s="7"/>
    </row>
    <row r="77168" ht="15.75" customHeight="1">
      <c r="A77168" s="7"/>
      <c r="B77168" s="7"/>
    </row>
    <row r="77169" ht="15.75" customHeight="1">
      <c r="A77169" s="7"/>
      <c r="B77169" s="7"/>
    </row>
    <row r="77170" ht="15.75" customHeight="1">
      <c r="A77170" s="7"/>
      <c r="B77170" s="7"/>
    </row>
    <row r="77171" ht="15.75" customHeight="1">
      <c r="A77171" s="7"/>
      <c r="B77171" s="7"/>
    </row>
    <row r="77172" ht="15.75" customHeight="1">
      <c r="A77172" s="7"/>
      <c r="B77172" s="7"/>
    </row>
    <row r="77173" ht="15.75" customHeight="1">
      <c r="A77173" s="7"/>
      <c r="B77173" s="7"/>
    </row>
    <row r="77174" ht="15.75" customHeight="1">
      <c r="A77174" s="7"/>
      <c r="B77174" s="7"/>
    </row>
    <row r="77175" ht="15.75" customHeight="1">
      <c r="A77175" s="7"/>
      <c r="B77175" s="7"/>
    </row>
    <row r="77176" ht="15.75" customHeight="1">
      <c r="A77176" s="7"/>
      <c r="B77176" s="7"/>
    </row>
    <row r="77177" ht="15.75" customHeight="1">
      <c r="A77177" s="7"/>
      <c r="B77177" s="7"/>
    </row>
    <row r="77178" ht="15.75" customHeight="1">
      <c r="A77178" s="7"/>
      <c r="B77178" s="7"/>
    </row>
    <row r="77179" ht="15.75" customHeight="1">
      <c r="A77179" s="7"/>
      <c r="B77179" s="7"/>
    </row>
    <row r="77180" ht="15.75" customHeight="1">
      <c r="A77180" s="7"/>
      <c r="B77180" s="7"/>
    </row>
    <row r="77181" ht="15.75" customHeight="1">
      <c r="A77181" s="7"/>
      <c r="B77181" s="7"/>
    </row>
    <row r="77182" ht="15.75" customHeight="1">
      <c r="A77182" s="7"/>
      <c r="B77182" s="7"/>
    </row>
    <row r="77183" ht="15.75" customHeight="1">
      <c r="A77183" s="7"/>
      <c r="B77183" s="7"/>
    </row>
    <row r="77184" ht="15.75" customHeight="1">
      <c r="A77184" s="7"/>
      <c r="B77184" s="7"/>
    </row>
    <row r="77185" ht="15.75" customHeight="1">
      <c r="A77185" s="7"/>
      <c r="B77185" s="7"/>
    </row>
    <row r="77186" ht="15.75" customHeight="1">
      <c r="A77186" s="7"/>
      <c r="B77186" s="7"/>
    </row>
    <row r="77187" ht="15.75" customHeight="1">
      <c r="A77187" s="7"/>
      <c r="B77187" s="7"/>
    </row>
    <row r="77188" ht="15.75" customHeight="1">
      <c r="A77188" s="7"/>
      <c r="B77188" s="7"/>
    </row>
    <row r="77189" ht="15.75" customHeight="1">
      <c r="A77189" s="7"/>
      <c r="B77189" s="7"/>
    </row>
    <row r="77190" ht="15.75" customHeight="1">
      <c r="A77190" s="7"/>
      <c r="B77190" s="7"/>
    </row>
    <row r="77191" ht="15.75" customHeight="1">
      <c r="A77191" s="7"/>
      <c r="B77191" s="7"/>
    </row>
    <row r="77192" ht="15.75" customHeight="1">
      <c r="A77192" s="7"/>
      <c r="B77192" s="7"/>
    </row>
    <row r="77193" ht="15.75" customHeight="1">
      <c r="A77193" s="7"/>
      <c r="B77193" s="7"/>
    </row>
    <row r="77194" ht="15.75" customHeight="1">
      <c r="A77194" s="7"/>
      <c r="B77194" s="7"/>
    </row>
    <row r="77195" ht="15.75" customHeight="1">
      <c r="A77195" s="7"/>
      <c r="B77195" s="7"/>
    </row>
    <row r="77196" ht="15.75" customHeight="1">
      <c r="A77196" s="7"/>
      <c r="B77196" s="7"/>
    </row>
    <row r="77197" ht="15.75" customHeight="1">
      <c r="A77197" s="7"/>
      <c r="B77197" s="7"/>
    </row>
    <row r="77198" ht="15.75" customHeight="1">
      <c r="A77198" s="7"/>
      <c r="B77198" s="7"/>
    </row>
    <row r="77199" ht="15.75" customHeight="1">
      <c r="A77199" s="7"/>
      <c r="B77199" s="7"/>
    </row>
    <row r="77200" ht="15.75" customHeight="1">
      <c r="A77200" s="7"/>
      <c r="B77200" s="7"/>
    </row>
    <row r="77201" ht="15.75" customHeight="1">
      <c r="A77201" s="7"/>
      <c r="B77201" s="7"/>
    </row>
    <row r="77202" ht="15.75" customHeight="1">
      <c r="A77202" s="7"/>
      <c r="B77202" s="7"/>
    </row>
    <row r="77203" ht="15.75" customHeight="1">
      <c r="A77203" s="7"/>
      <c r="B77203" s="7"/>
    </row>
    <row r="77204" ht="15.75" customHeight="1">
      <c r="A77204" s="7"/>
      <c r="B77204" s="7"/>
    </row>
    <row r="77205" ht="15.75" customHeight="1">
      <c r="A77205" s="7"/>
      <c r="B77205" s="7"/>
    </row>
    <row r="77206" ht="15.75" customHeight="1">
      <c r="A77206" s="7"/>
      <c r="B77206" s="7"/>
    </row>
    <row r="77207" ht="15.75" customHeight="1">
      <c r="A77207" s="7"/>
      <c r="B77207" s="7"/>
    </row>
    <row r="77208" ht="15.75" customHeight="1">
      <c r="A77208" s="7"/>
      <c r="B77208" s="7"/>
    </row>
    <row r="77209" ht="15.75" customHeight="1">
      <c r="A77209" s="7"/>
      <c r="B77209" s="7"/>
    </row>
    <row r="77210" ht="15.75" customHeight="1">
      <c r="A77210" s="7"/>
      <c r="B77210" s="7"/>
    </row>
    <row r="77211" ht="15.75" customHeight="1">
      <c r="A77211" s="7"/>
      <c r="B77211" s="7"/>
    </row>
    <row r="77212" ht="15.75" customHeight="1">
      <c r="A77212" s="7"/>
      <c r="B77212" s="7"/>
    </row>
    <row r="77213" ht="15.75" customHeight="1">
      <c r="A77213" s="7"/>
      <c r="B77213" s="7"/>
    </row>
    <row r="77214" ht="15.75" customHeight="1">
      <c r="A77214" s="7"/>
      <c r="B77214" s="7"/>
    </row>
    <row r="77215" ht="15.75" customHeight="1">
      <c r="A77215" s="7"/>
      <c r="B77215" s="7"/>
    </row>
    <row r="77216" ht="15.75" customHeight="1">
      <c r="A77216" s="7"/>
      <c r="B77216" s="7"/>
    </row>
    <row r="77217" ht="15.75" customHeight="1">
      <c r="A77217" s="7"/>
      <c r="B77217" s="7"/>
    </row>
    <row r="77218" ht="15.75" customHeight="1">
      <c r="A77218" s="7"/>
      <c r="B77218" s="7"/>
    </row>
    <row r="77219" ht="15.75" customHeight="1">
      <c r="A77219" s="7"/>
      <c r="B77219" s="7"/>
    </row>
    <row r="77220" ht="15.75" customHeight="1">
      <c r="A77220" s="7"/>
      <c r="B77220" s="7"/>
    </row>
    <row r="77221" ht="15.75" customHeight="1">
      <c r="A77221" s="7"/>
      <c r="B77221" s="7"/>
    </row>
    <row r="77222" ht="15.75" customHeight="1">
      <c r="A77222" s="7"/>
      <c r="B77222" s="7"/>
    </row>
    <row r="77223" ht="15.75" customHeight="1">
      <c r="A77223" s="7"/>
      <c r="B77223" s="7"/>
    </row>
    <row r="77224" ht="15.75" customHeight="1">
      <c r="A77224" s="7"/>
      <c r="B77224" s="7"/>
    </row>
    <row r="77225" ht="15.75" customHeight="1">
      <c r="A77225" s="7"/>
      <c r="B77225" s="7"/>
    </row>
    <row r="77226" ht="15.75" customHeight="1">
      <c r="A77226" s="7"/>
      <c r="B77226" s="7"/>
    </row>
    <row r="77227" ht="15.75" customHeight="1">
      <c r="A77227" s="7"/>
      <c r="B77227" s="7"/>
    </row>
    <row r="77228" ht="15.75" customHeight="1">
      <c r="A77228" s="7"/>
      <c r="B77228" s="7"/>
    </row>
    <row r="77229" ht="15.75" customHeight="1">
      <c r="A77229" s="7"/>
      <c r="B77229" s="7"/>
    </row>
    <row r="77230" ht="15.75" customHeight="1">
      <c r="A77230" s="7"/>
      <c r="B77230" s="7"/>
    </row>
    <row r="77231" ht="15.75" customHeight="1">
      <c r="A77231" s="7"/>
      <c r="B77231" s="7"/>
    </row>
    <row r="77232" ht="15.75" customHeight="1">
      <c r="A77232" s="7"/>
      <c r="B77232" s="7"/>
    </row>
    <row r="77233" ht="15.75" customHeight="1">
      <c r="A77233" s="7"/>
      <c r="B77233" s="7"/>
    </row>
    <row r="77234" ht="15.75" customHeight="1">
      <c r="A77234" s="7"/>
      <c r="B77234" s="7"/>
    </row>
    <row r="77235" ht="15.75" customHeight="1">
      <c r="A77235" s="7"/>
      <c r="B77235" s="7"/>
    </row>
    <row r="77236" ht="15.75" customHeight="1">
      <c r="A77236" s="7"/>
      <c r="B77236" s="7"/>
    </row>
    <row r="77237" ht="15.75" customHeight="1">
      <c r="A77237" s="7"/>
      <c r="B77237" s="7"/>
    </row>
    <row r="77238" ht="15.75" customHeight="1">
      <c r="A77238" s="7"/>
      <c r="B77238" s="7"/>
    </row>
    <row r="77239" ht="15.75" customHeight="1">
      <c r="A77239" s="7"/>
      <c r="B77239" s="7"/>
    </row>
    <row r="77240" ht="15.75" customHeight="1">
      <c r="A77240" s="7"/>
      <c r="B77240" s="7"/>
    </row>
    <row r="77241" ht="15.75" customHeight="1">
      <c r="A77241" s="7"/>
      <c r="B77241" s="7"/>
    </row>
    <row r="77242" ht="15.75" customHeight="1">
      <c r="A77242" s="7"/>
      <c r="B77242" s="7"/>
    </row>
    <row r="77243" ht="15.75" customHeight="1">
      <c r="A77243" s="7"/>
      <c r="B77243" s="7"/>
    </row>
    <row r="77244" ht="15.75" customHeight="1">
      <c r="A77244" s="7"/>
      <c r="B77244" s="7"/>
    </row>
    <row r="77245" ht="15.75" customHeight="1">
      <c r="A77245" s="7"/>
      <c r="B77245" s="7"/>
    </row>
    <row r="77246" ht="15.75" customHeight="1">
      <c r="A77246" s="7"/>
      <c r="B77246" s="7"/>
    </row>
    <row r="77247" ht="15.75" customHeight="1">
      <c r="A77247" s="7"/>
      <c r="B77247" s="7"/>
    </row>
    <row r="77248" ht="15.75" customHeight="1">
      <c r="A77248" s="7"/>
      <c r="B77248" s="7"/>
    </row>
    <row r="77249" ht="15.75" customHeight="1">
      <c r="A77249" s="7"/>
      <c r="B77249" s="7"/>
    </row>
    <row r="77250" ht="15.75" customHeight="1">
      <c r="A77250" s="7"/>
      <c r="B77250" s="7"/>
    </row>
    <row r="77251" ht="15.75" customHeight="1">
      <c r="A77251" s="7"/>
      <c r="B77251" s="7"/>
    </row>
    <row r="77252" ht="15.75" customHeight="1">
      <c r="A77252" s="7"/>
      <c r="B77252" s="7"/>
    </row>
    <row r="77253" ht="15.75" customHeight="1">
      <c r="A77253" s="7"/>
      <c r="B77253" s="7"/>
    </row>
    <row r="77254" ht="15.75" customHeight="1">
      <c r="A77254" s="7"/>
      <c r="B77254" s="7"/>
    </row>
    <row r="77255" ht="15.75" customHeight="1">
      <c r="A77255" s="7"/>
      <c r="B77255" s="7"/>
    </row>
    <row r="77256" ht="15.75" customHeight="1">
      <c r="A77256" s="7"/>
      <c r="B77256" s="7"/>
    </row>
    <row r="77257" ht="15.75" customHeight="1">
      <c r="A77257" s="7"/>
      <c r="B77257" s="7"/>
    </row>
    <row r="77258" ht="15.75" customHeight="1">
      <c r="A77258" s="7"/>
      <c r="B77258" s="7"/>
    </row>
    <row r="77259" ht="15.75" customHeight="1">
      <c r="A77259" s="7"/>
      <c r="B77259" s="7"/>
    </row>
    <row r="77260" ht="15.75" customHeight="1">
      <c r="A77260" s="7"/>
      <c r="B77260" s="7"/>
    </row>
    <row r="77261" ht="15.75" customHeight="1">
      <c r="A77261" s="7"/>
      <c r="B77261" s="7"/>
    </row>
    <row r="77262" ht="15.75" customHeight="1">
      <c r="A77262" s="7"/>
      <c r="B77262" s="7"/>
    </row>
    <row r="77263" ht="15.75" customHeight="1">
      <c r="A77263" s="7"/>
      <c r="B77263" s="7"/>
    </row>
    <row r="77264" ht="15.75" customHeight="1">
      <c r="A77264" s="7"/>
      <c r="B77264" s="7"/>
    </row>
    <row r="77265" ht="15.75" customHeight="1">
      <c r="A77265" s="7"/>
      <c r="B77265" s="7"/>
    </row>
    <row r="77266" ht="15.75" customHeight="1">
      <c r="A77266" s="7"/>
      <c r="B77266" s="7"/>
    </row>
    <row r="77267" ht="15.75" customHeight="1">
      <c r="A77267" s="7"/>
      <c r="B77267" s="7"/>
    </row>
    <row r="77268" ht="15.75" customHeight="1">
      <c r="A77268" s="7"/>
      <c r="B77268" s="7"/>
    </row>
    <row r="77269" ht="15.75" customHeight="1">
      <c r="A77269" s="7"/>
      <c r="B77269" s="7"/>
    </row>
    <row r="77270" ht="15.75" customHeight="1">
      <c r="A77270" s="7"/>
      <c r="B77270" s="7"/>
    </row>
    <row r="77271" ht="15.75" customHeight="1">
      <c r="A77271" s="7"/>
      <c r="B77271" s="7"/>
    </row>
    <row r="77272" ht="15.75" customHeight="1">
      <c r="A77272" s="7"/>
      <c r="B77272" s="7"/>
    </row>
    <row r="77273" ht="15.75" customHeight="1">
      <c r="A77273" s="7"/>
      <c r="B77273" s="7"/>
    </row>
    <row r="77274" ht="15.75" customHeight="1">
      <c r="A77274" s="7"/>
      <c r="B77274" s="7"/>
    </row>
    <row r="77275" ht="15.75" customHeight="1">
      <c r="A77275" s="7"/>
      <c r="B77275" s="7"/>
    </row>
    <row r="77276" ht="15.75" customHeight="1">
      <c r="A77276" s="7"/>
      <c r="B77276" s="7"/>
    </row>
    <row r="77277" ht="15.75" customHeight="1">
      <c r="A77277" s="7"/>
      <c r="B77277" s="7"/>
    </row>
    <row r="77278" ht="15.75" customHeight="1">
      <c r="A77278" s="7"/>
      <c r="B77278" s="7"/>
    </row>
    <row r="77279" ht="15.75" customHeight="1">
      <c r="A77279" s="7"/>
      <c r="B77279" s="7"/>
    </row>
    <row r="77280" ht="15.75" customHeight="1">
      <c r="A77280" s="7"/>
      <c r="B77280" s="7"/>
    </row>
    <row r="77281" ht="15.75" customHeight="1">
      <c r="A77281" s="7"/>
      <c r="B77281" s="7"/>
    </row>
    <row r="77282" ht="15.75" customHeight="1">
      <c r="A77282" s="7"/>
      <c r="B77282" s="7"/>
    </row>
    <row r="77283" ht="15.75" customHeight="1">
      <c r="A77283" s="7"/>
      <c r="B77283" s="7"/>
    </row>
    <row r="77284" ht="15.75" customHeight="1">
      <c r="A77284" s="7"/>
      <c r="B77284" s="7"/>
    </row>
    <row r="77285" ht="15.75" customHeight="1">
      <c r="A77285" s="7"/>
      <c r="B77285" s="7"/>
    </row>
    <row r="77286" ht="15.75" customHeight="1">
      <c r="A77286" s="7"/>
      <c r="B77286" s="7"/>
    </row>
    <row r="77287" ht="15.75" customHeight="1">
      <c r="A77287" s="7"/>
      <c r="B77287" s="7"/>
    </row>
    <row r="77288" ht="15.75" customHeight="1">
      <c r="A77288" s="7"/>
      <c r="B77288" s="7"/>
    </row>
    <row r="77289" ht="15.75" customHeight="1">
      <c r="A77289" s="7"/>
      <c r="B77289" s="7"/>
    </row>
    <row r="77290" ht="15.75" customHeight="1">
      <c r="A77290" s="7"/>
      <c r="B77290" s="7"/>
    </row>
    <row r="77291" ht="15.75" customHeight="1">
      <c r="A77291" s="7"/>
      <c r="B77291" s="7"/>
    </row>
    <row r="77292" ht="15.75" customHeight="1">
      <c r="A77292" s="7"/>
      <c r="B77292" s="7"/>
    </row>
    <row r="77293" ht="15.75" customHeight="1">
      <c r="A77293" s="7"/>
      <c r="B77293" s="7"/>
    </row>
    <row r="77294" ht="15.75" customHeight="1">
      <c r="A77294" s="7"/>
      <c r="B77294" s="7"/>
    </row>
    <row r="77295" ht="15.75" customHeight="1">
      <c r="A77295" s="7"/>
      <c r="B77295" s="7"/>
    </row>
    <row r="77296" ht="15.75" customHeight="1">
      <c r="A77296" s="7"/>
      <c r="B77296" s="7"/>
    </row>
    <row r="77297" ht="15.75" customHeight="1">
      <c r="A77297" s="7"/>
      <c r="B77297" s="7"/>
    </row>
    <row r="77298" ht="15.75" customHeight="1">
      <c r="A77298" s="7"/>
      <c r="B77298" s="7"/>
    </row>
    <row r="77299" ht="15.75" customHeight="1">
      <c r="A77299" s="7"/>
      <c r="B77299" s="7"/>
    </row>
    <row r="77300" ht="15.75" customHeight="1">
      <c r="A77300" s="7"/>
      <c r="B77300" s="7"/>
    </row>
    <row r="77301" ht="15.75" customHeight="1">
      <c r="A77301" s="7"/>
      <c r="B77301" s="7"/>
    </row>
    <row r="77302" ht="15.75" customHeight="1">
      <c r="A77302" s="7"/>
      <c r="B77302" s="7"/>
    </row>
    <row r="77303" ht="15.75" customHeight="1">
      <c r="A77303" s="7"/>
      <c r="B77303" s="7"/>
    </row>
    <row r="77304" ht="15.75" customHeight="1">
      <c r="A77304" s="7"/>
      <c r="B77304" s="7"/>
    </row>
    <row r="77305" ht="15.75" customHeight="1">
      <c r="A77305" s="7"/>
      <c r="B77305" s="7"/>
    </row>
    <row r="77306" ht="15.75" customHeight="1">
      <c r="A77306" s="7"/>
      <c r="B77306" s="7"/>
    </row>
    <row r="77307" ht="15.75" customHeight="1">
      <c r="A77307" s="7"/>
      <c r="B77307" s="7"/>
    </row>
    <row r="77308" ht="15.75" customHeight="1">
      <c r="A77308" s="7"/>
      <c r="B77308" s="7"/>
    </row>
    <row r="77309" ht="15.75" customHeight="1">
      <c r="A77309" s="7"/>
      <c r="B77309" s="7"/>
    </row>
    <row r="77310" ht="15.75" customHeight="1">
      <c r="A77310" s="7"/>
      <c r="B77310" s="7"/>
    </row>
    <row r="77311" ht="15.75" customHeight="1">
      <c r="A77311" s="7"/>
      <c r="B77311" s="7"/>
    </row>
    <row r="77312" ht="15.75" customHeight="1">
      <c r="A77312" s="7"/>
      <c r="B77312" s="7"/>
    </row>
    <row r="77313" ht="15.75" customHeight="1">
      <c r="A77313" s="7"/>
      <c r="B77313" s="7"/>
    </row>
    <row r="77314" ht="15.75" customHeight="1">
      <c r="A77314" s="7"/>
      <c r="B77314" s="7"/>
    </row>
    <row r="77315" ht="15.75" customHeight="1">
      <c r="A77315" s="7"/>
      <c r="B77315" s="7"/>
    </row>
    <row r="77316" ht="15.75" customHeight="1">
      <c r="A77316" s="7"/>
      <c r="B77316" s="7"/>
    </row>
    <row r="77317" ht="15.75" customHeight="1">
      <c r="A77317" s="7"/>
      <c r="B77317" s="7"/>
    </row>
    <row r="77318" ht="15.75" customHeight="1">
      <c r="A77318" s="7"/>
      <c r="B77318" s="7"/>
    </row>
    <row r="77319" ht="15.75" customHeight="1">
      <c r="A77319" s="7"/>
      <c r="B77319" s="7"/>
    </row>
    <row r="77320" ht="15.75" customHeight="1">
      <c r="A77320" s="7"/>
      <c r="B77320" s="7"/>
    </row>
    <row r="77321" ht="15.75" customHeight="1">
      <c r="A77321" s="7"/>
      <c r="B77321" s="7"/>
    </row>
    <row r="77322" ht="15.75" customHeight="1">
      <c r="A77322" s="7"/>
      <c r="B77322" s="7"/>
    </row>
    <row r="77323" ht="15.75" customHeight="1">
      <c r="A77323" s="7"/>
      <c r="B77323" s="7"/>
    </row>
    <row r="77324" ht="15.75" customHeight="1">
      <c r="A77324" s="7"/>
      <c r="B77324" s="7"/>
    </row>
    <row r="77325" ht="15.75" customHeight="1">
      <c r="A77325" s="7"/>
      <c r="B77325" s="7"/>
    </row>
    <row r="77326" ht="15.75" customHeight="1">
      <c r="A77326" s="7"/>
      <c r="B77326" s="7"/>
    </row>
    <row r="77327" ht="15.75" customHeight="1">
      <c r="A77327" s="7"/>
      <c r="B77327" s="7"/>
    </row>
    <row r="77328" ht="15.75" customHeight="1">
      <c r="A77328" s="7"/>
      <c r="B77328" s="7"/>
    </row>
    <row r="77329" ht="15.75" customHeight="1">
      <c r="A77329" s="7"/>
      <c r="B77329" s="7"/>
    </row>
    <row r="77330" ht="15.75" customHeight="1">
      <c r="A77330" s="7"/>
      <c r="B77330" s="7"/>
    </row>
    <row r="77331" ht="15.75" customHeight="1">
      <c r="A77331" s="7"/>
      <c r="B77331" s="7"/>
    </row>
    <row r="77332" ht="15.75" customHeight="1">
      <c r="A77332" s="7"/>
      <c r="B77332" s="7"/>
    </row>
    <row r="77333" ht="15.75" customHeight="1">
      <c r="A77333" s="7"/>
      <c r="B77333" s="7"/>
    </row>
    <row r="77334" ht="15.75" customHeight="1">
      <c r="A77334" s="7"/>
      <c r="B77334" s="7"/>
    </row>
    <row r="77335" ht="15.75" customHeight="1">
      <c r="A77335" s="7"/>
      <c r="B77335" s="7"/>
    </row>
    <row r="77336" ht="15.75" customHeight="1">
      <c r="A77336" s="7"/>
      <c r="B77336" s="7"/>
    </row>
    <row r="77337" ht="15.75" customHeight="1">
      <c r="A77337" s="7"/>
      <c r="B77337" s="7"/>
    </row>
    <row r="77338" ht="15.75" customHeight="1">
      <c r="A77338" s="7"/>
      <c r="B77338" s="7"/>
    </row>
    <row r="77339" ht="15.75" customHeight="1">
      <c r="A77339" s="7"/>
      <c r="B77339" s="7"/>
    </row>
    <row r="77340" ht="15.75" customHeight="1">
      <c r="A77340" s="7"/>
      <c r="B77340" s="7"/>
    </row>
    <row r="77341" ht="15.75" customHeight="1">
      <c r="A77341" s="7"/>
      <c r="B77341" s="7"/>
    </row>
    <row r="77342" ht="15.75" customHeight="1">
      <c r="A77342" s="7"/>
      <c r="B77342" s="7"/>
    </row>
    <row r="77343" ht="15.75" customHeight="1">
      <c r="A77343" s="7"/>
      <c r="B77343" s="7"/>
    </row>
    <row r="77344" ht="15.75" customHeight="1">
      <c r="A77344" s="7"/>
      <c r="B77344" s="7"/>
    </row>
    <row r="77345" ht="15.75" customHeight="1">
      <c r="A77345" s="7"/>
      <c r="B77345" s="7"/>
    </row>
    <row r="77346" ht="15.75" customHeight="1">
      <c r="A77346" s="7"/>
      <c r="B77346" s="7"/>
    </row>
    <row r="77347" ht="15.75" customHeight="1">
      <c r="A77347" s="7"/>
      <c r="B77347" s="7"/>
    </row>
    <row r="77348" ht="15.75" customHeight="1">
      <c r="A77348" s="7"/>
      <c r="B77348" s="7"/>
    </row>
    <row r="77349" ht="15.75" customHeight="1">
      <c r="A77349" s="7"/>
      <c r="B77349" s="7"/>
    </row>
    <row r="77350" ht="15.75" customHeight="1">
      <c r="A77350" s="7"/>
      <c r="B77350" s="7"/>
    </row>
    <row r="77351" ht="15.75" customHeight="1">
      <c r="A77351" s="7"/>
      <c r="B77351" s="7"/>
    </row>
    <row r="77352" ht="15.75" customHeight="1">
      <c r="A77352" s="7"/>
      <c r="B77352" s="7"/>
    </row>
    <row r="77353" ht="15.75" customHeight="1">
      <c r="A77353" s="7"/>
      <c r="B77353" s="7"/>
    </row>
    <row r="77354" ht="15.75" customHeight="1">
      <c r="A77354" s="7"/>
      <c r="B77354" s="7"/>
    </row>
    <row r="77355" ht="15.75" customHeight="1">
      <c r="A77355" s="7"/>
      <c r="B77355" s="7"/>
    </row>
    <row r="77356" ht="15.75" customHeight="1">
      <c r="A77356" s="7"/>
      <c r="B77356" s="7"/>
    </row>
    <row r="77357" ht="15.75" customHeight="1">
      <c r="A77357" s="7"/>
      <c r="B77357" s="7"/>
    </row>
    <row r="77358" ht="15.75" customHeight="1">
      <c r="A77358" s="7"/>
      <c r="B77358" s="7"/>
    </row>
    <row r="77359" ht="15.75" customHeight="1">
      <c r="A77359" s="7"/>
      <c r="B77359" s="7"/>
    </row>
    <row r="77360" ht="15.75" customHeight="1">
      <c r="A77360" s="7"/>
      <c r="B77360" s="7"/>
    </row>
    <row r="77361" ht="15.75" customHeight="1">
      <c r="A77361" s="7"/>
      <c r="B77361" s="7"/>
    </row>
    <row r="77362" ht="15.75" customHeight="1">
      <c r="A77362" s="7"/>
      <c r="B77362" s="7"/>
    </row>
    <row r="77363" ht="15.75" customHeight="1">
      <c r="A77363" s="7"/>
      <c r="B77363" s="7"/>
    </row>
    <row r="77364" ht="15.75" customHeight="1">
      <c r="A77364" s="7"/>
      <c r="B77364" s="7"/>
    </row>
    <row r="77365" ht="15.75" customHeight="1">
      <c r="A77365" s="7"/>
      <c r="B77365" s="7"/>
    </row>
    <row r="77366" ht="15.75" customHeight="1">
      <c r="A77366" s="7"/>
      <c r="B77366" s="7"/>
    </row>
    <row r="77367" ht="15.75" customHeight="1">
      <c r="A77367" s="7"/>
      <c r="B77367" s="7"/>
    </row>
    <row r="77368" ht="15.75" customHeight="1">
      <c r="A77368" s="7"/>
      <c r="B77368" s="7"/>
    </row>
    <row r="77369" ht="15.75" customHeight="1">
      <c r="A77369" s="7"/>
      <c r="B77369" s="7"/>
    </row>
    <row r="77370" ht="15.75" customHeight="1">
      <c r="A77370" s="7"/>
      <c r="B77370" s="7"/>
    </row>
    <row r="77371" ht="15.75" customHeight="1">
      <c r="A77371" s="7"/>
      <c r="B77371" s="7"/>
    </row>
    <row r="77372" ht="15.75" customHeight="1">
      <c r="A77372" s="7"/>
      <c r="B77372" s="7"/>
    </row>
    <row r="77373" ht="15.75" customHeight="1">
      <c r="A77373" s="7"/>
      <c r="B77373" s="7"/>
    </row>
    <row r="77374" ht="15.75" customHeight="1">
      <c r="A77374" s="7"/>
      <c r="B77374" s="7"/>
    </row>
    <row r="77375" ht="15.75" customHeight="1">
      <c r="A77375" s="7"/>
      <c r="B77375" s="7"/>
    </row>
    <row r="77376" ht="15.75" customHeight="1">
      <c r="A77376" s="7"/>
      <c r="B77376" s="7"/>
    </row>
    <row r="77377" ht="15.75" customHeight="1">
      <c r="A77377" s="7"/>
      <c r="B77377" s="7"/>
    </row>
    <row r="77378" ht="15.75" customHeight="1">
      <c r="A77378" s="7"/>
      <c r="B77378" s="7"/>
    </row>
    <row r="77379" ht="15.75" customHeight="1">
      <c r="A77379" s="7"/>
      <c r="B77379" s="7"/>
    </row>
    <row r="77380" ht="15.75" customHeight="1">
      <c r="A77380" s="7"/>
      <c r="B77380" s="7"/>
    </row>
    <row r="77381" ht="15.75" customHeight="1">
      <c r="A77381" s="7"/>
      <c r="B77381" s="7"/>
    </row>
    <row r="77382" ht="15.75" customHeight="1">
      <c r="A77382" s="7"/>
      <c r="B77382" s="7"/>
    </row>
    <row r="77383" ht="15.75" customHeight="1">
      <c r="A77383" s="7"/>
      <c r="B77383" s="7"/>
    </row>
    <row r="77384" ht="15.75" customHeight="1">
      <c r="A77384" s="7"/>
      <c r="B77384" s="7"/>
    </row>
    <row r="77385" ht="15.75" customHeight="1">
      <c r="A77385" s="7"/>
      <c r="B77385" s="7"/>
    </row>
    <row r="77386" ht="15.75" customHeight="1">
      <c r="A77386" s="7"/>
      <c r="B77386" s="7"/>
    </row>
    <row r="77387" ht="15.75" customHeight="1">
      <c r="A77387" s="7"/>
      <c r="B77387" s="7"/>
    </row>
    <row r="77388" ht="15.75" customHeight="1">
      <c r="A77388" s="7"/>
      <c r="B77388" s="7"/>
    </row>
    <row r="77389" ht="15.75" customHeight="1">
      <c r="A77389" s="7"/>
      <c r="B77389" s="7"/>
    </row>
    <row r="77390" ht="15.75" customHeight="1">
      <c r="A77390" s="7"/>
      <c r="B77390" s="7"/>
    </row>
    <row r="77391" ht="15.75" customHeight="1">
      <c r="A77391" s="7"/>
      <c r="B77391" s="7"/>
    </row>
    <row r="77392" ht="15.75" customHeight="1">
      <c r="A77392" s="7"/>
      <c r="B77392" s="7"/>
    </row>
    <row r="77393" ht="15.75" customHeight="1">
      <c r="A77393" s="7"/>
      <c r="B77393" s="7"/>
    </row>
    <row r="77394" ht="15.75" customHeight="1">
      <c r="A77394" s="7"/>
      <c r="B77394" s="7"/>
    </row>
    <row r="77395" ht="15.75" customHeight="1">
      <c r="A77395" s="7"/>
      <c r="B77395" s="7"/>
    </row>
    <row r="77396" ht="15.75" customHeight="1">
      <c r="A77396" s="7"/>
      <c r="B77396" s="7"/>
    </row>
    <row r="77397" ht="15.75" customHeight="1">
      <c r="A77397" s="7"/>
      <c r="B77397" s="7"/>
    </row>
    <row r="77398" ht="15.75" customHeight="1">
      <c r="A77398" s="7"/>
      <c r="B77398" s="7"/>
    </row>
    <row r="77399" ht="15.75" customHeight="1">
      <c r="A77399" s="7"/>
      <c r="B77399" s="7"/>
    </row>
    <row r="77400" ht="15.75" customHeight="1">
      <c r="A77400" s="7"/>
      <c r="B77400" s="7"/>
    </row>
    <row r="77401" ht="15.75" customHeight="1">
      <c r="A77401" s="7"/>
      <c r="B77401" s="7"/>
    </row>
    <row r="77402" ht="15.75" customHeight="1">
      <c r="A77402" s="7"/>
      <c r="B77402" s="7"/>
    </row>
    <row r="77403" ht="15.75" customHeight="1">
      <c r="A77403" s="7"/>
      <c r="B77403" s="7"/>
    </row>
    <row r="77404" ht="15.75" customHeight="1">
      <c r="A77404" s="7"/>
      <c r="B77404" s="7"/>
    </row>
    <row r="77405" ht="15.75" customHeight="1">
      <c r="A77405" s="7"/>
      <c r="B77405" s="7"/>
    </row>
    <row r="77406" ht="15.75" customHeight="1">
      <c r="A77406" s="7"/>
      <c r="B77406" s="7"/>
    </row>
    <row r="77407" ht="15.75" customHeight="1">
      <c r="A77407" s="7"/>
      <c r="B77407" s="7"/>
    </row>
    <row r="77408" ht="15.75" customHeight="1">
      <c r="A77408" s="7"/>
      <c r="B77408" s="7"/>
    </row>
    <row r="77409" ht="15.75" customHeight="1">
      <c r="A77409" s="7"/>
      <c r="B77409" s="7"/>
    </row>
    <row r="77410" ht="15.75" customHeight="1">
      <c r="A77410" s="7"/>
      <c r="B77410" s="7"/>
    </row>
    <row r="77411" ht="15.75" customHeight="1">
      <c r="A77411" s="7"/>
      <c r="B77411" s="7"/>
    </row>
    <row r="77412" ht="15.75" customHeight="1">
      <c r="A77412" s="7"/>
      <c r="B77412" s="7"/>
    </row>
    <row r="77413" ht="15.75" customHeight="1">
      <c r="A77413" s="7"/>
      <c r="B77413" s="7"/>
    </row>
    <row r="77414" ht="15.75" customHeight="1">
      <c r="A77414" s="7"/>
      <c r="B77414" s="7"/>
    </row>
    <row r="77415" ht="15.75" customHeight="1">
      <c r="A77415" s="7"/>
      <c r="B77415" s="7"/>
    </row>
    <row r="77416" ht="15.75" customHeight="1">
      <c r="A77416" s="7"/>
      <c r="B77416" s="7"/>
    </row>
    <row r="77417" ht="15.75" customHeight="1">
      <c r="A77417" s="7"/>
      <c r="B77417" s="7"/>
    </row>
    <row r="77418" ht="15.75" customHeight="1">
      <c r="A77418" s="7"/>
      <c r="B77418" s="7"/>
    </row>
    <row r="77419" ht="15.75" customHeight="1">
      <c r="A77419" s="7"/>
      <c r="B77419" s="7"/>
    </row>
    <row r="77420" ht="15.75" customHeight="1">
      <c r="A77420" s="7"/>
      <c r="B77420" s="7"/>
    </row>
    <row r="77421" ht="15.75" customHeight="1">
      <c r="A77421" s="7"/>
      <c r="B77421" s="7"/>
    </row>
    <row r="77422" ht="15.75" customHeight="1">
      <c r="A77422" s="7"/>
      <c r="B77422" s="7"/>
    </row>
    <row r="77423" ht="15.75" customHeight="1">
      <c r="A77423" s="7"/>
      <c r="B77423" s="7"/>
    </row>
    <row r="77424" ht="15.75" customHeight="1">
      <c r="A77424" s="7"/>
      <c r="B77424" s="7"/>
    </row>
    <row r="77425" ht="15.75" customHeight="1">
      <c r="A77425" s="7"/>
      <c r="B77425" s="7"/>
    </row>
    <row r="77426" ht="15.75" customHeight="1">
      <c r="A77426" s="7"/>
      <c r="B77426" s="7"/>
    </row>
    <row r="77427" ht="15.75" customHeight="1">
      <c r="A77427" s="7"/>
      <c r="B77427" s="7"/>
    </row>
    <row r="77428" ht="15.75" customHeight="1">
      <c r="A77428" s="7"/>
      <c r="B77428" s="7"/>
    </row>
    <row r="77429" ht="15.75" customHeight="1">
      <c r="A77429" s="7"/>
      <c r="B77429" s="7"/>
    </row>
    <row r="77430" ht="15.75" customHeight="1">
      <c r="A77430" s="7"/>
      <c r="B77430" s="7"/>
    </row>
    <row r="77431" ht="15.75" customHeight="1">
      <c r="A77431" s="7"/>
      <c r="B77431" s="7"/>
    </row>
    <row r="77432" ht="15.75" customHeight="1">
      <c r="A77432" s="7"/>
      <c r="B77432" s="7"/>
    </row>
    <row r="77433" ht="15.75" customHeight="1">
      <c r="A77433" s="7"/>
      <c r="B77433" s="7"/>
    </row>
    <row r="77434" ht="15.75" customHeight="1">
      <c r="A77434" s="7"/>
      <c r="B77434" s="7"/>
    </row>
    <row r="77435" ht="15.75" customHeight="1">
      <c r="A77435" s="7"/>
      <c r="B77435" s="7"/>
    </row>
    <row r="77436" ht="15.75" customHeight="1">
      <c r="A77436" s="7"/>
      <c r="B77436" s="7"/>
    </row>
    <row r="77437" ht="15.75" customHeight="1">
      <c r="A77437" s="7"/>
      <c r="B77437" s="7"/>
    </row>
    <row r="77438" ht="15.75" customHeight="1">
      <c r="A77438" s="7"/>
      <c r="B77438" s="7"/>
    </row>
    <row r="77439" ht="15.75" customHeight="1">
      <c r="A77439" s="7"/>
      <c r="B77439" s="7"/>
    </row>
    <row r="77440" ht="15.75" customHeight="1">
      <c r="A77440" s="7"/>
      <c r="B77440" s="7"/>
    </row>
    <row r="77441" ht="15.75" customHeight="1">
      <c r="A77441" s="7"/>
      <c r="B77441" s="7"/>
    </row>
    <row r="77442" ht="15.75" customHeight="1">
      <c r="A77442" s="7"/>
      <c r="B77442" s="7"/>
    </row>
    <row r="77443" ht="15.75" customHeight="1">
      <c r="A77443" s="7"/>
      <c r="B77443" s="7"/>
    </row>
    <row r="77444" ht="15.75" customHeight="1">
      <c r="A77444" s="7"/>
      <c r="B77444" s="7"/>
    </row>
    <row r="77445" ht="15.75" customHeight="1">
      <c r="A77445" s="7"/>
      <c r="B77445" s="7"/>
    </row>
    <row r="77446" ht="15.75" customHeight="1">
      <c r="A77446" s="7"/>
      <c r="B77446" s="7"/>
    </row>
    <row r="77447" ht="15.75" customHeight="1">
      <c r="A77447" s="7"/>
      <c r="B77447" s="7"/>
    </row>
    <row r="77448" ht="15.75" customHeight="1">
      <c r="A77448" s="7"/>
      <c r="B77448" s="7"/>
    </row>
    <row r="77449" ht="15.75" customHeight="1">
      <c r="A77449" s="7"/>
      <c r="B77449" s="7"/>
    </row>
    <row r="77450" ht="15.75" customHeight="1">
      <c r="A77450" s="7"/>
      <c r="B77450" s="7"/>
    </row>
    <row r="77451" ht="15.75" customHeight="1">
      <c r="A77451" s="7"/>
      <c r="B77451" s="7"/>
    </row>
    <row r="77452" ht="15.75" customHeight="1">
      <c r="A77452" s="7"/>
      <c r="B77452" s="7"/>
    </row>
    <row r="77453" ht="15.75" customHeight="1">
      <c r="A77453" s="7"/>
      <c r="B77453" s="7"/>
    </row>
    <row r="77454" ht="15.75" customHeight="1">
      <c r="A77454" s="7"/>
      <c r="B77454" s="7"/>
    </row>
    <row r="77455" ht="15.75" customHeight="1">
      <c r="A77455" s="7"/>
      <c r="B77455" s="7"/>
    </row>
    <row r="77456" ht="15.75" customHeight="1">
      <c r="A77456" s="7"/>
      <c r="B77456" s="7"/>
    </row>
    <row r="77457" ht="15.75" customHeight="1">
      <c r="A77457" s="7"/>
      <c r="B77457" s="7"/>
    </row>
    <row r="77458" ht="15.75" customHeight="1">
      <c r="A77458" s="7"/>
      <c r="B77458" s="7"/>
    </row>
    <row r="77459" ht="15.75" customHeight="1">
      <c r="A77459" s="7"/>
      <c r="B77459" s="7"/>
    </row>
    <row r="77460" ht="15.75" customHeight="1">
      <c r="A77460" s="7"/>
      <c r="B77460" s="7"/>
    </row>
    <row r="77461" ht="15.75" customHeight="1">
      <c r="A77461" s="7"/>
      <c r="B77461" s="7"/>
    </row>
    <row r="77462" ht="15.75" customHeight="1">
      <c r="A77462" s="7"/>
      <c r="B77462" s="7"/>
    </row>
    <row r="77463" ht="15.75" customHeight="1">
      <c r="A77463" s="7"/>
      <c r="B77463" s="7"/>
    </row>
    <row r="77464" ht="15.75" customHeight="1">
      <c r="A77464" s="7"/>
      <c r="B77464" s="7"/>
    </row>
    <row r="77465" ht="15.75" customHeight="1">
      <c r="A77465" s="7"/>
      <c r="B77465" s="7"/>
    </row>
    <row r="77466" ht="15.75" customHeight="1">
      <c r="A77466" s="7"/>
      <c r="B77466" s="7"/>
    </row>
    <row r="77467" ht="15.75" customHeight="1">
      <c r="A77467" s="7"/>
      <c r="B77467" s="7"/>
    </row>
    <row r="77468" ht="15.75" customHeight="1">
      <c r="A77468" s="7"/>
      <c r="B77468" s="7"/>
    </row>
    <row r="77469" ht="15.75" customHeight="1">
      <c r="A77469" s="7"/>
      <c r="B77469" s="7"/>
    </row>
    <row r="77470" ht="15.75" customHeight="1">
      <c r="A77470" s="7"/>
      <c r="B77470" s="7"/>
    </row>
    <row r="77471" ht="15.75" customHeight="1">
      <c r="A77471" s="7"/>
      <c r="B77471" s="7"/>
    </row>
    <row r="77472" ht="15.75" customHeight="1">
      <c r="A77472" s="7"/>
      <c r="B77472" s="7"/>
    </row>
    <row r="77473" ht="15.75" customHeight="1">
      <c r="A77473" s="7"/>
      <c r="B77473" s="7"/>
    </row>
    <row r="77474" ht="15.75" customHeight="1">
      <c r="A77474" s="7"/>
      <c r="B77474" s="7"/>
    </row>
    <row r="77475" ht="15.75" customHeight="1">
      <c r="A77475" s="7"/>
      <c r="B77475" s="7"/>
    </row>
    <row r="77476" ht="15.75" customHeight="1">
      <c r="A77476" s="7"/>
      <c r="B77476" s="7"/>
    </row>
    <row r="77477" ht="15.75" customHeight="1">
      <c r="A77477" s="7"/>
      <c r="B77477" s="7"/>
    </row>
    <row r="77478" ht="15.75" customHeight="1">
      <c r="A77478" s="7"/>
      <c r="B77478" s="7"/>
    </row>
    <row r="77479" ht="15.75" customHeight="1">
      <c r="A77479" s="7"/>
      <c r="B77479" s="7"/>
    </row>
    <row r="77480" ht="15.75" customHeight="1">
      <c r="A77480" s="7"/>
      <c r="B77480" s="7"/>
    </row>
    <row r="77481" ht="15.75" customHeight="1">
      <c r="A77481" s="7"/>
      <c r="B77481" s="7"/>
    </row>
    <row r="77482" ht="15.75" customHeight="1">
      <c r="A77482" s="7"/>
      <c r="B77482" s="7"/>
    </row>
    <row r="77483" ht="15.75" customHeight="1">
      <c r="A77483" s="7"/>
      <c r="B77483" s="7"/>
    </row>
    <row r="77484" ht="15.75" customHeight="1">
      <c r="A77484" s="7"/>
      <c r="B77484" s="7"/>
    </row>
    <row r="77485" ht="15.75" customHeight="1">
      <c r="A77485" s="7"/>
      <c r="B77485" s="7"/>
    </row>
    <row r="77486" ht="15.75" customHeight="1">
      <c r="A77486" s="7"/>
      <c r="B77486" s="7"/>
    </row>
    <row r="77487" ht="15.75" customHeight="1">
      <c r="A77487" s="7"/>
      <c r="B77487" s="7"/>
    </row>
    <row r="77488" ht="15.75" customHeight="1">
      <c r="A77488" s="7"/>
      <c r="B77488" s="7"/>
    </row>
    <row r="77489" ht="15.75" customHeight="1">
      <c r="A77489" s="7"/>
      <c r="B77489" s="7"/>
    </row>
    <row r="77490" ht="15.75" customHeight="1">
      <c r="A77490" s="7"/>
      <c r="B77490" s="7"/>
    </row>
    <row r="77491" ht="15.75" customHeight="1">
      <c r="A77491" s="7"/>
      <c r="B77491" s="7"/>
    </row>
    <row r="77492" ht="15.75" customHeight="1">
      <c r="A77492" s="7"/>
      <c r="B77492" s="7"/>
    </row>
    <row r="77493" ht="15.75" customHeight="1">
      <c r="A77493" s="7"/>
      <c r="B77493" s="7"/>
    </row>
    <row r="77494" ht="15.75" customHeight="1">
      <c r="A77494" s="7"/>
      <c r="B77494" s="7"/>
    </row>
    <row r="77495" ht="15.75" customHeight="1">
      <c r="A77495" s="7"/>
      <c r="B77495" s="7"/>
    </row>
    <row r="77496" ht="15.75" customHeight="1">
      <c r="A77496" s="7"/>
      <c r="B77496" s="7"/>
    </row>
    <row r="77497" ht="15.75" customHeight="1">
      <c r="A77497" s="7"/>
      <c r="B77497" s="7"/>
    </row>
    <row r="77498" ht="15.75" customHeight="1">
      <c r="A77498" s="7"/>
      <c r="B77498" s="7"/>
    </row>
    <row r="77499" ht="15.75" customHeight="1">
      <c r="A77499" s="7"/>
      <c r="B77499" s="7"/>
    </row>
    <row r="77500" ht="15.75" customHeight="1">
      <c r="A77500" s="7"/>
      <c r="B77500" s="7"/>
    </row>
    <row r="77501" ht="15.75" customHeight="1">
      <c r="A77501" s="7"/>
      <c r="B77501" s="7"/>
    </row>
    <row r="77502" ht="15.75" customHeight="1">
      <c r="A77502" s="7"/>
      <c r="B77502" s="7"/>
    </row>
    <row r="77503" ht="15.75" customHeight="1">
      <c r="A77503" s="7"/>
      <c r="B77503" s="7"/>
    </row>
    <row r="77504" ht="15.75" customHeight="1">
      <c r="A77504" s="7"/>
      <c r="B77504" s="7"/>
    </row>
    <row r="77505" ht="15.75" customHeight="1">
      <c r="A77505" s="7"/>
      <c r="B77505" s="7"/>
    </row>
    <row r="77506" ht="15.75" customHeight="1">
      <c r="A77506" s="7"/>
      <c r="B77506" s="7"/>
    </row>
    <row r="77507" ht="15.75" customHeight="1">
      <c r="A77507" s="7"/>
      <c r="B77507" s="7"/>
    </row>
    <row r="77508" ht="15.75" customHeight="1">
      <c r="A77508" s="7"/>
      <c r="B77508" s="7"/>
    </row>
    <row r="77509" ht="15.75" customHeight="1">
      <c r="A77509" s="7"/>
      <c r="B77509" s="7"/>
    </row>
    <row r="77510" ht="15.75" customHeight="1">
      <c r="A77510" s="7"/>
      <c r="B77510" s="7"/>
    </row>
    <row r="77511" ht="15.75" customHeight="1">
      <c r="A77511" s="7"/>
      <c r="B77511" s="7"/>
    </row>
    <row r="77512" ht="15.75" customHeight="1">
      <c r="A77512" s="7"/>
      <c r="B77512" s="7"/>
    </row>
    <row r="77513" ht="15.75" customHeight="1">
      <c r="A77513" s="7"/>
      <c r="B77513" s="7"/>
    </row>
    <row r="77514" ht="15.75" customHeight="1">
      <c r="A77514" s="7"/>
      <c r="B77514" s="7"/>
    </row>
    <row r="77515" ht="15.75" customHeight="1">
      <c r="A77515" s="7"/>
      <c r="B77515" s="7"/>
    </row>
    <row r="77516" ht="15.75" customHeight="1">
      <c r="A77516" s="7"/>
      <c r="B77516" s="7"/>
    </row>
    <row r="77517" ht="15.75" customHeight="1">
      <c r="A77517" s="7"/>
      <c r="B77517" s="7"/>
    </row>
    <row r="77518" ht="15.75" customHeight="1">
      <c r="A77518" s="7"/>
      <c r="B77518" s="7"/>
    </row>
    <row r="77519" ht="15.75" customHeight="1">
      <c r="A77519" s="7"/>
      <c r="B77519" s="7"/>
    </row>
    <row r="77520" ht="15.75" customHeight="1">
      <c r="A77520" s="7"/>
      <c r="B77520" s="7"/>
    </row>
    <row r="77521" ht="15.75" customHeight="1">
      <c r="A77521" s="7"/>
      <c r="B77521" s="7"/>
    </row>
    <row r="77522" ht="15.75" customHeight="1">
      <c r="A77522" s="7"/>
      <c r="B77522" s="7"/>
    </row>
    <row r="77523" ht="15.75" customHeight="1">
      <c r="A77523" s="7"/>
      <c r="B77523" s="7"/>
    </row>
    <row r="77524" ht="15.75" customHeight="1">
      <c r="A77524" s="7"/>
      <c r="B77524" s="7"/>
    </row>
    <row r="77525" ht="15.75" customHeight="1">
      <c r="A77525" s="7"/>
      <c r="B77525" s="7"/>
    </row>
    <row r="77526" ht="15.75" customHeight="1">
      <c r="A77526" s="7"/>
      <c r="B77526" s="7"/>
    </row>
    <row r="77527" ht="15.75" customHeight="1">
      <c r="A77527" s="7"/>
      <c r="B77527" s="7"/>
    </row>
    <row r="77528" ht="15.75" customHeight="1">
      <c r="A77528" s="7"/>
      <c r="B77528" s="7"/>
    </row>
    <row r="77529" ht="15.75" customHeight="1">
      <c r="A77529" s="7"/>
      <c r="B77529" s="7"/>
    </row>
    <row r="77530" ht="15.75" customHeight="1">
      <c r="A77530" s="7"/>
      <c r="B77530" s="7"/>
    </row>
    <row r="77531" ht="15.75" customHeight="1">
      <c r="A77531" s="7"/>
      <c r="B77531" s="7"/>
    </row>
    <row r="77532" ht="15.75" customHeight="1">
      <c r="A77532" s="7"/>
      <c r="B77532" s="7"/>
    </row>
    <row r="77533" ht="15.75" customHeight="1">
      <c r="A77533" s="7"/>
      <c r="B77533" s="7"/>
    </row>
    <row r="77534" ht="15.75" customHeight="1">
      <c r="A77534" s="7"/>
      <c r="B77534" s="7"/>
    </row>
    <row r="77535" ht="15.75" customHeight="1">
      <c r="A77535" s="7"/>
      <c r="B77535" s="7"/>
    </row>
    <row r="77536" ht="15.75" customHeight="1">
      <c r="A77536" s="7"/>
      <c r="B77536" s="7"/>
    </row>
    <row r="77537" ht="15.75" customHeight="1">
      <c r="A77537" s="7"/>
      <c r="B77537" s="7"/>
    </row>
    <row r="77538" ht="15.75" customHeight="1">
      <c r="A77538" s="7"/>
      <c r="B77538" s="7"/>
    </row>
    <row r="77539" ht="15.75" customHeight="1">
      <c r="A77539" s="7"/>
      <c r="B77539" s="7"/>
    </row>
    <row r="77540" ht="15.75" customHeight="1">
      <c r="A77540" s="7"/>
      <c r="B77540" s="7"/>
    </row>
    <row r="77541" ht="15.75" customHeight="1">
      <c r="A77541" s="7"/>
      <c r="B77541" s="7"/>
    </row>
    <row r="77542" ht="15.75" customHeight="1">
      <c r="A77542" s="7"/>
      <c r="B77542" s="7"/>
    </row>
    <row r="77543" ht="15.75" customHeight="1">
      <c r="A77543" s="7"/>
      <c r="B77543" s="7"/>
    </row>
    <row r="77544" ht="15.75" customHeight="1">
      <c r="A77544" s="7"/>
      <c r="B77544" s="7"/>
    </row>
    <row r="77545" ht="15.75" customHeight="1">
      <c r="A77545" s="7"/>
      <c r="B77545" s="7"/>
    </row>
    <row r="77546" ht="15.75" customHeight="1">
      <c r="A77546" s="7"/>
      <c r="B77546" s="7"/>
    </row>
    <row r="77547" ht="15.75" customHeight="1">
      <c r="A77547" s="7"/>
      <c r="B77547" s="7"/>
    </row>
    <row r="77548" ht="15.75" customHeight="1">
      <c r="A77548" s="7"/>
      <c r="B77548" s="7"/>
    </row>
    <row r="77549" ht="15.75" customHeight="1">
      <c r="A77549" s="7"/>
      <c r="B77549" s="7"/>
    </row>
    <row r="77550" ht="15.75" customHeight="1">
      <c r="A77550" s="7"/>
      <c r="B77550" s="7"/>
    </row>
    <row r="77551" ht="15.75" customHeight="1">
      <c r="A77551" s="7"/>
      <c r="B77551" s="7"/>
    </row>
    <row r="77552" ht="15.75" customHeight="1">
      <c r="A77552" s="7"/>
      <c r="B77552" s="7"/>
    </row>
    <row r="77553" ht="15.75" customHeight="1">
      <c r="A77553" s="7"/>
      <c r="B77553" s="7"/>
    </row>
    <row r="77554" ht="15.75" customHeight="1">
      <c r="A77554" s="7"/>
      <c r="B77554" s="7"/>
    </row>
    <row r="77555" ht="15.75" customHeight="1">
      <c r="A77555" s="7"/>
      <c r="B77555" s="7"/>
    </row>
    <row r="77556" ht="15.75" customHeight="1">
      <c r="A77556" s="7"/>
      <c r="B77556" s="7"/>
    </row>
    <row r="77557" ht="15.75" customHeight="1">
      <c r="A77557" s="7"/>
      <c r="B77557" s="7"/>
    </row>
    <row r="77558" ht="15.75" customHeight="1">
      <c r="A77558" s="7"/>
      <c r="B77558" s="7"/>
    </row>
    <row r="77559" ht="15.75" customHeight="1">
      <c r="A77559" s="7"/>
      <c r="B77559" s="7"/>
    </row>
    <row r="77560" ht="15.75" customHeight="1">
      <c r="A77560" s="7"/>
      <c r="B77560" s="7"/>
    </row>
    <row r="77561" ht="15.75" customHeight="1">
      <c r="A77561" s="7"/>
      <c r="B77561" s="7"/>
    </row>
    <row r="77562" ht="15.75" customHeight="1">
      <c r="A77562" s="7"/>
      <c r="B77562" s="7"/>
    </row>
    <row r="77563" ht="15.75" customHeight="1">
      <c r="A77563" s="7"/>
      <c r="B77563" s="7"/>
    </row>
    <row r="77564" ht="15.75" customHeight="1">
      <c r="A77564" s="7"/>
      <c r="B77564" s="7"/>
    </row>
    <row r="77565" ht="15.75" customHeight="1">
      <c r="A77565" s="7"/>
      <c r="B77565" s="7"/>
    </row>
    <row r="77566" ht="15.75" customHeight="1">
      <c r="A77566" s="7"/>
      <c r="B77566" s="7"/>
    </row>
    <row r="77567" ht="15.75" customHeight="1">
      <c r="A77567" s="7"/>
      <c r="B77567" s="7"/>
    </row>
    <row r="77568" ht="15.75" customHeight="1">
      <c r="A77568" s="7"/>
      <c r="B77568" s="7"/>
    </row>
    <row r="77569" ht="15.75" customHeight="1">
      <c r="A77569" s="7"/>
      <c r="B77569" s="7"/>
    </row>
    <row r="77570" ht="15.75" customHeight="1">
      <c r="A77570" s="7"/>
      <c r="B77570" s="7"/>
    </row>
    <row r="77571" ht="15.75" customHeight="1">
      <c r="A77571" s="7"/>
      <c r="B77571" s="7"/>
    </row>
    <row r="77572" ht="15.75" customHeight="1">
      <c r="A77572" s="7"/>
      <c r="B77572" s="7"/>
    </row>
    <row r="77573" ht="15.75" customHeight="1">
      <c r="A77573" s="7"/>
      <c r="B77573" s="7"/>
    </row>
    <row r="77574" ht="15.75" customHeight="1">
      <c r="A77574" s="7"/>
      <c r="B77574" s="7"/>
    </row>
    <row r="77575" ht="15.75" customHeight="1">
      <c r="A77575" s="7"/>
      <c r="B77575" s="7"/>
    </row>
    <row r="77576" ht="15.75" customHeight="1">
      <c r="A77576" s="7"/>
      <c r="B77576" s="7"/>
    </row>
    <row r="77577" ht="15.75" customHeight="1">
      <c r="A77577" s="7"/>
      <c r="B77577" s="7"/>
    </row>
    <row r="77578" ht="15.75" customHeight="1">
      <c r="A77578" s="7"/>
      <c r="B77578" s="7"/>
    </row>
    <row r="77579" ht="15.75" customHeight="1">
      <c r="A77579" s="7"/>
      <c r="B77579" s="7"/>
    </row>
    <row r="77580" ht="15.75" customHeight="1">
      <c r="A77580" s="7"/>
      <c r="B77580" s="7"/>
    </row>
    <row r="77581" ht="15.75" customHeight="1">
      <c r="A77581" s="7"/>
      <c r="B77581" s="7"/>
    </row>
    <row r="77582" ht="15.75" customHeight="1">
      <c r="A77582" s="7"/>
      <c r="B77582" s="7"/>
    </row>
    <row r="77583" ht="15.75" customHeight="1">
      <c r="A77583" s="7"/>
      <c r="B77583" s="7"/>
    </row>
    <row r="77584" ht="15.75" customHeight="1">
      <c r="A77584" s="7"/>
      <c r="B77584" s="7"/>
    </row>
    <row r="77585" ht="15.75" customHeight="1">
      <c r="A77585" s="7"/>
      <c r="B77585" s="7"/>
    </row>
    <row r="77586" ht="15.75" customHeight="1">
      <c r="A77586" s="7"/>
      <c r="B77586" s="7"/>
    </row>
    <row r="77587" ht="15.75" customHeight="1">
      <c r="A77587" s="7"/>
      <c r="B77587" s="7"/>
    </row>
    <row r="77588" ht="15.75" customHeight="1">
      <c r="A77588" s="7"/>
      <c r="B77588" s="7"/>
    </row>
    <row r="77589" ht="15.75" customHeight="1">
      <c r="A77589" s="7"/>
      <c r="B77589" s="7"/>
    </row>
    <row r="77590" ht="15.75" customHeight="1">
      <c r="A77590" s="7"/>
      <c r="B77590" s="7"/>
    </row>
    <row r="77591" ht="15.75" customHeight="1">
      <c r="A77591" s="7"/>
      <c r="B77591" s="7"/>
    </row>
    <row r="77592" ht="15.75" customHeight="1">
      <c r="A77592" s="7"/>
      <c r="B77592" s="7"/>
    </row>
    <row r="77593" ht="15.75" customHeight="1">
      <c r="A77593" s="7"/>
      <c r="B77593" s="7"/>
    </row>
    <row r="77594" ht="15.75" customHeight="1">
      <c r="A77594" s="7"/>
      <c r="B77594" s="7"/>
    </row>
    <row r="77595" ht="15.75" customHeight="1">
      <c r="A77595" s="7"/>
      <c r="B77595" s="7"/>
    </row>
    <row r="77596" ht="15.75" customHeight="1">
      <c r="A77596" s="7"/>
      <c r="B77596" s="7"/>
    </row>
    <row r="77597" ht="15.75" customHeight="1">
      <c r="A77597" s="7"/>
      <c r="B77597" s="7"/>
    </row>
    <row r="77598" ht="15.75" customHeight="1">
      <c r="A77598" s="7"/>
      <c r="B77598" s="7"/>
    </row>
    <row r="77599" ht="15.75" customHeight="1">
      <c r="A77599" s="7"/>
      <c r="B77599" s="7"/>
    </row>
    <row r="77600" ht="15.75" customHeight="1">
      <c r="A77600" s="7"/>
      <c r="B77600" s="7"/>
    </row>
    <row r="77601" ht="15.75" customHeight="1">
      <c r="A77601" s="7"/>
      <c r="B77601" s="7"/>
    </row>
    <row r="77602" ht="15.75" customHeight="1">
      <c r="A77602" s="7"/>
      <c r="B77602" s="7"/>
    </row>
    <row r="77603" ht="15.75" customHeight="1">
      <c r="A77603" s="7"/>
      <c r="B77603" s="7"/>
    </row>
    <row r="77604" ht="15.75" customHeight="1">
      <c r="A77604" s="7"/>
      <c r="B77604" s="7"/>
    </row>
    <row r="77605" ht="15.75" customHeight="1">
      <c r="A77605" s="7"/>
      <c r="B77605" s="7"/>
    </row>
    <row r="77606" ht="15.75" customHeight="1">
      <c r="A77606" s="7"/>
      <c r="B77606" s="7"/>
    </row>
    <row r="77607" ht="15.75" customHeight="1">
      <c r="A77607" s="7"/>
      <c r="B77607" s="7"/>
    </row>
    <row r="77608" ht="15.75" customHeight="1">
      <c r="A77608" s="7"/>
      <c r="B77608" s="7"/>
    </row>
    <row r="77609" ht="15.75" customHeight="1">
      <c r="A77609" s="7"/>
      <c r="B77609" s="7"/>
    </row>
    <row r="77610" ht="15.75" customHeight="1">
      <c r="A77610" s="7"/>
      <c r="B77610" s="7"/>
    </row>
    <row r="77611" ht="15.75" customHeight="1">
      <c r="A77611" s="7"/>
      <c r="B77611" s="7"/>
    </row>
    <row r="77612" ht="15.75" customHeight="1">
      <c r="A77612" s="7"/>
      <c r="B77612" s="7"/>
    </row>
    <row r="77613" ht="15.75" customHeight="1">
      <c r="A77613" s="7"/>
      <c r="B77613" s="7"/>
    </row>
    <row r="77614" ht="15.75" customHeight="1">
      <c r="A77614" s="7"/>
      <c r="B77614" s="7"/>
    </row>
    <row r="77615" ht="15.75" customHeight="1">
      <c r="A77615" s="7"/>
      <c r="B77615" s="7"/>
    </row>
    <row r="77616" ht="15.75" customHeight="1">
      <c r="A77616" s="7"/>
      <c r="B77616" s="7"/>
    </row>
    <row r="77617" ht="15.75" customHeight="1">
      <c r="A77617" s="7"/>
      <c r="B77617" s="7"/>
    </row>
    <row r="77618" ht="15.75" customHeight="1">
      <c r="A77618" s="7"/>
      <c r="B77618" s="7"/>
    </row>
    <row r="77619" ht="15.75" customHeight="1">
      <c r="A77619" s="7"/>
      <c r="B77619" s="7"/>
    </row>
    <row r="77620" ht="15.75" customHeight="1">
      <c r="A77620" s="7"/>
      <c r="B77620" s="7"/>
    </row>
    <row r="77621" ht="15.75" customHeight="1">
      <c r="A77621" s="7"/>
      <c r="B77621" s="7"/>
    </row>
    <row r="77622" ht="15.75" customHeight="1">
      <c r="A77622" s="7"/>
      <c r="B77622" s="7"/>
    </row>
    <row r="77623" ht="15.75" customHeight="1">
      <c r="A77623" s="7"/>
      <c r="B77623" s="7"/>
    </row>
    <row r="77624" ht="15.75" customHeight="1">
      <c r="A77624" s="7"/>
      <c r="B77624" s="7"/>
    </row>
    <row r="77625" ht="15.75" customHeight="1">
      <c r="A77625" s="7"/>
      <c r="B77625" s="7"/>
    </row>
    <row r="77626" ht="15.75" customHeight="1">
      <c r="A77626" s="7"/>
      <c r="B77626" s="7"/>
    </row>
    <row r="77627" ht="15.75" customHeight="1">
      <c r="A77627" s="7"/>
      <c r="B77627" s="7"/>
    </row>
    <row r="77628" ht="15.75" customHeight="1">
      <c r="A77628" s="7"/>
      <c r="B77628" s="7"/>
    </row>
    <row r="77629" ht="15.75" customHeight="1">
      <c r="A77629" s="7"/>
      <c r="B77629" s="7"/>
    </row>
    <row r="77630" ht="15.75" customHeight="1">
      <c r="A77630" s="7"/>
      <c r="B77630" s="7"/>
    </row>
    <row r="77631" ht="15.75" customHeight="1">
      <c r="A77631" s="7"/>
      <c r="B77631" s="7"/>
    </row>
    <row r="77632" ht="15.75" customHeight="1">
      <c r="A77632" s="7"/>
      <c r="B77632" s="7"/>
    </row>
    <row r="77633" ht="15.75" customHeight="1">
      <c r="A77633" s="7"/>
      <c r="B77633" s="7"/>
    </row>
    <row r="77634" ht="15.75" customHeight="1">
      <c r="A77634" s="7"/>
      <c r="B77634" s="7"/>
    </row>
    <row r="77635" ht="15.75" customHeight="1">
      <c r="A77635" s="7"/>
      <c r="B77635" s="7"/>
    </row>
    <row r="77636" ht="15.75" customHeight="1">
      <c r="A77636" s="7"/>
      <c r="B77636" s="7"/>
    </row>
    <row r="77637" ht="15.75" customHeight="1">
      <c r="A77637" s="7"/>
      <c r="B77637" s="7"/>
    </row>
    <row r="77638" ht="15.75" customHeight="1">
      <c r="A77638" s="7"/>
      <c r="B77638" s="7"/>
    </row>
    <row r="77639" ht="15.75" customHeight="1">
      <c r="A77639" s="7"/>
      <c r="B77639" s="7"/>
    </row>
    <row r="77640" ht="15.75" customHeight="1">
      <c r="A77640" s="7"/>
      <c r="B77640" s="7"/>
    </row>
    <row r="77641" ht="15.75" customHeight="1">
      <c r="A77641" s="7"/>
      <c r="B77641" s="7"/>
    </row>
    <row r="77642" ht="15.75" customHeight="1">
      <c r="A77642" s="7"/>
      <c r="B77642" s="7"/>
    </row>
    <row r="77643" ht="15.75" customHeight="1">
      <c r="A77643" s="7"/>
      <c r="B77643" s="7"/>
    </row>
    <row r="77644" ht="15.75" customHeight="1">
      <c r="A77644" s="7"/>
      <c r="B77644" s="7"/>
    </row>
    <row r="77645" ht="15.75" customHeight="1">
      <c r="A77645" s="7"/>
      <c r="B77645" s="7"/>
    </row>
    <row r="77646" ht="15.75" customHeight="1">
      <c r="A77646" s="7"/>
      <c r="B77646" s="7"/>
    </row>
    <row r="77647" ht="15.75" customHeight="1">
      <c r="A77647" s="7"/>
      <c r="B77647" s="7"/>
    </row>
    <row r="77648" ht="15.75" customHeight="1">
      <c r="A77648" s="7"/>
      <c r="B77648" s="7"/>
    </row>
    <row r="77649" ht="15.75" customHeight="1">
      <c r="A77649" s="7"/>
      <c r="B77649" s="7"/>
    </row>
    <row r="77650" ht="15.75" customHeight="1">
      <c r="A77650" s="7"/>
      <c r="B77650" s="7"/>
    </row>
    <row r="77651" ht="15.75" customHeight="1">
      <c r="A77651" s="7"/>
      <c r="B77651" s="7"/>
    </row>
    <row r="77652" ht="15.75" customHeight="1">
      <c r="A77652" s="7"/>
      <c r="B77652" s="7"/>
    </row>
    <row r="77653" ht="15.75" customHeight="1">
      <c r="A77653" s="7"/>
      <c r="B77653" s="7"/>
    </row>
    <row r="77654" ht="15.75" customHeight="1">
      <c r="A77654" s="7"/>
      <c r="B77654" s="7"/>
    </row>
    <row r="77655" ht="15.75" customHeight="1">
      <c r="A77655" s="7"/>
      <c r="B77655" s="7"/>
    </row>
    <row r="77656" ht="15.75" customHeight="1">
      <c r="A77656" s="7"/>
      <c r="B77656" s="7"/>
    </row>
    <row r="77657" ht="15.75" customHeight="1">
      <c r="A77657" s="7"/>
      <c r="B77657" s="7"/>
    </row>
    <row r="77658" ht="15.75" customHeight="1">
      <c r="A77658" s="7"/>
      <c r="B77658" s="7"/>
    </row>
    <row r="77659" ht="15.75" customHeight="1">
      <c r="A77659" s="7"/>
      <c r="B77659" s="7"/>
    </row>
    <row r="77660" ht="15.75" customHeight="1">
      <c r="A77660" s="7"/>
      <c r="B77660" s="7"/>
    </row>
    <row r="77661" ht="15.75" customHeight="1">
      <c r="A77661" s="7"/>
      <c r="B77661" s="7"/>
    </row>
    <row r="77662" ht="15.75" customHeight="1">
      <c r="A77662" s="7"/>
      <c r="B77662" s="7"/>
    </row>
    <row r="77663" ht="15.75" customHeight="1">
      <c r="A77663" s="7"/>
      <c r="B77663" s="7"/>
    </row>
    <row r="77664" ht="15.75" customHeight="1">
      <c r="A77664" s="7"/>
      <c r="B77664" s="7"/>
    </row>
    <row r="77665" ht="15.75" customHeight="1">
      <c r="A77665" s="7"/>
      <c r="B77665" s="7"/>
    </row>
    <row r="77666" ht="15.75" customHeight="1">
      <c r="A77666" s="7"/>
      <c r="B77666" s="7"/>
    </row>
    <row r="77667" ht="15.75" customHeight="1">
      <c r="A77667" s="7"/>
      <c r="B77667" s="7"/>
    </row>
    <row r="77668" ht="15.75" customHeight="1">
      <c r="A77668" s="7"/>
      <c r="B77668" s="7"/>
    </row>
    <row r="77669" ht="15.75" customHeight="1">
      <c r="A77669" s="7"/>
      <c r="B77669" s="7"/>
    </row>
    <row r="77670" ht="15.75" customHeight="1">
      <c r="A77670" s="7"/>
      <c r="B77670" s="7"/>
    </row>
    <row r="77671" ht="15.75" customHeight="1">
      <c r="A77671" s="7"/>
      <c r="B77671" s="7"/>
    </row>
    <row r="77672" ht="15.75" customHeight="1">
      <c r="A77672" s="7"/>
      <c r="B77672" s="7"/>
    </row>
    <row r="77673" ht="15.75" customHeight="1">
      <c r="A77673" s="7"/>
      <c r="B77673" s="7"/>
    </row>
    <row r="77674" ht="15.75" customHeight="1">
      <c r="A77674" s="7"/>
      <c r="B77674" s="7"/>
    </row>
    <row r="77675" ht="15.75" customHeight="1">
      <c r="A77675" s="7"/>
      <c r="B77675" s="7"/>
    </row>
    <row r="77676" ht="15.75" customHeight="1">
      <c r="A77676" s="7"/>
      <c r="B77676" s="7"/>
    </row>
    <row r="77677" ht="15.75" customHeight="1">
      <c r="A77677" s="7"/>
      <c r="B77677" s="7"/>
    </row>
    <row r="77678" ht="15.75" customHeight="1">
      <c r="A77678" s="7"/>
      <c r="B77678" s="7"/>
    </row>
    <row r="77679" ht="15.75" customHeight="1">
      <c r="A77679" s="7"/>
      <c r="B77679" s="7"/>
    </row>
    <row r="77680" ht="15.75" customHeight="1">
      <c r="A77680" s="7"/>
      <c r="B77680" s="7"/>
    </row>
    <row r="77681" ht="15.75" customHeight="1">
      <c r="A77681" s="7"/>
      <c r="B77681" s="7"/>
    </row>
    <row r="77682" ht="15.75" customHeight="1">
      <c r="A77682" s="7"/>
      <c r="B77682" s="7"/>
    </row>
    <row r="77683" ht="15.75" customHeight="1">
      <c r="A77683" s="7"/>
      <c r="B77683" s="7"/>
    </row>
    <row r="77684" ht="15.75" customHeight="1">
      <c r="A77684" s="7"/>
      <c r="B77684" s="7"/>
    </row>
    <row r="77685" ht="15.75" customHeight="1">
      <c r="A77685" s="7"/>
      <c r="B77685" s="7"/>
    </row>
    <row r="77686" ht="15.75" customHeight="1">
      <c r="A77686" s="7"/>
      <c r="B77686" s="7"/>
    </row>
    <row r="77687" ht="15.75" customHeight="1">
      <c r="A77687" s="7"/>
      <c r="B77687" s="7"/>
    </row>
    <row r="77688" ht="15.75" customHeight="1">
      <c r="A77688" s="7"/>
      <c r="B77688" s="7"/>
    </row>
    <row r="77689" ht="15.75" customHeight="1">
      <c r="A77689" s="7"/>
      <c r="B77689" s="7"/>
    </row>
    <row r="77690" ht="15.75" customHeight="1">
      <c r="A77690" s="7"/>
      <c r="B77690" s="7"/>
    </row>
    <row r="77691" ht="15.75" customHeight="1">
      <c r="A77691" s="7"/>
      <c r="B77691" s="7"/>
    </row>
    <row r="77692" ht="15.75" customHeight="1">
      <c r="A77692" s="7"/>
      <c r="B77692" s="7"/>
    </row>
    <row r="77693" ht="15.75" customHeight="1">
      <c r="A77693" s="7"/>
      <c r="B77693" s="7"/>
    </row>
    <row r="77694" ht="15.75" customHeight="1">
      <c r="A77694" s="7"/>
      <c r="B77694" s="7"/>
    </row>
    <row r="77695" ht="15.75" customHeight="1">
      <c r="A77695" s="7"/>
      <c r="B77695" s="7"/>
    </row>
    <row r="77696" ht="15.75" customHeight="1">
      <c r="A77696" s="7"/>
      <c r="B77696" s="7"/>
    </row>
    <row r="77697" ht="15.75" customHeight="1">
      <c r="A77697" s="7"/>
      <c r="B77697" s="7"/>
    </row>
    <row r="77698" ht="15.75" customHeight="1">
      <c r="A77698" s="7"/>
      <c r="B77698" s="7"/>
    </row>
    <row r="77699" ht="15.75" customHeight="1">
      <c r="A77699" s="7"/>
      <c r="B77699" s="7"/>
    </row>
    <row r="77700" ht="15.75" customHeight="1">
      <c r="A77700" s="7"/>
      <c r="B77700" s="7"/>
    </row>
    <row r="77701" ht="15.75" customHeight="1">
      <c r="A77701" s="7"/>
      <c r="B77701" s="7"/>
    </row>
    <row r="77702" ht="15.75" customHeight="1">
      <c r="A77702" s="7"/>
      <c r="B77702" s="7"/>
    </row>
    <row r="77703" ht="15.75" customHeight="1">
      <c r="A77703" s="7"/>
      <c r="B77703" s="7"/>
    </row>
    <row r="77704" ht="15.75" customHeight="1">
      <c r="A77704" s="7"/>
      <c r="B77704" s="7"/>
    </row>
    <row r="77705" ht="15.75" customHeight="1">
      <c r="A77705" s="7"/>
      <c r="B77705" s="7"/>
    </row>
    <row r="77706" ht="15.75" customHeight="1">
      <c r="A77706" s="7"/>
      <c r="B77706" s="7"/>
    </row>
    <row r="77707" ht="15.75" customHeight="1">
      <c r="A77707" s="7"/>
      <c r="B77707" s="7"/>
    </row>
    <row r="77708" ht="15.75" customHeight="1">
      <c r="A77708" s="7"/>
      <c r="B77708" s="7"/>
    </row>
    <row r="77709" ht="15.75" customHeight="1">
      <c r="A77709" s="7"/>
      <c r="B77709" s="7"/>
    </row>
    <row r="77710" ht="15.75" customHeight="1">
      <c r="A77710" s="7"/>
      <c r="B77710" s="7"/>
    </row>
    <row r="77711" ht="15.75" customHeight="1">
      <c r="A77711" s="7"/>
      <c r="B77711" s="7"/>
    </row>
    <row r="77712" ht="15.75" customHeight="1">
      <c r="A77712" s="7"/>
      <c r="B77712" s="7"/>
    </row>
    <row r="77713" ht="15.75" customHeight="1">
      <c r="A77713" s="7"/>
      <c r="B77713" s="7"/>
    </row>
    <row r="77714" ht="15.75" customHeight="1">
      <c r="A77714" s="7"/>
      <c r="B77714" s="7"/>
    </row>
    <row r="77715" ht="15.75" customHeight="1">
      <c r="A77715" s="7"/>
      <c r="B77715" s="7"/>
    </row>
    <row r="77716" ht="15.75" customHeight="1">
      <c r="A77716" s="7"/>
      <c r="B77716" s="7"/>
    </row>
    <row r="77717" ht="15.75" customHeight="1">
      <c r="A77717" s="7"/>
      <c r="B77717" s="7"/>
    </row>
    <row r="77718" ht="15.75" customHeight="1">
      <c r="A77718" s="7"/>
      <c r="B77718" s="7"/>
    </row>
    <row r="77719" ht="15.75" customHeight="1">
      <c r="A77719" s="7"/>
      <c r="B77719" s="7"/>
    </row>
    <row r="77720" ht="15.75" customHeight="1">
      <c r="A77720" s="7"/>
      <c r="B77720" s="7"/>
    </row>
    <row r="77721" ht="15.75" customHeight="1">
      <c r="A77721" s="7"/>
      <c r="B77721" s="7"/>
    </row>
    <row r="77722" ht="15.75" customHeight="1">
      <c r="A77722" s="7"/>
      <c r="B77722" s="7"/>
    </row>
    <row r="77723" ht="15.75" customHeight="1">
      <c r="A77723" s="7"/>
      <c r="B77723" s="7"/>
    </row>
    <row r="77724" ht="15.75" customHeight="1">
      <c r="A77724" s="7"/>
      <c r="B77724" s="7"/>
    </row>
    <row r="77725" ht="15.75" customHeight="1">
      <c r="A77725" s="7"/>
      <c r="B77725" s="7"/>
    </row>
    <row r="77726" ht="15.75" customHeight="1">
      <c r="A77726" s="7"/>
      <c r="B77726" s="7"/>
    </row>
    <row r="77727" ht="15.75" customHeight="1">
      <c r="A77727" s="7"/>
      <c r="B77727" s="7"/>
    </row>
    <row r="77728" ht="15.75" customHeight="1">
      <c r="A77728" s="7"/>
      <c r="B77728" s="7"/>
    </row>
    <row r="77729" ht="15.75" customHeight="1">
      <c r="A77729" s="7"/>
      <c r="B77729" s="7"/>
    </row>
    <row r="77730" ht="15.75" customHeight="1">
      <c r="A77730" s="7"/>
      <c r="B77730" s="7"/>
    </row>
    <row r="77731" ht="15.75" customHeight="1">
      <c r="A77731" s="7"/>
      <c r="B77731" s="7"/>
    </row>
    <row r="77732" ht="15.75" customHeight="1">
      <c r="A77732" s="7"/>
      <c r="B77732" s="7"/>
    </row>
    <row r="77733" ht="15.75" customHeight="1">
      <c r="A77733" s="7"/>
      <c r="B77733" s="7"/>
    </row>
    <row r="77734" ht="15.75" customHeight="1">
      <c r="A77734" s="7"/>
      <c r="B77734" s="7"/>
    </row>
    <row r="77735" ht="15.75" customHeight="1">
      <c r="A77735" s="7"/>
      <c r="B77735" s="7"/>
    </row>
    <row r="77736" ht="15.75" customHeight="1">
      <c r="A77736" s="7"/>
      <c r="B77736" s="7"/>
    </row>
    <row r="77737" ht="15.75" customHeight="1">
      <c r="A77737" s="7"/>
      <c r="B77737" s="7"/>
    </row>
    <row r="77738" ht="15.75" customHeight="1">
      <c r="A77738" s="7"/>
      <c r="B77738" s="7"/>
    </row>
    <row r="77739" ht="15.75" customHeight="1">
      <c r="A77739" s="7"/>
      <c r="B77739" s="7"/>
    </row>
    <row r="77740" ht="15.75" customHeight="1">
      <c r="A77740" s="7"/>
      <c r="B77740" s="7"/>
    </row>
    <row r="77741" ht="15.75" customHeight="1">
      <c r="A77741" s="7"/>
      <c r="B77741" s="7"/>
    </row>
    <row r="77742" ht="15.75" customHeight="1">
      <c r="A77742" s="7"/>
      <c r="B77742" s="7"/>
    </row>
    <row r="77743" ht="15.75" customHeight="1">
      <c r="A77743" s="7"/>
      <c r="B77743" s="7"/>
    </row>
    <row r="77744" ht="15.75" customHeight="1">
      <c r="A77744" s="7"/>
      <c r="B77744" s="7"/>
    </row>
    <row r="77745" ht="15.75" customHeight="1">
      <c r="A77745" s="7"/>
      <c r="B77745" s="7"/>
    </row>
    <row r="77746" ht="15.75" customHeight="1">
      <c r="A77746" s="7"/>
      <c r="B77746" s="7"/>
    </row>
    <row r="77747" ht="15.75" customHeight="1">
      <c r="A77747" s="7"/>
      <c r="B77747" s="7"/>
    </row>
    <row r="77748" ht="15.75" customHeight="1">
      <c r="A77748" s="7"/>
      <c r="B77748" s="7"/>
    </row>
    <row r="77749" ht="15.75" customHeight="1">
      <c r="A77749" s="7"/>
      <c r="B77749" s="7"/>
    </row>
    <row r="77750" ht="15.75" customHeight="1">
      <c r="A77750" s="7"/>
      <c r="B77750" s="7"/>
    </row>
    <row r="77751" ht="15.75" customHeight="1">
      <c r="A77751" s="7"/>
      <c r="B77751" s="7"/>
    </row>
    <row r="77752" ht="15.75" customHeight="1">
      <c r="A77752" s="7"/>
      <c r="B77752" s="7"/>
    </row>
    <row r="77753" ht="15.75" customHeight="1">
      <c r="A77753" s="7"/>
      <c r="B77753" s="7"/>
    </row>
    <row r="77754" ht="15.75" customHeight="1">
      <c r="A77754" s="7"/>
      <c r="B77754" s="7"/>
    </row>
    <row r="77755" ht="15.75" customHeight="1">
      <c r="A77755" s="7"/>
      <c r="B77755" s="7"/>
    </row>
    <row r="77756" ht="15.75" customHeight="1">
      <c r="A77756" s="7"/>
      <c r="B77756" s="7"/>
    </row>
    <row r="77757" ht="15.75" customHeight="1">
      <c r="A77757" s="7"/>
      <c r="B77757" s="7"/>
    </row>
    <row r="77758" ht="15.75" customHeight="1">
      <c r="A77758" s="7"/>
      <c r="B77758" s="7"/>
    </row>
    <row r="77759" ht="15.75" customHeight="1">
      <c r="A77759" s="7"/>
      <c r="B77759" s="7"/>
    </row>
    <row r="77760" ht="15.75" customHeight="1">
      <c r="A77760" s="7"/>
      <c r="B77760" s="7"/>
    </row>
    <row r="77761" ht="15.75" customHeight="1">
      <c r="A77761" s="7"/>
      <c r="B77761" s="7"/>
    </row>
    <row r="77762" ht="15.75" customHeight="1">
      <c r="A77762" s="7"/>
      <c r="B77762" s="7"/>
    </row>
    <row r="77763" ht="15.75" customHeight="1">
      <c r="A77763" s="7"/>
      <c r="B77763" s="7"/>
    </row>
    <row r="77764" ht="15.75" customHeight="1">
      <c r="A77764" s="7"/>
      <c r="B77764" s="7"/>
    </row>
    <row r="77765" ht="15.75" customHeight="1">
      <c r="A77765" s="7"/>
      <c r="B77765" s="7"/>
    </row>
    <row r="77766" ht="15.75" customHeight="1">
      <c r="A77766" s="7"/>
      <c r="B77766" s="7"/>
    </row>
    <row r="77767" ht="15.75" customHeight="1">
      <c r="A77767" s="7"/>
      <c r="B77767" s="7"/>
    </row>
    <row r="77768" ht="15.75" customHeight="1">
      <c r="A77768" s="7"/>
      <c r="B77768" s="7"/>
    </row>
    <row r="77769" ht="15.75" customHeight="1">
      <c r="A77769" s="7"/>
      <c r="B77769" s="7"/>
    </row>
    <row r="77770" ht="15.75" customHeight="1">
      <c r="A77770" s="7"/>
      <c r="B77770" s="7"/>
    </row>
    <row r="77771" ht="15.75" customHeight="1">
      <c r="A77771" s="7"/>
      <c r="B77771" s="7"/>
    </row>
    <row r="77772" ht="15.75" customHeight="1">
      <c r="A77772" s="7"/>
      <c r="B77772" s="7"/>
    </row>
    <row r="77773" ht="15.75" customHeight="1">
      <c r="A77773" s="7"/>
      <c r="B77773" s="7"/>
    </row>
    <row r="77774" ht="15.75" customHeight="1">
      <c r="A77774" s="7"/>
      <c r="B77774" s="7"/>
    </row>
    <row r="77775" ht="15.75" customHeight="1">
      <c r="A77775" s="7"/>
      <c r="B77775" s="7"/>
    </row>
    <row r="77776" ht="15.75" customHeight="1">
      <c r="A77776" s="7"/>
      <c r="B77776" s="7"/>
    </row>
    <row r="77777" ht="15.75" customHeight="1">
      <c r="A77777" s="7"/>
      <c r="B77777" s="7"/>
    </row>
    <row r="77778" ht="15.75" customHeight="1">
      <c r="A77778" s="7"/>
      <c r="B77778" s="7"/>
    </row>
    <row r="77779" ht="15.75" customHeight="1">
      <c r="A77779" s="7"/>
      <c r="B77779" s="7"/>
    </row>
    <row r="77780" ht="15.75" customHeight="1">
      <c r="A77780" s="7"/>
      <c r="B77780" s="7"/>
    </row>
    <row r="77781" ht="15.75" customHeight="1">
      <c r="A77781" s="7"/>
      <c r="B77781" s="7"/>
    </row>
    <row r="77782" ht="15.75" customHeight="1">
      <c r="A77782" s="7"/>
      <c r="B77782" s="7"/>
    </row>
    <row r="77783" ht="15.75" customHeight="1">
      <c r="A77783" s="7"/>
      <c r="B77783" s="7"/>
    </row>
    <row r="77784" ht="15.75" customHeight="1">
      <c r="A77784" s="7"/>
      <c r="B77784" s="7"/>
    </row>
    <row r="77785" ht="15.75" customHeight="1">
      <c r="A77785" s="7"/>
      <c r="B77785" s="7"/>
    </row>
    <row r="77786" ht="15.75" customHeight="1">
      <c r="A77786" s="7"/>
      <c r="B77786" s="7"/>
    </row>
    <row r="77787" ht="15.75" customHeight="1">
      <c r="A77787" s="7"/>
      <c r="B77787" s="7"/>
    </row>
    <row r="77788" ht="15.75" customHeight="1">
      <c r="A77788" s="7"/>
      <c r="B77788" s="7"/>
    </row>
    <row r="77789" ht="15.75" customHeight="1">
      <c r="A77789" s="7"/>
      <c r="B77789" s="7"/>
    </row>
    <row r="77790" ht="15.75" customHeight="1">
      <c r="A77790" s="7"/>
      <c r="B77790" s="7"/>
    </row>
    <row r="77791" ht="15.75" customHeight="1">
      <c r="A77791" s="7"/>
      <c r="B77791" s="7"/>
    </row>
    <row r="77792" ht="15.75" customHeight="1">
      <c r="A77792" s="7"/>
      <c r="B77792" s="7"/>
    </row>
    <row r="77793" ht="15.75" customHeight="1">
      <c r="A77793" s="7"/>
      <c r="B77793" s="7"/>
    </row>
    <row r="77794" ht="15.75" customHeight="1">
      <c r="A77794" s="7"/>
      <c r="B77794" s="7"/>
    </row>
    <row r="77795" ht="15.75" customHeight="1">
      <c r="A77795" s="7"/>
      <c r="B77795" s="7"/>
    </row>
    <row r="77796" ht="15.75" customHeight="1">
      <c r="A77796" s="7"/>
      <c r="B77796" s="7"/>
    </row>
    <row r="77797" ht="15.75" customHeight="1">
      <c r="A77797" s="7"/>
      <c r="B77797" s="7"/>
    </row>
    <row r="77798" ht="15.75" customHeight="1">
      <c r="A77798" s="7"/>
      <c r="B77798" s="7"/>
    </row>
    <row r="77799" ht="15.75" customHeight="1">
      <c r="A77799" s="7"/>
      <c r="B77799" s="7"/>
    </row>
    <row r="77800" ht="15.75" customHeight="1">
      <c r="A77800" s="7"/>
      <c r="B77800" s="7"/>
    </row>
    <row r="77801" ht="15.75" customHeight="1">
      <c r="A77801" s="7"/>
      <c r="B77801" s="7"/>
    </row>
    <row r="77802" ht="15.75" customHeight="1">
      <c r="A77802" s="7"/>
      <c r="B77802" s="7"/>
    </row>
    <row r="77803" ht="15.75" customHeight="1">
      <c r="A77803" s="7"/>
      <c r="B77803" s="7"/>
    </row>
    <row r="77804" ht="15.75" customHeight="1">
      <c r="A77804" s="7"/>
      <c r="B77804" s="7"/>
    </row>
    <row r="77805" ht="15.75" customHeight="1">
      <c r="A77805" s="7"/>
      <c r="B77805" s="7"/>
    </row>
    <row r="77806" ht="15.75" customHeight="1">
      <c r="A77806" s="7"/>
      <c r="B77806" s="7"/>
    </row>
    <row r="77807" ht="15.75" customHeight="1">
      <c r="A77807" s="7"/>
      <c r="B77807" s="7"/>
    </row>
    <row r="77808" ht="15.75" customHeight="1">
      <c r="A77808" s="7"/>
      <c r="B77808" s="7"/>
    </row>
    <row r="77809" ht="15.75" customHeight="1">
      <c r="A77809" s="7"/>
      <c r="B77809" s="7"/>
    </row>
    <row r="77810" ht="15.75" customHeight="1">
      <c r="A77810" s="7"/>
      <c r="B77810" s="7"/>
    </row>
    <row r="77811" ht="15.75" customHeight="1">
      <c r="A77811" s="7"/>
      <c r="B77811" s="7"/>
    </row>
    <row r="77812" ht="15.75" customHeight="1">
      <c r="A77812" s="7"/>
      <c r="B77812" s="7"/>
    </row>
    <row r="77813" ht="15.75" customHeight="1">
      <c r="A77813" s="7"/>
      <c r="B77813" s="7"/>
    </row>
    <row r="77814" ht="15.75" customHeight="1">
      <c r="A77814" s="7"/>
      <c r="B77814" s="7"/>
    </row>
    <row r="77815" ht="15.75" customHeight="1">
      <c r="A77815" s="7"/>
      <c r="B77815" s="7"/>
    </row>
    <row r="77816" ht="15.75" customHeight="1">
      <c r="A77816" s="7"/>
      <c r="B77816" s="7"/>
    </row>
    <row r="77817" ht="15.75" customHeight="1">
      <c r="A77817" s="7"/>
      <c r="B77817" s="7"/>
    </row>
    <row r="77818" ht="15.75" customHeight="1">
      <c r="A77818" s="7"/>
      <c r="B77818" s="7"/>
    </row>
    <row r="77819" ht="15.75" customHeight="1">
      <c r="A77819" s="7"/>
      <c r="B77819" s="7"/>
    </row>
    <row r="77820" ht="15.75" customHeight="1">
      <c r="A77820" s="7"/>
      <c r="B77820" s="7"/>
    </row>
    <row r="77821" ht="15.75" customHeight="1">
      <c r="A77821" s="7"/>
      <c r="B77821" s="7"/>
    </row>
    <row r="77822" ht="15.75" customHeight="1">
      <c r="A77822" s="7"/>
      <c r="B77822" s="7"/>
    </row>
    <row r="77823" ht="15.75" customHeight="1">
      <c r="A77823" s="7"/>
      <c r="B77823" s="7"/>
    </row>
    <row r="77824" ht="15.75" customHeight="1">
      <c r="A77824" s="7"/>
      <c r="B77824" s="7"/>
    </row>
    <row r="77825" ht="15.75" customHeight="1">
      <c r="A77825" s="7"/>
      <c r="B77825" s="7"/>
    </row>
    <row r="77826" ht="15.75" customHeight="1">
      <c r="A77826" s="7"/>
      <c r="B77826" s="7"/>
    </row>
    <row r="77827" ht="15.75" customHeight="1">
      <c r="A77827" s="7"/>
      <c r="B77827" s="7"/>
    </row>
    <row r="77828" ht="15.75" customHeight="1">
      <c r="A77828" s="7"/>
      <c r="B77828" s="7"/>
    </row>
    <row r="77829" ht="15.75" customHeight="1">
      <c r="A77829" s="7"/>
      <c r="B77829" s="7"/>
    </row>
    <row r="77830" ht="15.75" customHeight="1">
      <c r="A77830" s="7"/>
      <c r="B77830" s="7"/>
    </row>
    <row r="77831" ht="15.75" customHeight="1">
      <c r="A77831" s="7"/>
      <c r="B77831" s="7"/>
    </row>
    <row r="77832" ht="15.75" customHeight="1">
      <c r="A77832" s="7"/>
      <c r="B77832" s="7"/>
    </row>
    <row r="77833" ht="15.75" customHeight="1">
      <c r="A77833" s="7"/>
      <c r="B77833" s="7"/>
    </row>
    <row r="77834" ht="15.75" customHeight="1">
      <c r="A77834" s="7"/>
      <c r="B77834" s="7"/>
    </row>
    <row r="77835" ht="15.75" customHeight="1">
      <c r="A77835" s="7"/>
      <c r="B77835" s="7"/>
    </row>
    <row r="77836" ht="15.75" customHeight="1">
      <c r="A77836" s="7"/>
      <c r="B77836" s="7"/>
    </row>
    <row r="77837" ht="15.75" customHeight="1">
      <c r="A77837" s="7"/>
      <c r="B77837" s="7"/>
    </row>
    <row r="77838" ht="15.75" customHeight="1">
      <c r="A77838" s="7"/>
      <c r="B77838" s="7"/>
    </row>
    <row r="77839" ht="15.75" customHeight="1">
      <c r="A77839" s="7"/>
      <c r="B77839" s="7"/>
    </row>
    <row r="77840" ht="15.75" customHeight="1">
      <c r="A77840" s="7"/>
      <c r="B77840" s="7"/>
    </row>
    <row r="77841" ht="15.75" customHeight="1">
      <c r="A77841" s="7"/>
      <c r="B77841" s="7"/>
    </row>
    <row r="77842" ht="15.75" customHeight="1">
      <c r="A77842" s="7"/>
      <c r="B77842" s="7"/>
    </row>
    <row r="77843" ht="15.75" customHeight="1">
      <c r="A77843" s="7"/>
      <c r="B77843" s="7"/>
    </row>
    <row r="77844" ht="15.75" customHeight="1">
      <c r="A77844" s="7"/>
      <c r="B77844" s="7"/>
    </row>
    <row r="77845" ht="15.75" customHeight="1">
      <c r="A77845" s="7"/>
      <c r="B77845" s="7"/>
    </row>
    <row r="77846" ht="15.75" customHeight="1">
      <c r="A77846" s="7"/>
      <c r="B77846" s="7"/>
    </row>
    <row r="77847" ht="15.75" customHeight="1">
      <c r="A77847" s="7"/>
      <c r="B77847" s="7"/>
    </row>
    <row r="77848" ht="15.75" customHeight="1">
      <c r="A77848" s="7"/>
      <c r="B77848" s="7"/>
    </row>
    <row r="77849" ht="15.75" customHeight="1">
      <c r="A77849" s="7"/>
      <c r="B77849" s="7"/>
    </row>
    <row r="77850" ht="15.75" customHeight="1">
      <c r="A77850" s="7"/>
      <c r="B77850" s="7"/>
    </row>
    <row r="77851" ht="15.75" customHeight="1">
      <c r="A77851" s="7"/>
      <c r="B77851" s="7"/>
    </row>
    <row r="77852" ht="15.75" customHeight="1">
      <c r="A77852" s="7"/>
      <c r="B77852" s="7"/>
    </row>
    <row r="77853" ht="15.75" customHeight="1">
      <c r="A77853" s="7"/>
      <c r="B77853" s="7"/>
    </row>
    <row r="77854" ht="15.75" customHeight="1">
      <c r="A77854" s="7"/>
      <c r="B77854" s="7"/>
    </row>
    <row r="77855" ht="15.75" customHeight="1">
      <c r="A77855" s="7"/>
      <c r="B77855" s="7"/>
    </row>
    <row r="77856" ht="15.75" customHeight="1">
      <c r="A77856" s="7"/>
      <c r="B77856" s="7"/>
    </row>
    <row r="77857" ht="15.75" customHeight="1">
      <c r="A77857" s="7"/>
      <c r="B77857" s="7"/>
    </row>
    <row r="77858" ht="15.75" customHeight="1">
      <c r="A77858" s="7"/>
      <c r="B77858" s="7"/>
    </row>
    <row r="77859" ht="15.75" customHeight="1">
      <c r="A77859" s="7"/>
      <c r="B77859" s="7"/>
    </row>
    <row r="77860" ht="15.75" customHeight="1">
      <c r="A77860" s="7"/>
      <c r="B77860" s="7"/>
    </row>
    <row r="77861" ht="15.75" customHeight="1">
      <c r="A77861" s="7"/>
      <c r="B77861" s="7"/>
    </row>
    <row r="77862" ht="15.75" customHeight="1">
      <c r="A77862" s="7"/>
      <c r="B77862" s="7"/>
    </row>
    <row r="77863" ht="15.75" customHeight="1">
      <c r="A77863" s="7"/>
      <c r="B77863" s="7"/>
    </row>
    <row r="77864" ht="15.75" customHeight="1">
      <c r="A77864" s="7"/>
      <c r="B77864" s="7"/>
    </row>
    <row r="77865" ht="15.75" customHeight="1">
      <c r="A77865" s="7"/>
      <c r="B77865" s="7"/>
    </row>
    <row r="77866" ht="15.75" customHeight="1">
      <c r="A77866" s="7"/>
      <c r="B77866" s="7"/>
    </row>
    <row r="77867" ht="15.75" customHeight="1">
      <c r="A77867" s="7"/>
      <c r="B77867" s="7"/>
    </row>
    <row r="77868" ht="15.75" customHeight="1">
      <c r="A77868" s="7"/>
      <c r="B77868" s="7"/>
    </row>
    <row r="77869" ht="15.75" customHeight="1">
      <c r="A77869" s="7"/>
      <c r="B77869" s="7"/>
    </row>
    <row r="77870" ht="15.75" customHeight="1">
      <c r="A77870" s="7"/>
      <c r="B77870" s="7"/>
    </row>
    <row r="77871" ht="15.75" customHeight="1">
      <c r="A77871" s="7"/>
      <c r="B77871" s="7"/>
    </row>
    <row r="77872" ht="15.75" customHeight="1">
      <c r="A77872" s="7"/>
      <c r="B77872" s="7"/>
    </row>
    <row r="77873" ht="15.75" customHeight="1">
      <c r="A77873" s="7"/>
      <c r="B77873" s="7"/>
    </row>
    <row r="77874" ht="15.75" customHeight="1">
      <c r="A77874" s="7"/>
      <c r="B77874" s="7"/>
    </row>
    <row r="77875" ht="15.75" customHeight="1">
      <c r="A77875" s="7"/>
      <c r="B77875" s="7"/>
    </row>
    <row r="77876" ht="15.75" customHeight="1">
      <c r="A77876" s="7"/>
      <c r="B77876" s="7"/>
    </row>
    <row r="77877" ht="15.75" customHeight="1">
      <c r="A77877" s="7"/>
      <c r="B77877" s="7"/>
    </row>
    <row r="77878" ht="15.75" customHeight="1">
      <c r="A77878" s="7"/>
      <c r="B77878" s="7"/>
    </row>
    <row r="77879" ht="15.75" customHeight="1">
      <c r="A77879" s="7"/>
      <c r="B77879" s="7"/>
    </row>
    <row r="77880" ht="15.75" customHeight="1">
      <c r="A77880" s="7"/>
      <c r="B77880" s="7"/>
    </row>
    <row r="77881" ht="15.75" customHeight="1">
      <c r="A77881" s="7"/>
      <c r="B77881" s="7"/>
    </row>
    <row r="77882" ht="15.75" customHeight="1">
      <c r="A77882" s="7"/>
      <c r="B77882" s="7"/>
    </row>
    <row r="77883" ht="15.75" customHeight="1">
      <c r="A77883" s="7"/>
      <c r="B77883" s="7"/>
    </row>
    <row r="77884" ht="15.75" customHeight="1">
      <c r="A77884" s="7"/>
      <c r="B77884" s="7"/>
    </row>
    <row r="77885" ht="15.75" customHeight="1">
      <c r="A77885" s="7"/>
      <c r="B77885" s="7"/>
    </row>
    <row r="77886" ht="15.75" customHeight="1">
      <c r="A77886" s="7"/>
      <c r="B77886" s="7"/>
    </row>
    <row r="77887" ht="15.75" customHeight="1">
      <c r="A77887" s="7"/>
      <c r="B77887" s="7"/>
    </row>
    <row r="77888" ht="15.75" customHeight="1">
      <c r="A77888" s="7"/>
      <c r="B77888" s="7"/>
    </row>
    <row r="77889" ht="15.75" customHeight="1">
      <c r="A77889" s="7"/>
      <c r="B77889" s="7"/>
    </row>
    <row r="77890" ht="15.75" customHeight="1">
      <c r="A77890" s="7"/>
      <c r="B77890" s="7"/>
    </row>
    <row r="77891" ht="15.75" customHeight="1">
      <c r="A77891" s="7"/>
      <c r="B77891" s="7"/>
    </row>
    <row r="77892" ht="15.75" customHeight="1">
      <c r="A77892" s="7"/>
      <c r="B77892" s="7"/>
    </row>
    <row r="77893" ht="15.75" customHeight="1">
      <c r="A77893" s="7"/>
      <c r="B77893" s="7"/>
    </row>
    <row r="77894" ht="15.75" customHeight="1">
      <c r="A77894" s="7"/>
      <c r="B77894" s="7"/>
    </row>
    <row r="77895" ht="15.75" customHeight="1">
      <c r="A77895" s="7"/>
      <c r="B77895" s="7"/>
    </row>
    <row r="77896" ht="15.75" customHeight="1">
      <c r="A77896" s="7"/>
      <c r="B77896" s="7"/>
    </row>
    <row r="77897" ht="15.75" customHeight="1">
      <c r="A77897" s="7"/>
      <c r="B77897" s="7"/>
    </row>
    <row r="77898" ht="15.75" customHeight="1">
      <c r="A77898" s="7"/>
      <c r="B77898" s="7"/>
    </row>
    <row r="77899" ht="15.75" customHeight="1">
      <c r="A77899" s="7"/>
      <c r="B77899" s="7"/>
    </row>
    <row r="77900" ht="15.75" customHeight="1">
      <c r="A77900" s="7"/>
      <c r="B77900" s="7"/>
    </row>
    <row r="77901" ht="15.75" customHeight="1">
      <c r="A77901" s="7"/>
      <c r="B77901" s="7"/>
    </row>
    <row r="77902" ht="15.75" customHeight="1">
      <c r="A77902" s="7"/>
      <c r="B77902" s="7"/>
    </row>
    <row r="77903" ht="15.75" customHeight="1">
      <c r="A77903" s="7"/>
      <c r="B77903" s="7"/>
    </row>
    <row r="77904" ht="15.75" customHeight="1">
      <c r="A77904" s="7"/>
      <c r="B77904" s="7"/>
    </row>
    <row r="77905" ht="15.75" customHeight="1">
      <c r="A77905" s="7"/>
      <c r="B77905" s="7"/>
    </row>
    <row r="77906" ht="15.75" customHeight="1">
      <c r="A77906" s="7"/>
      <c r="B77906" s="7"/>
    </row>
    <row r="77907" ht="15.75" customHeight="1">
      <c r="A77907" s="7"/>
      <c r="B77907" s="7"/>
    </row>
    <row r="77908" ht="15.75" customHeight="1">
      <c r="A77908" s="7"/>
      <c r="B77908" s="7"/>
    </row>
    <row r="77909" ht="15.75" customHeight="1">
      <c r="A77909" s="7"/>
      <c r="B77909" s="7"/>
    </row>
    <row r="77910" ht="15.75" customHeight="1">
      <c r="A77910" s="7"/>
      <c r="B77910" s="7"/>
    </row>
    <row r="77911" ht="15.75" customHeight="1">
      <c r="A77911" s="7"/>
      <c r="B77911" s="7"/>
    </row>
    <row r="77912" ht="15.75" customHeight="1">
      <c r="A77912" s="7"/>
      <c r="B77912" s="7"/>
    </row>
    <row r="77913" ht="15.75" customHeight="1">
      <c r="A77913" s="7"/>
      <c r="B77913" s="7"/>
    </row>
    <row r="77914" ht="15.75" customHeight="1">
      <c r="A77914" s="7"/>
      <c r="B77914" s="7"/>
    </row>
    <row r="77915" ht="15.75" customHeight="1">
      <c r="A77915" s="7"/>
      <c r="B77915" s="7"/>
    </row>
    <row r="77916" ht="15.75" customHeight="1">
      <c r="A77916" s="7"/>
      <c r="B77916" s="7"/>
    </row>
    <row r="77917" ht="15.75" customHeight="1">
      <c r="A77917" s="7"/>
      <c r="B77917" s="7"/>
    </row>
    <row r="77918" ht="15.75" customHeight="1">
      <c r="A77918" s="7"/>
      <c r="B77918" s="7"/>
    </row>
    <row r="77919" ht="15.75" customHeight="1">
      <c r="A77919" s="7"/>
      <c r="B77919" s="7"/>
    </row>
    <row r="77920" ht="15.75" customHeight="1">
      <c r="A77920" s="7"/>
      <c r="B77920" s="7"/>
    </row>
    <row r="77921" ht="15.75" customHeight="1">
      <c r="A77921" s="7"/>
      <c r="B77921" s="7"/>
    </row>
    <row r="77922" ht="15.75" customHeight="1">
      <c r="A77922" s="7"/>
      <c r="B77922" s="7"/>
    </row>
    <row r="77923" ht="15.75" customHeight="1">
      <c r="A77923" s="7"/>
      <c r="B77923" s="7"/>
    </row>
    <row r="77924" ht="15.75" customHeight="1">
      <c r="A77924" s="7"/>
      <c r="B77924" s="7"/>
    </row>
    <row r="77925" ht="15.75" customHeight="1">
      <c r="A77925" s="7"/>
      <c r="B77925" s="7"/>
    </row>
    <row r="77926" ht="15.75" customHeight="1">
      <c r="A77926" s="7"/>
      <c r="B77926" s="7"/>
    </row>
    <row r="77927" ht="15.75" customHeight="1">
      <c r="A77927" s="7"/>
      <c r="B77927" s="7"/>
    </row>
    <row r="77928" ht="15.75" customHeight="1">
      <c r="A77928" s="7"/>
      <c r="B77928" s="7"/>
    </row>
    <row r="77929" ht="15.75" customHeight="1">
      <c r="A77929" s="7"/>
      <c r="B77929" s="7"/>
    </row>
    <row r="77930" ht="15.75" customHeight="1">
      <c r="A77930" s="7"/>
      <c r="B77930" s="7"/>
    </row>
    <row r="77931" ht="15.75" customHeight="1">
      <c r="A77931" s="7"/>
      <c r="B77931" s="7"/>
    </row>
    <row r="77932" ht="15.75" customHeight="1">
      <c r="A77932" s="7"/>
      <c r="B77932" s="7"/>
    </row>
    <row r="77933" ht="15.75" customHeight="1">
      <c r="A77933" s="7"/>
      <c r="B77933" s="7"/>
    </row>
    <row r="77934" ht="15.75" customHeight="1">
      <c r="A77934" s="7"/>
      <c r="B77934" s="7"/>
    </row>
    <row r="77935" ht="15.75" customHeight="1">
      <c r="A77935" s="7"/>
      <c r="B77935" s="7"/>
    </row>
    <row r="77936" ht="15.75" customHeight="1">
      <c r="A77936" s="7"/>
      <c r="B77936" s="7"/>
    </row>
    <row r="77937" ht="15.75" customHeight="1">
      <c r="A77937" s="7"/>
      <c r="B77937" s="7"/>
    </row>
    <row r="77938" ht="15.75" customHeight="1">
      <c r="A77938" s="7"/>
      <c r="B77938" s="7"/>
    </row>
    <row r="77939" ht="15.75" customHeight="1">
      <c r="A77939" s="7"/>
      <c r="B77939" s="7"/>
    </row>
    <row r="77940" ht="15.75" customHeight="1">
      <c r="A77940" s="7"/>
      <c r="B77940" s="7"/>
    </row>
    <row r="77941" ht="15.75" customHeight="1">
      <c r="A77941" s="7"/>
      <c r="B77941" s="7"/>
    </row>
    <row r="77942" ht="15.75" customHeight="1">
      <c r="A77942" s="7"/>
      <c r="B77942" s="7"/>
    </row>
    <row r="77943" ht="15.75" customHeight="1">
      <c r="A77943" s="7"/>
      <c r="B77943" s="7"/>
    </row>
    <row r="77944" ht="15.75" customHeight="1">
      <c r="A77944" s="7"/>
      <c r="B77944" s="7"/>
    </row>
    <row r="77945" ht="15.75" customHeight="1">
      <c r="A77945" s="7"/>
      <c r="B77945" s="7"/>
    </row>
    <row r="77946" ht="15.75" customHeight="1">
      <c r="A77946" s="7"/>
      <c r="B77946" s="7"/>
    </row>
    <row r="77947" ht="15.75" customHeight="1">
      <c r="A77947" s="7"/>
      <c r="B77947" s="7"/>
    </row>
    <row r="77948" ht="15.75" customHeight="1">
      <c r="A77948" s="7"/>
      <c r="B77948" s="7"/>
    </row>
    <row r="77949" ht="15.75" customHeight="1">
      <c r="A77949" s="7"/>
      <c r="B77949" s="7"/>
    </row>
    <row r="77950" ht="15.75" customHeight="1">
      <c r="A77950" s="7"/>
      <c r="B77950" s="7"/>
    </row>
    <row r="77951" ht="15.75" customHeight="1">
      <c r="A77951" s="7"/>
      <c r="B77951" s="7"/>
    </row>
    <row r="77952" ht="15.75" customHeight="1">
      <c r="A77952" s="7"/>
      <c r="B77952" s="7"/>
    </row>
    <row r="77953" ht="15.75" customHeight="1">
      <c r="A77953" s="7"/>
      <c r="B77953" s="7"/>
    </row>
    <row r="77954" ht="15.75" customHeight="1">
      <c r="A77954" s="7"/>
      <c r="B77954" s="7"/>
    </row>
    <row r="77955" ht="15.75" customHeight="1">
      <c r="A77955" s="7"/>
      <c r="B77955" s="7"/>
    </row>
    <row r="77956" ht="15.75" customHeight="1">
      <c r="A77956" s="7"/>
      <c r="B77956" s="7"/>
    </row>
    <row r="77957" ht="15.75" customHeight="1">
      <c r="A77957" s="7"/>
      <c r="B77957" s="7"/>
    </row>
    <row r="77958" ht="15.75" customHeight="1">
      <c r="A77958" s="7"/>
      <c r="B77958" s="7"/>
    </row>
    <row r="77959" ht="15.75" customHeight="1">
      <c r="A77959" s="7"/>
      <c r="B77959" s="7"/>
    </row>
    <row r="77960" ht="15.75" customHeight="1">
      <c r="A77960" s="7"/>
      <c r="B77960" s="7"/>
    </row>
    <row r="77961" ht="15.75" customHeight="1">
      <c r="A77961" s="7"/>
      <c r="B77961" s="7"/>
    </row>
    <row r="77962" ht="15.75" customHeight="1">
      <c r="A77962" s="7"/>
      <c r="B77962" s="7"/>
    </row>
    <row r="77963" ht="15.75" customHeight="1">
      <c r="A77963" s="7"/>
      <c r="B77963" s="7"/>
    </row>
    <row r="77964" ht="15.75" customHeight="1">
      <c r="A77964" s="7"/>
      <c r="B77964" s="7"/>
    </row>
    <row r="77965" ht="15.75" customHeight="1">
      <c r="A77965" s="7"/>
      <c r="B77965" s="7"/>
    </row>
    <row r="77966" ht="15.75" customHeight="1">
      <c r="A77966" s="7"/>
      <c r="B77966" s="7"/>
    </row>
    <row r="77967" ht="15.75" customHeight="1">
      <c r="A77967" s="7"/>
      <c r="B77967" s="7"/>
    </row>
    <row r="77968" ht="15.75" customHeight="1">
      <c r="A77968" s="7"/>
      <c r="B77968" s="7"/>
    </row>
    <row r="77969" ht="15.75" customHeight="1">
      <c r="A77969" s="7"/>
      <c r="B77969" s="7"/>
    </row>
    <row r="77970" ht="15.75" customHeight="1">
      <c r="A77970" s="7"/>
      <c r="B77970" s="7"/>
    </row>
    <row r="77971" ht="15.75" customHeight="1">
      <c r="A77971" s="7"/>
      <c r="B77971" s="7"/>
    </row>
    <row r="77972" ht="15.75" customHeight="1">
      <c r="A77972" s="7"/>
      <c r="B77972" s="7"/>
    </row>
    <row r="77973" ht="15.75" customHeight="1">
      <c r="A77973" s="7"/>
      <c r="B77973" s="7"/>
    </row>
    <row r="77974" ht="15.75" customHeight="1">
      <c r="A77974" s="7"/>
      <c r="B77974" s="7"/>
    </row>
    <row r="77975" ht="15.75" customHeight="1">
      <c r="A77975" s="7"/>
      <c r="B77975" s="7"/>
    </row>
    <row r="77976" ht="15.75" customHeight="1">
      <c r="A77976" s="7"/>
      <c r="B77976" s="7"/>
    </row>
    <row r="77977" ht="15.75" customHeight="1">
      <c r="A77977" s="7"/>
      <c r="B77977" s="7"/>
    </row>
    <row r="77978" ht="15.75" customHeight="1">
      <c r="A77978" s="7"/>
      <c r="B77978" s="7"/>
    </row>
    <row r="77979" ht="15.75" customHeight="1">
      <c r="A77979" s="7"/>
      <c r="B77979" s="7"/>
    </row>
    <row r="77980" ht="15.75" customHeight="1">
      <c r="A77980" s="7"/>
      <c r="B77980" s="7"/>
    </row>
    <row r="77981" ht="15.75" customHeight="1">
      <c r="A77981" s="7"/>
      <c r="B77981" s="7"/>
    </row>
    <row r="77982" ht="15.75" customHeight="1">
      <c r="A77982" s="7"/>
      <c r="B77982" s="7"/>
    </row>
    <row r="77983" ht="15.75" customHeight="1">
      <c r="A77983" s="7"/>
      <c r="B77983" s="7"/>
    </row>
    <row r="77984" ht="15.75" customHeight="1">
      <c r="A77984" s="7"/>
      <c r="B77984" s="7"/>
    </row>
    <row r="77985" ht="15.75" customHeight="1">
      <c r="A77985" s="7"/>
      <c r="B77985" s="7"/>
    </row>
    <row r="77986" ht="15.75" customHeight="1">
      <c r="A77986" s="7"/>
      <c r="B77986" s="7"/>
    </row>
    <row r="77987" ht="15.75" customHeight="1">
      <c r="A77987" s="7"/>
      <c r="B77987" s="7"/>
    </row>
    <row r="77988" ht="15.75" customHeight="1">
      <c r="A77988" s="7"/>
      <c r="B77988" s="7"/>
    </row>
    <row r="77989" ht="15.75" customHeight="1">
      <c r="A77989" s="7"/>
      <c r="B77989" s="7"/>
    </row>
    <row r="77990" ht="15.75" customHeight="1">
      <c r="A77990" s="7"/>
      <c r="B77990" s="7"/>
    </row>
    <row r="77991" ht="15.75" customHeight="1">
      <c r="A77991" s="7"/>
      <c r="B77991" s="7"/>
    </row>
    <row r="77992" ht="15.75" customHeight="1">
      <c r="A77992" s="7"/>
      <c r="B77992" s="7"/>
    </row>
    <row r="77993" ht="15.75" customHeight="1">
      <c r="A77993" s="7"/>
      <c r="B77993" s="7"/>
    </row>
    <row r="77994" ht="15.75" customHeight="1">
      <c r="A77994" s="7"/>
      <c r="B77994" s="7"/>
    </row>
    <row r="77995" ht="15.75" customHeight="1">
      <c r="A77995" s="7"/>
      <c r="B77995" s="7"/>
    </row>
    <row r="77996" ht="15.75" customHeight="1">
      <c r="A77996" s="7"/>
      <c r="B77996" s="7"/>
    </row>
    <row r="77997" ht="15.75" customHeight="1">
      <c r="A77997" s="7"/>
      <c r="B77997" s="7"/>
    </row>
    <row r="77998" ht="15.75" customHeight="1">
      <c r="A77998" s="7"/>
      <c r="B77998" s="7"/>
    </row>
    <row r="77999" ht="15.75" customHeight="1">
      <c r="A77999" s="7"/>
      <c r="B77999" s="7"/>
    </row>
    <row r="78000" ht="15.75" customHeight="1">
      <c r="A78000" s="7"/>
      <c r="B78000" s="7"/>
    </row>
    <row r="78001" ht="15.75" customHeight="1">
      <c r="A78001" s="7"/>
      <c r="B78001" s="7"/>
    </row>
    <row r="78002" ht="15.75" customHeight="1">
      <c r="A78002" s="7"/>
      <c r="B78002" s="7"/>
    </row>
    <row r="78003" ht="15.75" customHeight="1">
      <c r="A78003" s="7"/>
      <c r="B78003" s="7"/>
    </row>
    <row r="78004" ht="15.75" customHeight="1">
      <c r="A78004" s="7"/>
      <c r="B78004" s="7"/>
    </row>
    <row r="78005" ht="15.75" customHeight="1">
      <c r="A78005" s="7"/>
      <c r="B78005" s="7"/>
    </row>
    <row r="78006" ht="15.75" customHeight="1">
      <c r="A78006" s="7"/>
      <c r="B78006" s="7"/>
    </row>
    <row r="78007" ht="15.75" customHeight="1">
      <c r="A78007" s="7"/>
      <c r="B78007" s="7"/>
    </row>
    <row r="78008" ht="15.75" customHeight="1">
      <c r="A78008" s="7"/>
      <c r="B78008" s="7"/>
    </row>
    <row r="78009" ht="15.75" customHeight="1">
      <c r="A78009" s="7"/>
      <c r="B78009" s="7"/>
    </row>
    <row r="78010" ht="15.75" customHeight="1">
      <c r="A78010" s="7"/>
      <c r="B78010" s="7"/>
    </row>
    <row r="78011" ht="15.75" customHeight="1">
      <c r="A78011" s="7"/>
      <c r="B78011" s="7"/>
    </row>
    <row r="78012" ht="15.75" customHeight="1">
      <c r="A78012" s="7"/>
      <c r="B78012" s="7"/>
    </row>
    <row r="78013" ht="15.75" customHeight="1">
      <c r="A78013" s="7"/>
      <c r="B78013" s="7"/>
    </row>
    <row r="78014" ht="15.75" customHeight="1">
      <c r="A78014" s="7"/>
      <c r="B78014" s="7"/>
    </row>
    <row r="78015" ht="15.75" customHeight="1">
      <c r="A78015" s="7"/>
      <c r="B78015" s="7"/>
    </row>
    <row r="78016" ht="15.75" customHeight="1">
      <c r="A78016" s="7"/>
      <c r="B78016" s="7"/>
    </row>
    <row r="78017" ht="15.75" customHeight="1">
      <c r="A78017" s="7"/>
      <c r="B78017" s="7"/>
    </row>
    <row r="78018" ht="15.75" customHeight="1">
      <c r="A78018" s="7"/>
      <c r="B78018" s="7"/>
    </row>
    <row r="78019" ht="15.75" customHeight="1">
      <c r="A78019" s="7"/>
      <c r="B78019" s="7"/>
    </row>
    <row r="78020" ht="15.75" customHeight="1">
      <c r="A78020" s="7"/>
      <c r="B78020" s="7"/>
    </row>
    <row r="78021" ht="15.75" customHeight="1">
      <c r="A78021" s="7"/>
      <c r="B78021" s="7"/>
    </row>
    <row r="78022" ht="15.75" customHeight="1">
      <c r="A78022" s="7"/>
      <c r="B78022" s="7"/>
    </row>
    <row r="78023" ht="15.75" customHeight="1">
      <c r="A78023" s="7"/>
      <c r="B78023" s="7"/>
    </row>
    <row r="78024" ht="15.75" customHeight="1">
      <c r="A78024" s="7"/>
      <c r="B78024" s="7"/>
    </row>
    <row r="78025" ht="15.75" customHeight="1">
      <c r="A78025" s="7"/>
      <c r="B78025" s="7"/>
    </row>
    <row r="78026" ht="15.75" customHeight="1">
      <c r="A78026" s="7"/>
      <c r="B78026" s="7"/>
    </row>
    <row r="78027" ht="15.75" customHeight="1">
      <c r="A78027" s="7"/>
      <c r="B78027" s="7"/>
    </row>
    <row r="78028" ht="15.75" customHeight="1">
      <c r="A78028" s="7"/>
      <c r="B78028" s="7"/>
    </row>
    <row r="78029" ht="15.75" customHeight="1">
      <c r="A78029" s="7"/>
      <c r="B78029" s="7"/>
    </row>
    <row r="78030" ht="15.75" customHeight="1">
      <c r="A78030" s="7"/>
      <c r="B78030" s="7"/>
    </row>
    <row r="78031" ht="15.75" customHeight="1">
      <c r="A78031" s="7"/>
      <c r="B78031" s="7"/>
    </row>
    <row r="78032" ht="15.75" customHeight="1">
      <c r="A78032" s="7"/>
      <c r="B78032" s="7"/>
    </row>
    <row r="78033" ht="15.75" customHeight="1">
      <c r="A78033" s="7"/>
      <c r="B78033" s="7"/>
    </row>
    <row r="78034" ht="15.75" customHeight="1">
      <c r="A78034" s="7"/>
      <c r="B78034" s="7"/>
    </row>
    <row r="78035" ht="15.75" customHeight="1">
      <c r="A78035" s="7"/>
      <c r="B78035" s="7"/>
    </row>
    <row r="78036" ht="15.75" customHeight="1">
      <c r="A78036" s="7"/>
      <c r="B78036" s="7"/>
    </row>
    <row r="78037" ht="15.75" customHeight="1">
      <c r="A78037" s="7"/>
      <c r="B78037" s="7"/>
    </row>
    <row r="78038" ht="15.75" customHeight="1">
      <c r="A78038" s="7"/>
      <c r="B78038" s="7"/>
    </row>
    <row r="78039" ht="15.75" customHeight="1">
      <c r="A78039" s="7"/>
      <c r="B78039" s="7"/>
    </row>
    <row r="78040" ht="15.75" customHeight="1">
      <c r="A78040" s="7"/>
      <c r="B78040" s="7"/>
    </row>
    <row r="78041" ht="15.75" customHeight="1">
      <c r="A78041" s="7"/>
      <c r="B78041" s="7"/>
    </row>
    <row r="78042" ht="15.75" customHeight="1">
      <c r="A78042" s="7"/>
      <c r="B78042" s="7"/>
    </row>
    <row r="78043" ht="15.75" customHeight="1">
      <c r="A78043" s="7"/>
      <c r="B78043" s="7"/>
    </row>
    <row r="78044" ht="15.75" customHeight="1">
      <c r="A78044" s="7"/>
      <c r="B78044" s="7"/>
    </row>
    <row r="78045" ht="15.75" customHeight="1">
      <c r="A78045" s="7"/>
      <c r="B78045" s="7"/>
    </row>
    <row r="78046" ht="15.75" customHeight="1">
      <c r="A78046" s="7"/>
      <c r="B78046" s="7"/>
    </row>
    <row r="78047" ht="15.75" customHeight="1">
      <c r="A78047" s="7"/>
      <c r="B78047" s="7"/>
    </row>
    <row r="78048" ht="15.75" customHeight="1">
      <c r="A78048" s="7"/>
      <c r="B78048" s="7"/>
    </row>
    <row r="78049" ht="15.75" customHeight="1">
      <c r="A78049" s="7"/>
      <c r="B78049" s="7"/>
    </row>
    <row r="78050" ht="15.75" customHeight="1">
      <c r="A78050" s="7"/>
      <c r="B78050" s="7"/>
    </row>
    <row r="78051" ht="15.75" customHeight="1">
      <c r="A78051" s="7"/>
      <c r="B78051" s="7"/>
    </row>
    <row r="78052" ht="15.75" customHeight="1">
      <c r="A78052" s="7"/>
      <c r="B78052" s="7"/>
    </row>
    <row r="78053" ht="15.75" customHeight="1">
      <c r="A78053" s="7"/>
      <c r="B78053" s="7"/>
    </row>
    <row r="78054" ht="15.75" customHeight="1">
      <c r="A78054" s="7"/>
      <c r="B78054" s="7"/>
    </row>
    <row r="78055" ht="15.75" customHeight="1">
      <c r="A78055" s="7"/>
      <c r="B78055" s="7"/>
    </row>
    <row r="78056" ht="15.75" customHeight="1">
      <c r="A78056" s="7"/>
      <c r="B78056" s="7"/>
    </row>
    <row r="78057" ht="15.75" customHeight="1">
      <c r="A78057" s="7"/>
      <c r="B78057" s="7"/>
    </row>
    <row r="78058" ht="15.75" customHeight="1">
      <c r="A78058" s="7"/>
      <c r="B78058" s="7"/>
    </row>
    <row r="78059" ht="15.75" customHeight="1">
      <c r="A78059" s="7"/>
      <c r="B78059" s="7"/>
    </row>
    <row r="78060" ht="15.75" customHeight="1">
      <c r="A78060" s="7"/>
      <c r="B78060" s="7"/>
    </row>
    <row r="78061" ht="15.75" customHeight="1">
      <c r="A78061" s="7"/>
      <c r="B78061" s="7"/>
    </row>
    <row r="78062" ht="15.75" customHeight="1">
      <c r="A78062" s="7"/>
      <c r="B78062" s="7"/>
    </row>
    <row r="78063" ht="15.75" customHeight="1">
      <c r="A78063" s="7"/>
      <c r="B78063" s="7"/>
    </row>
    <row r="78064" ht="15.75" customHeight="1">
      <c r="A78064" s="7"/>
      <c r="B78064" s="7"/>
    </row>
    <row r="78065" ht="15.75" customHeight="1">
      <c r="A78065" s="7"/>
      <c r="B78065" s="7"/>
    </row>
    <row r="78066" ht="15.75" customHeight="1">
      <c r="A78066" s="7"/>
      <c r="B78066" s="7"/>
    </row>
    <row r="78067" ht="15.75" customHeight="1">
      <c r="A78067" s="7"/>
      <c r="B78067" s="7"/>
    </row>
    <row r="78068" ht="15.75" customHeight="1">
      <c r="A78068" s="7"/>
      <c r="B78068" s="7"/>
    </row>
    <row r="78069" ht="15.75" customHeight="1">
      <c r="A78069" s="7"/>
      <c r="B78069" s="7"/>
    </row>
    <row r="78070" ht="15.75" customHeight="1">
      <c r="A78070" s="7"/>
      <c r="B78070" s="7"/>
    </row>
    <row r="78071" ht="15.75" customHeight="1">
      <c r="A78071" s="7"/>
      <c r="B78071" s="7"/>
    </row>
    <row r="78072" ht="15.75" customHeight="1">
      <c r="A78072" s="7"/>
      <c r="B78072" s="7"/>
    </row>
    <row r="78073" ht="15.75" customHeight="1">
      <c r="A78073" s="7"/>
      <c r="B78073" s="7"/>
    </row>
    <row r="78074" ht="15.75" customHeight="1">
      <c r="A78074" s="7"/>
      <c r="B78074" s="7"/>
    </row>
    <row r="78075" ht="15.75" customHeight="1">
      <c r="A78075" s="7"/>
      <c r="B78075" s="7"/>
    </row>
    <row r="78076" ht="15.75" customHeight="1">
      <c r="A78076" s="7"/>
      <c r="B78076" s="7"/>
    </row>
    <row r="78077" ht="15.75" customHeight="1">
      <c r="A78077" s="7"/>
      <c r="B78077" s="7"/>
    </row>
    <row r="78078" ht="15.75" customHeight="1">
      <c r="A78078" s="7"/>
      <c r="B78078" s="7"/>
    </row>
    <row r="78079" ht="15.75" customHeight="1">
      <c r="A78079" s="7"/>
      <c r="B78079" s="7"/>
    </row>
    <row r="78080" ht="15.75" customHeight="1">
      <c r="A78080" s="7"/>
      <c r="B78080" s="7"/>
    </row>
    <row r="78081" ht="15.75" customHeight="1">
      <c r="A78081" s="7"/>
      <c r="B78081" s="7"/>
    </row>
    <row r="78082" ht="15.75" customHeight="1">
      <c r="A78082" s="7"/>
      <c r="B78082" s="7"/>
    </row>
    <row r="78083" ht="15.75" customHeight="1">
      <c r="A78083" s="7"/>
      <c r="B78083" s="7"/>
    </row>
    <row r="78084" ht="15.75" customHeight="1">
      <c r="A78084" s="7"/>
      <c r="B78084" s="7"/>
    </row>
    <row r="78085" ht="15.75" customHeight="1">
      <c r="A78085" s="7"/>
      <c r="B78085" s="7"/>
    </row>
    <row r="78086" ht="15.75" customHeight="1">
      <c r="A78086" s="7"/>
      <c r="B78086" s="7"/>
    </row>
    <row r="78087" ht="15.75" customHeight="1">
      <c r="A78087" s="7"/>
      <c r="B78087" s="7"/>
    </row>
    <row r="78088" ht="15.75" customHeight="1">
      <c r="A78088" s="7"/>
      <c r="B78088" s="7"/>
    </row>
    <row r="78089" ht="15.75" customHeight="1">
      <c r="A78089" s="7"/>
      <c r="B78089" s="7"/>
    </row>
    <row r="78090" ht="15.75" customHeight="1">
      <c r="A78090" s="7"/>
      <c r="B78090" s="7"/>
    </row>
    <row r="78091" ht="15.75" customHeight="1">
      <c r="A78091" s="7"/>
      <c r="B78091" s="7"/>
    </row>
    <row r="78092" ht="15.75" customHeight="1">
      <c r="A78092" s="7"/>
      <c r="B78092" s="7"/>
    </row>
    <row r="78093" ht="15.75" customHeight="1">
      <c r="A78093" s="7"/>
      <c r="B78093" s="7"/>
    </row>
    <row r="78094" ht="15.75" customHeight="1">
      <c r="A78094" s="7"/>
      <c r="B78094" s="7"/>
    </row>
    <row r="78095" ht="15.75" customHeight="1">
      <c r="A78095" s="7"/>
      <c r="B78095" s="7"/>
    </row>
    <row r="78096" ht="15.75" customHeight="1">
      <c r="A78096" s="7"/>
      <c r="B78096" s="7"/>
    </row>
    <row r="78097" ht="15.75" customHeight="1">
      <c r="A78097" s="7"/>
      <c r="B78097" s="7"/>
    </row>
    <row r="78098" ht="15.75" customHeight="1">
      <c r="A78098" s="7"/>
      <c r="B78098" s="7"/>
    </row>
    <row r="78099" ht="15.75" customHeight="1">
      <c r="A78099" s="7"/>
      <c r="B78099" s="7"/>
    </row>
    <row r="78100" ht="15.75" customHeight="1">
      <c r="A78100" s="7"/>
      <c r="B78100" s="7"/>
    </row>
    <row r="78101" ht="15.75" customHeight="1">
      <c r="A78101" s="7"/>
      <c r="B78101" s="7"/>
    </row>
    <row r="78102" ht="15.75" customHeight="1">
      <c r="A78102" s="7"/>
      <c r="B78102" s="7"/>
    </row>
    <row r="78103" ht="15.75" customHeight="1">
      <c r="A78103" s="7"/>
      <c r="B78103" s="7"/>
    </row>
    <row r="78104" ht="15.75" customHeight="1">
      <c r="A78104" s="7"/>
      <c r="B78104" s="7"/>
    </row>
    <row r="78105" ht="15.75" customHeight="1">
      <c r="A78105" s="7"/>
      <c r="B78105" s="7"/>
    </row>
    <row r="78106" ht="15.75" customHeight="1">
      <c r="A78106" s="7"/>
      <c r="B78106" s="7"/>
    </row>
    <row r="78107" ht="15.75" customHeight="1">
      <c r="A78107" s="7"/>
      <c r="B78107" s="7"/>
    </row>
    <row r="78108" ht="15.75" customHeight="1">
      <c r="A78108" s="7"/>
      <c r="B78108" s="7"/>
    </row>
    <row r="78109" ht="15.75" customHeight="1">
      <c r="A78109" s="7"/>
      <c r="B78109" s="7"/>
    </row>
    <row r="78110" ht="15.75" customHeight="1">
      <c r="A78110" s="7"/>
      <c r="B78110" s="7"/>
    </row>
    <row r="78111" ht="15.75" customHeight="1">
      <c r="A78111" s="7"/>
      <c r="B78111" s="7"/>
    </row>
    <row r="78112" ht="15.75" customHeight="1">
      <c r="A78112" s="7"/>
      <c r="B78112" s="7"/>
    </row>
    <row r="78113" ht="15.75" customHeight="1">
      <c r="A78113" s="7"/>
      <c r="B78113" s="7"/>
    </row>
    <row r="78114" ht="15.75" customHeight="1">
      <c r="A78114" s="7"/>
      <c r="B78114" s="7"/>
    </row>
    <row r="78115" ht="15.75" customHeight="1">
      <c r="A78115" s="7"/>
      <c r="B78115" s="7"/>
    </row>
    <row r="78116" ht="15.75" customHeight="1">
      <c r="A78116" s="7"/>
      <c r="B78116" s="7"/>
    </row>
    <row r="78117" ht="15.75" customHeight="1">
      <c r="A78117" s="7"/>
      <c r="B78117" s="7"/>
    </row>
    <row r="78118" ht="15.75" customHeight="1">
      <c r="A78118" s="7"/>
      <c r="B78118" s="7"/>
    </row>
    <row r="78119" ht="15.75" customHeight="1">
      <c r="A78119" s="7"/>
      <c r="B78119" s="7"/>
    </row>
    <row r="78120" ht="15.75" customHeight="1">
      <c r="A78120" s="7"/>
      <c r="B78120" s="7"/>
    </row>
    <row r="78121" ht="15.75" customHeight="1">
      <c r="A78121" s="7"/>
      <c r="B78121" s="7"/>
    </row>
    <row r="78122" ht="15.75" customHeight="1">
      <c r="A78122" s="7"/>
      <c r="B78122" s="7"/>
    </row>
    <row r="78123" ht="15.75" customHeight="1">
      <c r="A78123" s="7"/>
      <c r="B78123" s="7"/>
    </row>
    <row r="78124" ht="15.75" customHeight="1">
      <c r="A78124" s="7"/>
      <c r="B78124" s="7"/>
    </row>
    <row r="78125" ht="15.75" customHeight="1">
      <c r="A78125" s="7"/>
      <c r="B78125" s="7"/>
    </row>
    <row r="78126" ht="15.75" customHeight="1">
      <c r="A78126" s="7"/>
      <c r="B78126" s="7"/>
    </row>
    <row r="78127" ht="15.75" customHeight="1">
      <c r="A78127" s="7"/>
      <c r="B78127" s="7"/>
    </row>
    <row r="78128" ht="15.75" customHeight="1">
      <c r="A78128" s="7"/>
      <c r="B78128" s="7"/>
    </row>
    <row r="78129" ht="15.75" customHeight="1">
      <c r="A78129" s="7"/>
      <c r="B78129" s="7"/>
    </row>
    <row r="78130" ht="15.75" customHeight="1">
      <c r="A78130" s="7"/>
      <c r="B78130" s="7"/>
    </row>
    <row r="78131" ht="15.75" customHeight="1">
      <c r="A78131" s="7"/>
      <c r="B78131" s="7"/>
    </row>
    <row r="78132" ht="15.75" customHeight="1">
      <c r="A78132" s="7"/>
      <c r="B78132" s="7"/>
    </row>
    <row r="78133" ht="15.75" customHeight="1">
      <c r="A78133" s="7"/>
      <c r="B78133" s="7"/>
    </row>
    <row r="78134" ht="15.75" customHeight="1">
      <c r="A78134" s="7"/>
      <c r="B78134" s="7"/>
    </row>
    <row r="78135" ht="15.75" customHeight="1">
      <c r="A78135" s="7"/>
      <c r="B78135" s="7"/>
    </row>
    <row r="78136" ht="15.75" customHeight="1">
      <c r="A78136" s="7"/>
      <c r="B78136" s="7"/>
    </row>
    <row r="78137" ht="15.75" customHeight="1">
      <c r="A78137" s="7"/>
      <c r="B78137" s="7"/>
    </row>
    <row r="78138" ht="15.75" customHeight="1">
      <c r="A78138" s="7"/>
      <c r="B78138" s="7"/>
    </row>
    <row r="78139" ht="15.75" customHeight="1">
      <c r="A78139" s="7"/>
      <c r="B78139" s="7"/>
    </row>
    <row r="78140" ht="15.75" customHeight="1">
      <c r="A78140" s="7"/>
      <c r="B78140" s="7"/>
    </row>
    <row r="78141" ht="15.75" customHeight="1">
      <c r="A78141" s="7"/>
      <c r="B78141" s="7"/>
    </row>
    <row r="78142" ht="15.75" customHeight="1">
      <c r="A78142" s="7"/>
      <c r="B78142" s="7"/>
    </row>
    <row r="78143" ht="15.75" customHeight="1">
      <c r="A78143" s="7"/>
      <c r="B78143" s="7"/>
    </row>
    <row r="78144" ht="15.75" customHeight="1">
      <c r="A78144" s="7"/>
      <c r="B78144" s="7"/>
    </row>
    <row r="78145" ht="15.75" customHeight="1">
      <c r="A78145" s="7"/>
      <c r="B78145" s="7"/>
    </row>
    <row r="78146" ht="15.75" customHeight="1">
      <c r="A78146" s="7"/>
      <c r="B78146" s="7"/>
    </row>
    <row r="78147" ht="15.75" customHeight="1">
      <c r="A78147" s="7"/>
      <c r="B78147" s="7"/>
    </row>
    <row r="78148" ht="15.75" customHeight="1">
      <c r="A78148" s="7"/>
      <c r="B78148" s="7"/>
    </row>
    <row r="78149" ht="15.75" customHeight="1">
      <c r="A78149" s="7"/>
      <c r="B78149" s="7"/>
    </row>
    <row r="78150" ht="15.75" customHeight="1">
      <c r="A78150" s="7"/>
      <c r="B78150" s="7"/>
    </row>
    <row r="78151" ht="15.75" customHeight="1">
      <c r="A78151" s="7"/>
      <c r="B78151" s="7"/>
    </row>
    <row r="78152" ht="15.75" customHeight="1">
      <c r="A78152" s="7"/>
      <c r="B78152" s="7"/>
    </row>
    <row r="78153" ht="15.75" customHeight="1">
      <c r="A78153" s="7"/>
      <c r="B78153" s="7"/>
    </row>
    <row r="78154" ht="15.75" customHeight="1">
      <c r="A78154" s="7"/>
      <c r="B78154" s="7"/>
    </row>
    <row r="78155" ht="15.75" customHeight="1">
      <c r="A78155" s="7"/>
      <c r="B78155" s="7"/>
    </row>
    <row r="78156" ht="15.75" customHeight="1">
      <c r="A78156" s="7"/>
      <c r="B78156" s="7"/>
    </row>
    <row r="78157" ht="15.75" customHeight="1">
      <c r="A78157" s="7"/>
      <c r="B78157" s="7"/>
    </row>
    <row r="78158" ht="15.75" customHeight="1">
      <c r="A78158" s="7"/>
      <c r="B78158" s="7"/>
    </row>
    <row r="78159" ht="15.75" customHeight="1">
      <c r="A78159" s="7"/>
      <c r="B78159" s="7"/>
    </row>
    <row r="78160" ht="15.75" customHeight="1">
      <c r="A78160" s="7"/>
      <c r="B78160" s="7"/>
    </row>
    <row r="78161" ht="15.75" customHeight="1">
      <c r="A78161" s="7"/>
      <c r="B78161" s="7"/>
    </row>
    <row r="78162" ht="15.75" customHeight="1">
      <c r="A78162" s="7"/>
      <c r="B78162" s="7"/>
    </row>
    <row r="78163" ht="15.75" customHeight="1">
      <c r="A78163" s="7"/>
      <c r="B78163" s="7"/>
    </row>
    <row r="78164" ht="15.75" customHeight="1">
      <c r="A78164" s="7"/>
      <c r="B78164" s="7"/>
    </row>
    <row r="78165" ht="15.75" customHeight="1">
      <c r="A78165" s="7"/>
      <c r="B78165" s="7"/>
    </row>
    <row r="78166" ht="15.75" customHeight="1">
      <c r="A78166" s="7"/>
      <c r="B78166" s="7"/>
    </row>
    <row r="78167" ht="15.75" customHeight="1">
      <c r="A78167" s="7"/>
      <c r="B78167" s="7"/>
    </row>
    <row r="78168" ht="15.75" customHeight="1">
      <c r="A78168" s="7"/>
      <c r="B78168" s="7"/>
    </row>
    <row r="78169" ht="15.75" customHeight="1">
      <c r="A78169" s="7"/>
      <c r="B78169" s="7"/>
    </row>
    <row r="78170" ht="15.75" customHeight="1">
      <c r="A78170" s="7"/>
      <c r="B78170" s="7"/>
    </row>
    <row r="78171" ht="15.75" customHeight="1">
      <c r="A78171" s="7"/>
      <c r="B78171" s="7"/>
    </row>
    <row r="78172" ht="15.75" customHeight="1">
      <c r="A78172" s="7"/>
      <c r="B78172" s="7"/>
    </row>
    <row r="78173" ht="15.75" customHeight="1">
      <c r="A78173" s="7"/>
      <c r="B78173" s="7"/>
    </row>
    <row r="78174" ht="15.75" customHeight="1">
      <c r="A78174" s="7"/>
      <c r="B78174" s="7"/>
    </row>
    <row r="78175" ht="15.75" customHeight="1">
      <c r="A78175" s="7"/>
      <c r="B78175" s="7"/>
    </row>
    <row r="78176" ht="15.75" customHeight="1">
      <c r="A78176" s="7"/>
      <c r="B78176" s="7"/>
    </row>
    <row r="78177" ht="15.75" customHeight="1">
      <c r="A78177" s="7"/>
      <c r="B78177" s="7"/>
    </row>
    <row r="78178" ht="15.75" customHeight="1">
      <c r="A78178" s="7"/>
      <c r="B78178" s="7"/>
    </row>
    <row r="78179" ht="15.75" customHeight="1">
      <c r="A78179" s="7"/>
      <c r="B78179" s="7"/>
    </row>
    <row r="78180" ht="15.75" customHeight="1">
      <c r="A78180" s="7"/>
      <c r="B78180" s="7"/>
    </row>
    <row r="78181" ht="15.75" customHeight="1">
      <c r="A78181" s="7"/>
      <c r="B78181" s="7"/>
    </row>
    <row r="78182" ht="15.75" customHeight="1">
      <c r="A78182" s="7"/>
      <c r="B78182" s="7"/>
    </row>
    <row r="78183" ht="15.75" customHeight="1">
      <c r="A78183" s="7"/>
      <c r="B78183" s="7"/>
    </row>
    <row r="78184" ht="15.75" customHeight="1">
      <c r="A78184" s="7"/>
      <c r="B78184" s="7"/>
    </row>
    <row r="78185" ht="15.75" customHeight="1">
      <c r="A78185" s="7"/>
      <c r="B78185" s="7"/>
    </row>
    <row r="78186" ht="15.75" customHeight="1">
      <c r="A78186" s="7"/>
      <c r="B78186" s="7"/>
    </row>
    <row r="78187" ht="15.75" customHeight="1">
      <c r="A78187" s="7"/>
      <c r="B78187" s="7"/>
    </row>
    <row r="78188" ht="15.75" customHeight="1">
      <c r="A78188" s="7"/>
      <c r="B78188" s="7"/>
    </row>
    <row r="78189" ht="15.75" customHeight="1">
      <c r="A78189" s="7"/>
      <c r="B78189" s="7"/>
    </row>
    <row r="78190" ht="15.75" customHeight="1">
      <c r="A78190" s="7"/>
      <c r="B78190" s="7"/>
    </row>
    <row r="78191" ht="15.75" customHeight="1">
      <c r="A78191" s="7"/>
      <c r="B78191" s="7"/>
    </row>
    <row r="78192" ht="15.75" customHeight="1">
      <c r="A78192" s="7"/>
      <c r="B78192" s="7"/>
    </row>
    <row r="78193" ht="15.75" customHeight="1">
      <c r="A78193" s="7"/>
      <c r="B78193" s="7"/>
    </row>
    <row r="78194" ht="15.75" customHeight="1">
      <c r="A78194" s="7"/>
      <c r="B78194" s="7"/>
    </row>
    <row r="78195" ht="15.75" customHeight="1">
      <c r="A78195" s="7"/>
      <c r="B78195" s="7"/>
    </row>
    <row r="78196" ht="15.75" customHeight="1">
      <c r="A78196" s="7"/>
      <c r="B78196" s="7"/>
    </row>
    <row r="78197" ht="15.75" customHeight="1">
      <c r="A78197" s="7"/>
      <c r="B78197" s="7"/>
    </row>
    <row r="78198" ht="15.75" customHeight="1">
      <c r="A78198" s="7"/>
      <c r="B78198" s="7"/>
    </row>
    <row r="78199" ht="15.75" customHeight="1">
      <c r="A78199" s="7"/>
      <c r="B78199" s="7"/>
    </row>
    <row r="78200" ht="15.75" customHeight="1">
      <c r="A78200" s="7"/>
      <c r="B78200" s="7"/>
    </row>
    <row r="78201" ht="15.75" customHeight="1">
      <c r="A78201" s="7"/>
      <c r="B78201" s="7"/>
    </row>
    <row r="78202" ht="15.75" customHeight="1">
      <c r="A78202" s="7"/>
      <c r="B78202" s="7"/>
    </row>
    <row r="78203" ht="15.75" customHeight="1">
      <c r="A78203" s="7"/>
      <c r="B78203" s="7"/>
    </row>
    <row r="78204" ht="15.75" customHeight="1">
      <c r="A78204" s="7"/>
      <c r="B78204" s="7"/>
    </row>
    <row r="78205" ht="15.75" customHeight="1">
      <c r="A78205" s="7"/>
      <c r="B78205" s="7"/>
    </row>
    <row r="78206" ht="15.75" customHeight="1">
      <c r="A78206" s="7"/>
      <c r="B78206" s="7"/>
    </row>
    <row r="78207" ht="15.75" customHeight="1">
      <c r="A78207" s="7"/>
      <c r="B78207" s="7"/>
    </row>
    <row r="78208" ht="15.75" customHeight="1">
      <c r="A78208" s="7"/>
      <c r="B78208" s="7"/>
    </row>
    <row r="78209" ht="15.75" customHeight="1">
      <c r="A78209" s="7"/>
      <c r="B78209" s="7"/>
    </row>
    <row r="78210" ht="15.75" customHeight="1">
      <c r="A78210" s="7"/>
      <c r="B78210" s="7"/>
    </row>
    <row r="78211" ht="15.75" customHeight="1">
      <c r="A78211" s="7"/>
      <c r="B78211" s="7"/>
    </row>
    <row r="78212" ht="15.75" customHeight="1">
      <c r="A78212" s="7"/>
      <c r="B78212" s="7"/>
    </row>
    <row r="78213" ht="15.75" customHeight="1">
      <c r="A78213" s="7"/>
      <c r="B78213" s="7"/>
    </row>
    <row r="78214" ht="15.75" customHeight="1">
      <c r="A78214" s="7"/>
      <c r="B78214" s="7"/>
    </row>
    <row r="78215" ht="15.75" customHeight="1">
      <c r="A78215" s="7"/>
      <c r="B78215" s="7"/>
    </row>
    <row r="78216" ht="15.75" customHeight="1">
      <c r="A78216" s="7"/>
      <c r="B78216" s="7"/>
    </row>
    <row r="78217" ht="15.75" customHeight="1">
      <c r="A78217" s="7"/>
      <c r="B78217" s="7"/>
    </row>
    <row r="78218" ht="15.75" customHeight="1">
      <c r="A78218" s="7"/>
      <c r="B78218" s="7"/>
    </row>
    <row r="78219" ht="15.75" customHeight="1">
      <c r="A78219" s="7"/>
      <c r="B78219" s="7"/>
    </row>
    <row r="78220" ht="15.75" customHeight="1">
      <c r="A78220" s="7"/>
      <c r="B78220" s="7"/>
    </row>
    <row r="78221" ht="15.75" customHeight="1">
      <c r="A78221" s="7"/>
      <c r="B78221" s="7"/>
    </row>
    <row r="78222" ht="15.75" customHeight="1">
      <c r="A78222" s="7"/>
      <c r="B78222" s="7"/>
    </row>
    <row r="78223" ht="15.75" customHeight="1">
      <c r="A78223" s="7"/>
      <c r="B78223" s="7"/>
    </row>
    <row r="78224" ht="15.75" customHeight="1">
      <c r="A78224" s="7"/>
      <c r="B78224" s="7"/>
    </row>
    <row r="78225" ht="15.75" customHeight="1">
      <c r="A78225" s="7"/>
      <c r="B78225" s="7"/>
    </row>
    <row r="78226" ht="15.75" customHeight="1">
      <c r="A78226" s="7"/>
      <c r="B78226" s="7"/>
    </row>
    <row r="78227" ht="15.75" customHeight="1">
      <c r="A78227" s="7"/>
      <c r="B78227" s="7"/>
    </row>
    <row r="78228" ht="15.75" customHeight="1">
      <c r="A78228" s="7"/>
      <c r="B78228" s="7"/>
    </row>
    <row r="78229" ht="15.75" customHeight="1">
      <c r="A78229" s="7"/>
      <c r="B78229" s="7"/>
    </row>
    <row r="78230" ht="15.75" customHeight="1">
      <c r="A78230" s="7"/>
      <c r="B78230" s="7"/>
    </row>
    <row r="78231" ht="15.75" customHeight="1">
      <c r="A78231" s="7"/>
      <c r="B78231" s="7"/>
    </row>
    <row r="78232" ht="15.75" customHeight="1">
      <c r="A78232" s="7"/>
      <c r="B78232" s="7"/>
    </row>
    <row r="78233" ht="15.75" customHeight="1">
      <c r="A78233" s="7"/>
      <c r="B78233" s="7"/>
    </row>
    <row r="78234" ht="15.75" customHeight="1">
      <c r="A78234" s="7"/>
      <c r="B78234" s="7"/>
    </row>
    <row r="78235" ht="15.75" customHeight="1">
      <c r="A78235" s="7"/>
      <c r="B78235" s="7"/>
    </row>
    <row r="78236" ht="15.75" customHeight="1">
      <c r="A78236" s="7"/>
      <c r="B78236" s="7"/>
    </row>
    <row r="78237" ht="15.75" customHeight="1">
      <c r="A78237" s="7"/>
      <c r="B78237" s="7"/>
    </row>
    <row r="78238" ht="15.75" customHeight="1">
      <c r="A78238" s="7"/>
      <c r="B78238" s="7"/>
    </row>
    <row r="78239" ht="15.75" customHeight="1">
      <c r="A78239" s="7"/>
      <c r="B78239" s="7"/>
    </row>
    <row r="78240" ht="15.75" customHeight="1">
      <c r="A78240" s="7"/>
      <c r="B78240" s="7"/>
    </row>
    <row r="78241" ht="15.75" customHeight="1">
      <c r="A78241" s="7"/>
      <c r="B78241" s="7"/>
    </row>
    <row r="78242" ht="15.75" customHeight="1">
      <c r="A78242" s="7"/>
      <c r="B78242" s="7"/>
    </row>
    <row r="78243" ht="15.75" customHeight="1">
      <c r="A78243" s="7"/>
      <c r="B78243" s="7"/>
    </row>
    <row r="78244" ht="15.75" customHeight="1">
      <c r="A78244" s="7"/>
      <c r="B78244" s="7"/>
    </row>
    <row r="78245" ht="15.75" customHeight="1">
      <c r="A78245" s="7"/>
      <c r="B78245" s="7"/>
    </row>
    <row r="78246" ht="15.75" customHeight="1">
      <c r="A78246" s="7"/>
      <c r="B78246" s="7"/>
    </row>
    <row r="78247" ht="15.75" customHeight="1">
      <c r="A78247" s="7"/>
      <c r="B78247" s="7"/>
    </row>
    <row r="78248" ht="15.75" customHeight="1">
      <c r="A78248" s="7"/>
      <c r="B78248" s="7"/>
    </row>
    <row r="78249" ht="15.75" customHeight="1">
      <c r="A78249" s="7"/>
      <c r="B78249" s="7"/>
    </row>
    <row r="78250" ht="15.75" customHeight="1">
      <c r="A78250" s="7"/>
      <c r="B78250" s="7"/>
    </row>
    <row r="78251" ht="15.75" customHeight="1">
      <c r="A78251" s="7"/>
      <c r="B78251" s="7"/>
    </row>
    <row r="78252" ht="15.75" customHeight="1">
      <c r="A78252" s="7"/>
      <c r="B78252" s="7"/>
    </row>
    <row r="78253" ht="15.75" customHeight="1">
      <c r="A78253" s="7"/>
      <c r="B78253" s="7"/>
    </row>
    <row r="78254" ht="15.75" customHeight="1">
      <c r="A78254" s="7"/>
      <c r="B78254" s="7"/>
    </row>
    <row r="78255" ht="15.75" customHeight="1">
      <c r="A78255" s="7"/>
      <c r="B78255" s="7"/>
    </row>
    <row r="78256" ht="15.75" customHeight="1">
      <c r="A78256" s="7"/>
      <c r="B78256" s="7"/>
    </row>
    <row r="78257" ht="15.75" customHeight="1">
      <c r="A78257" s="7"/>
      <c r="B78257" s="7"/>
    </row>
    <row r="78258" ht="15.75" customHeight="1">
      <c r="A78258" s="7"/>
      <c r="B78258" s="7"/>
    </row>
    <row r="78259" ht="15.75" customHeight="1">
      <c r="A78259" s="7"/>
      <c r="B78259" s="7"/>
    </row>
    <row r="78260" ht="15.75" customHeight="1">
      <c r="A78260" s="7"/>
      <c r="B78260" s="7"/>
    </row>
    <row r="78261" ht="15.75" customHeight="1">
      <c r="A78261" s="7"/>
      <c r="B78261" s="7"/>
    </row>
    <row r="78262" ht="15.75" customHeight="1">
      <c r="A78262" s="7"/>
      <c r="B78262" s="7"/>
    </row>
    <row r="78263" ht="15.75" customHeight="1">
      <c r="A78263" s="7"/>
      <c r="B78263" s="7"/>
    </row>
    <row r="78264" ht="15.75" customHeight="1">
      <c r="A78264" s="7"/>
      <c r="B78264" s="7"/>
    </row>
    <row r="78265" ht="15.75" customHeight="1">
      <c r="A78265" s="7"/>
      <c r="B78265" s="7"/>
    </row>
    <row r="78266" ht="15.75" customHeight="1">
      <c r="A78266" s="7"/>
      <c r="B78266" s="7"/>
    </row>
    <row r="78267" ht="15.75" customHeight="1">
      <c r="A78267" s="7"/>
      <c r="B78267" s="7"/>
    </row>
    <row r="78268" ht="15.75" customHeight="1">
      <c r="A78268" s="7"/>
      <c r="B78268" s="7"/>
    </row>
    <row r="78269" ht="15.75" customHeight="1">
      <c r="A78269" s="7"/>
      <c r="B78269" s="7"/>
    </row>
    <row r="78270" ht="15.75" customHeight="1">
      <c r="A78270" s="7"/>
      <c r="B78270" s="7"/>
    </row>
    <row r="78271" ht="15.75" customHeight="1">
      <c r="A78271" s="7"/>
      <c r="B78271" s="7"/>
    </row>
    <row r="78272" ht="15.75" customHeight="1">
      <c r="A78272" s="7"/>
      <c r="B78272" s="7"/>
    </row>
    <row r="78273" ht="15.75" customHeight="1">
      <c r="A78273" s="7"/>
      <c r="B78273" s="7"/>
    </row>
    <row r="78274" ht="15.75" customHeight="1">
      <c r="A78274" s="7"/>
      <c r="B78274" s="7"/>
    </row>
    <row r="78275" ht="15.75" customHeight="1">
      <c r="A78275" s="7"/>
      <c r="B78275" s="7"/>
    </row>
    <row r="78276" ht="15.75" customHeight="1">
      <c r="A78276" s="7"/>
      <c r="B78276" s="7"/>
    </row>
    <row r="78277" ht="15.75" customHeight="1">
      <c r="A78277" s="7"/>
      <c r="B78277" s="7"/>
    </row>
    <row r="78278" ht="15.75" customHeight="1">
      <c r="A78278" s="7"/>
      <c r="B78278" s="7"/>
    </row>
    <row r="78279" ht="15.75" customHeight="1">
      <c r="A78279" s="7"/>
      <c r="B78279" s="7"/>
    </row>
    <row r="78280" ht="15.75" customHeight="1">
      <c r="A78280" s="7"/>
      <c r="B78280" s="7"/>
    </row>
    <row r="78281" ht="15.75" customHeight="1">
      <c r="A78281" s="7"/>
      <c r="B78281" s="7"/>
    </row>
    <row r="78282" ht="15.75" customHeight="1">
      <c r="A78282" s="7"/>
      <c r="B78282" s="7"/>
    </row>
    <row r="78283" ht="15.75" customHeight="1">
      <c r="A78283" s="7"/>
      <c r="B78283" s="7"/>
    </row>
    <row r="78284" ht="15.75" customHeight="1">
      <c r="A78284" s="7"/>
      <c r="B78284" s="7"/>
    </row>
    <row r="78285" ht="15.75" customHeight="1">
      <c r="A78285" s="7"/>
      <c r="B78285" s="7"/>
    </row>
    <row r="78286" ht="15.75" customHeight="1">
      <c r="A78286" s="7"/>
      <c r="B78286" s="7"/>
    </row>
    <row r="78287" ht="15.75" customHeight="1">
      <c r="A78287" s="7"/>
      <c r="B78287" s="7"/>
    </row>
    <row r="78288" ht="15.75" customHeight="1">
      <c r="A78288" s="7"/>
      <c r="B78288" s="7"/>
    </row>
    <row r="78289" ht="15.75" customHeight="1">
      <c r="A78289" s="7"/>
      <c r="B78289" s="7"/>
    </row>
    <row r="78290" ht="15.75" customHeight="1">
      <c r="A78290" s="7"/>
      <c r="B78290" s="7"/>
    </row>
    <row r="78291" ht="15.75" customHeight="1">
      <c r="A78291" s="7"/>
      <c r="B78291" s="7"/>
    </row>
    <row r="78292" ht="15.75" customHeight="1">
      <c r="A78292" s="7"/>
      <c r="B78292" s="7"/>
    </row>
    <row r="78293" ht="15.75" customHeight="1">
      <c r="A78293" s="7"/>
      <c r="B78293" s="7"/>
    </row>
    <row r="78294" ht="15.75" customHeight="1">
      <c r="A78294" s="7"/>
      <c r="B78294" s="7"/>
    </row>
    <row r="78295" ht="15.75" customHeight="1">
      <c r="A78295" s="7"/>
      <c r="B78295" s="7"/>
    </row>
    <row r="78296" ht="15.75" customHeight="1">
      <c r="A78296" s="7"/>
      <c r="B78296" s="7"/>
    </row>
    <row r="78297" ht="15.75" customHeight="1">
      <c r="A78297" s="7"/>
      <c r="B78297" s="7"/>
    </row>
    <row r="78298" ht="15.75" customHeight="1">
      <c r="A78298" s="7"/>
      <c r="B78298" s="7"/>
    </row>
    <row r="78299" ht="15.75" customHeight="1">
      <c r="A78299" s="7"/>
      <c r="B78299" s="7"/>
    </row>
    <row r="78300" ht="15.75" customHeight="1">
      <c r="A78300" s="7"/>
      <c r="B78300" s="7"/>
    </row>
    <row r="78301" ht="15.75" customHeight="1">
      <c r="A78301" s="7"/>
      <c r="B78301" s="7"/>
    </row>
    <row r="78302" ht="15.75" customHeight="1">
      <c r="A78302" s="7"/>
      <c r="B78302" s="7"/>
    </row>
    <row r="78303" ht="15.75" customHeight="1">
      <c r="A78303" s="7"/>
      <c r="B78303" s="7"/>
    </row>
    <row r="78304" ht="15.75" customHeight="1">
      <c r="A78304" s="7"/>
      <c r="B78304" s="7"/>
    </row>
    <row r="78305" ht="15.75" customHeight="1">
      <c r="A78305" s="7"/>
      <c r="B78305" s="7"/>
    </row>
    <row r="78306" ht="15.75" customHeight="1">
      <c r="A78306" s="7"/>
      <c r="B78306" s="7"/>
    </row>
    <row r="78307" ht="15.75" customHeight="1">
      <c r="A78307" s="7"/>
      <c r="B78307" s="7"/>
    </row>
    <row r="78308" ht="15.75" customHeight="1">
      <c r="A78308" s="7"/>
      <c r="B78308" s="7"/>
    </row>
    <row r="78309" ht="15.75" customHeight="1">
      <c r="A78309" s="7"/>
      <c r="B78309" s="7"/>
    </row>
    <row r="78310" ht="15.75" customHeight="1">
      <c r="A78310" s="7"/>
      <c r="B78310" s="7"/>
    </row>
    <row r="78311" ht="15.75" customHeight="1">
      <c r="A78311" s="7"/>
      <c r="B78311" s="7"/>
    </row>
    <row r="78312" ht="15.75" customHeight="1">
      <c r="A78312" s="7"/>
      <c r="B78312" s="7"/>
    </row>
    <row r="78313" ht="15.75" customHeight="1">
      <c r="A78313" s="7"/>
      <c r="B78313" s="7"/>
    </row>
    <row r="78314" ht="15.75" customHeight="1">
      <c r="A78314" s="7"/>
      <c r="B78314" s="7"/>
    </row>
    <row r="78315" ht="15.75" customHeight="1">
      <c r="A78315" s="7"/>
      <c r="B78315" s="7"/>
    </row>
    <row r="78316" ht="15.75" customHeight="1">
      <c r="A78316" s="7"/>
      <c r="B78316" s="7"/>
    </row>
    <row r="78317" ht="15.75" customHeight="1">
      <c r="A78317" s="7"/>
      <c r="B78317" s="7"/>
    </row>
    <row r="78318" ht="15.75" customHeight="1">
      <c r="A78318" s="7"/>
      <c r="B78318" s="7"/>
    </row>
    <row r="78319" ht="15.75" customHeight="1">
      <c r="A78319" s="7"/>
      <c r="B78319" s="7"/>
    </row>
    <row r="78320" ht="15.75" customHeight="1">
      <c r="A78320" s="7"/>
      <c r="B78320" s="7"/>
    </row>
    <row r="78321" ht="15.75" customHeight="1">
      <c r="A78321" s="7"/>
      <c r="B78321" s="7"/>
    </row>
    <row r="78322" ht="15.75" customHeight="1">
      <c r="A78322" s="7"/>
      <c r="B78322" s="7"/>
    </row>
    <row r="78323" ht="15.75" customHeight="1">
      <c r="A78323" s="7"/>
      <c r="B78323" s="7"/>
    </row>
    <row r="78324" ht="15.75" customHeight="1">
      <c r="A78324" s="7"/>
      <c r="B78324" s="7"/>
    </row>
    <row r="78325" ht="15.75" customHeight="1">
      <c r="A78325" s="7"/>
      <c r="B78325" s="7"/>
    </row>
    <row r="78326" ht="15.75" customHeight="1">
      <c r="A78326" s="7"/>
      <c r="B78326" s="7"/>
    </row>
    <row r="78327" ht="15.75" customHeight="1">
      <c r="A78327" s="7"/>
      <c r="B78327" s="7"/>
    </row>
    <row r="78328" ht="15.75" customHeight="1">
      <c r="A78328" s="7"/>
      <c r="B78328" s="7"/>
    </row>
    <row r="78329" ht="15.75" customHeight="1">
      <c r="A78329" s="7"/>
      <c r="B78329" s="7"/>
    </row>
    <row r="78330" ht="15.75" customHeight="1">
      <c r="A78330" s="7"/>
      <c r="B78330" s="7"/>
    </row>
    <row r="78331" ht="15.75" customHeight="1">
      <c r="A78331" s="7"/>
      <c r="B78331" s="7"/>
    </row>
    <row r="78332" ht="15.75" customHeight="1">
      <c r="A78332" s="7"/>
      <c r="B78332" s="7"/>
    </row>
    <row r="78333" ht="15.75" customHeight="1">
      <c r="A78333" s="7"/>
      <c r="B78333" s="7"/>
    </row>
    <row r="78334" ht="15.75" customHeight="1">
      <c r="A78334" s="7"/>
      <c r="B78334" s="7"/>
    </row>
    <row r="78335" ht="15.75" customHeight="1">
      <c r="A78335" s="7"/>
      <c r="B78335" s="7"/>
    </row>
    <row r="78336" ht="15.75" customHeight="1">
      <c r="A78336" s="7"/>
      <c r="B78336" s="7"/>
    </row>
    <row r="78337" ht="15.75" customHeight="1">
      <c r="A78337" s="7"/>
      <c r="B78337" s="7"/>
    </row>
    <row r="78338" ht="15.75" customHeight="1">
      <c r="A78338" s="7"/>
      <c r="B78338" s="7"/>
    </row>
    <row r="78339" ht="15.75" customHeight="1">
      <c r="A78339" s="7"/>
      <c r="B78339" s="7"/>
    </row>
    <row r="78340" ht="15.75" customHeight="1">
      <c r="A78340" s="7"/>
      <c r="B78340" s="7"/>
    </row>
    <row r="78341" ht="15.75" customHeight="1">
      <c r="A78341" s="7"/>
      <c r="B78341" s="7"/>
    </row>
    <row r="78342" ht="15.75" customHeight="1">
      <c r="A78342" s="7"/>
      <c r="B78342" s="7"/>
    </row>
    <row r="78343" ht="15.75" customHeight="1">
      <c r="A78343" s="7"/>
      <c r="B78343" s="7"/>
    </row>
    <row r="78344" ht="15.75" customHeight="1">
      <c r="A78344" s="7"/>
      <c r="B78344" s="7"/>
    </row>
    <row r="78345" ht="15.75" customHeight="1">
      <c r="A78345" s="7"/>
      <c r="B78345" s="7"/>
    </row>
    <row r="78346" ht="15.75" customHeight="1">
      <c r="A78346" s="7"/>
      <c r="B78346" s="7"/>
    </row>
    <row r="78347" ht="15.75" customHeight="1">
      <c r="A78347" s="7"/>
      <c r="B78347" s="7"/>
    </row>
    <row r="78348" ht="15.75" customHeight="1">
      <c r="A78348" s="7"/>
      <c r="B78348" s="7"/>
    </row>
    <row r="78349" ht="15.75" customHeight="1">
      <c r="A78349" s="7"/>
      <c r="B78349" s="7"/>
    </row>
    <row r="78350" ht="15.75" customHeight="1">
      <c r="A78350" s="7"/>
      <c r="B78350" s="7"/>
    </row>
    <row r="78351" ht="15.75" customHeight="1">
      <c r="A78351" s="7"/>
      <c r="B78351" s="7"/>
    </row>
    <row r="78352" ht="15.75" customHeight="1">
      <c r="A78352" s="7"/>
      <c r="B78352" s="7"/>
    </row>
    <row r="78353" ht="15.75" customHeight="1">
      <c r="A78353" s="7"/>
      <c r="B78353" s="7"/>
    </row>
    <row r="78354" ht="15.75" customHeight="1">
      <c r="A78354" s="7"/>
      <c r="B78354" s="7"/>
    </row>
    <row r="78355" ht="15.75" customHeight="1">
      <c r="A78355" s="7"/>
      <c r="B78355" s="7"/>
    </row>
    <row r="78356" ht="15.75" customHeight="1">
      <c r="A78356" s="7"/>
      <c r="B78356" s="7"/>
    </row>
    <row r="78357" ht="15.75" customHeight="1">
      <c r="A78357" s="7"/>
      <c r="B78357" s="7"/>
    </row>
    <row r="78358" ht="15.75" customHeight="1">
      <c r="A78358" s="7"/>
      <c r="B78358" s="7"/>
    </row>
    <row r="78359" ht="15.75" customHeight="1">
      <c r="A78359" s="7"/>
      <c r="B78359" s="7"/>
    </row>
    <row r="78360" ht="15.75" customHeight="1">
      <c r="A78360" s="7"/>
      <c r="B78360" s="7"/>
    </row>
    <row r="78361" ht="15.75" customHeight="1">
      <c r="A78361" s="7"/>
      <c r="B78361" s="7"/>
    </row>
    <row r="78362" ht="15.75" customHeight="1">
      <c r="A78362" s="7"/>
      <c r="B78362" s="7"/>
    </row>
    <row r="78363" ht="15.75" customHeight="1">
      <c r="A78363" s="7"/>
      <c r="B78363" s="7"/>
    </row>
    <row r="78364" ht="15.75" customHeight="1">
      <c r="A78364" s="7"/>
      <c r="B78364" s="7"/>
    </row>
    <row r="78365" ht="15.75" customHeight="1">
      <c r="A78365" s="7"/>
      <c r="B78365" s="7"/>
    </row>
    <row r="78366" ht="15.75" customHeight="1">
      <c r="A78366" s="7"/>
      <c r="B78366" s="7"/>
    </row>
    <row r="78367" ht="15.75" customHeight="1">
      <c r="A78367" s="7"/>
      <c r="B78367" s="7"/>
    </row>
    <row r="78368" ht="15.75" customHeight="1">
      <c r="A78368" s="7"/>
      <c r="B78368" s="7"/>
    </row>
    <row r="78369" ht="15.75" customHeight="1">
      <c r="A78369" s="7"/>
      <c r="B78369" s="7"/>
    </row>
    <row r="78370" ht="15.75" customHeight="1">
      <c r="A78370" s="7"/>
      <c r="B78370" s="7"/>
    </row>
    <row r="78371" ht="15.75" customHeight="1">
      <c r="A78371" s="7"/>
      <c r="B78371" s="7"/>
    </row>
    <row r="78372" ht="15.75" customHeight="1">
      <c r="A78372" s="7"/>
      <c r="B78372" s="7"/>
    </row>
    <row r="78373" ht="15.75" customHeight="1">
      <c r="A78373" s="7"/>
      <c r="B78373" s="7"/>
    </row>
    <row r="78374" ht="15.75" customHeight="1">
      <c r="A78374" s="7"/>
      <c r="B78374" s="7"/>
    </row>
    <row r="78375" ht="15.75" customHeight="1">
      <c r="A78375" s="7"/>
      <c r="B78375" s="7"/>
    </row>
    <row r="78376" ht="15.75" customHeight="1">
      <c r="A78376" s="7"/>
      <c r="B78376" s="7"/>
    </row>
    <row r="78377" ht="15.75" customHeight="1">
      <c r="A78377" s="7"/>
      <c r="B78377" s="7"/>
    </row>
    <row r="78378" ht="15.75" customHeight="1">
      <c r="A78378" s="7"/>
      <c r="B78378" s="7"/>
    </row>
    <row r="78379" ht="15.75" customHeight="1">
      <c r="A78379" s="7"/>
      <c r="B78379" s="7"/>
    </row>
    <row r="78380" ht="15.75" customHeight="1">
      <c r="A78380" s="7"/>
      <c r="B78380" s="7"/>
    </row>
    <row r="78381" ht="15.75" customHeight="1">
      <c r="A78381" s="7"/>
      <c r="B78381" s="7"/>
    </row>
    <row r="78382" ht="15.75" customHeight="1">
      <c r="A78382" s="7"/>
      <c r="B78382" s="7"/>
    </row>
    <row r="78383" ht="15.75" customHeight="1">
      <c r="A78383" s="7"/>
      <c r="B78383" s="7"/>
    </row>
    <row r="78384" ht="15.75" customHeight="1">
      <c r="A78384" s="7"/>
      <c r="B78384" s="7"/>
    </row>
    <row r="78385" ht="15.75" customHeight="1">
      <c r="A78385" s="7"/>
      <c r="B78385" s="7"/>
    </row>
    <row r="78386" ht="15.75" customHeight="1">
      <c r="A78386" s="7"/>
      <c r="B78386" s="7"/>
    </row>
    <row r="78387" ht="15.75" customHeight="1">
      <c r="A78387" s="7"/>
      <c r="B78387" s="7"/>
    </row>
    <row r="78388" ht="15.75" customHeight="1">
      <c r="A78388" s="7"/>
      <c r="B78388" s="7"/>
    </row>
    <row r="78389" ht="15.75" customHeight="1">
      <c r="A78389" s="7"/>
      <c r="B78389" s="7"/>
    </row>
    <row r="78390" ht="15.75" customHeight="1">
      <c r="A78390" s="7"/>
      <c r="B78390" s="7"/>
    </row>
    <row r="78391" ht="15.75" customHeight="1">
      <c r="A78391" s="7"/>
      <c r="B78391" s="7"/>
    </row>
    <row r="78392" ht="15.75" customHeight="1">
      <c r="A78392" s="7"/>
      <c r="B78392" s="7"/>
    </row>
    <row r="78393" ht="15.75" customHeight="1">
      <c r="A78393" s="7"/>
      <c r="B78393" s="7"/>
    </row>
    <row r="78394" ht="15.75" customHeight="1">
      <c r="A78394" s="7"/>
      <c r="B78394" s="7"/>
    </row>
    <row r="78395" ht="15.75" customHeight="1">
      <c r="A78395" s="7"/>
      <c r="B78395" s="7"/>
    </row>
    <row r="78396" ht="15.75" customHeight="1">
      <c r="A78396" s="7"/>
      <c r="B78396" s="7"/>
    </row>
    <row r="78397" ht="15.75" customHeight="1">
      <c r="A78397" s="7"/>
      <c r="B78397" s="7"/>
    </row>
    <row r="78398" ht="15.75" customHeight="1">
      <c r="A78398" s="7"/>
      <c r="B78398" s="7"/>
    </row>
    <row r="78399" ht="15.75" customHeight="1">
      <c r="A78399" s="7"/>
      <c r="B78399" s="7"/>
    </row>
    <row r="78400" ht="15.75" customHeight="1">
      <c r="A78400" s="7"/>
      <c r="B78400" s="7"/>
    </row>
    <row r="78401" ht="15.75" customHeight="1">
      <c r="A78401" s="7"/>
      <c r="B78401" s="7"/>
    </row>
    <row r="78402" ht="15.75" customHeight="1">
      <c r="A78402" s="7"/>
      <c r="B78402" s="7"/>
    </row>
    <row r="78403" ht="15.75" customHeight="1">
      <c r="A78403" s="7"/>
      <c r="B78403" s="7"/>
    </row>
    <row r="78404" ht="15.75" customHeight="1">
      <c r="A78404" s="7"/>
      <c r="B78404" s="7"/>
    </row>
    <row r="78405" ht="15.75" customHeight="1">
      <c r="A78405" s="7"/>
      <c r="B78405" s="7"/>
    </row>
    <row r="78406" ht="15.75" customHeight="1">
      <c r="A78406" s="7"/>
      <c r="B78406" s="7"/>
    </row>
    <row r="78407" ht="15.75" customHeight="1">
      <c r="A78407" s="7"/>
      <c r="B78407" s="7"/>
    </row>
    <row r="78408" ht="15.75" customHeight="1">
      <c r="A78408" s="7"/>
      <c r="B78408" s="7"/>
    </row>
    <row r="78409" ht="15.75" customHeight="1">
      <c r="A78409" s="7"/>
      <c r="B78409" s="7"/>
    </row>
    <row r="78410" ht="15.75" customHeight="1">
      <c r="A78410" s="7"/>
      <c r="B78410" s="7"/>
    </row>
    <row r="78411" ht="15.75" customHeight="1">
      <c r="A78411" s="7"/>
      <c r="B78411" s="7"/>
    </row>
    <row r="78412" ht="15.75" customHeight="1">
      <c r="A78412" s="7"/>
      <c r="B78412" s="7"/>
    </row>
    <row r="78413" ht="15.75" customHeight="1">
      <c r="A78413" s="7"/>
      <c r="B78413" s="7"/>
    </row>
    <row r="78414" ht="15.75" customHeight="1">
      <c r="A78414" s="7"/>
      <c r="B78414" s="7"/>
    </row>
    <row r="78415" ht="15.75" customHeight="1">
      <c r="A78415" s="7"/>
      <c r="B78415" s="7"/>
    </row>
    <row r="78416" ht="15.75" customHeight="1">
      <c r="A78416" s="7"/>
      <c r="B78416" s="7"/>
    </row>
    <row r="78417" ht="15.75" customHeight="1">
      <c r="A78417" s="7"/>
      <c r="B78417" s="7"/>
    </row>
    <row r="78418" ht="15.75" customHeight="1">
      <c r="A78418" s="7"/>
      <c r="B78418" s="7"/>
    </row>
    <row r="78419" ht="15.75" customHeight="1">
      <c r="A78419" s="7"/>
      <c r="B78419" s="7"/>
    </row>
    <row r="78420" ht="15.75" customHeight="1">
      <c r="A78420" s="7"/>
      <c r="B78420" s="7"/>
    </row>
    <row r="78421" ht="15.75" customHeight="1">
      <c r="A78421" s="7"/>
      <c r="B78421" s="7"/>
    </row>
    <row r="78422" ht="15.75" customHeight="1">
      <c r="A78422" s="7"/>
      <c r="B78422" s="7"/>
    </row>
    <row r="78423" ht="15.75" customHeight="1">
      <c r="A78423" s="7"/>
      <c r="B78423" s="7"/>
    </row>
    <row r="78424" ht="15.75" customHeight="1">
      <c r="A78424" s="7"/>
      <c r="B78424" s="7"/>
    </row>
    <row r="78425" ht="15.75" customHeight="1">
      <c r="A78425" s="7"/>
      <c r="B78425" s="7"/>
    </row>
    <row r="78426" ht="15.75" customHeight="1">
      <c r="A78426" s="7"/>
      <c r="B78426" s="7"/>
    </row>
    <row r="78427" ht="15.75" customHeight="1">
      <c r="A78427" s="7"/>
      <c r="B78427" s="7"/>
    </row>
    <row r="78428" ht="15.75" customHeight="1">
      <c r="A78428" s="7"/>
      <c r="B78428" s="7"/>
    </row>
    <row r="78429" ht="15.75" customHeight="1">
      <c r="A78429" s="7"/>
      <c r="B78429" s="7"/>
    </row>
    <row r="78430" ht="15.75" customHeight="1">
      <c r="A78430" s="7"/>
      <c r="B78430" s="7"/>
    </row>
    <row r="78431" ht="15.75" customHeight="1">
      <c r="A78431" s="7"/>
      <c r="B78431" s="7"/>
    </row>
    <row r="78432" ht="15.75" customHeight="1">
      <c r="A78432" s="7"/>
      <c r="B78432" s="7"/>
    </row>
    <row r="78433" ht="15.75" customHeight="1">
      <c r="A78433" s="7"/>
      <c r="B78433" s="7"/>
    </row>
    <row r="78434" ht="15.75" customHeight="1">
      <c r="A78434" s="7"/>
      <c r="B78434" s="7"/>
    </row>
    <row r="78435" ht="15.75" customHeight="1">
      <c r="A78435" s="7"/>
      <c r="B78435" s="7"/>
    </row>
    <row r="78436" ht="15.75" customHeight="1">
      <c r="A78436" s="7"/>
      <c r="B78436" s="7"/>
    </row>
    <row r="78437" ht="15.75" customHeight="1">
      <c r="A78437" s="7"/>
      <c r="B78437" s="7"/>
    </row>
    <row r="78438" ht="15.75" customHeight="1">
      <c r="A78438" s="7"/>
      <c r="B78438" s="7"/>
    </row>
    <row r="78439" ht="15.75" customHeight="1">
      <c r="A78439" s="7"/>
      <c r="B78439" s="7"/>
    </row>
    <row r="78440" ht="15.75" customHeight="1">
      <c r="A78440" s="7"/>
      <c r="B78440" s="7"/>
    </row>
    <row r="78441" ht="15.75" customHeight="1">
      <c r="A78441" s="7"/>
      <c r="B78441" s="7"/>
    </row>
    <row r="78442" ht="15.75" customHeight="1">
      <c r="A78442" s="7"/>
      <c r="B78442" s="7"/>
    </row>
    <row r="78443" ht="15.75" customHeight="1">
      <c r="A78443" s="7"/>
      <c r="B78443" s="7"/>
    </row>
    <row r="78444" ht="15.75" customHeight="1">
      <c r="A78444" s="7"/>
      <c r="B78444" s="7"/>
    </row>
    <row r="78445" ht="15.75" customHeight="1">
      <c r="A78445" s="7"/>
      <c r="B78445" s="7"/>
    </row>
    <row r="78446" ht="15.75" customHeight="1">
      <c r="A78446" s="7"/>
      <c r="B78446" s="7"/>
    </row>
    <row r="78447" ht="15.75" customHeight="1">
      <c r="A78447" s="7"/>
      <c r="B78447" s="7"/>
    </row>
    <row r="78448" ht="15.75" customHeight="1">
      <c r="A78448" s="7"/>
      <c r="B78448" s="7"/>
    </row>
    <row r="78449" ht="15.75" customHeight="1">
      <c r="A78449" s="7"/>
      <c r="B78449" s="7"/>
    </row>
    <row r="78450" ht="15.75" customHeight="1">
      <c r="A78450" s="7"/>
      <c r="B78450" s="7"/>
    </row>
    <row r="78451" ht="15.75" customHeight="1">
      <c r="A78451" s="7"/>
      <c r="B78451" s="7"/>
    </row>
    <row r="78452" ht="15.75" customHeight="1">
      <c r="A78452" s="7"/>
      <c r="B78452" s="7"/>
    </row>
    <row r="78453" ht="15.75" customHeight="1">
      <c r="A78453" s="7"/>
      <c r="B78453" s="7"/>
    </row>
    <row r="78454" ht="15.75" customHeight="1">
      <c r="A78454" s="7"/>
      <c r="B78454" s="7"/>
    </row>
    <row r="78455" ht="15.75" customHeight="1">
      <c r="A78455" s="7"/>
      <c r="B78455" s="7"/>
    </row>
    <row r="78456" ht="15.75" customHeight="1">
      <c r="A78456" s="7"/>
      <c r="B78456" s="7"/>
    </row>
    <row r="78457" ht="15.75" customHeight="1">
      <c r="A78457" s="7"/>
      <c r="B78457" s="7"/>
    </row>
    <row r="78458" ht="15.75" customHeight="1">
      <c r="A78458" s="7"/>
      <c r="B78458" s="7"/>
    </row>
    <row r="78459" ht="15.75" customHeight="1">
      <c r="A78459" s="7"/>
      <c r="B78459" s="7"/>
    </row>
    <row r="78460" ht="15.75" customHeight="1">
      <c r="A78460" s="7"/>
      <c r="B78460" s="7"/>
    </row>
    <row r="78461" ht="15.75" customHeight="1">
      <c r="A78461" s="7"/>
      <c r="B78461" s="7"/>
    </row>
    <row r="78462" ht="15.75" customHeight="1">
      <c r="A78462" s="7"/>
      <c r="B78462" s="7"/>
    </row>
    <row r="78463" ht="15.75" customHeight="1">
      <c r="A78463" s="7"/>
      <c r="B78463" s="7"/>
    </row>
    <row r="78464" ht="15.75" customHeight="1">
      <c r="A78464" s="7"/>
      <c r="B78464" s="7"/>
    </row>
    <row r="78465" ht="15.75" customHeight="1">
      <c r="A78465" s="7"/>
      <c r="B78465" s="7"/>
    </row>
    <row r="78466" ht="15.75" customHeight="1">
      <c r="A78466" s="7"/>
      <c r="B78466" s="7"/>
    </row>
    <row r="78467" ht="15.75" customHeight="1">
      <c r="A78467" s="7"/>
      <c r="B78467" s="7"/>
    </row>
    <row r="78468" ht="15.75" customHeight="1">
      <c r="A78468" s="7"/>
      <c r="B78468" s="7"/>
    </row>
    <row r="78469" ht="15.75" customHeight="1">
      <c r="A78469" s="7"/>
      <c r="B78469" s="7"/>
    </row>
    <row r="78470" ht="15.75" customHeight="1">
      <c r="A78470" s="7"/>
      <c r="B78470" s="7"/>
    </row>
    <row r="78471" ht="15.75" customHeight="1">
      <c r="A78471" s="7"/>
      <c r="B78471" s="7"/>
    </row>
    <row r="78472" ht="15.75" customHeight="1">
      <c r="A78472" s="7"/>
      <c r="B78472" s="7"/>
    </row>
    <row r="78473" ht="15.75" customHeight="1">
      <c r="A78473" s="7"/>
      <c r="B78473" s="7"/>
    </row>
    <row r="78474" ht="15.75" customHeight="1">
      <c r="A78474" s="7"/>
      <c r="B78474" s="7"/>
    </row>
    <row r="78475" ht="15.75" customHeight="1">
      <c r="A78475" s="7"/>
      <c r="B78475" s="7"/>
    </row>
    <row r="78476" ht="15.75" customHeight="1">
      <c r="A78476" s="7"/>
      <c r="B78476" s="7"/>
    </row>
    <row r="78477" ht="15.75" customHeight="1">
      <c r="A78477" s="7"/>
      <c r="B78477" s="7"/>
    </row>
    <row r="78478" ht="15.75" customHeight="1">
      <c r="A78478" s="7"/>
      <c r="B78478" s="7"/>
    </row>
    <row r="78479" ht="15.75" customHeight="1">
      <c r="A78479" s="7"/>
      <c r="B78479" s="7"/>
    </row>
    <row r="78480" ht="15.75" customHeight="1">
      <c r="A78480" s="7"/>
      <c r="B78480" s="7"/>
    </row>
    <row r="78481" ht="15.75" customHeight="1">
      <c r="A78481" s="7"/>
      <c r="B78481" s="7"/>
    </row>
    <row r="78482" ht="15.75" customHeight="1">
      <c r="A78482" s="7"/>
      <c r="B78482" s="7"/>
    </row>
    <row r="78483" ht="15.75" customHeight="1">
      <c r="A78483" s="7"/>
      <c r="B78483" s="7"/>
    </row>
    <row r="78484" ht="15.75" customHeight="1">
      <c r="A78484" s="7"/>
      <c r="B78484" s="7"/>
    </row>
    <row r="78485" ht="15.75" customHeight="1">
      <c r="A78485" s="7"/>
      <c r="B78485" s="7"/>
    </row>
    <row r="78486" ht="15.75" customHeight="1">
      <c r="A78486" s="7"/>
      <c r="B78486" s="7"/>
    </row>
    <row r="78487" ht="15.75" customHeight="1">
      <c r="A78487" s="7"/>
      <c r="B78487" s="7"/>
    </row>
    <row r="78488" ht="15.75" customHeight="1">
      <c r="A78488" s="7"/>
      <c r="B78488" s="7"/>
    </row>
    <row r="78489" ht="15.75" customHeight="1">
      <c r="A78489" s="7"/>
      <c r="B78489" s="7"/>
    </row>
    <row r="78490" ht="15.75" customHeight="1">
      <c r="A78490" s="7"/>
      <c r="B78490" s="7"/>
    </row>
    <row r="78491" ht="15.75" customHeight="1">
      <c r="A78491" s="7"/>
      <c r="B78491" s="7"/>
    </row>
    <row r="78492" ht="15.75" customHeight="1">
      <c r="A78492" s="7"/>
      <c r="B78492" s="7"/>
    </row>
    <row r="78493" ht="15.75" customHeight="1">
      <c r="A78493" s="7"/>
      <c r="B78493" s="7"/>
    </row>
    <row r="78494" ht="15.75" customHeight="1">
      <c r="A78494" s="7"/>
      <c r="B78494" s="7"/>
    </row>
    <row r="78495" ht="15.75" customHeight="1">
      <c r="A78495" s="7"/>
      <c r="B78495" s="7"/>
    </row>
    <row r="78496" ht="15.75" customHeight="1">
      <c r="A78496" s="7"/>
      <c r="B78496" s="7"/>
    </row>
    <row r="78497" ht="15.75" customHeight="1">
      <c r="A78497" s="7"/>
      <c r="B78497" s="7"/>
    </row>
    <row r="78498" ht="15.75" customHeight="1">
      <c r="A78498" s="7"/>
      <c r="B78498" s="7"/>
    </row>
    <row r="78499" ht="15.75" customHeight="1">
      <c r="A78499" s="7"/>
      <c r="B78499" s="7"/>
    </row>
    <row r="78500" ht="15.75" customHeight="1">
      <c r="A78500" s="7"/>
      <c r="B78500" s="7"/>
    </row>
    <row r="78501" ht="15.75" customHeight="1">
      <c r="A78501" s="7"/>
      <c r="B78501" s="7"/>
    </row>
    <row r="78502" ht="15.75" customHeight="1">
      <c r="A78502" s="7"/>
      <c r="B78502" s="7"/>
    </row>
    <row r="78503" ht="15.75" customHeight="1">
      <c r="A78503" s="7"/>
      <c r="B78503" s="7"/>
    </row>
    <row r="78504" ht="15.75" customHeight="1">
      <c r="A78504" s="7"/>
      <c r="B78504" s="7"/>
    </row>
    <row r="78505" ht="15.75" customHeight="1">
      <c r="A78505" s="7"/>
      <c r="B78505" s="7"/>
    </row>
    <row r="78506" ht="15.75" customHeight="1">
      <c r="A78506" s="7"/>
      <c r="B78506" s="7"/>
    </row>
    <row r="78507" ht="15.75" customHeight="1">
      <c r="A78507" s="7"/>
      <c r="B78507" s="7"/>
    </row>
    <row r="78508" ht="15.75" customHeight="1">
      <c r="A78508" s="7"/>
      <c r="B78508" s="7"/>
    </row>
    <row r="78509" ht="15.75" customHeight="1">
      <c r="A78509" s="7"/>
      <c r="B78509" s="7"/>
    </row>
    <row r="78510" ht="15.75" customHeight="1">
      <c r="A78510" s="7"/>
      <c r="B78510" s="7"/>
    </row>
    <row r="78511" ht="15.75" customHeight="1">
      <c r="A78511" s="7"/>
      <c r="B78511" s="7"/>
    </row>
    <row r="78512" ht="15.75" customHeight="1">
      <c r="A78512" s="7"/>
      <c r="B78512" s="7"/>
    </row>
    <row r="78513" ht="15.75" customHeight="1">
      <c r="A78513" s="7"/>
      <c r="B78513" s="7"/>
    </row>
    <row r="78514" ht="15.75" customHeight="1">
      <c r="A78514" s="7"/>
      <c r="B78514" s="7"/>
    </row>
    <row r="78515" ht="15.75" customHeight="1">
      <c r="A78515" s="7"/>
      <c r="B78515" s="7"/>
    </row>
    <row r="78516" ht="15.75" customHeight="1">
      <c r="A78516" s="7"/>
      <c r="B78516" s="7"/>
    </row>
    <row r="78517" ht="15.75" customHeight="1">
      <c r="A78517" s="7"/>
      <c r="B78517" s="7"/>
    </row>
    <row r="78518" ht="15.75" customHeight="1">
      <c r="A78518" s="7"/>
      <c r="B78518" s="7"/>
    </row>
    <row r="78519" ht="15.75" customHeight="1">
      <c r="A78519" s="7"/>
      <c r="B78519" s="7"/>
    </row>
    <row r="78520" ht="15.75" customHeight="1">
      <c r="A78520" s="7"/>
      <c r="B78520" s="7"/>
    </row>
    <row r="78521" ht="15.75" customHeight="1">
      <c r="A78521" s="7"/>
      <c r="B78521" s="7"/>
    </row>
    <row r="78522" ht="15.75" customHeight="1">
      <c r="A78522" s="7"/>
      <c r="B78522" s="7"/>
    </row>
    <row r="78523" ht="15.75" customHeight="1">
      <c r="A78523" s="7"/>
      <c r="B78523" s="7"/>
    </row>
    <row r="78524" ht="15.75" customHeight="1">
      <c r="A78524" s="7"/>
      <c r="B78524" s="7"/>
    </row>
    <row r="78525" ht="15.75" customHeight="1">
      <c r="A78525" s="7"/>
      <c r="B78525" s="7"/>
    </row>
    <row r="78526" ht="15.75" customHeight="1">
      <c r="A78526" s="7"/>
      <c r="B78526" s="7"/>
    </row>
    <row r="78527" ht="15.75" customHeight="1">
      <c r="A78527" s="7"/>
      <c r="B78527" s="7"/>
    </row>
    <row r="78528" ht="15.75" customHeight="1">
      <c r="A78528" s="7"/>
      <c r="B78528" s="7"/>
    </row>
    <row r="78529" ht="15.75" customHeight="1">
      <c r="A78529" s="7"/>
      <c r="B78529" s="7"/>
    </row>
    <row r="78530" ht="15.75" customHeight="1">
      <c r="A78530" s="7"/>
      <c r="B78530" s="7"/>
    </row>
    <row r="78531" ht="15.75" customHeight="1">
      <c r="A78531" s="7"/>
      <c r="B78531" s="7"/>
    </row>
    <row r="78532" ht="15.75" customHeight="1">
      <c r="A78532" s="7"/>
      <c r="B78532" s="7"/>
    </row>
    <row r="78533" ht="15.75" customHeight="1">
      <c r="A78533" s="7"/>
      <c r="B78533" s="7"/>
    </row>
    <row r="78534" ht="15.75" customHeight="1">
      <c r="A78534" s="7"/>
      <c r="B78534" s="7"/>
    </row>
    <row r="78535" ht="15.75" customHeight="1">
      <c r="A78535" s="7"/>
      <c r="B78535" s="7"/>
    </row>
    <row r="78536" ht="15.75" customHeight="1">
      <c r="A78536" s="7"/>
      <c r="B78536" s="7"/>
    </row>
    <row r="78537" ht="15.75" customHeight="1">
      <c r="A78537" s="7"/>
      <c r="B78537" s="7"/>
    </row>
    <row r="78538" ht="15.75" customHeight="1">
      <c r="A78538" s="7"/>
      <c r="B78538" s="7"/>
    </row>
    <row r="78539" ht="15.75" customHeight="1">
      <c r="A78539" s="7"/>
      <c r="B78539" s="7"/>
    </row>
    <row r="78540" ht="15.75" customHeight="1">
      <c r="A78540" s="7"/>
      <c r="B78540" s="7"/>
    </row>
    <row r="78541" ht="15.75" customHeight="1">
      <c r="A78541" s="7"/>
      <c r="B78541" s="7"/>
    </row>
    <row r="78542" ht="15.75" customHeight="1">
      <c r="A78542" s="7"/>
      <c r="B78542" s="7"/>
    </row>
    <row r="78543" ht="15.75" customHeight="1">
      <c r="A78543" s="7"/>
      <c r="B78543" s="7"/>
    </row>
    <row r="78544" ht="15.75" customHeight="1">
      <c r="A78544" s="7"/>
      <c r="B78544" s="7"/>
    </row>
    <row r="78545" ht="15.75" customHeight="1">
      <c r="A78545" s="7"/>
      <c r="B78545" s="7"/>
    </row>
    <row r="78546" ht="15.75" customHeight="1">
      <c r="A78546" s="7"/>
      <c r="B78546" s="7"/>
    </row>
    <row r="78547" ht="15.75" customHeight="1">
      <c r="A78547" s="7"/>
      <c r="B78547" s="7"/>
    </row>
    <row r="78548" ht="15.75" customHeight="1">
      <c r="A78548" s="7"/>
      <c r="B78548" s="7"/>
    </row>
    <row r="78549" ht="15.75" customHeight="1">
      <c r="A78549" s="7"/>
      <c r="B78549" s="7"/>
    </row>
    <row r="78550" ht="15.75" customHeight="1">
      <c r="A78550" s="7"/>
      <c r="B78550" s="7"/>
    </row>
    <row r="78551" ht="15.75" customHeight="1">
      <c r="A78551" s="7"/>
      <c r="B78551" s="7"/>
    </row>
    <row r="78552" ht="15.75" customHeight="1">
      <c r="A78552" s="7"/>
      <c r="B78552" s="7"/>
    </row>
    <row r="78553" ht="15.75" customHeight="1">
      <c r="A78553" s="7"/>
      <c r="B78553" s="7"/>
    </row>
    <row r="78554" ht="15.75" customHeight="1">
      <c r="A78554" s="7"/>
      <c r="B78554" s="7"/>
    </row>
    <row r="78555" ht="15.75" customHeight="1">
      <c r="A78555" s="7"/>
      <c r="B78555" s="7"/>
    </row>
    <row r="78556" ht="15.75" customHeight="1">
      <c r="A78556" s="7"/>
      <c r="B78556" s="7"/>
    </row>
    <row r="78557" ht="15.75" customHeight="1">
      <c r="A78557" s="7"/>
      <c r="B78557" s="7"/>
    </row>
    <row r="78558" ht="15.75" customHeight="1">
      <c r="A78558" s="7"/>
      <c r="B78558" s="7"/>
    </row>
    <row r="78559" ht="15.75" customHeight="1">
      <c r="A78559" s="7"/>
      <c r="B78559" s="7"/>
    </row>
    <row r="78560" ht="15.75" customHeight="1">
      <c r="A78560" s="7"/>
      <c r="B78560" s="7"/>
    </row>
    <row r="78561" ht="15.75" customHeight="1">
      <c r="A78561" s="7"/>
      <c r="B78561" s="7"/>
    </row>
    <row r="78562" ht="15.75" customHeight="1">
      <c r="A78562" s="7"/>
      <c r="B78562" s="7"/>
    </row>
    <row r="78563" ht="15.75" customHeight="1">
      <c r="A78563" s="7"/>
      <c r="B78563" s="7"/>
    </row>
    <row r="78564" ht="15.75" customHeight="1">
      <c r="A78564" s="7"/>
      <c r="B78564" s="7"/>
    </row>
    <row r="78565" ht="15.75" customHeight="1">
      <c r="A78565" s="7"/>
      <c r="B78565" s="7"/>
    </row>
    <row r="78566" ht="15.75" customHeight="1">
      <c r="A78566" s="7"/>
      <c r="B78566" s="7"/>
    </row>
    <row r="78567" ht="15.75" customHeight="1">
      <c r="A78567" s="7"/>
      <c r="B78567" s="7"/>
    </row>
    <row r="78568" ht="15.75" customHeight="1">
      <c r="A78568" s="7"/>
      <c r="B78568" s="7"/>
    </row>
    <row r="78569" ht="15.75" customHeight="1">
      <c r="A78569" s="7"/>
      <c r="B78569" s="7"/>
    </row>
    <row r="78570" ht="15.75" customHeight="1">
      <c r="A78570" s="7"/>
      <c r="B78570" s="7"/>
    </row>
    <row r="78571" ht="15.75" customHeight="1">
      <c r="A78571" s="7"/>
      <c r="B78571" s="7"/>
    </row>
    <row r="78572" ht="15.75" customHeight="1">
      <c r="A78572" s="7"/>
      <c r="B78572" s="7"/>
    </row>
    <row r="78573" ht="15.75" customHeight="1">
      <c r="A78573" s="7"/>
      <c r="B78573" s="7"/>
    </row>
    <row r="78574" ht="15.75" customHeight="1">
      <c r="A78574" s="7"/>
      <c r="B78574" s="7"/>
    </row>
    <row r="78575" ht="15.75" customHeight="1">
      <c r="A78575" s="7"/>
      <c r="B78575" s="7"/>
    </row>
    <row r="78576" ht="15.75" customHeight="1">
      <c r="A78576" s="7"/>
      <c r="B78576" s="7"/>
    </row>
    <row r="78577" ht="15.75" customHeight="1">
      <c r="A78577" s="7"/>
      <c r="B78577" s="7"/>
    </row>
    <row r="78578" ht="15.75" customHeight="1">
      <c r="A78578" s="7"/>
      <c r="B78578" s="7"/>
    </row>
    <row r="78579" ht="15.75" customHeight="1">
      <c r="A78579" s="7"/>
      <c r="B78579" s="7"/>
    </row>
    <row r="78580" ht="15.75" customHeight="1">
      <c r="A78580" s="7"/>
      <c r="B78580" s="7"/>
    </row>
    <row r="78581" ht="15.75" customHeight="1">
      <c r="A78581" s="7"/>
      <c r="B78581" s="7"/>
    </row>
    <row r="78582" ht="15.75" customHeight="1">
      <c r="A78582" s="7"/>
      <c r="B78582" s="7"/>
    </row>
    <row r="78583" ht="15.75" customHeight="1">
      <c r="A78583" s="7"/>
      <c r="B78583" s="7"/>
    </row>
    <row r="78584" ht="15.75" customHeight="1">
      <c r="A78584" s="7"/>
      <c r="B78584" s="7"/>
    </row>
    <row r="78585" ht="15.75" customHeight="1">
      <c r="A78585" s="7"/>
      <c r="B78585" s="7"/>
    </row>
    <row r="78586" ht="15.75" customHeight="1">
      <c r="A78586" s="7"/>
      <c r="B78586" s="7"/>
    </row>
    <row r="78587" ht="15.75" customHeight="1">
      <c r="A78587" s="7"/>
      <c r="B78587" s="7"/>
    </row>
    <row r="78588" ht="15.75" customHeight="1">
      <c r="A78588" s="7"/>
      <c r="B78588" s="7"/>
    </row>
    <row r="78589" ht="15.75" customHeight="1">
      <c r="A78589" s="7"/>
      <c r="B78589" s="7"/>
    </row>
    <row r="78590" ht="15.75" customHeight="1">
      <c r="A78590" s="7"/>
      <c r="B78590" s="7"/>
    </row>
    <row r="78591" ht="15.75" customHeight="1">
      <c r="A78591" s="7"/>
      <c r="B78591" s="7"/>
    </row>
    <row r="78592" ht="15.75" customHeight="1">
      <c r="A78592" s="7"/>
      <c r="B78592" s="7"/>
    </row>
    <row r="78593" ht="15.75" customHeight="1">
      <c r="A78593" s="7"/>
      <c r="B78593" s="7"/>
    </row>
    <row r="78594" ht="15.75" customHeight="1">
      <c r="A78594" s="7"/>
      <c r="B78594" s="7"/>
    </row>
    <row r="78595" ht="15.75" customHeight="1">
      <c r="A78595" s="7"/>
      <c r="B78595" s="7"/>
    </row>
    <row r="78596" ht="15.75" customHeight="1">
      <c r="A78596" s="7"/>
      <c r="B78596" s="7"/>
    </row>
    <row r="78597" ht="15.75" customHeight="1">
      <c r="A78597" s="7"/>
      <c r="B78597" s="7"/>
    </row>
    <row r="78598" ht="15.75" customHeight="1">
      <c r="A78598" s="7"/>
      <c r="B78598" s="7"/>
    </row>
    <row r="78599" ht="15.75" customHeight="1">
      <c r="A78599" s="7"/>
      <c r="B78599" s="7"/>
    </row>
    <row r="78600" ht="15.75" customHeight="1">
      <c r="A78600" s="7"/>
      <c r="B78600" s="7"/>
    </row>
    <row r="78601" ht="15.75" customHeight="1">
      <c r="A78601" s="7"/>
      <c r="B78601" s="7"/>
    </row>
    <row r="78602" ht="15.75" customHeight="1">
      <c r="A78602" s="7"/>
      <c r="B78602" s="7"/>
    </row>
    <row r="78603" ht="15.75" customHeight="1">
      <c r="A78603" s="7"/>
      <c r="B78603" s="7"/>
    </row>
    <row r="78604" ht="15.75" customHeight="1">
      <c r="A78604" s="7"/>
      <c r="B78604" s="7"/>
    </row>
    <row r="78605" ht="15.75" customHeight="1">
      <c r="A78605" s="7"/>
      <c r="B78605" s="7"/>
    </row>
    <row r="78606" ht="15.75" customHeight="1">
      <c r="A78606" s="7"/>
      <c r="B78606" s="7"/>
    </row>
    <row r="78607" ht="15.75" customHeight="1">
      <c r="A78607" s="7"/>
      <c r="B78607" s="7"/>
    </row>
    <row r="78608" ht="15.75" customHeight="1">
      <c r="A78608" s="7"/>
      <c r="B78608" s="7"/>
    </row>
    <row r="78609" ht="15.75" customHeight="1">
      <c r="A78609" s="7"/>
      <c r="B78609" s="7"/>
    </row>
    <row r="78610" ht="15.75" customHeight="1">
      <c r="A78610" s="7"/>
      <c r="B78610" s="7"/>
    </row>
    <row r="78611" ht="15.75" customHeight="1">
      <c r="A78611" s="7"/>
      <c r="B78611" s="7"/>
    </row>
    <row r="78612" ht="15.75" customHeight="1">
      <c r="A78612" s="7"/>
      <c r="B78612" s="7"/>
    </row>
    <row r="78613" ht="15.75" customHeight="1">
      <c r="A78613" s="7"/>
      <c r="B78613" s="7"/>
    </row>
    <row r="78614" ht="15.75" customHeight="1">
      <c r="A78614" s="7"/>
      <c r="B78614" s="7"/>
    </row>
    <row r="78615" ht="15.75" customHeight="1">
      <c r="A78615" s="7"/>
      <c r="B78615" s="7"/>
    </row>
    <row r="78616" ht="15.75" customHeight="1">
      <c r="A78616" s="7"/>
      <c r="B78616" s="7"/>
    </row>
    <row r="78617" ht="15.75" customHeight="1">
      <c r="A78617" s="7"/>
      <c r="B78617" s="7"/>
    </row>
    <row r="78618" ht="15.75" customHeight="1">
      <c r="A78618" s="7"/>
      <c r="B78618" s="7"/>
    </row>
    <row r="78619" ht="15.75" customHeight="1">
      <c r="A78619" s="7"/>
      <c r="B78619" s="7"/>
    </row>
    <row r="78620" ht="15.75" customHeight="1">
      <c r="A78620" s="7"/>
      <c r="B78620" s="7"/>
    </row>
    <row r="78621" ht="15.75" customHeight="1">
      <c r="A78621" s="7"/>
      <c r="B78621" s="7"/>
    </row>
    <row r="78622" ht="15.75" customHeight="1">
      <c r="A78622" s="7"/>
      <c r="B78622" s="7"/>
    </row>
    <row r="78623" ht="15.75" customHeight="1">
      <c r="A78623" s="7"/>
      <c r="B78623" s="7"/>
    </row>
    <row r="78624" ht="15.75" customHeight="1">
      <c r="A78624" s="7"/>
      <c r="B78624" s="7"/>
    </row>
    <row r="78625" ht="15.75" customHeight="1">
      <c r="A78625" s="7"/>
      <c r="B78625" s="7"/>
    </row>
    <row r="78626" ht="15.75" customHeight="1">
      <c r="A78626" s="7"/>
      <c r="B78626" s="7"/>
    </row>
    <row r="78627" ht="15.75" customHeight="1">
      <c r="A78627" s="7"/>
      <c r="B78627" s="7"/>
    </row>
    <row r="78628" ht="15.75" customHeight="1">
      <c r="A78628" s="7"/>
      <c r="B78628" s="7"/>
    </row>
    <row r="78629" ht="15.75" customHeight="1">
      <c r="A78629" s="7"/>
      <c r="B78629" s="7"/>
    </row>
    <row r="78630" ht="15.75" customHeight="1">
      <c r="A78630" s="7"/>
      <c r="B78630" s="7"/>
    </row>
    <row r="78631" ht="15.75" customHeight="1">
      <c r="A78631" s="7"/>
      <c r="B78631" s="7"/>
    </row>
    <row r="78632" ht="15.75" customHeight="1">
      <c r="A78632" s="7"/>
      <c r="B78632" s="7"/>
    </row>
    <row r="78633" ht="15.75" customHeight="1">
      <c r="A78633" s="7"/>
      <c r="B78633" s="7"/>
    </row>
    <row r="78634" ht="15.75" customHeight="1">
      <c r="A78634" s="7"/>
      <c r="B78634" s="7"/>
    </row>
    <row r="78635" ht="15.75" customHeight="1">
      <c r="A78635" s="7"/>
      <c r="B78635" s="7"/>
    </row>
    <row r="78636" ht="15.75" customHeight="1">
      <c r="A78636" s="7"/>
      <c r="B78636" s="7"/>
    </row>
    <row r="78637" ht="15.75" customHeight="1">
      <c r="A78637" s="7"/>
      <c r="B78637" s="7"/>
    </row>
    <row r="78638" ht="15.75" customHeight="1">
      <c r="A78638" s="7"/>
      <c r="B78638" s="7"/>
    </row>
    <row r="78639" ht="15.75" customHeight="1">
      <c r="A78639" s="7"/>
      <c r="B78639" s="7"/>
    </row>
    <row r="78640" ht="15.75" customHeight="1">
      <c r="A78640" s="7"/>
      <c r="B78640" s="7"/>
    </row>
    <row r="78641" ht="15.75" customHeight="1">
      <c r="A78641" s="7"/>
      <c r="B78641" s="7"/>
    </row>
    <row r="78642" ht="15.75" customHeight="1">
      <c r="A78642" s="7"/>
      <c r="B78642" s="7"/>
    </row>
    <row r="78643" ht="15.75" customHeight="1">
      <c r="A78643" s="7"/>
      <c r="B78643" s="7"/>
    </row>
    <row r="78644" ht="15.75" customHeight="1">
      <c r="A78644" s="7"/>
      <c r="B78644" s="7"/>
    </row>
    <row r="78645" ht="15.75" customHeight="1">
      <c r="A78645" s="7"/>
      <c r="B78645" s="7"/>
    </row>
    <row r="78646" ht="15.75" customHeight="1">
      <c r="A78646" s="7"/>
      <c r="B78646" s="7"/>
    </row>
    <row r="78647" ht="15.75" customHeight="1">
      <c r="A78647" s="7"/>
      <c r="B78647" s="7"/>
    </row>
    <row r="78648" ht="15.75" customHeight="1">
      <c r="A78648" s="7"/>
      <c r="B78648" s="7"/>
    </row>
    <row r="78649" ht="15.75" customHeight="1">
      <c r="A78649" s="7"/>
      <c r="B78649" s="7"/>
    </row>
    <row r="78650" ht="15.75" customHeight="1">
      <c r="A78650" s="7"/>
      <c r="B78650" s="7"/>
    </row>
    <row r="78651" ht="15.75" customHeight="1">
      <c r="A78651" s="7"/>
      <c r="B78651" s="7"/>
    </row>
    <row r="78652" ht="15.75" customHeight="1">
      <c r="A78652" s="7"/>
      <c r="B78652" s="7"/>
    </row>
    <row r="78653" ht="15.75" customHeight="1">
      <c r="A78653" s="7"/>
      <c r="B78653" s="7"/>
    </row>
    <row r="78654" ht="15.75" customHeight="1">
      <c r="A78654" s="7"/>
      <c r="B78654" s="7"/>
    </row>
    <row r="78655" ht="15.75" customHeight="1">
      <c r="A78655" s="7"/>
      <c r="B78655" s="7"/>
    </row>
    <row r="78656" ht="15.75" customHeight="1">
      <c r="A78656" s="7"/>
      <c r="B78656" s="7"/>
    </row>
    <row r="78657" ht="15.75" customHeight="1">
      <c r="A78657" s="7"/>
      <c r="B78657" s="7"/>
    </row>
    <row r="78658" ht="15.75" customHeight="1">
      <c r="A78658" s="7"/>
      <c r="B78658" s="7"/>
    </row>
    <row r="78659" ht="15.75" customHeight="1">
      <c r="A78659" s="7"/>
      <c r="B78659" s="7"/>
    </row>
    <row r="78660" ht="15.75" customHeight="1">
      <c r="A78660" s="7"/>
      <c r="B78660" s="7"/>
    </row>
    <row r="78661" ht="15.75" customHeight="1">
      <c r="A78661" s="7"/>
      <c r="B78661" s="7"/>
    </row>
    <row r="78662" ht="15.75" customHeight="1">
      <c r="A78662" s="7"/>
      <c r="B78662" s="7"/>
    </row>
    <row r="78663" ht="15.75" customHeight="1">
      <c r="A78663" s="7"/>
      <c r="B78663" s="7"/>
    </row>
    <row r="78664" ht="15.75" customHeight="1">
      <c r="A78664" s="7"/>
      <c r="B78664" s="7"/>
    </row>
    <row r="78665" ht="15.75" customHeight="1">
      <c r="A78665" s="7"/>
      <c r="B78665" s="7"/>
    </row>
    <row r="78666" ht="15.75" customHeight="1">
      <c r="A78666" s="7"/>
      <c r="B78666" s="7"/>
    </row>
    <row r="78667" ht="15.75" customHeight="1">
      <c r="A78667" s="7"/>
      <c r="B78667" s="7"/>
    </row>
    <row r="78668" ht="15.75" customHeight="1">
      <c r="A78668" s="7"/>
      <c r="B78668" s="7"/>
    </row>
    <row r="78669" ht="15.75" customHeight="1">
      <c r="A78669" s="7"/>
      <c r="B78669" s="7"/>
    </row>
    <row r="78670" ht="15.75" customHeight="1">
      <c r="A78670" s="7"/>
      <c r="B78670" s="7"/>
    </row>
    <row r="78671" ht="15.75" customHeight="1">
      <c r="A78671" s="7"/>
      <c r="B78671" s="7"/>
    </row>
    <row r="78672" ht="15.75" customHeight="1">
      <c r="A78672" s="7"/>
      <c r="B78672" s="7"/>
    </row>
    <row r="78673" ht="15.75" customHeight="1">
      <c r="A78673" s="7"/>
      <c r="B78673" s="7"/>
    </row>
    <row r="78674" ht="15.75" customHeight="1">
      <c r="A78674" s="7"/>
      <c r="B78674" s="7"/>
    </row>
    <row r="78675" ht="15.75" customHeight="1">
      <c r="A78675" s="7"/>
      <c r="B78675" s="7"/>
    </row>
    <row r="78676" ht="15.75" customHeight="1">
      <c r="A78676" s="7"/>
      <c r="B78676" s="7"/>
    </row>
    <row r="78677" ht="15.75" customHeight="1">
      <c r="A78677" s="7"/>
      <c r="B78677" s="7"/>
    </row>
    <row r="78678" ht="15.75" customHeight="1">
      <c r="A78678" s="7"/>
      <c r="B78678" s="7"/>
    </row>
    <row r="78679" ht="15.75" customHeight="1">
      <c r="A78679" s="7"/>
      <c r="B78679" s="7"/>
    </row>
    <row r="78680" ht="15.75" customHeight="1">
      <c r="A78680" s="7"/>
      <c r="B78680" s="7"/>
    </row>
    <row r="78681" ht="15.75" customHeight="1">
      <c r="A78681" s="7"/>
      <c r="B78681" s="7"/>
    </row>
    <row r="78682" ht="15.75" customHeight="1">
      <c r="A78682" s="7"/>
      <c r="B78682" s="7"/>
    </row>
    <row r="78683" ht="15.75" customHeight="1">
      <c r="A78683" s="7"/>
      <c r="B78683" s="7"/>
    </row>
    <row r="78684" ht="15.75" customHeight="1">
      <c r="A78684" s="7"/>
      <c r="B78684" s="7"/>
    </row>
    <row r="78685" ht="15.75" customHeight="1">
      <c r="A78685" s="7"/>
      <c r="B78685" s="7"/>
    </row>
    <row r="78686" ht="15.75" customHeight="1">
      <c r="A78686" s="7"/>
      <c r="B78686" s="7"/>
    </row>
    <row r="78687" ht="15.75" customHeight="1">
      <c r="A78687" s="7"/>
      <c r="B78687" s="7"/>
    </row>
    <row r="78688" ht="15.75" customHeight="1">
      <c r="A78688" s="7"/>
      <c r="B78688" s="7"/>
    </row>
    <row r="78689" ht="15.75" customHeight="1">
      <c r="A78689" s="7"/>
      <c r="B78689" s="7"/>
    </row>
    <row r="78690" ht="15.75" customHeight="1">
      <c r="A78690" s="7"/>
      <c r="B78690" s="7"/>
    </row>
    <row r="78691" ht="15.75" customHeight="1">
      <c r="A78691" s="7"/>
      <c r="B78691" s="7"/>
    </row>
    <row r="78692" ht="15.75" customHeight="1">
      <c r="A78692" s="7"/>
      <c r="B78692" s="7"/>
    </row>
    <row r="78693" ht="15.75" customHeight="1">
      <c r="A78693" s="7"/>
      <c r="B78693" s="7"/>
    </row>
    <row r="78694" ht="15.75" customHeight="1">
      <c r="A78694" s="7"/>
      <c r="B78694" s="7"/>
    </row>
    <row r="78695" ht="15.75" customHeight="1">
      <c r="A78695" s="7"/>
      <c r="B78695" s="7"/>
    </row>
    <row r="78696" ht="15.75" customHeight="1">
      <c r="A78696" s="7"/>
      <c r="B78696" s="7"/>
    </row>
    <row r="78697" ht="15.75" customHeight="1">
      <c r="A78697" s="7"/>
      <c r="B78697" s="7"/>
    </row>
    <row r="78698" ht="15.75" customHeight="1">
      <c r="A78698" s="7"/>
      <c r="B78698" s="7"/>
    </row>
    <row r="78699" ht="15.75" customHeight="1">
      <c r="A78699" s="7"/>
      <c r="B78699" s="7"/>
    </row>
    <row r="78700" ht="15.75" customHeight="1">
      <c r="A78700" s="7"/>
      <c r="B78700" s="7"/>
    </row>
    <row r="78701" ht="15.75" customHeight="1">
      <c r="A78701" s="7"/>
      <c r="B78701" s="7"/>
    </row>
    <row r="78702" ht="15.75" customHeight="1">
      <c r="A78702" s="7"/>
      <c r="B78702" s="7"/>
    </row>
    <row r="78703" ht="15.75" customHeight="1">
      <c r="A78703" s="7"/>
      <c r="B78703" s="7"/>
    </row>
    <row r="78704" ht="15.75" customHeight="1">
      <c r="A78704" s="7"/>
      <c r="B78704" s="7"/>
    </row>
    <row r="78705" ht="15.75" customHeight="1">
      <c r="A78705" s="7"/>
      <c r="B78705" s="7"/>
    </row>
    <row r="78706" ht="15.75" customHeight="1">
      <c r="A78706" s="7"/>
      <c r="B78706" s="7"/>
    </row>
    <row r="78707" ht="15.75" customHeight="1">
      <c r="A78707" s="7"/>
      <c r="B78707" s="7"/>
    </row>
    <row r="78708" ht="15.75" customHeight="1">
      <c r="A78708" s="7"/>
      <c r="B78708" s="7"/>
    </row>
    <row r="78709" ht="15.75" customHeight="1">
      <c r="A78709" s="7"/>
      <c r="B78709" s="7"/>
    </row>
    <row r="78710" ht="15.75" customHeight="1">
      <c r="A78710" s="7"/>
      <c r="B78710" s="7"/>
    </row>
    <row r="78711" ht="15.75" customHeight="1">
      <c r="A78711" s="7"/>
      <c r="B78711" s="7"/>
    </row>
    <row r="78712" ht="15.75" customHeight="1">
      <c r="A78712" s="7"/>
      <c r="B78712" s="7"/>
    </row>
    <row r="78713" ht="15.75" customHeight="1">
      <c r="A78713" s="7"/>
      <c r="B78713" s="7"/>
    </row>
    <row r="78714" ht="15.75" customHeight="1">
      <c r="A78714" s="7"/>
      <c r="B78714" s="7"/>
    </row>
    <row r="78715" ht="15.75" customHeight="1">
      <c r="A78715" s="7"/>
      <c r="B78715" s="7"/>
    </row>
    <row r="78716" ht="15.75" customHeight="1">
      <c r="A78716" s="7"/>
      <c r="B78716" s="7"/>
    </row>
    <row r="78717" ht="15.75" customHeight="1">
      <c r="A78717" s="7"/>
      <c r="B78717" s="7"/>
    </row>
    <row r="78718" ht="15.75" customHeight="1">
      <c r="A78718" s="7"/>
      <c r="B78718" s="7"/>
    </row>
    <row r="78719" ht="15.75" customHeight="1">
      <c r="A78719" s="7"/>
      <c r="B78719" s="7"/>
    </row>
    <row r="78720" ht="15.75" customHeight="1">
      <c r="A78720" s="7"/>
      <c r="B78720" s="7"/>
    </row>
    <row r="78721" ht="15.75" customHeight="1">
      <c r="A78721" s="7"/>
      <c r="B78721" s="7"/>
    </row>
    <row r="78722" ht="15.75" customHeight="1">
      <c r="A78722" s="7"/>
      <c r="B78722" s="7"/>
    </row>
    <row r="78723" ht="15.75" customHeight="1">
      <c r="A78723" s="7"/>
      <c r="B78723" s="7"/>
    </row>
    <row r="78724" ht="15.75" customHeight="1">
      <c r="A78724" s="7"/>
      <c r="B78724" s="7"/>
    </row>
    <row r="78725" ht="15.75" customHeight="1">
      <c r="A78725" s="7"/>
      <c r="B78725" s="7"/>
    </row>
    <row r="78726" ht="15.75" customHeight="1">
      <c r="A78726" s="7"/>
      <c r="B78726" s="7"/>
    </row>
    <row r="78727" ht="15.75" customHeight="1">
      <c r="A78727" s="7"/>
      <c r="B78727" s="7"/>
    </row>
    <row r="78728" ht="15.75" customHeight="1">
      <c r="A78728" s="7"/>
      <c r="B78728" s="7"/>
    </row>
    <row r="78729" ht="15.75" customHeight="1">
      <c r="A78729" s="7"/>
      <c r="B78729" s="7"/>
    </row>
    <row r="78730" ht="15.75" customHeight="1">
      <c r="A78730" s="7"/>
      <c r="B78730" s="7"/>
    </row>
    <row r="78731" ht="15.75" customHeight="1">
      <c r="A78731" s="7"/>
      <c r="B78731" s="7"/>
    </row>
    <row r="78732" ht="15.75" customHeight="1">
      <c r="A78732" s="7"/>
      <c r="B78732" s="7"/>
    </row>
    <row r="78733" ht="15.75" customHeight="1">
      <c r="A78733" s="7"/>
      <c r="B78733" s="7"/>
    </row>
    <row r="78734" ht="15.75" customHeight="1">
      <c r="A78734" s="7"/>
      <c r="B78734" s="7"/>
    </row>
    <row r="78735" ht="15.75" customHeight="1">
      <c r="A78735" s="7"/>
      <c r="B78735" s="7"/>
    </row>
    <row r="78736" ht="15.75" customHeight="1">
      <c r="A78736" s="7"/>
      <c r="B78736" s="7"/>
    </row>
    <row r="78737" ht="15.75" customHeight="1">
      <c r="A78737" s="7"/>
      <c r="B78737" s="7"/>
    </row>
    <row r="78738" ht="15.75" customHeight="1">
      <c r="A78738" s="7"/>
      <c r="B78738" s="7"/>
    </row>
    <row r="78739" ht="15.75" customHeight="1">
      <c r="A78739" s="7"/>
      <c r="B78739" s="7"/>
    </row>
    <row r="78740" ht="15.75" customHeight="1">
      <c r="A78740" s="7"/>
      <c r="B78740" s="7"/>
    </row>
    <row r="78741" ht="15.75" customHeight="1">
      <c r="A78741" s="7"/>
      <c r="B78741" s="7"/>
    </row>
    <row r="78742" ht="15.75" customHeight="1">
      <c r="A78742" s="7"/>
      <c r="B78742" s="7"/>
    </row>
    <row r="78743" ht="15.75" customHeight="1">
      <c r="A78743" s="7"/>
      <c r="B78743" s="7"/>
    </row>
    <row r="78744" ht="15.75" customHeight="1">
      <c r="A78744" s="7"/>
      <c r="B78744" s="7"/>
    </row>
    <row r="78745" ht="15.75" customHeight="1">
      <c r="A78745" s="7"/>
      <c r="B78745" s="7"/>
    </row>
    <row r="78746" ht="15.75" customHeight="1">
      <c r="A78746" s="7"/>
      <c r="B78746" s="7"/>
    </row>
    <row r="78747" ht="15.75" customHeight="1">
      <c r="A78747" s="7"/>
      <c r="B78747" s="7"/>
    </row>
    <row r="78748" ht="15.75" customHeight="1">
      <c r="A78748" s="7"/>
      <c r="B78748" s="7"/>
    </row>
    <row r="78749" ht="15.75" customHeight="1">
      <c r="A78749" s="7"/>
      <c r="B78749" s="7"/>
    </row>
    <row r="78750" ht="15.75" customHeight="1">
      <c r="A78750" s="7"/>
      <c r="B78750" s="7"/>
    </row>
    <row r="78751" ht="15.75" customHeight="1">
      <c r="A78751" s="7"/>
      <c r="B78751" s="7"/>
    </row>
    <row r="78752" ht="15.75" customHeight="1">
      <c r="A78752" s="7"/>
      <c r="B78752" s="7"/>
    </row>
    <row r="78753" ht="15.75" customHeight="1">
      <c r="A78753" s="7"/>
      <c r="B78753" s="7"/>
    </row>
    <row r="78754" ht="15.75" customHeight="1">
      <c r="A78754" s="7"/>
      <c r="B78754" s="7"/>
    </row>
    <row r="78755" ht="15.75" customHeight="1">
      <c r="A78755" s="7"/>
      <c r="B78755" s="7"/>
    </row>
    <row r="78756" ht="15.75" customHeight="1">
      <c r="A78756" s="7"/>
      <c r="B78756" s="7"/>
    </row>
    <row r="78757" ht="15.75" customHeight="1">
      <c r="A78757" s="7"/>
      <c r="B78757" s="7"/>
    </row>
    <row r="78758" ht="15.75" customHeight="1">
      <c r="A78758" s="7"/>
      <c r="B78758" s="7"/>
    </row>
    <row r="78759" ht="15.75" customHeight="1">
      <c r="A78759" s="7"/>
      <c r="B78759" s="7"/>
    </row>
    <row r="78760" ht="15.75" customHeight="1">
      <c r="A78760" s="7"/>
      <c r="B78760" s="7"/>
    </row>
    <row r="78761" ht="15.75" customHeight="1">
      <c r="A78761" s="7"/>
      <c r="B78761" s="7"/>
    </row>
    <row r="78762" ht="15.75" customHeight="1">
      <c r="A78762" s="7"/>
      <c r="B78762" s="7"/>
    </row>
    <row r="78763" ht="15.75" customHeight="1">
      <c r="A78763" s="7"/>
      <c r="B78763" s="7"/>
    </row>
    <row r="78764" ht="15.75" customHeight="1">
      <c r="A78764" s="7"/>
      <c r="B78764" s="7"/>
    </row>
    <row r="78765" ht="15.75" customHeight="1">
      <c r="A78765" s="7"/>
      <c r="B78765" s="7"/>
    </row>
    <row r="78766" ht="15.75" customHeight="1">
      <c r="A78766" s="7"/>
      <c r="B78766" s="7"/>
    </row>
    <row r="78767" ht="15.75" customHeight="1">
      <c r="A78767" s="7"/>
      <c r="B78767" s="7"/>
    </row>
    <row r="78768" ht="15.75" customHeight="1">
      <c r="A78768" s="7"/>
      <c r="B78768" s="7"/>
    </row>
    <row r="78769" ht="15.75" customHeight="1">
      <c r="A78769" s="7"/>
      <c r="B78769" s="7"/>
    </row>
    <row r="78770" ht="15.75" customHeight="1">
      <c r="A78770" s="7"/>
      <c r="B78770" s="7"/>
    </row>
    <row r="78771" ht="15.75" customHeight="1">
      <c r="A78771" s="7"/>
      <c r="B78771" s="7"/>
    </row>
    <row r="78772" ht="15.75" customHeight="1">
      <c r="A78772" s="7"/>
      <c r="B78772" s="7"/>
    </row>
    <row r="78773" ht="15.75" customHeight="1">
      <c r="A78773" s="7"/>
      <c r="B78773" s="7"/>
    </row>
    <row r="78774" ht="15.75" customHeight="1">
      <c r="A78774" s="7"/>
      <c r="B78774" s="7"/>
    </row>
    <row r="78775" ht="15.75" customHeight="1">
      <c r="A78775" s="7"/>
      <c r="B78775" s="7"/>
    </row>
    <row r="78776" ht="15.75" customHeight="1">
      <c r="A78776" s="7"/>
      <c r="B78776" s="7"/>
    </row>
    <row r="78777" ht="15.75" customHeight="1">
      <c r="A78777" s="7"/>
      <c r="B78777" s="7"/>
    </row>
    <row r="78778" ht="15.75" customHeight="1">
      <c r="A78778" s="7"/>
      <c r="B78778" s="7"/>
    </row>
    <row r="78779" ht="15.75" customHeight="1">
      <c r="A78779" s="7"/>
      <c r="B78779" s="7"/>
    </row>
    <row r="78780" ht="15.75" customHeight="1">
      <c r="A78780" s="7"/>
      <c r="B78780" s="7"/>
    </row>
    <row r="78781" ht="15.75" customHeight="1">
      <c r="A78781" s="7"/>
      <c r="B78781" s="7"/>
    </row>
    <row r="78782" ht="15.75" customHeight="1">
      <c r="A78782" s="7"/>
      <c r="B78782" s="7"/>
    </row>
    <row r="78783" ht="15.75" customHeight="1">
      <c r="A78783" s="7"/>
      <c r="B78783" s="7"/>
    </row>
    <row r="78784" ht="15.75" customHeight="1">
      <c r="A78784" s="7"/>
      <c r="B78784" s="7"/>
    </row>
    <row r="78785" ht="15.75" customHeight="1">
      <c r="A78785" s="7"/>
      <c r="B78785" s="7"/>
    </row>
    <row r="78786" ht="15.75" customHeight="1">
      <c r="A78786" s="7"/>
      <c r="B78786" s="7"/>
    </row>
    <row r="78787" ht="15.75" customHeight="1">
      <c r="A78787" s="7"/>
      <c r="B78787" s="7"/>
    </row>
    <row r="78788" ht="15.75" customHeight="1">
      <c r="A78788" s="7"/>
      <c r="B78788" s="7"/>
    </row>
    <row r="78789" ht="15.75" customHeight="1">
      <c r="A78789" s="7"/>
      <c r="B78789" s="7"/>
    </row>
    <row r="78790" ht="15.75" customHeight="1">
      <c r="A78790" s="7"/>
      <c r="B78790" s="7"/>
    </row>
    <row r="78791" ht="15.75" customHeight="1">
      <c r="A78791" s="7"/>
      <c r="B78791" s="7"/>
    </row>
    <row r="78792" ht="15.75" customHeight="1">
      <c r="A78792" s="7"/>
      <c r="B78792" s="7"/>
    </row>
    <row r="78793" ht="15.75" customHeight="1">
      <c r="A78793" s="7"/>
      <c r="B78793" s="7"/>
    </row>
    <row r="78794" ht="15.75" customHeight="1">
      <c r="A78794" s="7"/>
      <c r="B78794" s="7"/>
    </row>
    <row r="78795" ht="15.75" customHeight="1">
      <c r="A78795" s="7"/>
      <c r="B78795" s="7"/>
    </row>
    <row r="78796" ht="15.75" customHeight="1">
      <c r="A78796" s="7"/>
      <c r="B78796" s="7"/>
    </row>
    <row r="78797" ht="15.75" customHeight="1">
      <c r="A78797" s="7"/>
      <c r="B78797" s="7"/>
    </row>
    <row r="78798" ht="15.75" customHeight="1">
      <c r="A78798" s="7"/>
      <c r="B78798" s="7"/>
    </row>
    <row r="78799" ht="15.75" customHeight="1">
      <c r="A78799" s="7"/>
      <c r="B78799" s="7"/>
    </row>
    <row r="78800" ht="15.75" customHeight="1">
      <c r="A78800" s="7"/>
      <c r="B78800" s="7"/>
    </row>
    <row r="78801" ht="15.75" customHeight="1">
      <c r="A78801" s="7"/>
      <c r="B78801" s="7"/>
    </row>
    <row r="78802" ht="15.75" customHeight="1">
      <c r="A78802" s="7"/>
      <c r="B78802" s="7"/>
    </row>
    <row r="78803" ht="15.75" customHeight="1">
      <c r="A78803" s="7"/>
      <c r="B78803" s="7"/>
    </row>
    <row r="78804" ht="15.75" customHeight="1">
      <c r="A78804" s="7"/>
      <c r="B78804" s="7"/>
    </row>
    <row r="78805" ht="15.75" customHeight="1">
      <c r="A78805" s="7"/>
      <c r="B78805" s="7"/>
    </row>
    <row r="78806" ht="15.75" customHeight="1">
      <c r="A78806" s="7"/>
      <c r="B78806" s="7"/>
    </row>
    <row r="78807" ht="15.75" customHeight="1">
      <c r="A78807" s="7"/>
      <c r="B78807" s="7"/>
    </row>
    <row r="78808" ht="15.75" customHeight="1">
      <c r="A78808" s="7"/>
      <c r="B78808" s="7"/>
    </row>
    <row r="78809" ht="15.75" customHeight="1">
      <c r="A78809" s="7"/>
      <c r="B78809" s="7"/>
    </row>
    <row r="78810" ht="15.75" customHeight="1">
      <c r="A78810" s="7"/>
      <c r="B78810" s="7"/>
    </row>
    <row r="78811" ht="15.75" customHeight="1">
      <c r="A78811" s="7"/>
      <c r="B78811" s="7"/>
    </row>
    <row r="78812" ht="15.75" customHeight="1">
      <c r="A78812" s="7"/>
      <c r="B78812" s="7"/>
    </row>
    <row r="78813" ht="15.75" customHeight="1">
      <c r="A78813" s="7"/>
      <c r="B78813" s="7"/>
    </row>
    <row r="78814" ht="15.75" customHeight="1">
      <c r="A78814" s="7"/>
      <c r="B78814" s="7"/>
    </row>
    <row r="78815" ht="15.75" customHeight="1">
      <c r="A78815" s="7"/>
      <c r="B78815" s="7"/>
    </row>
    <row r="78816" ht="15.75" customHeight="1">
      <c r="A78816" s="7"/>
      <c r="B78816" s="7"/>
    </row>
    <row r="78817" ht="15.75" customHeight="1">
      <c r="A78817" s="7"/>
      <c r="B78817" s="7"/>
    </row>
    <row r="78818" ht="15.75" customHeight="1">
      <c r="A78818" s="7"/>
      <c r="B78818" s="7"/>
    </row>
    <row r="78819" ht="15.75" customHeight="1">
      <c r="A78819" s="7"/>
      <c r="B78819" s="7"/>
    </row>
    <row r="78820" ht="15.75" customHeight="1">
      <c r="A78820" s="7"/>
      <c r="B78820" s="7"/>
    </row>
    <row r="78821" ht="15.75" customHeight="1">
      <c r="A78821" s="7"/>
      <c r="B78821" s="7"/>
    </row>
    <row r="78822" ht="15.75" customHeight="1">
      <c r="A78822" s="7"/>
      <c r="B78822" s="7"/>
    </row>
    <row r="78823" ht="15.75" customHeight="1">
      <c r="A78823" s="7"/>
      <c r="B78823" s="7"/>
    </row>
    <row r="78824" ht="15.75" customHeight="1">
      <c r="A78824" s="7"/>
      <c r="B78824" s="7"/>
    </row>
    <row r="78825" ht="15.75" customHeight="1">
      <c r="A78825" s="7"/>
      <c r="B78825" s="7"/>
    </row>
    <row r="78826" ht="15.75" customHeight="1">
      <c r="A78826" s="7"/>
      <c r="B78826" s="7"/>
    </row>
    <row r="78827" ht="15.75" customHeight="1">
      <c r="A78827" s="7"/>
      <c r="B78827" s="7"/>
    </row>
    <row r="78828" ht="15.75" customHeight="1">
      <c r="A78828" s="7"/>
      <c r="B78828" s="7"/>
    </row>
    <row r="78829" ht="15.75" customHeight="1">
      <c r="A78829" s="7"/>
      <c r="B78829" s="7"/>
    </row>
    <row r="78830" ht="15.75" customHeight="1">
      <c r="A78830" s="7"/>
      <c r="B78830" s="7"/>
    </row>
    <row r="78831" ht="15.75" customHeight="1">
      <c r="A78831" s="7"/>
      <c r="B78831" s="7"/>
    </row>
    <row r="78832" ht="15.75" customHeight="1">
      <c r="A78832" s="7"/>
      <c r="B78832" s="7"/>
    </row>
    <row r="78833" ht="15.75" customHeight="1">
      <c r="A78833" s="7"/>
      <c r="B78833" s="7"/>
    </row>
    <row r="78834" ht="15.75" customHeight="1">
      <c r="A78834" s="7"/>
      <c r="B78834" s="7"/>
    </row>
    <row r="78835" ht="15.75" customHeight="1">
      <c r="A78835" s="7"/>
      <c r="B78835" s="7"/>
    </row>
    <row r="78836" ht="15.75" customHeight="1">
      <c r="A78836" s="7"/>
      <c r="B78836" s="7"/>
    </row>
    <row r="78837" ht="15.75" customHeight="1">
      <c r="A78837" s="7"/>
      <c r="B78837" s="7"/>
    </row>
    <row r="78838" ht="15.75" customHeight="1">
      <c r="A78838" s="7"/>
      <c r="B78838" s="7"/>
    </row>
    <row r="78839" ht="15.75" customHeight="1">
      <c r="A78839" s="7"/>
      <c r="B78839" s="7"/>
    </row>
    <row r="78840" ht="15.75" customHeight="1">
      <c r="A78840" s="7"/>
      <c r="B78840" s="7"/>
    </row>
    <row r="78841" ht="15.75" customHeight="1">
      <c r="A78841" s="7"/>
      <c r="B78841" s="7"/>
    </row>
    <row r="78842" ht="15.75" customHeight="1">
      <c r="A78842" s="7"/>
      <c r="B78842" s="7"/>
    </row>
    <row r="78843" ht="15.75" customHeight="1">
      <c r="A78843" s="7"/>
      <c r="B78843" s="7"/>
    </row>
    <row r="78844" ht="15.75" customHeight="1">
      <c r="A78844" s="7"/>
      <c r="B78844" s="7"/>
    </row>
    <row r="78845" ht="15.75" customHeight="1">
      <c r="A78845" s="7"/>
      <c r="B78845" s="7"/>
    </row>
    <row r="78846" ht="15.75" customHeight="1">
      <c r="A78846" s="7"/>
      <c r="B78846" s="7"/>
    </row>
    <row r="78847" ht="15.75" customHeight="1">
      <c r="A78847" s="7"/>
      <c r="B78847" s="7"/>
    </row>
    <row r="78848" ht="15.75" customHeight="1">
      <c r="A78848" s="7"/>
      <c r="B78848" s="7"/>
    </row>
    <row r="78849" ht="15.75" customHeight="1">
      <c r="A78849" s="7"/>
      <c r="B78849" s="7"/>
    </row>
    <row r="78850" ht="15.75" customHeight="1">
      <c r="A78850" s="7"/>
      <c r="B78850" s="7"/>
    </row>
    <row r="78851" ht="15.75" customHeight="1">
      <c r="A78851" s="7"/>
      <c r="B78851" s="7"/>
    </row>
    <row r="78852" ht="15.75" customHeight="1">
      <c r="A78852" s="7"/>
      <c r="B78852" s="7"/>
    </row>
    <row r="78853" ht="15.75" customHeight="1">
      <c r="A78853" s="7"/>
      <c r="B78853" s="7"/>
    </row>
    <row r="78854" ht="15.75" customHeight="1">
      <c r="A78854" s="7"/>
      <c r="B78854" s="7"/>
    </row>
    <row r="78855" ht="15.75" customHeight="1">
      <c r="A78855" s="7"/>
      <c r="B78855" s="7"/>
    </row>
    <row r="78856" ht="15.75" customHeight="1">
      <c r="A78856" s="7"/>
      <c r="B78856" s="7"/>
    </row>
    <row r="78857" ht="15.75" customHeight="1">
      <c r="A78857" s="7"/>
      <c r="B78857" s="7"/>
    </row>
    <row r="78858" ht="15.75" customHeight="1">
      <c r="A78858" s="7"/>
      <c r="B78858" s="7"/>
    </row>
    <row r="78859" ht="15.75" customHeight="1">
      <c r="A78859" s="7"/>
      <c r="B78859" s="7"/>
    </row>
    <row r="78860" ht="15.75" customHeight="1">
      <c r="A78860" s="7"/>
      <c r="B78860" s="7"/>
    </row>
    <row r="78861" ht="15.75" customHeight="1">
      <c r="A78861" s="7"/>
      <c r="B78861" s="7"/>
    </row>
    <row r="78862" ht="15.75" customHeight="1">
      <c r="A78862" s="7"/>
      <c r="B78862" s="7"/>
    </row>
    <row r="78863" ht="15.75" customHeight="1">
      <c r="A78863" s="7"/>
      <c r="B78863" s="7"/>
    </row>
    <row r="78864" ht="15.75" customHeight="1">
      <c r="A78864" s="7"/>
      <c r="B78864" s="7"/>
    </row>
    <row r="78865" ht="15.75" customHeight="1">
      <c r="A78865" s="7"/>
      <c r="B78865" s="7"/>
    </row>
    <row r="78866" ht="15.75" customHeight="1">
      <c r="A78866" s="7"/>
      <c r="B78866" s="7"/>
    </row>
    <row r="78867" ht="15.75" customHeight="1">
      <c r="A78867" s="7"/>
      <c r="B78867" s="7"/>
    </row>
    <row r="78868" ht="15.75" customHeight="1">
      <c r="A78868" s="7"/>
      <c r="B78868" s="7"/>
    </row>
    <row r="78869" ht="15.75" customHeight="1">
      <c r="A78869" s="7"/>
      <c r="B78869" s="7"/>
    </row>
    <row r="78870" ht="15.75" customHeight="1">
      <c r="A78870" s="7"/>
      <c r="B78870" s="7"/>
    </row>
    <row r="78871" ht="15.75" customHeight="1">
      <c r="A78871" s="7"/>
      <c r="B78871" s="7"/>
    </row>
    <row r="78872" ht="15.75" customHeight="1">
      <c r="A78872" s="7"/>
      <c r="B78872" s="7"/>
    </row>
    <row r="78873" ht="15.75" customHeight="1">
      <c r="A78873" s="7"/>
      <c r="B78873" s="7"/>
    </row>
    <row r="78874" ht="15.75" customHeight="1">
      <c r="A78874" s="7"/>
      <c r="B78874" s="7"/>
    </row>
    <row r="78875" ht="15.75" customHeight="1">
      <c r="A78875" s="7"/>
      <c r="B78875" s="7"/>
    </row>
    <row r="78876" ht="15.75" customHeight="1">
      <c r="A78876" s="7"/>
      <c r="B78876" s="7"/>
    </row>
    <row r="78877" ht="15.75" customHeight="1">
      <c r="A78877" s="7"/>
      <c r="B78877" s="7"/>
    </row>
    <row r="78878" ht="15.75" customHeight="1">
      <c r="A78878" s="7"/>
      <c r="B78878" s="7"/>
    </row>
    <row r="78879" ht="15.75" customHeight="1">
      <c r="A78879" s="7"/>
      <c r="B78879" s="7"/>
    </row>
    <row r="78880" ht="15.75" customHeight="1">
      <c r="A78880" s="7"/>
      <c r="B78880" s="7"/>
    </row>
    <row r="78881" ht="15.75" customHeight="1">
      <c r="A78881" s="7"/>
      <c r="B78881" s="7"/>
    </row>
    <row r="78882" ht="15.75" customHeight="1">
      <c r="A78882" s="7"/>
      <c r="B78882" s="7"/>
    </row>
    <row r="78883" ht="15.75" customHeight="1">
      <c r="A78883" s="7"/>
      <c r="B78883" s="7"/>
    </row>
    <row r="78884" ht="15.75" customHeight="1">
      <c r="A78884" s="7"/>
      <c r="B78884" s="7"/>
    </row>
    <row r="78885" ht="15.75" customHeight="1">
      <c r="A78885" s="7"/>
      <c r="B78885" s="7"/>
    </row>
    <row r="78886" ht="15.75" customHeight="1">
      <c r="A78886" s="7"/>
      <c r="B78886" s="7"/>
    </row>
    <row r="78887" ht="15.75" customHeight="1">
      <c r="A78887" s="7"/>
      <c r="B78887" s="7"/>
    </row>
    <row r="78888" ht="15.75" customHeight="1">
      <c r="A78888" s="7"/>
      <c r="B78888" s="7"/>
    </row>
    <row r="78889" ht="15.75" customHeight="1">
      <c r="A78889" s="7"/>
      <c r="B78889" s="7"/>
    </row>
    <row r="78890" ht="15.75" customHeight="1">
      <c r="A78890" s="7"/>
      <c r="B78890" s="7"/>
    </row>
    <row r="78891" ht="15.75" customHeight="1">
      <c r="A78891" s="7"/>
      <c r="B78891" s="7"/>
    </row>
    <row r="78892" ht="15.75" customHeight="1">
      <c r="A78892" s="7"/>
      <c r="B78892" s="7"/>
    </row>
    <row r="78893" ht="15.75" customHeight="1">
      <c r="A78893" s="7"/>
      <c r="B78893" s="7"/>
    </row>
    <row r="78894" ht="15.75" customHeight="1">
      <c r="A78894" s="7"/>
      <c r="B78894" s="7"/>
    </row>
    <row r="78895" ht="15.75" customHeight="1">
      <c r="A78895" s="7"/>
      <c r="B78895" s="7"/>
    </row>
    <row r="78896" ht="15.75" customHeight="1">
      <c r="A78896" s="7"/>
      <c r="B78896" s="7"/>
    </row>
    <row r="78897" ht="15.75" customHeight="1">
      <c r="A78897" s="7"/>
      <c r="B78897" s="7"/>
    </row>
    <row r="78898" ht="15.75" customHeight="1">
      <c r="A78898" s="7"/>
      <c r="B78898" s="7"/>
    </row>
    <row r="78899" ht="15.75" customHeight="1">
      <c r="A78899" s="7"/>
      <c r="B78899" s="7"/>
    </row>
    <row r="78900" ht="15.75" customHeight="1">
      <c r="A78900" s="7"/>
      <c r="B78900" s="7"/>
    </row>
    <row r="78901" ht="15.75" customHeight="1">
      <c r="A78901" s="7"/>
      <c r="B78901" s="7"/>
    </row>
    <row r="78902" ht="15.75" customHeight="1">
      <c r="A78902" s="7"/>
      <c r="B78902" s="7"/>
    </row>
    <row r="78903" ht="15.75" customHeight="1">
      <c r="A78903" s="7"/>
      <c r="B78903" s="7"/>
    </row>
    <row r="78904" ht="15.75" customHeight="1">
      <c r="A78904" s="7"/>
      <c r="B78904" s="7"/>
    </row>
    <row r="78905" ht="15.75" customHeight="1">
      <c r="A78905" s="7"/>
      <c r="B78905" s="7"/>
    </row>
    <row r="78906" ht="15.75" customHeight="1">
      <c r="A78906" s="7"/>
      <c r="B78906" s="7"/>
    </row>
    <row r="78907" ht="15.75" customHeight="1">
      <c r="A78907" s="7"/>
      <c r="B78907" s="7"/>
    </row>
    <row r="78908" ht="15.75" customHeight="1">
      <c r="A78908" s="7"/>
      <c r="B78908" s="7"/>
    </row>
    <row r="78909" ht="15.75" customHeight="1">
      <c r="A78909" s="7"/>
      <c r="B78909" s="7"/>
    </row>
    <row r="78910" ht="15.75" customHeight="1">
      <c r="A78910" s="7"/>
      <c r="B78910" s="7"/>
    </row>
    <row r="78911" ht="15.75" customHeight="1">
      <c r="A78911" s="7"/>
      <c r="B78911" s="7"/>
    </row>
    <row r="78912" ht="15.75" customHeight="1">
      <c r="A78912" s="7"/>
      <c r="B78912" s="7"/>
    </row>
    <row r="78913" ht="15.75" customHeight="1">
      <c r="A78913" s="7"/>
      <c r="B78913" s="7"/>
    </row>
    <row r="78914" ht="15.75" customHeight="1">
      <c r="A78914" s="7"/>
      <c r="B78914" s="7"/>
    </row>
    <row r="78915" ht="15.75" customHeight="1">
      <c r="A78915" s="7"/>
      <c r="B78915" s="7"/>
    </row>
    <row r="78916" ht="15.75" customHeight="1">
      <c r="A78916" s="7"/>
      <c r="B78916" s="7"/>
    </row>
    <row r="78917" ht="15.75" customHeight="1">
      <c r="A78917" s="7"/>
      <c r="B78917" s="7"/>
    </row>
    <row r="78918" ht="15.75" customHeight="1">
      <c r="A78918" s="7"/>
      <c r="B78918" s="7"/>
    </row>
    <row r="78919" ht="15.75" customHeight="1">
      <c r="A78919" s="7"/>
      <c r="B78919" s="7"/>
    </row>
    <row r="78920" ht="15.75" customHeight="1">
      <c r="A78920" s="7"/>
      <c r="B78920" s="7"/>
    </row>
    <row r="78921" ht="15.75" customHeight="1">
      <c r="A78921" s="7"/>
      <c r="B78921" s="7"/>
    </row>
    <row r="78922" ht="15.75" customHeight="1">
      <c r="A78922" s="7"/>
      <c r="B78922" s="7"/>
    </row>
    <row r="78923" ht="15.75" customHeight="1">
      <c r="A78923" s="7"/>
      <c r="B78923" s="7"/>
    </row>
    <row r="78924" ht="15.75" customHeight="1">
      <c r="A78924" s="7"/>
      <c r="B78924" s="7"/>
    </row>
    <row r="78925" ht="15.75" customHeight="1">
      <c r="A78925" s="7"/>
      <c r="B78925" s="7"/>
    </row>
    <row r="78926" ht="15.75" customHeight="1">
      <c r="A78926" s="7"/>
      <c r="B78926" s="7"/>
    </row>
    <row r="78927" ht="15.75" customHeight="1">
      <c r="A78927" s="7"/>
      <c r="B78927" s="7"/>
    </row>
    <row r="78928" ht="15.75" customHeight="1">
      <c r="A78928" s="7"/>
      <c r="B78928" s="7"/>
    </row>
    <row r="78929" ht="15.75" customHeight="1">
      <c r="A78929" s="7"/>
      <c r="B78929" s="7"/>
    </row>
    <row r="78930" ht="15.75" customHeight="1">
      <c r="A78930" s="7"/>
      <c r="B78930" s="7"/>
    </row>
    <row r="78931" ht="15.75" customHeight="1">
      <c r="A78931" s="7"/>
      <c r="B78931" s="7"/>
    </row>
    <row r="78932" ht="15.75" customHeight="1">
      <c r="A78932" s="7"/>
      <c r="B78932" s="7"/>
    </row>
    <row r="78933" ht="15.75" customHeight="1">
      <c r="A78933" s="7"/>
      <c r="B78933" s="7"/>
    </row>
    <row r="78934" ht="15.75" customHeight="1">
      <c r="A78934" s="7"/>
      <c r="B78934" s="7"/>
    </row>
    <row r="78935" ht="15.75" customHeight="1">
      <c r="A78935" s="7"/>
      <c r="B78935" s="7"/>
    </row>
    <row r="78936" ht="15.75" customHeight="1">
      <c r="A78936" s="7"/>
      <c r="B78936" s="7"/>
    </row>
    <row r="78937" ht="15.75" customHeight="1">
      <c r="A78937" s="7"/>
      <c r="B78937" s="7"/>
    </row>
    <row r="78938" ht="15.75" customHeight="1">
      <c r="A78938" s="7"/>
      <c r="B78938" s="7"/>
    </row>
    <row r="78939" ht="15.75" customHeight="1">
      <c r="A78939" s="7"/>
      <c r="B78939" s="7"/>
    </row>
    <row r="78940" ht="15.75" customHeight="1">
      <c r="A78940" s="7"/>
      <c r="B78940" s="7"/>
    </row>
    <row r="78941" ht="15.75" customHeight="1">
      <c r="A78941" s="7"/>
      <c r="B78941" s="7"/>
    </row>
    <row r="78942" ht="15.75" customHeight="1">
      <c r="A78942" s="7"/>
      <c r="B78942" s="7"/>
    </row>
    <row r="78943" ht="15.75" customHeight="1">
      <c r="A78943" s="7"/>
      <c r="B78943" s="7"/>
    </row>
    <row r="78944" ht="15.75" customHeight="1">
      <c r="A78944" s="7"/>
      <c r="B78944" s="7"/>
    </row>
    <row r="78945" ht="15.75" customHeight="1">
      <c r="A78945" s="7"/>
      <c r="B78945" s="7"/>
    </row>
    <row r="78946" ht="15.75" customHeight="1">
      <c r="A78946" s="7"/>
      <c r="B78946" s="7"/>
    </row>
    <row r="78947" ht="15.75" customHeight="1">
      <c r="A78947" s="7"/>
      <c r="B78947" s="7"/>
    </row>
    <row r="78948" ht="15.75" customHeight="1">
      <c r="A78948" s="7"/>
      <c r="B78948" s="7"/>
    </row>
    <row r="78949" ht="15.75" customHeight="1">
      <c r="A78949" s="7"/>
      <c r="B78949" s="7"/>
    </row>
    <row r="78950" ht="15.75" customHeight="1">
      <c r="A78950" s="7"/>
      <c r="B78950" s="7"/>
    </row>
    <row r="78951" ht="15.75" customHeight="1">
      <c r="A78951" s="7"/>
      <c r="B78951" s="7"/>
    </row>
    <row r="78952" ht="15.75" customHeight="1">
      <c r="A78952" s="7"/>
      <c r="B78952" s="7"/>
    </row>
    <row r="78953" ht="15.75" customHeight="1">
      <c r="A78953" s="7"/>
      <c r="B78953" s="7"/>
    </row>
    <row r="78954" ht="15.75" customHeight="1">
      <c r="A78954" s="7"/>
      <c r="B78954" s="7"/>
    </row>
    <row r="78955" ht="15.75" customHeight="1">
      <c r="A78955" s="7"/>
      <c r="B78955" s="7"/>
    </row>
    <row r="78956" ht="15.75" customHeight="1">
      <c r="A78956" s="7"/>
      <c r="B78956" s="7"/>
    </row>
    <row r="78957" ht="15.75" customHeight="1">
      <c r="A78957" s="7"/>
      <c r="B78957" s="7"/>
    </row>
    <row r="78958" ht="15.75" customHeight="1">
      <c r="A78958" s="7"/>
      <c r="B78958" s="7"/>
    </row>
    <row r="78959" ht="15.75" customHeight="1">
      <c r="A78959" s="7"/>
      <c r="B78959" s="7"/>
    </row>
    <row r="78960" ht="15.75" customHeight="1">
      <c r="A78960" s="7"/>
      <c r="B78960" s="7"/>
    </row>
    <row r="78961" ht="15.75" customHeight="1">
      <c r="A78961" s="7"/>
      <c r="B78961" s="7"/>
    </row>
    <row r="78962" ht="15.75" customHeight="1">
      <c r="A78962" s="7"/>
      <c r="B78962" s="7"/>
    </row>
    <row r="78963" ht="15.75" customHeight="1">
      <c r="A78963" s="7"/>
      <c r="B78963" s="7"/>
    </row>
    <row r="78964" ht="15.75" customHeight="1">
      <c r="A78964" s="7"/>
      <c r="B78964" s="7"/>
    </row>
    <row r="78965" ht="15.75" customHeight="1">
      <c r="A78965" s="7"/>
      <c r="B78965" s="7"/>
    </row>
    <row r="78966" ht="15.75" customHeight="1">
      <c r="A78966" s="7"/>
      <c r="B78966" s="7"/>
    </row>
    <row r="78967" ht="15.75" customHeight="1">
      <c r="A78967" s="7"/>
      <c r="B78967" s="7"/>
    </row>
    <row r="78968" ht="15.75" customHeight="1">
      <c r="A78968" s="7"/>
      <c r="B78968" s="7"/>
    </row>
    <row r="78969" ht="15.75" customHeight="1">
      <c r="A78969" s="7"/>
      <c r="B78969" s="7"/>
    </row>
    <row r="78970" ht="15.75" customHeight="1">
      <c r="A78970" s="7"/>
      <c r="B78970" s="7"/>
    </row>
    <row r="78971" ht="15.75" customHeight="1">
      <c r="A78971" s="7"/>
      <c r="B78971" s="7"/>
    </row>
    <row r="78972" ht="15.75" customHeight="1">
      <c r="A78972" s="7"/>
      <c r="B78972" s="7"/>
    </row>
    <row r="78973" ht="15.75" customHeight="1">
      <c r="A78973" s="7"/>
      <c r="B78973" s="7"/>
    </row>
    <row r="78974" ht="15.75" customHeight="1">
      <c r="A78974" s="7"/>
      <c r="B78974" s="7"/>
    </row>
    <row r="78975" ht="15.75" customHeight="1">
      <c r="A78975" s="7"/>
      <c r="B78975" s="7"/>
    </row>
    <row r="78976" ht="15.75" customHeight="1">
      <c r="A78976" s="7"/>
      <c r="B78976" s="7"/>
    </row>
    <row r="78977" ht="15.75" customHeight="1">
      <c r="A78977" s="7"/>
      <c r="B78977" s="7"/>
    </row>
    <row r="78978" ht="15.75" customHeight="1">
      <c r="A78978" s="7"/>
      <c r="B78978" s="7"/>
    </row>
    <row r="78979" ht="15.75" customHeight="1">
      <c r="A78979" s="7"/>
      <c r="B78979" s="7"/>
    </row>
    <row r="78980" ht="15.75" customHeight="1">
      <c r="A78980" s="7"/>
      <c r="B78980" s="7"/>
    </row>
    <row r="78981" ht="15.75" customHeight="1">
      <c r="A78981" s="7"/>
      <c r="B78981" s="7"/>
    </row>
    <row r="78982" ht="15.75" customHeight="1">
      <c r="A78982" s="7"/>
      <c r="B78982" s="7"/>
    </row>
    <row r="78983" ht="15.75" customHeight="1">
      <c r="A78983" s="7"/>
      <c r="B78983" s="7"/>
    </row>
    <row r="78984" ht="15.75" customHeight="1">
      <c r="A78984" s="7"/>
      <c r="B78984" s="7"/>
    </row>
    <row r="78985" ht="15.75" customHeight="1">
      <c r="A78985" s="7"/>
      <c r="B78985" s="7"/>
    </row>
    <row r="78986" ht="15.75" customHeight="1">
      <c r="A78986" s="7"/>
      <c r="B78986" s="7"/>
    </row>
    <row r="78987" ht="15.75" customHeight="1">
      <c r="A78987" s="7"/>
      <c r="B78987" s="7"/>
    </row>
    <row r="78988" ht="15.75" customHeight="1">
      <c r="A78988" s="7"/>
      <c r="B78988" s="7"/>
    </row>
    <row r="78989" ht="15.75" customHeight="1">
      <c r="A78989" s="7"/>
      <c r="B78989" s="7"/>
    </row>
    <row r="78990" ht="15.75" customHeight="1">
      <c r="A78990" s="7"/>
      <c r="B78990" s="7"/>
    </row>
    <row r="78991" ht="15.75" customHeight="1">
      <c r="A78991" s="7"/>
      <c r="B78991" s="7"/>
    </row>
    <row r="78992" ht="15.75" customHeight="1">
      <c r="A78992" s="7"/>
      <c r="B78992" s="7"/>
    </row>
    <row r="78993" ht="15.75" customHeight="1">
      <c r="A78993" s="7"/>
      <c r="B78993" s="7"/>
    </row>
    <row r="78994" ht="15.75" customHeight="1">
      <c r="A78994" s="7"/>
      <c r="B78994" s="7"/>
    </row>
    <row r="78995" ht="15.75" customHeight="1">
      <c r="A78995" s="7"/>
      <c r="B78995" s="7"/>
    </row>
    <row r="78996" ht="15.75" customHeight="1">
      <c r="A78996" s="7"/>
      <c r="B78996" s="7"/>
    </row>
    <row r="78997" ht="15.75" customHeight="1">
      <c r="A78997" s="7"/>
      <c r="B78997" s="7"/>
    </row>
    <row r="78998" ht="15.75" customHeight="1">
      <c r="A78998" s="7"/>
      <c r="B78998" s="7"/>
    </row>
    <row r="78999" ht="15.75" customHeight="1">
      <c r="A78999" s="7"/>
      <c r="B78999" s="7"/>
    </row>
    <row r="79000" ht="15.75" customHeight="1">
      <c r="A79000" s="7"/>
      <c r="B79000" s="7"/>
    </row>
    <row r="79001" ht="15.75" customHeight="1">
      <c r="A79001" s="7"/>
      <c r="B79001" s="7"/>
    </row>
    <row r="79002" ht="15.75" customHeight="1">
      <c r="A79002" s="7"/>
      <c r="B79002" s="7"/>
    </row>
    <row r="79003" ht="15.75" customHeight="1">
      <c r="A79003" s="7"/>
      <c r="B79003" s="7"/>
    </row>
    <row r="79004" ht="15.75" customHeight="1">
      <c r="A79004" s="7"/>
      <c r="B79004" s="7"/>
    </row>
    <row r="79005" ht="15.75" customHeight="1">
      <c r="A79005" s="7"/>
      <c r="B79005" s="7"/>
    </row>
    <row r="79006" ht="15.75" customHeight="1">
      <c r="A79006" s="7"/>
      <c r="B79006" s="7"/>
    </row>
    <row r="79007" ht="15.75" customHeight="1">
      <c r="A79007" s="7"/>
      <c r="B79007" s="7"/>
    </row>
    <row r="79008" ht="15.75" customHeight="1">
      <c r="A79008" s="7"/>
      <c r="B79008" s="7"/>
    </row>
    <row r="79009" ht="15.75" customHeight="1">
      <c r="A79009" s="7"/>
      <c r="B79009" s="7"/>
    </row>
    <row r="79010" ht="15.75" customHeight="1">
      <c r="A79010" s="7"/>
      <c r="B79010" s="7"/>
    </row>
    <row r="79011" ht="15.75" customHeight="1">
      <c r="A79011" s="7"/>
      <c r="B79011" s="7"/>
    </row>
    <row r="79012" ht="15.75" customHeight="1">
      <c r="A79012" s="7"/>
      <c r="B79012" s="7"/>
    </row>
    <row r="79013" ht="15.75" customHeight="1">
      <c r="A79013" s="7"/>
      <c r="B79013" s="7"/>
    </row>
    <row r="79014" ht="15.75" customHeight="1">
      <c r="A79014" s="7"/>
      <c r="B79014" s="7"/>
    </row>
    <row r="79015" ht="15.75" customHeight="1">
      <c r="A79015" s="7"/>
      <c r="B79015" s="7"/>
    </row>
    <row r="79016" ht="15.75" customHeight="1">
      <c r="A79016" s="7"/>
      <c r="B79016" s="7"/>
    </row>
    <row r="79017" ht="15.75" customHeight="1">
      <c r="A79017" s="7"/>
      <c r="B79017" s="7"/>
    </row>
    <row r="79018" ht="15.75" customHeight="1">
      <c r="A79018" s="7"/>
      <c r="B79018" s="7"/>
    </row>
    <row r="79019" ht="15.75" customHeight="1">
      <c r="A79019" s="7"/>
      <c r="B79019" s="7"/>
    </row>
    <row r="79020" ht="15.75" customHeight="1">
      <c r="A79020" s="7"/>
      <c r="B79020" s="7"/>
    </row>
    <row r="79021" ht="15.75" customHeight="1">
      <c r="A79021" s="7"/>
      <c r="B79021" s="7"/>
    </row>
    <row r="79022" ht="15.75" customHeight="1">
      <c r="A79022" s="7"/>
      <c r="B79022" s="7"/>
    </row>
    <row r="79023" ht="15.75" customHeight="1">
      <c r="A79023" s="7"/>
      <c r="B79023" s="7"/>
    </row>
    <row r="79024" ht="15.75" customHeight="1">
      <c r="A79024" s="7"/>
      <c r="B79024" s="7"/>
    </row>
    <row r="79025" ht="15.75" customHeight="1">
      <c r="A79025" s="7"/>
      <c r="B79025" s="7"/>
    </row>
    <row r="79026" ht="15.75" customHeight="1">
      <c r="A79026" s="7"/>
      <c r="B79026" s="7"/>
    </row>
    <row r="79027" ht="15.75" customHeight="1">
      <c r="A79027" s="7"/>
      <c r="B79027" s="7"/>
    </row>
    <row r="79028" ht="15.75" customHeight="1">
      <c r="A79028" s="7"/>
      <c r="B79028" s="7"/>
    </row>
    <row r="79029" ht="15.75" customHeight="1">
      <c r="A79029" s="7"/>
      <c r="B79029" s="7"/>
    </row>
    <row r="79030" ht="15.75" customHeight="1">
      <c r="A79030" s="7"/>
      <c r="B79030" s="7"/>
    </row>
    <row r="79031" ht="15.75" customHeight="1">
      <c r="A79031" s="7"/>
      <c r="B79031" s="7"/>
    </row>
    <row r="79032" ht="15.75" customHeight="1">
      <c r="A79032" s="7"/>
      <c r="B79032" s="7"/>
    </row>
    <row r="79033" ht="15.75" customHeight="1">
      <c r="A79033" s="7"/>
      <c r="B79033" s="7"/>
    </row>
    <row r="79034" ht="15.75" customHeight="1">
      <c r="A79034" s="7"/>
      <c r="B79034" s="7"/>
    </row>
    <row r="79035" ht="15.75" customHeight="1">
      <c r="A79035" s="7"/>
      <c r="B79035" s="7"/>
    </row>
    <row r="79036" ht="15.75" customHeight="1">
      <c r="A79036" s="7"/>
      <c r="B79036" s="7"/>
    </row>
    <row r="79037" ht="15.75" customHeight="1">
      <c r="A79037" s="7"/>
      <c r="B79037" s="7"/>
    </row>
    <row r="79038" ht="15.75" customHeight="1">
      <c r="A79038" s="7"/>
      <c r="B79038" s="7"/>
    </row>
    <row r="79039" ht="15.75" customHeight="1">
      <c r="A79039" s="7"/>
      <c r="B79039" s="7"/>
    </row>
    <row r="79040" ht="15.75" customHeight="1">
      <c r="A79040" s="7"/>
      <c r="B79040" s="7"/>
    </row>
    <row r="79041" ht="15.75" customHeight="1">
      <c r="A79041" s="7"/>
      <c r="B79041" s="7"/>
    </row>
    <row r="79042" ht="15.75" customHeight="1">
      <c r="A79042" s="7"/>
      <c r="B79042" s="7"/>
    </row>
    <row r="79043" ht="15.75" customHeight="1">
      <c r="A79043" s="7"/>
      <c r="B79043" s="7"/>
    </row>
    <row r="79044" ht="15.75" customHeight="1">
      <c r="A79044" s="7"/>
      <c r="B79044" s="7"/>
    </row>
    <row r="79045" ht="15.75" customHeight="1">
      <c r="A79045" s="7"/>
      <c r="B79045" s="7"/>
    </row>
    <row r="79046" ht="15.75" customHeight="1">
      <c r="A79046" s="7"/>
      <c r="B79046" s="7"/>
    </row>
    <row r="79047" ht="15.75" customHeight="1">
      <c r="A79047" s="7"/>
      <c r="B79047" s="7"/>
    </row>
    <row r="79048" ht="15.75" customHeight="1">
      <c r="A79048" s="7"/>
      <c r="B79048" s="7"/>
    </row>
    <row r="79049" ht="15.75" customHeight="1">
      <c r="A79049" s="7"/>
      <c r="B79049" s="7"/>
    </row>
    <row r="79050" ht="15.75" customHeight="1">
      <c r="A79050" s="7"/>
      <c r="B79050" s="7"/>
    </row>
    <row r="79051" ht="15.75" customHeight="1">
      <c r="A79051" s="7"/>
      <c r="B79051" s="7"/>
    </row>
    <row r="79052" ht="15.75" customHeight="1">
      <c r="A79052" s="7"/>
      <c r="B79052" s="7"/>
    </row>
    <row r="79053" ht="15.75" customHeight="1">
      <c r="A79053" s="7"/>
      <c r="B79053" s="7"/>
    </row>
    <row r="79054" ht="15.75" customHeight="1">
      <c r="A79054" s="7"/>
      <c r="B79054" s="7"/>
    </row>
    <row r="79055" ht="15.75" customHeight="1">
      <c r="A79055" s="7"/>
      <c r="B79055" s="7"/>
    </row>
    <row r="79056" ht="15.75" customHeight="1">
      <c r="A79056" s="7"/>
      <c r="B79056" s="7"/>
    </row>
    <row r="79057" ht="15.75" customHeight="1">
      <c r="A79057" s="7"/>
      <c r="B79057" s="7"/>
    </row>
    <row r="79058" ht="15.75" customHeight="1">
      <c r="A79058" s="7"/>
      <c r="B79058" s="7"/>
    </row>
    <row r="79059" ht="15.75" customHeight="1">
      <c r="A79059" s="7"/>
      <c r="B79059" s="7"/>
    </row>
    <row r="79060" ht="15.75" customHeight="1">
      <c r="A79060" s="7"/>
      <c r="B79060" s="7"/>
    </row>
    <row r="79061" ht="15.75" customHeight="1">
      <c r="A79061" s="7"/>
      <c r="B79061" s="7"/>
    </row>
    <row r="79062" ht="15.75" customHeight="1">
      <c r="A79062" s="7"/>
      <c r="B79062" s="7"/>
    </row>
    <row r="79063" ht="15.75" customHeight="1">
      <c r="A79063" s="7"/>
      <c r="B79063" s="7"/>
    </row>
    <row r="79064" ht="15.75" customHeight="1">
      <c r="A79064" s="7"/>
      <c r="B79064" s="7"/>
    </row>
    <row r="79065" ht="15.75" customHeight="1">
      <c r="A79065" s="7"/>
      <c r="B79065" s="7"/>
    </row>
    <row r="79066" ht="15.75" customHeight="1">
      <c r="A79066" s="7"/>
      <c r="B79066" s="7"/>
    </row>
    <row r="79067" ht="15.75" customHeight="1">
      <c r="A79067" s="7"/>
      <c r="B79067" s="7"/>
    </row>
    <row r="79068" ht="15.75" customHeight="1">
      <c r="A79068" s="7"/>
      <c r="B79068" s="7"/>
    </row>
    <row r="79069" ht="15.75" customHeight="1">
      <c r="A79069" s="7"/>
      <c r="B79069" s="7"/>
    </row>
    <row r="79070" ht="15.75" customHeight="1">
      <c r="A79070" s="7"/>
      <c r="B79070" s="7"/>
    </row>
    <row r="79071" ht="15.75" customHeight="1">
      <c r="A79071" s="7"/>
      <c r="B79071" s="7"/>
    </row>
    <row r="79072" ht="15.75" customHeight="1">
      <c r="A79072" s="7"/>
      <c r="B79072" s="7"/>
    </row>
    <row r="79073" ht="15.75" customHeight="1">
      <c r="A79073" s="7"/>
      <c r="B79073" s="7"/>
    </row>
    <row r="79074" ht="15.75" customHeight="1">
      <c r="A79074" s="7"/>
      <c r="B79074" s="7"/>
    </row>
    <row r="79075" ht="15.75" customHeight="1">
      <c r="A79075" s="7"/>
      <c r="B79075" s="7"/>
    </row>
    <row r="79076" ht="15.75" customHeight="1">
      <c r="A79076" s="7"/>
      <c r="B79076" s="7"/>
    </row>
    <row r="79077" ht="15.75" customHeight="1">
      <c r="A79077" s="7"/>
      <c r="B79077" s="7"/>
    </row>
    <row r="79078" ht="15.75" customHeight="1">
      <c r="A79078" s="7"/>
      <c r="B79078" s="7"/>
    </row>
    <row r="79079" ht="15.75" customHeight="1">
      <c r="A79079" s="7"/>
      <c r="B79079" s="7"/>
    </row>
    <row r="79080" ht="15.75" customHeight="1">
      <c r="A79080" s="7"/>
      <c r="B79080" s="7"/>
    </row>
    <row r="79081" ht="15.75" customHeight="1">
      <c r="A79081" s="7"/>
      <c r="B79081" s="7"/>
    </row>
    <row r="79082" ht="15.75" customHeight="1">
      <c r="A79082" s="7"/>
      <c r="B79082" s="7"/>
    </row>
    <row r="79083" ht="15.75" customHeight="1">
      <c r="A79083" s="7"/>
      <c r="B79083" s="7"/>
    </row>
    <row r="79084" ht="15.75" customHeight="1">
      <c r="A79084" s="7"/>
      <c r="B79084" s="7"/>
    </row>
    <row r="79085" ht="15.75" customHeight="1">
      <c r="A79085" s="7"/>
      <c r="B79085" s="7"/>
    </row>
    <row r="79086" ht="15.75" customHeight="1">
      <c r="A79086" s="7"/>
      <c r="B79086" s="7"/>
    </row>
    <row r="79087" ht="15.75" customHeight="1">
      <c r="A79087" s="7"/>
      <c r="B79087" s="7"/>
    </row>
    <row r="79088" ht="15.75" customHeight="1">
      <c r="A79088" s="7"/>
      <c r="B79088" s="7"/>
    </row>
    <row r="79089" ht="15.75" customHeight="1">
      <c r="A79089" s="7"/>
      <c r="B79089" s="7"/>
    </row>
    <row r="79090" ht="15.75" customHeight="1">
      <c r="A79090" s="7"/>
      <c r="B79090" s="7"/>
    </row>
    <row r="79091" ht="15.75" customHeight="1">
      <c r="A79091" s="7"/>
      <c r="B79091" s="7"/>
    </row>
    <row r="79092" ht="15.75" customHeight="1">
      <c r="A79092" s="7"/>
      <c r="B79092" s="7"/>
    </row>
    <row r="79093" ht="15.75" customHeight="1">
      <c r="A79093" s="7"/>
      <c r="B79093" s="7"/>
    </row>
    <row r="79094" ht="15.75" customHeight="1">
      <c r="A79094" s="7"/>
      <c r="B79094" s="7"/>
    </row>
    <row r="79095" ht="15.75" customHeight="1">
      <c r="A79095" s="7"/>
      <c r="B79095" s="7"/>
    </row>
    <row r="79096" ht="15.75" customHeight="1">
      <c r="A79096" s="7"/>
      <c r="B79096" s="7"/>
    </row>
    <row r="79097" ht="15.75" customHeight="1">
      <c r="A79097" s="7"/>
      <c r="B79097" s="7"/>
    </row>
    <row r="79098" ht="15.75" customHeight="1">
      <c r="A79098" s="7"/>
      <c r="B79098" s="7"/>
    </row>
    <row r="79099" ht="15.75" customHeight="1">
      <c r="A79099" s="7"/>
      <c r="B79099" s="7"/>
    </row>
    <row r="79100" ht="15.75" customHeight="1">
      <c r="A79100" s="7"/>
      <c r="B79100" s="7"/>
    </row>
    <row r="79101" ht="15.75" customHeight="1">
      <c r="A79101" s="7"/>
      <c r="B79101" s="7"/>
    </row>
    <row r="79102" ht="15.75" customHeight="1">
      <c r="A79102" s="7"/>
      <c r="B79102" s="7"/>
    </row>
    <row r="79103" ht="15.75" customHeight="1">
      <c r="A79103" s="7"/>
      <c r="B79103" s="7"/>
    </row>
    <row r="79104" ht="15.75" customHeight="1">
      <c r="A79104" s="7"/>
      <c r="B79104" s="7"/>
    </row>
    <row r="79105" ht="15.75" customHeight="1">
      <c r="A79105" s="7"/>
      <c r="B79105" s="7"/>
    </row>
    <row r="79106" ht="15.75" customHeight="1">
      <c r="A79106" s="7"/>
      <c r="B79106" s="7"/>
    </row>
    <row r="79107" ht="15.75" customHeight="1">
      <c r="A79107" s="7"/>
      <c r="B79107" s="7"/>
    </row>
    <row r="79108" ht="15.75" customHeight="1">
      <c r="A79108" s="7"/>
      <c r="B79108" s="7"/>
    </row>
    <row r="79109" ht="15.75" customHeight="1">
      <c r="A79109" s="7"/>
      <c r="B79109" s="7"/>
    </row>
    <row r="79110" ht="15.75" customHeight="1">
      <c r="A79110" s="7"/>
      <c r="B79110" s="7"/>
    </row>
    <row r="79111" ht="15.75" customHeight="1">
      <c r="A79111" s="7"/>
      <c r="B79111" s="7"/>
    </row>
    <row r="79112" ht="15.75" customHeight="1">
      <c r="A79112" s="7"/>
      <c r="B79112" s="7"/>
    </row>
    <row r="79113" ht="15.75" customHeight="1">
      <c r="A79113" s="7"/>
      <c r="B79113" s="7"/>
    </row>
    <row r="79114" ht="15.75" customHeight="1">
      <c r="A79114" s="7"/>
      <c r="B79114" s="7"/>
    </row>
    <row r="79115" ht="15.75" customHeight="1">
      <c r="A79115" s="7"/>
      <c r="B79115" s="7"/>
    </row>
    <row r="79116" ht="15.75" customHeight="1">
      <c r="A79116" s="7"/>
      <c r="B79116" s="7"/>
    </row>
    <row r="79117" ht="15.75" customHeight="1">
      <c r="A79117" s="7"/>
      <c r="B79117" s="7"/>
    </row>
    <row r="79118" ht="15.75" customHeight="1">
      <c r="A79118" s="7"/>
      <c r="B79118" s="7"/>
    </row>
    <row r="79119" ht="15.75" customHeight="1">
      <c r="A79119" s="7"/>
      <c r="B79119" s="7"/>
    </row>
    <row r="79120" ht="15.75" customHeight="1">
      <c r="A79120" s="7"/>
      <c r="B79120" s="7"/>
    </row>
    <row r="79121" ht="15.75" customHeight="1">
      <c r="A79121" s="7"/>
      <c r="B79121" s="7"/>
    </row>
    <row r="79122" ht="15.75" customHeight="1">
      <c r="A79122" s="7"/>
      <c r="B79122" s="7"/>
    </row>
    <row r="79123" ht="15.75" customHeight="1">
      <c r="A79123" s="7"/>
      <c r="B79123" s="7"/>
    </row>
    <row r="79124" ht="15.75" customHeight="1">
      <c r="A79124" s="7"/>
      <c r="B79124" s="7"/>
    </row>
    <row r="79125" ht="15.75" customHeight="1">
      <c r="A79125" s="7"/>
      <c r="B79125" s="7"/>
    </row>
    <row r="79126" ht="15.75" customHeight="1">
      <c r="A79126" s="7"/>
      <c r="B79126" s="7"/>
    </row>
    <row r="79127" ht="15.75" customHeight="1">
      <c r="A79127" s="7"/>
      <c r="B79127" s="7"/>
    </row>
    <row r="79128" ht="15.75" customHeight="1">
      <c r="A79128" s="7"/>
      <c r="B79128" s="7"/>
    </row>
    <row r="79129" ht="15.75" customHeight="1">
      <c r="A79129" s="7"/>
      <c r="B79129" s="7"/>
    </row>
    <row r="79130" ht="15.75" customHeight="1">
      <c r="A79130" s="7"/>
      <c r="B79130" s="7"/>
    </row>
    <row r="79131" ht="15.75" customHeight="1">
      <c r="A79131" s="7"/>
      <c r="B79131" s="7"/>
    </row>
    <row r="79132" ht="15.75" customHeight="1">
      <c r="A79132" s="7"/>
      <c r="B79132" s="7"/>
    </row>
    <row r="79133" ht="15.75" customHeight="1">
      <c r="A79133" s="7"/>
      <c r="B79133" s="7"/>
    </row>
    <row r="79134" ht="15.75" customHeight="1">
      <c r="A79134" s="7"/>
      <c r="B79134" s="7"/>
    </row>
    <row r="79135" ht="15.75" customHeight="1">
      <c r="A79135" s="7"/>
      <c r="B79135" s="7"/>
    </row>
    <row r="79136" ht="15.75" customHeight="1">
      <c r="A79136" s="7"/>
      <c r="B79136" s="7"/>
    </row>
    <row r="79137" ht="15.75" customHeight="1">
      <c r="A79137" s="7"/>
      <c r="B79137" s="7"/>
    </row>
    <row r="79138" ht="15.75" customHeight="1">
      <c r="A79138" s="7"/>
      <c r="B79138" s="7"/>
    </row>
    <row r="79139" ht="15.75" customHeight="1">
      <c r="A79139" s="7"/>
      <c r="B79139" s="7"/>
    </row>
    <row r="79140" ht="15.75" customHeight="1">
      <c r="A79140" s="7"/>
      <c r="B79140" s="7"/>
    </row>
    <row r="79141" ht="15.75" customHeight="1">
      <c r="A79141" s="7"/>
      <c r="B79141" s="7"/>
    </row>
    <row r="79142" ht="15.75" customHeight="1">
      <c r="A79142" s="7"/>
      <c r="B79142" s="7"/>
    </row>
    <row r="79143" ht="15.75" customHeight="1">
      <c r="A79143" s="7"/>
      <c r="B79143" s="7"/>
    </row>
    <row r="79144" ht="15.75" customHeight="1">
      <c r="A79144" s="7"/>
      <c r="B79144" s="7"/>
    </row>
    <row r="79145" ht="15.75" customHeight="1">
      <c r="A79145" s="7"/>
      <c r="B79145" s="7"/>
    </row>
    <row r="79146" ht="15.75" customHeight="1">
      <c r="A79146" s="7"/>
      <c r="B79146" s="7"/>
    </row>
    <row r="79147" ht="15.75" customHeight="1">
      <c r="A79147" s="7"/>
      <c r="B79147" s="7"/>
    </row>
    <row r="79148" ht="15.75" customHeight="1">
      <c r="A79148" s="7"/>
      <c r="B79148" s="7"/>
    </row>
    <row r="79149" ht="15.75" customHeight="1">
      <c r="A79149" s="7"/>
      <c r="B79149" s="7"/>
    </row>
    <row r="79150" ht="15.75" customHeight="1">
      <c r="A79150" s="7"/>
      <c r="B79150" s="7"/>
    </row>
    <row r="79151" ht="15.75" customHeight="1">
      <c r="A79151" s="7"/>
      <c r="B79151" s="7"/>
    </row>
    <row r="79152" ht="15.75" customHeight="1">
      <c r="A79152" s="7"/>
      <c r="B79152" s="7"/>
    </row>
    <row r="79153" ht="15.75" customHeight="1">
      <c r="A79153" s="7"/>
      <c r="B79153" s="7"/>
    </row>
    <row r="79154" ht="15.75" customHeight="1">
      <c r="A79154" s="7"/>
      <c r="B79154" s="7"/>
    </row>
    <row r="79155" ht="15.75" customHeight="1">
      <c r="A79155" s="7"/>
      <c r="B79155" s="7"/>
    </row>
    <row r="79156" ht="15.75" customHeight="1">
      <c r="A79156" s="7"/>
      <c r="B79156" s="7"/>
    </row>
    <row r="79157" ht="15.75" customHeight="1">
      <c r="A79157" s="7"/>
      <c r="B79157" s="7"/>
    </row>
    <row r="79158" ht="15.75" customHeight="1">
      <c r="A79158" s="7"/>
      <c r="B79158" s="7"/>
    </row>
    <row r="79159" ht="15.75" customHeight="1">
      <c r="A79159" s="7"/>
      <c r="B79159" s="7"/>
    </row>
    <row r="79160" ht="15.75" customHeight="1">
      <c r="A79160" s="7"/>
      <c r="B79160" s="7"/>
    </row>
    <row r="79161" ht="15.75" customHeight="1">
      <c r="A79161" s="7"/>
      <c r="B79161" s="7"/>
    </row>
    <row r="79162" ht="15.75" customHeight="1">
      <c r="A79162" s="7"/>
      <c r="B79162" s="7"/>
    </row>
    <row r="79163" ht="15.75" customHeight="1">
      <c r="A79163" s="7"/>
      <c r="B79163" s="7"/>
    </row>
    <row r="79164" ht="15.75" customHeight="1">
      <c r="A79164" s="7"/>
      <c r="B79164" s="7"/>
    </row>
    <row r="79165" ht="15.75" customHeight="1">
      <c r="A79165" s="7"/>
      <c r="B79165" s="7"/>
    </row>
    <row r="79166" ht="15.75" customHeight="1">
      <c r="A79166" s="7"/>
      <c r="B79166" s="7"/>
    </row>
    <row r="79167" ht="15.75" customHeight="1">
      <c r="A79167" s="7"/>
      <c r="B79167" s="7"/>
    </row>
    <row r="79168" ht="15.75" customHeight="1">
      <c r="A79168" s="7"/>
      <c r="B79168" s="7"/>
    </row>
    <row r="79169" ht="15.75" customHeight="1">
      <c r="A79169" s="7"/>
      <c r="B79169" s="7"/>
    </row>
    <row r="79170" ht="15.75" customHeight="1">
      <c r="A79170" s="7"/>
      <c r="B79170" s="7"/>
    </row>
    <row r="79171" ht="15.75" customHeight="1">
      <c r="A79171" s="7"/>
      <c r="B79171" s="7"/>
    </row>
    <row r="79172" ht="15.75" customHeight="1">
      <c r="A79172" s="7"/>
      <c r="B79172" s="7"/>
    </row>
    <row r="79173" ht="15.75" customHeight="1">
      <c r="A79173" s="7"/>
      <c r="B79173" s="7"/>
    </row>
    <row r="79174" ht="15.75" customHeight="1">
      <c r="A79174" s="7"/>
      <c r="B79174" s="7"/>
    </row>
    <row r="79175" ht="15.75" customHeight="1">
      <c r="A79175" s="7"/>
      <c r="B79175" s="7"/>
    </row>
    <row r="79176" ht="15.75" customHeight="1">
      <c r="A79176" s="7"/>
      <c r="B79176" s="7"/>
    </row>
    <row r="79177" ht="15.75" customHeight="1">
      <c r="A79177" s="7"/>
      <c r="B79177" s="7"/>
    </row>
    <row r="79178" ht="15.75" customHeight="1">
      <c r="A79178" s="7"/>
      <c r="B79178" s="7"/>
    </row>
    <row r="79179" ht="15.75" customHeight="1">
      <c r="A79179" s="7"/>
      <c r="B79179" s="7"/>
    </row>
    <row r="79180" ht="15.75" customHeight="1">
      <c r="A79180" s="7"/>
      <c r="B79180" s="7"/>
    </row>
    <row r="79181" ht="15.75" customHeight="1">
      <c r="A79181" s="7"/>
      <c r="B79181" s="7"/>
    </row>
    <row r="79182" ht="15.75" customHeight="1">
      <c r="A79182" s="7"/>
      <c r="B79182" s="7"/>
    </row>
    <row r="79183" ht="15.75" customHeight="1">
      <c r="A79183" s="7"/>
      <c r="B79183" s="7"/>
    </row>
    <row r="79184" ht="15.75" customHeight="1">
      <c r="A79184" s="7"/>
      <c r="B79184" s="7"/>
    </row>
    <row r="79185" ht="15.75" customHeight="1">
      <c r="A79185" s="7"/>
      <c r="B79185" s="7"/>
    </row>
    <row r="79186" ht="15.75" customHeight="1">
      <c r="A79186" s="7"/>
      <c r="B79186" s="7"/>
    </row>
    <row r="79187" ht="15.75" customHeight="1">
      <c r="A79187" s="7"/>
      <c r="B79187" s="7"/>
    </row>
    <row r="79188" ht="15.75" customHeight="1">
      <c r="A79188" s="7"/>
      <c r="B79188" s="7"/>
    </row>
    <row r="79189" ht="15.75" customHeight="1">
      <c r="A79189" s="7"/>
      <c r="B79189" s="7"/>
    </row>
    <row r="79190" ht="15.75" customHeight="1">
      <c r="A79190" s="7"/>
      <c r="B79190" s="7"/>
    </row>
    <row r="79191" ht="15.75" customHeight="1">
      <c r="A79191" s="7"/>
      <c r="B79191" s="7"/>
    </row>
    <row r="79192" ht="15.75" customHeight="1">
      <c r="A79192" s="7"/>
      <c r="B79192" s="7"/>
    </row>
    <row r="79193" ht="15.75" customHeight="1">
      <c r="A79193" s="7"/>
      <c r="B79193" s="7"/>
    </row>
    <row r="79194" ht="15.75" customHeight="1">
      <c r="A79194" s="7"/>
      <c r="B79194" s="7"/>
    </row>
    <row r="79195" ht="15.75" customHeight="1">
      <c r="A79195" s="7"/>
      <c r="B79195" s="7"/>
    </row>
    <row r="79196" ht="15.75" customHeight="1">
      <c r="A79196" s="7"/>
      <c r="B79196" s="7"/>
    </row>
    <row r="79197" ht="15.75" customHeight="1">
      <c r="A79197" s="7"/>
      <c r="B79197" s="7"/>
    </row>
    <row r="79198" ht="15.75" customHeight="1">
      <c r="A79198" s="7"/>
      <c r="B79198" s="7"/>
    </row>
    <row r="79199" ht="15.75" customHeight="1">
      <c r="A79199" s="7"/>
      <c r="B79199" s="7"/>
    </row>
    <row r="79200" ht="15.75" customHeight="1">
      <c r="A79200" s="7"/>
      <c r="B79200" s="7"/>
    </row>
    <row r="79201" ht="15.75" customHeight="1">
      <c r="A79201" s="7"/>
      <c r="B79201" s="7"/>
    </row>
    <row r="79202" ht="15.75" customHeight="1">
      <c r="A79202" s="7"/>
      <c r="B79202" s="7"/>
    </row>
    <row r="79203" ht="15.75" customHeight="1">
      <c r="A79203" s="7"/>
      <c r="B79203" s="7"/>
    </row>
    <row r="79204" ht="15.75" customHeight="1">
      <c r="A79204" s="7"/>
      <c r="B79204" s="7"/>
    </row>
    <row r="79205" ht="15.75" customHeight="1">
      <c r="A79205" s="7"/>
      <c r="B79205" s="7"/>
    </row>
    <row r="79206" ht="15.75" customHeight="1">
      <c r="A79206" s="7"/>
      <c r="B79206" s="7"/>
    </row>
    <row r="79207" ht="15.75" customHeight="1">
      <c r="A79207" s="7"/>
      <c r="B79207" s="7"/>
    </row>
    <row r="79208" ht="15.75" customHeight="1">
      <c r="A79208" s="7"/>
      <c r="B79208" s="7"/>
    </row>
    <row r="79209" ht="15.75" customHeight="1">
      <c r="A79209" s="7"/>
      <c r="B79209" s="7"/>
    </row>
    <row r="79210" ht="15.75" customHeight="1">
      <c r="A79210" s="7"/>
      <c r="B79210" s="7"/>
    </row>
    <row r="79211" ht="15.75" customHeight="1">
      <c r="A79211" s="7"/>
      <c r="B79211" s="7"/>
    </row>
    <row r="79212" ht="15.75" customHeight="1">
      <c r="A79212" s="7"/>
      <c r="B79212" s="7"/>
    </row>
    <row r="79213" ht="15.75" customHeight="1">
      <c r="A79213" s="7"/>
      <c r="B79213" s="7"/>
    </row>
    <row r="79214" ht="15.75" customHeight="1">
      <c r="A79214" s="7"/>
      <c r="B79214" s="7"/>
    </row>
    <row r="79215" ht="15.75" customHeight="1">
      <c r="A79215" s="7"/>
      <c r="B79215" s="7"/>
    </row>
    <row r="79216" ht="15.75" customHeight="1">
      <c r="A79216" s="7"/>
      <c r="B79216" s="7"/>
    </row>
    <row r="79217" ht="15.75" customHeight="1">
      <c r="A79217" s="7"/>
      <c r="B79217" s="7"/>
    </row>
    <row r="79218" ht="15.75" customHeight="1">
      <c r="A79218" s="7"/>
      <c r="B79218" s="7"/>
    </row>
    <row r="79219" ht="15.75" customHeight="1">
      <c r="A79219" s="7"/>
      <c r="B79219" s="7"/>
    </row>
    <row r="79220" ht="15.75" customHeight="1">
      <c r="A79220" s="7"/>
      <c r="B79220" s="7"/>
    </row>
    <row r="79221" ht="15.75" customHeight="1">
      <c r="A79221" s="7"/>
      <c r="B79221" s="7"/>
    </row>
    <row r="79222" ht="15.75" customHeight="1">
      <c r="A79222" s="7"/>
      <c r="B79222" s="7"/>
    </row>
    <row r="79223" ht="15.75" customHeight="1">
      <c r="A79223" s="7"/>
      <c r="B79223" s="7"/>
    </row>
    <row r="79224" ht="15.75" customHeight="1">
      <c r="A79224" s="7"/>
      <c r="B79224" s="7"/>
    </row>
    <row r="79225" ht="15.75" customHeight="1">
      <c r="A79225" s="7"/>
      <c r="B79225" s="7"/>
    </row>
    <row r="79226" ht="15.75" customHeight="1">
      <c r="A79226" s="7"/>
      <c r="B79226" s="7"/>
    </row>
    <row r="79227" ht="15.75" customHeight="1">
      <c r="A79227" s="7"/>
      <c r="B79227" s="7"/>
    </row>
    <row r="79228" ht="15.75" customHeight="1">
      <c r="A79228" s="7"/>
      <c r="B79228" s="7"/>
    </row>
    <row r="79229" ht="15.75" customHeight="1">
      <c r="A79229" s="7"/>
      <c r="B79229" s="7"/>
    </row>
    <row r="79230" ht="15.75" customHeight="1">
      <c r="A79230" s="7"/>
      <c r="B79230" s="7"/>
    </row>
    <row r="79231" ht="15.75" customHeight="1">
      <c r="A79231" s="7"/>
      <c r="B79231" s="7"/>
    </row>
    <row r="79232" ht="15.75" customHeight="1">
      <c r="A79232" s="7"/>
      <c r="B79232" s="7"/>
    </row>
    <row r="79233" ht="15.75" customHeight="1">
      <c r="A79233" s="7"/>
      <c r="B79233" s="7"/>
    </row>
    <row r="79234" ht="15.75" customHeight="1">
      <c r="A79234" s="7"/>
      <c r="B79234" s="7"/>
    </row>
    <row r="79235" ht="15.75" customHeight="1">
      <c r="A79235" s="7"/>
      <c r="B79235" s="7"/>
    </row>
    <row r="79236" ht="15.75" customHeight="1">
      <c r="A79236" s="7"/>
      <c r="B79236" s="7"/>
    </row>
    <row r="79237" ht="15.75" customHeight="1">
      <c r="A79237" s="7"/>
      <c r="B79237" s="7"/>
    </row>
    <row r="79238" ht="15.75" customHeight="1">
      <c r="A79238" s="7"/>
      <c r="B79238" s="7"/>
    </row>
    <row r="79239" ht="15.75" customHeight="1">
      <c r="A79239" s="7"/>
      <c r="B79239" s="7"/>
    </row>
    <row r="79240" ht="15.75" customHeight="1">
      <c r="A79240" s="7"/>
      <c r="B79240" s="7"/>
    </row>
    <row r="79241" ht="15.75" customHeight="1">
      <c r="A79241" s="7"/>
      <c r="B79241" s="7"/>
    </row>
    <row r="79242" ht="15.75" customHeight="1">
      <c r="A79242" s="7"/>
      <c r="B79242" s="7"/>
    </row>
    <row r="79243" ht="15.75" customHeight="1">
      <c r="A79243" s="7"/>
      <c r="B79243" s="7"/>
    </row>
    <row r="79244" ht="15.75" customHeight="1">
      <c r="A79244" s="7"/>
      <c r="B79244" s="7"/>
    </row>
    <row r="79245" ht="15.75" customHeight="1">
      <c r="A79245" s="7"/>
      <c r="B79245" s="7"/>
    </row>
    <row r="79246" ht="15.75" customHeight="1">
      <c r="A79246" s="7"/>
      <c r="B79246" s="7"/>
    </row>
    <row r="79247" ht="15.75" customHeight="1">
      <c r="A79247" s="7"/>
      <c r="B79247" s="7"/>
    </row>
    <row r="79248" ht="15.75" customHeight="1">
      <c r="A79248" s="7"/>
      <c r="B79248" s="7"/>
    </row>
    <row r="79249" ht="15.75" customHeight="1">
      <c r="A79249" s="7"/>
      <c r="B79249" s="7"/>
    </row>
    <row r="79250" ht="15.75" customHeight="1">
      <c r="A79250" s="7"/>
      <c r="B79250" s="7"/>
    </row>
    <row r="79251" ht="15.75" customHeight="1">
      <c r="A79251" s="7"/>
      <c r="B79251" s="7"/>
    </row>
    <row r="79252" ht="15.75" customHeight="1">
      <c r="A79252" s="7"/>
      <c r="B79252" s="7"/>
    </row>
    <row r="79253" ht="15.75" customHeight="1">
      <c r="A79253" s="7"/>
      <c r="B79253" s="7"/>
    </row>
    <row r="79254" ht="15.75" customHeight="1">
      <c r="A79254" s="7"/>
      <c r="B79254" s="7"/>
    </row>
    <row r="79255" ht="15.75" customHeight="1">
      <c r="A79255" s="7"/>
      <c r="B79255" s="7"/>
    </row>
    <row r="79256" ht="15.75" customHeight="1">
      <c r="A79256" s="7"/>
      <c r="B79256" s="7"/>
    </row>
    <row r="79257" ht="15.75" customHeight="1">
      <c r="A79257" s="7"/>
      <c r="B79257" s="7"/>
    </row>
    <row r="79258" ht="15.75" customHeight="1">
      <c r="A79258" s="7"/>
      <c r="B79258" s="7"/>
    </row>
    <row r="79259" ht="15.75" customHeight="1">
      <c r="A79259" s="7"/>
      <c r="B79259" s="7"/>
    </row>
    <row r="79260" ht="15.75" customHeight="1">
      <c r="A79260" s="7"/>
      <c r="B79260" s="7"/>
    </row>
    <row r="79261" ht="15.75" customHeight="1">
      <c r="A79261" s="7"/>
      <c r="B79261" s="7"/>
    </row>
    <row r="79262" ht="15.75" customHeight="1">
      <c r="A79262" s="7"/>
      <c r="B79262" s="7"/>
    </row>
    <row r="79263" ht="15.75" customHeight="1">
      <c r="A79263" s="7"/>
      <c r="B79263" s="7"/>
    </row>
    <row r="79264" ht="15.75" customHeight="1">
      <c r="A79264" s="7"/>
      <c r="B79264" s="7"/>
    </row>
    <row r="79265" ht="15.75" customHeight="1">
      <c r="A79265" s="7"/>
      <c r="B79265" s="7"/>
    </row>
    <row r="79266" ht="15.75" customHeight="1">
      <c r="A79266" s="7"/>
      <c r="B79266" s="7"/>
    </row>
    <row r="79267" ht="15.75" customHeight="1">
      <c r="A79267" s="7"/>
      <c r="B79267" s="7"/>
    </row>
    <row r="79268" ht="15.75" customHeight="1">
      <c r="A79268" s="7"/>
      <c r="B79268" s="7"/>
    </row>
    <row r="79269" ht="15.75" customHeight="1">
      <c r="A79269" s="7"/>
      <c r="B79269" s="7"/>
    </row>
    <row r="79270" ht="15.75" customHeight="1">
      <c r="A79270" s="7"/>
      <c r="B79270" s="7"/>
    </row>
    <row r="79271" ht="15.75" customHeight="1">
      <c r="A79271" s="7"/>
      <c r="B79271" s="7"/>
    </row>
    <row r="79272" ht="15.75" customHeight="1">
      <c r="A79272" s="7"/>
      <c r="B79272" s="7"/>
    </row>
    <row r="79273" ht="15.75" customHeight="1">
      <c r="A79273" s="7"/>
      <c r="B79273" s="7"/>
    </row>
    <row r="79274" ht="15.75" customHeight="1">
      <c r="A79274" s="7"/>
      <c r="B79274" s="7"/>
    </row>
    <row r="79275" ht="15.75" customHeight="1">
      <c r="A79275" s="7"/>
      <c r="B79275" s="7"/>
    </row>
    <row r="79276" ht="15.75" customHeight="1">
      <c r="A79276" s="7"/>
      <c r="B79276" s="7"/>
    </row>
    <row r="79277" ht="15.75" customHeight="1">
      <c r="A79277" s="7"/>
      <c r="B79277" s="7"/>
    </row>
    <row r="79278" ht="15.75" customHeight="1">
      <c r="A79278" s="7"/>
      <c r="B79278" s="7"/>
    </row>
    <row r="79279" ht="15.75" customHeight="1">
      <c r="A79279" s="7"/>
      <c r="B79279" s="7"/>
    </row>
    <row r="79280" ht="15.75" customHeight="1">
      <c r="A79280" s="7"/>
      <c r="B79280" s="7"/>
    </row>
    <row r="79281" ht="15.75" customHeight="1">
      <c r="A79281" s="7"/>
      <c r="B79281" s="7"/>
    </row>
    <row r="79282" ht="15.75" customHeight="1">
      <c r="A79282" s="7"/>
      <c r="B79282" s="7"/>
    </row>
    <row r="79283" ht="15.75" customHeight="1">
      <c r="A79283" s="7"/>
      <c r="B79283" s="7"/>
    </row>
    <row r="79284" ht="15.75" customHeight="1">
      <c r="A79284" s="7"/>
      <c r="B79284" s="7"/>
    </row>
    <row r="79285" ht="15.75" customHeight="1">
      <c r="A79285" s="7"/>
      <c r="B79285" s="7"/>
    </row>
    <row r="79286" ht="15.75" customHeight="1">
      <c r="A79286" s="7"/>
      <c r="B79286" s="7"/>
    </row>
    <row r="79287" ht="15.75" customHeight="1">
      <c r="A79287" s="7"/>
      <c r="B79287" s="7"/>
    </row>
    <row r="79288" ht="15.75" customHeight="1">
      <c r="A79288" s="7"/>
      <c r="B79288" s="7"/>
    </row>
    <row r="79289" ht="15.75" customHeight="1">
      <c r="A79289" s="7"/>
      <c r="B79289" s="7"/>
    </row>
    <row r="79290" ht="15.75" customHeight="1">
      <c r="A79290" s="7"/>
      <c r="B79290" s="7"/>
    </row>
    <row r="79291" ht="15.75" customHeight="1">
      <c r="A79291" s="7"/>
      <c r="B79291" s="7"/>
    </row>
    <row r="79292" ht="15.75" customHeight="1">
      <c r="A79292" s="7"/>
      <c r="B79292" s="7"/>
    </row>
    <row r="79293" ht="15.75" customHeight="1">
      <c r="A79293" s="7"/>
      <c r="B79293" s="7"/>
    </row>
    <row r="79294" ht="15.75" customHeight="1">
      <c r="A79294" s="7"/>
      <c r="B79294" s="7"/>
    </row>
    <row r="79295" ht="15.75" customHeight="1">
      <c r="A79295" s="7"/>
      <c r="B79295" s="7"/>
    </row>
    <row r="79296" ht="15.75" customHeight="1">
      <c r="A79296" s="7"/>
      <c r="B79296" s="7"/>
    </row>
    <row r="79297" ht="15.75" customHeight="1">
      <c r="A79297" s="7"/>
      <c r="B79297" s="7"/>
    </row>
    <row r="79298" ht="15.75" customHeight="1">
      <c r="A79298" s="7"/>
      <c r="B79298" s="7"/>
    </row>
    <row r="79299" ht="15.75" customHeight="1">
      <c r="A79299" s="7"/>
      <c r="B79299" s="7"/>
    </row>
    <row r="79300" ht="15.75" customHeight="1">
      <c r="A79300" s="7"/>
      <c r="B79300" s="7"/>
    </row>
    <row r="79301" ht="15.75" customHeight="1">
      <c r="A79301" s="7"/>
      <c r="B79301" s="7"/>
    </row>
    <row r="79302" ht="15.75" customHeight="1">
      <c r="A79302" s="7"/>
      <c r="B79302" s="7"/>
    </row>
    <row r="79303" ht="15.75" customHeight="1">
      <c r="A79303" s="7"/>
      <c r="B79303" s="7"/>
    </row>
    <row r="79304" ht="15.75" customHeight="1">
      <c r="A79304" s="7"/>
      <c r="B79304" s="7"/>
    </row>
    <row r="79305" ht="15.75" customHeight="1">
      <c r="A79305" s="7"/>
      <c r="B79305" s="7"/>
    </row>
    <row r="79306" ht="15.75" customHeight="1">
      <c r="A79306" s="7"/>
      <c r="B79306" s="7"/>
    </row>
    <row r="79307" ht="15.75" customHeight="1">
      <c r="A79307" s="7"/>
      <c r="B79307" s="7"/>
    </row>
    <row r="79308" ht="15.75" customHeight="1">
      <c r="A79308" s="7"/>
      <c r="B79308" s="7"/>
    </row>
    <row r="79309" ht="15.75" customHeight="1">
      <c r="A79309" s="7"/>
      <c r="B79309" s="7"/>
    </row>
    <row r="79310" ht="15.75" customHeight="1">
      <c r="A79310" s="7"/>
      <c r="B79310" s="7"/>
    </row>
    <row r="79311" ht="15.75" customHeight="1">
      <c r="A79311" s="7"/>
      <c r="B79311" s="7"/>
    </row>
    <row r="79312" ht="15.75" customHeight="1">
      <c r="A79312" s="7"/>
      <c r="B79312" s="7"/>
    </row>
    <row r="79313" ht="15.75" customHeight="1">
      <c r="A79313" s="7"/>
      <c r="B79313" s="7"/>
    </row>
    <row r="79314" ht="15.75" customHeight="1">
      <c r="A79314" s="7"/>
      <c r="B79314" s="7"/>
    </row>
    <row r="79315" ht="15.75" customHeight="1">
      <c r="A79315" s="7"/>
      <c r="B79315" s="7"/>
    </row>
    <row r="79316" ht="15.75" customHeight="1">
      <c r="A79316" s="7"/>
      <c r="B79316" s="7"/>
    </row>
    <row r="79317" ht="15.75" customHeight="1">
      <c r="A79317" s="7"/>
      <c r="B79317" s="7"/>
    </row>
    <row r="79318" ht="15.75" customHeight="1">
      <c r="A79318" s="7"/>
      <c r="B79318" s="7"/>
    </row>
    <row r="79319" ht="15.75" customHeight="1">
      <c r="A79319" s="7"/>
      <c r="B79319" s="7"/>
    </row>
    <row r="79320" ht="15.75" customHeight="1">
      <c r="A79320" s="7"/>
      <c r="B79320" s="7"/>
    </row>
    <row r="79321" ht="15.75" customHeight="1">
      <c r="A79321" s="7"/>
      <c r="B79321" s="7"/>
    </row>
    <row r="79322" ht="15.75" customHeight="1">
      <c r="A79322" s="7"/>
      <c r="B79322" s="7"/>
    </row>
    <row r="79323" ht="15.75" customHeight="1">
      <c r="A79323" s="7"/>
      <c r="B79323" s="7"/>
    </row>
    <row r="79324" ht="15.75" customHeight="1">
      <c r="A79324" s="7"/>
      <c r="B79324" s="7"/>
    </row>
    <row r="79325" ht="15.75" customHeight="1">
      <c r="A79325" s="7"/>
      <c r="B79325" s="7"/>
    </row>
    <row r="79326" ht="15.75" customHeight="1">
      <c r="A79326" s="7"/>
      <c r="B79326" s="7"/>
    </row>
    <row r="79327" ht="15.75" customHeight="1">
      <c r="A79327" s="7"/>
      <c r="B79327" s="7"/>
    </row>
    <row r="79328" ht="15.75" customHeight="1">
      <c r="A79328" s="7"/>
      <c r="B79328" s="7"/>
    </row>
    <row r="79329" ht="15.75" customHeight="1">
      <c r="A79329" s="7"/>
      <c r="B79329" s="7"/>
    </row>
    <row r="79330" ht="15.75" customHeight="1">
      <c r="A79330" s="7"/>
      <c r="B79330" s="7"/>
    </row>
    <row r="79331" ht="15.75" customHeight="1">
      <c r="A79331" s="7"/>
      <c r="B79331" s="7"/>
    </row>
    <row r="79332" ht="15.75" customHeight="1">
      <c r="A79332" s="7"/>
      <c r="B79332" s="7"/>
    </row>
    <row r="79333" ht="15.75" customHeight="1">
      <c r="A79333" s="7"/>
      <c r="B79333" s="7"/>
    </row>
    <row r="79334" ht="15.75" customHeight="1">
      <c r="A79334" s="7"/>
      <c r="B79334" s="7"/>
    </row>
    <row r="79335" ht="15.75" customHeight="1">
      <c r="A79335" s="7"/>
      <c r="B79335" s="7"/>
    </row>
    <row r="79336" ht="15.75" customHeight="1">
      <c r="A79336" s="7"/>
      <c r="B79336" s="7"/>
    </row>
    <row r="79337" ht="15.75" customHeight="1">
      <c r="A79337" s="7"/>
      <c r="B79337" s="7"/>
    </row>
    <row r="79338" ht="15.75" customHeight="1">
      <c r="A79338" s="7"/>
      <c r="B79338" s="7"/>
    </row>
    <row r="79339" ht="15.75" customHeight="1">
      <c r="A79339" s="7"/>
      <c r="B79339" s="7"/>
    </row>
    <row r="79340" ht="15.75" customHeight="1">
      <c r="A79340" s="7"/>
      <c r="B79340" s="7"/>
    </row>
    <row r="79341" ht="15.75" customHeight="1">
      <c r="A79341" s="7"/>
      <c r="B79341" s="7"/>
    </row>
    <row r="79342" ht="15.75" customHeight="1">
      <c r="A79342" s="7"/>
      <c r="B79342" s="7"/>
    </row>
    <row r="79343" ht="15.75" customHeight="1">
      <c r="A79343" s="7"/>
      <c r="B79343" s="7"/>
    </row>
    <row r="79344" ht="15.75" customHeight="1">
      <c r="A79344" s="7"/>
      <c r="B79344" s="7"/>
    </row>
    <row r="79345" ht="15.75" customHeight="1">
      <c r="A79345" s="7"/>
      <c r="B79345" s="7"/>
    </row>
    <row r="79346" ht="15.75" customHeight="1">
      <c r="A79346" s="7"/>
      <c r="B79346" s="7"/>
    </row>
    <row r="79347" ht="15.75" customHeight="1">
      <c r="A79347" s="7"/>
      <c r="B79347" s="7"/>
    </row>
    <row r="79348" ht="15.75" customHeight="1">
      <c r="A79348" s="7"/>
      <c r="B79348" s="7"/>
    </row>
    <row r="79349" ht="15.75" customHeight="1">
      <c r="A79349" s="7"/>
      <c r="B79349" s="7"/>
    </row>
    <row r="79350" ht="15.75" customHeight="1">
      <c r="A79350" s="7"/>
      <c r="B79350" s="7"/>
    </row>
    <row r="79351" ht="15.75" customHeight="1">
      <c r="A79351" s="7"/>
      <c r="B79351" s="7"/>
    </row>
    <row r="79352" ht="15.75" customHeight="1">
      <c r="A79352" s="7"/>
      <c r="B79352" s="7"/>
    </row>
    <row r="79353" ht="15.75" customHeight="1">
      <c r="A79353" s="7"/>
      <c r="B79353" s="7"/>
    </row>
    <row r="79354" ht="15.75" customHeight="1">
      <c r="A79354" s="7"/>
      <c r="B79354" s="7"/>
    </row>
    <row r="79355" ht="15.75" customHeight="1">
      <c r="A79355" s="7"/>
      <c r="B79355" s="7"/>
    </row>
    <row r="79356" ht="15.75" customHeight="1">
      <c r="A79356" s="7"/>
      <c r="B79356" s="7"/>
    </row>
    <row r="79357" ht="15.75" customHeight="1">
      <c r="A79357" s="7"/>
      <c r="B79357" s="7"/>
    </row>
    <row r="79358" ht="15.75" customHeight="1">
      <c r="A79358" s="7"/>
      <c r="B79358" s="7"/>
    </row>
    <row r="79359" ht="15.75" customHeight="1">
      <c r="A79359" s="7"/>
      <c r="B79359" s="7"/>
    </row>
    <row r="79360" ht="15.75" customHeight="1">
      <c r="A79360" s="7"/>
      <c r="B79360" s="7"/>
    </row>
    <row r="79361" ht="15.75" customHeight="1">
      <c r="A79361" s="7"/>
      <c r="B79361" s="7"/>
    </row>
    <row r="79362" ht="15.75" customHeight="1">
      <c r="A79362" s="7"/>
      <c r="B79362" s="7"/>
    </row>
    <row r="79363" ht="15.75" customHeight="1">
      <c r="A79363" s="7"/>
      <c r="B79363" s="7"/>
    </row>
    <row r="79364" ht="15.75" customHeight="1">
      <c r="A79364" s="7"/>
      <c r="B79364" s="7"/>
    </row>
    <row r="79365" ht="15.75" customHeight="1">
      <c r="A79365" s="7"/>
      <c r="B79365" s="7"/>
    </row>
    <row r="79366" ht="15.75" customHeight="1">
      <c r="A79366" s="7"/>
      <c r="B79366" s="7"/>
    </row>
    <row r="79367" ht="15.75" customHeight="1">
      <c r="A79367" s="7"/>
      <c r="B79367" s="7"/>
    </row>
    <row r="79368" ht="15.75" customHeight="1">
      <c r="A79368" s="7"/>
      <c r="B79368" s="7"/>
    </row>
    <row r="79369" ht="15.75" customHeight="1">
      <c r="A79369" s="7"/>
      <c r="B79369" s="7"/>
    </row>
    <row r="79370" ht="15.75" customHeight="1">
      <c r="A79370" s="7"/>
      <c r="B79370" s="7"/>
    </row>
    <row r="79371" ht="15.75" customHeight="1">
      <c r="A79371" s="7"/>
      <c r="B79371" s="7"/>
    </row>
    <row r="79372" ht="15.75" customHeight="1">
      <c r="A79372" s="7"/>
      <c r="B79372" s="7"/>
    </row>
    <row r="79373" ht="15.75" customHeight="1">
      <c r="A79373" s="7"/>
      <c r="B79373" s="7"/>
    </row>
    <row r="79374" ht="15.75" customHeight="1">
      <c r="A79374" s="7"/>
      <c r="B79374" s="7"/>
    </row>
    <row r="79375" ht="15.75" customHeight="1">
      <c r="A79375" s="7"/>
      <c r="B79375" s="7"/>
    </row>
    <row r="79376" ht="15.75" customHeight="1">
      <c r="A79376" s="7"/>
      <c r="B79376" s="7"/>
    </row>
    <row r="79377" ht="15.75" customHeight="1">
      <c r="A79377" s="7"/>
      <c r="B79377" s="7"/>
    </row>
    <row r="79378" ht="15.75" customHeight="1">
      <c r="A79378" s="7"/>
      <c r="B79378" s="7"/>
    </row>
    <row r="79379" ht="15.75" customHeight="1">
      <c r="A79379" s="7"/>
      <c r="B79379" s="7"/>
    </row>
    <row r="79380" ht="15.75" customHeight="1">
      <c r="A79380" s="7"/>
      <c r="B79380" s="7"/>
    </row>
    <row r="79381" ht="15.75" customHeight="1">
      <c r="A79381" s="7"/>
      <c r="B79381" s="7"/>
    </row>
    <row r="79382" ht="15.75" customHeight="1">
      <c r="A79382" s="7"/>
      <c r="B79382" s="7"/>
    </row>
    <row r="79383" ht="15.75" customHeight="1">
      <c r="A79383" s="7"/>
      <c r="B79383" s="7"/>
    </row>
    <row r="79384" ht="15.75" customHeight="1">
      <c r="A79384" s="7"/>
      <c r="B79384" s="7"/>
    </row>
    <row r="79385" ht="15.75" customHeight="1">
      <c r="A79385" s="7"/>
      <c r="B79385" s="7"/>
    </row>
    <row r="79386" ht="15.75" customHeight="1">
      <c r="A79386" s="7"/>
      <c r="B79386" s="7"/>
    </row>
    <row r="79387" ht="15.75" customHeight="1">
      <c r="A79387" s="7"/>
      <c r="B79387" s="7"/>
    </row>
    <row r="79388" ht="15.75" customHeight="1">
      <c r="A79388" s="7"/>
      <c r="B79388" s="7"/>
    </row>
    <row r="79389" ht="15.75" customHeight="1">
      <c r="A79389" s="7"/>
      <c r="B79389" s="7"/>
    </row>
    <row r="79390" ht="15.75" customHeight="1">
      <c r="A79390" s="7"/>
      <c r="B79390" s="7"/>
    </row>
    <row r="79391" ht="15.75" customHeight="1">
      <c r="A79391" s="7"/>
      <c r="B79391" s="7"/>
    </row>
    <row r="79392" ht="15.75" customHeight="1">
      <c r="A79392" s="7"/>
      <c r="B79392" s="7"/>
    </row>
    <row r="79393" ht="15.75" customHeight="1">
      <c r="A79393" s="7"/>
      <c r="B79393" s="7"/>
    </row>
    <row r="79394" ht="15.75" customHeight="1">
      <c r="A79394" s="7"/>
      <c r="B79394" s="7"/>
    </row>
    <row r="79395" ht="15.75" customHeight="1">
      <c r="A79395" s="7"/>
      <c r="B79395" s="7"/>
    </row>
    <row r="79396" ht="15.75" customHeight="1">
      <c r="A79396" s="7"/>
      <c r="B79396" s="7"/>
    </row>
    <row r="79397" ht="15.75" customHeight="1">
      <c r="A79397" s="7"/>
      <c r="B79397" s="7"/>
    </row>
    <row r="79398" ht="15.75" customHeight="1">
      <c r="A79398" s="7"/>
      <c r="B79398" s="7"/>
    </row>
    <row r="79399" ht="15.75" customHeight="1">
      <c r="A79399" s="7"/>
      <c r="B79399" s="7"/>
    </row>
    <row r="79400" ht="15.75" customHeight="1">
      <c r="A79400" s="7"/>
      <c r="B79400" s="7"/>
    </row>
    <row r="79401" ht="15.75" customHeight="1">
      <c r="A79401" s="7"/>
      <c r="B79401" s="7"/>
    </row>
    <row r="79402" ht="15.75" customHeight="1">
      <c r="A79402" s="7"/>
      <c r="B79402" s="7"/>
    </row>
    <row r="79403" ht="15.75" customHeight="1">
      <c r="A79403" s="7"/>
      <c r="B79403" s="7"/>
    </row>
    <row r="79404" ht="15.75" customHeight="1">
      <c r="A79404" s="7"/>
      <c r="B79404" s="7"/>
    </row>
    <row r="79405" ht="15.75" customHeight="1">
      <c r="A79405" s="7"/>
      <c r="B79405" s="7"/>
    </row>
    <row r="79406" ht="15.75" customHeight="1">
      <c r="A79406" s="7"/>
      <c r="B79406" s="7"/>
    </row>
    <row r="79407" ht="15.75" customHeight="1">
      <c r="A79407" s="7"/>
      <c r="B79407" s="7"/>
    </row>
    <row r="79408" ht="15.75" customHeight="1">
      <c r="A79408" s="7"/>
      <c r="B79408" s="7"/>
    </row>
    <row r="79409" ht="15.75" customHeight="1">
      <c r="A79409" s="7"/>
      <c r="B79409" s="7"/>
    </row>
    <row r="79410" ht="15.75" customHeight="1">
      <c r="A79410" s="7"/>
      <c r="B79410" s="7"/>
    </row>
    <row r="79411" ht="15.75" customHeight="1">
      <c r="A79411" s="7"/>
      <c r="B79411" s="7"/>
    </row>
    <row r="79412" ht="15.75" customHeight="1">
      <c r="A79412" s="7"/>
      <c r="B79412" s="7"/>
    </row>
    <row r="79413" ht="15.75" customHeight="1">
      <c r="A79413" s="7"/>
      <c r="B79413" s="7"/>
    </row>
    <row r="79414" ht="15.75" customHeight="1">
      <c r="A79414" s="7"/>
      <c r="B79414" s="7"/>
    </row>
    <row r="79415" ht="15.75" customHeight="1">
      <c r="A79415" s="7"/>
      <c r="B79415" s="7"/>
    </row>
    <row r="79416" ht="15.75" customHeight="1">
      <c r="A79416" s="7"/>
      <c r="B79416" s="7"/>
    </row>
    <row r="79417" ht="15.75" customHeight="1">
      <c r="A79417" s="7"/>
      <c r="B79417" s="7"/>
    </row>
    <row r="79418" ht="15.75" customHeight="1">
      <c r="A79418" s="7"/>
      <c r="B79418" s="7"/>
    </row>
    <row r="79419" ht="15.75" customHeight="1">
      <c r="A79419" s="7"/>
      <c r="B79419" s="7"/>
    </row>
    <row r="79420" ht="15.75" customHeight="1">
      <c r="A79420" s="7"/>
      <c r="B79420" s="7"/>
    </row>
    <row r="79421" ht="15.75" customHeight="1">
      <c r="A79421" s="7"/>
      <c r="B79421" s="7"/>
    </row>
    <row r="79422" ht="15.75" customHeight="1">
      <c r="A79422" s="7"/>
      <c r="B79422" s="7"/>
    </row>
    <row r="79423" ht="15.75" customHeight="1">
      <c r="A79423" s="7"/>
      <c r="B79423" s="7"/>
    </row>
    <row r="79424" ht="15.75" customHeight="1">
      <c r="A79424" s="7"/>
      <c r="B79424" s="7"/>
    </row>
    <row r="79425" ht="15.75" customHeight="1">
      <c r="A79425" s="7"/>
      <c r="B79425" s="7"/>
    </row>
    <row r="79426" ht="15.75" customHeight="1">
      <c r="A79426" s="7"/>
      <c r="B79426" s="7"/>
    </row>
    <row r="79427" ht="15.75" customHeight="1">
      <c r="A79427" s="7"/>
      <c r="B79427" s="7"/>
    </row>
    <row r="79428" ht="15.75" customHeight="1">
      <c r="A79428" s="7"/>
      <c r="B79428" s="7"/>
    </row>
    <row r="79429" ht="15.75" customHeight="1">
      <c r="A79429" s="7"/>
      <c r="B79429" s="7"/>
    </row>
    <row r="79430" ht="15.75" customHeight="1">
      <c r="A79430" s="7"/>
      <c r="B79430" s="7"/>
    </row>
    <row r="79431" ht="15.75" customHeight="1">
      <c r="A79431" s="7"/>
      <c r="B79431" s="7"/>
    </row>
    <row r="79432" ht="15.75" customHeight="1">
      <c r="A79432" s="7"/>
      <c r="B79432" s="7"/>
    </row>
    <row r="79433" ht="15.75" customHeight="1">
      <c r="A79433" s="7"/>
      <c r="B79433" s="7"/>
    </row>
    <row r="79434" ht="15.75" customHeight="1">
      <c r="A79434" s="7"/>
      <c r="B79434" s="7"/>
    </row>
    <row r="79435" ht="15.75" customHeight="1">
      <c r="A79435" s="7"/>
      <c r="B79435" s="7"/>
    </row>
    <row r="79436" ht="15.75" customHeight="1">
      <c r="A79436" s="7"/>
      <c r="B79436" s="7"/>
    </row>
    <row r="79437" ht="15.75" customHeight="1">
      <c r="A79437" s="7"/>
      <c r="B79437" s="7"/>
    </row>
    <row r="79438" ht="15.75" customHeight="1">
      <c r="A79438" s="7"/>
      <c r="B79438" s="7"/>
    </row>
    <row r="79439" ht="15.75" customHeight="1">
      <c r="A79439" s="7"/>
      <c r="B79439" s="7"/>
    </row>
    <row r="79440" ht="15.75" customHeight="1">
      <c r="A79440" s="7"/>
      <c r="B79440" s="7"/>
    </row>
    <row r="79441" ht="15.75" customHeight="1">
      <c r="A79441" s="7"/>
      <c r="B79441" s="7"/>
    </row>
    <row r="79442" ht="15.75" customHeight="1">
      <c r="A79442" s="7"/>
      <c r="B79442" s="7"/>
    </row>
    <row r="79443" ht="15.75" customHeight="1">
      <c r="A79443" s="7"/>
      <c r="B79443" s="7"/>
    </row>
    <row r="79444" ht="15.75" customHeight="1">
      <c r="A79444" s="7"/>
      <c r="B79444" s="7"/>
    </row>
    <row r="79445" ht="15.75" customHeight="1">
      <c r="A79445" s="7"/>
      <c r="B79445" s="7"/>
    </row>
    <row r="79446" ht="15.75" customHeight="1">
      <c r="A79446" s="7"/>
      <c r="B79446" s="7"/>
    </row>
    <row r="79447" ht="15.75" customHeight="1">
      <c r="A79447" s="7"/>
      <c r="B79447" s="7"/>
    </row>
    <row r="79448" ht="15.75" customHeight="1">
      <c r="A79448" s="7"/>
      <c r="B79448" s="7"/>
    </row>
    <row r="79449" ht="15.75" customHeight="1">
      <c r="A79449" s="7"/>
      <c r="B79449" s="7"/>
    </row>
    <row r="79450" ht="15.75" customHeight="1">
      <c r="A79450" s="7"/>
      <c r="B79450" s="7"/>
    </row>
    <row r="79451" ht="15.75" customHeight="1">
      <c r="A79451" s="7"/>
      <c r="B79451" s="7"/>
    </row>
    <row r="79452" ht="15.75" customHeight="1">
      <c r="A79452" s="7"/>
      <c r="B79452" s="7"/>
    </row>
    <row r="79453" ht="15.75" customHeight="1">
      <c r="A79453" s="7"/>
      <c r="B79453" s="7"/>
    </row>
    <row r="79454" ht="15.75" customHeight="1">
      <c r="A79454" s="7"/>
      <c r="B79454" s="7"/>
    </row>
    <row r="79455" ht="15.75" customHeight="1">
      <c r="A79455" s="7"/>
      <c r="B79455" s="7"/>
    </row>
    <row r="79456" ht="15.75" customHeight="1">
      <c r="A79456" s="7"/>
      <c r="B79456" s="7"/>
    </row>
    <row r="79457" ht="15.75" customHeight="1">
      <c r="A79457" s="7"/>
      <c r="B79457" s="7"/>
    </row>
    <row r="79458" ht="15.75" customHeight="1">
      <c r="A79458" s="7"/>
      <c r="B79458" s="7"/>
    </row>
    <row r="79459" ht="15.75" customHeight="1">
      <c r="A79459" s="7"/>
      <c r="B79459" s="7"/>
    </row>
    <row r="79460" ht="15.75" customHeight="1">
      <c r="A79460" s="7"/>
      <c r="B79460" s="7"/>
    </row>
    <row r="79461" ht="15.75" customHeight="1">
      <c r="A79461" s="7"/>
      <c r="B79461" s="7"/>
    </row>
    <row r="79462" ht="15.75" customHeight="1">
      <c r="A79462" s="7"/>
      <c r="B79462" s="7"/>
    </row>
    <row r="79463" ht="15.75" customHeight="1">
      <c r="A79463" s="7"/>
      <c r="B79463" s="7"/>
    </row>
    <row r="79464" ht="15.75" customHeight="1">
      <c r="A79464" s="7"/>
      <c r="B79464" s="7"/>
    </row>
    <row r="79465" ht="15.75" customHeight="1">
      <c r="A79465" s="7"/>
      <c r="B79465" s="7"/>
    </row>
    <row r="79466" ht="15.75" customHeight="1">
      <c r="A79466" s="7"/>
      <c r="B79466" s="7"/>
    </row>
    <row r="79467" ht="15.75" customHeight="1">
      <c r="A79467" s="7"/>
      <c r="B79467" s="7"/>
    </row>
    <row r="79468" ht="15.75" customHeight="1">
      <c r="A79468" s="7"/>
      <c r="B79468" s="7"/>
    </row>
    <row r="79469" ht="15.75" customHeight="1">
      <c r="A79469" s="7"/>
      <c r="B79469" s="7"/>
    </row>
    <row r="79470" ht="15.75" customHeight="1">
      <c r="A79470" s="7"/>
      <c r="B79470" s="7"/>
    </row>
    <row r="79471" ht="15.75" customHeight="1">
      <c r="A79471" s="7"/>
      <c r="B79471" s="7"/>
    </row>
    <row r="79472" ht="15.75" customHeight="1">
      <c r="A79472" s="7"/>
      <c r="B79472" s="7"/>
    </row>
    <row r="79473" ht="15.75" customHeight="1">
      <c r="A79473" s="7"/>
      <c r="B79473" s="7"/>
    </row>
    <row r="79474" ht="15.75" customHeight="1">
      <c r="A79474" s="7"/>
      <c r="B79474" s="7"/>
    </row>
    <row r="79475" ht="15.75" customHeight="1">
      <c r="A79475" s="7"/>
      <c r="B79475" s="7"/>
    </row>
    <row r="79476" ht="15.75" customHeight="1">
      <c r="A79476" s="7"/>
      <c r="B79476" s="7"/>
    </row>
    <row r="79477" ht="15.75" customHeight="1">
      <c r="A79477" s="7"/>
      <c r="B79477" s="7"/>
    </row>
    <row r="79478" ht="15.75" customHeight="1">
      <c r="A79478" s="7"/>
      <c r="B79478" s="7"/>
    </row>
    <row r="79479" ht="15.75" customHeight="1">
      <c r="A79479" s="7"/>
      <c r="B79479" s="7"/>
    </row>
    <row r="79480" ht="15.75" customHeight="1">
      <c r="A79480" s="7"/>
      <c r="B79480" s="7"/>
    </row>
    <row r="79481" ht="15.75" customHeight="1">
      <c r="A79481" s="7"/>
      <c r="B79481" s="7"/>
    </row>
    <row r="79482" ht="15.75" customHeight="1">
      <c r="A79482" s="7"/>
      <c r="B79482" s="7"/>
    </row>
    <row r="79483" ht="15.75" customHeight="1">
      <c r="A79483" s="7"/>
      <c r="B79483" s="7"/>
    </row>
    <row r="79484" ht="15.75" customHeight="1">
      <c r="A79484" s="7"/>
      <c r="B79484" s="7"/>
    </row>
    <row r="79485" ht="15.75" customHeight="1">
      <c r="A79485" s="7"/>
      <c r="B79485" s="7"/>
    </row>
    <row r="79486" ht="15.75" customHeight="1">
      <c r="A79486" s="7"/>
      <c r="B79486" s="7"/>
    </row>
    <row r="79487" ht="15.75" customHeight="1">
      <c r="A79487" s="7"/>
      <c r="B79487" s="7"/>
    </row>
    <row r="79488" ht="15.75" customHeight="1">
      <c r="A79488" s="7"/>
      <c r="B79488" s="7"/>
    </row>
    <row r="79489" ht="15.75" customHeight="1">
      <c r="A79489" s="7"/>
      <c r="B79489" s="7"/>
    </row>
    <row r="79490" ht="15.75" customHeight="1">
      <c r="A79490" s="7"/>
      <c r="B79490" s="7"/>
    </row>
    <row r="79491" ht="15.75" customHeight="1">
      <c r="A79491" s="7"/>
      <c r="B79491" s="7"/>
    </row>
    <row r="79492" ht="15.75" customHeight="1">
      <c r="A79492" s="7"/>
      <c r="B79492" s="7"/>
    </row>
    <row r="79493" ht="15.75" customHeight="1">
      <c r="A79493" s="7"/>
      <c r="B79493" s="7"/>
    </row>
    <row r="79494" ht="15.75" customHeight="1">
      <c r="A79494" s="7"/>
      <c r="B79494" s="7"/>
    </row>
    <row r="79495" ht="15.75" customHeight="1">
      <c r="A79495" s="7"/>
      <c r="B79495" s="7"/>
    </row>
    <row r="79496" ht="15.75" customHeight="1">
      <c r="A79496" s="7"/>
      <c r="B79496" s="7"/>
    </row>
    <row r="79497" ht="15.75" customHeight="1">
      <c r="A79497" s="7"/>
      <c r="B79497" s="7"/>
    </row>
    <row r="79498" ht="15.75" customHeight="1">
      <c r="A79498" s="7"/>
      <c r="B79498" s="7"/>
    </row>
    <row r="79499" ht="15.75" customHeight="1">
      <c r="A79499" s="7"/>
      <c r="B79499" s="7"/>
    </row>
    <row r="79500" ht="15.75" customHeight="1">
      <c r="A79500" s="7"/>
      <c r="B79500" s="7"/>
    </row>
    <row r="79501" ht="15.75" customHeight="1">
      <c r="A79501" s="7"/>
      <c r="B79501" s="7"/>
    </row>
    <row r="79502" ht="15.75" customHeight="1">
      <c r="A79502" s="7"/>
      <c r="B79502" s="7"/>
    </row>
    <row r="79503" ht="15.75" customHeight="1">
      <c r="A79503" s="7"/>
      <c r="B79503" s="7"/>
    </row>
    <row r="79504" ht="15.75" customHeight="1">
      <c r="A79504" s="7"/>
      <c r="B79504" s="7"/>
    </row>
    <row r="79505" ht="15.75" customHeight="1">
      <c r="A79505" s="7"/>
      <c r="B79505" s="7"/>
    </row>
    <row r="79506" ht="15.75" customHeight="1">
      <c r="A79506" s="7"/>
      <c r="B79506" s="7"/>
    </row>
    <row r="79507" ht="15.75" customHeight="1">
      <c r="A79507" s="7"/>
      <c r="B79507" s="7"/>
    </row>
    <row r="79508" ht="15.75" customHeight="1">
      <c r="A79508" s="7"/>
      <c r="B79508" s="7"/>
    </row>
    <row r="79509" ht="15.75" customHeight="1">
      <c r="A79509" s="7"/>
      <c r="B79509" s="7"/>
    </row>
    <row r="79510" ht="15.75" customHeight="1">
      <c r="A79510" s="7"/>
      <c r="B79510" s="7"/>
    </row>
    <row r="79511" ht="15.75" customHeight="1">
      <c r="A79511" s="7"/>
      <c r="B79511" s="7"/>
    </row>
    <row r="79512" ht="15.75" customHeight="1">
      <c r="A79512" s="7"/>
      <c r="B79512" s="7"/>
    </row>
    <row r="79513" ht="15.75" customHeight="1">
      <c r="A79513" s="7"/>
      <c r="B79513" s="7"/>
    </row>
    <row r="79514" ht="15.75" customHeight="1">
      <c r="A79514" s="7"/>
      <c r="B79514" s="7"/>
    </row>
    <row r="79515" ht="15.75" customHeight="1">
      <c r="A79515" s="7"/>
      <c r="B79515" s="7"/>
    </row>
    <row r="79516" ht="15.75" customHeight="1">
      <c r="A79516" s="7"/>
      <c r="B79516" s="7"/>
    </row>
    <row r="79517" ht="15.75" customHeight="1">
      <c r="A79517" s="7"/>
      <c r="B79517" s="7"/>
    </row>
    <row r="79518" ht="15.75" customHeight="1">
      <c r="A79518" s="7"/>
      <c r="B79518" s="7"/>
    </row>
    <row r="79519" ht="15.75" customHeight="1">
      <c r="A79519" s="7"/>
      <c r="B79519" s="7"/>
    </row>
    <row r="79520" ht="15.75" customHeight="1">
      <c r="A79520" s="7"/>
      <c r="B79520" s="7"/>
    </row>
    <row r="79521" ht="15.75" customHeight="1">
      <c r="A79521" s="7"/>
      <c r="B79521" s="7"/>
    </row>
    <row r="79522" ht="15.75" customHeight="1">
      <c r="A79522" s="7"/>
      <c r="B79522" s="7"/>
    </row>
    <row r="79523" ht="15.75" customHeight="1">
      <c r="A79523" s="7"/>
      <c r="B79523" s="7"/>
    </row>
    <row r="79524" ht="15.75" customHeight="1">
      <c r="A79524" s="7"/>
      <c r="B79524" s="7"/>
    </row>
    <row r="79525" ht="15.75" customHeight="1">
      <c r="A79525" s="7"/>
      <c r="B79525" s="7"/>
    </row>
    <row r="79526" ht="15.75" customHeight="1">
      <c r="A79526" s="7"/>
      <c r="B79526" s="7"/>
    </row>
    <row r="79527" ht="15.75" customHeight="1">
      <c r="A79527" s="7"/>
      <c r="B79527" s="7"/>
    </row>
    <row r="79528" ht="15.75" customHeight="1">
      <c r="A79528" s="7"/>
      <c r="B79528" s="7"/>
    </row>
    <row r="79529" ht="15.75" customHeight="1">
      <c r="A79529" s="7"/>
      <c r="B79529" s="7"/>
    </row>
    <row r="79530" ht="15.75" customHeight="1">
      <c r="A79530" s="7"/>
      <c r="B79530" s="7"/>
    </row>
    <row r="79531" ht="15.75" customHeight="1">
      <c r="A79531" s="7"/>
      <c r="B79531" s="7"/>
    </row>
    <row r="79532" ht="15.75" customHeight="1">
      <c r="A79532" s="7"/>
      <c r="B79532" s="7"/>
    </row>
    <row r="79533" ht="15.75" customHeight="1">
      <c r="A79533" s="7"/>
      <c r="B79533" s="7"/>
    </row>
    <row r="79534" ht="15.75" customHeight="1">
      <c r="A79534" s="7"/>
      <c r="B79534" s="7"/>
    </row>
    <row r="79535" ht="15.75" customHeight="1">
      <c r="A79535" s="7"/>
      <c r="B79535" s="7"/>
    </row>
    <row r="79536" ht="15.75" customHeight="1">
      <c r="A79536" s="7"/>
      <c r="B79536" s="7"/>
    </row>
    <row r="79537" ht="15.75" customHeight="1">
      <c r="A79537" s="7"/>
      <c r="B79537" s="7"/>
    </row>
    <row r="79538" ht="15.75" customHeight="1">
      <c r="A79538" s="7"/>
      <c r="B79538" s="7"/>
    </row>
    <row r="79539" ht="15.75" customHeight="1">
      <c r="A79539" s="7"/>
      <c r="B79539" s="7"/>
    </row>
    <row r="79540" ht="15.75" customHeight="1">
      <c r="A79540" s="7"/>
      <c r="B79540" s="7"/>
    </row>
    <row r="79541" ht="15.75" customHeight="1">
      <c r="A79541" s="7"/>
      <c r="B79541" s="7"/>
    </row>
    <row r="79542" ht="15.75" customHeight="1">
      <c r="A79542" s="7"/>
      <c r="B79542" s="7"/>
    </row>
    <row r="79543" ht="15.75" customHeight="1">
      <c r="A79543" s="7"/>
      <c r="B79543" s="7"/>
    </row>
    <row r="79544" ht="15.75" customHeight="1">
      <c r="A79544" s="7"/>
      <c r="B79544" s="7"/>
    </row>
    <row r="79545" ht="15.75" customHeight="1">
      <c r="A79545" s="7"/>
      <c r="B79545" s="7"/>
    </row>
    <row r="79546" ht="15.75" customHeight="1">
      <c r="A79546" s="7"/>
      <c r="B79546" s="7"/>
    </row>
    <row r="79547" ht="15.75" customHeight="1">
      <c r="A79547" s="7"/>
      <c r="B79547" s="7"/>
    </row>
    <row r="79548" ht="15.75" customHeight="1">
      <c r="A79548" s="7"/>
      <c r="B79548" s="7"/>
    </row>
    <row r="79549" ht="15.75" customHeight="1">
      <c r="A79549" s="7"/>
      <c r="B79549" s="7"/>
    </row>
    <row r="79550" ht="15.75" customHeight="1">
      <c r="A79550" s="7"/>
      <c r="B79550" s="7"/>
    </row>
    <row r="79551" ht="15.75" customHeight="1">
      <c r="A79551" s="7"/>
      <c r="B79551" s="7"/>
    </row>
    <row r="79552" ht="15.75" customHeight="1">
      <c r="A79552" s="7"/>
      <c r="B79552" s="7"/>
    </row>
    <row r="79553" ht="15.75" customHeight="1">
      <c r="A79553" s="7"/>
      <c r="B79553" s="7"/>
    </row>
    <row r="79554" ht="15.75" customHeight="1">
      <c r="A79554" s="7"/>
      <c r="B79554" s="7"/>
    </row>
    <row r="79555" ht="15.75" customHeight="1">
      <c r="A79555" s="7"/>
      <c r="B79555" s="7"/>
    </row>
    <row r="79556" ht="15.75" customHeight="1">
      <c r="A79556" s="7"/>
      <c r="B79556" s="7"/>
    </row>
    <row r="79557" ht="15.75" customHeight="1">
      <c r="A79557" s="7"/>
      <c r="B79557" s="7"/>
    </row>
    <row r="79558" ht="15.75" customHeight="1">
      <c r="A79558" s="7"/>
      <c r="B79558" s="7"/>
    </row>
    <row r="79559" ht="15.75" customHeight="1">
      <c r="A79559" s="7"/>
      <c r="B79559" s="7"/>
    </row>
    <row r="79560" ht="15.75" customHeight="1">
      <c r="A79560" s="7"/>
      <c r="B79560" s="7"/>
    </row>
    <row r="79561" ht="15.75" customHeight="1">
      <c r="A79561" s="7"/>
      <c r="B79561" s="7"/>
    </row>
    <row r="79562" ht="15.75" customHeight="1">
      <c r="A79562" s="7"/>
      <c r="B79562" s="7"/>
    </row>
    <row r="79563" ht="15.75" customHeight="1">
      <c r="A79563" s="7"/>
      <c r="B79563" s="7"/>
    </row>
    <row r="79564" ht="15.75" customHeight="1">
      <c r="A79564" s="7"/>
      <c r="B79564" s="7"/>
    </row>
    <row r="79565" ht="15.75" customHeight="1">
      <c r="A79565" s="7"/>
      <c r="B79565" s="7"/>
    </row>
    <row r="79566" ht="15.75" customHeight="1">
      <c r="A79566" s="7"/>
      <c r="B79566" s="7"/>
    </row>
    <row r="79567" ht="15.75" customHeight="1">
      <c r="A79567" s="7"/>
      <c r="B79567" s="7"/>
    </row>
    <row r="79568" ht="15.75" customHeight="1">
      <c r="A79568" s="7"/>
      <c r="B79568" s="7"/>
    </row>
    <row r="79569" ht="15.75" customHeight="1">
      <c r="A79569" s="7"/>
      <c r="B79569" s="7"/>
    </row>
    <row r="79570" ht="15.75" customHeight="1">
      <c r="A79570" s="7"/>
      <c r="B79570" s="7"/>
    </row>
    <row r="79571" ht="15.75" customHeight="1">
      <c r="A79571" s="7"/>
      <c r="B79571" s="7"/>
    </row>
    <row r="79572" ht="15.75" customHeight="1">
      <c r="A79572" s="7"/>
      <c r="B79572" s="7"/>
    </row>
    <row r="79573" ht="15.75" customHeight="1">
      <c r="A79573" s="7"/>
      <c r="B79573" s="7"/>
    </row>
    <row r="79574" ht="15.75" customHeight="1">
      <c r="A79574" s="7"/>
      <c r="B79574" s="7"/>
    </row>
    <row r="79575" ht="15.75" customHeight="1">
      <c r="A79575" s="7"/>
      <c r="B79575" s="7"/>
    </row>
    <row r="79576" ht="15.75" customHeight="1">
      <c r="A79576" s="7"/>
      <c r="B79576" s="7"/>
    </row>
    <row r="79577" ht="15.75" customHeight="1">
      <c r="A79577" s="7"/>
      <c r="B79577" s="7"/>
    </row>
    <row r="79578" ht="15.75" customHeight="1">
      <c r="A79578" s="7"/>
      <c r="B79578" s="7"/>
    </row>
    <row r="79579" ht="15.75" customHeight="1">
      <c r="A79579" s="7"/>
      <c r="B79579" s="7"/>
    </row>
    <row r="79580" ht="15.75" customHeight="1">
      <c r="A79580" s="7"/>
      <c r="B79580" s="7"/>
    </row>
    <row r="79581" ht="15.75" customHeight="1">
      <c r="A79581" s="7"/>
      <c r="B79581" s="7"/>
    </row>
    <row r="79582" ht="15.75" customHeight="1">
      <c r="A79582" s="7"/>
      <c r="B79582" s="7"/>
    </row>
    <row r="79583" ht="15.75" customHeight="1">
      <c r="A79583" s="7"/>
      <c r="B79583" s="7"/>
    </row>
    <row r="79584" ht="15.75" customHeight="1">
      <c r="A79584" s="7"/>
      <c r="B79584" s="7"/>
    </row>
    <row r="79585" ht="15.75" customHeight="1">
      <c r="A79585" s="7"/>
      <c r="B79585" s="7"/>
    </row>
    <row r="79586" ht="15.75" customHeight="1">
      <c r="A79586" s="7"/>
      <c r="B79586" s="7"/>
    </row>
    <row r="79587" ht="15.75" customHeight="1">
      <c r="A79587" s="7"/>
      <c r="B79587" s="7"/>
    </row>
    <row r="79588" ht="15.75" customHeight="1">
      <c r="A79588" s="7"/>
      <c r="B79588" s="7"/>
    </row>
    <row r="79589" ht="15.75" customHeight="1">
      <c r="A79589" s="7"/>
      <c r="B79589" s="7"/>
    </row>
    <row r="79590" ht="15.75" customHeight="1">
      <c r="A79590" s="7"/>
      <c r="B79590" s="7"/>
    </row>
    <row r="79591" ht="15.75" customHeight="1">
      <c r="A79591" s="7"/>
      <c r="B79591" s="7"/>
    </row>
    <row r="79592" ht="15.75" customHeight="1">
      <c r="A79592" s="7"/>
      <c r="B79592" s="7"/>
    </row>
    <row r="79593" ht="15.75" customHeight="1">
      <c r="A79593" s="7"/>
      <c r="B79593" s="7"/>
    </row>
    <row r="79594" ht="15.75" customHeight="1">
      <c r="A79594" s="7"/>
      <c r="B79594" s="7"/>
    </row>
    <row r="79595" ht="15.75" customHeight="1">
      <c r="A79595" s="7"/>
      <c r="B79595" s="7"/>
    </row>
    <row r="79596" ht="15.75" customHeight="1">
      <c r="A79596" s="7"/>
      <c r="B79596" s="7"/>
    </row>
    <row r="79597" ht="15.75" customHeight="1">
      <c r="A79597" s="7"/>
      <c r="B79597" s="7"/>
    </row>
    <row r="79598" ht="15.75" customHeight="1">
      <c r="A79598" s="7"/>
      <c r="B79598" s="7"/>
    </row>
    <row r="79599" ht="15.75" customHeight="1">
      <c r="A79599" s="7"/>
      <c r="B79599" s="7"/>
    </row>
    <row r="79600" ht="15.75" customHeight="1">
      <c r="A79600" s="7"/>
      <c r="B79600" s="7"/>
    </row>
    <row r="79601" ht="15.75" customHeight="1">
      <c r="A79601" s="7"/>
      <c r="B79601" s="7"/>
    </row>
    <row r="79602" ht="15.75" customHeight="1">
      <c r="A79602" s="7"/>
      <c r="B79602" s="7"/>
    </row>
    <row r="79603" ht="15.75" customHeight="1">
      <c r="A79603" s="7"/>
      <c r="B79603" s="7"/>
    </row>
    <row r="79604" ht="15.75" customHeight="1">
      <c r="A79604" s="7"/>
      <c r="B79604" s="7"/>
    </row>
    <row r="79605" ht="15.75" customHeight="1">
      <c r="A79605" s="7"/>
      <c r="B79605" s="7"/>
    </row>
    <row r="79606" ht="15.75" customHeight="1">
      <c r="A79606" s="7"/>
      <c r="B79606" s="7"/>
    </row>
    <row r="79607" ht="15.75" customHeight="1">
      <c r="A79607" s="7"/>
      <c r="B79607" s="7"/>
    </row>
    <row r="79608" ht="15.75" customHeight="1">
      <c r="A79608" s="7"/>
      <c r="B79608" s="7"/>
    </row>
    <row r="79609" ht="15.75" customHeight="1">
      <c r="A79609" s="7"/>
      <c r="B79609" s="7"/>
    </row>
    <row r="79610" ht="15.75" customHeight="1">
      <c r="A79610" s="7"/>
      <c r="B79610" s="7"/>
    </row>
    <row r="79611" ht="15.75" customHeight="1">
      <c r="A79611" s="7"/>
      <c r="B79611" s="7"/>
    </row>
    <row r="79612" ht="15.75" customHeight="1">
      <c r="A79612" s="7"/>
      <c r="B79612" s="7"/>
    </row>
    <row r="79613" ht="15.75" customHeight="1">
      <c r="A79613" s="7"/>
      <c r="B79613" s="7"/>
    </row>
    <row r="79614" ht="15.75" customHeight="1">
      <c r="A79614" s="7"/>
      <c r="B79614" s="7"/>
    </row>
    <row r="79615" ht="15.75" customHeight="1">
      <c r="A79615" s="7"/>
      <c r="B79615" s="7"/>
    </row>
    <row r="79616" ht="15.75" customHeight="1">
      <c r="A79616" s="7"/>
      <c r="B79616" s="7"/>
    </row>
    <row r="79617" ht="15.75" customHeight="1">
      <c r="A79617" s="7"/>
      <c r="B79617" s="7"/>
    </row>
    <row r="79618" ht="15.75" customHeight="1">
      <c r="A79618" s="7"/>
      <c r="B79618" s="7"/>
    </row>
    <row r="79619" ht="15.75" customHeight="1">
      <c r="A79619" s="7"/>
      <c r="B79619" s="7"/>
    </row>
    <row r="79620" ht="15.75" customHeight="1">
      <c r="A79620" s="7"/>
      <c r="B79620" s="7"/>
    </row>
    <row r="79621" ht="15.75" customHeight="1">
      <c r="A79621" s="7"/>
      <c r="B79621" s="7"/>
    </row>
    <row r="79622" ht="15.75" customHeight="1">
      <c r="A79622" s="7"/>
      <c r="B79622" s="7"/>
    </row>
    <row r="79623" ht="15.75" customHeight="1">
      <c r="A79623" s="7"/>
      <c r="B79623" s="7"/>
    </row>
    <row r="79624" ht="15.75" customHeight="1">
      <c r="A79624" s="7"/>
      <c r="B79624" s="7"/>
    </row>
    <row r="79625" ht="15.75" customHeight="1">
      <c r="A79625" s="7"/>
      <c r="B79625" s="7"/>
    </row>
    <row r="79626" ht="15.75" customHeight="1">
      <c r="A79626" s="7"/>
      <c r="B79626" s="7"/>
    </row>
    <row r="79627" ht="15.75" customHeight="1">
      <c r="A79627" s="7"/>
      <c r="B79627" s="7"/>
    </row>
    <row r="79628" ht="15.75" customHeight="1">
      <c r="A79628" s="7"/>
      <c r="B79628" s="7"/>
    </row>
    <row r="79629" ht="15.75" customHeight="1">
      <c r="A79629" s="7"/>
      <c r="B79629" s="7"/>
    </row>
    <row r="79630" ht="15.75" customHeight="1">
      <c r="A79630" s="7"/>
      <c r="B79630" s="7"/>
    </row>
    <row r="79631" ht="15.75" customHeight="1">
      <c r="A79631" s="7"/>
      <c r="B79631" s="7"/>
    </row>
    <row r="79632" ht="15.75" customHeight="1">
      <c r="A79632" s="7"/>
      <c r="B79632" s="7"/>
    </row>
    <row r="79633" ht="15.75" customHeight="1">
      <c r="A79633" s="7"/>
      <c r="B79633" s="7"/>
    </row>
    <row r="79634" ht="15.75" customHeight="1">
      <c r="A79634" s="7"/>
      <c r="B79634" s="7"/>
    </row>
    <row r="79635" ht="15.75" customHeight="1">
      <c r="A79635" s="7"/>
      <c r="B79635" s="7"/>
    </row>
    <row r="79636" ht="15.75" customHeight="1">
      <c r="A79636" s="7"/>
      <c r="B79636" s="7"/>
    </row>
    <row r="79637" ht="15.75" customHeight="1">
      <c r="A79637" s="7"/>
      <c r="B79637" s="7"/>
    </row>
    <row r="79638" ht="15.75" customHeight="1">
      <c r="A79638" s="7"/>
      <c r="B79638" s="7"/>
    </row>
    <row r="79639" ht="15.75" customHeight="1">
      <c r="A79639" s="7"/>
      <c r="B79639" s="7"/>
    </row>
    <row r="79640" ht="15.75" customHeight="1">
      <c r="A79640" s="7"/>
      <c r="B79640" s="7"/>
    </row>
    <row r="79641" ht="15.75" customHeight="1">
      <c r="A79641" s="7"/>
      <c r="B79641" s="7"/>
    </row>
    <row r="79642" ht="15.75" customHeight="1">
      <c r="A79642" s="7"/>
      <c r="B79642" s="7"/>
    </row>
    <row r="79643" ht="15.75" customHeight="1">
      <c r="A79643" s="7"/>
      <c r="B79643" s="7"/>
    </row>
    <row r="79644" ht="15.75" customHeight="1">
      <c r="A79644" s="7"/>
      <c r="B79644" s="7"/>
    </row>
    <row r="79645" ht="15.75" customHeight="1">
      <c r="A79645" s="7"/>
      <c r="B79645" s="7"/>
    </row>
    <row r="79646" ht="15.75" customHeight="1">
      <c r="A79646" s="7"/>
      <c r="B79646" s="7"/>
    </row>
    <row r="79647" ht="15.75" customHeight="1">
      <c r="A79647" s="7"/>
      <c r="B79647" s="7"/>
    </row>
    <row r="79648" ht="15.75" customHeight="1">
      <c r="A79648" s="7"/>
      <c r="B79648" s="7"/>
    </row>
    <row r="79649" ht="15.75" customHeight="1">
      <c r="A79649" s="7"/>
      <c r="B79649" s="7"/>
    </row>
    <row r="79650" ht="15.75" customHeight="1">
      <c r="A79650" s="7"/>
      <c r="B79650" s="7"/>
    </row>
    <row r="79651" ht="15.75" customHeight="1">
      <c r="A79651" s="7"/>
      <c r="B79651" s="7"/>
    </row>
    <row r="79652" ht="15.75" customHeight="1">
      <c r="A79652" s="7"/>
      <c r="B79652" s="7"/>
    </row>
    <row r="79653" ht="15.75" customHeight="1">
      <c r="A79653" s="7"/>
      <c r="B79653" s="7"/>
    </row>
    <row r="79654" ht="15.75" customHeight="1">
      <c r="A79654" s="7"/>
      <c r="B79654" s="7"/>
    </row>
    <row r="79655" ht="15.75" customHeight="1">
      <c r="A79655" s="7"/>
      <c r="B79655" s="7"/>
    </row>
    <row r="79656" ht="15.75" customHeight="1">
      <c r="A79656" s="7"/>
      <c r="B79656" s="7"/>
    </row>
    <row r="79657" ht="15.75" customHeight="1">
      <c r="A79657" s="7"/>
      <c r="B79657" s="7"/>
    </row>
    <row r="79658" ht="15.75" customHeight="1">
      <c r="A79658" s="7"/>
      <c r="B79658" s="7"/>
    </row>
    <row r="79659" ht="15.75" customHeight="1">
      <c r="A79659" s="7"/>
      <c r="B79659" s="7"/>
    </row>
    <row r="79660" ht="15.75" customHeight="1">
      <c r="A79660" s="7"/>
      <c r="B79660" s="7"/>
    </row>
    <row r="79661" ht="15.75" customHeight="1">
      <c r="A79661" s="7"/>
      <c r="B79661" s="7"/>
    </row>
    <row r="79662" ht="15.75" customHeight="1">
      <c r="A79662" s="7"/>
      <c r="B79662" s="7"/>
    </row>
    <row r="79663" ht="15.75" customHeight="1">
      <c r="A79663" s="7"/>
      <c r="B79663" s="7"/>
    </row>
    <row r="79664" ht="15.75" customHeight="1">
      <c r="A79664" s="7"/>
      <c r="B79664" s="7"/>
    </row>
    <row r="79665" ht="15.75" customHeight="1">
      <c r="A79665" s="7"/>
      <c r="B79665" s="7"/>
    </row>
    <row r="79666" ht="15.75" customHeight="1">
      <c r="A79666" s="7"/>
      <c r="B79666" s="7"/>
    </row>
    <row r="79667" ht="15.75" customHeight="1">
      <c r="A79667" s="7"/>
      <c r="B79667" s="7"/>
    </row>
    <row r="79668" ht="15.75" customHeight="1">
      <c r="A79668" s="7"/>
      <c r="B79668" s="7"/>
    </row>
    <row r="79669" ht="15.75" customHeight="1">
      <c r="A79669" s="7"/>
      <c r="B79669" s="7"/>
    </row>
    <row r="79670" ht="15.75" customHeight="1">
      <c r="A79670" s="7"/>
      <c r="B79670" s="7"/>
    </row>
    <row r="79671" ht="15.75" customHeight="1">
      <c r="A79671" s="7"/>
      <c r="B79671" s="7"/>
    </row>
    <row r="79672" ht="15.75" customHeight="1">
      <c r="A79672" s="7"/>
      <c r="B79672" s="7"/>
    </row>
    <row r="79673" ht="15.75" customHeight="1">
      <c r="A79673" s="7"/>
      <c r="B79673" s="7"/>
    </row>
    <row r="79674" ht="15.75" customHeight="1">
      <c r="A79674" s="7"/>
      <c r="B79674" s="7"/>
    </row>
    <row r="79675" ht="15.75" customHeight="1">
      <c r="A79675" s="7"/>
      <c r="B79675" s="7"/>
    </row>
    <row r="79676" ht="15.75" customHeight="1">
      <c r="A79676" s="7"/>
      <c r="B79676" s="7"/>
    </row>
    <row r="79677" ht="15.75" customHeight="1">
      <c r="A79677" s="7"/>
      <c r="B79677" s="7"/>
    </row>
    <row r="79678" ht="15.75" customHeight="1">
      <c r="A79678" s="7"/>
      <c r="B79678" s="7"/>
    </row>
    <row r="79679" ht="15.75" customHeight="1">
      <c r="A79679" s="7"/>
      <c r="B79679" s="7"/>
    </row>
    <row r="79680" ht="15.75" customHeight="1">
      <c r="A79680" s="7"/>
      <c r="B79680" s="7"/>
    </row>
    <row r="79681" ht="15.75" customHeight="1">
      <c r="A79681" s="7"/>
      <c r="B79681" s="7"/>
    </row>
    <row r="79682" ht="15.75" customHeight="1">
      <c r="A79682" s="7"/>
      <c r="B79682" s="7"/>
    </row>
    <row r="79683" ht="15.75" customHeight="1">
      <c r="A79683" s="7"/>
      <c r="B79683" s="7"/>
    </row>
    <row r="79684" ht="15.75" customHeight="1">
      <c r="A79684" s="7"/>
      <c r="B79684" s="7"/>
    </row>
    <row r="79685" ht="15.75" customHeight="1">
      <c r="A79685" s="7"/>
      <c r="B79685" s="7"/>
    </row>
    <row r="79686" ht="15.75" customHeight="1">
      <c r="A79686" s="7"/>
      <c r="B79686" s="7"/>
    </row>
    <row r="79687" ht="15.75" customHeight="1">
      <c r="A79687" s="7"/>
      <c r="B79687" s="7"/>
    </row>
    <row r="79688" ht="15.75" customHeight="1">
      <c r="A79688" s="7"/>
      <c r="B79688" s="7"/>
    </row>
    <row r="79689" ht="15.75" customHeight="1">
      <c r="A79689" s="7"/>
      <c r="B79689" s="7"/>
    </row>
    <row r="79690" ht="15.75" customHeight="1">
      <c r="A79690" s="7"/>
      <c r="B79690" s="7"/>
    </row>
    <row r="79691" ht="15.75" customHeight="1">
      <c r="A79691" s="7"/>
      <c r="B79691" s="7"/>
    </row>
    <row r="79692" ht="15.75" customHeight="1">
      <c r="A79692" s="7"/>
      <c r="B79692" s="7"/>
    </row>
    <row r="79693" ht="15.75" customHeight="1">
      <c r="A79693" s="7"/>
      <c r="B79693" s="7"/>
    </row>
    <row r="79694" ht="15.75" customHeight="1">
      <c r="A79694" s="7"/>
      <c r="B79694" s="7"/>
    </row>
    <row r="79695" ht="15.75" customHeight="1">
      <c r="A79695" s="7"/>
      <c r="B79695" s="7"/>
    </row>
    <row r="79696" ht="15.75" customHeight="1">
      <c r="A79696" s="7"/>
      <c r="B79696" s="7"/>
    </row>
    <row r="79697" ht="15.75" customHeight="1">
      <c r="A79697" s="7"/>
      <c r="B79697" s="7"/>
    </row>
    <row r="79698" ht="15.75" customHeight="1">
      <c r="A79698" s="7"/>
      <c r="B79698" s="7"/>
    </row>
    <row r="79699" ht="15.75" customHeight="1">
      <c r="A79699" s="7"/>
      <c r="B79699" s="7"/>
    </row>
    <row r="79700" ht="15.75" customHeight="1">
      <c r="A79700" s="7"/>
      <c r="B79700" s="7"/>
    </row>
    <row r="79701" ht="15.75" customHeight="1">
      <c r="A79701" s="7"/>
      <c r="B79701" s="7"/>
    </row>
    <row r="79702" ht="15.75" customHeight="1">
      <c r="A79702" s="7"/>
      <c r="B79702" s="7"/>
    </row>
    <row r="79703" ht="15.75" customHeight="1">
      <c r="A79703" s="7"/>
      <c r="B79703" s="7"/>
    </row>
    <row r="79704" ht="15.75" customHeight="1">
      <c r="A79704" s="7"/>
      <c r="B79704" s="7"/>
    </row>
    <row r="79705" ht="15.75" customHeight="1">
      <c r="A79705" s="7"/>
      <c r="B79705" s="7"/>
    </row>
    <row r="79706" ht="15.75" customHeight="1">
      <c r="A79706" s="7"/>
      <c r="B79706" s="7"/>
    </row>
    <row r="79707" ht="15.75" customHeight="1">
      <c r="A79707" s="7"/>
      <c r="B79707" s="7"/>
    </row>
    <row r="79708" ht="15.75" customHeight="1">
      <c r="A79708" s="7"/>
      <c r="B79708" s="7"/>
    </row>
    <row r="79709" ht="15.75" customHeight="1">
      <c r="A79709" s="7"/>
      <c r="B79709" s="7"/>
    </row>
    <row r="79710" ht="15.75" customHeight="1">
      <c r="A79710" s="7"/>
      <c r="B79710" s="7"/>
    </row>
    <row r="79711" ht="15.75" customHeight="1">
      <c r="A79711" s="7"/>
      <c r="B79711" s="7"/>
    </row>
    <row r="79712" ht="15.75" customHeight="1">
      <c r="A79712" s="7"/>
      <c r="B79712" s="7"/>
    </row>
    <row r="79713" ht="15.75" customHeight="1">
      <c r="A79713" s="7"/>
      <c r="B79713" s="7"/>
    </row>
    <row r="79714" ht="15.75" customHeight="1">
      <c r="A79714" s="7"/>
      <c r="B79714" s="7"/>
    </row>
    <row r="79715" ht="15.75" customHeight="1">
      <c r="A79715" s="7"/>
      <c r="B79715" s="7"/>
    </row>
    <row r="79716" ht="15.75" customHeight="1">
      <c r="A79716" s="7"/>
      <c r="B79716" s="7"/>
    </row>
    <row r="79717" ht="15.75" customHeight="1">
      <c r="A79717" s="7"/>
      <c r="B79717" s="7"/>
    </row>
    <row r="79718" ht="15.75" customHeight="1">
      <c r="A79718" s="7"/>
      <c r="B79718" s="7"/>
    </row>
    <row r="79719" ht="15.75" customHeight="1">
      <c r="A79719" s="7"/>
      <c r="B79719" s="7"/>
    </row>
    <row r="79720" ht="15.75" customHeight="1">
      <c r="A79720" s="7"/>
      <c r="B79720" s="7"/>
    </row>
    <row r="79721" ht="15.75" customHeight="1">
      <c r="A79721" s="7"/>
      <c r="B79721" s="7"/>
    </row>
    <row r="79722" ht="15.75" customHeight="1">
      <c r="A79722" s="7"/>
      <c r="B79722" s="7"/>
    </row>
    <row r="79723" ht="15.75" customHeight="1">
      <c r="A79723" s="7"/>
      <c r="B79723" s="7"/>
    </row>
    <row r="79724" ht="15.75" customHeight="1">
      <c r="A79724" s="7"/>
      <c r="B79724" s="7"/>
    </row>
    <row r="79725" ht="15.75" customHeight="1">
      <c r="A79725" s="7"/>
      <c r="B79725" s="7"/>
    </row>
    <row r="79726" ht="15.75" customHeight="1">
      <c r="A79726" s="7"/>
      <c r="B79726" s="7"/>
    </row>
    <row r="79727" ht="15.75" customHeight="1">
      <c r="A79727" s="7"/>
      <c r="B79727" s="7"/>
    </row>
    <row r="79728" ht="15.75" customHeight="1">
      <c r="A79728" s="7"/>
      <c r="B79728" s="7"/>
    </row>
    <row r="79729" ht="15.75" customHeight="1">
      <c r="A79729" s="7"/>
      <c r="B79729" s="7"/>
    </row>
    <row r="79730" ht="15.75" customHeight="1">
      <c r="A79730" s="7"/>
      <c r="B79730" s="7"/>
    </row>
    <row r="79731" ht="15.75" customHeight="1">
      <c r="A79731" s="7"/>
      <c r="B79731" s="7"/>
    </row>
    <row r="79732" ht="15.75" customHeight="1">
      <c r="A79732" s="7"/>
      <c r="B79732" s="7"/>
    </row>
    <row r="79733" ht="15.75" customHeight="1">
      <c r="A79733" s="7"/>
      <c r="B79733" s="7"/>
    </row>
    <row r="79734" ht="15.75" customHeight="1">
      <c r="A79734" s="7"/>
      <c r="B79734" s="7"/>
    </row>
    <row r="79735" ht="15.75" customHeight="1">
      <c r="A79735" s="7"/>
      <c r="B79735" s="7"/>
    </row>
    <row r="79736" ht="15.75" customHeight="1">
      <c r="A79736" s="7"/>
      <c r="B79736" s="7"/>
    </row>
    <row r="79737" ht="15.75" customHeight="1">
      <c r="A79737" s="7"/>
      <c r="B79737" s="7"/>
    </row>
    <row r="79738" ht="15.75" customHeight="1">
      <c r="A79738" s="7"/>
      <c r="B79738" s="7"/>
    </row>
    <row r="79739" ht="15.75" customHeight="1">
      <c r="A79739" s="7"/>
      <c r="B79739" s="7"/>
    </row>
    <row r="79740" ht="15.75" customHeight="1">
      <c r="A79740" s="7"/>
      <c r="B79740" s="7"/>
    </row>
    <row r="79741" ht="15.75" customHeight="1">
      <c r="A79741" s="7"/>
      <c r="B79741" s="7"/>
    </row>
    <row r="79742" ht="15.75" customHeight="1">
      <c r="A79742" s="7"/>
      <c r="B79742" s="7"/>
    </row>
    <row r="79743" ht="15.75" customHeight="1">
      <c r="A79743" s="7"/>
      <c r="B79743" s="7"/>
    </row>
    <row r="79744" ht="15.75" customHeight="1">
      <c r="A79744" s="7"/>
      <c r="B79744" s="7"/>
    </row>
    <row r="79745" ht="15.75" customHeight="1">
      <c r="A79745" s="7"/>
      <c r="B79745" s="7"/>
    </row>
    <row r="79746" ht="15.75" customHeight="1">
      <c r="A79746" s="7"/>
      <c r="B79746" s="7"/>
    </row>
    <row r="79747" ht="15.75" customHeight="1">
      <c r="A79747" s="7"/>
      <c r="B79747" s="7"/>
    </row>
    <row r="79748" ht="15.75" customHeight="1">
      <c r="A79748" s="7"/>
      <c r="B79748" s="7"/>
    </row>
    <row r="79749" ht="15.75" customHeight="1">
      <c r="A79749" s="7"/>
      <c r="B79749" s="7"/>
    </row>
    <row r="79750" ht="15.75" customHeight="1">
      <c r="A79750" s="7"/>
      <c r="B79750" s="7"/>
    </row>
    <row r="79751" ht="15.75" customHeight="1">
      <c r="A79751" s="7"/>
      <c r="B79751" s="7"/>
    </row>
    <row r="79752" ht="15.75" customHeight="1">
      <c r="A79752" s="7"/>
      <c r="B79752" s="7"/>
    </row>
    <row r="79753" ht="15.75" customHeight="1">
      <c r="A79753" s="7"/>
      <c r="B79753" s="7"/>
    </row>
    <row r="79754" ht="15.75" customHeight="1">
      <c r="A79754" s="7"/>
      <c r="B79754" s="7"/>
    </row>
    <row r="79755" ht="15.75" customHeight="1">
      <c r="A79755" s="7"/>
      <c r="B79755" s="7"/>
    </row>
    <row r="79756" ht="15.75" customHeight="1">
      <c r="A79756" s="7"/>
      <c r="B79756" s="7"/>
    </row>
    <row r="79757" ht="15.75" customHeight="1">
      <c r="A79757" s="7"/>
      <c r="B79757" s="7"/>
    </row>
    <row r="79758" ht="15.75" customHeight="1">
      <c r="A79758" s="7"/>
      <c r="B79758" s="7"/>
    </row>
    <row r="79759" ht="15.75" customHeight="1">
      <c r="A79759" s="7"/>
      <c r="B79759" s="7"/>
    </row>
    <row r="79760" ht="15.75" customHeight="1">
      <c r="A79760" s="7"/>
      <c r="B79760" s="7"/>
    </row>
    <row r="79761" ht="15.75" customHeight="1">
      <c r="A79761" s="7"/>
      <c r="B79761" s="7"/>
    </row>
    <row r="79762" ht="15.75" customHeight="1">
      <c r="A79762" s="7"/>
      <c r="B79762" s="7"/>
    </row>
    <row r="79763" ht="15.75" customHeight="1">
      <c r="A79763" s="7"/>
      <c r="B79763" s="7"/>
    </row>
    <row r="79764" ht="15.75" customHeight="1">
      <c r="A79764" s="7"/>
      <c r="B79764" s="7"/>
    </row>
    <row r="79765" ht="15.75" customHeight="1">
      <c r="A79765" s="7"/>
      <c r="B79765" s="7"/>
    </row>
    <row r="79766" ht="15.75" customHeight="1">
      <c r="A79766" s="7"/>
      <c r="B79766" s="7"/>
    </row>
    <row r="79767" ht="15.75" customHeight="1">
      <c r="A79767" s="7"/>
      <c r="B79767" s="7"/>
    </row>
    <row r="79768" ht="15.75" customHeight="1">
      <c r="A79768" s="7"/>
      <c r="B79768" s="7"/>
    </row>
    <row r="79769" ht="15.75" customHeight="1">
      <c r="A79769" s="7"/>
      <c r="B79769" s="7"/>
    </row>
    <row r="79770" ht="15.75" customHeight="1">
      <c r="A79770" s="7"/>
      <c r="B79770" s="7"/>
    </row>
    <row r="79771" ht="15.75" customHeight="1">
      <c r="A79771" s="7"/>
      <c r="B79771" s="7"/>
    </row>
    <row r="79772" ht="15.75" customHeight="1">
      <c r="A79772" s="7"/>
      <c r="B79772" s="7"/>
    </row>
    <row r="79773" ht="15.75" customHeight="1">
      <c r="A79773" s="7"/>
      <c r="B79773" s="7"/>
    </row>
    <row r="79774" ht="15.75" customHeight="1">
      <c r="A79774" s="7"/>
      <c r="B79774" s="7"/>
    </row>
    <row r="79775" ht="15.75" customHeight="1">
      <c r="A79775" s="7"/>
      <c r="B79775" s="7"/>
    </row>
    <row r="79776" ht="15.75" customHeight="1">
      <c r="A79776" s="7"/>
      <c r="B79776" s="7"/>
    </row>
    <row r="79777" ht="15.75" customHeight="1">
      <c r="A79777" s="7"/>
      <c r="B79777" s="7"/>
    </row>
    <row r="79778" ht="15.75" customHeight="1">
      <c r="A79778" s="7"/>
      <c r="B79778" s="7"/>
    </row>
    <row r="79779" ht="15.75" customHeight="1">
      <c r="A79779" s="7"/>
      <c r="B79779" s="7"/>
    </row>
    <row r="79780" ht="15.75" customHeight="1">
      <c r="A79780" s="7"/>
      <c r="B79780" s="7"/>
    </row>
    <row r="79781" ht="15.75" customHeight="1">
      <c r="A79781" s="7"/>
      <c r="B79781" s="7"/>
    </row>
    <row r="79782" ht="15.75" customHeight="1">
      <c r="A79782" s="7"/>
      <c r="B79782" s="7"/>
    </row>
    <row r="79783" ht="15.75" customHeight="1">
      <c r="A79783" s="7"/>
      <c r="B79783" s="7"/>
    </row>
    <row r="79784" ht="15.75" customHeight="1">
      <c r="A79784" s="7"/>
      <c r="B79784" s="7"/>
    </row>
    <row r="79785" ht="15.75" customHeight="1">
      <c r="A79785" s="7"/>
      <c r="B79785" s="7"/>
    </row>
    <row r="79786" ht="15.75" customHeight="1">
      <c r="A79786" s="7"/>
      <c r="B79786" s="7"/>
    </row>
    <row r="79787" ht="15.75" customHeight="1">
      <c r="A79787" s="7"/>
      <c r="B79787" s="7"/>
    </row>
    <row r="79788" ht="15.75" customHeight="1">
      <c r="A79788" s="7"/>
      <c r="B79788" s="7"/>
    </row>
    <row r="79789" ht="15.75" customHeight="1">
      <c r="A79789" s="7"/>
      <c r="B79789" s="7"/>
    </row>
    <row r="79790" ht="15.75" customHeight="1">
      <c r="A79790" s="7"/>
      <c r="B79790" s="7"/>
    </row>
    <row r="79791" ht="15.75" customHeight="1">
      <c r="A79791" s="7"/>
      <c r="B79791" s="7"/>
    </row>
    <row r="79792" ht="15.75" customHeight="1">
      <c r="A79792" s="7"/>
      <c r="B79792" s="7"/>
    </row>
    <row r="79793" ht="15.75" customHeight="1">
      <c r="A79793" s="7"/>
      <c r="B79793" s="7"/>
    </row>
    <row r="79794" ht="15.75" customHeight="1">
      <c r="A79794" s="7"/>
      <c r="B79794" s="7"/>
    </row>
    <row r="79795" ht="15.75" customHeight="1">
      <c r="A79795" s="7"/>
      <c r="B79795" s="7"/>
    </row>
    <row r="79796" ht="15.75" customHeight="1">
      <c r="A79796" s="7"/>
      <c r="B79796" s="7"/>
    </row>
    <row r="79797" ht="15.75" customHeight="1">
      <c r="A79797" s="7"/>
      <c r="B79797" s="7"/>
    </row>
    <row r="79798" ht="15.75" customHeight="1">
      <c r="A79798" s="7"/>
      <c r="B79798" s="7"/>
    </row>
    <row r="79799" ht="15.75" customHeight="1">
      <c r="A79799" s="7"/>
      <c r="B79799" s="7"/>
    </row>
    <row r="79800" ht="15.75" customHeight="1">
      <c r="A79800" s="7"/>
      <c r="B79800" s="7"/>
    </row>
    <row r="79801" ht="15.75" customHeight="1">
      <c r="A79801" s="7"/>
      <c r="B79801" s="7"/>
    </row>
    <row r="79802" ht="15.75" customHeight="1">
      <c r="A79802" s="7"/>
      <c r="B79802" s="7"/>
    </row>
    <row r="79803" ht="15.75" customHeight="1">
      <c r="A79803" s="7"/>
      <c r="B79803" s="7"/>
    </row>
    <row r="79804" ht="15.75" customHeight="1">
      <c r="A79804" s="7"/>
      <c r="B79804" s="7"/>
    </row>
    <row r="79805" ht="15.75" customHeight="1">
      <c r="A79805" s="7"/>
      <c r="B79805" s="7"/>
    </row>
    <row r="79806" ht="15.75" customHeight="1">
      <c r="A79806" s="7"/>
      <c r="B79806" s="7"/>
    </row>
    <row r="79807" ht="15.75" customHeight="1">
      <c r="A79807" s="7"/>
      <c r="B79807" s="7"/>
    </row>
    <row r="79808" ht="15.75" customHeight="1">
      <c r="A79808" s="7"/>
      <c r="B79808" s="7"/>
    </row>
    <row r="79809" ht="15.75" customHeight="1">
      <c r="A79809" s="7"/>
      <c r="B79809" s="7"/>
    </row>
    <row r="79810" ht="15.75" customHeight="1">
      <c r="A79810" s="7"/>
      <c r="B79810" s="7"/>
    </row>
    <row r="79811" ht="15.75" customHeight="1">
      <c r="A79811" s="7"/>
      <c r="B79811" s="7"/>
    </row>
    <row r="79812" ht="15.75" customHeight="1">
      <c r="A79812" s="7"/>
      <c r="B79812" s="7"/>
    </row>
    <row r="79813" ht="15.75" customHeight="1">
      <c r="A79813" s="7"/>
      <c r="B79813" s="7"/>
    </row>
    <row r="79814" ht="15.75" customHeight="1">
      <c r="A79814" s="7"/>
      <c r="B79814" s="7"/>
    </row>
    <row r="79815" ht="15.75" customHeight="1">
      <c r="A79815" s="7"/>
      <c r="B79815" s="7"/>
    </row>
    <row r="79816" ht="15.75" customHeight="1">
      <c r="A79816" s="7"/>
      <c r="B79816" s="7"/>
    </row>
    <row r="79817" ht="15.75" customHeight="1">
      <c r="A79817" s="7"/>
      <c r="B79817" s="7"/>
    </row>
    <row r="79818" ht="15.75" customHeight="1">
      <c r="A79818" s="7"/>
      <c r="B79818" s="7"/>
    </row>
    <row r="79819" ht="15.75" customHeight="1">
      <c r="A79819" s="7"/>
      <c r="B79819" s="7"/>
    </row>
    <row r="79820" ht="15.75" customHeight="1">
      <c r="A79820" s="7"/>
      <c r="B79820" s="7"/>
    </row>
    <row r="79821" ht="15.75" customHeight="1">
      <c r="A79821" s="7"/>
      <c r="B79821" s="7"/>
    </row>
    <row r="79822" ht="15.75" customHeight="1">
      <c r="A79822" s="7"/>
      <c r="B79822" s="7"/>
    </row>
    <row r="79823" ht="15.75" customHeight="1">
      <c r="A79823" s="7"/>
      <c r="B79823" s="7"/>
    </row>
    <row r="79824" ht="15.75" customHeight="1">
      <c r="A79824" s="7"/>
      <c r="B79824" s="7"/>
    </row>
    <row r="79825" ht="15.75" customHeight="1">
      <c r="A79825" s="7"/>
      <c r="B79825" s="7"/>
    </row>
    <row r="79826" ht="15.75" customHeight="1">
      <c r="A79826" s="7"/>
      <c r="B79826" s="7"/>
    </row>
    <row r="79827" ht="15.75" customHeight="1">
      <c r="A79827" s="7"/>
      <c r="B79827" s="7"/>
    </row>
    <row r="79828" ht="15.75" customHeight="1">
      <c r="A79828" s="7"/>
      <c r="B79828" s="7"/>
    </row>
    <row r="79829" ht="15.75" customHeight="1">
      <c r="A79829" s="7"/>
      <c r="B79829" s="7"/>
    </row>
    <row r="79830" ht="15.75" customHeight="1">
      <c r="A79830" s="7"/>
      <c r="B79830" s="7"/>
    </row>
    <row r="79831" ht="15.75" customHeight="1">
      <c r="A79831" s="7"/>
      <c r="B79831" s="7"/>
    </row>
    <row r="79832" ht="15.75" customHeight="1">
      <c r="A79832" s="7"/>
      <c r="B79832" s="7"/>
    </row>
    <row r="79833" ht="15.75" customHeight="1">
      <c r="A79833" s="7"/>
      <c r="B79833" s="7"/>
    </row>
    <row r="79834" ht="15.75" customHeight="1">
      <c r="A79834" s="7"/>
      <c r="B79834" s="7"/>
    </row>
    <row r="79835" ht="15.75" customHeight="1">
      <c r="A79835" s="7"/>
      <c r="B79835" s="7"/>
    </row>
    <row r="79836" ht="15.75" customHeight="1">
      <c r="A79836" s="7"/>
      <c r="B79836" s="7"/>
    </row>
    <row r="79837" ht="15.75" customHeight="1">
      <c r="A79837" s="7"/>
      <c r="B79837" s="7"/>
    </row>
    <row r="79838" ht="15.75" customHeight="1">
      <c r="A79838" s="7"/>
      <c r="B79838" s="7"/>
    </row>
    <row r="79839" ht="15.75" customHeight="1">
      <c r="A79839" s="7"/>
      <c r="B79839" s="7"/>
    </row>
    <row r="79840" ht="15.75" customHeight="1">
      <c r="A79840" s="7"/>
      <c r="B79840" s="7"/>
    </row>
    <row r="79841" ht="15.75" customHeight="1">
      <c r="A79841" s="7"/>
      <c r="B79841" s="7"/>
    </row>
    <row r="79842" ht="15.75" customHeight="1">
      <c r="A79842" s="7"/>
      <c r="B79842" s="7"/>
    </row>
    <row r="79843" ht="15.75" customHeight="1">
      <c r="A79843" s="7"/>
      <c r="B79843" s="7"/>
    </row>
    <row r="79844" ht="15.75" customHeight="1">
      <c r="A79844" s="7"/>
      <c r="B79844" s="7"/>
    </row>
    <row r="79845" ht="15.75" customHeight="1">
      <c r="A79845" s="7"/>
      <c r="B79845" s="7"/>
    </row>
    <row r="79846" ht="15.75" customHeight="1">
      <c r="A79846" s="7"/>
      <c r="B79846" s="7"/>
    </row>
    <row r="79847" ht="15.75" customHeight="1">
      <c r="A79847" s="7"/>
      <c r="B79847" s="7"/>
    </row>
    <row r="79848" ht="15.75" customHeight="1">
      <c r="A79848" s="7"/>
      <c r="B79848" s="7"/>
    </row>
    <row r="79849" ht="15.75" customHeight="1">
      <c r="A79849" s="7"/>
      <c r="B79849" s="7"/>
    </row>
    <row r="79850" ht="15.75" customHeight="1">
      <c r="A79850" s="7"/>
      <c r="B79850" s="7"/>
    </row>
    <row r="79851" ht="15.75" customHeight="1">
      <c r="A79851" s="7"/>
      <c r="B79851" s="7"/>
    </row>
    <row r="79852" ht="15.75" customHeight="1">
      <c r="A79852" s="7"/>
      <c r="B79852" s="7"/>
    </row>
    <row r="79853" ht="15.75" customHeight="1">
      <c r="A79853" s="7"/>
      <c r="B79853" s="7"/>
    </row>
    <row r="79854" ht="15.75" customHeight="1">
      <c r="A79854" s="7"/>
      <c r="B79854" s="7"/>
    </row>
    <row r="79855" ht="15.75" customHeight="1">
      <c r="A79855" s="7"/>
      <c r="B79855" s="7"/>
    </row>
    <row r="79856" ht="15.75" customHeight="1">
      <c r="A79856" s="7"/>
      <c r="B79856" s="7"/>
    </row>
    <row r="79857" ht="15.75" customHeight="1">
      <c r="A79857" s="7"/>
      <c r="B79857" s="7"/>
    </row>
    <row r="79858" ht="15.75" customHeight="1">
      <c r="A79858" s="7"/>
      <c r="B79858" s="7"/>
    </row>
    <row r="79859" ht="15.75" customHeight="1">
      <c r="A79859" s="7"/>
      <c r="B79859" s="7"/>
    </row>
    <row r="79860" ht="15.75" customHeight="1">
      <c r="A79860" s="7"/>
      <c r="B79860" s="7"/>
    </row>
    <row r="79861" ht="15.75" customHeight="1">
      <c r="A79861" s="7"/>
      <c r="B79861" s="7"/>
    </row>
    <row r="79862" ht="15.75" customHeight="1">
      <c r="A79862" s="7"/>
      <c r="B79862" s="7"/>
    </row>
    <row r="79863" ht="15.75" customHeight="1">
      <c r="A79863" s="7"/>
      <c r="B79863" s="7"/>
    </row>
    <row r="79864" ht="15.75" customHeight="1">
      <c r="A79864" s="7"/>
      <c r="B79864" s="7"/>
    </row>
    <row r="79865" ht="15.75" customHeight="1">
      <c r="A79865" s="7"/>
      <c r="B79865" s="7"/>
    </row>
    <row r="79866" ht="15.75" customHeight="1">
      <c r="A79866" s="7"/>
      <c r="B79866" s="7"/>
    </row>
    <row r="79867" ht="15.75" customHeight="1">
      <c r="A79867" s="7"/>
      <c r="B79867" s="7"/>
    </row>
    <row r="79868" ht="15.75" customHeight="1">
      <c r="A79868" s="7"/>
      <c r="B79868" s="7"/>
    </row>
    <row r="79869" ht="15.75" customHeight="1">
      <c r="A79869" s="7"/>
      <c r="B79869" s="7"/>
    </row>
    <row r="79870" ht="15.75" customHeight="1">
      <c r="A79870" s="7"/>
      <c r="B79870" s="7"/>
    </row>
    <row r="79871" ht="15.75" customHeight="1">
      <c r="A79871" s="7"/>
      <c r="B79871" s="7"/>
    </row>
    <row r="79872" ht="15.75" customHeight="1">
      <c r="A79872" s="7"/>
      <c r="B79872" s="7"/>
    </row>
    <row r="79873" ht="15.75" customHeight="1">
      <c r="A79873" s="7"/>
      <c r="B79873" s="7"/>
    </row>
    <row r="79874" ht="15.75" customHeight="1">
      <c r="A79874" s="7"/>
      <c r="B79874" s="7"/>
    </row>
    <row r="79875" ht="15.75" customHeight="1">
      <c r="A79875" s="7"/>
      <c r="B79875" s="7"/>
    </row>
    <row r="79876" ht="15.75" customHeight="1">
      <c r="A79876" s="7"/>
      <c r="B79876" s="7"/>
    </row>
    <row r="79877" ht="15.75" customHeight="1">
      <c r="A79877" s="7"/>
      <c r="B79877" s="7"/>
    </row>
    <row r="79878" ht="15.75" customHeight="1">
      <c r="A79878" s="7"/>
      <c r="B79878" s="7"/>
    </row>
    <row r="79879" ht="15.75" customHeight="1">
      <c r="A79879" s="7"/>
      <c r="B79879" s="7"/>
    </row>
    <row r="79880" ht="15.75" customHeight="1">
      <c r="A79880" s="7"/>
      <c r="B79880" s="7"/>
    </row>
    <row r="79881" ht="15.75" customHeight="1">
      <c r="A79881" s="7"/>
      <c r="B79881" s="7"/>
    </row>
    <row r="79882" ht="15.75" customHeight="1">
      <c r="A79882" s="7"/>
      <c r="B79882" s="7"/>
    </row>
    <row r="79883" ht="15.75" customHeight="1">
      <c r="A79883" s="7"/>
      <c r="B79883" s="7"/>
    </row>
    <row r="79884" ht="15.75" customHeight="1">
      <c r="A79884" s="7"/>
      <c r="B79884" s="7"/>
    </row>
    <row r="79885" ht="15.75" customHeight="1">
      <c r="A79885" s="7"/>
      <c r="B79885" s="7"/>
    </row>
    <row r="79886" ht="15.75" customHeight="1">
      <c r="A79886" s="7"/>
      <c r="B79886" s="7"/>
    </row>
    <row r="79887" ht="15.75" customHeight="1">
      <c r="A79887" s="7"/>
      <c r="B79887" s="7"/>
    </row>
    <row r="79888" ht="15.75" customHeight="1">
      <c r="A79888" s="7"/>
      <c r="B79888" s="7"/>
    </row>
    <row r="79889" ht="15.75" customHeight="1">
      <c r="A79889" s="7"/>
      <c r="B79889" s="7"/>
    </row>
    <row r="79890" ht="15.75" customHeight="1">
      <c r="A79890" s="7"/>
      <c r="B79890" s="7"/>
    </row>
    <row r="79891" ht="15.75" customHeight="1">
      <c r="A79891" s="7"/>
      <c r="B79891" s="7"/>
    </row>
    <row r="79892" ht="15.75" customHeight="1">
      <c r="A79892" s="7"/>
      <c r="B79892" s="7"/>
    </row>
    <row r="79893" ht="15.75" customHeight="1">
      <c r="A79893" s="7"/>
      <c r="B79893" s="7"/>
    </row>
    <row r="79894" ht="15.75" customHeight="1">
      <c r="A79894" s="7"/>
      <c r="B79894" s="7"/>
    </row>
    <row r="79895" ht="15.75" customHeight="1">
      <c r="A79895" s="7"/>
      <c r="B79895" s="7"/>
    </row>
    <row r="79896" ht="15.75" customHeight="1">
      <c r="A79896" s="7"/>
      <c r="B79896" s="7"/>
    </row>
    <row r="79897" ht="15.75" customHeight="1">
      <c r="A79897" s="7"/>
      <c r="B79897" s="7"/>
    </row>
    <row r="79898" ht="15.75" customHeight="1">
      <c r="A79898" s="7"/>
      <c r="B79898" s="7"/>
    </row>
    <row r="79899" ht="15.75" customHeight="1">
      <c r="A79899" s="7"/>
      <c r="B79899" s="7"/>
    </row>
    <row r="79900" ht="15.75" customHeight="1">
      <c r="A79900" s="7"/>
      <c r="B79900" s="7"/>
    </row>
    <row r="79901" ht="15.75" customHeight="1">
      <c r="A79901" s="7"/>
      <c r="B79901" s="7"/>
    </row>
    <row r="79902" ht="15.75" customHeight="1">
      <c r="A79902" s="7"/>
      <c r="B79902" s="7"/>
    </row>
    <row r="79903" ht="15.75" customHeight="1">
      <c r="A79903" s="7"/>
      <c r="B79903" s="7"/>
    </row>
    <row r="79904" ht="15.75" customHeight="1">
      <c r="A79904" s="7"/>
      <c r="B79904" s="7"/>
    </row>
    <row r="79905" ht="15.75" customHeight="1">
      <c r="A79905" s="7"/>
      <c r="B79905" s="7"/>
    </row>
    <row r="79906" ht="15.75" customHeight="1">
      <c r="A79906" s="7"/>
      <c r="B79906" s="7"/>
    </row>
    <row r="79907" ht="15.75" customHeight="1">
      <c r="A79907" s="7"/>
      <c r="B79907" s="7"/>
    </row>
    <row r="79908" ht="15.75" customHeight="1">
      <c r="A79908" s="7"/>
      <c r="B79908" s="7"/>
    </row>
    <row r="79909" ht="15.75" customHeight="1">
      <c r="A79909" s="7"/>
      <c r="B79909" s="7"/>
    </row>
    <row r="79910" ht="15.75" customHeight="1">
      <c r="A79910" s="7"/>
      <c r="B79910" s="7"/>
    </row>
    <row r="79911" ht="15.75" customHeight="1">
      <c r="A79911" s="7"/>
      <c r="B79911" s="7"/>
    </row>
    <row r="79912" ht="15.75" customHeight="1">
      <c r="A79912" s="7"/>
      <c r="B79912" s="7"/>
    </row>
    <row r="79913" ht="15.75" customHeight="1">
      <c r="A79913" s="7"/>
      <c r="B79913" s="7"/>
    </row>
    <row r="79914" ht="15.75" customHeight="1">
      <c r="A79914" s="7"/>
      <c r="B79914" s="7"/>
    </row>
    <row r="79915" ht="15.75" customHeight="1">
      <c r="A79915" s="7"/>
      <c r="B79915" s="7"/>
    </row>
    <row r="79916" ht="15.75" customHeight="1">
      <c r="A79916" s="7"/>
      <c r="B79916" s="7"/>
    </row>
    <row r="79917" ht="15.75" customHeight="1">
      <c r="A79917" s="7"/>
      <c r="B79917" s="7"/>
    </row>
    <row r="79918" ht="15.75" customHeight="1">
      <c r="A79918" s="7"/>
      <c r="B79918" s="7"/>
    </row>
    <row r="79919" ht="15.75" customHeight="1">
      <c r="A79919" s="7"/>
      <c r="B79919" s="7"/>
    </row>
    <row r="79920" ht="15.75" customHeight="1">
      <c r="A79920" s="7"/>
      <c r="B79920" s="7"/>
    </row>
    <row r="79921" ht="15.75" customHeight="1">
      <c r="A79921" s="7"/>
      <c r="B79921" s="7"/>
    </row>
    <row r="79922" ht="15.75" customHeight="1">
      <c r="A79922" s="7"/>
      <c r="B79922" s="7"/>
    </row>
    <row r="79923" ht="15.75" customHeight="1">
      <c r="A79923" s="7"/>
      <c r="B79923" s="7"/>
    </row>
    <row r="79924" ht="15.75" customHeight="1">
      <c r="A79924" s="7"/>
      <c r="B79924" s="7"/>
    </row>
    <row r="79925" ht="15.75" customHeight="1">
      <c r="A79925" s="7"/>
      <c r="B79925" s="7"/>
    </row>
    <row r="79926" ht="15.75" customHeight="1">
      <c r="A79926" s="7"/>
      <c r="B79926" s="7"/>
    </row>
    <row r="79927" ht="15.75" customHeight="1">
      <c r="A79927" s="7"/>
      <c r="B79927" s="7"/>
    </row>
    <row r="79928" ht="15.75" customHeight="1">
      <c r="A79928" s="7"/>
      <c r="B79928" s="7"/>
    </row>
    <row r="79929" ht="15.75" customHeight="1">
      <c r="A79929" s="7"/>
      <c r="B79929" s="7"/>
    </row>
    <row r="79930" ht="15.75" customHeight="1">
      <c r="A79930" s="7"/>
      <c r="B79930" s="7"/>
    </row>
    <row r="79931" ht="15.75" customHeight="1">
      <c r="A79931" s="7"/>
      <c r="B79931" s="7"/>
    </row>
    <row r="79932" ht="15.75" customHeight="1">
      <c r="A79932" s="7"/>
      <c r="B79932" s="7"/>
    </row>
    <row r="79933" ht="15.75" customHeight="1">
      <c r="A79933" s="7"/>
      <c r="B79933" s="7"/>
    </row>
    <row r="79934" ht="15.75" customHeight="1">
      <c r="A79934" s="7"/>
      <c r="B79934" s="7"/>
    </row>
    <row r="79935" ht="15.75" customHeight="1">
      <c r="A79935" s="7"/>
      <c r="B79935" s="7"/>
    </row>
    <row r="79936" ht="15.75" customHeight="1">
      <c r="A79936" s="7"/>
      <c r="B79936" s="7"/>
    </row>
    <row r="79937" ht="15.75" customHeight="1">
      <c r="A79937" s="7"/>
      <c r="B79937" s="7"/>
    </row>
    <row r="79938" ht="15.75" customHeight="1">
      <c r="A79938" s="7"/>
      <c r="B79938" s="7"/>
    </row>
    <row r="79939" ht="15.75" customHeight="1">
      <c r="A79939" s="7"/>
      <c r="B79939" s="7"/>
    </row>
    <row r="79940" ht="15.75" customHeight="1">
      <c r="A79940" s="7"/>
      <c r="B79940" s="7"/>
    </row>
    <row r="79941" ht="15.75" customHeight="1">
      <c r="A79941" s="7"/>
      <c r="B79941" s="7"/>
    </row>
    <row r="79942" ht="15.75" customHeight="1">
      <c r="A79942" s="7"/>
      <c r="B79942" s="7"/>
    </row>
    <row r="79943" ht="15.75" customHeight="1">
      <c r="A79943" s="7"/>
      <c r="B79943" s="7"/>
    </row>
    <row r="79944" ht="15.75" customHeight="1">
      <c r="A79944" s="7"/>
      <c r="B79944" s="7"/>
    </row>
    <row r="79945" ht="15.75" customHeight="1">
      <c r="A79945" s="7"/>
      <c r="B79945" s="7"/>
    </row>
    <row r="79946" ht="15.75" customHeight="1">
      <c r="A79946" s="7"/>
      <c r="B79946" s="7"/>
    </row>
    <row r="79947" ht="15.75" customHeight="1">
      <c r="A79947" s="7"/>
      <c r="B79947" s="7"/>
    </row>
    <row r="79948" ht="15.75" customHeight="1">
      <c r="A79948" s="7"/>
      <c r="B79948" s="7"/>
    </row>
    <row r="79949" ht="15.75" customHeight="1">
      <c r="A79949" s="7"/>
      <c r="B79949" s="7"/>
    </row>
    <row r="79950" ht="15.75" customHeight="1">
      <c r="A79950" s="7"/>
      <c r="B79950" s="7"/>
    </row>
    <row r="79951" ht="15.75" customHeight="1">
      <c r="A79951" s="7"/>
      <c r="B79951" s="7"/>
    </row>
    <row r="79952" ht="15.75" customHeight="1">
      <c r="A79952" s="7"/>
      <c r="B79952" s="7"/>
    </row>
    <row r="79953" ht="15.75" customHeight="1">
      <c r="A79953" s="7"/>
      <c r="B79953" s="7"/>
    </row>
    <row r="79954" ht="15.75" customHeight="1">
      <c r="A79954" s="7"/>
      <c r="B79954" s="7"/>
    </row>
    <row r="79955" ht="15.75" customHeight="1">
      <c r="A79955" s="7"/>
      <c r="B79955" s="7"/>
    </row>
    <row r="79956" ht="15.75" customHeight="1">
      <c r="A79956" s="7"/>
      <c r="B79956" s="7"/>
    </row>
    <row r="79957" ht="15.75" customHeight="1">
      <c r="A79957" s="7"/>
      <c r="B79957" s="7"/>
    </row>
    <row r="79958" ht="15.75" customHeight="1">
      <c r="A79958" s="7"/>
      <c r="B79958" s="7"/>
    </row>
    <row r="79959" ht="15.75" customHeight="1">
      <c r="A79959" s="7"/>
      <c r="B79959" s="7"/>
    </row>
    <row r="79960" ht="15.75" customHeight="1">
      <c r="A79960" s="7"/>
      <c r="B79960" s="7"/>
    </row>
    <row r="79961" ht="15.75" customHeight="1">
      <c r="A79961" s="7"/>
      <c r="B79961" s="7"/>
    </row>
    <row r="79962" ht="15.75" customHeight="1">
      <c r="A79962" s="7"/>
      <c r="B79962" s="7"/>
    </row>
    <row r="79963" ht="15.75" customHeight="1">
      <c r="A79963" s="7"/>
      <c r="B79963" s="7"/>
    </row>
    <row r="79964" ht="15.75" customHeight="1">
      <c r="A79964" s="7"/>
      <c r="B79964" s="7"/>
    </row>
    <row r="79965" ht="15.75" customHeight="1">
      <c r="A79965" s="7"/>
      <c r="B79965" s="7"/>
    </row>
    <row r="79966" ht="15.75" customHeight="1">
      <c r="A79966" s="7"/>
      <c r="B79966" s="7"/>
    </row>
    <row r="79967" ht="15.75" customHeight="1">
      <c r="A79967" s="7"/>
      <c r="B79967" s="7"/>
    </row>
    <row r="79968" ht="15.75" customHeight="1">
      <c r="A79968" s="7"/>
      <c r="B79968" s="7"/>
    </row>
    <row r="79969" ht="15.75" customHeight="1">
      <c r="A79969" s="7"/>
      <c r="B79969" s="7"/>
    </row>
    <row r="79970" ht="15.75" customHeight="1">
      <c r="A79970" s="7"/>
      <c r="B79970" s="7"/>
    </row>
    <row r="79971" ht="15.75" customHeight="1">
      <c r="A79971" s="7"/>
      <c r="B79971" s="7"/>
    </row>
    <row r="79972" ht="15.75" customHeight="1">
      <c r="A79972" s="7"/>
      <c r="B79972" s="7"/>
    </row>
    <row r="79973" ht="15.75" customHeight="1">
      <c r="A79973" s="7"/>
      <c r="B79973" s="7"/>
    </row>
    <row r="79974" ht="15.75" customHeight="1">
      <c r="A79974" s="7"/>
      <c r="B79974" s="7"/>
    </row>
    <row r="79975" ht="15.75" customHeight="1">
      <c r="A79975" s="7"/>
      <c r="B79975" s="7"/>
    </row>
    <row r="79976" ht="15.75" customHeight="1">
      <c r="A79976" s="7"/>
      <c r="B79976" s="7"/>
    </row>
    <row r="79977" ht="15.75" customHeight="1">
      <c r="A79977" s="7"/>
      <c r="B79977" s="7"/>
    </row>
    <row r="79978" ht="15.75" customHeight="1">
      <c r="A79978" s="7"/>
      <c r="B79978" s="7"/>
    </row>
    <row r="79979" ht="15.75" customHeight="1">
      <c r="A79979" s="7"/>
      <c r="B79979" s="7"/>
    </row>
    <row r="79980" ht="15.75" customHeight="1">
      <c r="A79980" s="7"/>
      <c r="B79980" s="7"/>
    </row>
    <row r="79981" ht="15.75" customHeight="1">
      <c r="A79981" s="7"/>
      <c r="B79981" s="7"/>
    </row>
    <row r="79982" ht="15.75" customHeight="1">
      <c r="A79982" s="7"/>
      <c r="B79982" s="7"/>
    </row>
    <row r="79983" ht="15.75" customHeight="1">
      <c r="A79983" s="7"/>
      <c r="B79983" s="7"/>
    </row>
    <row r="79984" ht="15.75" customHeight="1">
      <c r="A79984" s="7"/>
      <c r="B79984" s="7"/>
    </row>
    <row r="79985" ht="15.75" customHeight="1">
      <c r="A79985" s="7"/>
      <c r="B79985" s="7"/>
    </row>
    <row r="79986" ht="15.75" customHeight="1">
      <c r="A79986" s="7"/>
      <c r="B79986" s="7"/>
    </row>
    <row r="79987" ht="15.75" customHeight="1">
      <c r="A79987" s="7"/>
      <c r="B79987" s="7"/>
    </row>
    <row r="79988" ht="15.75" customHeight="1">
      <c r="A79988" s="7"/>
      <c r="B79988" s="7"/>
    </row>
    <row r="79989" ht="15.75" customHeight="1">
      <c r="A79989" s="7"/>
      <c r="B79989" s="7"/>
    </row>
    <row r="79990" ht="15.75" customHeight="1">
      <c r="A79990" s="7"/>
      <c r="B79990" s="7"/>
    </row>
    <row r="79991" ht="15.75" customHeight="1">
      <c r="A79991" s="7"/>
      <c r="B79991" s="7"/>
    </row>
    <row r="79992" ht="15.75" customHeight="1">
      <c r="A79992" s="7"/>
      <c r="B79992" s="7"/>
    </row>
    <row r="79993" ht="15.75" customHeight="1">
      <c r="A79993" s="7"/>
      <c r="B79993" s="7"/>
    </row>
    <row r="79994" ht="15.75" customHeight="1">
      <c r="A79994" s="7"/>
      <c r="B79994" s="7"/>
    </row>
    <row r="79995" ht="15.75" customHeight="1">
      <c r="A79995" s="7"/>
      <c r="B79995" s="7"/>
    </row>
    <row r="79996" ht="15.75" customHeight="1">
      <c r="A79996" s="7"/>
      <c r="B79996" s="7"/>
    </row>
    <row r="79997" ht="15.75" customHeight="1">
      <c r="A79997" s="7"/>
      <c r="B79997" s="7"/>
    </row>
    <row r="79998" ht="15.75" customHeight="1">
      <c r="A79998" s="7"/>
      <c r="B79998" s="7"/>
    </row>
    <row r="79999" ht="15.75" customHeight="1">
      <c r="A79999" s="7"/>
      <c r="B79999" s="7"/>
    </row>
    <row r="80000" ht="15.75" customHeight="1">
      <c r="A80000" s="7"/>
      <c r="B80000" s="7"/>
    </row>
    <row r="80001" ht="15.75" customHeight="1">
      <c r="A80001" s="7"/>
      <c r="B80001" s="7"/>
    </row>
    <row r="80002" ht="15.75" customHeight="1">
      <c r="A80002" s="7"/>
      <c r="B80002" s="7"/>
    </row>
    <row r="80003" ht="15.75" customHeight="1">
      <c r="A80003" s="7"/>
      <c r="B80003" s="7"/>
    </row>
    <row r="80004" ht="15.75" customHeight="1">
      <c r="A80004" s="7"/>
      <c r="B80004" s="7"/>
    </row>
    <row r="80005" ht="15.75" customHeight="1">
      <c r="A80005" s="7"/>
      <c r="B80005" s="7"/>
    </row>
    <row r="80006" ht="15.75" customHeight="1">
      <c r="A80006" s="7"/>
      <c r="B80006" s="7"/>
    </row>
    <row r="80007" ht="15.75" customHeight="1">
      <c r="A80007" s="7"/>
      <c r="B80007" s="7"/>
    </row>
    <row r="80008" ht="15.75" customHeight="1">
      <c r="A80008" s="7"/>
      <c r="B80008" s="7"/>
    </row>
    <row r="80009" ht="15.75" customHeight="1">
      <c r="A80009" s="7"/>
      <c r="B80009" s="7"/>
    </row>
    <row r="80010" ht="15.75" customHeight="1">
      <c r="A80010" s="7"/>
      <c r="B80010" s="7"/>
    </row>
    <row r="80011" ht="15.75" customHeight="1">
      <c r="A80011" s="7"/>
      <c r="B80011" s="7"/>
    </row>
    <row r="80012" ht="15.75" customHeight="1">
      <c r="A80012" s="7"/>
      <c r="B80012" s="7"/>
    </row>
    <row r="80013" ht="15.75" customHeight="1">
      <c r="A80013" s="7"/>
      <c r="B80013" s="7"/>
    </row>
    <row r="80014" ht="15.75" customHeight="1">
      <c r="A80014" s="7"/>
      <c r="B80014" s="7"/>
    </row>
    <row r="80015" ht="15.75" customHeight="1">
      <c r="A80015" s="7"/>
      <c r="B80015" s="7"/>
    </row>
    <row r="80016" ht="15.75" customHeight="1">
      <c r="A80016" s="7"/>
      <c r="B80016" s="7"/>
    </row>
    <row r="80017" ht="15.75" customHeight="1">
      <c r="A80017" s="7"/>
      <c r="B80017" s="7"/>
    </row>
    <row r="80018" ht="15.75" customHeight="1">
      <c r="A80018" s="7"/>
      <c r="B80018" s="7"/>
    </row>
    <row r="80019" ht="15.75" customHeight="1">
      <c r="A80019" s="7"/>
      <c r="B80019" s="7"/>
    </row>
    <row r="80020" ht="15.75" customHeight="1">
      <c r="A80020" s="7"/>
      <c r="B80020" s="7"/>
    </row>
    <row r="80021" ht="15.75" customHeight="1">
      <c r="A80021" s="7"/>
      <c r="B80021" s="7"/>
    </row>
    <row r="80022" ht="15.75" customHeight="1">
      <c r="A80022" s="7"/>
      <c r="B80022" s="7"/>
    </row>
    <row r="80023" ht="15.75" customHeight="1">
      <c r="A80023" s="7"/>
      <c r="B80023" s="7"/>
    </row>
    <row r="80024" ht="15.75" customHeight="1">
      <c r="A80024" s="7"/>
      <c r="B80024" s="7"/>
    </row>
    <row r="80025" ht="15.75" customHeight="1">
      <c r="A80025" s="7"/>
      <c r="B80025" s="7"/>
    </row>
    <row r="80026" ht="15.75" customHeight="1">
      <c r="A80026" s="7"/>
      <c r="B80026" s="7"/>
    </row>
    <row r="80027" ht="15.75" customHeight="1">
      <c r="A80027" s="7"/>
      <c r="B80027" s="7"/>
    </row>
    <row r="80028" ht="15.75" customHeight="1">
      <c r="A80028" s="7"/>
      <c r="B80028" s="7"/>
    </row>
    <row r="80029" ht="15.75" customHeight="1">
      <c r="A80029" s="7"/>
      <c r="B80029" s="7"/>
    </row>
    <row r="80030" ht="15.75" customHeight="1">
      <c r="A80030" s="7"/>
      <c r="B80030" s="7"/>
    </row>
    <row r="80031" ht="15.75" customHeight="1">
      <c r="A80031" s="7"/>
      <c r="B80031" s="7"/>
    </row>
    <row r="80032" ht="15.75" customHeight="1">
      <c r="A80032" s="7"/>
      <c r="B80032" s="7"/>
    </row>
    <row r="80033" ht="15.75" customHeight="1">
      <c r="A80033" s="7"/>
      <c r="B80033" s="7"/>
    </row>
    <row r="80034" ht="15.75" customHeight="1">
      <c r="A80034" s="7"/>
      <c r="B80034" s="7"/>
    </row>
    <row r="80035" ht="15.75" customHeight="1">
      <c r="A80035" s="7"/>
      <c r="B80035" s="7"/>
    </row>
    <row r="80036" ht="15.75" customHeight="1">
      <c r="A80036" s="7"/>
      <c r="B80036" s="7"/>
    </row>
    <row r="80037" ht="15.75" customHeight="1">
      <c r="A80037" s="7"/>
      <c r="B80037" s="7"/>
    </row>
    <row r="80038" ht="15.75" customHeight="1">
      <c r="A80038" s="7"/>
      <c r="B80038" s="7"/>
    </row>
    <row r="80039" ht="15.75" customHeight="1">
      <c r="A80039" s="7"/>
      <c r="B80039" s="7"/>
    </row>
    <row r="80040" ht="15.75" customHeight="1">
      <c r="A80040" s="7"/>
      <c r="B80040" s="7"/>
    </row>
    <row r="80041" ht="15.75" customHeight="1">
      <c r="A80041" s="7"/>
      <c r="B80041" s="7"/>
    </row>
    <row r="80042" ht="15.75" customHeight="1">
      <c r="A80042" s="7"/>
      <c r="B80042" s="7"/>
    </row>
    <row r="80043" ht="15.75" customHeight="1">
      <c r="A80043" s="7"/>
      <c r="B80043" s="7"/>
    </row>
    <row r="80044" ht="15.75" customHeight="1">
      <c r="A80044" s="7"/>
      <c r="B80044" s="7"/>
    </row>
    <row r="80045" ht="15.75" customHeight="1">
      <c r="A80045" s="7"/>
      <c r="B80045" s="7"/>
    </row>
    <row r="80046" ht="15.75" customHeight="1">
      <c r="A80046" s="7"/>
      <c r="B80046" s="7"/>
    </row>
    <row r="80047" ht="15.75" customHeight="1">
      <c r="A80047" s="7"/>
      <c r="B80047" s="7"/>
    </row>
    <row r="80048" ht="15.75" customHeight="1">
      <c r="A80048" s="7"/>
      <c r="B80048" s="7"/>
    </row>
    <row r="80049" ht="15.75" customHeight="1">
      <c r="A80049" s="7"/>
      <c r="B80049" s="7"/>
    </row>
    <row r="80050" ht="15.75" customHeight="1">
      <c r="A80050" s="7"/>
      <c r="B80050" s="7"/>
    </row>
    <row r="80051" ht="15.75" customHeight="1">
      <c r="A80051" s="7"/>
      <c r="B80051" s="7"/>
    </row>
    <row r="80052" ht="15.75" customHeight="1">
      <c r="A80052" s="7"/>
      <c r="B80052" s="7"/>
    </row>
    <row r="80053" ht="15.75" customHeight="1">
      <c r="A80053" s="7"/>
      <c r="B80053" s="7"/>
    </row>
    <row r="80054" ht="15.75" customHeight="1">
      <c r="A80054" s="7"/>
      <c r="B80054" s="7"/>
    </row>
    <row r="80055" ht="15.75" customHeight="1">
      <c r="A80055" s="7"/>
      <c r="B80055" s="7"/>
    </row>
    <row r="80056" ht="15.75" customHeight="1">
      <c r="A80056" s="7"/>
      <c r="B80056" s="7"/>
    </row>
    <row r="80057" ht="15.75" customHeight="1">
      <c r="A80057" s="7"/>
      <c r="B80057" s="7"/>
    </row>
    <row r="80058" ht="15.75" customHeight="1">
      <c r="A80058" s="7"/>
      <c r="B80058" s="7"/>
    </row>
    <row r="80059" ht="15.75" customHeight="1">
      <c r="A80059" s="7"/>
      <c r="B80059" s="7"/>
    </row>
    <row r="80060" ht="15.75" customHeight="1">
      <c r="A80060" s="7"/>
      <c r="B80060" s="7"/>
    </row>
    <row r="80061" ht="15.75" customHeight="1">
      <c r="A80061" s="7"/>
      <c r="B80061" s="7"/>
    </row>
    <row r="80062" ht="15.75" customHeight="1">
      <c r="A80062" s="7"/>
      <c r="B80062" s="7"/>
    </row>
    <row r="80063" ht="15.75" customHeight="1">
      <c r="A80063" s="7"/>
      <c r="B80063" s="7"/>
    </row>
    <row r="80064" ht="15.75" customHeight="1">
      <c r="A80064" s="7"/>
      <c r="B80064" s="7"/>
    </row>
    <row r="80065" ht="15.75" customHeight="1">
      <c r="A80065" s="7"/>
      <c r="B80065" s="7"/>
    </row>
    <row r="80066" ht="15.75" customHeight="1">
      <c r="A80066" s="7"/>
      <c r="B80066" s="7"/>
    </row>
    <row r="80067" ht="15.75" customHeight="1">
      <c r="A80067" s="7"/>
      <c r="B80067" s="7"/>
    </row>
    <row r="80068" ht="15.75" customHeight="1">
      <c r="A80068" s="7"/>
      <c r="B80068" s="7"/>
    </row>
    <row r="80069" ht="15.75" customHeight="1">
      <c r="A80069" s="7"/>
      <c r="B80069" s="7"/>
    </row>
    <row r="80070" ht="15.75" customHeight="1">
      <c r="A80070" s="7"/>
      <c r="B80070" s="7"/>
    </row>
    <row r="80071" ht="15.75" customHeight="1">
      <c r="A80071" s="7"/>
      <c r="B80071" s="7"/>
    </row>
    <row r="80072" ht="15.75" customHeight="1">
      <c r="A80072" s="7"/>
      <c r="B80072" s="7"/>
    </row>
    <row r="80073" ht="15.75" customHeight="1">
      <c r="A80073" s="7"/>
      <c r="B80073" s="7"/>
    </row>
    <row r="80074" ht="15.75" customHeight="1">
      <c r="A80074" s="7"/>
      <c r="B80074" s="7"/>
    </row>
    <row r="80075" ht="15.75" customHeight="1">
      <c r="A80075" s="7"/>
      <c r="B80075" s="7"/>
    </row>
    <row r="80076" ht="15.75" customHeight="1">
      <c r="A80076" s="7"/>
      <c r="B80076" s="7"/>
    </row>
    <row r="80077" ht="15.75" customHeight="1">
      <c r="A80077" s="7"/>
      <c r="B80077" s="7"/>
    </row>
    <row r="80078" ht="15.75" customHeight="1">
      <c r="A80078" s="7"/>
      <c r="B80078" s="7"/>
    </row>
    <row r="80079" ht="15.75" customHeight="1">
      <c r="A80079" s="7"/>
      <c r="B80079" s="7"/>
    </row>
    <row r="80080" ht="15.75" customHeight="1">
      <c r="A80080" s="7"/>
      <c r="B80080" s="7"/>
    </row>
    <row r="80081" ht="15.75" customHeight="1">
      <c r="A80081" s="7"/>
      <c r="B80081" s="7"/>
    </row>
    <row r="80082" ht="15.75" customHeight="1">
      <c r="A80082" s="7"/>
      <c r="B80082" s="7"/>
    </row>
    <row r="80083" ht="15.75" customHeight="1">
      <c r="A80083" s="7"/>
      <c r="B80083" s="7"/>
    </row>
    <row r="80084" ht="15.75" customHeight="1">
      <c r="A80084" s="7"/>
      <c r="B80084" s="7"/>
    </row>
    <row r="80085" ht="15.75" customHeight="1">
      <c r="A80085" s="7"/>
      <c r="B80085" s="7"/>
    </row>
    <row r="80086" ht="15.75" customHeight="1">
      <c r="A80086" s="7"/>
      <c r="B80086" s="7"/>
    </row>
    <row r="80087" ht="15.75" customHeight="1">
      <c r="A80087" s="7"/>
      <c r="B80087" s="7"/>
    </row>
    <row r="80088" ht="15.75" customHeight="1">
      <c r="A80088" s="7"/>
      <c r="B80088" s="7"/>
    </row>
    <row r="80089" ht="15.75" customHeight="1">
      <c r="A80089" s="7"/>
      <c r="B80089" s="7"/>
    </row>
    <row r="80090" ht="15.75" customHeight="1">
      <c r="A80090" s="7"/>
      <c r="B80090" s="7"/>
    </row>
    <row r="80091" ht="15.75" customHeight="1">
      <c r="A80091" s="7"/>
      <c r="B80091" s="7"/>
    </row>
    <row r="80092" ht="15.75" customHeight="1">
      <c r="A80092" s="7"/>
      <c r="B80092" s="7"/>
    </row>
    <row r="80093" ht="15.75" customHeight="1">
      <c r="A80093" s="7"/>
      <c r="B80093" s="7"/>
    </row>
    <row r="80094" ht="15.75" customHeight="1">
      <c r="A80094" s="7"/>
      <c r="B80094" s="7"/>
    </row>
    <row r="80095" ht="15.75" customHeight="1">
      <c r="A80095" s="7"/>
      <c r="B80095" s="7"/>
    </row>
    <row r="80096" ht="15.75" customHeight="1">
      <c r="A80096" s="7"/>
      <c r="B80096" s="7"/>
    </row>
    <row r="80097" ht="15.75" customHeight="1">
      <c r="A80097" s="7"/>
      <c r="B80097" s="7"/>
    </row>
    <row r="80098" ht="15.75" customHeight="1">
      <c r="A80098" s="7"/>
      <c r="B80098" s="7"/>
    </row>
    <row r="80099" ht="15.75" customHeight="1">
      <c r="A80099" s="7"/>
      <c r="B80099" s="7"/>
    </row>
    <row r="80100" ht="15.75" customHeight="1">
      <c r="A80100" s="7"/>
      <c r="B80100" s="7"/>
    </row>
    <row r="80101" ht="15.75" customHeight="1">
      <c r="A80101" s="7"/>
      <c r="B80101" s="7"/>
    </row>
    <row r="80102" ht="15.75" customHeight="1">
      <c r="A80102" s="7"/>
      <c r="B80102" s="7"/>
    </row>
    <row r="80103" ht="15.75" customHeight="1">
      <c r="A80103" s="7"/>
      <c r="B80103" s="7"/>
    </row>
    <row r="80104" ht="15.75" customHeight="1">
      <c r="A80104" s="7"/>
      <c r="B80104" s="7"/>
    </row>
    <row r="80105" ht="15.75" customHeight="1">
      <c r="A80105" s="7"/>
      <c r="B80105" s="7"/>
    </row>
    <row r="80106" ht="15.75" customHeight="1">
      <c r="A80106" s="7"/>
      <c r="B80106" s="7"/>
    </row>
    <row r="80107" ht="15.75" customHeight="1">
      <c r="A80107" s="7"/>
      <c r="B80107" s="7"/>
    </row>
    <row r="80108" ht="15.75" customHeight="1">
      <c r="A80108" s="7"/>
      <c r="B80108" s="7"/>
    </row>
    <row r="80109" ht="15.75" customHeight="1">
      <c r="A80109" s="7"/>
      <c r="B80109" s="7"/>
    </row>
    <row r="80110" ht="15.75" customHeight="1">
      <c r="A80110" s="7"/>
      <c r="B80110" s="7"/>
    </row>
    <row r="80111" ht="15.75" customHeight="1">
      <c r="A80111" s="7"/>
      <c r="B80111" s="7"/>
    </row>
    <row r="80112" ht="15.75" customHeight="1">
      <c r="A80112" s="7"/>
      <c r="B80112" s="7"/>
    </row>
    <row r="80113" ht="15.75" customHeight="1">
      <c r="A80113" s="7"/>
      <c r="B80113" s="7"/>
    </row>
    <row r="80114" ht="15.75" customHeight="1">
      <c r="A80114" s="7"/>
      <c r="B80114" s="7"/>
    </row>
    <row r="80115" ht="15.75" customHeight="1">
      <c r="A80115" s="7"/>
      <c r="B80115" s="7"/>
    </row>
    <row r="80116" ht="15.75" customHeight="1">
      <c r="A80116" s="7"/>
      <c r="B80116" s="7"/>
    </row>
    <row r="80117" ht="15.75" customHeight="1">
      <c r="A80117" s="7"/>
      <c r="B80117" s="7"/>
    </row>
    <row r="80118" ht="15.75" customHeight="1">
      <c r="A80118" s="7"/>
      <c r="B80118" s="7"/>
    </row>
    <row r="80119" ht="15.75" customHeight="1">
      <c r="A80119" s="7"/>
      <c r="B80119" s="7"/>
    </row>
    <row r="80120" ht="15.75" customHeight="1">
      <c r="A80120" s="7"/>
      <c r="B80120" s="7"/>
    </row>
    <row r="80121" ht="15.75" customHeight="1">
      <c r="A80121" s="7"/>
      <c r="B80121" s="7"/>
    </row>
    <row r="80122" ht="15.75" customHeight="1">
      <c r="A80122" s="7"/>
      <c r="B80122" s="7"/>
    </row>
    <row r="80123" ht="15.75" customHeight="1">
      <c r="A80123" s="7"/>
      <c r="B80123" s="7"/>
    </row>
    <row r="80124" ht="15.75" customHeight="1">
      <c r="A80124" s="7"/>
      <c r="B80124" s="7"/>
    </row>
    <row r="80125" ht="15.75" customHeight="1">
      <c r="A80125" s="7"/>
      <c r="B80125" s="7"/>
    </row>
    <row r="80126" ht="15.75" customHeight="1">
      <c r="A80126" s="7"/>
      <c r="B80126" s="7"/>
    </row>
    <row r="80127" ht="15.75" customHeight="1">
      <c r="A80127" s="7"/>
      <c r="B80127" s="7"/>
    </row>
    <row r="80128" ht="15.75" customHeight="1">
      <c r="A80128" s="7"/>
      <c r="B80128" s="7"/>
    </row>
    <row r="80129" ht="15.75" customHeight="1">
      <c r="A80129" s="7"/>
      <c r="B80129" s="7"/>
    </row>
    <row r="80130" ht="15.75" customHeight="1">
      <c r="A80130" s="7"/>
      <c r="B80130" s="7"/>
    </row>
    <row r="80131" ht="15.75" customHeight="1">
      <c r="A80131" s="7"/>
      <c r="B80131" s="7"/>
    </row>
    <row r="80132" ht="15.75" customHeight="1">
      <c r="A80132" s="7"/>
      <c r="B80132" s="7"/>
    </row>
    <row r="80133" ht="15.75" customHeight="1">
      <c r="A80133" s="7"/>
      <c r="B80133" s="7"/>
    </row>
    <row r="80134" ht="15.75" customHeight="1">
      <c r="A80134" s="7"/>
      <c r="B80134" s="7"/>
    </row>
    <row r="80135" ht="15.75" customHeight="1">
      <c r="A80135" s="7"/>
      <c r="B80135" s="7"/>
    </row>
    <row r="80136" ht="15.75" customHeight="1">
      <c r="A80136" s="7"/>
      <c r="B80136" s="7"/>
    </row>
    <row r="80137" ht="15.75" customHeight="1">
      <c r="A80137" s="7"/>
      <c r="B80137" s="7"/>
    </row>
    <row r="80138" ht="15.75" customHeight="1">
      <c r="A80138" s="7"/>
      <c r="B80138" s="7"/>
    </row>
    <row r="80139" ht="15.75" customHeight="1">
      <c r="A80139" s="7"/>
      <c r="B80139" s="7"/>
    </row>
    <row r="80140" ht="15.75" customHeight="1">
      <c r="A80140" s="7"/>
      <c r="B80140" s="7"/>
    </row>
    <row r="80141" ht="15.75" customHeight="1">
      <c r="A80141" s="7"/>
      <c r="B80141" s="7"/>
    </row>
    <row r="80142" ht="15.75" customHeight="1">
      <c r="A80142" s="7"/>
      <c r="B80142" s="7"/>
    </row>
    <row r="80143" ht="15.75" customHeight="1">
      <c r="A80143" s="7"/>
      <c r="B80143" s="7"/>
    </row>
    <row r="80144" ht="15.75" customHeight="1">
      <c r="A80144" s="7"/>
      <c r="B80144" s="7"/>
    </row>
    <row r="80145" ht="15.75" customHeight="1">
      <c r="A80145" s="7"/>
      <c r="B80145" s="7"/>
    </row>
    <row r="80146" ht="15.75" customHeight="1">
      <c r="A80146" s="7"/>
      <c r="B80146" s="7"/>
    </row>
    <row r="80147" ht="15.75" customHeight="1">
      <c r="A80147" s="7"/>
      <c r="B80147" s="7"/>
    </row>
    <row r="80148" ht="15.75" customHeight="1">
      <c r="A80148" s="7"/>
      <c r="B80148" s="7"/>
    </row>
    <row r="80149" ht="15.75" customHeight="1">
      <c r="A80149" s="7"/>
      <c r="B80149" s="7"/>
    </row>
    <row r="80150" ht="15.75" customHeight="1">
      <c r="A80150" s="7"/>
      <c r="B80150" s="7"/>
    </row>
    <row r="80151" ht="15.75" customHeight="1">
      <c r="A80151" s="7"/>
      <c r="B80151" s="7"/>
    </row>
    <row r="80152" ht="15.75" customHeight="1">
      <c r="A80152" s="7"/>
      <c r="B80152" s="7"/>
    </row>
    <row r="80153" ht="15.75" customHeight="1">
      <c r="A80153" s="7"/>
      <c r="B80153" s="7"/>
    </row>
    <row r="80154" ht="15.75" customHeight="1">
      <c r="A80154" s="7"/>
      <c r="B80154" s="7"/>
    </row>
    <row r="80155" ht="15.75" customHeight="1">
      <c r="A80155" s="7"/>
      <c r="B80155" s="7"/>
    </row>
    <row r="80156" ht="15.75" customHeight="1">
      <c r="A80156" s="7"/>
      <c r="B80156" s="7"/>
    </row>
    <row r="80157" ht="15.75" customHeight="1">
      <c r="A80157" s="7"/>
      <c r="B80157" s="7"/>
    </row>
    <row r="80158" ht="15.75" customHeight="1">
      <c r="A80158" s="7"/>
      <c r="B80158" s="7"/>
    </row>
    <row r="80159" ht="15.75" customHeight="1">
      <c r="A80159" s="7"/>
      <c r="B80159" s="7"/>
    </row>
    <row r="80160" ht="15.75" customHeight="1">
      <c r="A80160" s="7"/>
      <c r="B80160" s="7"/>
    </row>
    <row r="80161" ht="15.75" customHeight="1">
      <c r="A80161" s="7"/>
      <c r="B80161" s="7"/>
    </row>
    <row r="80162" ht="15.75" customHeight="1">
      <c r="A80162" s="7"/>
      <c r="B80162" s="7"/>
    </row>
    <row r="80163" ht="15.75" customHeight="1">
      <c r="A80163" s="7"/>
      <c r="B80163" s="7"/>
    </row>
    <row r="80164" ht="15.75" customHeight="1">
      <c r="A80164" s="7"/>
      <c r="B80164" s="7"/>
    </row>
    <row r="80165" ht="15.75" customHeight="1">
      <c r="A80165" s="7"/>
      <c r="B80165" s="7"/>
    </row>
    <row r="80166" ht="15.75" customHeight="1">
      <c r="A80166" s="7"/>
      <c r="B80166" s="7"/>
    </row>
    <row r="80167" ht="15.75" customHeight="1">
      <c r="A80167" s="7"/>
      <c r="B80167" s="7"/>
    </row>
    <row r="80168" ht="15.75" customHeight="1">
      <c r="A80168" s="7"/>
      <c r="B80168" s="7"/>
    </row>
    <row r="80169" ht="15.75" customHeight="1">
      <c r="A80169" s="7"/>
      <c r="B80169" s="7"/>
    </row>
    <row r="80170" ht="15.75" customHeight="1">
      <c r="A80170" s="7"/>
      <c r="B80170" s="7"/>
    </row>
    <row r="80171" ht="15.75" customHeight="1">
      <c r="A80171" s="7"/>
      <c r="B80171" s="7"/>
    </row>
    <row r="80172" ht="15.75" customHeight="1">
      <c r="A80172" s="7"/>
      <c r="B80172" s="7"/>
    </row>
    <row r="80173" ht="15.75" customHeight="1">
      <c r="A80173" s="7"/>
      <c r="B80173" s="7"/>
    </row>
    <row r="80174" ht="15.75" customHeight="1">
      <c r="A80174" s="7"/>
      <c r="B80174" s="7"/>
    </row>
    <row r="80175" ht="15.75" customHeight="1">
      <c r="A80175" s="7"/>
      <c r="B80175" s="7"/>
    </row>
    <row r="80176" ht="15.75" customHeight="1">
      <c r="A80176" s="7"/>
      <c r="B80176" s="7"/>
    </row>
    <row r="80177" ht="15.75" customHeight="1">
      <c r="A80177" s="7"/>
      <c r="B80177" s="7"/>
    </row>
    <row r="80178" ht="15.75" customHeight="1">
      <c r="A80178" s="7"/>
      <c r="B80178" s="7"/>
    </row>
    <row r="80179" ht="15.75" customHeight="1">
      <c r="A80179" s="7"/>
      <c r="B80179" s="7"/>
    </row>
    <row r="80180" ht="15.75" customHeight="1">
      <c r="A80180" s="7"/>
      <c r="B80180" s="7"/>
    </row>
    <row r="80181" ht="15.75" customHeight="1">
      <c r="A80181" s="7"/>
      <c r="B80181" s="7"/>
    </row>
    <row r="80182" ht="15.75" customHeight="1">
      <c r="A80182" s="7"/>
      <c r="B80182" s="7"/>
    </row>
    <row r="80183" ht="15.75" customHeight="1">
      <c r="A80183" s="7"/>
      <c r="B80183" s="7"/>
    </row>
    <row r="80184" ht="15.75" customHeight="1">
      <c r="A80184" s="7"/>
      <c r="B80184" s="7"/>
    </row>
    <row r="80185" ht="15.75" customHeight="1">
      <c r="A80185" s="7"/>
      <c r="B80185" s="7"/>
    </row>
    <row r="80186" ht="15.75" customHeight="1">
      <c r="A80186" s="7"/>
      <c r="B80186" s="7"/>
    </row>
    <row r="80187" ht="15.75" customHeight="1">
      <c r="A80187" s="7"/>
      <c r="B80187" s="7"/>
    </row>
    <row r="80188" ht="15.75" customHeight="1">
      <c r="A80188" s="7"/>
      <c r="B80188" s="7"/>
    </row>
    <row r="80189" ht="15.75" customHeight="1">
      <c r="A80189" s="7"/>
      <c r="B80189" s="7"/>
    </row>
    <row r="80190" ht="15.75" customHeight="1">
      <c r="A80190" s="7"/>
      <c r="B80190" s="7"/>
    </row>
    <row r="80191" ht="15.75" customHeight="1">
      <c r="A80191" s="7"/>
      <c r="B80191" s="7"/>
    </row>
    <row r="80192" ht="15.75" customHeight="1">
      <c r="A80192" s="7"/>
      <c r="B80192" s="7"/>
    </row>
    <row r="80193" ht="15.75" customHeight="1">
      <c r="A80193" s="7"/>
      <c r="B80193" s="7"/>
    </row>
    <row r="80194" ht="15.75" customHeight="1">
      <c r="A80194" s="7"/>
      <c r="B80194" s="7"/>
    </row>
    <row r="80195" ht="15.75" customHeight="1">
      <c r="A80195" s="7"/>
      <c r="B80195" s="7"/>
    </row>
    <row r="80196" ht="15.75" customHeight="1">
      <c r="A80196" s="7"/>
      <c r="B80196" s="7"/>
    </row>
    <row r="80197" ht="15.75" customHeight="1">
      <c r="A80197" s="7"/>
      <c r="B80197" s="7"/>
    </row>
    <row r="80198" ht="15.75" customHeight="1">
      <c r="A80198" s="7"/>
      <c r="B80198" s="7"/>
    </row>
    <row r="80199" ht="15.75" customHeight="1">
      <c r="A80199" s="7"/>
      <c r="B80199" s="7"/>
    </row>
    <row r="80200" ht="15.75" customHeight="1">
      <c r="A80200" s="7"/>
      <c r="B80200" s="7"/>
    </row>
    <row r="80201" ht="15.75" customHeight="1">
      <c r="A80201" s="7"/>
      <c r="B80201" s="7"/>
    </row>
    <row r="80202" ht="15.75" customHeight="1">
      <c r="A80202" s="7"/>
      <c r="B80202" s="7"/>
    </row>
    <row r="80203" ht="15.75" customHeight="1">
      <c r="A80203" s="7"/>
      <c r="B80203" s="7"/>
    </row>
    <row r="80204" ht="15.75" customHeight="1">
      <c r="A80204" s="7"/>
      <c r="B80204" s="7"/>
    </row>
    <row r="80205" ht="15.75" customHeight="1">
      <c r="A80205" s="7"/>
      <c r="B80205" s="7"/>
    </row>
    <row r="80206" ht="15.75" customHeight="1">
      <c r="A80206" s="7"/>
      <c r="B80206" s="7"/>
    </row>
    <row r="80207" ht="15.75" customHeight="1">
      <c r="A80207" s="7"/>
      <c r="B80207" s="7"/>
    </row>
    <row r="80208" ht="15.75" customHeight="1">
      <c r="A80208" s="7"/>
      <c r="B80208" s="7"/>
    </row>
    <row r="80209" ht="15.75" customHeight="1">
      <c r="A80209" s="7"/>
      <c r="B80209" s="7"/>
    </row>
    <row r="80210" ht="15.75" customHeight="1">
      <c r="A80210" s="7"/>
      <c r="B80210" s="7"/>
    </row>
    <row r="80211" ht="15.75" customHeight="1">
      <c r="A80211" s="7"/>
      <c r="B80211" s="7"/>
    </row>
    <row r="80212" ht="15.75" customHeight="1">
      <c r="A80212" s="7"/>
      <c r="B80212" s="7"/>
    </row>
    <row r="80213" ht="15.75" customHeight="1">
      <c r="A80213" s="7"/>
      <c r="B80213" s="7"/>
    </row>
    <row r="80214" ht="15.75" customHeight="1">
      <c r="A80214" s="7"/>
      <c r="B80214" s="7"/>
    </row>
    <row r="80215" ht="15.75" customHeight="1">
      <c r="A80215" s="7"/>
      <c r="B80215" s="7"/>
    </row>
    <row r="80216" ht="15.75" customHeight="1">
      <c r="A80216" s="7"/>
      <c r="B80216" s="7"/>
    </row>
    <row r="80217" ht="15.75" customHeight="1">
      <c r="A80217" s="7"/>
      <c r="B80217" s="7"/>
    </row>
    <row r="80218" ht="15.75" customHeight="1">
      <c r="A80218" s="7"/>
      <c r="B80218" s="7"/>
    </row>
    <row r="80219" ht="15.75" customHeight="1">
      <c r="A80219" s="7"/>
      <c r="B80219" s="7"/>
    </row>
    <row r="80220" ht="15.75" customHeight="1">
      <c r="A80220" s="7"/>
      <c r="B80220" s="7"/>
    </row>
    <row r="80221" ht="15.75" customHeight="1">
      <c r="A80221" s="7"/>
      <c r="B80221" s="7"/>
    </row>
    <row r="80222" ht="15.75" customHeight="1">
      <c r="A80222" s="7"/>
      <c r="B80222" s="7"/>
    </row>
    <row r="80223" ht="15.75" customHeight="1">
      <c r="A80223" s="7"/>
      <c r="B80223" s="7"/>
    </row>
    <row r="80224" ht="15.75" customHeight="1">
      <c r="A80224" s="7"/>
      <c r="B80224" s="7"/>
    </row>
    <row r="80225" ht="15.75" customHeight="1">
      <c r="A80225" s="7"/>
      <c r="B80225" s="7"/>
    </row>
    <row r="80226" ht="15.75" customHeight="1">
      <c r="A80226" s="7"/>
      <c r="B80226" s="7"/>
    </row>
    <row r="80227" ht="15.75" customHeight="1">
      <c r="A80227" s="7"/>
      <c r="B80227" s="7"/>
    </row>
    <row r="80228" ht="15.75" customHeight="1">
      <c r="A80228" s="7"/>
      <c r="B80228" s="7"/>
    </row>
    <row r="80229" ht="15.75" customHeight="1">
      <c r="A80229" s="7"/>
      <c r="B80229" s="7"/>
    </row>
    <row r="80230" ht="15.75" customHeight="1">
      <c r="A80230" s="7"/>
      <c r="B80230" s="7"/>
    </row>
    <row r="80231" ht="15.75" customHeight="1">
      <c r="A80231" s="7"/>
      <c r="B80231" s="7"/>
    </row>
    <row r="80232" ht="15.75" customHeight="1">
      <c r="A80232" s="7"/>
      <c r="B80232" s="7"/>
    </row>
    <row r="80233" ht="15.75" customHeight="1">
      <c r="A80233" s="7"/>
      <c r="B80233" s="7"/>
    </row>
    <row r="80234" ht="15.75" customHeight="1">
      <c r="A80234" s="7"/>
      <c r="B80234" s="7"/>
    </row>
    <row r="80235" ht="15.75" customHeight="1">
      <c r="A80235" s="7"/>
      <c r="B80235" s="7"/>
    </row>
    <row r="80236" ht="15.75" customHeight="1">
      <c r="A80236" s="7"/>
      <c r="B80236" s="7"/>
    </row>
    <row r="80237" ht="15.75" customHeight="1">
      <c r="A80237" s="7"/>
      <c r="B80237" s="7"/>
    </row>
    <row r="80238" ht="15.75" customHeight="1">
      <c r="A80238" s="7"/>
      <c r="B80238" s="7"/>
    </row>
    <row r="80239" ht="15.75" customHeight="1">
      <c r="A80239" s="7"/>
      <c r="B80239" s="7"/>
    </row>
    <row r="80240" ht="15.75" customHeight="1">
      <c r="A80240" s="7"/>
      <c r="B80240" s="7"/>
    </row>
    <row r="80241" ht="15.75" customHeight="1">
      <c r="A80241" s="7"/>
      <c r="B80241" s="7"/>
    </row>
    <row r="80242" ht="15.75" customHeight="1">
      <c r="A80242" s="7"/>
      <c r="B80242" s="7"/>
    </row>
    <row r="80243" ht="15.75" customHeight="1">
      <c r="A80243" s="7"/>
      <c r="B80243" s="7"/>
    </row>
    <row r="80244" ht="15.75" customHeight="1">
      <c r="A80244" s="7"/>
      <c r="B80244" s="7"/>
    </row>
    <row r="80245" ht="15.75" customHeight="1">
      <c r="A80245" s="7"/>
      <c r="B80245" s="7"/>
    </row>
    <row r="80246" ht="15.75" customHeight="1">
      <c r="A80246" s="7"/>
      <c r="B80246" s="7"/>
    </row>
    <row r="80247" ht="15.75" customHeight="1">
      <c r="A80247" s="7"/>
      <c r="B80247" s="7"/>
    </row>
    <row r="80248" ht="15.75" customHeight="1">
      <c r="A80248" s="7"/>
      <c r="B80248" s="7"/>
    </row>
    <row r="80249" ht="15.75" customHeight="1">
      <c r="A80249" s="7"/>
      <c r="B80249" s="7"/>
    </row>
    <row r="80250" ht="15.75" customHeight="1">
      <c r="A80250" s="7"/>
      <c r="B80250" s="7"/>
    </row>
    <row r="80251" ht="15.75" customHeight="1">
      <c r="A80251" s="7"/>
      <c r="B80251" s="7"/>
    </row>
    <row r="80252" ht="15.75" customHeight="1">
      <c r="A80252" s="7"/>
      <c r="B80252" s="7"/>
    </row>
    <row r="80253" ht="15.75" customHeight="1">
      <c r="A80253" s="7"/>
      <c r="B80253" s="7"/>
    </row>
    <row r="80254" ht="15.75" customHeight="1">
      <c r="A80254" s="7"/>
      <c r="B80254" s="7"/>
    </row>
    <row r="80255" ht="15.75" customHeight="1">
      <c r="A80255" s="7"/>
      <c r="B80255" s="7"/>
    </row>
    <row r="80256" ht="15.75" customHeight="1">
      <c r="A80256" s="7"/>
      <c r="B80256" s="7"/>
    </row>
    <row r="80257" ht="15.75" customHeight="1">
      <c r="A80257" s="7"/>
      <c r="B80257" s="7"/>
    </row>
    <row r="80258" ht="15.75" customHeight="1">
      <c r="A80258" s="7"/>
      <c r="B80258" s="7"/>
    </row>
    <row r="80259" ht="15.75" customHeight="1">
      <c r="A80259" s="7"/>
      <c r="B80259" s="7"/>
    </row>
    <row r="80260" ht="15.75" customHeight="1">
      <c r="A80260" s="7"/>
      <c r="B80260" s="7"/>
    </row>
    <row r="80261" ht="15.75" customHeight="1">
      <c r="A80261" s="7"/>
      <c r="B80261" s="7"/>
    </row>
    <row r="80262" ht="15.75" customHeight="1">
      <c r="A80262" s="7"/>
      <c r="B80262" s="7"/>
    </row>
    <row r="80263" ht="15.75" customHeight="1">
      <c r="A80263" s="7"/>
      <c r="B80263" s="7"/>
    </row>
    <row r="80264" ht="15.75" customHeight="1">
      <c r="A80264" s="7"/>
      <c r="B80264" s="7"/>
    </row>
    <row r="80265" ht="15.75" customHeight="1">
      <c r="A80265" s="7"/>
      <c r="B80265" s="7"/>
    </row>
    <row r="80266" ht="15.75" customHeight="1">
      <c r="A80266" s="7"/>
      <c r="B80266" s="7"/>
    </row>
    <row r="80267" ht="15.75" customHeight="1">
      <c r="A80267" s="7"/>
      <c r="B80267" s="7"/>
    </row>
    <row r="80268" ht="15.75" customHeight="1">
      <c r="A80268" s="7"/>
      <c r="B80268" s="7"/>
    </row>
    <row r="80269" ht="15.75" customHeight="1">
      <c r="A80269" s="7"/>
      <c r="B80269" s="7"/>
    </row>
    <row r="80270" ht="15.75" customHeight="1">
      <c r="A80270" s="7"/>
      <c r="B80270" s="7"/>
    </row>
    <row r="80271" ht="15.75" customHeight="1">
      <c r="A80271" s="7"/>
      <c r="B80271" s="7"/>
    </row>
    <row r="80272" ht="15.75" customHeight="1">
      <c r="A80272" s="7"/>
      <c r="B80272" s="7"/>
    </row>
    <row r="80273" ht="15.75" customHeight="1">
      <c r="A80273" s="7"/>
      <c r="B80273" s="7"/>
    </row>
    <row r="80274" ht="15.75" customHeight="1">
      <c r="A80274" s="7"/>
      <c r="B80274" s="7"/>
    </row>
    <row r="80275" ht="15.75" customHeight="1">
      <c r="A80275" s="7"/>
      <c r="B80275" s="7"/>
    </row>
    <row r="80276" ht="15.75" customHeight="1">
      <c r="A80276" s="7"/>
      <c r="B80276" s="7"/>
    </row>
    <row r="80277" ht="15.75" customHeight="1">
      <c r="A80277" s="7"/>
      <c r="B80277" s="7"/>
    </row>
    <row r="80278" ht="15.75" customHeight="1">
      <c r="A80278" s="7"/>
      <c r="B80278" s="7"/>
    </row>
    <row r="80279" ht="15.75" customHeight="1">
      <c r="A80279" s="7"/>
      <c r="B80279" s="7"/>
    </row>
    <row r="80280" ht="15.75" customHeight="1">
      <c r="A80280" s="7"/>
      <c r="B80280" s="7"/>
    </row>
    <row r="80281" ht="15.75" customHeight="1">
      <c r="A80281" s="7"/>
      <c r="B80281" s="7"/>
    </row>
    <row r="80282" ht="15.75" customHeight="1">
      <c r="A80282" s="7"/>
      <c r="B80282" s="7"/>
    </row>
    <row r="80283" ht="15.75" customHeight="1">
      <c r="A80283" s="7"/>
      <c r="B80283" s="7"/>
    </row>
    <row r="80284" ht="15.75" customHeight="1">
      <c r="A80284" s="7"/>
      <c r="B80284" s="7"/>
    </row>
    <row r="80285" ht="15.75" customHeight="1">
      <c r="A80285" s="7"/>
      <c r="B80285" s="7"/>
    </row>
    <row r="80286" ht="15.75" customHeight="1">
      <c r="A80286" s="7"/>
      <c r="B80286" s="7"/>
    </row>
    <row r="80287" ht="15.75" customHeight="1">
      <c r="A80287" s="7"/>
      <c r="B80287" s="7"/>
    </row>
    <row r="80288" ht="15.75" customHeight="1">
      <c r="A80288" s="7"/>
      <c r="B80288" s="7"/>
    </row>
    <row r="80289" ht="15.75" customHeight="1">
      <c r="A80289" s="7"/>
      <c r="B80289" s="7"/>
    </row>
    <row r="80290" ht="15.75" customHeight="1">
      <c r="A80290" s="7"/>
      <c r="B80290" s="7"/>
    </row>
    <row r="80291" ht="15.75" customHeight="1">
      <c r="A80291" s="7"/>
      <c r="B80291" s="7"/>
    </row>
    <row r="80292" ht="15.75" customHeight="1">
      <c r="A80292" s="7"/>
      <c r="B80292" s="7"/>
    </row>
    <row r="80293" ht="15.75" customHeight="1">
      <c r="A80293" s="7"/>
      <c r="B80293" s="7"/>
    </row>
    <row r="80294" ht="15.75" customHeight="1">
      <c r="A80294" s="7"/>
      <c r="B80294" s="7"/>
    </row>
    <row r="80295" ht="15.75" customHeight="1">
      <c r="A80295" s="7"/>
      <c r="B80295" s="7"/>
    </row>
    <row r="80296" ht="15.75" customHeight="1">
      <c r="A80296" s="7"/>
      <c r="B80296" s="7"/>
    </row>
    <row r="80297" ht="15.75" customHeight="1">
      <c r="A80297" s="7"/>
      <c r="B80297" s="7"/>
    </row>
    <row r="80298" ht="15.75" customHeight="1">
      <c r="A80298" s="7"/>
      <c r="B80298" s="7"/>
    </row>
    <row r="80299" ht="15.75" customHeight="1">
      <c r="A80299" s="7"/>
      <c r="B80299" s="7"/>
    </row>
    <row r="80300" ht="15.75" customHeight="1">
      <c r="A80300" s="7"/>
      <c r="B80300" s="7"/>
    </row>
    <row r="80301" ht="15.75" customHeight="1">
      <c r="A80301" s="7"/>
      <c r="B80301" s="7"/>
    </row>
    <row r="80302" ht="15.75" customHeight="1">
      <c r="A80302" s="7"/>
      <c r="B80302" s="7"/>
    </row>
    <row r="80303" ht="15.75" customHeight="1">
      <c r="A80303" s="7"/>
      <c r="B80303" s="7"/>
    </row>
    <row r="80304" ht="15.75" customHeight="1">
      <c r="A80304" s="7"/>
      <c r="B80304" s="7"/>
    </row>
    <row r="80305" ht="15.75" customHeight="1">
      <c r="A80305" s="7"/>
      <c r="B80305" s="7"/>
    </row>
    <row r="80306" ht="15.75" customHeight="1">
      <c r="A80306" s="7"/>
      <c r="B80306" s="7"/>
    </row>
    <row r="80307" ht="15.75" customHeight="1">
      <c r="A80307" s="7"/>
      <c r="B80307" s="7"/>
    </row>
    <row r="80308" ht="15.75" customHeight="1">
      <c r="A80308" s="7"/>
      <c r="B80308" s="7"/>
    </row>
    <row r="80309" ht="15.75" customHeight="1">
      <c r="A80309" s="7"/>
      <c r="B80309" s="7"/>
    </row>
    <row r="80310" ht="15.75" customHeight="1">
      <c r="A80310" s="7"/>
      <c r="B80310" s="7"/>
    </row>
    <row r="80311" ht="15.75" customHeight="1">
      <c r="A80311" s="7"/>
      <c r="B80311" s="7"/>
    </row>
    <row r="80312" ht="15.75" customHeight="1">
      <c r="A80312" s="7"/>
      <c r="B80312" s="7"/>
    </row>
    <row r="80313" ht="15.75" customHeight="1">
      <c r="A80313" s="7"/>
      <c r="B80313" s="7"/>
    </row>
    <row r="80314" ht="15.75" customHeight="1">
      <c r="A80314" s="7"/>
      <c r="B80314" s="7"/>
    </row>
    <row r="80315" ht="15.75" customHeight="1">
      <c r="A80315" s="7"/>
      <c r="B80315" s="7"/>
    </row>
    <row r="80316" ht="15.75" customHeight="1">
      <c r="A80316" s="7"/>
      <c r="B80316" s="7"/>
    </row>
    <row r="80317" ht="15.75" customHeight="1">
      <c r="A80317" s="7"/>
      <c r="B80317" s="7"/>
    </row>
    <row r="80318" ht="15.75" customHeight="1">
      <c r="A80318" s="7"/>
      <c r="B80318" s="7"/>
    </row>
    <row r="80319" ht="15.75" customHeight="1">
      <c r="A80319" s="7"/>
      <c r="B80319" s="7"/>
    </row>
    <row r="80320" ht="15.75" customHeight="1">
      <c r="A80320" s="7"/>
      <c r="B80320" s="7"/>
    </row>
    <row r="80321" ht="15.75" customHeight="1">
      <c r="A80321" s="7"/>
      <c r="B80321" s="7"/>
    </row>
    <row r="80322" ht="15.75" customHeight="1">
      <c r="A80322" s="7"/>
      <c r="B80322" s="7"/>
    </row>
    <row r="80323" ht="15.75" customHeight="1">
      <c r="A80323" s="7"/>
      <c r="B80323" s="7"/>
    </row>
    <row r="80324" ht="15.75" customHeight="1">
      <c r="A80324" s="7"/>
      <c r="B80324" s="7"/>
    </row>
    <row r="80325" ht="15.75" customHeight="1">
      <c r="A80325" s="7"/>
      <c r="B80325" s="7"/>
    </row>
    <row r="80326" ht="15.75" customHeight="1">
      <c r="A80326" s="7"/>
      <c r="B80326" s="7"/>
    </row>
    <row r="80327" ht="15.75" customHeight="1">
      <c r="A80327" s="7"/>
      <c r="B80327" s="7"/>
    </row>
    <row r="80328" ht="15.75" customHeight="1">
      <c r="A80328" s="7"/>
      <c r="B80328" s="7"/>
    </row>
    <row r="80329" ht="15.75" customHeight="1">
      <c r="A80329" s="7"/>
      <c r="B80329" s="7"/>
    </row>
    <row r="80330" ht="15.75" customHeight="1">
      <c r="A80330" s="7"/>
      <c r="B80330" s="7"/>
    </row>
    <row r="80331" ht="15.75" customHeight="1">
      <c r="A80331" s="7"/>
      <c r="B80331" s="7"/>
    </row>
    <row r="80332" ht="15.75" customHeight="1">
      <c r="A80332" s="7"/>
      <c r="B80332" s="7"/>
    </row>
    <row r="80333" ht="15.75" customHeight="1">
      <c r="A80333" s="7"/>
      <c r="B80333" s="7"/>
    </row>
    <row r="80334" ht="15.75" customHeight="1">
      <c r="A80334" s="7"/>
      <c r="B80334" s="7"/>
    </row>
    <row r="80335" ht="15.75" customHeight="1">
      <c r="A80335" s="7"/>
      <c r="B80335" s="7"/>
    </row>
    <row r="80336" ht="15.75" customHeight="1">
      <c r="A80336" s="7"/>
      <c r="B80336" s="7"/>
    </row>
    <row r="80337" ht="15.75" customHeight="1">
      <c r="A80337" s="7"/>
      <c r="B80337" s="7"/>
    </row>
    <row r="80338" ht="15.75" customHeight="1">
      <c r="A80338" s="7"/>
      <c r="B80338" s="7"/>
    </row>
    <row r="80339" ht="15.75" customHeight="1">
      <c r="A80339" s="7"/>
      <c r="B80339" s="7"/>
    </row>
    <row r="80340" ht="15.75" customHeight="1">
      <c r="A80340" s="7"/>
      <c r="B80340" s="7"/>
    </row>
    <row r="80341" ht="15.75" customHeight="1">
      <c r="A80341" s="7"/>
      <c r="B80341" s="7"/>
    </row>
    <row r="80342" ht="15.75" customHeight="1">
      <c r="A80342" s="7"/>
      <c r="B80342" s="7"/>
    </row>
    <row r="80343" ht="15.75" customHeight="1">
      <c r="A80343" s="7"/>
      <c r="B80343" s="7"/>
    </row>
    <row r="80344" ht="15.75" customHeight="1">
      <c r="A80344" s="7"/>
      <c r="B80344" s="7"/>
    </row>
    <row r="80345" ht="15.75" customHeight="1">
      <c r="A80345" s="7"/>
      <c r="B80345" s="7"/>
    </row>
    <row r="80346" ht="15.75" customHeight="1">
      <c r="A80346" s="7"/>
      <c r="B80346" s="7"/>
    </row>
    <row r="80347" ht="15.75" customHeight="1">
      <c r="A80347" s="7"/>
      <c r="B80347" s="7"/>
    </row>
    <row r="80348" ht="15.75" customHeight="1">
      <c r="A80348" s="7"/>
      <c r="B80348" s="7"/>
    </row>
    <row r="80349" ht="15.75" customHeight="1">
      <c r="A80349" s="7"/>
      <c r="B80349" s="7"/>
    </row>
    <row r="80350" ht="15.75" customHeight="1">
      <c r="A80350" s="7"/>
      <c r="B80350" s="7"/>
    </row>
    <row r="80351" ht="15.75" customHeight="1">
      <c r="A80351" s="7"/>
      <c r="B80351" s="7"/>
    </row>
    <row r="80352" ht="15.75" customHeight="1">
      <c r="A80352" s="7"/>
      <c r="B80352" s="7"/>
    </row>
    <row r="80353" ht="15.75" customHeight="1">
      <c r="A80353" s="7"/>
      <c r="B80353" s="7"/>
    </row>
    <row r="80354" ht="15.75" customHeight="1">
      <c r="A80354" s="7"/>
      <c r="B80354" s="7"/>
    </row>
    <row r="80355" ht="15.75" customHeight="1">
      <c r="A80355" s="7"/>
      <c r="B80355" s="7"/>
    </row>
    <row r="80356" ht="15.75" customHeight="1">
      <c r="A80356" s="7"/>
      <c r="B80356" s="7"/>
    </row>
    <row r="80357" ht="15.75" customHeight="1">
      <c r="A80357" s="7"/>
      <c r="B80357" s="7"/>
    </row>
    <row r="80358" ht="15.75" customHeight="1">
      <c r="A80358" s="7"/>
      <c r="B80358" s="7"/>
    </row>
    <row r="80359" ht="15.75" customHeight="1">
      <c r="A80359" s="7"/>
      <c r="B80359" s="7"/>
    </row>
    <row r="80360" ht="15.75" customHeight="1">
      <c r="A80360" s="7"/>
      <c r="B80360" s="7"/>
    </row>
    <row r="80361" ht="15.75" customHeight="1">
      <c r="A80361" s="7"/>
      <c r="B80361" s="7"/>
    </row>
    <row r="80362" ht="15.75" customHeight="1">
      <c r="A80362" s="7"/>
      <c r="B80362" s="7"/>
    </row>
    <row r="80363" ht="15.75" customHeight="1">
      <c r="A80363" s="7"/>
      <c r="B80363" s="7"/>
    </row>
    <row r="80364" ht="15.75" customHeight="1">
      <c r="A80364" s="7"/>
      <c r="B80364" s="7"/>
    </row>
    <row r="80365" ht="15.75" customHeight="1">
      <c r="A80365" s="7"/>
      <c r="B80365" s="7"/>
    </row>
    <row r="80366" ht="15.75" customHeight="1">
      <c r="A80366" s="7"/>
      <c r="B80366" s="7"/>
    </row>
    <row r="80367" ht="15.75" customHeight="1">
      <c r="A80367" s="7"/>
      <c r="B80367" s="7"/>
    </row>
    <row r="80368" ht="15.75" customHeight="1">
      <c r="A80368" s="7"/>
      <c r="B80368" s="7"/>
    </row>
    <row r="80369" ht="15.75" customHeight="1">
      <c r="A80369" s="7"/>
      <c r="B80369" s="7"/>
    </row>
    <row r="80370" ht="15.75" customHeight="1">
      <c r="A80370" s="7"/>
      <c r="B80370" s="7"/>
    </row>
    <row r="80371" ht="15.75" customHeight="1">
      <c r="A80371" s="7"/>
      <c r="B80371" s="7"/>
    </row>
    <row r="80372" ht="15.75" customHeight="1">
      <c r="A80372" s="7"/>
      <c r="B80372" s="7"/>
    </row>
    <row r="80373" ht="15.75" customHeight="1">
      <c r="A80373" s="7"/>
      <c r="B80373" s="7"/>
    </row>
    <row r="80374" ht="15.75" customHeight="1">
      <c r="A80374" s="7"/>
      <c r="B80374" s="7"/>
    </row>
    <row r="80375" ht="15.75" customHeight="1">
      <c r="A80375" s="7"/>
      <c r="B80375" s="7"/>
    </row>
    <row r="80376" ht="15.75" customHeight="1">
      <c r="A80376" s="7"/>
      <c r="B80376" s="7"/>
    </row>
    <row r="80377" ht="15.75" customHeight="1">
      <c r="A80377" s="7"/>
      <c r="B80377" s="7"/>
    </row>
    <row r="80378" ht="15.75" customHeight="1">
      <c r="A80378" s="7"/>
      <c r="B80378" s="7"/>
    </row>
    <row r="80379" ht="15.75" customHeight="1">
      <c r="A80379" s="7"/>
      <c r="B80379" s="7"/>
    </row>
    <row r="80380" ht="15.75" customHeight="1">
      <c r="A80380" s="7"/>
      <c r="B80380" s="7"/>
    </row>
    <row r="80381" ht="15.75" customHeight="1">
      <c r="A80381" s="7"/>
      <c r="B80381" s="7"/>
    </row>
    <row r="80382" ht="15.75" customHeight="1">
      <c r="A80382" s="7"/>
      <c r="B80382" s="7"/>
    </row>
    <row r="80383" ht="15.75" customHeight="1">
      <c r="A80383" s="7"/>
      <c r="B80383" s="7"/>
    </row>
    <row r="80384" ht="15.75" customHeight="1">
      <c r="A80384" s="7"/>
      <c r="B80384" s="7"/>
    </row>
    <row r="80385" ht="15.75" customHeight="1">
      <c r="A80385" s="7"/>
      <c r="B80385" s="7"/>
    </row>
    <row r="80386" ht="15.75" customHeight="1">
      <c r="A80386" s="7"/>
      <c r="B80386" s="7"/>
    </row>
    <row r="80387" ht="15.75" customHeight="1">
      <c r="A80387" s="7"/>
      <c r="B80387" s="7"/>
    </row>
    <row r="80388" ht="15.75" customHeight="1">
      <c r="A80388" s="7"/>
      <c r="B80388" s="7"/>
    </row>
    <row r="80389" ht="15.75" customHeight="1">
      <c r="A80389" s="7"/>
      <c r="B80389" s="7"/>
    </row>
    <row r="80390" ht="15.75" customHeight="1">
      <c r="A80390" s="7"/>
      <c r="B80390" s="7"/>
    </row>
    <row r="80391" ht="15.75" customHeight="1">
      <c r="A80391" s="7"/>
      <c r="B80391" s="7"/>
    </row>
    <row r="80392" ht="15.75" customHeight="1">
      <c r="A80392" s="7"/>
      <c r="B80392" s="7"/>
    </row>
    <row r="80393" ht="15.75" customHeight="1">
      <c r="A80393" s="7"/>
      <c r="B80393" s="7"/>
    </row>
    <row r="80394" ht="15.75" customHeight="1">
      <c r="A80394" s="7"/>
      <c r="B80394" s="7"/>
    </row>
    <row r="80395" ht="15.75" customHeight="1">
      <c r="A80395" s="7"/>
      <c r="B80395" s="7"/>
    </row>
    <row r="80396" ht="15.75" customHeight="1">
      <c r="A80396" s="7"/>
      <c r="B80396" s="7"/>
    </row>
    <row r="80397" ht="15.75" customHeight="1">
      <c r="A80397" s="7"/>
      <c r="B80397" s="7"/>
    </row>
    <row r="80398" ht="15.75" customHeight="1">
      <c r="A80398" s="7"/>
      <c r="B80398" s="7"/>
    </row>
    <row r="80399" ht="15.75" customHeight="1">
      <c r="A80399" s="7"/>
      <c r="B80399" s="7"/>
    </row>
    <row r="80400" ht="15.75" customHeight="1">
      <c r="A80400" s="7"/>
      <c r="B80400" s="7"/>
    </row>
    <row r="80401" ht="15.75" customHeight="1">
      <c r="A80401" s="7"/>
      <c r="B80401" s="7"/>
    </row>
    <row r="80402" ht="15.75" customHeight="1">
      <c r="A80402" s="7"/>
      <c r="B80402" s="7"/>
    </row>
    <row r="80403" ht="15.75" customHeight="1">
      <c r="A80403" s="7"/>
      <c r="B80403" s="7"/>
    </row>
    <row r="80404" ht="15.75" customHeight="1">
      <c r="A80404" s="7"/>
      <c r="B80404" s="7"/>
    </row>
    <row r="80405" ht="15.75" customHeight="1">
      <c r="A80405" s="7"/>
      <c r="B80405" s="7"/>
    </row>
    <row r="80406" ht="15.75" customHeight="1">
      <c r="A80406" s="7"/>
      <c r="B80406" s="7"/>
    </row>
    <row r="80407" ht="15.75" customHeight="1">
      <c r="A80407" s="7"/>
      <c r="B80407" s="7"/>
    </row>
    <row r="80408" ht="15.75" customHeight="1">
      <c r="A80408" s="7"/>
      <c r="B80408" s="7"/>
    </row>
    <row r="80409" ht="15.75" customHeight="1">
      <c r="A80409" s="7"/>
      <c r="B80409" s="7"/>
    </row>
    <row r="80410" ht="15.75" customHeight="1">
      <c r="A80410" s="7"/>
      <c r="B80410" s="7"/>
    </row>
    <row r="80411" ht="15.75" customHeight="1">
      <c r="A80411" s="7"/>
      <c r="B80411" s="7"/>
    </row>
    <row r="80412" ht="15.75" customHeight="1">
      <c r="A80412" s="7"/>
      <c r="B80412" s="7"/>
    </row>
    <row r="80413" ht="15.75" customHeight="1">
      <c r="A80413" s="7"/>
      <c r="B80413" s="7"/>
    </row>
    <row r="80414" ht="15.75" customHeight="1">
      <c r="A80414" s="7"/>
      <c r="B80414" s="7"/>
    </row>
    <row r="80415" ht="15.75" customHeight="1">
      <c r="A80415" s="7"/>
      <c r="B80415" s="7"/>
    </row>
    <row r="80416" ht="15.75" customHeight="1">
      <c r="A80416" s="7"/>
      <c r="B80416" s="7"/>
    </row>
    <row r="80417" ht="15.75" customHeight="1">
      <c r="A80417" s="7"/>
      <c r="B80417" s="7"/>
    </row>
    <row r="80418" ht="15.75" customHeight="1">
      <c r="A80418" s="7"/>
      <c r="B80418" s="7"/>
    </row>
    <row r="80419" ht="15.75" customHeight="1">
      <c r="A80419" s="7"/>
      <c r="B80419" s="7"/>
    </row>
    <row r="80420" ht="15.75" customHeight="1">
      <c r="A80420" s="7"/>
      <c r="B80420" s="7"/>
    </row>
    <row r="80421" ht="15.75" customHeight="1">
      <c r="A80421" s="7"/>
      <c r="B80421" s="7"/>
    </row>
    <row r="80422" ht="15.75" customHeight="1">
      <c r="A80422" s="7"/>
      <c r="B80422" s="7"/>
    </row>
    <row r="80423" ht="15.75" customHeight="1">
      <c r="A80423" s="7"/>
      <c r="B80423" s="7"/>
    </row>
    <row r="80424" ht="15.75" customHeight="1">
      <c r="A80424" s="7"/>
      <c r="B80424" s="7"/>
    </row>
    <row r="80425" ht="15.75" customHeight="1">
      <c r="A80425" s="7"/>
      <c r="B80425" s="7"/>
    </row>
    <row r="80426" ht="15.75" customHeight="1">
      <c r="A80426" s="7"/>
      <c r="B80426" s="7"/>
    </row>
    <row r="80427" ht="15.75" customHeight="1">
      <c r="A80427" s="7"/>
      <c r="B80427" s="7"/>
    </row>
    <row r="80428" ht="15.75" customHeight="1">
      <c r="A80428" s="7"/>
      <c r="B80428" s="7"/>
    </row>
    <row r="80429" ht="15.75" customHeight="1">
      <c r="A80429" s="7"/>
      <c r="B80429" s="7"/>
    </row>
    <row r="80430" ht="15.75" customHeight="1">
      <c r="A80430" s="7"/>
      <c r="B80430" s="7"/>
    </row>
    <row r="80431" ht="15.75" customHeight="1">
      <c r="A80431" s="7"/>
      <c r="B80431" s="7"/>
    </row>
    <row r="80432" ht="15.75" customHeight="1">
      <c r="A80432" s="7"/>
      <c r="B80432" s="7"/>
    </row>
    <row r="80433" ht="15.75" customHeight="1">
      <c r="A80433" s="7"/>
      <c r="B80433" s="7"/>
    </row>
    <row r="80434" ht="15.75" customHeight="1">
      <c r="A80434" s="7"/>
      <c r="B80434" s="7"/>
    </row>
    <row r="80435" ht="15.75" customHeight="1">
      <c r="A80435" s="7"/>
      <c r="B80435" s="7"/>
    </row>
    <row r="80436" ht="15.75" customHeight="1">
      <c r="A80436" s="7"/>
      <c r="B80436" s="7"/>
    </row>
    <row r="80437" ht="15.75" customHeight="1">
      <c r="A80437" s="7"/>
      <c r="B80437" s="7"/>
    </row>
    <row r="80438" ht="15.75" customHeight="1">
      <c r="A80438" s="7"/>
      <c r="B80438" s="7"/>
    </row>
    <row r="80439" ht="15.75" customHeight="1">
      <c r="A80439" s="7"/>
      <c r="B80439" s="7"/>
    </row>
    <row r="80440" ht="15.75" customHeight="1">
      <c r="A80440" s="7"/>
      <c r="B80440" s="7"/>
    </row>
    <row r="80441" ht="15.75" customHeight="1">
      <c r="A80441" s="7"/>
      <c r="B80441" s="7"/>
    </row>
    <row r="80442" ht="15.75" customHeight="1">
      <c r="A80442" s="7"/>
      <c r="B80442" s="7"/>
    </row>
    <row r="80443" ht="15.75" customHeight="1">
      <c r="A80443" s="7"/>
      <c r="B80443" s="7"/>
    </row>
    <row r="80444" ht="15.75" customHeight="1">
      <c r="A80444" s="7"/>
      <c r="B80444" s="7"/>
    </row>
    <row r="80445" ht="15.75" customHeight="1">
      <c r="A80445" s="7"/>
      <c r="B80445" s="7"/>
    </row>
    <row r="80446" ht="15.75" customHeight="1">
      <c r="A80446" s="7"/>
      <c r="B80446" s="7"/>
    </row>
    <row r="80447" ht="15.75" customHeight="1">
      <c r="A80447" s="7"/>
      <c r="B80447" s="7"/>
    </row>
    <row r="80448" ht="15.75" customHeight="1">
      <c r="A80448" s="7"/>
      <c r="B80448" s="7"/>
    </row>
    <row r="80449" ht="15.75" customHeight="1">
      <c r="A80449" s="7"/>
      <c r="B80449" s="7"/>
    </row>
    <row r="80450" ht="15.75" customHeight="1">
      <c r="A80450" s="7"/>
      <c r="B80450" s="7"/>
    </row>
    <row r="80451" ht="15.75" customHeight="1">
      <c r="A80451" s="7"/>
      <c r="B80451" s="7"/>
    </row>
    <row r="80452" ht="15.75" customHeight="1">
      <c r="A80452" s="7"/>
      <c r="B80452" s="7"/>
    </row>
    <row r="80453" ht="15.75" customHeight="1">
      <c r="A80453" s="7"/>
      <c r="B80453" s="7"/>
    </row>
    <row r="80454" ht="15.75" customHeight="1">
      <c r="A80454" s="7"/>
      <c r="B80454" s="7"/>
    </row>
    <row r="80455" ht="15.75" customHeight="1">
      <c r="A80455" s="7"/>
      <c r="B80455" s="7"/>
    </row>
    <row r="80456" ht="15.75" customHeight="1">
      <c r="A80456" s="7"/>
      <c r="B80456" s="7"/>
    </row>
    <row r="80457" ht="15.75" customHeight="1">
      <c r="A80457" s="7"/>
      <c r="B80457" s="7"/>
    </row>
    <row r="80458" ht="15.75" customHeight="1">
      <c r="A80458" s="7"/>
      <c r="B80458" s="7"/>
    </row>
    <row r="80459" ht="15.75" customHeight="1">
      <c r="A80459" s="7"/>
      <c r="B80459" s="7"/>
    </row>
    <row r="80460" ht="15.75" customHeight="1">
      <c r="A80460" s="7"/>
      <c r="B80460" s="7"/>
    </row>
    <row r="80461" ht="15.75" customHeight="1">
      <c r="A80461" s="7"/>
      <c r="B80461" s="7"/>
    </row>
    <row r="80462" ht="15.75" customHeight="1">
      <c r="A80462" s="7"/>
      <c r="B80462" s="7"/>
    </row>
    <row r="80463" ht="15.75" customHeight="1">
      <c r="A80463" s="7"/>
      <c r="B80463" s="7"/>
    </row>
    <row r="80464" ht="15.75" customHeight="1">
      <c r="A80464" s="7"/>
      <c r="B80464" s="7"/>
    </row>
    <row r="80465" ht="15.75" customHeight="1">
      <c r="A80465" s="7"/>
      <c r="B80465" s="7"/>
    </row>
    <row r="80466" ht="15.75" customHeight="1">
      <c r="A80466" s="7"/>
      <c r="B80466" s="7"/>
    </row>
    <row r="80467" ht="15.75" customHeight="1">
      <c r="A80467" s="7"/>
      <c r="B80467" s="7"/>
    </row>
    <row r="80468" ht="15.75" customHeight="1">
      <c r="A80468" s="7"/>
      <c r="B80468" s="7"/>
    </row>
    <row r="80469" ht="15.75" customHeight="1">
      <c r="A80469" s="7"/>
      <c r="B80469" s="7"/>
    </row>
    <row r="80470" ht="15.75" customHeight="1">
      <c r="A80470" s="7"/>
      <c r="B80470" s="7"/>
    </row>
    <row r="80471" ht="15.75" customHeight="1">
      <c r="A80471" s="7"/>
      <c r="B80471" s="7"/>
    </row>
    <row r="80472" ht="15.75" customHeight="1">
      <c r="A80472" s="7"/>
      <c r="B80472" s="7"/>
    </row>
    <row r="80473" ht="15.75" customHeight="1">
      <c r="A80473" s="7"/>
      <c r="B80473" s="7"/>
    </row>
    <row r="80474" ht="15.75" customHeight="1">
      <c r="A80474" s="7"/>
      <c r="B80474" s="7"/>
    </row>
    <row r="80475" ht="15.75" customHeight="1">
      <c r="A80475" s="7"/>
      <c r="B80475" s="7"/>
    </row>
    <row r="80476" ht="15.75" customHeight="1">
      <c r="A80476" s="7"/>
      <c r="B80476" s="7"/>
    </row>
    <row r="80477" ht="15.75" customHeight="1">
      <c r="A80477" s="7"/>
      <c r="B80477" s="7"/>
    </row>
    <row r="80478" ht="15.75" customHeight="1">
      <c r="A80478" s="7"/>
      <c r="B80478" s="7"/>
    </row>
    <row r="80479" ht="15.75" customHeight="1">
      <c r="A80479" s="7"/>
      <c r="B80479" s="7"/>
    </row>
    <row r="80480" ht="15.75" customHeight="1">
      <c r="A80480" s="7"/>
      <c r="B80480" s="7"/>
    </row>
    <row r="80481" ht="15.75" customHeight="1">
      <c r="A80481" s="7"/>
      <c r="B80481" s="7"/>
    </row>
    <row r="80482" ht="15.75" customHeight="1">
      <c r="A80482" s="7"/>
      <c r="B80482" s="7"/>
    </row>
    <row r="80483" ht="15.75" customHeight="1">
      <c r="A80483" s="7"/>
      <c r="B80483" s="7"/>
    </row>
    <row r="80484" ht="15.75" customHeight="1">
      <c r="A80484" s="7"/>
      <c r="B80484" s="7"/>
    </row>
    <row r="80485" ht="15.75" customHeight="1">
      <c r="A80485" s="7"/>
      <c r="B80485" s="7"/>
    </row>
    <row r="80486" ht="15.75" customHeight="1">
      <c r="A80486" s="7"/>
      <c r="B80486" s="7"/>
    </row>
    <row r="80487" ht="15.75" customHeight="1">
      <c r="A80487" s="7"/>
      <c r="B80487" s="7"/>
    </row>
    <row r="80488" ht="15.75" customHeight="1">
      <c r="A80488" s="7"/>
      <c r="B80488" s="7"/>
    </row>
    <row r="80489" ht="15.75" customHeight="1">
      <c r="A80489" s="7"/>
      <c r="B80489" s="7"/>
    </row>
    <row r="80490" ht="15.75" customHeight="1">
      <c r="A80490" s="7"/>
      <c r="B80490" s="7"/>
    </row>
    <row r="80491" ht="15.75" customHeight="1">
      <c r="A80491" s="7"/>
      <c r="B80491" s="7"/>
    </row>
    <row r="80492" ht="15.75" customHeight="1">
      <c r="A80492" s="7"/>
      <c r="B80492" s="7"/>
    </row>
    <row r="80493" ht="15.75" customHeight="1">
      <c r="A80493" s="7"/>
      <c r="B80493" s="7"/>
    </row>
    <row r="80494" ht="15.75" customHeight="1">
      <c r="A80494" s="7"/>
      <c r="B80494" s="7"/>
    </row>
    <row r="80495" ht="15.75" customHeight="1">
      <c r="A80495" s="7"/>
      <c r="B80495" s="7"/>
    </row>
    <row r="80496" ht="15.75" customHeight="1">
      <c r="A80496" s="7"/>
      <c r="B80496" s="7"/>
    </row>
    <row r="80497" ht="15.75" customHeight="1">
      <c r="A80497" s="7"/>
      <c r="B80497" s="7"/>
    </row>
    <row r="80498" ht="15.75" customHeight="1">
      <c r="A80498" s="7"/>
      <c r="B80498" s="7"/>
    </row>
    <row r="80499" ht="15.75" customHeight="1">
      <c r="A80499" s="7"/>
      <c r="B80499" s="7"/>
    </row>
    <row r="80500" ht="15.75" customHeight="1">
      <c r="A80500" s="7"/>
      <c r="B80500" s="7"/>
    </row>
    <row r="80501" ht="15.75" customHeight="1">
      <c r="A80501" s="7"/>
      <c r="B80501" s="7"/>
    </row>
    <row r="80502" ht="15.75" customHeight="1">
      <c r="A80502" s="7"/>
      <c r="B80502" s="7"/>
    </row>
    <row r="80503" ht="15.75" customHeight="1">
      <c r="A80503" s="7"/>
      <c r="B80503" s="7"/>
    </row>
    <row r="80504" ht="15.75" customHeight="1">
      <c r="A80504" s="7"/>
      <c r="B80504" s="7"/>
    </row>
    <row r="80505" ht="15.75" customHeight="1">
      <c r="A80505" s="7"/>
      <c r="B80505" s="7"/>
    </row>
    <row r="80506" ht="15.75" customHeight="1">
      <c r="A80506" s="7"/>
      <c r="B80506" s="7"/>
    </row>
    <row r="80507" ht="15.75" customHeight="1">
      <c r="A80507" s="7"/>
      <c r="B80507" s="7"/>
    </row>
    <row r="80508" ht="15.75" customHeight="1">
      <c r="A80508" s="7"/>
      <c r="B80508" s="7"/>
    </row>
    <row r="80509" ht="15.75" customHeight="1">
      <c r="A80509" s="7"/>
      <c r="B80509" s="7"/>
    </row>
    <row r="80510" ht="15.75" customHeight="1">
      <c r="A80510" s="7"/>
      <c r="B80510" s="7"/>
    </row>
    <row r="80511" ht="15.75" customHeight="1">
      <c r="A80511" s="7"/>
      <c r="B80511" s="7"/>
    </row>
    <row r="80512" ht="15.75" customHeight="1">
      <c r="A80512" s="7"/>
      <c r="B80512" s="7"/>
    </row>
    <row r="80513" ht="15.75" customHeight="1">
      <c r="A80513" s="7"/>
      <c r="B80513" s="7"/>
    </row>
    <row r="80514" ht="15.75" customHeight="1">
      <c r="A80514" s="7"/>
      <c r="B80514" s="7"/>
    </row>
    <row r="80515" ht="15.75" customHeight="1">
      <c r="A80515" s="7"/>
      <c r="B80515" s="7"/>
    </row>
    <row r="80516" ht="15.75" customHeight="1">
      <c r="A80516" s="7"/>
      <c r="B80516" s="7"/>
    </row>
    <row r="80517" ht="15.75" customHeight="1">
      <c r="A80517" s="7"/>
      <c r="B80517" s="7"/>
    </row>
    <row r="80518" ht="15.75" customHeight="1">
      <c r="A80518" s="7"/>
      <c r="B80518" s="7"/>
    </row>
    <row r="80519" ht="15.75" customHeight="1">
      <c r="A80519" s="7"/>
      <c r="B80519" s="7"/>
    </row>
    <row r="80520" ht="15.75" customHeight="1">
      <c r="A80520" s="7"/>
      <c r="B80520" s="7"/>
    </row>
    <row r="80521" ht="15.75" customHeight="1">
      <c r="A80521" s="7"/>
      <c r="B80521" s="7"/>
    </row>
    <row r="80522" ht="15.75" customHeight="1">
      <c r="A80522" s="7"/>
      <c r="B80522" s="7"/>
    </row>
    <row r="80523" ht="15.75" customHeight="1">
      <c r="A80523" s="7"/>
      <c r="B80523" s="7"/>
    </row>
    <row r="80524" ht="15.75" customHeight="1">
      <c r="A80524" s="7"/>
      <c r="B80524" s="7"/>
    </row>
    <row r="80525" ht="15.75" customHeight="1">
      <c r="A80525" s="7"/>
      <c r="B80525" s="7"/>
    </row>
    <row r="80526" ht="15.75" customHeight="1">
      <c r="A80526" s="7"/>
      <c r="B80526" s="7"/>
    </row>
    <row r="80527" ht="15.75" customHeight="1">
      <c r="A80527" s="7"/>
      <c r="B80527" s="7"/>
    </row>
    <row r="80528" ht="15.75" customHeight="1">
      <c r="A80528" s="7"/>
      <c r="B80528" s="7"/>
    </row>
    <row r="80529" ht="15.75" customHeight="1">
      <c r="A80529" s="7"/>
      <c r="B80529" s="7"/>
    </row>
    <row r="80530" ht="15.75" customHeight="1">
      <c r="A80530" s="7"/>
      <c r="B80530" s="7"/>
    </row>
    <row r="80531" ht="15.75" customHeight="1">
      <c r="A80531" s="7"/>
      <c r="B80531" s="7"/>
    </row>
    <row r="80532" ht="15.75" customHeight="1">
      <c r="A80532" s="7"/>
      <c r="B80532" s="7"/>
    </row>
    <row r="80533" ht="15.75" customHeight="1">
      <c r="A80533" s="7"/>
      <c r="B80533" s="7"/>
    </row>
    <row r="80534" ht="15.75" customHeight="1">
      <c r="A80534" s="7"/>
      <c r="B80534" s="7"/>
    </row>
    <row r="80535" ht="15.75" customHeight="1">
      <c r="A80535" s="7"/>
      <c r="B80535" s="7"/>
    </row>
    <row r="80536" ht="15.75" customHeight="1">
      <c r="A80536" s="7"/>
      <c r="B80536" s="7"/>
    </row>
    <row r="80537" ht="15.75" customHeight="1">
      <c r="A80537" s="7"/>
      <c r="B80537" s="7"/>
    </row>
    <row r="80538" ht="15.75" customHeight="1">
      <c r="A80538" s="7"/>
      <c r="B80538" s="7"/>
    </row>
    <row r="80539" ht="15.75" customHeight="1">
      <c r="A80539" s="7"/>
      <c r="B80539" s="7"/>
    </row>
    <row r="80540" ht="15.75" customHeight="1">
      <c r="A80540" s="7"/>
      <c r="B80540" s="7"/>
    </row>
    <row r="80541" ht="15.75" customHeight="1">
      <c r="A80541" s="7"/>
      <c r="B80541" s="7"/>
    </row>
    <row r="80542" ht="15.75" customHeight="1">
      <c r="A80542" s="7"/>
      <c r="B80542" s="7"/>
    </row>
    <row r="80543" ht="15.75" customHeight="1">
      <c r="A80543" s="7"/>
      <c r="B80543" s="7"/>
    </row>
    <row r="80544" ht="15.75" customHeight="1">
      <c r="A80544" s="7"/>
      <c r="B80544" s="7"/>
    </row>
    <row r="80545" ht="15.75" customHeight="1">
      <c r="A80545" s="7"/>
      <c r="B80545" s="7"/>
    </row>
    <row r="80546" ht="15.75" customHeight="1">
      <c r="A80546" s="7"/>
      <c r="B80546" s="7"/>
    </row>
    <row r="80547" ht="15.75" customHeight="1">
      <c r="A80547" s="7"/>
      <c r="B80547" s="7"/>
    </row>
    <row r="80548" ht="15.75" customHeight="1">
      <c r="A80548" s="7"/>
      <c r="B80548" s="7"/>
    </row>
    <row r="80549" ht="15.75" customHeight="1">
      <c r="A80549" s="7"/>
      <c r="B80549" s="7"/>
    </row>
    <row r="80550" ht="15.75" customHeight="1">
      <c r="A80550" s="7"/>
      <c r="B80550" s="7"/>
    </row>
    <row r="80551" ht="15.75" customHeight="1">
      <c r="A80551" s="7"/>
      <c r="B80551" s="7"/>
    </row>
    <row r="80552" ht="15.75" customHeight="1">
      <c r="A80552" s="7"/>
      <c r="B80552" s="7"/>
    </row>
    <row r="80553" ht="15.75" customHeight="1">
      <c r="A80553" s="7"/>
      <c r="B80553" s="7"/>
    </row>
    <row r="80554" ht="15.75" customHeight="1">
      <c r="A80554" s="7"/>
      <c r="B80554" s="7"/>
    </row>
    <row r="80555" ht="15.75" customHeight="1">
      <c r="A80555" s="7"/>
      <c r="B80555" s="7"/>
    </row>
    <row r="80556" ht="15.75" customHeight="1">
      <c r="A80556" s="7"/>
      <c r="B80556" s="7"/>
    </row>
    <row r="80557" ht="15.75" customHeight="1">
      <c r="A80557" s="7"/>
      <c r="B80557" s="7"/>
    </row>
    <row r="80558" ht="15.75" customHeight="1">
      <c r="A80558" s="7"/>
      <c r="B80558" s="7"/>
    </row>
    <row r="80559" ht="15.75" customHeight="1">
      <c r="A80559" s="7"/>
      <c r="B80559" s="7"/>
    </row>
    <row r="80560" ht="15.75" customHeight="1">
      <c r="A80560" s="7"/>
      <c r="B80560" s="7"/>
    </row>
    <row r="80561" ht="15.75" customHeight="1">
      <c r="A80561" s="7"/>
      <c r="B80561" s="7"/>
    </row>
    <row r="80562" ht="15.75" customHeight="1">
      <c r="A80562" s="7"/>
      <c r="B80562" s="7"/>
    </row>
    <row r="80563" ht="15.75" customHeight="1">
      <c r="A80563" s="7"/>
      <c r="B80563" s="7"/>
    </row>
    <row r="80564" ht="15.75" customHeight="1">
      <c r="A80564" s="7"/>
      <c r="B80564" s="7"/>
    </row>
    <row r="80565" ht="15.75" customHeight="1">
      <c r="A80565" s="7"/>
      <c r="B80565" s="7"/>
    </row>
    <row r="80566" ht="15.75" customHeight="1">
      <c r="A80566" s="7"/>
      <c r="B80566" s="7"/>
    </row>
    <row r="80567" ht="15.75" customHeight="1">
      <c r="A80567" s="7"/>
      <c r="B80567" s="7"/>
    </row>
    <row r="80568" ht="15.75" customHeight="1">
      <c r="A80568" s="7"/>
      <c r="B80568" s="7"/>
    </row>
    <row r="80569" ht="15.75" customHeight="1">
      <c r="A80569" s="7"/>
      <c r="B80569" s="7"/>
    </row>
    <row r="80570" ht="15.75" customHeight="1">
      <c r="A80570" s="7"/>
      <c r="B80570" s="7"/>
    </row>
    <row r="80571" ht="15.75" customHeight="1">
      <c r="A80571" s="7"/>
      <c r="B80571" s="7"/>
    </row>
    <row r="80572" ht="15.75" customHeight="1">
      <c r="A80572" s="7"/>
      <c r="B80572" s="7"/>
    </row>
    <row r="80573" ht="15.75" customHeight="1">
      <c r="A80573" s="7"/>
      <c r="B80573" s="7"/>
    </row>
    <row r="80574" ht="15.75" customHeight="1">
      <c r="A80574" s="7"/>
      <c r="B80574" s="7"/>
    </row>
    <row r="80575" ht="15.75" customHeight="1">
      <c r="A80575" s="7"/>
      <c r="B80575" s="7"/>
    </row>
    <row r="80576" ht="15.75" customHeight="1">
      <c r="A80576" s="7"/>
      <c r="B80576" s="7"/>
    </row>
    <row r="80577" ht="15.75" customHeight="1">
      <c r="A80577" s="7"/>
      <c r="B80577" s="7"/>
    </row>
    <row r="80578" ht="15.75" customHeight="1">
      <c r="A80578" s="7"/>
      <c r="B80578" s="7"/>
    </row>
    <row r="80579" ht="15.75" customHeight="1">
      <c r="A80579" s="7"/>
      <c r="B80579" s="7"/>
    </row>
    <row r="80580" ht="15.75" customHeight="1">
      <c r="A80580" s="7"/>
      <c r="B80580" s="7"/>
    </row>
    <row r="80581" ht="15.75" customHeight="1">
      <c r="A80581" s="7"/>
      <c r="B80581" s="7"/>
    </row>
    <row r="80582" ht="15.75" customHeight="1">
      <c r="A80582" s="7"/>
      <c r="B80582" s="7"/>
    </row>
    <row r="80583" ht="15.75" customHeight="1">
      <c r="A80583" s="7"/>
      <c r="B80583" s="7"/>
    </row>
    <row r="80584" ht="15.75" customHeight="1">
      <c r="A80584" s="7"/>
      <c r="B80584" s="7"/>
    </row>
    <row r="80585" ht="15.75" customHeight="1">
      <c r="A80585" s="7"/>
      <c r="B80585" s="7"/>
    </row>
    <row r="80586" ht="15.75" customHeight="1">
      <c r="A80586" s="7"/>
      <c r="B80586" s="7"/>
    </row>
    <row r="80587" ht="15.75" customHeight="1">
      <c r="A80587" s="7"/>
      <c r="B80587" s="7"/>
    </row>
    <row r="80588" ht="15.75" customHeight="1">
      <c r="A80588" s="7"/>
      <c r="B80588" s="7"/>
    </row>
    <row r="80589" ht="15.75" customHeight="1">
      <c r="A80589" s="7"/>
      <c r="B80589" s="7"/>
    </row>
    <row r="80590" ht="15.75" customHeight="1">
      <c r="A80590" s="7"/>
      <c r="B80590" s="7"/>
    </row>
    <row r="80591" ht="15.75" customHeight="1">
      <c r="A80591" s="7"/>
      <c r="B80591" s="7"/>
    </row>
    <row r="80592" ht="15.75" customHeight="1">
      <c r="A80592" s="7"/>
      <c r="B80592" s="7"/>
    </row>
    <row r="80593" ht="15.75" customHeight="1">
      <c r="A80593" s="7"/>
      <c r="B80593" s="7"/>
    </row>
    <row r="80594" ht="15.75" customHeight="1">
      <c r="A80594" s="7"/>
      <c r="B80594" s="7"/>
    </row>
    <row r="80595" ht="15.75" customHeight="1">
      <c r="A80595" s="7"/>
      <c r="B80595" s="7"/>
    </row>
    <row r="80596" ht="15.75" customHeight="1">
      <c r="A80596" s="7"/>
      <c r="B80596" s="7"/>
    </row>
    <row r="80597" ht="15.75" customHeight="1">
      <c r="A80597" s="7"/>
      <c r="B80597" s="7"/>
    </row>
    <row r="80598" ht="15.75" customHeight="1">
      <c r="A80598" s="7"/>
      <c r="B80598" s="7"/>
    </row>
    <row r="80599" ht="15.75" customHeight="1">
      <c r="A80599" s="7"/>
      <c r="B80599" s="7"/>
    </row>
    <row r="80600" ht="15.75" customHeight="1">
      <c r="A80600" s="7"/>
      <c r="B80600" s="7"/>
    </row>
    <row r="80601" ht="15.75" customHeight="1">
      <c r="A80601" s="7"/>
      <c r="B80601" s="7"/>
    </row>
    <row r="80602" ht="15.75" customHeight="1">
      <c r="A80602" s="7"/>
      <c r="B80602" s="7"/>
    </row>
    <row r="80603" ht="15.75" customHeight="1">
      <c r="A80603" s="7"/>
      <c r="B80603" s="7"/>
    </row>
    <row r="80604" ht="15.75" customHeight="1">
      <c r="A80604" s="7"/>
      <c r="B80604" s="7"/>
    </row>
    <row r="80605" ht="15.75" customHeight="1">
      <c r="A80605" s="7"/>
      <c r="B80605" s="7"/>
    </row>
    <row r="80606" ht="15.75" customHeight="1">
      <c r="A80606" s="7"/>
      <c r="B80606" s="7"/>
    </row>
    <row r="80607" ht="15.75" customHeight="1">
      <c r="A80607" s="7"/>
      <c r="B80607" s="7"/>
    </row>
    <row r="80608" ht="15.75" customHeight="1">
      <c r="A80608" s="7"/>
      <c r="B80608" s="7"/>
    </row>
    <row r="80609" ht="15.75" customHeight="1">
      <c r="A80609" s="7"/>
      <c r="B80609" s="7"/>
    </row>
    <row r="80610" ht="15.75" customHeight="1">
      <c r="A80610" s="7"/>
      <c r="B80610" s="7"/>
    </row>
    <row r="80611" ht="15.75" customHeight="1">
      <c r="A80611" s="7"/>
      <c r="B80611" s="7"/>
    </row>
    <row r="80612" ht="15.75" customHeight="1">
      <c r="A80612" s="7"/>
      <c r="B80612" s="7"/>
    </row>
    <row r="80613" ht="15.75" customHeight="1">
      <c r="A80613" s="7"/>
      <c r="B80613" s="7"/>
    </row>
    <row r="80614" ht="15.75" customHeight="1">
      <c r="A80614" s="7"/>
      <c r="B80614" s="7"/>
    </row>
    <row r="80615" ht="15.75" customHeight="1">
      <c r="A80615" s="7"/>
      <c r="B80615" s="7"/>
    </row>
    <row r="80616" ht="15.75" customHeight="1">
      <c r="A80616" s="7"/>
      <c r="B80616" s="7"/>
    </row>
    <row r="80617" ht="15.75" customHeight="1">
      <c r="A80617" s="7"/>
      <c r="B80617" s="7"/>
    </row>
    <row r="80618" ht="15.75" customHeight="1">
      <c r="A80618" s="7"/>
      <c r="B80618" s="7"/>
    </row>
    <row r="80619" ht="15.75" customHeight="1">
      <c r="A80619" s="7"/>
      <c r="B80619" s="7"/>
    </row>
    <row r="80620" ht="15.75" customHeight="1">
      <c r="A80620" s="7"/>
      <c r="B80620" s="7"/>
    </row>
    <row r="80621" ht="15.75" customHeight="1">
      <c r="A80621" s="7"/>
      <c r="B80621" s="7"/>
    </row>
    <row r="80622" ht="15.75" customHeight="1">
      <c r="A80622" s="7"/>
      <c r="B80622" s="7"/>
    </row>
    <row r="80623" ht="15.75" customHeight="1">
      <c r="A80623" s="7"/>
      <c r="B80623" s="7"/>
    </row>
    <row r="80624" ht="15.75" customHeight="1">
      <c r="A80624" s="7"/>
      <c r="B80624" s="7"/>
    </row>
    <row r="80625" ht="15.75" customHeight="1">
      <c r="A80625" s="7"/>
      <c r="B80625" s="7"/>
    </row>
    <row r="80626" ht="15.75" customHeight="1">
      <c r="A80626" s="7"/>
      <c r="B80626" s="7"/>
    </row>
    <row r="80627" ht="15.75" customHeight="1">
      <c r="A80627" s="7"/>
      <c r="B80627" s="7"/>
    </row>
    <row r="80628" ht="15.75" customHeight="1">
      <c r="A80628" s="7"/>
      <c r="B80628" s="7"/>
    </row>
    <row r="80629" ht="15.75" customHeight="1">
      <c r="A80629" s="7"/>
      <c r="B80629" s="7"/>
    </row>
    <row r="80630" ht="15.75" customHeight="1">
      <c r="A80630" s="7"/>
      <c r="B80630" s="7"/>
    </row>
    <row r="80631" ht="15.75" customHeight="1">
      <c r="A80631" s="7"/>
      <c r="B80631" s="7"/>
    </row>
    <row r="80632" ht="15.75" customHeight="1">
      <c r="A80632" s="7"/>
      <c r="B80632" s="7"/>
    </row>
    <row r="80633" ht="15.75" customHeight="1">
      <c r="A80633" s="7"/>
      <c r="B80633" s="7"/>
    </row>
    <row r="80634" ht="15.75" customHeight="1">
      <c r="A80634" s="7"/>
      <c r="B80634" s="7"/>
    </row>
    <row r="80635" ht="15.75" customHeight="1">
      <c r="A80635" s="7"/>
      <c r="B80635" s="7"/>
    </row>
    <row r="80636" ht="15.75" customHeight="1">
      <c r="A80636" s="7"/>
      <c r="B80636" s="7"/>
    </row>
    <row r="80637" ht="15.75" customHeight="1">
      <c r="A80637" s="7"/>
      <c r="B80637" s="7"/>
    </row>
    <row r="80638" ht="15.75" customHeight="1">
      <c r="A80638" s="7"/>
      <c r="B80638" s="7"/>
    </row>
    <row r="80639" ht="15.75" customHeight="1">
      <c r="A80639" s="7"/>
      <c r="B80639" s="7"/>
    </row>
    <row r="80640" ht="15.75" customHeight="1">
      <c r="A80640" s="7"/>
      <c r="B80640" s="7"/>
    </row>
    <row r="80641" ht="15.75" customHeight="1">
      <c r="A80641" s="7"/>
      <c r="B80641" s="7"/>
    </row>
    <row r="80642" ht="15.75" customHeight="1">
      <c r="A80642" s="7"/>
      <c r="B80642" s="7"/>
    </row>
    <row r="80643" ht="15.75" customHeight="1">
      <c r="A80643" s="7"/>
      <c r="B80643" s="7"/>
    </row>
    <row r="80644" ht="15.75" customHeight="1">
      <c r="A80644" s="7"/>
      <c r="B80644" s="7"/>
    </row>
    <row r="80645" ht="15.75" customHeight="1">
      <c r="A80645" s="7"/>
      <c r="B80645" s="7"/>
    </row>
    <row r="80646" ht="15.75" customHeight="1">
      <c r="A80646" s="7"/>
      <c r="B80646" s="7"/>
    </row>
    <row r="80647" ht="15.75" customHeight="1">
      <c r="A80647" s="7"/>
      <c r="B80647" s="7"/>
    </row>
    <row r="80648" ht="15.75" customHeight="1">
      <c r="A80648" s="7"/>
      <c r="B80648" s="7"/>
    </row>
    <row r="80649" ht="15.75" customHeight="1">
      <c r="A80649" s="7"/>
      <c r="B80649" s="7"/>
    </row>
    <row r="80650" ht="15.75" customHeight="1">
      <c r="A80650" s="7"/>
      <c r="B80650" s="7"/>
    </row>
    <row r="80651" ht="15.75" customHeight="1">
      <c r="A80651" s="7"/>
      <c r="B80651" s="7"/>
    </row>
    <row r="80652" ht="15.75" customHeight="1">
      <c r="A80652" s="7"/>
      <c r="B80652" s="7"/>
    </row>
    <row r="80653" ht="15.75" customHeight="1">
      <c r="A80653" s="7"/>
      <c r="B80653" s="7"/>
    </row>
    <row r="80654" ht="15.75" customHeight="1">
      <c r="A80654" s="7"/>
      <c r="B80654" s="7"/>
    </row>
    <row r="80655" ht="15.75" customHeight="1">
      <c r="A80655" s="7"/>
      <c r="B80655" s="7"/>
    </row>
    <row r="80656" ht="15.75" customHeight="1">
      <c r="A80656" s="7"/>
      <c r="B80656" s="7"/>
    </row>
    <row r="80657" ht="15.75" customHeight="1">
      <c r="A80657" s="7"/>
      <c r="B80657" s="7"/>
    </row>
    <row r="80658" ht="15.75" customHeight="1">
      <c r="A80658" s="7"/>
      <c r="B80658" s="7"/>
    </row>
    <row r="80659" ht="15.75" customHeight="1">
      <c r="A80659" s="7"/>
      <c r="B80659" s="7"/>
    </row>
    <row r="80660" ht="15.75" customHeight="1">
      <c r="A80660" s="7"/>
      <c r="B80660" s="7"/>
    </row>
    <row r="80661" ht="15.75" customHeight="1">
      <c r="A80661" s="7"/>
      <c r="B80661" s="7"/>
    </row>
    <row r="80662" ht="15.75" customHeight="1">
      <c r="A80662" s="7"/>
      <c r="B80662" s="7"/>
    </row>
    <row r="80663" ht="15.75" customHeight="1">
      <c r="A80663" s="7"/>
      <c r="B80663" s="7"/>
    </row>
    <row r="80664" ht="15.75" customHeight="1">
      <c r="A80664" s="7"/>
      <c r="B80664" s="7"/>
    </row>
    <row r="80665" ht="15.75" customHeight="1">
      <c r="A80665" s="7"/>
      <c r="B80665" s="7"/>
    </row>
    <row r="80666" ht="15.75" customHeight="1">
      <c r="A80666" s="7"/>
      <c r="B80666" s="7"/>
    </row>
    <row r="80667" ht="15.75" customHeight="1">
      <c r="A80667" s="7"/>
      <c r="B80667" s="7"/>
    </row>
    <row r="80668" ht="15.75" customHeight="1">
      <c r="A80668" s="7"/>
      <c r="B80668" s="7"/>
    </row>
    <row r="80669" ht="15.75" customHeight="1">
      <c r="A80669" s="7"/>
      <c r="B80669" s="7"/>
    </row>
    <row r="80670" ht="15.75" customHeight="1">
      <c r="A80670" s="7"/>
      <c r="B80670" s="7"/>
    </row>
    <row r="80671" ht="15.75" customHeight="1">
      <c r="A80671" s="7"/>
      <c r="B80671" s="7"/>
    </row>
    <row r="80672" ht="15.75" customHeight="1">
      <c r="A80672" s="7"/>
      <c r="B80672" s="7"/>
    </row>
    <row r="80673" ht="15.75" customHeight="1">
      <c r="A80673" s="7"/>
      <c r="B80673" s="7"/>
    </row>
    <row r="80674" ht="15.75" customHeight="1">
      <c r="A80674" s="7"/>
      <c r="B80674" s="7"/>
    </row>
    <row r="80675" ht="15.75" customHeight="1">
      <c r="A80675" s="7"/>
      <c r="B80675" s="7"/>
    </row>
    <row r="80676" ht="15.75" customHeight="1">
      <c r="A80676" s="7"/>
      <c r="B80676" s="7"/>
    </row>
    <row r="80677" ht="15.75" customHeight="1">
      <c r="A80677" s="7"/>
      <c r="B80677" s="7"/>
    </row>
    <row r="80678" ht="15.75" customHeight="1">
      <c r="A80678" s="7"/>
      <c r="B80678" s="7"/>
    </row>
    <row r="80679" ht="15.75" customHeight="1">
      <c r="A80679" s="7"/>
      <c r="B80679" s="7"/>
    </row>
    <row r="80680" ht="15.75" customHeight="1">
      <c r="A80680" s="7"/>
      <c r="B80680" s="7"/>
    </row>
    <row r="80681" ht="15.75" customHeight="1">
      <c r="A80681" s="7"/>
      <c r="B80681" s="7"/>
    </row>
    <row r="80682" ht="15.75" customHeight="1">
      <c r="A80682" s="7"/>
      <c r="B80682" s="7"/>
    </row>
    <row r="80683" ht="15.75" customHeight="1">
      <c r="A80683" s="7"/>
      <c r="B80683" s="7"/>
    </row>
    <row r="80684" ht="15.75" customHeight="1">
      <c r="A80684" s="7"/>
      <c r="B80684" s="7"/>
    </row>
    <row r="80685" ht="15.75" customHeight="1">
      <c r="A80685" s="7"/>
      <c r="B80685" s="7"/>
    </row>
    <row r="80686" ht="15.75" customHeight="1">
      <c r="A80686" s="7"/>
      <c r="B80686" s="7"/>
    </row>
    <row r="80687" ht="15.75" customHeight="1">
      <c r="A80687" s="7"/>
      <c r="B80687" s="7"/>
    </row>
    <row r="80688" ht="15.75" customHeight="1">
      <c r="A80688" s="7"/>
      <c r="B80688" s="7"/>
    </row>
    <row r="80689" ht="15.75" customHeight="1">
      <c r="A80689" s="7"/>
      <c r="B80689" s="7"/>
    </row>
    <row r="80690" ht="15.75" customHeight="1">
      <c r="A80690" s="7"/>
      <c r="B80690" s="7"/>
    </row>
    <row r="80691" ht="15.75" customHeight="1">
      <c r="A80691" s="7"/>
      <c r="B80691" s="7"/>
    </row>
    <row r="80692" ht="15.75" customHeight="1">
      <c r="A80692" s="7"/>
      <c r="B80692" s="7"/>
    </row>
    <row r="80693" ht="15.75" customHeight="1">
      <c r="A80693" s="7"/>
      <c r="B80693" s="7"/>
    </row>
    <row r="80694" ht="15.75" customHeight="1">
      <c r="A80694" s="7"/>
      <c r="B80694" s="7"/>
    </row>
    <row r="80695" ht="15.75" customHeight="1">
      <c r="A80695" s="7"/>
      <c r="B80695" s="7"/>
    </row>
    <row r="80696" ht="15.75" customHeight="1">
      <c r="A80696" s="7"/>
      <c r="B80696" s="7"/>
    </row>
    <row r="80697" ht="15.75" customHeight="1">
      <c r="A80697" s="7"/>
      <c r="B80697" s="7"/>
    </row>
    <row r="80698" ht="15.75" customHeight="1">
      <c r="A80698" s="7"/>
      <c r="B80698" s="7"/>
    </row>
    <row r="80699" ht="15.75" customHeight="1">
      <c r="A80699" s="7"/>
      <c r="B80699" s="7"/>
    </row>
    <row r="80700" ht="15.75" customHeight="1">
      <c r="A80700" s="7"/>
      <c r="B80700" s="7"/>
    </row>
    <row r="80701" ht="15.75" customHeight="1">
      <c r="A80701" s="7"/>
      <c r="B80701" s="7"/>
    </row>
    <row r="80702" ht="15.75" customHeight="1">
      <c r="A80702" s="7"/>
      <c r="B80702" s="7"/>
    </row>
    <row r="80703" ht="15.75" customHeight="1">
      <c r="A80703" s="7"/>
      <c r="B80703" s="7"/>
    </row>
    <row r="80704" ht="15.75" customHeight="1">
      <c r="A80704" s="7"/>
      <c r="B80704" s="7"/>
    </row>
    <row r="80705" ht="15.75" customHeight="1">
      <c r="A80705" s="7"/>
      <c r="B80705" s="7"/>
    </row>
    <row r="80706" ht="15.75" customHeight="1">
      <c r="A80706" s="7"/>
      <c r="B80706" s="7"/>
    </row>
    <row r="80707" ht="15.75" customHeight="1">
      <c r="A80707" s="7"/>
      <c r="B80707" s="7"/>
    </row>
    <row r="80708" ht="15.75" customHeight="1">
      <c r="A80708" s="7"/>
      <c r="B80708" s="7"/>
    </row>
    <row r="80709" ht="15.75" customHeight="1">
      <c r="A80709" s="7"/>
      <c r="B80709" s="7"/>
    </row>
    <row r="80710" ht="15.75" customHeight="1">
      <c r="A80710" s="7"/>
      <c r="B80710" s="7"/>
    </row>
    <row r="80711" ht="15.75" customHeight="1">
      <c r="A80711" s="7"/>
      <c r="B80711" s="7"/>
    </row>
    <row r="80712" ht="15.75" customHeight="1">
      <c r="A80712" s="7"/>
      <c r="B80712" s="7"/>
    </row>
    <row r="80713" ht="15.75" customHeight="1">
      <c r="A80713" s="7"/>
      <c r="B80713" s="7"/>
    </row>
    <row r="80714" ht="15.75" customHeight="1">
      <c r="A80714" s="7"/>
      <c r="B80714" s="7"/>
    </row>
    <row r="80715" ht="15.75" customHeight="1">
      <c r="A80715" s="7"/>
      <c r="B80715" s="7"/>
    </row>
    <row r="80716" ht="15.75" customHeight="1">
      <c r="A80716" s="7"/>
      <c r="B80716" s="7"/>
    </row>
    <row r="80717" ht="15.75" customHeight="1">
      <c r="A80717" s="7"/>
      <c r="B80717" s="7"/>
    </row>
    <row r="80718" ht="15.75" customHeight="1">
      <c r="A80718" s="7"/>
      <c r="B80718" s="7"/>
    </row>
    <row r="80719" ht="15.75" customHeight="1">
      <c r="A80719" s="7"/>
      <c r="B80719" s="7"/>
    </row>
    <row r="80720" ht="15.75" customHeight="1">
      <c r="A80720" s="7"/>
      <c r="B80720" s="7"/>
    </row>
    <row r="80721" ht="15.75" customHeight="1">
      <c r="A80721" s="7"/>
      <c r="B80721" s="7"/>
    </row>
    <row r="80722" ht="15.75" customHeight="1">
      <c r="A80722" s="7"/>
      <c r="B80722" s="7"/>
    </row>
    <row r="80723" ht="15.75" customHeight="1">
      <c r="A80723" s="7"/>
      <c r="B80723" s="7"/>
    </row>
    <row r="80724" ht="15.75" customHeight="1">
      <c r="A80724" s="7"/>
      <c r="B80724" s="7"/>
    </row>
    <row r="80725" ht="15.75" customHeight="1">
      <c r="A80725" s="7"/>
      <c r="B80725" s="7"/>
    </row>
    <row r="80726" ht="15.75" customHeight="1">
      <c r="A80726" s="7"/>
      <c r="B80726" s="7"/>
    </row>
    <row r="80727" ht="15.75" customHeight="1">
      <c r="A80727" s="7"/>
      <c r="B80727" s="7"/>
    </row>
    <row r="80728" ht="15.75" customHeight="1">
      <c r="A80728" s="7"/>
      <c r="B80728" s="7"/>
    </row>
    <row r="80729" ht="15.75" customHeight="1">
      <c r="A80729" s="7"/>
      <c r="B80729" s="7"/>
    </row>
    <row r="80730" ht="15.75" customHeight="1">
      <c r="A80730" s="7"/>
      <c r="B80730" s="7"/>
    </row>
    <row r="80731" ht="15.75" customHeight="1">
      <c r="A80731" s="7"/>
      <c r="B80731" s="7"/>
    </row>
    <row r="80732" ht="15.75" customHeight="1">
      <c r="A80732" s="7"/>
      <c r="B80732" s="7"/>
    </row>
    <row r="80733" ht="15.75" customHeight="1">
      <c r="A80733" s="7"/>
      <c r="B80733" s="7"/>
    </row>
    <row r="80734" ht="15.75" customHeight="1">
      <c r="A80734" s="7"/>
      <c r="B80734" s="7"/>
    </row>
    <row r="80735" ht="15.75" customHeight="1">
      <c r="A80735" s="7"/>
      <c r="B80735" s="7"/>
    </row>
    <row r="80736" ht="15.75" customHeight="1">
      <c r="A80736" s="7"/>
      <c r="B80736" s="7"/>
    </row>
    <row r="80737" ht="15.75" customHeight="1">
      <c r="A80737" s="7"/>
      <c r="B80737" s="7"/>
    </row>
    <row r="80738" ht="15.75" customHeight="1">
      <c r="A80738" s="7"/>
      <c r="B80738" s="7"/>
    </row>
    <row r="80739" ht="15.75" customHeight="1">
      <c r="A80739" s="7"/>
      <c r="B80739" s="7"/>
    </row>
    <row r="80740" ht="15.75" customHeight="1">
      <c r="A80740" s="7"/>
      <c r="B80740" s="7"/>
    </row>
    <row r="80741" ht="15.75" customHeight="1">
      <c r="A80741" s="7"/>
      <c r="B80741" s="7"/>
    </row>
    <row r="80742" ht="15.75" customHeight="1">
      <c r="A80742" s="7"/>
      <c r="B80742" s="7"/>
    </row>
    <row r="80743" ht="15.75" customHeight="1">
      <c r="A80743" s="7"/>
      <c r="B80743" s="7"/>
    </row>
    <row r="80744" ht="15.75" customHeight="1">
      <c r="A80744" s="7"/>
      <c r="B80744" s="7"/>
    </row>
    <row r="80745" ht="15.75" customHeight="1">
      <c r="A80745" s="7"/>
      <c r="B80745" s="7"/>
    </row>
    <row r="80746" ht="15.75" customHeight="1">
      <c r="A80746" s="7"/>
      <c r="B80746" s="7"/>
    </row>
    <row r="80747" ht="15.75" customHeight="1">
      <c r="A80747" s="7"/>
      <c r="B80747" s="7"/>
    </row>
    <row r="80748" ht="15.75" customHeight="1">
      <c r="A80748" s="7"/>
      <c r="B80748" s="7"/>
    </row>
    <row r="80749" ht="15.75" customHeight="1">
      <c r="A80749" s="7"/>
      <c r="B80749" s="7"/>
    </row>
    <row r="80750" ht="15.75" customHeight="1">
      <c r="A80750" s="7"/>
      <c r="B80750" s="7"/>
    </row>
    <row r="80751" ht="15.75" customHeight="1">
      <c r="A80751" s="7"/>
      <c r="B80751" s="7"/>
    </row>
    <row r="80752" ht="15.75" customHeight="1">
      <c r="A80752" s="7"/>
      <c r="B80752" s="7"/>
    </row>
    <row r="80753" ht="15.75" customHeight="1">
      <c r="A80753" s="7"/>
      <c r="B80753" s="7"/>
    </row>
    <row r="80754" ht="15.75" customHeight="1">
      <c r="A80754" s="7"/>
      <c r="B80754" s="7"/>
    </row>
    <row r="80755" ht="15.75" customHeight="1">
      <c r="A80755" s="7"/>
      <c r="B80755" s="7"/>
    </row>
    <row r="80756" ht="15.75" customHeight="1">
      <c r="A80756" s="7"/>
      <c r="B80756" s="7"/>
    </row>
    <row r="80757" ht="15.75" customHeight="1">
      <c r="A80757" s="7"/>
      <c r="B80757" s="7"/>
    </row>
    <row r="80758" ht="15.75" customHeight="1">
      <c r="A80758" s="7"/>
      <c r="B80758" s="7"/>
    </row>
    <row r="80759" ht="15.75" customHeight="1">
      <c r="A80759" s="7"/>
      <c r="B80759" s="7"/>
    </row>
    <row r="80760" ht="15.75" customHeight="1">
      <c r="A80760" s="7"/>
      <c r="B80760" s="7"/>
    </row>
    <row r="80761" ht="15.75" customHeight="1">
      <c r="A80761" s="7"/>
      <c r="B80761" s="7"/>
    </row>
    <row r="80762" ht="15.75" customHeight="1">
      <c r="A80762" s="7"/>
      <c r="B80762" s="7"/>
    </row>
    <row r="80763" ht="15.75" customHeight="1">
      <c r="A80763" s="7"/>
      <c r="B80763" s="7"/>
    </row>
    <row r="80764" ht="15.75" customHeight="1">
      <c r="A80764" s="7"/>
      <c r="B80764" s="7"/>
    </row>
    <row r="80765" ht="15.75" customHeight="1">
      <c r="A80765" s="7"/>
      <c r="B80765" s="7"/>
    </row>
    <row r="80766" ht="15.75" customHeight="1">
      <c r="A80766" s="7"/>
      <c r="B80766" s="7"/>
    </row>
    <row r="80767" ht="15.75" customHeight="1">
      <c r="A80767" s="7"/>
      <c r="B80767" s="7"/>
    </row>
    <row r="80768" ht="15.75" customHeight="1">
      <c r="A80768" s="7"/>
      <c r="B80768" s="7"/>
    </row>
    <row r="80769" ht="15.75" customHeight="1">
      <c r="A80769" s="7"/>
      <c r="B80769" s="7"/>
    </row>
    <row r="80770" ht="15.75" customHeight="1">
      <c r="A80770" s="7"/>
      <c r="B80770" s="7"/>
    </row>
    <row r="80771" ht="15.75" customHeight="1">
      <c r="A80771" s="7"/>
      <c r="B80771" s="7"/>
    </row>
    <row r="80772" ht="15.75" customHeight="1">
      <c r="A80772" s="7"/>
      <c r="B80772" s="7"/>
    </row>
    <row r="80773" ht="15.75" customHeight="1">
      <c r="A80773" s="7"/>
      <c r="B80773" s="7"/>
    </row>
    <row r="80774" ht="15.75" customHeight="1">
      <c r="A80774" s="7"/>
      <c r="B80774" s="7"/>
    </row>
    <row r="80775" ht="15.75" customHeight="1">
      <c r="A80775" s="7"/>
      <c r="B80775" s="7"/>
    </row>
    <row r="80776" ht="15.75" customHeight="1">
      <c r="A80776" s="7"/>
      <c r="B80776" s="7"/>
    </row>
    <row r="80777" ht="15.75" customHeight="1">
      <c r="A80777" s="7"/>
      <c r="B80777" s="7"/>
    </row>
    <row r="80778" ht="15.75" customHeight="1">
      <c r="A80778" s="7"/>
      <c r="B80778" s="7"/>
    </row>
    <row r="80779" ht="15.75" customHeight="1">
      <c r="A80779" s="7"/>
      <c r="B80779" s="7"/>
    </row>
    <row r="80780" ht="15.75" customHeight="1">
      <c r="A80780" s="7"/>
      <c r="B80780" s="7"/>
    </row>
    <row r="80781" ht="15.75" customHeight="1">
      <c r="A80781" s="7"/>
      <c r="B80781" s="7"/>
    </row>
    <row r="80782" ht="15.75" customHeight="1">
      <c r="A80782" s="7"/>
      <c r="B80782" s="7"/>
    </row>
    <row r="80783" ht="15.75" customHeight="1">
      <c r="A80783" s="7"/>
      <c r="B80783" s="7"/>
    </row>
    <row r="80784" ht="15.75" customHeight="1">
      <c r="A80784" s="7"/>
      <c r="B80784" s="7"/>
    </row>
    <row r="80785" ht="15.75" customHeight="1">
      <c r="A80785" s="7"/>
      <c r="B80785" s="7"/>
    </row>
    <row r="80786" ht="15.75" customHeight="1">
      <c r="A80786" s="7"/>
      <c r="B80786" s="7"/>
    </row>
    <row r="80787" ht="15.75" customHeight="1">
      <c r="A80787" s="7"/>
      <c r="B80787" s="7"/>
    </row>
    <row r="80788" ht="15.75" customHeight="1">
      <c r="A80788" s="7"/>
      <c r="B80788" s="7"/>
    </row>
    <row r="80789" ht="15.75" customHeight="1">
      <c r="A80789" s="7"/>
      <c r="B80789" s="7"/>
    </row>
    <row r="80790" ht="15.75" customHeight="1">
      <c r="A80790" s="7"/>
      <c r="B80790" s="7"/>
    </row>
    <row r="80791" ht="15.75" customHeight="1">
      <c r="A80791" s="7"/>
      <c r="B80791" s="7"/>
    </row>
    <row r="80792" ht="15.75" customHeight="1">
      <c r="A80792" s="7"/>
      <c r="B80792" s="7"/>
    </row>
    <row r="80793" ht="15.75" customHeight="1">
      <c r="A80793" s="7"/>
      <c r="B80793" s="7"/>
    </row>
    <row r="80794" ht="15.75" customHeight="1">
      <c r="A80794" s="7"/>
      <c r="B80794" s="7"/>
    </row>
    <row r="80795" ht="15.75" customHeight="1">
      <c r="A80795" s="7"/>
      <c r="B80795" s="7"/>
    </row>
    <row r="80796" ht="15.75" customHeight="1">
      <c r="A80796" s="7"/>
      <c r="B80796" s="7"/>
    </row>
    <row r="80797" ht="15.75" customHeight="1">
      <c r="A80797" s="7"/>
      <c r="B80797" s="7"/>
    </row>
    <row r="80798" ht="15.75" customHeight="1">
      <c r="A80798" s="7"/>
      <c r="B80798" s="7"/>
    </row>
    <row r="80799" ht="15.75" customHeight="1">
      <c r="A80799" s="7"/>
      <c r="B80799" s="7"/>
    </row>
    <row r="80800" ht="15.75" customHeight="1">
      <c r="A80800" s="7"/>
      <c r="B80800" s="7"/>
    </row>
    <row r="80801" ht="15.75" customHeight="1">
      <c r="A80801" s="7"/>
      <c r="B80801" s="7"/>
    </row>
    <row r="80802" ht="15.75" customHeight="1">
      <c r="A80802" s="7"/>
      <c r="B80802" s="7"/>
    </row>
    <row r="80803" ht="15.75" customHeight="1">
      <c r="A80803" s="7"/>
      <c r="B80803" s="7"/>
    </row>
    <row r="80804" ht="15.75" customHeight="1">
      <c r="A80804" s="7"/>
      <c r="B80804" s="7"/>
    </row>
    <row r="80805" ht="15.75" customHeight="1">
      <c r="A80805" s="7"/>
      <c r="B80805" s="7"/>
    </row>
    <row r="80806" ht="15.75" customHeight="1">
      <c r="A80806" s="7"/>
      <c r="B80806" s="7"/>
    </row>
    <row r="80807" ht="15.75" customHeight="1">
      <c r="A80807" s="7"/>
      <c r="B80807" s="7"/>
    </row>
    <row r="80808" ht="15.75" customHeight="1">
      <c r="A80808" s="7"/>
      <c r="B80808" s="7"/>
    </row>
    <row r="80809" ht="15.75" customHeight="1">
      <c r="A80809" s="7"/>
      <c r="B80809" s="7"/>
    </row>
    <row r="80810" ht="15.75" customHeight="1">
      <c r="A80810" s="7"/>
      <c r="B80810" s="7"/>
    </row>
    <row r="80811" ht="15.75" customHeight="1">
      <c r="A80811" s="7"/>
      <c r="B80811" s="7"/>
    </row>
    <row r="80812" ht="15.75" customHeight="1">
      <c r="A80812" s="7"/>
      <c r="B80812" s="7"/>
    </row>
    <row r="80813" ht="15.75" customHeight="1">
      <c r="A80813" s="7"/>
      <c r="B80813" s="7"/>
    </row>
    <row r="80814" ht="15.75" customHeight="1">
      <c r="A80814" s="7"/>
      <c r="B80814" s="7"/>
    </row>
    <row r="80815" ht="15.75" customHeight="1">
      <c r="A80815" s="7"/>
      <c r="B80815" s="7"/>
    </row>
    <row r="80816" ht="15.75" customHeight="1">
      <c r="A80816" s="7"/>
      <c r="B80816" s="7"/>
    </row>
    <row r="80817" ht="15.75" customHeight="1">
      <c r="A80817" s="7"/>
      <c r="B80817" s="7"/>
    </row>
    <row r="80818" ht="15.75" customHeight="1">
      <c r="A80818" s="7"/>
      <c r="B80818" s="7"/>
    </row>
    <row r="80819" ht="15.75" customHeight="1">
      <c r="A80819" s="7"/>
      <c r="B80819" s="7"/>
    </row>
    <row r="80820" ht="15.75" customHeight="1">
      <c r="A80820" s="7"/>
      <c r="B80820" s="7"/>
    </row>
    <row r="80821" ht="15.75" customHeight="1">
      <c r="A80821" s="7"/>
      <c r="B80821" s="7"/>
    </row>
    <row r="80822" ht="15.75" customHeight="1">
      <c r="A80822" s="7"/>
      <c r="B80822" s="7"/>
    </row>
    <row r="80823" ht="15.75" customHeight="1">
      <c r="A80823" s="7"/>
      <c r="B80823" s="7"/>
    </row>
    <row r="80824" ht="15.75" customHeight="1">
      <c r="A80824" s="7"/>
      <c r="B80824" s="7"/>
    </row>
    <row r="80825" ht="15.75" customHeight="1">
      <c r="A80825" s="7"/>
      <c r="B80825" s="7"/>
    </row>
    <row r="80826" ht="15.75" customHeight="1">
      <c r="A80826" s="7"/>
      <c r="B80826" s="7"/>
    </row>
    <row r="80827" ht="15.75" customHeight="1">
      <c r="A80827" s="7"/>
      <c r="B80827" s="7"/>
    </row>
    <row r="80828" ht="15.75" customHeight="1">
      <c r="A80828" s="7"/>
      <c r="B80828" s="7"/>
    </row>
    <row r="80829" ht="15.75" customHeight="1">
      <c r="A80829" s="7"/>
      <c r="B80829" s="7"/>
    </row>
    <row r="80830" ht="15.75" customHeight="1">
      <c r="A80830" s="7"/>
      <c r="B80830" s="7"/>
    </row>
    <row r="80831" ht="15.75" customHeight="1">
      <c r="A80831" s="7"/>
      <c r="B80831" s="7"/>
    </row>
    <row r="80832" ht="15.75" customHeight="1">
      <c r="A80832" s="7"/>
      <c r="B80832" s="7"/>
    </row>
    <row r="80833" ht="15.75" customHeight="1">
      <c r="A80833" s="7"/>
      <c r="B80833" s="7"/>
    </row>
    <row r="80834" ht="15.75" customHeight="1">
      <c r="A80834" s="7"/>
      <c r="B80834" s="7"/>
    </row>
    <row r="80835" ht="15.75" customHeight="1">
      <c r="A80835" s="7"/>
      <c r="B80835" s="7"/>
    </row>
    <row r="80836" ht="15.75" customHeight="1">
      <c r="A80836" s="7"/>
      <c r="B80836" s="7"/>
    </row>
    <row r="80837" ht="15.75" customHeight="1">
      <c r="A80837" s="7"/>
      <c r="B80837" s="7"/>
    </row>
    <row r="80838" ht="15.75" customHeight="1">
      <c r="A80838" s="7"/>
      <c r="B80838" s="7"/>
    </row>
    <row r="80839" ht="15.75" customHeight="1">
      <c r="A80839" s="7"/>
      <c r="B80839" s="7"/>
    </row>
    <row r="80840" ht="15.75" customHeight="1">
      <c r="A80840" s="7"/>
      <c r="B80840" s="7"/>
    </row>
    <row r="80841" ht="15.75" customHeight="1">
      <c r="A80841" s="7"/>
      <c r="B80841" s="7"/>
    </row>
    <row r="80842" ht="15.75" customHeight="1">
      <c r="A80842" s="7"/>
      <c r="B80842" s="7"/>
    </row>
    <row r="80843" ht="15.75" customHeight="1">
      <c r="A80843" s="7"/>
      <c r="B80843" s="7"/>
    </row>
    <row r="80844" ht="15.75" customHeight="1">
      <c r="A80844" s="7"/>
      <c r="B80844" s="7"/>
    </row>
    <row r="80845" ht="15.75" customHeight="1">
      <c r="A80845" s="7"/>
      <c r="B80845" s="7"/>
    </row>
    <row r="80846" ht="15.75" customHeight="1">
      <c r="A80846" s="7"/>
      <c r="B80846" s="7"/>
    </row>
    <row r="80847" ht="15.75" customHeight="1">
      <c r="A80847" s="7"/>
      <c r="B80847" s="7"/>
    </row>
    <row r="80848" ht="15.75" customHeight="1">
      <c r="A80848" s="7"/>
      <c r="B80848" s="7"/>
    </row>
    <row r="80849" ht="15.75" customHeight="1">
      <c r="A80849" s="7"/>
      <c r="B80849" s="7"/>
    </row>
    <row r="80850" ht="15.75" customHeight="1">
      <c r="A80850" s="7"/>
      <c r="B80850" s="7"/>
    </row>
    <row r="80851" ht="15.75" customHeight="1">
      <c r="A80851" s="7"/>
      <c r="B80851" s="7"/>
    </row>
    <row r="80852" ht="15.75" customHeight="1">
      <c r="A80852" s="7"/>
      <c r="B80852" s="7"/>
    </row>
    <row r="80853" ht="15.75" customHeight="1">
      <c r="A80853" s="7"/>
      <c r="B80853" s="7"/>
    </row>
    <row r="80854" ht="15.75" customHeight="1">
      <c r="A80854" s="7"/>
      <c r="B80854" s="7"/>
    </row>
    <row r="80855" ht="15.75" customHeight="1">
      <c r="A80855" s="7"/>
      <c r="B80855" s="7"/>
    </row>
    <row r="80856" ht="15.75" customHeight="1">
      <c r="A80856" s="7"/>
      <c r="B80856" s="7"/>
    </row>
    <row r="80857" ht="15.75" customHeight="1">
      <c r="A80857" s="7"/>
      <c r="B80857" s="7"/>
    </row>
    <row r="80858" ht="15.75" customHeight="1">
      <c r="A80858" s="7"/>
      <c r="B80858" s="7"/>
    </row>
    <row r="80859" ht="15.75" customHeight="1">
      <c r="A80859" s="7"/>
      <c r="B80859" s="7"/>
    </row>
    <row r="80860" ht="15.75" customHeight="1">
      <c r="A80860" s="7"/>
      <c r="B80860" s="7"/>
    </row>
    <row r="80861" ht="15.75" customHeight="1">
      <c r="A80861" s="7"/>
      <c r="B80861" s="7"/>
    </row>
    <row r="80862" ht="15.75" customHeight="1">
      <c r="A80862" s="7"/>
      <c r="B80862" s="7"/>
    </row>
    <row r="80863" ht="15.75" customHeight="1">
      <c r="A80863" s="7"/>
      <c r="B80863" s="7"/>
    </row>
    <row r="80864" ht="15.75" customHeight="1">
      <c r="A80864" s="7"/>
      <c r="B80864" s="7"/>
    </row>
    <row r="80865" ht="15.75" customHeight="1">
      <c r="A80865" s="7"/>
      <c r="B80865" s="7"/>
    </row>
    <row r="80866" ht="15.75" customHeight="1">
      <c r="A80866" s="7"/>
      <c r="B80866" s="7"/>
    </row>
    <row r="80867" ht="15.75" customHeight="1">
      <c r="A80867" s="7"/>
      <c r="B80867" s="7"/>
    </row>
    <row r="80868" ht="15.75" customHeight="1">
      <c r="A80868" s="7"/>
      <c r="B80868" s="7"/>
    </row>
    <row r="80869" ht="15.75" customHeight="1">
      <c r="A80869" s="7"/>
      <c r="B80869" s="7"/>
    </row>
    <row r="80870" ht="15.75" customHeight="1">
      <c r="A80870" s="7"/>
      <c r="B80870" s="7"/>
    </row>
    <row r="80871" ht="15.75" customHeight="1">
      <c r="A80871" s="7"/>
      <c r="B80871" s="7"/>
    </row>
    <row r="80872" ht="15.75" customHeight="1">
      <c r="A80872" s="7"/>
      <c r="B80872" s="7"/>
    </row>
    <row r="80873" ht="15.75" customHeight="1">
      <c r="A80873" s="7"/>
      <c r="B80873" s="7"/>
    </row>
    <row r="80874" ht="15.75" customHeight="1">
      <c r="A80874" s="7"/>
      <c r="B80874" s="7"/>
    </row>
    <row r="80875" ht="15.75" customHeight="1">
      <c r="A80875" s="7"/>
      <c r="B80875" s="7"/>
    </row>
    <row r="80876" ht="15.75" customHeight="1">
      <c r="A80876" s="7"/>
      <c r="B80876" s="7"/>
    </row>
    <row r="80877" ht="15.75" customHeight="1">
      <c r="A80877" s="7"/>
      <c r="B80877" s="7"/>
    </row>
    <row r="80878" ht="15.75" customHeight="1">
      <c r="A80878" s="7"/>
      <c r="B80878" s="7"/>
    </row>
    <row r="80879" ht="15.75" customHeight="1">
      <c r="A80879" s="7"/>
      <c r="B80879" s="7"/>
    </row>
    <row r="80880" ht="15.75" customHeight="1">
      <c r="A80880" s="7"/>
      <c r="B80880" s="7"/>
    </row>
    <row r="80881" ht="15.75" customHeight="1">
      <c r="A80881" s="7"/>
      <c r="B80881" s="7"/>
    </row>
    <row r="80882" ht="15.75" customHeight="1">
      <c r="A80882" s="7"/>
      <c r="B80882" s="7"/>
    </row>
    <row r="80883" ht="15.75" customHeight="1">
      <c r="A80883" s="7"/>
      <c r="B80883" s="7"/>
    </row>
    <row r="80884" ht="15.75" customHeight="1">
      <c r="A80884" s="7"/>
      <c r="B80884" s="7"/>
    </row>
    <row r="80885" ht="15.75" customHeight="1">
      <c r="A80885" s="7"/>
      <c r="B80885" s="7"/>
    </row>
    <row r="80886" ht="15.75" customHeight="1">
      <c r="A80886" s="7"/>
      <c r="B80886" s="7"/>
    </row>
    <row r="80887" ht="15.75" customHeight="1">
      <c r="A80887" s="7"/>
      <c r="B80887" s="7"/>
    </row>
    <row r="80888" ht="15.75" customHeight="1">
      <c r="A80888" s="7"/>
      <c r="B80888" s="7"/>
    </row>
    <row r="80889" ht="15.75" customHeight="1">
      <c r="A80889" s="7"/>
      <c r="B80889" s="7"/>
    </row>
    <row r="80890" ht="15.75" customHeight="1">
      <c r="A80890" s="7"/>
      <c r="B80890" s="7"/>
    </row>
    <row r="80891" ht="15.75" customHeight="1">
      <c r="A80891" s="7"/>
      <c r="B80891" s="7"/>
    </row>
    <row r="80892" ht="15.75" customHeight="1">
      <c r="A80892" s="7"/>
      <c r="B80892" s="7"/>
    </row>
    <row r="80893" ht="15.75" customHeight="1">
      <c r="A80893" s="7"/>
      <c r="B80893" s="7"/>
    </row>
    <row r="80894" ht="15.75" customHeight="1">
      <c r="A80894" s="7"/>
      <c r="B80894" s="7"/>
    </row>
    <row r="80895" ht="15.75" customHeight="1">
      <c r="A80895" s="7"/>
      <c r="B80895" s="7"/>
    </row>
    <row r="80896" ht="15.75" customHeight="1">
      <c r="A80896" s="7"/>
      <c r="B80896" s="7"/>
    </row>
    <row r="80897" ht="15.75" customHeight="1">
      <c r="A80897" s="7"/>
      <c r="B80897" s="7"/>
    </row>
    <row r="80898" ht="15.75" customHeight="1">
      <c r="A80898" s="7"/>
      <c r="B80898" s="7"/>
    </row>
    <row r="80899" ht="15.75" customHeight="1">
      <c r="A80899" s="7"/>
      <c r="B80899" s="7"/>
    </row>
    <row r="80900" ht="15.75" customHeight="1">
      <c r="A80900" s="7"/>
      <c r="B80900" s="7"/>
    </row>
    <row r="80901" ht="15.75" customHeight="1">
      <c r="A80901" s="7"/>
      <c r="B80901" s="7"/>
    </row>
    <row r="80902" ht="15.75" customHeight="1">
      <c r="A80902" s="7"/>
      <c r="B80902" s="7"/>
    </row>
    <row r="80903" ht="15.75" customHeight="1">
      <c r="A80903" s="7"/>
      <c r="B80903" s="7"/>
    </row>
    <row r="80904" ht="15.75" customHeight="1">
      <c r="A80904" s="7"/>
      <c r="B80904" s="7"/>
    </row>
    <row r="80905" ht="15.75" customHeight="1">
      <c r="A80905" s="7"/>
      <c r="B80905" s="7"/>
    </row>
    <row r="80906" ht="15.75" customHeight="1">
      <c r="A80906" s="7"/>
      <c r="B80906" s="7"/>
    </row>
    <row r="80907" ht="15.75" customHeight="1">
      <c r="A80907" s="7"/>
      <c r="B80907" s="7"/>
    </row>
    <row r="80908" ht="15.75" customHeight="1">
      <c r="A80908" s="7"/>
      <c r="B80908" s="7"/>
    </row>
    <row r="80909" ht="15.75" customHeight="1">
      <c r="A80909" s="7"/>
      <c r="B80909" s="7"/>
    </row>
    <row r="80910" ht="15.75" customHeight="1">
      <c r="A80910" s="7"/>
      <c r="B80910" s="7"/>
    </row>
    <row r="80911" ht="15.75" customHeight="1">
      <c r="A80911" s="7"/>
      <c r="B80911" s="7"/>
    </row>
    <row r="80912" ht="15.75" customHeight="1">
      <c r="A80912" s="7"/>
      <c r="B80912" s="7"/>
    </row>
    <row r="80913" ht="15.75" customHeight="1">
      <c r="A80913" s="7"/>
      <c r="B80913" s="7"/>
    </row>
    <row r="80914" ht="15.75" customHeight="1">
      <c r="A80914" s="7"/>
      <c r="B80914" s="7"/>
    </row>
    <row r="80915" ht="15.75" customHeight="1">
      <c r="A80915" s="7"/>
      <c r="B80915" s="7"/>
    </row>
    <row r="80916" ht="15.75" customHeight="1">
      <c r="A80916" s="7"/>
      <c r="B80916" s="7"/>
    </row>
    <row r="80917" ht="15.75" customHeight="1">
      <c r="A80917" s="7"/>
      <c r="B80917" s="7"/>
    </row>
    <row r="80918" ht="15.75" customHeight="1">
      <c r="A80918" s="7"/>
      <c r="B80918" s="7"/>
    </row>
    <row r="80919" ht="15.75" customHeight="1">
      <c r="A80919" s="7"/>
      <c r="B80919" s="7"/>
    </row>
    <row r="80920" ht="15.75" customHeight="1">
      <c r="A80920" s="7"/>
      <c r="B80920" s="7"/>
    </row>
    <row r="80921" ht="15.75" customHeight="1">
      <c r="A80921" s="7"/>
      <c r="B80921" s="7"/>
    </row>
    <row r="80922" ht="15.75" customHeight="1">
      <c r="A80922" s="7"/>
      <c r="B80922" s="7"/>
    </row>
    <row r="80923" ht="15.75" customHeight="1">
      <c r="A80923" s="7"/>
      <c r="B80923" s="7"/>
    </row>
    <row r="80924" ht="15.75" customHeight="1">
      <c r="A80924" s="7"/>
      <c r="B80924" s="7"/>
    </row>
    <row r="80925" ht="15.75" customHeight="1">
      <c r="A80925" s="7"/>
      <c r="B80925" s="7"/>
    </row>
    <row r="80926" ht="15.75" customHeight="1">
      <c r="A80926" s="7"/>
      <c r="B80926" s="7"/>
    </row>
    <row r="80927" ht="15.75" customHeight="1">
      <c r="A80927" s="7"/>
      <c r="B80927" s="7"/>
    </row>
    <row r="80928" ht="15.75" customHeight="1">
      <c r="A80928" s="7"/>
      <c r="B80928" s="7"/>
    </row>
    <row r="80929" ht="15.75" customHeight="1">
      <c r="A80929" s="7"/>
      <c r="B80929" s="7"/>
    </row>
    <row r="80930" ht="15.75" customHeight="1">
      <c r="A80930" s="7"/>
      <c r="B80930" s="7"/>
    </row>
    <row r="80931" ht="15.75" customHeight="1">
      <c r="A80931" s="7"/>
      <c r="B80931" s="7"/>
    </row>
    <row r="80932" ht="15.75" customHeight="1">
      <c r="A80932" s="7"/>
      <c r="B80932" s="7"/>
    </row>
    <row r="80933" ht="15.75" customHeight="1">
      <c r="A80933" s="7"/>
      <c r="B80933" s="7"/>
    </row>
    <row r="80934" ht="15.75" customHeight="1">
      <c r="A80934" s="7"/>
      <c r="B80934" s="7"/>
    </row>
    <row r="80935" ht="15.75" customHeight="1">
      <c r="A80935" s="7"/>
      <c r="B80935" s="7"/>
    </row>
    <row r="80936" ht="15.75" customHeight="1">
      <c r="A80936" s="7"/>
      <c r="B80936" s="7"/>
    </row>
    <row r="80937" ht="15.75" customHeight="1">
      <c r="A80937" s="7"/>
      <c r="B80937" s="7"/>
    </row>
    <row r="80938" ht="15.75" customHeight="1">
      <c r="A80938" s="7"/>
      <c r="B80938" s="7"/>
    </row>
    <row r="80939" ht="15.75" customHeight="1">
      <c r="A80939" s="7"/>
      <c r="B80939" s="7"/>
    </row>
    <row r="80940" ht="15.75" customHeight="1">
      <c r="A80940" s="7"/>
      <c r="B80940" s="7"/>
    </row>
    <row r="80941" ht="15.75" customHeight="1">
      <c r="A80941" s="7"/>
      <c r="B80941" s="7"/>
    </row>
    <row r="80942" ht="15.75" customHeight="1">
      <c r="A80942" s="7"/>
      <c r="B80942" s="7"/>
    </row>
    <row r="80943" ht="15.75" customHeight="1">
      <c r="A80943" s="7"/>
      <c r="B80943" s="7"/>
    </row>
    <row r="80944" ht="15.75" customHeight="1">
      <c r="A80944" s="7"/>
      <c r="B80944" s="7"/>
    </row>
    <row r="80945" ht="15.75" customHeight="1">
      <c r="A80945" s="7"/>
      <c r="B80945" s="7"/>
    </row>
    <row r="80946" ht="15.75" customHeight="1">
      <c r="A80946" s="7"/>
      <c r="B80946" s="7"/>
    </row>
    <row r="80947" ht="15.75" customHeight="1">
      <c r="A80947" s="7"/>
      <c r="B80947" s="7"/>
    </row>
    <row r="80948" ht="15.75" customHeight="1">
      <c r="A80948" s="7"/>
      <c r="B80948" s="7"/>
    </row>
    <row r="80949" ht="15.75" customHeight="1">
      <c r="A80949" s="7"/>
      <c r="B80949" s="7"/>
    </row>
    <row r="80950" ht="15.75" customHeight="1">
      <c r="A80950" s="7"/>
      <c r="B80950" s="7"/>
    </row>
    <row r="80951" ht="15.75" customHeight="1">
      <c r="A80951" s="7"/>
      <c r="B80951" s="7"/>
    </row>
    <row r="80952" ht="15.75" customHeight="1">
      <c r="A80952" s="7"/>
      <c r="B80952" s="7"/>
    </row>
    <row r="80953" ht="15.75" customHeight="1">
      <c r="A80953" s="7"/>
      <c r="B80953" s="7"/>
    </row>
    <row r="80954" ht="15.75" customHeight="1">
      <c r="A80954" s="7"/>
      <c r="B80954" s="7"/>
    </row>
    <row r="80955" ht="15.75" customHeight="1">
      <c r="A80955" s="7"/>
      <c r="B80955" s="7"/>
    </row>
    <row r="80956" ht="15.75" customHeight="1">
      <c r="A80956" s="7"/>
      <c r="B80956" s="7"/>
    </row>
    <row r="80957" ht="15.75" customHeight="1">
      <c r="A80957" s="7"/>
      <c r="B80957" s="7"/>
    </row>
    <row r="80958" ht="15.75" customHeight="1">
      <c r="A80958" s="7"/>
      <c r="B80958" s="7"/>
    </row>
    <row r="80959" ht="15.75" customHeight="1">
      <c r="A80959" s="7"/>
      <c r="B80959" s="7"/>
    </row>
    <row r="80960" ht="15.75" customHeight="1">
      <c r="A80960" s="7"/>
      <c r="B80960" s="7"/>
    </row>
    <row r="80961" ht="15.75" customHeight="1">
      <c r="A80961" s="7"/>
      <c r="B80961" s="7"/>
    </row>
    <row r="80962" ht="15.75" customHeight="1">
      <c r="A80962" s="7"/>
      <c r="B80962" s="7"/>
    </row>
    <row r="80963" ht="15.75" customHeight="1">
      <c r="A80963" s="7"/>
      <c r="B80963" s="7"/>
    </row>
    <row r="80964" ht="15.75" customHeight="1">
      <c r="A80964" s="7"/>
      <c r="B80964" s="7"/>
    </row>
    <row r="80965" ht="15.75" customHeight="1">
      <c r="A80965" s="7"/>
      <c r="B80965" s="7"/>
    </row>
    <row r="80966" ht="15.75" customHeight="1">
      <c r="A80966" s="7"/>
      <c r="B80966" s="7"/>
    </row>
    <row r="80967" ht="15.75" customHeight="1">
      <c r="A80967" s="7"/>
      <c r="B80967" s="7"/>
    </row>
    <row r="80968" ht="15.75" customHeight="1">
      <c r="A80968" s="7"/>
      <c r="B80968" s="7"/>
    </row>
    <row r="80969" ht="15.75" customHeight="1">
      <c r="A80969" s="7"/>
      <c r="B80969" s="7"/>
    </row>
    <row r="80970" ht="15.75" customHeight="1">
      <c r="A80970" s="7"/>
      <c r="B80970" s="7"/>
    </row>
    <row r="80971" ht="15.75" customHeight="1">
      <c r="A80971" s="7"/>
      <c r="B80971" s="7"/>
    </row>
    <row r="80972" ht="15.75" customHeight="1">
      <c r="A80972" s="7"/>
      <c r="B80972" s="7"/>
    </row>
    <row r="80973" ht="15.75" customHeight="1">
      <c r="A80973" s="7"/>
      <c r="B80973" s="7"/>
    </row>
    <row r="80974" ht="15.75" customHeight="1">
      <c r="A80974" s="7"/>
      <c r="B80974" s="7"/>
    </row>
    <row r="80975" ht="15.75" customHeight="1">
      <c r="A80975" s="7"/>
      <c r="B80975" s="7"/>
    </row>
    <row r="80976" ht="15.75" customHeight="1">
      <c r="A80976" s="7"/>
      <c r="B80976" s="7"/>
    </row>
    <row r="80977" ht="15.75" customHeight="1">
      <c r="A80977" s="7"/>
      <c r="B80977" s="7"/>
    </row>
    <row r="80978" ht="15.75" customHeight="1">
      <c r="A80978" s="7"/>
      <c r="B80978" s="7"/>
    </row>
    <row r="80979" ht="15.75" customHeight="1">
      <c r="A80979" s="7"/>
      <c r="B80979" s="7"/>
    </row>
    <row r="80980" ht="15.75" customHeight="1">
      <c r="A80980" s="7"/>
      <c r="B80980" s="7"/>
    </row>
    <row r="80981" ht="15.75" customHeight="1">
      <c r="A80981" s="7"/>
      <c r="B80981" s="7"/>
    </row>
    <row r="80982" ht="15.75" customHeight="1">
      <c r="A80982" s="7"/>
      <c r="B80982" s="7"/>
    </row>
    <row r="80983" ht="15.75" customHeight="1">
      <c r="A80983" s="7"/>
      <c r="B80983" s="7"/>
    </row>
    <row r="80984" ht="15.75" customHeight="1">
      <c r="A80984" s="7"/>
      <c r="B80984" s="7"/>
    </row>
    <row r="80985" ht="15.75" customHeight="1">
      <c r="A80985" s="7"/>
      <c r="B80985" s="7"/>
    </row>
    <row r="80986" ht="15.75" customHeight="1">
      <c r="A80986" s="7"/>
      <c r="B80986" s="7"/>
    </row>
    <row r="80987" ht="15.75" customHeight="1">
      <c r="A80987" s="7"/>
      <c r="B80987" s="7"/>
    </row>
    <row r="80988" ht="15.75" customHeight="1">
      <c r="A80988" s="7"/>
      <c r="B80988" s="7"/>
    </row>
    <row r="80989" ht="15.75" customHeight="1">
      <c r="A80989" s="7"/>
      <c r="B80989" s="7"/>
    </row>
    <row r="80990" ht="15.75" customHeight="1">
      <c r="A80990" s="7"/>
      <c r="B80990" s="7"/>
    </row>
    <row r="80991" ht="15.75" customHeight="1">
      <c r="A80991" s="7"/>
      <c r="B80991" s="7"/>
    </row>
    <row r="80992" ht="15.75" customHeight="1">
      <c r="A80992" s="7"/>
      <c r="B80992" s="7"/>
    </row>
    <row r="80993" ht="15.75" customHeight="1">
      <c r="A80993" s="7"/>
      <c r="B80993" s="7"/>
    </row>
    <row r="80994" ht="15.75" customHeight="1">
      <c r="A80994" s="7"/>
      <c r="B80994" s="7"/>
    </row>
    <row r="80995" ht="15.75" customHeight="1">
      <c r="A80995" s="7"/>
      <c r="B80995" s="7"/>
    </row>
    <row r="80996" ht="15.75" customHeight="1">
      <c r="A80996" s="7"/>
      <c r="B80996" s="7"/>
    </row>
    <row r="80997" ht="15.75" customHeight="1">
      <c r="A80997" s="7"/>
      <c r="B80997" s="7"/>
    </row>
    <row r="80998" ht="15.75" customHeight="1">
      <c r="A80998" s="7"/>
      <c r="B80998" s="7"/>
    </row>
    <row r="80999" ht="15.75" customHeight="1">
      <c r="A80999" s="7"/>
      <c r="B80999" s="7"/>
    </row>
    <row r="81000" ht="15.75" customHeight="1">
      <c r="A81000" s="7"/>
      <c r="B81000" s="7"/>
    </row>
    <row r="81001" ht="15.75" customHeight="1">
      <c r="A81001" s="7"/>
      <c r="B81001" s="7"/>
    </row>
    <row r="81002" ht="15.75" customHeight="1">
      <c r="A81002" s="7"/>
      <c r="B81002" s="7"/>
    </row>
    <row r="81003" ht="15.75" customHeight="1">
      <c r="A81003" s="7"/>
      <c r="B81003" s="7"/>
    </row>
    <row r="81004" ht="15.75" customHeight="1">
      <c r="A81004" s="7"/>
      <c r="B81004" s="7"/>
    </row>
    <row r="81005" ht="15.75" customHeight="1">
      <c r="A81005" s="7"/>
      <c r="B81005" s="7"/>
    </row>
    <row r="81006" ht="15.75" customHeight="1">
      <c r="A81006" s="7"/>
      <c r="B81006" s="7"/>
    </row>
    <row r="81007" ht="15.75" customHeight="1">
      <c r="A81007" s="7"/>
      <c r="B81007" s="7"/>
    </row>
    <row r="81008" ht="15.75" customHeight="1">
      <c r="A81008" s="7"/>
      <c r="B81008" s="7"/>
    </row>
    <row r="81009" ht="15.75" customHeight="1">
      <c r="A81009" s="7"/>
      <c r="B81009" s="7"/>
    </row>
    <row r="81010" ht="15.75" customHeight="1">
      <c r="A81010" s="7"/>
      <c r="B81010" s="7"/>
    </row>
    <row r="81011" ht="15.75" customHeight="1">
      <c r="A81011" s="7"/>
      <c r="B81011" s="7"/>
    </row>
    <row r="81012" ht="15.75" customHeight="1">
      <c r="A81012" s="7"/>
      <c r="B81012" s="7"/>
    </row>
    <row r="81013" ht="15.75" customHeight="1">
      <c r="A81013" s="7"/>
      <c r="B81013" s="7"/>
    </row>
    <row r="81014" ht="15.75" customHeight="1">
      <c r="A81014" s="7"/>
      <c r="B81014" s="7"/>
    </row>
    <row r="81015" ht="15.75" customHeight="1">
      <c r="A81015" s="7"/>
      <c r="B81015" s="7"/>
    </row>
    <row r="81016" ht="15.75" customHeight="1">
      <c r="A81016" s="7"/>
      <c r="B81016" s="7"/>
    </row>
    <row r="81017" ht="15.75" customHeight="1">
      <c r="A81017" s="7"/>
      <c r="B81017" s="7"/>
    </row>
    <row r="81018" ht="15.75" customHeight="1">
      <c r="A81018" s="7"/>
      <c r="B81018" s="7"/>
    </row>
    <row r="81019" ht="15.75" customHeight="1">
      <c r="A81019" s="7"/>
      <c r="B81019" s="7"/>
    </row>
    <row r="81020" ht="15.75" customHeight="1">
      <c r="A81020" s="7"/>
      <c r="B81020" s="7"/>
    </row>
    <row r="81021" ht="15.75" customHeight="1">
      <c r="A81021" s="7"/>
      <c r="B81021" s="7"/>
    </row>
    <row r="81022" ht="15.75" customHeight="1">
      <c r="A81022" s="7"/>
      <c r="B81022" s="7"/>
    </row>
    <row r="81023" ht="15.75" customHeight="1">
      <c r="A81023" s="7"/>
      <c r="B81023" s="7"/>
    </row>
    <row r="81024" ht="15.75" customHeight="1">
      <c r="A81024" s="7"/>
      <c r="B81024" s="7"/>
    </row>
    <row r="81025" ht="15.75" customHeight="1">
      <c r="A81025" s="7"/>
      <c r="B81025" s="7"/>
    </row>
    <row r="81026" ht="15.75" customHeight="1">
      <c r="A81026" s="7"/>
      <c r="B81026" s="7"/>
    </row>
    <row r="81027" ht="15.75" customHeight="1">
      <c r="A81027" s="7"/>
      <c r="B81027" s="7"/>
    </row>
    <row r="81028" ht="15.75" customHeight="1">
      <c r="A81028" s="7"/>
      <c r="B81028" s="7"/>
    </row>
    <row r="81029" ht="15.75" customHeight="1">
      <c r="A81029" s="7"/>
      <c r="B81029" s="7"/>
    </row>
    <row r="81030" ht="15.75" customHeight="1">
      <c r="A81030" s="7"/>
      <c r="B81030" s="7"/>
    </row>
    <row r="81031" ht="15.75" customHeight="1">
      <c r="A81031" s="7"/>
      <c r="B81031" s="7"/>
    </row>
    <row r="81032" ht="15.75" customHeight="1">
      <c r="A81032" s="7"/>
      <c r="B81032" s="7"/>
    </row>
    <row r="81033" ht="15.75" customHeight="1">
      <c r="A81033" s="7"/>
      <c r="B81033" s="7"/>
    </row>
    <row r="81034" ht="15.75" customHeight="1">
      <c r="A81034" s="7"/>
      <c r="B81034" s="7"/>
    </row>
    <row r="81035" ht="15.75" customHeight="1">
      <c r="A81035" s="7"/>
      <c r="B81035" s="7"/>
    </row>
    <row r="81036" ht="15.75" customHeight="1">
      <c r="A81036" s="7"/>
      <c r="B81036" s="7"/>
    </row>
    <row r="81037" ht="15.75" customHeight="1">
      <c r="A81037" s="7"/>
      <c r="B81037" s="7"/>
    </row>
    <row r="81038" ht="15.75" customHeight="1">
      <c r="A81038" s="7"/>
      <c r="B81038" s="7"/>
    </row>
    <row r="81039" ht="15.75" customHeight="1">
      <c r="A81039" s="7"/>
      <c r="B81039" s="7"/>
    </row>
    <row r="81040" ht="15.75" customHeight="1">
      <c r="A81040" s="7"/>
      <c r="B81040" s="7"/>
    </row>
    <row r="81041" ht="15.75" customHeight="1">
      <c r="A81041" s="7"/>
      <c r="B81041" s="7"/>
    </row>
    <row r="81042" ht="15.75" customHeight="1">
      <c r="A81042" s="7"/>
      <c r="B81042" s="7"/>
    </row>
    <row r="81043" ht="15.75" customHeight="1">
      <c r="A81043" s="7"/>
      <c r="B81043" s="7"/>
    </row>
    <row r="81044" ht="15.75" customHeight="1">
      <c r="A81044" s="7"/>
      <c r="B81044" s="7"/>
    </row>
    <row r="81045" ht="15.75" customHeight="1">
      <c r="A81045" s="7"/>
      <c r="B81045" s="7"/>
    </row>
    <row r="81046" ht="15.75" customHeight="1">
      <c r="A81046" s="7"/>
      <c r="B81046" s="7"/>
    </row>
    <row r="81047" ht="15.75" customHeight="1">
      <c r="A81047" s="7"/>
      <c r="B81047" s="7"/>
    </row>
    <row r="81048" ht="15.75" customHeight="1">
      <c r="A81048" s="7"/>
      <c r="B81048" s="7"/>
    </row>
    <row r="81049" ht="15.75" customHeight="1">
      <c r="A81049" s="7"/>
      <c r="B81049" s="7"/>
    </row>
    <row r="81050" ht="15.75" customHeight="1">
      <c r="A81050" s="7"/>
      <c r="B81050" s="7"/>
    </row>
    <row r="81051" ht="15.75" customHeight="1">
      <c r="A81051" s="7"/>
      <c r="B81051" s="7"/>
    </row>
    <row r="81052" ht="15.75" customHeight="1">
      <c r="A81052" s="7"/>
      <c r="B81052" s="7"/>
    </row>
    <row r="81053" ht="15.75" customHeight="1">
      <c r="A81053" s="7"/>
      <c r="B81053" s="7"/>
    </row>
    <row r="81054" ht="15.75" customHeight="1">
      <c r="A81054" s="7"/>
      <c r="B81054" s="7"/>
    </row>
    <row r="81055" ht="15.75" customHeight="1">
      <c r="A81055" s="7"/>
      <c r="B81055" s="7"/>
    </row>
    <row r="81056" ht="15.75" customHeight="1">
      <c r="A81056" s="7"/>
      <c r="B81056" s="7"/>
    </row>
    <row r="81057" ht="15.75" customHeight="1">
      <c r="A81057" s="7"/>
      <c r="B81057" s="7"/>
    </row>
    <row r="81058" ht="15.75" customHeight="1">
      <c r="A81058" s="7"/>
      <c r="B81058" s="7"/>
    </row>
    <row r="81059" ht="15.75" customHeight="1">
      <c r="A81059" s="7"/>
      <c r="B81059" s="7"/>
    </row>
    <row r="81060" ht="15.75" customHeight="1">
      <c r="A81060" s="7"/>
      <c r="B81060" s="7"/>
    </row>
    <row r="81061" ht="15.75" customHeight="1">
      <c r="A81061" s="7"/>
      <c r="B81061" s="7"/>
    </row>
    <row r="81062" ht="15.75" customHeight="1">
      <c r="A81062" s="7"/>
      <c r="B81062" s="7"/>
    </row>
    <row r="81063" ht="15.75" customHeight="1">
      <c r="A81063" s="7"/>
      <c r="B81063" s="7"/>
    </row>
    <row r="81064" ht="15.75" customHeight="1">
      <c r="A81064" s="7"/>
      <c r="B81064" s="7"/>
    </row>
    <row r="81065" ht="15.75" customHeight="1">
      <c r="A81065" s="7"/>
      <c r="B81065" s="7"/>
    </row>
    <row r="81066" ht="15.75" customHeight="1">
      <c r="A81066" s="7"/>
      <c r="B81066" s="7"/>
    </row>
    <row r="81067" ht="15.75" customHeight="1">
      <c r="A81067" s="7"/>
      <c r="B81067" s="7"/>
    </row>
    <row r="81068" ht="15.75" customHeight="1">
      <c r="A81068" s="7"/>
      <c r="B81068" s="7"/>
    </row>
    <row r="81069" ht="15.75" customHeight="1">
      <c r="A81069" s="7"/>
      <c r="B81069" s="7"/>
    </row>
    <row r="81070" ht="15.75" customHeight="1">
      <c r="A81070" s="7"/>
      <c r="B81070" s="7"/>
    </row>
    <row r="81071" ht="15.75" customHeight="1">
      <c r="A81071" s="7"/>
      <c r="B81071" s="7"/>
    </row>
    <row r="81072" ht="15.75" customHeight="1">
      <c r="A81072" s="7"/>
      <c r="B81072" s="7"/>
    </row>
    <row r="81073" ht="15.75" customHeight="1">
      <c r="A81073" s="7"/>
      <c r="B81073" s="7"/>
    </row>
    <row r="81074" ht="15.75" customHeight="1">
      <c r="A81074" s="7"/>
      <c r="B81074" s="7"/>
    </row>
    <row r="81075" ht="15.75" customHeight="1">
      <c r="A81075" s="7"/>
      <c r="B81075" s="7"/>
    </row>
    <row r="81076" ht="15.75" customHeight="1">
      <c r="A81076" s="7"/>
      <c r="B81076" s="7"/>
    </row>
    <row r="81077" ht="15.75" customHeight="1">
      <c r="A81077" s="7"/>
      <c r="B81077" s="7"/>
    </row>
    <row r="81078" ht="15.75" customHeight="1">
      <c r="A81078" s="7"/>
      <c r="B81078" s="7"/>
    </row>
    <row r="81079" ht="15.75" customHeight="1">
      <c r="A81079" s="7"/>
      <c r="B81079" s="7"/>
    </row>
    <row r="81080" ht="15.75" customHeight="1">
      <c r="A81080" s="7"/>
      <c r="B81080" s="7"/>
    </row>
    <row r="81081" ht="15.75" customHeight="1">
      <c r="A81081" s="7"/>
      <c r="B81081" s="7"/>
    </row>
    <row r="81082" ht="15.75" customHeight="1">
      <c r="A81082" s="7"/>
      <c r="B81082" s="7"/>
    </row>
    <row r="81083" ht="15.75" customHeight="1">
      <c r="A81083" s="7"/>
      <c r="B81083" s="7"/>
    </row>
    <row r="81084" ht="15.75" customHeight="1">
      <c r="A81084" s="7"/>
      <c r="B81084" s="7"/>
    </row>
    <row r="81085" ht="15.75" customHeight="1">
      <c r="A81085" s="7"/>
      <c r="B81085" s="7"/>
    </row>
    <row r="81086" ht="15.75" customHeight="1">
      <c r="A81086" s="7"/>
      <c r="B81086" s="7"/>
    </row>
    <row r="81087" ht="15.75" customHeight="1">
      <c r="A81087" s="7"/>
      <c r="B81087" s="7"/>
    </row>
    <row r="81088" ht="15.75" customHeight="1">
      <c r="A81088" s="7"/>
      <c r="B81088" s="7"/>
    </row>
    <row r="81089" ht="15.75" customHeight="1">
      <c r="A81089" s="7"/>
      <c r="B81089" s="7"/>
    </row>
    <row r="81090" ht="15.75" customHeight="1">
      <c r="A81090" s="7"/>
      <c r="B81090" s="7"/>
    </row>
    <row r="81091" ht="15.75" customHeight="1">
      <c r="A81091" s="7"/>
      <c r="B81091" s="7"/>
    </row>
    <row r="81092" ht="15.75" customHeight="1">
      <c r="A81092" s="7"/>
      <c r="B81092" s="7"/>
    </row>
    <row r="81093" ht="15.75" customHeight="1">
      <c r="A81093" s="7"/>
      <c r="B81093" s="7"/>
    </row>
    <row r="81094" ht="15.75" customHeight="1">
      <c r="A81094" s="7"/>
      <c r="B81094" s="7"/>
    </row>
    <row r="81095" ht="15.75" customHeight="1">
      <c r="A81095" s="7"/>
      <c r="B81095" s="7"/>
    </row>
    <row r="81096" ht="15.75" customHeight="1">
      <c r="A81096" s="7"/>
      <c r="B81096" s="7"/>
    </row>
    <row r="81097" ht="15.75" customHeight="1">
      <c r="A81097" s="7"/>
      <c r="B81097" s="7"/>
    </row>
    <row r="81098" ht="15.75" customHeight="1">
      <c r="A81098" s="7"/>
      <c r="B81098" s="7"/>
    </row>
    <row r="81099" ht="15.75" customHeight="1">
      <c r="A81099" s="7"/>
      <c r="B81099" s="7"/>
    </row>
    <row r="81100" ht="15.75" customHeight="1">
      <c r="A81100" s="7"/>
      <c r="B81100" s="7"/>
    </row>
    <row r="81101" ht="15.75" customHeight="1">
      <c r="A81101" s="7"/>
      <c r="B81101" s="7"/>
    </row>
    <row r="81102" ht="15.75" customHeight="1">
      <c r="A81102" s="7"/>
      <c r="B81102" s="7"/>
    </row>
    <row r="81103" ht="15.75" customHeight="1">
      <c r="A81103" s="7"/>
      <c r="B81103" s="7"/>
    </row>
    <row r="81104" ht="15.75" customHeight="1">
      <c r="A81104" s="7"/>
      <c r="B81104" s="7"/>
    </row>
    <row r="81105" ht="15.75" customHeight="1">
      <c r="A81105" s="7"/>
      <c r="B81105" s="7"/>
    </row>
    <row r="81106" ht="15.75" customHeight="1">
      <c r="A81106" s="7"/>
      <c r="B81106" s="7"/>
    </row>
    <row r="81107" ht="15.75" customHeight="1">
      <c r="A81107" s="7"/>
      <c r="B81107" s="7"/>
    </row>
    <row r="81108" ht="15.75" customHeight="1">
      <c r="A81108" s="7"/>
      <c r="B81108" s="7"/>
    </row>
    <row r="81109" ht="15.75" customHeight="1">
      <c r="A81109" s="7"/>
      <c r="B81109" s="7"/>
    </row>
    <row r="81110" ht="15.75" customHeight="1">
      <c r="A81110" s="7"/>
      <c r="B81110" s="7"/>
    </row>
    <row r="81111" ht="15.75" customHeight="1">
      <c r="A81111" s="7"/>
      <c r="B81111" s="7"/>
    </row>
    <row r="81112" ht="15.75" customHeight="1">
      <c r="A81112" s="7"/>
      <c r="B81112" s="7"/>
    </row>
    <row r="81113" ht="15.75" customHeight="1">
      <c r="A81113" s="7"/>
      <c r="B81113" s="7"/>
    </row>
    <row r="81114" ht="15.75" customHeight="1">
      <c r="A81114" s="7"/>
      <c r="B81114" s="7"/>
    </row>
    <row r="81115" ht="15.75" customHeight="1">
      <c r="A81115" s="7"/>
      <c r="B81115" s="7"/>
    </row>
    <row r="81116" ht="15.75" customHeight="1">
      <c r="A81116" s="7"/>
      <c r="B81116" s="7"/>
    </row>
    <row r="81117" ht="15.75" customHeight="1">
      <c r="A81117" s="7"/>
      <c r="B81117" s="7"/>
    </row>
    <row r="81118" ht="15.75" customHeight="1">
      <c r="A81118" s="7"/>
      <c r="B81118" s="7"/>
    </row>
    <row r="81119" ht="15.75" customHeight="1">
      <c r="A81119" s="7"/>
      <c r="B81119" s="7"/>
    </row>
    <row r="81120" ht="15.75" customHeight="1">
      <c r="A81120" s="7"/>
      <c r="B81120" s="7"/>
    </row>
    <row r="81121" ht="15.75" customHeight="1">
      <c r="A81121" s="7"/>
      <c r="B81121" s="7"/>
    </row>
    <row r="81122" ht="15.75" customHeight="1">
      <c r="A81122" s="7"/>
      <c r="B81122" s="7"/>
    </row>
    <row r="81123" ht="15.75" customHeight="1">
      <c r="A81123" s="7"/>
      <c r="B81123" s="7"/>
    </row>
    <row r="81124" ht="15.75" customHeight="1">
      <c r="A81124" s="7"/>
      <c r="B81124" s="7"/>
    </row>
    <row r="81125" ht="15.75" customHeight="1">
      <c r="A81125" s="7"/>
      <c r="B81125" s="7"/>
    </row>
    <row r="81126" ht="15.75" customHeight="1">
      <c r="A81126" s="7"/>
      <c r="B81126" s="7"/>
    </row>
    <row r="81127" ht="15.75" customHeight="1">
      <c r="A81127" s="7"/>
      <c r="B81127" s="7"/>
    </row>
    <row r="81128" ht="15.75" customHeight="1">
      <c r="A81128" s="7"/>
      <c r="B81128" s="7"/>
    </row>
    <row r="81129" ht="15.75" customHeight="1">
      <c r="A81129" s="7"/>
      <c r="B81129" s="7"/>
    </row>
    <row r="81130" ht="15.75" customHeight="1">
      <c r="A81130" s="7"/>
      <c r="B81130" s="7"/>
    </row>
    <row r="81131" ht="15.75" customHeight="1">
      <c r="A81131" s="7"/>
      <c r="B81131" s="7"/>
    </row>
    <row r="81132" ht="15.75" customHeight="1">
      <c r="A81132" s="7"/>
      <c r="B81132" s="7"/>
    </row>
    <row r="81133" ht="15.75" customHeight="1">
      <c r="A81133" s="7"/>
      <c r="B81133" s="7"/>
    </row>
    <row r="81134" ht="15.75" customHeight="1">
      <c r="A81134" s="7"/>
      <c r="B81134" s="7"/>
    </row>
    <row r="81135" ht="15.75" customHeight="1">
      <c r="A81135" s="7"/>
      <c r="B81135" s="7"/>
    </row>
    <row r="81136" ht="15.75" customHeight="1">
      <c r="A81136" s="7"/>
      <c r="B81136" s="7"/>
    </row>
    <row r="81137" ht="15.75" customHeight="1">
      <c r="A81137" s="7"/>
      <c r="B81137" s="7"/>
    </row>
    <row r="81138" ht="15.75" customHeight="1">
      <c r="A81138" s="7"/>
      <c r="B81138" s="7"/>
    </row>
    <row r="81139" ht="15.75" customHeight="1">
      <c r="A81139" s="7"/>
      <c r="B81139" s="7"/>
    </row>
    <row r="81140" ht="15.75" customHeight="1">
      <c r="A81140" s="7"/>
      <c r="B81140" s="7"/>
    </row>
    <row r="81141" ht="15.75" customHeight="1">
      <c r="A81141" s="7"/>
      <c r="B81141" s="7"/>
    </row>
    <row r="81142" ht="15.75" customHeight="1">
      <c r="A81142" s="7"/>
      <c r="B81142" s="7"/>
    </row>
    <row r="81143" ht="15.75" customHeight="1">
      <c r="A81143" s="7"/>
      <c r="B81143" s="7"/>
    </row>
    <row r="81144" ht="15.75" customHeight="1">
      <c r="A81144" s="7"/>
      <c r="B81144" s="7"/>
    </row>
    <row r="81145" ht="15.75" customHeight="1">
      <c r="A81145" s="7"/>
      <c r="B81145" s="7"/>
    </row>
    <row r="81146" ht="15.75" customHeight="1">
      <c r="A81146" s="7"/>
      <c r="B81146" s="7"/>
    </row>
    <row r="81147" ht="15.75" customHeight="1">
      <c r="A81147" s="7"/>
      <c r="B81147" s="7"/>
    </row>
    <row r="81148" ht="15.75" customHeight="1">
      <c r="A81148" s="7"/>
      <c r="B81148" s="7"/>
    </row>
    <row r="81149" ht="15.75" customHeight="1">
      <c r="A81149" s="7"/>
      <c r="B81149" s="7"/>
    </row>
    <row r="81150" ht="15.75" customHeight="1">
      <c r="A81150" s="7"/>
      <c r="B81150" s="7"/>
    </row>
    <row r="81151" ht="15.75" customHeight="1">
      <c r="A81151" s="7"/>
      <c r="B81151" s="7"/>
    </row>
    <row r="81152" ht="15.75" customHeight="1">
      <c r="A81152" s="7"/>
      <c r="B81152" s="7"/>
    </row>
    <row r="81153" ht="15.75" customHeight="1">
      <c r="A81153" s="7"/>
      <c r="B81153" s="7"/>
    </row>
    <row r="81154" ht="15.75" customHeight="1">
      <c r="A81154" s="7"/>
      <c r="B81154" s="7"/>
    </row>
    <row r="81155" ht="15.75" customHeight="1">
      <c r="A81155" s="7"/>
      <c r="B81155" s="7"/>
    </row>
    <row r="81156" ht="15.75" customHeight="1">
      <c r="A81156" s="7"/>
      <c r="B81156" s="7"/>
    </row>
    <row r="81157" ht="15.75" customHeight="1">
      <c r="A81157" s="7"/>
      <c r="B81157" s="7"/>
    </row>
    <row r="81158" ht="15.75" customHeight="1">
      <c r="A81158" s="7"/>
      <c r="B81158" s="7"/>
    </row>
    <row r="81159" ht="15.75" customHeight="1">
      <c r="A81159" s="7"/>
      <c r="B81159" s="7"/>
    </row>
    <row r="81160" ht="15.75" customHeight="1">
      <c r="A81160" s="7"/>
      <c r="B81160" s="7"/>
    </row>
    <row r="81161" ht="15.75" customHeight="1">
      <c r="A81161" s="7"/>
      <c r="B81161" s="7"/>
    </row>
    <row r="81162" ht="15.75" customHeight="1">
      <c r="A81162" s="7"/>
      <c r="B81162" s="7"/>
    </row>
    <row r="81163" ht="15.75" customHeight="1">
      <c r="A81163" s="7"/>
      <c r="B81163" s="7"/>
    </row>
    <row r="81164" ht="15.75" customHeight="1">
      <c r="A81164" s="7"/>
      <c r="B81164" s="7"/>
    </row>
    <row r="81165" ht="15.75" customHeight="1">
      <c r="A81165" s="7"/>
      <c r="B81165" s="7"/>
    </row>
    <row r="81166" ht="15.75" customHeight="1">
      <c r="A81166" s="7"/>
      <c r="B81166" s="7"/>
    </row>
    <row r="81167" ht="15.75" customHeight="1">
      <c r="A81167" s="7"/>
      <c r="B81167" s="7"/>
    </row>
    <row r="81168" ht="15.75" customHeight="1">
      <c r="A81168" s="7"/>
      <c r="B81168" s="7"/>
    </row>
    <row r="81169" ht="15.75" customHeight="1">
      <c r="A81169" s="7"/>
      <c r="B81169" s="7"/>
    </row>
    <row r="81170" ht="15.75" customHeight="1">
      <c r="A81170" s="7"/>
      <c r="B81170" s="7"/>
    </row>
    <row r="81171" ht="15.75" customHeight="1">
      <c r="A81171" s="7"/>
      <c r="B81171" s="7"/>
    </row>
    <row r="81172" ht="15.75" customHeight="1">
      <c r="A81172" s="7"/>
      <c r="B81172" s="7"/>
    </row>
    <row r="81173" ht="15.75" customHeight="1">
      <c r="A81173" s="7"/>
      <c r="B81173" s="7"/>
    </row>
    <row r="81174" ht="15.75" customHeight="1">
      <c r="A81174" s="7"/>
      <c r="B81174" s="7"/>
    </row>
    <row r="81175" ht="15.75" customHeight="1">
      <c r="A81175" s="7"/>
      <c r="B81175" s="7"/>
    </row>
    <row r="81176" ht="15.75" customHeight="1">
      <c r="A81176" s="7"/>
      <c r="B81176" s="7"/>
    </row>
    <row r="81177" ht="15.75" customHeight="1">
      <c r="A81177" s="7"/>
      <c r="B81177" s="7"/>
    </row>
    <row r="81178" ht="15.75" customHeight="1">
      <c r="A81178" s="7"/>
      <c r="B81178" s="7"/>
    </row>
    <row r="81179" ht="15.75" customHeight="1">
      <c r="A81179" s="7"/>
      <c r="B81179" s="7"/>
    </row>
    <row r="81180" ht="15.75" customHeight="1">
      <c r="A81180" s="7"/>
      <c r="B81180" s="7"/>
    </row>
    <row r="81181" ht="15.75" customHeight="1">
      <c r="A81181" s="7"/>
      <c r="B81181" s="7"/>
    </row>
    <row r="81182" ht="15.75" customHeight="1">
      <c r="A81182" s="7"/>
      <c r="B81182" s="7"/>
    </row>
    <row r="81183" ht="15.75" customHeight="1">
      <c r="A81183" s="7"/>
      <c r="B81183" s="7"/>
    </row>
    <row r="81184" ht="15.75" customHeight="1">
      <c r="A81184" s="7"/>
      <c r="B81184" s="7"/>
    </row>
    <row r="81185" ht="15.75" customHeight="1">
      <c r="A81185" s="7"/>
      <c r="B81185" s="7"/>
    </row>
    <row r="81186" ht="15.75" customHeight="1">
      <c r="A81186" s="7"/>
      <c r="B81186" s="7"/>
    </row>
    <row r="81187" ht="15.75" customHeight="1">
      <c r="A81187" s="7"/>
      <c r="B81187" s="7"/>
    </row>
    <row r="81188" ht="15.75" customHeight="1">
      <c r="A81188" s="7"/>
      <c r="B81188" s="7"/>
    </row>
    <row r="81189" ht="15.75" customHeight="1">
      <c r="A81189" s="7"/>
      <c r="B81189" s="7"/>
    </row>
    <row r="81190" ht="15.75" customHeight="1">
      <c r="A81190" s="7"/>
      <c r="B81190" s="7"/>
    </row>
    <row r="81191" ht="15.75" customHeight="1">
      <c r="A81191" s="7"/>
      <c r="B81191" s="7"/>
    </row>
    <row r="81192" ht="15.75" customHeight="1">
      <c r="A81192" s="7"/>
      <c r="B81192" s="7"/>
    </row>
    <row r="81193" ht="15.75" customHeight="1">
      <c r="A81193" s="7"/>
      <c r="B81193" s="7"/>
    </row>
    <row r="81194" ht="15.75" customHeight="1">
      <c r="A81194" s="7"/>
      <c r="B81194" s="7"/>
    </row>
    <row r="81195" ht="15.75" customHeight="1">
      <c r="A81195" s="7"/>
      <c r="B81195" s="7"/>
    </row>
    <row r="81196" ht="15.75" customHeight="1">
      <c r="A81196" s="7"/>
      <c r="B81196" s="7"/>
    </row>
    <row r="81197" ht="15.75" customHeight="1">
      <c r="A81197" s="7"/>
      <c r="B81197" s="7"/>
    </row>
    <row r="81198" ht="15.75" customHeight="1">
      <c r="A81198" s="7"/>
      <c r="B81198" s="7"/>
    </row>
    <row r="81199" ht="15.75" customHeight="1">
      <c r="A81199" s="7"/>
      <c r="B81199" s="7"/>
    </row>
    <row r="81200" ht="15.75" customHeight="1">
      <c r="A81200" s="7"/>
      <c r="B81200" s="7"/>
    </row>
    <row r="81201" ht="15.75" customHeight="1">
      <c r="A81201" s="7"/>
      <c r="B81201" s="7"/>
    </row>
    <row r="81202" ht="15.75" customHeight="1">
      <c r="A81202" s="7"/>
      <c r="B81202" s="7"/>
    </row>
    <row r="81203" ht="15.75" customHeight="1">
      <c r="A81203" s="7"/>
      <c r="B81203" s="7"/>
    </row>
    <row r="81204" ht="15.75" customHeight="1">
      <c r="A81204" s="7"/>
      <c r="B81204" s="7"/>
    </row>
    <row r="81205" ht="15.75" customHeight="1">
      <c r="A81205" s="7"/>
      <c r="B81205" s="7"/>
    </row>
    <row r="81206" ht="15.75" customHeight="1">
      <c r="A81206" s="7"/>
      <c r="B81206" s="7"/>
    </row>
    <row r="81207" ht="15.75" customHeight="1">
      <c r="A81207" s="7"/>
      <c r="B81207" s="7"/>
    </row>
    <row r="81208" ht="15.75" customHeight="1">
      <c r="A81208" s="7"/>
      <c r="B81208" s="7"/>
    </row>
    <row r="81209" ht="15.75" customHeight="1">
      <c r="A81209" s="7"/>
      <c r="B81209" s="7"/>
    </row>
    <row r="81210" ht="15.75" customHeight="1">
      <c r="A81210" s="7"/>
      <c r="B81210" s="7"/>
    </row>
    <row r="81211" ht="15.75" customHeight="1">
      <c r="A81211" s="7"/>
      <c r="B81211" s="7"/>
    </row>
    <row r="81212" ht="15.75" customHeight="1">
      <c r="A81212" s="7"/>
      <c r="B81212" s="7"/>
    </row>
    <row r="81213" ht="15.75" customHeight="1">
      <c r="A81213" s="7"/>
      <c r="B81213" s="7"/>
    </row>
    <row r="81214" ht="15.75" customHeight="1">
      <c r="A81214" s="7"/>
      <c r="B81214" s="7"/>
    </row>
    <row r="81215" ht="15.75" customHeight="1">
      <c r="A81215" s="7"/>
      <c r="B81215" s="7"/>
    </row>
    <row r="81216" ht="15.75" customHeight="1">
      <c r="A81216" s="7"/>
      <c r="B81216" s="7"/>
    </row>
    <row r="81217" ht="15.75" customHeight="1">
      <c r="A81217" s="7"/>
      <c r="B81217" s="7"/>
    </row>
    <row r="81218" ht="15.75" customHeight="1">
      <c r="A81218" s="7"/>
      <c r="B81218" s="7"/>
    </row>
    <row r="81219" ht="15.75" customHeight="1">
      <c r="A81219" s="7"/>
      <c r="B81219" s="7"/>
    </row>
    <row r="81220" ht="15.75" customHeight="1">
      <c r="A81220" s="7"/>
      <c r="B81220" s="7"/>
    </row>
    <row r="81221" ht="15.75" customHeight="1">
      <c r="A81221" s="7"/>
      <c r="B81221" s="7"/>
    </row>
    <row r="81222" ht="15.75" customHeight="1">
      <c r="A81222" s="7"/>
      <c r="B81222" s="7"/>
    </row>
    <row r="81223" ht="15.75" customHeight="1">
      <c r="A81223" s="7"/>
      <c r="B81223" s="7"/>
    </row>
    <row r="81224" ht="15.75" customHeight="1">
      <c r="A81224" s="7"/>
      <c r="B81224" s="7"/>
    </row>
    <row r="81225" ht="15.75" customHeight="1">
      <c r="A81225" s="7"/>
      <c r="B81225" s="7"/>
    </row>
    <row r="81226" ht="15.75" customHeight="1">
      <c r="A81226" s="7"/>
      <c r="B81226" s="7"/>
    </row>
    <row r="81227" ht="15.75" customHeight="1">
      <c r="A81227" s="7"/>
      <c r="B81227" s="7"/>
    </row>
    <row r="81228" ht="15.75" customHeight="1">
      <c r="A81228" s="7"/>
      <c r="B81228" s="7"/>
    </row>
    <row r="81229" ht="15.75" customHeight="1">
      <c r="A81229" s="7"/>
      <c r="B81229" s="7"/>
    </row>
    <row r="81230" ht="15.75" customHeight="1">
      <c r="A81230" s="7"/>
      <c r="B81230" s="7"/>
    </row>
    <row r="81231" ht="15.75" customHeight="1">
      <c r="A81231" s="7"/>
      <c r="B81231" s="7"/>
    </row>
    <row r="81232" ht="15.75" customHeight="1">
      <c r="A81232" s="7"/>
      <c r="B81232" s="7"/>
    </row>
    <row r="81233" ht="15.75" customHeight="1">
      <c r="A81233" s="7"/>
      <c r="B81233" s="7"/>
    </row>
    <row r="81234" ht="15.75" customHeight="1">
      <c r="A81234" s="7"/>
      <c r="B81234" s="7"/>
    </row>
    <row r="81235" ht="15.75" customHeight="1">
      <c r="A81235" s="7"/>
      <c r="B81235" s="7"/>
    </row>
    <row r="81236" ht="15.75" customHeight="1">
      <c r="A81236" s="7"/>
      <c r="B81236" s="7"/>
    </row>
    <row r="81237" ht="15.75" customHeight="1">
      <c r="A81237" s="7"/>
      <c r="B81237" s="7"/>
    </row>
    <row r="81238" ht="15.75" customHeight="1">
      <c r="A81238" s="7"/>
      <c r="B81238" s="7"/>
    </row>
    <row r="81239" ht="15.75" customHeight="1">
      <c r="A81239" s="7"/>
      <c r="B81239" s="7"/>
    </row>
    <row r="81240" ht="15.75" customHeight="1">
      <c r="A81240" s="7"/>
      <c r="B81240" s="7"/>
    </row>
    <row r="81241" ht="15.75" customHeight="1">
      <c r="A81241" s="7"/>
      <c r="B81241" s="7"/>
    </row>
    <row r="81242" ht="15.75" customHeight="1">
      <c r="A81242" s="7"/>
      <c r="B81242" s="7"/>
    </row>
    <row r="81243" ht="15.75" customHeight="1">
      <c r="A81243" s="7"/>
      <c r="B81243" s="7"/>
    </row>
    <row r="81244" ht="15.75" customHeight="1">
      <c r="A81244" s="7"/>
      <c r="B81244" s="7"/>
    </row>
    <row r="81245" ht="15.75" customHeight="1">
      <c r="A81245" s="7"/>
      <c r="B81245" s="7"/>
    </row>
    <row r="81246" ht="15.75" customHeight="1">
      <c r="A81246" s="7"/>
      <c r="B81246" s="7"/>
    </row>
    <row r="81247" ht="15.75" customHeight="1">
      <c r="A81247" s="7"/>
      <c r="B81247" s="7"/>
    </row>
    <row r="81248" ht="15.75" customHeight="1">
      <c r="A81248" s="7"/>
      <c r="B81248" s="7"/>
    </row>
    <row r="81249" ht="15.75" customHeight="1">
      <c r="A81249" s="7"/>
      <c r="B81249" s="7"/>
    </row>
    <row r="81250" ht="15.75" customHeight="1">
      <c r="A81250" s="7"/>
      <c r="B81250" s="7"/>
    </row>
    <row r="81251" ht="15.75" customHeight="1">
      <c r="A81251" s="7"/>
      <c r="B81251" s="7"/>
    </row>
    <row r="81252" ht="15.75" customHeight="1">
      <c r="A81252" s="7"/>
      <c r="B81252" s="7"/>
    </row>
    <row r="81253" ht="15.75" customHeight="1">
      <c r="A81253" s="7"/>
      <c r="B81253" s="7"/>
    </row>
    <row r="81254" ht="15.75" customHeight="1">
      <c r="A81254" s="7"/>
      <c r="B81254" s="7"/>
    </row>
    <row r="81255" ht="15.75" customHeight="1">
      <c r="A81255" s="7"/>
      <c r="B81255" s="7"/>
    </row>
    <row r="81256" ht="15.75" customHeight="1">
      <c r="A81256" s="7"/>
      <c r="B81256" s="7"/>
    </row>
    <row r="81257" ht="15.75" customHeight="1">
      <c r="A81257" s="7"/>
      <c r="B81257" s="7"/>
    </row>
    <row r="81258" ht="15.75" customHeight="1">
      <c r="A81258" s="7"/>
      <c r="B81258" s="7"/>
    </row>
    <row r="81259" ht="15.75" customHeight="1">
      <c r="A81259" s="7"/>
      <c r="B81259" s="7"/>
    </row>
    <row r="81260" ht="15.75" customHeight="1">
      <c r="A81260" s="7"/>
      <c r="B81260" s="7"/>
    </row>
    <row r="81261" ht="15.75" customHeight="1">
      <c r="A81261" s="7"/>
      <c r="B81261" s="7"/>
    </row>
    <row r="81262" ht="15.75" customHeight="1">
      <c r="A81262" s="7"/>
      <c r="B81262" s="7"/>
    </row>
    <row r="81263" ht="15.75" customHeight="1">
      <c r="A81263" s="7"/>
      <c r="B81263" s="7"/>
    </row>
    <row r="81264" ht="15.75" customHeight="1">
      <c r="A81264" s="7"/>
      <c r="B81264" s="7"/>
    </row>
    <row r="81265" ht="15.75" customHeight="1">
      <c r="A81265" s="7"/>
      <c r="B81265" s="7"/>
    </row>
    <row r="81266" ht="15.75" customHeight="1">
      <c r="A81266" s="7"/>
      <c r="B81266" s="7"/>
    </row>
    <row r="81267" ht="15.75" customHeight="1">
      <c r="A81267" s="7"/>
      <c r="B81267" s="7"/>
    </row>
    <row r="81268" ht="15.75" customHeight="1">
      <c r="A81268" s="7"/>
      <c r="B81268" s="7"/>
    </row>
    <row r="81269" ht="15.75" customHeight="1">
      <c r="A81269" s="7"/>
      <c r="B81269" s="7"/>
    </row>
    <row r="81270" ht="15.75" customHeight="1">
      <c r="A81270" s="7"/>
      <c r="B81270" s="7"/>
    </row>
    <row r="81271" ht="15.75" customHeight="1">
      <c r="A81271" s="7"/>
      <c r="B81271" s="7"/>
    </row>
    <row r="81272" ht="15.75" customHeight="1">
      <c r="A81272" s="7"/>
      <c r="B81272" s="7"/>
    </row>
    <row r="81273" ht="15.75" customHeight="1">
      <c r="A81273" s="7"/>
      <c r="B81273" s="7"/>
    </row>
    <row r="81274" ht="15.75" customHeight="1">
      <c r="A81274" s="7"/>
      <c r="B81274" s="7"/>
    </row>
    <row r="81275" ht="15.75" customHeight="1">
      <c r="A81275" s="7"/>
      <c r="B81275" s="7"/>
    </row>
    <row r="81276" ht="15.75" customHeight="1">
      <c r="A81276" s="7"/>
      <c r="B81276" s="7"/>
    </row>
    <row r="81277" ht="15.75" customHeight="1">
      <c r="A81277" s="7"/>
      <c r="B81277" s="7"/>
    </row>
    <row r="81278" ht="15.75" customHeight="1">
      <c r="A81278" s="7"/>
      <c r="B81278" s="7"/>
    </row>
    <row r="81279" ht="15.75" customHeight="1">
      <c r="A81279" s="7"/>
      <c r="B81279" s="7"/>
    </row>
    <row r="81280" ht="15.75" customHeight="1">
      <c r="A81280" s="7"/>
      <c r="B81280" s="7"/>
    </row>
    <row r="81281" ht="15.75" customHeight="1">
      <c r="A81281" s="7"/>
      <c r="B81281" s="7"/>
    </row>
    <row r="81282" ht="15.75" customHeight="1">
      <c r="A81282" s="7"/>
      <c r="B81282" s="7"/>
    </row>
    <row r="81283" ht="15.75" customHeight="1">
      <c r="A81283" s="7"/>
      <c r="B81283" s="7"/>
    </row>
    <row r="81284" ht="15.75" customHeight="1">
      <c r="A81284" s="7"/>
      <c r="B81284" s="7"/>
    </row>
    <row r="81285" ht="15.75" customHeight="1">
      <c r="A81285" s="7"/>
      <c r="B81285" s="7"/>
    </row>
    <row r="81286" ht="15.75" customHeight="1">
      <c r="A81286" s="7"/>
      <c r="B81286" s="7"/>
    </row>
    <row r="81287" ht="15.75" customHeight="1">
      <c r="A81287" s="7"/>
      <c r="B81287" s="7"/>
    </row>
    <row r="81288" ht="15.75" customHeight="1">
      <c r="A81288" s="7"/>
      <c r="B81288" s="7"/>
    </row>
    <row r="81289" ht="15.75" customHeight="1">
      <c r="A81289" s="7"/>
      <c r="B81289" s="7"/>
    </row>
    <row r="81290" ht="15.75" customHeight="1">
      <c r="A81290" s="7"/>
      <c r="B81290" s="7"/>
    </row>
    <row r="81291" ht="15.75" customHeight="1">
      <c r="A81291" s="7"/>
      <c r="B81291" s="7"/>
    </row>
    <row r="81292" ht="15.75" customHeight="1">
      <c r="A81292" s="7"/>
      <c r="B81292" s="7"/>
    </row>
    <row r="81293" ht="15.75" customHeight="1">
      <c r="A81293" s="7"/>
      <c r="B81293" s="7"/>
    </row>
    <row r="81294" ht="15.75" customHeight="1">
      <c r="A81294" s="7"/>
      <c r="B81294" s="7"/>
    </row>
    <row r="81295" ht="15.75" customHeight="1">
      <c r="A81295" s="7"/>
      <c r="B81295" s="7"/>
    </row>
    <row r="81296" ht="15.75" customHeight="1">
      <c r="A81296" s="7"/>
      <c r="B81296" s="7"/>
    </row>
    <row r="81297" ht="15.75" customHeight="1">
      <c r="A81297" s="7"/>
      <c r="B81297" s="7"/>
    </row>
    <row r="81298" ht="15.75" customHeight="1">
      <c r="A81298" s="7"/>
      <c r="B81298" s="7"/>
    </row>
    <row r="81299" ht="15.75" customHeight="1">
      <c r="A81299" s="7"/>
      <c r="B81299" s="7"/>
    </row>
    <row r="81300" ht="15.75" customHeight="1">
      <c r="A81300" s="7"/>
      <c r="B81300" s="7"/>
    </row>
    <row r="81301" ht="15.75" customHeight="1">
      <c r="A81301" s="7"/>
      <c r="B81301" s="7"/>
    </row>
    <row r="81302" ht="15.75" customHeight="1">
      <c r="A81302" s="7"/>
      <c r="B81302" s="7"/>
    </row>
    <row r="81303" ht="15.75" customHeight="1">
      <c r="A81303" s="7"/>
      <c r="B81303" s="7"/>
    </row>
    <row r="81304" ht="15.75" customHeight="1">
      <c r="A81304" s="7"/>
      <c r="B81304" s="7"/>
    </row>
    <row r="81305" ht="15.75" customHeight="1">
      <c r="A81305" s="7"/>
      <c r="B81305" s="7"/>
    </row>
    <row r="81306" ht="15.75" customHeight="1">
      <c r="A81306" s="7"/>
      <c r="B81306" s="7"/>
    </row>
    <row r="81307" ht="15.75" customHeight="1">
      <c r="A81307" s="7"/>
      <c r="B81307" s="7"/>
    </row>
    <row r="81308" ht="15.75" customHeight="1">
      <c r="A81308" s="7"/>
      <c r="B81308" s="7"/>
    </row>
    <row r="81309" ht="15.75" customHeight="1">
      <c r="A81309" s="7"/>
      <c r="B81309" s="7"/>
    </row>
    <row r="81310" ht="15.75" customHeight="1">
      <c r="A81310" s="7"/>
      <c r="B81310" s="7"/>
    </row>
    <row r="81311" ht="15.75" customHeight="1">
      <c r="A81311" s="7"/>
      <c r="B81311" s="7"/>
    </row>
    <row r="81312" ht="15.75" customHeight="1">
      <c r="A81312" s="7"/>
      <c r="B81312" s="7"/>
    </row>
    <row r="81313" ht="15.75" customHeight="1">
      <c r="A81313" s="7"/>
      <c r="B81313" s="7"/>
    </row>
    <row r="81314" ht="15.75" customHeight="1">
      <c r="A81314" s="7"/>
      <c r="B81314" s="7"/>
    </row>
    <row r="81315" ht="15.75" customHeight="1">
      <c r="A81315" s="7"/>
      <c r="B81315" s="7"/>
    </row>
    <row r="81316" ht="15.75" customHeight="1">
      <c r="A81316" s="7"/>
      <c r="B81316" s="7"/>
    </row>
    <row r="81317" ht="15.75" customHeight="1">
      <c r="A81317" s="7"/>
      <c r="B81317" s="7"/>
    </row>
    <row r="81318" ht="15.75" customHeight="1">
      <c r="A81318" s="7"/>
      <c r="B81318" s="7"/>
    </row>
    <row r="81319" ht="15.75" customHeight="1">
      <c r="A81319" s="7"/>
      <c r="B81319" s="7"/>
    </row>
    <row r="81320" ht="15.75" customHeight="1">
      <c r="A81320" s="7"/>
      <c r="B81320" s="7"/>
    </row>
    <row r="81321" ht="15.75" customHeight="1">
      <c r="A81321" s="7"/>
      <c r="B81321" s="7"/>
    </row>
    <row r="81322" ht="15.75" customHeight="1">
      <c r="A81322" s="7"/>
      <c r="B81322" s="7"/>
    </row>
    <row r="81323" ht="15.75" customHeight="1">
      <c r="A81323" s="7"/>
      <c r="B81323" s="7"/>
    </row>
    <row r="81324" ht="15.75" customHeight="1">
      <c r="A81324" s="7"/>
      <c r="B81324" s="7"/>
    </row>
    <row r="81325" ht="15.75" customHeight="1">
      <c r="A81325" s="7"/>
      <c r="B81325" s="7"/>
    </row>
    <row r="81326" ht="15.75" customHeight="1">
      <c r="A81326" s="7"/>
      <c r="B81326" s="7"/>
    </row>
    <row r="81327" ht="15.75" customHeight="1">
      <c r="A81327" s="7"/>
      <c r="B81327" s="7"/>
    </row>
    <row r="81328" ht="15.75" customHeight="1">
      <c r="A81328" s="7"/>
      <c r="B81328" s="7"/>
    </row>
    <row r="81329" ht="15.75" customHeight="1">
      <c r="A81329" s="7"/>
      <c r="B81329" s="7"/>
    </row>
    <row r="81330" ht="15.75" customHeight="1">
      <c r="A81330" s="7"/>
      <c r="B81330" s="7"/>
    </row>
    <row r="81331" ht="15.75" customHeight="1">
      <c r="A81331" s="7"/>
      <c r="B81331" s="7"/>
    </row>
    <row r="81332" ht="15.75" customHeight="1">
      <c r="A81332" s="7"/>
      <c r="B81332" s="7"/>
    </row>
    <row r="81333" ht="15.75" customHeight="1">
      <c r="A81333" s="7"/>
      <c r="B81333" s="7"/>
    </row>
    <row r="81334" ht="15.75" customHeight="1">
      <c r="A81334" s="7"/>
      <c r="B81334" s="7"/>
    </row>
    <row r="81335" ht="15.75" customHeight="1">
      <c r="A81335" s="7"/>
      <c r="B81335" s="7"/>
    </row>
    <row r="81336" ht="15.75" customHeight="1">
      <c r="A81336" s="7"/>
      <c r="B81336" s="7"/>
    </row>
    <row r="81337" ht="15.75" customHeight="1">
      <c r="A81337" s="7"/>
      <c r="B81337" s="7"/>
    </row>
    <row r="81338" ht="15.75" customHeight="1">
      <c r="A81338" s="7"/>
      <c r="B81338" s="7"/>
    </row>
    <row r="81339" ht="15.75" customHeight="1">
      <c r="A81339" s="7"/>
      <c r="B81339" s="7"/>
    </row>
    <row r="81340" ht="15.75" customHeight="1">
      <c r="A81340" s="7"/>
      <c r="B81340" s="7"/>
    </row>
    <row r="81341" ht="15.75" customHeight="1">
      <c r="A81341" s="7"/>
      <c r="B81341" s="7"/>
    </row>
    <row r="81342" ht="15.75" customHeight="1">
      <c r="A81342" s="7"/>
      <c r="B81342" s="7"/>
    </row>
    <row r="81343" ht="15.75" customHeight="1">
      <c r="A81343" s="7"/>
      <c r="B81343" s="7"/>
    </row>
    <row r="81344" ht="15.75" customHeight="1">
      <c r="A81344" s="7"/>
      <c r="B81344" s="7"/>
    </row>
    <row r="81345" ht="15.75" customHeight="1">
      <c r="A81345" s="7"/>
      <c r="B81345" s="7"/>
    </row>
    <row r="81346" ht="15.75" customHeight="1">
      <c r="A81346" s="7"/>
      <c r="B81346" s="7"/>
    </row>
    <row r="81347" ht="15.75" customHeight="1">
      <c r="A81347" s="7"/>
      <c r="B81347" s="7"/>
    </row>
    <row r="81348" ht="15.75" customHeight="1">
      <c r="A81348" s="7"/>
      <c r="B81348" s="7"/>
    </row>
    <row r="81349" ht="15.75" customHeight="1">
      <c r="A81349" s="7"/>
      <c r="B81349" s="7"/>
    </row>
    <row r="81350" ht="15.75" customHeight="1">
      <c r="A81350" s="7"/>
      <c r="B81350" s="7"/>
    </row>
    <row r="81351" ht="15.75" customHeight="1">
      <c r="A81351" s="7"/>
      <c r="B81351" s="7"/>
    </row>
    <row r="81352" ht="15.75" customHeight="1">
      <c r="A81352" s="7"/>
      <c r="B81352" s="7"/>
    </row>
    <row r="81353" ht="15.75" customHeight="1">
      <c r="A81353" s="7"/>
      <c r="B81353" s="7"/>
    </row>
    <row r="81354" ht="15.75" customHeight="1">
      <c r="A81354" s="7"/>
      <c r="B81354" s="7"/>
    </row>
    <row r="81355" ht="15.75" customHeight="1">
      <c r="A81355" s="7"/>
      <c r="B81355" s="7"/>
    </row>
    <row r="81356" ht="15.75" customHeight="1">
      <c r="A81356" s="7"/>
      <c r="B81356" s="7"/>
    </row>
    <row r="81357" ht="15.75" customHeight="1">
      <c r="A81357" s="7"/>
      <c r="B81357" s="7"/>
    </row>
    <row r="81358" ht="15.75" customHeight="1">
      <c r="A81358" s="7"/>
      <c r="B81358" s="7"/>
    </row>
    <row r="81359" ht="15.75" customHeight="1">
      <c r="A81359" s="7"/>
      <c r="B81359" s="7"/>
    </row>
    <row r="81360" ht="15.75" customHeight="1">
      <c r="A81360" s="7"/>
      <c r="B81360" s="7"/>
    </row>
    <row r="81361" ht="15.75" customHeight="1">
      <c r="A81361" s="7"/>
      <c r="B81361" s="7"/>
    </row>
    <row r="81362" ht="15.75" customHeight="1">
      <c r="A81362" s="7"/>
      <c r="B81362" s="7"/>
    </row>
    <row r="81363" ht="15.75" customHeight="1">
      <c r="A81363" s="7"/>
      <c r="B81363" s="7"/>
    </row>
    <row r="81364" ht="15.75" customHeight="1">
      <c r="A81364" s="7"/>
      <c r="B81364" s="7"/>
    </row>
    <row r="81365" ht="15.75" customHeight="1">
      <c r="A81365" s="7"/>
      <c r="B81365" s="7"/>
    </row>
    <row r="81366" ht="15.75" customHeight="1">
      <c r="A81366" s="7"/>
      <c r="B81366" s="7"/>
    </row>
    <row r="81367" ht="15.75" customHeight="1">
      <c r="A81367" s="7"/>
      <c r="B81367" s="7"/>
    </row>
    <row r="81368" ht="15.75" customHeight="1">
      <c r="A81368" s="7"/>
      <c r="B81368" s="7"/>
    </row>
    <row r="81369" ht="15.75" customHeight="1">
      <c r="A81369" s="7"/>
      <c r="B81369" s="7"/>
    </row>
    <row r="81370" ht="15.75" customHeight="1">
      <c r="A81370" s="7"/>
      <c r="B81370" s="7"/>
    </row>
    <row r="81371" ht="15.75" customHeight="1">
      <c r="A81371" s="7"/>
      <c r="B81371" s="7"/>
    </row>
    <row r="81372" ht="15.75" customHeight="1">
      <c r="A81372" s="7"/>
      <c r="B81372" s="7"/>
    </row>
    <row r="81373" ht="15.75" customHeight="1">
      <c r="A81373" s="7"/>
      <c r="B81373" s="7"/>
    </row>
    <row r="81374" ht="15.75" customHeight="1">
      <c r="A81374" s="7"/>
      <c r="B81374" s="7"/>
    </row>
    <row r="81375" ht="15.75" customHeight="1">
      <c r="A81375" s="7"/>
      <c r="B81375" s="7"/>
    </row>
    <row r="81376" ht="15.75" customHeight="1">
      <c r="A81376" s="7"/>
      <c r="B81376" s="7"/>
    </row>
    <row r="81377" ht="15.75" customHeight="1">
      <c r="A81377" s="7"/>
      <c r="B81377" s="7"/>
    </row>
    <row r="81378" ht="15.75" customHeight="1">
      <c r="A81378" s="7"/>
      <c r="B81378" s="7"/>
    </row>
    <row r="81379" ht="15.75" customHeight="1">
      <c r="A81379" s="7"/>
      <c r="B81379" s="7"/>
    </row>
    <row r="81380" ht="15.75" customHeight="1">
      <c r="A81380" s="7"/>
      <c r="B81380" s="7"/>
    </row>
    <row r="81381" ht="15.75" customHeight="1">
      <c r="A81381" s="7"/>
      <c r="B81381" s="7"/>
    </row>
    <row r="81382" ht="15.75" customHeight="1">
      <c r="A81382" s="7"/>
      <c r="B81382" s="7"/>
    </row>
    <row r="81383" ht="15.75" customHeight="1">
      <c r="A81383" s="7"/>
      <c r="B81383" s="7"/>
    </row>
    <row r="81384" ht="15.75" customHeight="1">
      <c r="A81384" s="7"/>
      <c r="B81384" s="7"/>
    </row>
    <row r="81385" ht="15.75" customHeight="1">
      <c r="A81385" s="7"/>
      <c r="B81385" s="7"/>
    </row>
    <row r="81386" ht="15.75" customHeight="1">
      <c r="A81386" s="7"/>
      <c r="B81386" s="7"/>
    </row>
    <row r="81387" ht="15.75" customHeight="1">
      <c r="A81387" s="7"/>
      <c r="B81387" s="7"/>
    </row>
    <row r="81388" ht="15.75" customHeight="1">
      <c r="A81388" s="7"/>
      <c r="B81388" s="7"/>
    </row>
    <row r="81389" ht="15.75" customHeight="1">
      <c r="A81389" s="7"/>
      <c r="B81389" s="7"/>
    </row>
    <row r="81390" ht="15.75" customHeight="1">
      <c r="A81390" s="7"/>
      <c r="B81390" s="7"/>
    </row>
    <row r="81391" ht="15.75" customHeight="1">
      <c r="A81391" s="7"/>
      <c r="B81391" s="7"/>
    </row>
    <row r="81392" ht="15.75" customHeight="1">
      <c r="A81392" s="7"/>
      <c r="B81392" s="7"/>
    </row>
    <row r="81393" ht="15.75" customHeight="1">
      <c r="A81393" s="7"/>
      <c r="B81393" s="7"/>
    </row>
    <row r="81394" ht="15.75" customHeight="1">
      <c r="A81394" s="7"/>
      <c r="B81394" s="7"/>
    </row>
    <row r="81395" ht="15.75" customHeight="1">
      <c r="A81395" s="7"/>
      <c r="B81395" s="7"/>
    </row>
    <row r="81396" ht="15.75" customHeight="1">
      <c r="A81396" s="7"/>
      <c r="B81396" s="7"/>
    </row>
    <row r="81397" ht="15.75" customHeight="1">
      <c r="A81397" s="7"/>
      <c r="B81397" s="7"/>
    </row>
    <row r="81398" ht="15.75" customHeight="1">
      <c r="A81398" s="7"/>
      <c r="B81398" s="7"/>
    </row>
    <row r="81399" ht="15.75" customHeight="1">
      <c r="A81399" s="7"/>
      <c r="B81399" s="7"/>
    </row>
    <row r="81400" ht="15.75" customHeight="1">
      <c r="A81400" s="7"/>
      <c r="B81400" s="7"/>
    </row>
    <row r="81401" ht="15.75" customHeight="1">
      <c r="A81401" s="7"/>
      <c r="B81401" s="7"/>
    </row>
    <row r="81402" ht="15.75" customHeight="1">
      <c r="A81402" s="7"/>
      <c r="B81402" s="7"/>
    </row>
    <row r="81403" ht="15.75" customHeight="1">
      <c r="A81403" s="7"/>
      <c r="B81403" s="7"/>
    </row>
    <row r="81404" ht="15.75" customHeight="1">
      <c r="A81404" s="7"/>
      <c r="B81404" s="7"/>
    </row>
    <row r="81405" ht="15.75" customHeight="1">
      <c r="A81405" s="7"/>
      <c r="B81405" s="7"/>
    </row>
    <row r="81406" ht="15.75" customHeight="1">
      <c r="A81406" s="7"/>
      <c r="B81406" s="7"/>
    </row>
    <row r="81407" ht="15.75" customHeight="1">
      <c r="A81407" s="7"/>
      <c r="B81407" s="7"/>
    </row>
    <row r="81408" ht="15.75" customHeight="1">
      <c r="A81408" s="7"/>
      <c r="B81408" s="7"/>
    </row>
    <row r="81409" ht="15.75" customHeight="1">
      <c r="A81409" s="7"/>
      <c r="B81409" s="7"/>
    </row>
    <row r="81410" ht="15.75" customHeight="1">
      <c r="A81410" s="7"/>
      <c r="B81410" s="7"/>
    </row>
    <row r="81411" ht="15.75" customHeight="1">
      <c r="A81411" s="7"/>
      <c r="B81411" s="7"/>
    </row>
    <row r="81412" ht="15.75" customHeight="1">
      <c r="A81412" s="7"/>
      <c r="B81412" s="7"/>
    </row>
    <row r="81413" ht="15.75" customHeight="1">
      <c r="A81413" s="7"/>
      <c r="B81413" s="7"/>
    </row>
    <row r="81414" ht="15.75" customHeight="1">
      <c r="A81414" s="7"/>
      <c r="B81414" s="7"/>
    </row>
    <row r="81415" ht="15.75" customHeight="1">
      <c r="A81415" s="7"/>
      <c r="B81415" s="7"/>
    </row>
    <row r="81416" ht="15.75" customHeight="1">
      <c r="A81416" s="7"/>
      <c r="B81416" s="7"/>
    </row>
    <row r="81417" ht="15.75" customHeight="1">
      <c r="A81417" s="7"/>
      <c r="B81417" s="7"/>
    </row>
    <row r="81418" ht="15.75" customHeight="1">
      <c r="A81418" s="7"/>
      <c r="B81418" s="7"/>
    </row>
    <row r="81419" ht="15.75" customHeight="1">
      <c r="A81419" s="7"/>
      <c r="B81419" s="7"/>
    </row>
    <row r="81420" ht="15.75" customHeight="1">
      <c r="A81420" s="7"/>
      <c r="B81420" s="7"/>
    </row>
    <row r="81421" ht="15.75" customHeight="1">
      <c r="A81421" s="7"/>
      <c r="B81421" s="7"/>
    </row>
    <row r="81422" ht="15.75" customHeight="1">
      <c r="A81422" s="7"/>
      <c r="B81422" s="7"/>
    </row>
    <row r="81423" ht="15.75" customHeight="1">
      <c r="A81423" s="7"/>
      <c r="B81423" s="7"/>
    </row>
    <row r="81424" ht="15.75" customHeight="1">
      <c r="A81424" s="7"/>
      <c r="B81424" s="7"/>
    </row>
    <row r="81425" ht="15.75" customHeight="1">
      <c r="A81425" s="7"/>
      <c r="B81425" s="7"/>
    </row>
    <row r="81426" ht="15.75" customHeight="1">
      <c r="A81426" s="7"/>
      <c r="B81426" s="7"/>
    </row>
    <row r="81427" ht="15.75" customHeight="1">
      <c r="A81427" s="7"/>
      <c r="B81427" s="7"/>
    </row>
    <row r="81428" ht="15.75" customHeight="1">
      <c r="A81428" s="7"/>
      <c r="B81428" s="7"/>
    </row>
    <row r="81429" ht="15.75" customHeight="1">
      <c r="A81429" s="7"/>
      <c r="B81429" s="7"/>
    </row>
    <row r="81430" ht="15.75" customHeight="1">
      <c r="A81430" s="7"/>
      <c r="B81430" s="7"/>
    </row>
    <row r="81431" ht="15.75" customHeight="1">
      <c r="A81431" s="7"/>
      <c r="B81431" s="7"/>
    </row>
    <row r="81432" ht="15.75" customHeight="1">
      <c r="A81432" s="7"/>
      <c r="B81432" s="7"/>
    </row>
    <row r="81433" ht="15.75" customHeight="1">
      <c r="A81433" s="7"/>
      <c r="B81433" s="7"/>
    </row>
    <row r="81434" ht="15.75" customHeight="1">
      <c r="A81434" s="7"/>
      <c r="B81434" s="7"/>
    </row>
    <row r="81435" ht="15.75" customHeight="1">
      <c r="A81435" s="7"/>
      <c r="B81435" s="7"/>
    </row>
    <row r="81436" ht="15.75" customHeight="1">
      <c r="A81436" s="7"/>
      <c r="B81436" s="7"/>
    </row>
    <row r="81437" ht="15.75" customHeight="1">
      <c r="A81437" s="7"/>
      <c r="B81437" s="7"/>
    </row>
    <row r="81438" ht="15.75" customHeight="1">
      <c r="A81438" s="7"/>
      <c r="B81438" s="7"/>
    </row>
    <row r="81439" ht="15.75" customHeight="1">
      <c r="A81439" s="7"/>
      <c r="B81439" s="7"/>
    </row>
    <row r="81440" ht="15.75" customHeight="1">
      <c r="A81440" s="7"/>
      <c r="B81440" s="7"/>
    </row>
    <row r="81441" ht="15.75" customHeight="1">
      <c r="A81441" s="7"/>
      <c r="B81441" s="7"/>
    </row>
    <row r="81442" ht="15.75" customHeight="1">
      <c r="A81442" s="7"/>
      <c r="B81442" s="7"/>
    </row>
    <row r="81443" ht="15.75" customHeight="1">
      <c r="A81443" s="7"/>
      <c r="B81443" s="7"/>
    </row>
    <row r="81444" ht="15.75" customHeight="1">
      <c r="A81444" s="7"/>
      <c r="B81444" s="7"/>
    </row>
    <row r="81445" ht="15.75" customHeight="1">
      <c r="A81445" s="7"/>
      <c r="B81445" s="7"/>
    </row>
    <row r="81446" ht="15.75" customHeight="1">
      <c r="A81446" s="7"/>
      <c r="B81446" s="7"/>
    </row>
    <row r="81447" ht="15.75" customHeight="1">
      <c r="A81447" s="7"/>
      <c r="B81447" s="7"/>
    </row>
    <row r="81448" ht="15.75" customHeight="1">
      <c r="A81448" s="7"/>
      <c r="B81448" s="7"/>
    </row>
    <row r="81449" ht="15.75" customHeight="1">
      <c r="A81449" s="7"/>
      <c r="B81449" s="7"/>
    </row>
    <row r="81450" ht="15.75" customHeight="1">
      <c r="A81450" s="7"/>
      <c r="B81450" s="7"/>
    </row>
    <row r="81451" ht="15.75" customHeight="1">
      <c r="A81451" s="7"/>
      <c r="B81451" s="7"/>
    </row>
    <row r="81452" ht="15.75" customHeight="1">
      <c r="A81452" s="7"/>
      <c r="B81452" s="7"/>
    </row>
    <row r="81453" ht="15.75" customHeight="1">
      <c r="A81453" s="7"/>
      <c r="B81453" s="7"/>
    </row>
    <row r="81454" ht="15.75" customHeight="1">
      <c r="A81454" s="7"/>
      <c r="B81454" s="7"/>
    </row>
    <row r="81455" ht="15.75" customHeight="1">
      <c r="A81455" s="7"/>
      <c r="B81455" s="7"/>
    </row>
    <row r="81456" ht="15.75" customHeight="1">
      <c r="A81456" s="7"/>
      <c r="B81456" s="7"/>
    </row>
    <row r="81457" ht="15.75" customHeight="1">
      <c r="A81457" s="7"/>
      <c r="B81457" s="7"/>
    </row>
    <row r="81458" ht="15.75" customHeight="1">
      <c r="A81458" s="7"/>
      <c r="B81458" s="7"/>
    </row>
    <row r="81459" ht="15.75" customHeight="1">
      <c r="A81459" s="7"/>
      <c r="B81459" s="7"/>
    </row>
    <row r="81460" ht="15.75" customHeight="1">
      <c r="A81460" s="7"/>
      <c r="B81460" s="7"/>
    </row>
    <row r="81461" ht="15.75" customHeight="1">
      <c r="A81461" s="7"/>
      <c r="B81461" s="7"/>
    </row>
    <row r="81462" ht="15.75" customHeight="1">
      <c r="A81462" s="7"/>
      <c r="B81462" s="7"/>
    </row>
    <row r="81463" ht="15.75" customHeight="1">
      <c r="A81463" s="7"/>
      <c r="B81463" s="7"/>
    </row>
    <row r="81464" ht="15.75" customHeight="1">
      <c r="A81464" s="7"/>
      <c r="B81464" s="7"/>
    </row>
    <row r="81465" ht="15.75" customHeight="1">
      <c r="A81465" s="7"/>
      <c r="B81465" s="7"/>
    </row>
    <row r="81466" ht="15.75" customHeight="1">
      <c r="A81466" s="7"/>
      <c r="B81466" s="7"/>
    </row>
    <row r="81467" ht="15.75" customHeight="1">
      <c r="A81467" s="7"/>
      <c r="B81467" s="7"/>
    </row>
    <row r="81468" ht="15.75" customHeight="1">
      <c r="A81468" s="7"/>
      <c r="B81468" s="7"/>
    </row>
    <row r="81469" ht="15.75" customHeight="1">
      <c r="A81469" s="7"/>
      <c r="B81469" s="7"/>
    </row>
    <row r="81470" ht="15.75" customHeight="1">
      <c r="A81470" s="7"/>
      <c r="B81470" s="7"/>
    </row>
    <row r="81471" ht="15.75" customHeight="1">
      <c r="A81471" s="7"/>
      <c r="B81471" s="7"/>
    </row>
    <row r="81472" ht="15.75" customHeight="1">
      <c r="A81472" s="7"/>
      <c r="B81472" s="7"/>
    </row>
    <row r="81473" ht="15.75" customHeight="1">
      <c r="A81473" s="7"/>
      <c r="B81473" s="7"/>
    </row>
    <row r="81474" ht="15.75" customHeight="1">
      <c r="A81474" s="7"/>
      <c r="B81474" s="7"/>
    </row>
    <row r="81475" ht="15.75" customHeight="1">
      <c r="A81475" s="7"/>
      <c r="B81475" s="7"/>
    </row>
    <row r="81476" ht="15.75" customHeight="1">
      <c r="A81476" s="7"/>
      <c r="B81476" s="7"/>
    </row>
    <row r="81477" ht="15.75" customHeight="1">
      <c r="A81477" s="7"/>
      <c r="B81477" s="7"/>
    </row>
    <row r="81478" ht="15.75" customHeight="1">
      <c r="A81478" s="7"/>
      <c r="B81478" s="7"/>
    </row>
    <row r="81479" ht="15.75" customHeight="1">
      <c r="A81479" s="7"/>
      <c r="B81479" s="7"/>
    </row>
    <row r="81480" ht="15.75" customHeight="1">
      <c r="A81480" s="7"/>
      <c r="B81480" s="7"/>
    </row>
    <row r="81481" ht="15.75" customHeight="1">
      <c r="A81481" s="7"/>
      <c r="B81481" s="7"/>
    </row>
    <row r="81482" ht="15.75" customHeight="1">
      <c r="A81482" s="7"/>
      <c r="B81482" s="7"/>
    </row>
    <row r="81483" ht="15.75" customHeight="1">
      <c r="A81483" s="7"/>
      <c r="B81483" s="7"/>
    </row>
    <row r="81484" ht="15.75" customHeight="1">
      <c r="A81484" s="7"/>
      <c r="B81484" s="7"/>
    </row>
    <row r="81485" ht="15.75" customHeight="1">
      <c r="A81485" s="7"/>
      <c r="B81485" s="7"/>
    </row>
    <row r="81486" ht="15.75" customHeight="1">
      <c r="A81486" s="7"/>
      <c r="B81486" s="7"/>
    </row>
    <row r="81487" ht="15.75" customHeight="1">
      <c r="A81487" s="7"/>
      <c r="B81487" s="7"/>
    </row>
    <row r="81488" ht="15.75" customHeight="1">
      <c r="A81488" s="7"/>
      <c r="B81488" s="7"/>
    </row>
    <row r="81489" ht="15.75" customHeight="1">
      <c r="A81489" s="7"/>
      <c r="B81489" s="7"/>
    </row>
    <row r="81490" ht="15.75" customHeight="1">
      <c r="A81490" s="7"/>
      <c r="B81490" s="7"/>
    </row>
    <row r="81491" ht="15.75" customHeight="1">
      <c r="A81491" s="7"/>
      <c r="B81491" s="7"/>
    </row>
    <row r="81492" ht="15.75" customHeight="1">
      <c r="A81492" s="7"/>
      <c r="B81492" s="7"/>
    </row>
    <row r="81493" ht="15.75" customHeight="1">
      <c r="A81493" s="7"/>
      <c r="B81493" s="7"/>
    </row>
    <row r="81494" ht="15.75" customHeight="1">
      <c r="A81494" s="7"/>
      <c r="B81494" s="7"/>
    </row>
    <row r="81495" ht="15.75" customHeight="1">
      <c r="A81495" s="7"/>
      <c r="B81495" s="7"/>
    </row>
    <row r="81496" ht="15.75" customHeight="1">
      <c r="A81496" s="7"/>
      <c r="B81496" s="7"/>
    </row>
    <row r="81497" ht="15.75" customHeight="1">
      <c r="A81497" s="7"/>
      <c r="B81497" s="7"/>
    </row>
    <row r="81498" ht="15.75" customHeight="1">
      <c r="A81498" s="7"/>
      <c r="B81498" s="7"/>
    </row>
    <row r="81499" ht="15.75" customHeight="1">
      <c r="A81499" s="7"/>
      <c r="B81499" s="7"/>
    </row>
    <row r="81500" ht="15.75" customHeight="1">
      <c r="A81500" s="7"/>
      <c r="B81500" s="7"/>
    </row>
    <row r="81501" ht="15.75" customHeight="1">
      <c r="A81501" s="7"/>
      <c r="B81501" s="7"/>
    </row>
    <row r="81502" ht="15.75" customHeight="1">
      <c r="A81502" s="7"/>
      <c r="B81502" s="7"/>
    </row>
    <row r="81503" ht="15.75" customHeight="1">
      <c r="A81503" s="7"/>
      <c r="B81503" s="7"/>
    </row>
    <row r="81504" ht="15.75" customHeight="1">
      <c r="A81504" s="7"/>
      <c r="B81504" s="7"/>
    </row>
    <row r="81505" ht="15.75" customHeight="1">
      <c r="A81505" s="7"/>
      <c r="B81505" s="7"/>
    </row>
    <row r="81506" ht="15.75" customHeight="1">
      <c r="A81506" s="7"/>
      <c r="B81506" s="7"/>
    </row>
    <row r="81507" ht="15.75" customHeight="1">
      <c r="A81507" s="7"/>
      <c r="B81507" s="7"/>
    </row>
    <row r="81508" ht="15.75" customHeight="1">
      <c r="A81508" s="7"/>
      <c r="B81508" s="7"/>
    </row>
    <row r="81509" ht="15.75" customHeight="1">
      <c r="A81509" s="7"/>
      <c r="B81509" s="7"/>
    </row>
    <row r="81510" ht="15.75" customHeight="1">
      <c r="A81510" s="7"/>
      <c r="B81510" s="7"/>
    </row>
    <row r="81511" ht="15.75" customHeight="1">
      <c r="A81511" s="7"/>
      <c r="B81511" s="7"/>
    </row>
    <row r="81512" ht="15.75" customHeight="1">
      <c r="A81512" s="7"/>
      <c r="B81512" s="7"/>
    </row>
    <row r="81513" ht="15.75" customHeight="1">
      <c r="A81513" s="7"/>
      <c r="B81513" s="7"/>
    </row>
    <row r="81514" ht="15.75" customHeight="1">
      <c r="A81514" s="7"/>
      <c r="B81514" s="7"/>
    </row>
    <row r="81515" ht="15.75" customHeight="1">
      <c r="A81515" s="7"/>
      <c r="B81515" s="7"/>
    </row>
    <row r="81516" ht="15.75" customHeight="1">
      <c r="A81516" s="7"/>
      <c r="B81516" s="7"/>
    </row>
    <row r="81517" ht="15.75" customHeight="1">
      <c r="A81517" s="7"/>
      <c r="B81517" s="7"/>
    </row>
    <row r="81518" ht="15.75" customHeight="1">
      <c r="A81518" s="7"/>
      <c r="B81518" s="7"/>
    </row>
    <row r="81519" ht="15.75" customHeight="1">
      <c r="A81519" s="7"/>
      <c r="B81519" s="7"/>
    </row>
    <row r="81520" ht="15.75" customHeight="1">
      <c r="A81520" s="7"/>
      <c r="B81520" s="7"/>
    </row>
    <row r="81521" ht="15.75" customHeight="1">
      <c r="A81521" s="7"/>
      <c r="B81521" s="7"/>
    </row>
    <row r="81522" ht="15.75" customHeight="1">
      <c r="A81522" s="7"/>
      <c r="B81522" s="7"/>
    </row>
    <row r="81523" ht="15.75" customHeight="1">
      <c r="A81523" s="7"/>
      <c r="B81523" s="7"/>
    </row>
    <row r="81524" ht="15.75" customHeight="1">
      <c r="A81524" s="7"/>
      <c r="B81524" s="7"/>
    </row>
    <row r="81525" ht="15.75" customHeight="1">
      <c r="A81525" s="7"/>
      <c r="B81525" s="7"/>
    </row>
    <row r="81526" ht="15.75" customHeight="1">
      <c r="A81526" s="7"/>
      <c r="B81526" s="7"/>
    </row>
    <row r="81527" ht="15.75" customHeight="1">
      <c r="A81527" s="7"/>
      <c r="B81527" s="7"/>
    </row>
    <row r="81528" ht="15.75" customHeight="1">
      <c r="A81528" s="7"/>
      <c r="B81528" s="7"/>
    </row>
    <row r="81529" ht="15.75" customHeight="1">
      <c r="A81529" s="7"/>
      <c r="B81529" s="7"/>
    </row>
    <row r="81530" ht="15.75" customHeight="1">
      <c r="A81530" s="7"/>
      <c r="B81530" s="7"/>
    </row>
    <row r="81531" ht="15.75" customHeight="1">
      <c r="A81531" s="7"/>
      <c r="B81531" s="7"/>
    </row>
    <row r="81532" ht="15.75" customHeight="1">
      <c r="A81532" s="7"/>
      <c r="B81532" s="7"/>
    </row>
    <row r="81533" ht="15.75" customHeight="1">
      <c r="A81533" s="7"/>
      <c r="B81533" s="7"/>
    </row>
    <row r="81534" ht="15.75" customHeight="1">
      <c r="A81534" s="7"/>
      <c r="B81534" s="7"/>
    </row>
    <row r="81535" ht="15.75" customHeight="1">
      <c r="A81535" s="7"/>
      <c r="B81535" s="7"/>
    </row>
    <row r="81536" ht="15.75" customHeight="1">
      <c r="A81536" s="7"/>
      <c r="B81536" s="7"/>
    </row>
    <row r="81537" ht="15.75" customHeight="1">
      <c r="A81537" s="7"/>
      <c r="B81537" s="7"/>
    </row>
    <row r="81538" ht="15.75" customHeight="1">
      <c r="A81538" s="7"/>
      <c r="B81538" s="7"/>
    </row>
    <row r="81539" ht="15.75" customHeight="1">
      <c r="A81539" s="7"/>
      <c r="B81539" s="7"/>
    </row>
    <row r="81540" ht="15.75" customHeight="1">
      <c r="A81540" s="7"/>
      <c r="B81540" s="7"/>
    </row>
    <row r="81541" ht="15.75" customHeight="1">
      <c r="A81541" s="7"/>
      <c r="B81541" s="7"/>
    </row>
    <row r="81542" ht="15.75" customHeight="1">
      <c r="A81542" s="7"/>
      <c r="B81542" s="7"/>
    </row>
    <row r="81543" ht="15.75" customHeight="1">
      <c r="A81543" s="7"/>
      <c r="B81543" s="7"/>
    </row>
    <row r="81544" ht="15.75" customHeight="1">
      <c r="A81544" s="7"/>
      <c r="B81544" s="7"/>
    </row>
    <row r="81545" ht="15.75" customHeight="1">
      <c r="A81545" s="7"/>
      <c r="B81545" s="7"/>
    </row>
    <row r="81546" ht="15.75" customHeight="1">
      <c r="A81546" s="7"/>
      <c r="B81546" s="7"/>
    </row>
    <row r="81547" ht="15.75" customHeight="1">
      <c r="A81547" s="7"/>
      <c r="B81547" s="7"/>
    </row>
    <row r="81548" ht="15.75" customHeight="1">
      <c r="A81548" s="7"/>
      <c r="B81548" s="7"/>
    </row>
    <row r="81549" ht="15.75" customHeight="1">
      <c r="A81549" s="7"/>
      <c r="B81549" s="7"/>
    </row>
    <row r="81550" ht="15.75" customHeight="1">
      <c r="A81550" s="7"/>
      <c r="B81550" s="7"/>
    </row>
    <row r="81551" ht="15.75" customHeight="1">
      <c r="A81551" s="7"/>
      <c r="B81551" s="7"/>
    </row>
    <row r="81552" ht="15.75" customHeight="1">
      <c r="A81552" s="7"/>
      <c r="B81552" s="7"/>
    </row>
    <row r="81553" ht="15.75" customHeight="1">
      <c r="A81553" s="7"/>
      <c r="B81553" s="7"/>
    </row>
    <row r="81554" ht="15.75" customHeight="1">
      <c r="A81554" s="7"/>
      <c r="B81554" s="7"/>
    </row>
    <row r="81555" ht="15.75" customHeight="1">
      <c r="A81555" s="7"/>
      <c r="B81555" s="7"/>
    </row>
    <row r="81556" ht="15.75" customHeight="1">
      <c r="A81556" s="7"/>
      <c r="B81556" s="7"/>
    </row>
    <row r="81557" ht="15.75" customHeight="1">
      <c r="A81557" s="7"/>
      <c r="B81557" s="7"/>
    </row>
    <row r="81558" ht="15.75" customHeight="1">
      <c r="A81558" s="7"/>
      <c r="B81558" s="7"/>
    </row>
    <row r="81559" ht="15.75" customHeight="1">
      <c r="A81559" s="7"/>
      <c r="B81559" s="7"/>
    </row>
    <row r="81560" ht="15.75" customHeight="1">
      <c r="A81560" s="7"/>
      <c r="B81560" s="7"/>
    </row>
    <row r="81561" ht="15.75" customHeight="1">
      <c r="A81561" s="7"/>
      <c r="B81561" s="7"/>
    </row>
    <row r="81562" ht="15.75" customHeight="1">
      <c r="A81562" s="7"/>
      <c r="B81562" s="7"/>
    </row>
    <row r="81563" ht="15.75" customHeight="1">
      <c r="A81563" s="7"/>
      <c r="B81563" s="7"/>
    </row>
    <row r="81564" ht="15.75" customHeight="1">
      <c r="A81564" s="7"/>
      <c r="B81564" s="7"/>
    </row>
    <row r="81565" ht="15.75" customHeight="1">
      <c r="A81565" s="7"/>
      <c r="B81565" s="7"/>
    </row>
    <row r="81566" ht="15.75" customHeight="1">
      <c r="A81566" s="7"/>
      <c r="B81566" s="7"/>
    </row>
    <row r="81567" ht="15.75" customHeight="1">
      <c r="A81567" s="7"/>
      <c r="B81567" s="7"/>
    </row>
    <row r="81568" ht="15.75" customHeight="1">
      <c r="A81568" s="7"/>
      <c r="B81568" s="7"/>
    </row>
    <row r="81569" ht="15.75" customHeight="1">
      <c r="A81569" s="7"/>
      <c r="B81569" s="7"/>
    </row>
    <row r="81570" ht="15.75" customHeight="1">
      <c r="A81570" s="7"/>
      <c r="B81570" s="7"/>
    </row>
    <row r="81571" ht="15.75" customHeight="1">
      <c r="A81571" s="7"/>
      <c r="B81571" s="7"/>
    </row>
    <row r="81572" ht="15.75" customHeight="1">
      <c r="A81572" s="7"/>
      <c r="B81572" s="7"/>
    </row>
    <row r="81573" ht="15.75" customHeight="1">
      <c r="A81573" s="7"/>
      <c r="B81573" s="7"/>
    </row>
    <row r="81574" ht="15.75" customHeight="1">
      <c r="A81574" s="7"/>
      <c r="B81574" s="7"/>
    </row>
    <row r="81575" ht="15.75" customHeight="1">
      <c r="A81575" s="7"/>
      <c r="B81575" s="7"/>
    </row>
    <row r="81576" ht="15.75" customHeight="1">
      <c r="A81576" s="7"/>
      <c r="B81576" s="7"/>
    </row>
    <row r="81577" ht="15.75" customHeight="1">
      <c r="A81577" s="7"/>
      <c r="B81577" s="7"/>
    </row>
    <row r="81578" ht="15.75" customHeight="1">
      <c r="A81578" s="7"/>
      <c r="B81578" s="7"/>
    </row>
    <row r="81579" ht="15.75" customHeight="1">
      <c r="A81579" s="7"/>
      <c r="B81579" s="7"/>
    </row>
    <row r="81580" ht="15.75" customHeight="1">
      <c r="A81580" s="7"/>
      <c r="B81580" s="7"/>
    </row>
    <row r="81581" ht="15.75" customHeight="1">
      <c r="A81581" s="7"/>
      <c r="B81581" s="7"/>
    </row>
    <row r="81582" ht="15.75" customHeight="1">
      <c r="A81582" s="7"/>
      <c r="B81582" s="7"/>
    </row>
    <row r="81583" ht="15.75" customHeight="1">
      <c r="A81583" s="7"/>
      <c r="B81583" s="7"/>
    </row>
    <row r="81584" ht="15.75" customHeight="1">
      <c r="A81584" s="7"/>
      <c r="B81584" s="7"/>
    </row>
    <row r="81585" ht="15.75" customHeight="1">
      <c r="A81585" s="7"/>
      <c r="B81585" s="7"/>
    </row>
    <row r="81586" ht="15.75" customHeight="1">
      <c r="A81586" s="7"/>
      <c r="B81586" s="7"/>
    </row>
    <row r="81587" ht="15.75" customHeight="1">
      <c r="A81587" s="7"/>
      <c r="B81587" s="7"/>
    </row>
    <row r="81588" ht="15.75" customHeight="1">
      <c r="A81588" s="7"/>
      <c r="B81588" s="7"/>
    </row>
    <row r="81589" ht="15.75" customHeight="1">
      <c r="A81589" s="7"/>
      <c r="B81589" s="7"/>
    </row>
    <row r="81590" ht="15.75" customHeight="1">
      <c r="A81590" s="7"/>
      <c r="B81590" s="7"/>
    </row>
    <row r="81591" ht="15.75" customHeight="1">
      <c r="A81591" s="7"/>
      <c r="B81591" s="7"/>
    </row>
    <row r="81592" ht="15.75" customHeight="1">
      <c r="A81592" s="7"/>
      <c r="B81592" s="7"/>
    </row>
    <row r="81593" ht="15.75" customHeight="1">
      <c r="A81593" s="7"/>
      <c r="B81593" s="7"/>
    </row>
    <row r="81594" ht="15.75" customHeight="1">
      <c r="A81594" s="7"/>
      <c r="B81594" s="7"/>
    </row>
    <row r="81595" ht="15.75" customHeight="1">
      <c r="A81595" s="7"/>
      <c r="B81595" s="7"/>
    </row>
    <row r="81596" ht="15.75" customHeight="1">
      <c r="A81596" s="7"/>
      <c r="B81596" s="7"/>
    </row>
    <row r="81597" ht="15.75" customHeight="1">
      <c r="A81597" s="7"/>
      <c r="B81597" s="7"/>
    </row>
    <row r="81598" ht="15.75" customHeight="1">
      <c r="A81598" s="7"/>
      <c r="B81598" s="7"/>
    </row>
    <row r="81599" ht="15.75" customHeight="1">
      <c r="A81599" s="7"/>
      <c r="B81599" s="7"/>
    </row>
    <row r="81600" ht="15.75" customHeight="1">
      <c r="A81600" s="7"/>
      <c r="B81600" s="7"/>
    </row>
    <row r="81601" ht="15.75" customHeight="1">
      <c r="A81601" s="7"/>
      <c r="B81601" s="7"/>
    </row>
    <row r="81602" ht="15.75" customHeight="1">
      <c r="A81602" s="7"/>
      <c r="B81602" s="7"/>
    </row>
    <row r="81603" ht="15.75" customHeight="1">
      <c r="A81603" s="7"/>
      <c r="B81603" s="7"/>
    </row>
    <row r="81604" ht="15.75" customHeight="1">
      <c r="A81604" s="7"/>
      <c r="B81604" s="7"/>
    </row>
    <row r="81605" ht="15.75" customHeight="1">
      <c r="A81605" s="7"/>
      <c r="B81605" s="7"/>
    </row>
    <row r="81606" ht="15.75" customHeight="1">
      <c r="A81606" s="7"/>
      <c r="B81606" s="7"/>
    </row>
    <row r="81607" ht="15.75" customHeight="1">
      <c r="A81607" s="7"/>
      <c r="B81607" s="7"/>
    </row>
    <row r="81608" ht="15.75" customHeight="1">
      <c r="A81608" s="7"/>
      <c r="B81608" s="7"/>
    </row>
    <row r="81609" ht="15.75" customHeight="1">
      <c r="A81609" s="7"/>
      <c r="B81609" s="7"/>
    </row>
    <row r="81610" ht="15.75" customHeight="1">
      <c r="A81610" s="7"/>
      <c r="B81610" s="7"/>
    </row>
    <row r="81611" ht="15.75" customHeight="1">
      <c r="A81611" s="7"/>
      <c r="B81611" s="7"/>
    </row>
    <row r="81612" ht="15.75" customHeight="1">
      <c r="A81612" s="7"/>
      <c r="B81612" s="7"/>
    </row>
    <row r="81613" ht="15.75" customHeight="1">
      <c r="A81613" s="7"/>
      <c r="B81613" s="7"/>
    </row>
    <row r="81614" ht="15.75" customHeight="1">
      <c r="A81614" s="7"/>
      <c r="B81614" s="7"/>
    </row>
    <row r="81615" ht="15.75" customHeight="1">
      <c r="A81615" s="7"/>
      <c r="B81615" s="7"/>
    </row>
    <row r="81616" ht="15.75" customHeight="1">
      <c r="A81616" s="7"/>
      <c r="B81616" s="7"/>
    </row>
    <row r="81617" ht="15.75" customHeight="1">
      <c r="A81617" s="7"/>
      <c r="B81617" s="7"/>
    </row>
    <row r="81618" ht="15.75" customHeight="1">
      <c r="A81618" s="7"/>
      <c r="B81618" s="7"/>
    </row>
    <row r="81619" ht="15.75" customHeight="1">
      <c r="A81619" s="7"/>
      <c r="B81619" s="7"/>
    </row>
    <row r="81620" ht="15.75" customHeight="1">
      <c r="A81620" s="7"/>
      <c r="B81620" s="7"/>
    </row>
    <row r="81621" ht="15.75" customHeight="1">
      <c r="A81621" s="7"/>
      <c r="B81621" s="7"/>
    </row>
    <row r="81622" ht="15.75" customHeight="1">
      <c r="A81622" s="7"/>
      <c r="B81622" s="7"/>
    </row>
    <row r="81623" ht="15.75" customHeight="1">
      <c r="A81623" s="7"/>
      <c r="B81623" s="7"/>
    </row>
    <row r="81624" ht="15.75" customHeight="1">
      <c r="A81624" s="7"/>
      <c r="B81624" s="7"/>
    </row>
    <row r="81625" ht="15.75" customHeight="1">
      <c r="A81625" s="7"/>
      <c r="B81625" s="7"/>
    </row>
    <row r="81626" ht="15.75" customHeight="1">
      <c r="A81626" s="7"/>
      <c r="B81626" s="7"/>
    </row>
    <row r="81627" ht="15.75" customHeight="1">
      <c r="A81627" s="7"/>
      <c r="B81627" s="7"/>
    </row>
    <row r="81628" ht="15.75" customHeight="1">
      <c r="A81628" s="7"/>
      <c r="B81628" s="7"/>
    </row>
    <row r="81629" ht="15.75" customHeight="1">
      <c r="A81629" s="7"/>
      <c r="B81629" s="7"/>
    </row>
    <row r="81630" ht="15.75" customHeight="1">
      <c r="A81630" s="7"/>
      <c r="B81630" s="7"/>
    </row>
    <row r="81631" ht="15.75" customHeight="1">
      <c r="A81631" s="7"/>
      <c r="B81631" s="7"/>
    </row>
    <row r="81632" ht="15.75" customHeight="1">
      <c r="A81632" s="7"/>
      <c r="B81632" s="7"/>
    </row>
    <row r="81633" ht="15.75" customHeight="1">
      <c r="A81633" s="7"/>
      <c r="B81633" s="7"/>
    </row>
    <row r="81634" ht="15.75" customHeight="1">
      <c r="A81634" s="7"/>
      <c r="B81634" s="7"/>
    </row>
    <row r="81635" ht="15.75" customHeight="1">
      <c r="A81635" s="7"/>
      <c r="B81635" s="7"/>
    </row>
    <row r="81636" ht="15.75" customHeight="1">
      <c r="A81636" s="7"/>
      <c r="B81636" s="7"/>
    </row>
    <row r="81637" ht="15.75" customHeight="1">
      <c r="A81637" s="7"/>
      <c r="B81637" s="7"/>
    </row>
    <row r="81638" ht="15.75" customHeight="1">
      <c r="A81638" s="7"/>
      <c r="B81638" s="7"/>
    </row>
    <row r="81639" ht="15.75" customHeight="1">
      <c r="A81639" s="7"/>
      <c r="B81639" s="7"/>
    </row>
    <row r="81640" ht="15.75" customHeight="1">
      <c r="A81640" s="7"/>
      <c r="B81640" s="7"/>
    </row>
    <row r="81641" ht="15.75" customHeight="1">
      <c r="A81641" s="7"/>
      <c r="B81641" s="7"/>
    </row>
    <row r="81642" ht="15.75" customHeight="1">
      <c r="A81642" s="7"/>
      <c r="B81642" s="7"/>
    </row>
    <row r="81643" ht="15.75" customHeight="1">
      <c r="A81643" s="7"/>
      <c r="B81643" s="7"/>
    </row>
    <row r="81644" ht="15.75" customHeight="1">
      <c r="A81644" s="7"/>
      <c r="B81644" s="7"/>
    </row>
    <row r="81645" ht="15.75" customHeight="1">
      <c r="A81645" s="7"/>
      <c r="B81645" s="7"/>
    </row>
    <row r="81646" ht="15.75" customHeight="1">
      <c r="A81646" s="7"/>
      <c r="B81646" s="7"/>
    </row>
    <row r="81647" ht="15.75" customHeight="1">
      <c r="A81647" s="7"/>
      <c r="B81647" s="7"/>
    </row>
    <row r="81648" ht="15.75" customHeight="1">
      <c r="A81648" s="7"/>
      <c r="B81648" s="7"/>
    </row>
    <row r="81649" ht="15.75" customHeight="1">
      <c r="A81649" s="7"/>
      <c r="B81649" s="7"/>
    </row>
    <row r="81650" ht="15.75" customHeight="1">
      <c r="A81650" s="7"/>
      <c r="B81650" s="7"/>
    </row>
    <row r="81651" ht="15.75" customHeight="1">
      <c r="A81651" s="7"/>
      <c r="B81651" s="7"/>
    </row>
    <row r="81652" ht="15.75" customHeight="1">
      <c r="A81652" s="7"/>
      <c r="B81652" s="7"/>
    </row>
    <row r="81653" ht="15.75" customHeight="1">
      <c r="A81653" s="7"/>
      <c r="B81653" s="7"/>
    </row>
    <row r="81654" ht="15.75" customHeight="1">
      <c r="A81654" s="7"/>
      <c r="B81654" s="7"/>
    </row>
    <row r="81655" ht="15.75" customHeight="1">
      <c r="A81655" s="7"/>
      <c r="B81655" s="7"/>
    </row>
    <row r="81656" ht="15.75" customHeight="1">
      <c r="A81656" s="7"/>
      <c r="B81656" s="7"/>
    </row>
    <row r="81657" ht="15.75" customHeight="1">
      <c r="A81657" s="7"/>
      <c r="B81657" s="7"/>
    </row>
    <row r="81658" ht="15.75" customHeight="1">
      <c r="A81658" s="7"/>
      <c r="B81658" s="7"/>
    </row>
    <row r="81659" ht="15.75" customHeight="1">
      <c r="A81659" s="7"/>
      <c r="B81659" s="7"/>
    </row>
    <row r="81660" ht="15.75" customHeight="1">
      <c r="A81660" s="7"/>
      <c r="B81660" s="7"/>
    </row>
    <row r="81661" ht="15.75" customHeight="1">
      <c r="A81661" s="7"/>
      <c r="B81661" s="7"/>
    </row>
    <row r="81662" ht="15.75" customHeight="1">
      <c r="A81662" s="7"/>
      <c r="B81662" s="7"/>
    </row>
    <row r="81663" ht="15.75" customHeight="1">
      <c r="A81663" s="7"/>
      <c r="B81663" s="7"/>
    </row>
    <row r="81664" ht="15.75" customHeight="1">
      <c r="A81664" s="7"/>
      <c r="B81664" s="7"/>
    </row>
    <row r="81665" ht="15.75" customHeight="1">
      <c r="A81665" s="7"/>
      <c r="B81665" s="7"/>
    </row>
    <row r="81666" ht="15.75" customHeight="1">
      <c r="A81666" s="7"/>
      <c r="B81666" s="7"/>
    </row>
    <row r="81667" ht="15.75" customHeight="1">
      <c r="A81667" s="7"/>
      <c r="B81667" s="7"/>
    </row>
    <row r="81668" ht="15.75" customHeight="1">
      <c r="A81668" s="7"/>
      <c r="B81668" s="7"/>
    </row>
    <row r="81669" ht="15.75" customHeight="1">
      <c r="A81669" s="7"/>
      <c r="B81669" s="7"/>
    </row>
    <row r="81670" ht="15.75" customHeight="1">
      <c r="A81670" s="7"/>
      <c r="B81670" s="7"/>
    </row>
    <row r="81671" ht="15.75" customHeight="1">
      <c r="A81671" s="7"/>
      <c r="B81671" s="7"/>
    </row>
    <row r="81672" ht="15.75" customHeight="1">
      <c r="A81672" s="7"/>
      <c r="B81672" s="7"/>
    </row>
    <row r="81673" ht="15.75" customHeight="1">
      <c r="A81673" s="7"/>
      <c r="B81673" s="7"/>
    </row>
    <row r="81674" ht="15.75" customHeight="1">
      <c r="A81674" s="7"/>
      <c r="B81674" s="7"/>
    </row>
    <row r="81675" ht="15.75" customHeight="1">
      <c r="A81675" s="7"/>
      <c r="B81675" s="7"/>
    </row>
    <row r="81676" ht="15.75" customHeight="1">
      <c r="A81676" s="7"/>
      <c r="B81676" s="7"/>
    </row>
    <row r="81677" ht="15.75" customHeight="1">
      <c r="A81677" s="7"/>
      <c r="B81677" s="7"/>
    </row>
    <row r="81678" ht="15.75" customHeight="1">
      <c r="A81678" s="7"/>
      <c r="B81678" s="7"/>
    </row>
    <row r="81679" ht="15.75" customHeight="1">
      <c r="A81679" s="7"/>
      <c r="B81679" s="7"/>
    </row>
    <row r="81680" ht="15.75" customHeight="1">
      <c r="A81680" s="7"/>
      <c r="B81680" s="7"/>
    </row>
    <row r="81681" ht="15.75" customHeight="1">
      <c r="A81681" s="7"/>
      <c r="B81681" s="7"/>
    </row>
    <row r="81682" ht="15.75" customHeight="1">
      <c r="A81682" s="7"/>
      <c r="B81682" s="7"/>
    </row>
    <row r="81683" ht="15.75" customHeight="1">
      <c r="A81683" s="7"/>
      <c r="B81683" s="7"/>
    </row>
    <row r="81684" ht="15.75" customHeight="1">
      <c r="A81684" s="7"/>
      <c r="B81684" s="7"/>
    </row>
    <row r="81685" ht="15.75" customHeight="1">
      <c r="A81685" s="7"/>
      <c r="B81685" s="7"/>
    </row>
    <row r="81686" ht="15.75" customHeight="1">
      <c r="A81686" s="7"/>
      <c r="B81686" s="7"/>
    </row>
    <row r="81687" ht="15.75" customHeight="1">
      <c r="A81687" s="7"/>
      <c r="B81687" s="7"/>
    </row>
    <row r="81688" ht="15.75" customHeight="1">
      <c r="A81688" s="7"/>
      <c r="B81688" s="7"/>
    </row>
    <row r="81689" ht="15.75" customHeight="1">
      <c r="A81689" s="7"/>
      <c r="B81689" s="7"/>
    </row>
    <row r="81690" ht="15.75" customHeight="1">
      <c r="A81690" s="7"/>
      <c r="B81690" s="7"/>
    </row>
    <row r="81691" ht="15.75" customHeight="1">
      <c r="A81691" s="7"/>
      <c r="B81691" s="7"/>
    </row>
    <row r="81692" ht="15.75" customHeight="1">
      <c r="A81692" s="7"/>
      <c r="B81692" s="7"/>
    </row>
    <row r="81693" ht="15.75" customHeight="1">
      <c r="A81693" s="7"/>
      <c r="B81693" s="7"/>
    </row>
    <row r="81694" ht="15.75" customHeight="1">
      <c r="A81694" s="7"/>
      <c r="B81694" s="7"/>
    </row>
    <row r="81695" ht="15.75" customHeight="1">
      <c r="A81695" s="7"/>
      <c r="B81695" s="7"/>
    </row>
    <row r="81696" ht="15.75" customHeight="1">
      <c r="A81696" s="7"/>
      <c r="B81696" s="7"/>
    </row>
    <row r="81697" ht="15.75" customHeight="1">
      <c r="A81697" s="7"/>
      <c r="B81697" s="7"/>
    </row>
    <row r="81698" ht="15.75" customHeight="1">
      <c r="A81698" s="7"/>
      <c r="B81698" s="7"/>
    </row>
    <row r="81699" ht="15.75" customHeight="1">
      <c r="A81699" s="7"/>
      <c r="B81699" s="7"/>
    </row>
    <row r="81700" ht="15.75" customHeight="1">
      <c r="A81700" s="7"/>
      <c r="B81700" s="7"/>
    </row>
    <row r="81701" ht="15.75" customHeight="1">
      <c r="A81701" s="7"/>
      <c r="B81701" s="7"/>
    </row>
    <row r="81702" ht="15.75" customHeight="1">
      <c r="A81702" s="7"/>
      <c r="B81702" s="7"/>
    </row>
    <row r="81703" ht="15.75" customHeight="1">
      <c r="A81703" s="7"/>
      <c r="B81703" s="7"/>
    </row>
    <row r="81704" ht="15.75" customHeight="1">
      <c r="A81704" s="7"/>
      <c r="B81704" s="7"/>
    </row>
    <row r="81705" ht="15.75" customHeight="1">
      <c r="A81705" s="7"/>
      <c r="B81705" s="7"/>
    </row>
    <row r="81706" ht="15.75" customHeight="1">
      <c r="A81706" s="7"/>
      <c r="B81706" s="7"/>
    </row>
    <row r="81707" ht="15.75" customHeight="1">
      <c r="A81707" s="7"/>
      <c r="B81707" s="7"/>
    </row>
    <row r="81708" ht="15.75" customHeight="1">
      <c r="A81708" s="7"/>
      <c r="B81708" s="7"/>
    </row>
    <row r="81709" ht="15.75" customHeight="1">
      <c r="A81709" s="7"/>
      <c r="B81709" s="7"/>
    </row>
    <row r="81710" ht="15.75" customHeight="1">
      <c r="A81710" s="7"/>
      <c r="B81710" s="7"/>
    </row>
    <row r="81711" ht="15.75" customHeight="1">
      <c r="A81711" s="7"/>
      <c r="B81711" s="7"/>
    </row>
    <row r="81712" ht="15.75" customHeight="1">
      <c r="A81712" s="7"/>
      <c r="B81712" s="7"/>
    </row>
    <row r="81713" ht="15.75" customHeight="1">
      <c r="A81713" s="7"/>
      <c r="B81713" s="7"/>
    </row>
    <row r="81714" ht="15.75" customHeight="1">
      <c r="A81714" s="7"/>
      <c r="B81714" s="7"/>
    </row>
    <row r="81715" ht="15.75" customHeight="1">
      <c r="A81715" s="7"/>
      <c r="B81715" s="7"/>
    </row>
    <row r="81716" ht="15.75" customHeight="1">
      <c r="A81716" s="7"/>
      <c r="B81716" s="7"/>
    </row>
    <row r="81717" ht="15.75" customHeight="1">
      <c r="A81717" s="7"/>
      <c r="B81717" s="7"/>
    </row>
    <row r="81718" ht="15.75" customHeight="1">
      <c r="A81718" s="7"/>
      <c r="B81718" s="7"/>
    </row>
    <row r="81719" ht="15.75" customHeight="1">
      <c r="A81719" s="7"/>
      <c r="B81719" s="7"/>
    </row>
    <row r="81720" ht="15.75" customHeight="1">
      <c r="A81720" s="7"/>
      <c r="B81720" s="7"/>
    </row>
    <row r="81721" ht="15.75" customHeight="1">
      <c r="A81721" s="7"/>
      <c r="B81721" s="7"/>
    </row>
    <row r="81722" ht="15.75" customHeight="1">
      <c r="A81722" s="7"/>
      <c r="B81722" s="7"/>
    </row>
    <row r="81723" ht="15.75" customHeight="1">
      <c r="A81723" s="7"/>
      <c r="B81723" s="7"/>
    </row>
    <row r="81724" ht="15.75" customHeight="1">
      <c r="A81724" s="7"/>
      <c r="B81724" s="7"/>
    </row>
    <row r="81725" ht="15.75" customHeight="1">
      <c r="A81725" s="7"/>
      <c r="B81725" s="7"/>
    </row>
    <row r="81726" ht="15.75" customHeight="1">
      <c r="A81726" s="7"/>
      <c r="B81726" s="7"/>
    </row>
    <row r="81727" ht="15.75" customHeight="1">
      <c r="A81727" s="7"/>
      <c r="B81727" s="7"/>
    </row>
    <row r="81728" ht="15.75" customHeight="1">
      <c r="A81728" s="7"/>
      <c r="B81728" s="7"/>
    </row>
    <row r="81729" ht="15.75" customHeight="1">
      <c r="A81729" s="7"/>
      <c r="B81729" s="7"/>
    </row>
    <row r="81730" ht="15.75" customHeight="1">
      <c r="A81730" s="7"/>
      <c r="B81730" s="7"/>
    </row>
    <row r="81731" ht="15.75" customHeight="1">
      <c r="A81731" s="7"/>
      <c r="B81731" s="7"/>
    </row>
    <row r="81732" ht="15.75" customHeight="1">
      <c r="A81732" s="7"/>
      <c r="B81732" s="7"/>
    </row>
    <row r="81733" ht="15.75" customHeight="1">
      <c r="A81733" s="7"/>
      <c r="B81733" s="7"/>
    </row>
    <row r="81734" ht="15.75" customHeight="1">
      <c r="A81734" s="7"/>
      <c r="B81734" s="7"/>
    </row>
    <row r="81735" ht="15.75" customHeight="1">
      <c r="A81735" s="7"/>
      <c r="B81735" s="7"/>
    </row>
    <row r="81736" ht="15.75" customHeight="1">
      <c r="A81736" s="7"/>
      <c r="B81736" s="7"/>
    </row>
    <row r="81737" ht="15.75" customHeight="1">
      <c r="A81737" s="7"/>
      <c r="B81737" s="7"/>
    </row>
    <row r="81738" ht="15.75" customHeight="1">
      <c r="A81738" s="7"/>
      <c r="B81738" s="7"/>
    </row>
    <row r="81739" ht="15.75" customHeight="1">
      <c r="A81739" s="7"/>
      <c r="B81739" s="7"/>
    </row>
    <row r="81740" ht="15.75" customHeight="1">
      <c r="A81740" s="7"/>
      <c r="B81740" s="7"/>
    </row>
    <row r="81741" ht="15.75" customHeight="1">
      <c r="A81741" s="7"/>
      <c r="B81741" s="7"/>
    </row>
    <row r="81742" ht="15.75" customHeight="1">
      <c r="A81742" s="7"/>
      <c r="B81742" s="7"/>
    </row>
    <row r="81743" ht="15.75" customHeight="1">
      <c r="A81743" s="7"/>
      <c r="B81743" s="7"/>
    </row>
    <row r="81744" ht="15.75" customHeight="1">
      <c r="A81744" s="7"/>
      <c r="B81744" s="7"/>
    </row>
    <row r="81745" ht="15.75" customHeight="1">
      <c r="A81745" s="7"/>
      <c r="B81745" s="7"/>
    </row>
    <row r="81746" ht="15.75" customHeight="1">
      <c r="A81746" s="7"/>
      <c r="B81746" s="7"/>
    </row>
    <row r="81747" ht="15.75" customHeight="1">
      <c r="A81747" s="7"/>
      <c r="B81747" s="7"/>
    </row>
    <row r="81748" ht="15.75" customHeight="1">
      <c r="A81748" s="7"/>
      <c r="B81748" s="7"/>
    </row>
    <row r="81749" ht="15.75" customHeight="1">
      <c r="A81749" s="7"/>
      <c r="B81749" s="7"/>
    </row>
    <row r="81750" ht="15.75" customHeight="1">
      <c r="A81750" s="7"/>
      <c r="B81750" s="7"/>
    </row>
    <row r="81751" ht="15.75" customHeight="1">
      <c r="A81751" s="7"/>
      <c r="B81751" s="7"/>
    </row>
    <row r="81752" ht="15.75" customHeight="1">
      <c r="A81752" s="7"/>
      <c r="B81752" s="7"/>
    </row>
    <row r="81753" ht="15.75" customHeight="1">
      <c r="A81753" s="7"/>
      <c r="B81753" s="7"/>
    </row>
    <row r="81754" ht="15.75" customHeight="1">
      <c r="A81754" s="7"/>
      <c r="B81754" s="7"/>
    </row>
    <row r="81755" ht="15.75" customHeight="1">
      <c r="A81755" s="7"/>
      <c r="B81755" s="7"/>
    </row>
    <row r="81756" ht="15.75" customHeight="1">
      <c r="A81756" s="7"/>
      <c r="B81756" s="7"/>
    </row>
    <row r="81757" ht="15.75" customHeight="1">
      <c r="A81757" s="7"/>
      <c r="B81757" s="7"/>
    </row>
    <row r="81758" ht="15.75" customHeight="1">
      <c r="A81758" s="7"/>
      <c r="B81758" s="7"/>
    </row>
    <row r="81759" ht="15.75" customHeight="1">
      <c r="A81759" s="7"/>
      <c r="B81759" s="7"/>
    </row>
    <row r="81760" ht="15.75" customHeight="1">
      <c r="A81760" s="7"/>
      <c r="B81760" s="7"/>
    </row>
    <row r="81761" ht="15.75" customHeight="1">
      <c r="A81761" s="7"/>
      <c r="B81761" s="7"/>
    </row>
    <row r="81762" ht="15.75" customHeight="1">
      <c r="A81762" s="7"/>
      <c r="B81762" s="7"/>
    </row>
    <row r="81763" ht="15.75" customHeight="1">
      <c r="A81763" s="7"/>
      <c r="B81763" s="7"/>
    </row>
    <row r="81764" ht="15.75" customHeight="1">
      <c r="A81764" s="7"/>
      <c r="B81764" s="7"/>
    </row>
    <row r="81765" ht="15.75" customHeight="1">
      <c r="A81765" s="7"/>
      <c r="B81765" s="7"/>
    </row>
    <row r="81766" ht="15.75" customHeight="1">
      <c r="A81766" s="7"/>
      <c r="B81766" s="7"/>
    </row>
    <row r="81767" ht="15.75" customHeight="1">
      <c r="A81767" s="7"/>
      <c r="B81767" s="7"/>
    </row>
    <row r="81768" ht="15.75" customHeight="1">
      <c r="A81768" s="7"/>
      <c r="B81768" s="7"/>
    </row>
    <row r="81769" ht="15.75" customHeight="1">
      <c r="A81769" s="7"/>
      <c r="B81769" s="7"/>
    </row>
    <row r="81770" ht="15.75" customHeight="1">
      <c r="A81770" s="7"/>
      <c r="B81770" s="7"/>
    </row>
    <row r="81771" ht="15.75" customHeight="1">
      <c r="A81771" s="7"/>
      <c r="B81771" s="7"/>
    </row>
    <row r="81772" ht="15.75" customHeight="1">
      <c r="A81772" s="7"/>
      <c r="B81772" s="7"/>
    </row>
    <row r="81773" ht="15.75" customHeight="1">
      <c r="A81773" s="7"/>
      <c r="B81773" s="7"/>
    </row>
    <row r="81774" ht="15.75" customHeight="1">
      <c r="A81774" s="7"/>
      <c r="B81774" s="7"/>
    </row>
    <row r="81775" ht="15.75" customHeight="1">
      <c r="A81775" s="7"/>
      <c r="B81775" s="7"/>
    </row>
    <row r="81776" ht="15.75" customHeight="1">
      <c r="A81776" s="7"/>
      <c r="B81776" s="7"/>
    </row>
    <row r="81777" ht="15.75" customHeight="1">
      <c r="A81777" s="7"/>
      <c r="B81777" s="7"/>
    </row>
    <row r="81778" ht="15.75" customHeight="1">
      <c r="A81778" s="7"/>
      <c r="B81778" s="7"/>
    </row>
    <row r="81779" ht="15.75" customHeight="1">
      <c r="A81779" s="7"/>
      <c r="B81779" s="7"/>
    </row>
    <row r="81780" ht="15.75" customHeight="1">
      <c r="A81780" s="7"/>
      <c r="B81780" s="7"/>
    </row>
    <row r="81781" ht="15.75" customHeight="1">
      <c r="A81781" s="7"/>
      <c r="B81781" s="7"/>
    </row>
    <row r="81782" ht="15.75" customHeight="1">
      <c r="A81782" s="7"/>
      <c r="B81782" s="7"/>
    </row>
    <row r="81783" ht="15.75" customHeight="1">
      <c r="A81783" s="7"/>
      <c r="B81783" s="7"/>
    </row>
    <row r="81784" ht="15.75" customHeight="1">
      <c r="A81784" s="7"/>
      <c r="B81784" s="7"/>
    </row>
    <row r="81785" ht="15.75" customHeight="1">
      <c r="A81785" s="7"/>
      <c r="B81785" s="7"/>
    </row>
    <row r="81786" ht="15.75" customHeight="1">
      <c r="A81786" s="7"/>
      <c r="B81786" s="7"/>
    </row>
    <row r="81787" ht="15.75" customHeight="1">
      <c r="A81787" s="7"/>
      <c r="B81787" s="7"/>
    </row>
    <row r="81788" ht="15.75" customHeight="1">
      <c r="A81788" s="7"/>
      <c r="B81788" s="7"/>
    </row>
    <row r="81789" ht="15.75" customHeight="1">
      <c r="A81789" s="7"/>
      <c r="B81789" s="7"/>
    </row>
    <row r="81790" ht="15.75" customHeight="1">
      <c r="A81790" s="7"/>
      <c r="B81790" s="7"/>
    </row>
    <row r="81791" ht="15.75" customHeight="1">
      <c r="A81791" s="7"/>
      <c r="B81791" s="7"/>
    </row>
    <row r="81792" ht="15.75" customHeight="1">
      <c r="A81792" s="7"/>
      <c r="B81792" s="7"/>
    </row>
    <row r="81793" ht="15.75" customHeight="1">
      <c r="A81793" s="7"/>
      <c r="B81793" s="7"/>
    </row>
    <row r="81794" ht="15.75" customHeight="1">
      <c r="A81794" s="7"/>
      <c r="B81794" s="7"/>
    </row>
    <row r="81795" ht="15.75" customHeight="1">
      <c r="A81795" s="7"/>
      <c r="B81795" s="7"/>
    </row>
    <row r="81796" ht="15.75" customHeight="1">
      <c r="A81796" s="7"/>
      <c r="B81796" s="7"/>
    </row>
    <row r="81797" ht="15.75" customHeight="1">
      <c r="A81797" s="7"/>
      <c r="B81797" s="7"/>
    </row>
    <row r="81798" ht="15.75" customHeight="1">
      <c r="A81798" s="7"/>
      <c r="B81798" s="7"/>
    </row>
    <row r="81799" ht="15.75" customHeight="1">
      <c r="A81799" s="7"/>
      <c r="B81799" s="7"/>
    </row>
    <row r="81800" ht="15.75" customHeight="1">
      <c r="A81800" s="7"/>
      <c r="B81800" s="7"/>
    </row>
    <row r="81801" ht="15.75" customHeight="1">
      <c r="A81801" s="7"/>
      <c r="B81801" s="7"/>
    </row>
    <row r="81802" ht="15.75" customHeight="1">
      <c r="A81802" s="7"/>
      <c r="B81802" s="7"/>
    </row>
    <row r="81803" ht="15.75" customHeight="1">
      <c r="A81803" s="7"/>
      <c r="B81803" s="7"/>
    </row>
    <row r="81804" ht="15.75" customHeight="1">
      <c r="A81804" s="7"/>
      <c r="B81804" s="7"/>
    </row>
    <row r="81805" ht="15.75" customHeight="1">
      <c r="A81805" s="7"/>
      <c r="B81805" s="7"/>
    </row>
    <row r="81806" ht="15.75" customHeight="1">
      <c r="A81806" s="7"/>
      <c r="B81806" s="7"/>
    </row>
    <row r="81807" ht="15.75" customHeight="1">
      <c r="A81807" s="7"/>
      <c r="B81807" s="7"/>
    </row>
    <row r="81808" ht="15.75" customHeight="1">
      <c r="A81808" s="7"/>
      <c r="B81808" s="7"/>
    </row>
    <row r="81809" ht="15.75" customHeight="1">
      <c r="A81809" s="7"/>
      <c r="B81809" s="7"/>
    </row>
    <row r="81810" ht="15.75" customHeight="1">
      <c r="A81810" s="7"/>
      <c r="B81810" s="7"/>
    </row>
    <row r="81811" ht="15.75" customHeight="1">
      <c r="A81811" s="7"/>
      <c r="B81811" s="7"/>
    </row>
    <row r="81812" ht="15.75" customHeight="1">
      <c r="A81812" s="7"/>
      <c r="B81812" s="7"/>
    </row>
    <row r="81813" ht="15.75" customHeight="1">
      <c r="A81813" s="7"/>
      <c r="B81813" s="7"/>
    </row>
    <row r="81814" ht="15.75" customHeight="1">
      <c r="A81814" s="7"/>
      <c r="B81814" s="7"/>
    </row>
    <row r="81815" ht="15.75" customHeight="1">
      <c r="A81815" s="7"/>
      <c r="B81815" s="7"/>
    </row>
    <row r="81816" ht="15.75" customHeight="1">
      <c r="A81816" s="7"/>
      <c r="B81816" s="7"/>
    </row>
    <row r="81817" ht="15.75" customHeight="1">
      <c r="A81817" s="7"/>
      <c r="B81817" s="7"/>
    </row>
    <row r="81818" ht="15.75" customHeight="1">
      <c r="A81818" s="7"/>
      <c r="B81818" s="7"/>
    </row>
    <row r="81819" ht="15.75" customHeight="1">
      <c r="A81819" s="7"/>
      <c r="B81819" s="7"/>
    </row>
    <row r="81820" ht="15.75" customHeight="1">
      <c r="A81820" s="7"/>
      <c r="B81820" s="7"/>
    </row>
    <row r="81821" ht="15.75" customHeight="1">
      <c r="A81821" s="7"/>
      <c r="B81821" s="7"/>
    </row>
    <row r="81822" ht="15.75" customHeight="1">
      <c r="A81822" s="7"/>
      <c r="B81822" s="7"/>
    </row>
    <row r="81823" ht="15.75" customHeight="1">
      <c r="A81823" s="7"/>
      <c r="B81823" s="7"/>
    </row>
    <row r="81824" ht="15.75" customHeight="1">
      <c r="A81824" s="7"/>
      <c r="B81824" s="7"/>
    </row>
    <row r="81825" ht="15.75" customHeight="1">
      <c r="A81825" s="7"/>
      <c r="B81825" s="7"/>
    </row>
    <row r="81826" ht="15.75" customHeight="1">
      <c r="A81826" s="7"/>
      <c r="B81826" s="7"/>
    </row>
    <row r="81827" ht="15.75" customHeight="1">
      <c r="A81827" s="7"/>
      <c r="B81827" s="7"/>
    </row>
    <row r="81828" ht="15.75" customHeight="1">
      <c r="A81828" s="7"/>
      <c r="B81828" s="7"/>
    </row>
    <row r="81829" ht="15.75" customHeight="1">
      <c r="A81829" s="7"/>
      <c r="B81829" s="7"/>
    </row>
    <row r="81830" ht="15.75" customHeight="1">
      <c r="A81830" s="7"/>
      <c r="B81830" s="7"/>
    </row>
    <row r="81831" ht="15.75" customHeight="1">
      <c r="A81831" s="7"/>
      <c r="B81831" s="7"/>
    </row>
    <row r="81832" ht="15.75" customHeight="1">
      <c r="A81832" s="7"/>
      <c r="B81832" s="7"/>
    </row>
    <row r="81833" ht="15.75" customHeight="1">
      <c r="A81833" s="7"/>
      <c r="B81833" s="7"/>
    </row>
    <row r="81834" ht="15.75" customHeight="1">
      <c r="A81834" s="7"/>
      <c r="B81834" s="7"/>
    </row>
    <row r="81835" ht="15.75" customHeight="1">
      <c r="A81835" s="7"/>
      <c r="B81835" s="7"/>
    </row>
    <row r="81836" ht="15.75" customHeight="1">
      <c r="A81836" s="7"/>
      <c r="B81836" s="7"/>
    </row>
    <row r="81837" ht="15.75" customHeight="1">
      <c r="A81837" s="7"/>
      <c r="B81837" s="7"/>
    </row>
    <row r="81838" ht="15.75" customHeight="1">
      <c r="A81838" s="7"/>
      <c r="B81838" s="7"/>
    </row>
    <row r="81839" ht="15.75" customHeight="1">
      <c r="A81839" s="7"/>
      <c r="B81839" s="7"/>
    </row>
    <row r="81840" ht="15.75" customHeight="1">
      <c r="A81840" s="7"/>
      <c r="B81840" s="7"/>
    </row>
    <row r="81841" ht="15.75" customHeight="1">
      <c r="A81841" s="7"/>
      <c r="B81841" s="7"/>
    </row>
    <row r="81842" ht="15.75" customHeight="1">
      <c r="A81842" s="7"/>
      <c r="B81842" s="7"/>
    </row>
    <row r="81843" ht="15.75" customHeight="1">
      <c r="A81843" s="7"/>
      <c r="B81843" s="7"/>
    </row>
    <row r="81844" ht="15.75" customHeight="1">
      <c r="A81844" s="7"/>
      <c r="B81844" s="7"/>
    </row>
    <row r="81845" ht="15.75" customHeight="1">
      <c r="A81845" s="7"/>
      <c r="B81845" s="7"/>
    </row>
    <row r="81846" ht="15.75" customHeight="1">
      <c r="A81846" s="7"/>
      <c r="B81846" s="7"/>
    </row>
    <row r="81847" ht="15.75" customHeight="1">
      <c r="A81847" s="7"/>
      <c r="B81847" s="7"/>
    </row>
    <row r="81848" ht="15.75" customHeight="1">
      <c r="A81848" s="7"/>
      <c r="B81848" s="7"/>
    </row>
    <row r="81849" ht="15.75" customHeight="1">
      <c r="A81849" s="7"/>
      <c r="B81849" s="7"/>
    </row>
    <row r="81850" ht="15.75" customHeight="1">
      <c r="A81850" s="7"/>
      <c r="B81850" s="7"/>
    </row>
    <row r="81851" ht="15.75" customHeight="1">
      <c r="A81851" s="7"/>
      <c r="B81851" s="7"/>
    </row>
    <row r="81852" ht="15.75" customHeight="1">
      <c r="A81852" s="7"/>
      <c r="B81852" s="7"/>
    </row>
    <row r="81853" ht="15.75" customHeight="1">
      <c r="A81853" s="7"/>
      <c r="B81853" s="7"/>
    </row>
    <row r="81854" ht="15.75" customHeight="1">
      <c r="A81854" s="7"/>
      <c r="B81854" s="7"/>
    </row>
    <row r="81855" ht="15.75" customHeight="1">
      <c r="A81855" s="7"/>
      <c r="B81855" s="7"/>
    </row>
    <row r="81856" ht="15.75" customHeight="1">
      <c r="A81856" s="7"/>
      <c r="B81856" s="7"/>
    </row>
    <row r="81857" ht="15.75" customHeight="1">
      <c r="A81857" s="7"/>
      <c r="B81857" s="7"/>
    </row>
    <row r="81858" ht="15.75" customHeight="1">
      <c r="A81858" s="7"/>
      <c r="B81858" s="7"/>
    </row>
    <row r="81859" ht="15.75" customHeight="1">
      <c r="A81859" s="7"/>
      <c r="B81859" s="7"/>
    </row>
    <row r="81860" ht="15.75" customHeight="1">
      <c r="A81860" s="7"/>
      <c r="B81860" s="7"/>
    </row>
    <row r="81861" ht="15.75" customHeight="1">
      <c r="A81861" s="7"/>
      <c r="B81861" s="7"/>
    </row>
    <row r="81862" ht="15.75" customHeight="1">
      <c r="A81862" s="7"/>
      <c r="B81862" s="7"/>
    </row>
    <row r="81863" ht="15.75" customHeight="1">
      <c r="A81863" s="7"/>
      <c r="B81863" s="7"/>
    </row>
    <row r="81864" ht="15.75" customHeight="1">
      <c r="A81864" s="7"/>
      <c r="B81864" s="7"/>
    </row>
    <row r="81865" ht="15.75" customHeight="1">
      <c r="A81865" s="7"/>
      <c r="B81865" s="7"/>
    </row>
    <row r="81866" ht="15.75" customHeight="1">
      <c r="A81866" s="7"/>
      <c r="B81866" s="7"/>
    </row>
    <row r="81867" ht="15.75" customHeight="1">
      <c r="A81867" s="7"/>
      <c r="B81867" s="7"/>
    </row>
    <row r="81868" ht="15.75" customHeight="1">
      <c r="A81868" s="7"/>
      <c r="B81868" s="7"/>
    </row>
    <row r="81869" ht="15.75" customHeight="1">
      <c r="A81869" s="7"/>
      <c r="B81869" s="7"/>
    </row>
    <row r="81870" ht="15.75" customHeight="1">
      <c r="A81870" s="7"/>
      <c r="B81870" s="7"/>
    </row>
    <row r="81871" ht="15.75" customHeight="1">
      <c r="A81871" s="7"/>
      <c r="B81871" s="7"/>
    </row>
    <row r="81872" ht="15.75" customHeight="1">
      <c r="A81872" s="7"/>
      <c r="B81872" s="7"/>
    </row>
    <row r="81873" ht="15.75" customHeight="1">
      <c r="A81873" s="7"/>
      <c r="B81873" s="7"/>
    </row>
    <row r="81874" ht="15.75" customHeight="1">
      <c r="A81874" s="7"/>
      <c r="B81874" s="7"/>
    </row>
    <row r="81875" ht="15.75" customHeight="1">
      <c r="A81875" s="7"/>
      <c r="B81875" s="7"/>
    </row>
    <row r="81876" ht="15.75" customHeight="1">
      <c r="A81876" s="7"/>
      <c r="B81876" s="7"/>
    </row>
    <row r="81877" ht="15.75" customHeight="1">
      <c r="A81877" s="7"/>
      <c r="B81877" s="7"/>
    </row>
    <row r="81878" ht="15.75" customHeight="1">
      <c r="A81878" s="7"/>
      <c r="B81878" s="7"/>
    </row>
    <row r="81879" ht="15.75" customHeight="1">
      <c r="A81879" s="7"/>
      <c r="B81879" s="7"/>
    </row>
    <row r="81880" ht="15.75" customHeight="1">
      <c r="A81880" s="7"/>
      <c r="B81880" s="7"/>
    </row>
    <row r="81881" ht="15.75" customHeight="1">
      <c r="A81881" s="7"/>
      <c r="B81881" s="7"/>
    </row>
    <row r="81882" ht="15.75" customHeight="1">
      <c r="A81882" s="7"/>
      <c r="B81882" s="7"/>
    </row>
    <row r="81883" ht="15.75" customHeight="1">
      <c r="A81883" s="7"/>
      <c r="B81883" s="7"/>
    </row>
    <row r="81884" ht="15.75" customHeight="1">
      <c r="A81884" s="7"/>
      <c r="B81884" s="7"/>
    </row>
    <row r="81885" ht="15.75" customHeight="1">
      <c r="A81885" s="7"/>
      <c r="B81885" s="7"/>
    </row>
    <row r="81886" ht="15.75" customHeight="1">
      <c r="A81886" s="7"/>
      <c r="B81886" s="7"/>
    </row>
    <row r="81887" ht="15.75" customHeight="1">
      <c r="A81887" s="7"/>
      <c r="B81887" s="7"/>
    </row>
    <row r="81888" ht="15.75" customHeight="1">
      <c r="A81888" s="7"/>
      <c r="B81888" s="7"/>
    </row>
    <row r="81889" ht="15.75" customHeight="1">
      <c r="A81889" s="7"/>
      <c r="B81889" s="7"/>
    </row>
    <row r="81890" ht="15.75" customHeight="1">
      <c r="A81890" s="7"/>
      <c r="B81890" s="7"/>
    </row>
    <row r="81891" ht="15.75" customHeight="1">
      <c r="A81891" s="7"/>
      <c r="B81891" s="7"/>
    </row>
    <row r="81892" ht="15.75" customHeight="1">
      <c r="A81892" s="7"/>
      <c r="B81892" s="7"/>
    </row>
    <row r="81893" ht="15.75" customHeight="1">
      <c r="A81893" s="7"/>
      <c r="B81893" s="7"/>
    </row>
    <row r="81894" ht="15.75" customHeight="1">
      <c r="A81894" s="7"/>
      <c r="B81894" s="7"/>
    </row>
    <row r="81895" ht="15.75" customHeight="1">
      <c r="A81895" s="7"/>
      <c r="B81895" s="7"/>
    </row>
    <row r="81896" ht="15.75" customHeight="1">
      <c r="A81896" s="7"/>
      <c r="B81896" s="7"/>
    </row>
    <row r="81897" ht="15.75" customHeight="1">
      <c r="A81897" s="7"/>
      <c r="B81897" s="7"/>
    </row>
    <row r="81898" ht="15.75" customHeight="1">
      <c r="A81898" s="7"/>
      <c r="B81898" s="7"/>
    </row>
    <row r="81899" ht="15.75" customHeight="1">
      <c r="A81899" s="7"/>
      <c r="B81899" s="7"/>
    </row>
    <row r="81900" ht="15.75" customHeight="1">
      <c r="A81900" s="7"/>
      <c r="B81900" s="7"/>
    </row>
    <row r="81901" ht="15.75" customHeight="1">
      <c r="A81901" s="7"/>
      <c r="B81901" s="7"/>
    </row>
    <row r="81902" ht="15.75" customHeight="1">
      <c r="A81902" s="7"/>
      <c r="B81902" s="7"/>
    </row>
    <row r="81903" ht="15.75" customHeight="1">
      <c r="A81903" s="7"/>
      <c r="B81903" s="7"/>
    </row>
    <row r="81904" ht="15.75" customHeight="1">
      <c r="A81904" s="7"/>
      <c r="B81904" s="7"/>
    </row>
    <row r="81905" ht="15.75" customHeight="1">
      <c r="A81905" s="7"/>
      <c r="B81905" s="7"/>
    </row>
    <row r="81906" ht="15.75" customHeight="1">
      <c r="A81906" s="7"/>
      <c r="B81906" s="7"/>
    </row>
    <row r="81907" ht="15.75" customHeight="1">
      <c r="A81907" s="7"/>
      <c r="B81907" s="7"/>
    </row>
    <row r="81908" ht="15.75" customHeight="1">
      <c r="A81908" s="7"/>
      <c r="B81908" s="7"/>
    </row>
    <row r="81909" ht="15.75" customHeight="1">
      <c r="A81909" s="7"/>
      <c r="B81909" s="7"/>
    </row>
    <row r="81910" ht="15.75" customHeight="1">
      <c r="A81910" s="7"/>
      <c r="B81910" s="7"/>
    </row>
    <row r="81911" ht="15.75" customHeight="1">
      <c r="A81911" s="7"/>
      <c r="B81911" s="7"/>
    </row>
    <row r="81912" ht="15.75" customHeight="1">
      <c r="A81912" s="7"/>
      <c r="B81912" s="7"/>
    </row>
    <row r="81913" ht="15.75" customHeight="1">
      <c r="A81913" s="7"/>
      <c r="B81913" s="7"/>
    </row>
    <row r="81914" ht="15.75" customHeight="1">
      <c r="A81914" s="7"/>
      <c r="B81914" s="7"/>
    </row>
    <row r="81915" ht="15.75" customHeight="1">
      <c r="A81915" s="7"/>
      <c r="B81915" s="7"/>
    </row>
    <row r="81916" ht="15.75" customHeight="1">
      <c r="A81916" s="7"/>
      <c r="B81916" s="7"/>
    </row>
    <row r="81917" ht="15.75" customHeight="1">
      <c r="A81917" s="7"/>
      <c r="B81917" s="7"/>
    </row>
    <row r="81918" ht="15.75" customHeight="1">
      <c r="A81918" s="7"/>
      <c r="B81918" s="7"/>
    </row>
    <row r="81919" ht="15.75" customHeight="1">
      <c r="A81919" s="7"/>
      <c r="B81919" s="7"/>
    </row>
    <row r="81920" ht="15.75" customHeight="1">
      <c r="A81920" s="7"/>
      <c r="B81920" s="7"/>
    </row>
    <row r="81921" ht="15.75" customHeight="1">
      <c r="A81921" s="7"/>
      <c r="B81921" s="7"/>
    </row>
    <row r="81922" ht="15.75" customHeight="1">
      <c r="A81922" s="7"/>
      <c r="B81922" s="7"/>
    </row>
    <row r="81923" ht="15.75" customHeight="1">
      <c r="A81923" s="7"/>
      <c r="B81923" s="7"/>
    </row>
    <row r="81924" ht="15.75" customHeight="1">
      <c r="A81924" s="7"/>
      <c r="B81924" s="7"/>
    </row>
    <row r="81925" ht="15.75" customHeight="1">
      <c r="A81925" s="7"/>
      <c r="B81925" s="7"/>
    </row>
    <row r="81926" ht="15.75" customHeight="1">
      <c r="A81926" s="7"/>
      <c r="B81926" s="7"/>
    </row>
    <row r="81927" ht="15.75" customHeight="1">
      <c r="A81927" s="7"/>
      <c r="B81927" s="7"/>
    </row>
    <row r="81928" ht="15.75" customHeight="1">
      <c r="A81928" s="7"/>
      <c r="B81928" s="7"/>
    </row>
    <row r="81929" ht="15.75" customHeight="1">
      <c r="A81929" s="7"/>
      <c r="B81929" s="7"/>
    </row>
    <row r="81930" ht="15.75" customHeight="1">
      <c r="A81930" s="7"/>
      <c r="B81930" s="7"/>
    </row>
    <row r="81931" ht="15.75" customHeight="1">
      <c r="A81931" s="7"/>
      <c r="B81931" s="7"/>
    </row>
    <row r="81932" ht="15.75" customHeight="1">
      <c r="A81932" s="7"/>
      <c r="B81932" s="7"/>
    </row>
    <row r="81933" ht="15.75" customHeight="1">
      <c r="A81933" s="7"/>
      <c r="B81933" s="7"/>
    </row>
    <row r="81934" ht="15.75" customHeight="1">
      <c r="A81934" s="7"/>
      <c r="B81934" s="7"/>
    </row>
    <row r="81935" ht="15.75" customHeight="1">
      <c r="A81935" s="7"/>
      <c r="B81935" s="7"/>
    </row>
    <row r="81936" ht="15.75" customHeight="1">
      <c r="A81936" s="7"/>
      <c r="B81936" s="7"/>
    </row>
    <row r="81937" ht="15.75" customHeight="1">
      <c r="A81937" s="7"/>
      <c r="B81937" s="7"/>
    </row>
    <row r="81938" ht="15.75" customHeight="1">
      <c r="A81938" s="7"/>
      <c r="B81938" s="7"/>
    </row>
    <row r="81939" ht="15.75" customHeight="1">
      <c r="A81939" s="7"/>
      <c r="B81939" s="7"/>
    </row>
    <row r="81940" ht="15.75" customHeight="1">
      <c r="A81940" s="7"/>
      <c r="B81940" s="7"/>
    </row>
    <row r="81941" ht="15.75" customHeight="1">
      <c r="A81941" s="7"/>
      <c r="B81941" s="7"/>
    </row>
    <row r="81942" ht="15.75" customHeight="1">
      <c r="A81942" s="7"/>
      <c r="B81942" s="7"/>
    </row>
    <row r="81943" ht="15.75" customHeight="1">
      <c r="A81943" s="7"/>
      <c r="B81943" s="7"/>
    </row>
    <row r="81944" ht="15.75" customHeight="1">
      <c r="A81944" s="7"/>
      <c r="B81944" s="7"/>
    </row>
    <row r="81945" ht="15.75" customHeight="1">
      <c r="A81945" s="7"/>
      <c r="B81945" s="7"/>
    </row>
    <row r="81946" ht="15.75" customHeight="1">
      <c r="A81946" s="7"/>
      <c r="B81946" s="7"/>
    </row>
    <row r="81947" ht="15.75" customHeight="1">
      <c r="A81947" s="7"/>
      <c r="B81947" s="7"/>
    </row>
    <row r="81948" ht="15.75" customHeight="1">
      <c r="A81948" s="7"/>
      <c r="B81948" s="7"/>
    </row>
    <row r="81949" ht="15.75" customHeight="1">
      <c r="A81949" s="7"/>
      <c r="B81949" s="7"/>
    </row>
    <row r="81950" ht="15.75" customHeight="1">
      <c r="A81950" s="7"/>
      <c r="B81950" s="7"/>
    </row>
    <row r="81951" ht="15.75" customHeight="1">
      <c r="A81951" s="7"/>
      <c r="B81951" s="7"/>
    </row>
    <row r="81952" ht="15.75" customHeight="1">
      <c r="A81952" s="7"/>
      <c r="B81952" s="7"/>
    </row>
    <row r="81953" ht="15.75" customHeight="1">
      <c r="A81953" s="7"/>
      <c r="B81953" s="7"/>
    </row>
    <row r="81954" ht="15.75" customHeight="1">
      <c r="A81954" s="7"/>
      <c r="B81954" s="7"/>
    </row>
    <row r="81955" ht="15.75" customHeight="1">
      <c r="A81955" s="7"/>
      <c r="B81955" s="7"/>
    </row>
    <row r="81956" ht="15.75" customHeight="1">
      <c r="A81956" s="7"/>
      <c r="B81956" s="7"/>
    </row>
    <row r="81957" ht="15.75" customHeight="1">
      <c r="A81957" s="7"/>
      <c r="B81957" s="7"/>
    </row>
    <row r="81958" ht="15.75" customHeight="1">
      <c r="A81958" s="7"/>
      <c r="B81958" s="7"/>
    </row>
    <row r="81959" ht="15.75" customHeight="1">
      <c r="A81959" s="7"/>
      <c r="B81959" s="7"/>
    </row>
    <row r="81960" ht="15.75" customHeight="1">
      <c r="A81960" s="7"/>
      <c r="B81960" s="7"/>
    </row>
    <row r="81961" ht="15.75" customHeight="1">
      <c r="A81961" s="7"/>
      <c r="B81961" s="7"/>
    </row>
    <row r="81962" ht="15.75" customHeight="1">
      <c r="A81962" s="7"/>
      <c r="B81962" s="7"/>
    </row>
    <row r="81963" ht="15.75" customHeight="1">
      <c r="A81963" s="7"/>
      <c r="B81963" s="7"/>
    </row>
    <row r="81964" ht="15.75" customHeight="1">
      <c r="A81964" s="7"/>
      <c r="B81964" s="7"/>
    </row>
    <row r="81965" ht="15.75" customHeight="1">
      <c r="A81965" s="7"/>
      <c r="B81965" s="7"/>
    </row>
    <row r="81966" ht="15.75" customHeight="1">
      <c r="A81966" s="7"/>
      <c r="B81966" s="7"/>
    </row>
    <row r="81967" ht="15.75" customHeight="1">
      <c r="A81967" s="7"/>
      <c r="B81967" s="7"/>
    </row>
    <row r="81968" ht="15.75" customHeight="1">
      <c r="A81968" s="7"/>
      <c r="B81968" s="7"/>
    </row>
    <row r="81969" ht="15.75" customHeight="1">
      <c r="A81969" s="7"/>
      <c r="B81969" s="7"/>
    </row>
    <row r="81970" ht="15.75" customHeight="1">
      <c r="A81970" s="7"/>
      <c r="B81970" s="7"/>
    </row>
    <row r="81971" ht="15.75" customHeight="1">
      <c r="A81971" s="7"/>
      <c r="B81971" s="7"/>
    </row>
    <row r="81972" ht="15.75" customHeight="1">
      <c r="A81972" s="7"/>
      <c r="B81972" s="7"/>
    </row>
    <row r="81973" ht="15.75" customHeight="1">
      <c r="A81973" s="7"/>
      <c r="B81973" s="7"/>
    </row>
    <row r="81974" ht="15.75" customHeight="1">
      <c r="A81974" s="7"/>
      <c r="B81974" s="7"/>
    </row>
    <row r="81975" ht="15.75" customHeight="1">
      <c r="A81975" s="7"/>
      <c r="B81975" s="7"/>
    </row>
    <row r="81976" ht="15.75" customHeight="1">
      <c r="A81976" s="7"/>
      <c r="B81976" s="7"/>
    </row>
    <row r="81977" ht="15.75" customHeight="1">
      <c r="A81977" s="7"/>
      <c r="B81977" s="7"/>
    </row>
    <row r="81978" ht="15.75" customHeight="1">
      <c r="A81978" s="7"/>
      <c r="B81978" s="7"/>
    </row>
    <row r="81979" ht="15.75" customHeight="1">
      <c r="A81979" s="7"/>
      <c r="B81979" s="7"/>
    </row>
    <row r="81980" ht="15.75" customHeight="1">
      <c r="A81980" s="7"/>
      <c r="B81980" s="7"/>
    </row>
    <row r="81981" ht="15.75" customHeight="1">
      <c r="A81981" s="7"/>
      <c r="B81981" s="7"/>
    </row>
    <row r="81982" ht="15.75" customHeight="1">
      <c r="A81982" s="7"/>
      <c r="B81982" s="7"/>
    </row>
    <row r="81983" ht="15.75" customHeight="1">
      <c r="A81983" s="7"/>
      <c r="B81983" s="7"/>
    </row>
    <row r="81984" ht="15.75" customHeight="1">
      <c r="A81984" s="7"/>
      <c r="B81984" s="7"/>
    </row>
    <row r="81985" ht="15.75" customHeight="1">
      <c r="A81985" s="7"/>
      <c r="B81985" s="7"/>
    </row>
    <row r="81986" ht="15.75" customHeight="1">
      <c r="A81986" s="7"/>
      <c r="B81986" s="7"/>
    </row>
    <row r="81987" ht="15.75" customHeight="1">
      <c r="A81987" s="7"/>
      <c r="B81987" s="7"/>
    </row>
    <row r="81988" ht="15.75" customHeight="1">
      <c r="A81988" s="7"/>
      <c r="B81988" s="7"/>
    </row>
    <row r="81989" ht="15.75" customHeight="1">
      <c r="A81989" s="7"/>
      <c r="B81989" s="7"/>
    </row>
    <row r="81990" ht="15.75" customHeight="1">
      <c r="A81990" s="7"/>
      <c r="B81990" s="7"/>
    </row>
    <row r="81991" ht="15.75" customHeight="1">
      <c r="A81991" s="7"/>
      <c r="B81991" s="7"/>
    </row>
    <row r="81992" ht="15.75" customHeight="1">
      <c r="A81992" s="7"/>
      <c r="B81992" s="7"/>
    </row>
    <row r="81993" ht="15.75" customHeight="1">
      <c r="A81993" s="7"/>
      <c r="B81993" s="7"/>
    </row>
    <row r="81994" ht="15.75" customHeight="1">
      <c r="A81994" s="7"/>
      <c r="B81994" s="7"/>
    </row>
    <row r="81995" ht="15.75" customHeight="1">
      <c r="A81995" s="7"/>
      <c r="B81995" s="7"/>
    </row>
    <row r="81996" ht="15.75" customHeight="1">
      <c r="A81996" s="7"/>
      <c r="B81996" s="7"/>
    </row>
    <row r="81997" ht="15.75" customHeight="1">
      <c r="A81997" s="7"/>
      <c r="B81997" s="7"/>
    </row>
    <row r="81998" ht="15.75" customHeight="1">
      <c r="A81998" s="7"/>
      <c r="B81998" s="7"/>
    </row>
    <row r="81999" ht="15.75" customHeight="1">
      <c r="A81999" s="7"/>
      <c r="B81999" s="7"/>
    </row>
    <row r="82000" ht="15.75" customHeight="1">
      <c r="A82000" s="7"/>
      <c r="B82000" s="7"/>
    </row>
    <row r="82001" ht="15.75" customHeight="1">
      <c r="A82001" s="7"/>
      <c r="B82001" s="7"/>
    </row>
    <row r="82002" ht="15.75" customHeight="1">
      <c r="A82002" s="7"/>
      <c r="B82002" s="7"/>
    </row>
    <row r="82003" ht="15.75" customHeight="1">
      <c r="A82003" s="7"/>
      <c r="B82003" s="7"/>
    </row>
    <row r="82004" ht="15.75" customHeight="1">
      <c r="A82004" s="7"/>
      <c r="B82004" s="7"/>
    </row>
    <row r="82005" ht="15.75" customHeight="1">
      <c r="A82005" s="7"/>
      <c r="B82005" s="7"/>
    </row>
    <row r="82006" ht="15.75" customHeight="1">
      <c r="A82006" s="7"/>
      <c r="B82006" s="7"/>
    </row>
    <row r="82007" ht="15.75" customHeight="1">
      <c r="A82007" s="7"/>
      <c r="B82007" s="7"/>
    </row>
    <row r="82008" ht="15.75" customHeight="1">
      <c r="A82008" s="7"/>
      <c r="B82008" s="7"/>
    </row>
    <row r="82009" ht="15.75" customHeight="1">
      <c r="A82009" s="7"/>
      <c r="B82009" s="7"/>
    </row>
    <row r="82010" ht="15.75" customHeight="1">
      <c r="A82010" s="7"/>
      <c r="B82010" s="7"/>
    </row>
    <row r="82011" ht="15.75" customHeight="1">
      <c r="A82011" s="7"/>
      <c r="B82011" s="7"/>
    </row>
    <row r="82012" ht="15.75" customHeight="1">
      <c r="A82012" s="7"/>
      <c r="B82012" s="7"/>
    </row>
    <row r="82013" ht="15.75" customHeight="1">
      <c r="A82013" s="7"/>
      <c r="B82013" s="7"/>
    </row>
    <row r="82014" ht="15.75" customHeight="1">
      <c r="A82014" s="7"/>
      <c r="B82014" s="7"/>
    </row>
    <row r="82015" ht="15.75" customHeight="1">
      <c r="A82015" s="7"/>
      <c r="B82015" s="7"/>
    </row>
    <row r="82016" ht="15.75" customHeight="1">
      <c r="A82016" s="7"/>
      <c r="B82016" s="7"/>
    </row>
    <row r="82017" ht="15.75" customHeight="1">
      <c r="A82017" s="7"/>
      <c r="B82017" s="7"/>
    </row>
    <row r="82018" ht="15.75" customHeight="1">
      <c r="A82018" s="7"/>
      <c r="B82018" s="7"/>
    </row>
    <row r="82019" ht="15.75" customHeight="1">
      <c r="A82019" s="7"/>
      <c r="B82019" s="7"/>
    </row>
    <row r="82020" ht="15.75" customHeight="1">
      <c r="A82020" s="7"/>
      <c r="B82020" s="7"/>
    </row>
    <row r="82021" ht="15.75" customHeight="1">
      <c r="A82021" s="7"/>
      <c r="B82021" s="7"/>
    </row>
    <row r="82022" ht="15.75" customHeight="1">
      <c r="A82022" s="7"/>
      <c r="B82022" s="7"/>
    </row>
    <row r="82023" ht="15.75" customHeight="1">
      <c r="A82023" s="7"/>
      <c r="B82023" s="7"/>
    </row>
    <row r="82024" ht="15.75" customHeight="1">
      <c r="A82024" s="7"/>
      <c r="B82024" s="7"/>
    </row>
    <row r="82025" ht="15.75" customHeight="1">
      <c r="A82025" s="7"/>
      <c r="B82025" s="7"/>
    </row>
    <row r="82026" ht="15.75" customHeight="1">
      <c r="A82026" s="7"/>
      <c r="B82026" s="7"/>
    </row>
    <row r="82027" ht="15.75" customHeight="1">
      <c r="A82027" s="7"/>
      <c r="B82027" s="7"/>
    </row>
    <row r="82028" ht="15.75" customHeight="1">
      <c r="A82028" s="7"/>
      <c r="B82028" s="7"/>
    </row>
    <row r="82029" ht="15.75" customHeight="1">
      <c r="A82029" s="7"/>
      <c r="B82029" s="7"/>
    </row>
    <row r="82030" ht="15.75" customHeight="1">
      <c r="A82030" s="7"/>
      <c r="B82030" s="7"/>
    </row>
    <row r="82031" ht="15.75" customHeight="1">
      <c r="A82031" s="7"/>
      <c r="B82031" s="7"/>
    </row>
    <row r="82032" ht="15.75" customHeight="1">
      <c r="A82032" s="7"/>
      <c r="B82032" s="7"/>
    </row>
    <row r="82033" ht="15.75" customHeight="1">
      <c r="A82033" s="7"/>
      <c r="B82033" s="7"/>
    </row>
    <row r="82034" ht="15.75" customHeight="1">
      <c r="A82034" s="7"/>
      <c r="B82034" s="7"/>
    </row>
    <row r="82035" ht="15.75" customHeight="1">
      <c r="A82035" s="7"/>
      <c r="B82035" s="7"/>
    </row>
    <row r="82036" ht="15.75" customHeight="1">
      <c r="A82036" s="7"/>
      <c r="B82036" s="7"/>
    </row>
    <row r="82037" ht="15.75" customHeight="1">
      <c r="A82037" s="7"/>
      <c r="B82037" s="7"/>
    </row>
    <row r="82038" ht="15.75" customHeight="1">
      <c r="A82038" s="7"/>
      <c r="B82038" s="7"/>
    </row>
    <row r="82039" ht="15.75" customHeight="1">
      <c r="A82039" s="7"/>
      <c r="B82039" s="7"/>
    </row>
    <row r="82040" ht="15.75" customHeight="1">
      <c r="A82040" s="7"/>
      <c r="B82040" s="7"/>
    </row>
    <row r="82041" ht="15.75" customHeight="1">
      <c r="A82041" s="7"/>
      <c r="B82041" s="7"/>
    </row>
    <row r="82042" ht="15.75" customHeight="1">
      <c r="A82042" s="7"/>
      <c r="B82042" s="7"/>
    </row>
    <row r="82043" ht="15.75" customHeight="1">
      <c r="A82043" s="7"/>
      <c r="B82043" s="7"/>
    </row>
    <row r="82044" ht="15.75" customHeight="1">
      <c r="A82044" s="7"/>
      <c r="B82044" s="7"/>
    </row>
    <row r="82045" ht="15.75" customHeight="1">
      <c r="A82045" s="7"/>
      <c r="B82045" s="7"/>
    </row>
    <row r="82046" ht="15.75" customHeight="1">
      <c r="A82046" s="7"/>
      <c r="B82046" s="7"/>
    </row>
    <row r="82047" ht="15.75" customHeight="1">
      <c r="A82047" s="7"/>
      <c r="B82047" s="7"/>
    </row>
    <row r="82048" ht="15.75" customHeight="1">
      <c r="A82048" s="7"/>
      <c r="B82048" s="7"/>
    </row>
    <row r="82049" ht="15.75" customHeight="1">
      <c r="A82049" s="7"/>
      <c r="B82049" s="7"/>
    </row>
    <row r="82050" ht="15.75" customHeight="1">
      <c r="A82050" s="7"/>
      <c r="B82050" s="7"/>
    </row>
    <row r="82051" ht="15.75" customHeight="1">
      <c r="A82051" s="7"/>
      <c r="B82051" s="7"/>
    </row>
    <row r="82052" ht="15.75" customHeight="1">
      <c r="A82052" s="7"/>
      <c r="B82052" s="7"/>
    </row>
    <row r="82053" ht="15.75" customHeight="1">
      <c r="A82053" s="7"/>
      <c r="B82053" s="7"/>
    </row>
    <row r="82054" ht="15.75" customHeight="1">
      <c r="A82054" s="7"/>
      <c r="B82054" s="7"/>
    </row>
    <row r="82055" ht="15.75" customHeight="1">
      <c r="A82055" s="7"/>
      <c r="B82055" s="7"/>
    </row>
    <row r="82056" ht="15.75" customHeight="1">
      <c r="A82056" s="7"/>
      <c r="B82056" s="7"/>
    </row>
    <row r="82057" ht="15.75" customHeight="1">
      <c r="A82057" s="7"/>
      <c r="B82057" s="7"/>
    </row>
    <row r="82058" ht="15.75" customHeight="1">
      <c r="A82058" s="7"/>
      <c r="B82058" s="7"/>
    </row>
    <row r="82059" ht="15.75" customHeight="1">
      <c r="A82059" s="7"/>
      <c r="B82059" s="7"/>
    </row>
    <row r="82060" ht="15.75" customHeight="1">
      <c r="A82060" s="7"/>
      <c r="B82060" s="7"/>
    </row>
    <row r="82061" ht="15.75" customHeight="1">
      <c r="A82061" s="7"/>
      <c r="B82061" s="7"/>
    </row>
    <row r="82062" ht="15.75" customHeight="1">
      <c r="A82062" s="7"/>
      <c r="B82062" s="7"/>
    </row>
    <row r="82063" ht="15.75" customHeight="1">
      <c r="A82063" s="7"/>
      <c r="B82063" s="7"/>
    </row>
    <row r="82064" ht="15.75" customHeight="1">
      <c r="A82064" s="7"/>
      <c r="B82064" s="7"/>
    </row>
    <row r="82065" ht="15.75" customHeight="1">
      <c r="A82065" s="7"/>
      <c r="B82065" s="7"/>
    </row>
    <row r="82066" ht="15.75" customHeight="1">
      <c r="A82066" s="7"/>
      <c r="B82066" s="7"/>
    </row>
    <row r="82067" ht="15.75" customHeight="1">
      <c r="A82067" s="7"/>
      <c r="B82067" s="7"/>
    </row>
    <row r="82068" ht="15.75" customHeight="1">
      <c r="A82068" s="7"/>
      <c r="B82068" s="7"/>
    </row>
    <row r="82069" ht="15.75" customHeight="1">
      <c r="A82069" s="7"/>
      <c r="B82069" s="7"/>
    </row>
    <row r="82070" ht="15.75" customHeight="1">
      <c r="A82070" s="7"/>
      <c r="B82070" s="7"/>
    </row>
    <row r="82071" ht="15.75" customHeight="1">
      <c r="A82071" s="7"/>
      <c r="B82071" s="7"/>
    </row>
    <row r="82072" ht="15.75" customHeight="1">
      <c r="A82072" s="7"/>
      <c r="B82072" s="7"/>
    </row>
    <row r="82073" ht="15.75" customHeight="1">
      <c r="A82073" s="7"/>
      <c r="B82073" s="7"/>
    </row>
    <row r="82074" ht="15.75" customHeight="1">
      <c r="A82074" s="7"/>
      <c r="B82074" s="7"/>
    </row>
    <row r="82075" ht="15.75" customHeight="1">
      <c r="A82075" s="7"/>
      <c r="B82075" s="7"/>
    </row>
    <row r="82076" ht="15.75" customHeight="1">
      <c r="A82076" s="7"/>
      <c r="B82076" s="7"/>
    </row>
    <row r="82077" ht="15.75" customHeight="1">
      <c r="A82077" s="7"/>
      <c r="B82077" s="7"/>
    </row>
    <row r="82078" ht="15.75" customHeight="1">
      <c r="A82078" s="7"/>
      <c r="B82078" s="7"/>
    </row>
    <row r="82079" ht="15.75" customHeight="1">
      <c r="A82079" s="7"/>
      <c r="B82079" s="7"/>
    </row>
    <row r="82080" ht="15.75" customHeight="1">
      <c r="A82080" s="7"/>
      <c r="B82080" s="7"/>
    </row>
    <row r="82081" ht="15.75" customHeight="1">
      <c r="A82081" s="7"/>
      <c r="B82081" s="7"/>
    </row>
    <row r="82082" ht="15.75" customHeight="1">
      <c r="A82082" s="7"/>
      <c r="B82082" s="7"/>
    </row>
    <row r="82083" ht="15.75" customHeight="1">
      <c r="A82083" s="7"/>
      <c r="B82083" s="7"/>
    </row>
    <row r="82084" ht="15.75" customHeight="1">
      <c r="A82084" s="7"/>
      <c r="B82084" s="7"/>
    </row>
    <row r="82085" ht="15.75" customHeight="1">
      <c r="A82085" s="7"/>
      <c r="B82085" s="7"/>
    </row>
    <row r="82086" ht="15.75" customHeight="1">
      <c r="A82086" s="7"/>
      <c r="B82086" s="7"/>
    </row>
    <row r="82087" ht="15.75" customHeight="1">
      <c r="A82087" s="7"/>
      <c r="B82087" s="7"/>
    </row>
    <row r="82088" ht="15.75" customHeight="1">
      <c r="A82088" s="7"/>
      <c r="B82088" s="7"/>
    </row>
    <row r="82089" ht="15.75" customHeight="1">
      <c r="A82089" s="7"/>
      <c r="B82089" s="7"/>
    </row>
    <row r="82090" ht="15.75" customHeight="1">
      <c r="A82090" s="7"/>
      <c r="B82090" s="7"/>
    </row>
    <row r="82091" ht="15.75" customHeight="1">
      <c r="A82091" s="7"/>
      <c r="B82091" s="7"/>
    </row>
    <row r="82092" ht="15.75" customHeight="1">
      <c r="A82092" s="7"/>
      <c r="B82092" s="7"/>
    </row>
    <row r="82093" ht="15.75" customHeight="1">
      <c r="A82093" s="7"/>
      <c r="B82093" s="7"/>
    </row>
    <row r="82094" ht="15.75" customHeight="1">
      <c r="A82094" s="7"/>
      <c r="B82094" s="7"/>
    </row>
    <row r="82095" ht="15.75" customHeight="1">
      <c r="A82095" s="7"/>
      <c r="B82095" s="7"/>
    </row>
    <row r="82096" ht="15.75" customHeight="1">
      <c r="A82096" s="7"/>
      <c r="B82096" s="7"/>
    </row>
    <row r="82097" ht="15.75" customHeight="1">
      <c r="A82097" s="7"/>
      <c r="B82097" s="7"/>
    </row>
    <row r="82098" ht="15.75" customHeight="1">
      <c r="A82098" s="7"/>
      <c r="B82098" s="7"/>
    </row>
    <row r="82099" ht="15.75" customHeight="1">
      <c r="A82099" s="7"/>
      <c r="B82099" s="7"/>
    </row>
    <row r="82100" ht="15.75" customHeight="1">
      <c r="A82100" s="7"/>
      <c r="B82100" s="7"/>
    </row>
    <row r="82101" ht="15.75" customHeight="1">
      <c r="A82101" s="7"/>
      <c r="B82101" s="7"/>
    </row>
    <row r="82102" ht="15.75" customHeight="1">
      <c r="A82102" s="7"/>
      <c r="B82102" s="7"/>
    </row>
    <row r="82103" ht="15.75" customHeight="1">
      <c r="A82103" s="7"/>
      <c r="B82103" s="7"/>
    </row>
    <row r="82104" ht="15.75" customHeight="1">
      <c r="A82104" s="7"/>
      <c r="B82104" s="7"/>
    </row>
    <row r="82105" ht="15.75" customHeight="1">
      <c r="A82105" s="7"/>
      <c r="B82105" s="7"/>
    </row>
    <row r="82106" ht="15.75" customHeight="1">
      <c r="A82106" s="7"/>
      <c r="B82106" s="7"/>
    </row>
    <row r="82107" ht="15.75" customHeight="1">
      <c r="A82107" s="7"/>
      <c r="B82107" s="7"/>
    </row>
    <row r="82108" ht="15.75" customHeight="1">
      <c r="A82108" s="7"/>
      <c r="B82108" s="7"/>
    </row>
    <row r="82109" ht="15.75" customHeight="1">
      <c r="A82109" s="7"/>
      <c r="B82109" s="7"/>
    </row>
    <row r="82110" ht="15.75" customHeight="1">
      <c r="A82110" s="7"/>
      <c r="B82110" s="7"/>
    </row>
    <row r="82111" ht="15.75" customHeight="1">
      <c r="A82111" s="7"/>
      <c r="B82111" s="7"/>
    </row>
    <row r="82112" ht="15.75" customHeight="1">
      <c r="A82112" s="7"/>
      <c r="B82112" s="7"/>
    </row>
    <row r="82113" ht="15.75" customHeight="1">
      <c r="A82113" s="7"/>
      <c r="B82113" s="7"/>
    </row>
    <row r="82114" ht="15.75" customHeight="1">
      <c r="A82114" s="7"/>
      <c r="B82114" s="7"/>
    </row>
    <row r="82115" ht="15.75" customHeight="1">
      <c r="A82115" s="7"/>
      <c r="B82115" s="7"/>
    </row>
    <row r="82116" ht="15.75" customHeight="1">
      <c r="A82116" s="7"/>
      <c r="B82116" s="7"/>
    </row>
    <row r="82117" ht="15.75" customHeight="1">
      <c r="A82117" s="7"/>
      <c r="B82117" s="7"/>
    </row>
    <row r="82118" ht="15.75" customHeight="1">
      <c r="A82118" s="7"/>
      <c r="B82118" s="7"/>
    </row>
    <row r="82119" ht="15.75" customHeight="1">
      <c r="A82119" s="7"/>
      <c r="B82119" s="7"/>
    </row>
    <row r="82120" ht="15.75" customHeight="1">
      <c r="A82120" s="7"/>
      <c r="B82120" s="7"/>
    </row>
    <row r="82121" ht="15.75" customHeight="1">
      <c r="A82121" s="7"/>
      <c r="B82121" s="7"/>
    </row>
    <row r="82122" ht="15.75" customHeight="1">
      <c r="A82122" s="7"/>
      <c r="B82122" s="7"/>
    </row>
    <row r="82123" ht="15.75" customHeight="1">
      <c r="A82123" s="7"/>
      <c r="B82123" s="7"/>
    </row>
    <row r="82124" ht="15.75" customHeight="1">
      <c r="A82124" s="7"/>
      <c r="B82124" s="7"/>
    </row>
    <row r="82125" ht="15.75" customHeight="1">
      <c r="A82125" s="7"/>
      <c r="B82125" s="7"/>
    </row>
    <row r="82126" ht="15.75" customHeight="1">
      <c r="A82126" s="7"/>
      <c r="B82126" s="7"/>
    </row>
    <row r="82127" ht="15.75" customHeight="1">
      <c r="A82127" s="7"/>
      <c r="B82127" s="7"/>
    </row>
    <row r="82128" ht="15.75" customHeight="1">
      <c r="A82128" s="7"/>
      <c r="B82128" s="7"/>
    </row>
    <row r="82129" ht="15.75" customHeight="1">
      <c r="A82129" s="7"/>
      <c r="B82129" s="7"/>
    </row>
    <row r="82130" ht="15.75" customHeight="1">
      <c r="A82130" s="7"/>
      <c r="B82130" s="7"/>
    </row>
    <row r="82131" ht="15.75" customHeight="1">
      <c r="A82131" s="7"/>
      <c r="B82131" s="7"/>
    </row>
    <row r="82132" ht="15.75" customHeight="1">
      <c r="A82132" s="7"/>
      <c r="B82132" s="7"/>
    </row>
    <row r="82133" ht="15.75" customHeight="1">
      <c r="A82133" s="7"/>
      <c r="B82133" s="7"/>
    </row>
    <row r="82134" ht="15.75" customHeight="1">
      <c r="A82134" s="7"/>
      <c r="B82134" s="7"/>
    </row>
    <row r="82135" ht="15.75" customHeight="1">
      <c r="A82135" s="7"/>
      <c r="B82135" s="7"/>
    </row>
    <row r="82136" ht="15.75" customHeight="1">
      <c r="A82136" s="7"/>
      <c r="B82136" s="7"/>
    </row>
    <row r="82137" ht="15.75" customHeight="1">
      <c r="A82137" s="7"/>
      <c r="B82137" s="7"/>
    </row>
    <row r="82138" ht="15.75" customHeight="1">
      <c r="A82138" s="7"/>
      <c r="B82138" s="7"/>
    </row>
    <row r="82139" ht="15.75" customHeight="1">
      <c r="A82139" s="7"/>
      <c r="B82139" s="7"/>
    </row>
    <row r="82140" ht="15.75" customHeight="1">
      <c r="A82140" s="7"/>
      <c r="B82140" s="7"/>
    </row>
    <row r="82141" ht="15.75" customHeight="1">
      <c r="A82141" s="7"/>
      <c r="B82141" s="7"/>
    </row>
    <row r="82142" ht="15.75" customHeight="1">
      <c r="A82142" s="7"/>
      <c r="B82142" s="7"/>
    </row>
    <row r="82143" ht="15.75" customHeight="1">
      <c r="A82143" s="7"/>
      <c r="B82143" s="7"/>
    </row>
    <row r="82144" ht="15.75" customHeight="1">
      <c r="A82144" s="7"/>
      <c r="B82144" s="7"/>
    </row>
    <row r="82145" ht="15.75" customHeight="1">
      <c r="A82145" s="7"/>
      <c r="B82145" s="7"/>
    </row>
    <row r="82146" ht="15.75" customHeight="1">
      <c r="A82146" s="7"/>
      <c r="B82146" s="7"/>
    </row>
    <row r="82147" ht="15.75" customHeight="1">
      <c r="A82147" s="7"/>
      <c r="B82147" s="7"/>
    </row>
    <row r="82148" ht="15.75" customHeight="1">
      <c r="A82148" s="7"/>
      <c r="B82148" s="7"/>
    </row>
    <row r="82149" ht="15.75" customHeight="1">
      <c r="A82149" s="7"/>
      <c r="B82149" s="7"/>
    </row>
    <row r="82150" ht="15.75" customHeight="1">
      <c r="A82150" s="7"/>
      <c r="B82150" s="7"/>
    </row>
    <row r="82151" ht="15.75" customHeight="1">
      <c r="A82151" s="7"/>
      <c r="B82151" s="7"/>
    </row>
    <row r="82152" ht="15.75" customHeight="1">
      <c r="A82152" s="7"/>
      <c r="B82152" s="7"/>
    </row>
    <row r="82153" ht="15.75" customHeight="1">
      <c r="A82153" s="7"/>
      <c r="B82153" s="7"/>
    </row>
    <row r="82154" ht="15.75" customHeight="1">
      <c r="A82154" s="7"/>
      <c r="B82154" s="7"/>
    </row>
    <row r="82155" ht="15.75" customHeight="1">
      <c r="A82155" s="7"/>
      <c r="B82155" s="7"/>
    </row>
    <row r="82156" ht="15.75" customHeight="1">
      <c r="A82156" s="7"/>
      <c r="B82156" s="7"/>
    </row>
    <row r="82157" ht="15.75" customHeight="1">
      <c r="A82157" s="7"/>
      <c r="B82157" s="7"/>
    </row>
    <row r="82158" ht="15.75" customHeight="1">
      <c r="A82158" s="7"/>
      <c r="B82158" s="7"/>
    </row>
    <row r="82159" ht="15.75" customHeight="1">
      <c r="A82159" s="7"/>
      <c r="B82159" s="7"/>
    </row>
    <row r="82160" ht="15.75" customHeight="1">
      <c r="A82160" s="7"/>
      <c r="B82160" s="7"/>
    </row>
    <row r="82161" ht="15.75" customHeight="1">
      <c r="A82161" s="7"/>
      <c r="B82161" s="7"/>
    </row>
    <row r="82162" ht="15.75" customHeight="1">
      <c r="A82162" s="7"/>
      <c r="B82162" s="7"/>
    </row>
    <row r="82163" ht="15.75" customHeight="1">
      <c r="A82163" s="7"/>
      <c r="B82163" s="7"/>
    </row>
    <row r="82164" ht="15.75" customHeight="1">
      <c r="A82164" s="7"/>
      <c r="B82164" s="7"/>
    </row>
    <row r="82165" ht="15.75" customHeight="1">
      <c r="A82165" s="7"/>
      <c r="B82165" s="7"/>
    </row>
    <row r="82166" ht="15.75" customHeight="1">
      <c r="A82166" s="7"/>
      <c r="B82166" s="7"/>
    </row>
    <row r="82167" ht="15.75" customHeight="1">
      <c r="A82167" s="7"/>
      <c r="B82167" s="7"/>
    </row>
    <row r="82168" ht="15.75" customHeight="1">
      <c r="A82168" s="7"/>
      <c r="B82168" s="7"/>
    </row>
    <row r="82169" ht="15.75" customHeight="1">
      <c r="A82169" s="7"/>
      <c r="B82169" s="7"/>
    </row>
    <row r="82170" ht="15.75" customHeight="1">
      <c r="A82170" s="7"/>
      <c r="B82170" s="7"/>
    </row>
    <row r="82171" ht="15.75" customHeight="1">
      <c r="A82171" s="7"/>
      <c r="B82171" s="7"/>
    </row>
    <row r="82172" ht="15.75" customHeight="1">
      <c r="A82172" s="7"/>
      <c r="B82172" s="7"/>
    </row>
    <row r="82173" ht="15.75" customHeight="1">
      <c r="A82173" s="7"/>
      <c r="B82173" s="7"/>
    </row>
    <row r="82174" ht="15.75" customHeight="1">
      <c r="A82174" s="7"/>
      <c r="B82174" s="7"/>
    </row>
    <row r="82175" ht="15.75" customHeight="1">
      <c r="A82175" s="7"/>
      <c r="B82175" s="7"/>
    </row>
    <row r="82176" ht="15.75" customHeight="1">
      <c r="A82176" s="7"/>
      <c r="B82176" s="7"/>
    </row>
    <row r="82177" ht="15.75" customHeight="1">
      <c r="A82177" s="7"/>
      <c r="B82177" s="7"/>
    </row>
    <row r="82178" ht="15.75" customHeight="1">
      <c r="A82178" s="7"/>
      <c r="B82178" s="7"/>
    </row>
    <row r="82179" ht="15.75" customHeight="1">
      <c r="A82179" s="7"/>
      <c r="B82179" s="7"/>
    </row>
    <row r="82180" ht="15.75" customHeight="1">
      <c r="A82180" s="7"/>
      <c r="B82180" s="7"/>
    </row>
    <row r="82181" ht="15.75" customHeight="1">
      <c r="A82181" s="7"/>
      <c r="B82181" s="7"/>
    </row>
    <row r="82182" ht="15.75" customHeight="1">
      <c r="A82182" s="7"/>
      <c r="B82182" s="7"/>
    </row>
    <row r="82183" ht="15.75" customHeight="1">
      <c r="A82183" s="7"/>
      <c r="B82183" s="7"/>
    </row>
    <row r="82184" ht="15.75" customHeight="1">
      <c r="A82184" s="7"/>
      <c r="B82184" s="7"/>
    </row>
    <row r="82185" ht="15.75" customHeight="1">
      <c r="A82185" s="7"/>
      <c r="B82185" s="7"/>
    </row>
    <row r="82186" ht="15.75" customHeight="1">
      <c r="A82186" s="7"/>
      <c r="B82186" s="7"/>
    </row>
    <row r="82187" ht="15.75" customHeight="1">
      <c r="A82187" s="7"/>
      <c r="B82187" s="7"/>
    </row>
    <row r="82188" ht="15.75" customHeight="1">
      <c r="A82188" s="7"/>
      <c r="B82188" s="7"/>
    </row>
    <row r="82189" ht="15.75" customHeight="1">
      <c r="A82189" s="7"/>
      <c r="B82189" s="7"/>
    </row>
    <row r="82190" ht="15.75" customHeight="1">
      <c r="A82190" s="7"/>
      <c r="B82190" s="7"/>
    </row>
    <row r="82191" ht="15.75" customHeight="1">
      <c r="A82191" s="7"/>
      <c r="B82191" s="7"/>
    </row>
    <row r="82192" ht="15.75" customHeight="1">
      <c r="A82192" s="7"/>
      <c r="B82192" s="7"/>
    </row>
    <row r="82193" ht="15.75" customHeight="1">
      <c r="A82193" s="7"/>
      <c r="B82193" s="7"/>
    </row>
    <row r="82194" ht="15.75" customHeight="1">
      <c r="A82194" s="7"/>
      <c r="B82194" s="7"/>
    </row>
    <row r="82195" ht="15.75" customHeight="1">
      <c r="A82195" s="7"/>
      <c r="B82195" s="7"/>
    </row>
    <row r="82196" ht="15.75" customHeight="1">
      <c r="A82196" s="7"/>
      <c r="B82196" s="7"/>
    </row>
    <row r="82197" ht="15.75" customHeight="1">
      <c r="A82197" s="7"/>
      <c r="B82197" s="7"/>
    </row>
    <row r="82198" ht="15.75" customHeight="1">
      <c r="A82198" s="7"/>
      <c r="B82198" s="7"/>
    </row>
    <row r="82199" ht="15.75" customHeight="1">
      <c r="A82199" s="7"/>
      <c r="B82199" s="7"/>
    </row>
    <row r="82200" ht="15.75" customHeight="1">
      <c r="A82200" s="7"/>
      <c r="B82200" s="7"/>
    </row>
    <row r="82201" ht="15.75" customHeight="1">
      <c r="A82201" s="7"/>
      <c r="B82201" s="7"/>
    </row>
    <row r="82202" ht="15.75" customHeight="1">
      <c r="A82202" s="7"/>
      <c r="B82202" s="7"/>
    </row>
    <row r="82203" ht="15.75" customHeight="1">
      <c r="A82203" s="7"/>
      <c r="B82203" s="7"/>
    </row>
    <row r="82204" ht="15.75" customHeight="1">
      <c r="A82204" s="7"/>
      <c r="B82204" s="7"/>
    </row>
    <row r="82205" ht="15.75" customHeight="1">
      <c r="A82205" s="7"/>
      <c r="B82205" s="7"/>
    </row>
    <row r="82206" ht="15.75" customHeight="1">
      <c r="A82206" s="7"/>
      <c r="B82206" s="7"/>
    </row>
    <row r="82207" ht="15.75" customHeight="1">
      <c r="A82207" s="7"/>
      <c r="B82207" s="7"/>
    </row>
    <row r="82208" ht="15.75" customHeight="1">
      <c r="A82208" s="7"/>
      <c r="B82208" s="7"/>
    </row>
    <row r="82209" ht="15.75" customHeight="1">
      <c r="A82209" s="7"/>
      <c r="B82209" s="7"/>
    </row>
    <row r="82210" ht="15.75" customHeight="1">
      <c r="A82210" s="7"/>
      <c r="B82210" s="7"/>
    </row>
    <row r="82211" ht="15.75" customHeight="1">
      <c r="A82211" s="7"/>
      <c r="B82211" s="7"/>
    </row>
    <row r="82212" ht="15.75" customHeight="1">
      <c r="A82212" s="7"/>
      <c r="B82212" s="7"/>
    </row>
    <row r="82213" ht="15.75" customHeight="1">
      <c r="A82213" s="7"/>
      <c r="B82213" s="7"/>
    </row>
    <row r="82214" ht="15.75" customHeight="1">
      <c r="A82214" s="7"/>
      <c r="B82214" s="7"/>
    </row>
    <row r="82215" ht="15.75" customHeight="1">
      <c r="A82215" s="7"/>
      <c r="B82215" s="7"/>
    </row>
    <row r="82216" ht="15.75" customHeight="1">
      <c r="A82216" s="7"/>
      <c r="B82216" s="7"/>
    </row>
    <row r="82217" ht="15.75" customHeight="1">
      <c r="A82217" s="7"/>
      <c r="B82217" s="7"/>
    </row>
    <row r="82218" ht="15.75" customHeight="1">
      <c r="A82218" s="7"/>
      <c r="B82218" s="7"/>
    </row>
    <row r="82219" ht="15.75" customHeight="1">
      <c r="A82219" s="7"/>
      <c r="B82219" s="7"/>
    </row>
    <row r="82220" ht="15.75" customHeight="1">
      <c r="A82220" s="7"/>
      <c r="B82220" s="7"/>
    </row>
    <row r="82221" ht="15.75" customHeight="1">
      <c r="A82221" s="7"/>
      <c r="B82221" s="7"/>
    </row>
    <row r="82222" ht="15.75" customHeight="1">
      <c r="A82222" s="7"/>
      <c r="B82222" s="7"/>
    </row>
    <row r="82223" ht="15.75" customHeight="1">
      <c r="A82223" s="7"/>
      <c r="B82223" s="7"/>
    </row>
    <row r="82224" ht="15.75" customHeight="1">
      <c r="A82224" s="7"/>
      <c r="B82224" s="7"/>
    </row>
    <row r="82225" ht="15.75" customHeight="1">
      <c r="A82225" s="7"/>
      <c r="B82225" s="7"/>
    </row>
    <row r="82226" ht="15.75" customHeight="1">
      <c r="A82226" s="7"/>
      <c r="B82226" s="7"/>
    </row>
    <row r="82227" ht="15.75" customHeight="1">
      <c r="A82227" s="7"/>
      <c r="B82227" s="7"/>
    </row>
    <row r="82228" ht="15.75" customHeight="1">
      <c r="A82228" s="7"/>
      <c r="B82228" s="7"/>
    </row>
    <row r="82229" ht="15.75" customHeight="1">
      <c r="A82229" s="7"/>
      <c r="B82229" s="7"/>
    </row>
    <row r="82230" ht="15.75" customHeight="1">
      <c r="A82230" s="7"/>
      <c r="B82230" s="7"/>
    </row>
    <row r="82231" ht="15.75" customHeight="1">
      <c r="A82231" s="7"/>
      <c r="B82231" s="7"/>
    </row>
    <row r="82232" ht="15.75" customHeight="1">
      <c r="A82232" s="7"/>
      <c r="B82232" s="7"/>
    </row>
    <row r="82233" ht="15.75" customHeight="1">
      <c r="A82233" s="7"/>
      <c r="B82233" s="7"/>
    </row>
    <row r="82234" ht="15.75" customHeight="1">
      <c r="A82234" s="7"/>
      <c r="B82234" s="7"/>
    </row>
    <row r="82235" ht="15.75" customHeight="1">
      <c r="A82235" s="7"/>
      <c r="B82235" s="7"/>
    </row>
    <row r="82236" ht="15.75" customHeight="1">
      <c r="A82236" s="7"/>
      <c r="B82236" s="7"/>
    </row>
    <row r="82237" ht="15.75" customHeight="1">
      <c r="A82237" s="7"/>
      <c r="B82237" s="7"/>
    </row>
    <row r="82238" ht="15.75" customHeight="1">
      <c r="A82238" s="7"/>
      <c r="B82238" s="7"/>
    </row>
    <row r="82239" ht="15.75" customHeight="1">
      <c r="A82239" s="7"/>
      <c r="B82239" s="7"/>
    </row>
    <row r="82240" ht="15.75" customHeight="1">
      <c r="A82240" s="7"/>
      <c r="B82240" s="7"/>
    </row>
    <row r="82241" ht="15.75" customHeight="1">
      <c r="A82241" s="7"/>
      <c r="B82241" s="7"/>
    </row>
    <row r="82242" ht="15.75" customHeight="1">
      <c r="A82242" s="7"/>
      <c r="B82242" s="7"/>
    </row>
    <row r="82243" ht="15.75" customHeight="1">
      <c r="A82243" s="7"/>
      <c r="B82243" s="7"/>
    </row>
    <row r="82244" ht="15.75" customHeight="1">
      <c r="A82244" s="7"/>
      <c r="B82244" s="7"/>
    </row>
    <row r="82245" ht="15.75" customHeight="1">
      <c r="A82245" s="7"/>
      <c r="B82245" s="7"/>
    </row>
    <row r="82246" ht="15.75" customHeight="1">
      <c r="A82246" s="7"/>
      <c r="B82246" s="7"/>
    </row>
    <row r="82247" ht="15.75" customHeight="1">
      <c r="A82247" s="7"/>
      <c r="B82247" s="7"/>
    </row>
    <row r="82248" ht="15.75" customHeight="1">
      <c r="A82248" s="7"/>
      <c r="B82248" s="7"/>
    </row>
    <row r="82249" ht="15.75" customHeight="1">
      <c r="A82249" s="7"/>
      <c r="B82249" s="7"/>
    </row>
    <row r="82250" ht="15.75" customHeight="1">
      <c r="A82250" s="7"/>
      <c r="B82250" s="7"/>
    </row>
    <row r="82251" ht="15.75" customHeight="1">
      <c r="A82251" s="7"/>
      <c r="B82251" s="7"/>
    </row>
    <row r="82252" ht="15.75" customHeight="1">
      <c r="A82252" s="7"/>
      <c r="B82252" s="7"/>
    </row>
    <row r="82253" ht="15.75" customHeight="1">
      <c r="A82253" s="7"/>
      <c r="B82253" s="7"/>
    </row>
    <row r="82254" ht="15.75" customHeight="1">
      <c r="A82254" s="7"/>
      <c r="B82254" s="7"/>
    </row>
    <row r="82255" ht="15.75" customHeight="1">
      <c r="A82255" s="7"/>
      <c r="B82255" s="7"/>
    </row>
    <row r="82256" ht="15.75" customHeight="1">
      <c r="A82256" s="7"/>
      <c r="B82256" s="7"/>
    </row>
    <row r="82257" ht="15.75" customHeight="1">
      <c r="A82257" s="7"/>
      <c r="B82257" s="7"/>
    </row>
    <row r="82258" ht="15.75" customHeight="1">
      <c r="A82258" s="7"/>
      <c r="B82258" s="7"/>
    </row>
    <row r="82259" ht="15.75" customHeight="1">
      <c r="A82259" s="7"/>
      <c r="B82259" s="7"/>
    </row>
    <row r="82260" ht="15.75" customHeight="1">
      <c r="A82260" s="7"/>
      <c r="B82260" s="7"/>
    </row>
    <row r="82261" ht="15.75" customHeight="1">
      <c r="A82261" s="7"/>
      <c r="B82261" s="7"/>
    </row>
    <row r="82262" ht="15.75" customHeight="1">
      <c r="A82262" s="7"/>
      <c r="B82262" s="7"/>
    </row>
    <row r="82263" ht="15.75" customHeight="1">
      <c r="A82263" s="7"/>
      <c r="B82263" s="7"/>
    </row>
    <row r="82264" ht="15.75" customHeight="1">
      <c r="A82264" s="7"/>
      <c r="B82264" s="7"/>
    </row>
    <row r="82265" ht="15.75" customHeight="1">
      <c r="A82265" s="7"/>
      <c r="B82265" s="7"/>
    </row>
    <row r="82266" ht="15.75" customHeight="1">
      <c r="A82266" s="7"/>
      <c r="B82266" s="7"/>
    </row>
    <row r="82267" ht="15.75" customHeight="1">
      <c r="A82267" s="7"/>
      <c r="B82267" s="7"/>
    </row>
    <row r="82268" ht="15.75" customHeight="1">
      <c r="A82268" s="7"/>
      <c r="B82268" s="7"/>
    </row>
    <row r="82269" ht="15.75" customHeight="1">
      <c r="A82269" s="7"/>
      <c r="B82269" s="7"/>
    </row>
    <row r="82270" ht="15.75" customHeight="1">
      <c r="A82270" s="7"/>
      <c r="B82270" s="7"/>
    </row>
    <row r="82271" ht="15.75" customHeight="1">
      <c r="A82271" s="7"/>
      <c r="B82271" s="7"/>
    </row>
    <row r="82272" ht="15.75" customHeight="1">
      <c r="A82272" s="7"/>
      <c r="B82272" s="7"/>
    </row>
    <row r="82273" ht="15.75" customHeight="1">
      <c r="A82273" s="7"/>
      <c r="B82273" s="7"/>
    </row>
    <row r="82274" ht="15.75" customHeight="1">
      <c r="A82274" s="7"/>
      <c r="B82274" s="7"/>
    </row>
    <row r="82275" ht="15.75" customHeight="1">
      <c r="A82275" s="7"/>
      <c r="B82275" s="7"/>
    </row>
    <row r="82276" ht="15.75" customHeight="1">
      <c r="A82276" s="7"/>
      <c r="B82276" s="7"/>
    </row>
    <row r="82277" ht="15.75" customHeight="1">
      <c r="A82277" s="7"/>
      <c r="B82277" s="7"/>
    </row>
    <row r="82278" ht="15.75" customHeight="1">
      <c r="A82278" s="7"/>
      <c r="B82278" s="7"/>
    </row>
    <row r="82279" ht="15.75" customHeight="1">
      <c r="A82279" s="7"/>
      <c r="B82279" s="7"/>
    </row>
    <row r="82280" ht="15.75" customHeight="1">
      <c r="A82280" s="7"/>
      <c r="B82280" s="7"/>
    </row>
    <row r="82281" ht="15.75" customHeight="1">
      <c r="A82281" s="7"/>
      <c r="B82281" s="7"/>
    </row>
    <row r="82282" ht="15.75" customHeight="1">
      <c r="A82282" s="7"/>
      <c r="B82282" s="7"/>
    </row>
    <row r="82283" ht="15.75" customHeight="1">
      <c r="A82283" s="7"/>
      <c r="B82283" s="7"/>
    </row>
    <row r="82284" ht="15.75" customHeight="1">
      <c r="A82284" s="7"/>
      <c r="B82284" s="7"/>
    </row>
    <row r="82285" ht="15.75" customHeight="1">
      <c r="A82285" s="7"/>
      <c r="B82285" s="7"/>
    </row>
    <row r="82286" ht="15.75" customHeight="1">
      <c r="A82286" s="7"/>
      <c r="B82286" s="7"/>
    </row>
    <row r="82287" ht="15.75" customHeight="1">
      <c r="A82287" s="7"/>
      <c r="B82287" s="7"/>
    </row>
    <row r="82288" ht="15.75" customHeight="1">
      <c r="A82288" s="7"/>
      <c r="B82288" s="7"/>
    </row>
    <row r="82289" ht="15.75" customHeight="1">
      <c r="A82289" s="7"/>
      <c r="B82289" s="7"/>
    </row>
    <row r="82290" ht="15.75" customHeight="1">
      <c r="A82290" s="7"/>
      <c r="B82290" s="7"/>
    </row>
    <row r="82291" ht="15.75" customHeight="1">
      <c r="A82291" s="7"/>
      <c r="B82291" s="7"/>
    </row>
    <row r="82292" ht="15.75" customHeight="1">
      <c r="A82292" s="7"/>
      <c r="B82292" s="7"/>
    </row>
    <row r="82293" ht="15.75" customHeight="1">
      <c r="A82293" s="7"/>
      <c r="B82293" s="7"/>
    </row>
    <row r="82294" ht="15.75" customHeight="1">
      <c r="A82294" s="7"/>
      <c r="B82294" s="7"/>
    </row>
    <row r="82295" ht="15.75" customHeight="1">
      <c r="A82295" s="7"/>
      <c r="B82295" s="7"/>
    </row>
    <row r="82296" ht="15.75" customHeight="1">
      <c r="A82296" s="7"/>
      <c r="B82296" s="7"/>
    </row>
    <row r="82297" ht="15.75" customHeight="1">
      <c r="A82297" s="7"/>
      <c r="B82297" s="7"/>
    </row>
    <row r="82298" ht="15.75" customHeight="1">
      <c r="A82298" s="7"/>
      <c r="B82298" s="7"/>
    </row>
    <row r="82299" ht="15.75" customHeight="1">
      <c r="A82299" s="7"/>
      <c r="B82299" s="7"/>
    </row>
    <row r="82300" ht="15.75" customHeight="1">
      <c r="A82300" s="7"/>
      <c r="B82300" s="7"/>
    </row>
    <row r="82301" ht="15.75" customHeight="1">
      <c r="A82301" s="7"/>
      <c r="B82301" s="7"/>
    </row>
    <row r="82302" ht="15.75" customHeight="1">
      <c r="A82302" s="7"/>
      <c r="B82302" s="7"/>
    </row>
    <row r="82303" ht="15.75" customHeight="1">
      <c r="A82303" s="7"/>
      <c r="B82303" s="7"/>
    </row>
    <row r="82304" ht="15.75" customHeight="1">
      <c r="A82304" s="7"/>
      <c r="B82304" s="7"/>
    </row>
    <row r="82305" ht="15.75" customHeight="1">
      <c r="A82305" s="7"/>
      <c r="B82305" s="7"/>
    </row>
    <row r="82306" ht="15.75" customHeight="1">
      <c r="A82306" s="7"/>
      <c r="B82306" s="7"/>
    </row>
    <row r="82307" ht="15.75" customHeight="1">
      <c r="A82307" s="7"/>
      <c r="B82307" s="7"/>
    </row>
    <row r="82308" ht="15.75" customHeight="1">
      <c r="A82308" s="7"/>
      <c r="B82308" s="7"/>
    </row>
    <row r="82309" ht="15.75" customHeight="1">
      <c r="A82309" s="7"/>
      <c r="B82309" s="7"/>
    </row>
    <row r="82310" ht="15.75" customHeight="1">
      <c r="A82310" s="7"/>
      <c r="B82310" s="7"/>
    </row>
    <row r="82311" ht="15.75" customHeight="1">
      <c r="A82311" s="7"/>
      <c r="B82311" s="7"/>
    </row>
    <row r="82312" ht="15.75" customHeight="1">
      <c r="A82312" s="7"/>
      <c r="B82312" s="7"/>
    </row>
    <row r="82313" ht="15.75" customHeight="1">
      <c r="A82313" s="7"/>
      <c r="B82313" s="7"/>
    </row>
    <row r="82314" ht="15.75" customHeight="1">
      <c r="A82314" s="7"/>
      <c r="B82314" s="7"/>
    </row>
    <row r="82315" ht="15.75" customHeight="1">
      <c r="A82315" s="7"/>
      <c r="B82315" s="7"/>
    </row>
    <row r="82316" ht="15.75" customHeight="1">
      <c r="A82316" s="7"/>
      <c r="B82316" s="7"/>
    </row>
    <row r="82317" ht="15.75" customHeight="1">
      <c r="A82317" s="7"/>
      <c r="B82317" s="7"/>
    </row>
    <row r="82318" ht="15.75" customHeight="1">
      <c r="A82318" s="7"/>
      <c r="B82318" s="7"/>
    </row>
    <row r="82319" ht="15.75" customHeight="1">
      <c r="A82319" s="7"/>
      <c r="B82319" s="7"/>
    </row>
    <row r="82320" ht="15.75" customHeight="1">
      <c r="A82320" s="7"/>
      <c r="B82320" s="7"/>
    </row>
    <row r="82321" ht="15.75" customHeight="1">
      <c r="A82321" s="7"/>
      <c r="B82321" s="7"/>
    </row>
    <row r="82322" ht="15.75" customHeight="1">
      <c r="A82322" s="7"/>
      <c r="B82322" s="7"/>
    </row>
    <row r="82323" ht="15.75" customHeight="1">
      <c r="A82323" s="7"/>
      <c r="B82323" s="7"/>
    </row>
    <row r="82324" ht="15.75" customHeight="1">
      <c r="A82324" s="7"/>
      <c r="B82324" s="7"/>
    </row>
    <row r="82325" ht="15.75" customHeight="1">
      <c r="A82325" s="7"/>
      <c r="B82325" s="7"/>
    </row>
    <row r="82326" ht="15.75" customHeight="1">
      <c r="A82326" s="7"/>
      <c r="B82326" s="7"/>
    </row>
    <row r="82327" ht="15.75" customHeight="1">
      <c r="A82327" s="7"/>
      <c r="B82327" s="7"/>
    </row>
    <row r="82328" ht="15.75" customHeight="1">
      <c r="A82328" s="7"/>
      <c r="B82328" s="7"/>
    </row>
    <row r="82329" ht="15.75" customHeight="1">
      <c r="A82329" s="7"/>
      <c r="B82329" s="7"/>
    </row>
    <row r="82330" ht="15.75" customHeight="1">
      <c r="A82330" s="7"/>
      <c r="B82330" s="7"/>
    </row>
    <row r="82331" ht="15.75" customHeight="1">
      <c r="A82331" s="7"/>
      <c r="B82331" s="7"/>
    </row>
    <row r="82332" ht="15.75" customHeight="1">
      <c r="A82332" s="7"/>
      <c r="B82332" s="7"/>
    </row>
    <row r="82333" ht="15.75" customHeight="1">
      <c r="A82333" s="7"/>
      <c r="B82333" s="7"/>
    </row>
    <row r="82334" ht="15.75" customHeight="1">
      <c r="A82334" s="7"/>
      <c r="B82334" s="7"/>
    </row>
    <row r="82335" ht="15.75" customHeight="1">
      <c r="A82335" s="7"/>
      <c r="B82335" s="7"/>
    </row>
    <row r="82336" ht="15.75" customHeight="1">
      <c r="A82336" s="7"/>
      <c r="B82336" s="7"/>
    </row>
    <row r="82337" ht="15.75" customHeight="1">
      <c r="A82337" s="7"/>
      <c r="B82337" s="7"/>
    </row>
    <row r="82338" ht="15.75" customHeight="1">
      <c r="A82338" s="7"/>
      <c r="B82338" s="7"/>
    </row>
    <row r="82339" ht="15.75" customHeight="1">
      <c r="A82339" s="7"/>
      <c r="B82339" s="7"/>
    </row>
    <row r="82340" ht="15.75" customHeight="1">
      <c r="A82340" s="7"/>
      <c r="B82340" s="7"/>
    </row>
    <row r="82341" ht="15.75" customHeight="1">
      <c r="A82341" s="7"/>
      <c r="B82341" s="7"/>
    </row>
    <row r="82342" ht="15.75" customHeight="1">
      <c r="A82342" s="7"/>
      <c r="B82342" s="7"/>
    </row>
    <row r="82343" ht="15.75" customHeight="1">
      <c r="A82343" s="7"/>
      <c r="B82343" s="7"/>
    </row>
    <row r="82344" ht="15.75" customHeight="1">
      <c r="A82344" s="7"/>
      <c r="B82344" s="7"/>
    </row>
    <row r="82345" ht="15.75" customHeight="1">
      <c r="A82345" s="7"/>
      <c r="B82345" s="7"/>
    </row>
    <row r="82346" ht="15.75" customHeight="1">
      <c r="A82346" s="7"/>
      <c r="B82346" s="7"/>
    </row>
    <row r="82347" ht="15.75" customHeight="1">
      <c r="A82347" s="7"/>
      <c r="B82347" s="7"/>
    </row>
    <row r="82348" ht="15.75" customHeight="1">
      <c r="A82348" s="7"/>
      <c r="B82348" s="7"/>
    </row>
    <row r="82349" ht="15.75" customHeight="1">
      <c r="A82349" s="7"/>
      <c r="B82349" s="7"/>
    </row>
    <row r="82350" ht="15.75" customHeight="1">
      <c r="A82350" s="7"/>
      <c r="B82350" s="7"/>
    </row>
    <row r="82351" ht="15.75" customHeight="1">
      <c r="A82351" s="7"/>
      <c r="B82351" s="7"/>
    </row>
    <row r="82352" ht="15.75" customHeight="1">
      <c r="A82352" s="7"/>
      <c r="B82352" s="7"/>
    </row>
    <row r="82353" ht="15.75" customHeight="1">
      <c r="A82353" s="7"/>
      <c r="B82353" s="7"/>
    </row>
    <row r="82354" ht="15.75" customHeight="1">
      <c r="A82354" s="7"/>
      <c r="B82354" s="7"/>
    </row>
    <row r="82355" ht="15.75" customHeight="1">
      <c r="A82355" s="7"/>
      <c r="B82355" s="7"/>
    </row>
    <row r="82356" ht="15.75" customHeight="1">
      <c r="A82356" s="7"/>
      <c r="B82356" s="7"/>
    </row>
    <row r="82357" ht="15.75" customHeight="1">
      <c r="A82357" s="7"/>
      <c r="B82357" s="7"/>
    </row>
    <row r="82358" ht="15.75" customHeight="1">
      <c r="A82358" s="7"/>
      <c r="B82358" s="7"/>
    </row>
    <row r="82359" ht="15.75" customHeight="1">
      <c r="A82359" s="7"/>
      <c r="B82359" s="7"/>
    </row>
    <row r="82360" ht="15.75" customHeight="1">
      <c r="A82360" s="7"/>
      <c r="B82360" s="7"/>
    </row>
    <row r="82361" ht="15.75" customHeight="1">
      <c r="A82361" s="7"/>
      <c r="B82361" s="7"/>
    </row>
    <row r="82362" ht="15.75" customHeight="1">
      <c r="A82362" s="7"/>
      <c r="B82362" s="7"/>
    </row>
    <row r="82363" ht="15.75" customHeight="1">
      <c r="A82363" s="7"/>
      <c r="B82363" s="7"/>
    </row>
    <row r="82364" ht="15.75" customHeight="1">
      <c r="A82364" s="7"/>
      <c r="B82364" s="7"/>
    </row>
    <row r="82365" ht="15.75" customHeight="1">
      <c r="A82365" s="7"/>
      <c r="B82365" s="7"/>
    </row>
    <row r="82366" ht="15.75" customHeight="1">
      <c r="A82366" s="7"/>
      <c r="B82366" s="7"/>
    </row>
    <row r="82367" ht="15.75" customHeight="1">
      <c r="A82367" s="7"/>
      <c r="B82367" s="7"/>
    </row>
    <row r="82368" ht="15.75" customHeight="1">
      <c r="A82368" s="7"/>
      <c r="B82368" s="7"/>
    </row>
    <row r="82369" ht="15.75" customHeight="1">
      <c r="A82369" s="7"/>
      <c r="B82369" s="7"/>
    </row>
    <row r="82370" ht="15.75" customHeight="1">
      <c r="A82370" s="7"/>
      <c r="B82370" s="7"/>
    </row>
    <row r="82371" ht="15.75" customHeight="1">
      <c r="A82371" s="7"/>
      <c r="B82371" s="7"/>
    </row>
    <row r="82372" ht="15.75" customHeight="1">
      <c r="A82372" s="7"/>
      <c r="B82372" s="7"/>
    </row>
    <row r="82373" ht="15.75" customHeight="1">
      <c r="A82373" s="7"/>
      <c r="B82373" s="7"/>
    </row>
    <row r="82374" ht="15.75" customHeight="1">
      <c r="A82374" s="7"/>
      <c r="B82374" s="7"/>
    </row>
    <row r="82375" ht="15.75" customHeight="1">
      <c r="A82375" s="7"/>
      <c r="B82375" s="7"/>
    </row>
    <row r="82376" ht="15.75" customHeight="1">
      <c r="A82376" s="7"/>
      <c r="B82376" s="7"/>
    </row>
    <row r="82377" ht="15.75" customHeight="1">
      <c r="A82377" s="7"/>
      <c r="B82377" s="7"/>
    </row>
    <row r="82378" ht="15.75" customHeight="1">
      <c r="A82378" s="7"/>
      <c r="B82378" s="7"/>
    </row>
    <row r="82379" ht="15.75" customHeight="1">
      <c r="A82379" s="7"/>
      <c r="B82379" s="7"/>
    </row>
    <row r="82380" ht="15.75" customHeight="1">
      <c r="A82380" s="7"/>
      <c r="B82380" s="7"/>
    </row>
    <row r="82381" ht="15.75" customHeight="1">
      <c r="A82381" s="7"/>
      <c r="B82381" s="7"/>
    </row>
    <row r="82382" ht="15.75" customHeight="1">
      <c r="A82382" s="7"/>
      <c r="B82382" s="7"/>
    </row>
    <row r="82383" ht="15.75" customHeight="1">
      <c r="A82383" s="7"/>
      <c r="B82383" s="7"/>
    </row>
    <row r="82384" ht="15.75" customHeight="1">
      <c r="A82384" s="7"/>
      <c r="B82384" s="7"/>
    </row>
    <row r="82385" ht="15.75" customHeight="1">
      <c r="A82385" s="7"/>
      <c r="B82385" s="7"/>
    </row>
    <row r="82386" ht="15.75" customHeight="1">
      <c r="A82386" s="7"/>
      <c r="B82386" s="7"/>
    </row>
    <row r="82387" ht="15.75" customHeight="1">
      <c r="A82387" s="7"/>
      <c r="B82387" s="7"/>
    </row>
    <row r="82388" ht="15.75" customHeight="1">
      <c r="A82388" s="7"/>
      <c r="B82388" s="7"/>
    </row>
    <row r="82389" ht="15.75" customHeight="1">
      <c r="A82389" s="7"/>
      <c r="B82389" s="7"/>
    </row>
    <row r="82390" ht="15.75" customHeight="1">
      <c r="A82390" s="7"/>
      <c r="B82390" s="7"/>
    </row>
    <row r="82391" ht="15.75" customHeight="1">
      <c r="A82391" s="7"/>
      <c r="B82391" s="7"/>
    </row>
    <row r="82392" ht="15.75" customHeight="1">
      <c r="A82392" s="7"/>
      <c r="B82392" s="7"/>
    </row>
    <row r="82393" ht="15.75" customHeight="1">
      <c r="A82393" s="7"/>
      <c r="B82393" s="7"/>
    </row>
    <row r="82394" ht="15.75" customHeight="1">
      <c r="A82394" s="7"/>
      <c r="B82394" s="7"/>
    </row>
    <row r="82395" ht="15.75" customHeight="1">
      <c r="A82395" s="7"/>
      <c r="B82395" s="7"/>
    </row>
    <row r="82396" ht="15.75" customHeight="1">
      <c r="A82396" s="7"/>
      <c r="B82396" s="7"/>
    </row>
    <row r="82397" ht="15.75" customHeight="1">
      <c r="A82397" s="7"/>
      <c r="B82397" s="7"/>
    </row>
    <row r="82398" ht="15.75" customHeight="1">
      <c r="A82398" s="7"/>
      <c r="B82398" s="7"/>
    </row>
    <row r="82399" ht="15.75" customHeight="1">
      <c r="A82399" s="7"/>
      <c r="B82399" s="7"/>
    </row>
    <row r="82400" ht="15.75" customHeight="1">
      <c r="A82400" s="7"/>
      <c r="B82400" s="7"/>
    </row>
    <row r="82401" ht="15.75" customHeight="1">
      <c r="A82401" s="7"/>
      <c r="B82401" s="7"/>
    </row>
    <row r="82402" ht="15.75" customHeight="1">
      <c r="A82402" s="7"/>
      <c r="B82402" s="7"/>
    </row>
    <row r="82403" ht="15.75" customHeight="1">
      <c r="A82403" s="7"/>
      <c r="B82403" s="7"/>
    </row>
    <row r="82404" ht="15.75" customHeight="1">
      <c r="A82404" s="7"/>
      <c r="B82404" s="7"/>
    </row>
    <row r="82405" ht="15.75" customHeight="1">
      <c r="A82405" s="7"/>
      <c r="B82405" s="7"/>
    </row>
    <row r="82406" ht="15.75" customHeight="1">
      <c r="A82406" s="7"/>
      <c r="B82406" s="7"/>
    </row>
    <row r="82407" ht="15.75" customHeight="1">
      <c r="A82407" s="7"/>
      <c r="B82407" s="7"/>
    </row>
    <row r="82408" ht="15.75" customHeight="1">
      <c r="A82408" s="7"/>
      <c r="B82408" s="7"/>
    </row>
    <row r="82409" ht="15.75" customHeight="1">
      <c r="A82409" s="7"/>
      <c r="B82409" s="7"/>
    </row>
    <row r="82410" ht="15.75" customHeight="1">
      <c r="A82410" s="7"/>
      <c r="B82410" s="7"/>
    </row>
    <row r="82411" ht="15.75" customHeight="1">
      <c r="A82411" s="7"/>
      <c r="B82411" s="7"/>
    </row>
    <row r="82412" ht="15.75" customHeight="1">
      <c r="A82412" s="7"/>
      <c r="B82412" s="7"/>
    </row>
    <row r="82413" ht="15.75" customHeight="1">
      <c r="A82413" s="7"/>
      <c r="B82413" s="7"/>
    </row>
    <row r="82414" ht="15.75" customHeight="1">
      <c r="A82414" s="7"/>
      <c r="B82414" s="7"/>
    </row>
    <row r="82415" ht="15.75" customHeight="1">
      <c r="A82415" s="7"/>
      <c r="B82415" s="7"/>
    </row>
    <row r="82416" ht="15.75" customHeight="1">
      <c r="A82416" s="7"/>
      <c r="B82416" s="7"/>
    </row>
    <row r="82417" ht="15.75" customHeight="1">
      <c r="A82417" s="7"/>
      <c r="B82417" s="7"/>
    </row>
    <row r="82418" ht="15.75" customHeight="1">
      <c r="A82418" s="7"/>
      <c r="B82418" s="7"/>
    </row>
    <row r="82419" ht="15.75" customHeight="1">
      <c r="A82419" s="7"/>
      <c r="B82419" s="7"/>
    </row>
    <row r="82420" ht="15.75" customHeight="1">
      <c r="A82420" s="7"/>
      <c r="B82420" s="7"/>
    </row>
    <row r="82421" ht="15.75" customHeight="1">
      <c r="A82421" s="7"/>
      <c r="B82421" s="7"/>
    </row>
    <row r="82422" ht="15.75" customHeight="1">
      <c r="A82422" s="7"/>
      <c r="B82422" s="7"/>
    </row>
    <row r="82423" ht="15.75" customHeight="1">
      <c r="A82423" s="7"/>
      <c r="B82423" s="7"/>
    </row>
    <row r="82424" ht="15.75" customHeight="1">
      <c r="A82424" s="7"/>
      <c r="B82424" s="7"/>
    </row>
    <row r="82425" ht="15.75" customHeight="1">
      <c r="A82425" s="7"/>
      <c r="B82425" s="7"/>
    </row>
    <row r="82426" ht="15.75" customHeight="1">
      <c r="A82426" s="7"/>
      <c r="B82426" s="7"/>
    </row>
    <row r="82427" ht="15.75" customHeight="1">
      <c r="A82427" s="7"/>
      <c r="B82427" s="7"/>
    </row>
    <row r="82428" ht="15.75" customHeight="1">
      <c r="A82428" s="7"/>
      <c r="B82428" s="7"/>
    </row>
    <row r="82429" ht="15.75" customHeight="1">
      <c r="A82429" s="7"/>
      <c r="B82429" s="7"/>
    </row>
    <row r="82430" ht="15.75" customHeight="1">
      <c r="A82430" s="7"/>
      <c r="B82430" s="7"/>
    </row>
    <row r="82431" ht="15.75" customHeight="1">
      <c r="A82431" s="7"/>
      <c r="B82431" s="7"/>
    </row>
    <row r="82432" ht="15.75" customHeight="1">
      <c r="A82432" s="7"/>
      <c r="B82432" s="7"/>
    </row>
    <row r="82433" ht="15.75" customHeight="1">
      <c r="A82433" s="7"/>
      <c r="B82433" s="7"/>
    </row>
    <row r="82434" ht="15.75" customHeight="1">
      <c r="A82434" s="7"/>
      <c r="B82434" s="7"/>
    </row>
    <row r="82435" ht="15.75" customHeight="1">
      <c r="A82435" s="7"/>
      <c r="B82435" s="7"/>
    </row>
    <row r="82436" ht="15.75" customHeight="1">
      <c r="A82436" s="7"/>
      <c r="B82436" s="7"/>
    </row>
    <row r="82437" ht="15.75" customHeight="1">
      <c r="A82437" s="7"/>
      <c r="B82437" s="7"/>
    </row>
    <row r="82438" ht="15.75" customHeight="1">
      <c r="A82438" s="7"/>
      <c r="B82438" s="7"/>
    </row>
    <row r="82439" ht="15.75" customHeight="1">
      <c r="A82439" s="7"/>
      <c r="B82439" s="7"/>
    </row>
    <row r="82440" ht="15.75" customHeight="1">
      <c r="A82440" s="7"/>
      <c r="B82440" s="7"/>
    </row>
    <row r="82441" ht="15.75" customHeight="1">
      <c r="A82441" s="7"/>
      <c r="B82441" s="7"/>
    </row>
    <row r="82442" ht="15.75" customHeight="1">
      <c r="A82442" s="7"/>
      <c r="B82442" s="7"/>
    </row>
    <row r="82443" ht="15.75" customHeight="1">
      <c r="A82443" s="7"/>
      <c r="B82443" s="7"/>
    </row>
    <row r="82444" ht="15.75" customHeight="1">
      <c r="A82444" s="7"/>
      <c r="B82444" s="7"/>
    </row>
    <row r="82445" ht="15.75" customHeight="1">
      <c r="A82445" s="7"/>
      <c r="B82445" s="7"/>
    </row>
    <row r="82446" ht="15.75" customHeight="1">
      <c r="A82446" s="7"/>
      <c r="B82446" s="7"/>
    </row>
    <row r="82447" ht="15.75" customHeight="1">
      <c r="A82447" s="7"/>
      <c r="B82447" s="7"/>
    </row>
    <row r="82448" ht="15.75" customHeight="1">
      <c r="A82448" s="7"/>
      <c r="B82448" s="7"/>
    </row>
    <row r="82449" ht="15.75" customHeight="1">
      <c r="A82449" s="7"/>
      <c r="B82449" s="7"/>
    </row>
    <row r="82450" ht="15.75" customHeight="1">
      <c r="A82450" s="7"/>
      <c r="B82450" s="7"/>
    </row>
    <row r="82451" ht="15.75" customHeight="1">
      <c r="A82451" s="7"/>
      <c r="B82451" s="7"/>
    </row>
    <row r="82452" ht="15.75" customHeight="1">
      <c r="A82452" s="7"/>
      <c r="B82452" s="7"/>
    </row>
    <row r="82453" ht="15.75" customHeight="1">
      <c r="A82453" s="7"/>
      <c r="B82453" s="7"/>
    </row>
    <row r="82454" ht="15.75" customHeight="1">
      <c r="A82454" s="7"/>
      <c r="B82454" s="7"/>
    </row>
    <row r="82455" ht="15.75" customHeight="1">
      <c r="A82455" s="7"/>
      <c r="B82455" s="7"/>
    </row>
    <row r="82456" ht="15.75" customHeight="1">
      <c r="A82456" s="7"/>
      <c r="B82456" s="7"/>
    </row>
    <row r="82457" ht="15.75" customHeight="1">
      <c r="A82457" s="7"/>
      <c r="B82457" s="7"/>
    </row>
    <row r="82458" ht="15.75" customHeight="1">
      <c r="A82458" s="7"/>
      <c r="B82458" s="7"/>
    </row>
    <row r="82459" ht="15.75" customHeight="1">
      <c r="A82459" s="7"/>
      <c r="B82459" s="7"/>
    </row>
    <row r="82460" ht="15.75" customHeight="1">
      <c r="A82460" s="7"/>
      <c r="B82460" s="7"/>
    </row>
    <row r="82461" ht="15.75" customHeight="1">
      <c r="A82461" s="7"/>
      <c r="B82461" s="7"/>
    </row>
    <row r="82462" ht="15.75" customHeight="1">
      <c r="A82462" s="7"/>
      <c r="B82462" s="7"/>
    </row>
    <row r="82463" ht="15.75" customHeight="1">
      <c r="A82463" s="7"/>
      <c r="B82463" s="7"/>
    </row>
    <row r="82464" ht="15.75" customHeight="1">
      <c r="A82464" s="7"/>
      <c r="B82464" s="7"/>
    </row>
    <row r="82465" ht="15.75" customHeight="1">
      <c r="A82465" s="7"/>
      <c r="B82465" s="7"/>
    </row>
    <row r="82466" ht="15.75" customHeight="1">
      <c r="A82466" s="7"/>
      <c r="B82466" s="7"/>
    </row>
    <row r="82467" ht="15.75" customHeight="1">
      <c r="A82467" s="7"/>
      <c r="B82467" s="7"/>
    </row>
    <row r="82468" ht="15.75" customHeight="1">
      <c r="A82468" s="7"/>
      <c r="B82468" s="7"/>
    </row>
    <row r="82469" ht="15.75" customHeight="1">
      <c r="A82469" s="7"/>
      <c r="B82469" s="7"/>
    </row>
    <row r="82470" ht="15.75" customHeight="1">
      <c r="A82470" s="7"/>
      <c r="B82470" s="7"/>
    </row>
    <row r="82471" ht="15.75" customHeight="1">
      <c r="A82471" s="7"/>
      <c r="B82471" s="7"/>
    </row>
    <row r="82472" ht="15.75" customHeight="1">
      <c r="A82472" s="7"/>
      <c r="B82472" s="7"/>
    </row>
    <row r="82473" ht="15.75" customHeight="1">
      <c r="A82473" s="7"/>
      <c r="B82473" s="7"/>
    </row>
    <row r="82474" ht="15.75" customHeight="1">
      <c r="A82474" s="7"/>
      <c r="B82474" s="7"/>
    </row>
    <row r="82475" ht="15.75" customHeight="1">
      <c r="A82475" s="7"/>
      <c r="B82475" s="7"/>
    </row>
    <row r="82476" ht="15.75" customHeight="1">
      <c r="A82476" s="7"/>
      <c r="B82476" s="7"/>
    </row>
    <row r="82477" ht="15.75" customHeight="1">
      <c r="A82477" s="7"/>
      <c r="B82477" s="7"/>
    </row>
    <row r="82478" ht="15.75" customHeight="1">
      <c r="A82478" s="7"/>
      <c r="B82478" s="7"/>
    </row>
    <row r="82479" ht="15.75" customHeight="1">
      <c r="A82479" s="7"/>
      <c r="B82479" s="7"/>
    </row>
    <row r="82480" ht="15.75" customHeight="1">
      <c r="A82480" s="7"/>
      <c r="B82480" s="7"/>
    </row>
    <row r="82481" ht="15.75" customHeight="1">
      <c r="A82481" s="7"/>
      <c r="B82481" s="7"/>
    </row>
    <row r="82482" ht="15.75" customHeight="1">
      <c r="A82482" s="7"/>
      <c r="B82482" s="7"/>
    </row>
    <row r="82483" ht="15.75" customHeight="1">
      <c r="A82483" s="7"/>
      <c r="B82483" s="7"/>
    </row>
    <row r="82484" ht="15.75" customHeight="1">
      <c r="A82484" s="7"/>
      <c r="B82484" s="7"/>
    </row>
    <row r="82485" ht="15.75" customHeight="1">
      <c r="A82485" s="7"/>
      <c r="B82485" s="7"/>
    </row>
    <row r="82486" ht="15.75" customHeight="1">
      <c r="A82486" s="7"/>
      <c r="B82486" s="7"/>
    </row>
    <row r="82487" ht="15.75" customHeight="1">
      <c r="A82487" s="7"/>
      <c r="B82487" s="7"/>
    </row>
    <row r="82488" ht="15.75" customHeight="1">
      <c r="A82488" s="7"/>
      <c r="B82488" s="7"/>
    </row>
    <row r="82489" ht="15.75" customHeight="1">
      <c r="A82489" s="7"/>
      <c r="B82489" s="7"/>
    </row>
    <row r="82490" ht="15.75" customHeight="1">
      <c r="A82490" s="7"/>
      <c r="B82490" s="7"/>
    </row>
    <row r="82491" ht="15.75" customHeight="1">
      <c r="A82491" s="7"/>
      <c r="B82491" s="7"/>
    </row>
    <row r="82492" ht="15.75" customHeight="1">
      <c r="A82492" s="7"/>
      <c r="B82492" s="7"/>
    </row>
    <row r="82493" ht="15.75" customHeight="1">
      <c r="A82493" s="7"/>
      <c r="B82493" s="7"/>
    </row>
    <row r="82494" ht="15.75" customHeight="1">
      <c r="A82494" s="7"/>
      <c r="B82494" s="7"/>
    </row>
    <row r="82495" ht="15.75" customHeight="1">
      <c r="A82495" s="7"/>
      <c r="B82495" s="7"/>
    </row>
    <row r="82496" ht="15.75" customHeight="1">
      <c r="A82496" s="7"/>
      <c r="B82496" s="7"/>
    </row>
    <row r="82497" ht="15.75" customHeight="1">
      <c r="A82497" s="7"/>
      <c r="B82497" s="7"/>
    </row>
    <row r="82498" ht="15.75" customHeight="1">
      <c r="A82498" s="7"/>
      <c r="B82498" s="7"/>
    </row>
    <row r="82499" ht="15.75" customHeight="1">
      <c r="A82499" s="7"/>
      <c r="B82499" s="7"/>
    </row>
    <row r="82500" ht="15.75" customHeight="1">
      <c r="A82500" s="7"/>
      <c r="B82500" s="7"/>
    </row>
    <row r="82501" ht="15.75" customHeight="1">
      <c r="A82501" s="7"/>
      <c r="B82501" s="7"/>
    </row>
    <row r="82502" ht="15.75" customHeight="1">
      <c r="A82502" s="7"/>
      <c r="B82502" s="7"/>
    </row>
    <row r="82503" ht="15.75" customHeight="1">
      <c r="A82503" s="7"/>
      <c r="B82503" s="7"/>
    </row>
    <row r="82504" ht="15.75" customHeight="1">
      <c r="A82504" s="7"/>
      <c r="B82504" s="7"/>
    </row>
    <row r="82505" ht="15.75" customHeight="1">
      <c r="A82505" s="7"/>
      <c r="B82505" s="7"/>
    </row>
    <row r="82506" ht="15.75" customHeight="1">
      <c r="A82506" s="7"/>
      <c r="B82506" s="7"/>
    </row>
    <row r="82507" ht="15.75" customHeight="1">
      <c r="A82507" s="7"/>
      <c r="B82507" s="7"/>
    </row>
    <row r="82508" ht="15.75" customHeight="1">
      <c r="A82508" s="7"/>
      <c r="B82508" s="7"/>
    </row>
    <row r="82509" ht="15.75" customHeight="1">
      <c r="A82509" s="7"/>
      <c r="B82509" s="7"/>
    </row>
    <row r="82510" ht="15.75" customHeight="1">
      <c r="A82510" s="7"/>
      <c r="B82510" s="7"/>
    </row>
    <row r="82511" ht="15.75" customHeight="1">
      <c r="A82511" s="7"/>
      <c r="B82511" s="7"/>
    </row>
    <row r="82512" ht="15.75" customHeight="1">
      <c r="A82512" s="7"/>
      <c r="B82512" s="7"/>
    </row>
    <row r="82513" ht="15.75" customHeight="1">
      <c r="A82513" s="7"/>
      <c r="B82513" s="7"/>
    </row>
    <row r="82514" ht="15.75" customHeight="1">
      <c r="A82514" s="7"/>
      <c r="B82514" s="7"/>
    </row>
    <row r="82515" ht="15.75" customHeight="1">
      <c r="A82515" s="7"/>
      <c r="B82515" s="7"/>
    </row>
    <row r="82516" ht="15.75" customHeight="1">
      <c r="A82516" s="7"/>
      <c r="B82516" s="7"/>
    </row>
    <row r="82517" ht="15.75" customHeight="1">
      <c r="A82517" s="7"/>
      <c r="B82517" s="7"/>
    </row>
    <row r="82518" ht="15.75" customHeight="1">
      <c r="A82518" s="7"/>
      <c r="B82518" s="7"/>
    </row>
    <row r="82519" ht="15.75" customHeight="1">
      <c r="A82519" s="7"/>
      <c r="B82519" s="7"/>
    </row>
    <row r="82520" ht="15.75" customHeight="1">
      <c r="A82520" s="7"/>
      <c r="B82520" s="7"/>
    </row>
    <row r="82521" ht="15.75" customHeight="1">
      <c r="A82521" s="7"/>
      <c r="B82521" s="7"/>
    </row>
    <row r="82522" ht="15.75" customHeight="1">
      <c r="A82522" s="7"/>
      <c r="B82522" s="7"/>
    </row>
    <row r="82523" ht="15.75" customHeight="1">
      <c r="A82523" s="7"/>
      <c r="B82523" s="7"/>
    </row>
    <row r="82524" ht="15.75" customHeight="1">
      <c r="A82524" s="7"/>
      <c r="B82524" s="7"/>
    </row>
    <row r="82525" ht="15.75" customHeight="1">
      <c r="A82525" s="7"/>
      <c r="B82525" s="7"/>
    </row>
    <row r="82526" ht="15.75" customHeight="1">
      <c r="A82526" s="7"/>
      <c r="B82526" s="7"/>
    </row>
    <row r="82527" ht="15.75" customHeight="1">
      <c r="A82527" s="7"/>
      <c r="B82527" s="7"/>
    </row>
    <row r="82528" ht="15.75" customHeight="1">
      <c r="A82528" s="7"/>
      <c r="B82528" s="7"/>
    </row>
    <row r="82529" ht="15.75" customHeight="1">
      <c r="A82529" s="7"/>
      <c r="B82529" s="7"/>
    </row>
    <row r="82530" ht="15.75" customHeight="1">
      <c r="A82530" s="7"/>
      <c r="B82530" s="7"/>
    </row>
    <row r="82531" ht="15.75" customHeight="1">
      <c r="A82531" s="7"/>
      <c r="B82531" s="7"/>
    </row>
    <row r="82532" ht="15.75" customHeight="1">
      <c r="A82532" s="7"/>
      <c r="B82532" s="7"/>
    </row>
    <row r="82533" ht="15.75" customHeight="1">
      <c r="A82533" s="7"/>
      <c r="B82533" s="7"/>
    </row>
    <row r="82534" ht="15.75" customHeight="1">
      <c r="A82534" s="7"/>
      <c r="B82534" s="7"/>
    </row>
    <row r="82535" ht="15.75" customHeight="1">
      <c r="A82535" s="7"/>
      <c r="B82535" s="7"/>
    </row>
    <row r="82536" ht="15.75" customHeight="1">
      <c r="A82536" s="7"/>
      <c r="B82536" s="7"/>
    </row>
    <row r="82537" ht="15.75" customHeight="1">
      <c r="A82537" s="7"/>
      <c r="B82537" s="7"/>
    </row>
    <row r="82538" ht="15.75" customHeight="1">
      <c r="A82538" s="7"/>
      <c r="B82538" s="7"/>
    </row>
    <row r="82539" ht="15.75" customHeight="1">
      <c r="A82539" s="7"/>
      <c r="B82539" s="7"/>
    </row>
    <row r="82540" ht="15.75" customHeight="1">
      <c r="A82540" s="7"/>
      <c r="B82540" s="7"/>
    </row>
    <row r="82541" ht="15.75" customHeight="1">
      <c r="A82541" s="7"/>
      <c r="B82541" s="7"/>
    </row>
    <row r="82542" ht="15.75" customHeight="1">
      <c r="A82542" s="7"/>
      <c r="B82542" s="7"/>
    </row>
    <row r="82543" ht="15.75" customHeight="1">
      <c r="A82543" s="7"/>
      <c r="B82543" s="7"/>
    </row>
    <row r="82544" ht="15.75" customHeight="1">
      <c r="A82544" s="7"/>
      <c r="B82544" s="7"/>
    </row>
    <row r="82545" ht="15.75" customHeight="1">
      <c r="A82545" s="7"/>
      <c r="B82545" s="7"/>
    </row>
    <row r="82546" ht="15.75" customHeight="1">
      <c r="A82546" s="7"/>
      <c r="B82546" s="7"/>
    </row>
    <row r="82547" ht="15.75" customHeight="1">
      <c r="A82547" s="7"/>
      <c r="B82547" s="7"/>
    </row>
    <row r="82548" ht="15.75" customHeight="1">
      <c r="A82548" s="7"/>
      <c r="B82548" s="7"/>
    </row>
    <row r="82549" ht="15.75" customHeight="1">
      <c r="A82549" s="7"/>
      <c r="B82549" s="7"/>
    </row>
    <row r="82550" ht="15.75" customHeight="1">
      <c r="A82550" s="7"/>
      <c r="B82550" s="7"/>
    </row>
    <row r="82551" ht="15.75" customHeight="1">
      <c r="A82551" s="7"/>
      <c r="B82551" s="7"/>
    </row>
    <row r="82552" ht="15.75" customHeight="1">
      <c r="A82552" s="7"/>
      <c r="B82552" s="7"/>
    </row>
    <row r="82553" ht="15.75" customHeight="1">
      <c r="A82553" s="7"/>
      <c r="B82553" s="7"/>
    </row>
    <row r="82554" ht="15.75" customHeight="1">
      <c r="A82554" s="7"/>
      <c r="B82554" s="7"/>
    </row>
    <row r="82555" ht="15.75" customHeight="1">
      <c r="A82555" s="7"/>
      <c r="B82555" s="7"/>
    </row>
    <row r="82556" ht="15.75" customHeight="1">
      <c r="A82556" s="7"/>
      <c r="B82556" s="7"/>
    </row>
    <row r="82557" ht="15.75" customHeight="1">
      <c r="A82557" s="7"/>
      <c r="B82557" s="7"/>
    </row>
    <row r="82558" ht="15.75" customHeight="1">
      <c r="A82558" s="7"/>
      <c r="B82558" s="7"/>
    </row>
    <row r="82559" ht="15.75" customHeight="1">
      <c r="A82559" s="7"/>
      <c r="B82559" s="7"/>
    </row>
    <row r="82560" ht="15.75" customHeight="1">
      <c r="A82560" s="7"/>
      <c r="B82560" s="7"/>
    </row>
    <row r="82561" ht="15.75" customHeight="1">
      <c r="A82561" s="7"/>
      <c r="B82561" s="7"/>
    </row>
    <row r="82562" ht="15.75" customHeight="1">
      <c r="A82562" s="7"/>
      <c r="B82562" s="7"/>
    </row>
    <row r="82563" ht="15.75" customHeight="1">
      <c r="A82563" s="7"/>
      <c r="B82563" s="7"/>
    </row>
    <row r="82564" ht="15.75" customHeight="1">
      <c r="A82564" s="7"/>
      <c r="B82564" s="7"/>
    </row>
    <row r="82565" ht="15.75" customHeight="1">
      <c r="A82565" s="7"/>
      <c r="B82565" s="7"/>
    </row>
    <row r="82566" ht="15.75" customHeight="1">
      <c r="A82566" s="7"/>
      <c r="B82566" s="7"/>
    </row>
    <row r="82567" ht="15.75" customHeight="1">
      <c r="A82567" s="7"/>
      <c r="B82567" s="7"/>
    </row>
    <row r="82568" ht="15.75" customHeight="1">
      <c r="A82568" s="7"/>
      <c r="B82568" s="7"/>
    </row>
    <row r="82569" ht="15.75" customHeight="1">
      <c r="A82569" s="7"/>
      <c r="B82569" s="7"/>
    </row>
    <row r="82570" ht="15.75" customHeight="1">
      <c r="A82570" s="7"/>
      <c r="B82570" s="7"/>
    </row>
    <row r="82571" ht="15.75" customHeight="1">
      <c r="A82571" s="7"/>
      <c r="B82571" s="7"/>
    </row>
    <row r="82572" ht="15.75" customHeight="1">
      <c r="A82572" s="7"/>
      <c r="B82572" s="7"/>
    </row>
    <row r="82573" ht="15.75" customHeight="1">
      <c r="A82573" s="7"/>
      <c r="B82573" s="7"/>
    </row>
    <row r="82574" ht="15.75" customHeight="1">
      <c r="A82574" s="7"/>
      <c r="B82574" s="7"/>
    </row>
    <row r="82575" ht="15.75" customHeight="1">
      <c r="A82575" s="7"/>
      <c r="B82575" s="7"/>
    </row>
    <row r="82576" ht="15.75" customHeight="1">
      <c r="A82576" s="7"/>
      <c r="B82576" s="7"/>
    </row>
    <row r="82577" ht="15.75" customHeight="1">
      <c r="A82577" s="7"/>
      <c r="B82577" s="7"/>
    </row>
    <row r="82578" ht="15.75" customHeight="1">
      <c r="A82578" s="7"/>
      <c r="B82578" s="7"/>
    </row>
    <row r="82579" ht="15.75" customHeight="1">
      <c r="A82579" s="7"/>
      <c r="B82579" s="7"/>
    </row>
    <row r="82580" ht="15.75" customHeight="1">
      <c r="A82580" s="7"/>
      <c r="B82580" s="7"/>
    </row>
    <row r="82581" ht="15.75" customHeight="1">
      <c r="A82581" s="7"/>
      <c r="B82581" s="7"/>
    </row>
    <row r="82582" ht="15.75" customHeight="1">
      <c r="A82582" s="7"/>
      <c r="B82582" s="7"/>
    </row>
    <row r="82583" ht="15.75" customHeight="1">
      <c r="A82583" s="7"/>
      <c r="B82583" s="7"/>
    </row>
    <row r="82584" ht="15.75" customHeight="1">
      <c r="A82584" s="7"/>
      <c r="B82584" s="7"/>
    </row>
    <row r="82585" ht="15.75" customHeight="1">
      <c r="A82585" s="7"/>
      <c r="B82585" s="7"/>
    </row>
    <row r="82586" ht="15.75" customHeight="1">
      <c r="A82586" s="7"/>
      <c r="B82586" s="7"/>
    </row>
    <row r="82587" ht="15.75" customHeight="1">
      <c r="A82587" s="7"/>
      <c r="B82587" s="7"/>
    </row>
    <row r="82588" ht="15.75" customHeight="1">
      <c r="A82588" s="7"/>
      <c r="B82588" s="7"/>
    </row>
    <row r="82589" ht="15.75" customHeight="1">
      <c r="A82589" s="7"/>
      <c r="B82589" s="7"/>
    </row>
    <row r="82590" ht="15.75" customHeight="1">
      <c r="A82590" s="7"/>
      <c r="B82590" s="7"/>
    </row>
    <row r="82591" ht="15.75" customHeight="1">
      <c r="A82591" s="7"/>
      <c r="B82591" s="7"/>
    </row>
    <row r="82592" ht="15.75" customHeight="1">
      <c r="A82592" s="7"/>
      <c r="B82592" s="7"/>
    </row>
    <row r="82593" ht="15.75" customHeight="1">
      <c r="A82593" s="7"/>
      <c r="B82593" s="7"/>
    </row>
    <row r="82594" ht="15.75" customHeight="1">
      <c r="A82594" s="7"/>
      <c r="B82594" s="7"/>
    </row>
    <row r="82595" ht="15.75" customHeight="1">
      <c r="A82595" s="7"/>
      <c r="B82595" s="7"/>
    </row>
    <row r="82596" ht="15.75" customHeight="1">
      <c r="A82596" s="7"/>
      <c r="B82596" s="7"/>
    </row>
    <row r="82597" ht="15.75" customHeight="1">
      <c r="A82597" s="7"/>
      <c r="B82597" s="7"/>
    </row>
    <row r="82598" ht="15.75" customHeight="1">
      <c r="A82598" s="7"/>
      <c r="B82598" s="7"/>
    </row>
    <row r="82599" ht="15.75" customHeight="1">
      <c r="A82599" s="7"/>
      <c r="B82599" s="7"/>
    </row>
    <row r="82600" ht="15.75" customHeight="1">
      <c r="A82600" s="7"/>
      <c r="B82600" s="7"/>
    </row>
    <row r="82601" ht="15.75" customHeight="1">
      <c r="A82601" s="7"/>
      <c r="B82601" s="7"/>
    </row>
    <row r="82602" ht="15.75" customHeight="1">
      <c r="A82602" s="7"/>
      <c r="B82602" s="7"/>
    </row>
    <row r="82603" ht="15.75" customHeight="1">
      <c r="A82603" s="7"/>
      <c r="B82603" s="7"/>
    </row>
    <row r="82604" ht="15.75" customHeight="1">
      <c r="A82604" s="7"/>
      <c r="B82604" s="7"/>
    </row>
    <row r="82605" ht="15.75" customHeight="1">
      <c r="A82605" s="7"/>
      <c r="B82605" s="7"/>
    </row>
    <row r="82606" ht="15.75" customHeight="1">
      <c r="A82606" s="7"/>
      <c r="B82606" s="7"/>
    </row>
    <row r="82607" ht="15.75" customHeight="1">
      <c r="A82607" s="7"/>
      <c r="B82607" s="7"/>
    </row>
    <row r="82608" ht="15.75" customHeight="1">
      <c r="A82608" s="7"/>
      <c r="B82608" s="7"/>
    </row>
    <row r="82609" ht="15.75" customHeight="1">
      <c r="A82609" s="7"/>
      <c r="B82609" s="7"/>
    </row>
    <row r="82610" ht="15.75" customHeight="1">
      <c r="A82610" s="7"/>
      <c r="B82610" s="7"/>
    </row>
    <row r="82611" ht="15.75" customHeight="1">
      <c r="A82611" s="7"/>
      <c r="B82611" s="7"/>
    </row>
    <row r="82612" ht="15.75" customHeight="1">
      <c r="A82612" s="7"/>
      <c r="B82612" s="7"/>
    </row>
    <row r="82613" ht="15.75" customHeight="1">
      <c r="A82613" s="7"/>
      <c r="B82613" s="7"/>
    </row>
    <row r="82614" ht="15.75" customHeight="1">
      <c r="A82614" s="7"/>
      <c r="B82614" s="7"/>
    </row>
    <row r="82615" ht="15.75" customHeight="1">
      <c r="A82615" s="7"/>
      <c r="B82615" s="7"/>
    </row>
    <row r="82616" ht="15.75" customHeight="1">
      <c r="A82616" s="7"/>
      <c r="B82616" s="7"/>
    </row>
    <row r="82617" ht="15.75" customHeight="1">
      <c r="A82617" s="7"/>
      <c r="B82617" s="7"/>
    </row>
    <row r="82618" ht="15.75" customHeight="1">
      <c r="A82618" s="7"/>
      <c r="B82618" s="7"/>
    </row>
    <row r="82619" ht="15.75" customHeight="1">
      <c r="A82619" s="7"/>
      <c r="B82619" s="7"/>
    </row>
    <row r="82620" ht="15.75" customHeight="1">
      <c r="A82620" s="7"/>
      <c r="B82620" s="7"/>
    </row>
    <row r="82621" ht="15.75" customHeight="1">
      <c r="A82621" s="7"/>
      <c r="B82621" s="7"/>
    </row>
    <row r="82622" ht="15.75" customHeight="1">
      <c r="A82622" s="7"/>
      <c r="B82622" s="7"/>
    </row>
    <row r="82623" ht="15.75" customHeight="1">
      <c r="A82623" s="7"/>
      <c r="B82623" s="7"/>
    </row>
    <row r="82624" ht="15.75" customHeight="1">
      <c r="A82624" s="7"/>
      <c r="B82624" s="7"/>
    </row>
    <row r="82625" ht="15.75" customHeight="1">
      <c r="A82625" s="7"/>
      <c r="B82625" s="7"/>
    </row>
    <row r="82626" ht="15.75" customHeight="1">
      <c r="A82626" s="7"/>
      <c r="B82626" s="7"/>
    </row>
    <row r="82627" ht="15.75" customHeight="1">
      <c r="A82627" s="7"/>
      <c r="B82627" s="7"/>
    </row>
    <row r="82628" ht="15.75" customHeight="1">
      <c r="A82628" s="7"/>
      <c r="B82628" s="7"/>
    </row>
    <row r="82629" ht="15.75" customHeight="1">
      <c r="A82629" s="7"/>
      <c r="B82629" s="7"/>
    </row>
    <row r="82630" ht="15.75" customHeight="1">
      <c r="A82630" s="7"/>
      <c r="B82630" s="7"/>
    </row>
    <row r="82631" ht="15.75" customHeight="1">
      <c r="A82631" s="7"/>
      <c r="B82631" s="7"/>
    </row>
    <row r="82632" ht="15.75" customHeight="1">
      <c r="A82632" s="7"/>
      <c r="B82632" s="7"/>
    </row>
    <row r="82633" ht="15.75" customHeight="1">
      <c r="A82633" s="7"/>
      <c r="B82633" s="7"/>
    </row>
    <row r="82634" ht="15.75" customHeight="1">
      <c r="A82634" s="7"/>
      <c r="B82634" s="7"/>
    </row>
    <row r="82635" ht="15.75" customHeight="1">
      <c r="A82635" s="7"/>
      <c r="B82635" s="7"/>
    </row>
    <row r="82636" ht="15.75" customHeight="1">
      <c r="A82636" s="7"/>
      <c r="B82636" s="7"/>
    </row>
    <row r="82637" ht="15.75" customHeight="1">
      <c r="A82637" s="7"/>
      <c r="B82637" s="7"/>
    </row>
    <row r="82638" ht="15.75" customHeight="1">
      <c r="A82638" s="7"/>
      <c r="B82638" s="7"/>
    </row>
    <row r="82639" ht="15.75" customHeight="1">
      <c r="A82639" s="7"/>
      <c r="B82639" s="7"/>
    </row>
    <row r="82640" ht="15.75" customHeight="1">
      <c r="A82640" s="7"/>
      <c r="B82640" s="7"/>
    </row>
    <row r="82641" ht="15.75" customHeight="1">
      <c r="A82641" s="7"/>
      <c r="B82641" s="7"/>
    </row>
    <row r="82642" ht="15.75" customHeight="1">
      <c r="A82642" s="7"/>
      <c r="B82642" s="7"/>
    </row>
    <row r="82643" ht="15.75" customHeight="1">
      <c r="A82643" s="7"/>
      <c r="B82643" s="7"/>
    </row>
    <row r="82644" ht="15.75" customHeight="1">
      <c r="A82644" s="7"/>
      <c r="B82644" s="7"/>
    </row>
    <row r="82645" ht="15.75" customHeight="1">
      <c r="A82645" s="7"/>
      <c r="B82645" s="7"/>
    </row>
    <row r="82646" ht="15.75" customHeight="1">
      <c r="A82646" s="7"/>
      <c r="B82646" s="7"/>
    </row>
    <row r="82647" ht="15.75" customHeight="1">
      <c r="A82647" s="7"/>
      <c r="B82647" s="7"/>
    </row>
    <row r="82648" ht="15.75" customHeight="1">
      <c r="A82648" s="7"/>
      <c r="B82648" s="7"/>
    </row>
    <row r="82649" ht="15.75" customHeight="1">
      <c r="A82649" s="7"/>
      <c r="B82649" s="7"/>
    </row>
    <row r="82650" ht="15.75" customHeight="1">
      <c r="A82650" s="7"/>
      <c r="B82650" s="7"/>
    </row>
    <row r="82651" ht="15.75" customHeight="1">
      <c r="A82651" s="7"/>
      <c r="B82651" s="7"/>
    </row>
    <row r="82652" ht="15.75" customHeight="1">
      <c r="A82652" s="7"/>
      <c r="B82652" s="7"/>
    </row>
    <row r="82653" ht="15.75" customHeight="1">
      <c r="A82653" s="7"/>
      <c r="B82653" s="7"/>
    </row>
    <row r="82654" ht="15.75" customHeight="1">
      <c r="A82654" s="7"/>
      <c r="B82654" s="7"/>
    </row>
    <row r="82655" ht="15.75" customHeight="1">
      <c r="A82655" s="7"/>
      <c r="B82655" s="7"/>
    </row>
    <row r="82656" ht="15.75" customHeight="1">
      <c r="A82656" s="7"/>
      <c r="B82656" s="7"/>
    </row>
    <row r="82657" ht="15.75" customHeight="1">
      <c r="A82657" s="7"/>
      <c r="B82657" s="7"/>
    </row>
    <row r="82658" ht="15.75" customHeight="1">
      <c r="A82658" s="7"/>
      <c r="B82658" s="7"/>
    </row>
    <row r="82659" ht="15.75" customHeight="1">
      <c r="A82659" s="7"/>
      <c r="B82659" s="7"/>
    </row>
    <row r="82660" ht="15.75" customHeight="1">
      <c r="A82660" s="7"/>
      <c r="B82660" s="7"/>
    </row>
    <row r="82661" ht="15.75" customHeight="1">
      <c r="A82661" s="7"/>
      <c r="B82661" s="7"/>
    </row>
    <row r="82662" ht="15.75" customHeight="1">
      <c r="A82662" s="7"/>
      <c r="B82662" s="7"/>
    </row>
    <row r="82663" ht="15.75" customHeight="1">
      <c r="A82663" s="7"/>
      <c r="B82663" s="7"/>
    </row>
    <row r="82664" ht="15.75" customHeight="1">
      <c r="A82664" s="7"/>
      <c r="B82664" s="7"/>
    </row>
    <row r="82665" ht="15.75" customHeight="1">
      <c r="A82665" s="7"/>
      <c r="B82665" s="7"/>
    </row>
    <row r="82666" ht="15.75" customHeight="1">
      <c r="A82666" s="7"/>
      <c r="B82666" s="7"/>
    </row>
    <row r="82667" ht="15.75" customHeight="1">
      <c r="A82667" s="7"/>
      <c r="B82667" s="7"/>
    </row>
    <row r="82668" ht="15.75" customHeight="1">
      <c r="A82668" s="7"/>
      <c r="B82668" s="7"/>
    </row>
    <row r="82669" ht="15.75" customHeight="1">
      <c r="A82669" s="7"/>
      <c r="B82669" s="7"/>
    </row>
    <row r="82670" ht="15.75" customHeight="1">
      <c r="A82670" s="7"/>
      <c r="B82670" s="7"/>
    </row>
    <row r="82671" ht="15.75" customHeight="1">
      <c r="A82671" s="7"/>
      <c r="B82671" s="7"/>
    </row>
    <row r="82672" ht="15.75" customHeight="1">
      <c r="A82672" s="7"/>
      <c r="B82672" s="7"/>
    </row>
    <row r="82673" ht="15.75" customHeight="1">
      <c r="A82673" s="7"/>
      <c r="B82673" s="7"/>
    </row>
    <row r="82674" ht="15.75" customHeight="1">
      <c r="A82674" s="7"/>
      <c r="B82674" s="7"/>
    </row>
    <row r="82675" ht="15.75" customHeight="1">
      <c r="A82675" s="7"/>
      <c r="B82675" s="7"/>
    </row>
    <row r="82676" ht="15.75" customHeight="1">
      <c r="A82676" s="7"/>
      <c r="B82676" s="7"/>
    </row>
    <row r="82677" ht="15.75" customHeight="1">
      <c r="A82677" s="7"/>
      <c r="B82677" s="7"/>
    </row>
    <row r="82678" ht="15.75" customHeight="1">
      <c r="A82678" s="7"/>
      <c r="B82678" s="7"/>
    </row>
    <row r="82679" ht="15.75" customHeight="1">
      <c r="A82679" s="7"/>
      <c r="B82679" s="7"/>
    </row>
    <row r="82680" ht="15.75" customHeight="1">
      <c r="A82680" s="7"/>
      <c r="B82680" s="7"/>
    </row>
    <row r="82681" ht="15.75" customHeight="1">
      <c r="A82681" s="7"/>
      <c r="B82681" s="7"/>
    </row>
    <row r="82682" ht="15.75" customHeight="1">
      <c r="A82682" s="7"/>
      <c r="B82682" s="7"/>
    </row>
    <row r="82683" ht="15.75" customHeight="1">
      <c r="A82683" s="7"/>
      <c r="B82683" s="7"/>
    </row>
    <row r="82684" ht="15.75" customHeight="1">
      <c r="A82684" s="7"/>
      <c r="B82684" s="7"/>
    </row>
    <row r="82685" ht="15.75" customHeight="1">
      <c r="A82685" s="7"/>
      <c r="B82685" s="7"/>
    </row>
    <row r="82686" ht="15.75" customHeight="1">
      <c r="A82686" s="7"/>
      <c r="B82686" s="7"/>
    </row>
    <row r="82687" ht="15.75" customHeight="1">
      <c r="A82687" s="7"/>
      <c r="B82687" s="7"/>
    </row>
    <row r="82688" ht="15.75" customHeight="1">
      <c r="A82688" s="7"/>
      <c r="B82688" s="7"/>
    </row>
    <row r="82689" ht="15.75" customHeight="1">
      <c r="A82689" s="7"/>
      <c r="B82689" s="7"/>
    </row>
    <row r="82690" ht="15.75" customHeight="1">
      <c r="A82690" s="7"/>
      <c r="B82690" s="7"/>
    </row>
    <row r="82691" ht="15.75" customHeight="1">
      <c r="A82691" s="7"/>
      <c r="B82691" s="7"/>
    </row>
    <row r="82692" ht="15.75" customHeight="1">
      <c r="A82692" s="7"/>
      <c r="B82692" s="7"/>
    </row>
    <row r="82693" ht="15.75" customHeight="1">
      <c r="A82693" s="7"/>
      <c r="B82693" s="7"/>
    </row>
    <row r="82694" ht="15.75" customHeight="1">
      <c r="A82694" s="7"/>
      <c r="B82694" s="7"/>
    </row>
    <row r="82695" ht="15.75" customHeight="1">
      <c r="A82695" s="7"/>
      <c r="B82695" s="7"/>
    </row>
    <row r="82696" ht="15.75" customHeight="1">
      <c r="A82696" s="7"/>
      <c r="B82696" s="7"/>
    </row>
    <row r="82697" ht="15.75" customHeight="1">
      <c r="A82697" s="7"/>
      <c r="B82697" s="7"/>
    </row>
    <row r="82698" ht="15.75" customHeight="1">
      <c r="A82698" s="7"/>
      <c r="B82698" s="7"/>
    </row>
    <row r="82699" ht="15.75" customHeight="1">
      <c r="A82699" s="7"/>
      <c r="B82699" s="7"/>
    </row>
    <row r="82700" ht="15.75" customHeight="1">
      <c r="A82700" s="7"/>
      <c r="B82700" s="7"/>
    </row>
    <row r="82701" ht="15.75" customHeight="1">
      <c r="A82701" s="7"/>
      <c r="B82701" s="7"/>
    </row>
    <row r="82702" ht="15.75" customHeight="1">
      <c r="A82702" s="7"/>
      <c r="B82702" s="7"/>
    </row>
    <row r="82703" ht="15.75" customHeight="1">
      <c r="A82703" s="7"/>
      <c r="B82703" s="7"/>
    </row>
    <row r="82704" ht="15.75" customHeight="1">
      <c r="A82704" s="7"/>
      <c r="B82704" s="7"/>
    </row>
    <row r="82705" ht="15.75" customHeight="1">
      <c r="A82705" s="7"/>
      <c r="B82705" s="7"/>
    </row>
    <row r="82706" ht="15.75" customHeight="1">
      <c r="A82706" s="7"/>
      <c r="B82706" s="7"/>
    </row>
    <row r="82707" ht="15.75" customHeight="1">
      <c r="A82707" s="7"/>
      <c r="B82707" s="7"/>
    </row>
    <row r="82708" ht="15.75" customHeight="1">
      <c r="A82708" s="7"/>
      <c r="B82708" s="7"/>
    </row>
    <row r="82709" ht="15.75" customHeight="1">
      <c r="A82709" s="7"/>
      <c r="B82709" s="7"/>
    </row>
    <row r="82710" ht="15.75" customHeight="1">
      <c r="A82710" s="7"/>
      <c r="B82710" s="7"/>
    </row>
    <row r="82711" ht="15.75" customHeight="1">
      <c r="A82711" s="7"/>
      <c r="B82711" s="7"/>
    </row>
    <row r="82712" ht="15.75" customHeight="1">
      <c r="A82712" s="7"/>
      <c r="B82712" s="7"/>
    </row>
    <row r="82713" ht="15.75" customHeight="1">
      <c r="A82713" s="7"/>
      <c r="B82713" s="7"/>
    </row>
    <row r="82714" ht="15.75" customHeight="1">
      <c r="A82714" s="7"/>
      <c r="B82714" s="7"/>
    </row>
    <row r="82715" ht="15.75" customHeight="1">
      <c r="A82715" s="7"/>
      <c r="B82715" s="7"/>
    </row>
    <row r="82716" ht="15.75" customHeight="1">
      <c r="A82716" s="7"/>
      <c r="B82716" s="7"/>
    </row>
    <row r="82717" ht="15.75" customHeight="1">
      <c r="A82717" s="7"/>
      <c r="B82717" s="7"/>
    </row>
    <row r="82718" ht="15.75" customHeight="1">
      <c r="A82718" s="7"/>
      <c r="B82718" s="7"/>
    </row>
    <row r="82719" ht="15.75" customHeight="1">
      <c r="A82719" s="7"/>
      <c r="B82719" s="7"/>
    </row>
    <row r="82720" ht="15.75" customHeight="1">
      <c r="A82720" s="7"/>
      <c r="B82720" s="7"/>
    </row>
    <row r="82721" ht="15.75" customHeight="1">
      <c r="A82721" s="7"/>
      <c r="B82721" s="7"/>
    </row>
    <row r="82722" ht="15.75" customHeight="1">
      <c r="A82722" s="7"/>
      <c r="B82722" s="7"/>
    </row>
    <row r="82723" ht="15.75" customHeight="1">
      <c r="A82723" s="7"/>
      <c r="B82723" s="7"/>
    </row>
    <row r="82724" ht="15.75" customHeight="1">
      <c r="A82724" s="7"/>
      <c r="B82724" s="7"/>
    </row>
    <row r="82725" ht="15.75" customHeight="1">
      <c r="A82725" s="7"/>
      <c r="B82725" s="7"/>
    </row>
    <row r="82726" ht="15.75" customHeight="1">
      <c r="A82726" s="7"/>
      <c r="B82726" s="7"/>
    </row>
    <row r="82727" ht="15.75" customHeight="1">
      <c r="A82727" s="7"/>
      <c r="B82727" s="7"/>
    </row>
    <row r="82728" ht="15.75" customHeight="1">
      <c r="A82728" s="7"/>
      <c r="B82728" s="7"/>
    </row>
    <row r="82729" ht="15.75" customHeight="1">
      <c r="A82729" s="7"/>
      <c r="B82729" s="7"/>
    </row>
    <row r="82730" ht="15.75" customHeight="1">
      <c r="A82730" s="7"/>
      <c r="B82730" s="7"/>
    </row>
    <row r="82731" ht="15.75" customHeight="1">
      <c r="A82731" s="7"/>
      <c r="B82731" s="7"/>
    </row>
    <row r="82732" ht="15.75" customHeight="1">
      <c r="A82732" s="7"/>
      <c r="B82732" s="7"/>
    </row>
    <row r="82733" ht="15.75" customHeight="1">
      <c r="A82733" s="7"/>
      <c r="B82733" s="7"/>
    </row>
    <row r="82734" ht="15.75" customHeight="1">
      <c r="A82734" s="7"/>
      <c r="B82734" s="7"/>
    </row>
    <row r="82735" ht="15.75" customHeight="1">
      <c r="A82735" s="7"/>
      <c r="B82735" s="7"/>
    </row>
    <row r="82736" ht="15.75" customHeight="1">
      <c r="A82736" s="7"/>
      <c r="B82736" s="7"/>
    </row>
    <row r="82737" ht="15.75" customHeight="1">
      <c r="A82737" s="7"/>
      <c r="B82737" s="7"/>
    </row>
    <row r="82738" ht="15.75" customHeight="1">
      <c r="A82738" s="7"/>
      <c r="B82738" s="7"/>
    </row>
    <row r="82739" ht="15.75" customHeight="1">
      <c r="A82739" s="7"/>
      <c r="B82739" s="7"/>
    </row>
    <row r="82740" ht="15.75" customHeight="1">
      <c r="A82740" s="7"/>
      <c r="B82740" s="7"/>
    </row>
    <row r="82741" ht="15.75" customHeight="1">
      <c r="A82741" s="7"/>
      <c r="B82741" s="7"/>
    </row>
    <row r="82742" ht="15.75" customHeight="1">
      <c r="A82742" s="7"/>
      <c r="B82742" s="7"/>
    </row>
    <row r="82743" ht="15.75" customHeight="1">
      <c r="A82743" s="7"/>
      <c r="B82743" s="7"/>
    </row>
    <row r="82744" ht="15.75" customHeight="1">
      <c r="A82744" s="7"/>
      <c r="B82744" s="7"/>
    </row>
    <row r="82745" ht="15.75" customHeight="1">
      <c r="A82745" s="7"/>
      <c r="B82745" s="7"/>
    </row>
    <row r="82746" ht="15.75" customHeight="1">
      <c r="A82746" s="7"/>
      <c r="B82746" s="7"/>
    </row>
    <row r="82747" ht="15.75" customHeight="1">
      <c r="A82747" s="7"/>
      <c r="B82747" s="7"/>
    </row>
    <row r="82748" ht="15.75" customHeight="1">
      <c r="A82748" s="7"/>
      <c r="B82748" s="7"/>
    </row>
    <row r="82749" ht="15.75" customHeight="1">
      <c r="A82749" s="7"/>
      <c r="B82749" s="7"/>
    </row>
    <row r="82750" ht="15.75" customHeight="1">
      <c r="A82750" s="7"/>
      <c r="B82750" s="7"/>
    </row>
    <row r="82751" ht="15.75" customHeight="1">
      <c r="A82751" s="7"/>
      <c r="B82751" s="7"/>
    </row>
    <row r="82752" ht="15.75" customHeight="1">
      <c r="A82752" s="7"/>
      <c r="B82752" s="7"/>
    </row>
    <row r="82753" ht="15.75" customHeight="1">
      <c r="A82753" s="7"/>
      <c r="B82753" s="7"/>
    </row>
    <row r="82754" ht="15.75" customHeight="1">
      <c r="A82754" s="7"/>
      <c r="B82754" s="7"/>
    </row>
    <row r="82755" ht="15.75" customHeight="1">
      <c r="A82755" s="7"/>
      <c r="B82755" s="7"/>
    </row>
    <row r="82756" ht="15.75" customHeight="1">
      <c r="A82756" s="7"/>
      <c r="B82756" s="7"/>
    </row>
    <row r="82757" ht="15.75" customHeight="1">
      <c r="A82757" s="7"/>
      <c r="B82757" s="7"/>
    </row>
    <row r="82758" ht="15.75" customHeight="1">
      <c r="A82758" s="7"/>
      <c r="B82758" s="7"/>
    </row>
    <row r="82759" ht="15.75" customHeight="1">
      <c r="A82759" s="7"/>
      <c r="B82759" s="7"/>
    </row>
    <row r="82760" ht="15.75" customHeight="1">
      <c r="A82760" s="7"/>
      <c r="B82760" s="7"/>
    </row>
    <row r="82761" ht="15.75" customHeight="1">
      <c r="A82761" s="7"/>
      <c r="B82761" s="7"/>
    </row>
    <row r="82762" ht="15.75" customHeight="1">
      <c r="A82762" s="7"/>
      <c r="B82762" s="7"/>
    </row>
    <row r="82763" ht="15.75" customHeight="1">
      <c r="A82763" s="7"/>
      <c r="B82763" s="7"/>
    </row>
    <row r="82764" ht="15.75" customHeight="1">
      <c r="A82764" s="7"/>
      <c r="B82764" s="7"/>
    </row>
    <row r="82765" ht="15.75" customHeight="1">
      <c r="A82765" s="7"/>
      <c r="B82765" s="7"/>
    </row>
    <row r="82766" ht="15.75" customHeight="1">
      <c r="A82766" s="7"/>
      <c r="B82766" s="7"/>
    </row>
    <row r="82767" ht="15.75" customHeight="1">
      <c r="A82767" s="7"/>
      <c r="B82767" s="7"/>
    </row>
    <row r="82768" ht="15.75" customHeight="1">
      <c r="A82768" s="7"/>
      <c r="B82768" s="7"/>
    </row>
    <row r="82769" ht="15.75" customHeight="1">
      <c r="A82769" s="7"/>
      <c r="B82769" s="7"/>
    </row>
    <row r="82770" ht="15.75" customHeight="1">
      <c r="A82770" s="7"/>
      <c r="B82770" s="7"/>
    </row>
    <row r="82771" ht="15.75" customHeight="1">
      <c r="A82771" s="7"/>
      <c r="B82771" s="7"/>
    </row>
    <row r="82772" ht="15.75" customHeight="1">
      <c r="A82772" s="7"/>
      <c r="B82772" s="7"/>
    </row>
    <row r="82773" ht="15.75" customHeight="1">
      <c r="A82773" s="7"/>
      <c r="B82773" s="7"/>
    </row>
    <row r="82774" ht="15.75" customHeight="1">
      <c r="A82774" s="7"/>
      <c r="B82774" s="7"/>
    </row>
    <row r="82775" ht="15.75" customHeight="1">
      <c r="A82775" s="7"/>
      <c r="B82775" s="7"/>
    </row>
    <row r="82776" ht="15.75" customHeight="1">
      <c r="A82776" s="7"/>
      <c r="B82776" s="7"/>
    </row>
    <row r="82777" ht="15.75" customHeight="1">
      <c r="A82777" s="7"/>
      <c r="B82777" s="7"/>
    </row>
    <row r="82778" ht="15.75" customHeight="1">
      <c r="A82778" s="7"/>
      <c r="B82778" s="7"/>
    </row>
    <row r="82779" ht="15.75" customHeight="1">
      <c r="A82779" s="7"/>
      <c r="B82779" s="7"/>
    </row>
    <row r="82780" ht="15.75" customHeight="1">
      <c r="A82780" s="7"/>
      <c r="B82780" s="7"/>
    </row>
    <row r="82781" ht="15.75" customHeight="1">
      <c r="A82781" s="7"/>
      <c r="B82781" s="7"/>
    </row>
    <row r="82782" ht="15.75" customHeight="1">
      <c r="A82782" s="7"/>
      <c r="B82782" s="7"/>
    </row>
    <row r="82783" ht="15.75" customHeight="1">
      <c r="A82783" s="7"/>
      <c r="B82783" s="7"/>
    </row>
    <row r="82784" ht="15.75" customHeight="1">
      <c r="A82784" s="7"/>
      <c r="B82784" s="7"/>
    </row>
    <row r="82785" ht="15.75" customHeight="1">
      <c r="A82785" s="7"/>
      <c r="B82785" s="7"/>
    </row>
    <row r="82786" ht="15.75" customHeight="1">
      <c r="A82786" s="7"/>
      <c r="B82786" s="7"/>
    </row>
    <row r="82787" ht="15.75" customHeight="1">
      <c r="A82787" s="7"/>
      <c r="B82787" s="7"/>
    </row>
    <row r="82788" ht="15.75" customHeight="1">
      <c r="A82788" s="7"/>
      <c r="B82788" s="7"/>
    </row>
    <row r="82789" ht="15.75" customHeight="1">
      <c r="A82789" s="7"/>
      <c r="B82789" s="7"/>
    </row>
    <row r="82790" ht="15.75" customHeight="1">
      <c r="A82790" s="7"/>
      <c r="B82790" s="7"/>
    </row>
    <row r="82791" ht="15.75" customHeight="1">
      <c r="A82791" s="7"/>
      <c r="B82791" s="7"/>
    </row>
    <row r="82792" ht="15.75" customHeight="1">
      <c r="A82792" s="7"/>
      <c r="B82792" s="7"/>
    </row>
    <row r="82793" ht="15.75" customHeight="1">
      <c r="A82793" s="7"/>
      <c r="B82793" s="7"/>
    </row>
    <row r="82794" ht="15.75" customHeight="1">
      <c r="A82794" s="7"/>
      <c r="B82794" s="7"/>
    </row>
    <row r="82795" ht="15.75" customHeight="1">
      <c r="A82795" s="7"/>
      <c r="B82795" s="7"/>
    </row>
    <row r="82796" ht="15.75" customHeight="1">
      <c r="A82796" s="7"/>
      <c r="B82796" s="7"/>
    </row>
    <row r="82797" ht="15.75" customHeight="1">
      <c r="A82797" s="7"/>
      <c r="B82797" s="7"/>
    </row>
    <row r="82798" ht="15.75" customHeight="1">
      <c r="A82798" s="7"/>
      <c r="B82798" s="7"/>
    </row>
    <row r="82799" ht="15.75" customHeight="1">
      <c r="A82799" s="7"/>
      <c r="B82799" s="7"/>
    </row>
    <row r="82800" ht="15.75" customHeight="1">
      <c r="A82800" s="7"/>
      <c r="B82800" s="7"/>
    </row>
    <row r="82801" ht="15.75" customHeight="1">
      <c r="A82801" s="7"/>
      <c r="B82801" s="7"/>
    </row>
    <row r="82802" ht="15.75" customHeight="1">
      <c r="A82802" s="7"/>
      <c r="B82802" s="7"/>
    </row>
    <row r="82803" ht="15.75" customHeight="1">
      <c r="A82803" s="7"/>
      <c r="B82803" s="7"/>
    </row>
    <row r="82804" ht="15.75" customHeight="1">
      <c r="A82804" s="7"/>
      <c r="B82804" s="7"/>
    </row>
    <row r="82805" ht="15.75" customHeight="1">
      <c r="A82805" s="7"/>
      <c r="B82805" s="7"/>
    </row>
    <row r="82806" ht="15.75" customHeight="1">
      <c r="A82806" s="7"/>
      <c r="B82806" s="7"/>
    </row>
    <row r="82807" ht="15.75" customHeight="1">
      <c r="A82807" s="7"/>
      <c r="B82807" s="7"/>
    </row>
    <row r="82808" ht="15.75" customHeight="1">
      <c r="A82808" s="7"/>
      <c r="B82808" s="7"/>
    </row>
    <row r="82809" ht="15.75" customHeight="1">
      <c r="A82809" s="7"/>
      <c r="B82809" s="7"/>
    </row>
    <row r="82810" ht="15.75" customHeight="1">
      <c r="A82810" s="7"/>
      <c r="B82810" s="7"/>
    </row>
    <row r="82811" ht="15.75" customHeight="1">
      <c r="A82811" s="7"/>
      <c r="B82811" s="7"/>
    </row>
    <row r="82812" ht="15.75" customHeight="1">
      <c r="A82812" s="7"/>
      <c r="B82812" s="7"/>
    </row>
    <row r="82813" ht="15.75" customHeight="1">
      <c r="A82813" s="7"/>
      <c r="B82813" s="7"/>
    </row>
    <row r="82814" ht="15.75" customHeight="1">
      <c r="A82814" s="7"/>
      <c r="B82814" s="7"/>
    </row>
    <row r="82815" ht="15.75" customHeight="1">
      <c r="A82815" s="7"/>
      <c r="B82815" s="7"/>
    </row>
    <row r="82816" ht="15.75" customHeight="1">
      <c r="A82816" s="7"/>
      <c r="B82816" s="7"/>
    </row>
    <row r="82817" ht="15.75" customHeight="1">
      <c r="A82817" s="7"/>
      <c r="B82817" s="7"/>
    </row>
    <row r="82818" ht="15.75" customHeight="1">
      <c r="A82818" s="7"/>
      <c r="B82818" s="7"/>
    </row>
    <row r="82819" ht="15.75" customHeight="1">
      <c r="A82819" s="7"/>
      <c r="B82819" s="7"/>
    </row>
    <row r="82820" ht="15.75" customHeight="1">
      <c r="A82820" s="7"/>
      <c r="B82820" s="7"/>
    </row>
    <row r="82821" ht="15.75" customHeight="1">
      <c r="A82821" s="7"/>
      <c r="B82821" s="7"/>
    </row>
    <row r="82822" ht="15.75" customHeight="1">
      <c r="A82822" s="7"/>
      <c r="B82822" s="7"/>
    </row>
    <row r="82823" ht="15.75" customHeight="1">
      <c r="A82823" s="7"/>
      <c r="B82823" s="7"/>
    </row>
    <row r="82824" ht="15.75" customHeight="1">
      <c r="A82824" s="7"/>
      <c r="B82824" s="7"/>
    </row>
    <row r="82825" ht="15.75" customHeight="1">
      <c r="A82825" s="7"/>
      <c r="B82825" s="7"/>
    </row>
    <row r="82826" ht="15.75" customHeight="1">
      <c r="A82826" s="7"/>
      <c r="B82826" s="7"/>
    </row>
    <row r="82827" ht="15.75" customHeight="1">
      <c r="A82827" s="7"/>
      <c r="B82827" s="7"/>
    </row>
    <row r="82828" ht="15.75" customHeight="1">
      <c r="A82828" s="7"/>
      <c r="B82828" s="7"/>
    </row>
    <row r="82829" ht="15.75" customHeight="1">
      <c r="A82829" s="7"/>
      <c r="B82829" s="7"/>
    </row>
    <row r="82830" ht="15.75" customHeight="1">
      <c r="A82830" s="7"/>
      <c r="B82830" s="7"/>
    </row>
    <row r="82831" ht="15.75" customHeight="1">
      <c r="A82831" s="7"/>
      <c r="B82831" s="7"/>
    </row>
    <row r="82832" ht="15.75" customHeight="1">
      <c r="A82832" s="7"/>
      <c r="B82832" s="7"/>
    </row>
    <row r="82833" ht="15.75" customHeight="1">
      <c r="A82833" s="7"/>
      <c r="B82833" s="7"/>
    </row>
    <row r="82834" ht="15.75" customHeight="1">
      <c r="A82834" s="7"/>
      <c r="B82834" s="7"/>
    </row>
    <row r="82835" ht="15.75" customHeight="1">
      <c r="A82835" s="7"/>
      <c r="B82835" s="7"/>
    </row>
    <row r="82836" ht="15.75" customHeight="1">
      <c r="A82836" s="7"/>
      <c r="B82836" s="7"/>
    </row>
    <row r="82837" ht="15.75" customHeight="1">
      <c r="A82837" s="7"/>
      <c r="B82837" s="7"/>
    </row>
    <row r="82838" ht="15.75" customHeight="1">
      <c r="A82838" s="7"/>
      <c r="B82838" s="7"/>
    </row>
    <row r="82839" ht="15.75" customHeight="1">
      <c r="A82839" s="7"/>
      <c r="B82839" s="7"/>
    </row>
    <row r="82840" ht="15.75" customHeight="1">
      <c r="A82840" s="7"/>
      <c r="B82840" s="7"/>
    </row>
    <row r="82841" ht="15.75" customHeight="1">
      <c r="A82841" s="7"/>
      <c r="B82841" s="7"/>
    </row>
    <row r="82842" ht="15.75" customHeight="1">
      <c r="A82842" s="7"/>
      <c r="B82842" s="7"/>
    </row>
    <row r="82843" ht="15.75" customHeight="1">
      <c r="A82843" s="7"/>
      <c r="B82843" s="7"/>
    </row>
    <row r="82844" ht="15.75" customHeight="1">
      <c r="A82844" s="7"/>
      <c r="B82844" s="7"/>
    </row>
    <row r="82845" ht="15.75" customHeight="1">
      <c r="A82845" s="7"/>
      <c r="B82845" s="7"/>
    </row>
    <row r="82846" ht="15.75" customHeight="1">
      <c r="A82846" s="7"/>
      <c r="B82846" s="7"/>
    </row>
    <row r="82847" ht="15.75" customHeight="1">
      <c r="A82847" s="7"/>
      <c r="B82847" s="7"/>
    </row>
    <row r="82848" ht="15.75" customHeight="1">
      <c r="A82848" s="7"/>
      <c r="B82848" s="7"/>
    </row>
    <row r="82849" ht="15.75" customHeight="1">
      <c r="A82849" s="7"/>
      <c r="B82849" s="7"/>
    </row>
    <row r="82850" ht="15.75" customHeight="1">
      <c r="A82850" s="7"/>
      <c r="B82850" s="7"/>
    </row>
    <row r="82851" ht="15.75" customHeight="1">
      <c r="A82851" s="7"/>
      <c r="B82851" s="7"/>
    </row>
    <row r="82852" ht="15.75" customHeight="1">
      <c r="A82852" s="7"/>
      <c r="B82852" s="7"/>
    </row>
    <row r="82853" ht="15.75" customHeight="1">
      <c r="A82853" s="7"/>
      <c r="B82853" s="7"/>
    </row>
    <row r="82854" ht="15.75" customHeight="1">
      <c r="A82854" s="7"/>
      <c r="B82854" s="7"/>
    </row>
    <row r="82855" ht="15.75" customHeight="1">
      <c r="A82855" s="7"/>
      <c r="B82855" s="7"/>
    </row>
    <row r="82856" ht="15.75" customHeight="1">
      <c r="A82856" s="7"/>
      <c r="B82856" s="7"/>
    </row>
    <row r="82857" ht="15.75" customHeight="1">
      <c r="A82857" s="7"/>
      <c r="B82857" s="7"/>
    </row>
    <row r="82858" ht="15.75" customHeight="1">
      <c r="A82858" s="7"/>
      <c r="B82858" s="7"/>
    </row>
    <row r="82859" ht="15.75" customHeight="1">
      <c r="A82859" s="7"/>
      <c r="B82859" s="7"/>
    </row>
    <row r="82860" ht="15.75" customHeight="1">
      <c r="A82860" s="7"/>
      <c r="B82860" s="7"/>
    </row>
    <row r="82861" ht="15.75" customHeight="1">
      <c r="A82861" s="7"/>
      <c r="B82861" s="7"/>
    </row>
    <row r="82862" ht="15.75" customHeight="1">
      <c r="A82862" s="7"/>
      <c r="B82862" s="7"/>
    </row>
    <row r="82863" ht="15.75" customHeight="1">
      <c r="A82863" s="7"/>
      <c r="B82863" s="7"/>
    </row>
    <row r="82864" ht="15.75" customHeight="1">
      <c r="A82864" s="7"/>
      <c r="B82864" s="7"/>
    </row>
    <row r="82865" ht="15.75" customHeight="1">
      <c r="A82865" s="7"/>
      <c r="B82865" s="7"/>
    </row>
    <row r="82866" ht="15.75" customHeight="1">
      <c r="A82866" s="7"/>
      <c r="B82866" s="7"/>
    </row>
    <row r="82867" ht="15.75" customHeight="1">
      <c r="A82867" s="7"/>
      <c r="B82867" s="7"/>
    </row>
    <row r="82868" ht="15.75" customHeight="1">
      <c r="A82868" s="7"/>
      <c r="B82868" s="7"/>
    </row>
    <row r="82869" ht="15.75" customHeight="1">
      <c r="A82869" s="7"/>
      <c r="B82869" s="7"/>
    </row>
    <row r="82870" ht="15.75" customHeight="1">
      <c r="A82870" s="7"/>
      <c r="B82870" s="7"/>
    </row>
    <row r="82871" ht="15.75" customHeight="1">
      <c r="A82871" s="7"/>
      <c r="B82871" s="7"/>
    </row>
    <row r="82872" ht="15.75" customHeight="1">
      <c r="A82872" s="7"/>
      <c r="B82872" s="7"/>
    </row>
    <row r="82873" ht="15.75" customHeight="1">
      <c r="A82873" s="7"/>
      <c r="B82873" s="7"/>
    </row>
    <row r="82874" ht="15.75" customHeight="1">
      <c r="A82874" s="7"/>
      <c r="B82874" s="7"/>
    </row>
    <row r="82875" ht="15.75" customHeight="1">
      <c r="A82875" s="7"/>
      <c r="B82875" s="7"/>
    </row>
    <row r="82876" ht="15.75" customHeight="1">
      <c r="A82876" s="7"/>
      <c r="B82876" s="7"/>
    </row>
    <row r="82877" ht="15.75" customHeight="1">
      <c r="A82877" s="7"/>
      <c r="B82877" s="7"/>
    </row>
    <row r="82878" ht="15.75" customHeight="1">
      <c r="A82878" s="7"/>
      <c r="B82878" s="7"/>
    </row>
    <row r="82879" ht="15.75" customHeight="1">
      <c r="A82879" s="7"/>
      <c r="B82879" s="7"/>
    </row>
    <row r="82880" ht="15.75" customHeight="1">
      <c r="A82880" s="7"/>
      <c r="B82880" s="7"/>
    </row>
    <row r="82881" ht="15.75" customHeight="1">
      <c r="A82881" s="7"/>
      <c r="B82881" s="7"/>
    </row>
    <row r="82882" ht="15.75" customHeight="1">
      <c r="A82882" s="7"/>
      <c r="B82882" s="7"/>
    </row>
    <row r="82883" ht="15.75" customHeight="1">
      <c r="A82883" s="7"/>
      <c r="B82883" s="7"/>
    </row>
    <row r="82884" ht="15.75" customHeight="1">
      <c r="A82884" s="7"/>
      <c r="B82884" s="7"/>
    </row>
    <row r="82885" ht="15.75" customHeight="1">
      <c r="A82885" s="7"/>
      <c r="B82885" s="7"/>
    </row>
    <row r="82886" ht="15.75" customHeight="1">
      <c r="A82886" s="7"/>
      <c r="B82886" s="7"/>
    </row>
    <row r="82887" ht="15.75" customHeight="1">
      <c r="A82887" s="7"/>
      <c r="B82887" s="7"/>
    </row>
    <row r="82888" ht="15.75" customHeight="1">
      <c r="A82888" s="7"/>
      <c r="B82888" s="7"/>
    </row>
    <row r="82889" ht="15.75" customHeight="1">
      <c r="A82889" s="7"/>
      <c r="B82889" s="7"/>
    </row>
    <row r="82890" ht="15.75" customHeight="1">
      <c r="A82890" s="7"/>
      <c r="B82890" s="7"/>
    </row>
    <row r="82891" ht="15.75" customHeight="1">
      <c r="A82891" s="7"/>
      <c r="B82891" s="7"/>
    </row>
    <row r="82892" ht="15.75" customHeight="1">
      <c r="A82892" s="7"/>
      <c r="B82892" s="7"/>
    </row>
    <row r="82893" ht="15.75" customHeight="1">
      <c r="A82893" s="7"/>
      <c r="B82893" s="7"/>
    </row>
    <row r="82894" ht="15.75" customHeight="1">
      <c r="A82894" s="7"/>
      <c r="B82894" s="7"/>
    </row>
    <row r="82895" ht="15.75" customHeight="1">
      <c r="A82895" s="7"/>
      <c r="B82895" s="7"/>
    </row>
    <row r="82896" ht="15.75" customHeight="1">
      <c r="A82896" s="7"/>
      <c r="B82896" s="7"/>
    </row>
    <row r="82897" ht="15.75" customHeight="1">
      <c r="A82897" s="7"/>
      <c r="B82897" s="7"/>
    </row>
    <row r="82898" ht="15.75" customHeight="1">
      <c r="A82898" s="7"/>
      <c r="B82898" s="7"/>
    </row>
    <row r="82899" ht="15.75" customHeight="1">
      <c r="A82899" s="7"/>
      <c r="B82899" s="7"/>
    </row>
    <row r="82900" ht="15.75" customHeight="1">
      <c r="A82900" s="7"/>
      <c r="B82900" s="7"/>
    </row>
    <row r="82901" ht="15.75" customHeight="1">
      <c r="A82901" s="7"/>
      <c r="B82901" s="7"/>
    </row>
    <row r="82902" ht="15.75" customHeight="1">
      <c r="A82902" s="7"/>
      <c r="B82902" s="7"/>
    </row>
    <row r="82903" ht="15.75" customHeight="1">
      <c r="A82903" s="7"/>
      <c r="B82903" s="7"/>
    </row>
    <row r="82904" ht="15.75" customHeight="1">
      <c r="A82904" s="7"/>
      <c r="B82904" s="7"/>
    </row>
    <row r="82905" ht="15.75" customHeight="1">
      <c r="A82905" s="7"/>
      <c r="B82905" s="7"/>
    </row>
    <row r="82906" ht="15.75" customHeight="1">
      <c r="A82906" s="7"/>
      <c r="B82906" s="7"/>
    </row>
    <row r="82907" ht="15.75" customHeight="1">
      <c r="A82907" s="7"/>
      <c r="B82907" s="7"/>
    </row>
    <row r="82908" ht="15.75" customHeight="1">
      <c r="A82908" s="7"/>
      <c r="B82908" s="7"/>
    </row>
    <row r="82909" ht="15.75" customHeight="1">
      <c r="A82909" s="7"/>
      <c r="B82909" s="7"/>
    </row>
    <row r="82910" ht="15.75" customHeight="1">
      <c r="A82910" s="7"/>
      <c r="B82910" s="7"/>
    </row>
    <row r="82911" ht="15.75" customHeight="1">
      <c r="A82911" s="7"/>
      <c r="B82911" s="7"/>
    </row>
    <row r="82912" ht="15.75" customHeight="1">
      <c r="A82912" s="7"/>
      <c r="B82912" s="7"/>
    </row>
    <row r="82913" ht="15.75" customHeight="1">
      <c r="A82913" s="7"/>
      <c r="B82913" s="7"/>
    </row>
    <row r="82914" ht="15.75" customHeight="1">
      <c r="A82914" s="7"/>
      <c r="B82914" s="7"/>
    </row>
    <row r="82915" ht="15.75" customHeight="1">
      <c r="A82915" s="7"/>
      <c r="B82915" s="7"/>
    </row>
    <row r="82916" ht="15.75" customHeight="1">
      <c r="A82916" s="7"/>
      <c r="B82916" s="7"/>
    </row>
    <row r="82917" ht="15.75" customHeight="1">
      <c r="A82917" s="7"/>
      <c r="B82917" s="7"/>
    </row>
    <row r="82918" ht="15.75" customHeight="1">
      <c r="A82918" s="7"/>
      <c r="B82918" s="7"/>
    </row>
    <row r="82919" ht="15.75" customHeight="1">
      <c r="A82919" s="7"/>
      <c r="B82919" s="7"/>
    </row>
    <row r="82920" ht="15.75" customHeight="1">
      <c r="A82920" s="7"/>
      <c r="B82920" s="7"/>
    </row>
    <row r="82921" ht="15.75" customHeight="1">
      <c r="A82921" s="7"/>
      <c r="B82921" s="7"/>
    </row>
    <row r="82922" ht="15.75" customHeight="1">
      <c r="A82922" s="7"/>
      <c r="B82922" s="7"/>
    </row>
    <row r="82923" ht="15.75" customHeight="1">
      <c r="A82923" s="7"/>
      <c r="B82923" s="7"/>
    </row>
    <row r="82924" ht="15.75" customHeight="1">
      <c r="A82924" s="7"/>
      <c r="B82924" s="7"/>
    </row>
    <row r="82925" ht="15.75" customHeight="1">
      <c r="A82925" s="7"/>
      <c r="B82925" s="7"/>
    </row>
    <row r="82926" ht="15.75" customHeight="1">
      <c r="A82926" s="7"/>
      <c r="B82926" s="7"/>
    </row>
    <row r="82927" ht="15.75" customHeight="1">
      <c r="A82927" s="7"/>
      <c r="B82927" s="7"/>
    </row>
    <row r="82928" ht="15.75" customHeight="1">
      <c r="A82928" s="7"/>
      <c r="B82928" s="7"/>
    </row>
    <row r="82929" ht="15.75" customHeight="1">
      <c r="A82929" s="7"/>
      <c r="B82929" s="7"/>
    </row>
    <row r="82930" ht="15.75" customHeight="1">
      <c r="A82930" s="7"/>
      <c r="B82930" s="7"/>
    </row>
    <row r="82931" ht="15.75" customHeight="1">
      <c r="A82931" s="7"/>
      <c r="B82931" s="7"/>
    </row>
    <row r="82932" ht="15.75" customHeight="1">
      <c r="A82932" s="7"/>
      <c r="B82932" s="7"/>
    </row>
    <row r="82933" ht="15.75" customHeight="1">
      <c r="A82933" s="7"/>
      <c r="B82933" s="7"/>
    </row>
    <row r="82934" ht="15.75" customHeight="1">
      <c r="A82934" s="7"/>
      <c r="B82934" s="7"/>
    </row>
    <row r="82935" ht="15.75" customHeight="1">
      <c r="A82935" s="7"/>
      <c r="B82935" s="7"/>
    </row>
    <row r="82936" ht="15.75" customHeight="1">
      <c r="A82936" s="7"/>
      <c r="B82936" s="7"/>
    </row>
    <row r="82937" ht="15.75" customHeight="1">
      <c r="A82937" s="7"/>
      <c r="B82937" s="7"/>
    </row>
    <row r="82938" ht="15.75" customHeight="1">
      <c r="A82938" s="7"/>
      <c r="B82938" s="7"/>
    </row>
    <row r="82939" ht="15.75" customHeight="1">
      <c r="A82939" s="7"/>
      <c r="B82939" s="7"/>
    </row>
    <row r="82940" ht="15.75" customHeight="1">
      <c r="A82940" s="7"/>
      <c r="B82940" s="7"/>
    </row>
    <row r="82941" ht="15.75" customHeight="1">
      <c r="A82941" s="7"/>
      <c r="B82941" s="7"/>
    </row>
    <row r="82942" ht="15.75" customHeight="1">
      <c r="A82942" s="7"/>
      <c r="B82942" s="7"/>
    </row>
    <row r="82943" ht="15.75" customHeight="1">
      <c r="A82943" s="7"/>
      <c r="B82943" s="7"/>
    </row>
    <row r="82944" ht="15.75" customHeight="1">
      <c r="A82944" s="7"/>
      <c r="B82944" s="7"/>
    </row>
    <row r="82945" ht="15.75" customHeight="1">
      <c r="A82945" s="7"/>
      <c r="B82945" s="7"/>
    </row>
    <row r="82946" ht="15.75" customHeight="1">
      <c r="A82946" s="7"/>
      <c r="B82946" s="7"/>
    </row>
    <row r="82947" ht="15.75" customHeight="1">
      <c r="A82947" s="7"/>
      <c r="B82947" s="7"/>
    </row>
    <row r="82948" ht="15.75" customHeight="1">
      <c r="A82948" s="7"/>
      <c r="B82948" s="7"/>
    </row>
    <row r="82949" ht="15.75" customHeight="1">
      <c r="A82949" s="7"/>
      <c r="B82949" s="7"/>
    </row>
    <row r="82950" ht="15.75" customHeight="1">
      <c r="A82950" s="7"/>
      <c r="B82950" s="7"/>
    </row>
    <row r="82951" ht="15.75" customHeight="1">
      <c r="A82951" s="7"/>
      <c r="B82951" s="7"/>
    </row>
    <row r="82952" ht="15.75" customHeight="1">
      <c r="A82952" s="7"/>
      <c r="B82952" s="7"/>
    </row>
    <row r="82953" ht="15.75" customHeight="1">
      <c r="A82953" s="7"/>
      <c r="B82953" s="7"/>
    </row>
    <row r="82954" ht="15.75" customHeight="1">
      <c r="A82954" s="7"/>
      <c r="B82954" s="7"/>
    </row>
    <row r="82955" ht="15.75" customHeight="1">
      <c r="A82955" s="7"/>
      <c r="B82955" s="7"/>
    </row>
    <row r="82956" ht="15.75" customHeight="1">
      <c r="A82956" s="7"/>
      <c r="B82956" s="7"/>
    </row>
    <row r="82957" ht="15.75" customHeight="1">
      <c r="A82957" s="7"/>
      <c r="B82957" s="7"/>
    </row>
    <row r="82958" ht="15.75" customHeight="1">
      <c r="A82958" s="7"/>
      <c r="B82958" s="7"/>
    </row>
    <row r="82959" ht="15.75" customHeight="1">
      <c r="A82959" s="7"/>
      <c r="B82959" s="7"/>
    </row>
    <row r="82960" ht="15.75" customHeight="1">
      <c r="A82960" s="7"/>
      <c r="B82960" s="7"/>
    </row>
    <row r="82961" ht="15.75" customHeight="1">
      <c r="A82961" s="7"/>
      <c r="B82961" s="7"/>
    </row>
    <row r="82962" ht="15.75" customHeight="1">
      <c r="A82962" s="7"/>
      <c r="B82962" s="7"/>
    </row>
    <row r="82963" ht="15.75" customHeight="1">
      <c r="A82963" s="7"/>
      <c r="B82963" s="7"/>
    </row>
    <row r="82964" ht="15.75" customHeight="1">
      <c r="A82964" s="7"/>
      <c r="B82964" s="7"/>
    </row>
    <row r="82965" ht="15.75" customHeight="1">
      <c r="A82965" s="7"/>
      <c r="B82965" s="7"/>
    </row>
    <row r="82966" ht="15.75" customHeight="1">
      <c r="A82966" s="7"/>
      <c r="B82966" s="7"/>
    </row>
    <row r="82967" ht="15.75" customHeight="1">
      <c r="A82967" s="7"/>
      <c r="B82967" s="7"/>
    </row>
    <row r="82968" ht="15.75" customHeight="1">
      <c r="A82968" s="7"/>
      <c r="B82968" s="7"/>
    </row>
    <row r="82969" ht="15.75" customHeight="1">
      <c r="A82969" s="7"/>
      <c r="B82969" s="7"/>
    </row>
    <row r="82970" ht="15.75" customHeight="1">
      <c r="A82970" s="7"/>
      <c r="B82970" s="7"/>
    </row>
    <row r="82971" ht="15.75" customHeight="1">
      <c r="A82971" s="7"/>
      <c r="B82971" s="7"/>
    </row>
    <row r="82972" ht="15.75" customHeight="1">
      <c r="A82972" s="7"/>
      <c r="B82972" s="7"/>
    </row>
    <row r="82973" ht="15.75" customHeight="1">
      <c r="A82973" s="7"/>
      <c r="B82973" s="7"/>
    </row>
    <row r="82974" ht="15.75" customHeight="1">
      <c r="A82974" s="7"/>
      <c r="B82974" s="7"/>
    </row>
    <row r="82975" ht="15.75" customHeight="1">
      <c r="A82975" s="7"/>
      <c r="B82975" s="7"/>
    </row>
    <row r="82976" ht="15.75" customHeight="1">
      <c r="A82976" s="7"/>
      <c r="B82976" s="7"/>
    </row>
    <row r="82977" ht="15.75" customHeight="1">
      <c r="A82977" s="7"/>
      <c r="B82977" s="7"/>
    </row>
    <row r="82978" ht="15.75" customHeight="1">
      <c r="A82978" s="7"/>
      <c r="B82978" s="7"/>
    </row>
    <row r="82979" ht="15.75" customHeight="1">
      <c r="A82979" s="7"/>
      <c r="B82979" s="7"/>
    </row>
    <row r="82980" ht="15.75" customHeight="1">
      <c r="A82980" s="7"/>
      <c r="B82980" s="7"/>
    </row>
    <row r="82981" ht="15.75" customHeight="1">
      <c r="A82981" s="7"/>
      <c r="B82981" s="7"/>
    </row>
    <row r="82982" ht="15.75" customHeight="1">
      <c r="A82982" s="7"/>
      <c r="B82982" s="7"/>
    </row>
    <row r="82983" ht="15.75" customHeight="1">
      <c r="A82983" s="7"/>
      <c r="B82983" s="7"/>
    </row>
    <row r="82984" ht="15.75" customHeight="1">
      <c r="A82984" s="7"/>
      <c r="B82984" s="7"/>
    </row>
    <row r="82985" ht="15.75" customHeight="1">
      <c r="A82985" s="7"/>
      <c r="B82985" s="7"/>
    </row>
    <row r="82986" ht="15.75" customHeight="1">
      <c r="A82986" s="7"/>
      <c r="B82986" s="7"/>
    </row>
    <row r="82987" ht="15.75" customHeight="1">
      <c r="A82987" s="7"/>
      <c r="B82987" s="7"/>
    </row>
    <row r="82988" ht="15.75" customHeight="1">
      <c r="A82988" s="7"/>
      <c r="B82988" s="7"/>
    </row>
    <row r="82989" ht="15.75" customHeight="1">
      <c r="A82989" s="7"/>
      <c r="B82989" s="7"/>
    </row>
    <row r="82990" ht="15.75" customHeight="1">
      <c r="A82990" s="7"/>
      <c r="B82990" s="7"/>
    </row>
    <row r="82991" ht="15.75" customHeight="1">
      <c r="A82991" s="7"/>
      <c r="B82991" s="7"/>
    </row>
    <row r="82992" ht="15.75" customHeight="1">
      <c r="A82992" s="7"/>
      <c r="B82992" s="7"/>
    </row>
    <row r="82993" ht="15.75" customHeight="1">
      <c r="A82993" s="7"/>
      <c r="B82993" s="7"/>
    </row>
    <row r="82994" ht="15.75" customHeight="1">
      <c r="A82994" s="7"/>
      <c r="B82994" s="7"/>
    </row>
    <row r="82995" ht="15.75" customHeight="1">
      <c r="A82995" s="7"/>
      <c r="B82995" s="7"/>
    </row>
    <row r="82996" ht="15.75" customHeight="1">
      <c r="A82996" s="7"/>
      <c r="B82996" s="7"/>
    </row>
    <row r="82997" ht="15.75" customHeight="1">
      <c r="A82997" s="7"/>
      <c r="B82997" s="7"/>
    </row>
    <row r="82998" ht="15.75" customHeight="1">
      <c r="A82998" s="7"/>
      <c r="B82998" s="7"/>
    </row>
    <row r="82999" ht="15.75" customHeight="1">
      <c r="A82999" s="7"/>
      <c r="B82999" s="7"/>
    </row>
    <row r="83000" ht="15.75" customHeight="1">
      <c r="A83000" s="7"/>
      <c r="B83000" s="7"/>
    </row>
    <row r="83001" ht="15.75" customHeight="1">
      <c r="A83001" s="7"/>
      <c r="B83001" s="7"/>
    </row>
    <row r="83002" ht="15.75" customHeight="1">
      <c r="A83002" s="7"/>
      <c r="B83002" s="7"/>
    </row>
    <row r="83003" ht="15.75" customHeight="1">
      <c r="A83003" s="7"/>
      <c r="B83003" s="7"/>
    </row>
    <row r="83004" ht="15.75" customHeight="1">
      <c r="A83004" s="7"/>
      <c r="B83004" s="7"/>
    </row>
    <row r="83005" ht="15.75" customHeight="1">
      <c r="A83005" s="7"/>
      <c r="B83005" s="7"/>
    </row>
    <row r="83006" ht="15.75" customHeight="1">
      <c r="A83006" s="7"/>
      <c r="B83006" s="7"/>
    </row>
    <row r="83007" ht="15.75" customHeight="1">
      <c r="A83007" s="7"/>
      <c r="B83007" s="7"/>
    </row>
    <row r="83008" ht="15.75" customHeight="1">
      <c r="A83008" s="7"/>
      <c r="B83008" s="7"/>
    </row>
    <row r="83009" ht="15.75" customHeight="1">
      <c r="A83009" s="7"/>
      <c r="B83009" s="7"/>
    </row>
    <row r="83010" ht="15.75" customHeight="1">
      <c r="A83010" s="7"/>
      <c r="B83010" s="7"/>
    </row>
    <row r="83011" ht="15.75" customHeight="1">
      <c r="A83011" s="7"/>
      <c r="B83011" s="7"/>
    </row>
    <row r="83012" ht="15.75" customHeight="1">
      <c r="A83012" s="7"/>
      <c r="B83012" s="7"/>
    </row>
    <row r="83013" ht="15.75" customHeight="1">
      <c r="A83013" s="7"/>
      <c r="B83013" s="7"/>
    </row>
    <row r="83014" ht="15.75" customHeight="1">
      <c r="A83014" s="7"/>
      <c r="B83014" s="7"/>
    </row>
    <row r="83015" ht="15.75" customHeight="1">
      <c r="A83015" s="7"/>
      <c r="B83015" s="7"/>
    </row>
    <row r="83016" ht="15.75" customHeight="1">
      <c r="A83016" s="7"/>
      <c r="B83016" s="7"/>
    </row>
    <row r="83017" ht="15.75" customHeight="1">
      <c r="A83017" s="7"/>
      <c r="B83017" s="7"/>
    </row>
    <row r="83018" ht="15.75" customHeight="1">
      <c r="A83018" s="7"/>
      <c r="B83018" s="7"/>
    </row>
    <row r="83019" ht="15.75" customHeight="1">
      <c r="A83019" s="7"/>
      <c r="B83019" s="7"/>
    </row>
    <row r="83020" ht="15.75" customHeight="1">
      <c r="A83020" s="7"/>
      <c r="B83020" s="7"/>
    </row>
    <row r="83021" ht="15.75" customHeight="1">
      <c r="A83021" s="7"/>
      <c r="B83021" s="7"/>
    </row>
    <row r="83022" ht="15.75" customHeight="1">
      <c r="A83022" s="7"/>
      <c r="B83022" s="7"/>
    </row>
    <row r="83023" ht="15.75" customHeight="1">
      <c r="A83023" s="7"/>
      <c r="B83023" s="7"/>
    </row>
    <row r="83024" ht="15.75" customHeight="1">
      <c r="A83024" s="7"/>
      <c r="B83024" s="7"/>
    </row>
    <row r="83025" ht="15.75" customHeight="1">
      <c r="A83025" s="7"/>
      <c r="B83025" s="7"/>
    </row>
    <row r="83026" ht="15.75" customHeight="1">
      <c r="A83026" s="7"/>
      <c r="B83026" s="7"/>
    </row>
    <row r="83027" ht="15.75" customHeight="1">
      <c r="A83027" s="7"/>
      <c r="B83027" s="7"/>
    </row>
    <row r="83028" ht="15.75" customHeight="1">
      <c r="A83028" s="7"/>
      <c r="B83028" s="7"/>
    </row>
    <row r="83029" ht="15.75" customHeight="1">
      <c r="A83029" s="7"/>
      <c r="B83029" s="7"/>
    </row>
    <row r="83030" ht="15.75" customHeight="1">
      <c r="A83030" s="7"/>
      <c r="B83030" s="7"/>
    </row>
    <row r="83031" ht="15.75" customHeight="1">
      <c r="A83031" s="7"/>
      <c r="B83031" s="7"/>
    </row>
    <row r="83032" ht="15.75" customHeight="1">
      <c r="A83032" s="7"/>
      <c r="B83032" s="7"/>
    </row>
    <row r="83033" ht="15.75" customHeight="1">
      <c r="A83033" s="7"/>
      <c r="B83033" s="7"/>
    </row>
    <row r="83034" ht="15.75" customHeight="1">
      <c r="A83034" s="7"/>
      <c r="B83034" s="7"/>
    </row>
    <row r="83035" ht="15.75" customHeight="1">
      <c r="A83035" s="7"/>
      <c r="B83035" s="7"/>
    </row>
    <row r="83036" ht="15.75" customHeight="1">
      <c r="A83036" s="7"/>
      <c r="B83036" s="7"/>
    </row>
    <row r="83037" ht="15.75" customHeight="1">
      <c r="A83037" s="7"/>
      <c r="B83037" s="7"/>
    </row>
    <row r="83038" ht="15.75" customHeight="1">
      <c r="A83038" s="7"/>
      <c r="B83038" s="7"/>
    </row>
    <row r="83039" ht="15.75" customHeight="1">
      <c r="A83039" s="7"/>
      <c r="B83039" s="7"/>
    </row>
    <row r="83040" ht="15.75" customHeight="1">
      <c r="A83040" s="7"/>
      <c r="B83040" s="7"/>
    </row>
    <row r="83041" ht="15.75" customHeight="1">
      <c r="A83041" s="7"/>
      <c r="B83041" s="7"/>
    </row>
    <row r="83042" ht="15.75" customHeight="1">
      <c r="A83042" s="7"/>
      <c r="B83042" s="7"/>
    </row>
    <row r="83043" ht="15.75" customHeight="1">
      <c r="A83043" s="7"/>
      <c r="B83043" s="7"/>
    </row>
    <row r="83044" ht="15.75" customHeight="1">
      <c r="A83044" s="7"/>
      <c r="B83044" s="7"/>
    </row>
    <row r="83045" ht="15.75" customHeight="1">
      <c r="A83045" s="7"/>
      <c r="B83045" s="7"/>
    </row>
    <row r="83046" ht="15.75" customHeight="1">
      <c r="A83046" s="7"/>
      <c r="B83046" s="7"/>
    </row>
    <row r="83047" ht="15.75" customHeight="1">
      <c r="A83047" s="7"/>
      <c r="B83047" s="7"/>
    </row>
    <row r="83048" ht="15.75" customHeight="1">
      <c r="A83048" s="7"/>
      <c r="B83048" s="7"/>
    </row>
    <row r="83049" ht="15.75" customHeight="1">
      <c r="A83049" s="7"/>
      <c r="B83049" s="7"/>
    </row>
    <row r="83050" ht="15.75" customHeight="1">
      <c r="A83050" s="7"/>
      <c r="B83050" s="7"/>
    </row>
    <row r="83051" ht="15.75" customHeight="1">
      <c r="A83051" s="7"/>
      <c r="B83051" s="7"/>
    </row>
    <row r="83052" ht="15.75" customHeight="1">
      <c r="A83052" s="7"/>
      <c r="B83052" s="7"/>
    </row>
    <row r="83053" ht="15.75" customHeight="1">
      <c r="A83053" s="7"/>
      <c r="B83053" s="7"/>
    </row>
    <row r="83054" ht="15.75" customHeight="1">
      <c r="A83054" s="7"/>
      <c r="B83054" s="7"/>
    </row>
    <row r="83055" ht="15.75" customHeight="1">
      <c r="A83055" s="7"/>
      <c r="B83055" s="7"/>
    </row>
    <row r="83056" ht="15.75" customHeight="1">
      <c r="A83056" s="7"/>
      <c r="B83056" s="7"/>
    </row>
    <row r="83057" ht="15.75" customHeight="1">
      <c r="A83057" s="7"/>
      <c r="B83057" s="7"/>
    </row>
    <row r="83058" ht="15.75" customHeight="1">
      <c r="A83058" s="7"/>
      <c r="B83058" s="7"/>
    </row>
    <row r="83059" ht="15.75" customHeight="1">
      <c r="A83059" s="7"/>
      <c r="B83059" s="7"/>
    </row>
    <row r="83060" ht="15.75" customHeight="1">
      <c r="A83060" s="7"/>
      <c r="B83060" s="7"/>
    </row>
    <row r="83061" ht="15.75" customHeight="1">
      <c r="A83061" s="7"/>
      <c r="B83061" s="7"/>
    </row>
    <row r="83062" ht="15.75" customHeight="1">
      <c r="A83062" s="7"/>
      <c r="B83062" s="7"/>
    </row>
    <row r="83063" ht="15.75" customHeight="1">
      <c r="A83063" s="7"/>
      <c r="B83063" s="7"/>
    </row>
    <row r="83064" ht="15.75" customHeight="1">
      <c r="A83064" s="7"/>
      <c r="B83064" s="7"/>
    </row>
    <row r="83065" ht="15.75" customHeight="1">
      <c r="A83065" s="7"/>
      <c r="B83065" s="7"/>
    </row>
    <row r="83066" ht="15.75" customHeight="1">
      <c r="A83066" s="7"/>
      <c r="B83066" s="7"/>
    </row>
    <row r="83067" ht="15.75" customHeight="1">
      <c r="A83067" s="7"/>
      <c r="B83067" s="7"/>
    </row>
    <row r="83068" ht="15.75" customHeight="1">
      <c r="A83068" s="7"/>
      <c r="B83068" s="7"/>
    </row>
    <row r="83069" ht="15.75" customHeight="1">
      <c r="A83069" s="7"/>
      <c r="B83069" s="7"/>
    </row>
    <row r="83070" ht="15.75" customHeight="1">
      <c r="A83070" s="7"/>
      <c r="B83070" s="7"/>
    </row>
    <row r="83071" ht="15.75" customHeight="1">
      <c r="A83071" s="7"/>
      <c r="B83071" s="7"/>
    </row>
    <row r="83072" ht="15.75" customHeight="1">
      <c r="A83072" s="7"/>
      <c r="B83072" s="7"/>
    </row>
    <row r="83073" ht="15.75" customHeight="1">
      <c r="A83073" s="7"/>
      <c r="B83073" s="7"/>
    </row>
    <row r="83074" ht="15.75" customHeight="1">
      <c r="A83074" s="7"/>
      <c r="B83074" s="7"/>
    </row>
    <row r="83075" ht="15.75" customHeight="1">
      <c r="A83075" s="7"/>
      <c r="B83075" s="7"/>
    </row>
    <row r="83076" ht="15.75" customHeight="1">
      <c r="A83076" s="7"/>
      <c r="B83076" s="7"/>
    </row>
    <row r="83077" ht="15.75" customHeight="1">
      <c r="A83077" s="7"/>
      <c r="B83077" s="7"/>
    </row>
    <row r="83078" ht="15.75" customHeight="1">
      <c r="A83078" s="7"/>
      <c r="B83078" s="7"/>
    </row>
    <row r="83079" ht="15.75" customHeight="1">
      <c r="A83079" s="7"/>
      <c r="B83079" s="7"/>
    </row>
    <row r="83080" ht="15.75" customHeight="1">
      <c r="A83080" s="7"/>
      <c r="B83080" s="7"/>
    </row>
    <row r="83081" ht="15.75" customHeight="1">
      <c r="A83081" s="7"/>
      <c r="B83081" s="7"/>
    </row>
    <row r="83082" ht="15.75" customHeight="1">
      <c r="A83082" s="7"/>
      <c r="B83082" s="7"/>
    </row>
    <row r="83083" ht="15.75" customHeight="1">
      <c r="A83083" s="7"/>
      <c r="B83083" s="7"/>
    </row>
    <row r="83084" ht="15.75" customHeight="1">
      <c r="A83084" s="7"/>
      <c r="B83084" s="7"/>
    </row>
    <row r="83085" ht="15.75" customHeight="1">
      <c r="A83085" s="7"/>
      <c r="B83085" s="7"/>
    </row>
    <row r="83086" ht="15.75" customHeight="1">
      <c r="A83086" s="7"/>
      <c r="B83086" s="7"/>
    </row>
    <row r="83087" ht="15.75" customHeight="1">
      <c r="A83087" s="7"/>
      <c r="B83087" s="7"/>
    </row>
    <row r="83088" ht="15.75" customHeight="1">
      <c r="A83088" s="7"/>
      <c r="B83088" s="7"/>
    </row>
    <row r="83089" ht="15.75" customHeight="1">
      <c r="A83089" s="7"/>
      <c r="B83089" s="7"/>
    </row>
    <row r="83090" ht="15.75" customHeight="1">
      <c r="A83090" s="7"/>
      <c r="B83090" s="7"/>
    </row>
    <row r="83091" ht="15.75" customHeight="1">
      <c r="A83091" s="7"/>
      <c r="B83091" s="7"/>
    </row>
    <row r="83092" ht="15.75" customHeight="1">
      <c r="A83092" s="7"/>
      <c r="B83092" s="7"/>
    </row>
    <row r="83093" ht="15.75" customHeight="1">
      <c r="A83093" s="7"/>
      <c r="B83093" s="7"/>
    </row>
    <row r="83094" ht="15.75" customHeight="1">
      <c r="A83094" s="7"/>
      <c r="B83094" s="7"/>
    </row>
    <row r="83095" ht="15.75" customHeight="1">
      <c r="A83095" s="7"/>
      <c r="B83095" s="7"/>
    </row>
    <row r="83096" ht="15.75" customHeight="1">
      <c r="A83096" s="7"/>
      <c r="B83096" s="7"/>
    </row>
    <row r="83097" ht="15.75" customHeight="1">
      <c r="A83097" s="7"/>
      <c r="B83097" s="7"/>
    </row>
    <row r="83098" ht="15.75" customHeight="1">
      <c r="A83098" s="7"/>
      <c r="B83098" s="7"/>
    </row>
    <row r="83099" ht="15.75" customHeight="1">
      <c r="A83099" s="7"/>
      <c r="B83099" s="7"/>
    </row>
    <row r="83100" ht="15.75" customHeight="1">
      <c r="A83100" s="7"/>
      <c r="B83100" s="7"/>
    </row>
    <row r="83101" ht="15.75" customHeight="1">
      <c r="A83101" s="7"/>
      <c r="B83101" s="7"/>
    </row>
    <row r="83102" ht="15.75" customHeight="1">
      <c r="A83102" s="7"/>
      <c r="B83102" s="7"/>
    </row>
    <row r="83103" ht="15.75" customHeight="1">
      <c r="A83103" s="7"/>
      <c r="B83103" s="7"/>
    </row>
    <row r="83104" ht="15.75" customHeight="1">
      <c r="A83104" s="7"/>
      <c r="B83104" s="7"/>
    </row>
    <row r="83105" ht="15.75" customHeight="1">
      <c r="A83105" s="7"/>
      <c r="B83105" s="7"/>
    </row>
    <row r="83106" ht="15.75" customHeight="1">
      <c r="A83106" s="7"/>
      <c r="B83106" s="7"/>
    </row>
    <row r="83107" ht="15.75" customHeight="1">
      <c r="A83107" s="7"/>
      <c r="B83107" s="7"/>
    </row>
    <row r="83108" ht="15.75" customHeight="1">
      <c r="A83108" s="7"/>
      <c r="B83108" s="7"/>
    </row>
    <row r="83109" ht="15.75" customHeight="1">
      <c r="A83109" s="7"/>
      <c r="B83109" s="7"/>
    </row>
    <row r="83110" ht="15.75" customHeight="1">
      <c r="A83110" s="7"/>
      <c r="B83110" s="7"/>
    </row>
    <row r="83111" ht="15.75" customHeight="1">
      <c r="A83111" s="7"/>
      <c r="B83111" s="7"/>
    </row>
    <row r="83112" ht="15.75" customHeight="1">
      <c r="A83112" s="7"/>
      <c r="B83112" s="7"/>
    </row>
    <row r="83113" ht="15.75" customHeight="1">
      <c r="A83113" s="7"/>
      <c r="B83113" s="7"/>
    </row>
    <row r="83114" ht="15.75" customHeight="1">
      <c r="A83114" s="7"/>
      <c r="B83114" s="7"/>
    </row>
    <row r="83115" ht="15.75" customHeight="1">
      <c r="A83115" s="7"/>
      <c r="B83115" s="7"/>
    </row>
    <row r="83116" ht="15.75" customHeight="1">
      <c r="A83116" s="7"/>
      <c r="B83116" s="7"/>
    </row>
    <row r="83117" ht="15.75" customHeight="1">
      <c r="A83117" s="7"/>
      <c r="B83117" s="7"/>
    </row>
    <row r="83118" ht="15.75" customHeight="1">
      <c r="A83118" s="7"/>
      <c r="B83118" s="7"/>
    </row>
    <row r="83119" ht="15.75" customHeight="1">
      <c r="A83119" s="7"/>
      <c r="B83119" s="7"/>
    </row>
    <row r="83120" ht="15.75" customHeight="1">
      <c r="A83120" s="7"/>
      <c r="B83120" s="7"/>
    </row>
    <row r="83121" ht="15.75" customHeight="1">
      <c r="A83121" s="7"/>
      <c r="B83121" s="7"/>
    </row>
    <row r="83122" ht="15.75" customHeight="1">
      <c r="A83122" s="7"/>
      <c r="B83122" s="7"/>
    </row>
    <row r="83123" ht="15.75" customHeight="1">
      <c r="A83123" s="7"/>
      <c r="B83123" s="7"/>
    </row>
    <row r="83124" ht="15.75" customHeight="1">
      <c r="A83124" s="7"/>
      <c r="B83124" s="7"/>
    </row>
    <row r="83125" ht="15.75" customHeight="1">
      <c r="A83125" s="7"/>
      <c r="B83125" s="7"/>
    </row>
    <row r="83126" ht="15.75" customHeight="1">
      <c r="A83126" s="7"/>
      <c r="B83126" s="7"/>
    </row>
    <row r="83127" ht="15.75" customHeight="1">
      <c r="A83127" s="7"/>
      <c r="B83127" s="7"/>
    </row>
    <row r="83128" ht="15.75" customHeight="1">
      <c r="A83128" s="7"/>
      <c r="B83128" s="7"/>
    </row>
    <row r="83129" ht="15.75" customHeight="1">
      <c r="A83129" s="7"/>
      <c r="B83129" s="7"/>
    </row>
    <row r="83130" ht="15.75" customHeight="1">
      <c r="A83130" s="7"/>
      <c r="B83130" s="7"/>
    </row>
    <row r="83131" ht="15.75" customHeight="1">
      <c r="A83131" s="7"/>
      <c r="B83131" s="7"/>
    </row>
    <row r="83132" ht="15.75" customHeight="1">
      <c r="A83132" s="7"/>
      <c r="B83132" s="7"/>
    </row>
    <row r="83133" ht="15.75" customHeight="1">
      <c r="A83133" s="7"/>
      <c r="B83133" s="7"/>
    </row>
    <row r="83134" ht="15.75" customHeight="1">
      <c r="A83134" s="7"/>
      <c r="B83134" s="7"/>
    </row>
    <row r="83135" ht="15.75" customHeight="1">
      <c r="A83135" s="7"/>
      <c r="B83135" s="7"/>
    </row>
    <row r="83136" ht="15.75" customHeight="1">
      <c r="A83136" s="7"/>
      <c r="B83136" s="7"/>
    </row>
    <row r="83137" ht="15.75" customHeight="1">
      <c r="A83137" s="7"/>
      <c r="B83137" s="7"/>
    </row>
    <row r="83138" ht="15.75" customHeight="1">
      <c r="A83138" s="7"/>
      <c r="B83138" s="7"/>
    </row>
    <row r="83139" ht="15.75" customHeight="1">
      <c r="A83139" s="7"/>
      <c r="B83139" s="7"/>
    </row>
    <row r="83140" ht="15.75" customHeight="1">
      <c r="A83140" s="7"/>
      <c r="B83140" s="7"/>
    </row>
    <row r="83141" ht="15.75" customHeight="1">
      <c r="A83141" s="7"/>
      <c r="B83141" s="7"/>
    </row>
    <row r="83142" ht="15.75" customHeight="1">
      <c r="A83142" s="7"/>
      <c r="B83142" s="7"/>
    </row>
    <row r="83143" ht="15.75" customHeight="1">
      <c r="A83143" s="7"/>
      <c r="B83143" s="7"/>
    </row>
    <row r="83144" ht="15.75" customHeight="1">
      <c r="A83144" s="7"/>
      <c r="B83144" s="7"/>
    </row>
    <row r="83145" ht="15.75" customHeight="1">
      <c r="A83145" s="7"/>
      <c r="B83145" s="7"/>
    </row>
    <row r="83146" ht="15.75" customHeight="1">
      <c r="A83146" s="7"/>
      <c r="B83146" s="7"/>
    </row>
    <row r="83147" ht="15.75" customHeight="1">
      <c r="A83147" s="7"/>
      <c r="B83147" s="7"/>
    </row>
    <row r="83148" ht="15.75" customHeight="1">
      <c r="A83148" s="7"/>
      <c r="B83148" s="7"/>
    </row>
    <row r="83149" ht="15.75" customHeight="1">
      <c r="A83149" s="7"/>
      <c r="B83149" s="7"/>
    </row>
    <row r="83150" ht="15.75" customHeight="1">
      <c r="A83150" s="7"/>
      <c r="B83150" s="7"/>
    </row>
    <row r="83151" ht="15.75" customHeight="1">
      <c r="A83151" s="7"/>
      <c r="B83151" s="7"/>
    </row>
    <row r="83152" ht="15.75" customHeight="1">
      <c r="A83152" s="7"/>
      <c r="B83152" s="7"/>
    </row>
    <row r="83153" ht="15.75" customHeight="1">
      <c r="A83153" s="7"/>
      <c r="B83153" s="7"/>
    </row>
    <row r="83154" ht="15.75" customHeight="1">
      <c r="A83154" s="7"/>
      <c r="B83154" s="7"/>
    </row>
    <row r="83155" ht="15.75" customHeight="1">
      <c r="A83155" s="7"/>
      <c r="B83155" s="7"/>
    </row>
    <row r="83156" ht="15.75" customHeight="1">
      <c r="A83156" s="7"/>
      <c r="B83156" s="7"/>
    </row>
    <row r="83157" ht="15.75" customHeight="1">
      <c r="A83157" s="7"/>
      <c r="B83157" s="7"/>
    </row>
    <row r="83158" ht="15.75" customHeight="1">
      <c r="A83158" s="7"/>
      <c r="B83158" s="7"/>
    </row>
    <row r="83159" ht="15.75" customHeight="1">
      <c r="A83159" s="7"/>
      <c r="B83159" s="7"/>
    </row>
    <row r="83160" ht="15.75" customHeight="1">
      <c r="A83160" s="7"/>
      <c r="B83160" s="7"/>
    </row>
    <row r="83161" ht="15.75" customHeight="1">
      <c r="A83161" s="7"/>
      <c r="B83161" s="7"/>
    </row>
    <row r="83162" ht="15.75" customHeight="1">
      <c r="A83162" s="7"/>
      <c r="B83162" s="7"/>
    </row>
    <row r="83163" ht="15.75" customHeight="1">
      <c r="A83163" s="7"/>
      <c r="B83163" s="7"/>
    </row>
    <row r="83164" ht="15.75" customHeight="1">
      <c r="A83164" s="7"/>
      <c r="B83164" s="7"/>
    </row>
    <row r="83165" ht="15.75" customHeight="1">
      <c r="A83165" s="7"/>
      <c r="B83165" s="7"/>
    </row>
    <row r="83166" ht="15.75" customHeight="1">
      <c r="A83166" s="7"/>
      <c r="B83166" s="7"/>
    </row>
    <row r="83167" ht="15.75" customHeight="1">
      <c r="A83167" s="7"/>
      <c r="B83167" s="7"/>
    </row>
    <row r="83168" ht="15.75" customHeight="1">
      <c r="A83168" s="7"/>
      <c r="B83168" s="7"/>
    </row>
    <row r="83169" ht="15.75" customHeight="1">
      <c r="A83169" s="7"/>
      <c r="B83169" s="7"/>
    </row>
    <row r="83170" ht="15.75" customHeight="1">
      <c r="A83170" s="7"/>
      <c r="B83170" s="7"/>
    </row>
    <row r="83171" ht="15.75" customHeight="1">
      <c r="A83171" s="7"/>
      <c r="B83171" s="7"/>
    </row>
    <row r="83172" ht="15.75" customHeight="1">
      <c r="A83172" s="7"/>
      <c r="B83172" s="7"/>
    </row>
    <row r="83173" ht="15.75" customHeight="1">
      <c r="A83173" s="7"/>
      <c r="B83173" s="7"/>
    </row>
    <row r="83174" ht="15.75" customHeight="1">
      <c r="A83174" s="7"/>
      <c r="B83174" s="7"/>
    </row>
    <row r="83175" ht="15.75" customHeight="1">
      <c r="A83175" s="7"/>
      <c r="B83175" s="7"/>
    </row>
    <row r="83176" ht="15.75" customHeight="1">
      <c r="A83176" s="7"/>
      <c r="B83176" s="7"/>
    </row>
    <row r="83177" ht="15.75" customHeight="1">
      <c r="A83177" s="7"/>
      <c r="B83177" s="7"/>
    </row>
    <row r="83178" ht="15.75" customHeight="1">
      <c r="A83178" s="7"/>
      <c r="B83178" s="7"/>
    </row>
    <row r="83179" ht="15.75" customHeight="1">
      <c r="A83179" s="7"/>
      <c r="B83179" s="7"/>
    </row>
    <row r="83180" ht="15.75" customHeight="1">
      <c r="A83180" s="7"/>
      <c r="B83180" s="7"/>
    </row>
    <row r="83181" ht="15.75" customHeight="1">
      <c r="A83181" s="7"/>
      <c r="B83181" s="7"/>
    </row>
    <row r="83182" ht="15.75" customHeight="1">
      <c r="A83182" s="7"/>
      <c r="B83182" s="7"/>
    </row>
    <row r="83183" ht="15.75" customHeight="1">
      <c r="A83183" s="7"/>
      <c r="B83183" s="7"/>
    </row>
    <row r="83184" ht="15.75" customHeight="1">
      <c r="A83184" s="7"/>
      <c r="B83184" s="7"/>
    </row>
    <row r="83185" ht="15.75" customHeight="1">
      <c r="A83185" s="7"/>
      <c r="B83185" s="7"/>
    </row>
    <row r="83186" ht="15.75" customHeight="1">
      <c r="A83186" s="7"/>
      <c r="B83186" s="7"/>
    </row>
    <row r="83187" ht="15.75" customHeight="1">
      <c r="A83187" s="7"/>
      <c r="B83187" s="7"/>
    </row>
    <row r="83188" ht="15.75" customHeight="1">
      <c r="A83188" s="7"/>
      <c r="B83188" s="7"/>
    </row>
    <row r="83189" ht="15.75" customHeight="1">
      <c r="A83189" s="7"/>
      <c r="B83189" s="7"/>
    </row>
    <row r="83190" ht="15.75" customHeight="1">
      <c r="A83190" s="7"/>
      <c r="B83190" s="7"/>
    </row>
    <row r="83191" ht="15.75" customHeight="1">
      <c r="A83191" s="7"/>
      <c r="B83191" s="7"/>
    </row>
    <row r="83192" ht="15.75" customHeight="1">
      <c r="A83192" s="7"/>
      <c r="B83192" s="7"/>
    </row>
    <row r="83193" ht="15.75" customHeight="1">
      <c r="A83193" s="7"/>
      <c r="B83193" s="7"/>
    </row>
    <row r="83194" ht="15.75" customHeight="1">
      <c r="A83194" s="7"/>
      <c r="B83194" s="7"/>
    </row>
    <row r="83195" ht="15.75" customHeight="1">
      <c r="A83195" s="7"/>
      <c r="B83195" s="7"/>
    </row>
    <row r="83196" ht="15.75" customHeight="1">
      <c r="A83196" s="7"/>
      <c r="B83196" s="7"/>
    </row>
    <row r="83197" ht="15.75" customHeight="1">
      <c r="A83197" s="7"/>
      <c r="B83197" s="7"/>
    </row>
    <row r="83198" ht="15.75" customHeight="1">
      <c r="A83198" s="7"/>
      <c r="B83198" s="7"/>
    </row>
    <row r="83199" ht="15.75" customHeight="1">
      <c r="A83199" s="7"/>
      <c r="B83199" s="7"/>
    </row>
    <row r="83200" ht="15.75" customHeight="1">
      <c r="A83200" s="7"/>
      <c r="B83200" s="7"/>
    </row>
    <row r="83201" ht="15.75" customHeight="1">
      <c r="A83201" s="7"/>
      <c r="B83201" s="7"/>
    </row>
    <row r="83202" ht="15.75" customHeight="1">
      <c r="A83202" s="7"/>
      <c r="B83202" s="7"/>
    </row>
    <row r="83203" ht="15.75" customHeight="1">
      <c r="A83203" s="7"/>
      <c r="B83203" s="7"/>
    </row>
    <row r="83204" ht="15.75" customHeight="1">
      <c r="A83204" s="7"/>
      <c r="B83204" s="7"/>
    </row>
    <row r="83205" ht="15.75" customHeight="1">
      <c r="A83205" s="7"/>
      <c r="B83205" s="7"/>
    </row>
    <row r="83206" ht="15.75" customHeight="1">
      <c r="A83206" s="7"/>
      <c r="B83206" s="7"/>
    </row>
    <row r="83207" ht="15.75" customHeight="1">
      <c r="A83207" s="7"/>
      <c r="B83207" s="7"/>
    </row>
    <row r="83208" ht="15.75" customHeight="1">
      <c r="A83208" s="7"/>
      <c r="B83208" s="7"/>
    </row>
    <row r="83209" ht="15.75" customHeight="1">
      <c r="A83209" s="7"/>
      <c r="B83209" s="7"/>
    </row>
    <row r="83210" ht="15.75" customHeight="1">
      <c r="A83210" s="7"/>
      <c r="B83210" s="7"/>
    </row>
    <row r="83211" ht="15.75" customHeight="1">
      <c r="A83211" s="7"/>
      <c r="B83211" s="7"/>
    </row>
    <row r="83212" ht="15.75" customHeight="1">
      <c r="A83212" s="7"/>
      <c r="B83212" s="7"/>
    </row>
    <row r="83213" ht="15.75" customHeight="1">
      <c r="A83213" s="7"/>
      <c r="B83213" s="7"/>
    </row>
    <row r="83214" ht="15.75" customHeight="1">
      <c r="A83214" s="7"/>
      <c r="B83214" s="7"/>
    </row>
    <row r="83215" ht="15.75" customHeight="1">
      <c r="A83215" s="7"/>
      <c r="B83215" s="7"/>
    </row>
    <row r="83216" ht="15.75" customHeight="1">
      <c r="A83216" s="7"/>
      <c r="B83216" s="7"/>
    </row>
    <row r="83217" ht="15.75" customHeight="1">
      <c r="A83217" s="7"/>
      <c r="B83217" s="7"/>
    </row>
    <row r="83218" ht="15.75" customHeight="1">
      <c r="A83218" s="7"/>
      <c r="B83218" s="7"/>
    </row>
    <row r="83219" ht="15.75" customHeight="1">
      <c r="A83219" s="7"/>
      <c r="B83219" s="7"/>
    </row>
    <row r="83220" ht="15.75" customHeight="1">
      <c r="A83220" s="7"/>
      <c r="B83220" s="7"/>
    </row>
    <row r="83221" ht="15.75" customHeight="1">
      <c r="A83221" s="7"/>
      <c r="B83221" s="7"/>
    </row>
    <row r="83222" ht="15.75" customHeight="1">
      <c r="A83222" s="7"/>
      <c r="B83222" s="7"/>
    </row>
    <row r="83223" ht="15.75" customHeight="1">
      <c r="A83223" s="7"/>
      <c r="B83223" s="7"/>
    </row>
    <row r="83224" ht="15.75" customHeight="1">
      <c r="A83224" s="7"/>
      <c r="B83224" s="7"/>
    </row>
    <row r="83225" ht="15.75" customHeight="1">
      <c r="A83225" s="7"/>
      <c r="B83225" s="7"/>
    </row>
    <row r="83226" ht="15.75" customHeight="1">
      <c r="A83226" s="7"/>
      <c r="B83226" s="7"/>
    </row>
    <row r="83227" ht="15.75" customHeight="1">
      <c r="A83227" s="7"/>
      <c r="B83227" s="7"/>
    </row>
    <row r="83228" ht="15.75" customHeight="1">
      <c r="A83228" s="7"/>
      <c r="B83228" s="7"/>
    </row>
    <row r="83229" ht="15.75" customHeight="1">
      <c r="A83229" s="7"/>
      <c r="B83229" s="7"/>
    </row>
    <row r="83230" ht="15.75" customHeight="1">
      <c r="A83230" s="7"/>
      <c r="B83230" s="7"/>
    </row>
    <row r="83231" ht="15.75" customHeight="1">
      <c r="A83231" s="7"/>
      <c r="B83231" s="7"/>
    </row>
    <row r="83232" ht="15.75" customHeight="1">
      <c r="A83232" s="7"/>
      <c r="B83232" s="7"/>
    </row>
    <row r="83233" ht="15.75" customHeight="1">
      <c r="A83233" s="7"/>
      <c r="B83233" s="7"/>
    </row>
    <row r="83234" ht="15.75" customHeight="1">
      <c r="A83234" s="7"/>
      <c r="B83234" s="7"/>
    </row>
    <row r="83235" ht="15.75" customHeight="1">
      <c r="A83235" s="7"/>
      <c r="B83235" s="7"/>
    </row>
    <row r="83236" ht="15.75" customHeight="1">
      <c r="A83236" s="7"/>
      <c r="B83236" s="7"/>
    </row>
    <row r="83237" ht="15.75" customHeight="1">
      <c r="A83237" s="7"/>
      <c r="B83237" s="7"/>
    </row>
    <row r="83238" ht="15.75" customHeight="1">
      <c r="A83238" s="7"/>
      <c r="B83238" s="7"/>
    </row>
    <row r="83239" ht="15.75" customHeight="1">
      <c r="A83239" s="7"/>
      <c r="B83239" s="7"/>
    </row>
    <row r="83240" ht="15.75" customHeight="1">
      <c r="A83240" s="7"/>
      <c r="B83240" s="7"/>
    </row>
    <row r="83241" ht="15.75" customHeight="1">
      <c r="A83241" s="7"/>
      <c r="B83241" s="7"/>
    </row>
    <row r="83242" ht="15.75" customHeight="1">
      <c r="A83242" s="7"/>
      <c r="B83242" s="7"/>
    </row>
    <row r="83243" ht="15.75" customHeight="1">
      <c r="A83243" s="7"/>
      <c r="B83243" s="7"/>
    </row>
    <row r="83244" ht="15.75" customHeight="1">
      <c r="A83244" s="7"/>
      <c r="B83244" s="7"/>
    </row>
    <row r="83245" ht="15.75" customHeight="1">
      <c r="A83245" s="7"/>
      <c r="B83245" s="7"/>
    </row>
    <row r="83246" ht="15.75" customHeight="1">
      <c r="A83246" s="7"/>
      <c r="B83246" s="7"/>
    </row>
    <row r="83247" ht="15.75" customHeight="1">
      <c r="A83247" s="7"/>
      <c r="B83247" s="7"/>
    </row>
    <row r="83248" ht="15.75" customHeight="1">
      <c r="A83248" s="7"/>
      <c r="B83248" s="7"/>
    </row>
    <row r="83249" ht="15.75" customHeight="1">
      <c r="A83249" s="7"/>
      <c r="B83249" s="7"/>
    </row>
    <row r="83250" ht="15.75" customHeight="1">
      <c r="A83250" s="7"/>
      <c r="B83250" s="7"/>
    </row>
    <row r="83251" ht="15.75" customHeight="1">
      <c r="A83251" s="7"/>
      <c r="B83251" s="7"/>
    </row>
    <row r="83252" ht="15.75" customHeight="1">
      <c r="A83252" s="7"/>
      <c r="B83252" s="7"/>
    </row>
    <row r="83253" ht="15.75" customHeight="1">
      <c r="A83253" s="7"/>
      <c r="B83253" s="7"/>
    </row>
    <row r="83254" ht="15.75" customHeight="1">
      <c r="A83254" s="7"/>
      <c r="B83254" s="7"/>
    </row>
    <row r="83255" ht="15.75" customHeight="1">
      <c r="A83255" s="7"/>
      <c r="B83255" s="7"/>
    </row>
    <row r="83256" ht="15.75" customHeight="1">
      <c r="A83256" s="7"/>
      <c r="B83256" s="7"/>
    </row>
    <row r="83257" ht="15.75" customHeight="1">
      <c r="A83257" s="7"/>
      <c r="B83257" s="7"/>
    </row>
    <row r="83258" ht="15.75" customHeight="1">
      <c r="A83258" s="7"/>
      <c r="B83258" s="7"/>
    </row>
    <row r="83259" ht="15.75" customHeight="1">
      <c r="A83259" s="7"/>
      <c r="B83259" s="7"/>
    </row>
    <row r="83260" ht="15.75" customHeight="1">
      <c r="A83260" s="7"/>
      <c r="B83260" s="7"/>
    </row>
    <row r="83261" ht="15.75" customHeight="1">
      <c r="A83261" s="7"/>
      <c r="B83261" s="7"/>
    </row>
    <row r="83262" ht="15.75" customHeight="1">
      <c r="A83262" s="7"/>
      <c r="B83262" s="7"/>
    </row>
    <row r="83263" ht="15.75" customHeight="1">
      <c r="A83263" s="7"/>
      <c r="B83263" s="7"/>
    </row>
    <row r="83264" ht="15.75" customHeight="1">
      <c r="A83264" s="7"/>
      <c r="B83264" s="7"/>
    </row>
    <row r="83265" ht="15.75" customHeight="1">
      <c r="A83265" s="7"/>
      <c r="B83265" s="7"/>
    </row>
    <row r="83266" ht="15.75" customHeight="1">
      <c r="A83266" s="7"/>
      <c r="B83266" s="7"/>
    </row>
    <row r="83267" ht="15.75" customHeight="1">
      <c r="A83267" s="7"/>
      <c r="B83267" s="7"/>
    </row>
    <row r="83268" ht="15.75" customHeight="1">
      <c r="A83268" s="7"/>
      <c r="B83268" s="7"/>
    </row>
    <row r="83269" ht="15.75" customHeight="1">
      <c r="A83269" s="7"/>
      <c r="B83269" s="7"/>
    </row>
    <row r="83270" ht="15.75" customHeight="1">
      <c r="A83270" s="7"/>
      <c r="B83270" s="7"/>
    </row>
    <row r="83271" ht="15.75" customHeight="1">
      <c r="A83271" s="7"/>
      <c r="B83271" s="7"/>
    </row>
    <row r="83272" ht="15.75" customHeight="1">
      <c r="A83272" s="7"/>
      <c r="B83272" s="7"/>
    </row>
    <row r="83273" ht="15.75" customHeight="1">
      <c r="A83273" s="7"/>
      <c r="B83273" s="7"/>
    </row>
    <row r="83274" ht="15.75" customHeight="1">
      <c r="A83274" s="7"/>
      <c r="B83274" s="7"/>
    </row>
    <row r="83275" ht="15.75" customHeight="1">
      <c r="A83275" s="7"/>
      <c r="B83275" s="7"/>
    </row>
    <row r="83276" ht="15.75" customHeight="1">
      <c r="A83276" s="7"/>
      <c r="B83276" s="7"/>
    </row>
    <row r="83277" ht="15.75" customHeight="1">
      <c r="A83277" s="7"/>
      <c r="B83277" s="7"/>
    </row>
    <row r="83278" ht="15.75" customHeight="1">
      <c r="A83278" s="7"/>
      <c r="B83278" s="7"/>
    </row>
    <row r="83279" ht="15.75" customHeight="1">
      <c r="A83279" s="7"/>
      <c r="B83279" s="7"/>
    </row>
    <row r="83280" ht="15.75" customHeight="1">
      <c r="A83280" s="7"/>
      <c r="B83280" s="7"/>
    </row>
    <row r="83281" ht="15.75" customHeight="1">
      <c r="A83281" s="7"/>
      <c r="B83281" s="7"/>
    </row>
    <row r="83282" ht="15.75" customHeight="1">
      <c r="A83282" s="7"/>
      <c r="B83282" s="7"/>
    </row>
    <row r="83283" ht="15.75" customHeight="1">
      <c r="A83283" s="7"/>
      <c r="B83283" s="7"/>
    </row>
    <row r="83284" ht="15.75" customHeight="1">
      <c r="A83284" s="7"/>
      <c r="B83284" s="7"/>
    </row>
    <row r="83285" ht="15.75" customHeight="1">
      <c r="A83285" s="7"/>
      <c r="B83285" s="7"/>
    </row>
    <row r="83286" ht="15.75" customHeight="1">
      <c r="A83286" s="7"/>
      <c r="B83286" s="7"/>
    </row>
    <row r="83287" ht="15.75" customHeight="1">
      <c r="A83287" s="7"/>
      <c r="B83287" s="7"/>
    </row>
    <row r="83288" ht="15.75" customHeight="1">
      <c r="A83288" s="7"/>
      <c r="B83288" s="7"/>
    </row>
    <row r="83289" ht="15.75" customHeight="1">
      <c r="A83289" s="7"/>
      <c r="B83289" s="7"/>
    </row>
    <row r="83290" ht="15.75" customHeight="1">
      <c r="A83290" s="7"/>
      <c r="B83290" s="7"/>
    </row>
    <row r="83291" ht="15.75" customHeight="1">
      <c r="A83291" s="7"/>
      <c r="B83291" s="7"/>
    </row>
    <row r="83292" ht="15.75" customHeight="1">
      <c r="A83292" s="7"/>
      <c r="B83292" s="7"/>
    </row>
    <row r="83293" ht="15.75" customHeight="1">
      <c r="A83293" s="7"/>
      <c r="B83293" s="7"/>
    </row>
    <row r="83294" ht="15.75" customHeight="1">
      <c r="A83294" s="7"/>
      <c r="B83294" s="7"/>
    </row>
    <row r="83295" ht="15.75" customHeight="1">
      <c r="A83295" s="7"/>
      <c r="B83295" s="7"/>
    </row>
    <row r="83296" ht="15.75" customHeight="1">
      <c r="A83296" s="7"/>
      <c r="B83296" s="7"/>
    </row>
    <row r="83297" ht="15.75" customHeight="1">
      <c r="A83297" s="7"/>
      <c r="B83297" s="7"/>
    </row>
    <row r="83298" ht="15.75" customHeight="1">
      <c r="A83298" s="7"/>
      <c r="B83298" s="7"/>
    </row>
    <row r="83299" ht="15.75" customHeight="1">
      <c r="A83299" s="7"/>
      <c r="B83299" s="7"/>
    </row>
    <row r="83300" ht="15.75" customHeight="1">
      <c r="A83300" s="7"/>
      <c r="B83300" s="7"/>
    </row>
    <row r="83301" ht="15.75" customHeight="1">
      <c r="A83301" s="7"/>
      <c r="B83301" s="7"/>
    </row>
    <row r="83302" ht="15.75" customHeight="1">
      <c r="A83302" s="7"/>
      <c r="B83302" s="7"/>
    </row>
    <row r="83303" ht="15.75" customHeight="1">
      <c r="A83303" s="7"/>
      <c r="B83303" s="7"/>
    </row>
    <row r="83304" ht="15.75" customHeight="1">
      <c r="A83304" s="7"/>
      <c r="B83304" s="7"/>
    </row>
    <row r="83305" ht="15.75" customHeight="1">
      <c r="A83305" s="7"/>
      <c r="B83305" s="7"/>
    </row>
    <row r="83306" ht="15.75" customHeight="1">
      <c r="A83306" s="7"/>
      <c r="B83306" s="7"/>
    </row>
    <row r="83307" ht="15.75" customHeight="1">
      <c r="A83307" s="7"/>
      <c r="B83307" s="7"/>
    </row>
    <row r="83308" ht="15.75" customHeight="1">
      <c r="A83308" s="7"/>
      <c r="B83308" s="7"/>
    </row>
    <row r="83309" ht="15.75" customHeight="1">
      <c r="A83309" s="7"/>
      <c r="B83309" s="7"/>
    </row>
    <row r="83310" ht="15.75" customHeight="1">
      <c r="A83310" s="7"/>
      <c r="B83310" s="7"/>
    </row>
    <row r="83311" ht="15.75" customHeight="1">
      <c r="A83311" s="7"/>
      <c r="B83311" s="7"/>
    </row>
    <row r="83312" ht="15.75" customHeight="1">
      <c r="A83312" s="7"/>
      <c r="B83312" s="7"/>
    </row>
    <row r="83313" ht="15.75" customHeight="1">
      <c r="A83313" s="7"/>
      <c r="B83313" s="7"/>
    </row>
    <row r="83314" ht="15.75" customHeight="1">
      <c r="A83314" s="7"/>
      <c r="B83314" s="7"/>
    </row>
    <row r="83315" ht="15.75" customHeight="1">
      <c r="A83315" s="7"/>
      <c r="B83315" s="7"/>
    </row>
    <row r="83316" ht="15.75" customHeight="1">
      <c r="A83316" s="7"/>
      <c r="B83316" s="7"/>
    </row>
    <row r="83317" ht="15.75" customHeight="1">
      <c r="A83317" s="7"/>
      <c r="B83317" s="7"/>
    </row>
    <row r="83318" ht="15.75" customHeight="1">
      <c r="A83318" s="7"/>
      <c r="B83318" s="7"/>
    </row>
    <row r="83319" ht="15.75" customHeight="1">
      <c r="A83319" s="7"/>
      <c r="B83319" s="7"/>
    </row>
    <row r="83320" ht="15.75" customHeight="1">
      <c r="A83320" s="7"/>
      <c r="B83320" s="7"/>
    </row>
    <row r="83321" ht="15.75" customHeight="1">
      <c r="A83321" s="7"/>
      <c r="B83321" s="7"/>
    </row>
    <row r="83322" ht="15.75" customHeight="1">
      <c r="A83322" s="7"/>
      <c r="B83322" s="7"/>
    </row>
    <row r="83323" ht="15.75" customHeight="1">
      <c r="A83323" s="7"/>
      <c r="B83323" s="7"/>
    </row>
    <row r="83324" ht="15.75" customHeight="1">
      <c r="A83324" s="7"/>
      <c r="B83324" s="7"/>
    </row>
    <row r="83325" ht="15.75" customHeight="1">
      <c r="A83325" s="7"/>
      <c r="B83325" s="7"/>
    </row>
    <row r="83326" ht="15.75" customHeight="1">
      <c r="A83326" s="7"/>
      <c r="B83326" s="7"/>
    </row>
    <row r="83327" ht="15.75" customHeight="1">
      <c r="A83327" s="7"/>
      <c r="B83327" s="7"/>
    </row>
    <row r="83328" ht="15.75" customHeight="1">
      <c r="A83328" s="7"/>
      <c r="B83328" s="7"/>
    </row>
    <row r="83329" ht="15.75" customHeight="1">
      <c r="A83329" s="7"/>
      <c r="B83329" s="7"/>
    </row>
    <row r="83330" ht="15.75" customHeight="1">
      <c r="A83330" s="7"/>
      <c r="B83330" s="7"/>
    </row>
    <row r="83331" ht="15.75" customHeight="1">
      <c r="A83331" s="7"/>
      <c r="B83331" s="7"/>
    </row>
    <row r="83332" ht="15.75" customHeight="1">
      <c r="A83332" s="7"/>
      <c r="B83332" s="7"/>
    </row>
    <row r="83333" ht="15.75" customHeight="1">
      <c r="A83333" s="7"/>
      <c r="B83333" s="7"/>
    </row>
    <row r="83334" ht="15.75" customHeight="1">
      <c r="A83334" s="7"/>
      <c r="B83334" s="7"/>
    </row>
    <row r="83335" ht="15.75" customHeight="1">
      <c r="A83335" s="7"/>
      <c r="B83335" s="7"/>
    </row>
    <row r="83336" ht="15.75" customHeight="1">
      <c r="A83336" s="7"/>
      <c r="B83336" s="7"/>
    </row>
    <row r="83337" ht="15.75" customHeight="1">
      <c r="A83337" s="7"/>
      <c r="B83337" s="7"/>
    </row>
    <row r="83338" ht="15.75" customHeight="1">
      <c r="A83338" s="7"/>
      <c r="B83338" s="7"/>
    </row>
    <row r="83339" ht="15.75" customHeight="1">
      <c r="A83339" s="7"/>
      <c r="B83339" s="7"/>
    </row>
    <row r="83340" ht="15.75" customHeight="1">
      <c r="A83340" s="7"/>
      <c r="B83340" s="7"/>
    </row>
    <row r="83341" ht="15.75" customHeight="1">
      <c r="A83341" s="7"/>
      <c r="B83341" s="7"/>
    </row>
    <row r="83342" ht="15.75" customHeight="1">
      <c r="A83342" s="7"/>
      <c r="B83342" s="7"/>
    </row>
    <row r="83343" ht="15.75" customHeight="1">
      <c r="A83343" s="7"/>
      <c r="B83343" s="7"/>
    </row>
    <row r="83344" ht="15.75" customHeight="1">
      <c r="A83344" s="7"/>
      <c r="B83344" s="7"/>
    </row>
    <row r="83345" ht="15.75" customHeight="1">
      <c r="A83345" s="7"/>
      <c r="B83345" s="7"/>
    </row>
    <row r="83346" ht="15.75" customHeight="1">
      <c r="A83346" s="7"/>
      <c r="B83346" s="7"/>
    </row>
    <row r="83347" ht="15.75" customHeight="1">
      <c r="A83347" s="7"/>
      <c r="B83347" s="7"/>
    </row>
    <row r="83348" ht="15.75" customHeight="1">
      <c r="A83348" s="7"/>
      <c r="B83348" s="7"/>
    </row>
    <row r="83349" ht="15.75" customHeight="1">
      <c r="A83349" s="7"/>
      <c r="B83349" s="7"/>
    </row>
    <row r="83350" ht="15.75" customHeight="1">
      <c r="A83350" s="7"/>
      <c r="B83350" s="7"/>
    </row>
    <row r="83351" ht="15.75" customHeight="1">
      <c r="A83351" s="7"/>
      <c r="B83351" s="7"/>
    </row>
    <row r="83352" ht="15.75" customHeight="1">
      <c r="A83352" s="7"/>
      <c r="B83352" s="7"/>
    </row>
    <row r="83353" ht="15.75" customHeight="1">
      <c r="A83353" s="7"/>
      <c r="B83353" s="7"/>
    </row>
    <row r="83354" ht="15.75" customHeight="1">
      <c r="A83354" s="7"/>
      <c r="B83354" s="7"/>
    </row>
    <row r="83355" ht="15.75" customHeight="1">
      <c r="A83355" s="7"/>
      <c r="B83355" s="7"/>
    </row>
    <row r="83356" ht="15.75" customHeight="1">
      <c r="A83356" s="7"/>
      <c r="B83356" s="7"/>
    </row>
    <row r="83357" ht="15.75" customHeight="1">
      <c r="A83357" s="7"/>
      <c r="B83357" s="7"/>
    </row>
    <row r="83358" ht="15.75" customHeight="1">
      <c r="A83358" s="7"/>
      <c r="B83358" s="7"/>
    </row>
    <row r="83359" ht="15.75" customHeight="1">
      <c r="A83359" s="7"/>
      <c r="B83359" s="7"/>
    </row>
    <row r="83360" ht="15.75" customHeight="1">
      <c r="A83360" s="7"/>
      <c r="B83360" s="7"/>
    </row>
    <row r="83361" ht="15.75" customHeight="1">
      <c r="A83361" s="7"/>
      <c r="B83361" s="7"/>
    </row>
    <row r="83362" ht="15.75" customHeight="1">
      <c r="A83362" s="7"/>
      <c r="B83362" s="7"/>
    </row>
    <row r="83363" ht="15.75" customHeight="1">
      <c r="A83363" s="7"/>
      <c r="B83363" s="7"/>
    </row>
    <row r="83364" ht="15.75" customHeight="1">
      <c r="A83364" s="7"/>
      <c r="B83364" s="7"/>
    </row>
    <row r="83365" ht="15.75" customHeight="1">
      <c r="A83365" s="7"/>
      <c r="B83365" s="7"/>
    </row>
    <row r="83366" ht="15.75" customHeight="1">
      <c r="A83366" s="7"/>
      <c r="B83366" s="7"/>
    </row>
    <row r="83367" ht="15.75" customHeight="1">
      <c r="A83367" s="7"/>
      <c r="B83367" s="7"/>
    </row>
    <row r="83368" ht="15.75" customHeight="1">
      <c r="A83368" s="7"/>
      <c r="B83368" s="7"/>
    </row>
    <row r="83369" ht="15.75" customHeight="1">
      <c r="A83369" s="7"/>
      <c r="B83369" s="7"/>
    </row>
    <row r="83370" ht="15.75" customHeight="1">
      <c r="A83370" s="7"/>
      <c r="B83370" s="7"/>
    </row>
    <row r="83371" ht="15.75" customHeight="1">
      <c r="A83371" s="7"/>
      <c r="B83371" s="7"/>
    </row>
    <row r="83372" ht="15.75" customHeight="1">
      <c r="A83372" s="7"/>
      <c r="B83372" s="7"/>
    </row>
    <row r="83373" ht="15.75" customHeight="1">
      <c r="A83373" s="7"/>
      <c r="B83373" s="7"/>
    </row>
    <row r="83374" ht="15.75" customHeight="1">
      <c r="A83374" s="7"/>
      <c r="B83374" s="7"/>
    </row>
    <row r="83375" ht="15.75" customHeight="1">
      <c r="A83375" s="7"/>
      <c r="B83375" s="7"/>
    </row>
    <row r="83376" ht="15.75" customHeight="1">
      <c r="A83376" s="7"/>
      <c r="B83376" s="7"/>
    </row>
    <row r="83377" ht="15.75" customHeight="1">
      <c r="A83377" s="7"/>
      <c r="B83377" s="7"/>
    </row>
    <row r="83378" ht="15.75" customHeight="1">
      <c r="A83378" s="7"/>
      <c r="B83378" s="7"/>
    </row>
    <row r="83379" ht="15.75" customHeight="1">
      <c r="A83379" s="7"/>
      <c r="B83379" s="7"/>
    </row>
    <row r="83380" ht="15.75" customHeight="1">
      <c r="A83380" s="7"/>
      <c r="B83380" s="7"/>
    </row>
    <row r="83381" ht="15.75" customHeight="1">
      <c r="A83381" s="7"/>
      <c r="B83381" s="7"/>
    </row>
    <row r="83382" ht="15.75" customHeight="1">
      <c r="A83382" s="7"/>
      <c r="B83382" s="7"/>
    </row>
    <row r="83383" ht="15.75" customHeight="1">
      <c r="A83383" s="7"/>
      <c r="B83383" s="7"/>
    </row>
    <row r="83384" ht="15.75" customHeight="1">
      <c r="A83384" s="7"/>
      <c r="B83384" s="7"/>
    </row>
    <row r="83385" ht="15.75" customHeight="1">
      <c r="A83385" s="7"/>
      <c r="B83385" s="7"/>
    </row>
    <row r="83386" ht="15.75" customHeight="1">
      <c r="A83386" s="7"/>
      <c r="B83386" s="7"/>
    </row>
    <row r="83387" ht="15.75" customHeight="1">
      <c r="A83387" s="7"/>
      <c r="B83387" s="7"/>
    </row>
    <row r="83388" ht="15.75" customHeight="1">
      <c r="A83388" s="7"/>
      <c r="B83388" s="7"/>
    </row>
    <row r="83389" ht="15.75" customHeight="1">
      <c r="A83389" s="7"/>
      <c r="B83389" s="7"/>
    </row>
    <row r="83390" ht="15.75" customHeight="1">
      <c r="A83390" s="7"/>
      <c r="B83390" s="7"/>
    </row>
    <row r="83391" ht="15.75" customHeight="1">
      <c r="A83391" s="7"/>
      <c r="B83391" s="7"/>
    </row>
    <row r="83392" ht="15.75" customHeight="1">
      <c r="A83392" s="7"/>
      <c r="B83392" s="7"/>
    </row>
    <row r="83393" ht="15.75" customHeight="1">
      <c r="A83393" s="7"/>
      <c r="B83393" s="7"/>
    </row>
    <row r="83394" ht="15.75" customHeight="1">
      <c r="A83394" s="7"/>
      <c r="B83394" s="7"/>
    </row>
    <row r="83395" ht="15.75" customHeight="1">
      <c r="A83395" s="7"/>
      <c r="B83395" s="7"/>
    </row>
    <row r="83396" ht="15.75" customHeight="1">
      <c r="A83396" s="7"/>
      <c r="B83396" s="7"/>
    </row>
    <row r="83397" ht="15.75" customHeight="1">
      <c r="A83397" s="7"/>
      <c r="B83397" s="7"/>
    </row>
    <row r="83398" ht="15.75" customHeight="1">
      <c r="A83398" s="7"/>
      <c r="B83398" s="7"/>
    </row>
    <row r="83399" ht="15.75" customHeight="1">
      <c r="A83399" s="7"/>
      <c r="B83399" s="7"/>
    </row>
    <row r="83400" ht="15.75" customHeight="1">
      <c r="A83400" s="7"/>
      <c r="B83400" s="7"/>
    </row>
    <row r="83401" ht="15.75" customHeight="1">
      <c r="A83401" s="7"/>
      <c r="B83401" s="7"/>
    </row>
    <row r="83402" ht="15.75" customHeight="1">
      <c r="A83402" s="7"/>
      <c r="B83402" s="7"/>
    </row>
    <row r="83403" ht="15.75" customHeight="1">
      <c r="A83403" s="7"/>
      <c r="B83403" s="7"/>
    </row>
    <row r="83404" ht="15.75" customHeight="1">
      <c r="A83404" s="7"/>
      <c r="B83404" s="7"/>
    </row>
    <row r="83405" ht="15.75" customHeight="1">
      <c r="A83405" s="7"/>
      <c r="B83405" s="7"/>
    </row>
    <row r="83406" ht="15.75" customHeight="1">
      <c r="A83406" s="7"/>
      <c r="B83406" s="7"/>
    </row>
    <row r="83407" ht="15.75" customHeight="1">
      <c r="A83407" s="7"/>
      <c r="B83407" s="7"/>
    </row>
    <row r="83408" ht="15.75" customHeight="1">
      <c r="A83408" s="7"/>
      <c r="B83408" s="7"/>
    </row>
    <row r="83409" ht="15.75" customHeight="1">
      <c r="A83409" s="7"/>
      <c r="B83409" s="7"/>
    </row>
    <row r="83410" ht="15.75" customHeight="1">
      <c r="A83410" s="7"/>
      <c r="B83410" s="7"/>
    </row>
    <row r="83411" ht="15.75" customHeight="1">
      <c r="A83411" s="7"/>
      <c r="B83411" s="7"/>
    </row>
    <row r="83412" ht="15.75" customHeight="1">
      <c r="A83412" s="7"/>
      <c r="B83412" s="7"/>
    </row>
    <row r="83413" ht="15.75" customHeight="1">
      <c r="A83413" s="7"/>
      <c r="B83413" s="7"/>
    </row>
    <row r="83414" ht="15.75" customHeight="1">
      <c r="A83414" s="7"/>
      <c r="B83414" s="7"/>
    </row>
    <row r="83415" ht="15.75" customHeight="1">
      <c r="A83415" s="7"/>
      <c r="B83415" s="7"/>
    </row>
    <row r="83416" ht="15.75" customHeight="1">
      <c r="A83416" s="7"/>
      <c r="B83416" s="7"/>
    </row>
    <row r="83417" ht="15.75" customHeight="1">
      <c r="A83417" s="7"/>
      <c r="B83417" s="7"/>
    </row>
    <row r="83418" ht="15.75" customHeight="1">
      <c r="A83418" s="7"/>
      <c r="B83418" s="7"/>
    </row>
    <row r="83419" ht="15.75" customHeight="1">
      <c r="A83419" s="7"/>
      <c r="B83419" s="7"/>
    </row>
    <row r="83420" ht="15.75" customHeight="1">
      <c r="A83420" s="7"/>
      <c r="B83420" s="7"/>
    </row>
    <row r="83421" ht="15.75" customHeight="1">
      <c r="A83421" s="7"/>
      <c r="B83421" s="7"/>
    </row>
    <row r="83422" ht="15.75" customHeight="1">
      <c r="A83422" s="7"/>
      <c r="B83422" s="7"/>
    </row>
    <row r="83423" ht="15.75" customHeight="1">
      <c r="A83423" s="7"/>
      <c r="B83423" s="7"/>
    </row>
    <row r="83424" ht="15.75" customHeight="1">
      <c r="A83424" s="7"/>
      <c r="B83424" s="7"/>
    </row>
    <row r="83425" ht="15.75" customHeight="1">
      <c r="A83425" s="7"/>
      <c r="B83425" s="7"/>
    </row>
    <row r="83426" ht="15.75" customHeight="1">
      <c r="A83426" s="7"/>
      <c r="B83426" s="7"/>
    </row>
    <row r="83427" ht="15.75" customHeight="1">
      <c r="A83427" s="7"/>
      <c r="B83427" s="7"/>
    </row>
    <row r="83428" ht="15.75" customHeight="1">
      <c r="A83428" s="7"/>
      <c r="B83428" s="7"/>
    </row>
    <row r="83429" ht="15.75" customHeight="1">
      <c r="A83429" s="7"/>
      <c r="B83429" s="7"/>
    </row>
    <row r="83430" ht="15.75" customHeight="1">
      <c r="A83430" s="7"/>
      <c r="B83430" s="7"/>
    </row>
    <row r="83431" ht="15.75" customHeight="1">
      <c r="A83431" s="7"/>
      <c r="B83431" s="7"/>
    </row>
    <row r="83432" ht="15.75" customHeight="1">
      <c r="A83432" s="7"/>
      <c r="B83432" s="7"/>
    </row>
    <row r="83433" ht="15.75" customHeight="1">
      <c r="A83433" s="7"/>
      <c r="B83433" s="7"/>
    </row>
    <row r="83434" ht="15.75" customHeight="1">
      <c r="A83434" s="7"/>
      <c r="B83434" s="7"/>
    </row>
    <row r="83435" ht="15.75" customHeight="1">
      <c r="A83435" s="7"/>
      <c r="B83435" s="7"/>
    </row>
    <row r="83436" ht="15.75" customHeight="1">
      <c r="A83436" s="7"/>
      <c r="B83436" s="7"/>
    </row>
    <row r="83437" ht="15.75" customHeight="1">
      <c r="A83437" s="7"/>
      <c r="B83437" s="7"/>
    </row>
    <row r="83438" ht="15.75" customHeight="1">
      <c r="A83438" s="7"/>
      <c r="B83438" s="7"/>
    </row>
    <row r="83439" ht="15.75" customHeight="1">
      <c r="A83439" s="7"/>
      <c r="B83439" s="7"/>
    </row>
    <row r="83440" ht="15.75" customHeight="1">
      <c r="A83440" s="7"/>
      <c r="B83440" s="7"/>
    </row>
    <row r="83441" ht="15.75" customHeight="1">
      <c r="A83441" s="7"/>
      <c r="B83441" s="7"/>
    </row>
    <row r="83442" ht="15.75" customHeight="1">
      <c r="A83442" s="7"/>
      <c r="B83442" s="7"/>
    </row>
    <row r="83443" ht="15.75" customHeight="1">
      <c r="A83443" s="7"/>
      <c r="B83443" s="7"/>
    </row>
    <row r="83444" ht="15.75" customHeight="1">
      <c r="A83444" s="7"/>
      <c r="B83444" s="7"/>
    </row>
    <row r="83445" ht="15.75" customHeight="1">
      <c r="A83445" s="7"/>
      <c r="B83445" s="7"/>
    </row>
    <row r="83446" ht="15.75" customHeight="1">
      <c r="A83446" s="7"/>
      <c r="B83446" s="7"/>
    </row>
    <row r="83447" ht="15.75" customHeight="1">
      <c r="A83447" s="7"/>
      <c r="B83447" s="7"/>
    </row>
    <row r="83448" ht="15.75" customHeight="1">
      <c r="A83448" s="7"/>
      <c r="B83448" s="7"/>
    </row>
    <row r="83449" ht="15.75" customHeight="1">
      <c r="A83449" s="7"/>
      <c r="B83449" s="7"/>
    </row>
    <row r="83450" ht="15.75" customHeight="1">
      <c r="A83450" s="7"/>
      <c r="B83450" s="7"/>
    </row>
    <row r="83451" ht="15.75" customHeight="1">
      <c r="A83451" s="7"/>
      <c r="B83451" s="7"/>
    </row>
    <row r="83452" ht="15.75" customHeight="1">
      <c r="A83452" s="7"/>
      <c r="B83452" s="7"/>
    </row>
    <row r="83453" ht="15.75" customHeight="1">
      <c r="A83453" s="7"/>
      <c r="B83453" s="7"/>
    </row>
    <row r="83454" ht="15.75" customHeight="1">
      <c r="A83454" s="7"/>
      <c r="B83454" s="7"/>
    </row>
    <row r="83455" ht="15.75" customHeight="1">
      <c r="A83455" s="7"/>
      <c r="B83455" s="7"/>
    </row>
    <row r="83456" ht="15.75" customHeight="1">
      <c r="A83456" s="7"/>
      <c r="B83456" s="7"/>
    </row>
    <row r="83457" ht="15.75" customHeight="1">
      <c r="A83457" s="7"/>
      <c r="B83457" s="7"/>
    </row>
    <row r="83458" ht="15.75" customHeight="1">
      <c r="A83458" s="7"/>
      <c r="B83458" s="7"/>
    </row>
    <row r="83459" ht="15.75" customHeight="1">
      <c r="A83459" s="7"/>
      <c r="B83459" s="7"/>
    </row>
    <row r="83460" ht="15.75" customHeight="1">
      <c r="A83460" s="7"/>
      <c r="B83460" s="7"/>
    </row>
    <row r="83461" ht="15.75" customHeight="1">
      <c r="A83461" s="7"/>
      <c r="B83461" s="7"/>
    </row>
    <row r="83462" ht="15.75" customHeight="1">
      <c r="A83462" s="7"/>
      <c r="B83462" s="7"/>
    </row>
    <row r="83463" ht="15.75" customHeight="1">
      <c r="A83463" s="7"/>
      <c r="B83463" s="7"/>
    </row>
    <row r="83464" ht="15.75" customHeight="1">
      <c r="A83464" s="7"/>
      <c r="B83464" s="7"/>
    </row>
    <row r="83465" ht="15.75" customHeight="1">
      <c r="A83465" s="7"/>
      <c r="B83465" s="7"/>
    </row>
    <row r="83466" ht="15.75" customHeight="1">
      <c r="A83466" s="7"/>
      <c r="B83466" s="7"/>
    </row>
    <row r="83467" ht="15.75" customHeight="1">
      <c r="A83467" s="7"/>
      <c r="B83467" s="7"/>
    </row>
    <row r="83468" ht="15.75" customHeight="1">
      <c r="A83468" s="7"/>
      <c r="B83468" s="7"/>
    </row>
    <row r="83469" ht="15.75" customHeight="1">
      <c r="A83469" s="7"/>
      <c r="B83469" s="7"/>
    </row>
    <row r="83470" ht="15.75" customHeight="1">
      <c r="A83470" s="7"/>
      <c r="B83470" s="7"/>
    </row>
    <row r="83471" ht="15.75" customHeight="1">
      <c r="A83471" s="7"/>
      <c r="B83471" s="7"/>
    </row>
    <row r="83472" ht="15.75" customHeight="1">
      <c r="A83472" s="7"/>
      <c r="B83472" s="7"/>
    </row>
    <row r="83473" ht="15.75" customHeight="1">
      <c r="A83473" s="7"/>
      <c r="B83473" s="7"/>
    </row>
    <row r="83474" ht="15.75" customHeight="1">
      <c r="A83474" s="7"/>
      <c r="B83474" s="7"/>
    </row>
    <row r="83475" ht="15.75" customHeight="1">
      <c r="A83475" s="7"/>
      <c r="B83475" s="7"/>
    </row>
    <row r="83476" ht="15.75" customHeight="1">
      <c r="A83476" s="7"/>
      <c r="B83476" s="7"/>
    </row>
    <row r="83477" ht="15.75" customHeight="1">
      <c r="A83477" s="7"/>
      <c r="B83477" s="7"/>
    </row>
    <row r="83478" ht="15.75" customHeight="1">
      <c r="A83478" s="7"/>
      <c r="B83478" s="7"/>
    </row>
    <row r="83479" ht="15.75" customHeight="1">
      <c r="A83479" s="7"/>
      <c r="B83479" s="7"/>
    </row>
    <row r="83480" ht="15.75" customHeight="1">
      <c r="A83480" s="7"/>
      <c r="B83480" s="7"/>
    </row>
    <row r="83481" ht="15.75" customHeight="1">
      <c r="A83481" s="7"/>
      <c r="B83481" s="7"/>
    </row>
    <row r="83482" ht="15.75" customHeight="1">
      <c r="A83482" s="7"/>
      <c r="B83482" s="7"/>
    </row>
    <row r="83483" ht="15.75" customHeight="1">
      <c r="A83483" s="7"/>
      <c r="B83483" s="7"/>
    </row>
    <row r="83484" ht="15.75" customHeight="1">
      <c r="A83484" s="7"/>
      <c r="B83484" s="7"/>
    </row>
    <row r="83485" ht="15.75" customHeight="1">
      <c r="A83485" s="7"/>
      <c r="B83485" s="7"/>
    </row>
    <row r="83486" ht="15.75" customHeight="1">
      <c r="A83486" s="7"/>
      <c r="B83486" s="7"/>
    </row>
    <row r="83487" ht="15.75" customHeight="1">
      <c r="A83487" s="7"/>
      <c r="B83487" s="7"/>
    </row>
    <row r="83488" ht="15.75" customHeight="1">
      <c r="A83488" s="7"/>
      <c r="B83488" s="7"/>
    </row>
    <row r="83489" ht="15.75" customHeight="1">
      <c r="A83489" s="7"/>
      <c r="B83489" s="7"/>
    </row>
    <row r="83490" ht="15.75" customHeight="1">
      <c r="A83490" s="7"/>
      <c r="B83490" s="7"/>
    </row>
    <row r="83491" ht="15.75" customHeight="1">
      <c r="A83491" s="7"/>
      <c r="B83491" s="7"/>
    </row>
    <row r="83492" ht="15.75" customHeight="1">
      <c r="A83492" s="7"/>
      <c r="B83492" s="7"/>
    </row>
    <row r="83493" ht="15.75" customHeight="1">
      <c r="A83493" s="7"/>
      <c r="B83493" s="7"/>
    </row>
    <row r="83494" ht="15.75" customHeight="1">
      <c r="A83494" s="7"/>
      <c r="B83494" s="7"/>
    </row>
    <row r="83495" ht="15.75" customHeight="1">
      <c r="A83495" s="7"/>
      <c r="B83495" s="7"/>
    </row>
    <row r="83496" ht="15.75" customHeight="1">
      <c r="A83496" s="7"/>
      <c r="B83496" s="7"/>
    </row>
    <row r="83497" ht="15.75" customHeight="1">
      <c r="A83497" s="7"/>
      <c r="B83497" s="7"/>
    </row>
    <row r="83498" ht="15.75" customHeight="1">
      <c r="A83498" s="7"/>
      <c r="B83498" s="7"/>
    </row>
    <row r="83499" ht="15.75" customHeight="1">
      <c r="A83499" s="7"/>
      <c r="B83499" s="7"/>
    </row>
    <row r="83500" ht="15.75" customHeight="1">
      <c r="A83500" s="7"/>
      <c r="B83500" s="7"/>
    </row>
    <row r="83501" ht="15.75" customHeight="1">
      <c r="A83501" s="7"/>
      <c r="B83501" s="7"/>
    </row>
    <row r="83502" ht="15.75" customHeight="1">
      <c r="A83502" s="7"/>
      <c r="B83502" s="7"/>
    </row>
    <row r="83503" ht="15.75" customHeight="1">
      <c r="A83503" s="7"/>
      <c r="B83503" s="7"/>
    </row>
    <row r="83504" ht="15.75" customHeight="1">
      <c r="A83504" s="7"/>
      <c r="B83504" s="7"/>
    </row>
    <row r="83505" ht="15.75" customHeight="1">
      <c r="A83505" s="7"/>
      <c r="B83505" s="7"/>
    </row>
    <row r="83506" ht="15.75" customHeight="1">
      <c r="A83506" s="7"/>
      <c r="B83506" s="7"/>
    </row>
    <row r="83507" ht="15.75" customHeight="1">
      <c r="A83507" s="7"/>
      <c r="B83507" s="7"/>
    </row>
    <row r="83508" ht="15.75" customHeight="1">
      <c r="A83508" s="7"/>
      <c r="B83508" s="7"/>
    </row>
    <row r="83509" ht="15.75" customHeight="1">
      <c r="A83509" s="7"/>
      <c r="B83509" s="7"/>
    </row>
    <row r="83510" ht="15.75" customHeight="1">
      <c r="A83510" s="7"/>
      <c r="B83510" s="7"/>
    </row>
    <row r="83511" ht="15.75" customHeight="1">
      <c r="A83511" s="7"/>
      <c r="B83511" s="7"/>
    </row>
    <row r="83512" ht="15.75" customHeight="1">
      <c r="A83512" s="7"/>
      <c r="B83512" s="7"/>
    </row>
    <row r="83513" ht="15.75" customHeight="1">
      <c r="A83513" s="7"/>
      <c r="B83513" s="7"/>
    </row>
    <row r="83514" ht="15.75" customHeight="1">
      <c r="A83514" s="7"/>
      <c r="B83514" s="7"/>
    </row>
    <row r="83515" ht="15.75" customHeight="1">
      <c r="A83515" s="7"/>
      <c r="B83515" s="7"/>
    </row>
    <row r="83516" ht="15.75" customHeight="1">
      <c r="A83516" s="7"/>
      <c r="B83516" s="7"/>
    </row>
    <row r="83517" ht="15.75" customHeight="1">
      <c r="A83517" s="7"/>
      <c r="B83517" s="7"/>
    </row>
    <row r="83518" ht="15.75" customHeight="1">
      <c r="A83518" s="7"/>
      <c r="B83518" s="7"/>
    </row>
    <row r="83519" ht="15.75" customHeight="1">
      <c r="A83519" s="7"/>
      <c r="B83519" s="7"/>
    </row>
    <row r="83520" ht="15.75" customHeight="1">
      <c r="A83520" s="7"/>
      <c r="B83520" s="7"/>
    </row>
    <row r="83521" ht="15.75" customHeight="1">
      <c r="A83521" s="7"/>
      <c r="B83521" s="7"/>
    </row>
    <row r="83522" ht="15.75" customHeight="1">
      <c r="A83522" s="7"/>
      <c r="B83522" s="7"/>
    </row>
    <row r="83523" ht="15.75" customHeight="1">
      <c r="A83523" s="7"/>
      <c r="B83523" s="7"/>
    </row>
    <row r="83524" ht="15.75" customHeight="1">
      <c r="A83524" s="7"/>
      <c r="B83524" s="7"/>
    </row>
    <row r="83525" ht="15.75" customHeight="1">
      <c r="A83525" s="7"/>
      <c r="B83525" s="7"/>
    </row>
    <row r="83526" ht="15.75" customHeight="1">
      <c r="A83526" s="7"/>
      <c r="B83526" s="7"/>
    </row>
    <row r="83527" ht="15.75" customHeight="1">
      <c r="A83527" s="7"/>
      <c r="B83527" s="7"/>
    </row>
    <row r="83528" ht="15.75" customHeight="1">
      <c r="A83528" s="7"/>
      <c r="B83528" s="7"/>
    </row>
    <row r="83529" ht="15.75" customHeight="1">
      <c r="A83529" s="7"/>
      <c r="B83529" s="7"/>
    </row>
    <row r="83530" ht="15.75" customHeight="1">
      <c r="A83530" s="7"/>
      <c r="B83530" s="7"/>
    </row>
    <row r="83531" ht="15.75" customHeight="1">
      <c r="A83531" s="7"/>
      <c r="B83531" s="7"/>
    </row>
    <row r="83532" ht="15.75" customHeight="1">
      <c r="A83532" s="7"/>
      <c r="B83532" s="7"/>
    </row>
    <row r="83533" ht="15.75" customHeight="1">
      <c r="A83533" s="7"/>
      <c r="B83533" s="7"/>
    </row>
    <row r="83534" ht="15.75" customHeight="1">
      <c r="A83534" s="7"/>
      <c r="B83534" s="7"/>
    </row>
    <row r="83535" ht="15.75" customHeight="1">
      <c r="A83535" s="7"/>
      <c r="B83535" s="7"/>
    </row>
    <row r="83536" ht="15.75" customHeight="1">
      <c r="A83536" s="7"/>
      <c r="B83536" s="7"/>
    </row>
    <row r="83537" ht="15.75" customHeight="1">
      <c r="A83537" s="7"/>
      <c r="B83537" s="7"/>
    </row>
    <row r="83538" ht="15.75" customHeight="1">
      <c r="A83538" s="7"/>
      <c r="B83538" s="7"/>
    </row>
    <row r="83539" ht="15.75" customHeight="1">
      <c r="A83539" s="7"/>
      <c r="B83539" s="7"/>
    </row>
    <row r="83540" ht="15.75" customHeight="1">
      <c r="A83540" s="7"/>
      <c r="B83540" s="7"/>
    </row>
    <row r="83541" ht="15.75" customHeight="1">
      <c r="A83541" s="7"/>
      <c r="B83541" s="7"/>
    </row>
    <row r="83542" ht="15.75" customHeight="1">
      <c r="A83542" s="7"/>
      <c r="B83542" s="7"/>
    </row>
    <row r="83543" ht="15.75" customHeight="1">
      <c r="A83543" s="7"/>
      <c r="B83543" s="7"/>
    </row>
    <row r="83544" ht="15.75" customHeight="1">
      <c r="A83544" s="7"/>
      <c r="B83544" s="7"/>
    </row>
    <row r="83545" ht="15.75" customHeight="1">
      <c r="A83545" s="7"/>
      <c r="B83545" s="7"/>
    </row>
    <row r="83546" ht="15.75" customHeight="1">
      <c r="A83546" s="7"/>
      <c r="B83546" s="7"/>
    </row>
    <row r="83547" ht="15.75" customHeight="1">
      <c r="A83547" s="7"/>
      <c r="B83547" s="7"/>
    </row>
    <row r="83548" ht="15.75" customHeight="1">
      <c r="A83548" s="7"/>
      <c r="B83548" s="7"/>
    </row>
    <row r="83549" ht="15.75" customHeight="1">
      <c r="A83549" s="7"/>
      <c r="B83549" s="7"/>
    </row>
    <row r="83550" ht="15.75" customHeight="1">
      <c r="A83550" s="7"/>
      <c r="B83550" s="7"/>
    </row>
    <row r="83551" ht="15.75" customHeight="1">
      <c r="A83551" s="7"/>
      <c r="B83551" s="7"/>
    </row>
    <row r="83552" ht="15.75" customHeight="1">
      <c r="A83552" s="7"/>
      <c r="B83552" s="7"/>
    </row>
    <row r="83553" ht="15.75" customHeight="1">
      <c r="A83553" s="7"/>
      <c r="B83553" s="7"/>
    </row>
    <row r="83554" ht="15.75" customHeight="1">
      <c r="A83554" s="7"/>
      <c r="B83554" s="7"/>
    </row>
    <row r="83555" ht="15.75" customHeight="1">
      <c r="A83555" s="7"/>
      <c r="B83555" s="7"/>
    </row>
    <row r="83556" ht="15.75" customHeight="1">
      <c r="A83556" s="7"/>
      <c r="B83556" s="7"/>
    </row>
    <row r="83557" ht="15.75" customHeight="1">
      <c r="A83557" s="7"/>
      <c r="B83557" s="7"/>
    </row>
    <row r="83558" ht="15.75" customHeight="1">
      <c r="A83558" s="7"/>
      <c r="B83558" s="7"/>
    </row>
    <row r="83559" ht="15.75" customHeight="1">
      <c r="A83559" s="7"/>
      <c r="B83559" s="7"/>
    </row>
    <row r="83560" ht="15.75" customHeight="1">
      <c r="A83560" s="7"/>
      <c r="B83560" s="7"/>
    </row>
    <row r="83561" ht="15.75" customHeight="1">
      <c r="A83561" s="7"/>
      <c r="B83561" s="7"/>
    </row>
    <row r="83562" ht="15.75" customHeight="1">
      <c r="A83562" s="7"/>
      <c r="B83562" s="7"/>
    </row>
    <row r="83563" ht="15.75" customHeight="1">
      <c r="A83563" s="7"/>
      <c r="B83563" s="7"/>
    </row>
    <row r="83564" ht="15.75" customHeight="1">
      <c r="A83564" s="7"/>
      <c r="B83564" s="7"/>
    </row>
    <row r="83565" ht="15.75" customHeight="1">
      <c r="A83565" s="7"/>
      <c r="B83565" s="7"/>
    </row>
    <row r="83566" ht="15.75" customHeight="1">
      <c r="A83566" s="7"/>
      <c r="B83566" s="7"/>
    </row>
    <row r="83567" ht="15.75" customHeight="1">
      <c r="A83567" s="7"/>
      <c r="B83567" s="7"/>
    </row>
    <row r="83568" ht="15.75" customHeight="1">
      <c r="A83568" s="7"/>
      <c r="B83568" s="7"/>
    </row>
    <row r="83569" ht="15.75" customHeight="1">
      <c r="A83569" s="7"/>
      <c r="B83569" s="7"/>
    </row>
    <row r="83570" ht="15.75" customHeight="1">
      <c r="A83570" s="7"/>
      <c r="B83570" s="7"/>
    </row>
    <row r="83571" ht="15.75" customHeight="1">
      <c r="A83571" s="7"/>
      <c r="B83571" s="7"/>
    </row>
    <row r="83572" ht="15.75" customHeight="1">
      <c r="A83572" s="7"/>
      <c r="B83572" s="7"/>
    </row>
    <row r="83573" ht="15.75" customHeight="1">
      <c r="A83573" s="7"/>
      <c r="B83573" s="7"/>
    </row>
    <row r="83574" ht="15.75" customHeight="1">
      <c r="A83574" s="7"/>
      <c r="B83574" s="7"/>
    </row>
    <row r="83575" ht="15.75" customHeight="1">
      <c r="A83575" s="7"/>
      <c r="B83575" s="7"/>
    </row>
    <row r="83576" ht="15.75" customHeight="1">
      <c r="A83576" s="7"/>
      <c r="B83576" s="7"/>
    </row>
    <row r="83577" ht="15.75" customHeight="1">
      <c r="A83577" s="7"/>
      <c r="B83577" s="7"/>
    </row>
    <row r="83578" ht="15.75" customHeight="1">
      <c r="A83578" s="7"/>
      <c r="B83578" s="7"/>
    </row>
    <row r="83579" ht="15.75" customHeight="1">
      <c r="A83579" s="7"/>
      <c r="B83579" s="7"/>
    </row>
    <row r="83580" ht="15.75" customHeight="1">
      <c r="A83580" s="7"/>
      <c r="B83580" s="7"/>
    </row>
    <row r="83581" ht="15.75" customHeight="1">
      <c r="A83581" s="7"/>
      <c r="B83581" s="7"/>
    </row>
    <row r="83582" ht="15.75" customHeight="1">
      <c r="A83582" s="7"/>
      <c r="B83582" s="7"/>
    </row>
    <row r="83583" ht="15.75" customHeight="1">
      <c r="A83583" s="7"/>
      <c r="B83583" s="7"/>
    </row>
    <row r="83584" ht="15.75" customHeight="1">
      <c r="A83584" s="7"/>
      <c r="B83584" s="7"/>
    </row>
    <row r="83585" ht="15.75" customHeight="1">
      <c r="A83585" s="7"/>
      <c r="B83585" s="7"/>
    </row>
    <row r="83586" ht="15.75" customHeight="1">
      <c r="A83586" s="7"/>
      <c r="B83586" s="7"/>
    </row>
    <row r="83587" ht="15.75" customHeight="1">
      <c r="A83587" s="7"/>
      <c r="B83587" s="7"/>
    </row>
    <row r="83588" ht="15.75" customHeight="1">
      <c r="A83588" s="7"/>
      <c r="B83588" s="7"/>
    </row>
    <row r="83589" ht="15.75" customHeight="1">
      <c r="A83589" s="7"/>
      <c r="B83589" s="7"/>
    </row>
    <row r="83590" ht="15.75" customHeight="1">
      <c r="A83590" s="7"/>
      <c r="B83590" s="7"/>
    </row>
    <row r="83591" ht="15.75" customHeight="1">
      <c r="A83591" s="7"/>
      <c r="B83591" s="7"/>
    </row>
    <row r="83592" ht="15.75" customHeight="1">
      <c r="A83592" s="7"/>
      <c r="B83592" s="7"/>
    </row>
    <row r="83593" ht="15.75" customHeight="1">
      <c r="A83593" s="7"/>
      <c r="B83593" s="7"/>
    </row>
    <row r="83594" ht="15.75" customHeight="1">
      <c r="A83594" s="7"/>
      <c r="B83594" s="7"/>
    </row>
    <row r="83595" ht="15.75" customHeight="1">
      <c r="A83595" s="7"/>
      <c r="B83595" s="7"/>
    </row>
    <row r="83596" ht="15.75" customHeight="1">
      <c r="A83596" s="7"/>
      <c r="B83596" s="7"/>
    </row>
    <row r="83597" ht="15.75" customHeight="1">
      <c r="A83597" s="7"/>
      <c r="B83597" s="7"/>
    </row>
    <row r="83598" ht="15.75" customHeight="1">
      <c r="A83598" s="7"/>
      <c r="B83598" s="7"/>
    </row>
    <row r="83599" ht="15.75" customHeight="1">
      <c r="A83599" s="7"/>
      <c r="B83599" s="7"/>
    </row>
    <row r="83600" ht="15.75" customHeight="1">
      <c r="A83600" s="7"/>
      <c r="B83600" s="7"/>
    </row>
    <row r="83601" ht="15.75" customHeight="1">
      <c r="A83601" s="7"/>
      <c r="B83601" s="7"/>
    </row>
    <row r="83602" ht="15.75" customHeight="1">
      <c r="A83602" s="7"/>
      <c r="B83602" s="7"/>
    </row>
    <row r="83603" ht="15.75" customHeight="1">
      <c r="A83603" s="7"/>
      <c r="B83603" s="7"/>
    </row>
    <row r="83604" ht="15.75" customHeight="1">
      <c r="A83604" s="7"/>
      <c r="B83604" s="7"/>
    </row>
    <row r="83605" ht="15.75" customHeight="1">
      <c r="A83605" s="7"/>
      <c r="B83605" s="7"/>
    </row>
    <row r="83606" ht="15.75" customHeight="1">
      <c r="A83606" s="7"/>
      <c r="B83606" s="7"/>
    </row>
    <row r="83607" ht="15.75" customHeight="1">
      <c r="A83607" s="7"/>
      <c r="B83607" s="7"/>
    </row>
    <row r="83608" ht="15.75" customHeight="1">
      <c r="A83608" s="7"/>
      <c r="B83608" s="7"/>
    </row>
    <row r="83609" ht="15.75" customHeight="1">
      <c r="A83609" s="7"/>
      <c r="B83609" s="7"/>
    </row>
    <row r="83610" ht="15.75" customHeight="1">
      <c r="A83610" s="7"/>
      <c r="B83610" s="7"/>
    </row>
    <row r="83611" ht="15.75" customHeight="1">
      <c r="A83611" s="7"/>
      <c r="B83611" s="7"/>
    </row>
    <row r="83612" ht="15.75" customHeight="1">
      <c r="A83612" s="7"/>
      <c r="B83612" s="7"/>
    </row>
    <row r="83613" ht="15.75" customHeight="1">
      <c r="A83613" s="7"/>
      <c r="B83613" s="7"/>
    </row>
    <row r="83614" ht="15.75" customHeight="1">
      <c r="A83614" s="7"/>
      <c r="B83614" s="7"/>
    </row>
    <row r="83615" ht="15.75" customHeight="1">
      <c r="A83615" s="7"/>
      <c r="B83615" s="7"/>
    </row>
    <row r="83616" ht="15.75" customHeight="1">
      <c r="A83616" s="7"/>
      <c r="B83616" s="7"/>
    </row>
    <row r="83617" ht="15.75" customHeight="1">
      <c r="A83617" s="7"/>
      <c r="B83617" s="7"/>
    </row>
    <row r="83618" ht="15.75" customHeight="1">
      <c r="A83618" s="7"/>
      <c r="B83618" s="7"/>
    </row>
    <row r="83619" ht="15.75" customHeight="1">
      <c r="A83619" s="7"/>
      <c r="B83619" s="7"/>
    </row>
    <row r="83620" ht="15.75" customHeight="1">
      <c r="A83620" s="7"/>
      <c r="B83620" s="7"/>
    </row>
    <row r="83621" ht="15.75" customHeight="1">
      <c r="A83621" s="7"/>
      <c r="B83621" s="7"/>
    </row>
    <row r="83622" ht="15.75" customHeight="1">
      <c r="A83622" s="7"/>
      <c r="B83622" s="7"/>
    </row>
    <row r="83623" ht="15.75" customHeight="1">
      <c r="A83623" s="7"/>
      <c r="B83623" s="7"/>
    </row>
    <row r="83624" ht="15.75" customHeight="1">
      <c r="A83624" s="7"/>
      <c r="B83624" s="7"/>
    </row>
    <row r="83625" ht="15.75" customHeight="1">
      <c r="A83625" s="7"/>
      <c r="B83625" s="7"/>
    </row>
    <row r="83626" ht="15.75" customHeight="1">
      <c r="A83626" s="7"/>
      <c r="B83626" s="7"/>
    </row>
    <row r="83627" ht="15.75" customHeight="1">
      <c r="A83627" s="7"/>
      <c r="B83627" s="7"/>
    </row>
    <row r="83628" ht="15.75" customHeight="1">
      <c r="A83628" s="7"/>
      <c r="B83628" s="7"/>
    </row>
    <row r="83629" ht="15.75" customHeight="1">
      <c r="A83629" s="7"/>
      <c r="B83629" s="7"/>
    </row>
    <row r="83630" ht="15.75" customHeight="1">
      <c r="A83630" s="7"/>
      <c r="B83630" s="7"/>
    </row>
    <row r="83631" ht="15.75" customHeight="1">
      <c r="A83631" s="7"/>
      <c r="B83631" s="7"/>
    </row>
    <row r="83632" ht="15.75" customHeight="1">
      <c r="A83632" s="7"/>
      <c r="B83632" s="7"/>
    </row>
    <row r="83633" ht="15.75" customHeight="1">
      <c r="A83633" s="7"/>
      <c r="B83633" s="7"/>
    </row>
    <row r="83634" ht="15.75" customHeight="1">
      <c r="A83634" s="7"/>
      <c r="B83634" s="7"/>
    </row>
    <row r="83635" ht="15.75" customHeight="1">
      <c r="A83635" s="7"/>
      <c r="B83635" s="7"/>
    </row>
    <row r="83636" ht="15.75" customHeight="1">
      <c r="A83636" s="7"/>
      <c r="B83636" s="7"/>
    </row>
    <row r="83637" ht="15.75" customHeight="1">
      <c r="A83637" s="7"/>
      <c r="B83637" s="7"/>
    </row>
    <row r="83638" ht="15.75" customHeight="1">
      <c r="A83638" s="7"/>
      <c r="B83638" s="7"/>
    </row>
    <row r="83639" ht="15.75" customHeight="1">
      <c r="A83639" s="7"/>
      <c r="B83639" s="7"/>
    </row>
    <row r="83640" ht="15.75" customHeight="1">
      <c r="A83640" s="7"/>
      <c r="B83640" s="7"/>
    </row>
    <row r="83641" ht="15.75" customHeight="1">
      <c r="A83641" s="7"/>
      <c r="B83641" s="7"/>
    </row>
    <row r="83642" ht="15.75" customHeight="1">
      <c r="A83642" s="7"/>
      <c r="B83642" s="7"/>
    </row>
    <row r="83643" ht="15.75" customHeight="1">
      <c r="A83643" s="7"/>
      <c r="B83643" s="7"/>
    </row>
    <row r="83644" ht="15.75" customHeight="1">
      <c r="A83644" s="7"/>
      <c r="B83644" s="7"/>
    </row>
    <row r="83645" ht="15.75" customHeight="1">
      <c r="A83645" s="7"/>
      <c r="B83645" s="7"/>
    </row>
    <row r="83646" ht="15.75" customHeight="1">
      <c r="A83646" s="7"/>
      <c r="B83646" s="7"/>
    </row>
    <row r="83647" ht="15.75" customHeight="1">
      <c r="A83647" s="7"/>
      <c r="B83647" s="7"/>
    </row>
    <row r="83648" ht="15.75" customHeight="1">
      <c r="A83648" s="7"/>
      <c r="B83648" s="7"/>
    </row>
    <row r="83649" ht="15.75" customHeight="1">
      <c r="A83649" s="7"/>
      <c r="B83649" s="7"/>
    </row>
    <row r="83650" ht="15.75" customHeight="1">
      <c r="A83650" s="7"/>
      <c r="B83650" s="7"/>
    </row>
    <row r="83651" ht="15.75" customHeight="1">
      <c r="A83651" s="7"/>
      <c r="B83651" s="7"/>
    </row>
    <row r="83652" ht="15.75" customHeight="1">
      <c r="A83652" s="7"/>
      <c r="B83652" s="7"/>
    </row>
    <row r="83653" ht="15.75" customHeight="1">
      <c r="A83653" s="7"/>
      <c r="B83653" s="7"/>
    </row>
    <row r="83654" ht="15.75" customHeight="1">
      <c r="A83654" s="7"/>
      <c r="B83654" s="7"/>
    </row>
    <row r="83655" ht="15.75" customHeight="1">
      <c r="A83655" s="7"/>
      <c r="B83655" s="7"/>
    </row>
    <row r="83656" ht="15.75" customHeight="1">
      <c r="A83656" s="7"/>
      <c r="B83656" s="7"/>
    </row>
    <row r="83657" ht="15.75" customHeight="1">
      <c r="A83657" s="7"/>
      <c r="B83657" s="7"/>
    </row>
    <row r="83658" ht="15.75" customHeight="1">
      <c r="A83658" s="7"/>
      <c r="B83658" s="7"/>
    </row>
    <row r="83659" ht="15.75" customHeight="1">
      <c r="A83659" s="7"/>
      <c r="B83659" s="7"/>
    </row>
    <row r="83660" ht="15.75" customHeight="1">
      <c r="A83660" s="7"/>
      <c r="B83660" s="7"/>
    </row>
    <row r="83661" ht="15.75" customHeight="1">
      <c r="A83661" s="7"/>
      <c r="B83661" s="7"/>
    </row>
    <row r="83662" ht="15.75" customHeight="1">
      <c r="A83662" s="7"/>
      <c r="B83662" s="7"/>
    </row>
    <row r="83663" ht="15.75" customHeight="1">
      <c r="A83663" s="7"/>
      <c r="B83663" s="7"/>
    </row>
    <row r="83664" ht="15.75" customHeight="1">
      <c r="A83664" s="7"/>
      <c r="B83664" s="7"/>
    </row>
    <row r="83665" ht="15.75" customHeight="1">
      <c r="A83665" s="7"/>
      <c r="B83665" s="7"/>
    </row>
    <row r="83666" ht="15.75" customHeight="1">
      <c r="A83666" s="7"/>
      <c r="B83666" s="7"/>
    </row>
    <row r="83667" ht="15.75" customHeight="1">
      <c r="A83667" s="7"/>
      <c r="B83667" s="7"/>
    </row>
    <row r="83668" ht="15.75" customHeight="1">
      <c r="A83668" s="7"/>
      <c r="B83668" s="7"/>
    </row>
    <row r="83669" ht="15.75" customHeight="1">
      <c r="A83669" s="7"/>
      <c r="B83669" s="7"/>
    </row>
    <row r="83670" ht="15.75" customHeight="1">
      <c r="A83670" s="7"/>
      <c r="B83670" s="7"/>
    </row>
    <row r="83671" ht="15.75" customHeight="1">
      <c r="A83671" s="7"/>
      <c r="B83671" s="7"/>
    </row>
    <row r="83672" ht="15.75" customHeight="1">
      <c r="A83672" s="7"/>
      <c r="B83672" s="7"/>
    </row>
    <row r="83673" ht="15.75" customHeight="1">
      <c r="A83673" s="7"/>
      <c r="B83673" s="7"/>
    </row>
    <row r="83674" ht="15.75" customHeight="1">
      <c r="A83674" s="7"/>
      <c r="B83674" s="7"/>
    </row>
    <row r="83675" ht="15.75" customHeight="1">
      <c r="A83675" s="7"/>
      <c r="B83675" s="7"/>
    </row>
    <row r="83676" ht="15.75" customHeight="1">
      <c r="A83676" s="7"/>
      <c r="B83676" s="7"/>
    </row>
    <row r="83677" ht="15.75" customHeight="1">
      <c r="A83677" s="7"/>
      <c r="B83677" s="7"/>
    </row>
    <row r="83678" ht="15.75" customHeight="1">
      <c r="A83678" s="7"/>
      <c r="B83678" s="7"/>
    </row>
    <row r="83679" ht="15.75" customHeight="1">
      <c r="A83679" s="7"/>
      <c r="B83679" s="7"/>
    </row>
    <row r="83680" ht="15.75" customHeight="1">
      <c r="A83680" s="7"/>
      <c r="B83680" s="7"/>
    </row>
    <row r="83681" ht="15.75" customHeight="1">
      <c r="A83681" s="7"/>
      <c r="B83681" s="7"/>
    </row>
    <row r="83682" ht="15.75" customHeight="1">
      <c r="A83682" s="7"/>
      <c r="B83682" s="7"/>
    </row>
    <row r="83683" ht="15.75" customHeight="1">
      <c r="A83683" s="7"/>
      <c r="B83683" s="7"/>
    </row>
    <row r="83684" ht="15.75" customHeight="1">
      <c r="A83684" s="7"/>
      <c r="B83684" s="7"/>
    </row>
    <row r="83685" ht="15.75" customHeight="1">
      <c r="A83685" s="7"/>
      <c r="B83685" s="7"/>
    </row>
    <row r="83686" ht="15.75" customHeight="1">
      <c r="A83686" s="7"/>
      <c r="B83686" s="7"/>
    </row>
    <row r="83687" ht="15.75" customHeight="1">
      <c r="A83687" s="7"/>
      <c r="B83687" s="7"/>
    </row>
    <row r="83688" ht="15.75" customHeight="1">
      <c r="A83688" s="7"/>
      <c r="B83688" s="7"/>
    </row>
    <row r="83689" ht="15.75" customHeight="1">
      <c r="A83689" s="7"/>
      <c r="B83689" s="7"/>
    </row>
    <row r="83690" ht="15.75" customHeight="1">
      <c r="A83690" s="7"/>
      <c r="B83690" s="7"/>
    </row>
    <row r="83691" ht="15.75" customHeight="1">
      <c r="A83691" s="7"/>
      <c r="B83691" s="7"/>
    </row>
    <row r="83692" ht="15.75" customHeight="1">
      <c r="A83692" s="7"/>
      <c r="B83692" s="7"/>
    </row>
    <row r="83693" ht="15.75" customHeight="1">
      <c r="A83693" s="7"/>
      <c r="B83693" s="7"/>
    </row>
    <row r="83694" ht="15.75" customHeight="1">
      <c r="A83694" s="7"/>
      <c r="B83694" s="7"/>
    </row>
    <row r="83695" ht="15.75" customHeight="1">
      <c r="A83695" s="7"/>
      <c r="B83695" s="7"/>
    </row>
    <row r="83696" ht="15.75" customHeight="1">
      <c r="A83696" s="7"/>
      <c r="B83696" s="7"/>
    </row>
    <row r="83697" ht="15.75" customHeight="1">
      <c r="A83697" s="7"/>
      <c r="B83697" s="7"/>
    </row>
    <row r="83698" ht="15.75" customHeight="1">
      <c r="A83698" s="7"/>
      <c r="B83698" s="7"/>
    </row>
    <row r="83699" ht="15.75" customHeight="1">
      <c r="A83699" s="7"/>
      <c r="B83699" s="7"/>
    </row>
    <row r="83700" ht="15.75" customHeight="1">
      <c r="A83700" s="7"/>
      <c r="B83700" s="7"/>
    </row>
    <row r="83701" ht="15.75" customHeight="1">
      <c r="A83701" s="7"/>
      <c r="B83701" s="7"/>
    </row>
    <row r="83702" ht="15.75" customHeight="1">
      <c r="A83702" s="7"/>
      <c r="B83702" s="7"/>
    </row>
    <row r="83703" ht="15.75" customHeight="1">
      <c r="A83703" s="7"/>
      <c r="B83703" s="7"/>
    </row>
    <row r="83704" ht="15.75" customHeight="1">
      <c r="A83704" s="7"/>
      <c r="B83704" s="7"/>
    </row>
    <row r="83705" ht="15.75" customHeight="1">
      <c r="A83705" s="7"/>
      <c r="B83705" s="7"/>
    </row>
    <row r="83706" ht="15.75" customHeight="1">
      <c r="A83706" s="7"/>
      <c r="B83706" s="7"/>
    </row>
    <row r="83707" ht="15.75" customHeight="1">
      <c r="A83707" s="7"/>
      <c r="B83707" s="7"/>
    </row>
    <row r="83708" ht="15.75" customHeight="1">
      <c r="A83708" s="7"/>
      <c r="B83708" s="7"/>
    </row>
    <row r="83709" ht="15.75" customHeight="1">
      <c r="A83709" s="7"/>
      <c r="B83709" s="7"/>
    </row>
    <row r="83710" ht="15.75" customHeight="1">
      <c r="A83710" s="7"/>
      <c r="B83710" s="7"/>
    </row>
    <row r="83711" ht="15.75" customHeight="1">
      <c r="A83711" s="7"/>
      <c r="B83711" s="7"/>
    </row>
    <row r="83712" ht="15.75" customHeight="1">
      <c r="A83712" s="7"/>
      <c r="B83712" s="7"/>
    </row>
    <row r="83713" ht="15.75" customHeight="1">
      <c r="A83713" s="7"/>
      <c r="B83713" s="7"/>
    </row>
    <row r="83714" ht="15.75" customHeight="1">
      <c r="A83714" s="7"/>
      <c r="B83714" s="7"/>
    </row>
    <row r="83715" ht="15.75" customHeight="1">
      <c r="A83715" s="7"/>
      <c r="B83715" s="7"/>
    </row>
    <row r="83716" ht="15.75" customHeight="1">
      <c r="A83716" s="7"/>
      <c r="B83716" s="7"/>
    </row>
    <row r="83717" ht="15.75" customHeight="1">
      <c r="A83717" s="7"/>
      <c r="B83717" s="7"/>
    </row>
    <row r="83718" ht="15.75" customHeight="1">
      <c r="A83718" s="7"/>
      <c r="B83718" s="7"/>
    </row>
    <row r="83719" ht="15.75" customHeight="1">
      <c r="A83719" s="7"/>
      <c r="B83719" s="7"/>
    </row>
    <row r="83720" ht="15.75" customHeight="1">
      <c r="A83720" s="7"/>
      <c r="B83720" s="7"/>
    </row>
    <row r="83721" ht="15.75" customHeight="1">
      <c r="A83721" s="7"/>
      <c r="B83721" s="7"/>
    </row>
    <row r="83722" ht="15.75" customHeight="1">
      <c r="A83722" s="7"/>
      <c r="B83722" s="7"/>
    </row>
    <row r="83723" ht="15.75" customHeight="1">
      <c r="A83723" s="7"/>
      <c r="B83723" s="7"/>
    </row>
    <row r="83724" ht="15.75" customHeight="1">
      <c r="A83724" s="7"/>
      <c r="B83724" s="7"/>
    </row>
    <row r="83725" ht="15.75" customHeight="1">
      <c r="A83725" s="7"/>
      <c r="B83725" s="7"/>
    </row>
    <row r="83726" ht="15.75" customHeight="1">
      <c r="A83726" s="7"/>
      <c r="B83726" s="7"/>
    </row>
    <row r="83727" ht="15.75" customHeight="1">
      <c r="A83727" s="7"/>
      <c r="B83727" s="7"/>
    </row>
    <row r="83728" ht="15.75" customHeight="1">
      <c r="A83728" s="7"/>
      <c r="B83728" s="7"/>
    </row>
    <row r="83729" ht="15.75" customHeight="1">
      <c r="A83729" s="7"/>
      <c r="B83729" s="7"/>
    </row>
    <row r="83730" ht="15.75" customHeight="1">
      <c r="A83730" s="7"/>
      <c r="B83730" s="7"/>
    </row>
    <row r="83731" ht="15.75" customHeight="1">
      <c r="A83731" s="7"/>
      <c r="B83731" s="7"/>
    </row>
    <row r="83732" ht="15.75" customHeight="1">
      <c r="A83732" s="7"/>
      <c r="B83732" s="7"/>
    </row>
    <row r="83733" ht="15.75" customHeight="1">
      <c r="A83733" s="7"/>
      <c r="B83733" s="7"/>
    </row>
    <row r="83734" ht="15.75" customHeight="1">
      <c r="A83734" s="7"/>
      <c r="B83734" s="7"/>
    </row>
    <row r="83735" ht="15.75" customHeight="1">
      <c r="A83735" s="7"/>
      <c r="B83735" s="7"/>
    </row>
    <row r="83736" ht="15.75" customHeight="1">
      <c r="A83736" s="7"/>
      <c r="B83736" s="7"/>
    </row>
    <row r="83737" ht="15.75" customHeight="1">
      <c r="A83737" s="7"/>
      <c r="B83737" s="7"/>
    </row>
    <row r="83738" ht="15.75" customHeight="1">
      <c r="A83738" s="7"/>
      <c r="B83738" s="7"/>
    </row>
    <row r="83739" ht="15.75" customHeight="1">
      <c r="A83739" s="7"/>
      <c r="B83739" s="7"/>
    </row>
    <row r="83740" ht="15.75" customHeight="1">
      <c r="A83740" s="7"/>
      <c r="B83740" s="7"/>
    </row>
    <row r="83741" ht="15.75" customHeight="1">
      <c r="A83741" s="7"/>
      <c r="B83741" s="7"/>
    </row>
    <row r="83742" ht="15.75" customHeight="1">
      <c r="A83742" s="7"/>
      <c r="B83742" s="7"/>
    </row>
    <row r="83743" ht="15.75" customHeight="1">
      <c r="A83743" s="7"/>
      <c r="B83743" s="7"/>
    </row>
    <row r="83744" ht="15.75" customHeight="1">
      <c r="A83744" s="7"/>
      <c r="B83744" s="7"/>
    </row>
    <row r="83745" ht="15.75" customHeight="1">
      <c r="A83745" s="7"/>
      <c r="B83745" s="7"/>
    </row>
    <row r="83746" ht="15.75" customHeight="1">
      <c r="A83746" s="7"/>
      <c r="B83746" s="7"/>
    </row>
    <row r="83747" ht="15.75" customHeight="1">
      <c r="A83747" s="7"/>
      <c r="B83747" s="7"/>
    </row>
    <row r="83748" ht="15.75" customHeight="1">
      <c r="A83748" s="7"/>
      <c r="B83748" s="7"/>
    </row>
    <row r="83749" ht="15.75" customHeight="1">
      <c r="A83749" s="7"/>
      <c r="B83749" s="7"/>
    </row>
    <row r="83750" ht="15.75" customHeight="1">
      <c r="A83750" s="7"/>
      <c r="B83750" s="7"/>
    </row>
    <row r="83751" ht="15.75" customHeight="1">
      <c r="A83751" s="7"/>
      <c r="B83751" s="7"/>
    </row>
    <row r="83752" ht="15.75" customHeight="1">
      <c r="A83752" s="7"/>
      <c r="B83752" s="7"/>
    </row>
    <row r="83753" ht="15.75" customHeight="1">
      <c r="A83753" s="7"/>
      <c r="B83753" s="7"/>
    </row>
    <row r="83754" ht="15.75" customHeight="1">
      <c r="A83754" s="7"/>
      <c r="B83754" s="7"/>
    </row>
    <row r="83755" ht="15.75" customHeight="1">
      <c r="A83755" s="7"/>
      <c r="B83755" s="7"/>
    </row>
    <row r="83756" ht="15.75" customHeight="1">
      <c r="A83756" s="7"/>
      <c r="B83756" s="7"/>
    </row>
    <row r="83757" ht="15.75" customHeight="1">
      <c r="A83757" s="7"/>
      <c r="B83757" s="7"/>
    </row>
    <row r="83758" ht="15.75" customHeight="1">
      <c r="A83758" s="7"/>
      <c r="B83758" s="7"/>
    </row>
    <row r="83759" ht="15.75" customHeight="1">
      <c r="A83759" s="7"/>
      <c r="B83759" s="7"/>
    </row>
    <row r="83760" ht="15.75" customHeight="1">
      <c r="A83760" s="7"/>
      <c r="B83760" s="7"/>
    </row>
    <row r="83761" ht="15.75" customHeight="1">
      <c r="A83761" s="7"/>
      <c r="B83761" s="7"/>
    </row>
    <row r="83762" ht="15.75" customHeight="1">
      <c r="A83762" s="7"/>
      <c r="B83762" s="7"/>
    </row>
    <row r="83763" ht="15.75" customHeight="1">
      <c r="A83763" s="7"/>
      <c r="B83763" s="7"/>
    </row>
    <row r="83764" ht="15.75" customHeight="1">
      <c r="A83764" s="7"/>
      <c r="B83764" s="7"/>
    </row>
    <row r="83765" ht="15.75" customHeight="1">
      <c r="A83765" s="7"/>
      <c r="B83765" s="7"/>
    </row>
    <row r="83766" ht="15.75" customHeight="1">
      <c r="A83766" s="7"/>
      <c r="B83766" s="7"/>
    </row>
    <row r="83767" ht="15.75" customHeight="1">
      <c r="A83767" s="7"/>
      <c r="B83767" s="7"/>
    </row>
    <row r="83768" ht="15.75" customHeight="1">
      <c r="A83768" s="7"/>
      <c r="B83768" s="7"/>
    </row>
    <row r="83769" ht="15.75" customHeight="1">
      <c r="A83769" s="7"/>
      <c r="B83769" s="7"/>
    </row>
    <row r="83770" ht="15.75" customHeight="1">
      <c r="A83770" s="7"/>
      <c r="B83770" s="7"/>
    </row>
    <row r="83771" ht="15.75" customHeight="1">
      <c r="A83771" s="7"/>
      <c r="B83771" s="7"/>
    </row>
    <row r="83772" ht="15.75" customHeight="1">
      <c r="A83772" s="7"/>
      <c r="B83772" s="7"/>
    </row>
    <row r="83773" ht="15.75" customHeight="1">
      <c r="A83773" s="7"/>
      <c r="B83773" s="7"/>
    </row>
    <row r="83774" ht="15.75" customHeight="1">
      <c r="A83774" s="7"/>
      <c r="B83774" s="7"/>
    </row>
    <row r="83775" ht="15.75" customHeight="1">
      <c r="A83775" s="7"/>
      <c r="B83775" s="7"/>
    </row>
    <row r="83776" ht="15.75" customHeight="1">
      <c r="A83776" s="7"/>
      <c r="B83776" s="7"/>
    </row>
    <row r="83777" ht="15.75" customHeight="1">
      <c r="A83777" s="7"/>
      <c r="B83777" s="7"/>
    </row>
    <row r="83778" ht="15.75" customHeight="1">
      <c r="A83778" s="7"/>
      <c r="B83778" s="7"/>
    </row>
    <row r="83779" ht="15.75" customHeight="1">
      <c r="A83779" s="7"/>
      <c r="B83779" s="7"/>
    </row>
    <row r="83780" ht="15.75" customHeight="1">
      <c r="A83780" s="7"/>
      <c r="B83780" s="7"/>
    </row>
    <row r="83781" ht="15.75" customHeight="1">
      <c r="A83781" s="7"/>
      <c r="B83781" s="7"/>
    </row>
    <row r="83782" ht="15.75" customHeight="1">
      <c r="A83782" s="7"/>
      <c r="B83782" s="7"/>
    </row>
    <row r="83783" ht="15.75" customHeight="1">
      <c r="A83783" s="7"/>
      <c r="B83783" s="7"/>
    </row>
    <row r="83784" ht="15.75" customHeight="1">
      <c r="A83784" s="7"/>
      <c r="B83784" s="7"/>
    </row>
    <row r="83785" ht="15.75" customHeight="1">
      <c r="A83785" s="7"/>
      <c r="B83785" s="7"/>
    </row>
    <row r="83786" ht="15.75" customHeight="1">
      <c r="A83786" s="7"/>
      <c r="B83786" s="7"/>
    </row>
    <row r="83787" ht="15.75" customHeight="1">
      <c r="A83787" s="7"/>
      <c r="B83787" s="7"/>
    </row>
    <row r="83788" ht="15.75" customHeight="1">
      <c r="A83788" s="7"/>
      <c r="B83788" s="7"/>
    </row>
    <row r="83789" ht="15.75" customHeight="1">
      <c r="A83789" s="7"/>
      <c r="B83789" s="7"/>
    </row>
    <row r="83790" ht="15.75" customHeight="1">
      <c r="A83790" s="7"/>
      <c r="B83790" s="7"/>
    </row>
    <row r="83791" ht="15.75" customHeight="1">
      <c r="A83791" s="7"/>
      <c r="B83791" s="7"/>
    </row>
    <row r="83792" ht="15.75" customHeight="1">
      <c r="A83792" s="7"/>
      <c r="B83792" s="7"/>
    </row>
    <row r="83793" ht="15.75" customHeight="1">
      <c r="A83793" s="7"/>
      <c r="B83793" s="7"/>
    </row>
    <row r="83794" ht="15.75" customHeight="1">
      <c r="A83794" s="7"/>
      <c r="B83794" s="7"/>
    </row>
    <row r="83795" ht="15.75" customHeight="1">
      <c r="A83795" s="7"/>
      <c r="B83795" s="7"/>
    </row>
    <row r="83796" ht="15.75" customHeight="1">
      <c r="A83796" s="7"/>
      <c r="B83796" s="7"/>
    </row>
    <row r="83797" ht="15.75" customHeight="1">
      <c r="A83797" s="7"/>
      <c r="B83797" s="7"/>
    </row>
    <row r="83798" ht="15.75" customHeight="1">
      <c r="A83798" s="7"/>
      <c r="B83798" s="7"/>
    </row>
    <row r="83799" ht="15.75" customHeight="1">
      <c r="A83799" s="7"/>
      <c r="B83799" s="7"/>
    </row>
    <row r="83800" ht="15.75" customHeight="1">
      <c r="A83800" s="7"/>
      <c r="B83800" s="7"/>
    </row>
    <row r="83801" ht="15.75" customHeight="1">
      <c r="A83801" s="7"/>
      <c r="B83801" s="7"/>
    </row>
    <row r="83802" ht="15.75" customHeight="1">
      <c r="A83802" s="7"/>
      <c r="B83802" s="7"/>
    </row>
    <row r="83803" ht="15.75" customHeight="1">
      <c r="A83803" s="7"/>
      <c r="B83803" s="7"/>
    </row>
    <row r="83804" ht="15.75" customHeight="1">
      <c r="A83804" s="7"/>
      <c r="B83804" s="7"/>
    </row>
    <row r="83805" ht="15.75" customHeight="1">
      <c r="A83805" s="7"/>
      <c r="B83805" s="7"/>
    </row>
    <row r="83806" ht="15.75" customHeight="1">
      <c r="A83806" s="7"/>
      <c r="B83806" s="7"/>
    </row>
    <row r="83807" ht="15.75" customHeight="1">
      <c r="A83807" s="7"/>
      <c r="B83807" s="7"/>
    </row>
    <row r="83808" ht="15.75" customHeight="1">
      <c r="A83808" s="7"/>
      <c r="B83808" s="7"/>
    </row>
    <row r="83809" ht="15.75" customHeight="1">
      <c r="A83809" s="7"/>
      <c r="B83809" s="7"/>
    </row>
    <row r="83810" ht="15.75" customHeight="1">
      <c r="A83810" s="7"/>
      <c r="B83810" s="7"/>
    </row>
    <row r="83811" ht="15.75" customHeight="1">
      <c r="A83811" s="7"/>
      <c r="B83811" s="7"/>
    </row>
    <row r="83812" ht="15.75" customHeight="1">
      <c r="A83812" s="7"/>
      <c r="B83812" s="7"/>
    </row>
    <row r="83813" ht="15.75" customHeight="1">
      <c r="A83813" s="7"/>
      <c r="B83813" s="7"/>
    </row>
    <row r="83814" ht="15.75" customHeight="1">
      <c r="A83814" s="7"/>
      <c r="B83814" s="7"/>
    </row>
    <row r="83815" ht="15.75" customHeight="1">
      <c r="A83815" s="7"/>
      <c r="B83815" s="7"/>
    </row>
    <row r="83816" ht="15.75" customHeight="1">
      <c r="A83816" s="7"/>
      <c r="B83816" s="7"/>
    </row>
    <row r="83817" ht="15.75" customHeight="1">
      <c r="A83817" s="7"/>
      <c r="B83817" s="7"/>
    </row>
    <row r="83818" ht="15.75" customHeight="1">
      <c r="A83818" s="7"/>
      <c r="B83818" s="7"/>
    </row>
    <row r="83819" ht="15.75" customHeight="1">
      <c r="A83819" s="7"/>
      <c r="B83819" s="7"/>
    </row>
    <row r="83820" ht="15.75" customHeight="1">
      <c r="A83820" s="7"/>
      <c r="B83820" s="7"/>
    </row>
    <row r="83821" ht="15.75" customHeight="1">
      <c r="A83821" s="7"/>
      <c r="B83821" s="7"/>
    </row>
    <row r="83822" ht="15.75" customHeight="1">
      <c r="A83822" s="7"/>
      <c r="B83822" s="7"/>
    </row>
    <row r="83823" ht="15.75" customHeight="1">
      <c r="A83823" s="7"/>
      <c r="B83823" s="7"/>
    </row>
    <row r="83824" ht="15.75" customHeight="1">
      <c r="A83824" s="7"/>
      <c r="B83824" s="7"/>
    </row>
    <row r="83825" ht="15.75" customHeight="1">
      <c r="A83825" s="7"/>
      <c r="B83825" s="7"/>
    </row>
    <row r="83826" ht="15.75" customHeight="1">
      <c r="A83826" s="7"/>
      <c r="B83826" s="7"/>
    </row>
    <row r="83827" ht="15.75" customHeight="1">
      <c r="A83827" s="7"/>
      <c r="B83827" s="7"/>
    </row>
    <row r="83828" ht="15.75" customHeight="1">
      <c r="A83828" s="7"/>
      <c r="B83828" s="7"/>
    </row>
    <row r="83829" ht="15.75" customHeight="1">
      <c r="A83829" s="7"/>
      <c r="B83829" s="7"/>
    </row>
    <row r="83830" ht="15.75" customHeight="1">
      <c r="A83830" s="7"/>
      <c r="B83830" s="7"/>
    </row>
    <row r="83831" ht="15.75" customHeight="1">
      <c r="A83831" s="7"/>
      <c r="B83831" s="7"/>
    </row>
    <row r="83832" ht="15.75" customHeight="1">
      <c r="A83832" s="7"/>
      <c r="B83832" s="7"/>
    </row>
    <row r="83833" ht="15.75" customHeight="1">
      <c r="A83833" s="7"/>
      <c r="B83833" s="7"/>
    </row>
    <row r="83834" ht="15.75" customHeight="1">
      <c r="A83834" s="7"/>
      <c r="B83834" s="7"/>
    </row>
    <row r="83835" ht="15.75" customHeight="1">
      <c r="A83835" s="7"/>
      <c r="B83835" s="7"/>
    </row>
    <row r="83836" ht="15.75" customHeight="1">
      <c r="A83836" s="7"/>
      <c r="B83836" s="7"/>
    </row>
    <row r="83837" ht="15.75" customHeight="1">
      <c r="A83837" s="7"/>
      <c r="B83837" s="7"/>
    </row>
    <row r="83838" ht="15.75" customHeight="1">
      <c r="A83838" s="7"/>
      <c r="B83838" s="7"/>
    </row>
    <row r="83839" ht="15.75" customHeight="1">
      <c r="A83839" s="7"/>
      <c r="B83839" s="7"/>
    </row>
    <row r="83840" ht="15.75" customHeight="1">
      <c r="A83840" s="7"/>
      <c r="B83840" s="7"/>
    </row>
    <row r="83841" ht="15.75" customHeight="1">
      <c r="A83841" s="7"/>
      <c r="B83841" s="7"/>
    </row>
    <row r="83842" ht="15.75" customHeight="1">
      <c r="A83842" s="7"/>
      <c r="B83842" s="7"/>
    </row>
    <row r="83843" ht="15.75" customHeight="1">
      <c r="A83843" s="7"/>
      <c r="B83843" s="7"/>
    </row>
    <row r="83844" ht="15.75" customHeight="1">
      <c r="A83844" s="7"/>
      <c r="B83844" s="7"/>
    </row>
    <row r="83845" ht="15.75" customHeight="1">
      <c r="A83845" s="7"/>
      <c r="B83845" s="7"/>
    </row>
    <row r="83846" ht="15.75" customHeight="1">
      <c r="A83846" s="7"/>
      <c r="B83846" s="7"/>
    </row>
    <row r="83847" ht="15.75" customHeight="1">
      <c r="A83847" s="7"/>
      <c r="B83847" s="7"/>
    </row>
    <row r="83848" ht="15.75" customHeight="1">
      <c r="A83848" s="7"/>
      <c r="B83848" s="7"/>
    </row>
    <row r="83849" ht="15.75" customHeight="1">
      <c r="A83849" s="7"/>
      <c r="B83849" s="7"/>
    </row>
    <row r="83850" ht="15.75" customHeight="1">
      <c r="A83850" s="7"/>
      <c r="B83850" s="7"/>
    </row>
    <row r="83851" ht="15.75" customHeight="1">
      <c r="A83851" s="7"/>
      <c r="B83851" s="7"/>
    </row>
    <row r="83852" ht="15.75" customHeight="1">
      <c r="A83852" s="7"/>
      <c r="B83852" s="7"/>
    </row>
    <row r="83853" ht="15.75" customHeight="1">
      <c r="A83853" s="7"/>
      <c r="B83853" s="7"/>
    </row>
    <row r="83854" ht="15.75" customHeight="1">
      <c r="A83854" s="7"/>
      <c r="B83854" s="7"/>
    </row>
    <row r="83855" ht="15.75" customHeight="1">
      <c r="A83855" s="7"/>
      <c r="B83855" s="7"/>
    </row>
    <row r="83856" ht="15.75" customHeight="1">
      <c r="A83856" s="7"/>
      <c r="B83856" s="7"/>
    </row>
    <row r="83857" ht="15.75" customHeight="1">
      <c r="A83857" s="7"/>
      <c r="B83857" s="7"/>
    </row>
    <row r="83858" ht="15.75" customHeight="1">
      <c r="A83858" s="7"/>
      <c r="B83858" s="7"/>
    </row>
    <row r="83859" ht="15.75" customHeight="1">
      <c r="A83859" s="7"/>
      <c r="B83859" s="7"/>
    </row>
    <row r="83860" ht="15.75" customHeight="1">
      <c r="A83860" s="7"/>
      <c r="B83860" s="7"/>
    </row>
    <row r="83861" ht="15.75" customHeight="1">
      <c r="A83861" s="7"/>
      <c r="B83861" s="7"/>
    </row>
    <row r="83862" ht="15.75" customHeight="1">
      <c r="A83862" s="7"/>
      <c r="B83862" s="7"/>
    </row>
    <row r="83863" ht="15.75" customHeight="1">
      <c r="A83863" s="7"/>
      <c r="B83863" s="7"/>
    </row>
    <row r="83864" ht="15.75" customHeight="1">
      <c r="A83864" s="7"/>
      <c r="B83864" s="7"/>
    </row>
    <row r="83865" ht="15.75" customHeight="1">
      <c r="A83865" s="7"/>
      <c r="B83865" s="7"/>
    </row>
    <row r="83866" ht="15.75" customHeight="1">
      <c r="A83866" s="7"/>
      <c r="B83866" s="7"/>
    </row>
    <row r="83867" ht="15.75" customHeight="1">
      <c r="A83867" s="7"/>
      <c r="B83867" s="7"/>
    </row>
    <row r="83868" ht="15.75" customHeight="1">
      <c r="A83868" s="7"/>
      <c r="B83868" s="7"/>
    </row>
    <row r="83869" ht="15.75" customHeight="1">
      <c r="A83869" s="7"/>
      <c r="B83869" s="7"/>
    </row>
    <row r="83870" ht="15.75" customHeight="1">
      <c r="A83870" s="7"/>
      <c r="B83870" s="7"/>
    </row>
    <row r="83871" ht="15.75" customHeight="1">
      <c r="A83871" s="7"/>
      <c r="B83871" s="7"/>
    </row>
    <row r="83872" ht="15.75" customHeight="1">
      <c r="A83872" s="7"/>
      <c r="B83872" s="7"/>
    </row>
    <row r="83873" ht="15.75" customHeight="1">
      <c r="A83873" s="7"/>
      <c r="B83873" s="7"/>
    </row>
    <row r="83874" ht="15.75" customHeight="1">
      <c r="A83874" s="7"/>
      <c r="B83874" s="7"/>
    </row>
    <row r="83875" ht="15.75" customHeight="1">
      <c r="A83875" s="7"/>
      <c r="B83875" s="7"/>
    </row>
    <row r="83876" ht="15.75" customHeight="1">
      <c r="A83876" s="7"/>
      <c r="B83876" s="7"/>
    </row>
    <row r="83877" ht="15.75" customHeight="1">
      <c r="A83877" s="7"/>
      <c r="B83877" s="7"/>
    </row>
    <row r="83878" ht="15.75" customHeight="1">
      <c r="A83878" s="7"/>
      <c r="B83878" s="7"/>
    </row>
    <row r="83879" ht="15.75" customHeight="1">
      <c r="A83879" s="7"/>
      <c r="B83879" s="7"/>
    </row>
    <row r="83880" ht="15.75" customHeight="1">
      <c r="A83880" s="7"/>
      <c r="B83880" s="7"/>
    </row>
    <row r="83881" ht="15.75" customHeight="1">
      <c r="A83881" s="7"/>
      <c r="B83881" s="7"/>
    </row>
    <row r="83882" ht="15.75" customHeight="1">
      <c r="A83882" s="7"/>
      <c r="B83882" s="7"/>
    </row>
    <row r="83883" ht="15.75" customHeight="1">
      <c r="A83883" s="7"/>
      <c r="B83883" s="7"/>
    </row>
    <row r="83884" ht="15.75" customHeight="1">
      <c r="A83884" s="7"/>
      <c r="B83884" s="7"/>
    </row>
    <row r="83885" ht="15.75" customHeight="1">
      <c r="A83885" s="7"/>
      <c r="B83885" s="7"/>
    </row>
    <row r="83886" ht="15.75" customHeight="1">
      <c r="A83886" s="7"/>
      <c r="B83886" s="7"/>
    </row>
    <row r="83887" ht="15.75" customHeight="1">
      <c r="A83887" s="7"/>
      <c r="B83887" s="7"/>
    </row>
    <row r="83888" ht="15.75" customHeight="1">
      <c r="A83888" s="7"/>
      <c r="B83888" s="7"/>
    </row>
    <row r="83889" ht="15.75" customHeight="1">
      <c r="A83889" s="7"/>
      <c r="B83889" s="7"/>
    </row>
    <row r="83890" ht="15.75" customHeight="1">
      <c r="A83890" s="7"/>
      <c r="B83890" s="7"/>
    </row>
    <row r="83891" ht="15.75" customHeight="1">
      <c r="A83891" s="7"/>
      <c r="B83891" s="7"/>
    </row>
    <row r="83892" ht="15.75" customHeight="1">
      <c r="A83892" s="7"/>
      <c r="B83892" s="7"/>
    </row>
    <row r="83893" ht="15.75" customHeight="1">
      <c r="A83893" s="7"/>
      <c r="B83893" s="7"/>
    </row>
    <row r="83894" ht="15.75" customHeight="1">
      <c r="A83894" s="7"/>
      <c r="B83894" s="7"/>
    </row>
    <row r="83895" ht="15.75" customHeight="1">
      <c r="A83895" s="7"/>
      <c r="B83895" s="7"/>
    </row>
    <row r="83896" ht="15.75" customHeight="1">
      <c r="A83896" s="7"/>
      <c r="B83896" s="7"/>
    </row>
    <row r="83897" ht="15.75" customHeight="1">
      <c r="A83897" s="7"/>
      <c r="B83897" s="7"/>
    </row>
    <row r="83898" ht="15.75" customHeight="1">
      <c r="A83898" s="7"/>
      <c r="B83898" s="7"/>
    </row>
    <row r="83899" ht="15.75" customHeight="1">
      <c r="A83899" s="7"/>
      <c r="B83899" s="7"/>
    </row>
    <row r="83900" ht="15.75" customHeight="1">
      <c r="A83900" s="7"/>
      <c r="B83900" s="7"/>
    </row>
    <row r="83901" ht="15.75" customHeight="1">
      <c r="A83901" s="7"/>
      <c r="B83901" s="7"/>
    </row>
    <row r="83902" ht="15.75" customHeight="1">
      <c r="A83902" s="7"/>
      <c r="B83902" s="7"/>
    </row>
    <row r="83903" ht="15.75" customHeight="1">
      <c r="A83903" s="7"/>
      <c r="B83903" s="7"/>
    </row>
    <row r="83904" ht="15.75" customHeight="1">
      <c r="A83904" s="7"/>
      <c r="B83904" s="7"/>
    </row>
    <row r="83905" ht="15.75" customHeight="1">
      <c r="A83905" s="7"/>
      <c r="B83905" s="7"/>
    </row>
    <row r="83906" ht="15.75" customHeight="1">
      <c r="A83906" s="7"/>
      <c r="B83906" s="7"/>
    </row>
    <row r="83907" ht="15.75" customHeight="1">
      <c r="A83907" s="7"/>
      <c r="B83907" s="7"/>
    </row>
    <row r="83908" ht="15.75" customHeight="1">
      <c r="A83908" s="7"/>
      <c r="B83908" s="7"/>
    </row>
    <row r="83909" ht="15.75" customHeight="1">
      <c r="A83909" s="7"/>
      <c r="B83909" s="7"/>
    </row>
    <row r="83910" ht="15.75" customHeight="1">
      <c r="A83910" s="7"/>
      <c r="B83910" s="7"/>
    </row>
    <row r="83911" ht="15.75" customHeight="1">
      <c r="A83911" s="7"/>
      <c r="B83911" s="7"/>
    </row>
    <row r="83912" ht="15.75" customHeight="1">
      <c r="A83912" s="7"/>
      <c r="B83912" s="7"/>
    </row>
    <row r="83913" ht="15.75" customHeight="1">
      <c r="A83913" s="7"/>
      <c r="B83913" s="7"/>
    </row>
    <row r="83914" ht="15.75" customHeight="1">
      <c r="A83914" s="7"/>
      <c r="B83914" s="7"/>
    </row>
    <row r="83915" ht="15.75" customHeight="1">
      <c r="A83915" s="7"/>
      <c r="B83915" s="7"/>
    </row>
    <row r="83916" ht="15.75" customHeight="1">
      <c r="A83916" s="7"/>
      <c r="B83916" s="7"/>
    </row>
    <row r="83917" ht="15.75" customHeight="1">
      <c r="A83917" s="7"/>
      <c r="B83917" s="7"/>
    </row>
    <row r="83918" ht="15.75" customHeight="1">
      <c r="A83918" s="7"/>
      <c r="B83918" s="7"/>
    </row>
    <row r="83919" ht="15.75" customHeight="1">
      <c r="A83919" s="7"/>
      <c r="B83919" s="7"/>
    </row>
    <row r="83920" ht="15.75" customHeight="1">
      <c r="A83920" s="7"/>
      <c r="B83920" s="7"/>
    </row>
    <row r="83921" ht="15.75" customHeight="1">
      <c r="A83921" s="7"/>
      <c r="B83921" s="7"/>
    </row>
    <row r="83922" ht="15.75" customHeight="1">
      <c r="A83922" s="7"/>
      <c r="B83922" s="7"/>
    </row>
    <row r="83923" ht="15.75" customHeight="1">
      <c r="A83923" s="7"/>
      <c r="B83923" s="7"/>
    </row>
    <row r="83924" ht="15.75" customHeight="1">
      <c r="A83924" s="7"/>
      <c r="B83924" s="7"/>
    </row>
    <row r="83925" ht="15.75" customHeight="1">
      <c r="A83925" s="7"/>
      <c r="B83925" s="7"/>
    </row>
    <row r="83926" ht="15.75" customHeight="1">
      <c r="A83926" s="7"/>
      <c r="B83926" s="7"/>
    </row>
    <row r="83927" ht="15.75" customHeight="1">
      <c r="A83927" s="7"/>
      <c r="B83927" s="7"/>
    </row>
    <row r="83928" ht="15.75" customHeight="1">
      <c r="A83928" s="7"/>
      <c r="B83928" s="7"/>
    </row>
    <row r="83929" ht="15.75" customHeight="1">
      <c r="A83929" s="7"/>
      <c r="B83929" s="7"/>
    </row>
    <row r="83930" ht="15.75" customHeight="1">
      <c r="A83930" s="7"/>
      <c r="B83930" s="7"/>
    </row>
    <row r="83931" ht="15.75" customHeight="1">
      <c r="A83931" s="7"/>
      <c r="B83931" s="7"/>
    </row>
    <row r="83932" ht="15.75" customHeight="1">
      <c r="A83932" s="7"/>
      <c r="B83932" s="7"/>
    </row>
    <row r="83933" ht="15.75" customHeight="1">
      <c r="A83933" s="7"/>
      <c r="B83933" s="7"/>
    </row>
    <row r="83934" ht="15.75" customHeight="1">
      <c r="A83934" s="7"/>
      <c r="B83934" s="7"/>
    </row>
    <row r="83935" ht="15.75" customHeight="1">
      <c r="A83935" s="7"/>
      <c r="B83935" s="7"/>
    </row>
    <row r="83936" ht="15.75" customHeight="1">
      <c r="A83936" s="7"/>
      <c r="B83936" s="7"/>
    </row>
    <row r="83937" ht="15.75" customHeight="1">
      <c r="A83937" s="7"/>
      <c r="B83937" s="7"/>
    </row>
    <row r="83938" ht="15.75" customHeight="1">
      <c r="A83938" s="7"/>
      <c r="B83938" s="7"/>
    </row>
    <row r="83939" ht="15.75" customHeight="1">
      <c r="A83939" s="7"/>
      <c r="B83939" s="7"/>
    </row>
    <row r="83940" ht="15.75" customHeight="1">
      <c r="A83940" s="7"/>
      <c r="B83940" s="7"/>
    </row>
    <row r="83941" ht="15.75" customHeight="1">
      <c r="A83941" s="7"/>
      <c r="B83941" s="7"/>
    </row>
    <row r="83942" ht="15.75" customHeight="1">
      <c r="A83942" s="7"/>
      <c r="B83942" s="7"/>
    </row>
    <row r="83943" ht="15.75" customHeight="1">
      <c r="A83943" s="7"/>
      <c r="B83943" s="7"/>
    </row>
    <row r="83944" ht="15.75" customHeight="1">
      <c r="A83944" s="7"/>
      <c r="B83944" s="7"/>
    </row>
    <row r="83945" ht="15.75" customHeight="1">
      <c r="A83945" s="7"/>
      <c r="B83945" s="7"/>
    </row>
    <row r="83946" ht="15.75" customHeight="1">
      <c r="A83946" s="7"/>
      <c r="B83946" s="7"/>
    </row>
    <row r="83947" ht="15.75" customHeight="1">
      <c r="A83947" s="7"/>
      <c r="B83947" s="7"/>
    </row>
    <row r="83948" ht="15.75" customHeight="1">
      <c r="A83948" s="7"/>
      <c r="B83948" s="7"/>
    </row>
    <row r="83949" ht="15.75" customHeight="1">
      <c r="A83949" s="7"/>
      <c r="B83949" s="7"/>
    </row>
    <row r="83950" ht="15.75" customHeight="1">
      <c r="A83950" s="7"/>
      <c r="B83950" s="7"/>
    </row>
    <row r="83951" ht="15.75" customHeight="1">
      <c r="A83951" s="7"/>
      <c r="B83951" s="7"/>
    </row>
    <row r="83952" ht="15.75" customHeight="1">
      <c r="A83952" s="7"/>
      <c r="B83952" s="7"/>
    </row>
    <row r="83953" ht="15.75" customHeight="1">
      <c r="A83953" s="7"/>
      <c r="B83953" s="7"/>
    </row>
    <row r="83954" ht="15.75" customHeight="1">
      <c r="A83954" s="7"/>
      <c r="B83954" s="7"/>
    </row>
    <row r="83955" ht="15.75" customHeight="1">
      <c r="A83955" s="7"/>
      <c r="B83955" s="7"/>
    </row>
    <row r="83956" ht="15.75" customHeight="1">
      <c r="A83956" s="7"/>
      <c r="B83956" s="7"/>
    </row>
    <row r="83957" ht="15.75" customHeight="1">
      <c r="A83957" s="7"/>
      <c r="B83957" s="7"/>
    </row>
    <row r="83958" ht="15.75" customHeight="1">
      <c r="A83958" s="7"/>
      <c r="B83958" s="7"/>
    </row>
    <row r="83959" ht="15.75" customHeight="1">
      <c r="A83959" s="7"/>
      <c r="B83959" s="7"/>
    </row>
    <row r="83960" ht="15.75" customHeight="1">
      <c r="A83960" s="7"/>
      <c r="B83960" s="7"/>
    </row>
    <row r="83961" ht="15.75" customHeight="1">
      <c r="A83961" s="7"/>
      <c r="B83961" s="7"/>
    </row>
    <row r="83962" ht="15.75" customHeight="1">
      <c r="A83962" s="7"/>
      <c r="B83962" s="7"/>
    </row>
    <row r="83963" ht="15.75" customHeight="1">
      <c r="A83963" s="7"/>
      <c r="B83963" s="7"/>
    </row>
    <row r="83964" ht="15.75" customHeight="1">
      <c r="A83964" s="7"/>
      <c r="B83964" s="7"/>
    </row>
    <row r="83965" ht="15.75" customHeight="1">
      <c r="A83965" s="7"/>
      <c r="B83965" s="7"/>
    </row>
    <row r="83966" ht="15.75" customHeight="1">
      <c r="A83966" s="7"/>
      <c r="B83966" s="7"/>
    </row>
    <row r="83967" ht="15.75" customHeight="1">
      <c r="A83967" s="7"/>
      <c r="B83967" s="7"/>
    </row>
    <row r="83968" ht="15.75" customHeight="1">
      <c r="A83968" s="7"/>
      <c r="B83968" s="7"/>
    </row>
    <row r="83969" ht="15.75" customHeight="1">
      <c r="A83969" s="7"/>
      <c r="B83969" s="7"/>
    </row>
    <row r="83970" ht="15.75" customHeight="1">
      <c r="A83970" s="7"/>
      <c r="B83970" s="7"/>
    </row>
    <row r="83971" ht="15.75" customHeight="1">
      <c r="A83971" s="7"/>
      <c r="B83971" s="7"/>
    </row>
    <row r="83972" ht="15.75" customHeight="1">
      <c r="A83972" s="7"/>
      <c r="B83972" s="7"/>
    </row>
    <row r="83973" ht="15.75" customHeight="1">
      <c r="A83973" s="7"/>
      <c r="B83973" s="7"/>
    </row>
    <row r="83974" ht="15.75" customHeight="1">
      <c r="A83974" s="7"/>
      <c r="B83974" s="7"/>
    </row>
    <row r="83975" ht="15.75" customHeight="1">
      <c r="A83975" s="7"/>
      <c r="B83975" s="7"/>
    </row>
    <row r="83976" ht="15.75" customHeight="1">
      <c r="A83976" s="7"/>
      <c r="B83976" s="7"/>
    </row>
    <row r="83977" ht="15.75" customHeight="1">
      <c r="A83977" s="7"/>
      <c r="B83977" s="7"/>
    </row>
    <row r="83978" ht="15.75" customHeight="1">
      <c r="A83978" s="7"/>
      <c r="B83978" s="7"/>
    </row>
    <row r="83979" ht="15.75" customHeight="1">
      <c r="A83979" s="7"/>
      <c r="B83979" s="7"/>
    </row>
    <row r="83980" ht="15.75" customHeight="1">
      <c r="A83980" s="7"/>
      <c r="B83980" s="7"/>
    </row>
    <row r="83981" ht="15.75" customHeight="1">
      <c r="A83981" s="7"/>
      <c r="B83981" s="7"/>
    </row>
    <row r="83982" ht="15.75" customHeight="1">
      <c r="A83982" s="7"/>
      <c r="B83982" s="7"/>
    </row>
    <row r="83983" ht="15.75" customHeight="1">
      <c r="A83983" s="7"/>
      <c r="B83983" s="7"/>
    </row>
    <row r="83984" ht="15.75" customHeight="1">
      <c r="A83984" s="7"/>
      <c r="B83984" s="7"/>
    </row>
    <row r="83985" ht="15.75" customHeight="1">
      <c r="A83985" s="7"/>
      <c r="B83985" s="7"/>
    </row>
    <row r="83986" ht="15.75" customHeight="1">
      <c r="A83986" s="7"/>
      <c r="B83986" s="7"/>
    </row>
    <row r="83987" ht="15.75" customHeight="1">
      <c r="A83987" s="7"/>
      <c r="B83987" s="7"/>
    </row>
    <row r="83988" ht="15.75" customHeight="1">
      <c r="A83988" s="7"/>
      <c r="B83988" s="7"/>
    </row>
    <row r="83989" ht="15.75" customHeight="1">
      <c r="A83989" s="7"/>
      <c r="B83989" s="7"/>
    </row>
    <row r="83990" ht="15.75" customHeight="1">
      <c r="A83990" s="7"/>
      <c r="B83990" s="7"/>
    </row>
    <row r="83991" ht="15.75" customHeight="1">
      <c r="A83991" s="7"/>
      <c r="B83991" s="7"/>
    </row>
    <row r="83992" ht="15.75" customHeight="1">
      <c r="A83992" s="7"/>
      <c r="B83992" s="7"/>
    </row>
    <row r="83993" ht="15.75" customHeight="1">
      <c r="A83993" s="7"/>
      <c r="B83993" s="7"/>
    </row>
    <row r="83994" ht="15.75" customHeight="1">
      <c r="A83994" s="7"/>
      <c r="B83994" s="7"/>
    </row>
    <row r="83995" ht="15.75" customHeight="1">
      <c r="A83995" s="7"/>
      <c r="B83995" s="7"/>
    </row>
    <row r="83996" ht="15.75" customHeight="1">
      <c r="A83996" s="7"/>
      <c r="B83996" s="7"/>
    </row>
    <row r="83997" ht="15.75" customHeight="1">
      <c r="A83997" s="7"/>
      <c r="B83997" s="7"/>
    </row>
    <row r="83998" ht="15.75" customHeight="1">
      <c r="A83998" s="7"/>
      <c r="B83998" s="7"/>
    </row>
    <row r="83999" ht="15.75" customHeight="1">
      <c r="A83999" s="7"/>
      <c r="B83999" s="7"/>
    </row>
    <row r="84000" ht="15.75" customHeight="1">
      <c r="A84000" s="7"/>
      <c r="B84000" s="7"/>
    </row>
    <row r="84001" ht="15.75" customHeight="1">
      <c r="A84001" s="7"/>
      <c r="B84001" s="7"/>
    </row>
    <row r="84002" ht="15.75" customHeight="1">
      <c r="A84002" s="7"/>
      <c r="B84002" s="7"/>
    </row>
    <row r="84003" ht="15.75" customHeight="1">
      <c r="A84003" s="7"/>
      <c r="B84003" s="7"/>
    </row>
    <row r="84004" ht="15.75" customHeight="1">
      <c r="A84004" s="7"/>
      <c r="B84004" s="7"/>
    </row>
    <row r="84005" ht="15.75" customHeight="1">
      <c r="A84005" s="7"/>
      <c r="B84005" s="7"/>
    </row>
    <row r="84006" ht="15.75" customHeight="1">
      <c r="A84006" s="7"/>
      <c r="B84006" s="7"/>
    </row>
    <row r="84007" ht="15.75" customHeight="1">
      <c r="A84007" s="7"/>
      <c r="B84007" s="7"/>
    </row>
    <row r="84008" ht="15.75" customHeight="1">
      <c r="A84008" s="7"/>
      <c r="B84008" s="7"/>
    </row>
    <row r="84009" ht="15.75" customHeight="1">
      <c r="A84009" s="7"/>
      <c r="B84009" s="7"/>
    </row>
    <row r="84010" ht="15.75" customHeight="1">
      <c r="A84010" s="7"/>
      <c r="B84010" s="7"/>
    </row>
    <row r="84011" ht="15.75" customHeight="1">
      <c r="A84011" s="7"/>
      <c r="B84011" s="7"/>
    </row>
    <row r="84012" ht="15.75" customHeight="1">
      <c r="A84012" s="7"/>
      <c r="B84012" s="7"/>
    </row>
    <row r="84013" ht="15.75" customHeight="1">
      <c r="A84013" s="7"/>
      <c r="B84013" s="7"/>
    </row>
    <row r="84014" ht="15.75" customHeight="1">
      <c r="A84014" s="7"/>
      <c r="B84014" s="7"/>
    </row>
    <row r="84015" ht="15.75" customHeight="1">
      <c r="A84015" s="7"/>
      <c r="B84015" s="7"/>
    </row>
    <row r="84016" ht="15.75" customHeight="1">
      <c r="A84016" s="7"/>
      <c r="B84016" s="7"/>
    </row>
    <row r="84017" ht="15.75" customHeight="1">
      <c r="A84017" s="7"/>
      <c r="B84017" s="7"/>
    </row>
    <row r="84018" ht="15.75" customHeight="1">
      <c r="A84018" s="7"/>
      <c r="B84018" s="7"/>
    </row>
    <row r="84019" ht="15.75" customHeight="1">
      <c r="A84019" s="7"/>
      <c r="B84019" s="7"/>
    </row>
    <row r="84020" ht="15.75" customHeight="1">
      <c r="A84020" s="7"/>
      <c r="B84020" s="7"/>
    </row>
    <row r="84021" ht="15.75" customHeight="1">
      <c r="A84021" s="7"/>
      <c r="B84021" s="7"/>
    </row>
    <row r="84022" ht="15.75" customHeight="1">
      <c r="A84022" s="7"/>
      <c r="B84022" s="7"/>
    </row>
    <row r="84023" ht="15.75" customHeight="1">
      <c r="A84023" s="7"/>
      <c r="B84023" s="7"/>
    </row>
    <row r="84024" ht="15.75" customHeight="1">
      <c r="A84024" s="7"/>
      <c r="B84024" s="7"/>
    </row>
    <row r="84025" ht="15.75" customHeight="1">
      <c r="A84025" s="7"/>
      <c r="B84025" s="7"/>
    </row>
    <row r="84026" ht="15.75" customHeight="1">
      <c r="A84026" s="7"/>
      <c r="B84026" s="7"/>
    </row>
    <row r="84027" ht="15.75" customHeight="1">
      <c r="A84027" s="7"/>
      <c r="B84027" s="7"/>
    </row>
    <row r="84028" ht="15.75" customHeight="1">
      <c r="A84028" s="7"/>
      <c r="B84028" s="7"/>
    </row>
    <row r="84029" ht="15.75" customHeight="1">
      <c r="A84029" s="7"/>
      <c r="B84029" s="7"/>
    </row>
    <row r="84030" ht="15.75" customHeight="1">
      <c r="A84030" s="7"/>
      <c r="B84030" s="7"/>
    </row>
    <row r="84031" ht="15.75" customHeight="1">
      <c r="A84031" s="7"/>
      <c r="B84031" s="7"/>
    </row>
    <row r="84032" ht="15.75" customHeight="1">
      <c r="A84032" s="7"/>
      <c r="B84032" s="7"/>
    </row>
    <row r="84033" ht="15.75" customHeight="1">
      <c r="A84033" s="7"/>
      <c r="B84033" s="7"/>
    </row>
    <row r="84034" ht="15.75" customHeight="1">
      <c r="A84034" s="7"/>
      <c r="B84034" s="7"/>
    </row>
    <row r="84035" ht="15.75" customHeight="1">
      <c r="A84035" s="7"/>
      <c r="B84035" s="7"/>
    </row>
    <row r="84036" ht="15.75" customHeight="1">
      <c r="A84036" s="7"/>
      <c r="B84036" s="7"/>
    </row>
    <row r="84037" ht="15.75" customHeight="1">
      <c r="A84037" s="7"/>
      <c r="B84037" s="7"/>
    </row>
    <row r="84038" ht="15.75" customHeight="1">
      <c r="A84038" s="7"/>
      <c r="B84038" s="7"/>
    </row>
    <row r="84039" ht="15.75" customHeight="1">
      <c r="A84039" s="7"/>
      <c r="B84039" s="7"/>
    </row>
    <row r="84040" ht="15.75" customHeight="1">
      <c r="A84040" s="7"/>
      <c r="B84040" s="7"/>
    </row>
    <row r="84041" ht="15.75" customHeight="1">
      <c r="A84041" s="7"/>
      <c r="B84041" s="7"/>
    </row>
    <row r="84042" ht="15.75" customHeight="1">
      <c r="A84042" s="7"/>
      <c r="B84042" s="7"/>
    </row>
    <row r="84043" ht="15.75" customHeight="1">
      <c r="A84043" s="7"/>
      <c r="B84043" s="7"/>
    </row>
    <row r="84044" ht="15.75" customHeight="1">
      <c r="A84044" s="7"/>
      <c r="B84044" s="7"/>
    </row>
    <row r="84045" ht="15.75" customHeight="1">
      <c r="A84045" s="7"/>
      <c r="B84045" s="7"/>
    </row>
    <row r="84046" ht="15.75" customHeight="1">
      <c r="A84046" s="7"/>
      <c r="B84046" s="7"/>
    </row>
    <row r="84047" ht="15.75" customHeight="1">
      <c r="A84047" s="7"/>
      <c r="B84047" s="7"/>
    </row>
    <row r="84048" ht="15.75" customHeight="1">
      <c r="A84048" s="7"/>
      <c r="B84048" s="7"/>
    </row>
    <row r="84049" ht="15.75" customHeight="1">
      <c r="A84049" s="7"/>
      <c r="B84049" s="7"/>
    </row>
    <row r="84050" ht="15.75" customHeight="1">
      <c r="A84050" s="7"/>
      <c r="B84050" s="7"/>
    </row>
    <row r="84051" ht="15.75" customHeight="1">
      <c r="A84051" s="7"/>
      <c r="B84051" s="7"/>
    </row>
    <row r="84052" ht="15.75" customHeight="1">
      <c r="A84052" s="7"/>
      <c r="B84052" s="7"/>
    </row>
    <row r="84053" ht="15.75" customHeight="1">
      <c r="A84053" s="7"/>
      <c r="B84053" s="7"/>
    </row>
    <row r="84054" ht="15.75" customHeight="1">
      <c r="A84054" s="7"/>
      <c r="B84054" s="7"/>
    </row>
    <row r="84055" ht="15.75" customHeight="1">
      <c r="A84055" s="7"/>
      <c r="B84055" s="7"/>
    </row>
    <row r="84056" ht="15.75" customHeight="1">
      <c r="A84056" s="7"/>
      <c r="B84056" s="7"/>
    </row>
    <row r="84057" ht="15.75" customHeight="1">
      <c r="A84057" s="7"/>
      <c r="B84057" s="7"/>
    </row>
    <row r="84058" ht="15.75" customHeight="1">
      <c r="A84058" s="7"/>
      <c r="B84058" s="7"/>
    </row>
    <row r="84059" ht="15.75" customHeight="1">
      <c r="A84059" s="7"/>
      <c r="B84059" s="7"/>
    </row>
    <row r="84060" ht="15.75" customHeight="1">
      <c r="A84060" s="7"/>
      <c r="B84060" s="7"/>
    </row>
    <row r="84061" ht="15.75" customHeight="1">
      <c r="A84061" s="7"/>
      <c r="B84061" s="7"/>
    </row>
    <row r="84062" ht="15.75" customHeight="1">
      <c r="A84062" s="7"/>
      <c r="B84062" s="7"/>
    </row>
    <row r="84063" ht="15.75" customHeight="1">
      <c r="A84063" s="7"/>
      <c r="B84063" s="7"/>
    </row>
    <row r="84064" ht="15.75" customHeight="1">
      <c r="A84064" s="7"/>
      <c r="B84064" s="7"/>
    </row>
    <row r="84065" ht="15.75" customHeight="1">
      <c r="A84065" s="7"/>
      <c r="B84065" s="7"/>
    </row>
    <row r="84066" ht="15.75" customHeight="1">
      <c r="A84066" s="7"/>
      <c r="B84066" s="7"/>
    </row>
    <row r="84067" ht="15.75" customHeight="1">
      <c r="A84067" s="7"/>
      <c r="B84067" s="7"/>
    </row>
    <row r="84068" ht="15.75" customHeight="1">
      <c r="A84068" s="7"/>
      <c r="B84068" s="7"/>
    </row>
    <row r="84069" ht="15.75" customHeight="1">
      <c r="A84069" s="7"/>
      <c r="B84069" s="7"/>
    </row>
    <row r="84070" ht="15.75" customHeight="1">
      <c r="A84070" s="7"/>
      <c r="B84070" s="7"/>
    </row>
    <row r="84071" ht="15.75" customHeight="1">
      <c r="A84071" s="7"/>
      <c r="B84071" s="7"/>
    </row>
    <row r="84072" ht="15.75" customHeight="1">
      <c r="A84072" s="7"/>
      <c r="B84072" s="7"/>
    </row>
    <row r="84073" ht="15.75" customHeight="1">
      <c r="A84073" s="7"/>
      <c r="B84073" s="7"/>
    </row>
    <row r="84074" ht="15.75" customHeight="1">
      <c r="A84074" s="7"/>
      <c r="B84074" s="7"/>
    </row>
    <row r="84075" ht="15.75" customHeight="1">
      <c r="A84075" s="7"/>
      <c r="B84075" s="7"/>
    </row>
    <row r="84076" ht="15.75" customHeight="1">
      <c r="A84076" s="7"/>
      <c r="B84076" s="7"/>
    </row>
    <row r="84077" ht="15.75" customHeight="1">
      <c r="A84077" s="7"/>
      <c r="B84077" s="7"/>
    </row>
    <row r="84078" ht="15.75" customHeight="1">
      <c r="A84078" s="7"/>
      <c r="B84078" s="7"/>
    </row>
    <row r="84079" ht="15.75" customHeight="1">
      <c r="A84079" s="7"/>
      <c r="B84079" s="7"/>
    </row>
    <row r="84080" ht="15.75" customHeight="1">
      <c r="A84080" s="7"/>
      <c r="B84080" s="7"/>
    </row>
    <row r="84081" ht="15.75" customHeight="1">
      <c r="A84081" s="7"/>
      <c r="B84081" s="7"/>
    </row>
    <row r="84082" ht="15.75" customHeight="1">
      <c r="A84082" s="7"/>
      <c r="B84082" s="7"/>
    </row>
    <row r="84083" ht="15.75" customHeight="1">
      <c r="A84083" s="7"/>
      <c r="B84083" s="7"/>
    </row>
    <row r="84084" ht="15.75" customHeight="1">
      <c r="A84084" s="7"/>
      <c r="B84084" s="7"/>
    </row>
    <row r="84085" ht="15.75" customHeight="1">
      <c r="A84085" s="7"/>
      <c r="B84085" s="7"/>
    </row>
    <row r="84086" ht="15.75" customHeight="1">
      <c r="A84086" s="7"/>
      <c r="B84086" s="7"/>
    </row>
    <row r="84087" ht="15.75" customHeight="1">
      <c r="A84087" s="7"/>
      <c r="B84087" s="7"/>
    </row>
    <row r="84088" ht="15.75" customHeight="1">
      <c r="A84088" s="7"/>
      <c r="B84088" s="7"/>
    </row>
    <row r="84089" ht="15.75" customHeight="1">
      <c r="A84089" s="7"/>
      <c r="B84089" s="7"/>
    </row>
    <row r="84090" ht="15.75" customHeight="1">
      <c r="A84090" s="7"/>
      <c r="B84090" s="7"/>
    </row>
    <row r="84091" ht="15.75" customHeight="1">
      <c r="A84091" s="7"/>
      <c r="B84091" s="7"/>
    </row>
    <row r="84092" ht="15.75" customHeight="1">
      <c r="A84092" s="7"/>
      <c r="B84092" s="7"/>
    </row>
    <row r="84093" ht="15.75" customHeight="1">
      <c r="A84093" s="7"/>
      <c r="B84093" s="7"/>
    </row>
    <row r="84094" ht="15.75" customHeight="1">
      <c r="A84094" s="7"/>
      <c r="B84094" s="7"/>
    </row>
    <row r="84095" ht="15.75" customHeight="1">
      <c r="A84095" s="7"/>
      <c r="B84095" s="7"/>
    </row>
    <row r="84096" ht="15.75" customHeight="1">
      <c r="A84096" s="7"/>
      <c r="B84096" s="7"/>
    </row>
    <row r="84097" ht="15.75" customHeight="1">
      <c r="A84097" s="7"/>
      <c r="B84097" s="7"/>
    </row>
    <row r="84098" ht="15.75" customHeight="1">
      <c r="A84098" s="7"/>
      <c r="B84098" s="7"/>
    </row>
    <row r="84099" ht="15.75" customHeight="1">
      <c r="A84099" s="7"/>
      <c r="B84099" s="7"/>
    </row>
    <row r="84100" ht="15.75" customHeight="1">
      <c r="A84100" s="7"/>
      <c r="B84100" s="7"/>
    </row>
    <row r="84101" ht="15.75" customHeight="1">
      <c r="A84101" s="7"/>
      <c r="B84101" s="7"/>
    </row>
    <row r="84102" ht="15.75" customHeight="1">
      <c r="A84102" s="7"/>
      <c r="B84102" s="7"/>
    </row>
    <row r="84103" ht="15.75" customHeight="1">
      <c r="A84103" s="7"/>
      <c r="B84103" s="7"/>
    </row>
    <row r="84104" ht="15.75" customHeight="1">
      <c r="A84104" s="7"/>
      <c r="B84104" s="7"/>
    </row>
    <row r="84105" ht="15.75" customHeight="1">
      <c r="A84105" s="7"/>
      <c r="B84105" s="7"/>
    </row>
    <row r="84106" ht="15.75" customHeight="1">
      <c r="A84106" s="7"/>
      <c r="B84106" s="7"/>
    </row>
    <row r="84107" ht="15.75" customHeight="1">
      <c r="A84107" s="7"/>
      <c r="B84107" s="7"/>
    </row>
    <row r="84108" ht="15.75" customHeight="1">
      <c r="A84108" s="7"/>
      <c r="B84108" s="7"/>
    </row>
    <row r="84109" ht="15.75" customHeight="1">
      <c r="A84109" s="7"/>
      <c r="B84109" s="7"/>
    </row>
    <row r="84110" ht="15.75" customHeight="1">
      <c r="A84110" s="7"/>
      <c r="B84110" s="7"/>
    </row>
    <row r="84111" ht="15.75" customHeight="1">
      <c r="A84111" s="7"/>
      <c r="B84111" s="7"/>
    </row>
    <row r="84112" ht="15.75" customHeight="1">
      <c r="A84112" s="7"/>
      <c r="B84112" s="7"/>
    </row>
    <row r="84113" ht="15.75" customHeight="1">
      <c r="A84113" s="7"/>
      <c r="B84113" s="7"/>
    </row>
    <row r="84114" ht="15.75" customHeight="1">
      <c r="A84114" s="7"/>
      <c r="B84114" s="7"/>
    </row>
    <row r="84115" ht="15.75" customHeight="1">
      <c r="A84115" s="7"/>
      <c r="B84115" s="7"/>
    </row>
    <row r="84116" ht="15.75" customHeight="1">
      <c r="A84116" s="7"/>
      <c r="B84116" s="7"/>
    </row>
    <row r="84117" ht="15.75" customHeight="1">
      <c r="A84117" s="7"/>
      <c r="B84117" s="7"/>
    </row>
    <row r="84118" ht="15.75" customHeight="1">
      <c r="A84118" s="7"/>
      <c r="B84118" s="7"/>
    </row>
    <row r="84119" ht="15.75" customHeight="1">
      <c r="A84119" s="7"/>
      <c r="B84119" s="7"/>
    </row>
    <row r="84120" ht="15.75" customHeight="1">
      <c r="A84120" s="7"/>
      <c r="B84120" s="7"/>
    </row>
    <row r="84121" ht="15.75" customHeight="1">
      <c r="A84121" s="7"/>
      <c r="B84121" s="7"/>
    </row>
    <row r="84122" ht="15.75" customHeight="1">
      <c r="A84122" s="7"/>
      <c r="B84122" s="7"/>
    </row>
    <row r="84123" ht="15.75" customHeight="1">
      <c r="A84123" s="7"/>
      <c r="B84123" s="7"/>
    </row>
    <row r="84124" ht="15.75" customHeight="1">
      <c r="A84124" s="7"/>
      <c r="B84124" s="7"/>
    </row>
    <row r="84125" ht="15.75" customHeight="1">
      <c r="A84125" s="7"/>
      <c r="B84125" s="7"/>
    </row>
    <row r="84126" ht="15.75" customHeight="1">
      <c r="A84126" s="7"/>
      <c r="B84126" s="7"/>
    </row>
    <row r="84127" ht="15.75" customHeight="1">
      <c r="A84127" s="7"/>
      <c r="B84127" s="7"/>
    </row>
    <row r="84128" ht="15.75" customHeight="1">
      <c r="A84128" s="7"/>
      <c r="B84128" s="7"/>
    </row>
    <row r="84129" ht="15.75" customHeight="1">
      <c r="A84129" s="7"/>
      <c r="B84129" s="7"/>
    </row>
    <row r="84130" ht="15.75" customHeight="1">
      <c r="A84130" s="7"/>
      <c r="B84130" s="7"/>
    </row>
    <row r="84131" ht="15.75" customHeight="1">
      <c r="A84131" s="7"/>
      <c r="B84131" s="7"/>
    </row>
    <row r="84132" ht="15.75" customHeight="1">
      <c r="A84132" s="7"/>
      <c r="B84132" s="7"/>
    </row>
    <row r="84133" ht="15.75" customHeight="1">
      <c r="A84133" s="7"/>
      <c r="B84133" s="7"/>
    </row>
    <row r="84134" ht="15.75" customHeight="1">
      <c r="A84134" s="7"/>
      <c r="B84134" s="7"/>
    </row>
    <row r="84135" ht="15.75" customHeight="1">
      <c r="A84135" s="7"/>
      <c r="B84135" s="7"/>
    </row>
    <row r="84136" ht="15.75" customHeight="1">
      <c r="A84136" s="7"/>
      <c r="B84136" s="7"/>
    </row>
    <row r="84137" ht="15.75" customHeight="1">
      <c r="A84137" s="7"/>
      <c r="B84137" s="7"/>
    </row>
    <row r="84138" ht="15.75" customHeight="1">
      <c r="A84138" s="7"/>
      <c r="B84138" s="7"/>
    </row>
    <row r="84139" ht="15.75" customHeight="1">
      <c r="A84139" s="7"/>
      <c r="B84139" s="7"/>
    </row>
    <row r="84140" ht="15.75" customHeight="1">
      <c r="A84140" s="7"/>
      <c r="B84140" s="7"/>
    </row>
    <row r="84141" ht="15.75" customHeight="1">
      <c r="A84141" s="7"/>
      <c r="B84141" s="7"/>
    </row>
    <row r="84142" ht="15.75" customHeight="1">
      <c r="A84142" s="7"/>
      <c r="B84142" s="7"/>
    </row>
    <row r="84143" ht="15.75" customHeight="1">
      <c r="A84143" s="7"/>
      <c r="B84143" s="7"/>
    </row>
    <row r="84144" ht="15.75" customHeight="1">
      <c r="A84144" s="7"/>
      <c r="B84144" s="7"/>
    </row>
    <row r="84145" ht="15.75" customHeight="1">
      <c r="A84145" s="7"/>
      <c r="B84145" s="7"/>
    </row>
    <row r="84146" ht="15.75" customHeight="1">
      <c r="A84146" s="7"/>
      <c r="B84146" s="7"/>
    </row>
    <row r="84147" ht="15.75" customHeight="1">
      <c r="A84147" s="7"/>
      <c r="B84147" s="7"/>
    </row>
    <row r="84148" ht="15.75" customHeight="1">
      <c r="A84148" s="7"/>
      <c r="B84148" s="7"/>
    </row>
    <row r="84149" ht="15.75" customHeight="1">
      <c r="A84149" s="7"/>
      <c r="B84149" s="7"/>
    </row>
    <row r="84150" ht="15.75" customHeight="1">
      <c r="A84150" s="7"/>
      <c r="B84150" s="7"/>
    </row>
    <row r="84151" ht="15.75" customHeight="1">
      <c r="A84151" s="7"/>
      <c r="B84151" s="7"/>
    </row>
    <row r="84152" ht="15.75" customHeight="1">
      <c r="A84152" s="7"/>
      <c r="B84152" s="7"/>
    </row>
    <row r="84153" ht="15.75" customHeight="1">
      <c r="A84153" s="7"/>
      <c r="B84153" s="7"/>
    </row>
    <row r="84154" ht="15.75" customHeight="1">
      <c r="A84154" s="7"/>
      <c r="B84154" s="7"/>
    </row>
    <row r="84155" ht="15.75" customHeight="1">
      <c r="A84155" s="7"/>
      <c r="B84155" s="7"/>
    </row>
    <row r="84156" ht="15.75" customHeight="1">
      <c r="A84156" s="7"/>
      <c r="B84156" s="7"/>
    </row>
    <row r="84157" ht="15.75" customHeight="1">
      <c r="A84157" s="7"/>
      <c r="B84157" s="7"/>
    </row>
    <row r="84158" ht="15.75" customHeight="1">
      <c r="A84158" s="7"/>
      <c r="B84158" s="7"/>
    </row>
    <row r="84159" ht="15.75" customHeight="1">
      <c r="A84159" s="7"/>
      <c r="B84159" s="7"/>
    </row>
    <row r="84160" ht="15.75" customHeight="1">
      <c r="A84160" s="7"/>
      <c r="B84160" s="7"/>
    </row>
    <row r="84161" ht="15.75" customHeight="1">
      <c r="A84161" s="7"/>
      <c r="B84161" s="7"/>
    </row>
    <row r="84162" ht="15.75" customHeight="1">
      <c r="A84162" s="7"/>
      <c r="B84162" s="7"/>
    </row>
    <row r="84163" ht="15.75" customHeight="1">
      <c r="A84163" s="7"/>
      <c r="B84163" s="7"/>
    </row>
    <row r="84164" ht="15.75" customHeight="1">
      <c r="A84164" s="7"/>
      <c r="B84164" s="7"/>
    </row>
    <row r="84165" ht="15.75" customHeight="1">
      <c r="A84165" s="7"/>
      <c r="B84165" s="7"/>
    </row>
    <row r="84166" ht="15.75" customHeight="1">
      <c r="A84166" s="7"/>
      <c r="B84166" s="7"/>
    </row>
    <row r="84167" ht="15.75" customHeight="1">
      <c r="A84167" s="7"/>
      <c r="B84167" s="7"/>
    </row>
    <row r="84168" ht="15.75" customHeight="1">
      <c r="A84168" s="7"/>
      <c r="B84168" s="7"/>
    </row>
    <row r="84169" ht="15.75" customHeight="1">
      <c r="A84169" s="7"/>
      <c r="B84169" s="7"/>
    </row>
    <row r="84170" ht="15.75" customHeight="1">
      <c r="A84170" s="7"/>
      <c r="B84170" s="7"/>
    </row>
    <row r="84171" ht="15.75" customHeight="1">
      <c r="A84171" s="7"/>
      <c r="B84171" s="7"/>
    </row>
    <row r="84172" ht="15.75" customHeight="1">
      <c r="A84172" s="7"/>
      <c r="B84172" s="7"/>
    </row>
    <row r="84173" ht="15.75" customHeight="1">
      <c r="A84173" s="7"/>
      <c r="B84173" s="7"/>
    </row>
    <row r="84174" ht="15.75" customHeight="1">
      <c r="A84174" s="7"/>
      <c r="B84174" s="7"/>
    </row>
    <row r="84175" ht="15.75" customHeight="1">
      <c r="A84175" s="7"/>
      <c r="B84175" s="7"/>
    </row>
    <row r="84176" ht="15.75" customHeight="1">
      <c r="A84176" s="7"/>
      <c r="B84176" s="7"/>
    </row>
    <row r="84177" ht="15.75" customHeight="1">
      <c r="A84177" s="7"/>
      <c r="B84177" s="7"/>
    </row>
    <row r="84178" ht="15.75" customHeight="1">
      <c r="A84178" s="7"/>
      <c r="B84178" s="7"/>
    </row>
    <row r="84179" ht="15.75" customHeight="1">
      <c r="A84179" s="7"/>
      <c r="B84179" s="7"/>
    </row>
    <row r="84180" ht="15.75" customHeight="1">
      <c r="A84180" s="7"/>
      <c r="B84180" s="7"/>
    </row>
    <row r="84181" ht="15.75" customHeight="1">
      <c r="A84181" s="7"/>
      <c r="B84181" s="7"/>
    </row>
    <row r="84182" ht="15.75" customHeight="1">
      <c r="A84182" s="7"/>
      <c r="B84182" s="7"/>
    </row>
    <row r="84183" ht="15.75" customHeight="1">
      <c r="A84183" s="7"/>
      <c r="B84183" s="7"/>
    </row>
    <row r="84184" ht="15.75" customHeight="1">
      <c r="A84184" s="7"/>
      <c r="B84184" s="7"/>
    </row>
    <row r="84185" ht="15.75" customHeight="1">
      <c r="A84185" s="7"/>
      <c r="B84185" s="7"/>
    </row>
    <row r="84186" ht="15.75" customHeight="1">
      <c r="A84186" s="7"/>
      <c r="B84186" s="7"/>
    </row>
    <row r="84187" ht="15.75" customHeight="1">
      <c r="A84187" s="7"/>
      <c r="B84187" s="7"/>
    </row>
    <row r="84188" ht="15.75" customHeight="1">
      <c r="A84188" s="7"/>
      <c r="B84188" s="7"/>
    </row>
    <row r="84189" ht="15.75" customHeight="1">
      <c r="A84189" s="7"/>
      <c r="B84189" s="7"/>
    </row>
    <row r="84190" ht="15.75" customHeight="1">
      <c r="A84190" s="7"/>
      <c r="B84190" s="7"/>
    </row>
    <row r="84191" ht="15.75" customHeight="1">
      <c r="A84191" s="7"/>
      <c r="B84191" s="7"/>
    </row>
    <row r="84192" ht="15.75" customHeight="1">
      <c r="A84192" s="7"/>
      <c r="B84192" s="7"/>
    </row>
    <row r="84193" ht="15.75" customHeight="1">
      <c r="A84193" s="7"/>
      <c r="B84193" s="7"/>
    </row>
    <row r="84194" ht="15.75" customHeight="1">
      <c r="A84194" s="7"/>
      <c r="B84194" s="7"/>
    </row>
    <row r="84195" ht="15.75" customHeight="1">
      <c r="A84195" s="7"/>
      <c r="B84195" s="7"/>
    </row>
    <row r="84196" ht="15.75" customHeight="1">
      <c r="A84196" s="7"/>
      <c r="B84196" s="7"/>
    </row>
    <row r="84197" ht="15.75" customHeight="1">
      <c r="A84197" s="7"/>
      <c r="B84197" s="7"/>
    </row>
    <row r="84198" ht="15.75" customHeight="1">
      <c r="A84198" s="7"/>
      <c r="B84198" s="7"/>
    </row>
    <row r="84199" ht="15.75" customHeight="1">
      <c r="A84199" s="7"/>
      <c r="B84199" s="7"/>
    </row>
    <row r="84200" ht="15.75" customHeight="1">
      <c r="A84200" s="7"/>
      <c r="B84200" s="7"/>
    </row>
    <row r="84201" ht="15.75" customHeight="1">
      <c r="A84201" s="7"/>
      <c r="B84201" s="7"/>
    </row>
    <row r="84202" ht="15.75" customHeight="1">
      <c r="A84202" s="7"/>
      <c r="B84202" s="7"/>
    </row>
    <row r="84203" ht="15.75" customHeight="1">
      <c r="A84203" s="7"/>
      <c r="B84203" s="7"/>
    </row>
    <row r="84204" ht="15.75" customHeight="1">
      <c r="A84204" s="7"/>
      <c r="B84204" s="7"/>
    </row>
    <row r="84205" ht="15.75" customHeight="1">
      <c r="A84205" s="7"/>
      <c r="B84205" s="7"/>
    </row>
    <row r="84206" ht="15.75" customHeight="1">
      <c r="A84206" s="7"/>
      <c r="B84206" s="7"/>
    </row>
    <row r="84207" ht="15.75" customHeight="1">
      <c r="A84207" s="7"/>
      <c r="B84207" s="7"/>
    </row>
    <row r="84208" ht="15.75" customHeight="1">
      <c r="A84208" s="7"/>
      <c r="B84208" s="7"/>
    </row>
    <row r="84209" ht="15.75" customHeight="1">
      <c r="A84209" s="7"/>
      <c r="B84209" s="7"/>
    </row>
    <row r="84210" ht="15.75" customHeight="1">
      <c r="A84210" s="7"/>
      <c r="B84210" s="7"/>
    </row>
    <row r="84211" ht="15.75" customHeight="1">
      <c r="A84211" s="7"/>
      <c r="B84211" s="7"/>
    </row>
    <row r="84212" ht="15.75" customHeight="1">
      <c r="A84212" s="7"/>
      <c r="B84212" s="7"/>
    </row>
    <row r="84213" ht="15.75" customHeight="1">
      <c r="A84213" s="7"/>
      <c r="B84213" s="7"/>
    </row>
    <row r="84214" ht="15.75" customHeight="1">
      <c r="A84214" s="7"/>
      <c r="B84214" s="7"/>
    </row>
    <row r="84215" ht="15.75" customHeight="1">
      <c r="A84215" s="7"/>
      <c r="B84215" s="7"/>
    </row>
    <row r="84216" ht="15.75" customHeight="1">
      <c r="A84216" s="7"/>
      <c r="B84216" s="7"/>
    </row>
    <row r="84217" ht="15.75" customHeight="1">
      <c r="A84217" s="7"/>
      <c r="B84217" s="7"/>
    </row>
    <row r="84218" ht="15.75" customHeight="1">
      <c r="A84218" s="7"/>
      <c r="B84218" s="7"/>
    </row>
    <row r="84219" ht="15.75" customHeight="1">
      <c r="A84219" s="7"/>
      <c r="B84219" s="7"/>
    </row>
    <row r="84220" ht="15.75" customHeight="1">
      <c r="A84220" s="7"/>
      <c r="B84220" s="7"/>
    </row>
    <row r="84221" ht="15.75" customHeight="1">
      <c r="A84221" s="7"/>
      <c r="B84221" s="7"/>
    </row>
    <row r="84222" ht="15.75" customHeight="1">
      <c r="A84222" s="7"/>
      <c r="B84222" s="7"/>
    </row>
    <row r="84223" ht="15.75" customHeight="1">
      <c r="A84223" s="7"/>
      <c r="B84223" s="7"/>
    </row>
    <row r="84224" ht="15.75" customHeight="1">
      <c r="A84224" s="7"/>
      <c r="B84224" s="7"/>
    </row>
    <row r="84225" ht="15.75" customHeight="1">
      <c r="A84225" s="7"/>
      <c r="B84225" s="7"/>
    </row>
    <row r="84226" ht="15.75" customHeight="1">
      <c r="A84226" s="7"/>
      <c r="B84226" s="7"/>
    </row>
    <row r="84227" ht="15.75" customHeight="1">
      <c r="A84227" s="7"/>
      <c r="B84227" s="7"/>
    </row>
    <row r="84228" ht="15.75" customHeight="1">
      <c r="A84228" s="7"/>
      <c r="B84228" s="7"/>
    </row>
    <row r="84229" ht="15.75" customHeight="1">
      <c r="A84229" s="7"/>
      <c r="B84229" s="7"/>
    </row>
    <row r="84230" ht="15.75" customHeight="1">
      <c r="A84230" s="7"/>
      <c r="B84230" s="7"/>
    </row>
    <row r="84231" ht="15.75" customHeight="1">
      <c r="A84231" s="7"/>
      <c r="B84231" s="7"/>
    </row>
    <row r="84232" ht="15.75" customHeight="1">
      <c r="A84232" s="7"/>
      <c r="B84232" s="7"/>
    </row>
    <row r="84233" ht="15.75" customHeight="1">
      <c r="A84233" s="7"/>
      <c r="B84233" s="7"/>
    </row>
    <row r="84234" ht="15.75" customHeight="1">
      <c r="A84234" s="7"/>
      <c r="B84234" s="7"/>
    </row>
    <row r="84235" ht="15.75" customHeight="1">
      <c r="A84235" s="7"/>
      <c r="B84235" s="7"/>
    </row>
    <row r="84236" ht="15.75" customHeight="1">
      <c r="A84236" s="7"/>
      <c r="B84236" s="7"/>
    </row>
    <row r="84237" ht="15.75" customHeight="1">
      <c r="A84237" s="7"/>
      <c r="B84237" s="7"/>
    </row>
    <row r="84238" ht="15.75" customHeight="1">
      <c r="A84238" s="7"/>
      <c r="B84238" s="7"/>
    </row>
    <row r="84239" ht="15.75" customHeight="1">
      <c r="A84239" s="7"/>
      <c r="B84239" s="7"/>
    </row>
    <row r="84240" ht="15.75" customHeight="1">
      <c r="A84240" s="7"/>
      <c r="B84240" s="7"/>
    </row>
    <row r="84241" ht="15.75" customHeight="1">
      <c r="A84241" s="7"/>
      <c r="B84241" s="7"/>
    </row>
    <row r="84242" ht="15.75" customHeight="1">
      <c r="A84242" s="7"/>
      <c r="B84242" s="7"/>
    </row>
    <row r="84243" ht="15.75" customHeight="1">
      <c r="A84243" s="7"/>
      <c r="B84243" s="7"/>
    </row>
    <row r="84244" ht="15.75" customHeight="1">
      <c r="A84244" s="7"/>
      <c r="B84244" s="7"/>
    </row>
    <row r="84245" ht="15.75" customHeight="1">
      <c r="A84245" s="7"/>
      <c r="B84245" s="7"/>
    </row>
    <row r="84246" ht="15.75" customHeight="1">
      <c r="A84246" s="7"/>
      <c r="B84246" s="7"/>
    </row>
    <row r="84247" ht="15.75" customHeight="1">
      <c r="A84247" s="7"/>
      <c r="B84247" s="7"/>
    </row>
    <row r="84248" ht="15.75" customHeight="1">
      <c r="A84248" s="7"/>
      <c r="B84248" s="7"/>
    </row>
    <row r="84249" ht="15.75" customHeight="1">
      <c r="A84249" s="7"/>
      <c r="B84249" s="7"/>
    </row>
    <row r="84250" ht="15.75" customHeight="1">
      <c r="A84250" s="7"/>
      <c r="B84250" s="7"/>
    </row>
    <row r="84251" ht="15.75" customHeight="1">
      <c r="A84251" s="7"/>
      <c r="B84251" s="7"/>
    </row>
    <row r="84252" ht="15.75" customHeight="1">
      <c r="A84252" s="7"/>
      <c r="B84252" s="7"/>
    </row>
    <row r="84253" ht="15.75" customHeight="1">
      <c r="A84253" s="7"/>
      <c r="B84253" s="7"/>
    </row>
    <row r="84254" ht="15.75" customHeight="1">
      <c r="A84254" s="7"/>
      <c r="B84254" s="7"/>
    </row>
    <row r="84255" ht="15.75" customHeight="1">
      <c r="A84255" s="7"/>
      <c r="B84255" s="7"/>
    </row>
    <row r="84256" ht="15.75" customHeight="1">
      <c r="A84256" s="7"/>
      <c r="B84256" s="7"/>
    </row>
    <row r="84257" ht="15.75" customHeight="1">
      <c r="A84257" s="7"/>
      <c r="B84257" s="7"/>
    </row>
    <row r="84258" ht="15.75" customHeight="1">
      <c r="A84258" s="7"/>
      <c r="B84258" s="7"/>
    </row>
    <row r="84259" ht="15.75" customHeight="1">
      <c r="A84259" s="7"/>
      <c r="B84259" s="7"/>
    </row>
    <row r="84260" ht="15.75" customHeight="1">
      <c r="A84260" s="7"/>
      <c r="B84260" s="7"/>
    </row>
    <row r="84261" ht="15.75" customHeight="1">
      <c r="A84261" s="7"/>
      <c r="B84261" s="7"/>
    </row>
    <row r="84262" ht="15.75" customHeight="1">
      <c r="A84262" s="7"/>
      <c r="B84262" s="7"/>
    </row>
    <row r="84263" ht="15.75" customHeight="1">
      <c r="A84263" s="7"/>
      <c r="B84263" s="7"/>
    </row>
    <row r="84264" ht="15.75" customHeight="1">
      <c r="A84264" s="7"/>
      <c r="B84264" s="7"/>
    </row>
    <row r="84265" ht="15.75" customHeight="1">
      <c r="A84265" s="7"/>
      <c r="B84265" s="7"/>
    </row>
    <row r="84266" ht="15.75" customHeight="1">
      <c r="A84266" s="7"/>
      <c r="B84266" s="7"/>
    </row>
    <row r="84267" ht="15.75" customHeight="1">
      <c r="A84267" s="7"/>
      <c r="B84267" s="7"/>
    </row>
    <row r="84268" ht="15.75" customHeight="1">
      <c r="A84268" s="7"/>
      <c r="B84268" s="7"/>
    </row>
    <row r="84269" ht="15.75" customHeight="1">
      <c r="A84269" s="7"/>
      <c r="B84269" s="7"/>
    </row>
    <row r="84270" ht="15.75" customHeight="1">
      <c r="A84270" s="7"/>
      <c r="B84270" s="7"/>
    </row>
    <row r="84271" ht="15.75" customHeight="1">
      <c r="A84271" s="7"/>
      <c r="B84271" s="7"/>
    </row>
    <row r="84272" ht="15.75" customHeight="1">
      <c r="A84272" s="7"/>
      <c r="B84272" s="7"/>
    </row>
    <row r="84273" ht="15.75" customHeight="1">
      <c r="A84273" s="7"/>
      <c r="B84273" s="7"/>
    </row>
    <row r="84274" ht="15.75" customHeight="1">
      <c r="A84274" s="7"/>
      <c r="B84274" s="7"/>
    </row>
    <row r="84275" ht="15.75" customHeight="1">
      <c r="A84275" s="7"/>
      <c r="B84275" s="7"/>
    </row>
    <row r="84276" ht="15.75" customHeight="1">
      <c r="A84276" s="7"/>
      <c r="B84276" s="7"/>
    </row>
    <row r="84277" ht="15.75" customHeight="1">
      <c r="A84277" s="7"/>
      <c r="B84277" s="7"/>
    </row>
    <row r="84278" ht="15.75" customHeight="1">
      <c r="A84278" s="7"/>
      <c r="B84278" s="7"/>
    </row>
    <row r="84279" ht="15.75" customHeight="1">
      <c r="A84279" s="7"/>
      <c r="B84279" s="7"/>
    </row>
    <row r="84280" ht="15.75" customHeight="1">
      <c r="A84280" s="7"/>
      <c r="B84280" s="7"/>
    </row>
    <row r="84281" ht="15.75" customHeight="1">
      <c r="A84281" s="7"/>
      <c r="B84281" s="7"/>
    </row>
    <row r="84282" ht="15.75" customHeight="1">
      <c r="A84282" s="7"/>
      <c r="B84282" s="7"/>
    </row>
    <row r="84283" ht="15.75" customHeight="1">
      <c r="A84283" s="7"/>
      <c r="B84283" s="7"/>
    </row>
    <row r="84284" ht="15.75" customHeight="1">
      <c r="A84284" s="7"/>
      <c r="B84284" s="7"/>
    </row>
    <row r="84285" ht="15.75" customHeight="1">
      <c r="A84285" s="7"/>
      <c r="B84285" s="7"/>
    </row>
    <row r="84286" ht="15.75" customHeight="1">
      <c r="A84286" s="7"/>
      <c r="B84286" s="7"/>
    </row>
    <row r="84287" ht="15.75" customHeight="1">
      <c r="A84287" s="7"/>
      <c r="B84287" s="7"/>
    </row>
    <row r="84288" ht="15.75" customHeight="1">
      <c r="A84288" s="7"/>
      <c r="B84288" s="7"/>
    </row>
    <row r="84289" ht="15.75" customHeight="1">
      <c r="A84289" s="7"/>
      <c r="B84289" s="7"/>
    </row>
    <row r="84290" ht="15.75" customHeight="1">
      <c r="A84290" s="7"/>
      <c r="B84290" s="7"/>
    </row>
    <row r="84291" ht="15.75" customHeight="1">
      <c r="A84291" s="7"/>
      <c r="B84291" s="7"/>
    </row>
    <row r="84292" ht="15.75" customHeight="1">
      <c r="A84292" s="7"/>
      <c r="B84292" s="7"/>
    </row>
    <row r="84293" ht="15.75" customHeight="1">
      <c r="A84293" s="7"/>
      <c r="B84293" s="7"/>
    </row>
    <row r="84294" ht="15.75" customHeight="1">
      <c r="A84294" s="7"/>
      <c r="B84294" s="7"/>
    </row>
    <row r="84295" ht="15.75" customHeight="1">
      <c r="A84295" s="7"/>
      <c r="B84295" s="7"/>
    </row>
    <row r="84296" ht="15.75" customHeight="1">
      <c r="A84296" s="7"/>
      <c r="B84296" s="7"/>
    </row>
    <row r="84297" ht="15.75" customHeight="1">
      <c r="A84297" s="7"/>
      <c r="B84297" s="7"/>
    </row>
    <row r="84298" ht="15.75" customHeight="1">
      <c r="A84298" s="7"/>
      <c r="B84298" s="7"/>
    </row>
    <row r="84299" ht="15.75" customHeight="1">
      <c r="A84299" s="7"/>
      <c r="B84299" s="7"/>
    </row>
    <row r="84300" ht="15.75" customHeight="1">
      <c r="A84300" s="7"/>
      <c r="B84300" s="7"/>
    </row>
    <row r="84301" ht="15.75" customHeight="1">
      <c r="A84301" s="7"/>
      <c r="B84301" s="7"/>
    </row>
    <row r="84302" ht="15.75" customHeight="1">
      <c r="A84302" s="7"/>
      <c r="B84302" s="7"/>
    </row>
    <row r="84303" ht="15.75" customHeight="1">
      <c r="A84303" s="7"/>
      <c r="B84303" s="7"/>
    </row>
    <row r="84304" ht="15.75" customHeight="1">
      <c r="A84304" s="7"/>
      <c r="B84304" s="7"/>
    </row>
    <row r="84305" ht="15.75" customHeight="1">
      <c r="A84305" s="7"/>
      <c r="B84305" s="7"/>
    </row>
    <row r="84306" ht="15.75" customHeight="1">
      <c r="A84306" s="7"/>
      <c r="B84306" s="7"/>
    </row>
    <row r="84307" ht="15.75" customHeight="1">
      <c r="A84307" s="7"/>
      <c r="B84307" s="7"/>
    </row>
    <row r="84308" ht="15.75" customHeight="1">
      <c r="A84308" s="7"/>
      <c r="B84308" s="7"/>
    </row>
    <row r="84309" ht="15.75" customHeight="1">
      <c r="A84309" s="7"/>
      <c r="B84309" s="7"/>
    </row>
    <row r="84310" ht="15.75" customHeight="1">
      <c r="A84310" s="7"/>
      <c r="B84310" s="7"/>
    </row>
    <row r="84311" ht="15.75" customHeight="1">
      <c r="A84311" s="7"/>
      <c r="B84311" s="7"/>
    </row>
    <row r="84312" ht="15.75" customHeight="1">
      <c r="A84312" s="7"/>
      <c r="B84312" s="7"/>
    </row>
    <row r="84313" ht="15.75" customHeight="1">
      <c r="A84313" s="7"/>
      <c r="B84313" s="7"/>
    </row>
    <row r="84314" ht="15.75" customHeight="1">
      <c r="A84314" s="7"/>
      <c r="B84314" s="7"/>
    </row>
    <row r="84315" ht="15.75" customHeight="1">
      <c r="A84315" s="7"/>
      <c r="B84315" s="7"/>
    </row>
    <row r="84316" ht="15.75" customHeight="1">
      <c r="A84316" s="7"/>
      <c r="B84316" s="7"/>
    </row>
    <row r="84317" ht="15.75" customHeight="1">
      <c r="A84317" s="7"/>
      <c r="B84317" s="7"/>
    </row>
    <row r="84318" ht="15.75" customHeight="1">
      <c r="A84318" s="7"/>
      <c r="B84318" s="7"/>
    </row>
    <row r="84319" ht="15.75" customHeight="1">
      <c r="A84319" s="7"/>
      <c r="B84319" s="7"/>
    </row>
    <row r="84320" ht="15.75" customHeight="1">
      <c r="A84320" s="7"/>
      <c r="B84320" s="7"/>
    </row>
    <row r="84321" ht="15.75" customHeight="1">
      <c r="A84321" s="7"/>
      <c r="B84321" s="7"/>
    </row>
    <row r="84322" ht="15.75" customHeight="1">
      <c r="A84322" s="7"/>
      <c r="B84322" s="7"/>
    </row>
    <row r="84323" ht="15.75" customHeight="1">
      <c r="A84323" s="7"/>
      <c r="B84323" s="7"/>
    </row>
    <row r="84324" ht="15.75" customHeight="1">
      <c r="A84324" s="7"/>
      <c r="B84324" s="7"/>
    </row>
    <row r="84325" ht="15.75" customHeight="1">
      <c r="A84325" s="7"/>
      <c r="B84325" s="7"/>
    </row>
    <row r="84326" ht="15.75" customHeight="1">
      <c r="A84326" s="7"/>
      <c r="B84326" s="7"/>
    </row>
    <row r="84327" ht="15.75" customHeight="1">
      <c r="A84327" s="7"/>
      <c r="B84327" s="7"/>
    </row>
    <row r="84328" ht="15.75" customHeight="1">
      <c r="A84328" s="7"/>
      <c r="B84328" s="7"/>
    </row>
    <row r="84329" ht="15.75" customHeight="1">
      <c r="A84329" s="7"/>
      <c r="B84329" s="7"/>
    </row>
    <row r="84330" ht="15.75" customHeight="1">
      <c r="A84330" s="7"/>
      <c r="B84330" s="7"/>
    </row>
    <row r="84331" ht="15.75" customHeight="1">
      <c r="A84331" s="7"/>
      <c r="B84331" s="7"/>
    </row>
    <row r="84332" ht="15.75" customHeight="1">
      <c r="A84332" s="7"/>
      <c r="B84332" s="7"/>
    </row>
    <row r="84333" ht="15.75" customHeight="1">
      <c r="A84333" s="7"/>
      <c r="B84333" s="7"/>
    </row>
    <row r="84334" ht="15.75" customHeight="1">
      <c r="A84334" s="7"/>
      <c r="B84334" s="7"/>
    </row>
    <row r="84335" ht="15.75" customHeight="1">
      <c r="A84335" s="7"/>
      <c r="B84335" s="7"/>
    </row>
    <row r="84336" ht="15.75" customHeight="1">
      <c r="A84336" s="7"/>
      <c r="B84336" s="7"/>
    </row>
    <row r="84337" ht="15.75" customHeight="1">
      <c r="A84337" s="7"/>
      <c r="B84337" s="7"/>
    </row>
    <row r="84338" ht="15.75" customHeight="1">
      <c r="A84338" s="7"/>
      <c r="B84338" s="7"/>
    </row>
    <row r="84339" ht="15.75" customHeight="1">
      <c r="A84339" s="7"/>
      <c r="B84339" s="7"/>
    </row>
    <row r="84340" ht="15.75" customHeight="1">
      <c r="A84340" s="7"/>
      <c r="B84340" s="7"/>
    </row>
    <row r="84341" ht="15.75" customHeight="1">
      <c r="A84341" s="7"/>
      <c r="B84341" s="7"/>
    </row>
    <row r="84342" ht="15.75" customHeight="1">
      <c r="A84342" s="7"/>
      <c r="B84342" s="7"/>
    </row>
    <row r="84343" ht="15.75" customHeight="1">
      <c r="A84343" s="7"/>
      <c r="B84343" s="7"/>
    </row>
    <row r="84344" ht="15.75" customHeight="1">
      <c r="A84344" s="7"/>
      <c r="B84344" s="7"/>
    </row>
    <row r="84345" ht="15.75" customHeight="1">
      <c r="A84345" s="7"/>
      <c r="B84345" s="7"/>
    </row>
    <row r="84346" ht="15.75" customHeight="1">
      <c r="A84346" s="7"/>
      <c r="B84346" s="7"/>
    </row>
    <row r="84347" ht="15.75" customHeight="1">
      <c r="A84347" s="7"/>
      <c r="B84347" s="7"/>
    </row>
    <row r="84348" ht="15.75" customHeight="1">
      <c r="A84348" s="7"/>
      <c r="B84348" s="7"/>
    </row>
    <row r="84349" ht="15.75" customHeight="1">
      <c r="A84349" s="7"/>
      <c r="B84349" s="7"/>
    </row>
    <row r="84350" ht="15.75" customHeight="1">
      <c r="A84350" s="7"/>
      <c r="B84350" s="7"/>
    </row>
    <row r="84351" ht="15.75" customHeight="1">
      <c r="A84351" s="7"/>
      <c r="B84351" s="7"/>
    </row>
    <row r="84352" ht="15.75" customHeight="1">
      <c r="A84352" s="7"/>
      <c r="B84352" s="7"/>
    </row>
    <row r="84353" ht="15.75" customHeight="1">
      <c r="A84353" s="7"/>
      <c r="B84353" s="7"/>
    </row>
    <row r="84354" ht="15.75" customHeight="1">
      <c r="A84354" s="7"/>
      <c r="B84354" s="7"/>
    </row>
    <row r="84355" ht="15.75" customHeight="1">
      <c r="A84355" s="7"/>
      <c r="B84355" s="7"/>
    </row>
    <row r="84356" ht="15.75" customHeight="1">
      <c r="A84356" s="7"/>
      <c r="B84356" s="7"/>
    </row>
    <row r="84357" ht="15.75" customHeight="1">
      <c r="A84357" s="7"/>
      <c r="B84357" s="7"/>
    </row>
    <row r="84358" ht="15.75" customHeight="1">
      <c r="A84358" s="7"/>
      <c r="B84358" s="7"/>
    </row>
    <row r="84359" ht="15.75" customHeight="1">
      <c r="A84359" s="7"/>
      <c r="B84359" s="7"/>
    </row>
    <row r="84360" ht="15.75" customHeight="1">
      <c r="A84360" s="7"/>
      <c r="B84360" s="7"/>
    </row>
    <row r="84361" ht="15.75" customHeight="1">
      <c r="A84361" s="7"/>
      <c r="B84361" s="7"/>
    </row>
    <row r="84362" ht="15.75" customHeight="1">
      <c r="A84362" s="7"/>
      <c r="B84362" s="7"/>
    </row>
    <row r="84363" ht="15.75" customHeight="1">
      <c r="A84363" s="7"/>
      <c r="B84363" s="7"/>
    </row>
    <row r="84364" ht="15.75" customHeight="1">
      <c r="A84364" s="7"/>
      <c r="B84364" s="7"/>
    </row>
    <row r="84365" ht="15.75" customHeight="1">
      <c r="A84365" s="7"/>
      <c r="B84365" s="7"/>
    </row>
    <row r="84366" ht="15.75" customHeight="1">
      <c r="A84366" s="7"/>
      <c r="B84366" s="7"/>
    </row>
    <row r="84367" ht="15.75" customHeight="1">
      <c r="A84367" s="7"/>
      <c r="B84367" s="7"/>
    </row>
    <row r="84368" ht="15.75" customHeight="1">
      <c r="A84368" s="7"/>
      <c r="B84368" s="7"/>
    </row>
    <row r="84369" ht="15.75" customHeight="1">
      <c r="A84369" s="7"/>
      <c r="B84369" s="7"/>
    </row>
    <row r="84370" ht="15.75" customHeight="1">
      <c r="A84370" s="7"/>
      <c r="B84370" s="7"/>
    </row>
    <row r="84371" ht="15.75" customHeight="1">
      <c r="A84371" s="7"/>
      <c r="B84371" s="7"/>
    </row>
    <row r="84372" ht="15.75" customHeight="1">
      <c r="A84372" s="7"/>
      <c r="B84372" s="7"/>
    </row>
    <row r="84373" ht="15.75" customHeight="1">
      <c r="A84373" s="7"/>
      <c r="B84373" s="7"/>
    </row>
    <row r="84374" ht="15.75" customHeight="1">
      <c r="A84374" s="7"/>
      <c r="B84374" s="7"/>
    </row>
    <row r="84375" ht="15.75" customHeight="1">
      <c r="A84375" s="7"/>
      <c r="B84375" s="7"/>
    </row>
    <row r="84376" ht="15.75" customHeight="1">
      <c r="A84376" s="7"/>
      <c r="B84376" s="7"/>
    </row>
    <row r="84377" ht="15.75" customHeight="1">
      <c r="A84377" s="7"/>
      <c r="B84377" s="7"/>
    </row>
    <row r="84378" ht="15.75" customHeight="1">
      <c r="A84378" s="7"/>
      <c r="B84378" s="7"/>
    </row>
    <row r="84379" ht="15.75" customHeight="1">
      <c r="A84379" s="7"/>
      <c r="B84379" s="7"/>
    </row>
    <row r="84380" ht="15.75" customHeight="1">
      <c r="A84380" s="7"/>
      <c r="B84380" s="7"/>
    </row>
    <row r="84381" ht="15.75" customHeight="1">
      <c r="A84381" s="7"/>
      <c r="B84381" s="7"/>
    </row>
    <row r="84382" ht="15.75" customHeight="1">
      <c r="A84382" s="7"/>
      <c r="B84382" s="7"/>
    </row>
    <row r="84383" ht="15.75" customHeight="1">
      <c r="A84383" s="7"/>
      <c r="B84383" s="7"/>
    </row>
    <row r="84384" ht="15.75" customHeight="1">
      <c r="A84384" s="7"/>
      <c r="B84384" s="7"/>
    </row>
    <row r="84385" ht="15.75" customHeight="1">
      <c r="A84385" s="7"/>
      <c r="B84385" s="7"/>
    </row>
    <row r="84386" ht="15.75" customHeight="1">
      <c r="A84386" s="7"/>
      <c r="B84386" s="7"/>
    </row>
    <row r="84387" ht="15.75" customHeight="1">
      <c r="A84387" s="7"/>
      <c r="B84387" s="7"/>
    </row>
    <row r="84388" ht="15.75" customHeight="1">
      <c r="A84388" s="7"/>
      <c r="B84388" s="7"/>
    </row>
    <row r="84389" ht="15.75" customHeight="1">
      <c r="A84389" s="7"/>
      <c r="B84389" s="7"/>
    </row>
    <row r="84390" ht="15.75" customHeight="1">
      <c r="A84390" s="7"/>
      <c r="B84390" s="7"/>
    </row>
    <row r="84391" ht="15.75" customHeight="1">
      <c r="A84391" s="7"/>
      <c r="B84391" s="7"/>
    </row>
    <row r="84392" ht="15.75" customHeight="1">
      <c r="A84392" s="7"/>
      <c r="B84392" s="7"/>
    </row>
    <row r="84393" ht="15.75" customHeight="1">
      <c r="A84393" s="7"/>
      <c r="B84393" s="7"/>
    </row>
    <row r="84394" ht="15.75" customHeight="1">
      <c r="A84394" s="7"/>
      <c r="B84394" s="7"/>
    </row>
    <row r="84395" ht="15.75" customHeight="1">
      <c r="A84395" s="7"/>
      <c r="B84395" s="7"/>
    </row>
    <row r="84396" ht="15.75" customHeight="1">
      <c r="A84396" s="7"/>
      <c r="B84396" s="7"/>
    </row>
    <row r="84397" ht="15.75" customHeight="1">
      <c r="A84397" s="7"/>
      <c r="B84397" s="7"/>
    </row>
    <row r="84398" ht="15.75" customHeight="1">
      <c r="A84398" s="7"/>
      <c r="B84398" s="7"/>
    </row>
    <row r="84399" ht="15.75" customHeight="1">
      <c r="A84399" s="7"/>
      <c r="B84399" s="7"/>
    </row>
    <row r="84400" ht="15.75" customHeight="1">
      <c r="A84400" s="7"/>
      <c r="B84400" s="7"/>
    </row>
    <row r="84401" ht="15.75" customHeight="1">
      <c r="A84401" s="7"/>
      <c r="B84401" s="7"/>
    </row>
    <row r="84402" ht="15.75" customHeight="1">
      <c r="A84402" s="7"/>
      <c r="B84402" s="7"/>
    </row>
    <row r="84403" ht="15.75" customHeight="1">
      <c r="A84403" s="7"/>
      <c r="B84403" s="7"/>
    </row>
    <row r="84404" ht="15.75" customHeight="1">
      <c r="A84404" s="7"/>
      <c r="B84404" s="7"/>
    </row>
    <row r="84405" ht="15.75" customHeight="1">
      <c r="A84405" s="7"/>
      <c r="B84405" s="7"/>
    </row>
    <row r="84406" ht="15.75" customHeight="1">
      <c r="A84406" s="7"/>
      <c r="B84406" s="7"/>
    </row>
    <row r="84407" ht="15.75" customHeight="1">
      <c r="A84407" s="7"/>
      <c r="B84407" s="7"/>
    </row>
    <row r="84408" ht="15.75" customHeight="1">
      <c r="A84408" s="7"/>
      <c r="B84408" s="7"/>
    </row>
    <row r="84409" ht="15.75" customHeight="1">
      <c r="A84409" s="7"/>
      <c r="B84409" s="7"/>
    </row>
    <row r="84410" ht="15.75" customHeight="1">
      <c r="A84410" s="7"/>
      <c r="B84410" s="7"/>
    </row>
    <row r="84411" ht="15.75" customHeight="1">
      <c r="A84411" s="7"/>
      <c r="B84411" s="7"/>
    </row>
    <row r="84412" ht="15.75" customHeight="1">
      <c r="A84412" s="7"/>
      <c r="B84412" s="7"/>
    </row>
    <row r="84413" ht="15.75" customHeight="1">
      <c r="A84413" s="7"/>
      <c r="B84413" s="7"/>
    </row>
    <row r="84414" ht="15.75" customHeight="1">
      <c r="A84414" s="7"/>
      <c r="B84414" s="7"/>
    </row>
    <row r="84415" ht="15.75" customHeight="1">
      <c r="A84415" s="7"/>
      <c r="B84415" s="7"/>
    </row>
    <row r="84416" ht="15.75" customHeight="1">
      <c r="A84416" s="7"/>
      <c r="B84416" s="7"/>
    </row>
    <row r="84417" ht="15.75" customHeight="1">
      <c r="A84417" s="7"/>
      <c r="B84417" s="7"/>
    </row>
    <row r="84418" ht="15.75" customHeight="1">
      <c r="A84418" s="7"/>
      <c r="B84418" s="7"/>
    </row>
    <row r="84419" ht="15.75" customHeight="1">
      <c r="A84419" s="7"/>
      <c r="B84419" s="7"/>
    </row>
    <row r="84420" ht="15.75" customHeight="1">
      <c r="A84420" s="7"/>
      <c r="B84420" s="7"/>
    </row>
    <row r="84421" ht="15.75" customHeight="1">
      <c r="A84421" s="7"/>
      <c r="B84421" s="7"/>
    </row>
    <row r="84422" ht="15.75" customHeight="1">
      <c r="A84422" s="7"/>
      <c r="B84422" s="7"/>
    </row>
    <row r="84423" ht="15.75" customHeight="1">
      <c r="A84423" s="7"/>
      <c r="B84423" s="7"/>
    </row>
    <row r="84424" ht="15.75" customHeight="1">
      <c r="A84424" s="7"/>
      <c r="B84424" s="7"/>
    </row>
    <row r="84425" ht="15.75" customHeight="1">
      <c r="A84425" s="7"/>
      <c r="B84425" s="7"/>
    </row>
    <row r="84426" ht="15.75" customHeight="1">
      <c r="A84426" s="7"/>
      <c r="B84426" s="7"/>
    </row>
    <row r="84427" ht="15.75" customHeight="1">
      <c r="A84427" s="7"/>
      <c r="B84427" s="7"/>
    </row>
    <row r="84428" ht="15.75" customHeight="1">
      <c r="A84428" s="7"/>
      <c r="B84428" s="7"/>
    </row>
    <row r="84429" ht="15.75" customHeight="1">
      <c r="A84429" s="7"/>
      <c r="B84429" s="7"/>
    </row>
    <row r="84430" ht="15.75" customHeight="1">
      <c r="A84430" s="7"/>
      <c r="B84430" s="7"/>
    </row>
    <row r="84431" ht="15.75" customHeight="1">
      <c r="A84431" s="7"/>
      <c r="B84431" s="7"/>
    </row>
    <row r="84432" ht="15.75" customHeight="1">
      <c r="A84432" s="7"/>
      <c r="B84432" s="7"/>
    </row>
    <row r="84433" ht="15.75" customHeight="1">
      <c r="A84433" s="7"/>
      <c r="B84433" s="7"/>
    </row>
    <row r="84434" ht="15.75" customHeight="1">
      <c r="A84434" s="7"/>
      <c r="B84434" s="7"/>
    </row>
    <row r="84435" ht="15.75" customHeight="1">
      <c r="A84435" s="7"/>
      <c r="B84435" s="7"/>
    </row>
    <row r="84436" ht="15.75" customHeight="1">
      <c r="A84436" s="7"/>
      <c r="B84436" s="7"/>
    </row>
    <row r="84437" ht="15.75" customHeight="1">
      <c r="A84437" s="7"/>
      <c r="B84437" s="7"/>
    </row>
    <row r="84438" ht="15.75" customHeight="1">
      <c r="A84438" s="7"/>
      <c r="B84438" s="7"/>
    </row>
    <row r="84439" ht="15.75" customHeight="1">
      <c r="A84439" s="7"/>
      <c r="B84439" s="7"/>
    </row>
    <row r="84440" ht="15.75" customHeight="1">
      <c r="A84440" s="7"/>
      <c r="B84440" s="7"/>
    </row>
    <row r="84441" ht="15.75" customHeight="1">
      <c r="A84441" s="7"/>
      <c r="B84441" s="7"/>
    </row>
    <row r="84442" ht="15.75" customHeight="1">
      <c r="A84442" s="7"/>
      <c r="B84442" s="7"/>
    </row>
    <row r="84443" ht="15.75" customHeight="1">
      <c r="A84443" s="7"/>
      <c r="B84443" s="7"/>
    </row>
    <row r="84444" ht="15.75" customHeight="1">
      <c r="A84444" s="7"/>
      <c r="B84444" s="7"/>
    </row>
    <row r="84445" ht="15.75" customHeight="1">
      <c r="A84445" s="7"/>
      <c r="B84445" s="7"/>
    </row>
    <row r="84446" ht="15.75" customHeight="1">
      <c r="A84446" s="7"/>
      <c r="B84446" s="7"/>
    </row>
    <row r="84447" ht="15.75" customHeight="1">
      <c r="A84447" s="7"/>
      <c r="B84447" s="7"/>
    </row>
    <row r="84448" ht="15.75" customHeight="1">
      <c r="A84448" s="7"/>
      <c r="B84448" s="7"/>
    </row>
    <row r="84449" ht="15.75" customHeight="1">
      <c r="A84449" s="7"/>
      <c r="B84449" s="7"/>
    </row>
    <row r="84450" ht="15.75" customHeight="1">
      <c r="A84450" s="7"/>
      <c r="B84450" s="7"/>
    </row>
    <row r="84451" ht="15.75" customHeight="1">
      <c r="A84451" s="7"/>
      <c r="B84451" s="7"/>
    </row>
    <row r="84452" ht="15.75" customHeight="1">
      <c r="A84452" s="7"/>
      <c r="B84452" s="7"/>
    </row>
    <row r="84453" ht="15.75" customHeight="1">
      <c r="A84453" s="7"/>
      <c r="B84453" s="7"/>
    </row>
    <row r="84454" ht="15.75" customHeight="1">
      <c r="A84454" s="7"/>
      <c r="B84454" s="7"/>
    </row>
    <row r="84455" ht="15.75" customHeight="1">
      <c r="A84455" s="7"/>
      <c r="B84455" s="7"/>
    </row>
    <row r="84456" ht="15.75" customHeight="1">
      <c r="A84456" s="7"/>
      <c r="B84456" s="7"/>
    </row>
    <row r="84457" ht="15.75" customHeight="1">
      <c r="A84457" s="7"/>
      <c r="B84457" s="7"/>
    </row>
    <row r="84458" ht="15.75" customHeight="1">
      <c r="A84458" s="7"/>
      <c r="B84458" s="7"/>
    </row>
    <row r="84459" ht="15.75" customHeight="1">
      <c r="A84459" s="7"/>
      <c r="B84459" s="7"/>
    </row>
    <row r="84460" ht="15.75" customHeight="1">
      <c r="A84460" s="7"/>
      <c r="B84460" s="7"/>
    </row>
    <row r="84461" ht="15.75" customHeight="1">
      <c r="A84461" s="7"/>
      <c r="B84461" s="7"/>
    </row>
    <row r="84462" ht="15.75" customHeight="1">
      <c r="A84462" s="7"/>
      <c r="B84462" s="7"/>
    </row>
    <row r="84463" ht="15.75" customHeight="1">
      <c r="A84463" s="7"/>
      <c r="B84463" s="7"/>
    </row>
    <row r="84464" ht="15.75" customHeight="1">
      <c r="A84464" s="7"/>
      <c r="B84464" s="7"/>
    </row>
    <row r="84465" ht="15.75" customHeight="1">
      <c r="A84465" s="7"/>
      <c r="B84465" s="7"/>
    </row>
    <row r="84466" ht="15.75" customHeight="1">
      <c r="A84466" s="7"/>
      <c r="B84466" s="7"/>
    </row>
    <row r="84467" ht="15.75" customHeight="1">
      <c r="A84467" s="7"/>
      <c r="B84467" s="7"/>
    </row>
    <row r="84468" ht="15.75" customHeight="1">
      <c r="A84468" s="7"/>
      <c r="B84468" s="7"/>
    </row>
    <row r="84469" ht="15.75" customHeight="1">
      <c r="A84469" s="7"/>
      <c r="B84469" s="7"/>
    </row>
    <row r="84470" ht="15.75" customHeight="1">
      <c r="A84470" s="7"/>
      <c r="B84470" s="7"/>
    </row>
    <row r="84471" ht="15.75" customHeight="1">
      <c r="A84471" s="7"/>
      <c r="B84471" s="7"/>
    </row>
    <row r="84472" ht="15.75" customHeight="1">
      <c r="A84472" s="7"/>
      <c r="B84472" s="7"/>
    </row>
    <row r="84473" ht="15.75" customHeight="1">
      <c r="A84473" s="7"/>
      <c r="B84473" s="7"/>
    </row>
    <row r="84474" ht="15.75" customHeight="1">
      <c r="A84474" s="7"/>
      <c r="B84474" s="7"/>
    </row>
    <row r="84475" ht="15.75" customHeight="1">
      <c r="A84475" s="7"/>
      <c r="B84475" s="7"/>
    </row>
    <row r="84476" ht="15.75" customHeight="1">
      <c r="A84476" s="7"/>
      <c r="B84476" s="7"/>
    </row>
    <row r="84477" ht="15.75" customHeight="1">
      <c r="A84477" s="7"/>
      <c r="B84477" s="7"/>
    </row>
    <row r="84478" ht="15.75" customHeight="1">
      <c r="A84478" s="7"/>
      <c r="B84478" s="7"/>
    </row>
    <row r="84479" ht="15.75" customHeight="1">
      <c r="A84479" s="7"/>
      <c r="B84479" s="7"/>
    </row>
    <row r="84480" ht="15.75" customHeight="1">
      <c r="A84480" s="7"/>
      <c r="B84480" s="7"/>
    </row>
    <row r="84481" ht="15.75" customHeight="1">
      <c r="A84481" s="7"/>
      <c r="B84481" s="7"/>
    </row>
    <row r="84482" ht="15.75" customHeight="1">
      <c r="A84482" s="7"/>
      <c r="B84482" s="7"/>
    </row>
    <row r="84483" ht="15.75" customHeight="1">
      <c r="A84483" s="7"/>
      <c r="B84483" s="7"/>
    </row>
    <row r="84484" ht="15.75" customHeight="1">
      <c r="A84484" s="7"/>
      <c r="B84484" s="7"/>
    </row>
    <row r="84485" ht="15.75" customHeight="1">
      <c r="A84485" s="7"/>
      <c r="B84485" s="7"/>
    </row>
    <row r="84486" ht="15.75" customHeight="1">
      <c r="A84486" s="7"/>
      <c r="B84486" s="7"/>
    </row>
    <row r="84487" ht="15.75" customHeight="1">
      <c r="A84487" s="7"/>
      <c r="B84487" s="7"/>
    </row>
    <row r="84488" ht="15.75" customHeight="1">
      <c r="A84488" s="7"/>
      <c r="B84488" s="7"/>
    </row>
    <row r="84489" ht="15.75" customHeight="1">
      <c r="A84489" s="7"/>
      <c r="B84489" s="7"/>
    </row>
    <row r="84490" ht="15.75" customHeight="1">
      <c r="A84490" s="7"/>
      <c r="B84490" s="7"/>
    </row>
    <row r="84491" ht="15.75" customHeight="1">
      <c r="A84491" s="7"/>
      <c r="B84491" s="7"/>
    </row>
    <row r="84492" ht="15.75" customHeight="1">
      <c r="A84492" s="7"/>
      <c r="B84492" s="7"/>
    </row>
    <row r="84493" ht="15.75" customHeight="1">
      <c r="A84493" s="7"/>
      <c r="B84493" s="7"/>
    </row>
    <row r="84494" ht="15.75" customHeight="1">
      <c r="A84494" s="7"/>
      <c r="B84494" s="7"/>
    </row>
    <row r="84495" ht="15.75" customHeight="1">
      <c r="A84495" s="7"/>
      <c r="B84495" s="7"/>
    </row>
    <row r="84496" ht="15.75" customHeight="1">
      <c r="A84496" s="7"/>
      <c r="B84496" s="7"/>
    </row>
    <row r="84497" ht="15.75" customHeight="1">
      <c r="A84497" s="7"/>
      <c r="B84497" s="7"/>
    </row>
    <row r="84498" ht="15.75" customHeight="1">
      <c r="A84498" s="7"/>
      <c r="B84498" s="7"/>
    </row>
    <row r="84499" ht="15.75" customHeight="1">
      <c r="A84499" s="7"/>
      <c r="B84499" s="7"/>
    </row>
    <row r="84500" ht="15.75" customHeight="1">
      <c r="A84500" s="7"/>
      <c r="B84500" s="7"/>
    </row>
    <row r="84501" ht="15.75" customHeight="1">
      <c r="A84501" s="7"/>
      <c r="B84501" s="7"/>
    </row>
    <row r="84502" ht="15.75" customHeight="1">
      <c r="A84502" s="7"/>
      <c r="B84502" s="7"/>
    </row>
    <row r="84503" ht="15.75" customHeight="1">
      <c r="A84503" s="7"/>
      <c r="B84503" s="7"/>
    </row>
    <row r="84504" ht="15.75" customHeight="1">
      <c r="A84504" s="7"/>
      <c r="B84504" s="7"/>
    </row>
    <row r="84505" ht="15.75" customHeight="1">
      <c r="A84505" s="7"/>
      <c r="B84505" s="7"/>
    </row>
    <row r="84506" ht="15.75" customHeight="1">
      <c r="A84506" s="7"/>
      <c r="B84506" s="7"/>
    </row>
    <row r="84507" ht="15.75" customHeight="1">
      <c r="A84507" s="7"/>
      <c r="B84507" s="7"/>
    </row>
    <row r="84508" ht="15.75" customHeight="1">
      <c r="A84508" s="7"/>
      <c r="B84508" s="7"/>
    </row>
    <row r="84509" ht="15.75" customHeight="1">
      <c r="A84509" s="7"/>
      <c r="B84509" s="7"/>
    </row>
    <row r="84510" ht="15.75" customHeight="1">
      <c r="A84510" s="7"/>
      <c r="B84510" s="7"/>
    </row>
    <row r="84511" ht="15.75" customHeight="1">
      <c r="A84511" s="7"/>
      <c r="B84511" s="7"/>
    </row>
    <row r="84512" ht="15.75" customHeight="1">
      <c r="A84512" s="7"/>
      <c r="B84512" s="7"/>
    </row>
    <row r="84513" ht="15.75" customHeight="1">
      <c r="A84513" s="7"/>
      <c r="B84513" s="7"/>
    </row>
    <row r="84514" ht="15.75" customHeight="1">
      <c r="A84514" s="7"/>
      <c r="B84514" s="7"/>
    </row>
    <row r="84515" ht="15.75" customHeight="1">
      <c r="A84515" s="7"/>
      <c r="B84515" s="7"/>
    </row>
    <row r="84516" ht="15.75" customHeight="1">
      <c r="A84516" s="7"/>
      <c r="B84516" s="7"/>
    </row>
    <row r="84517" ht="15.75" customHeight="1">
      <c r="A84517" s="7"/>
      <c r="B84517" s="7"/>
    </row>
    <row r="84518" ht="15.75" customHeight="1">
      <c r="A84518" s="7"/>
      <c r="B84518" s="7"/>
    </row>
    <row r="84519" ht="15.75" customHeight="1">
      <c r="A84519" s="7"/>
      <c r="B84519" s="7"/>
    </row>
    <row r="84520" ht="15.75" customHeight="1">
      <c r="A84520" s="7"/>
      <c r="B84520" s="7"/>
    </row>
    <row r="84521" ht="15.75" customHeight="1">
      <c r="A84521" s="7"/>
      <c r="B84521" s="7"/>
    </row>
    <row r="84522" ht="15.75" customHeight="1">
      <c r="A84522" s="7"/>
      <c r="B84522" s="7"/>
    </row>
    <row r="84523" ht="15.75" customHeight="1">
      <c r="A84523" s="7"/>
      <c r="B84523" s="7"/>
    </row>
    <row r="84524" ht="15.75" customHeight="1">
      <c r="A84524" s="7"/>
      <c r="B84524" s="7"/>
    </row>
    <row r="84525" ht="15.75" customHeight="1">
      <c r="A84525" s="7"/>
      <c r="B84525" s="7"/>
    </row>
    <row r="84526" ht="15.75" customHeight="1">
      <c r="A84526" s="7"/>
      <c r="B84526" s="7"/>
    </row>
    <row r="84527" ht="15.75" customHeight="1">
      <c r="A84527" s="7"/>
      <c r="B84527" s="7"/>
    </row>
    <row r="84528" ht="15.75" customHeight="1">
      <c r="A84528" s="7"/>
      <c r="B84528" s="7"/>
    </row>
    <row r="84529" ht="15.75" customHeight="1">
      <c r="A84529" s="7"/>
      <c r="B84529" s="7"/>
    </row>
    <row r="84530" ht="15.75" customHeight="1">
      <c r="A84530" s="7"/>
      <c r="B84530" s="7"/>
    </row>
    <row r="84531" ht="15.75" customHeight="1">
      <c r="A84531" s="7"/>
      <c r="B84531" s="7"/>
    </row>
    <row r="84532" ht="15.75" customHeight="1">
      <c r="A84532" s="7"/>
      <c r="B84532" s="7"/>
    </row>
    <row r="84533" ht="15.75" customHeight="1">
      <c r="A84533" s="7"/>
      <c r="B84533" s="7"/>
    </row>
    <row r="84534" ht="15.75" customHeight="1">
      <c r="A84534" s="7"/>
      <c r="B84534" s="7"/>
    </row>
    <row r="84535" ht="15.75" customHeight="1">
      <c r="A84535" s="7"/>
      <c r="B84535" s="7"/>
    </row>
    <row r="84536" ht="15.75" customHeight="1">
      <c r="A84536" s="7"/>
      <c r="B84536" s="7"/>
    </row>
    <row r="84537" ht="15.75" customHeight="1">
      <c r="A84537" s="7"/>
      <c r="B84537" s="7"/>
    </row>
    <row r="84538" ht="15.75" customHeight="1">
      <c r="A84538" s="7"/>
      <c r="B84538" s="7"/>
    </row>
    <row r="84539" ht="15.75" customHeight="1">
      <c r="A84539" s="7"/>
      <c r="B84539" s="7"/>
    </row>
    <row r="84540" ht="15.75" customHeight="1">
      <c r="A84540" s="7"/>
      <c r="B84540" s="7"/>
    </row>
    <row r="84541" ht="15.75" customHeight="1">
      <c r="A84541" s="7"/>
      <c r="B84541" s="7"/>
    </row>
    <row r="84542" ht="15.75" customHeight="1">
      <c r="A84542" s="7"/>
      <c r="B84542" s="7"/>
    </row>
    <row r="84543" ht="15.75" customHeight="1">
      <c r="A84543" s="7"/>
      <c r="B84543" s="7"/>
    </row>
    <row r="84544" ht="15.75" customHeight="1">
      <c r="A84544" s="7"/>
      <c r="B84544" s="7"/>
    </row>
    <row r="84545" ht="15.75" customHeight="1">
      <c r="A84545" s="7"/>
      <c r="B84545" s="7"/>
    </row>
    <row r="84546" ht="15.75" customHeight="1">
      <c r="A84546" s="7"/>
      <c r="B84546" s="7"/>
    </row>
    <row r="84547" ht="15.75" customHeight="1">
      <c r="A84547" s="7"/>
      <c r="B84547" s="7"/>
    </row>
    <row r="84548" ht="15.75" customHeight="1">
      <c r="A84548" s="7"/>
      <c r="B84548" s="7"/>
    </row>
    <row r="84549" ht="15.75" customHeight="1">
      <c r="A84549" s="7"/>
      <c r="B84549" s="7"/>
    </row>
    <row r="84550" ht="15.75" customHeight="1">
      <c r="A84550" s="7"/>
      <c r="B84550" s="7"/>
    </row>
    <row r="84551" ht="15.75" customHeight="1">
      <c r="A84551" s="7"/>
      <c r="B84551" s="7"/>
    </row>
    <row r="84552" ht="15.75" customHeight="1">
      <c r="A84552" s="7"/>
      <c r="B84552" s="7"/>
    </row>
    <row r="84553" ht="15.75" customHeight="1">
      <c r="A84553" s="7"/>
      <c r="B84553" s="7"/>
    </row>
    <row r="84554" ht="15.75" customHeight="1">
      <c r="A84554" s="7"/>
      <c r="B84554" s="7"/>
    </row>
    <row r="84555" ht="15.75" customHeight="1">
      <c r="A84555" s="7"/>
      <c r="B84555" s="7"/>
    </row>
    <row r="84556" ht="15.75" customHeight="1">
      <c r="A84556" s="7"/>
      <c r="B84556" s="7"/>
    </row>
    <row r="84557" ht="15.75" customHeight="1">
      <c r="A84557" s="7"/>
      <c r="B84557" s="7"/>
    </row>
    <row r="84558" ht="15.75" customHeight="1">
      <c r="A84558" s="7"/>
      <c r="B84558" s="7"/>
    </row>
    <row r="84559" ht="15.75" customHeight="1">
      <c r="A84559" s="7"/>
      <c r="B84559" s="7"/>
    </row>
    <row r="84560" ht="15.75" customHeight="1">
      <c r="A84560" s="7"/>
      <c r="B84560" s="7"/>
    </row>
    <row r="84561" ht="15.75" customHeight="1">
      <c r="A84561" s="7"/>
      <c r="B84561" s="7"/>
    </row>
    <row r="84562" ht="15.75" customHeight="1">
      <c r="A84562" s="7"/>
      <c r="B84562" s="7"/>
    </row>
    <row r="84563" ht="15.75" customHeight="1">
      <c r="A84563" s="7"/>
      <c r="B84563" s="7"/>
    </row>
    <row r="84564" ht="15.75" customHeight="1">
      <c r="A84564" s="7"/>
      <c r="B84564" s="7"/>
    </row>
    <row r="84565" ht="15.75" customHeight="1">
      <c r="A84565" s="7"/>
      <c r="B84565" s="7"/>
    </row>
    <row r="84566" ht="15.75" customHeight="1">
      <c r="A84566" s="7"/>
      <c r="B84566" s="7"/>
    </row>
    <row r="84567" ht="15.75" customHeight="1">
      <c r="A84567" s="7"/>
      <c r="B84567" s="7"/>
    </row>
    <row r="84568" ht="15.75" customHeight="1">
      <c r="A84568" s="7"/>
      <c r="B84568" s="7"/>
    </row>
    <row r="84569" ht="15.75" customHeight="1">
      <c r="A84569" s="7"/>
      <c r="B84569" s="7"/>
    </row>
    <row r="84570" ht="15.75" customHeight="1">
      <c r="A84570" s="7"/>
      <c r="B84570" s="7"/>
    </row>
    <row r="84571" ht="15.75" customHeight="1">
      <c r="A84571" s="7"/>
      <c r="B84571" s="7"/>
    </row>
    <row r="84572" ht="15.75" customHeight="1">
      <c r="A84572" s="7"/>
      <c r="B84572" s="7"/>
    </row>
    <row r="84573" ht="15.75" customHeight="1">
      <c r="A84573" s="7"/>
      <c r="B84573" s="7"/>
    </row>
    <row r="84574" ht="15.75" customHeight="1">
      <c r="A84574" s="7"/>
      <c r="B84574" s="7"/>
    </row>
    <row r="84575" ht="15.75" customHeight="1">
      <c r="A84575" s="7"/>
      <c r="B84575" s="7"/>
    </row>
    <row r="84576" ht="15.75" customHeight="1">
      <c r="A84576" s="7"/>
      <c r="B84576" s="7"/>
    </row>
    <row r="84577" ht="15.75" customHeight="1">
      <c r="A84577" s="7"/>
      <c r="B84577" s="7"/>
    </row>
    <row r="84578" ht="15.75" customHeight="1">
      <c r="A84578" s="7"/>
      <c r="B84578" s="7"/>
    </row>
    <row r="84579" ht="15.75" customHeight="1">
      <c r="A84579" s="7"/>
      <c r="B84579" s="7"/>
    </row>
    <row r="84580" ht="15.75" customHeight="1">
      <c r="A84580" s="7"/>
      <c r="B84580" s="7"/>
    </row>
    <row r="84581" ht="15.75" customHeight="1">
      <c r="A84581" s="7"/>
      <c r="B84581" s="7"/>
    </row>
    <row r="84582" ht="15.75" customHeight="1">
      <c r="A84582" s="7"/>
      <c r="B84582" s="7"/>
    </row>
    <row r="84583" ht="15.75" customHeight="1">
      <c r="A84583" s="7"/>
      <c r="B84583" s="7"/>
    </row>
    <row r="84584" ht="15.75" customHeight="1">
      <c r="A84584" s="7"/>
      <c r="B84584" s="7"/>
    </row>
    <row r="84585" ht="15.75" customHeight="1">
      <c r="A84585" s="7"/>
      <c r="B84585" s="7"/>
    </row>
    <row r="84586" ht="15.75" customHeight="1">
      <c r="A84586" s="7"/>
      <c r="B84586" s="7"/>
    </row>
    <row r="84587" ht="15.75" customHeight="1">
      <c r="A84587" s="7"/>
      <c r="B84587" s="7"/>
    </row>
    <row r="84588" ht="15.75" customHeight="1">
      <c r="A84588" s="7"/>
      <c r="B84588" s="7"/>
    </row>
    <row r="84589" ht="15.75" customHeight="1">
      <c r="A84589" s="7"/>
      <c r="B84589" s="7"/>
    </row>
    <row r="84590" ht="15.75" customHeight="1">
      <c r="A84590" s="7"/>
      <c r="B84590" s="7"/>
    </row>
    <row r="84591" ht="15.75" customHeight="1">
      <c r="A84591" s="7"/>
      <c r="B84591" s="7"/>
    </row>
    <row r="84592" ht="15.75" customHeight="1">
      <c r="A84592" s="7"/>
      <c r="B84592" s="7"/>
    </row>
    <row r="84593" ht="15.75" customHeight="1">
      <c r="A84593" s="7"/>
      <c r="B84593" s="7"/>
    </row>
    <row r="84594" ht="15.75" customHeight="1">
      <c r="A84594" s="7"/>
      <c r="B84594" s="7"/>
    </row>
    <row r="84595" ht="15.75" customHeight="1">
      <c r="A84595" s="7"/>
      <c r="B84595" s="7"/>
    </row>
    <row r="84596" ht="15.75" customHeight="1">
      <c r="A84596" s="7"/>
      <c r="B84596" s="7"/>
    </row>
    <row r="84597" ht="15.75" customHeight="1">
      <c r="A84597" s="7"/>
      <c r="B84597" s="7"/>
    </row>
    <row r="84598" ht="15.75" customHeight="1">
      <c r="A84598" s="7"/>
      <c r="B84598" s="7"/>
    </row>
    <row r="84599" ht="15.75" customHeight="1">
      <c r="A84599" s="7"/>
      <c r="B84599" s="7"/>
    </row>
    <row r="84600" ht="15.75" customHeight="1">
      <c r="A84600" s="7"/>
      <c r="B84600" s="7"/>
    </row>
    <row r="84601" ht="15.75" customHeight="1">
      <c r="A84601" s="7"/>
      <c r="B84601" s="7"/>
    </row>
    <row r="84602" ht="15.75" customHeight="1">
      <c r="A84602" s="7"/>
      <c r="B84602" s="7"/>
    </row>
    <row r="84603" ht="15.75" customHeight="1">
      <c r="A84603" s="7"/>
      <c r="B84603" s="7"/>
    </row>
    <row r="84604" ht="15.75" customHeight="1">
      <c r="A84604" s="7"/>
      <c r="B84604" s="7"/>
    </row>
    <row r="84605" ht="15.75" customHeight="1">
      <c r="A84605" s="7"/>
      <c r="B84605" s="7"/>
    </row>
    <row r="84606" ht="15.75" customHeight="1">
      <c r="A84606" s="7"/>
      <c r="B84606" s="7"/>
    </row>
    <row r="84607" ht="15.75" customHeight="1">
      <c r="A84607" s="7"/>
      <c r="B84607" s="7"/>
    </row>
    <row r="84608" ht="15.75" customHeight="1">
      <c r="A84608" s="7"/>
      <c r="B84608" s="7"/>
    </row>
    <row r="84609" ht="15.75" customHeight="1">
      <c r="A84609" s="7"/>
      <c r="B84609" s="7"/>
    </row>
    <row r="84610" ht="15.75" customHeight="1">
      <c r="A84610" s="7"/>
      <c r="B84610" s="7"/>
    </row>
    <row r="84611" ht="15.75" customHeight="1">
      <c r="A84611" s="7"/>
      <c r="B84611" s="7"/>
    </row>
    <row r="84612" ht="15.75" customHeight="1">
      <c r="A84612" s="7"/>
      <c r="B84612" s="7"/>
    </row>
    <row r="84613" ht="15.75" customHeight="1">
      <c r="A84613" s="7"/>
      <c r="B84613" s="7"/>
    </row>
    <row r="84614" ht="15.75" customHeight="1">
      <c r="A84614" s="7"/>
      <c r="B84614" s="7"/>
    </row>
    <row r="84615" ht="15.75" customHeight="1">
      <c r="A84615" s="7"/>
      <c r="B84615" s="7"/>
    </row>
    <row r="84616" ht="15.75" customHeight="1">
      <c r="A84616" s="7"/>
      <c r="B84616" s="7"/>
    </row>
    <row r="84617" ht="15.75" customHeight="1">
      <c r="A84617" s="7"/>
      <c r="B84617" s="7"/>
    </row>
    <row r="84618" ht="15.75" customHeight="1">
      <c r="A84618" s="7"/>
      <c r="B84618" s="7"/>
    </row>
    <row r="84619" ht="15.75" customHeight="1">
      <c r="A84619" s="7"/>
      <c r="B84619" s="7"/>
    </row>
    <row r="84620" ht="15.75" customHeight="1">
      <c r="A84620" s="7"/>
      <c r="B84620" s="7"/>
    </row>
    <row r="84621" ht="15.75" customHeight="1">
      <c r="A84621" s="7"/>
      <c r="B84621" s="7"/>
    </row>
    <row r="84622" ht="15.75" customHeight="1">
      <c r="A84622" s="7"/>
      <c r="B84622" s="7"/>
    </row>
    <row r="84623" ht="15.75" customHeight="1">
      <c r="A84623" s="7"/>
      <c r="B84623" s="7"/>
    </row>
    <row r="84624" ht="15.75" customHeight="1">
      <c r="A84624" s="7"/>
      <c r="B84624" s="7"/>
    </row>
    <row r="84625" ht="15.75" customHeight="1">
      <c r="A84625" s="7"/>
      <c r="B84625" s="7"/>
    </row>
    <row r="84626" ht="15.75" customHeight="1">
      <c r="A84626" s="7"/>
      <c r="B84626" s="7"/>
    </row>
    <row r="84627" ht="15.75" customHeight="1">
      <c r="A84627" s="7"/>
      <c r="B84627" s="7"/>
    </row>
    <row r="84628" ht="15.75" customHeight="1">
      <c r="A84628" s="7"/>
      <c r="B84628" s="7"/>
    </row>
    <row r="84629" ht="15.75" customHeight="1">
      <c r="A84629" s="7"/>
      <c r="B84629" s="7"/>
    </row>
    <row r="84630" ht="15.75" customHeight="1">
      <c r="A84630" s="7"/>
      <c r="B84630" s="7"/>
    </row>
    <row r="84631" ht="15.75" customHeight="1">
      <c r="A84631" s="7"/>
      <c r="B84631" s="7"/>
    </row>
    <row r="84632" ht="15.75" customHeight="1">
      <c r="A84632" s="7"/>
      <c r="B84632" s="7"/>
    </row>
    <row r="84633" ht="15.75" customHeight="1">
      <c r="A84633" s="7"/>
      <c r="B84633" s="7"/>
    </row>
    <row r="84634" ht="15.75" customHeight="1">
      <c r="A84634" s="7"/>
      <c r="B84634" s="7"/>
    </row>
    <row r="84635" ht="15.75" customHeight="1">
      <c r="A84635" s="7"/>
      <c r="B84635" s="7"/>
    </row>
    <row r="84636" ht="15.75" customHeight="1">
      <c r="A84636" s="7"/>
      <c r="B84636" s="7"/>
    </row>
    <row r="84637" ht="15.75" customHeight="1">
      <c r="A84637" s="7"/>
      <c r="B84637" s="7"/>
    </row>
    <row r="84638" ht="15.75" customHeight="1">
      <c r="A84638" s="7"/>
      <c r="B84638" s="7"/>
    </row>
    <row r="84639" ht="15.75" customHeight="1">
      <c r="A84639" s="7"/>
      <c r="B84639" s="7"/>
    </row>
    <row r="84640" ht="15.75" customHeight="1">
      <c r="A84640" s="7"/>
      <c r="B84640" s="7"/>
    </row>
    <row r="84641" ht="15.75" customHeight="1">
      <c r="A84641" s="7"/>
      <c r="B84641" s="7"/>
    </row>
    <row r="84642" ht="15.75" customHeight="1">
      <c r="A84642" s="7"/>
      <c r="B84642" s="7"/>
    </row>
    <row r="84643" ht="15.75" customHeight="1">
      <c r="A84643" s="7"/>
      <c r="B84643" s="7"/>
    </row>
    <row r="84644" ht="15.75" customHeight="1">
      <c r="A84644" s="7"/>
      <c r="B84644" s="7"/>
    </row>
    <row r="84645" ht="15.75" customHeight="1">
      <c r="A84645" s="7"/>
      <c r="B84645" s="7"/>
    </row>
    <row r="84646" ht="15.75" customHeight="1">
      <c r="A84646" s="7"/>
      <c r="B84646" s="7"/>
    </row>
    <row r="84647" ht="15.75" customHeight="1">
      <c r="A84647" s="7"/>
      <c r="B84647" s="7"/>
    </row>
    <row r="84648" ht="15.75" customHeight="1">
      <c r="A84648" s="7"/>
      <c r="B84648" s="7"/>
    </row>
    <row r="84649" ht="15.75" customHeight="1">
      <c r="A84649" s="7"/>
      <c r="B84649" s="7"/>
    </row>
    <row r="84650" ht="15.75" customHeight="1">
      <c r="A84650" s="7"/>
      <c r="B84650" s="7"/>
    </row>
    <row r="84651" ht="15.75" customHeight="1">
      <c r="A84651" s="7"/>
      <c r="B84651" s="7"/>
    </row>
    <row r="84652" ht="15.75" customHeight="1">
      <c r="A84652" s="7"/>
      <c r="B84652" s="7"/>
    </row>
    <row r="84653" ht="15.75" customHeight="1">
      <c r="A84653" s="7"/>
      <c r="B84653" s="7"/>
    </row>
    <row r="84654" ht="15.75" customHeight="1">
      <c r="A84654" s="7"/>
      <c r="B84654" s="7"/>
    </row>
    <row r="84655" ht="15.75" customHeight="1">
      <c r="A84655" s="7"/>
      <c r="B84655" s="7"/>
    </row>
    <row r="84656" ht="15.75" customHeight="1">
      <c r="A84656" s="7"/>
      <c r="B84656" s="7"/>
    </row>
    <row r="84657" ht="15.75" customHeight="1">
      <c r="A84657" s="7"/>
      <c r="B84657" s="7"/>
    </row>
    <row r="84658" ht="15.75" customHeight="1">
      <c r="A84658" s="7"/>
      <c r="B84658" s="7"/>
    </row>
    <row r="84659" ht="15.75" customHeight="1">
      <c r="A84659" s="7"/>
      <c r="B84659" s="7"/>
    </row>
    <row r="84660" ht="15.75" customHeight="1">
      <c r="A84660" s="7"/>
      <c r="B84660" s="7"/>
    </row>
    <row r="84661" ht="15.75" customHeight="1">
      <c r="A84661" s="7"/>
      <c r="B84661" s="7"/>
    </row>
    <row r="84662" ht="15.75" customHeight="1">
      <c r="A84662" s="7"/>
      <c r="B84662" s="7"/>
    </row>
    <row r="84663" ht="15.75" customHeight="1">
      <c r="A84663" s="7"/>
      <c r="B84663" s="7"/>
    </row>
    <row r="84664" ht="15.75" customHeight="1">
      <c r="A84664" s="7"/>
      <c r="B84664" s="7"/>
    </row>
    <row r="84665" ht="15.75" customHeight="1">
      <c r="A84665" s="7"/>
      <c r="B84665" s="7"/>
    </row>
    <row r="84666" ht="15.75" customHeight="1">
      <c r="A84666" s="7"/>
      <c r="B84666" s="7"/>
    </row>
    <row r="84667" ht="15.75" customHeight="1">
      <c r="A84667" s="7"/>
      <c r="B84667" s="7"/>
    </row>
    <row r="84668" ht="15.75" customHeight="1">
      <c r="A84668" s="7"/>
      <c r="B84668" s="7"/>
    </row>
    <row r="84669" ht="15.75" customHeight="1">
      <c r="A84669" s="7"/>
      <c r="B84669" s="7"/>
    </row>
    <row r="84670" ht="15.75" customHeight="1">
      <c r="A84670" s="7"/>
      <c r="B84670" s="7"/>
    </row>
    <row r="84671" ht="15.75" customHeight="1">
      <c r="A84671" s="7"/>
      <c r="B84671" s="7"/>
    </row>
    <row r="84672" ht="15.75" customHeight="1">
      <c r="A84672" s="7"/>
      <c r="B84672" s="7"/>
    </row>
    <row r="84673" ht="15.75" customHeight="1">
      <c r="A84673" s="7"/>
      <c r="B84673" s="7"/>
    </row>
    <row r="84674" ht="15.75" customHeight="1">
      <c r="A84674" s="7"/>
      <c r="B84674" s="7"/>
    </row>
    <row r="84675" ht="15.75" customHeight="1">
      <c r="A84675" s="7"/>
      <c r="B84675" s="7"/>
    </row>
    <row r="84676" ht="15.75" customHeight="1">
      <c r="A84676" s="7"/>
      <c r="B84676" s="7"/>
    </row>
    <row r="84677" ht="15.75" customHeight="1">
      <c r="A84677" s="7"/>
      <c r="B84677" s="7"/>
    </row>
    <row r="84678" ht="15.75" customHeight="1">
      <c r="A84678" s="7"/>
      <c r="B84678" s="7"/>
    </row>
    <row r="84679" ht="15.75" customHeight="1">
      <c r="A84679" s="7"/>
      <c r="B84679" s="7"/>
    </row>
    <row r="84680" ht="15.75" customHeight="1">
      <c r="A84680" s="7"/>
      <c r="B84680" s="7"/>
    </row>
    <row r="84681" ht="15.75" customHeight="1">
      <c r="A84681" s="7"/>
      <c r="B84681" s="7"/>
    </row>
    <row r="84682" ht="15.75" customHeight="1">
      <c r="A84682" s="7"/>
      <c r="B84682" s="7"/>
    </row>
    <row r="84683" ht="15.75" customHeight="1">
      <c r="A84683" s="7"/>
      <c r="B84683" s="7"/>
    </row>
    <row r="84684" ht="15.75" customHeight="1">
      <c r="A84684" s="7"/>
      <c r="B84684" s="7"/>
    </row>
    <row r="84685" ht="15.75" customHeight="1">
      <c r="A84685" s="7"/>
      <c r="B84685" s="7"/>
    </row>
    <row r="84686" ht="15.75" customHeight="1">
      <c r="A84686" s="7"/>
      <c r="B84686" s="7"/>
    </row>
    <row r="84687" ht="15.75" customHeight="1">
      <c r="A84687" s="7"/>
      <c r="B84687" s="7"/>
    </row>
    <row r="84688" ht="15.75" customHeight="1">
      <c r="A84688" s="7"/>
      <c r="B84688" s="7"/>
    </row>
    <row r="84689" ht="15.75" customHeight="1">
      <c r="A84689" s="7"/>
      <c r="B84689" s="7"/>
    </row>
    <row r="84690" ht="15.75" customHeight="1">
      <c r="A84690" s="7"/>
      <c r="B84690" s="7"/>
    </row>
    <row r="84691" ht="15.75" customHeight="1">
      <c r="A84691" s="7"/>
      <c r="B84691" s="7"/>
    </row>
    <row r="84692" ht="15.75" customHeight="1">
      <c r="A84692" s="7"/>
      <c r="B84692" s="7"/>
    </row>
    <row r="84693" ht="15.75" customHeight="1">
      <c r="A84693" s="7"/>
      <c r="B84693" s="7"/>
    </row>
    <row r="84694" ht="15.75" customHeight="1">
      <c r="A84694" s="7"/>
      <c r="B84694" s="7"/>
    </row>
    <row r="84695" ht="15.75" customHeight="1">
      <c r="A84695" s="7"/>
      <c r="B84695" s="7"/>
    </row>
    <row r="84696" ht="15.75" customHeight="1">
      <c r="A84696" s="7"/>
      <c r="B84696" s="7"/>
    </row>
    <row r="84697" ht="15.75" customHeight="1">
      <c r="A84697" s="7"/>
      <c r="B84697" s="7"/>
    </row>
    <row r="84698" ht="15.75" customHeight="1">
      <c r="A84698" s="7"/>
      <c r="B84698" s="7"/>
    </row>
    <row r="84699" ht="15.75" customHeight="1">
      <c r="A84699" s="7"/>
      <c r="B84699" s="7"/>
    </row>
    <row r="84700" ht="15.75" customHeight="1">
      <c r="A84700" s="7"/>
      <c r="B84700" s="7"/>
    </row>
    <row r="84701" ht="15.75" customHeight="1">
      <c r="A84701" s="7"/>
      <c r="B84701" s="7"/>
    </row>
    <row r="84702" ht="15.75" customHeight="1">
      <c r="A84702" s="7"/>
      <c r="B84702" s="7"/>
    </row>
    <row r="84703" ht="15.75" customHeight="1">
      <c r="A84703" s="7"/>
      <c r="B84703" s="7"/>
    </row>
    <row r="84704" ht="15.75" customHeight="1">
      <c r="A84704" s="7"/>
      <c r="B84704" s="7"/>
    </row>
    <row r="84705" ht="15.75" customHeight="1">
      <c r="A84705" s="7"/>
      <c r="B84705" s="7"/>
    </row>
    <row r="84706" ht="15.75" customHeight="1">
      <c r="A84706" s="7"/>
      <c r="B84706" s="7"/>
    </row>
    <row r="84707" ht="15.75" customHeight="1">
      <c r="A84707" s="7"/>
      <c r="B84707" s="7"/>
    </row>
    <row r="84708" ht="15.75" customHeight="1">
      <c r="A84708" s="7"/>
      <c r="B84708" s="7"/>
    </row>
    <row r="84709" ht="15.75" customHeight="1">
      <c r="A84709" s="7"/>
      <c r="B84709" s="7"/>
    </row>
    <row r="84710" ht="15.75" customHeight="1">
      <c r="A84710" s="7"/>
      <c r="B84710" s="7"/>
    </row>
    <row r="84711" ht="15.75" customHeight="1">
      <c r="A84711" s="7"/>
      <c r="B84711" s="7"/>
    </row>
    <row r="84712" ht="15.75" customHeight="1">
      <c r="A84712" s="7"/>
      <c r="B84712" s="7"/>
    </row>
    <row r="84713" ht="15.75" customHeight="1">
      <c r="A84713" s="7"/>
      <c r="B84713" s="7"/>
    </row>
    <row r="84714" ht="15.75" customHeight="1">
      <c r="A84714" s="7"/>
      <c r="B84714" s="7"/>
    </row>
    <row r="84715" ht="15.75" customHeight="1">
      <c r="A84715" s="7"/>
      <c r="B84715" s="7"/>
    </row>
    <row r="84716" ht="15.75" customHeight="1">
      <c r="A84716" s="7"/>
      <c r="B84716" s="7"/>
    </row>
    <row r="84717" ht="15.75" customHeight="1">
      <c r="A84717" s="7"/>
      <c r="B84717" s="7"/>
    </row>
    <row r="84718" ht="15.75" customHeight="1">
      <c r="A84718" s="7"/>
      <c r="B84718" s="7"/>
    </row>
    <row r="84719" ht="15.75" customHeight="1">
      <c r="A84719" s="7"/>
      <c r="B84719" s="7"/>
    </row>
    <row r="84720" ht="15.75" customHeight="1">
      <c r="A84720" s="7"/>
      <c r="B84720" s="7"/>
    </row>
    <row r="84721" ht="15.75" customHeight="1">
      <c r="A84721" s="7"/>
      <c r="B84721" s="7"/>
    </row>
    <row r="84722" ht="15.75" customHeight="1">
      <c r="A84722" s="7"/>
      <c r="B84722" s="7"/>
    </row>
    <row r="84723" ht="15.75" customHeight="1">
      <c r="A84723" s="7"/>
      <c r="B84723" s="7"/>
    </row>
    <row r="84724" ht="15.75" customHeight="1">
      <c r="A84724" s="7"/>
      <c r="B84724" s="7"/>
    </row>
    <row r="84725" ht="15.75" customHeight="1">
      <c r="A84725" s="7"/>
      <c r="B84725" s="7"/>
    </row>
    <row r="84726" ht="15.75" customHeight="1">
      <c r="A84726" s="7"/>
      <c r="B84726" s="7"/>
    </row>
    <row r="84727" ht="15.75" customHeight="1">
      <c r="A84727" s="7"/>
      <c r="B84727" s="7"/>
    </row>
    <row r="84728" ht="15.75" customHeight="1">
      <c r="A84728" s="7"/>
      <c r="B84728" s="7"/>
    </row>
    <row r="84729" ht="15.75" customHeight="1">
      <c r="A84729" s="7"/>
      <c r="B84729" s="7"/>
    </row>
    <row r="84730" ht="15.75" customHeight="1">
      <c r="A84730" s="7"/>
      <c r="B84730" s="7"/>
    </row>
    <row r="84731" ht="15.75" customHeight="1">
      <c r="A84731" s="7"/>
      <c r="B84731" s="7"/>
    </row>
    <row r="84732" ht="15.75" customHeight="1">
      <c r="A84732" s="7"/>
      <c r="B84732" s="7"/>
    </row>
    <row r="84733" ht="15.75" customHeight="1">
      <c r="A84733" s="7"/>
      <c r="B84733" s="7"/>
    </row>
    <row r="84734" ht="15.75" customHeight="1">
      <c r="A84734" s="7"/>
      <c r="B84734" s="7"/>
    </row>
    <row r="84735" ht="15.75" customHeight="1">
      <c r="A84735" s="7"/>
      <c r="B84735" s="7"/>
    </row>
    <row r="84736" ht="15.75" customHeight="1">
      <c r="A84736" s="7"/>
      <c r="B84736" s="7"/>
    </row>
    <row r="84737" ht="15.75" customHeight="1">
      <c r="A84737" s="7"/>
      <c r="B84737" s="7"/>
    </row>
    <row r="84738" ht="15.75" customHeight="1">
      <c r="A84738" s="7"/>
      <c r="B84738" s="7"/>
    </row>
    <row r="84739" ht="15.75" customHeight="1">
      <c r="A84739" s="7"/>
      <c r="B84739" s="7"/>
    </row>
    <row r="84740" ht="15.75" customHeight="1">
      <c r="A84740" s="7"/>
      <c r="B84740" s="7"/>
    </row>
    <row r="84741" ht="15.75" customHeight="1">
      <c r="A84741" s="7"/>
      <c r="B84741" s="7"/>
    </row>
    <row r="84742" ht="15.75" customHeight="1">
      <c r="A84742" s="7"/>
      <c r="B84742" s="7"/>
    </row>
    <row r="84743" ht="15.75" customHeight="1">
      <c r="A84743" s="7"/>
      <c r="B84743" s="7"/>
    </row>
    <row r="84744" ht="15.75" customHeight="1">
      <c r="A84744" s="7"/>
      <c r="B84744" s="7"/>
    </row>
    <row r="84745" ht="15.75" customHeight="1">
      <c r="A84745" s="7"/>
      <c r="B84745" s="7"/>
    </row>
    <row r="84746" ht="15.75" customHeight="1">
      <c r="A84746" s="7"/>
      <c r="B84746" s="7"/>
    </row>
    <row r="84747" ht="15.75" customHeight="1">
      <c r="A84747" s="7"/>
      <c r="B84747" s="7"/>
    </row>
    <row r="84748" ht="15.75" customHeight="1">
      <c r="A84748" s="7"/>
      <c r="B84748" s="7"/>
    </row>
    <row r="84749" ht="15.75" customHeight="1">
      <c r="A84749" s="7"/>
      <c r="B84749" s="7"/>
    </row>
    <row r="84750" ht="15.75" customHeight="1">
      <c r="A84750" s="7"/>
      <c r="B84750" s="7"/>
    </row>
    <row r="84751" ht="15.75" customHeight="1">
      <c r="A84751" s="7"/>
      <c r="B84751" s="7"/>
    </row>
    <row r="84752" ht="15.75" customHeight="1">
      <c r="A84752" s="7"/>
      <c r="B84752" s="7"/>
    </row>
    <row r="84753" ht="15.75" customHeight="1">
      <c r="A84753" s="7"/>
      <c r="B84753" s="7"/>
    </row>
    <row r="84754" ht="15.75" customHeight="1">
      <c r="A84754" s="7"/>
      <c r="B84754" s="7"/>
    </row>
    <row r="84755" ht="15.75" customHeight="1">
      <c r="A84755" s="7"/>
      <c r="B84755" s="7"/>
    </row>
    <row r="84756" ht="15.75" customHeight="1">
      <c r="A84756" s="7"/>
      <c r="B84756" s="7"/>
    </row>
    <row r="84757" ht="15.75" customHeight="1">
      <c r="A84757" s="7"/>
      <c r="B84757" s="7"/>
    </row>
    <row r="84758" ht="15.75" customHeight="1">
      <c r="A84758" s="7"/>
      <c r="B84758" s="7"/>
    </row>
    <row r="84759" ht="15.75" customHeight="1">
      <c r="A84759" s="7"/>
      <c r="B84759" s="7"/>
    </row>
    <row r="84760" ht="15.75" customHeight="1">
      <c r="A84760" s="7"/>
      <c r="B84760" s="7"/>
    </row>
    <row r="84761" ht="15.75" customHeight="1">
      <c r="A84761" s="7"/>
      <c r="B84761" s="7"/>
    </row>
    <row r="84762" ht="15.75" customHeight="1">
      <c r="A84762" s="7"/>
      <c r="B84762" s="7"/>
    </row>
    <row r="84763" ht="15.75" customHeight="1">
      <c r="A84763" s="7"/>
      <c r="B84763" s="7"/>
    </row>
    <row r="84764" ht="15.75" customHeight="1">
      <c r="A84764" s="7"/>
      <c r="B84764" s="7"/>
    </row>
    <row r="84765" ht="15.75" customHeight="1">
      <c r="A84765" s="7"/>
      <c r="B84765" s="7"/>
    </row>
    <row r="84766" ht="15.75" customHeight="1">
      <c r="A84766" s="7"/>
      <c r="B84766" s="7"/>
    </row>
    <row r="84767" ht="15.75" customHeight="1">
      <c r="A84767" s="7"/>
      <c r="B84767" s="7"/>
    </row>
    <row r="84768" ht="15.75" customHeight="1">
      <c r="A84768" s="7"/>
      <c r="B84768" s="7"/>
    </row>
    <row r="84769" ht="15.75" customHeight="1">
      <c r="A84769" s="7"/>
      <c r="B84769" s="7"/>
    </row>
    <row r="84770" ht="15.75" customHeight="1">
      <c r="A84770" s="7"/>
      <c r="B84770" s="7"/>
    </row>
    <row r="84771" ht="15.75" customHeight="1">
      <c r="A84771" s="7"/>
      <c r="B84771" s="7"/>
    </row>
    <row r="84772" ht="15.75" customHeight="1">
      <c r="A84772" s="7"/>
      <c r="B84772" s="7"/>
    </row>
    <row r="84773" ht="15.75" customHeight="1">
      <c r="A84773" s="7"/>
      <c r="B84773" s="7"/>
    </row>
    <row r="84774" ht="15.75" customHeight="1">
      <c r="A84774" s="7"/>
      <c r="B84774" s="7"/>
    </row>
    <row r="84775" ht="15.75" customHeight="1">
      <c r="A84775" s="7"/>
      <c r="B84775" s="7"/>
    </row>
    <row r="84776" ht="15.75" customHeight="1">
      <c r="A84776" s="7"/>
      <c r="B84776" s="7"/>
    </row>
    <row r="84777" ht="15.75" customHeight="1">
      <c r="A84777" s="7"/>
      <c r="B84777" s="7"/>
    </row>
    <row r="84778" ht="15.75" customHeight="1">
      <c r="A84778" s="7"/>
      <c r="B84778" s="7"/>
    </row>
    <row r="84779" ht="15.75" customHeight="1">
      <c r="A84779" s="7"/>
      <c r="B84779" s="7"/>
    </row>
    <row r="84780" ht="15.75" customHeight="1">
      <c r="A84780" s="7"/>
      <c r="B84780" s="7"/>
    </row>
    <row r="84781" ht="15.75" customHeight="1">
      <c r="A84781" s="7"/>
      <c r="B84781" s="7"/>
    </row>
    <row r="84782" ht="15.75" customHeight="1">
      <c r="A84782" s="7"/>
      <c r="B84782" s="7"/>
    </row>
    <row r="84783" ht="15.75" customHeight="1">
      <c r="A84783" s="7"/>
      <c r="B84783" s="7"/>
    </row>
    <row r="84784" ht="15.75" customHeight="1">
      <c r="A84784" s="7"/>
      <c r="B84784" s="7"/>
    </row>
    <row r="84785" ht="15.75" customHeight="1">
      <c r="A84785" s="7"/>
      <c r="B84785" s="7"/>
    </row>
    <row r="84786" ht="15.75" customHeight="1">
      <c r="A84786" s="7"/>
      <c r="B84786" s="7"/>
    </row>
    <row r="84787" ht="15.75" customHeight="1">
      <c r="A84787" s="7"/>
      <c r="B84787" s="7"/>
    </row>
    <row r="84788" ht="15.75" customHeight="1">
      <c r="A84788" s="7"/>
      <c r="B84788" s="7"/>
    </row>
    <row r="84789" ht="15.75" customHeight="1">
      <c r="A84789" s="7"/>
      <c r="B84789" s="7"/>
    </row>
    <row r="84790" ht="15.75" customHeight="1">
      <c r="A84790" s="7"/>
      <c r="B84790" s="7"/>
    </row>
    <row r="84791" ht="15.75" customHeight="1">
      <c r="A84791" s="7"/>
      <c r="B84791" s="7"/>
    </row>
    <row r="84792" ht="15.75" customHeight="1">
      <c r="A84792" s="7"/>
      <c r="B84792" s="7"/>
    </row>
    <row r="84793" ht="15.75" customHeight="1">
      <c r="A84793" s="7"/>
      <c r="B84793" s="7"/>
    </row>
    <row r="84794" ht="15.75" customHeight="1">
      <c r="A84794" s="7"/>
      <c r="B84794" s="7"/>
    </row>
    <row r="84795" ht="15.75" customHeight="1">
      <c r="A84795" s="7"/>
      <c r="B84795" s="7"/>
    </row>
    <row r="84796" ht="15.75" customHeight="1">
      <c r="A84796" s="7"/>
      <c r="B84796" s="7"/>
    </row>
    <row r="84797" ht="15.75" customHeight="1">
      <c r="A84797" s="7"/>
      <c r="B84797" s="7"/>
    </row>
    <row r="84798" ht="15.75" customHeight="1">
      <c r="A84798" s="7"/>
      <c r="B84798" s="7"/>
    </row>
    <row r="84799" ht="15.75" customHeight="1">
      <c r="A84799" s="7"/>
      <c r="B84799" s="7"/>
    </row>
    <row r="84800" ht="15.75" customHeight="1">
      <c r="A84800" s="7"/>
      <c r="B84800" s="7"/>
    </row>
    <row r="84801" ht="15.75" customHeight="1">
      <c r="A84801" s="7"/>
      <c r="B84801" s="7"/>
    </row>
    <row r="84802" ht="15.75" customHeight="1">
      <c r="A84802" s="7"/>
      <c r="B84802" s="7"/>
    </row>
    <row r="84803" ht="15.75" customHeight="1">
      <c r="A84803" s="7"/>
      <c r="B84803" s="7"/>
    </row>
    <row r="84804" ht="15.75" customHeight="1">
      <c r="A84804" s="7"/>
      <c r="B84804" s="7"/>
    </row>
    <row r="84805" ht="15.75" customHeight="1">
      <c r="A84805" s="7"/>
      <c r="B84805" s="7"/>
    </row>
    <row r="84806" ht="15.75" customHeight="1">
      <c r="A84806" s="7"/>
      <c r="B84806" s="7"/>
    </row>
    <row r="84807" ht="15.75" customHeight="1">
      <c r="A84807" s="7"/>
      <c r="B84807" s="7"/>
    </row>
    <row r="84808" ht="15.75" customHeight="1">
      <c r="A84808" s="7"/>
      <c r="B84808" s="7"/>
    </row>
    <row r="84809" ht="15.75" customHeight="1">
      <c r="A84809" s="7"/>
      <c r="B84809" s="7"/>
    </row>
    <row r="84810" ht="15.75" customHeight="1">
      <c r="A84810" s="7"/>
      <c r="B84810" s="7"/>
    </row>
    <row r="84811" ht="15.75" customHeight="1">
      <c r="A84811" s="7"/>
      <c r="B84811" s="7"/>
    </row>
    <row r="84812" ht="15.75" customHeight="1">
      <c r="A84812" s="7"/>
      <c r="B84812" s="7"/>
    </row>
    <row r="84813" ht="15.75" customHeight="1">
      <c r="A84813" s="7"/>
      <c r="B84813" s="7"/>
    </row>
    <row r="84814" ht="15.75" customHeight="1">
      <c r="A84814" s="7"/>
      <c r="B84814" s="7"/>
    </row>
    <row r="84815" ht="15.75" customHeight="1">
      <c r="A84815" s="7"/>
      <c r="B84815" s="7"/>
    </row>
    <row r="84816" ht="15.75" customHeight="1">
      <c r="A84816" s="7"/>
      <c r="B84816" s="7"/>
    </row>
    <row r="84817" ht="15.75" customHeight="1">
      <c r="A84817" s="7"/>
      <c r="B84817" s="7"/>
    </row>
    <row r="84818" ht="15.75" customHeight="1">
      <c r="A84818" s="7"/>
      <c r="B84818" s="7"/>
    </row>
    <row r="84819" ht="15.75" customHeight="1">
      <c r="A84819" s="7"/>
      <c r="B84819" s="7"/>
    </row>
    <row r="84820" ht="15.75" customHeight="1">
      <c r="A84820" s="7"/>
      <c r="B84820" s="7"/>
    </row>
    <row r="84821" ht="15.75" customHeight="1">
      <c r="A84821" s="7"/>
      <c r="B84821" s="7"/>
    </row>
    <row r="84822" ht="15.75" customHeight="1">
      <c r="A84822" s="7"/>
      <c r="B84822" s="7"/>
    </row>
    <row r="84823" ht="15.75" customHeight="1">
      <c r="A84823" s="7"/>
      <c r="B84823" s="7"/>
    </row>
    <row r="84824" ht="15.75" customHeight="1">
      <c r="A84824" s="7"/>
      <c r="B84824" s="7"/>
    </row>
    <row r="84825" ht="15.75" customHeight="1">
      <c r="A84825" s="7"/>
      <c r="B84825" s="7"/>
    </row>
    <row r="84826" ht="15.75" customHeight="1">
      <c r="A84826" s="7"/>
      <c r="B84826" s="7"/>
    </row>
    <row r="84827" ht="15.75" customHeight="1">
      <c r="A84827" s="7"/>
      <c r="B84827" s="7"/>
    </row>
    <row r="84828" ht="15.75" customHeight="1">
      <c r="A84828" s="7"/>
      <c r="B84828" s="7"/>
    </row>
    <row r="84829" ht="15.75" customHeight="1">
      <c r="A84829" s="7"/>
      <c r="B84829" s="7"/>
    </row>
    <row r="84830" ht="15.75" customHeight="1">
      <c r="A84830" s="7"/>
      <c r="B84830" s="7"/>
    </row>
    <row r="84831" ht="15.75" customHeight="1">
      <c r="A84831" s="7"/>
      <c r="B84831" s="7"/>
    </row>
    <row r="84832" ht="15.75" customHeight="1">
      <c r="A84832" s="7"/>
      <c r="B84832" s="7"/>
    </row>
    <row r="84833" ht="15.75" customHeight="1">
      <c r="A84833" s="7"/>
      <c r="B84833" s="7"/>
    </row>
    <row r="84834" ht="15.75" customHeight="1">
      <c r="A84834" s="7"/>
      <c r="B84834" s="7"/>
    </row>
    <row r="84835" ht="15.75" customHeight="1">
      <c r="A84835" s="7"/>
      <c r="B84835" s="7"/>
    </row>
    <row r="84836" ht="15.75" customHeight="1">
      <c r="A84836" s="7"/>
      <c r="B84836" s="7"/>
    </row>
    <row r="84837" ht="15.75" customHeight="1">
      <c r="A84837" s="7"/>
      <c r="B84837" s="7"/>
    </row>
    <row r="84838" ht="15.75" customHeight="1">
      <c r="A84838" s="7"/>
      <c r="B84838" s="7"/>
    </row>
    <row r="84839" ht="15.75" customHeight="1">
      <c r="A84839" s="7"/>
      <c r="B84839" s="7"/>
    </row>
    <row r="84840" ht="15.75" customHeight="1">
      <c r="A84840" s="7"/>
      <c r="B84840" s="7"/>
    </row>
    <row r="84841" ht="15.75" customHeight="1">
      <c r="A84841" s="7"/>
      <c r="B84841" s="7"/>
    </row>
    <row r="84842" ht="15.75" customHeight="1">
      <c r="A84842" s="7"/>
      <c r="B84842" s="7"/>
    </row>
    <row r="84843" ht="15.75" customHeight="1">
      <c r="A84843" s="7"/>
      <c r="B84843" s="7"/>
    </row>
    <row r="84844" ht="15.75" customHeight="1">
      <c r="A84844" s="7"/>
      <c r="B84844" s="7"/>
    </row>
    <row r="84845" ht="15.75" customHeight="1">
      <c r="A84845" s="7"/>
      <c r="B84845" s="7"/>
    </row>
    <row r="84846" ht="15.75" customHeight="1">
      <c r="A84846" s="7"/>
      <c r="B84846" s="7"/>
    </row>
    <row r="84847" ht="15.75" customHeight="1">
      <c r="A84847" s="7"/>
      <c r="B84847" s="7"/>
    </row>
    <row r="84848" ht="15.75" customHeight="1">
      <c r="A84848" s="7"/>
      <c r="B84848" s="7"/>
    </row>
    <row r="84849" ht="15.75" customHeight="1">
      <c r="A84849" s="7"/>
      <c r="B84849" s="7"/>
    </row>
    <row r="84850" ht="15.75" customHeight="1">
      <c r="A84850" s="7"/>
      <c r="B84850" s="7"/>
    </row>
    <row r="84851" ht="15.75" customHeight="1">
      <c r="A84851" s="7"/>
      <c r="B84851" s="7"/>
    </row>
    <row r="84852" ht="15.75" customHeight="1">
      <c r="A84852" s="7"/>
      <c r="B84852" s="7"/>
    </row>
    <row r="84853" ht="15.75" customHeight="1">
      <c r="A84853" s="7"/>
      <c r="B84853" s="7"/>
    </row>
    <row r="84854" ht="15.75" customHeight="1">
      <c r="A84854" s="7"/>
      <c r="B84854" s="7"/>
    </row>
    <row r="84855" ht="15.75" customHeight="1">
      <c r="A84855" s="7"/>
      <c r="B84855" s="7"/>
    </row>
    <row r="84856" ht="15.75" customHeight="1">
      <c r="A84856" s="7"/>
      <c r="B84856" s="7"/>
    </row>
    <row r="84857" ht="15.75" customHeight="1">
      <c r="A84857" s="7"/>
      <c r="B84857" s="7"/>
    </row>
    <row r="84858" ht="15.75" customHeight="1">
      <c r="A84858" s="7"/>
      <c r="B84858" s="7"/>
    </row>
    <row r="84859" ht="15.75" customHeight="1">
      <c r="A84859" s="7"/>
      <c r="B84859" s="7"/>
    </row>
    <row r="84860" ht="15.75" customHeight="1">
      <c r="A84860" s="7"/>
      <c r="B84860" s="7"/>
    </row>
    <row r="84861" ht="15.75" customHeight="1">
      <c r="A84861" s="7"/>
      <c r="B84861" s="7"/>
    </row>
    <row r="84862" ht="15.75" customHeight="1">
      <c r="A84862" s="7"/>
      <c r="B84862" s="7"/>
    </row>
    <row r="84863" ht="15.75" customHeight="1">
      <c r="A84863" s="7"/>
      <c r="B84863" s="7"/>
    </row>
    <row r="84864" ht="15.75" customHeight="1">
      <c r="A84864" s="7"/>
      <c r="B84864" s="7"/>
    </row>
    <row r="84865" ht="15.75" customHeight="1">
      <c r="A84865" s="7"/>
      <c r="B84865" s="7"/>
    </row>
    <row r="84866" ht="15.75" customHeight="1">
      <c r="A84866" s="7"/>
      <c r="B84866" s="7"/>
    </row>
    <row r="84867" ht="15.75" customHeight="1">
      <c r="A84867" s="7"/>
      <c r="B84867" s="7"/>
    </row>
    <row r="84868" ht="15.75" customHeight="1">
      <c r="A84868" s="7"/>
      <c r="B84868" s="7"/>
    </row>
    <row r="84869" ht="15.75" customHeight="1">
      <c r="A84869" s="7"/>
      <c r="B84869" s="7"/>
    </row>
    <row r="84870" ht="15.75" customHeight="1">
      <c r="A84870" s="7"/>
      <c r="B84870" s="7"/>
    </row>
    <row r="84871" ht="15.75" customHeight="1">
      <c r="A84871" s="7"/>
      <c r="B84871" s="7"/>
    </row>
    <row r="84872" ht="15.75" customHeight="1">
      <c r="A84872" s="7"/>
      <c r="B84872" s="7"/>
    </row>
    <row r="84873" ht="15.75" customHeight="1">
      <c r="A84873" s="7"/>
      <c r="B84873" s="7"/>
    </row>
    <row r="84874" ht="15.75" customHeight="1">
      <c r="A84874" s="7"/>
      <c r="B84874" s="7"/>
    </row>
    <row r="84875" ht="15.75" customHeight="1">
      <c r="A84875" s="7"/>
      <c r="B84875" s="7"/>
    </row>
    <row r="84876" ht="15.75" customHeight="1">
      <c r="A84876" s="7"/>
      <c r="B84876" s="7"/>
    </row>
    <row r="84877" ht="15.75" customHeight="1">
      <c r="A84877" s="7"/>
      <c r="B84877" s="7"/>
    </row>
    <row r="84878" ht="15.75" customHeight="1">
      <c r="A84878" s="7"/>
      <c r="B84878" s="7"/>
    </row>
    <row r="84879" ht="15.75" customHeight="1">
      <c r="A84879" s="7"/>
      <c r="B84879" s="7"/>
    </row>
    <row r="84880" ht="15.75" customHeight="1">
      <c r="A84880" s="7"/>
      <c r="B84880" s="7"/>
    </row>
    <row r="84881" ht="15.75" customHeight="1">
      <c r="A84881" s="7"/>
      <c r="B84881" s="7"/>
    </row>
    <row r="84882" ht="15.75" customHeight="1">
      <c r="A84882" s="7"/>
      <c r="B84882" s="7"/>
    </row>
    <row r="84883" ht="15.75" customHeight="1">
      <c r="A84883" s="7"/>
      <c r="B84883" s="7"/>
    </row>
    <row r="84884" ht="15.75" customHeight="1">
      <c r="A84884" s="7"/>
      <c r="B84884" s="7"/>
    </row>
    <row r="84885" ht="15.75" customHeight="1">
      <c r="A84885" s="7"/>
      <c r="B84885" s="7"/>
    </row>
    <row r="84886" ht="15.75" customHeight="1">
      <c r="A84886" s="7"/>
      <c r="B84886" s="7"/>
    </row>
    <row r="84887" ht="15.75" customHeight="1">
      <c r="A84887" s="7"/>
      <c r="B84887" s="7"/>
    </row>
    <row r="84888" ht="15.75" customHeight="1">
      <c r="A84888" s="7"/>
      <c r="B84888" s="7"/>
    </row>
    <row r="84889" ht="15.75" customHeight="1">
      <c r="A84889" s="7"/>
      <c r="B84889" s="7"/>
    </row>
    <row r="84890" ht="15.75" customHeight="1">
      <c r="A84890" s="7"/>
      <c r="B84890" s="7"/>
    </row>
    <row r="84891" ht="15.75" customHeight="1">
      <c r="A84891" s="7"/>
      <c r="B84891" s="7"/>
    </row>
    <row r="84892" ht="15.75" customHeight="1">
      <c r="A84892" s="7"/>
      <c r="B84892" s="7"/>
    </row>
    <row r="84893" ht="15.75" customHeight="1">
      <c r="A84893" s="7"/>
      <c r="B84893" s="7"/>
    </row>
    <row r="84894" ht="15.75" customHeight="1">
      <c r="A84894" s="7"/>
      <c r="B84894" s="7"/>
    </row>
    <row r="84895" ht="15.75" customHeight="1">
      <c r="A84895" s="7"/>
      <c r="B84895" s="7"/>
    </row>
    <row r="84896" ht="15.75" customHeight="1">
      <c r="A84896" s="7"/>
      <c r="B84896" s="7"/>
    </row>
    <row r="84897" ht="15.75" customHeight="1">
      <c r="A84897" s="7"/>
      <c r="B84897" s="7"/>
    </row>
    <row r="84898" ht="15.75" customHeight="1">
      <c r="A84898" s="7"/>
      <c r="B84898" s="7"/>
    </row>
    <row r="84899" ht="15.75" customHeight="1">
      <c r="A84899" s="7"/>
      <c r="B84899" s="7"/>
    </row>
    <row r="84900" ht="15.75" customHeight="1">
      <c r="A84900" s="7"/>
      <c r="B84900" s="7"/>
    </row>
    <row r="84901" ht="15.75" customHeight="1">
      <c r="A84901" s="7"/>
      <c r="B84901" s="7"/>
    </row>
    <row r="84902" ht="15.75" customHeight="1">
      <c r="A84902" s="7"/>
      <c r="B84902" s="7"/>
    </row>
    <row r="84903" ht="15.75" customHeight="1">
      <c r="A84903" s="7"/>
      <c r="B84903" s="7"/>
    </row>
    <row r="84904" ht="15.75" customHeight="1">
      <c r="A84904" s="7"/>
      <c r="B84904" s="7"/>
    </row>
    <row r="84905" ht="15.75" customHeight="1">
      <c r="A84905" s="7"/>
      <c r="B84905" s="7"/>
    </row>
    <row r="84906" ht="15.75" customHeight="1">
      <c r="A84906" s="7"/>
      <c r="B84906" s="7"/>
    </row>
    <row r="84907" ht="15.75" customHeight="1">
      <c r="A84907" s="7"/>
      <c r="B84907" s="7"/>
    </row>
    <row r="84908" ht="15.75" customHeight="1">
      <c r="A84908" s="7"/>
      <c r="B84908" s="7"/>
    </row>
    <row r="84909" ht="15.75" customHeight="1">
      <c r="A84909" s="7"/>
      <c r="B84909" s="7"/>
    </row>
    <row r="84910" ht="15.75" customHeight="1">
      <c r="A84910" s="7"/>
      <c r="B84910" s="7"/>
    </row>
    <row r="84911" ht="15.75" customHeight="1">
      <c r="A84911" s="7"/>
      <c r="B84911" s="7"/>
    </row>
    <row r="84912" ht="15.75" customHeight="1">
      <c r="A84912" s="7"/>
      <c r="B84912" s="7"/>
    </row>
    <row r="84913" ht="15.75" customHeight="1">
      <c r="A84913" s="7"/>
      <c r="B84913" s="7"/>
    </row>
    <row r="84914" ht="15.75" customHeight="1">
      <c r="A84914" s="7"/>
      <c r="B84914" s="7"/>
    </row>
    <row r="84915" ht="15.75" customHeight="1">
      <c r="A84915" s="7"/>
      <c r="B84915" s="7"/>
    </row>
    <row r="84916" ht="15.75" customHeight="1">
      <c r="A84916" s="7"/>
      <c r="B84916" s="7"/>
    </row>
    <row r="84917" ht="15.75" customHeight="1">
      <c r="A84917" s="7"/>
      <c r="B84917" s="7"/>
    </row>
    <row r="84918" ht="15.75" customHeight="1">
      <c r="A84918" s="7"/>
      <c r="B84918" s="7"/>
    </row>
    <row r="84919" ht="15.75" customHeight="1">
      <c r="A84919" s="7"/>
      <c r="B84919" s="7"/>
    </row>
    <row r="84920" ht="15.75" customHeight="1">
      <c r="A84920" s="7"/>
      <c r="B84920" s="7"/>
    </row>
    <row r="84921" ht="15.75" customHeight="1">
      <c r="A84921" s="7"/>
      <c r="B84921" s="7"/>
    </row>
    <row r="84922" ht="15.75" customHeight="1">
      <c r="A84922" s="7"/>
      <c r="B84922" s="7"/>
    </row>
    <row r="84923" ht="15.75" customHeight="1">
      <c r="A84923" s="7"/>
      <c r="B84923" s="7"/>
    </row>
    <row r="84924" ht="15.75" customHeight="1">
      <c r="A84924" s="7"/>
      <c r="B84924" s="7"/>
    </row>
    <row r="84925" ht="15.75" customHeight="1">
      <c r="A84925" s="7"/>
      <c r="B84925" s="7"/>
    </row>
    <row r="84926" ht="15.75" customHeight="1">
      <c r="A84926" s="7"/>
      <c r="B84926" s="7"/>
    </row>
    <row r="84927" ht="15.75" customHeight="1">
      <c r="A84927" s="7"/>
      <c r="B84927" s="7"/>
    </row>
    <row r="84928" ht="15.75" customHeight="1">
      <c r="A84928" s="7"/>
      <c r="B84928" s="7"/>
    </row>
    <row r="84929" ht="15.75" customHeight="1">
      <c r="A84929" s="7"/>
      <c r="B84929" s="7"/>
    </row>
    <row r="84930" ht="15.75" customHeight="1">
      <c r="A84930" s="7"/>
      <c r="B84930" s="7"/>
    </row>
    <row r="84931" ht="15.75" customHeight="1">
      <c r="A84931" s="7"/>
      <c r="B84931" s="7"/>
    </row>
    <row r="84932" ht="15.75" customHeight="1">
      <c r="A84932" s="7"/>
      <c r="B84932" s="7"/>
    </row>
    <row r="84933" ht="15.75" customHeight="1">
      <c r="A84933" s="7"/>
      <c r="B84933" s="7"/>
    </row>
    <row r="84934" ht="15.75" customHeight="1">
      <c r="A84934" s="7"/>
      <c r="B84934" s="7"/>
    </row>
    <row r="84935" ht="15.75" customHeight="1">
      <c r="A84935" s="7"/>
      <c r="B84935" s="7"/>
    </row>
    <row r="84936" ht="15.75" customHeight="1">
      <c r="A84936" s="7"/>
      <c r="B84936" s="7"/>
    </row>
    <row r="84937" ht="15.75" customHeight="1">
      <c r="A84937" s="7"/>
      <c r="B84937" s="7"/>
    </row>
    <row r="84938" ht="15.75" customHeight="1">
      <c r="A84938" s="7"/>
      <c r="B84938" s="7"/>
    </row>
    <row r="84939" ht="15.75" customHeight="1">
      <c r="A84939" s="7"/>
      <c r="B84939" s="7"/>
    </row>
    <row r="84940" ht="15.75" customHeight="1">
      <c r="A84940" s="7"/>
      <c r="B84940" s="7"/>
    </row>
    <row r="84941" ht="15.75" customHeight="1">
      <c r="A84941" s="7"/>
      <c r="B84941" s="7"/>
    </row>
    <row r="84942" ht="15.75" customHeight="1">
      <c r="A84942" s="7"/>
      <c r="B84942" s="7"/>
    </row>
    <row r="84943" ht="15.75" customHeight="1">
      <c r="A84943" s="7"/>
      <c r="B84943" s="7"/>
    </row>
    <row r="84944" ht="15.75" customHeight="1">
      <c r="A84944" s="7"/>
      <c r="B84944" s="7"/>
    </row>
    <row r="84945" ht="15.75" customHeight="1">
      <c r="A84945" s="7"/>
      <c r="B84945" s="7"/>
    </row>
    <row r="84946" ht="15.75" customHeight="1">
      <c r="A84946" s="7"/>
      <c r="B84946" s="7"/>
    </row>
    <row r="84947" ht="15.75" customHeight="1">
      <c r="A84947" s="7"/>
      <c r="B84947" s="7"/>
    </row>
    <row r="84948" ht="15.75" customHeight="1">
      <c r="A84948" s="7"/>
      <c r="B84948" s="7"/>
    </row>
    <row r="84949" ht="15.75" customHeight="1">
      <c r="A84949" s="7"/>
      <c r="B84949" s="7"/>
    </row>
    <row r="84950" ht="15.75" customHeight="1">
      <c r="A84950" s="7"/>
      <c r="B84950" s="7"/>
    </row>
    <row r="84951" ht="15.75" customHeight="1">
      <c r="A84951" s="7"/>
      <c r="B84951" s="7"/>
    </row>
    <row r="84952" ht="15.75" customHeight="1">
      <c r="A84952" s="7"/>
      <c r="B84952" s="7"/>
    </row>
    <row r="84953" ht="15.75" customHeight="1">
      <c r="A84953" s="7"/>
      <c r="B84953" s="7"/>
    </row>
    <row r="84954" ht="15.75" customHeight="1">
      <c r="A84954" s="7"/>
      <c r="B84954" s="7"/>
    </row>
    <row r="84955" ht="15.75" customHeight="1">
      <c r="A84955" s="7"/>
      <c r="B84955" s="7"/>
    </row>
    <row r="84956" ht="15.75" customHeight="1">
      <c r="A84956" s="7"/>
      <c r="B84956" s="7"/>
    </row>
    <row r="84957" ht="15.75" customHeight="1">
      <c r="A84957" s="7"/>
      <c r="B84957" s="7"/>
    </row>
    <row r="84958" ht="15.75" customHeight="1">
      <c r="A84958" s="7"/>
      <c r="B84958" s="7"/>
    </row>
    <row r="84959" ht="15.75" customHeight="1">
      <c r="A84959" s="7"/>
      <c r="B84959" s="7"/>
    </row>
    <row r="84960" ht="15.75" customHeight="1">
      <c r="A84960" s="7"/>
      <c r="B84960" s="7"/>
    </row>
    <row r="84961" ht="15.75" customHeight="1">
      <c r="A84961" s="7"/>
      <c r="B84961" s="7"/>
    </row>
    <row r="84962" ht="15.75" customHeight="1">
      <c r="A84962" s="7"/>
      <c r="B84962" s="7"/>
    </row>
    <row r="84963" ht="15.75" customHeight="1">
      <c r="A84963" s="7"/>
      <c r="B84963" s="7"/>
    </row>
    <row r="84964" ht="15.75" customHeight="1">
      <c r="A84964" s="7"/>
      <c r="B84964" s="7"/>
    </row>
    <row r="84965" ht="15.75" customHeight="1">
      <c r="A84965" s="7"/>
      <c r="B84965" s="7"/>
    </row>
    <row r="84966" ht="15.75" customHeight="1">
      <c r="A84966" s="7"/>
      <c r="B84966" s="7"/>
    </row>
    <row r="84967" ht="15.75" customHeight="1">
      <c r="A84967" s="7"/>
      <c r="B84967" s="7"/>
    </row>
    <row r="84968" ht="15.75" customHeight="1">
      <c r="A84968" s="7"/>
      <c r="B84968" s="7"/>
    </row>
    <row r="84969" ht="15.75" customHeight="1">
      <c r="A84969" s="7"/>
      <c r="B84969" s="7"/>
    </row>
    <row r="84970" ht="15.75" customHeight="1">
      <c r="A84970" s="7"/>
      <c r="B84970" s="7"/>
    </row>
    <row r="84971" ht="15.75" customHeight="1">
      <c r="A84971" s="7"/>
      <c r="B84971" s="7"/>
    </row>
    <row r="84972" ht="15.75" customHeight="1">
      <c r="A84972" s="7"/>
      <c r="B84972" s="7"/>
    </row>
    <row r="84973" ht="15.75" customHeight="1">
      <c r="A84973" s="7"/>
      <c r="B84973" s="7"/>
    </row>
    <row r="84974" ht="15.75" customHeight="1">
      <c r="A84974" s="7"/>
      <c r="B84974" s="7"/>
    </row>
    <row r="84975" ht="15.75" customHeight="1">
      <c r="A84975" s="7"/>
      <c r="B84975" s="7"/>
    </row>
    <row r="84976" ht="15.75" customHeight="1">
      <c r="A84976" s="7"/>
      <c r="B84976" s="7"/>
    </row>
    <row r="84977" ht="15.75" customHeight="1">
      <c r="A84977" s="7"/>
      <c r="B84977" s="7"/>
    </row>
    <row r="84978" ht="15.75" customHeight="1">
      <c r="A84978" s="7"/>
      <c r="B84978" s="7"/>
    </row>
    <row r="84979" ht="15.75" customHeight="1">
      <c r="A84979" s="7"/>
      <c r="B84979" s="7"/>
    </row>
    <row r="84980" ht="15.75" customHeight="1">
      <c r="A84980" s="7"/>
      <c r="B84980" s="7"/>
    </row>
    <row r="84981" ht="15.75" customHeight="1">
      <c r="A84981" s="7"/>
      <c r="B84981" s="7"/>
    </row>
    <row r="84982" ht="15.75" customHeight="1">
      <c r="A84982" s="7"/>
      <c r="B84982" s="7"/>
    </row>
    <row r="84983" ht="15.75" customHeight="1">
      <c r="A84983" s="7"/>
      <c r="B84983" s="7"/>
    </row>
    <row r="84984" ht="15.75" customHeight="1">
      <c r="A84984" s="7"/>
      <c r="B84984" s="7"/>
    </row>
    <row r="84985" ht="15.75" customHeight="1">
      <c r="A84985" s="7"/>
      <c r="B84985" s="7"/>
    </row>
    <row r="84986" ht="15.75" customHeight="1">
      <c r="A84986" s="7"/>
      <c r="B84986" s="7"/>
    </row>
    <row r="84987" ht="15.75" customHeight="1">
      <c r="A84987" s="7"/>
      <c r="B84987" s="7"/>
    </row>
    <row r="84988" ht="15.75" customHeight="1">
      <c r="A84988" s="7"/>
      <c r="B84988" s="7"/>
    </row>
    <row r="84989" ht="15.75" customHeight="1">
      <c r="A84989" s="7"/>
      <c r="B84989" s="7"/>
    </row>
    <row r="84990" ht="15.75" customHeight="1">
      <c r="A84990" s="7"/>
      <c r="B84990" s="7"/>
    </row>
    <row r="84991" ht="15.75" customHeight="1">
      <c r="A84991" s="7"/>
      <c r="B84991" s="7"/>
    </row>
    <row r="84992" ht="15.75" customHeight="1">
      <c r="A84992" s="7"/>
      <c r="B84992" s="7"/>
    </row>
    <row r="84993" ht="15.75" customHeight="1">
      <c r="A84993" s="7"/>
      <c r="B84993" s="7"/>
    </row>
    <row r="84994" ht="15.75" customHeight="1">
      <c r="A84994" s="7"/>
      <c r="B84994" s="7"/>
    </row>
    <row r="84995" ht="15.75" customHeight="1">
      <c r="A84995" s="7"/>
      <c r="B84995" s="7"/>
    </row>
    <row r="84996" ht="15.75" customHeight="1">
      <c r="A84996" s="7"/>
      <c r="B84996" s="7"/>
    </row>
    <row r="84997" ht="15.75" customHeight="1">
      <c r="A84997" s="7"/>
      <c r="B84997" s="7"/>
    </row>
    <row r="84998" ht="15.75" customHeight="1">
      <c r="A84998" s="7"/>
      <c r="B84998" s="7"/>
    </row>
    <row r="84999" ht="15.75" customHeight="1">
      <c r="A84999" s="7"/>
      <c r="B84999" s="7"/>
    </row>
    <row r="85000" ht="15.75" customHeight="1">
      <c r="A85000" s="7"/>
      <c r="B85000" s="7"/>
    </row>
    <row r="85001" ht="15.75" customHeight="1">
      <c r="A85001" s="7"/>
      <c r="B85001" s="7"/>
    </row>
    <row r="85002" ht="15.75" customHeight="1">
      <c r="A85002" s="7"/>
      <c r="B85002" s="7"/>
    </row>
    <row r="85003" ht="15.75" customHeight="1">
      <c r="A85003" s="7"/>
      <c r="B85003" s="7"/>
    </row>
    <row r="85004" ht="15.75" customHeight="1">
      <c r="A85004" s="7"/>
      <c r="B85004" s="7"/>
    </row>
    <row r="85005" ht="15.75" customHeight="1">
      <c r="A85005" s="7"/>
      <c r="B85005" s="7"/>
    </row>
    <row r="85006" ht="15.75" customHeight="1">
      <c r="A85006" s="7"/>
      <c r="B85006" s="7"/>
    </row>
    <row r="85007" ht="15.75" customHeight="1">
      <c r="A85007" s="7"/>
      <c r="B85007" s="7"/>
    </row>
    <row r="85008" ht="15.75" customHeight="1">
      <c r="A85008" s="7"/>
      <c r="B85008" s="7"/>
    </row>
    <row r="85009" ht="15.75" customHeight="1">
      <c r="A85009" s="7"/>
      <c r="B85009" s="7"/>
    </row>
    <row r="85010" ht="15.75" customHeight="1">
      <c r="A85010" s="7"/>
      <c r="B85010" s="7"/>
    </row>
    <row r="85011" ht="15.75" customHeight="1">
      <c r="A85011" s="7"/>
      <c r="B85011" s="7"/>
    </row>
    <row r="85012" ht="15.75" customHeight="1">
      <c r="A85012" s="7"/>
      <c r="B85012" s="7"/>
    </row>
    <row r="85013" ht="15.75" customHeight="1">
      <c r="A85013" s="7"/>
      <c r="B85013" s="7"/>
    </row>
    <row r="85014" ht="15.75" customHeight="1">
      <c r="A85014" s="7"/>
      <c r="B85014" s="7"/>
    </row>
    <row r="85015" ht="15.75" customHeight="1">
      <c r="A85015" s="7"/>
      <c r="B85015" s="7"/>
    </row>
    <row r="85016" ht="15.75" customHeight="1">
      <c r="A85016" s="7"/>
      <c r="B85016" s="7"/>
    </row>
    <row r="85017" ht="15.75" customHeight="1">
      <c r="A85017" s="7"/>
      <c r="B85017" s="7"/>
    </row>
    <row r="85018" ht="15.75" customHeight="1">
      <c r="A85018" s="7"/>
      <c r="B85018" s="7"/>
    </row>
    <row r="85019" ht="15.75" customHeight="1">
      <c r="A85019" s="7"/>
      <c r="B85019" s="7"/>
    </row>
    <row r="85020" ht="15.75" customHeight="1">
      <c r="A85020" s="7"/>
      <c r="B85020" s="7"/>
    </row>
    <row r="85021" ht="15.75" customHeight="1">
      <c r="A85021" s="7"/>
      <c r="B85021" s="7"/>
    </row>
    <row r="85022" ht="15.75" customHeight="1">
      <c r="A85022" s="7"/>
      <c r="B85022" s="7"/>
    </row>
    <row r="85023" ht="15.75" customHeight="1">
      <c r="A85023" s="7"/>
      <c r="B85023" s="7"/>
    </row>
    <row r="85024" ht="15.75" customHeight="1">
      <c r="A85024" s="7"/>
      <c r="B85024" s="7"/>
    </row>
    <row r="85025" ht="15.75" customHeight="1">
      <c r="A85025" s="7"/>
      <c r="B85025" s="7"/>
    </row>
    <row r="85026" ht="15.75" customHeight="1">
      <c r="A85026" s="7"/>
      <c r="B85026" s="7"/>
    </row>
    <row r="85027" ht="15.75" customHeight="1">
      <c r="A85027" s="7"/>
      <c r="B85027" s="7"/>
    </row>
    <row r="85028" ht="15.75" customHeight="1">
      <c r="A85028" s="7"/>
      <c r="B85028" s="7"/>
    </row>
    <row r="85029" ht="15.75" customHeight="1">
      <c r="A85029" s="7"/>
      <c r="B85029" s="7"/>
    </row>
    <row r="85030" ht="15.75" customHeight="1">
      <c r="A85030" s="7"/>
      <c r="B85030" s="7"/>
    </row>
    <row r="85031" ht="15.75" customHeight="1">
      <c r="A85031" s="7"/>
      <c r="B85031" s="7"/>
    </row>
    <row r="85032" ht="15.75" customHeight="1">
      <c r="A85032" s="7"/>
      <c r="B85032" s="7"/>
    </row>
    <row r="85033" ht="15.75" customHeight="1">
      <c r="A85033" s="7"/>
      <c r="B85033" s="7"/>
    </row>
    <row r="85034" ht="15.75" customHeight="1">
      <c r="A85034" s="7"/>
      <c r="B85034" s="7"/>
    </row>
    <row r="85035" ht="15.75" customHeight="1">
      <c r="A85035" s="7"/>
      <c r="B85035" s="7"/>
    </row>
    <row r="85036" ht="15.75" customHeight="1">
      <c r="A85036" s="7"/>
      <c r="B85036" s="7"/>
    </row>
    <row r="85037" ht="15.75" customHeight="1">
      <c r="A85037" s="7"/>
      <c r="B85037" s="7"/>
    </row>
    <row r="85038" ht="15.75" customHeight="1">
      <c r="A85038" s="7"/>
      <c r="B85038" s="7"/>
    </row>
    <row r="85039" ht="15.75" customHeight="1">
      <c r="A85039" s="7"/>
      <c r="B85039" s="7"/>
    </row>
    <row r="85040" ht="15.75" customHeight="1">
      <c r="A85040" s="7"/>
      <c r="B85040" s="7"/>
    </row>
    <row r="85041" ht="15.75" customHeight="1">
      <c r="A85041" s="7"/>
      <c r="B85041" s="7"/>
    </row>
    <row r="85042" ht="15.75" customHeight="1">
      <c r="A85042" s="7"/>
      <c r="B85042" s="7"/>
    </row>
    <row r="85043" ht="15.75" customHeight="1">
      <c r="A85043" s="7"/>
      <c r="B85043" s="7"/>
    </row>
    <row r="85044" ht="15.75" customHeight="1">
      <c r="A85044" s="7"/>
      <c r="B85044" s="7"/>
    </row>
    <row r="85045" ht="15.75" customHeight="1">
      <c r="A85045" s="7"/>
      <c r="B85045" s="7"/>
    </row>
    <row r="85046" ht="15.75" customHeight="1">
      <c r="A85046" s="7"/>
      <c r="B85046" s="7"/>
    </row>
    <row r="85047" ht="15.75" customHeight="1">
      <c r="A85047" s="7"/>
      <c r="B85047" s="7"/>
    </row>
    <row r="85048" ht="15.75" customHeight="1">
      <c r="A85048" s="7"/>
      <c r="B85048" s="7"/>
    </row>
    <row r="85049" ht="15.75" customHeight="1">
      <c r="A85049" s="7"/>
      <c r="B85049" s="7"/>
    </row>
    <row r="85050" ht="15.75" customHeight="1">
      <c r="A85050" s="7"/>
      <c r="B85050" s="7"/>
    </row>
    <row r="85051" ht="15.75" customHeight="1">
      <c r="A85051" s="7"/>
      <c r="B85051" s="7"/>
    </row>
    <row r="85052" ht="15.75" customHeight="1">
      <c r="A85052" s="7"/>
      <c r="B85052" s="7"/>
    </row>
    <row r="85053" ht="15.75" customHeight="1">
      <c r="A85053" s="7"/>
      <c r="B85053" s="7"/>
    </row>
    <row r="85054" ht="15.75" customHeight="1">
      <c r="A85054" s="7"/>
      <c r="B85054" s="7"/>
    </row>
    <row r="85055" ht="15.75" customHeight="1">
      <c r="A85055" s="7"/>
      <c r="B85055" s="7"/>
    </row>
    <row r="85056" ht="15.75" customHeight="1">
      <c r="A85056" s="7"/>
      <c r="B85056" s="7"/>
    </row>
    <row r="85057" ht="15.75" customHeight="1">
      <c r="A85057" s="7"/>
      <c r="B85057" s="7"/>
    </row>
    <row r="85058" ht="15.75" customHeight="1">
      <c r="A85058" s="7"/>
      <c r="B85058" s="7"/>
    </row>
    <row r="85059" ht="15.75" customHeight="1">
      <c r="A85059" s="7"/>
      <c r="B85059" s="7"/>
    </row>
    <row r="85060" ht="15.75" customHeight="1">
      <c r="A85060" s="7"/>
      <c r="B85060" s="7"/>
    </row>
    <row r="85061" ht="15.75" customHeight="1">
      <c r="A85061" s="7"/>
      <c r="B85061" s="7"/>
    </row>
    <row r="85062" ht="15.75" customHeight="1">
      <c r="A85062" s="7"/>
      <c r="B85062" s="7"/>
    </row>
    <row r="85063" ht="15.75" customHeight="1">
      <c r="A85063" s="7"/>
      <c r="B85063" s="7"/>
    </row>
    <row r="85064" ht="15.75" customHeight="1">
      <c r="A85064" s="7"/>
      <c r="B85064" s="7"/>
    </row>
    <row r="85065" ht="15.75" customHeight="1">
      <c r="A85065" s="7"/>
      <c r="B85065" s="7"/>
    </row>
    <row r="85066" ht="15.75" customHeight="1">
      <c r="A85066" s="7"/>
      <c r="B85066" s="7"/>
    </row>
    <row r="85067" ht="15.75" customHeight="1">
      <c r="A85067" s="7"/>
      <c r="B85067" s="7"/>
    </row>
    <row r="85068" ht="15.75" customHeight="1">
      <c r="A85068" s="7"/>
      <c r="B85068" s="7"/>
    </row>
    <row r="85069" ht="15.75" customHeight="1">
      <c r="A85069" s="7"/>
      <c r="B85069" s="7"/>
    </row>
    <row r="85070" ht="15.75" customHeight="1">
      <c r="A85070" s="7"/>
      <c r="B85070" s="7"/>
    </row>
    <row r="85071" ht="15.75" customHeight="1">
      <c r="A85071" s="7"/>
      <c r="B85071" s="7"/>
    </row>
    <row r="85072" ht="15.75" customHeight="1">
      <c r="A85072" s="7"/>
      <c r="B85072" s="7"/>
    </row>
    <row r="85073" ht="15.75" customHeight="1">
      <c r="A85073" s="7"/>
      <c r="B85073" s="7"/>
    </row>
    <row r="85074" ht="15.75" customHeight="1">
      <c r="A85074" s="7"/>
      <c r="B85074" s="7"/>
    </row>
    <row r="85075" ht="15.75" customHeight="1">
      <c r="A85075" s="7"/>
      <c r="B85075" s="7"/>
    </row>
    <row r="85076" ht="15.75" customHeight="1">
      <c r="A85076" s="7"/>
      <c r="B85076" s="7"/>
    </row>
    <row r="85077" ht="15.75" customHeight="1">
      <c r="A85077" s="7"/>
      <c r="B85077" s="7"/>
    </row>
    <row r="85078" ht="15.75" customHeight="1">
      <c r="A85078" s="7"/>
      <c r="B85078" s="7"/>
    </row>
    <row r="85079" ht="15.75" customHeight="1">
      <c r="A85079" s="7"/>
      <c r="B85079" s="7"/>
    </row>
    <row r="85080" ht="15.75" customHeight="1">
      <c r="A85080" s="7"/>
      <c r="B85080" s="7"/>
    </row>
    <row r="85081" ht="15.75" customHeight="1">
      <c r="A85081" s="7"/>
      <c r="B85081" s="7"/>
    </row>
    <row r="85082" ht="15.75" customHeight="1">
      <c r="A85082" s="7"/>
      <c r="B85082" s="7"/>
    </row>
    <row r="85083" ht="15.75" customHeight="1">
      <c r="A85083" s="7"/>
      <c r="B85083" s="7"/>
    </row>
    <row r="85084" ht="15.75" customHeight="1">
      <c r="A85084" s="7"/>
      <c r="B85084" s="7"/>
    </row>
    <row r="85085" ht="15.75" customHeight="1">
      <c r="A85085" s="7"/>
      <c r="B85085" s="7"/>
    </row>
    <row r="85086" ht="15.75" customHeight="1">
      <c r="A85086" s="7"/>
      <c r="B85086" s="7"/>
    </row>
    <row r="85087" ht="15.75" customHeight="1">
      <c r="A85087" s="7"/>
      <c r="B85087" s="7"/>
    </row>
    <row r="85088" ht="15.75" customHeight="1">
      <c r="A85088" s="7"/>
      <c r="B85088" s="7"/>
    </row>
    <row r="85089" ht="15.75" customHeight="1">
      <c r="A85089" s="7"/>
      <c r="B85089" s="7"/>
    </row>
    <row r="85090" ht="15.75" customHeight="1">
      <c r="A85090" s="7"/>
      <c r="B85090" s="7"/>
    </row>
    <row r="85091" ht="15.75" customHeight="1">
      <c r="A85091" s="7"/>
      <c r="B85091" s="7"/>
    </row>
    <row r="85092" ht="15.75" customHeight="1">
      <c r="A85092" s="7"/>
      <c r="B85092" s="7"/>
    </row>
    <row r="85093" ht="15.75" customHeight="1">
      <c r="A85093" s="7"/>
      <c r="B85093" s="7"/>
    </row>
    <row r="85094" ht="15.75" customHeight="1">
      <c r="A85094" s="7"/>
      <c r="B85094" s="7"/>
    </row>
    <row r="85095" ht="15.75" customHeight="1">
      <c r="A85095" s="7"/>
      <c r="B85095" s="7"/>
    </row>
    <row r="85096" ht="15.75" customHeight="1">
      <c r="A85096" s="7"/>
      <c r="B85096" s="7"/>
    </row>
    <row r="85097" ht="15.75" customHeight="1">
      <c r="A85097" s="7"/>
      <c r="B85097" s="7"/>
    </row>
    <row r="85098" ht="15.75" customHeight="1">
      <c r="A85098" s="7"/>
      <c r="B85098" s="7"/>
    </row>
    <row r="85099" ht="15.75" customHeight="1">
      <c r="A85099" s="7"/>
      <c r="B85099" s="7"/>
    </row>
    <row r="85100" ht="15.75" customHeight="1">
      <c r="A85100" s="7"/>
      <c r="B85100" s="7"/>
    </row>
    <row r="85101" ht="15.75" customHeight="1">
      <c r="A85101" s="7"/>
      <c r="B85101" s="7"/>
    </row>
    <row r="85102" ht="15.75" customHeight="1">
      <c r="A85102" s="7"/>
      <c r="B85102" s="7"/>
    </row>
    <row r="85103" ht="15.75" customHeight="1">
      <c r="A85103" s="7"/>
      <c r="B85103" s="7"/>
    </row>
    <row r="85104" ht="15.75" customHeight="1">
      <c r="A85104" s="7"/>
      <c r="B85104" s="7"/>
    </row>
    <row r="85105" ht="15.75" customHeight="1">
      <c r="A85105" s="7"/>
      <c r="B85105" s="7"/>
    </row>
    <row r="85106" ht="15.75" customHeight="1">
      <c r="A85106" s="7"/>
      <c r="B85106" s="7"/>
    </row>
    <row r="85107" ht="15.75" customHeight="1">
      <c r="A85107" s="7"/>
      <c r="B85107" s="7"/>
    </row>
    <row r="85108" ht="15.75" customHeight="1">
      <c r="A85108" s="7"/>
      <c r="B85108" s="7"/>
    </row>
    <row r="85109" ht="15.75" customHeight="1">
      <c r="A85109" s="7"/>
      <c r="B85109" s="7"/>
    </row>
    <row r="85110" ht="15.75" customHeight="1">
      <c r="A85110" s="7"/>
      <c r="B85110" s="7"/>
    </row>
    <row r="85111" ht="15.75" customHeight="1">
      <c r="A85111" s="7"/>
      <c r="B85111" s="7"/>
    </row>
    <row r="85112" ht="15.75" customHeight="1">
      <c r="A85112" s="7"/>
      <c r="B85112" s="7"/>
    </row>
    <row r="85113" ht="15.75" customHeight="1">
      <c r="A85113" s="7"/>
      <c r="B85113" s="7"/>
    </row>
    <row r="85114" ht="15.75" customHeight="1">
      <c r="A85114" s="7"/>
      <c r="B85114" s="7"/>
    </row>
    <row r="85115" ht="15.75" customHeight="1">
      <c r="A85115" s="7"/>
      <c r="B85115" s="7"/>
    </row>
    <row r="85116" ht="15.75" customHeight="1">
      <c r="A85116" s="7"/>
      <c r="B85116" s="7"/>
    </row>
    <row r="85117" ht="15.75" customHeight="1">
      <c r="A85117" s="7"/>
      <c r="B85117" s="7"/>
    </row>
    <row r="85118" ht="15.75" customHeight="1">
      <c r="A85118" s="7"/>
      <c r="B85118" s="7"/>
    </row>
    <row r="85119" ht="15.75" customHeight="1">
      <c r="A85119" s="7"/>
      <c r="B85119" s="7"/>
    </row>
    <row r="85120" ht="15.75" customHeight="1">
      <c r="A85120" s="7"/>
      <c r="B85120" s="7"/>
    </row>
    <row r="85121" ht="15.75" customHeight="1">
      <c r="A85121" s="7"/>
      <c r="B85121" s="7"/>
    </row>
    <row r="85122" ht="15.75" customHeight="1">
      <c r="A85122" s="7"/>
      <c r="B85122" s="7"/>
    </row>
    <row r="85123" ht="15.75" customHeight="1">
      <c r="A85123" s="7"/>
      <c r="B85123" s="7"/>
    </row>
    <row r="85124" ht="15.75" customHeight="1">
      <c r="A85124" s="7"/>
      <c r="B85124" s="7"/>
    </row>
    <row r="85125" ht="15.75" customHeight="1">
      <c r="A85125" s="7"/>
      <c r="B85125" s="7"/>
    </row>
    <row r="85126" ht="15.75" customHeight="1">
      <c r="A85126" s="7"/>
      <c r="B85126" s="7"/>
    </row>
    <row r="85127" ht="15.75" customHeight="1">
      <c r="A85127" s="7"/>
      <c r="B85127" s="7"/>
    </row>
    <row r="85128" ht="15.75" customHeight="1">
      <c r="A85128" s="7"/>
      <c r="B85128" s="7"/>
    </row>
    <row r="85129" ht="15.75" customHeight="1">
      <c r="A85129" s="7"/>
      <c r="B85129" s="7"/>
    </row>
    <row r="85130" ht="15.75" customHeight="1">
      <c r="A85130" s="7"/>
      <c r="B85130" s="7"/>
    </row>
    <row r="85131" ht="15.75" customHeight="1">
      <c r="A85131" s="7"/>
      <c r="B85131" s="7"/>
    </row>
    <row r="85132" ht="15.75" customHeight="1">
      <c r="A85132" s="7"/>
      <c r="B85132" s="7"/>
    </row>
    <row r="85133" ht="15.75" customHeight="1">
      <c r="A85133" s="7"/>
      <c r="B85133" s="7"/>
    </row>
    <row r="85134" ht="15.75" customHeight="1">
      <c r="A85134" s="7"/>
      <c r="B85134" s="7"/>
    </row>
    <row r="85135" ht="15.75" customHeight="1">
      <c r="A85135" s="7"/>
      <c r="B85135" s="7"/>
    </row>
    <row r="85136" ht="15.75" customHeight="1">
      <c r="A85136" s="7"/>
      <c r="B85136" s="7"/>
    </row>
    <row r="85137" ht="15.75" customHeight="1">
      <c r="A85137" s="7"/>
      <c r="B85137" s="7"/>
    </row>
    <row r="85138" ht="15.75" customHeight="1">
      <c r="A85138" s="7"/>
      <c r="B85138" s="7"/>
    </row>
    <row r="85139" ht="15.75" customHeight="1">
      <c r="A85139" s="7"/>
      <c r="B85139" s="7"/>
    </row>
    <row r="85140" ht="15.75" customHeight="1">
      <c r="A85140" s="7"/>
      <c r="B85140" s="7"/>
    </row>
    <row r="85141" ht="15.75" customHeight="1">
      <c r="A85141" s="7"/>
      <c r="B85141" s="7"/>
    </row>
    <row r="85142" ht="15.75" customHeight="1">
      <c r="A85142" s="7"/>
      <c r="B85142" s="7"/>
    </row>
    <row r="85143" ht="15.75" customHeight="1">
      <c r="A85143" s="7"/>
      <c r="B85143" s="7"/>
    </row>
    <row r="85144" ht="15.75" customHeight="1">
      <c r="A85144" s="7"/>
      <c r="B85144" s="7"/>
    </row>
    <row r="85145" ht="15.75" customHeight="1">
      <c r="A85145" s="7"/>
      <c r="B85145" s="7"/>
    </row>
    <row r="85146" ht="15.75" customHeight="1">
      <c r="A85146" s="7"/>
      <c r="B85146" s="7"/>
    </row>
    <row r="85147" ht="15.75" customHeight="1">
      <c r="A85147" s="7"/>
      <c r="B85147" s="7"/>
    </row>
    <row r="85148" ht="15.75" customHeight="1">
      <c r="A85148" s="7"/>
      <c r="B85148" s="7"/>
    </row>
    <row r="85149" ht="15.75" customHeight="1">
      <c r="A85149" s="7"/>
      <c r="B85149" s="7"/>
    </row>
    <row r="85150" ht="15.75" customHeight="1">
      <c r="A85150" s="7"/>
      <c r="B85150" s="7"/>
    </row>
    <row r="85151" ht="15.75" customHeight="1">
      <c r="A85151" s="7"/>
      <c r="B85151" s="7"/>
    </row>
    <row r="85152" ht="15.75" customHeight="1">
      <c r="A85152" s="7"/>
      <c r="B85152" s="7"/>
    </row>
    <row r="85153" ht="15.75" customHeight="1">
      <c r="A85153" s="7"/>
      <c r="B85153" s="7"/>
    </row>
    <row r="85154" ht="15.75" customHeight="1">
      <c r="A85154" s="7"/>
      <c r="B85154" s="7"/>
    </row>
    <row r="85155" ht="15.75" customHeight="1">
      <c r="A85155" s="7"/>
      <c r="B85155" s="7"/>
    </row>
    <row r="85156" ht="15.75" customHeight="1">
      <c r="A85156" s="7"/>
      <c r="B85156" s="7"/>
    </row>
    <row r="85157" ht="15.75" customHeight="1">
      <c r="A85157" s="7"/>
      <c r="B85157" s="7"/>
    </row>
    <row r="85158" ht="15.75" customHeight="1">
      <c r="A85158" s="7"/>
      <c r="B85158" s="7"/>
    </row>
    <row r="85159" ht="15.75" customHeight="1">
      <c r="A85159" s="7"/>
      <c r="B85159" s="7"/>
    </row>
    <row r="85160" ht="15.75" customHeight="1">
      <c r="A85160" s="7"/>
      <c r="B85160" s="7"/>
    </row>
    <row r="85161" ht="15.75" customHeight="1">
      <c r="A85161" s="7"/>
      <c r="B85161" s="7"/>
    </row>
    <row r="85162" ht="15.75" customHeight="1">
      <c r="A85162" s="7"/>
      <c r="B85162" s="7"/>
    </row>
    <row r="85163" ht="15.75" customHeight="1">
      <c r="A85163" s="7"/>
      <c r="B85163" s="7"/>
    </row>
    <row r="85164" ht="15.75" customHeight="1">
      <c r="A85164" s="7"/>
      <c r="B85164" s="7"/>
    </row>
    <row r="85165" ht="15.75" customHeight="1">
      <c r="A85165" s="7"/>
      <c r="B85165" s="7"/>
    </row>
    <row r="85166" ht="15.75" customHeight="1">
      <c r="A85166" s="7"/>
      <c r="B85166" s="7"/>
    </row>
    <row r="85167" ht="15.75" customHeight="1">
      <c r="A85167" s="7"/>
      <c r="B85167" s="7"/>
    </row>
    <row r="85168" ht="15.75" customHeight="1">
      <c r="A85168" s="7"/>
      <c r="B85168" s="7"/>
    </row>
    <row r="85169" ht="15.75" customHeight="1">
      <c r="A85169" s="7"/>
      <c r="B85169" s="7"/>
    </row>
    <row r="85170" ht="15.75" customHeight="1">
      <c r="A85170" s="7"/>
      <c r="B85170" s="7"/>
    </row>
    <row r="85171" ht="15.75" customHeight="1">
      <c r="A85171" s="7"/>
      <c r="B85171" s="7"/>
    </row>
    <row r="85172" ht="15.75" customHeight="1">
      <c r="A85172" s="7"/>
      <c r="B85172" s="7"/>
    </row>
    <row r="85173" ht="15.75" customHeight="1">
      <c r="A85173" s="7"/>
      <c r="B85173" s="7"/>
    </row>
    <row r="85174" ht="15.75" customHeight="1">
      <c r="A85174" s="7"/>
      <c r="B85174" s="7"/>
    </row>
    <row r="85175" ht="15.75" customHeight="1">
      <c r="A85175" s="7"/>
      <c r="B85175" s="7"/>
    </row>
    <row r="85176" ht="15.75" customHeight="1">
      <c r="A85176" s="7"/>
      <c r="B85176" s="7"/>
    </row>
    <row r="85177" ht="15.75" customHeight="1">
      <c r="A85177" s="7"/>
      <c r="B85177" s="7"/>
    </row>
    <row r="85178" ht="15.75" customHeight="1">
      <c r="A85178" s="7"/>
      <c r="B85178" s="7"/>
    </row>
    <row r="85179" ht="15.75" customHeight="1">
      <c r="A85179" s="7"/>
      <c r="B85179" s="7"/>
    </row>
    <row r="85180" ht="15.75" customHeight="1">
      <c r="A85180" s="7"/>
      <c r="B85180" s="7"/>
    </row>
    <row r="85181" ht="15.75" customHeight="1">
      <c r="A85181" s="7"/>
      <c r="B85181" s="7"/>
    </row>
    <row r="85182" ht="15.75" customHeight="1">
      <c r="A85182" s="7"/>
      <c r="B85182" s="7"/>
    </row>
    <row r="85183" ht="15.75" customHeight="1">
      <c r="A85183" s="7"/>
      <c r="B85183" s="7"/>
    </row>
    <row r="85184" ht="15.75" customHeight="1">
      <c r="A85184" s="7"/>
      <c r="B85184" s="7"/>
    </row>
    <row r="85185" ht="15.75" customHeight="1">
      <c r="A85185" s="7"/>
      <c r="B85185" s="7"/>
    </row>
    <row r="85186" ht="15.75" customHeight="1">
      <c r="A85186" s="7"/>
      <c r="B85186" s="7"/>
    </row>
    <row r="85187" ht="15.75" customHeight="1">
      <c r="A85187" s="7"/>
      <c r="B85187" s="7"/>
    </row>
    <row r="85188" ht="15.75" customHeight="1">
      <c r="A85188" s="7"/>
      <c r="B85188" s="7"/>
    </row>
    <row r="85189" ht="15.75" customHeight="1">
      <c r="A85189" s="7"/>
      <c r="B85189" s="7"/>
    </row>
    <row r="85190" ht="15.75" customHeight="1">
      <c r="A85190" s="7"/>
      <c r="B85190" s="7"/>
    </row>
    <row r="85191" ht="15.75" customHeight="1">
      <c r="A85191" s="7"/>
      <c r="B85191" s="7"/>
    </row>
    <row r="85192" ht="15.75" customHeight="1">
      <c r="A85192" s="7"/>
      <c r="B85192" s="7"/>
    </row>
    <row r="85193" ht="15.75" customHeight="1">
      <c r="A85193" s="7"/>
      <c r="B85193" s="7"/>
    </row>
    <row r="85194" ht="15.75" customHeight="1">
      <c r="A85194" s="7"/>
      <c r="B85194" s="7"/>
    </row>
    <row r="85195" ht="15.75" customHeight="1">
      <c r="A85195" s="7"/>
      <c r="B85195" s="7"/>
    </row>
    <row r="85196" ht="15.75" customHeight="1">
      <c r="A85196" s="7"/>
      <c r="B85196" s="7"/>
    </row>
    <row r="85197" ht="15.75" customHeight="1">
      <c r="A85197" s="7"/>
      <c r="B85197" s="7"/>
    </row>
    <row r="85198" ht="15.75" customHeight="1">
      <c r="A85198" s="7"/>
      <c r="B85198" s="7"/>
    </row>
    <row r="85199" ht="15.75" customHeight="1">
      <c r="A85199" s="7"/>
      <c r="B85199" s="7"/>
    </row>
    <row r="85200" ht="15.75" customHeight="1">
      <c r="A85200" s="7"/>
      <c r="B85200" s="7"/>
    </row>
    <row r="85201" ht="15.75" customHeight="1">
      <c r="A85201" s="7"/>
      <c r="B85201" s="7"/>
    </row>
    <row r="85202" ht="15.75" customHeight="1">
      <c r="A85202" s="7"/>
      <c r="B85202" s="7"/>
    </row>
    <row r="85203" ht="15.75" customHeight="1">
      <c r="A85203" s="7"/>
      <c r="B85203" s="7"/>
    </row>
    <row r="85204" ht="15.75" customHeight="1">
      <c r="A85204" s="7"/>
      <c r="B85204" s="7"/>
    </row>
    <row r="85205" ht="15.75" customHeight="1">
      <c r="A85205" s="7"/>
      <c r="B85205" s="7"/>
    </row>
    <row r="85206" ht="15.75" customHeight="1">
      <c r="A85206" s="7"/>
      <c r="B85206" s="7"/>
    </row>
    <row r="85207" ht="15.75" customHeight="1">
      <c r="A85207" s="7"/>
      <c r="B85207" s="7"/>
    </row>
    <row r="85208" ht="15.75" customHeight="1">
      <c r="A85208" s="7"/>
      <c r="B85208" s="7"/>
    </row>
    <row r="85209" ht="15.75" customHeight="1">
      <c r="A85209" s="7"/>
      <c r="B85209" s="7"/>
    </row>
    <row r="85210" ht="15.75" customHeight="1">
      <c r="A85210" s="7"/>
      <c r="B85210" s="7"/>
    </row>
    <row r="85211" ht="15.75" customHeight="1">
      <c r="A85211" s="7"/>
      <c r="B85211" s="7"/>
    </row>
    <row r="85212" ht="15.75" customHeight="1">
      <c r="A85212" s="7"/>
      <c r="B85212" s="7"/>
    </row>
    <row r="85213" ht="15.75" customHeight="1">
      <c r="A85213" s="7"/>
      <c r="B85213" s="7"/>
    </row>
    <row r="85214" ht="15.75" customHeight="1">
      <c r="A85214" s="7"/>
      <c r="B85214" s="7"/>
    </row>
    <row r="85215" ht="15.75" customHeight="1">
      <c r="A85215" s="7"/>
      <c r="B85215" s="7"/>
    </row>
    <row r="85216" ht="15.75" customHeight="1">
      <c r="A85216" s="7"/>
      <c r="B85216" s="7"/>
    </row>
    <row r="85217" ht="15.75" customHeight="1">
      <c r="A85217" s="7"/>
      <c r="B85217" s="7"/>
    </row>
    <row r="85218" ht="15.75" customHeight="1">
      <c r="A85218" s="7"/>
      <c r="B85218" s="7"/>
    </row>
    <row r="85219" ht="15.75" customHeight="1">
      <c r="A85219" s="7"/>
      <c r="B85219" s="7"/>
    </row>
    <row r="85220" ht="15.75" customHeight="1">
      <c r="A85220" s="7"/>
      <c r="B85220" s="7"/>
    </row>
    <row r="85221" ht="15.75" customHeight="1">
      <c r="A85221" s="7"/>
      <c r="B85221" s="7"/>
    </row>
    <row r="85222" ht="15.75" customHeight="1">
      <c r="A85222" s="7"/>
      <c r="B85222" s="7"/>
    </row>
    <row r="85223" ht="15.75" customHeight="1">
      <c r="A85223" s="7"/>
      <c r="B85223" s="7"/>
    </row>
    <row r="85224" ht="15.75" customHeight="1">
      <c r="A85224" s="7"/>
      <c r="B85224" s="7"/>
    </row>
    <row r="85225" ht="15.75" customHeight="1">
      <c r="A85225" s="7"/>
      <c r="B85225" s="7"/>
    </row>
    <row r="85226" ht="15.75" customHeight="1">
      <c r="A85226" s="7"/>
      <c r="B85226" s="7"/>
    </row>
    <row r="85227" ht="15.75" customHeight="1">
      <c r="A85227" s="7"/>
      <c r="B85227" s="7"/>
    </row>
    <row r="85228" ht="15.75" customHeight="1">
      <c r="A85228" s="7"/>
      <c r="B85228" s="7"/>
    </row>
    <row r="85229" ht="15.75" customHeight="1">
      <c r="A85229" s="7"/>
      <c r="B85229" s="7"/>
    </row>
    <row r="85230" ht="15.75" customHeight="1">
      <c r="A85230" s="7"/>
      <c r="B85230" s="7"/>
    </row>
    <row r="85231" ht="15.75" customHeight="1">
      <c r="A85231" s="7"/>
      <c r="B85231" s="7"/>
    </row>
    <row r="85232" ht="15.75" customHeight="1">
      <c r="A85232" s="7"/>
      <c r="B85232" s="7"/>
    </row>
    <row r="85233" ht="15.75" customHeight="1">
      <c r="A85233" s="7"/>
      <c r="B85233" s="7"/>
    </row>
    <row r="85234" ht="15.75" customHeight="1">
      <c r="A85234" s="7"/>
      <c r="B85234" s="7"/>
    </row>
    <row r="85235" ht="15.75" customHeight="1">
      <c r="A85235" s="7"/>
      <c r="B85235" s="7"/>
    </row>
    <row r="85236" ht="15.75" customHeight="1">
      <c r="A85236" s="7"/>
      <c r="B85236" s="7"/>
    </row>
    <row r="85237" ht="15.75" customHeight="1">
      <c r="A85237" s="7"/>
      <c r="B85237" s="7"/>
    </row>
    <row r="85238" ht="15.75" customHeight="1">
      <c r="A85238" s="7"/>
      <c r="B85238" s="7"/>
    </row>
    <row r="85239" ht="15.75" customHeight="1">
      <c r="A85239" s="7"/>
      <c r="B85239" s="7"/>
    </row>
    <row r="85240" ht="15.75" customHeight="1">
      <c r="A85240" s="7"/>
      <c r="B85240" s="7"/>
    </row>
    <row r="85241" ht="15.75" customHeight="1">
      <c r="A85241" s="7"/>
      <c r="B85241" s="7"/>
    </row>
    <row r="85242" ht="15.75" customHeight="1">
      <c r="A85242" s="7"/>
      <c r="B85242" s="7"/>
    </row>
    <row r="85243" ht="15.75" customHeight="1">
      <c r="A85243" s="7"/>
      <c r="B85243" s="7"/>
    </row>
    <row r="85244" ht="15.75" customHeight="1">
      <c r="A85244" s="7"/>
      <c r="B85244" s="7"/>
    </row>
    <row r="85245" ht="15.75" customHeight="1">
      <c r="A85245" s="7"/>
      <c r="B85245" s="7"/>
    </row>
    <row r="85246" ht="15.75" customHeight="1">
      <c r="A85246" s="7"/>
      <c r="B85246" s="7"/>
    </row>
    <row r="85247" ht="15.75" customHeight="1">
      <c r="A85247" s="7"/>
      <c r="B85247" s="7"/>
    </row>
    <row r="85248" ht="15.75" customHeight="1">
      <c r="A85248" s="7"/>
      <c r="B85248" s="7"/>
    </row>
    <row r="85249" ht="15.75" customHeight="1">
      <c r="A85249" s="7"/>
      <c r="B85249" s="7"/>
    </row>
    <row r="85250" ht="15.75" customHeight="1">
      <c r="A85250" s="7"/>
      <c r="B85250" s="7"/>
    </row>
    <row r="85251" ht="15.75" customHeight="1">
      <c r="A85251" s="7"/>
      <c r="B85251" s="7"/>
    </row>
    <row r="85252" ht="15.75" customHeight="1">
      <c r="A85252" s="7"/>
      <c r="B85252" s="7"/>
    </row>
    <row r="85253" ht="15.75" customHeight="1">
      <c r="A85253" s="7"/>
      <c r="B85253" s="7"/>
    </row>
    <row r="85254" ht="15.75" customHeight="1">
      <c r="A85254" s="7"/>
      <c r="B85254" s="7"/>
    </row>
    <row r="85255" ht="15.75" customHeight="1">
      <c r="A85255" s="7"/>
      <c r="B85255" s="7"/>
    </row>
    <row r="85256" ht="15.75" customHeight="1">
      <c r="A85256" s="7"/>
      <c r="B85256" s="7"/>
    </row>
    <row r="85257" ht="15.75" customHeight="1">
      <c r="A85257" s="7"/>
      <c r="B85257" s="7"/>
    </row>
    <row r="85258" ht="15.75" customHeight="1">
      <c r="A85258" s="7"/>
      <c r="B85258" s="7"/>
    </row>
    <row r="85259" ht="15.75" customHeight="1">
      <c r="A85259" s="7"/>
      <c r="B85259" s="7"/>
    </row>
    <row r="85260" ht="15.75" customHeight="1">
      <c r="A85260" s="7"/>
      <c r="B85260" s="7"/>
    </row>
    <row r="85261" ht="15.75" customHeight="1">
      <c r="A85261" s="7"/>
      <c r="B85261" s="7"/>
    </row>
    <row r="85262" ht="15.75" customHeight="1">
      <c r="A85262" s="7"/>
      <c r="B85262" s="7"/>
    </row>
    <row r="85263" ht="15.75" customHeight="1">
      <c r="A85263" s="7"/>
      <c r="B85263" s="7"/>
    </row>
    <row r="85264" ht="15.75" customHeight="1">
      <c r="A85264" s="7"/>
      <c r="B85264" s="7"/>
    </row>
    <row r="85265" ht="15.75" customHeight="1">
      <c r="A85265" s="7"/>
      <c r="B85265" s="7"/>
    </row>
    <row r="85266" ht="15.75" customHeight="1">
      <c r="A85266" s="7"/>
      <c r="B85266" s="7"/>
    </row>
    <row r="85267" ht="15.75" customHeight="1">
      <c r="A85267" s="7"/>
      <c r="B85267" s="7"/>
    </row>
    <row r="85268" ht="15.75" customHeight="1">
      <c r="A85268" s="7"/>
      <c r="B85268" s="7"/>
    </row>
    <row r="85269" ht="15.75" customHeight="1">
      <c r="A85269" s="7"/>
      <c r="B85269" s="7"/>
    </row>
    <row r="85270" ht="15.75" customHeight="1">
      <c r="A85270" s="7"/>
      <c r="B85270" s="7"/>
    </row>
    <row r="85271" ht="15.75" customHeight="1">
      <c r="A85271" s="7"/>
      <c r="B85271" s="7"/>
    </row>
    <row r="85272" ht="15.75" customHeight="1">
      <c r="A85272" s="7"/>
      <c r="B85272" s="7"/>
    </row>
    <row r="85273" ht="15.75" customHeight="1">
      <c r="A85273" s="7"/>
      <c r="B85273" s="7"/>
    </row>
    <row r="85274" ht="15.75" customHeight="1">
      <c r="A85274" s="7"/>
      <c r="B85274" s="7"/>
    </row>
    <row r="85275" ht="15.75" customHeight="1">
      <c r="A85275" s="7"/>
      <c r="B85275" s="7"/>
    </row>
    <row r="85276" ht="15.75" customHeight="1">
      <c r="A85276" s="7"/>
      <c r="B85276" s="7"/>
    </row>
    <row r="85277" ht="15.75" customHeight="1">
      <c r="A85277" s="7"/>
      <c r="B85277" s="7"/>
    </row>
    <row r="85278" ht="15.75" customHeight="1">
      <c r="A85278" s="7"/>
      <c r="B85278" s="7"/>
    </row>
    <row r="85279" ht="15.75" customHeight="1">
      <c r="A85279" s="7"/>
      <c r="B85279" s="7"/>
    </row>
    <row r="85280" ht="15.75" customHeight="1">
      <c r="A85280" s="7"/>
      <c r="B85280" s="7"/>
    </row>
    <row r="85281" ht="15.75" customHeight="1">
      <c r="A85281" s="7"/>
      <c r="B85281" s="7"/>
    </row>
    <row r="85282" ht="15.75" customHeight="1">
      <c r="A85282" s="7"/>
      <c r="B85282" s="7"/>
    </row>
    <row r="85283" ht="15.75" customHeight="1">
      <c r="A85283" s="7"/>
      <c r="B85283" s="7"/>
    </row>
    <row r="85284" ht="15.75" customHeight="1">
      <c r="A85284" s="7"/>
      <c r="B85284" s="7"/>
    </row>
    <row r="85285" ht="15.75" customHeight="1">
      <c r="A85285" s="7"/>
      <c r="B85285" s="7"/>
    </row>
    <row r="85286" ht="15.75" customHeight="1">
      <c r="A85286" s="7"/>
      <c r="B85286" s="7"/>
    </row>
    <row r="85287" ht="15.75" customHeight="1">
      <c r="A85287" s="7"/>
      <c r="B85287" s="7"/>
    </row>
    <row r="85288" ht="15.75" customHeight="1">
      <c r="A85288" s="7"/>
      <c r="B85288" s="7"/>
    </row>
    <row r="85289" ht="15.75" customHeight="1">
      <c r="A85289" s="7"/>
      <c r="B85289" s="7"/>
    </row>
    <row r="85290" ht="15.75" customHeight="1">
      <c r="A85290" s="7"/>
      <c r="B85290" s="7"/>
    </row>
    <row r="85291" ht="15.75" customHeight="1">
      <c r="A85291" s="7"/>
      <c r="B85291" s="7"/>
    </row>
    <row r="85292" ht="15.75" customHeight="1">
      <c r="A85292" s="7"/>
      <c r="B85292" s="7"/>
    </row>
    <row r="85293" ht="15.75" customHeight="1">
      <c r="A85293" s="7"/>
      <c r="B85293" s="7"/>
    </row>
    <row r="85294" ht="15.75" customHeight="1">
      <c r="A85294" s="7"/>
      <c r="B85294" s="7"/>
    </row>
    <row r="85295" ht="15.75" customHeight="1">
      <c r="A85295" s="7"/>
      <c r="B85295" s="7"/>
    </row>
    <row r="85296" ht="15.75" customHeight="1">
      <c r="A85296" s="7"/>
      <c r="B85296" s="7"/>
    </row>
    <row r="85297" ht="15.75" customHeight="1">
      <c r="A85297" s="7"/>
      <c r="B85297" s="7"/>
    </row>
    <row r="85298" ht="15.75" customHeight="1">
      <c r="A85298" s="7"/>
      <c r="B85298" s="7"/>
    </row>
    <row r="85299" ht="15.75" customHeight="1">
      <c r="A85299" s="7"/>
      <c r="B85299" s="7"/>
    </row>
    <row r="85300" ht="15.75" customHeight="1">
      <c r="A85300" s="7"/>
      <c r="B85300" s="7"/>
    </row>
    <row r="85301" ht="15.75" customHeight="1">
      <c r="A85301" s="7"/>
      <c r="B85301" s="7"/>
    </row>
    <row r="85302" ht="15.75" customHeight="1">
      <c r="A85302" s="7"/>
      <c r="B85302" s="7"/>
    </row>
    <row r="85303" ht="15.75" customHeight="1">
      <c r="A85303" s="7"/>
      <c r="B85303" s="7"/>
    </row>
    <row r="85304" ht="15.75" customHeight="1">
      <c r="A85304" s="7"/>
      <c r="B85304" s="7"/>
    </row>
    <row r="85305" ht="15.75" customHeight="1">
      <c r="A85305" s="7"/>
      <c r="B85305" s="7"/>
    </row>
    <row r="85306" ht="15.75" customHeight="1">
      <c r="A85306" s="7"/>
      <c r="B85306" s="7"/>
    </row>
    <row r="85307" ht="15.75" customHeight="1">
      <c r="A85307" s="7"/>
      <c r="B85307" s="7"/>
    </row>
    <row r="85308" ht="15.75" customHeight="1">
      <c r="A85308" s="7"/>
      <c r="B85308" s="7"/>
    </row>
    <row r="85309" ht="15.75" customHeight="1">
      <c r="A85309" s="7"/>
      <c r="B85309" s="7"/>
    </row>
    <row r="85310" ht="15.75" customHeight="1">
      <c r="A85310" s="7"/>
      <c r="B85310" s="7"/>
    </row>
    <row r="85311" ht="15.75" customHeight="1">
      <c r="A85311" s="7"/>
      <c r="B85311" s="7"/>
    </row>
    <row r="85312" ht="15.75" customHeight="1">
      <c r="A85312" s="7"/>
      <c r="B85312" s="7"/>
    </row>
    <row r="85313" ht="15.75" customHeight="1">
      <c r="A85313" s="7"/>
      <c r="B85313" s="7"/>
    </row>
    <row r="85314" ht="15.75" customHeight="1">
      <c r="A85314" s="7"/>
      <c r="B85314" s="7"/>
    </row>
    <row r="85315" ht="15.75" customHeight="1">
      <c r="A85315" s="7"/>
      <c r="B85315" s="7"/>
    </row>
    <row r="85316" ht="15.75" customHeight="1">
      <c r="A85316" s="7"/>
      <c r="B85316" s="7"/>
    </row>
    <row r="85317" ht="15.75" customHeight="1">
      <c r="A85317" s="7"/>
      <c r="B85317" s="7"/>
    </row>
    <row r="85318" ht="15.75" customHeight="1">
      <c r="A85318" s="7"/>
      <c r="B85318" s="7"/>
    </row>
    <row r="85319" ht="15.75" customHeight="1">
      <c r="A85319" s="7"/>
      <c r="B85319" s="7"/>
    </row>
    <row r="85320" ht="15.75" customHeight="1">
      <c r="A85320" s="7"/>
      <c r="B85320" s="7"/>
    </row>
    <row r="85321" ht="15.75" customHeight="1">
      <c r="A85321" s="7"/>
      <c r="B85321" s="7"/>
    </row>
    <row r="85322" ht="15.75" customHeight="1">
      <c r="A85322" s="7"/>
      <c r="B85322" s="7"/>
    </row>
    <row r="85323" ht="15.75" customHeight="1">
      <c r="A85323" s="7"/>
      <c r="B85323" s="7"/>
    </row>
    <row r="85324" ht="15.75" customHeight="1">
      <c r="A85324" s="7"/>
      <c r="B85324" s="7"/>
    </row>
    <row r="85325" ht="15.75" customHeight="1">
      <c r="A85325" s="7"/>
      <c r="B85325" s="7"/>
    </row>
    <row r="85326" ht="15.75" customHeight="1">
      <c r="A85326" s="7"/>
      <c r="B85326" s="7"/>
    </row>
    <row r="85327" ht="15.75" customHeight="1">
      <c r="A85327" s="7"/>
      <c r="B85327" s="7"/>
    </row>
    <row r="85328" ht="15.75" customHeight="1">
      <c r="A85328" s="7"/>
      <c r="B85328" s="7"/>
    </row>
    <row r="85329" ht="15.75" customHeight="1">
      <c r="A85329" s="7"/>
      <c r="B85329" s="7"/>
    </row>
    <row r="85330" ht="15.75" customHeight="1">
      <c r="A85330" s="7"/>
      <c r="B85330" s="7"/>
    </row>
    <row r="85331" ht="15.75" customHeight="1">
      <c r="A85331" s="7"/>
      <c r="B85331" s="7"/>
    </row>
    <row r="85332" ht="15.75" customHeight="1">
      <c r="A85332" s="7"/>
      <c r="B85332" s="7"/>
    </row>
    <row r="85333" ht="15.75" customHeight="1">
      <c r="A85333" s="7"/>
      <c r="B85333" s="7"/>
    </row>
    <row r="85334" ht="15.75" customHeight="1">
      <c r="A85334" s="7"/>
      <c r="B85334" s="7"/>
    </row>
    <row r="85335" ht="15.75" customHeight="1">
      <c r="A85335" s="7"/>
      <c r="B85335" s="7"/>
    </row>
    <row r="85336" ht="15.75" customHeight="1">
      <c r="A85336" s="7"/>
      <c r="B85336" s="7"/>
    </row>
    <row r="85337" ht="15.75" customHeight="1">
      <c r="A85337" s="7"/>
      <c r="B85337" s="7"/>
    </row>
    <row r="85338" ht="15.75" customHeight="1">
      <c r="A85338" s="7"/>
      <c r="B85338" s="7"/>
    </row>
    <row r="85339" ht="15.75" customHeight="1">
      <c r="A85339" s="7"/>
      <c r="B85339" s="7"/>
    </row>
    <row r="85340" ht="15.75" customHeight="1">
      <c r="A85340" s="7"/>
      <c r="B85340" s="7"/>
    </row>
    <row r="85341" ht="15.75" customHeight="1">
      <c r="A85341" s="7"/>
      <c r="B85341" s="7"/>
    </row>
    <row r="85342" ht="15.75" customHeight="1">
      <c r="A85342" s="7"/>
      <c r="B85342" s="7"/>
    </row>
    <row r="85343" ht="15.75" customHeight="1">
      <c r="A85343" s="7"/>
      <c r="B85343" s="7"/>
    </row>
    <row r="85344" ht="15.75" customHeight="1">
      <c r="A85344" s="7"/>
      <c r="B85344" s="7"/>
    </row>
    <row r="85345" ht="15.75" customHeight="1">
      <c r="A85345" s="7"/>
      <c r="B85345" s="7"/>
    </row>
    <row r="85346" ht="15.75" customHeight="1">
      <c r="A85346" s="7"/>
      <c r="B85346" s="7"/>
    </row>
    <row r="85347" ht="15.75" customHeight="1">
      <c r="A85347" s="7"/>
      <c r="B85347" s="7"/>
    </row>
    <row r="85348" ht="15.75" customHeight="1">
      <c r="A85348" s="7"/>
      <c r="B85348" s="7"/>
    </row>
    <row r="85349" ht="15.75" customHeight="1">
      <c r="A85349" s="7"/>
      <c r="B85349" s="7"/>
    </row>
    <row r="85350" ht="15.75" customHeight="1">
      <c r="A85350" s="7"/>
      <c r="B85350" s="7"/>
    </row>
    <row r="85351" ht="15.75" customHeight="1">
      <c r="A85351" s="7"/>
      <c r="B85351" s="7"/>
    </row>
    <row r="85352" ht="15.75" customHeight="1">
      <c r="A85352" s="7"/>
      <c r="B85352" s="7"/>
    </row>
    <row r="85353" ht="15.75" customHeight="1">
      <c r="A85353" s="7"/>
      <c r="B85353" s="7"/>
    </row>
    <row r="85354" ht="15.75" customHeight="1">
      <c r="A85354" s="7"/>
      <c r="B85354" s="7"/>
    </row>
    <row r="85355" ht="15.75" customHeight="1">
      <c r="A85355" s="7"/>
      <c r="B85355" s="7"/>
    </row>
    <row r="85356" ht="15.75" customHeight="1">
      <c r="A85356" s="7"/>
      <c r="B85356" s="7"/>
    </row>
    <row r="85357" ht="15.75" customHeight="1">
      <c r="A85357" s="7"/>
      <c r="B85357" s="7"/>
    </row>
    <row r="85358" ht="15.75" customHeight="1">
      <c r="A85358" s="7"/>
      <c r="B85358" s="7"/>
    </row>
    <row r="85359" ht="15.75" customHeight="1">
      <c r="A85359" s="7"/>
      <c r="B85359" s="7"/>
    </row>
    <row r="85360" ht="15.75" customHeight="1">
      <c r="A85360" s="7"/>
      <c r="B85360" s="7"/>
    </row>
    <row r="85361" ht="15.75" customHeight="1">
      <c r="A85361" s="7"/>
      <c r="B85361" s="7"/>
    </row>
    <row r="85362" ht="15.75" customHeight="1">
      <c r="A85362" s="7"/>
      <c r="B85362" s="7"/>
    </row>
    <row r="85363" ht="15.75" customHeight="1">
      <c r="A85363" s="7"/>
      <c r="B85363" s="7"/>
    </row>
    <row r="85364" ht="15.75" customHeight="1">
      <c r="A85364" s="7"/>
      <c r="B85364" s="7"/>
    </row>
    <row r="85365" ht="15.75" customHeight="1">
      <c r="A85365" s="7"/>
      <c r="B85365" s="7"/>
    </row>
    <row r="85366" ht="15.75" customHeight="1">
      <c r="A85366" s="7"/>
      <c r="B85366" s="7"/>
    </row>
    <row r="85367" ht="15.75" customHeight="1">
      <c r="A85367" s="7"/>
      <c r="B85367" s="7"/>
    </row>
    <row r="85368" ht="15.75" customHeight="1">
      <c r="A85368" s="7"/>
      <c r="B85368" s="7"/>
    </row>
    <row r="85369" ht="15.75" customHeight="1">
      <c r="A85369" s="7"/>
      <c r="B85369" s="7"/>
    </row>
    <row r="85370" ht="15.75" customHeight="1">
      <c r="A85370" s="7"/>
      <c r="B85370" s="7"/>
    </row>
    <row r="85371" ht="15.75" customHeight="1">
      <c r="A85371" s="7"/>
      <c r="B85371" s="7"/>
    </row>
    <row r="85372" ht="15.75" customHeight="1">
      <c r="A85372" s="7"/>
      <c r="B85372" s="7"/>
    </row>
    <row r="85373" ht="15.75" customHeight="1">
      <c r="A85373" s="7"/>
      <c r="B85373" s="7"/>
    </row>
    <row r="85374" ht="15.75" customHeight="1">
      <c r="A85374" s="7"/>
      <c r="B85374" s="7"/>
    </row>
    <row r="85375" ht="15.75" customHeight="1">
      <c r="A85375" s="7"/>
      <c r="B85375" s="7"/>
    </row>
    <row r="85376" ht="15.75" customHeight="1">
      <c r="A85376" s="7"/>
      <c r="B85376" s="7"/>
    </row>
    <row r="85377" ht="15.75" customHeight="1">
      <c r="A85377" s="7"/>
      <c r="B85377" s="7"/>
    </row>
    <row r="85378" ht="15.75" customHeight="1">
      <c r="A85378" s="7"/>
      <c r="B85378" s="7"/>
    </row>
    <row r="85379" ht="15.75" customHeight="1">
      <c r="A85379" s="7"/>
      <c r="B85379" s="7"/>
    </row>
    <row r="85380" ht="15.75" customHeight="1">
      <c r="A85380" s="7"/>
      <c r="B85380" s="7"/>
    </row>
    <row r="85381" ht="15.75" customHeight="1">
      <c r="A85381" s="7"/>
      <c r="B85381" s="7"/>
    </row>
    <row r="85382" ht="15.75" customHeight="1">
      <c r="A85382" s="7"/>
      <c r="B85382" s="7"/>
    </row>
    <row r="85383" ht="15.75" customHeight="1">
      <c r="A85383" s="7"/>
      <c r="B85383" s="7"/>
    </row>
    <row r="85384" ht="15.75" customHeight="1">
      <c r="A85384" s="7"/>
      <c r="B85384" s="7"/>
    </row>
    <row r="85385" ht="15.75" customHeight="1">
      <c r="A85385" s="7"/>
      <c r="B85385" s="7"/>
    </row>
    <row r="85386" ht="15.75" customHeight="1">
      <c r="A85386" s="7"/>
      <c r="B85386" s="7"/>
    </row>
    <row r="85387" ht="15.75" customHeight="1">
      <c r="A85387" s="7"/>
      <c r="B85387" s="7"/>
    </row>
    <row r="85388" ht="15.75" customHeight="1">
      <c r="A85388" s="7"/>
      <c r="B85388" s="7"/>
    </row>
    <row r="85389" ht="15.75" customHeight="1">
      <c r="A85389" s="7"/>
      <c r="B85389" s="7"/>
    </row>
    <row r="85390" ht="15.75" customHeight="1">
      <c r="A85390" s="7"/>
      <c r="B85390" s="7"/>
    </row>
    <row r="85391" ht="15.75" customHeight="1">
      <c r="A85391" s="7"/>
      <c r="B85391" s="7"/>
    </row>
    <row r="85392" ht="15.75" customHeight="1">
      <c r="A85392" s="7"/>
      <c r="B85392" s="7"/>
    </row>
    <row r="85393" ht="15.75" customHeight="1">
      <c r="A85393" s="7"/>
      <c r="B85393" s="7"/>
    </row>
    <row r="85394" ht="15.75" customHeight="1">
      <c r="A85394" s="7"/>
      <c r="B85394" s="7"/>
    </row>
    <row r="85395" ht="15.75" customHeight="1">
      <c r="A85395" s="7"/>
      <c r="B85395" s="7"/>
    </row>
    <row r="85396" ht="15.75" customHeight="1">
      <c r="A85396" s="7"/>
      <c r="B85396" s="7"/>
    </row>
    <row r="85397" ht="15.75" customHeight="1">
      <c r="A85397" s="7"/>
      <c r="B85397" s="7"/>
    </row>
    <row r="85398" ht="15.75" customHeight="1">
      <c r="A85398" s="7"/>
      <c r="B85398" s="7"/>
    </row>
    <row r="85399" ht="15.75" customHeight="1">
      <c r="A85399" s="7"/>
      <c r="B85399" s="7"/>
    </row>
    <row r="85400" ht="15.75" customHeight="1">
      <c r="A85400" s="7"/>
      <c r="B85400" s="7"/>
    </row>
    <row r="85401" ht="15.75" customHeight="1">
      <c r="A85401" s="7"/>
      <c r="B85401" s="7"/>
    </row>
    <row r="85402" ht="15.75" customHeight="1">
      <c r="A85402" s="7"/>
      <c r="B85402" s="7"/>
    </row>
    <row r="85403" ht="15.75" customHeight="1">
      <c r="A85403" s="7"/>
      <c r="B85403" s="7"/>
    </row>
    <row r="85404" ht="15.75" customHeight="1">
      <c r="A85404" s="7"/>
      <c r="B85404" s="7"/>
    </row>
    <row r="85405" ht="15.75" customHeight="1">
      <c r="A85405" s="7"/>
      <c r="B85405" s="7"/>
    </row>
    <row r="85406" ht="15.75" customHeight="1">
      <c r="A85406" s="7"/>
      <c r="B85406" s="7"/>
    </row>
    <row r="85407" ht="15.75" customHeight="1">
      <c r="A85407" s="7"/>
      <c r="B85407" s="7"/>
    </row>
    <row r="85408" ht="15.75" customHeight="1">
      <c r="A85408" s="7"/>
      <c r="B85408" s="7"/>
    </row>
    <row r="85409" ht="15.75" customHeight="1">
      <c r="A85409" s="7"/>
      <c r="B85409" s="7"/>
    </row>
    <row r="85410" ht="15.75" customHeight="1">
      <c r="A85410" s="7"/>
      <c r="B85410" s="7"/>
    </row>
    <row r="85411" ht="15.75" customHeight="1">
      <c r="A85411" s="7"/>
      <c r="B85411" s="7"/>
    </row>
    <row r="85412" ht="15.75" customHeight="1">
      <c r="A85412" s="7"/>
      <c r="B85412" s="7"/>
    </row>
    <row r="85413" ht="15.75" customHeight="1">
      <c r="A85413" s="7"/>
      <c r="B85413" s="7"/>
    </row>
    <row r="85414" ht="15.75" customHeight="1">
      <c r="A85414" s="7"/>
      <c r="B85414" s="7"/>
    </row>
    <row r="85415" ht="15.75" customHeight="1">
      <c r="A85415" s="7"/>
      <c r="B85415" s="7"/>
    </row>
    <row r="85416" ht="15.75" customHeight="1">
      <c r="A85416" s="7"/>
      <c r="B85416" s="7"/>
    </row>
    <row r="85417" ht="15.75" customHeight="1">
      <c r="A85417" s="7"/>
      <c r="B85417" s="7"/>
    </row>
    <row r="85418" ht="15.75" customHeight="1">
      <c r="A85418" s="7"/>
      <c r="B85418" s="7"/>
    </row>
    <row r="85419" ht="15.75" customHeight="1">
      <c r="A85419" s="7"/>
      <c r="B85419" s="7"/>
    </row>
    <row r="85420" ht="15.75" customHeight="1">
      <c r="A85420" s="7"/>
      <c r="B85420" s="7"/>
    </row>
    <row r="85421" ht="15.75" customHeight="1">
      <c r="A85421" s="7"/>
      <c r="B85421" s="7"/>
    </row>
    <row r="85422" ht="15.75" customHeight="1">
      <c r="A85422" s="7"/>
      <c r="B85422" s="7"/>
    </row>
    <row r="85423" ht="15.75" customHeight="1">
      <c r="A85423" s="7"/>
      <c r="B85423" s="7"/>
    </row>
    <row r="85424" ht="15.75" customHeight="1">
      <c r="A85424" s="7"/>
      <c r="B85424" s="7"/>
    </row>
    <row r="85425" ht="15.75" customHeight="1">
      <c r="A85425" s="7"/>
      <c r="B85425" s="7"/>
    </row>
    <row r="85426" ht="15.75" customHeight="1">
      <c r="A85426" s="7"/>
      <c r="B85426" s="7"/>
    </row>
    <row r="85427" ht="15.75" customHeight="1">
      <c r="A85427" s="7"/>
      <c r="B85427" s="7"/>
    </row>
    <row r="85428" ht="15.75" customHeight="1">
      <c r="A85428" s="7"/>
      <c r="B85428" s="7"/>
    </row>
    <row r="85429" ht="15.75" customHeight="1">
      <c r="A85429" s="7"/>
      <c r="B85429" s="7"/>
    </row>
    <row r="85430" ht="15.75" customHeight="1">
      <c r="A85430" s="7"/>
      <c r="B85430" s="7"/>
    </row>
    <row r="85431" ht="15.75" customHeight="1">
      <c r="A85431" s="7"/>
      <c r="B85431" s="7"/>
    </row>
    <row r="85432" ht="15.75" customHeight="1">
      <c r="A85432" s="7"/>
      <c r="B85432" s="7"/>
    </row>
    <row r="85433" ht="15.75" customHeight="1">
      <c r="A85433" s="7"/>
      <c r="B85433" s="7"/>
    </row>
    <row r="85434" ht="15.75" customHeight="1">
      <c r="A85434" s="7"/>
      <c r="B85434" s="7"/>
    </row>
    <row r="85435" ht="15.75" customHeight="1">
      <c r="A85435" s="7"/>
      <c r="B85435" s="7"/>
    </row>
    <row r="85436" ht="15.75" customHeight="1">
      <c r="A85436" s="7"/>
      <c r="B85436" s="7"/>
    </row>
    <row r="85437" ht="15.75" customHeight="1">
      <c r="A85437" s="7"/>
      <c r="B85437" s="7"/>
    </row>
    <row r="85438" ht="15.75" customHeight="1">
      <c r="A85438" s="7"/>
      <c r="B85438" s="7"/>
    </row>
    <row r="85439" ht="15.75" customHeight="1">
      <c r="A85439" s="7"/>
      <c r="B85439" s="7"/>
    </row>
    <row r="85440" ht="15.75" customHeight="1">
      <c r="A85440" s="7"/>
      <c r="B85440" s="7"/>
    </row>
    <row r="85441" ht="15.75" customHeight="1">
      <c r="A85441" s="7"/>
      <c r="B85441" s="7"/>
    </row>
    <row r="85442" ht="15.75" customHeight="1">
      <c r="A85442" s="7"/>
      <c r="B85442" s="7"/>
    </row>
    <row r="85443" ht="15.75" customHeight="1">
      <c r="A85443" s="7"/>
      <c r="B85443" s="7"/>
    </row>
    <row r="85444" ht="15.75" customHeight="1">
      <c r="A85444" s="7"/>
      <c r="B85444" s="7"/>
    </row>
    <row r="85445" ht="15.75" customHeight="1">
      <c r="A85445" s="7"/>
      <c r="B85445" s="7"/>
    </row>
    <row r="85446" ht="15.75" customHeight="1">
      <c r="A85446" s="7"/>
      <c r="B85446" s="7"/>
    </row>
    <row r="85447" ht="15.75" customHeight="1">
      <c r="A85447" s="7"/>
      <c r="B85447" s="7"/>
    </row>
    <row r="85448" ht="15.75" customHeight="1">
      <c r="A85448" s="7"/>
      <c r="B85448" s="7"/>
    </row>
    <row r="85449" ht="15.75" customHeight="1">
      <c r="A85449" s="7"/>
      <c r="B85449" s="7"/>
    </row>
    <row r="85450" ht="15.75" customHeight="1">
      <c r="A85450" s="7"/>
      <c r="B85450" s="7"/>
    </row>
    <row r="85451" ht="15.75" customHeight="1">
      <c r="A85451" s="7"/>
      <c r="B85451" s="7"/>
    </row>
    <row r="85452" ht="15.75" customHeight="1">
      <c r="A85452" s="7"/>
      <c r="B85452" s="7"/>
    </row>
    <row r="85453" ht="15.75" customHeight="1">
      <c r="A85453" s="7"/>
      <c r="B85453" s="7"/>
    </row>
    <row r="85454" ht="15.75" customHeight="1">
      <c r="A85454" s="7"/>
      <c r="B85454" s="7"/>
    </row>
    <row r="85455" ht="15.75" customHeight="1">
      <c r="A85455" s="7"/>
      <c r="B85455" s="7"/>
    </row>
    <row r="85456" ht="15.75" customHeight="1">
      <c r="A85456" s="7"/>
      <c r="B85456" s="7"/>
    </row>
    <row r="85457" ht="15.75" customHeight="1">
      <c r="A85457" s="7"/>
      <c r="B85457" s="7"/>
    </row>
    <row r="85458" ht="15.75" customHeight="1">
      <c r="A85458" s="7"/>
      <c r="B85458" s="7"/>
    </row>
    <row r="85459" ht="15.75" customHeight="1">
      <c r="A85459" s="7"/>
      <c r="B85459" s="7"/>
    </row>
    <row r="85460" ht="15.75" customHeight="1">
      <c r="A85460" s="7"/>
      <c r="B85460" s="7"/>
    </row>
    <row r="85461" ht="15.75" customHeight="1">
      <c r="A85461" s="7"/>
      <c r="B85461" s="7"/>
    </row>
    <row r="85462" ht="15.75" customHeight="1">
      <c r="A85462" s="7"/>
      <c r="B85462" s="7"/>
    </row>
    <row r="85463" ht="15.75" customHeight="1">
      <c r="A85463" s="7"/>
      <c r="B85463" s="7"/>
    </row>
    <row r="85464" ht="15.75" customHeight="1">
      <c r="A85464" s="7"/>
      <c r="B85464" s="7"/>
    </row>
    <row r="85465" ht="15.75" customHeight="1">
      <c r="A85465" s="7"/>
      <c r="B85465" s="7"/>
    </row>
    <row r="85466" ht="15.75" customHeight="1">
      <c r="A85466" s="7"/>
      <c r="B85466" s="7"/>
    </row>
    <row r="85467" ht="15.75" customHeight="1">
      <c r="A85467" s="7"/>
      <c r="B85467" s="7"/>
    </row>
    <row r="85468" ht="15.75" customHeight="1">
      <c r="A85468" s="7"/>
      <c r="B85468" s="7"/>
    </row>
    <row r="85469" ht="15.75" customHeight="1">
      <c r="A85469" s="7"/>
      <c r="B85469" s="7"/>
    </row>
    <row r="85470" ht="15.75" customHeight="1">
      <c r="A85470" s="7"/>
      <c r="B85470" s="7"/>
    </row>
    <row r="85471" ht="15.75" customHeight="1">
      <c r="A85471" s="7"/>
      <c r="B85471" s="7"/>
    </row>
    <row r="85472" ht="15.75" customHeight="1">
      <c r="A85472" s="7"/>
      <c r="B85472" s="7"/>
    </row>
    <row r="85473" ht="15.75" customHeight="1">
      <c r="A85473" s="7"/>
      <c r="B85473" s="7"/>
    </row>
    <row r="85474" ht="15.75" customHeight="1">
      <c r="A85474" s="7"/>
      <c r="B85474" s="7"/>
    </row>
    <row r="85475" ht="15.75" customHeight="1">
      <c r="A85475" s="7"/>
      <c r="B85475" s="7"/>
    </row>
    <row r="85476" ht="15.75" customHeight="1">
      <c r="A85476" s="7"/>
      <c r="B85476" s="7"/>
    </row>
    <row r="85477" ht="15.75" customHeight="1">
      <c r="A85477" s="7"/>
      <c r="B85477" s="7"/>
    </row>
    <row r="85478" ht="15.75" customHeight="1">
      <c r="A85478" s="7"/>
      <c r="B85478" s="7"/>
    </row>
    <row r="85479" ht="15.75" customHeight="1">
      <c r="A85479" s="7"/>
      <c r="B85479" s="7"/>
    </row>
    <row r="85480" ht="15.75" customHeight="1">
      <c r="A85480" s="7"/>
      <c r="B85480" s="7"/>
    </row>
    <row r="85481" ht="15.75" customHeight="1">
      <c r="A85481" s="7"/>
      <c r="B85481" s="7"/>
    </row>
    <row r="85482" ht="15.75" customHeight="1">
      <c r="A85482" s="7"/>
      <c r="B85482" s="7"/>
    </row>
    <row r="85483" ht="15.75" customHeight="1">
      <c r="A85483" s="7"/>
      <c r="B85483" s="7"/>
    </row>
    <row r="85484" ht="15.75" customHeight="1">
      <c r="A85484" s="7"/>
      <c r="B85484" s="7"/>
    </row>
    <row r="85485" ht="15.75" customHeight="1">
      <c r="A85485" s="7"/>
      <c r="B85485" s="7"/>
    </row>
    <row r="85486" ht="15.75" customHeight="1">
      <c r="A85486" s="7"/>
      <c r="B85486" s="7"/>
    </row>
    <row r="85487" ht="15.75" customHeight="1">
      <c r="A85487" s="7"/>
      <c r="B85487" s="7"/>
    </row>
    <row r="85488" ht="15.75" customHeight="1">
      <c r="A85488" s="7"/>
      <c r="B85488" s="7"/>
    </row>
    <row r="85489" ht="15.75" customHeight="1">
      <c r="A85489" s="7"/>
      <c r="B85489" s="7"/>
    </row>
    <row r="85490" ht="15.75" customHeight="1">
      <c r="A85490" s="7"/>
      <c r="B85490" s="7"/>
    </row>
    <row r="85491" ht="15.75" customHeight="1">
      <c r="A85491" s="7"/>
      <c r="B85491" s="7"/>
    </row>
    <row r="85492" ht="15.75" customHeight="1">
      <c r="A85492" s="7"/>
      <c r="B85492" s="7"/>
    </row>
    <row r="85493" ht="15.75" customHeight="1">
      <c r="A85493" s="7"/>
      <c r="B85493" s="7"/>
    </row>
    <row r="85494" ht="15.75" customHeight="1">
      <c r="A85494" s="7"/>
      <c r="B85494" s="7"/>
    </row>
    <row r="85495" ht="15.75" customHeight="1">
      <c r="A85495" s="7"/>
      <c r="B85495" s="7"/>
    </row>
    <row r="85496" ht="15.75" customHeight="1">
      <c r="A85496" s="7"/>
      <c r="B85496" s="7"/>
    </row>
    <row r="85497" ht="15.75" customHeight="1">
      <c r="A85497" s="7"/>
      <c r="B85497" s="7"/>
    </row>
    <row r="85498" ht="15.75" customHeight="1">
      <c r="A85498" s="7"/>
      <c r="B85498" s="7"/>
    </row>
    <row r="85499" ht="15.75" customHeight="1">
      <c r="A85499" s="7"/>
      <c r="B85499" s="7"/>
    </row>
    <row r="85500" ht="15.75" customHeight="1">
      <c r="A85500" s="7"/>
      <c r="B85500" s="7"/>
    </row>
    <row r="85501" ht="15.75" customHeight="1">
      <c r="A85501" s="7"/>
      <c r="B85501" s="7"/>
    </row>
    <row r="85502" ht="15.75" customHeight="1">
      <c r="A85502" s="7"/>
      <c r="B85502" s="7"/>
    </row>
    <row r="85503" ht="15.75" customHeight="1">
      <c r="A85503" s="7"/>
      <c r="B85503" s="7"/>
    </row>
    <row r="85504" ht="15.75" customHeight="1">
      <c r="A85504" s="7"/>
      <c r="B85504" s="7"/>
    </row>
    <row r="85505" ht="15.75" customHeight="1">
      <c r="A85505" s="7"/>
      <c r="B85505" s="7"/>
    </row>
    <row r="85506" ht="15.75" customHeight="1">
      <c r="A85506" s="7"/>
      <c r="B85506" s="7"/>
    </row>
    <row r="85507" ht="15.75" customHeight="1">
      <c r="A85507" s="7"/>
      <c r="B85507" s="7"/>
    </row>
    <row r="85508" ht="15.75" customHeight="1">
      <c r="A85508" s="7"/>
      <c r="B85508" s="7"/>
    </row>
    <row r="85509" ht="15.75" customHeight="1">
      <c r="A85509" s="7"/>
      <c r="B85509" s="7"/>
    </row>
    <row r="85510" ht="15.75" customHeight="1">
      <c r="A85510" s="7"/>
      <c r="B85510" s="7"/>
    </row>
    <row r="85511" ht="15.75" customHeight="1">
      <c r="A85511" s="7"/>
      <c r="B85511" s="7"/>
    </row>
    <row r="85512" ht="15.75" customHeight="1">
      <c r="A85512" s="7"/>
      <c r="B85512" s="7"/>
    </row>
    <row r="85513" ht="15.75" customHeight="1">
      <c r="A85513" s="7"/>
      <c r="B85513" s="7"/>
    </row>
    <row r="85514" ht="15.75" customHeight="1">
      <c r="A85514" s="7"/>
      <c r="B85514" s="7"/>
    </row>
    <row r="85515" ht="15.75" customHeight="1">
      <c r="A85515" s="7"/>
      <c r="B85515" s="7"/>
    </row>
    <row r="85516" ht="15.75" customHeight="1">
      <c r="A85516" s="7"/>
      <c r="B85516" s="7"/>
    </row>
    <row r="85517" ht="15.75" customHeight="1">
      <c r="A85517" s="7"/>
      <c r="B85517" s="7"/>
    </row>
    <row r="85518" ht="15.75" customHeight="1">
      <c r="A85518" s="7"/>
      <c r="B85518" s="7"/>
    </row>
    <row r="85519" ht="15.75" customHeight="1">
      <c r="A85519" s="7"/>
      <c r="B85519" s="7"/>
    </row>
    <row r="85520" ht="15.75" customHeight="1">
      <c r="A85520" s="7"/>
      <c r="B85520" s="7"/>
    </row>
    <row r="85521" ht="15.75" customHeight="1">
      <c r="A85521" s="7"/>
      <c r="B85521" s="7"/>
    </row>
    <row r="85522" ht="15.75" customHeight="1">
      <c r="A85522" s="7"/>
      <c r="B85522" s="7"/>
    </row>
    <row r="85523" ht="15.75" customHeight="1">
      <c r="A85523" s="7"/>
      <c r="B85523" s="7"/>
    </row>
    <row r="85524" ht="15.75" customHeight="1">
      <c r="A85524" s="7"/>
      <c r="B85524" s="7"/>
    </row>
    <row r="85525" ht="15.75" customHeight="1">
      <c r="A85525" s="7"/>
      <c r="B85525" s="7"/>
    </row>
    <row r="85526" ht="15.75" customHeight="1">
      <c r="A85526" s="7"/>
      <c r="B85526" s="7"/>
    </row>
    <row r="85527" ht="15.75" customHeight="1">
      <c r="A85527" s="7"/>
      <c r="B85527" s="7"/>
    </row>
    <row r="85528" ht="15.75" customHeight="1">
      <c r="A85528" s="7"/>
      <c r="B85528" s="7"/>
    </row>
    <row r="85529" ht="15.75" customHeight="1">
      <c r="A85529" s="7"/>
      <c r="B85529" s="7"/>
    </row>
    <row r="85530" ht="15.75" customHeight="1">
      <c r="A85530" s="7"/>
      <c r="B85530" s="7"/>
    </row>
    <row r="85531" ht="15.75" customHeight="1">
      <c r="A85531" s="7"/>
      <c r="B85531" s="7"/>
    </row>
    <row r="85532" ht="15.75" customHeight="1">
      <c r="A85532" s="7"/>
      <c r="B85532" s="7"/>
    </row>
    <row r="85533" ht="15.75" customHeight="1">
      <c r="A85533" s="7"/>
      <c r="B85533" s="7"/>
    </row>
    <row r="85534" ht="15.75" customHeight="1">
      <c r="A85534" s="7"/>
      <c r="B85534" s="7"/>
    </row>
    <row r="85535" ht="15.75" customHeight="1">
      <c r="A85535" s="7"/>
      <c r="B85535" s="7"/>
    </row>
    <row r="85536" ht="15.75" customHeight="1">
      <c r="A85536" s="7"/>
      <c r="B85536" s="7"/>
    </row>
    <row r="85537" ht="15.75" customHeight="1">
      <c r="A85537" s="7"/>
      <c r="B85537" s="7"/>
    </row>
    <row r="85538" ht="15.75" customHeight="1">
      <c r="A85538" s="7"/>
      <c r="B85538" s="7"/>
    </row>
    <row r="85539" ht="15.75" customHeight="1">
      <c r="A85539" s="7"/>
      <c r="B85539" s="7"/>
    </row>
    <row r="85540" ht="15.75" customHeight="1">
      <c r="A85540" s="7"/>
      <c r="B85540" s="7"/>
    </row>
    <row r="85541" ht="15.75" customHeight="1">
      <c r="A85541" s="7"/>
      <c r="B85541" s="7"/>
    </row>
    <row r="85542" ht="15.75" customHeight="1">
      <c r="A85542" s="7"/>
      <c r="B85542" s="7"/>
    </row>
    <row r="85543" ht="15.75" customHeight="1">
      <c r="A85543" s="7"/>
      <c r="B85543" s="7"/>
    </row>
    <row r="85544" ht="15.75" customHeight="1">
      <c r="A85544" s="7"/>
      <c r="B85544" s="7"/>
    </row>
    <row r="85545" ht="15.75" customHeight="1">
      <c r="A85545" s="7"/>
      <c r="B85545" s="7"/>
    </row>
    <row r="85546" ht="15.75" customHeight="1">
      <c r="A85546" s="7"/>
      <c r="B85546" s="7"/>
    </row>
    <row r="85547" ht="15.75" customHeight="1">
      <c r="A85547" s="7"/>
      <c r="B85547" s="7"/>
    </row>
    <row r="85548" ht="15.75" customHeight="1">
      <c r="A85548" s="7"/>
      <c r="B85548" s="7"/>
    </row>
    <row r="85549" ht="15.75" customHeight="1">
      <c r="A85549" s="7"/>
      <c r="B85549" s="7"/>
    </row>
    <row r="85550" ht="15.75" customHeight="1">
      <c r="A85550" s="7"/>
      <c r="B85550" s="7"/>
    </row>
    <row r="85551" ht="15.75" customHeight="1">
      <c r="A85551" s="7"/>
      <c r="B85551" s="7"/>
    </row>
    <row r="85552" ht="15.75" customHeight="1">
      <c r="A85552" s="7"/>
      <c r="B85552" s="7"/>
    </row>
    <row r="85553" ht="15.75" customHeight="1">
      <c r="A85553" s="7"/>
      <c r="B85553" s="7"/>
    </row>
    <row r="85554" ht="15.75" customHeight="1">
      <c r="A85554" s="7"/>
      <c r="B85554" s="7"/>
    </row>
    <row r="85555" ht="15.75" customHeight="1">
      <c r="A85555" s="7"/>
      <c r="B85555" s="7"/>
    </row>
    <row r="85556" ht="15.75" customHeight="1">
      <c r="A85556" s="7"/>
      <c r="B85556" s="7"/>
    </row>
    <row r="85557" ht="15.75" customHeight="1">
      <c r="A85557" s="7"/>
      <c r="B85557" s="7"/>
    </row>
    <row r="85558" ht="15.75" customHeight="1">
      <c r="A85558" s="7"/>
      <c r="B85558" s="7"/>
    </row>
    <row r="85559" ht="15.75" customHeight="1">
      <c r="A85559" s="7"/>
      <c r="B85559" s="7"/>
    </row>
    <row r="85560" ht="15.75" customHeight="1">
      <c r="A85560" s="7"/>
      <c r="B85560" s="7"/>
    </row>
    <row r="85561" ht="15.75" customHeight="1">
      <c r="A85561" s="7"/>
      <c r="B85561" s="7"/>
    </row>
    <row r="85562" ht="15.75" customHeight="1">
      <c r="A85562" s="7"/>
      <c r="B85562" s="7"/>
    </row>
    <row r="85563" ht="15.75" customHeight="1">
      <c r="A85563" s="7"/>
      <c r="B85563" s="7"/>
    </row>
    <row r="85564" ht="15.75" customHeight="1">
      <c r="A85564" s="7"/>
      <c r="B85564" s="7"/>
    </row>
    <row r="85565" ht="15.75" customHeight="1">
      <c r="A85565" s="7"/>
      <c r="B85565" s="7"/>
    </row>
    <row r="85566" ht="15.75" customHeight="1">
      <c r="A85566" s="7"/>
      <c r="B85566" s="7"/>
    </row>
    <row r="85567" ht="15.75" customHeight="1">
      <c r="A85567" s="7"/>
      <c r="B85567" s="7"/>
    </row>
    <row r="85568" ht="15.75" customHeight="1">
      <c r="A85568" s="7"/>
      <c r="B85568" s="7"/>
    </row>
    <row r="85569" ht="15.75" customHeight="1">
      <c r="A85569" s="7"/>
      <c r="B85569" s="7"/>
    </row>
    <row r="85570" ht="15.75" customHeight="1">
      <c r="A85570" s="7"/>
      <c r="B85570" s="7"/>
    </row>
    <row r="85571" ht="15.75" customHeight="1">
      <c r="A85571" s="7"/>
      <c r="B85571" s="7"/>
    </row>
    <row r="85572" ht="15.75" customHeight="1">
      <c r="A85572" s="7"/>
      <c r="B85572" s="7"/>
    </row>
    <row r="85573" ht="15.75" customHeight="1">
      <c r="A85573" s="7"/>
      <c r="B85573" s="7"/>
    </row>
    <row r="85574" ht="15.75" customHeight="1">
      <c r="A85574" s="7"/>
      <c r="B85574" s="7"/>
    </row>
    <row r="85575" ht="15.75" customHeight="1">
      <c r="A85575" s="7"/>
      <c r="B85575" s="7"/>
    </row>
    <row r="85576" ht="15.75" customHeight="1">
      <c r="A85576" s="7"/>
      <c r="B85576" s="7"/>
    </row>
    <row r="85577" ht="15.75" customHeight="1">
      <c r="A85577" s="7"/>
      <c r="B85577" s="7"/>
    </row>
    <row r="85578" ht="15.75" customHeight="1">
      <c r="A85578" s="7"/>
      <c r="B85578" s="7"/>
    </row>
    <row r="85579" ht="15.75" customHeight="1">
      <c r="A85579" s="7"/>
      <c r="B85579" s="7"/>
    </row>
    <row r="85580" ht="15.75" customHeight="1">
      <c r="A85580" s="7"/>
      <c r="B85580" s="7"/>
    </row>
    <row r="85581" ht="15.75" customHeight="1">
      <c r="A85581" s="7"/>
      <c r="B85581" s="7"/>
    </row>
    <row r="85582" ht="15.75" customHeight="1">
      <c r="A85582" s="7"/>
      <c r="B85582" s="7"/>
    </row>
    <row r="85583" ht="15.75" customHeight="1">
      <c r="A85583" s="7"/>
      <c r="B85583" s="7"/>
    </row>
    <row r="85584" ht="15.75" customHeight="1">
      <c r="A85584" s="7"/>
      <c r="B85584" s="7"/>
    </row>
    <row r="85585" ht="15.75" customHeight="1">
      <c r="A85585" s="7"/>
      <c r="B85585" s="7"/>
    </row>
    <row r="85586" ht="15.75" customHeight="1">
      <c r="A85586" s="7"/>
      <c r="B85586" s="7"/>
    </row>
    <row r="85587" ht="15.75" customHeight="1">
      <c r="A85587" s="7"/>
      <c r="B85587" s="7"/>
    </row>
    <row r="85588" ht="15.75" customHeight="1">
      <c r="A85588" s="7"/>
      <c r="B85588" s="7"/>
    </row>
    <row r="85589" ht="15.75" customHeight="1">
      <c r="A85589" s="7"/>
      <c r="B85589" s="7"/>
    </row>
    <row r="85590" ht="15.75" customHeight="1">
      <c r="A85590" s="7"/>
      <c r="B85590" s="7"/>
    </row>
    <row r="85591" ht="15.75" customHeight="1">
      <c r="A85591" s="7"/>
      <c r="B85591" s="7"/>
    </row>
    <row r="85592" ht="15.75" customHeight="1">
      <c r="A85592" s="7"/>
      <c r="B85592" s="7"/>
    </row>
    <row r="85593" ht="15.75" customHeight="1">
      <c r="A85593" s="7"/>
      <c r="B85593" s="7"/>
    </row>
    <row r="85594" ht="15.75" customHeight="1">
      <c r="A85594" s="7"/>
      <c r="B85594" s="7"/>
    </row>
    <row r="85595" ht="15.75" customHeight="1">
      <c r="A85595" s="7"/>
      <c r="B85595" s="7"/>
    </row>
    <row r="85596" ht="15.75" customHeight="1">
      <c r="A85596" s="7"/>
      <c r="B85596" s="7"/>
    </row>
    <row r="85597" ht="15.75" customHeight="1">
      <c r="A85597" s="7"/>
      <c r="B85597" s="7"/>
    </row>
    <row r="85598" ht="15.75" customHeight="1">
      <c r="A85598" s="7"/>
      <c r="B85598" s="7"/>
    </row>
    <row r="85599" ht="15.75" customHeight="1">
      <c r="A85599" s="7"/>
      <c r="B85599" s="7"/>
    </row>
    <row r="85600" ht="15.75" customHeight="1">
      <c r="A85600" s="7"/>
      <c r="B85600" s="7"/>
    </row>
    <row r="85601" ht="15.75" customHeight="1">
      <c r="A85601" s="7"/>
      <c r="B85601" s="7"/>
    </row>
    <row r="85602" ht="15.75" customHeight="1">
      <c r="A85602" s="7"/>
      <c r="B85602" s="7"/>
    </row>
    <row r="85603" ht="15.75" customHeight="1">
      <c r="A85603" s="7"/>
      <c r="B85603" s="7"/>
    </row>
    <row r="85604" ht="15.75" customHeight="1">
      <c r="A85604" s="7"/>
      <c r="B85604" s="7"/>
    </row>
    <row r="85605" ht="15.75" customHeight="1">
      <c r="A85605" s="7"/>
      <c r="B85605" s="7"/>
    </row>
    <row r="85606" ht="15.75" customHeight="1">
      <c r="A85606" s="7"/>
      <c r="B85606" s="7"/>
    </row>
    <row r="85607" ht="15.75" customHeight="1">
      <c r="A85607" s="7"/>
      <c r="B85607" s="7"/>
    </row>
    <row r="85608" ht="15.75" customHeight="1">
      <c r="A85608" s="7"/>
      <c r="B85608" s="7"/>
    </row>
    <row r="85609" ht="15.75" customHeight="1">
      <c r="A85609" s="7"/>
      <c r="B85609" s="7"/>
    </row>
    <row r="85610" ht="15.75" customHeight="1">
      <c r="A85610" s="7"/>
      <c r="B85610" s="7"/>
    </row>
    <row r="85611" ht="15.75" customHeight="1">
      <c r="A85611" s="7"/>
      <c r="B85611" s="7"/>
    </row>
    <row r="85612" ht="15.75" customHeight="1">
      <c r="A85612" s="7"/>
      <c r="B85612" s="7"/>
    </row>
    <row r="85613" ht="15.75" customHeight="1">
      <c r="A85613" s="7"/>
      <c r="B85613" s="7"/>
    </row>
    <row r="85614" ht="15.75" customHeight="1">
      <c r="A85614" s="7"/>
      <c r="B85614" s="7"/>
    </row>
    <row r="85615" ht="15.75" customHeight="1">
      <c r="A85615" s="7"/>
      <c r="B85615" s="7"/>
    </row>
    <row r="85616" ht="15.75" customHeight="1">
      <c r="A85616" s="7"/>
      <c r="B85616" s="7"/>
    </row>
    <row r="85617" ht="15.75" customHeight="1">
      <c r="A85617" s="7"/>
      <c r="B85617" s="7"/>
    </row>
    <row r="85618" ht="15.75" customHeight="1">
      <c r="A85618" s="7"/>
      <c r="B85618" s="7"/>
    </row>
    <row r="85619" ht="15.75" customHeight="1">
      <c r="A85619" s="7"/>
      <c r="B85619" s="7"/>
    </row>
    <row r="85620" ht="15.75" customHeight="1">
      <c r="A85620" s="7"/>
      <c r="B85620" s="7"/>
    </row>
    <row r="85621" ht="15.75" customHeight="1">
      <c r="A85621" s="7"/>
      <c r="B85621" s="7"/>
    </row>
    <row r="85622" ht="15.75" customHeight="1">
      <c r="A85622" s="7"/>
      <c r="B85622" s="7"/>
    </row>
    <row r="85623" ht="15.75" customHeight="1">
      <c r="A85623" s="7"/>
      <c r="B85623" s="7"/>
    </row>
    <row r="85624" ht="15.75" customHeight="1">
      <c r="A85624" s="7"/>
      <c r="B85624" s="7"/>
    </row>
    <row r="85625" ht="15.75" customHeight="1">
      <c r="A85625" s="7"/>
      <c r="B85625" s="7"/>
    </row>
    <row r="85626" ht="15.75" customHeight="1">
      <c r="A85626" s="7"/>
      <c r="B85626" s="7"/>
    </row>
    <row r="85627" ht="15.75" customHeight="1">
      <c r="A85627" s="7"/>
      <c r="B85627" s="7"/>
    </row>
    <row r="85628" ht="15.75" customHeight="1">
      <c r="A85628" s="7"/>
      <c r="B85628" s="7"/>
    </row>
    <row r="85629" ht="15.75" customHeight="1">
      <c r="A85629" s="7"/>
      <c r="B85629" s="7"/>
    </row>
    <row r="85630" ht="15.75" customHeight="1">
      <c r="A85630" s="7"/>
      <c r="B85630" s="7"/>
    </row>
    <row r="85631" ht="15.75" customHeight="1">
      <c r="A85631" s="7"/>
      <c r="B85631" s="7"/>
    </row>
    <row r="85632" ht="15.75" customHeight="1">
      <c r="A85632" s="7"/>
      <c r="B85632" s="7"/>
    </row>
    <row r="85633" ht="15.75" customHeight="1">
      <c r="A85633" s="7"/>
      <c r="B85633" s="7"/>
    </row>
    <row r="85634" ht="15.75" customHeight="1">
      <c r="A85634" s="7"/>
      <c r="B85634" s="7"/>
    </row>
    <row r="85635" ht="15.75" customHeight="1">
      <c r="A85635" s="7"/>
      <c r="B85635" s="7"/>
    </row>
    <row r="85636" ht="15.75" customHeight="1">
      <c r="A85636" s="7"/>
      <c r="B85636" s="7"/>
    </row>
    <row r="85637" ht="15.75" customHeight="1">
      <c r="A85637" s="7"/>
      <c r="B85637" s="7"/>
    </row>
    <row r="85638" ht="15.75" customHeight="1">
      <c r="A85638" s="7"/>
      <c r="B85638" s="7"/>
    </row>
    <row r="85639" ht="15.75" customHeight="1">
      <c r="A85639" s="7"/>
      <c r="B85639" s="7"/>
    </row>
    <row r="85640" ht="15.75" customHeight="1">
      <c r="A85640" s="7"/>
      <c r="B85640" s="7"/>
    </row>
    <row r="85641" ht="15.75" customHeight="1">
      <c r="A85641" s="7"/>
      <c r="B85641" s="7"/>
    </row>
    <row r="85642" ht="15.75" customHeight="1">
      <c r="A85642" s="7"/>
      <c r="B85642" s="7"/>
    </row>
    <row r="85643" ht="15.75" customHeight="1">
      <c r="A85643" s="7"/>
      <c r="B85643" s="7"/>
    </row>
    <row r="85644" ht="15.75" customHeight="1">
      <c r="A85644" s="7"/>
      <c r="B85644" s="7"/>
    </row>
    <row r="85645" ht="15.75" customHeight="1">
      <c r="A85645" s="7"/>
      <c r="B85645" s="7"/>
    </row>
    <row r="85646" ht="15.75" customHeight="1">
      <c r="A85646" s="7"/>
      <c r="B85646" s="7"/>
    </row>
    <row r="85647" ht="15.75" customHeight="1">
      <c r="A85647" s="7"/>
      <c r="B85647" s="7"/>
    </row>
    <row r="85648" ht="15.75" customHeight="1">
      <c r="A85648" s="7"/>
      <c r="B85648" s="7"/>
    </row>
    <row r="85649" ht="15.75" customHeight="1">
      <c r="A85649" s="7"/>
      <c r="B85649" s="7"/>
    </row>
    <row r="85650" ht="15.75" customHeight="1">
      <c r="A85650" s="7"/>
      <c r="B85650" s="7"/>
    </row>
    <row r="85651" ht="15.75" customHeight="1">
      <c r="A85651" s="7"/>
      <c r="B85651" s="7"/>
    </row>
    <row r="85652" ht="15.75" customHeight="1">
      <c r="A85652" s="7"/>
      <c r="B85652" s="7"/>
    </row>
    <row r="85653" ht="15.75" customHeight="1">
      <c r="A85653" s="7"/>
      <c r="B85653" s="7"/>
    </row>
    <row r="85654" ht="15.75" customHeight="1">
      <c r="A85654" s="7"/>
      <c r="B85654" s="7"/>
    </row>
    <row r="85655" ht="15.75" customHeight="1">
      <c r="A85655" s="7"/>
      <c r="B85655" s="7"/>
    </row>
    <row r="85656" ht="15.75" customHeight="1">
      <c r="A85656" s="7"/>
      <c r="B85656" s="7"/>
    </row>
    <row r="85657" ht="15.75" customHeight="1">
      <c r="A85657" s="7"/>
      <c r="B85657" s="7"/>
    </row>
    <row r="85658" ht="15.75" customHeight="1">
      <c r="A85658" s="7"/>
      <c r="B85658" s="7"/>
    </row>
    <row r="85659" ht="15.75" customHeight="1">
      <c r="A85659" s="7"/>
      <c r="B85659" s="7"/>
    </row>
    <row r="85660" ht="15.75" customHeight="1">
      <c r="A85660" s="7"/>
      <c r="B85660" s="7"/>
    </row>
    <row r="85661" ht="15.75" customHeight="1">
      <c r="A85661" s="7"/>
      <c r="B85661" s="7"/>
    </row>
    <row r="85662" ht="15.75" customHeight="1">
      <c r="A85662" s="7"/>
      <c r="B85662" s="7"/>
    </row>
    <row r="85663" ht="15.75" customHeight="1">
      <c r="A85663" s="7"/>
      <c r="B85663" s="7"/>
    </row>
    <row r="85664" ht="15.75" customHeight="1">
      <c r="A85664" s="7"/>
      <c r="B85664" s="7"/>
    </row>
    <row r="85665" ht="15.75" customHeight="1">
      <c r="A85665" s="7"/>
      <c r="B85665" s="7"/>
    </row>
    <row r="85666" ht="15.75" customHeight="1">
      <c r="A85666" s="7"/>
      <c r="B85666" s="7"/>
    </row>
    <row r="85667" ht="15.75" customHeight="1">
      <c r="A85667" s="7"/>
      <c r="B85667" s="7"/>
    </row>
    <row r="85668" ht="15.75" customHeight="1">
      <c r="A85668" s="7"/>
      <c r="B85668" s="7"/>
    </row>
    <row r="85669" ht="15.75" customHeight="1">
      <c r="A85669" s="7"/>
      <c r="B85669" s="7"/>
    </row>
    <row r="85670" ht="15.75" customHeight="1">
      <c r="A85670" s="7"/>
      <c r="B85670" s="7"/>
    </row>
    <row r="85671" ht="15.75" customHeight="1">
      <c r="A85671" s="7"/>
      <c r="B85671" s="7"/>
    </row>
    <row r="85672" ht="15.75" customHeight="1">
      <c r="A85672" s="7"/>
      <c r="B85672" s="7"/>
    </row>
    <row r="85673" ht="15.75" customHeight="1">
      <c r="A85673" s="7"/>
      <c r="B85673" s="7"/>
    </row>
    <row r="85674" ht="15.75" customHeight="1">
      <c r="A85674" s="7"/>
      <c r="B85674" s="7"/>
    </row>
    <row r="85675" ht="15.75" customHeight="1">
      <c r="A85675" s="7"/>
      <c r="B85675" s="7"/>
    </row>
    <row r="85676" ht="15.75" customHeight="1">
      <c r="A85676" s="7"/>
      <c r="B85676" s="7"/>
    </row>
    <row r="85677" ht="15.75" customHeight="1">
      <c r="A85677" s="7"/>
      <c r="B85677" s="7"/>
    </row>
    <row r="85678" ht="15.75" customHeight="1">
      <c r="A85678" s="7"/>
      <c r="B85678" s="7"/>
    </row>
    <row r="85679" ht="15.75" customHeight="1">
      <c r="A85679" s="7"/>
      <c r="B85679" s="7"/>
    </row>
    <row r="85680" ht="15.75" customHeight="1">
      <c r="A85680" s="7"/>
      <c r="B85680" s="7"/>
    </row>
    <row r="85681" ht="15.75" customHeight="1">
      <c r="A85681" s="7"/>
      <c r="B85681" s="7"/>
    </row>
    <row r="85682" ht="15.75" customHeight="1">
      <c r="A85682" s="7"/>
      <c r="B85682" s="7"/>
    </row>
    <row r="85683" ht="15.75" customHeight="1">
      <c r="A85683" s="7"/>
      <c r="B85683" s="7"/>
    </row>
    <row r="85684" ht="15.75" customHeight="1">
      <c r="A85684" s="7"/>
      <c r="B85684" s="7"/>
    </row>
    <row r="85685" ht="15.75" customHeight="1">
      <c r="A85685" s="7"/>
      <c r="B85685" s="7"/>
    </row>
    <row r="85686" ht="15.75" customHeight="1">
      <c r="A85686" s="7"/>
      <c r="B85686" s="7"/>
    </row>
    <row r="85687" ht="15.75" customHeight="1">
      <c r="A85687" s="7"/>
      <c r="B85687" s="7"/>
    </row>
    <row r="85688" ht="15.75" customHeight="1">
      <c r="A85688" s="7"/>
      <c r="B85688" s="7"/>
    </row>
    <row r="85689" ht="15.75" customHeight="1">
      <c r="A85689" s="7"/>
      <c r="B85689" s="7"/>
    </row>
    <row r="85690" ht="15.75" customHeight="1">
      <c r="A85690" s="7"/>
      <c r="B85690" s="7"/>
    </row>
    <row r="85691" ht="15.75" customHeight="1">
      <c r="A85691" s="7"/>
      <c r="B85691" s="7"/>
    </row>
    <row r="85692" ht="15.75" customHeight="1">
      <c r="A85692" s="7"/>
      <c r="B85692" s="7"/>
    </row>
    <row r="85693" ht="15.75" customHeight="1">
      <c r="A85693" s="7"/>
      <c r="B85693" s="7"/>
    </row>
    <row r="85694" ht="15.75" customHeight="1">
      <c r="A85694" s="7"/>
      <c r="B85694" s="7"/>
    </row>
    <row r="85695" ht="15.75" customHeight="1">
      <c r="A85695" s="7"/>
      <c r="B85695" s="7"/>
    </row>
    <row r="85696" ht="15.75" customHeight="1">
      <c r="A85696" s="7"/>
      <c r="B85696" s="7"/>
    </row>
    <row r="85697" ht="15.75" customHeight="1">
      <c r="A85697" s="7"/>
      <c r="B85697" s="7"/>
    </row>
    <row r="85698" ht="15.75" customHeight="1">
      <c r="A85698" s="7"/>
      <c r="B85698" s="7"/>
    </row>
    <row r="85699" ht="15.75" customHeight="1">
      <c r="A85699" s="7"/>
      <c r="B85699" s="7"/>
    </row>
    <row r="85700" ht="15.75" customHeight="1">
      <c r="A85700" s="7"/>
      <c r="B85700" s="7"/>
    </row>
    <row r="85701" ht="15.75" customHeight="1">
      <c r="A85701" s="7"/>
      <c r="B85701" s="7"/>
    </row>
    <row r="85702" ht="15.75" customHeight="1">
      <c r="A85702" s="7"/>
      <c r="B85702" s="7"/>
    </row>
    <row r="85703" ht="15.75" customHeight="1">
      <c r="A85703" s="7"/>
      <c r="B85703" s="7"/>
    </row>
    <row r="85704" ht="15.75" customHeight="1">
      <c r="A85704" s="7"/>
      <c r="B85704" s="7"/>
    </row>
    <row r="85705" ht="15.75" customHeight="1">
      <c r="A85705" s="7"/>
      <c r="B85705" s="7"/>
    </row>
    <row r="85706" ht="15.75" customHeight="1">
      <c r="A85706" s="7"/>
      <c r="B85706" s="7"/>
    </row>
    <row r="85707" ht="15.75" customHeight="1">
      <c r="A85707" s="7"/>
      <c r="B85707" s="7"/>
    </row>
    <row r="85708" ht="15.75" customHeight="1">
      <c r="A85708" s="7"/>
      <c r="B85708" s="7"/>
    </row>
    <row r="85709" ht="15.75" customHeight="1">
      <c r="A85709" s="7"/>
      <c r="B85709" s="7"/>
    </row>
    <row r="85710" ht="15.75" customHeight="1">
      <c r="A85710" s="7"/>
      <c r="B85710" s="7"/>
    </row>
    <row r="85711" ht="15.75" customHeight="1">
      <c r="A85711" s="7"/>
      <c r="B85711" s="7"/>
    </row>
    <row r="85712" ht="15.75" customHeight="1">
      <c r="A85712" s="7"/>
      <c r="B85712" s="7"/>
    </row>
    <row r="85713" ht="15.75" customHeight="1">
      <c r="A85713" s="7"/>
      <c r="B85713" s="7"/>
    </row>
    <row r="85714" ht="15.75" customHeight="1">
      <c r="A85714" s="7"/>
      <c r="B85714" s="7"/>
    </row>
    <row r="85715" ht="15.75" customHeight="1">
      <c r="A85715" s="7"/>
      <c r="B85715" s="7"/>
    </row>
    <row r="85716" ht="15.75" customHeight="1">
      <c r="A85716" s="7"/>
      <c r="B85716" s="7"/>
    </row>
    <row r="85717" ht="15.75" customHeight="1">
      <c r="A85717" s="7"/>
      <c r="B85717" s="7"/>
    </row>
    <row r="85718" ht="15.75" customHeight="1">
      <c r="A85718" s="7"/>
      <c r="B85718" s="7"/>
    </row>
    <row r="85719" ht="15.75" customHeight="1">
      <c r="A85719" s="7"/>
      <c r="B85719" s="7"/>
    </row>
    <row r="85720" ht="15.75" customHeight="1">
      <c r="A85720" s="7"/>
      <c r="B85720" s="7"/>
    </row>
    <row r="85721" ht="15.75" customHeight="1">
      <c r="A85721" s="7"/>
      <c r="B85721" s="7"/>
    </row>
    <row r="85722" ht="15.75" customHeight="1">
      <c r="A85722" s="7"/>
      <c r="B85722" s="7"/>
    </row>
    <row r="85723" ht="15.75" customHeight="1">
      <c r="A85723" s="7"/>
      <c r="B85723" s="7"/>
    </row>
    <row r="85724" ht="15.75" customHeight="1">
      <c r="A85724" s="7"/>
      <c r="B85724" s="7"/>
    </row>
    <row r="85725" ht="15.75" customHeight="1">
      <c r="A85725" s="7"/>
      <c r="B85725" s="7"/>
    </row>
    <row r="85726" ht="15.75" customHeight="1">
      <c r="A85726" s="7"/>
      <c r="B85726" s="7"/>
    </row>
    <row r="85727" ht="15.75" customHeight="1">
      <c r="A85727" s="7"/>
      <c r="B85727" s="7"/>
    </row>
    <row r="85728" ht="15.75" customHeight="1">
      <c r="A85728" s="7"/>
      <c r="B85728" s="7"/>
    </row>
    <row r="85729" ht="15.75" customHeight="1">
      <c r="A85729" s="7"/>
      <c r="B85729" s="7"/>
    </row>
    <row r="85730" ht="15.75" customHeight="1">
      <c r="A85730" s="7"/>
      <c r="B85730" s="7"/>
    </row>
    <row r="85731" ht="15.75" customHeight="1">
      <c r="A85731" s="7"/>
      <c r="B85731" s="7"/>
    </row>
    <row r="85732" ht="15.75" customHeight="1">
      <c r="A85732" s="7"/>
      <c r="B85732" s="7"/>
    </row>
    <row r="85733" ht="15.75" customHeight="1">
      <c r="A85733" s="7"/>
      <c r="B85733" s="7"/>
    </row>
    <row r="85734" ht="15.75" customHeight="1">
      <c r="A85734" s="7"/>
      <c r="B85734" s="7"/>
    </row>
    <row r="85735" ht="15.75" customHeight="1">
      <c r="A85735" s="7"/>
      <c r="B85735" s="7"/>
    </row>
    <row r="85736" ht="15.75" customHeight="1">
      <c r="A85736" s="7"/>
      <c r="B85736" s="7"/>
    </row>
    <row r="85737" ht="15.75" customHeight="1">
      <c r="A85737" s="7"/>
      <c r="B85737" s="7"/>
    </row>
    <row r="85738" ht="15.75" customHeight="1">
      <c r="A85738" s="7"/>
      <c r="B85738" s="7"/>
    </row>
    <row r="85739" ht="15.75" customHeight="1">
      <c r="A85739" s="7"/>
      <c r="B85739" s="7"/>
    </row>
    <row r="85740" ht="15.75" customHeight="1">
      <c r="A85740" s="7"/>
      <c r="B85740" s="7"/>
    </row>
    <row r="85741" ht="15.75" customHeight="1">
      <c r="A85741" s="7"/>
      <c r="B85741" s="7"/>
    </row>
    <row r="85742" ht="15.75" customHeight="1">
      <c r="A85742" s="7"/>
      <c r="B85742" s="7"/>
    </row>
    <row r="85743" ht="15.75" customHeight="1">
      <c r="A85743" s="7"/>
      <c r="B85743" s="7"/>
    </row>
    <row r="85744" ht="15.75" customHeight="1">
      <c r="A85744" s="7"/>
      <c r="B85744" s="7"/>
    </row>
    <row r="85745" ht="15.75" customHeight="1">
      <c r="A85745" s="7"/>
      <c r="B85745" s="7"/>
    </row>
    <row r="85746" ht="15.75" customHeight="1">
      <c r="A85746" s="7"/>
      <c r="B85746" s="7"/>
    </row>
    <row r="85747" ht="15.75" customHeight="1">
      <c r="A85747" s="7"/>
      <c r="B85747" s="7"/>
    </row>
    <row r="85748" ht="15.75" customHeight="1">
      <c r="A85748" s="7"/>
      <c r="B85748" s="7"/>
    </row>
    <row r="85749" ht="15.75" customHeight="1">
      <c r="A85749" s="7"/>
      <c r="B85749" s="7"/>
    </row>
    <row r="85750" ht="15.75" customHeight="1">
      <c r="A85750" s="7"/>
      <c r="B85750" s="7"/>
    </row>
    <row r="85751" ht="15.75" customHeight="1">
      <c r="A85751" s="7"/>
      <c r="B85751" s="7"/>
    </row>
    <row r="85752" ht="15.75" customHeight="1">
      <c r="A85752" s="7"/>
      <c r="B85752" s="7"/>
    </row>
    <row r="85753" ht="15.75" customHeight="1">
      <c r="A85753" s="7"/>
      <c r="B85753" s="7"/>
    </row>
    <row r="85754" ht="15.75" customHeight="1">
      <c r="A85754" s="7"/>
      <c r="B85754" s="7"/>
    </row>
    <row r="85755" ht="15.75" customHeight="1">
      <c r="A85755" s="7"/>
      <c r="B85755" s="7"/>
    </row>
    <row r="85756" ht="15.75" customHeight="1">
      <c r="A85756" s="7"/>
      <c r="B85756" s="7"/>
    </row>
    <row r="85757" ht="15.75" customHeight="1">
      <c r="A85757" s="7"/>
      <c r="B85757" s="7"/>
    </row>
    <row r="85758" ht="15.75" customHeight="1">
      <c r="A85758" s="7"/>
      <c r="B85758" s="7"/>
    </row>
    <row r="85759" ht="15.75" customHeight="1">
      <c r="A85759" s="7"/>
      <c r="B85759" s="7"/>
    </row>
    <row r="85760" ht="15.75" customHeight="1">
      <c r="A85760" s="7"/>
      <c r="B85760" s="7"/>
    </row>
    <row r="85761" ht="15.75" customHeight="1">
      <c r="A85761" s="7"/>
      <c r="B85761" s="7"/>
    </row>
    <row r="85762" ht="15.75" customHeight="1">
      <c r="A85762" s="7"/>
      <c r="B85762" s="7"/>
    </row>
    <row r="85763" ht="15.75" customHeight="1">
      <c r="A85763" s="7"/>
      <c r="B85763" s="7"/>
    </row>
    <row r="85764" ht="15.75" customHeight="1">
      <c r="A85764" s="7"/>
      <c r="B85764" s="7"/>
    </row>
    <row r="85765" ht="15.75" customHeight="1">
      <c r="A85765" s="7"/>
      <c r="B85765" s="7"/>
    </row>
    <row r="85766" ht="15.75" customHeight="1">
      <c r="A85766" s="7"/>
      <c r="B85766" s="7"/>
    </row>
    <row r="85767" ht="15.75" customHeight="1">
      <c r="A85767" s="7"/>
      <c r="B85767" s="7"/>
    </row>
    <row r="85768" ht="15.75" customHeight="1">
      <c r="A85768" s="7"/>
      <c r="B85768" s="7"/>
    </row>
    <row r="85769" ht="15.75" customHeight="1">
      <c r="A85769" s="7"/>
      <c r="B85769" s="7"/>
    </row>
    <row r="85770" ht="15.75" customHeight="1">
      <c r="A85770" s="7"/>
      <c r="B85770" s="7"/>
    </row>
    <row r="85771" ht="15.75" customHeight="1">
      <c r="A85771" s="7"/>
      <c r="B85771" s="7"/>
    </row>
    <row r="85772" ht="15.75" customHeight="1">
      <c r="A85772" s="7"/>
      <c r="B85772" s="7"/>
    </row>
    <row r="85773" ht="15.75" customHeight="1">
      <c r="A85773" s="7"/>
      <c r="B85773" s="7"/>
    </row>
    <row r="85774" ht="15.75" customHeight="1">
      <c r="A85774" s="7"/>
      <c r="B85774" s="7"/>
    </row>
    <row r="85775" ht="15.75" customHeight="1">
      <c r="A85775" s="7"/>
      <c r="B85775" s="7"/>
    </row>
    <row r="85776" ht="15.75" customHeight="1">
      <c r="A85776" s="7"/>
      <c r="B85776" s="7"/>
    </row>
    <row r="85777" ht="15.75" customHeight="1">
      <c r="A85777" s="7"/>
      <c r="B85777" s="7"/>
    </row>
    <row r="85778" ht="15.75" customHeight="1">
      <c r="A85778" s="7"/>
      <c r="B85778" s="7"/>
    </row>
    <row r="85779" ht="15.75" customHeight="1">
      <c r="A85779" s="7"/>
      <c r="B85779" s="7"/>
    </row>
    <row r="85780" ht="15.75" customHeight="1">
      <c r="A85780" s="7"/>
      <c r="B85780" s="7"/>
    </row>
    <row r="85781" ht="15.75" customHeight="1">
      <c r="A85781" s="7"/>
      <c r="B85781" s="7"/>
    </row>
    <row r="85782" ht="15.75" customHeight="1">
      <c r="A85782" s="7"/>
      <c r="B85782" s="7"/>
    </row>
    <row r="85783" ht="15.75" customHeight="1">
      <c r="A85783" s="7"/>
      <c r="B85783" s="7"/>
    </row>
    <row r="85784" ht="15.75" customHeight="1">
      <c r="A85784" s="7"/>
      <c r="B85784" s="7"/>
    </row>
    <row r="85785" ht="15.75" customHeight="1">
      <c r="A85785" s="7"/>
      <c r="B85785" s="7"/>
    </row>
    <row r="85786" ht="15.75" customHeight="1">
      <c r="A85786" s="7"/>
      <c r="B85786" s="7"/>
    </row>
    <row r="85787" ht="15.75" customHeight="1">
      <c r="A85787" s="7"/>
      <c r="B85787" s="7"/>
    </row>
    <row r="85788" ht="15.75" customHeight="1">
      <c r="A85788" s="7"/>
      <c r="B85788" s="7"/>
    </row>
    <row r="85789" ht="15.75" customHeight="1">
      <c r="A85789" s="7"/>
      <c r="B85789" s="7"/>
    </row>
    <row r="85790" ht="15.75" customHeight="1">
      <c r="A85790" s="7"/>
      <c r="B85790" s="7"/>
    </row>
    <row r="85791" ht="15.75" customHeight="1">
      <c r="A85791" s="7"/>
      <c r="B85791" s="7"/>
    </row>
    <row r="85792" ht="15.75" customHeight="1">
      <c r="A85792" s="7"/>
      <c r="B85792" s="7"/>
    </row>
    <row r="85793" ht="15.75" customHeight="1">
      <c r="A85793" s="7"/>
      <c r="B85793" s="7"/>
    </row>
    <row r="85794" ht="15.75" customHeight="1">
      <c r="A85794" s="7"/>
      <c r="B85794" s="7"/>
    </row>
    <row r="85795" ht="15.75" customHeight="1">
      <c r="A85795" s="7"/>
      <c r="B85795" s="7"/>
    </row>
    <row r="85796" ht="15.75" customHeight="1">
      <c r="A85796" s="7"/>
      <c r="B85796" s="7"/>
    </row>
    <row r="85797" ht="15.75" customHeight="1">
      <c r="A85797" s="7"/>
      <c r="B85797" s="7"/>
    </row>
    <row r="85798" ht="15.75" customHeight="1">
      <c r="A85798" s="7"/>
      <c r="B85798" s="7"/>
    </row>
    <row r="85799" ht="15.75" customHeight="1">
      <c r="A85799" s="7"/>
      <c r="B85799" s="7"/>
    </row>
    <row r="85800" ht="15.75" customHeight="1">
      <c r="A85800" s="7"/>
      <c r="B85800" s="7"/>
    </row>
    <row r="85801" ht="15.75" customHeight="1">
      <c r="A85801" s="7"/>
      <c r="B85801" s="7"/>
    </row>
    <row r="85802" ht="15.75" customHeight="1">
      <c r="A85802" s="7"/>
      <c r="B85802" s="7"/>
    </row>
    <row r="85803" ht="15.75" customHeight="1">
      <c r="A85803" s="7"/>
      <c r="B85803" s="7"/>
    </row>
    <row r="85804" ht="15.75" customHeight="1">
      <c r="A85804" s="7"/>
      <c r="B85804" s="7"/>
    </row>
    <row r="85805" ht="15.75" customHeight="1">
      <c r="A85805" s="7"/>
      <c r="B85805" s="7"/>
    </row>
    <row r="85806" ht="15.75" customHeight="1">
      <c r="A85806" s="7"/>
      <c r="B85806" s="7"/>
    </row>
    <row r="85807" ht="15.75" customHeight="1">
      <c r="A85807" s="7"/>
      <c r="B85807" s="7"/>
    </row>
    <row r="85808" ht="15.75" customHeight="1">
      <c r="A85808" s="7"/>
      <c r="B85808" s="7"/>
    </row>
    <row r="85809" ht="15.75" customHeight="1">
      <c r="A85809" s="7"/>
      <c r="B85809" s="7"/>
    </row>
    <row r="85810" ht="15.75" customHeight="1">
      <c r="A85810" s="7"/>
      <c r="B85810" s="7"/>
    </row>
    <row r="85811" ht="15.75" customHeight="1">
      <c r="A85811" s="7"/>
      <c r="B85811" s="7"/>
    </row>
    <row r="85812" ht="15.75" customHeight="1">
      <c r="A85812" s="7"/>
      <c r="B85812" s="7"/>
    </row>
    <row r="85813" ht="15.75" customHeight="1">
      <c r="A85813" s="7"/>
      <c r="B85813" s="7"/>
    </row>
    <row r="85814" ht="15.75" customHeight="1">
      <c r="A85814" s="7"/>
      <c r="B85814" s="7"/>
    </row>
    <row r="85815" ht="15.75" customHeight="1">
      <c r="A85815" s="7"/>
      <c r="B85815" s="7"/>
    </row>
    <row r="85816" ht="15.75" customHeight="1">
      <c r="A85816" s="7"/>
      <c r="B85816" s="7"/>
    </row>
    <row r="85817" ht="15.75" customHeight="1">
      <c r="A85817" s="7"/>
      <c r="B85817" s="7"/>
    </row>
    <row r="85818" ht="15.75" customHeight="1">
      <c r="A85818" s="7"/>
      <c r="B85818" s="7"/>
    </row>
    <row r="85819" ht="15.75" customHeight="1">
      <c r="A85819" s="7"/>
      <c r="B85819" s="7"/>
    </row>
    <row r="85820" ht="15.75" customHeight="1">
      <c r="A85820" s="7"/>
      <c r="B85820" s="7"/>
    </row>
    <row r="85821" ht="15.75" customHeight="1">
      <c r="A85821" s="7"/>
      <c r="B85821" s="7"/>
    </row>
    <row r="85822" ht="15.75" customHeight="1">
      <c r="A85822" s="7"/>
      <c r="B85822" s="7"/>
    </row>
    <row r="85823" ht="15.75" customHeight="1">
      <c r="A85823" s="7"/>
      <c r="B85823" s="7"/>
    </row>
    <row r="85824" ht="15.75" customHeight="1">
      <c r="A85824" s="7"/>
      <c r="B85824" s="7"/>
    </row>
    <row r="85825" ht="15.75" customHeight="1">
      <c r="A85825" s="7"/>
      <c r="B85825" s="7"/>
    </row>
    <row r="85826" ht="15.75" customHeight="1">
      <c r="A85826" s="7"/>
      <c r="B85826" s="7"/>
    </row>
    <row r="85827" ht="15.75" customHeight="1">
      <c r="A85827" s="7"/>
      <c r="B85827" s="7"/>
    </row>
    <row r="85828" ht="15.75" customHeight="1">
      <c r="A85828" s="7"/>
      <c r="B85828" s="7"/>
    </row>
    <row r="85829" ht="15.75" customHeight="1">
      <c r="A85829" s="7"/>
      <c r="B85829" s="7"/>
    </row>
    <row r="85830" ht="15.75" customHeight="1">
      <c r="A85830" s="7"/>
      <c r="B85830" s="7"/>
    </row>
    <row r="85831" ht="15.75" customHeight="1">
      <c r="A85831" s="7"/>
      <c r="B85831" s="7"/>
    </row>
    <row r="85832" ht="15.75" customHeight="1">
      <c r="A85832" s="7"/>
      <c r="B85832" s="7"/>
    </row>
    <row r="85833" ht="15.75" customHeight="1">
      <c r="A85833" s="7"/>
      <c r="B85833" s="7"/>
    </row>
    <row r="85834" ht="15.75" customHeight="1">
      <c r="A85834" s="7"/>
      <c r="B85834" s="7"/>
    </row>
    <row r="85835" ht="15.75" customHeight="1">
      <c r="A85835" s="7"/>
      <c r="B85835" s="7"/>
    </row>
    <row r="85836" ht="15.75" customHeight="1">
      <c r="A85836" s="7"/>
      <c r="B85836" s="7"/>
    </row>
    <row r="85837" ht="15.75" customHeight="1">
      <c r="A85837" s="7"/>
      <c r="B85837" s="7"/>
    </row>
    <row r="85838" ht="15.75" customHeight="1">
      <c r="A85838" s="7"/>
      <c r="B85838" s="7"/>
    </row>
    <row r="85839" ht="15.75" customHeight="1">
      <c r="A85839" s="7"/>
      <c r="B85839" s="7"/>
    </row>
    <row r="85840" ht="15.75" customHeight="1">
      <c r="A85840" s="7"/>
      <c r="B85840" s="7"/>
    </row>
    <row r="85841" ht="15.75" customHeight="1">
      <c r="A85841" s="7"/>
      <c r="B85841" s="7"/>
    </row>
    <row r="85842" ht="15.75" customHeight="1">
      <c r="A85842" s="7"/>
      <c r="B85842" s="7"/>
    </row>
    <row r="85843" ht="15.75" customHeight="1">
      <c r="A85843" s="7"/>
      <c r="B85843" s="7"/>
    </row>
    <row r="85844" ht="15.75" customHeight="1">
      <c r="A85844" s="7"/>
      <c r="B85844" s="7"/>
    </row>
    <row r="85845" ht="15.75" customHeight="1">
      <c r="A85845" s="7"/>
      <c r="B85845" s="7"/>
    </row>
    <row r="85846" ht="15.75" customHeight="1">
      <c r="A85846" s="7"/>
      <c r="B85846" s="7"/>
    </row>
    <row r="85847" ht="15.75" customHeight="1">
      <c r="A85847" s="7"/>
      <c r="B85847" s="7"/>
    </row>
    <row r="85848" ht="15.75" customHeight="1">
      <c r="A85848" s="7"/>
      <c r="B85848" s="7"/>
    </row>
    <row r="85849" ht="15.75" customHeight="1">
      <c r="A85849" s="7"/>
      <c r="B85849" s="7"/>
    </row>
    <row r="85850" ht="15.75" customHeight="1">
      <c r="A85850" s="7"/>
      <c r="B85850" s="7"/>
    </row>
    <row r="85851" ht="15.75" customHeight="1">
      <c r="A85851" s="7"/>
      <c r="B85851" s="7"/>
    </row>
    <row r="85852" ht="15.75" customHeight="1">
      <c r="A85852" s="7"/>
      <c r="B85852" s="7"/>
    </row>
    <row r="85853" ht="15.75" customHeight="1">
      <c r="A85853" s="7"/>
      <c r="B85853" s="7"/>
    </row>
    <row r="85854" ht="15.75" customHeight="1">
      <c r="A85854" s="7"/>
      <c r="B85854" s="7"/>
    </row>
    <row r="85855" ht="15.75" customHeight="1">
      <c r="A85855" s="7"/>
      <c r="B85855" s="7"/>
    </row>
    <row r="85856" ht="15.75" customHeight="1">
      <c r="A85856" s="7"/>
      <c r="B85856" s="7"/>
    </row>
    <row r="85857" ht="15.75" customHeight="1">
      <c r="A85857" s="7"/>
      <c r="B85857" s="7"/>
    </row>
    <row r="85858" ht="15.75" customHeight="1">
      <c r="A85858" s="7"/>
      <c r="B85858" s="7"/>
    </row>
    <row r="85859" ht="15.75" customHeight="1">
      <c r="A85859" s="7"/>
      <c r="B85859" s="7"/>
    </row>
    <row r="85860" ht="15.75" customHeight="1">
      <c r="A85860" s="7"/>
      <c r="B85860" s="7"/>
    </row>
    <row r="85861" ht="15.75" customHeight="1">
      <c r="A85861" s="7"/>
      <c r="B85861" s="7"/>
    </row>
    <row r="85862" ht="15.75" customHeight="1">
      <c r="A85862" s="7"/>
      <c r="B85862" s="7"/>
    </row>
    <row r="85863" ht="15.75" customHeight="1">
      <c r="A85863" s="7"/>
      <c r="B85863" s="7"/>
    </row>
    <row r="85864" ht="15.75" customHeight="1">
      <c r="A85864" s="7"/>
      <c r="B85864" s="7"/>
    </row>
    <row r="85865" ht="15.75" customHeight="1">
      <c r="A85865" s="7"/>
      <c r="B85865" s="7"/>
    </row>
    <row r="85866" ht="15.75" customHeight="1">
      <c r="A85866" s="7"/>
      <c r="B85866" s="7"/>
    </row>
    <row r="85867" ht="15.75" customHeight="1">
      <c r="A85867" s="7"/>
      <c r="B85867" s="7"/>
    </row>
    <row r="85868" ht="15.75" customHeight="1">
      <c r="A85868" s="7"/>
      <c r="B85868" s="7"/>
    </row>
    <row r="85869" ht="15.75" customHeight="1">
      <c r="A85869" s="7"/>
      <c r="B85869" s="7"/>
    </row>
    <row r="85870" ht="15.75" customHeight="1">
      <c r="A85870" s="7"/>
      <c r="B85870" s="7"/>
    </row>
    <row r="85871" ht="15.75" customHeight="1">
      <c r="A85871" s="7"/>
      <c r="B85871" s="7"/>
    </row>
    <row r="85872" ht="15.75" customHeight="1">
      <c r="A85872" s="7"/>
      <c r="B85872" s="7"/>
    </row>
    <row r="85873" ht="15.75" customHeight="1">
      <c r="A85873" s="7"/>
      <c r="B85873" s="7"/>
    </row>
    <row r="85874" ht="15.75" customHeight="1">
      <c r="A85874" s="7"/>
      <c r="B85874" s="7"/>
    </row>
    <row r="85875" ht="15.75" customHeight="1">
      <c r="A85875" s="7"/>
      <c r="B85875" s="7"/>
    </row>
    <row r="85876" ht="15.75" customHeight="1">
      <c r="A85876" s="7"/>
      <c r="B85876" s="7"/>
    </row>
    <row r="85877" ht="15.75" customHeight="1">
      <c r="A85877" s="7"/>
      <c r="B85877" s="7"/>
    </row>
    <row r="85878" ht="15.75" customHeight="1">
      <c r="A85878" s="7"/>
      <c r="B85878" s="7"/>
    </row>
    <row r="85879" ht="15.75" customHeight="1">
      <c r="A85879" s="7"/>
      <c r="B85879" s="7"/>
    </row>
    <row r="85880" ht="15.75" customHeight="1">
      <c r="A85880" s="7"/>
      <c r="B85880" s="7"/>
    </row>
    <row r="85881" ht="15.75" customHeight="1">
      <c r="A85881" s="7"/>
      <c r="B85881" s="7"/>
    </row>
    <row r="85882" ht="15.75" customHeight="1">
      <c r="A85882" s="7"/>
      <c r="B85882" s="7"/>
    </row>
    <row r="85883" ht="15.75" customHeight="1">
      <c r="A85883" s="7"/>
      <c r="B85883" s="7"/>
    </row>
    <row r="85884" ht="15.75" customHeight="1">
      <c r="A85884" s="7"/>
      <c r="B85884" s="7"/>
    </row>
    <row r="85885" ht="15.75" customHeight="1">
      <c r="A85885" s="7"/>
      <c r="B85885" s="7"/>
    </row>
    <row r="85886" ht="15.75" customHeight="1">
      <c r="A85886" s="7"/>
      <c r="B85886" s="7"/>
    </row>
    <row r="85887" ht="15.75" customHeight="1">
      <c r="A85887" s="7"/>
      <c r="B85887" s="7"/>
    </row>
    <row r="85888" ht="15.75" customHeight="1">
      <c r="A85888" s="7"/>
      <c r="B85888" s="7"/>
    </row>
    <row r="85889" ht="15.75" customHeight="1">
      <c r="A85889" s="7"/>
      <c r="B85889" s="7"/>
    </row>
    <row r="85890" ht="15.75" customHeight="1">
      <c r="A85890" s="7"/>
      <c r="B85890" s="7"/>
    </row>
    <row r="85891" ht="15.75" customHeight="1">
      <c r="A85891" s="7"/>
      <c r="B85891" s="7"/>
    </row>
    <row r="85892" ht="15.75" customHeight="1">
      <c r="A85892" s="7"/>
      <c r="B85892" s="7"/>
    </row>
    <row r="85893" ht="15.75" customHeight="1">
      <c r="A85893" s="7"/>
      <c r="B85893" s="7"/>
    </row>
    <row r="85894" ht="15.75" customHeight="1">
      <c r="A85894" s="7"/>
      <c r="B85894" s="7"/>
    </row>
    <row r="85895" ht="15.75" customHeight="1">
      <c r="A85895" s="7"/>
      <c r="B85895" s="7"/>
    </row>
    <row r="85896" ht="15.75" customHeight="1">
      <c r="A85896" s="7"/>
      <c r="B85896" s="7"/>
    </row>
    <row r="85897" ht="15.75" customHeight="1">
      <c r="A85897" s="7"/>
      <c r="B85897" s="7"/>
    </row>
    <row r="85898" ht="15.75" customHeight="1">
      <c r="A85898" s="7"/>
      <c r="B85898" s="7"/>
    </row>
    <row r="85899" ht="15.75" customHeight="1">
      <c r="A85899" s="7"/>
      <c r="B85899" s="7"/>
    </row>
    <row r="85900" ht="15.75" customHeight="1">
      <c r="A85900" s="7"/>
      <c r="B85900" s="7"/>
    </row>
    <row r="85901" ht="15.75" customHeight="1">
      <c r="A85901" s="7"/>
      <c r="B85901" s="7"/>
    </row>
    <row r="85902" ht="15.75" customHeight="1">
      <c r="A85902" s="7"/>
      <c r="B85902" s="7"/>
    </row>
    <row r="85903" ht="15.75" customHeight="1">
      <c r="A85903" s="7"/>
      <c r="B85903" s="7"/>
    </row>
    <row r="85904" ht="15.75" customHeight="1">
      <c r="A85904" s="7"/>
      <c r="B85904" s="7"/>
    </row>
    <row r="85905" ht="15.75" customHeight="1">
      <c r="A85905" s="7"/>
      <c r="B85905" s="7"/>
    </row>
    <row r="85906" ht="15.75" customHeight="1">
      <c r="A85906" s="7"/>
      <c r="B85906" s="7"/>
    </row>
    <row r="85907" ht="15.75" customHeight="1">
      <c r="A85907" s="7"/>
      <c r="B85907" s="7"/>
    </row>
    <row r="85908" ht="15.75" customHeight="1">
      <c r="A85908" s="7"/>
      <c r="B85908" s="7"/>
    </row>
    <row r="85909" ht="15.75" customHeight="1">
      <c r="A85909" s="7"/>
      <c r="B85909" s="7"/>
    </row>
    <row r="85910" ht="15.75" customHeight="1">
      <c r="A85910" s="7"/>
      <c r="B85910" s="7"/>
    </row>
    <row r="85911" ht="15.75" customHeight="1">
      <c r="A85911" s="7"/>
      <c r="B85911" s="7"/>
    </row>
    <row r="85912" ht="15.75" customHeight="1">
      <c r="A85912" s="7"/>
      <c r="B85912" s="7"/>
    </row>
    <row r="85913" ht="15.75" customHeight="1">
      <c r="A85913" s="7"/>
      <c r="B85913" s="7"/>
    </row>
    <row r="85914" ht="15.75" customHeight="1">
      <c r="A85914" s="7"/>
      <c r="B85914" s="7"/>
    </row>
    <row r="85915" ht="15.75" customHeight="1">
      <c r="A85915" s="7"/>
      <c r="B85915" s="7"/>
    </row>
    <row r="85916" ht="15.75" customHeight="1">
      <c r="A85916" s="7"/>
      <c r="B85916" s="7"/>
    </row>
    <row r="85917" ht="15.75" customHeight="1">
      <c r="A85917" s="7"/>
      <c r="B85917" s="7"/>
    </row>
    <row r="85918" ht="15.75" customHeight="1">
      <c r="A85918" s="7"/>
      <c r="B85918" s="7"/>
    </row>
    <row r="85919" ht="15.75" customHeight="1">
      <c r="A85919" s="7"/>
      <c r="B85919" s="7"/>
    </row>
    <row r="85920" ht="15.75" customHeight="1">
      <c r="A85920" s="7"/>
      <c r="B85920" s="7"/>
    </row>
    <row r="85921" ht="15.75" customHeight="1">
      <c r="A85921" s="7"/>
      <c r="B85921" s="7"/>
    </row>
    <row r="85922" ht="15.75" customHeight="1">
      <c r="A85922" s="7"/>
      <c r="B85922" s="7"/>
    </row>
    <row r="85923" ht="15.75" customHeight="1">
      <c r="A85923" s="7"/>
      <c r="B85923" s="7"/>
    </row>
    <row r="85924" ht="15.75" customHeight="1">
      <c r="A85924" s="7"/>
      <c r="B85924" s="7"/>
    </row>
    <row r="85925" ht="15.75" customHeight="1">
      <c r="A85925" s="7"/>
      <c r="B85925" s="7"/>
    </row>
    <row r="85926" ht="15.75" customHeight="1">
      <c r="A85926" s="7"/>
      <c r="B85926" s="7"/>
    </row>
    <row r="85927" ht="15.75" customHeight="1">
      <c r="A85927" s="7"/>
      <c r="B85927" s="7"/>
    </row>
    <row r="85928" ht="15.75" customHeight="1">
      <c r="A85928" s="7"/>
      <c r="B85928" s="7"/>
    </row>
    <row r="85929" ht="15.75" customHeight="1">
      <c r="A85929" s="7"/>
      <c r="B85929" s="7"/>
    </row>
    <row r="85930" ht="15.75" customHeight="1">
      <c r="A85930" s="7"/>
      <c r="B85930" s="7"/>
    </row>
    <row r="85931" ht="15.75" customHeight="1">
      <c r="A85931" s="7"/>
      <c r="B85931" s="7"/>
    </row>
    <row r="85932" ht="15.75" customHeight="1">
      <c r="A85932" s="7"/>
      <c r="B85932" s="7"/>
    </row>
    <row r="85933" ht="15.75" customHeight="1">
      <c r="A85933" s="7"/>
      <c r="B85933" s="7"/>
    </row>
    <row r="85934" ht="15.75" customHeight="1">
      <c r="A85934" s="7"/>
      <c r="B85934" s="7"/>
    </row>
    <row r="85935" ht="15.75" customHeight="1">
      <c r="A85935" s="7"/>
      <c r="B85935" s="7"/>
    </row>
    <row r="85936" ht="15.75" customHeight="1">
      <c r="A85936" s="7"/>
      <c r="B85936" s="7"/>
    </row>
    <row r="85937" ht="15.75" customHeight="1">
      <c r="A85937" s="7"/>
      <c r="B85937" s="7"/>
    </row>
    <row r="85938" ht="15.75" customHeight="1">
      <c r="A85938" s="7"/>
      <c r="B85938" s="7"/>
    </row>
    <row r="85939" ht="15.75" customHeight="1">
      <c r="A85939" s="7"/>
      <c r="B85939" s="7"/>
    </row>
    <row r="85940" ht="15.75" customHeight="1">
      <c r="A85940" s="7"/>
      <c r="B85940" s="7"/>
    </row>
    <row r="85941" ht="15.75" customHeight="1">
      <c r="A85941" s="7"/>
      <c r="B85941" s="7"/>
    </row>
    <row r="85942" ht="15.75" customHeight="1">
      <c r="A85942" s="7"/>
      <c r="B85942" s="7"/>
    </row>
    <row r="85943" ht="15.75" customHeight="1">
      <c r="A85943" s="7"/>
      <c r="B85943" s="7"/>
    </row>
    <row r="85944" ht="15.75" customHeight="1">
      <c r="A85944" s="7"/>
      <c r="B85944" s="7"/>
    </row>
    <row r="85945" ht="15.75" customHeight="1">
      <c r="A85945" s="7"/>
      <c r="B85945" s="7"/>
    </row>
    <row r="85946" ht="15.75" customHeight="1">
      <c r="A85946" s="7"/>
      <c r="B85946" s="7"/>
    </row>
    <row r="85947" ht="15.75" customHeight="1">
      <c r="A85947" s="7"/>
      <c r="B85947" s="7"/>
    </row>
    <row r="85948" ht="15.75" customHeight="1">
      <c r="A85948" s="7"/>
      <c r="B85948" s="7"/>
    </row>
    <row r="85949" ht="15.75" customHeight="1">
      <c r="A85949" s="7"/>
      <c r="B85949" s="7"/>
    </row>
    <row r="85950" ht="15.75" customHeight="1">
      <c r="A85950" s="7"/>
      <c r="B85950" s="7"/>
    </row>
    <row r="85951" ht="15.75" customHeight="1">
      <c r="A85951" s="7"/>
      <c r="B85951" s="7"/>
    </row>
    <row r="85952" ht="15.75" customHeight="1">
      <c r="A85952" s="7"/>
      <c r="B85952" s="7"/>
    </row>
    <row r="85953" ht="15.75" customHeight="1">
      <c r="A85953" s="7"/>
      <c r="B85953" s="7"/>
    </row>
    <row r="85954" ht="15.75" customHeight="1">
      <c r="A85954" s="7"/>
      <c r="B85954" s="7"/>
    </row>
    <row r="85955" ht="15.75" customHeight="1">
      <c r="A85955" s="7"/>
      <c r="B85955" s="7"/>
    </row>
    <row r="85956" ht="15.75" customHeight="1">
      <c r="A85956" s="7"/>
      <c r="B85956" s="7"/>
    </row>
    <row r="85957" ht="15.75" customHeight="1">
      <c r="A85957" s="7"/>
      <c r="B85957" s="7"/>
    </row>
    <row r="85958" ht="15.75" customHeight="1">
      <c r="A85958" s="7"/>
      <c r="B85958" s="7"/>
    </row>
    <row r="85959" ht="15.75" customHeight="1">
      <c r="A85959" s="7"/>
      <c r="B85959" s="7"/>
    </row>
    <row r="85960" ht="15.75" customHeight="1">
      <c r="A85960" s="7"/>
      <c r="B85960" s="7"/>
    </row>
    <row r="85961" ht="15.75" customHeight="1">
      <c r="A85961" s="7"/>
      <c r="B85961" s="7"/>
    </row>
    <row r="85962" ht="15.75" customHeight="1">
      <c r="A85962" s="7"/>
      <c r="B85962" s="7"/>
    </row>
    <row r="85963" ht="15.75" customHeight="1">
      <c r="A85963" s="7"/>
      <c r="B85963" s="7"/>
    </row>
    <row r="85964" ht="15.75" customHeight="1">
      <c r="A85964" s="7"/>
      <c r="B85964" s="7"/>
    </row>
    <row r="85965" ht="15.75" customHeight="1">
      <c r="A85965" s="7"/>
      <c r="B85965" s="7"/>
    </row>
    <row r="85966" ht="15.75" customHeight="1">
      <c r="A85966" s="7"/>
      <c r="B85966" s="7"/>
    </row>
    <row r="85967" ht="15.75" customHeight="1">
      <c r="A85967" s="7"/>
      <c r="B85967" s="7"/>
    </row>
    <row r="85968" ht="15.75" customHeight="1">
      <c r="A85968" s="7"/>
      <c r="B85968" s="7"/>
    </row>
    <row r="85969" ht="15.75" customHeight="1">
      <c r="A85969" s="7"/>
      <c r="B85969" s="7"/>
    </row>
    <row r="85970" ht="15.75" customHeight="1">
      <c r="A85970" s="7"/>
      <c r="B85970" s="7"/>
    </row>
    <row r="85971" ht="15.75" customHeight="1">
      <c r="A85971" s="7"/>
      <c r="B85971" s="7"/>
    </row>
    <row r="85972" ht="15.75" customHeight="1">
      <c r="A85972" s="7"/>
      <c r="B85972" s="7"/>
    </row>
    <row r="85973" ht="15.75" customHeight="1">
      <c r="A85973" s="7"/>
      <c r="B85973" s="7"/>
    </row>
    <row r="85974" ht="15.75" customHeight="1">
      <c r="A85974" s="7"/>
      <c r="B85974" s="7"/>
    </row>
    <row r="85975" ht="15.75" customHeight="1">
      <c r="A85975" s="7"/>
      <c r="B85975" s="7"/>
    </row>
    <row r="85976" ht="15.75" customHeight="1">
      <c r="A85976" s="7"/>
      <c r="B85976" s="7"/>
    </row>
    <row r="85977" ht="15.75" customHeight="1">
      <c r="A85977" s="7"/>
      <c r="B85977" s="7"/>
    </row>
    <row r="85978" ht="15.75" customHeight="1">
      <c r="A85978" s="7"/>
      <c r="B85978" s="7"/>
    </row>
    <row r="85979" ht="15.75" customHeight="1">
      <c r="A85979" s="7"/>
      <c r="B85979" s="7"/>
    </row>
    <row r="85980" ht="15.75" customHeight="1">
      <c r="A85980" s="7"/>
      <c r="B85980" s="7"/>
    </row>
    <row r="85981" ht="15.75" customHeight="1">
      <c r="A85981" s="7"/>
      <c r="B85981" s="7"/>
    </row>
    <row r="85982" ht="15.75" customHeight="1">
      <c r="A85982" s="7"/>
      <c r="B85982" s="7"/>
    </row>
    <row r="85983" ht="15.75" customHeight="1">
      <c r="A85983" s="7"/>
      <c r="B85983" s="7"/>
    </row>
    <row r="85984" ht="15.75" customHeight="1">
      <c r="A85984" s="7"/>
      <c r="B85984" s="7"/>
    </row>
    <row r="85985" ht="15.75" customHeight="1">
      <c r="A85985" s="7"/>
      <c r="B85985" s="7"/>
    </row>
    <row r="85986" ht="15.75" customHeight="1">
      <c r="A85986" s="7"/>
      <c r="B85986" s="7"/>
    </row>
    <row r="85987" ht="15.75" customHeight="1">
      <c r="A85987" s="7"/>
      <c r="B85987" s="7"/>
    </row>
    <row r="85988" ht="15.75" customHeight="1">
      <c r="A85988" s="7"/>
      <c r="B85988" s="7"/>
    </row>
    <row r="85989" ht="15.75" customHeight="1">
      <c r="A85989" s="7"/>
      <c r="B85989" s="7"/>
    </row>
    <row r="85990" ht="15.75" customHeight="1">
      <c r="A85990" s="7"/>
      <c r="B85990" s="7"/>
    </row>
    <row r="85991" ht="15.75" customHeight="1">
      <c r="A85991" s="7"/>
      <c r="B85991" s="7"/>
    </row>
    <row r="85992" ht="15.75" customHeight="1">
      <c r="A85992" s="7"/>
      <c r="B85992" s="7"/>
    </row>
    <row r="85993" ht="15.75" customHeight="1">
      <c r="A85993" s="7"/>
      <c r="B85993" s="7"/>
    </row>
    <row r="85994" ht="15.75" customHeight="1">
      <c r="A85994" s="7"/>
      <c r="B85994" s="7"/>
    </row>
    <row r="85995" ht="15.75" customHeight="1">
      <c r="A85995" s="7"/>
      <c r="B85995" s="7"/>
    </row>
    <row r="85996" ht="15.75" customHeight="1">
      <c r="A85996" s="7"/>
      <c r="B85996" s="7"/>
    </row>
    <row r="85997" ht="15.75" customHeight="1">
      <c r="A85997" s="7"/>
      <c r="B85997" s="7"/>
    </row>
    <row r="85998" ht="15.75" customHeight="1">
      <c r="A85998" s="7"/>
      <c r="B85998" s="7"/>
    </row>
    <row r="85999" ht="15.75" customHeight="1">
      <c r="A85999" s="7"/>
      <c r="B85999" s="7"/>
    </row>
    <row r="86000" ht="15.75" customHeight="1">
      <c r="A86000" s="7"/>
      <c r="B86000" s="7"/>
    </row>
    <row r="86001" ht="15.75" customHeight="1">
      <c r="A86001" s="7"/>
      <c r="B86001" s="7"/>
    </row>
    <row r="86002" ht="15.75" customHeight="1">
      <c r="A86002" s="7"/>
      <c r="B86002" s="7"/>
    </row>
    <row r="86003" ht="15.75" customHeight="1">
      <c r="A86003" s="7"/>
      <c r="B86003" s="7"/>
    </row>
    <row r="86004" ht="15.75" customHeight="1">
      <c r="A86004" s="7"/>
      <c r="B86004" s="7"/>
    </row>
    <row r="86005" ht="15.75" customHeight="1">
      <c r="A86005" s="7"/>
      <c r="B86005" s="7"/>
    </row>
    <row r="86006" ht="15.75" customHeight="1">
      <c r="A86006" s="7"/>
      <c r="B86006" s="7"/>
    </row>
    <row r="86007" ht="15.75" customHeight="1">
      <c r="A86007" s="7"/>
      <c r="B86007" s="7"/>
    </row>
    <row r="86008" ht="15.75" customHeight="1">
      <c r="A86008" s="7"/>
      <c r="B86008" s="7"/>
    </row>
    <row r="86009" ht="15.75" customHeight="1">
      <c r="A86009" s="7"/>
      <c r="B86009" s="7"/>
    </row>
    <row r="86010" ht="15.75" customHeight="1">
      <c r="A86010" s="7"/>
      <c r="B86010" s="7"/>
    </row>
    <row r="86011" ht="15.75" customHeight="1">
      <c r="A86011" s="7"/>
      <c r="B86011" s="7"/>
    </row>
    <row r="86012" ht="15.75" customHeight="1">
      <c r="A86012" s="7"/>
      <c r="B86012" s="7"/>
    </row>
    <row r="86013" ht="15.75" customHeight="1">
      <c r="A86013" s="7"/>
      <c r="B86013" s="7"/>
    </row>
    <row r="86014" ht="15.75" customHeight="1">
      <c r="A86014" s="7"/>
      <c r="B86014" s="7"/>
    </row>
    <row r="86015" ht="15.75" customHeight="1">
      <c r="A86015" s="7"/>
      <c r="B86015" s="7"/>
    </row>
    <row r="86016" ht="15.75" customHeight="1">
      <c r="A86016" s="7"/>
      <c r="B86016" s="7"/>
    </row>
    <row r="86017" ht="15.75" customHeight="1">
      <c r="A86017" s="7"/>
      <c r="B86017" s="7"/>
    </row>
    <row r="86018" ht="15.75" customHeight="1">
      <c r="A86018" s="7"/>
      <c r="B86018" s="7"/>
    </row>
    <row r="86019" ht="15.75" customHeight="1">
      <c r="A86019" s="7"/>
      <c r="B86019" s="7"/>
    </row>
    <row r="86020" ht="15.75" customHeight="1">
      <c r="A86020" s="7"/>
      <c r="B86020" s="7"/>
    </row>
    <row r="86021" ht="15.75" customHeight="1">
      <c r="A86021" s="7"/>
      <c r="B86021" s="7"/>
    </row>
    <row r="86022" ht="15.75" customHeight="1">
      <c r="A86022" s="7"/>
      <c r="B86022" s="7"/>
    </row>
    <row r="86023" ht="15.75" customHeight="1">
      <c r="A86023" s="7"/>
      <c r="B86023" s="7"/>
    </row>
    <row r="86024" ht="15.75" customHeight="1">
      <c r="A86024" s="7"/>
      <c r="B86024" s="7"/>
    </row>
    <row r="86025" ht="15.75" customHeight="1">
      <c r="A86025" s="7"/>
      <c r="B86025" s="7"/>
    </row>
    <row r="86026" ht="15.75" customHeight="1">
      <c r="A86026" s="7"/>
      <c r="B86026" s="7"/>
    </row>
    <row r="86027" ht="15.75" customHeight="1">
      <c r="A86027" s="7"/>
      <c r="B86027" s="7"/>
    </row>
    <row r="86028" ht="15.75" customHeight="1">
      <c r="A86028" s="7"/>
      <c r="B86028" s="7"/>
    </row>
    <row r="86029" ht="15.75" customHeight="1">
      <c r="A86029" s="7"/>
      <c r="B86029" s="7"/>
    </row>
    <row r="86030" ht="15.75" customHeight="1">
      <c r="A86030" s="7"/>
      <c r="B86030" s="7"/>
    </row>
    <row r="86031" ht="15.75" customHeight="1">
      <c r="A86031" s="7"/>
      <c r="B86031" s="7"/>
    </row>
    <row r="86032" ht="15.75" customHeight="1">
      <c r="A86032" s="7"/>
      <c r="B86032" s="7"/>
    </row>
    <row r="86033" ht="15.75" customHeight="1">
      <c r="A86033" s="7"/>
      <c r="B86033" s="7"/>
    </row>
    <row r="86034" ht="15.75" customHeight="1">
      <c r="A86034" s="7"/>
      <c r="B86034" s="7"/>
    </row>
    <row r="86035" ht="15.75" customHeight="1">
      <c r="A86035" s="7"/>
      <c r="B86035" s="7"/>
    </row>
    <row r="86036" ht="15.75" customHeight="1">
      <c r="A86036" s="7"/>
      <c r="B86036" s="7"/>
    </row>
    <row r="86037" ht="15.75" customHeight="1">
      <c r="A86037" s="7"/>
      <c r="B86037" s="7"/>
    </row>
    <row r="86038" ht="15.75" customHeight="1">
      <c r="A86038" s="7"/>
      <c r="B86038" s="7"/>
    </row>
    <row r="86039" ht="15.75" customHeight="1">
      <c r="A86039" s="7"/>
      <c r="B86039" s="7"/>
    </row>
    <row r="86040" ht="15.75" customHeight="1">
      <c r="A86040" s="7"/>
      <c r="B86040" s="7"/>
    </row>
    <row r="86041" ht="15.75" customHeight="1">
      <c r="A86041" s="7"/>
      <c r="B86041" s="7"/>
    </row>
    <row r="86042" ht="15.75" customHeight="1">
      <c r="A86042" s="7"/>
      <c r="B86042" s="7"/>
    </row>
    <row r="86043" ht="15.75" customHeight="1">
      <c r="A86043" s="7"/>
      <c r="B86043" s="7"/>
    </row>
    <row r="86044" ht="15.75" customHeight="1">
      <c r="A86044" s="7"/>
      <c r="B86044" s="7"/>
    </row>
    <row r="86045" ht="15.75" customHeight="1">
      <c r="A86045" s="7"/>
      <c r="B86045" s="7"/>
    </row>
    <row r="86046" ht="15.75" customHeight="1">
      <c r="A86046" s="7"/>
      <c r="B86046" s="7"/>
    </row>
    <row r="86047" ht="15.75" customHeight="1">
      <c r="A86047" s="7"/>
      <c r="B86047" s="7"/>
    </row>
    <row r="86048" ht="15.75" customHeight="1">
      <c r="A86048" s="7"/>
      <c r="B86048" s="7"/>
    </row>
    <row r="86049" ht="15.75" customHeight="1">
      <c r="A86049" s="7"/>
      <c r="B86049" s="7"/>
    </row>
    <row r="86050" ht="15.75" customHeight="1">
      <c r="A86050" s="7"/>
      <c r="B86050" s="7"/>
    </row>
    <row r="86051" ht="15.75" customHeight="1">
      <c r="A86051" s="7"/>
      <c r="B86051" s="7"/>
    </row>
    <row r="86052" ht="15.75" customHeight="1">
      <c r="A86052" s="7"/>
      <c r="B86052" s="7"/>
    </row>
    <row r="86053" ht="15.75" customHeight="1">
      <c r="A86053" s="7"/>
      <c r="B86053" s="7"/>
    </row>
    <row r="86054" ht="15.75" customHeight="1">
      <c r="A86054" s="7"/>
      <c r="B86054" s="7"/>
    </row>
    <row r="86055" ht="15.75" customHeight="1">
      <c r="A86055" s="7"/>
      <c r="B86055" s="7"/>
    </row>
    <row r="86056" ht="15.75" customHeight="1">
      <c r="A86056" s="7"/>
      <c r="B86056" s="7"/>
    </row>
    <row r="86057" ht="15.75" customHeight="1">
      <c r="A86057" s="7"/>
      <c r="B86057" s="7"/>
    </row>
    <row r="86058" ht="15.75" customHeight="1">
      <c r="A86058" s="7"/>
      <c r="B86058" s="7"/>
    </row>
    <row r="86059" ht="15.75" customHeight="1">
      <c r="A86059" s="7"/>
      <c r="B86059" s="7"/>
    </row>
    <row r="86060" ht="15.75" customHeight="1">
      <c r="A86060" s="7"/>
      <c r="B86060" s="7"/>
    </row>
    <row r="86061" ht="15.75" customHeight="1">
      <c r="A86061" s="7"/>
      <c r="B86061" s="7"/>
    </row>
    <row r="86062" ht="15.75" customHeight="1">
      <c r="A86062" s="7"/>
      <c r="B86062" s="7"/>
    </row>
    <row r="86063" ht="15.75" customHeight="1">
      <c r="A86063" s="7"/>
      <c r="B86063" s="7"/>
    </row>
    <row r="86064" ht="15.75" customHeight="1">
      <c r="A86064" s="7"/>
      <c r="B86064" s="7"/>
    </row>
    <row r="86065" ht="15.75" customHeight="1">
      <c r="A86065" s="7"/>
      <c r="B86065" s="7"/>
    </row>
    <row r="86066" ht="15.75" customHeight="1">
      <c r="A86066" s="7"/>
      <c r="B86066" s="7"/>
    </row>
    <row r="86067" ht="15.75" customHeight="1">
      <c r="A86067" s="7"/>
      <c r="B86067" s="7"/>
    </row>
    <row r="86068" ht="15.75" customHeight="1">
      <c r="A86068" s="7"/>
      <c r="B86068" s="7"/>
    </row>
    <row r="86069" ht="15.75" customHeight="1">
      <c r="A86069" s="7"/>
      <c r="B86069" s="7"/>
    </row>
    <row r="86070" ht="15.75" customHeight="1">
      <c r="A86070" s="7"/>
      <c r="B86070" s="7"/>
    </row>
    <row r="86071" ht="15.75" customHeight="1">
      <c r="A86071" s="7"/>
      <c r="B86071" s="7"/>
    </row>
    <row r="86072" ht="15.75" customHeight="1">
      <c r="A86072" s="7"/>
      <c r="B86072" s="7"/>
    </row>
    <row r="86073" ht="15.75" customHeight="1">
      <c r="A86073" s="7"/>
      <c r="B86073" s="7"/>
    </row>
    <row r="86074" ht="15.75" customHeight="1">
      <c r="A86074" s="7"/>
      <c r="B86074" s="7"/>
    </row>
    <row r="86075" ht="15.75" customHeight="1">
      <c r="A86075" s="7"/>
      <c r="B86075" s="7"/>
    </row>
    <row r="86076" ht="15.75" customHeight="1">
      <c r="A86076" s="7"/>
      <c r="B86076" s="7"/>
    </row>
    <row r="86077" ht="15.75" customHeight="1">
      <c r="A86077" s="7"/>
      <c r="B86077" s="7"/>
    </row>
    <row r="86078" ht="15.75" customHeight="1">
      <c r="A86078" s="7"/>
      <c r="B86078" s="7"/>
    </row>
    <row r="86079" ht="15.75" customHeight="1">
      <c r="A86079" s="7"/>
      <c r="B86079" s="7"/>
    </row>
    <row r="86080" ht="15.75" customHeight="1">
      <c r="A86080" s="7"/>
      <c r="B86080" s="7"/>
    </row>
    <row r="86081" ht="15.75" customHeight="1">
      <c r="A86081" s="7"/>
      <c r="B86081" s="7"/>
    </row>
    <row r="86082" ht="15.75" customHeight="1">
      <c r="A86082" s="7"/>
      <c r="B86082" s="7"/>
    </row>
    <row r="86083" ht="15.75" customHeight="1">
      <c r="A86083" s="7"/>
      <c r="B86083" s="7"/>
    </row>
    <row r="86084" ht="15.75" customHeight="1">
      <c r="A86084" s="7"/>
      <c r="B86084" s="7"/>
    </row>
    <row r="86085" ht="15.75" customHeight="1">
      <c r="A86085" s="7"/>
      <c r="B86085" s="7"/>
    </row>
    <row r="86086" ht="15.75" customHeight="1">
      <c r="A86086" s="7"/>
      <c r="B86086" s="7"/>
    </row>
    <row r="86087" ht="15.75" customHeight="1">
      <c r="A86087" s="7"/>
      <c r="B86087" s="7"/>
    </row>
    <row r="86088" ht="15.75" customHeight="1">
      <c r="A86088" s="7"/>
      <c r="B86088" s="7"/>
    </row>
    <row r="86089" ht="15.75" customHeight="1">
      <c r="A86089" s="7"/>
      <c r="B86089" s="7"/>
    </row>
    <row r="86090" ht="15.75" customHeight="1">
      <c r="A86090" s="7"/>
      <c r="B86090" s="7"/>
    </row>
    <row r="86091" ht="15.75" customHeight="1">
      <c r="A86091" s="7"/>
      <c r="B86091" s="7"/>
    </row>
    <row r="86092" ht="15.75" customHeight="1">
      <c r="A86092" s="7"/>
      <c r="B86092" s="7"/>
    </row>
    <row r="86093" ht="15.75" customHeight="1">
      <c r="A86093" s="7"/>
      <c r="B86093" s="7"/>
    </row>
    <row r="86094" ht="15.75" customHeight="1">
      <c r="A86094" s="7"/>
      <c r="B86094" s="7"/>
    </row>
    <row r="86095" ht="15.75" customHeight="1">
      <c r="A86095" s="7"/>
      <c r="B86095" s="7"/>
    </row>
    <row r="86096" ht="15.75" customHeight="1">
      <c r="A86096" s="7"/>
      <c r="B86096" s="7"/>
    </row>
    <row r="86097" ht="15.75" customHeight="1">
      <c r="A86097" s="7"/>
      <c r="B86097" s="7"/>
    </row>
    <row r="86098" ht="15.75" customHeight="1">
      <c r="A86098" s="7"/>
      <c r="B86098" s="7"/>
    </row>
    <row r="86099" ht="15.75" customHeight="1">
      <c r="A86099" s="7"/>
      <c r="B86099" s="7"/>
    </row>
    <row r="86100" ht="15.75" customHeight="1">
      <c r="A86100" s="7"/>
      <c r="B86100" s="7"/>
    </row>
    <row r="86101" ht="15.75" customHeight="1">
      <c r="A86101" s="7"/>
      <c r="B86101" s="7"/>
    </row>
    <row r="86102" ht="15.75" customHeight="1">
      <c r="A86102" s="7"/>
      <c r="B86102" s="7"/>
    </row>
    <row r="86103" ht="15.75" customHeight="1">
      <c r="A86103" s="7"/>
      <c r="B86103" s="7"/>
    </row>
    <row r="86104" ht="15.75" customHeight="1">
      <c r="A86104" s="7"/>
      <c r="B86104" s="7"/>
    </row>
    <row r="86105" ht="15.75" customHeight="1">
      <c r="A86105" s="7"/>
      <c r="B86105" s="7"/>
    </row>
    <row r="86106" ht="15.75" customHeight="1">
      <c r="A86106" s="7"/>
      <c r="B86106" s="7"/>
    </row>
    <row r="86107" ht="15.75" customHeight="1">
      <c r="A86107" s="7"/>
      <c r="B86107" s="7"/>
    </row>
    <row r="86108" ht="15.75" customHeight="1">
      <c r="A86108" s="7"/>
      <c r="B86108" s="7"/>
    </row>
    <row r="86109" ht="15.75" customHeight="1">
      <c r="A86109" s="7"/>
      <c r="B86109" s="7"/>
    </row>
    <row r="86110" ht="15.75" customHeight="1">
      <c r="A86110" s="7"/>
      <c r="B86110" s="7"/>
    </row>
    <row r="86111" ht="15.75" customHeight="1">
      <c r="A86111" s="7"/>
      <c r="B86111" s="7"/>
    </row>
    <row r="86112" ht="15.75" customHeight="1">
      <c r="A86112" s="7"/>
      <c r="B86112" s="7"/>
    </row>
    <row r="86113" ht="15.75" customHeight="1">
      <c r="A86113" s="7"/>
      <c r="B86113" s="7"/>
    </row>
    <row r="86114" ht="15.75" customHeight="1">
      <c r="A86114" s="7"/>
      <c r="B86114" s="7"/>
    </row>
    <row r="86115" ht="15.75" customHeight="1">
      <c r="A86115" s="7"/>
      <c r="B86115" s="7"/>
    </row>
    <row r="86116" ht="15.75" customHeight="1">
      <c r="A86116" s="7"/>
      <c r="B86116" s="7"/>
    </row>
    <row r="86117" ht="15.75" customHeight="1">
      <c r="A86117" s="7"/>
      <c r="B86117" s="7"/>
    </row>
    <row r="86118" ht="15.75" customHeight="1">
      <c r="A86118" s="7"/>
      <c r="B86118" s="7"/>
    </row>
    <row r="86119" ht="15.75" customHeight="1">
      <c r="A86119" s="7"/>
      <c r="B86119" s="7"/>
    </row>
    <row r="86120" ht="15.75" customHeight="1">
      <c r="A86120" s="7"/>
      <c r="B86120" s="7"/>
    </row>
    <row r="86121" ht="15.75" customHeight="1">
      <c r="A86121" s="7"/>
      <c r="B86121" s="7"/>
    </row>
    <row r="86122" ht="15.75" customHeight="1">
      <c r="A86122" s="7"/>
      <c r="B86122" s="7"/>
    </row>
    <row r="86123" ht="15.75" customHeight="1">
      <c r="A86123" s="7"/>
      <c r="B86123" s="7"/>
    </row>
    <row r="86124" ht="15.75" customHeight="1">
      <c r="A86124" s="7"/>
      <c r="B86124" s="7"/>
    </row>
    <row r="86125" ht="15.75" customHeight="1">
      <c r="A86125" s="7"/>
      <c r="B86125" s="7"/>
    </row>
    <row r="86126" ht="15.75" customHeight="1">
      <c r="A86126" s="7"/>
      <c r="B86126" s="7"/>
    </row>
    <row r="86127" ht="15.75" customHeight="1">
      <c r="A86127" s="7"/>
      <c r="B86127" s="7"/>
    </row>
    <row r="86128" ht="15.75" customHeight="1">
      <c r="A86128" s="7"/>
      <c r="B86128" s="7"/>
    </row>
    <row r="86129" ht="15.75" customHeight="1">
      <c r="A86129" s="7"/>
      <c r="B86129" s="7"/>
    </row>
    <row r="86130" ht="15.75" customHeight="1">
      <c r="A86130" s="7"/>
      <c r="B86130" s="7"/>
    </row>
    <row r="86131" ht="15.75" customHeight="1">
      <c r="A86131" s="7"/>
      <c r="B86131" s="7"/>
    </row>
    <row r="86132" ht="15.75" customHeight="1">
      <c r="A86132" s="7"/>
      <c r="B86132" s="7"/>
    </row>
    <row r="86133" ht="15.75" customHeight="1">
      <c r="A86133" s="7"/>
      <c r="B86133" s="7"/>
    </row>
    <row r="86134" ht="15.75" customHeight="1">
      <c r="A86134" s="7"/>
      <c r="B86134" s="7"/>
    </row>
    <row r="86135" ht="15.75" customHeight="1">
      <c r="A86135" s="7"/>
      <c r="B86135" s="7"/>
    </row>
    <row r="86136" ht="15.75" customHeight="1">
      <c r="A86136" s="7"/>
      <c r="B86136" s="7"/>
    </row>
    <row r="86137" ht="15.75" customHeight="1">
      <c r="A86137" s="7"/>
      <c r="B86137" s="7"/>
    </row>
    <row r="86138" ht="15.75" customHeight="1">
      <c r="A86138" s="7"/>
      <c r="B86138" s="7"/>
    </row>
    <row r="86139" ht="15.75" customHeight="1">
      <c r="A86139" s="7"/>
      <c r="B86139" s="7"/>
    </row>
    <row r="86140" ht="15.75" customHeight="1">
      <c r="A86140" s="7"/>
      <c r="B86140" s="7"/>
    </row>
    <row r="86141" ht="15.75" customHeight="1">
      <c r="A86141" s="7"/>
      <c r="B86141" s="7"/>
    </row>
    <row r="86142" ht="15.75" customHeight="1">
      <c r="A86142" s="7"/>
      <c r="B86142" s="7"/>
    </row>
    <row r="86143" ht="15.75" customHeight="1">
      <c r="A86143" s="7"/>
      <c r="B86143" s="7"/>
    </row>
    <row r="86144" ht="15.75" customHeight="1">
      <c r="A86144" s="7"/>
      <c r="B86144" s="7"/>
    </row>
    <row r="86145" ht="15.75" customHeight="1">
      <c r="A86145" s="7"/>
      <c r="B86145" s="7"/>
    </row>
    <row r="86146" ht="15.75" customHeight="1">
      <c r="A86146" s="7"/>
      <c r="B86146" s="7"/>
    </row>
    <row r="86147" ht="15.75" customHeight="1">
      <c r="A86147" s="7"/>
      <c r="B86147" s="7"/>
    </row>
    <row r="86148" ht="15.75" customHeight="1">
      <c r="A86148" s="7"/>
      <c r="B86148" s="7"/>
    </row>
    <row r="86149" ht="15.75" customHeight="1">
      <c r="A86149" s="7"/>
      <c r="B86149" s="7"/>
    </row>
    <row r="86150" ht="15.75" customHeight="1">
      <c r="A86150" s="7"/>
      <c r="B86150" s="7"/>
    </row>
    <row r="86151" ht="15.75" customHeight="1">
      <c r="A86151" s="7"/>
      <c r="B86151" s="7"/>
    </row>
    <row r="86152" ht="15.75" customHeight="1">
      <c r="A86152" s="7"/>
      <c r="B86152" s="7"/>
    </row>
    <row r="86153" ht="15.75" customHeight="1">
      <c r="A86153" s="7"/>
      <c r="B86153" s="7"/>
    </row>
    <row r="86154" ht="15.75" customHeight="1">
      <c r="A86154" s="7"/>
      <c r="B86154" s="7"/>
    </row>
    <row r="86155" ht="15.75" customHeight="1">
      <c r="A86155" s="7"/>
      <c r="B86155" s="7"/>
    </row>
    <row r="86156" ht="15.75" customHeight="1">
      <c r="A86156" s="7"/>
      <c r="B86156" s="7"/>
    </row>
    <row r="86157" ht="15.75" customHeight="1">
      <c r="A86157" s="7"/>
      <c r="B86157" s="7"/>
    </row>
    <row r="86158" ht="15.75" customHeight="1">
      <c r="A86158" s="7"/>
      <c r="B86158" s="7"/>
    </row>
    <row r="86159" ht="15.75" customHeight="1">
      <c r="A86159" s="7"/>
      <c r="B86159" s="7"/>
    </row>
    <row r="86160" ht="15.75" customHeight="1">
      <c r="A86160" s="7"/>
      <c r="B86160" s="7"/>
    </row>
    <row r="86161" ht="15.75" customHeight="1">
      <c r="A86161" s="7"/>
      <c r="B86161" s="7"/>
    </row>
    <row r="86162" ht="15.75" customHeight="1">
      <c r="A86162" s="7"/>
      <c r="B86162" s="7"/>
    </row>
    <row r="86163" ht="15.75" customHeight="1">
      <c r="A86163" s="7"/>
      <c r="B86163" s="7"/>
    </row>
    <row r="86164" ht="15.75" customHeight="1">
      <c r="A86164" s="7"/>
      <c r="B86164" s="7"/>
    </row>
    <row r="86165" ht="15.75" customHeight="1">
      <c r="A86165" s="7"/>
      <c r="B86165" s="7"/>
    </row>
    <row r="86166" ht="15.75" customHeight="1">
      <c r="A86166" s="7"/>
      <c r="B86166" s="7"/>
    </row>
    <row r="86167" ht="15.75" customHeight="1">
      <c r="A86167" s="7"/>
      <c r="B86167" s="7"/>
    </row>
    <row r="86168" ht="15.75" customHeight="1">
      <c r="A86168" s="7"/>
      <c r="B86168" s="7"/>
    </row>
    <row r="86169" ht="15.75" customHeight="1">
      <c r="A86169" s="7"/>
      <c r="B86169" s="7"/>
    </row>
    <row r="86170" ht="15.75" customHeight="1">
      <c r="A86170" s="7"/>
      <c r="B86170" s="7"/>
    </row>
    <row r="86171" ht="15.75" customHeight="1">
      <c r="A86171" s="7"/>
      <c r="B86171" s="7"/>
    </row>
    <row r="86172" ht="15.75" customHeight="1">
      <c r="A86172" s="7"/>
      <c r="B86172" s="7"/>
    </row>
    <row r="86173" ht="15.75" customHeight="1">
      <c r="A86173" s="7"/>
      <c r="B86173" s="7"/>
    </row>
    <row r="86174" ht="15.75" customHeight="1">
      <c r="A86174" s="7"/>
      <c r="B86174" s="7"/>
    </row>
    <row r="86175" ht="15.75" customHeight="1">
      <c r="A86175" s="7"/>
      <c r="B86175" s="7"/>
    </row>
    <row r="86176" ht="15.75" customHeight="1">
      <c r="A86176" s="7"/>
      <c r="B86176" s="7"/>
    </row>
    <row r="86177" ht="15.75" customHeight="1">
      <c r="A86177" s="7"/>
      <c r="B86177" s="7"/>
    </row>
    <row r="86178" ht="15.75" customHeight="1">
      <c r="A86178" s="7"/>
      <c r="B86178" s="7"/>
    </row>
    <row r="86179" ht="15.75" customHeight="1">
      <c r="A86179" s="7"/>
      <c r="B86179" s="7"/>
    </row>
    <row r="86180" ht="15.75" customHeight="1">
      <c r="A86180" s="7"/>
      <c r="B86180" s="7"/>
    </row>
    <row r="86181" ht="15.75" customHeight="1">
      <c r="A86181" s="7"/>
      <c r="B86181" s="7"/>
    </row>
    <row r="86182" ht="15.75" customHeight="1">
      <c r="A86182" s="7"/>
      <c r="B86182" s="7"/>
    </row>
    <row r="86183" ht="15.75" customHeight="1">
      <c r="A86183" s="7"/>
      <c r="B86183" s="7"/>
    </row>
    <row r="86184" ht="15.75" customHeight="1">
      <c r="A86184" s="7"/>
      <c r="B86184" s="7"/>
    </row>
    <row r="86185" ht="15.75" customHeight="1">
      <c r="A86185" s="7"/>
      <c r="B86185" s="7"/>
    </row>
    <row r="86186" ht="15.75" customHeight="1">
      <c r="A86186" s="7"/>
      <c r="B86186" s="7"/>
    </row>
    <row r="86187" ht="15.75" customHeight="1">
      <c r="A86187" s="7"/>
      <c r="B86187" s="7"/>
    </row>
    <row r="86188" ht="15.75" customHeight="1">
      <c r="A86188" s="7"/>
      <c r="B86188" s="7"/>
    </row>
    <row r="86189" ht="15.75" customHeight="1">
      <c r="A86189" s="7"/>
      <c r="B86189" s="7"/>
    </row>
    <row r="86190" ht="15.75" customHeight="1">
      <c r="A86190" s="7"/>
      <c r="B86190" s="7"/>
    </row>
    <row r="86191" ht="15.75" customHeight="1">
      <c r="A86191" s="7"/>
      <c r="B86191" s="7"/>
    </row>
    <row r="86192" ht="15.75" customHeight="1">
      <c r="A86192" s="7"/>
      <c r="B86192" s="7"/>
    </row>
    <row r="86193" ht="15.75" customHeight="1">
      <c r="A86193" s="7"/>
      <c r="B86193" s="7"/>
    </row>
    <row r="86194" ht="15.75" customHeight="1">
      <c r="A86194" s="7"/>
      <c r="B86194" s="7"/>
    </row>
    <row r="86195" ht="15.75" customHeight="1">
      <c r="A86195" s="7"/>
      <c r="B86195" s="7"/>
    </row>
    <row r="86196" ht="15.75" customHeight="1">
      <c r="A86196" s="7"/>
      <c r="B86196" s="7"/>
    </row>
    <row r="86197" ht="15.75" customHeight="1">
      <c r="A86197" s="7"/>
      <c r="B86197" s="7"/>
    </row>
    <row r="86198" ht="15.75" customHeight="1">
      <c r="A86198" s="7"/>
      <c r="B86198" s="7"/>
    </row>
    <row r="86199" ht="15.75" customHeight="1">
      <c r="A86199" s="7"/>
      <c r="B86199" s="7"/>
    </row>
    <row r="86200" ht="15.75" customHeight="1">
      <c r="A86200" s="7"/>
      <c r="B86200" s="7"/>
    </row>
    <row r="86201" ht="15.75" customHeight="1">
      <c r="A86201" s="7"/>
      <c r="B86201" s="7"/>
    </row>
    <row r="86202" ht="15.75" customHeight="1">
      <c r="A86202" s="7"/>
      <c r="B86202" s="7"/>
    </row>
    <row r="86203" ht="15.75" customHeight="1">
      <c r="A86203" s="7"/>
      <c r="B86203" s="7"/>
    </row>
    <row r="86204" ht="15.75" customHeight="1">
      <c r="A86204" s="7"/>
      <c r="B86204" s="7"/>
    </row>
    <row r="86205" ht="15.75" customHeight="1">
      <c r="A86205" s="7"/>
      <c r="B86205" s="7"/>
    </row>
    <row r="86206" ht="15.75" customHeight="1">
      <c r="A86206" s="7"/>
      <c r="B86206" s="7"/>
    </row>
    <row r="86207" ht="15.75" customHeight="1">
      <c r="A86207" s="7"/>
      <c r="B86207" s="7"/>
    </row>
    <row r="86208" ht="15.75" customHeight="1">
      <c r="A86208" s="7"/>
      <c r="B86208" s="7"/>
    </row>
    <row r="86209" ht="15.75" customHeight="1">
      <c r="A86209" s="7"/>
      <c r="B86209" s="7"/>
    </row>
    <row r="86210" ht="15.75" customHeight="1">
      <c r="A86210" s="7"/>
      <c r="B86210" s="7"/>
    </row>
    <row r="86211" ht="15.75" customHeight="1">
      <c r="A86211" s="7"/>
      <c r="B86211" s="7"/>
    </row>
    <row r="86212" ht="15.75" customHeight="1">
      <c r="A86212" s="7"/>
      <c r="B86212" s="7"/>
    </row>
    <row r="86213" ht="15.75" customHeight="1">
      <c r="A86213" s="7"/>
      <c r="B86213" s="7"/>
    </row>
    <row r="86214" ht="15.75" customHeight="1">
      <c r="A86214" s="7"/>
      <c r="B86214" s="7"/>
    </row>
    <row r="86215" ht="15.75" customHeight="1">
      <c r="A86215" s="7"/>
      <c r="B86215" s="7"/>
    </row>
    <row r="86216" ht="15.75" customHeight="1">
      <c r="A86216" s="7"/>
      <c r="B86216" s="7"/>
    </row>
    <row r="86217" ht="15.75" customHeight="1">
      <c r="A86217" s="7"/>
      <c r="B86217" s="7"/>
    </row>
    <row r="86218" ht="15.75" customHeight="1">
      <c r="A86218" s="7"/>
      <c r="B86218" s="7"/>
    </row>
    <row r="86219" ht="15.75" customHeight="1">
      <c r="A86219" s="7"/>
      <c r="B86219" s="7"/>
    </row>
    <row r="86220" ht="15.75" customHeight="1">
      <c r="A86220" s="7"/>
      <c r="B86220" s="7"/>
    </row>
    <row r="86221" ht="15.75" customHeight="1">
      <c r="A86221" s="7"/>
      <c r="B86221" s="7"/>
    </row>
    <row r="86222" ht="15.75" customHeight="1">
      <c r="A86222" s="7"/>
      <c r="B86222" s="7"/>
    </row>
    <row r="86223" ht="15.75" customHeight="1">
      <c r="A86223" s="7"/>
      <c r="B86223" s="7"/>
    </row>
    <row r="86224" ht="15.75" customHeight="1">
      <c r="A86224" s="7"/>
      <c r="B86224" s="7"/>
    </row>
    <row r="86225" ht="15.75" customHeight="1">
      <c r="A86225" s="7"/>
      <c r="B86225" s="7"/>
    </row>
    <row r="86226" ht="15.75" customHeight="1">
      <c r="A86226" s="7"/>
      <c r="B86226" s="7"/>
    </row>
    <row r="86227" ht="15.75" customHeight="1">
      <c r="A86227" s="7"/>
      <c r="B86227" s="7"/>
    </row>
    <row r="86228" ht="15.75" customHeight="1">
      <c r="A86228" s="7"/>
      <c r="B86228" s="7"/>
    </row>
    <row r="86229" ht="15.75" customHeight="1">
      <c r="A86229" s="7"/>
      <c r="B86229" s="7"/>
    </row>
    <row r="86230" ht="15.75" customHeight="1">
      <c r="A86230" s="7"/>
      <c r="B86230" s="7"/>
    </row>
    <row r="86231" ht="15.75" customHeight="1">
      <c r="A86231" s="7"/>
      <c r="B86231" s="7"/>
    </row>
    <row r="86232" ht="15.75" customHeight="1">
      <c r="A86232" s="7"/>
      <c r="B86232" s="7"/>
    </row>
    <row r="86233" ht="15.75" customHeight="1">
      <c r="A86233" s="7"/>
      <c r="B86233" s="7"/>
    </row>
    <row r="86234" ht="15.75" customHeight="1">
      <c r="A86234" s="7"/>
      <c r="B86234" s="7"/>
    </row>
    <row r="86235" ht="15.75" customHeight="1">
      <c r="A86235" s="7"/>
      <c r="B86235" s="7"/>
    </row>
    <row r="86236" ht="15.75" customHeight="1">
      <c r="A86236" s="7"/>
      <c r="B86236" s="7"/>
    </row>
    <row r="86237" ht="15.75" customHeight="1">
      <c r="A86237" s="7"/>
      <c r="B86237" s="7"/>
    </row>
    <row r="86238" ht="15.75" customHeight="1">
      <c r="A86238" s="7"/>
      <c r="B86238" s="7"/>
    </row>
    <row r="86239" ht="15.75" customHeight="1">
      <c r="A86239" s="7"/>
      <c r="B86239" s="7"/>
    </row>
    <row r="86240" ht="15.75" customHeight="1">
      <c r="A86240" s="7"/>
      <c r="B86240" s="7"/>
    </row>
    <row r="86241" ht="15.75" customHeight="1">
      <c r="A86241" s="7"/>
      <c r="B86241" s="7"/>
    </row>
    <row r="86242" ht="15.75" customHeight="1">
      <c r="A86242" s="7"/>
      <c r="B86242" s="7"/>
    </row>
    <row r="86243" ht="15.75" customHeight="1">
      <c r="A86243" s="7"/>
      <c r="B86243" s="7"/>
    </row>
    <row r="86244" ht="15.75" customHeight="1">
      <c r="A86244" s="7"/>
      <c r="B86244" s="7"/>
    </row>
    <row r="86245" ht="15.75" customHeight="1">
      <c r="A86245" s="7"/>
      <c r="B86245" s="7"/>
    </row>
    <row r="86246" ht="15.75" customHeight="1">
      <c r="A86246" s="7"/>
      <c r="B86246" s="7"/>
    </row>
    <row r="86247" ht="15.75" customHeight="1">
      <c r="A86247" s="7"/>
      <c r="B86247" s="7"/>
    </row>
    <row r="86248" ht="15.75" customHeight="1">
      <c r="A86248" s="7"/>
      <c r="B86248" s="7"/>
    </row>
    <row r="86249" ht="15.75" customHeight="1">
      <c r="A86249" s="7"/>
      <c r="B86249" s="7"/>
    </row>
    <row r="86250" ht="15.75" customHeight="1">
      <c r="A86250" s="7"/>
      <c r="B86250" s="7"/>
    </row>
    <row r="86251" ht="15.75" customHeight="1">
      <c r="A86251" s="7"/>
      <c r="B86251" s="7"/>
    </row>
    <row r="86252" ht="15.75" customHeight="1">
      <c r="A86252" s="7"/>
      <c r="B86252" s="7"/>
    </row>
    <row r="86253" ht="15.75" customHeight="1">
      <c r="A86253" s="7"/>
      <c r="B86253" s="7"/>
    </row>
    <row r="86254" ht="15.75" customHeight="1">
      <c r="A86254" s="7"/>
      <c r="B86254" s="7"/>
    </row>
    <row r="86255" ht="15.75" customHeight="1">
      <c r="A86255" s="7"/>
      <c r="B86255" s="7"/>
    </row>
    <row r="86256" ht="15.75" customHeight="1">
      <c r="A86256" s="7"/>
      <c r="B86256" s="7"/>
    </row>
    <row r="86257" ht="15.75" customHeight="1">
      <c r="A86257" s="7"/>
      <c r="B86257" s="7"/>
    </row>
    <row r="86258" ht="15.75" customHeight="1">
      <c r="A86258" s="7"/>
      <c r="B86258" s="7"/>
    </row>
    <row r="86259" ht="15.75" customHeight="1">
      <c r="A86259" s="7"/>
      <c r="B86259" s="7"/>
    </row>
    <row r="86260" ht="15.75" customHeight="1">
      <c r="A86260" s="7"/>
      <c r="B86260" s="7"/>
    </row>
    <row r="86261" ht="15.75" customHeight="1">
      <c r="A86261" s="7"/>
      <c r="B86261" s="7"/>
    </row>
    <row r="86262" ht="15.75" customHeight="1">
      <c r="A86262" s="7"/>
      <c r="B86262" s="7"/>
    </row>
    <row r="86263" ht="15.75" customHeight="1">
      <c r="A86263" s="7"/>
      <c r="B86263" s="7"/>
    </row>
    <row r="86264" ht="15.75" customHeight="1">
      <c r="A86264" s="7"/>
      <c r="B86264" s="7"/>
    </row>
    <row r="86265" ht="15.75" customHeight="1">
      <c r="A86265" s="7"/>
      <c r="B86265" s="7"/>
    </row>
    <row r="86266" ht="15.75" customHeight="1">
      <c r="A86266" s="7"/>
      <c r="B86266" s="7"/>
    </row>
    <row r="86267" ht="15.75" customHeight="1">
      <c r="A86267" s="7"/>
      <c r="B86267" s="7"/>
    </row>
    <row r="86268" ht="15.75" customHeight="1">
      <c r="A86268" s="7"/>
      <c r="B86268" s="7"/>
    </row>
    <row r="86269" ht="15.75" customHeight="1">
      <c r="A86269" s="7"/>
      <c r="B86269" s="7"/>
    </row>
    <row r="86270" ht="15.75" customHeight="1">
      <c r="A86270" s="7"/>
      <c r="B86270" s="7"/>
    </row>
    <row r="86271" ht="15.75" customHeight="1">
      <c r="A86271" s="7"/>
      <c r="B86271" s="7"/>
    </row>
    <row r="86272" ht="15.75" customHeight="1">
      <c r="A86272" s="7"/>
      <c r="B86272" s="7"/>
    </row>
    <row r="86273" ht="15.75" customHeight="1">
      <c r="A86273" s="7"/>
      <c r="B86273" s="7"/>
    </row>
    <row r="86274" ht="15.75" customHeight="1">
      <c r="A86274" s="7"/>
      <c r="B86274" s="7"/>
    </row>
    <row r="86275" ht="15.75" customHeight="1">
      <c r="A86275" s="7"/>
      <c r="B86275" s="7"/>
    </row>
    <row r="86276" ht="15.75" customHeight="1">
      <c r="A86276" s="7"/>
      <c r="B86276" s="7"/>
    </row>
    <row r="86277" ht="15.75" customHeight="1">
      <c r="A86277" s="7"/>
      <c r="B86277" s="7"/>
    </row>
    <row r="86278" ht="15.75" customHeight="1">
      <c r="A86278" s="7"/>
      <c r="B86278" s="7"/>
    </row>
    <row r="86279" ht="15.75" customHeight="1">
      <c r="A86279" s="7"/>
      <c r="B86279" s="7"/>
    </row>
    <row r="86280" ht="15.75" customHeight="1">
      <c r="A86280" s="7"/>
      <c r="B86280" s="7"/>
    </row>
    <row r="86281" ht="15.75" customHeight="1">
      <c r="A86281" s="7"/>
      <c r="B86281" s="7"/>
    </row>
    <row r="86282" ht="15.75" customHeight="1">
      <c r="A86282" s="7"/>
      <c r="B86282" s="7"/>
    </row>
    <row r="86283" ht="15.75" customHeight="1">
      <c r="A86283" s="7"/>
      <c r="B86283" s="7"/>
    </row>
    <row r="86284" ht="15.75" customHeight="1">
      <c r="A86284" s="7"/>
      <c r="B86284" s="7"/>
    </row>
    <row r="86285" ht="15.75" customHeight="1">
      <c r="A86285" s="7"/>
      <c r="B86285" s="7"/>
    </row>
    <row r="86286" ht="15.75" customHeight="1">
      <c r="A86286" s="7"/>
      <c r="B86286" s="7"/>
    </row>
    <row r="86287" ht="15.75" customHeight="1">
      <c r="A86287" s="7"/>
      <c r="B86287" s="7"/>
    </row>
    <row r="86288" ht="15.75" customHeight="1">
      <c r="A86288" s="7"/>
      <c r="B86288" s="7"/>
    </row>
    <row r="86289" ht="15.75" customHeight="1">
      <c r="A86289" s="7"/>
      <c r="B86289" s="7"/>
    </row>
    <row r="86290" ht="15.75" customHeight="1">
      <c r="A86290" s="7"/>
      <c r="B86290" s="7"/>
    </row>
    <row r="86291" ht="15.75" customHeight="1">
      <c r="A86291" s="7"/>
      <c r="B86291" s="7"/>
    </row>
    <row r="86292" ht="15.75" customHeight="1">
      <c r="A86292" s="7"/>
      <c r="B86292" s="7"/>
    </row>
    <row r="86293" ht="15.75" customHeight="1">
      <c r="A86293" s="7"/>
      <c r="B86293" s="7"/>
    </row>
    <row r="86294" ht="15.75" customHeight="1">
      <c r="A86294" s="7"/>
      <c r="B86294" s="7"/>
    </row>
    <row r="86295" ht="15.75" customHeight="1">
      <c r="A86295" s="7"/>
      <c r="B86295" s="7"/>
    </row>
    <row r="86296" ht="15.75" customHeight="1">
      <c r="A86296" s="7"/>
      <c r="B86296" s="7"/>
    </row>
    <row r="86297" ht="15.75" customHeight="1">
      <c r="A86297" s="7"/>
      <c r="B86297" s="7"/>
    </row>
    <row r="86298" ht="15.75" customHeight="1">
      <c r="A86298" s="7"/>
      <c r="B86298" s="7"/>
    </row>
    <row r="86299" ht="15.75" customHeight="1">
      <c r="A86299" s="7"/>
      <c r="B86299" s="7"/>
    </row>
    <row r="86300" ht="15.75" customHeight="1">
      <c r="A86300" s="7"/>
      <c r="B86300" s="7"/>
    </row>
    <row r="86301" ht="15.75" customHeight="1">
      <c r="A86301" s="7"/>
      <c r="B86301" s="7"/>
    </row>
    <row r="86302" ht="15.75" customHeight="1">
      <c r="A86302" s="7"/>
      <c r="B86302" s="7"/>
    </row>
    <row r="86303" ht="15.75" customHeight="1">
      <c r="A86303" s="7"/>
      <c r="B86303" s="7"/>
    </row>
    <row r="86304" ht="15.75" customHeight="1">
      <c r="A86304" s="7"/>
      <c r="B86304" s="7"/>
    </row>
    <row r="86305" ht="15.75" customHeight="1">
      <c r="A86305" s="7"/>
      <c r="B86305" s="7"/>
    </row>
    <row r="86306" ht="15.75" customHeight="1">
      <c r="A86306" s="7"/>
      <c r="B86306" s="7"/>
    </row>
    <row r="86307" ht="15.75" customHeight="1">
      <c r="A86307" s="7"/>
      <c r="B86307" s="7"/>
    </row>
    <row r="86308" ht="15.75" customHeight="1">
      <c r="A86308" s="7"/>
      <c r="B86308" s="7"/>
    </row>
    <row r="86309" ht="15.75" customHeight="1">
      <c r="A86309" s="7"/>
      <c r="B86309" s="7"/>
    </row>
    <row r="86310" ht="15.75" customHeight="1">
      <c r="A86310" s="7"/>
      <c r="B86310" s="7"/>
    </row>
    <row r="86311" ht="15.75" customHeight="1">
      <c r="A86311" s="7"/>
      <c r="B86311" s="7"/>
    </row>
    <row r="86312" ht="15.75" customHeight="1">
      <c r="A86312" s="7"/>
      <c r="B86312" s="7"/>
    </row>
    <row r="86313" ht="15.75" customHeight="1">
      <c r="A86313" s="7"/>
      <c r="B86313" s="7"/>
    </row>
    <row r="86314" ht="15.75" customHeight="1">
      <c r="A86314" s="7"/>
      <c r="B86314" s="7"/>
    </row>
    <row r="86315" ht="15.75" customHeight="1">
      <c r="A86315" s="7"/>
      <c r="B86315" s="7"/>
    </row>
    <row r="86316" ht="15.75" customHeight="1">
      <c r="A86316" s="7"/>
      <c r="B86316" s="7"/>
    </row>
    <row r="86317" ht="15.75" customHeight="1">
      <c r="A86317" s="7"/>
      <c r="B86317" s="7"/>
    </row>
    <row r="86318" ht="15.75" customHeight="1">
      <c r="A86318" s="7"/>
      <c r="B86318" s="7"/>
    </row>
    <row r="86319" ht="15.75" customHeight="1">
      <c r="A86319" s="7"/>
      <c r="B86319" s="7"/>
    </row>
    <row r="86320" ht="15.75" customHeight="1">
      <c r="A86320" s="7"/>
      <c r="B86320" s="7"/>
    </row>
    <row r="86321" ht="15.75" customHeight="1">
      <c r="A86321" s="7"/>
      <c r="B86321" s="7"/>
    </row>
    <row r="86322" ht="15.75" customHeight="1">
      <c r="A86322" s="7"/>
      <c r="B86322" s="7"/>
    </row>
    <row r="86323" ht="15.75" customHeight="1">
      <c r="A86323" s="7"/>
      <c r="B86323" s="7"/>
    </row>
    <row r="86324" ht="15.75" customHeight="1">
      <c r="A86324" s="7"/>
      <c r="B86324" s="7"/>
    </row>
    <row r="86325" ht="15.75" customHeight="1">
      <c r="A86325" s="7"/>
      <c r="B86325" s="7"/>
    </row>
    <row r="86326" ht="15.75" customHeight="1">
      <c r="A86326" s="7"/>
      <c r="B86326" s="7"/>
    </row>
    <row r="86327" ht="15.75" customHeight="1">
      <c r="A86327" s="7"/>
      <c r="B86327" s="7"/>
    </row>
    <row r="86328" ht="15.75" customHeight="1">
      <c r="A86328" s="7"/>
      <c r="B86328" s="7"/>
    </row>
    <row r="86329" ht="15.75" customHeight="1">
      <c r="A86329" s="7"/>
      <c r="B86329" s="7"/>
    </row>
    <row r="86330" ht="15.75" customHeight="1">
      <c r="A86330" s="7"/>
      <c r="B86330" s="7"/>
    </row>
    <row r="86331" ht="15.75" customHeight="1">
      <c r="A86331" s="7"/>
      <c r="B86331" s="7"/>
    </row>
    <row r="86332" ht="15.75" customHeight="1">
      <c r="A86332" s="7"/>
      <c r="B86332" s="7"/>
    </row>
    <row r="86333" ht="15.75" customHeight="1">
      <c r="A86333" s="7"/>
      <c r="B86333" s="7"/>
    </row>
    <row r="86334" ht="15.75" customHeight="1">
      <c r="A86334" s="7"/>
      <c r="B86334" s="7"/>
    </row>
    <row r="86335" ht="15.75" customHeight="1">
      <c r="A86335" s="7"/>
      <c r="B86335" s="7"/>
    </row>
    <row r="86336" ht="15.75" customHeight="1">
      <c r="A86336" s="7"/>
      <c r="B86336" s="7"/>
    </row>
    <row r="86337" ht="15.75" customHeight="1">
      <c r="A86337" s="7"/>
      <c r="B86337" s="7"/>
    </row>
    <row r="86338" ht="15.75" customHeight="1">
      <c r="A86338" s="7"/>
      <c r="B86338" s="7"/>
    </row>
    <row r="86339" ht="15.75" customHeight="1">
      <c r="A86339" s="7"/>
      <c r="B86339" s="7"/>
    </row>
    <row r="86340" ht="15.75" customHeight="1">
      <c r="A86340" s="7"/>
      <c r="B86340" s="7"/>
    </row>
    <row r="86341" ht="15.75" customHeight="1">
      <c r="A86341" s="7"/>
      <c r="B86341" s="7"/>
    </row>
    <row r="86342" ht="15.75" customHeight="1">
      <c r="A86342" s="7"/>
      <c r="B86342" s="7"/>
    </row>
    <row r="86343" ht="15.75" customHeight="1">
      <c r="A86343" s="7"/>
      <c r="B86343" s="7"/>
    </row>
    <row r="86344" ht="15.75" customHeight="1">
      <c r="A86344" s="7"/>
      <c r="B86344" s="7"/>
    </row>
    <row r="86345" ht="15.75" customHeight="1">
      <c r="A86345" s="7"/>
      <c r="B86345" s="7"/>
    </row>
    <row r="86346" ht="15.75" customHeight="1">
      <c r="A86346" s="7"/>
      <c r="B86346" s="7"/>
    </row>
    <row r="86347" ht="15.75" customHeight="1">
      <c r="A86347" s="7"/>
      <c r="B86347" s="7"/>
    </row>
    <row r="86348" ht="15.75" customHeight="1">
      <c r="A86348" s="7"/>
      <c r="B86348" s="7"/>
    </row>
    <row r="86349" ht="15.75" customHeight="1">
      <c r="A86349" s="7"/>
      <c r="B86349" s="7"/>
    </row>
    <row r="86350" ht="15.75" customHeight="1">
      <c r="A86350" s="7"/>
      <c r="B86350" s="7"/>
    </row>
    <row r="86351" ht="15.75" customHeight="1">
      <c r="A86351" s="7"/>
      <c r="B86351" s="7"/>
    </row>
    <row r="86352" ht="15.75" customHeight="1">
      <c r="A86352" s="7"/>
      <c r="B86352" s="7"/>
    </row>
    <row r="86353" ht="15.75" customHeight="1">
      <c r="A86353" s="7"/>
      <c r="B86353" s="7"/>
    </row>
    <row r="86354" ht="15.75" customHeight="1">
      <c r="A86354" s="7"/>
      <c r="B86354" s="7"/>
    </row>
    <row r="86355" ht="15.75" customHeight="1">
      <c r="A86355" s="7"/>
      <c r="B86355" s="7"/>
    </row>
    <row r="86356" ht="15.75" customHeight="1">
      <c r="A86356" s="7"/>
      <c r="B86356" s="7"/>
    </row>
    <row r="86357" ht="15.75" customHeight="1">
      <c r="A86357" s="7"/>
      <c r="B86357" s="7"/>
    </row>
    <row r="86358" ht="15.75" customHeight="1">
      <c r="A86358" s="7"/>
      <c r="B86358" s="7"/>
    </row>
    <row r="86359" ht="15.75" customHeight="1">
      <c r="A86359" s="7"/>
      <c r="B86359" s="7"/>
    </row>
    <row r="86360" ht="15.75" customHeight="1">
      <c r="A86360" s="7"/>
      <c r="B86360" s="7"/>
    </row>
    <row r="86361" ht="15.75" customHeight="1">
      <c r="A86361" s="7"/>
      <c r="B86361" s="7"/>
    </row>
    <row r="86362" ht="15.75" customHeight="1">
      <c r="A86362" s="7"/>
      <c r="B86362" s="7"/>
    </row>
    <row r="86363" ht="15.75" customHeight="1">
      <c r="A86363" s="7"/>
      <c r="B86363" s="7"/>
    </row>
    <row r="86364" ht="15.75" customHeight="1">
      <c r="A86364" s="7"/>
      <c r="B86364" s="7"/>
    </row>
    <row r="86365" ht="15.75" customHeight="1">
      <c r="A86365" s="7"/>
      <c r="B86365" s="7"/>
    </row>
    <row r="86366" ht="15.75" customHeight="1">
      <c r="A86366" s="7"/>
      <c r="B86366" s="7"/>
    </row>
    <row r="86367" ht="15.75" customHeight="1">
      <c r="A86367" s="7"/>
      <c r="B86367" s="7"/>
    </row>
    <row r="86368" ht="15.75" customHeight="1">
      <c r="A86368" s="7"/>
      <c r="B86368" s="7"/>
    </row>
    <row r="86369" ht="15.75" customHeight="1">
      <c r="A86369" s="7"/>
      <c r="B86369" s="7"/>
    </row>
    <row r="86370" ht="15.75" customHeight="1">
      <c r="A86370" s="7"/>
      <c r="B86370" s="7"/>
    </row>
    <row r="86371" ht="15.75" customHeight="1">
      <c r="A86371" s="7"/>
      <c r="B86371" s="7"/>
    </row>
    <row r="86372" ht="15.75" customHeight="1">
      <c r="A86372" s="7"/>
      <c r="B86372" s="7"/>
    </row>
    <row r="86373" ht="15.75" customHeight="1">
      <c r="A86373" s="7"/>
      <c r="B86373" s="7"/>
    </row>
    <row r="86374" ht="15.75" customHeight="1">
      <c r="A86374" s="7"/>
      <c r="B86374" s="7"/>
    </row>
    <row r="86375" ht="15.75" customHeight="1">
      <c r="A86375" s="7"/>
      <c r="B86375" s="7"/>
    </row>
    <row r="86376" ht="15.75" customHeight="1">
      <c r="A86376" s="7"/>
      <c r="B86376" s="7"/>
    </row>
    <row r="86377" ht="15.75" customHeight="1">
      <c r="A86377" s="7"/>
      <c r="B86377" s="7"/>
    </row>
    <row r="86378" ht="15.75" customHeight="1">
      <c r="A86378" s="7"/>
      <c r="B86378" s="7"/>
    </row>
    <row r="86379" ht="15.75" customHeight="1">
      <c r="A86379" s="7"/>
      <c r="B86379" s="7"/>
    </row>
    <row r="86380" ht="15.75" customHeight="1">
      <c r="A86380" s="7"/>
      <c r="B86380" s="7"/>
    </row>
    <row r="86381" ht="15.75" customHeight="1">
      <c r="A86381" s="7"/>
      <c r="B86381" s="7"/>
    </row>
    <row r="86382" ht="15.75" customHeight="1">
      <c r="A86382" s="7"/>
      <c r="B86382" s="7"/>
    </row>
    <row r="86383" ht="15.75" customHeight="1">
      <c r="A86383" s="7"/>
      <c r="B86383" s="7"/>
    </row>
    <row r="86384" ht="15.75" customHeight="1">
      <c r="A86384" s="7"/>
      <c r="B86384" s="7"/>
    </row>
    <row r="86385" ht="15.75" customHeight="1">
      <c r="A86385" s="7"/>
      <c r="B86385" s="7"/>
    </row>
    <row r="86386" ht="15.75" customHeight="1">
      <c r="A86386" s="7"/>
      <c r="B86386" s="7"/>
    </row>
    <row r="86387" ht="15.75" customHeight="1">
      <c r="A86387" s="7"/>
      <c r="B86387" s="7"/>
    </row>
    <row r="86388" ht="15.75" customHeight="1">
      <c r="A86388" s="7"/>
      <c r="B86388" s="7"/>
    </row>
    <row r="86389" ht="15.75" customHeight="1">
      <c r="A86389" s="7"/>
      <c r="B86389" s="7"/>
    </row>
    <row r="86390" ht="15.75" customHeight="1">
      <c r="A86390" s="7"/>
      <c r="B86390" s="7"/>
    </row>
    <row r="86391" ht="15.75" customHeight="1">
      <c r="A86391" s="7"/>
      <c r="B86391" s="7"/>
    </row>
    <row r="86392" ht="15.75" customHeight="1">
      <c r="A86392" s="7"/>
      <c r="B86392" s="7"/>
    </row>
    <row r="86393" ht="15.75" customHeight="1">
      <c r="A86393" s="7"/>
      <c r="B86393" s="7"/>
    </row>
    <row r="86394" ht="15.75" customHeight="1">
      <c r="A86394" s="7"/>
      <c r="B86394" s="7"/>
    </row>
    <row r="86395" ht="15.75" customHeight="1">
      <c r="A86395" s="7"/>
      <c r="B86395" s="7"/>
    </row>
    <row r="86396" ht="15.75" customHeight="1">
      <c r="A86396" s="7"/>
      <c r="B86396" s="7"/>
    </row>
    <row r="86397" ht="15.75" customHeight="1">
      <c r="A86397" s="7"/>
      <c r="B86397" s="7"/>
    </row>
    <row r="86398" ht="15.75" customHeight="1">
      <c r="A86398" s="7"/>
      <c r="B86398" s="7"/>
    </row>
    <row r="86399" ht="15.75" customHeight="1">
      <c r="A86399" s="7"/>
      <c r="B86399" s="7"/>
    </row>
    <row r="86400" ht="15.75" customHeight="1">
      <c r="A86400" s="7"/>
      <c r="B86400" s="7"/>
    </row>
    <row r="86401" ht="15.75" customHeight="1">
      <c r="A86401" s="7"/>
      <c r="B86401" s="7"/>
    </row>
    <row r="86402" ht="15.75" customHeight="1">
      <c r="A86402" s="7"/>
      <c r="B86402" s="7"/>
    </row>
    <row r="86403" ht="15.75" customHeight="1">
      <c r="A86403" s="7"/>
      <c r="B86403" s="7"/>
    </row>
    <row r="86404" ht="15.75" customHeight="1">
      <c r="A86404" s="7"/>
      <c r="B86404" s="7"/>
    </row>
    <row r="86405" ht="15.75" customHeight="1">
      <c r="A86405" s="7"/>
      <c r="B86405" s="7"/>
    </row>
    <row r="86406" ht="15.75" customHeight="1">
      <c r="A86406" s="7"/>
      <c r="B86406" s="7"/>
    </row>
    <row r="86407" ht="15.75" customHeight="1">
      <c r="A86407" s="7"/>
      <c r="B86407" s="7"/>
    </row>
    <row r="86408" ht="15.75" customHeight="1">
      <c r="A86408" s="7"/>
      <c r="B86408" s="7"/>
    </row>
    <row r="86409" ht="15.75" customHeight="1">
      <c r="A86409" s="7"/>
      <c r="B86409" s="7"/>
    </row>
    <row r="86410" ht="15.75" customHeight="1">
      <c r="A86410" s="7"/>
      <c r="B86410" s="7"/>
    </row>
    <row r="86411" ht="15.75" customHeight="1">
      <c r="A86411" s="7"/>
      <c r="B86411" s="7"/>
    </row>
    <row r="86412" ht="15.75" customHeight="1">
      <c r="A86412" s="7"/>
      <c r="B86412" s="7"/>
    </row>
    <row r="86413" ht="15.75" customHeight="1">
      <c r="A86413" s="7"/>
      <c r="B86413" s="7"/>
    </row>
    <row r="86414" ht="15.75" customHeight="1">
      <c r="A86414" s="7"/>
      <c r="B86414" s="7"/>
    </row>
    <row r="86415" ht="15.75" customHeight="1">
      <c r="A86415" s="7"/>
      <c r="B86415" s="7"/>
    </row>
    <row r="86416" ht="15.75" customHeight="1">
      <c r="A86416" s="7"/>
      <c r="B86416" s="7"/>
    </row>
    <row r="86417" ht="15.75" customHeight="1">
      <c r="A86417" s="7"/>
      <c r="B86417" s="7"/>
    </row>
    <row r="86418" ht="15.75" customHeight="1">
      <c r="A86418" s="7"/>
      <c r="B86418" s="7"/>
    </row>
    <row r="86419" ht="15.75" customHeight="1">
      <c r="A86419" s="7"/>
      <c r="B86419" s="7"/>
    </row>
    <row r="86420" ht="15.75" customHeight="1">
      <c r="A86420" s="7"/>
      <c r="B86420" s="7"/>
    </row>
    <row r="86421" ht="15.75" customHeight="1">
      <c r="A86421" s="7"/>
      <c r="B86421" s="7"/>
    </row>
    <row r="86422" ht="15.75" customHeight="1">
      <c r="A86422" s="7"/>
      <c r="B86422" s="7"/>
    </row>
    <row r="86423" ht="15.75" customHeight="1">
      <c r="A86423" s="7"/>
      <c r="B86423" s="7"/>
    </row>
    <row r="86424" ht="15.75" customHeight="1">
      <c r="A86424" s="7"/>
      <c r="B86424" s="7"/>
    </row>
    <row r="86425" ht="15.75" customHeight="1">
      <c r="A86425" s="7"/>
      <c r="B86425" s="7"/>
    </row>
    <row r="86426" ht="15.75" customHeight="1">
      <c r="A86426" s="7"/>
      <c r="B86426" s="7"/>
    </row>
    <row r="86427" ht="15.75" customHeight="1">
      <c r="A86427" s="7"/>
      <c r="B86427" s="7"/>
    </row>
    <row r="86428" ht="15.75" customHeight="1">
      <c r="A86428" s="7"/>
      <c r="B86428" s="7"/>
    </row>
    <row r="86429" ht="15.75" customHeight="1">
      <c r="A86429" s="7"/>
      <c r="B86429" s="7"/>
    </row>
    <row r="86430" ht="15.75" customHeight="1">
      <c r="A86430" s="7"/>
      <c r="B86430" s="7"/>
    </row>
    <row r="86431" ht="15.75" customHeight="1">
      <c r="A86431" s="7"/>
      <c r="B86431" s="7"/>
    </row>
    <row r="86432" ht="15.75" customHeight="1">
      <c r="A86432" s="7"/>
      <c r="B86432" s="7"/>
    </row>
    <row r="86433" ht="15.75" customHeight="1">
      <c r="A86433" s="7"/>
      <c r="B86433" s="7"/>
    </row>
    <row r="86434" ht="15.75" customHeight="1">
      <c r="A86434" s="7"/>
      <c r="B86434" s="7"/>
    </row>
    <row r="86435" ht="15.75" customHeight="1">
      <c r="A86435" s="7"/>
      <c r="B86435" s="7"/>
    </row>
    <row r="86436" ht="15.75" customHeight="1">
      <c r="A86436" s="7"/>
      <c r="B86436" s="7"/>
    </row>
    <row r="86437" ht="15.75" customHeight="1">
      <c r="A86437" s="7"/>
      <c r="B86437" s="7"/>
    </row>
    <row r="86438" ht="15.75" customHeight="1">
      <c r="A86438" s="7"/>
      <c r="B86438" s="7"/>
    </row>
    <row r="86439" ht="15.75" customHeight="1">
      <c r="A86439" s="7"/>
      <c r="B86439" s="7"/>
    </row>
    <row r="86440" ht="15.75" customHeight="1">
      <c r="A86440" s="7"/>
      <c r="B86440" s="7"/>
    </row>
    <row r="86441" ht="15.75" customHeight="1">
      <c r="A86441" s="7"/>
      <c r="B86441" s="7"/>
    </row>
    <row r="86442" ht="15.75" customHeight="1">
      <c r="A86442" s="7"/>
      <c r="B86442" s="7"/>
    </row>
    <row r="86443" ht="15.75" customHeight="1">
      <c r="A86443" s="7"/>
      <c r="B86443" s="7"/>
    </row>
    <row r="86444" ht="15.75" customHeight="1">
      <c r="A86444" s="7"/>
      <c r="B86444" s="7"/>
    </row>
    <row r="86445" ht="15.75" customHeight="1">
      <c r="A86445" s="7"/>
      <c r="B86445" s="7"/>
    </row>
    <row r="86446" ht="15.75" customHeight="1">
      <c r="A86446" s="7"/>
      <c r="B86446" s="7"/>
    </row>
    <row r="86447" ht="15.75" customHeight="1">
      <c r="A86447" s="7"/>
      <c r="B86447" s="7"/>
    </row>
    <row r="86448" ht="15.75" customHeight="1">
      <c r="A86448" s="7"/>
      <c r="B86448" s="7"/>
    </row>
    <row r="86449" ht="15.75" customHeight="1">
      <c r="A86449" s="7"/>
      <c r="B86449" s="7"/>
    </row>
    <row r="86450" ht="15.75" customHeight="1">
      <c r="A86450" s="7"/>
      <c r="B86450" s="7"/>
    </row>
    <row r="86451" ht="15.75" customHeight="1">
      <c r="A86451" s="7"/>
      <c r="B86451" s="7"/>
    </row>
    <row r="86452" ht="15.75" customHeight="1">
      <c r="A86452" s="7"/>
      <c r="B86452" s="7"/>
    </row>
    <row r="86453" ht="15.75" customHeight="1">
      <c r="A86453" s="7"/>
      <c r="B86453" s="7"/>
    </row>
    <row r="86454" ht="15.75" customHeight="1">
      <c r="A86454" s="7"/>
      <c r="B86454" s="7"/>
    </row>
    <row r="86455" ht="15.75" customHeight="1">
      <c r="A86455" s="7"/>
      <c r="B86455" s="7"/>
    </row>
    <row r="86456" ht="15.75" customHeight="1">
      <c r="A86456" s="7"/>
      <c r="B86456" s="7"/>
    </row>
    <row r="86457" ht="15.75" customHeight="1">
      <c r="A86457" s="7"/>
      <c r="B86457" s="7"/>
    </row>
    <row r="86458" ht="15.75" customHeight="1">
      <c r="A86458" s="7"/>
      <c r="B86458" s="7"/>
    </row>
    <row r="86459" ht="15.75" customHeight="1">
      <c r="A86459" s="7"/>
      <c r="B86459" s="7"/>
    </row>
    <row r="86460" ht="15.75" customHeight="1">
      <c r="A86460" s="7"/>
      <c r="B86460" s="7"/>
    </row>
    <row r="86461" ht="15.75" customHeight="1">
      <c r="A86461" s="7"/>
      <c r="B86461" s="7"/>
    </row>
    <row r="86462" ht="15.75" customHeight="1">
      <c r="A86462" s="7"/>
      <c r="B86462" s="7"/>
    </row>
    <row r="86463" ht="15.75" customHeight="1">
      <c r="A86463" s="7"/>
      <c r="B86463" s="7"/>
    </row>
    <row r="86464" ht="15.75" customHeight="1">
      <c r="A86464" s="7"/>
      <c r="B86464" s="7"/>
    </row>
    <row r="86465" ht="15.75" customHeight="1">
      <c r="A86465" s="7"/>
      <c r="B86465" s="7"/>
    </row>
    <row r="86466" ht="15.75" customHeight="1">
      <c r="A86466" s="7"/>
      <c r="B86466" s="7"/>
    </row>
    <row r="86467" ht="15.75" customHeight="1">
      <c r="A86467" s="7"/>
      <c r="B86467" s="7"/>
    </row>
    <row r="86468" ht="15.75" customHeight="1">
      <c r="A86468" s="7"/>
      <c r="B86468" s="7"/>
    </row>
    <row r="86469" ht="15.75" customHeight="1">
      <c r="A86469" s="7"/>
      <c r="B86469" s="7"/>
    </row>
    <row r="86470" ht="15.75" customHeight="1">
      <c r="A86470" s="7"/>
      <c r="B86470" s="7"/>
    </row>
    <row r="86471" ht="15.75" customHeight="1">
      <c r="A86471" s="7"/>
      <c r="B86471" s="7"/>
    </row>
    <row r="86472" ht="15.75" customHeight="1">
      <c r="A86472" s="7"/>
      <c r="B86472" s="7"/>
    </row>
    <row r="86473" ht="15.75" customHeight="1">
      <c r="A86473" s="7"/>
      <c r="B86473" s="7"/>
    </row>
    <row r="86474" ht="15.75" customHeight="1">
      <c r="A86474" s="7"/>
      <c r="B86474" s="7"/>
    </row>
    <row r="86475" ht="15.75" customHeight="1">
      <c r="A86475" s="7"/>
      <c r="B86475" s="7"/>
    </row>
    <row r="86476" ht="15.75" customHeight="1">
      <c r="A86476" s="7"/>
      <c r="B86476" s="7"/>
    </row>
    <row r="86477" ht="15.75" customHeight="1">
      <c r="A86477" s="7"/>
      <c r="B86477" s="7"/>
    </row>
    <row r="86478" ht="15.75" customHeight="1">
      <c r="A86478" s="7"/>
      <c r="B86478" s="7"/>
    </row>
    <row r="86479" ht="15.75" customHeight="1">
      <c r="A86479" s="7"/>
      <c r="B86479" s="7"/>
    </row>
    <row r="86480" ht="15.75" customHeight="1">
      <c r="A86480" s="7"/>
      <c r="B86480" s="7"/>
    </row>
    <row r="86481" ht="15.75" customHeight="1">
      <c r="A86481" s="7"/>
      <c r="B86481" s="7"/>
    </row>
    <row r="86482" ht="15.75" customHeight="1">
      <c r="A86482" s="7"/>
      <c r="B86482" s="7"/>
    </row>
    <row r="86483" ht="15.75" customHeight="1">
      <c r="A86483" s="7"/>
      <c r="B86483" s="7"/>
    </row>
    <row r="86484" ht="15.75" customHeight="1">
      <c r="A86484" s="7"/>
      <c r="B86484" s="7"/>
    </row>
    <row r="86485" ht="15.75" customHeight="1">
      <c r="A86485" s="7"/>
      <c r="B86485" s="7"/>
    </row>
    <row r="86486" ht="15.75" customHeight="1">
      <c r="A86486" s="7"/>
      <c r="B86486" s="7"/>
    </row>
    <row r="86487" ht="15.75" customHeight="1">
      <c r="A86487" s="7"/>
      <c r="B86487" s="7"/>
    </row>
    <row r="86488" ht="15.75" customHeight="1">
      <c r="A86488" s="7"/>
      <c r="B86488" s="7"/>
    </row>
    <row r="86489" ht="15.75" customHeight="1">
      <c r="A86489" s="7"/>
      <c r="B86489" s="7"/>
    </row>
    <row r="86490" ht="15.75" customHeight="1">
      <c r="A86490" s="7"/>
      <c r="B86490" s="7"/>
    </row>
    <row r="86491" ht="15.75" customHeight="1">
      <c r="A86491" s="7"/>
      <c r="B86491" s="7"/>
    </row>
    <row r="86492" ht="15.75" customHeight="1">
      <c r="A86492" s="7"/>
      <c r="B86492" s="7"/>
    </row>
    <row r="86493" ht="15.75" customHeight="1">
      <c r="A86493" s="7"/>
      <c r="B86493" s="7"/>
    </row>
    <row r="86494" ht="15.75" customHeight="1">
      <c r="A86494" s="7"/>
      <c r="B86494" s="7"/>
    </row>
    <row r="86495" ht="15.75" customHeight="1">
      <c r="A86495" s="7"/>
      <c r="B86495" s="7"/>
    </row>
    <row r="86496" ht="15.75" customHeight="1">
      <c r="A86496" s="7"/>
      <c r="B86496" s="7"/>
    </row>
    <row r="86497" ht="15.75" customHeight="1">
      <c r="A86497" s="7"/>
      <c r="B86497" s="7"/>
    </row>
    <row r="86498" ht="15.75" customHeight="1">
      <c r="A86498" s="7"/>
      <c r="B86498" s="7"/>
    </row>
    <row r="86499" ht="15.75" customHeight="1">
      <c r="A86499" s="7"/>
      <c r="B86499" s="7"/>
    </row>
    <row r="86500" ht="15.75" customHeight="1">
      <c r="A86500" s="7"/>
      <c r="B86500" s="7"/>
    </row>
    <row r="86501" ht="15.75" customHeight="1">
      <c r="A86501" s="7"/>
      <c r="B86501" s="7"/>
    </row>
    <row r="86502" ht="15.75" customHeight="1">
      <c r="A86502" s="7"/>
      <c r="B86502" s="7"/>
    </row>
    <row r="86503" ht="15.75" customHeight="1">
      <c r="A86503" s="7"/>
      <c r="B86503" s="7"/>
    </row>
    <row r="86504" ht="15.75" customHeight="1">
      <c r="A86504" s="7"/>
      <c r="B86504" s="7"/>
    </row>
    <row r="86505" ht="15.75" customHeight="1">
      <c r="A86505" s="7"/>
      <c r="B86505" s="7"/>
    </row>
    <row r="86506" ht="15.75" customHeight="1">
      <c r="A86506" s="7"/>
      <c r="B86506" s="7"/>
    </row>
    <row r="86507" ht="15.75" customHeight="1">
      <c r="A86507" s="7"/>
      <c r="B86507" s="7"/>
    </row>
    <row r="86508" ht="15.75" customHeight="1">
      <c r="A86508" s="7"/>
      <c r="B86508" s="7"/>
    </row>
    <row r="86509" ht="15.75" customHeight="1">
      <c r="A86509" s="7"/>
      <c r="B86509" s="7"/>
    </row>
    <row r="86510" ht="15.75" customHeight="1">
      <c r="A86510" s="7"/>
      <c r="B86510" s="7"/>
    </row>
    <row r="86511" ht="15.75" customHeight="1">
      <c r="A86511" s="7"/>
      <c r="B86511" s="7"/>
    </row>
    <row r="86512" ht="15.75" customHeight="1">
      <c r="A86512" s="7"/>
      <c r="B86512" s="7"/>
    </row>
    <row r="86513" ht="15.75" customHeight="1">
      <c r="A86513" s="7"/>
      <c r="B86513" s="7"/>
    </row>
    <row r="86514" ht="15.75" customHeight="1">
      <c r="A86514" s="7"/>
      <c r="B86514" s="7"/>
    </row>
    <row r="86515" ht="15.75" customHeight="1">
      <c r="A86515" s="7"/>
      <c r="B86515" s="7"/>
    </row>
    <row r="86516" ht="15.75" customHeight="1">
      <c r="A86516" s="7"/>
      <c r="B86516" s="7"/>
    </row>
    <row r="86517" ht="15.75" customHeight="1">
      <c r="A86517" s="7"/>
      <c r="B86517" s="7"/>
    </row>
    <row r="86518" ht="15.75" customHeight="1">
      <c r="A86518" s="7"/>
      <c r="B86518" s="7"/>
    </row>
    <row r="86519" ht="15.75" customHeight="1">
      <c r="A86519" s="7"/>
      <c r="B86519" s="7"/>
    </row>
    <row r="86520" ht="15.75" customHeight="1">
      <c r="A86520" s="7"/>
      <c r="B86520" s="7"/>
    </row>
    <row r="86521" ht="15.75" customHeight="1">
      <c r="A86521" s="7"/>
      <c r="B86521" s="7"/>
    </row>
    <row r="86522" ht="15.75" customHeight="1">
      <c r="A86522" s="7"/>
      <c r="B86522" s="7"/>
    </row>
    <row r="86523" ht="15.75" customHeight="1">
      <c r="A86523" s="7"/>
      <c r="B86523" s="7"/>
    </row>
    <row r="86524" ht="15.75" customHeight="1">
      <c r="A86524" s="7"/>
      <c r="B86524" s="7"/>
    </row>
    <row r="86525" ht="15.75" customHeight="1">
      <c r="A86525" s="7"/>
      <c r="B86525" s="7"/>
    </row>
    <row r="86526" ht="15.75" customHeight="1">
      <c r="A86526" s="7"/>
      <c r="B86526" s="7"/>
    </row>
    <row r="86527" ht="15.75" customHeight="1">
      <c r="A86527" s="7"/>
      <c r="B86527" s="7"/>
    </row>
    <row r="86528" ht="15.75" customHeight="1">
      <c r="A86528" s="7"/>
      <c r="B86528" s="7"/>
    </row>
    <row r="86529" ht="15.75" customHeight="1">
      <c r="A86529" s="7"/>
      <c r="B86529" s="7"/>
    </row>
    <row r="86530" ht="15.75" customHeight="1">
      <c r="A86530" s="7"/>
      <c r="B86530" s="7"/>
    </row>
    <row r="86531" ht="15.75" customHeight="1">
      <c r="A86531" s="7"/>
      <c r="B86531" s="7"/>
    </row>
    <row r="86532" ht="15.75" customHeight="1">
      <c r="A86532" s="7"/>
      <c r="B86532" s="7"/>
    </row>
    <row r="86533" ht="15.75" customHeight="1">
      <c r="A86533" s="7"/>
      <c r="B86533" s="7"/>
    </row>
    <row r="86534" ht="15.75" customHeight="1">
      <c r="A86534" s="7"/>
      <c r="B86534" s="7"/>
    </row>
    <row r="86535" ht="15.75" customHeight="1">
      <c r="A86535" s="7"/>
      <c r="B86535" s="7"/>
    </row>
    <row r="86536" ht="15.75" customHeight="1">
      <c r="A86536" s="7"/>
      <c r="B86536" s="7"/>
    </row>
    <row r="86537" ht="15.75" customHeight="1">
      <c r="A86537" s="7"/>
      <c r="B86537" s="7"/>
    </row>
    <row r="86538" ht="15.75" customHeight="1">
      <c r="A86538" s="7"/>
      <c r="B86538" s="7"/>
    </row>
    <row r="86539" ht="15.75" customHeight="1">
      <c r="A86539" s="7"/>
      <c r="B86539" s="7"/>
    </row>
    <row r="86540" ht="15.75" customHeight="1">
      <c r="A86540" s="7"/>
      <c r="B86540" s="7"/>
    </row>
    <row r="86541" ht="15.75" customHeight="1">
      <c r="A86541" s="7"/>
      <c r="B86541" s="7"/>
    </row>
    <row r="86542" ht="15.75" customHeight="1">
      <c r="A86542" s="7"/>
      <c r="B86542" s="7"/>
    </row>
    <row r="86543" ht="15.75" customHeight="1">
      <c r="A86543" s="7"/>
      <c r="B86543" s="7"/>
    </row>
    <row r="86544" ht="15.75" customHeight="1">
      <c r="A86544" s="7"/>
      <c r="B86544" s="7"/>
    </row>
    <row r="86545" ht="15.75" customHeight="1">
      <c r="A86545" s="7"/>
      <c r="B86545" s="7"/>
    </row>
    <row r="86546" ht="15.75" customHeight="1">
      <c r="A86546" s="7"/>
      <c r="B86546" s="7"/>
    </row>
    <row r="86547" ht="15.75" customHeight="1">
      <c r="A86547" s="7"/>
      <c r="B86547" s="7"/>
    </row>
    <row r="86548" ht="15.75" customHeight="1">
      <c r="A86548" s="7"/>
      <c r="B86548" s="7"/>
    </row>
    <row r="86549" ht="15.75" customHeight="1">
      <c r="A86549" s="7"/>
      <c r="B86549" s="7"/>
    </row>
    <row r="86550" ht="15.75" customHeight="1">
      <c r="A86550" s="7"/>
      <c r="B86550" s="7"/>
    </row>
    <row r="86551" ht="15.75" customHeight="1">
      <c r="A86551" s="7"/>
      <c r="B86551" s="7"/>
    </row>
    <row r="86552" ht="15.75" customHeight="1">
      <c r="A86552" s="7"/>
      <c r="B86552" s="7"/>
    </row>
    <row r="86553" ht="15.75" customHeight="1">
      <c r="A86553" s="7"/>
      <c r="B86553" s="7"/>
    </row>
    <row r="86554" ht="15.75" customHeight="1">
      <c r="A86554" s="7"/>
      <c r="B86554" s="7"/>
    </row>
    <row r="86555" ht="15.75" customHeight="1">
      <c r="A86555" s="7"/>
      <c r="B86555" s="7"/>
    </row>
    <row r="86556" ht="15.75" customHeight="1">
      <c r="A86556" s="7"/>
      <c r="B86556" s="7"/>
    </row>
    <row r="86557" ht="15.75" customHeight="1">
      <c r="A86557" s="7"/>
      <c r="B86557" s="7"/>
    </row>
    <row r="86558" ht="15.75" customHeight="1">
      <c r="A86558" s="7"/>
      <c r="B86558" s="7"/>
    </row>
    <row r="86559" ht="15.75" customHeight="1">
      <c r="A86559" s="7"/>
      <c r="B86559" s="7"/>
    </row>
    <row r="86560" ht="15.75" customHeight="1">
      <c r="A86560" s="7"/>
      <c r="B86560" s="7"/>
    </row>
    <row r="86561" ht="15.75" customHeight="1">
      <c r="A86561" s="7"/>
      <c r="B86561" s="7"/>
    </row>
    <row r="86562" ht="15.75" customHeight="1">
      <c r="A86562" s="7"/>
      <c r="B86562" s="7"/>
    </row>
    <row r="86563" ht="15.75" customHeight="1">
      <c r="A86563" s="7"/>
      <c r="B86563" s="7"/>
    </row>
    <row r="86564" ht="15.75" customHeight="1">
      <c r="A86564" s="7"/>
      <c r="B86564" s="7"/>
    </row>
    <row r="86565" ht="15.75" customHeight="1">
      <c r="A86565" s="7"/>
      <c r="B86565" s="7"/>
    </row>
    <row r="86566" ht="15.75" customHeight="1">
      <c r="A86566" s="7"/>
      <c r="B86566" s="7"/>
    </row>
    <row r="86567" ht="15.75" customHeight="1">
      <c r="A86567" s="7"/>
      <c r="B86567" s="7"/>
    </row>
    <row r="86568" ht="15.75" customHeight="1">
      <c r="A86568" s="7"/>
      <c r="B86568" s="7"/>
    </row>
    <row r="86569" ht="15.75" customHeight="1">
      <c r="A86569" s="7"/>
      <c r="B86569" s="7"/>
    </row>
    <row r="86570" ht="15.75" customHeight="1">
      <c r="A86570" s="7"/>
      <c r="B86570" s="7"/>
    </row>
    <row r="86571" ht="15.75" customHeight="1">
      <c r="A86571" s="7"/>
      <c r="B86571" s="7"/>
    </row>
    <row r="86572" ht="15.75" customHeight="1">
      <c r="A86572" s="7"/>
      <c r="B86572" s="7"/>
    </row>
    <row r="86573" ht="15.75" customHeight="1">
      <c r="A86573" s="7"/>
      <c r="B86573" s="7"/>
    </row>
    <row r="86574" ht="15.75" customHeight="1">
      <c r="A86574" s="7"/>
      <c r="B86574" s="7"/>
    </row>
    <row r="86575" ht="15.75" customHeight="1">
      <c r="A86575" s="7"/>
      <c r="B86575" s="7"/>
    </row>
    <row r="86576" ht="15.75" customHeight="1">
      <c r="A86576" s="7"/>
      <c r="B86576" s="7"/>
    </row>
    <row r="86577" ht="15.75" customHeight="1">
      <c r="A86577" s="7"/>
      <c r="B86577" s="7"/>
    </row>
    <row r="86578" ht="15.75" customHeight="1">
      <c r="A86578" s="7"/>
      <c r="B86578" s="7"/>
    </row>
    <row r="86579" ht="15.75" customHeight="1">
      <c r="A86579" s="7"/>
      <c r="B86579" s="7"/>
    </row>
    <row r="86580" ht="15.75" customHeight="1">
      <c r="A86580" s="7"/>
      <c r="B86580" s="7"/>
    </row>
    <row r="86581" ht="15.75" customHeight="1">
      <c r="A86581" s="7"/>
      <c r="B86581" s="7"/>
    </row>
    <row r="86582" ht="15.75" customHeight="1">
      <c r="A86582" s="7"/>
      <c r="B86582" s="7"/>
    </row>
    <row r="86583" ht="15.75" customHeight="1">
      <c r="A86583" s="7"/>
      <c r="B86583" s="7"/>
    </row>
    <row r="86584" ht="15.75" customHeight="1">
      <c r="A86584" s="7"/>
      <c r="B86584" s="7"/>
    </row>
    <row r="86585" ht="15.75" customHeight="1">
      <c r="A86585" s="7"/>
      <c r="B86585" s="7"/>
    </row>
    <row r="86586" ht="15.75" customHeight="1">
      <c r="A86586" s="7"/>
      <c r="B86586" s="7"/>
    </row>
    <row r="86587" ht="15.75" customHeight="1">
      <c r="A86587" s="7"/>
      <c r="B86587" s="7"/>
    </row>
    <row r="86588" ht="15.75" customHeight="1">
      <c r="A86588" s="7"/>
      <c r="B86588" s="7"/>
    </row>
    <row r="86589" ht="15.75" customHeight="1">
      <c r="A86589" s="7"/>
      <c r="B86589" s="7"/>
    </row>
    <row r="86590" ht="15.75" customHeight="1">
      <c r="A86590" s="7"/>
      <c r="B86590" s="7"/>
    </row>
    <row r="86591" ht="15.75" customHeight="1">
      <c r="A86591" s="7"/>
      <c r="B86591" s="7"/>
    </row>
    <row r="86592" ht="15.75" customHeight="1">
      <c r="A86592" s="7"/>
      <c r="B86592" s="7"/>
    </row>
    <row r="86593" ht="15.75" customHeight="1">
      <c r="A86593" s="7"/>
      <c r="B86593" s="7"/>
    </row>
    <row r="86594" ht="15.75" customHeight="1">
      <c r="A86594" s="7"/>
      <c r="B86594" s="7"/>
    </row>
    <row r="86595" ht="15.75" customHeight="1">
      <c r="A86595" s="7"/>
      <c r="B86595" s="7"/>
    </row>
    <row r="86596" ht="15.75" customHeight="1">
      <c r="A86596" s="7"/>
      <c r="B86596" s="7"/>
    </row>
    <row r="86597" ht="15.75" customHeight="1">
      <c r="A86597" s="7"/>
      <c r="B86597" s="7"/>
    </row>
    <row r="86598" ht="15.75" customHeight="1">
      <c r="A86598" s="7"/>
      <c r="B86598" s="7"/>
    </row>
    <row r="86599" ht="15.75" customHeight="1">
      <c r="A86599" s="7"/>
      <c r="B86599" s="7"/>
    </row>
    <row r="86600" ht="15.75" customHeight="1">
      <c r="A86600" s="7"/>
      <c r="B86600" s="7"/>
    </row>
    <row r="86601" ht="15.75" customHeight="1">
      <c r="A86601" s="7"/>
      <c r="B86601" s="7"/>
    </row>
    <row r="86602" ht="15.75" customHeight="1">
      <c r="A86602" s="7"/>
      <c r="B86602" s="7"/>
    </row>
    <row r="86603" ht="15.75" customHeight="1">
      <c r="A86603" s="7"/>
      <c r="B86603" s="7"/>
    </row>
    <row r="86604" ht="15.75" customHeight="1">
      <c r="A86604" s="7"/>
      <c r="B86604" s="7"/>
    </row>
    <row r="86605" ht="15.75" customHeight="1">
      <c r="A86605" s="7"/>
      <c r="B86605" s="7"/>
    </row>
    <row r="86606" ht="15.75" customHeight="1">
      <c r="A86606" s="7"/>
      <c r="B86606" s="7"/>
    </row>
    <row r="86607" ht="15.75" customHeight="1">
      <c r="A86607" s="7"/>
      <c r="B86607" s="7"/>
    </row>
    <row r="86608" ht="15.75" customHeight="1">
      <c r="A86608" s="7"/>
      <c r="B86608" s="7"/>
    </row>
    <row r="86609" ht="15.75" customHeight="1">
      <c r="A86609" s="7"/>
      <c r="B86609" s="7"/>
    </row>
    <row r="86610" ht="15.75" customHeight="1">
      <c r="A86610" s="7"/>
      <c r="B86610" s="7"/>
    </row>
    <row r="86611" ht="15.75" customHeight="1">
      <c r="A86611" s="7"/>
      <c r="B86611" s="7"/>
    </row>
    <row r="86612" ht="15.75" customHeight="1">
      <c r="A86612" s="7"/>
      <c r="B86612" s="7"/>
    </row>
    <row r="86613" ht="15.75" customHeight="1">
      <c r="A86613" s="7"/>
      <c r="B86613" s="7"/>
    </row>
    <row r="86614" ht="15.75" customHeight="1">
      <c r="A86614" s="7"/>
      <c r="B86614" s="7"/>
    </row>
    <row r="86615" ht="15.75" customHeight="1">
      <c r="A86615" s="7"/>
      <c r="B86615" s="7"/>
    </row>
    <row r="86616" ht="15.75" customHeight="1">
      <c r="A86616" s="7"/>
      <c r="B86616" s="7"/>
    </row>
    <row r="86617" ht="15.75" customHeight="1">
      <c r="A86617" s="7"/>
      <c r="B86617" s="7"/>
    </row>
    <row r="86618" ht="15.75" customHeight="1">
      <c r="A86618" s="7"/>
      <c r="B86618" s="7"/>
    </row>
    <row r="86619" ht="15.75" customHeight="1">
      <c r="A86619" s="7"/>
      <c r="B86619" s="7"/>
    </row>
    <row r="86620" ht="15.75" customHeight="1">
      <c r="A86620" s="7"/>
      <c r="B86620" s="7"/>
    </row>
    <row r="86621" ht="15.75" customHeight="1">
      <c r="A86621" s="7"/>
      <c r="B86621" s="7"/>
    </row>
    <row r="86622" ht="15.75" customHeight="1">
      <c r="A86622" s="7"/>
      <c r="B86622" s="7"/>
    </row>
    <row r="86623" ht="15.75" customHeight="1">
      <c r="A86623" s="7"/>
      <c r="B86623" s="7"/>
    </row>
    <row r="86624" ht="15.75" customHeight="1">
      <c r="A86624" s="7"/>
      <c r="B86624" s="7"/>
    </row>
    <row r="86625" ht="15.75" customHeight="1">
      <c r="A86625" s="7"/>
      <c r="B86625" s="7"/>
    </row>
    <row r="86626" ht="15.75" customHeight="1">
      <c r="A86626" s="7"/>
      <c r="B86626" s="7"/>
    </row>
    <row r="86627" ht="15.75" customHeight="1">
      <c r="A86627" s="7"/>
      <c r="B86627" s="7"/>
    </row>
    <row r="86628" ht="15.75" customHeight="1">
      <c r="A86628" s="7"/>
      <c r="B86628" s="7"/>
    </row>
    <row r="86629" ht="15.75" customHeight="1">
      <c r="A86629" s="7"/>
      <c r="B86629" s="7"/>
    </row>
    <row r="86630" ht="15.75" customHeight="1">
      <c r="A86630" s="7"/>
      <c r="B86630" s="7"/>
    </row>
    <row r="86631" ht="15.75" customHeight="1">
      <c r="A86631" s="7"/>
      <c r="B86631" s="7"/>
    </row>
    <row r="86632" ht="15.75" customHeight="1">
      <c r="A86632" s="7"/>
      <c r="B86632" s="7"/>
    </row>
    <row r="86633" ht="15.75" customHeight="1">
      <c r="A86633" s="7"/>
      <c r="B86633" s="7"/>
    </row>
    <row r="86634" ht="15.75" customHeight="1">
      <c r="A86634" s="7"/>
      <c r="B86634" s="7"/>
    </row>
    <row r="86635" ht="15.75" customHeight="1">
      <c r="A86635" s="7"/>
      <c r="B86635" s="7"/>
    </row>
    <row r="86636" ht="15.75" customHeight="1">
      <c r="A86636" s="7"/>
      <c r="B86636" s="7"/>
    </row>
    <row r="86637" ht="15.75" customHeight="1">
      <c r="A86637" s="7"/>
      <c r="B86637" s="7"/>
    </row>
    <row r="86638" ht="15.75" customHeight="1">
      <c r="A86638" s="7"/>
      <c r="B86638" s="7"/>
    </row>
    <row r="86639" ht="15.75" customHeight="1">
      <c r="A86639" s="7"/>
      <c r="B86639" s="7"/>
    </row>
    <row r="86640" ht="15.75" customHeight="1">
      <c r="A86640" s="7"/>
      <c r="B86640" s="7"/>
    </row>
    <row r="86641" ht="15.75" customHeight="1">
      <c r="A86641" s="7"/>
      <c r="B86641" s="7"/>
    </row>
    <row r="86642" ht="15.75" customHeight="1">
      <c r="A86642" s="7"/>
      <c r="B86642" s="7"/>
    </row>
    <row r="86643" ht="15.75" customHeight="1">
      <c r="A86643" s="7"/>
      <c r="B86643" s="7"/>
    </row>
    <row r="86644" ht="15.75" customHeight="1">
      <c r="A86644" s="7"/>
      <c r="B86644" s="7"/>
    </row>
    <row r="86645" ht="15.75" customHeight="1">
      <c r="A86645" s="7"/>
      <c r="B86645" s="7"/>
    </row>
    <row r="86646" ht="15.75" customHeight="1">
      <c r="A86646" s="7"/>
      <c r="B86646" s="7"/>
    </row>
    <row r="86647" ht="15.75" customHeight="1">
      <c r="A86647" s="7"/>
      <c r="B86647" s="7"/>
    </row>
    <row r="86648" ht="15.75" customHeight="1">
      <c r="A86648" s="7"/>
      <c r="B86648" s="7"/>
    </row>
    <row r="86649" ht="15.75" customHeight="1">
      <c r="A86649" s="7"/>
      <c r="B86649" s="7"/>
    </row>
    <row r="86650" ht="15.75" customHeight="1">
      <c r="A86650" s="7"/>
      <c r="B86650" s="7"/>
    </row>
    <row r="86651" ht="15.75" customHeight="1">
      <c r="A86651" s="7"/>
      <c r="B86651" s="7"/>
    </row>
    <row r="86652" ht="15.75" customHeight="1">
      <c r="A86652" s="7"/>
      <c r="B86652" s="7"/>
    </row>
    <row r="86653" ht="15.75" customHeight="1">
      <c r="A86653" s="7"/>
      <c r="B86653" s="7"/>
    </row>
    <row r="86654" ht="15.75" customHeight="1">
      <c r="A86654" s="7"/>
      <c r="B86654" s="7"/>
    </row>
    <row r="86655" ht="15.75" customHeight="1">
      <c r="A86655" s="7"/>
      <c r="B86655" s="7"/>
    </row>
    <row r="86656" ht="15.75" customHeight="1">
      <c r="A86656" s="7"/>
      <c r="B86656" s="7"/>
    </row>
    <row r="86657" ht="15.75" customHeight="1">
      <c r="A86657" s="7"/>
      <c r="B86657" s="7"/>
    </row>
    <row r="86658" ht="15.75" customHeight="1">
      <c r="A86658" s="7"/>
      <c r="B86658" s="7"/>
    </row>
    <row r="86659" ht="15.75" customHeight="1">
      <c r="A86659" s="7"/>
      <c r="B86659" s="7"/>
    </row>
    <row r="86660" ht="15.75" customHeight="1">
      <c r="A86660" s="7"/>
      <c r="B86660" s="7"/>
    </row>
    <row r="86661" ht="15.75" customHeight="1">
      <c r="A86661" s="7"/>
      <c r="B86661" s="7"/>
    </row>
    <row r="86662" ht="15.75" customHeight="1">
      <c r="A86662" s="7"/>
      <c r="B86662" s="7"/>
    </row>
    <row r="86663" ht="15.75" customHeight="1">
      <c r="A86663" s="7"/>
      <c r="B86663" s="7"/>
    </row>
    <row r="86664" ht="15.75" customHeight="1">
      <c r="A86664" s="7"/>
      <c r="B86664" s="7"/>
    </row>
    <row r="86665" ht="15.75" customHeight="1">
      <c r="A86665" s="7"/>
      <c r="B86665" s="7"/>
    </row>
    <row r="86666" ht="15.75" customHeight="1">
      <c r="A86666" s="7"/>
      <c r="B86666" s="7"/>
    </row>
    <row r="86667" ht="15.75" customHeight="1">
      <c r="A86667" s="7"/>
      <c r="B86667" s="7"/>
    </row>
    <row r="86668" ht="15.75" customHeight="1">
      <c r="A86668" s="7"/>
      <c r="B86668" s="7"/>
    </row>
    <row r="86669" ht="15.75" customHeight="1">
      <c r="A86669" s="7"/>
      <c r="B86669" s="7"/>
    </row>
    <row r="86670" ht="15.75" customHeight="1">
      <c r="A86670" s="7"/>
      <c r="B86670" s="7"/>
    </row>
    <row r="86671" ht="15.75" customHeight="1">
      <c r="A86671" s="7"/>
      <c r="B86671" s="7"/>
    </row>
    <row r="86672" ht="15.75" customHeight="1">
      <c r="A86672" s="7"/>
      <c r="B86672" s="7"/>
    </row>
    <row r="86673" ht="15.75" customHeight="1">
      <c r="A86673" s="7"/>
      <c r="B86673" s="7"/>
    </row>
    <row r="86674" ht="15.75" customHeight="1">
      <c r="A86674" s="7"/>
      <c r="B86674" s="7"/>
    </row>
    <row r="86675" ht="15.75" customHeight="1">
      <c r="A86675" s="7"/>
      <c r="B86675" s="7"/>
    </row>
    <row r="86676" ht="15.75" customHeight="1">
      <c r="A86676" s="7"/>
      <c r="B86676" s="7"/>
    </row>
    <row r="86677" ht="15.75" customHeight="1">
      <c r="A86677" s="7"/>
      <c r="B86677" s="7"/>
    </row>
    <row r="86678" ht="15.75" customHeight="1">
      <c r="A86678" s="7"/>
      <c r="B86678" s="7"/>
    </row>
    <row r="86679" ht="15.75" customHeight="1">
      <c r="A86679" s="7"/>
      <c r="B86679" s="7"/>
    </row>
    <row r="86680" ht="15.75" customHeight="1">
      <c r="A86680" s="7"/>
      <c r="B86680" s="7"/>
    </row>
    <row r="86681" ht="15.75" customHeight="1">
      <c r="A86681" s="7"/>
      <c r="B86681" s="7"/>
    </row>
    <row r="86682" ht="15.75" customHeight="1">
      <c r="A86682" s="7"/>
      <c r="B86682" s="7"/>
    </row>
    <row r="86683" ht="15.75" customHeight="1">
      <c r="A86683" s="7"/>
      <c r="B86683" s="7"/>
    </row>
    <row r="86684" ht="15.75" customHeight="1">
      <c r="A86684" s="7"/>
      <c r="B86684" s="7"/>
    </row>
    <row r="86685" ht="15.75" customHeight="1">
      <c r="A86685" s="7"/>
      <c r="B86685" s="7"/>
    </row>
    <row r="86686" ht="15.75" customHeight="1">
      <c r="A86686" s="7"/>
      <c r="B86686" s="7"/>
    </row>
    <row r="86687" ht="15.75" customHeight="1">
      <c r="A86687" s="7"/>
      <c r="B86687" s="7"/>
    </row>
    <row r="86688" ht="15.75" customHeight="1">
      <c r="A86688" s="7"/>
      <c r="B86688" s="7"/>
    </row>
    <row r="86689" ht="15.75" customHeight="1">
      <c r="A86689" s="7"/>
      <c r="B86689" s="7"/>
    </row>
    <row r="86690" ht="15.75" customHeight="1">
      <c r="A86690" s="7"/>
      <c r="B86690" s="7"/>
    </row>
    <row r="86691" ht="15.75" customHeight="1">
      <c r="A86691" s="7"/>
      <c r="B86691" s="7"/>
    </row>
    <row r="86692" ht="15.75" customHeight="1">
      <c r="A86692" s="7"/>
      <c r="B86692" s="7"/>
    </row>
    <row r="86693" ht="15.75" customHeight="1">
      <c r="A86693" s="7"/>
      <c r="B86693" s="7"/>
    </row>
    <row r="86694" ht="15.75" customHeight="1">
      <c r="A86694" s="7"/>
      <c r="B86694" s="7"/>
    </row>
    <row r="86695" ht="15.75" customHeight="1">
      <c r="A86695" s="7"/>
      <c r="B86695" s="7"/>
    </row>
    <row r="86696" ht="15.75" customHeight="1">
      <c r="A86696" s="7"/>
      <c r="B86696" s="7"/>
    </row>
    <row r="86697" ht="15.75" customHeight="1">
      <c r="A86697" s="7"/>
      <c r="B86697" s="7"/>
    </row>
    <row r="86698" ht="15.75" customHeight="1">
      <c r="A86698" s="7"/>
      <c r="B86698" s="7"/>
    </row>
    <row r="86699" ht="15.75" customHeight="1">
      <c r="A86699" s="7"/>
      <c r="B86699" s="7"/>
    </row>
    <row r="86700" ht="15.75" customHeight="1">
      <c r="A86700" s="7"/>
      <c r="B86700" s="7"/>
    </row>
    <row r="86701" ht="15.75" customHeight="1">
      <c r="A86701" s="7"/>
      <c r="B86701" s="7"/>
    </row>
    <row r="86702" ht="15.75" customHeight="1">
      <c r="A86702" s="7"/>
      <c r="B86702" s="7"/>
    </row>
    <row r="86703" ht="15.75" customHeight="1">
      <c r="A86703" s="7"/>
      <c r="B86703" s="7"/>
    </row>
    <row r="86704" ht="15.75" customHeight="1">
      <c r="A86704" s="7"/>
      <c r="B86704" s="7"/>
    </row>
    <row r="86705" ht="15.75" customHeight="1">
      <c r="A86705" s="7"/>
      <c r="B86705" s="7"/>
    </row>
    <row r="86706" ht="15.75" customHeight="1">
      <c r="A86706" s="7"/>
      <c r="B86706" s="7"/>
    </row>
    <row r="86707" ht="15.75" customHeight="1">
      <c r="A86707" s="7"/>
      <c r="B86707" s="7"/>
    </row>
    <row r="86708" ht="15.75" customHeight="1">
      <c r="A86708" s="7"/>
      <c r="B86708" s="7"/>
    </row>
    <row r="86709" ht="15.75" customHeight="1">
      <c r="A86709" s="7"/>
      <c r="B86709" s="7"/>
    </row>
    <row r="86710" ht="15.75" customHeight="1">
      <c r="A86710" s="7"/>
      <c r="B86710" s="7"/>
    </row>
    <row r="86711" ht="15.75" customHeight="1">
      <c r="A86711" s="7"/>
      <c r="B86711" s="7"/>
    </row>
    <row r="86712" ht="15.75" customHeight="1">
      <c r="A86712" s="7"/>
      <c r="B86712" s="7"/>
    </row>
    <row r="86713" ht="15.75" customHeight="1">
      <c r="A86713" s="7"/>
      <c r="B86713" s="7"/>
    </row>
    <row r="86714" ht="15.75" customHeight="1">
      <c r="A86714" s="7"/>
      <c r="B86714" s="7"/>
    </row>
    <row r="86715" ht="15.75" customHeight="1">
      <c r="A86715" s="7"/>
      <c r="B86715" s="7"/>
    </row>
    <row r="86716" ht="15.75" customHeight="1">
      <c r="A86716" s="7"/>
      <c r="B86716" s="7"/>
    </row>
    <row r="86717" ht="15.75" customHeight="1">
      <c r="A86717" s="7"/>
      <c r="B86717" s="7"/>
    </row>
    <row r="86718" ht="15.75" customHeight="1">
      <c r="A86718" s="7"/>
      <c r="B86718" s="7"/>
    </row>
    <row r="86719" ht="15.75" customHeight="1">
      <c r="A86719" s="7"/>
      <c r="B86719" s="7"/>
    </row>
    <row r="86720" ht="15.75" customHeight="1">
      <c r="A86720" s="7"/>
      <c r="B86720" s="7"/>
    </row>
    <row r="86721" ht="15.75" customHeight="1">
      <c r="A86721" s="7"/>
      <c r="B86721" s="7"/>
    </row>
    <row r="86722" ht="15.75" customHeight="1">
      <c r="A86722" s="7"/>
      <c r="B86722" s="7"/>
    </row>
    <row r="86723" ht="15.75" customHeight="1">
      <c r="A86723" s="7"/>
      <c r="B86723" s="7"/>
    </row>
    <row r="86724" ht="15.75" customHeight="1">
      <c r="A86724" s="7"/>
      <c r="B86724" s="7"/>
    </row>
    <row r="86725" ht="15.75" customHeight="1">
      <c r="A86725" s="7"/>
      <c r="B86725" s="7"/>
    </row>
    <row r="86726" ht="15.75" customHeight="1">
      <c r="A86726" s="7"/>
      <c r="B86726" s="7"/>
    </row>
    <row r="86727" ht="15.75" customHeight="1">
      <c r="A86727" s="7"/>
      <c r="B86727" s="7"/>
    </row>
    <row r="86728" ht="15.75" customHeight="1">
      <c r="A86728" s="7"/>
      <c r="B86728" s="7"/>
    </row>
    <row r="86729" ht="15.75" customHeight="1">
      <c r="A86729" s="7"/>
      <c r="B86729" s="7"/>
    </row>
    <row r="86730" ht="15.75" customHeight="1">
      <c r="A86730" s="7"/>
      <c r="B86730" s="7"/>
    </row>
    <row r="86731" ht="15.75" customHeight="1">
      <c r="A86731" s="7"/>
      <c r="B86731" s="7"/>
    </row>
    <row r="86732" ht="15.75" customHeight="1">
      <c r="A86732" s="7"/>
      <c r="B86732" s="7"/>
    </row>
    <row r="86733" ht="15.75" customHeight="1">
      <c r="A86733" s="7"/>
      <c r="B86733" s="7"/>
    </row>
    <row r="86734" ht="15.75" customHeight="1">
      <c r="A86734" s="7"/>
      <c r="B86734" s="7"/>
    </row>
    <row r="86735" ht="15.75" customHeight="1">
      <c r="A86735" s="7"/>
      <c r="B86735" s="7"/>
    </row>
    <row r="86736" ht="15.75" customHeight="1">
      <c r="A86736" s="7"/>
      <c r="B86736" s="7"/>
    </row>
    <row r="86737" ht="15.75" customHeight="1">
      <c r="A86737" s="7"/>
      <c r="B86737" s="7"/>
    </row>
    <row r="86738" ht="15.75" customHeight="1">
      <c r="A86738" s="7"/>
      <c r="B86738" s="7"/>
    </row>
    <row r="86739" ht="15.75" customHeight="1">
      <c r="A86739" s="7"/>
      <c r="B86739" s="7"/>
    </row>
    <row r="86740" ht="15.75" customHeight="1">
      <c r="A86740" s="7"/>
      <c r="B86740" s="7"/>
    </row>
    <row r="86741" ht="15.75" customHeight="1">
      <c r="A86741" s="7"/>
      <c r="B86741" s="7"/>
    </row>
    <row r="86742" ht="15.75" customHeight="1">
      <c r="A86742" s="7"/>
      <c r="B86742" s="7"/>
    </row>
    <row r="86743" ht="15.75" customHeight="1">
      <c r="A86743" s="7"/>
      <c r="B86743" s="7"/>
    </row>
    <row r="86744" ht="15.75" customHeight="1">
      <c r="A86744" s="7"/>
      <c r="B86744" s="7"/>
    </row>
    <row r="86745" ht="15.75" customHeight="1">
      <c r="A86745" s="7"/>
      <c r="B86745" s="7"/>
    </row>
    <row r="86746" ht="15.75" customHeight="1">
      <c r="A86746" s="7"/>
      <c r="B86746" s="7"/>
    </row>
    <row r="86747" ht="15.75" customHeight="1">
      <c r="A86747" s="7"/>
      <c r="B86747" s="7"/>
    </row>
    <row r="86748" ht="15.75" customHeight="1">
      <c r="A86748" s="7"/>
      <c r="B86748" s="7"/>
    </row>
    <row r="86749" ht="15.75" customHeight="1">
      <c r="A86749" s="7"/>
      <c r="B86749" s="7"/>
    </row>
    <row r="86750" ht="15.75" customHeight="1">
      <c r="A86750" s="7"/>
      <c r="B86750" s="7"/>
    </row>
    <row r="86751" ht="15.75" customHeight="1">
      <c r="A86751" s="7"/>
      <c r="B86751" s="7"/>
    </row>
    <row r="86752" ht="15.75" customHeight="1">
      <c r="A86752" s="7"/>
      <c r="B86752" s="7"/>
    </row>
    <row r="86753" ht="15.75" customHeight="1">
      <c r="A86753" s="7"/>
      <c r="B86753" s="7"/>
    </row>
    <row r="86754" ht="15.75" customHeight="1">
      <c r="A86754" s="7"/>
      <c r="B86754" s="7"/>
    </row>
    <row r="86755" ht="15.75" customHeight="1">
      <c r="A86755" s="7"/>
      <c r="B86755" s="7"/>
    </row>
    <row r="86756" ht="15.75" customHeight="1">
      <c r="A86756" s="7"/>
      <c r="B86756" s="7"/>
    </row>
    <row r="86757" ht="15.75" customHeight="1">
      <c r="A86757" s="7"/>
      <c r="B86757" s="7"/>
    </row>
    <row r="86758" ht="15.75" customHeight="1">
      <c r="A86758" s="7"/>
      <c r="B86758" s="7"/>
    </row>
    <row r="86759" ht="15.75" customHeight="1">
      <c r="A86759" s="7"/>
      <c r="B86759" s="7"/>
    </row>
    <row r="86760" ht="15.75" customHeight="1">
      <c r="A86760" s="7"/>
      <c r="B86760" s="7"/>
    </row>
    <row r="86761" ht="15.75" customHeight="1">
      <c r="A86761" s="7"/>
      <c r="B86761" s="7"/>
    </row>
    <row r="86762" ht="15.75" customHeight="1">
      <c r="A86762" s="7"/>
      <c r="B86762" s="7"/>
    </row>
    <row r="86763" ht="15.75" customHeight="1">
      <c r="A86763" s="7"/>
      <c r="B86763" s="7"/>
    </row>
    <row r="86764" ht="15.75" customHeight="1">
      <c r="A86764" s="7"/>
      <c r="B86764" s="7"/>
    </row>
    <row r="86765" ht="15.75" customHeight="1">
      <c r="A86765" s="7"/>
      <c r="B86765" s="7"/>
    </row>
    <row r="86766" ht="15.75" customHeight="1">
      <c r="A86766" s="7"/>
      <c r="B86766" s="7"/>
    </row>
    <row r="86767" ht="15.75" customHeight="1">
      <c r="A86767" s="7"/>
      <c r="B86767" s="7"/>
    </row>
    <row r="86768" ht="15.75" customHeight="1">
      <c r="A86768" s="7"/>
      <c r="B86768" s="7"/>
    </row>
    <row r="86769" ht="15.75" customHeight="1">
      <c r="A86769" s="7"/>
      <c r="B86769" s="7"/>
    </row>
    <row r="86770" ht="15.75" customHeight="1">
      <c r="A86770" s="7"/>
      <c r="B86770" s="7"/>
    </row>
    <row r="86771" ht="15.75" customHeight="1">
      <c r="A86771" s="7"/>
      <c r="B86771" s="7"/>
    </row>
    <row r="86772" ht="15.75" customHeight="1">
      <c r="A86772" s="7"/>
      <c r="B86772" s="7"/>
    </row>
    <row r="86773" ht="15.75" customHeight="1">
      <c r="A86773" s="7"/>
      <c r="B86773" s="7"/>
    </row>
    <row r="86774" ht="15.75" customHeight="1">
      <c r="A86774" s="7"/>
      <c r="B86774" s="7"/>
    </row>
    <row r="86775" ht="15.75" customHeight="1">
      <c r="A86775" s="7"/>
      <c r="B86775" s="7"/>
    </row>
    <row r="86776" ht="15.75" customHeight="1">
      <c r="A86776" s="7"/>
      <c r="B86776" s="7"/>
    </row>
    <row r="86777" ht="15.75" customHeight="1">
      <c r="A86777" s="7"/>
      <c r="B86777" s="7"/>
    </row>
    <row r="86778" ht="15.75" customHeight="1">
      <c r="A86778" s="7"/>
      <c r="B86778" s="7"/>
    </row>
    <row r="86779" ht="15.75" customHeight="1">
      <c r="A86779" s="7"/>
      <c r="B86779" s="7"/>
    </row>
    <row r="86780" ht="15.75" customHeight="1">
      <c r="A86780" s="7"/>
      <c r="B86780" s="7"/>
    </row>
    <row r="86781" ht="15.75" customHeight="1">
      <c r="A86781" s="7"/>
      <c r="B86781" s="7"/>
    </row>
    <row r="86782" ht="15.75" customHeight="1">
      <c r="A86782" s="7"/>
      <c r="B86782" s="7"/>
    </row>
    <row r="86783" ht="15.75" customHeight="1">
      <c r="A86783" s="7"/>
      <c r="B86783" s="7"/>
    </row>
    <row r="86784" ht="15.75" customHeight="1">
      <c r="A86784" s="7"/>
      <c r="B86784" s="7"/>
    </row>
    <row r="86785" ht="15.75" customHeight="1">
      <c r="A86785" s="7"/>
      <c r="B86785" s="7"/>
    </row>
    <row r="86786" ht="15.75" customHeight="1">
      <c r="A86786" s="7"/>
      <c r="B86786" s="7"/>
    </row>
    <row r="86787" ht="15.75" customHeight="1">
      <c r="A86787" s="7"/>
      <c r="B86787" s="7"/>
    </row>
    <row r="86788" ht="15.75" customHeight="1">
      <c r="A86788" s="7"/>
      <c r="B86788" s="7"/>
    </row>
    <row r="86789" ht="15.75" customHeight="1">
      <c r="A86789" s="7"/>
      <c r="B86789" s="7"/>
    </row>
    <row r="86790" ht="15.75" customHeight="1">
      <c r="A86790" s="7"/>
      <c r="B86790" s="7"/>
    </row>
    <row r="86791" ht="15.75" customHeight="1">
      <c r="A86791" s="7"/>
      <c r="B86791" s="7"/>
    </row>
    <row r="86792" ht="15.75" customHeight="1">
      <c r="A86792" s="7"/>
      <c r="B86792" s="7"/>
    </row>
    <row r="86793" ht="15.75" customHeight="1">
      <c r="A86793" s="7"/>
      <c r="B86793" s="7"/>
    </row>
    <row r="86794" ht="15.75" customHeight="1">
      <c r="A86794" s="7"/>
      <c r="B86794" s="7"/>
    </row>
    <row r="86795" ht="15.75" customHeight="1">
      <c r="A86795" s="7"/>
      <c r="B86795" s="7"/>
    </row>
    <row r="86796" ht="15.75" customHeight="1">
      <c r="A86796" s="7"/>
      <c r="B86796" s="7"/>
    </row>
    <row r="86797" ht="15.75" customHeight="1">
      <c r="A86797" s="7"/>
      <c r="B86797" s="7"/>
    </row>
    <row r="86798" ht="15.75" customHeight="1">
      <c r="A86798" s="7"/>
      <c r="B86798" s="7"/>
    </row>
    <row r="86799" ht="15.75" customHeight="1">
      <c r="A86799" s="7"/>
      <c r="B86799" s="7"/>
    </row>
    <row r="86800" ht="15.75" customHeight="1">
      <c r="A86800" s="7"/>
      <c r="B86800" s="7"/>
    </row>
    <row r="86801" ht="15.75" customHeight="1">
      <c r="A86801" s="7"/>
      <c r="B86801" s="7"/>
    </row>
    <row r="86802" ht="15.75" customHeight="1">
      <c r="A86802" s="7"/>
      <c r="B86802" s="7"/>
    </row>
    <row r="86803" ht="15.75" customHeight="1">
      <c r="A86803" s="7"/>
      <c r="B86803" s="7"/>
    </row>
    <row r="86804" ht="15.75" customHeight="1">
      <c r="A86804" s="7"/>
      <c r="B86804" s="7"/>
    </row>
    <row r="86805" ht="15.75" customHeight="1">
      <c r="A86805" s="7"/>
      <c r="B86805" s="7"/>
    </row>
    <row r="86806" ht="15.75" customHeight="1">
      <c r="A86806" s="7"/>
      <c r="B86806" s="7"/>
    </row>
    <row r="86807" ht="15.75" customHeight="1">
      <c r="A86807" s="7"/>
      <c r="B86807" s="7"/>
    </row>
    <row r="86808" ht="15.75" customHeight="1">
      <c r="A86808" s="7"/>
      <c r="B86808" s="7"/>
    </row>
    <row r="86809" ht="15.75" customHeight="1">
      <c r="A86809" s="7"/>
      <c r="B86809" s="7"/>
    </row>
    <row r="86810" ht="15.75" customHeight="1">
      <c r="A86810" s="7"/>
      <c r="B86810" s="7"/>
    </row>
    <row r="86811" ht="15.75" customHeight="1">
      <c r="A86811" s="7"/>
      <c r="B86811" s="7"/>
    </row>
    <row r="86812" ht="15.75" customHeight="1">
      <c r="A86812" s="7"/>
      <c r="B86812" s="7"/>
    </row>
    <row r="86813" ht="15.75" customHeight="1">
      <c r="A86813" s="7"/>
      <c r="B86813" s="7"/>
    </row>
    <row r="86814" ht="15.75" customHeight="1">
      <c r="A86814" s="7"/>
      <c r="B86814" s="7"/>
    </row>
    <row r="86815" ht="15.75" customHeight="1">
      <c r="A86815" s="7"/>
      <c r="B86815" s="7"/>
    </row>
    <row r="86816" ht="15.75" customHeight="1">
      <c r="A86816" s="7"/>
      <c r="B86816" s="7"/>
    </row>
    <row r="86817" ht="15.75" customHeight="1">
      <c r="A86817" s="7"/>
      <c r="B86817" s="7"/>
    </row>
    <row r="86818" ht="15.75" customHeight="1">
      <c r="A86818" s="7"/>
      <c r="B86818" s="7"/>
    </row>
    <row r="86819" ht="15.75" customHeight="1">
      <c r="A86819" s="7"/>
      <c r="B86819" s="7"/>
    </row>
    <row r="86820" ht="15.75" customHeight="1">
      <c r="A86820" s="7"/>
      <c r="B86820" s="7"/>
    </row>
    <row r="86821" ht="15.75" customHeight="1">
      <c r="A86821" s="7"/>
      <c r="B86821" s="7"/>
    </row>
    <row r="86822" ht="15.75" customHeight="1">
      <c r="A86822" s="7"/>
      <c r="B86822" s="7"/>
    </row>
    <row r="86823" ht="15.75" customHeight="1">
      <c r="A86823" s="7"/>
      <c r="B86823" s="7"/>
    </row>
    <row r="86824" ht="15.75" customHeight="1">
      <c r="A86824" s="7"/>
      <c r="B86824" s="7"/>
    </row>
    <row r="86825" ht="15.75" customHeight="1">
      <c r="A86825" s="7"/>
      <c r="B86825" s="7"/>
    </row>
    <row r="86826" ht="15.75" customHeight="1">
      <c r="A86826" s="7"/>
      <c r="B86826" s="7"/>
    </row>
    <row r="86827" ht="15.75" customHeight="1">
      <c r="A86827" s="7"/>
      <c r="B86827" s="7"/>
    </row>
    <row r="86828" ht="15.75" customHeight="1">
      <c r="A86828" s="7"/>
      <c r="B86828" s="7"/>
    </row>
    <row r="86829" ht="15.75" customHeight="1">
      <c r="A86829" s="7"/>
      <c r="B86829" s="7"/>
    </row>
    <row r="86830" ht="15.75" customHeight="1">
      <c r="A86830" s="7"/>
      <c r="B86830" s="7"/>
    </row>
    <row r="86831" ht="15.75" customHeight="1">
      <c r="A86831" s="7"/>
      <c r="B86831" s="7"/>
    </row>
    <row r="86832" ht="15.75" customHeight="1">
      <c r="A86832" s="7"/>
      <c r="B86832" s="7"/>
    </row>
    <row r="86833" ht="15.75" customHeight="1">
      <c r="A86833" s="7"/>
      <c r="B86833" s="7"/>
    </row>
    <row r="86834" ht="15.75" customHeight="1">
      <c r="A86834" s="7"/>
      <c r="B86834" s="7"/>
    </row>
    <row r="86835" ht="15.75" customHeight="1">
      <c r="A86835" s="7"/>
      <c r="B86835" s="7"/>
    </row>
    <row r="86836" ht="15.75" customHeight="1">
      <c r="A86836" s="7"/>
      <c r="B86836" s="7"/>
    </row>
    <row r="86837" ht="15.75" customHeight="1">
      <c r="A86837" s="7"/>
      <c r="B86837" s="7"/>
    </row>
    <row r="86838" ht="15.75" customHeight="1">
      <c r="A86838" s="7"/>
      <c r="B86838" s="7"/>
    </row>
    <row r="86839" ht="15.75" customHeight="1">
      <c r="A86839" s="7"/>
      <c r="B86839" s="7"/>
    </row>
    <row r="86840" ht="15.75" customHeight="1">
      <c r="A86840" s="7"/>
      <c r="B86840" s="7"/>
    </row>
    <row r="86841" ht="15.75" customHeight="1">
      <c r="A86841" s="7"/>
      <c r="B86841" s="7"/>
    </row>
    <row r="86842" ht="15.75" customHeight="1">
      <c r="A86842" s="7"/>
      <c r="B86842" s="7"/>
    </row>
    <row r="86843" ht="15.75" customHeight="1">
      <c r="A86843" s="7"/>
      <c r="B86843" s="7"/>
    </row>
    <row r="86844" ht="15.75" customHeight="1">
      <c r="A86844" s="7"/>
      <c r="B86844" s="7"/>
    </row>
    <row r="86845" ht="15.75" customHeight="1">
      <c r="A86845" s="7"/>
      <c r="B86845" s="7"/>
    </row>
    <row r="86846" ht="15.75" customHeight="1">
      <c r="A86846" s="7"/>
      <c r="B86846" s="7"/>
    </row>
    <row r="86847" ht="15.75" customHeight="1">
      <c r="A86847" s="7"/>
      <c r="B86847" s="7"/>
    </row>
    <row r="86848" ht="15.75" customHeight="1">
      <c r="A86848" s="7"/>
      <c r="B86848" s="7"/>
    </row>
    <row r="86849" ht="15.75" customHeight="1">
      <c r="A86849" s="7"/>
      <c r="B86849" s="7"/>
    </row>
    <row r="86850" ht="15.75" customHeight="1">
      <c r="A86850" s="7"/>
      <c r="B86850" s="7"/>
    </row>
    <row r="86851" ht="15.75" customHeight="1">
      <c r="A86851" s="7"/>
      <c r="B86851" s="7"/>
    </row>
    <row r="86852" ht="15.75" customHeight="1">
      <c r="A86852" s="7"/>
      <c r="B86852" s="7"/>
    </row>
    <row r="86853" ht="15.75" customHeight="1">
      <c r="A86853" s="7"/>
      <c r="B86853" s="7"/>
    </row>
    <row r="86854" ht="15.75" customHeight="1">
      <c r="A86854" s="7"/>
      <c r="B86854" s="7"/>
    </row>
    <row r="86855" ht="15.75" customHeight="1">
      <c r="A86855" s="7"/>
      <c r="B86855" s="7"/>
    </row>
    <row r="86856" ht="15.75" customHeight="1">
      <c r="A86856" s="7"/>
      <c r="B86856" s="7"/>
    </row>
    <row r="86857" ht="15.75" customHeight="1">
      <c r="A86857" s="7"/>
      <c r="B86857" s="7"/>
    </row>
    <row r="86858" ht="15.75" customHeight="1">
      <c r="A86858" s="7"/>
      <c r="B86858" s="7"/>
    </row>
    <row r="86859" ht="15.75" customHeight="1">
      <c r="A86859" s="7"/>
      <c r="B86859" s="7"/>
    </row>
    <row r="86860" ht="15.75" customHeight="1">
      <c r="A86860" s="7"/>
      <c r="B86860" s="7"/>
    </row>
    <row r="86861" ht="15.75" customHeight="1">
      <c r="A86861" s="7"/>
      <c r="B86861" s="7"/>
    </row>
    <row r="86862" ht="15.75" customHeight="1">
      <c r="A86862" s="7"/>
      <c r="B86862" s="7"/>
    </row>
    <row r="86863" ht="15.75" customHeight="1">
      <c r="A86863" s="7"/>
      <c r="B86863" s="7"/>
    </row>
    <row r="86864" ht="15.75" customHeight="1">
      <c r="A86864" s="7"/>
      <c r="B86864" s="7"/>
    </row>
    <row r="86865" ht="15.75" customHeight="1">
      <c r="A86865" s="7"/>
      <c r="B86865" s="7"/>
    </row>
    <row r="86866" ht="15.75" customHeight="1">
      <c r="A86866" s="7"/>
      <c r="B86866" s="7"/>
    </row>
    <row r="86867" ht="15.75" customHeight="1">
      <c r="A86867" s="7"/>
      <c r="B86867" s="7"/>
    </row>
    <row r="86868" ht="15.75" customHeight="1">
      <c r="A86868" s="7"/>
      <c r="B86868" s="7"/>
    </row>
    <row r="86869" ht="15.75" customHeight="1">
      <c r="A86869" s="7"/>
      <c r="B86869" s="7"/>
    </row>
    <row r="86870" ht="15.75" customHeight="1">
      <c r="A86870" s="7"/>
      <c r="B86870" s="7"/>
    </row>
    <row r="86871" ht="15.75" customHeight="1">
      <c r="A86871" s="7"/>
      <c r="B86871" s="7"/>
    </row>
    <row r="86872" ht="15.75" customHeight="1">
      <c r="A86872" s="7"/>
      <c r="B86872" s="7"/>
    </row>
    <row r="86873" ht="15.75" customHeight="1">
      <c r="A86873" s="7"/>
      <c r="B86873" s="7"/>
    </row>
    <row r="86874" ht="15.75" customHeight="1">
      <c r="A86874" s="7"/>
      <c r="B86874" s="7"/>
    </row>
    <row r="86875" ht="15.75" customHeight="1">
      <c r="A86875" s="7"/>
      <c r="B86875" s="7"/>
    </row>
    <row r="86876" ht="15.75" customHeight="1">
      <c r="A86876" s="7"/>
      <c r="B86876" s="7"/>
    </row>
    <row r="86877" ht="15.75" customHeight="1">
      <c r="A86877" s="7"/>
      <c r="B86877" s="7"/>
    </row>
    <row r="86878" ht="15.75" customHeight="1">
      <c r="A86878" s="7"/>
      <c r="B86878" s="7"/>
    </row>
    <row r="86879" ht="15.75" customHeight="1">
      <c r="A86879" s="7"/>
      <c r="B86879" s="7"/>
    </row>
    <row r="86880" ht="15.75" customHeight="1">
      <c r="A86880" s="7"/>
      <c r="B86880" s="7"/>
    </row>
    <row r="86881" ht="15.75" customHeight="1">
      <c r="A86881" s="7"/>
      <c r="B86881" s="7"/>
    </row>
    <row r="86882" ht="15.75" customHeight="1">
      <c r="A86882" s="7"/>
      <c r="B86882" s="7"/>
    </row>
    <row r="86883" ht="15.75" customHeight="1">
      <c r="A86883" s="7"/>
      <c r="B86883" s="7"/>
    </row>
    <row r="86884" ht="15.75" customHeight="1">
      <c r="A86884" s="7"/>
      <c r="B86884" s="7"/>
    </row>
    <row r="86885" ht="15.75" customHeight="1">
      <c r="A86885" s="7"/>
      <c r="B86885" s="7"/>
    </row>
    <row r="86886" ht="15.75" customHeight="1">
      <c r="A86886" s="7"/>
      <c r="B86886" s="7"/>
    </row>
    <row r="86887" ht="15.75" customHeight="1">
      <c r="A86887" s="7"/>
      <c r="B86887" s="7"/>
    </row>
    <row r="86888" ht="15.75" customHeight="1">
      <c r="A86888" s="7"/>
      <c r="B86888" s="7"/>
    </row>
    <row r="86889" ht="15.75" customHeight="1">
      <c r="A86889" s="7"/>
      <c r="B86889" s="7"/>
    </row>
    <row r="86890" ht="15.75" customHeight="1">
      <c r="A86890" s="7"/>
      <c r="B86890" s="7"/>
    </row>
    <row r="86891" ht="15.75" customHeight="1">
      <c r="A86891" s="7"/>
      <c r="B86891" s="7"/>
    </row>
    <row r="86892" ht="15.75" customHeight="1">
      <c r="A86892" s="7"/>
      <c r="B86892" s="7"/>
    </row>
    <row r="86893" ht="15.75" customHeight="1">
      <c r="A86893" s="7"/>
      <c r="B86893" s="7"/>
    </row>
    <row r="86894" ht="15.75" customHeight="1">
      <c r="A86894" s="7"/>
      <c r="B86894" s="7"/>
    </row>
    <row r="86895" ht="15.75" customHeight="1">
      <c r="A86895" s="7"/>
      <c r="B86895" s="7"/>
    </row>
    <row r="86896" ht="15.75" customHeight="1">
      <c r="A86896" s="7"/>
      <c r="B86896" s="7"/>
    </row>
    <row r="86897" ht="15.75" customHeight="1">
      <c r="A86897" s="7"/>
      <c r="B86897" s="7"/>
    </row>
    <row r="86898" ht="15.75" customHeight="1">
      <c r="A86898" s="7"/>
      <c r="B86898" s="7"/>
    </row>
    <row r="86899" ht="15.75" customHeight="1">
      <c r="A86899" s="7"/>
      <c r="B86899" s="7"/>
    </row>
    <row r="86900" ht="15.75" customHeight="1">
      <c r="A86900" s="7"/>
      <c r="B86900" s="7"/>
    </row>
    <row r="86901" ht="15.75" customHeight="1">
      <c r="A86901" s="7"/>
      <c r="B86901" s="7"/>
    </row>
    <row r="86902" ht="15.75" customHeight="1">
      <c r="A86902" s="7"/>
      <c r="B86902" s="7"/>
    </row>
    <row r="86903" ht="15.75" customHeight="1">
      <c r="A86903" s="7"/>
      <c r="B86903" s="7"/>
    </row>
    <row r="86904" ht="15.75" customHeight="1">
      <c r="A86904" s="7"/>
      <c r="B86904" s="7"/>
    </row>
    <row r="86905" ht="15.75" customHeight="1">
      <c r="A86905" s="7"/>
      <c r="B86905" s="7"/>
    </row>
    <row r="86906" ht="15.75" customHeight="1">
      <c r="A86906" s="7"/>
      <c r="B86906" s="7"/>
    </row>
    <row r="86907" ht="15.75" customHeight="1">
      <c r="A86907" s="7"/>
      <c r="B86907" s="7"/>
    </row>
    <row r="86908" ht="15.75" customHeight="1">
      <c r="A86908" s="7"/>
      <c r="B86908" s="7"/>
    </row>
    <row r="86909" ht="15.75" customHeight="1">
      <c r="A86909" s="7"/>
      <c r="B86909" s="7"/>
    </row>
    <row r="86910" ht="15.75" customHeight="1">
      <c r="A86910" s="7"/>
      <c r="B86910" s="7"/>
    </row>
    <row r="86911" ht="15.75" customHeight="1">
      <c r="A86911" s="7"/>
      <c r="B86911" s="7"/>
    </row>
    <row r="86912" ht="15.75" customHeight="1">
      <c r="A86912" s="7"/>
      <c r="B86912" s="7"/>
    </row>
    <row r="86913" ht="15.75" customHeight="1">
      <c r="A86913" s="7"/>
      <c r="B86913" s="7"/>
    </row>
    <row r="86914" ht="15.75" customHeight="1">
      <c r="A86914" s="7"/>
      <c r="B86914" s="7"/>
    </row>
    <row r="86915" ht="15.75" customHeight="1">
      <c r="A86915" s="7"/>
      <c r="B86915" s="7"/>
    </row>
    <row r="86916" ht="15.75" customHeight="1">
      <c r="A86916" s="7"/>
      <c r="B86916" s="7"/>
    </row>
    <row r="86917" ht="15.75" customHeight="1">
      <c r="A86917" s="7"/>
      <c r="B86917" s="7"/>
    </row>
    <row r="86918" ht="15.75" customHeight="1">
      <c r="A86918" s="7"/>
      <c r="B86918" s="7"/>
    </row>
    <row r="86919" ht="15.75" customHeight="1">
      <c r="A86919" s="7"/>
      <c r="B86919" s="7"/>
    </row>
    <row r="86920" ht="15.75" customHeight="1">
      <c r="A86920" s="7"/>
      <c r="B86920" s="7"/>
    </row>
    <row r="86921" ht="15.75" customHeight="1">
      <c r="A86921" s="7"/>
      <c r="B86921" s="7"/>
    </row>
    <row r="86922" ht="15.75" customHeight="1">
      <c r="A86922" s="7"/>
      <c r="B86922" s="7"/>
    </row>
    <row r="86923" ht="15.75" customHeight="1">
      <c r="A86923" s="7"/>
      <c r="B86923" s="7"/>
    </row>
    <row r="86924" ht="15.75" customHeight="1">
      <c r="A86924" s="7"/>
      <c r="B86924" s="7"/>
    </row>
    <row r="86925" ht="15.75" customHeight="1">
      <c r="A86925" s="7"/>
      <c r="B86925" s="7"/>
    </row>
    <row r="86926" ht="15.75" customHeight="1">
      <c r="A86926" s="7"/>
      <c r="B86926" s="7"/>
    </row>
    <row r="86927" ht="15.75" customHeight="1">
      <c r="A86927" s="7"/>
      <c r="B86927" s="7"/>
    </row>
    <row r="86928" ht="15.75" customHeight="1">
      <c r="A86928" s="7"/>
      <c r="B86928" s="7"/>
    </row>
    <row r="86929" ht="15.75" customHeight="1">
      <c r="A86929" s="7"/>
      <c r="B86929" s="7"/>
    </row>
    <row r="86930" ht="15.75" customHeight="1">
      <c r="A86930" s="7"/>
      <c r="B86930" s="7"/>
    </row>
    <row r="86931" ht="15.75" customHeight="1">
      <c r="A86931" s="7"/>
      <c r="B86931" s="7"/>
    </row>
    <row r="86932" ht="15.75" customHeight="1">
      <c r="A86932" s="7"/>
      <c r="B86932" s="7"/>
    </row>
    <row r="86933" ht="15.75" customHeight="1">
      <c r="A86933" s="7"/>
      <c r="B86933" s="7"/>
    </row>
    <row r="86934" ht="15.75" customHeight="1">
      <c r="A86934" s="7"/>
      <c r="B86934" s="7"/>
    </row>
    <row r="86935" ht="15.75" customHeight="1">
      <c r="A86935" s="7"/>
      <c r="B86935" s="7"/>
    </row>
    <row r="86936" ht="15.75" customHeight="1">
      <c r="A86936" s="7"/>
      <c r="B86936" s="7"/>
    </row>
    <row r="86937" ht="15.75" customHeight="1">
      <c r="A86937" s="7"/>
      <c r="B86937" s="7"/>
    </row>
    <row r="86938" ht="15.75" customHeight="1">
      <c r="A86938" s="7"/>
      <c r="B86938" s="7"/>
    </row>
    <row r="86939" ht="15.75" customHeight="1">
      <c r="A86939" s="7"/>
      <c r="B86939" s="7"/>
    </row>
    <row r="86940" ht="15.75" customHeight="1">
      <c r="A86940" s="7"/>
      <c r="B86940" s="7"/>
    </row>
    <row r="86941" ht="15.75" customHeight="1">
      <c r="A86941" s="7"/>
      <c r="B86941" s="7"/>
    </row>
    <row r="86942" ht="15.75" customHeight="1">
      <c r="A86942" s="7"/>
      <c r="B86942" s="7"/>
    </row>
    <row r="86943" ht="15.75" customHeight="1">
      <c r="A86943" s="7"/>
      <c r="B86943" s="7"/>
    </row>
    <row r="86944" ht="15.75" customHeight="1">
      <c r="A86944" s="7"/>
      <c r="B86944" s="7"/>
    </row>
    <row r="86945" ht="15.75" customHeight="1">
      <c r="A86945" s="7"/>
      <c r="B86945" s="7"/>
    </row>
    <row r="86946" ht="15.75" customHeight="1">
      <c r="A86946" s="7"/>
      <c r="B86946" s="7"/>
    </row>
    <row r="86947" ht="15.75" customHeight="1">
      <c r="A86947" s="7"/>
      <c r="B86947" s="7"/>
    </row>
    <row r="86948" ht="15.75" customHeight="1">
      <c r="A86948" s="7"/>
      <c r="B86948" s="7"/>
    </row>
    <row r="86949" ht="15.75" customHeight="1">
      <c r="A86949" s="7"/>
      <c r="B86949" s="7"/>
    </row>
    <row r="86950" ht="15.75" customHeight="1">
      <c r="A86950" s="7"/>
      <c r="B86950" s="7"/>
    </row>
    <row r="86951" ht="15.75" customHeight="1">
      <c r="A86951" s="7"/>
      <c r="B86951" s="7"/>
    </row>
    <row r="86952" ht="15.75" customHeight="1">
      <c r="A86952" s="7"/>
      <c r="B86952" s="7"/>
    </row>
    <row r="86953" ht="15.75" customHeight="1">
      <c r="A86953" s="7"/>
      <c r="B86953" s="7"/>
    </row>
    <row r="86954" ht="15.75" customHeight="1">
      <c r="A86954" s="7"/>
      <c r="B86954" s="7"/>
    </row>
    <row r="86955" ht="15.75" customHeight="1">
      <c r="A86955" s="7"/>
      <c r="B86955" s="7"/>
    </row>
    <row r="86956" ht="15.75" customHeight="1">
      <c r="A86956" s="7"/>
      <c r="B86956" s="7"/>
    </row>
    <row r="86957" ht="15.75" customHeight="1">
      <c r="A86957" s="7"/>
      <c r="B86957" s="7"/>
    </row>
    <row r="86958" ht="15.75" customHeight="1">
      <c r="A86958" s="7"/>
      <c r="B86958" s="7"/>
    </row>
    <row r="86959" ht="15.75" customHeight="1">
      <c r="A86959" s="7"/>
      <c r="B86959" s="7"/>
    </row>
    <row r="86960" ht="15.75" customHeight="1">
      <c r="A86960" s="7"/>
      <c r="B86960" s="7"/>
    </row>
    <row r="86961" ht="15.75" customHeight="1">
      <c r="A86961" s="7"/>
      <c r="B86961" s="7"/>
    </row>
    <row r="86962" ht="15.75" customHeight="1">
      <c r="A86962" s="7"/>
      <c r="B86962" s="7"/>
    </row>
    <row r="86963" ht="15.75" customHeight="1">
      <c r="A86963" s="7"/>
      <c r="B86963" s="7"/>
    </row>
    <row r="86964" ht="15.75" customHeight="1">
      <c r="A86964" s="7"/>
      <c r="B86964" s="7"/>
    </row>
    <row r="86965" ht="15.75" customHeight="1">
      <c r="A86965" s="7"/>
      <c r="B86965" s="7"/>
    </row>
    <row r="86966" ht="15.75" customHeight="1">
      <c r="A86966" s="7"/>
      <c r="B86966" s="7"/>
    </row>
    <row r="86967" ht="15.75" customHeight="1">
      <c r="A86967" s="7"/>
      <c r="B86967" s="7"/>
    </row>
    <row r="86968" ht="15.75" customHeight="1">
      <c r="A86968" s="7"/>
      <c r="B86968" s="7"/>
    </row>
    <row r="86969" ht="15.75" customHeight="1">
      <c r="A86969" s="7"/>
      <c r="B86969" s="7"/>
    </row>
    <row r="86970" ht="15.75" customHeight="1">
      <c r="A86970" s="7"/>
      <c r="B86970" s="7"/>
    </row>
    <row r="86971" ht="15.75" customHeight="1">
      <c r="A86971" s="7"/>
      <c r="B86971" s="7"/>
    </row>
    <row r="86972" ht="15.75" customHeight="1">
      <c r="A86972" s="7"/>
      <c r="B86972" s="7"/>
    </row>
    <row r="86973" ht="15.75" customHeight="1">
      <c r="A86973" s="7"/>
      <c r="B86973" s="7"/>
    </row>
    <row r="86974" ht="15.75" customHeight="1">
      <c r="A86974" s="7"/>
      <c r="B86974" s="7"/>
    </row>
    <row r="86975" ht="15.75" customHeight="1">
      <c r="A86975" s="7"/>
      <c r="B86975" s="7"/>
    </row>
    <row r="86976" ht="15.75" customHeight="1">
      <c r="A86976" s="7"/>
      <c r="B86976" s="7"/>
    </row>
    <row r="86977" ht="15.75" customHeight="1">
      <c r="A86977" s="7"/>
      <c r="B86977" s="7"/>
    </row>
    <row r="86978" ht="15.75" customHeight="1">
      <c r="A86978" s="7"/>
      <c r="B86978" s="7"/>
    </row>
    <row r="86979" ht="15.75" customHeight="1">
      <c r="A86979" s="7"/>
      <c r="B86979" s="7"/>
    </row>
    <row r="86980" ht="15.75" customHeight="1">
      <c r="A86980" s="7"/>
      <c r="B86980" s="7"/>
    </row>
    <row r="86981" ht="15.75" customHeight="1">
      <c r="A86981" s="7"/>
      <c r="B86981" s="7"/>
    </row>
    <row r="86982" ht="15.75" customHeight="1">
      <c r="A86982" s="7"/>
      <c r="B86982" s="7"/>
    </row>
    <row r="86983" ht="15.75" customHeight="1">
      <c r="A86983" s="7"/>
      <c r="B86983" s="7"/>
    </row>
    <row r="86984" ht="15.75" customHeight="1">
      <c r="A86984" s="7"/>
      <c r="B86984" s="7"/>
    </row>
    <row r="86985" ht="15.75" customHeight="1">
      <c r="A86985" s="7"/>
      <c r="B86985" s="7"/>
    </row>
    <row r="86986" ht="15.75" customHeight="1">
      <c r="A86986" s="7"/>
      <c r="B86986" s="7"/>
    </row>
    <row r="86987" ht="15.75" customHeight="1">
      <c r="A86987" s="7"/>
      <c r="B86987" s="7"/>
    </row>
    <row r="86988" ht="15.75" customHeight="1">
      <c r="A86988" s="7"/>
      <c r="B86988" s="7"/>
    </row>
    <row r="86989" ht="15.75" customHeight="1">
      <c r="A86989" s="7"/>
      <c r="B86989" s="7"/>
    </row>
    <row r="86990" ht="15.75" customHeight="1">
      <c r="A86990" s="7"/>
      <c r="B86990" s="7"/>
    </row>
    <row r="86991" ht="15.75" customHeight="1">
      <c r="A86991" s="7"/>
      <c r="B86991" s="7"/>
    </row>
    <row r="86992" ht="15.75" customHeight="1">
      <c r="A86992" s="7"/>
      <c r="B86992" s="7"/>
    </row>
    <row r="86993" ht="15.75" customHeight="1">
      <c r="A86993" s="7"/>
      <c r="B86993" s="7"/>
    </row>
    <row r="86994" ht="15.75" customHeight="1">
      <c r="A86994" s="7"/>
      <c r="B86994" s="7"/>
    </row>
    <row r="86995" ht="15.75" customHeight="1">
      <c r="A86995" s="7"/>
      <c r="B86995" s="7"/>
    </row>
    <row r="86996" ht="15.75" customHeight="1">
      <c r="A86996" s="7"/>
      <c r="B86996" s="7"/>
    </row>
    <row r="86997" ht="15.75" customHeight="1">
      <c r="A86997" s="7"/>
      <c r="B86997" s="7"/>
    </row>
    <row r="86998" ht="15.75" customHeight="1">
      <c r="A86998" s="7"/>
      <c r="B86998" s="7"/>
    </row>
    <row r="86999" ht="15.75" customHeight="1">
      <c r="A86999" s="7"/>
      <c r="B86999" s="7"/>
    </row>
    <row r="87000" ht="15.75" customHeight="1">
      <c r="A87000" s="7"/>
      <c r="B87000" s="7"/>
    </row>
    <row r="87001" ht="15.75" customHeight="1">
      <c r="A87001" s="7"/>
      <c r="B87001" s="7"/>
    </row>
    <row r="87002" ht="15.75" customHeight="1">
      <c r="A87002" s="7"/>
      <c r="B87002" s="7"/>
    </row>
    <row r="87003" ht="15.75" customHeight="1">
      <c r="A87003" s="7"/>
      <c r="B87003" s="7"/>
    </row>
    <row r="87004" ht="15.75" customHeight="1">
      <c r="A87004" s="7"/>
      <c r="B87004" s="7"/>
    </row>
    <row r="87005" ht="15.75" customHeight="1">
      <c r="A87005" s="7"/>
      <c r="B87005" s="7"/>
    </row>
    <row r="87006" ht="15.75" customHeight="1">
      <c r="A87006" s="7"/>
      <c r="B87006" s="7"/>
    </row>
    <row r="87007" ht="15.75" customHeight="1">
      <c r="A87007" s="7"/>
      <c r="B87007" s="7"/>
    </row>
    <row r="87008" ht="15.75" customHeight="1">
      <c r="A87008" s="7"/>
      <c r="B87008" s="7"/>
    </row>
    <row r="87009" ht="15.75" customHeight="1">
      <c r="A87009" s="7"/>
      <c r="B87009" s="7"/>
    </row>
    <row r="87010" ht="15.75" customHeight="1">
      <c r="A87010" s="7"/>
      <c r="B87010" s="7"/>
    </row>
    <row r="87011" ht="15.75" customHeight="1">
      <c r="A87011" s="7"/>
      <c r="B87011" s="7"/>
    </row>
    <row r="87012" ht="15.75" customHeight="1">
      <c r="A87012" s="7"/>
      <c r="B87012" s="7"/>
    </row>
    <row r="87013" ht="15.75" customHeight="1">
      <c r="A87013" s="7"/>
      <c r="B87013" s="7"/>
    </row>
    <row r="87014" ht="15.75" customHeight="1">
      <c r="A87014" s="7"/>
      <c r="B87014" s="7"/>
    </row>
    <row r="87015" ht="15.75" customHeight="1">
      <c r="A87015" s="7"/>
      <c r="B87015" s="7"/>
    </row>
    <row r="87016" ht="15.75" customHeight="1">
      <c r="A87016" s="7"/>
      <c r="B87016" s="7"/>
    </row>
    <row r="87017" ht="15.75" customHeight="1">
      <c r="A87017" s="7"/>
      <c r="B87017" s="7"/>
    </row>
    <row r="87018" ht="15.75" customHeight="1">
      <c r="A87018" s="7"/>
      <c r="B87018" s="7"/>
    </row>
    <row r="87019" ht="15.75" customHeight="1">
      <c r="A87019" s="7"/>
      <c r="B87019" s="7"/>
    </row>
    <row r="87020" ht="15.75" customHeight="1">
      <c r="A87020" s="7"/>
      <c r="B87020" s="7"/>
    </row>
    <row r="87021" ht="15.75" customHeight="1">
      <c r="A87021" s="7"/>
      <c r="B87021" s="7"/>
    </row>
    <row r="87022" ht="15.75" customHeight="1">
      <c r="A87022" s="7"/>
      <c r="B87022" s="7"/>
    </row>
    <row r="87023" ht="15.75" customHeight="1">
      <c r="A87023" s="7"/>
      <c r="B87023" s="7"/>
    </row>
    <row r="87024" ht="15.75" customHeight="1">
      <c r="A87024" s="7"/>
      <c r="B87024" s="7"/>
    </row>
    <row r="87025" ht="15.75" customHeight="1">
      <c r="A87025" s="7"/>
      <c r="B87025" s="7"/>
    </row>
    <row r="87026" ht="15.75" customHeight="1">
      <c r="A87026" s="7"/>
      <c r="B87026" s="7"/>
    </row>
    <row r="87027" ht="15.75" customHeight="1">
      <c r="A87027" s="7"/>
      <c r="B87027" s="7"/>
    </row>
    <row r="87028" ht="15.75" customHeight="1">
      <c r="A87028" s="7"/>
      <c r="B87028" s="7"/>
    </row>
    <row r="87029" ht="15.75" customHeight="1">
      <c r="A87029" s="7"/>
      <c r="B87029" s="7"/>
    </row>
    <row r="87030" ht="15.75" customHeight="1">
      <c r="A87030" s="7"/>
      <c r="B87030" s="7"/>
    </row>
    <row r="87031" ht="15.75" customHeight="1">
      <c r="A87031" s="7"/>
      <c r="B87031" s="7"/>
    </row>
    <row r="87032" ht="15.75" customHeight="1">
      <c r="A87032" s="7"/>
      <c r="B87032" s="7"/>
    </row>
    <row r="87033" ht="15.75" customHeight="1">
      <c r="A87033" s="7"/>
      <c r="B87033" s="7"/>
    </row>
    <row r="87034" ht="15.75" customHeight="1">
      <c r="A87034" s="7"/>
      <c r="B87034" s="7"/>
    </row>
    <row r="87035" ht="15.75" customHeight="1">
      <c r="A87035" s="7"/>
      <c r="B87035" s="7"/>
    </row>
    <row r="87036" ht="15.75" customHeight="1">
      <c r="A87036" s="7"/>
      <c r="B87036" s="7"/>
    </row>
    <row r="87037" ht="15.75" customHeight="1">
      <c r="A87037" s="7"/>
      <c r="B87037" s="7"/>
    </row>
    <row r="87038" ht="15.75" customHeight="1">
      <c r="A87038" s="7"/>
      <c r="B87038" s="7"/>
    </row>
    <row r="87039" ht="15.75" customHeight="1">
      <c r="A87039" s="7"/>
      <c r="B87039" s="7"/>
    </row>
    <row r="87040" ht="15.75" customHeight="1">
      <c r="A87040" s="7"/>
      <c r="B87040" s="7"/>
    </row>
    <row r="87041" ht="15.75" customHeight="1">
      <c r="A87041" s="7"/>
      <c r="B87041" s="7"/>
    </row>
    <row r="87042" ht="15.75" customHeight="1">
      <c r="A87042" s="7"/>
      <c r="B87042" s="7"/>
    </row>
    <row r="87043" ht="15.75" customHeight="1">
      <c r="A87043" s="7"/>
      <c r="B87043" s="7"/>
    </row>
    <row r="87044" ht="15.75" customHeight="1">
      <c r="A87044" s="7"/>
      <c r="B87044" s="7"/>
    </row>
    <row r="87045" ht="15.75" customHeight="1">
      <c r="A87045" s="7"/>
      <c r="B87045" s="7"/>
    </row>
    <row r="87046" ht="15.75" customHeight="1">
      <c r="A87046" s="7"/>
      <c r="B87046" s="7"/>
    </row>
    <row r="87047" ht="15.75" customHeight="1">
      <c r="A87047" s="7"/>
      <c r="B87047" s="7"/>
    </row>
    <row r="87048" ht="15.75" customHeight="1">
      <c r="A87048" s="7"/>
      <c r="B87048" s="7"/>
    </row>
    <row r="87049" ht="15.75" customHeight="1">
      <c r="A87049" s="7"/>
      <c r="B87049" s="7"/>
    </row>
    <row r="87050" ht="15.75" customHeight="1">
      <c r="A87050" s="7"/>
      <c r="B87050" s="7"/>
    </row>
    <row r="87051" ht="15.75" customHeight="1">
      <c r="A87051" s="7"/>
      <c r="B87051" s="7"/>
    </row>
    <row r="87052" ht="15.75" customHeight="1">
      <c r="A87052" s="7"/>
      <c r="B87052" s="7"/>
    </row>
    <row r="87053" ht="15.75" customHeight="1">
      <c r="A87053" s="7"/>
      <c r="B87053" s="7"/>
    </row>
    <row r="87054" ht="15.75" customHeight="1">
      <c r="A87054" s="7"/>
      <c r="B87054" s="7"/>
    </row>
    <row r="87055" ht="15.75" customHeight="1">
      <c r="A87055" s="7"/>
      <c r="B87055" s="7"/>
    </row>
    <row r="87056" ht="15.75" customHeight="1">
      <c r="A87056" s="7"/>
      <c r="B87056" s="7"/>
    </row>
    <row r="87057" ht="15.75" customHeight="1">
      <c r="A87057" s="7"/>
      <c r="B87057" s="7"/>
    </row>
    <row r="87058" ht="15.75" customHeight="1">
      <c r="A87058" s="7"/>
      <c r="B87058" s="7"/>
    </row>
    <row r="87059" ht="15.75" customHeight="1">
      <c r="A87059" s="7"/>
      <c r="B87059" s="7"/>
    </row>
    <row r="87060" ht="15.75" customHeight="1">
      <c r="A87060" s="7"/>
      <c r="B87060" s="7"/>
    </row>
    <row r="87061" ht="15.75" customHeight="1">
      <c r="A87061" s="7"/>
      <c r="B87061" s="7"/>
    </row>
    <row r="87062" ht="15.75" customHeight="1">
      <c r="A87062" s="7"/>
      <c r="B87062" s="7"/>
    </row>
    <row r="87063" ht="15.75" customHeight="1">
      <c r="A87063" s="7"/>
      <c r="B87063" s="7"/>
    </row>
    <row r="87064" ht="15.75" customHeight="1">
      <c r="A87064" s="7"/>
      <c r="B87064" s="7"/>
    </row>
    <row r="87065" ht="15.75" customHeight="1">
      <c r="A87065" s="7"/>
      <c r="B87065" s="7"/>
    </row>
    <row r="87066" ht="15.75" customHeight="1">
      <c r="A87066" s="7"/>
      <c r="B87066" s="7"/>
    </row>
    <row r="87067" ht="15.75" customHeight="1">
      <c r="A87067" s="7"/>
      <c r="B87067" s="7"/>
    </row>
    <row r="87068" ht="15.75" customHeight="1">
      <c r="A87068" s="7"/>
      <c r="B87068" s="7"/>
    </row>
    <row r="87069" ht="15.75" customHeight="1">
      <c r="A87069" s="7"/>
      <c r="B87069" s="7"/>
    </row>
    <row r="87070" ht="15.75" customHeight="1">
      <c r="A87070" s="7"/>
      <c r="B87070" s="7"/>
    </row>
    <row r="87071" ht="15.75" customHeight="1">
      <c r="A87071" s="7"/>
      <c r="B87071" s="7"/>
    </row>
    <row r="87072" ht="15.75" customHeight="1">
      <c r="A87072" s="7"/>
      <c r="B87072" s="7"/>
    </row>
    <row r="87073" ht="15.75" customHeight="1">
      <c r="A87073" s="7"/>
      <c r="B87073" s="7"/>
    </row>
    <row r="87074" ht="15.75" customHeight="1">
      <c r="A87074" s="7"/>
      <c r="B87074" s="7"/>
    </row>
    <row r="87075" ht="15.75" customHeight="1">
      <c r="A87075" s="7"/>
      <c r="B87075" s="7"/>
    </row>
    <row r="87076" ht="15.75" customHeight="1">
      <c r="A87076" s="7"/>
      <c r="B87076" s="7"/>
    </row>
    <row r="87077" ht="15.75" customHeight="1">
      <c r="A87077" s="7"/>
      <c r="B87077" s="7"/>
    </row>
    <row r="87078" ht="15.75" customHeight="1">
      <c r="A87078" s="7"/>
      <c r="B87078" s="7"/>
    </row>
    <row r="87079" ht="15.75" customHeight="1">
      <c r="A87079" s="7"/>
      <c r="B87079" s="7"/>
    </row>
    <row r="87080" ht="15.75" customHeight="1">
      <c r="A87080" s="7"/>
      <c r="B87080" s="7"/>
    </row>
    <row r="87081" ht="15.75" customHeight="1">
      <c r="A87081" s="7"/>
      <c r="B87081" s="7"/>
    </row>
    <row r="87082" ht="15.75" customHeight="1">
      <c r="A87082" s="7"/>
      <c r="B87082" s="7"/>
    </row>
    <row r="87083" ht="15.75" customHeight="1">
      <c r="A87083" s="7"/>
      <c r="B87083" s="7"/>
    </row>
    <row r="87084" ht="15.75" customHeight="1">
      <c r="A87084" s="7"/>
      <c r="B87084" s="7"/>
    </row>
    <row r="87085" ht="15.75" customHeight="1">
      <c r="A87085" s="7"/>
      <c r="B87085" s="7"/>
    </row>
    <row r="87086" ht="15.75" customHeight="1">
      <c r="A87086" s="7"/>
      <c r="B87086" s="7"/>
    </row>
    <row r="87087" ht="15.75" customHeight="1">
      <c r="A87087" s="7"/>
      <c r="B87087" s="7"/>
    </row>
    <row r="87088" ht="15.75" customHeight="1">
      <c r="A87088" s="7"/>
      <c r="B87088" s="7"/>
    </row>
    <row r="87089" ht="15.75" customHeight="1">
      <c r="A87089" s="7"/>
      <c r="B87089" s="7"/>
    </row>
    <row r="87090" ht="15.75" customHeight="1">
      <c r="A87090" s="7"/>
      <c r="B87090" s="7"/>
    </row>
    <row r="87091" ht="15.75" customHeight="1">
      <c r="A87091" s="7"/>
      <c r="B87091" s="7"/>
    </row>
    <row r="87092" ht="15.75" customHeight="1">
      <c r="A87092" s="7"/>
      <c r="B87092" s="7"/>
    </row>
    <row r="87093" ht="15.75" customHeight="1">
      <c r="A87093" s="7"/>
      <c r="B87093" s="7"/>
    </row>
    <row r="87094" ht="15.75" customHeight="1">
      <c r="A87094" s="7"/>
      <c r="B87094" s="7"/>
    </row>
    <row r="87095" ht="15.75" customHeight="1">
      <c r="A87095" s="7"/>
      <c r="B87095" s="7"/>
    </row>
    <row r="87096" ht="15.75" customHeight="1">
      <c r="A87096" s="7"/>
      <c r="B87096" s="7"/>
    </row>
    <row r="87097" ht="15.75" customHeight="1">
      <c r="A87097" s="7"/>
      <c r="B87097" s="7"/>
    </row>
    <row r="87098" ht="15.75" customHeight="1">
      <c r="A87098" s="7"/>
      <c r="B87098" s="7"/>
    </row>
    <row r="87099" ht="15.75" customHeight="1">
      <c r="A87099" s="7"/>
      <c r="B87099" s="7"/>
    </row>
    <row r="87100" ht="15.75" customHeight="1">
      <c r="A87100" s="7"/>
      <c r="B87100" s="7"/>
    </row>
    <row r="87101" ht="15.75" customHeight="1">
      <c r="A87101" s="7"/>
      <c r="B87101" s="7"/>
    </row>
    <row r="87102" ht="15.75" customHeight="1">
      <c r="A87102" s="7"/>
      <c r="B87102" s="7"/>
    </row>
    <row r="87103" ht="15.75" customHeight="1">
      <c r="A87103" s="7"/>
      <c r="B87103" s="7"/>
    </row>
    <row r="87104" ht="15.75" customHeight="1">
      <c r="A87104" s="7"/>
      <c r="B87104" s="7"/>
    </row>
    <row r="87105" ht="15.75" customHeight="1">
      <c r="A87105" s="7"/>
      <c r="B87105" s="7"/>
    </row>
    <row r="87106" ht="15.75" customHeight="1">
      <c r="A87106" s="7"/>
      <c r="B87106" s="7"/>
    </row>
    <row r="87107" ht="15.75" customHeight="1">
      <c r="A87107" s="7"/>
      <c r="B87107" s="7"/>
    </row>
    <row r="87108" ht="15.75" customHeight="1">
      <c r="A87108" s="7"/>
      <c r="B87108" s="7"/>
    </row>
    <row r="87109" ht="15.75" customHeight="1">
      <c r="A87109" s="7"/>
      <c r="B87109" s="7"/>
    </row>
    <row r="87110" ht="15.75" customHeight="1">
      <c r="A87110" s="7"/>
      <c r="B87110" s="7"/>
    </row>
    <row r="87111" ht="15.75" customHeight="1">
      <c r="A87111" s="7"/>
      <c r="B87111" s="7"/>
    </row>
    <row r="87112" ht="15.75" customHeight="1">
      <c r="A87112" s="7"/>
      <c r="B87112" s="7"/>
    </row>
    <row r="87113" ht="15.75" customHeight="1">
      <c r="A87113" s="7"/>
      <c r="B87113" s="7"/>
    </row>
    <row r="87114" ht="15.75" customHeight="1">
      <c r="A87114" s="7"/>
      <c r="B87114" s="7"/>
    </row>
    <row r="87115" ht="15.75" customHeight="1">
      <c r="A87115" s="7"/>
      <c r="B87115" s="7"/>
    </row>
    <row r="87116" ht="15.75" customHeight="1">
      <c r="A87116" s="7"/>
      <c r="B87116" s="7"/>
    </row>
    <row r="87117" ht="15.75" customHeight="1">
      <c r="A87117" s="7"/>
      <c r="B87117" s="7"/>
    </row>
    <row r="87118" ht="15.75" customHeight="1">
      <c r="A87118" s="7"/>
      <c r="B87118" s="7"/>
    </row>
    <row r="87119" ht="15.75" customHeight="1">
      <c r="A87119" s="7"/>
      <c r="B87119" s="7"/>
    </row>
    <row r="87120" ht="15.75" customHeight="1">
      <c r="A87120" s="7"/>
      <c r="B87120" s="7"/>
    </row>
    <row r="87121" ht="15.75" customHeight="1">
      <c r="A87121" s="7"/>
      <c r="B87121" s="7"/>
    </row>
    <row r="87122" ht="15.75" customHeight="1">
      <c r="A87122" s="7"/>
      <c r="B87122" s="7"/>
    </row>
    <row r="87123" ht="15.75" customHeight="1">
      <c r="A87123" s="7"/>
      <c r="B87123" s="7"/>
    </row>
    <row r="87124" ht="15.75" customHeight="1">
      <c r="A87124" s="7"/>
      <c r="B87124" s="7"/>
    </row>
    <row r="87125" ht="15.75" customHeight="1">
      <c r="A87125" s="7"/>
      <c r="B87125" s="7"/>
    </row>
    <row r="87126" ht="15.75" customHeight="1">
      <c r="A87126" s="7"/>
      <c r="B87126" s="7"/>
    </row>
    <row r="87127" ht="15.75" customHeight="1">
      <c r="A87127" s="7"/>
      <c r="B87127" s="7"/>
    </row>
    <row r="87128" ht="15.75" customHeight="1">
      <c r="A87128" s="7"/>
      <c r="B87128" s="7"/>
    </row>
    <row r="87129" ht="15.75" customHeight="1">
      <c r="A87129" s="7"/>
      <c r="B87129" s="7"/>
    </row>
    <row r="87130" ht="15.75" customHeight="1">
      <c r="A87130" s="7"/>
      <c r="B87130" s="7"/>
    </row>
    <row r="87131" ht="15.75" customHeight="1">
      <c r="A87131" s="7"/>
      <c r="B87131" s="7"/>
    </row>
    <row r="87132" ht="15.75" customHeight="1">
      <c r="A87132" s="7"/>
      <c r="B87132" s="7"/>
    </row>
    <row r="87133" ht="15.75" customHeight="1">
      <c r="A87133" s="7"/>
      <c r="B87133" s="7"/>
    </row>
    <row r="87134" ht="15.75" customHeight="1">
      <c r="A87134" s="7"/>
      <c r="B87134" s="7"/>
    </row>
    <row r="87135" ht="15.75" customHeight="1">
      <c r="A87135" s="7"/>
      <c r="B87135" s="7"/>
    </row>
    <row r="87136" ht="15.75" customHeight="1">
      <c r="A87136" s="7"/>
      <c r="B87136" s="7"/>
    </row>
    <row r="87137" ht="15.75" customHeight="1">
      <c r="A87137" s="7"/>
      <c r="B87137" s="7"/>
    </row>
    <row r="87138" ht="15.75" customHeight="1">
      <c r="A87138" s="7"/>
      <c r="B87138" s="7"/>
    </row>
    <row r="87139" ht="15.75" customHeight="1">
      <c r="A87139" s="7"/>
      <c r="B87139" s="7"/>
    </row>
    <row r="87140" ht="15.75" customHeight="1">
      <c r="A87140" s="7"/>
      <c r="B87140" s="7"/>
    </row>
    <row r="87141" ht="15.75" customHeight="1">
      <c r="A87141" s="7"/>
      <c r="B87141" s="7"/>
    </row>
    <row r="87142" ht="15.75" customHeight="1">
      <c r="A87142" s="7"/>
      <c r="B87142" s="7"/>
    </row>
    <row r="87143" ht="15.75" customHeight="1">
      <c r="A87143" s="7"/>
      <c r="B87143" s="7"/>
    </row>
    <row r="87144" ht="15.75" customHeight="1">
      <c r="A87144" s="7"/>
      <c r="B87144" s="7"/>
    </row>
    <row r="87145" ht="15.75" customHeight="1">
      <c r="A87145" s="7"/>
      <c r="B87145" s="7"/>
    </row>
    <row r="87146" ht="15.75" customHeight="1">
      <c r="A87146" s="7"/>
      <c r="B87146" s="7"/>
    </row>
    <row r="87147" ht="15.75" customHeight="1">
      <c r="A87147" s="7"/>
      <c r="B87147" s="7"/>
    </row>
    <row r="87148" ht="15.75" customHeight="1">
      <c r="A87148" s="7"/>
      <c r="B87148" s="7"/>
    </row>
    <row r="87149" ht="15.75" customHeight="1">
      <c r="A87149" s="7"/>
      <c r="B87149" s="7"/>
    </row>
    <row r="87150" ht="15.75" customHeight="1">
      <c r="A87150" s="7"/>
      <c r="B87150" s="7"/>
    </row>
    <row r="87151" ht="15.75" customHeight="1">
      <c r="A87151" s="7"/>
      <c r="B87151" s="7"/>
    </row>
    <row r="87152" ht="15.75" customHeight="1">
      <c r="A87152" s="7"/>
      <c r="B87152" s="7"/>
    </row>
    <row r="87153" ht="15.75" customHeight="1">
      <c r="A87153" s="7"/>
      <c r="B87153" s="7"/>
    </row>
    <row r="87154" ht="15.75" customHeight="1">
      <c r="A87154" s="7"/>
      <c r="B87154" s="7"/>
    </row>
    <row r="87155" ht="15.75" customHeight="1">
      <c r="A87155" s="7"/>
      <c r="B87155" s="7"/>
    </row>
    <row r="87156" ht="15.75" customHeight="1">
      <c r="A87156" s="7"/>
      <c r="B87156" s="7"/>
    </row>
    <row r="87157" ht="15.75" customHeight="1">
      <c r="A87157" s="7"/>
      <c r="B87157" s="7"/>
    </row>
    <row r="87158" ht="15.75" customHeight="1">
      <c r="A87158" s="7"/>
      <c r="B87158" s="7"/>
    </row>
    <row r="87159" ht="15.75" customHeight="1">
      <c r="A87159" s="7"/>
      <c r="B87159" s="7"/>
    </row>
    <row r="87160" ht="15.75" customHeight="1">
      <c r="A87160" s="7"/>
      <c r="B87160" s="7"/>
    </row>
    <row r="87161" ht="15.75" customHeight="1">
      <c r="A87161" s="7"/>
      <c r="B87161" s="7"/>
    </row>
    <row r="87162" ht="15.75" customHeight="1">
      <c r="A87162" s="7"/>
      <c r="B87162" s="7"/>
    </row>
    <row r="87163" ht="15.75" customHeight="1">
      <c r="A87163" s="7"/>
      <c r="B87163" s="7"/>
    </row>
    <row r="87164" ht="15.75" customHeight="1">
      <c r="A87164" s="7"/>
      <c r="B87164" s="7"/>
    </row>
    <row r="87165" ht="15.75" customHeight="1">
      <c r="A87165" s="7"/>
      <c r="B87165" s="7"/>
    </row>
    <row r="87166" ht="15.75" customHeight="1">
      <c r="A87166" s="7"/>
      <c r="B87166" s="7"/>
    </row>
    <row r="87167" ht="15.75" customHeight="1">
      <c r="A87167" s="7"/>
      <c r="B87167" s="7"/>
    </row>
    <row r="87168" ht="15.75" customHeight="1">
      <c r="A87168" s="7"/>
      <c r="B87168" s="7"/>
    </row>
    <row r="87169" ht="15.75" customHeight="1">
      <c r="A87169" s="7"/>
      <c r="B87169" s="7"/>
    </row>
    <row r="87170" ht="15.75" customHeight="1">
      <c r="A87170" s="7"/>
      <c r="B87170" s="7"/>
    </row>
    <row r="87171" ht="15.75" customHeight="1">
      <c r="A87171" s="7"/>
      <c r="B87171" s="7"/>
    </row>
    <row r="87172" ht="15.75" customHeight="1">
      <c r="A87172" s="7"/>
      <c r="B87172" s="7"/>
    </row>
    <row r="87173" ht="15.75" customHeight="1">
      <c r="A87173" s="7"/>
      <c r="B87173" s="7"/>
    </row>
    <row r="87174" ht="15.75" customHeight="1">
      <c r="A87174" s="7"/>
      <c r="B87174" s="7"/>
    </row>
    <row r="87175" ht="15.75" customHeight="1">
      <c r="A87175" s="7"/>
      <c r="B87175" s="7"/>
    </row>
    <row r="87176" ht="15.75" customHeight="1">
      <c r="A87176" s="7"/>
      <c r="B87176" s="7"/>
    </row>
    <row r="87177" ht="15.75" customHeight="1">
      <c r="A87177" s="7"/>
      <c r="B87177" s="7"/>
    </row>
    <row r="87178" ht="15.75" customHeight="1">
      <c r="A87178" s="7"/>
      <c r="B87178" s="7"/>
    </row>
    <row r="87179" ht="15.75" customHeight="1">
      <c r="A87179" s="7"/>
      <c r="B87179" s="7"/>
    </row>
    <row r="87180" ht="15.75" customHeight="1">
      <c r="A87180" s="7"/>
      <c r="B87180" s="7"/>
    </row>
    <row r="87181" ht="15.75" customHeight="1">
      <c r="A87181" s="7"/>
      <c r="B87181" s="7"/>
    </row>
    <row r="87182" ht="15.75" customHeight="1">
      <c r="A87182" s="7"/>
      <c r="B87182" s="7"/>
    </row>
    <row r="87183" ht="15.75" customHeight="1">
      <c r="A87183" s="7"/>
      <c r="B87183" s="7"/>
    </row>
    <row r="87184" ht="15.75" customHeight="1">
      <c r="A87184" s="7"/>
      <c r="B87184" s="7"/>
    </row>
    <row r="87185" ht="15.75" customHeight="1">
      <c r="A87185" s="7"/>
      <c r="B87185" s="7"/>
    </row>
    <row r="87186" ht="15.75" customHeight="1">
      <c r="A87186" s="7"/>
      <c r="B87186" s="7"/>
    </row>
    <row r="87187" ht="15.75" customHeight="1">
      <c r="A87187" s="7"/>
      <c r="B87187" s="7"/>
    </row>
    <row r="87188" ht="15.75" customHeight="1">
      <c r="A87188" s="7"/>
      <c r="B87188" s="7"/>
    </row>
    <row r="87189" ht="15.75" customHeight="1">
      <c r="A87189" s="7"/>
      <c r="B87189" s="7"/>
    </row>
    <row r="87190" ht="15.75" customHeight="1">
      <c r="A87190" s="7"/>
      <c r="B87190" s="7"/>
    </row>
    <row r="87191" ht="15.75" customHeight="1">
      <c r="A87191" s="7"/>
      <c r="B87191" s="7"/>
    </row>
    <row r="87192" ht="15.75" customHeight="1">
      <c r="A87192" s="7"/>
      <c r="B87192" s="7"/>
    </row>
    <row r="87193" ht="15.75" customHeight="1">
      <c r="A87193" s="7"/>
      <c r="B87193" s="7"/>
    </row>
    <row r="87194" ht="15.75" customHeight="1">
      <c r="A87194" s="7"/>
      <c r="B87194" s="7"/>
    </row>
    <row r="87195" ht="15.75" customHeight="1">
      <c r="A87195" s="7"/>
      <c r="B87195" s="7"/>
    </row>
    <row r="87196" ht="15.75" customHeight="1">
      <c r="A87196" s="7"/>
      <c r="B87196" s="7"/>
    </row>
    <row r="87197" ht="15.75" customHeight="1">
      <c r="A87197" s="7"/>
      <c r="B87197" s="7"/>
    </row>
    <row r="87198" ht="15.75" customHeight="1">
      <c r="A87198" s="7"/>
      <c r="B87198" s="7"/>
    </row>
    <row r="87199" ht="15.75" customHeight="1">
      <c r="A87199" s="7"/>
      <c r="B87199" s="7"/>
    </row>
    <row r="87200" ht="15.75" customHeight="1">
      <c r="A87200" s="7"/>
      <c r="B87200" s="7"/>
    </row>
    <row r="87201" ht="15.75" customHeight="1">
      <c r="A87201" s="7"/>
      <c r="B87201" s="7"/>
    </row>
    <row r="87202" ht="15.75" customHeight="1">
      <c r="A87202" s="7"/>
      <c r="B87202" s="7"/>
    </row>
    <row r="87203" ht="15.75" customHeight="1">
      <c r="A87203" s="7"/>
      <c r="B87203" s="7"/>
    </row>
    <row r="87204" ht="15.75" customHeight="1">
      <c r="A87204" s="7"/>
      <c r="B87204" s="7"/>
    </row>
    <row r="87205" ht="15.75" customHeight="1">
      <c r="A87205" s="7"/>
      <c r="B87205" s="7"/>
    </row>
    <row r="87206" ht="15.75" customHeight="1">
      <c r="A87206" s="7"/>
      <c r="B87206" s="7"/>
    </row>
    <row r="87207" ht="15.75" customHeight="1">
      <c r="A87207" s="7"/>
      <c r="B87207" s="7"/>
    </row>
    <row r="87208" ht="15.75" customHeight="1">
      <c r="A87208" s="7"/>
      <c r="B87208" s="7"/>
    </row>
    <row r="87209" ht="15.75" customHeight="1">
      <c r="A87209" s="7"/>
      <c r="B87209" s="7"/>
    </row>
    <row r="87210" ht="15.75" customHeight="1">
      <c r="A87210" s="7"/>
      <c r="B87210" s="7"/>
    </row>
    <row r="87211" ht="15.75" customHeight="1">
      <c r="A87211" s="7"/>
      <c r="B87211" s="7"/>
    </row>
    <row r="87212" ht="15.75" customHeight="1">
      <c r="A87212" s="7"/>
      <c r="B87212" s="7"/>
    </row>
    <row r="87213" ht="15.75" customHeight="1">
      <c r="A87213" s="7"/>
      <c r="B87213" s="7"/>
    </row>
    <row r="87214" ht="15.75" customHeight="1">
      <c r="A87214" s="7"/>
      <c r="B87214" s="7"/>
    </row>
    <row r="87215" ht="15.75" customHeight="1">
      <c r="A87215" s="7"/>
      <c r="B87215" s="7"/>
    </row>
    <row r="87216" ht="15.75" customHeight="1">
      <c r="A87216" s="7"/>
      <c r="B87216" s="7"/>
    </row>
    <row r="87217" ht="15.75" customHeight="1">
      <c r="A87217" s="7"/>
      <c r="B87217" s="7"/>
    </row>
    <row r="87218" ht="15.75" customHeight="1">
      <c r="A87218" s="7"/>
      <c r="B87218" s="7"/>
    </row>
    <row r="87219" ht="15.75" customHeight="1">
      <c r="A87219" s="7"/>
      <c r="B87219" s="7"/>
    </row>
    <row r="87220" ht="15.75" customHeight="1">
      <c r="A87220" s="7"/>
      <c r="B87220" s="7"/>
    </row>
    <row r="87221" ht="15.75" customHeight="1">
      <c r="A87221" s="7"/>
      <c r="B87221" s="7"/>
    </row>
    <row r="87222" ht="15.75" customHeight="1">
      <c r="A87222" s="7"/>
      <c r="B87222" s="7"/>
    </row>
    <row r="87223" ht="15.75" customHeight="1">
      <c r="A87223" s="7"/>
      <c r="B87223" s="7"/>
    </row>
    <row r="87224" ht="15.75" customHeight="1">
      <c r="A87224" s="7"/>
      <c r="B87224" s="7"/>
    </row>
    <row r="87225" ht="15.75" customHeight="1">
      <c r="A87225" s="7"/>
      <c r="B87225" s="7"/>
    </row>
    <row r="87226" ht="15.75" customHeight="1">
      <c r="A87226" s="7"/>
      <c r="B87226" s="7"/>
    </row>
    <row r="87227" ht="15.75" customHeight="1">
      <c r="A87227" s="7"/>
      <c r="B87227" s="7"/>
    </row>
    <row r="87228" ht="15.75" customHeight="1">
      <c r="A87228" s="7"/>
      <c r="B87228" s="7"/>
    </row>
    <row r="87229" ht="15.75" customHeight="1">
      <c r="A87229" s="7"/>
      <c r="B87229" s="7"/>
    </row>
    <row r="87230" ht="15.75" customHeight="1">
      <c r="A87230" s="7"/>
      <c r="B87230" s="7"/>
    </row>
    <row r="87231" ht="15.75" customHeight="1">
      <c r="A87231" s="7"/>
      <c r="B87231" s="7"/>
    </row>
    <row r="87232" ht="15.75" customHeight="1">
      <c r="A87232" s="7"/>
      <c r="B87232" s="7"/>
    </row>
    <row r="87233" ht="15.75" customHeight="1">
      <c r="A87233" s="7"/>
      <c r="B87233" s="7"/>
    </row>
    <row r="87234" ht="15.75" customHeight="1">
      <c r="A87234" s="7"/>
      <c r="B87234" s="7"/>
    </row>
    <row r="87235" ht="15.75" customHeight="1">
      <c r="A87235" s="7"/>
      <c r="B87235" s="7"/>
    </row>
    <row r="87236" ht="15.75" customHeight="1">
      <c r="A87236" s="7"/>
      <c r="B87236" s="7"/>
    </row>
    <row r="87237" ht="15.75" customHeight="1">
      <c r="A87237" s="7"/>
      <c r="B87237" s="7"/>
    </row>
    <row r="87238" ht="15.75" customHeight="1">
      <c r="A87238" s="7"/>
      <c r="B87238" s="7"/>
    </row>
    <row r="87239" ht="15.75" customHeight="1">
      <c r="A87239" s="7"/>
      <c r="B87239" s="7"/>
    </row>
    <row r="87240" ht="15.75" customHeight="1">
      <c r="A87240" s="7"/>
      <c r="B87240" s="7"/>
    </row>
    <row r="87241" ht="15.75" customHeight="1">
      <c r="A87241" s="7"/>
      <c r="B87241" s="7"/>
    </row>
    <row r="87242" ht="15.75" customHeight="1">
      <c r="A87242" s="7"/>
      <c r="B87242" s="7"/>
    </row>
    <row r="87243" ht="15.75" customHeight="1">
      <c r="A87243" s="7"/>
      <c r="B87243" s="7"/>
    </row>
    <row r="87244" ht="15.75" customHeight="1">
      <c r="A87244" s="7"/>
      <c r="B87244" s="7"/>
    </row>
    <row r="87245" ht="15.75" customHeight="1">
      <c r="A87245" s="7"/>
      <c r="B87245" s="7"/>
    </row>
    <row r="87246" ht="15.75" customHeight="1">
      <c r="A87246" s="7"/>
      <c r="B87246" s="7"/>
    </row>
    <row r="87247" ht="15.75" customHeight="1">
      <c r="A87247" s="7"/>
      <c r="B87247" s="7"/>
    </row>
    <row r="87248" ht="15.75" customHeight="1">
      <c r="A87248" s="7"/>
      <c r="B87248" s="7"/>
    </row>
    <row r="87249" ht="15.75" customHeight="1">
      <c r="A87249" s="7"/>
      <c r="B87249" s="7"/>
    </row>
    <row r="87250" ht="15.75" customHeight="1">
      <c r="A87250" s="7"/>
      <c r="B87250" s="7"/>
    </row>
    <row r="87251" ht="15.75" customHeight="1">
      <c r="A87251" s="7"/>
      <c r="B87251" s="7"/>
    </row>
    <row r="87252" ht="15.75" customHeight="1">
      <c r="A87252" s="7"/>
      <c r="B87252" s="7"/>
    </row>
    <row r="87253" ht="15.75" customHeight="1">
      <c r="A87253" s="7"/>
      <c r="B87253" s="7"/>
    </row>
    <row r="87254" ht="15.75" customHeight="1">
      <c r="A87254" s="7"/>
      <c r="B87254" s="7"/>
    </row>
    <row r="87255" ht="15.75" customHeight="1">
      <c r="A87255" s="7"/>
      <c r="B87255" s="7"/>
    </row>
    <row r="87256" ht="15.75" customHeight="1">
      <c r="A87256" s="7"/>
      <c r="B87256" s="7"/>
    </row>
    <row r="87257" ht="15.75" customHeight="1">
      <c r="A87257" s="7"/>
      <c r="B87257" s="7"/>
    </row>
    <row r="87258" ht="15.75" customHeight="1">
      <c r="A87258" s="7"/>
      <c r="B87258" s="7"/>
    </row>
    <row r="87259" ht="15.75" customHeight="1">
      <c r="A87259" s="7"/>
      <c r="B87259" s="7"/>
    </row>
    <row r="87260" ht="15.75" customHeight="1">
      <c r="A87260" s="7"/>
      <c r="B87260" s="7"/>
    </row>
    <row r="87261" ht="15.75" customHeight="1">
      <c r="A87261" s="7"/>
      <c r="B87261" s="7"/>
    </row>
    <row r="87262" ht="15.75" customHeight="1">
      <c r="A87262" s="7"/>
      <c r="B87262" s="7"/>
    </row>
    <row r="87263" ht="15.75" customHeight="1">
      <c r="A87263" s="7"/>
      <c r="B87263" s="7"/>
    </row>
    <row r="87264" ht="15.75" customHeight="1">
      <c r="A87264" s="7"/>
      <c r="B87264" s="7"/>
    </row>
    <row r="87265" ht="15.75" customHeight="1">
      <c r="A87265" s="7"/>
      <c r="B87265" s="7"/>
    </row>
    <row r="87266" ht="15.75" customHeight="1">
      <c r="A87266" s="7"/>
      <c r="B87266" s="7"/>
    </row>
    <row r="87267" ht="15.75" customHeight="1">
      <c r="A87267" s="7"/>
      <c r="B87267" s="7"/>
    </row>
    <row r="87268" ht="15.75" customHeight="1">
      <c r="A87268" s="7"/>
      <c r="B87268" s="7"/>
    </row>
    <row r="87269" ht="15.75" customHeight="1">
      <c r="A87269" s="7"/>
      <c r="B87269" s="7"/>
    </row>
    <row r="87270" ht="15.75" customHeight="1">
      <c r="A87270" s="7"/>
      <c r="B87270" s="7"/>
    </row>
    <row r="87271" ht="15.75" customHeight="1">
      <c r="A87271" s="7"/>
      <c r="B87271" s="7"/>
    </row>
    <row r="87272" ht="15.75" customHeight="1">
      <c r="A87272" s="7"/>
      <c r="B87272" s="7"/>
    </row>
    <row r="87273" ht="15.75" customHeight="1">
      <c r="A87273" s="7"/>
      <c r="B87273" s="7"/>
    </row>
    <row r="87274" ht="15.75" customHeight="1">
      <c r="A87274" s="7"/>
      <c r="B87274" s="7"/>
    </row>
    <row r="87275" ht="15.75" customHeight="1">
      <c r="A87275" s="7"/>
      <c r="B87275" s="7"/>
    </row>
    <row r="87276" ht="15.75" customHeight="1">
      <c r="A87276" s="7"/>
      <c r="B87276" s="7"/>
    </row>
    <row r="87277" ht="15.75" customHeight="1">
      <c r="A87277" s="7"/>
      <c r="B87277" s="7"/>
    </row>
    <row r="87278" ht="15.75" customHeight="1">
      <c r="A87278" s="7"/>
      <c r="B87278" s="7"/>
    </row>
    <row r="87279" ht="15.75" customHeight="1">
      <c r="A87279" s="7"/>
      <c r="B87279" s="7"/>
    </row>
    <row r="87280" ht="15.75" customHeight="1">
      <c r="A87280" s="7"/>
      <c r="B87280" s="7"/>
    </row>
    <row r="87281" ht="15.75" customHeight="1">
      <c r="A87281" s="7"/>
      <c r="B87281" s="7"/>
    </row>
    <row r="87282" ht="15.75" customHeight="1">
      <c r="A87282" s="7"/>
      <c r="B87282" s="7"/>
    </row>
    <row r="87283" ht="15.75" customHeight="1">
      <c r="A87283" s="7"/>
      <c r="B87283" s="7"/>
    </row>
    <row r="87284" ht="15.75" customHeight="1">
      <c r="A87284" s="7"/>
      <c r="B87284" s="7"/>
    </row>
    <row r="87285" ht="15.75" customHeight="1">
      <c r="A87285" s="7"/>
      <c r="B87285" s="7"/>
    </row>
    <row r="87286" ht="15.75" customHeight="1">
      <c r="A87286" s="7"/>
      <c r="B87286" s="7"/>
    </row>
    <row r="87287" ht="15.75" customHeight="1">
      <c r="A87287" s="7"/>
      <c r="B87287" s="7"/>
    </row>
    <row r="87288" ht="15.75" customHeight="1">
      <c r="A87288" s="7"/>
      <c r="B87288" s="7"/>
    </row>
    <row r="87289" ht="15.75" customHeight="1">
      <c r="A87289" s="7"/>
      <c r="B87289" s="7"/>
    </row>
    <row r="87290" ht="15.75" customHeight="1">
      <c r="A87290" s="7"/>
      <c r="B87290" s="7"/>
    </row>
    <row r="87291" ht="15.75" customHeight="1">
      <c r="A87291" s="7"/>
      <c r="B87291" s="7"/>
    </row>
    <row r="87292" ht="15.75" customHeight="1">
      <c r="A87292" s="7"/>
      <c r="B87292" s="7"/>
    </row>
    <row r="87293" ht="15.75" customHeight="1">
      <c r="A87293" s="7"/>
      <c r="B87293" s="7"/>
    </row>
    <row r="87294" ht="15.75" customHeight="1">
      <c r="A87294" s="7"/>
      <c r="B87294" s="7"/>
    </row>
    <row r="87295" ht="15.75" customHeight="1">
      <c r="A87295" s="7"/>
      <c r="B87295" s="7"/>
    </row>
    <row r="87296" ht="15.75" customHeight="1">
      <c r="A87296" s="7"/>
      <c r="B87296" s="7"/>
    </row>
    <row r="87297" ht="15.75" customHeight="1">
      <c r="A87297" s="7"/>
      <c r="B87297" s="7"/>
    </row>
    <row r="87298" ht="15.75" customHeight="1">
      <c r="A87298" s="7"/>
      <c r="B87298" s="7"/>
    </row>
    <row r="87299" ht="15.75" customHeight="1">
      <c r="A87299" s="7"/>
      <c r="B87299" s="7"/>
    </row>
    <row r="87300" ht="15.75" customHeight="1">
      <c r="A87300" s="7"/>
      <c r="B87300" s="7"/>
    </row>
    <row r="87301" ht="15.75" customHeight="1">
      <c r="A87301" s="7"/>
      <c r="B87301" s="7"/>
    </row>
    <row r="87302" ht="15.75" customHeight="1">
      <c r="A87302" s="7"/>
      <c r="B87302" s="7"/>
    </row>
    <row r="87303" ht="15.75" customHeight="1">
      <c r="A87303" s="7"/>
      <c r="B87303" s="7"/>
    </row>
    <row r="87304" ht="15.75" customHeight="1">
      <c r="A87304" s="7"/>
      <c r="B87304" s="7"/>
    </row>
    <row r="87305" ht="15.75" customHeight="1">
      <c r="A87305" s="7"/>
      <c r="B87305" s="7"/>
    </row>
    <row r="87306" ht="15.75" customHeight="1">
      <c r="A87306" s="7"/>
      <c r="B87306" s="7"/>
    </row>
    <row r="87307" ht="15.75" customHeight="1">
      <c r="A87307" s="7"/>
      <c r="B87307" s="7"/>
    </row>
    <row r="87308" ht="15.75" customHeight="1">
      <c r="A87308" s="7"/>
      <c r="B87308" s="7"/>
    </row>
    <row r="87309" ht="15.75" customHeight="1">
      <c r="A87309" s="7"/>
      <c r="B87309" s="7"/>
    </row>
    <row r="87310" ht="15.75" customHeight="1">
      <c r="A87310" s="7"/>
      <c r="B87310" s="7"/>
    </row>
    <row r="87311" ht="15.75" customHeight="1">
      <c r="A87311" s="7"/>
      <c r="B87311" s="7"/>
    </row>
    <row r="87312" ht="15.75" customHeight="1">
      <c r="A87312" s="7"/>
      <c r="B87312" s="7"/>
    </row>
    <row r="87313" ht="15.75" customHeight="1">
      <c r="A87313" s="7"/>
      <c r="B87313" s="7"/>
    </row>
    <row r="87314" ht="15.75" customHeight="1">
      <c r="A87314" s="7"/>
      <c r="B87314" s="7"/>
    </row>
    <row r="87315" ht="15.75" customHeight="1">
      <c r="A87315" s="7"/>
      <c r="B87315" s="7"/>
    </row>
    <row r="87316" ht="15.75" customHeight="1">
      <c r="A87316" s="7"/>
      <c r="B87316" s="7"/>
    </row>
    <row r="87317" ht="15.75" customHeight="1">
      <c r="A87317" s="7"/>
      <c r="B87317" s="7"/>
    </row>
    <row r="87318" ht="15.75" customHeight="1">
      <c r="A87318" s="7"/>
      <c r="B87318" s="7"/>
    </row>
    <row r="87319" ht="15.75" customHeight="1">
      <c r="A87319" s="7"/>
      <c r="B87319" s="7"/>
    </row>
    <row r="87320" ht="15.75" customHeight="1">
      <c r="A87320" s="7"/>
      <c r="B87320" s="7"/>
    </row>
    <row r="87321" ht="15.75" customHeight="1">
      <c r="A87321" s="7"/>
      <c r="B87321" s="7"/>
    </row>
    <row r="87322" ht="15.75" customHeight="1">
      <c r="A87322" s="7"/>
      <c r="B87322" s="7"/>
    </row>
    <row r="87323" ht="15.75" customHeight="1">
      <c r="A87323" s="7"/>
      <c r="B87323" s="7"/>
    </row>
    <row r="87324" ht="15.75" customHeight="1">
      <c r="A87324" s="7"/>
      <c r="B87324" s="7"/>
    </row>
    <row r="87325" ht="15.75" customHeight="1">
      <c r="A87325" s="7"/>
      <c r="B87325" s="7"/>
    </row>
    <row r="87326" ht="15.75" customHeight="1">
      <c r="A87326" s="7"/>
      <c r="B87326" s="7"/>
    </row>
    <row r="87327" ht="15.75" customHeight="1">
      <c r="A87327" s="7"/>
      <c r="B87327" s="7"/>
    </row>
    <row r="87328" ht="15.75" customHeight="1">
      <c r="A87328" s="7"/>
      <c r="B87328" s="7"/>
    </row>
    <row r="87329" ht="15.75" customHeight="1">
      <c r="A87329" s="7"/>
      <c r="B87329" s="7"/>
    </row>
    <row r="87330" ht="15.75" customHeight="1">
      <c r="A87330" s="7"/>
      <c r="B87330" s="7"/>
    </row>
    <row r="87331" ht="15.75" customHeight="1">
      <c r="A87331" s="7"/>
      <c r="B87331" s="7"/>
    </row>
    <row r="87332" ht="15.75" customHeight="1">
      <c r="A87332" s="7"/>
      <c r="B87332" s="7"/>
    </row>
    <row r="87333" ht="15.75" customHeight="1">
      <c r="A87333" s="7"/>
      <c r="B87333" s="7"/>
    </row>
    <row r="87334" ht="15.75" customHeight="1">
      <c r="A87334" s="7"/>
      <c r="B87334" s="7"/>
    </row>
    <row r="87335" ht="15.75" customHeight="1">
      <c r="A87335" s="7"/>
      <c r="B87335" s="7"/>
    </row>
    <row r="87336" ht="15.75" customHeight="1">
      <c r="A87336" s="7"/>
      <c r="B87336" s="7"/>
    </row>
    <row r="87337" ht="15.75" customHeight="1">
      <c r="A87337" s="7"/>
      <c r="B87337" s="7"/>
    </row>
    <row r="87338" ht="15.75" customHeight="1">
      <c r="A87338" s="7"/>
      <c r="B87338" s="7"/>
    </row>
    <row r="87339" ht="15.75" customHeight="1">
      <c r="A87339" s="7"/>
      <c r="B87339" s="7"/>
    </row>
    <row r="87340" ht="15.75" customHeight="1">
      <c r="A87340" s="7"/>
      <c r="B87340" s="7"/>
    </row>
    <row r="87341" ht="15.75" customHeight="1">
      <c r="A87341" s="7"/>
      <c r="B87341" s="7"/>
    </row>
    <row r="87342" ht="15.75" customHeight="1">
      <c r="A87342" s="7"/>
      <c r="B87342" s="7"/>
    </row>
    <row r="87343" ht="15.75" customHeight="1">
      <c r="A87343" s="7"/>
      <c r="B87343" s="7"/>
    </row>
    <row r="87344" ht="15.75" customHeight="1">
      <c r="A87344" s="7"/>
      <c r="B87344" s="7"/>
    </row>
    <row r="87345" ht="15.75" customHeight="1">
      <c r="A87345" s="7"/>
      <c r="B87345" s="7"/>
    </row>
    <row r="87346" ht="15.75" customHeight="1">
      <c r="A87346" s="7"/>
      <c r="B87346" s="7"/>
    </row>
    <row r="87347" ht="15.75" customHeight="1">
      <c r="A87347" s="7"/>
      <c r="B87347" s="7"/>
    </row>
    <row r="87348" ht="15.75" customHeight="1">
      <c r="A87348" s="7"/>
      <c r="B87348" s="7"/>
    </row>
    <row r="87349" ht="15.75" customHeight="1">
      <c r="A87349" s="7"/>
      <c r="B87349" s="7"/>
    </row>
    <row r="87350" ht="15.75" customHeight="1">
      <c r="A87350" s="7"/>
      <c r="B87350" s="7"/>
    </row>
    <row r="87351" ht="15.75" customHeight="1">
      <c r="A87351" s="7"/>
      <c r="B87351" s="7"/>
    </row>
    <row r="87352" ht="15.75" customHeight="1">
      <c r="A87352" s="7"/>
      <c r="B87352" s="7"/>
    </row>
    <row r="87353" ht="15.75" customHeight="1">
      <c r="A87353" s="7"/>
      <c r="B87353" s="7"/>
    </row>
    <row r="87354" ht="15.75" customHeight="1">
      <c r="A87354" s="7"/>
      <c r="B87354" s="7"/>
    </row>
    <row r="87355" ht="15.75" customHeight="1">
      <c r="A87355" s="7"/>
      <c r="B87355" s="7"/>
    </row>
    <row r="87356" ht="15.75" customHeight="1">
      <c r="A87356" s="7"/>
      <c r="B87356" s="7"/>
    </row>
    <row r="87357" ht="15.75" customHeight="1">
      <c r="A87357" s="7"/>
      <c r="B87357" s="7"/>
    </row>
    <row r="87358" ht="15.75" customHeight="1">
      <c r="A87358" s="7"/>
      <c r="B87358" s="7"/>
    </row>
    <row r="87359" ht="15.75" customHeight="1">
      <c r="A87359" s="7"/>
      <c r="B87359" s="7"/>
    </row>
    <row r="87360" ht="15.75" customHeight="1">
      <c r="A87360" s="7"/>
      <c r="B87360" s="7"/>
    </row>
    <row r="87361" ht="15.75" customHeight="1">
      <c r="A87361" s="7"/>
      <c r="B87361" s="7"/>
    </row>
    <row r="87362" ht="15.75" customHeight="1">
      <c r="A87362" s="7"/>
      <c r="B87362" s="7"/>
    </row>
    <row r="87363" ht="15.75" customHeight="1">
      <c r="A87363" s="7"/>
      <c r="B87363" s="7"/>
    </row>
    <row r="87364" ht="15.75" customHeight="1">
      <c r="A87364" s="7"/>
      <c r="B87364" s="7"/>
    </row>
    <row r="87365" ht="15.75" customHeight="1">
      <c r="A87365" s="7"/>
      <c r="B87365" s="7"/>
    </row>
    <row r="87366" ht="15.75" customHeight="1">
      <c r="A87366" s="7"/>
      <c r="B87366" s="7"/>
    </row>
    <row r="87367" ht="15.75" customHeight="1">
      <c r="A87367" s="7"/>
      <c r="B87367" s="7"/>
    </row>
    <row r="87368" ht="15.75" customHeight="1">
      <c r="A87368" s="7"/>
      <c r="B87368" s="7"/>
    </row>
    <row r="87369" ht="15.75" customHeight="1">
      <c r="A87369" s="7"/>
      <c r="B87369" s="7"/>
    </row>
    <row r="87370" ht="15.75" customHeight="1">
      <c r="A87370" s="7"/>
      <c r="B87370" s="7"/>
    </row>
    <row r="87371" ht="15.75" customHeight="1">
      <c r="A87371" s="7"/>
      <c r="B87371" s="7"/>
    </row>
    <row r="87372" ht="15.75" customHeight="1">
      <c r="A87372" s="7"/>
      <c r="B87372" s="7"/>
    </row>
    <row r="87373" ht="15.75" customHeight="1">
      <c r="A87373" s="7"/>
      <c r="B87373" s="7"/>
    </row>
    <row r="87374" ht="15.75" customHeight="1">
      <c r="A87374" s="7"/>
      <c r="B87374" s="7"/>
    </row>
    <row r="87375" ht="15.75" customHeight="1">
      <c r="A87375" s="7"/>
      <c r="B87375" s="7"/>
    </row>
    <row r="87376" ht="15.75" customHeight="1">
      <c r="A87376" s="7"/>
      <c r="B87376" s="7"/>
    </row>
    <row r="87377" ht="15.75" customHeight="1">
      <c r="A87377" s="7"/>
      <c r="B87377" s="7"/>
    </row>
    <row r="87378" ht="15.75" customHeight="1">
      <c r="A87378" s="7"/>
      <c r="B87378" s="7"/>
    </row>
    <row r="87379" ht="15.75" customHeight="1">
      <c r="A87379" s="7"/>
      <c r="B87379" s="7"/>
    </row>
    <row r="87380" ht="15.75" customHeight="1">
      <c r="A87380" s="7"/>
      <c r="B87380" s="7"/>
    </row>
    <row r="87381" ht="15.75" customHeight="1">
      <c r="A87381" s="7"/>
      <c r="B87381" s="7"/>
    </row>
    <row r="87382" ht="15.75" customHeight="1">
      <c r="A87382" s="7"/>
      <c r="B87382" s="7"/>
    </row>
    <row r="87383" ht="15.75" customHeight="1">
      <c r="A87383" s="7"/>
      <c r="B87383" s="7"/>
    </row>
    <row r="87384" ht="15.75" customHeight="1">
      <c r="A87384" s="7"/>
      <c r="B87384" s="7"/>
    </row>
    <row r="87385" ht="15.75" customHeight="1">
      <c r="A87385" s="7"/>
      <c r="B87385" s="7"/>
    </row>
    <row r="87386" ht="15.75" customHeight="1">
      <c r="A87386" s="7"/>
      <c r="B87386" s="7"/>
    </row>
    <row r="87387" ht="15.75" customHeight="1">
      <c r="A87387" s="7"/>
      <c r="B87387" s="7"/>
    </row>
    <row r="87388" ht="15.75" customHeight="1">
      <c r="A87388" s="7"/>
      <c r="B87388" s="7"/>
    </row>
    <row r="87389" ht="15.75" customHeight="1">
      <c r="A87389" s="7"/>
      <c r="B87389" s="7"/>
    </row>
    <row r="87390" ht="15.75" customHeight="1">
      <c r="A87390" s="7"/>
      <c r="B87390" s="7"/>
    </row>
    <row r="87391" ht="15.75" customHeight="1">
      <c r="A87391" s="7"/>
      <c r="B87391" s="7"/>
    </row>
    <row r="87392" ht="15.75" customHeight="1">
      <c r="A87392" s="7"/>
      <c r="B87392" s="7"/>
    </row>
    <row r="87393" ht="15.75" customHeight="1">
      <c r="A87393" s="7"/>
      <c r="B87393" s="7"/>
    </row>
    <row r="87394" ht="15.75" customHeight="1">
      <c r="A87394" s="7"/>
      <c r="B87394" s="7"/>
    </row>
    <row r="87395" ht="15.75" customHeight="1">
      <c r="A87395" s="7"/>
      <c r="B87395" s="7"/>
    </row>
    <row r="87396" ht="15.75" customHeight="1">
      <c r="A87396" s="7"/>
      <c r="B87396" s="7"/>
    </row>
    <row r="87397" ht="15.75" customHeight="1">
      <c r="A87397" s="7"/>
      <c r="B87397" s="7"/>
    </row>
    <row r="87398" ht="15.75" customHeight="1">
      <c r="A87398" s="7"/>
      <c r="B87398" s="7"/>
    </row>
    <row r="87399" ht="15.75" customHeight="1">
      <c r="A87399" s="7"/>
      <c r="B87399" s="7"/>
    </row>
    <row r="87400" ht="15.75" customHeight="1">
      <c r="A87400" s="7"/>
      <c r="B87400" s="7"/>
    </row>
    <row r="87401" ht="15.75" customHeight="1">
      <c r="A87401" s="7"/>
      <c r="B87401" s="7"/>
    </row>
    <row r="87402" ht="15.75" customHeight="1">
      <c r="A87402" s="7"/>
      <c r="B87402" s="7"/>
    </row>
    <row r="87403" ht="15.75" customHeight="1">
      <c r="A87403" s="7"/>
      <c r="B87403" s="7"/>
    </row>
    <row r="87404" ht="15.75" customHeight="1">
      <c r="A87404" s="7"/>
      <c r="B87404" s="7"/>
    </row>
    <row r="87405" ht="15.75" customHeight="1">
      <c r="A87405" s="7"/>
      <c r="B87405" s="7"/>
    </row>
    <row r="87406" ht="15.75" customHeight="1">
      <c r="A87406" s="7"/>
      <c r="B87406" s="7"/>
    </row>
    <row r="87407" ht="15.75" customHeight="1">
      <c r="A87407" s="7"/>
      <c r="B87407" s="7"/>
    </row>
    <row r="87408" ht="15.75" customHeight="1">
      <c r="A87408" s="7"/>
      <c r="B87408" s="7"/>
    </row>
    <row r="87409" ht="15.75" customHeight="1">
      <c r="A87409" s="7"/>
      <c r="B87409" s="7"/>
    </row>
    <row r="87410" ht="15.75" customHeight="1">
      <c r="A87410" s="7"/>
      <c r="B87410" s="7"/>
    </row>
    <row r="87411" ht="15.75" customHeight="1">
      <c r="A87411" s="7"/>
      <c r="B87411" s="7"/>
    </row>
    <row r="87412" ht="15.75" customHeight="1">
      <c r="A87412" s="7"/>
      <c r="B87412" s="7"/>
    </row>
    <row r="87413" ht="15.75" customHeight="1">
      <c r="A87413" s="7"/>
      <c r="B87413" s="7"/>
    </row>
    <row r="87414" ht="15.75" customHeight="1">
      <c r="A87414" s="7"/>
      <c r="B87414" s="7"/>
    </row>
    <row r="87415" ht="15.75" customHeight="1">
      <c r="A87415" s="7"/>
      <c r="B87415" s="7"/>
    </row>
    <row r="87416" ht="15.75" customHeight="1">
      <c r="A87416" s="7"/>
      <c r="B87416" s="7"/>
    </row>
    <row r="87417" ht="15.75" customHeight="1">
      <c r="A87417" s="7"/>
      <c r="B87417" s="7"/>
    </row>
    <row r="87418" ht="15.75" customHeight="1">
      <c r="A87418" s="7"/>
      <c r="B87418" s="7"/>
    </row>
    <row r="87419" ht="15.75" customHeight="1">
      <c r="A87419" s="7"/>
      <c r="B87419" s="7"/>
    </row>
    <row r="87420" ht="15.75" customHeight="1">
      <c r="A87420" s="7"/>
      <c r="B87420" s="7"/>
    </row>
    <row r="87421" ht="15.75" customHeight="1">
      <c r="A87421" s="7"/>
      <c r="B87421" s="7"/>
    </row>
    <row r="87422" ht="15.75" customHeight="1">
      <c r="A87422" s="7"/>
      <c r="B87422" s="7"/>
    </row>
    <row r="87423" ht="15.75" customHeight="1">
      <c r="A87423" s="7"/>
      <c r="B87423" s="7"/>
    </row>
    <row r="87424" ht="15.75" customHeight="1">
      <c r="A87424" s="7"/>
      <c r="B87424" s="7"/>
    </row>
    <row r="87425" ht="15.75" customHeight="1">
      <c r="A87425" s="7"/>
      <c r="B87425" s="7"/>
    </row>
    <row r="87426" ht="15.75" customHeight="1">
      <c r="A87426" s="7"/>
      <c r="B87426" s="7"/>
    </row>
    <row r="87427" ht="15.75" customHeight="1">
      <c r="A87427" s="7"/>
      <c r="B87427" s="7"/>
    </row>
    <row r="87428" ht="15.75" customHeight="1">
      <c r="A87428" s="7"/>
      <c r="B87428" s="7"/>
    </row>
    <row r="87429" ht="15.75" customHeight="1">
      <c r="A87429" s="7"/>
      <c r="B87429" s="7"/>
    </row>
    <row r="87430" ht="15.75" customHeight="1">
      <c r="A87430" s="7"/>
      <c r="B87430" s="7"/>
    </row>
    <row r="87431" ht="15.75" customHeight="1">
      <c r="A87431" s="7"/>
      <c r="B87431" s="7"/>
    </row>
    <row r="87432" ht="15.75" customHeight="1">
      <c r="A87432" s="7"/>
      <c r="B87432" s="7"/>
    </row>
    <row r="87433" ht="15.75" customHeight="1">
      <c r="A87433" s="7"/>
      <c r="B87433" s="7"/>
    </row>
    <row r="87434" ht="15.75" customHeight="1">
      <c r="A87434" s="7"/>
      <c r="B87434" s="7"/>
    </row>
    <row r="87435" ht="15.75" customHeight="1">
      <c r="A87435" s="7"/>
      <c r="B87435" s="7"/>
    </row>
    <row r="87436" ht="15.75" customHeight="1">
      <c r="A87436" s="7"/>
      <c r="B87436" s="7"/>
    </row>
    <row r="87437" ht="15.75" customHeight="1">
      <c r="A87437" s="7"/>
      <c r="B87437" s="7"/>
    </row>
    <row r="87438" ht="15.75" customHeight="1">
      <c r="A87438" s="7"/>
      <c r="B87438" s="7"/>
    </row>
    <row r="87439" ht="15.75" customHeight="1">
      <c r="A87439" s="7"/>
      <c r="B87439" s="7"/>
    </row>
    <row r="87440" ht="15.75" customHeight="1">
      <c r="A87440" s="7"/>
      <c r="B87440" s="7"/>
    </row>
    <row r="87441" ht="15.75" customHeight="1">
      <c r="A87441" s="7"/>
      <c r="B87441" s="7"/>
    </row>
    <row r="87442" ht="15.75" customHeight="1">
      <c r="A87442" s="7"/>
      <c r="B87442" s="7"/>
    </row>
    <row r="87443" ht="15.75" customHeight="1">
      <c r="A87443" s="7"/>
      <c r="B87443" s="7"/>
    </row>
    <row r="87444" ht="15.75" customHeight="1">
      <c r="A87444" s="7"/>
      <c r="B87444" s="7"/>
    </row>
    <row r="87445" ht="15.75" customHeight="1">
      <c r="A87445" s="7"/>
      <c r="B87445" s="7"/>
    </row>
    <row r="87446" ht="15.75" customHeight="1">
      <c r="A87446" s="7"/>
      <c r="B87446" s="7"/>
    </row>
    <row r="87447" ht="15.75" customHeight="1">
      <c r="A87447" s="7"/>
      <c r="B87447" s="7"/>
    </row>
    <row r="87448" ht="15.75" customHeight="1">
      <c r="A87448" s="7"/>
      <c r="B87448" s="7"/>
    </row>
    <row r="87449" ht="15.75" customHeight="1">
      <c r="A87449" s="7"/>
      <c r="B87449" s="7"/>
    </row>
    <row r="87450" ht="15.75" customHeight="1">
      <c r="A87450" s="7"/>
      <c r="B87450" s="7"/>
    </row>
    <row r="87451" ht="15.75" customHeight="1">
      <c r="A87451" s="7"/>
      <c r="B87451" s="7"/>
    </row>
    <row r="87452" ht="15.75" customHeight="1">
      <c r="A87452" s="7"/>
      <c r="B87452" s="7"/>
    </row>
    <row r="87453" ht="15.75" customHeight="1">
      <c r="A87453" s="7"/>
      <c r="B87453" s="7"/>
    </row>
    <row r="87454" ht="15.75" customHeight="1">
      <c r="A87454" s="7"/>
      <c r="B87454" s="7"/>
    </row>
    <row r="87455" ht="15.75" customHeight="1">
      <c r="A87455" s="7"/>
      <c r="B87455" s="7"/>
    </row>
    <row r="87456" ht="15.75" customHeight="1">
      <c r="A87456" s="7"/>
      <c r="B87456" s="7"/>
    </row>
    <row r="87457" ht="15.75" customHeight="1">
      <c r="A87457" s="7"/>
      <c r="B87457" s="7"/>
    </row>
    <row r="87458" ht="15.75" customHeight="1">
      <c r="A87458" s="7"/>
      <c r="B87458" s="7"/>
    </row>
    <row r="87459" ht="15.75" customHeight="1">
      <c r="A87459" s="7"/>
      <c r="B87459" s="7"/>
    </row>
    <row r="87460" ht="15.75" customHeight="1">
      <c r="A87460" s="7"/>
      <c r="B87460" s="7"/>
    </row>
    <row r="87461" ht="15.75" customHeight="1">
      <c r="A87461" s="7"/>
      <c r="B87461" s="7"/>
    </row>
    <row r="87462" ht="15.75" customHeight="1">
      <c r="A87462" s="7"/>
      <c r="B87462" s="7"/>
    </row>
    <row r="87463" ht="15.75" customHeight="1">
      <c r="A87463" s="7"/>
      <c r="B87463" s="7"/>
    </row>
    <row r="87464" ht="15.75" customHeight="1">
      <c r="A87464" s="7"/>
      <c r="B87464" s="7"/>
    </row>
    <row r="87465" ht="15.75" customHeight="1">
      <c r="A87465" s="7"/>
      <c r="B87465" s="7"/>
    </row>
    <row r="87466" ht="15.75" customHeight="1">
      <c r="A87466" s="7"/>
      <c r="B87466" s="7"/>
    </row>
    <row r="87467" ht="15.75" customHeight="1">
      <c r="A87467" s="7"/>
      <c r="B87467" s="7"/>
    </row>
    <row r="87468" ht="15.75" customHeight="1">
      <c r="A87468" s="7"/>
      <c r="B87468" s="7"/>
    </row>
    <row r="87469" ht="15.75" customHeight="1">
      <c r="A87469" s="7"/>
      <c r="B87469" s="7"/>
    </row>
    <row r="87470" ht="15.75" customHeight="1">
      <c r="A87470" s="7"/>
      <c r="B87470" s="7"/>
    </row>
    <row r="87471" ht="15.75" customHeight="1">
      <c r="A87471" s="7"/>
      <c r="B87471" s="7"/>
    </row>
    <row r="87472" ht="15.75" customHeight="1">
      <c r="A87472" s="7"/>
      <c r="B87472" s="7"/>
    </row>
    <row r="87473" ht="15.75" customHeight="1">
      <c r="A87473" s="7"/>
      <c r="B87473" s="7"/>
    </row>
    <row r="87474" ht="15.75" customHeight="1">
      <c r="A87474" s="7"/>
      <c r="B87474" s="7"/>
    </row>
    <row r="87475" ht="15.75" customHeight="1">
      <c r="A87475" s="7"/>
      <c r="B87475" s="7"/>
    </row>
    <row r="87476" ht="15.75" customHeight="1">
      <c r="A87476" s="7"/>
      <c r="B87476" s="7"/>
    </row>
    <row r="87477" ht="15.75" customHeight="1">
      <c r="A87477" s="7"/>
      <c r="B87477" s="7"/>
    </row>
    <row r="87478" ht="15.75" customHeight="1">
      <c r="A87478" s="7"/>
      <c r="B87478" s="7"/>
    </row>
    <row r="87479" ht="15.75" customHeight="1">
      <c r="A87479" s="7"/>
      <c r="B87479" s="7"/>
    </row>
    <row r="87480" ht="15.75" customHeight="1">
      <c r="A87480" s="7"/>
      <c r="B87480" s="7"/>
    </row>
    <row r="87481" ht="15.75" customHeight="1">
      <c r="A87481" s="7"/>
      <c r="B87481" s="7"/>
    </row>
    <row r="87482" ht="15.75" customHeight="1">
      <c r="A87482" s="7"/>
      <c r="B87482" s="7"/>
    </row>
    <row r="87483" ht="15.75" customHeight="1">
      <c r="A87483" s="7"/>
      <c r="B87483" s="7"/>
    </row>
    <row r="87484" ht="15.75" customHeight="1">
      <c r="A87484" s="7"/>
      <c r="B87484" s="7"/>
    </row>
    <row r="87485" ht="15.75" customHeight="1">
      <c r="A87485" s="7"/>
      <c r="B87485" s="7"/>
    </row>
    <row r="87486" ht="15.75" customHeight="1">
      <c r="A87486" s="7"/>
      <c r="B87486" s="7"/>
    </row>
    <row r="87487" ht="15.75" customHeight="1">
      <c r="A87487" s="7"/>
      <c r="B87487" s="7"/>
    </row>
    <row r="87488" ht="15.75" customHeight="1">
      <c r="A87488" s="7"/>
      <c r="B87488" s="7"/>
    </row>
    <row r="87489" ht="15.75" customHeight="1">
      <c r="A87489" s="7"/>
      <c r="B87489" s="7"/>
    </row>
    <row r="87490" ht="15.75" customHeight="1">
      <c r="A87490" s="7"/>
      <c r="B87490" s="7"/>
    </row>
    <row r="87491" ht="15.75" customHeight="1">
      <c r="A87491" s="7"/>
      <c r="B87491" s="7"/>
    </row>
    <row r="87492" ht="15.75" customHeight="1">
      <c r="A87492" s="7"/>
      <c r="B87492" s="7"/>
    </row>
    <row r="87493" ht="15.75" customHeight="1">
      <c r="A87493" s="7"/>
      <c r="B87493" s="7"/>
    </row>
    <row r="87494" ht="15.75" customHeight="1">
      <c r="A87494" s="7"/>
      <c r="B87494" s="7"/>
    </row>
    <row r="87495" ht="15.75" customHeight="1">
      <c r="A87495" s="7"/>
      <c r="B87495" s="7"/>
    </row>
    <row r="87496" ht="15.75" customHeight="1">
      <c r="A87496" s="7"/>
      <c r="B87496" s="7"/>
    </row>
    <row r="87497" ht="15.75" customHeight="1">
      <c r="A87497" s="7"/>
      <c r="B87497" s="7"/>
    </row>
    <row r="87498" ht="15.75" customHeight="1">
      <c r="A87498" s="7"/>
      <c r="B87498" s="7"/>
    </row>
    <row r="87499" ht="15.75" customHeight="1">
      <c r="A87499" s="7"/>
      <c r="B87499" s="7"/>
    </row>
    <row r="87500" ht="15.75" customHeight="1">
      <c r="A87500" s="7"/>
      <c r="B87500" s="7"/>
    </row>
    <row r="87501" ht="15.75" customHeight="1">
      <c r="A87501" s="7"/>
      <c r="B87501" s="7"/>
    </row>
    <row r="87502" ht="15.75" customHeight="1">
      <c r="A87502" s="7"/>
      <c r="B87502" s="7"/>
    </row>
    <row r="87503" ht="15.75" customHeight="1">
      <c r="A87503" s="7"/>
      <c r="B87503" s="7"/>
    </row>
    <row r="87504" ht="15.75" customHeight="1">
      <c r="A87504" s="7"/>
      <c r="B87504" s="7"/>
    </row>
    <row r="87505" ht="15.75" customHeight="1">
      <c r="A87505" s="7"/>
      <c r="B87505" s="7"/>
    </row>
    <row r="87506" ht="15.75" customHeight="1">
      <c r="A87506" s="7"/>
      <c r="B87506" s="7"/>
    </row>
    <row r="87507" ht="15.75" customHeight="1">
      <c r="A87507" s="7"/>
      <c r="B87507" s="7"/>
    </row>
    <row r="87508" ht="15.75" customHeight="1">
      <c r="A87508" s="7"/>
      <c r="B87508" s="7"/>
    </row>
    <row r="87509" ht="15.75" customHeight="1">
      <c r="A87509" s="7"/>
      <c r="B87509" s="7"/>
    </row>
    <row r="87510" ht="15.75" customHeight="1">
      <c r="A87510" s="7"/>
      <c r="B87510" s="7"/>
    </row>
    <row r="87511" ht="15.75" customHeight="1">
      <c r="A87511" s="7"/>
      <c r="B87511" s="7"/>
    </row>
    <row r="87512" ht="15.75" customHeight="1">
      <c r="A87512" s="7"/>
      <c r="B87512" s="7"/>
    </row>
    <row r="87513" ht="15.75" customHeight="1">
      <c r="A87513" s="7"/>
      <c r="B87513" s="7"/>
    </row>
    <row r="87514" ht="15.75" customHeight="1">
      <c r="A87514" s="7"/>
      <c r="B87514" s="7"/>
    </row>
    <row r="87515" ht="15.75" customHeight="1">
      <c r="A87515" s="7"/>
      <c r="B87515" s="7"/>
    </row>
    <row r="87516" ht="15.75" customHeight="1">
      <c r="A87516" s="7"/>
      <c r="B87516" s="7"/>
    </row>
    <row r="87517" ht="15.75" customHeight="1">
      <c r="A87517" s="7"/>
      <c r="B87517" s="7"/>
    </row>
    <row r="87518" ht="15.75" customHeight="1">
      <c r="A87518" s="7"/>
      <c r="B87518" s="7"/>
    </row>
    <row r="87519" ht="15.75" customHeight="1">
      <c r="A87519" s="7"/>
      <c r="B87519" s="7"/>
    </row>
    <row r="87520" ht="15.75" customHeight="1">
      <c r="A87520" s="7"/>
      <c r="B87520" s="7"/>
    </row>
    <row r="87521" ht="15.75" customHeight="1">
      <c r="A87521" s="7"/>
      <c r="B87521" s="7"/>
    </row>
    <row r="87522" ht="15.75" customHeight="1">
      <c r="A87522" s="7"/>
      <c r="B87522" s="7"/>
    </row>
    <row r="87523" ht="15.75" customHeight="1">
      <c r="A87523" s="7"/>
      <c r="B87523" s="7"/>
    </row>
    <row r="87524" ht="15.75" customHeight="1">
      <c r="A87524" s="7"/>
      <c r="B87524" s="7"/>
    </row>
    <row r="87525" ht="15.75" customHeight="1">
      <c r="A87525" s="7"/>
      <c r="B87525" s="7"/>
    </row>
    <row r="87526" ht="15.75" customHeight="1">
      <c r="A87526" s="7"/>
      <c r="B87526" s="7"/>
    </row>
    <row r="87527" ht="15.75" customHeight="1">
      <c r="A87527" s="7"/>
      <c r="B87527" s="7"/>
    </row>
    <row r="87528" ht="15.75" customHeight="1">
      <c r="A87528" s="7"/>
      <c r="B87528" s="7"/>
    </row>
    <row r="87529" ht="15.75" customHeight="1">
      <c r="A87529" s="7"/>
      <c r="B87529" s="7"/>
    </row>
    <row r="87530" ht="15.75" customHeight="1">
      <c r="A87530" s="7"/>
      <c r="B87530" s="7"/>
    </row>
    <row r="87531" ht="15.75" customHeight="1">
      <c r="A87531" s="7"/>
      <c r="B87531" s="7"/>
    </row>
    <row r="87532" ht="15.75" customHeight="1">
      <c r="A87532" s="7"/>
      <c r="B87532" s="7"/>
    </row>
    <row r="87533" ht="15.75" customHeight="1">
      <c r="A87533" s="7"/>
      <c r="B87533" s="7"/>
    </row>
    <row r="87534" ht="15.75" customHeight="1">
      <c r="A87534" s="7"/>
      <c r="B87534" s="7"/>
    </row>
    <row r="87535" ht="15.75" customHeight="1">
      <c r="A87535" s="7"/>
      <c r="B87535" s="7"/>
    </row>
    <row r="87536" ht="15.75" customHeight="1">
      <c r="A87536" s="7"/>
      <c r="B87536" s="7"/>
    </row>
    <row r="87537" ht="15.75" customHeight="1">
      <c r="A87537" s="7"/>
      <c r="B87537" s="7"/>
    </row>
    <row r="87538" ht="15.75" customHeight="1">
      <c r="A87538" s="7"/>
      <c r="B87538" s="7"/>
    </row>
    <row r="87539" ht="15.75" customHeight="1">
      <c r="A87539" s="7"/>
      <c r="B87539" s="7"/>
    </row>
    <row r="87540" ht="15.75" customHeight="1">
      <c r="A87540" s="7"/>
      <c r="B87540" s="7"/>
    </row>
    <row r="87541" ht="15.75" customHeight="1">
      <c r="A87541" s="7"/>
      <c r="B87541" s="7"/>
    </row>
    <row r="87542" ht="15.75" customHeight="1">
      <c r="A87542" s="7"/>
      <c r="B87542" s="7"/>
    </row>
    <row r="87543" ht="15.75" customHeight="1">
      <c r="A87543" s="7"/>
      <c r="B87543" s="7"/>
    </row>
    <row r="87544" ht="15.75" customHeight="1">
      <c r="A87544" s="7"/>
      <c r="B87544" s="7"/>
    </row>
    <row r="87545" ht="15.75" customHeight="1">
      <c r="A87545" s="7"/>
      <c r="B87545" s="7"/>
    </row>
    <row r="87546" ht="15.75" customHeight="1">
      <c r="A87546" s="7"/>
      <c r="B87546" s="7"/>
    </row>
    <row r="87547" ht="15.75" customHeight="1">
      <c r="A87547" s="7"/>
      <c r="B87547" s="7"/>
    </row>
    <row r="87548" ht="15.75" customHeight="1">
      <c r="A87548" s="7"/>
      <c r="B87548" s="7"/>
    </row>
    <row r="87549" ht="15.75" customHeight="1">
      <c r="A87549" s="7"/>
      <c r="B87549" s="7"/>
    </row>
    <row r="87550" ht="15.75" customHeight="1">
      <c r="A87550" s="7"/>
      <c r="B87550" s="7"/>
    </row>
    <row r="87551" ht="15.75" customHeight="1">
      <c r="A87551" s="7"/>
      <c r="B87551" s="7"/>
    </row>
    <row r="87552" ht="15.75" customHeight="1">
      <c r="A87552" s="7"/>
      <c r="B87552" s="7"/>
    </row>
    <row r="87553" ht="15.75" customHeight="1">
      <c r="A87553" s="7"/>
      <c r="B87553" s="7"/>
    </row>
    <row r="87554" ht="15.75" customHeight="1">
      <c r="A87554" s="7"/>
      <c r="B87554" s="7"/>
    </row>
    <row r="87555" ht="15.75" customHeight="1">
      <c r="A87555" s="7"/>
      <c r="B87555" s="7"/>
    </row>
    <row r="87556" ht="15.75" customHeight="1">
      <c r="A87556" s="7"/>
      <c r="B87556" s="7"/>
    </row>
    <row r="87557" ht="15.75" customHeight="1">
      <c r="A87557" s="7"/>
      <c r="B87557" s="7"/>
    </row>
    <row r="87558" ht="15.75" customHeight="1">
      <c r="A87558" s="7"/>
      <c r="B87558" s="7"/>
    </row>
    <row r="87559" ht="15.75" customHeight="1">
      <c r="A87559" s="7"/>
      <c r="B87559" s="7"/>
    </row>
    <row r="87560" ht="15.75" customHeight="1">
      <c r="A87560" s="7"/>
      <c r="B87560" s="7"/>
    </row>
    <row r="87561" ht="15.75" customHeight="1">
      <c r="A87561" s="7"/>
      <c r="B87561" s="7"/>
    </row>
    <row r="87562" ht="15.75" customHeight="1">
      <c r="A87562" s="7"/>
      <c r="B87562" s="7"/>
    </row>
    <row r="87563" ht="15.75" customHeight="1">
      <c r="A87563" s="7"/>
      <c r="B87563" s="7"/>
    </row>
    <row r="87564" ht="15.75" customHeight="1">
      <c r="A87564" s="7"/>
      <c r="B87564" s="7"/>
    </row>
    <row r="87565" ht="15.75" customHeight="1">
      <c r="A87565" s="7"/>
      <c r="B87565" s="7"/>
    </row>
    <row r="87566" ht="15.75" customHeight="1">
      <c r="A87566" s="7"/>
      <c r="B87566" s="7"/>
    </row>
    <row r="87567" ht="15.75" customHeight="1">
      <c r="A87567" s="7"/>
      <c r="B87567" s="7"/>
    </row>
    <row r="87568" ht="15.75" customHeight="1">
      <c r="A87568" s="7"/>
      <c r="B87568" s="7"/>
    </row>
    <row r="87569" ht="15.75" customHeight="1">
      <c r="A87569" s="7"/>
      <c r="B87569" s="7"/>
    </row>
    <row r="87570" ht="15.75" customHeight="1">
      <c r="A87570" s="7"/>
      <c r="B87570" s="7"/>
    </row>
  </sheetData>
  <drawing r:id="rId1"/>
</worksheet>
</file>